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ml.chart+xml" PartName="/xl/charts/chart15.xml"/>
  <Override ContentType="application/vnd.openxmlformats-officedocument.drawingml.chart+xml" PartName="/xl/charts/chart16.xml"/>
  <Override ContentType="application/vnd.openxmlformats-officedocument.drawingml.chart+xml" PartName="/xl/charts/chart17.xml"/>
  <Override ContentType="application/vnd.openxmlformats-officedocument.drawingml.chart+xml" PartName="/xl/charts/chart18.xml"/>
  <Override ContentType="application/vnd.openxmlformats-officedocument.drawingml.chart+xml" PartName="/xl/charts/chart19.xml"/>
  <Override ContentType="application/vnd.openxmlformats-officedocument.drawingml.chart+xml" PartName="/xl/charts/chart2.xml"/>
  <Override ContentType="application/vnd.openxmlformats-officedocument.drawingml.chart+xml" PartName="/xl/charts/chart20.xml"/>
  <Override ContentType="application/vnd.openxmlformats-officedocument.drawingml.chart+xml" PartName="/xl/charts/chart21.xml"/>
  <Override ContentType="application/vnd.openxmlformats-officedocument.drawingml.chart+xml" PartName="/xl/charts/chart2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16.xml"/>
  <Override ContentType="application/vnd.openxmlformats-officedocument.spreadsheetml.comments+xml" PartName="/xl/comments17.xml"/>
  <Override ContentType="application/vnd.openxmlformats-officedocument.spreadsheetml.comments+xml" PartName="/xl/comments18.xml"/>
  <Override ContentType="application/vnd.openxmlformats-officedocument.spreadsheetml.comments+xml" PartName="/xl/comments19.xml"/>
  <Override ContentType="application/vnd.openxmlformats-officedocument.spreadsheetml.comments+xml" PartName="/xl/comments2.xml"/>
  <Override ContentType="application/vnd.openxmlformats-officedocument.spreadsheetml.comments+xml" PartName="/xl/comments20.xml"/>
  <Override ContentType="application/vnd.openxmlformats-officedocument.spreadsheetml.comments+xml" PartName="/xl/comments21.xml"/>
  <Override ContentType="application/vnd.openxmlformats-officedocument.spreadsheetml.comments+xml" PartName="/xl/comments22.xml"/>
  <Override ContentType="application/vnd.openxmlformats-officedocument.spreadsheetml.comments+xml" PartName="/xl/comments23.xml"/>
  <Override ContentType="application/vnd.openxmlformats-officedocument.spreadsheetml.comments+xml" PartName="/xl/comments24.xml"/>
  <Override ContentType="application/vnd.openxmlformats-officedocument.spreadsheetml.comments+xml" PartName="/xl/comments25.xml"/>
  <Override ContentType="application/vnd.openxmlformats-officedocument.spreadsheetml.comments+xml" PartName="/xl/comments26.xml"/>
  <Override ContentType="application/vnd.openxmlformats-officedocument.spreadsheetml.comments+xml" PartName="/xl/comments27.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2.xml"/>
  <Override ContentType="application/vnd.openxmlformats-officedocument.drawingml.chartshapes+xml" PartName="/xl/drawings/drawing3.xml"/>
  <Override ContentType="application/vnd.openxmlformats-officedocument.drawingml.chartshapes+xml" PartName="/xl/drawings/drawing4.xml"/>
  <Override ContentType="application/vnd.openxmlformats-officedocument.drawing+xml" PartName="/xl/drawings/drawing5.xml"/>
  <Override ContentType="application/vnd.openxmlformats-officedocument.drawingml.chartshapes+xml" PartName="/xl/drawings/drawing6.xml"/>
  <Override ContentType="application/vnd.openxmlformats-officedocument.drawingml.chartshapes+xml" PartName="/xl/drawings/drawing7.xml"/>
  <Override ContentType="application/vnd.openxmlformats-officedocument.drawingml.chartshapes+xml" PartName="/xl/drawings/drawing8.xml"/>
  <Override ContentType="application/vnd.openxmlformats-officedocument.drawing+xml" PartName="/xl/drawings/drawing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945" yWindow="1665" windowWidth="2415" windowHeight="4320" tabRatio="720"/>
  </bookViews>
  <sheets>
    <sheet name="ImportantDisclosures" sheetId="42479" r:id="rId1"/>
    <sheet name="BYD" sheetId="6" r:id="rId2"/>
    <sheet name="__FDSCACHE__" sheetId="42418" state="veryHidden" r:id="rId3"/>
    <sheet name="EBITDA Val" sheetId="42417" r:id="rId4"/>
    <sheet name="Tables 2" sheetId="42458" r:id="rId5"/>
    <sheet name="CompSheet - Output" sheetId="42457" r:id="rId6"/>
    <sheet name="Sensitivity" sheetId="42421" r:id="rId7"/>
    <sheet name="Tables" sheetId="42425" r:id="rId8"/>
    <sheet name="4Q15" sheetId="42475" r:id="rId9"/>
    <sheet name="2Q15" sheetId="42474" r:id="rId10"/>
    <sheet name="1Q15" sheetId="42473" r:id="rId11"/>
    <sheet name="4Q14" sheetId="42471" r:id="rId12"/>
    <sheet name="3Q14" sheetId="42468" r:id="rId13"/>
    <sheet name="2Q14" sheetId="42467" r:id="rId14"/>
    <sheet name="1Q14" sheetId="42464" r:id="rId15"/>
    <sheet name="4Q13" sheetId="42461" r:id="rId16"/>
    <sheet name="3Q13" sheetId="42459" r:id="rId17"/>
    <sheet name="2Q13" sheetId="42455" r:id="rId18"/>
    <sheet name="Quarterly Tracker" sheetId="42446" r:id="rId19"/>
    <sheet name="Bull-Bear" sheetId="42422" r:id="rId20"/>
    <sheet name="ROIC" sheetId="42453" r:id="rId21"/>
    <sheet name="Taxes" sheetId="42290" r:id="rId22"/>
    <sheet name="1Q13" sheetId="42454" r:id="rId23"/>
    <sheet name="4Q12" sheetId="42452" r:id="rId24"/>
    <sheet name="3Q12" sheetId="42451" r:id="rId25"/>
    <sheet name="2Q12" sheetId="42450" r:id="rId26"/>
    <sheet name="DCF Val" sheetId="42419" r:id="rId27"/>
    <sheet name="STN" sheetId="42416" r:id="rId28"/>
    <sheet name="Acq" sheetId="42434" r:id="rId29"/>
    <sheet name="Debt Notes" sheetId="42445" r:id="rId30"/>
    <sheet name="1Q12" sheetId="42448" r:id="rId31"/>
    <sheet name="4Q11" sheetId="42447" r:id="rId32"/>
    <sheet name="3Q11" sheetId="42443" r:id="rId33"/>
    <sheet name="2Q11" sheetId="42442" r:id="rId34"/>
    <sheet name="1Q11" sheetId="42441" r:id="rId35"/>
    <sheet name="4Q10" sheetId="42440" r:id="rId36"/>
    <sheet name="3Q10" sheetId="42437" r:id="rId37"/>
    <sheet name="2Q10" sheetId="42432" r:id="rId38"/>
    <sheet name="1Q10" sheetId="42428" r:id="rId39"/>
    <sheet name="MW-Cache" sheetId="42412" state="veryHidden" r:id="rId40"/>
    <sheet name="Unemployment" sheetId="42424" r:id="rId41"/>
    <sheet name="IndexInformation" sheetId="42480" r:id="rId42"/>
    <sheet name="ModPubIndex" sheetId="42481" r:id="rId43"/>
    <sheet name="mStartup" sheetId="42280" state="veryHidden" r:id=""/>
  </sheets>
  <definedNames>
    <definedName name="__FDS_HYPERLINK_TOGGLE_STATE__" hidden="1">"ON"</definedName>
    <definedName name="__FDS_UNIQUE_RANGE_ID_GENERATOR_COUNTER" localSheetId="5" hidden="1">9</definedName>
    <definedName name="__FDS_UNIQUE_RANGE_ID_GENERATOR_COUNTER" hidden="1">248</definedName>
    <definedName name="__FDS_USED_FOR_REUSING_RANGE_IDS_RECYCLE" localSheetId="34" hidden="1">{124}</definedName>
    <definedName name="__FDS_USED_FOR_REUSING_RANGE_IDS_RECYCLE" localSheetId="30" hidden="1">{124}</definedName>
    <definedName name="__FDS_USED_FOR_REUSING_RANGE_IDS_RECYCLE" localSheetId="22" hidden="1">{124}</definedName>
    <definedName name="__FDS_USED_FOR_REUSING_RANGE_IDS_RECYCLE" localSheetId="14" hidden="1">{124}</definedName>
    <definedName name="__FDS_USED_FOR_REUSING_RANGE_IDS_RECYCLE" localSheetId="10" hidden="1">{124}</definedName>
    <definedName name="__FDS_USED_FOR_REUSING_RANGE_IDS_RECYCLE" localSheetId="37" hidden="1">{124}</definedName>
    <definedName name="__FDS_USED_FOR_REUSING_RANGE_IDS_RECYCLE" localSheetId="25" hidden="1">{124}</definedName>
    <definedName name="__FDS_USED_FOR_REUSING_RANGE_IDS_RECYCLE" localSheetId="17" hidden="1">{124}</definedName>
    <definedName name="__FDS_USED_FOR_REUSING_RANGE_IDS_RECYCLE" localSheetId="13" hidden="1">{124}</definedName>
    <definedName name="__FDS_USED_FOR_REUSING_RANGE_IDS_RECYCLE" localSheetId="9" hidden="1">{124}</definedName>
    <definedName name="__FDS_USED_FOR_REUSING_RANGE_IDS_RECYCLE" localSheetId="36" hidden="1">{124}</definedName>
    <definedName name="__FDS_USED_FOR_REUSING_RANGE_IDS_RECYCLE" localSheetId="32" hidden="1">{124}</definedName>
    <definedName name="__FDS_USED_FOR_REUSING_RANGE_IDS_RECYCLE" localSheetId="24" hidden="1">{124}</definedName>
    <definedName name="__FDS_USED_FOR_REUSING_RANGE_IDS_RECYCLE" localSheetId="16" hidden="1">{124}</definedName>
    <definedName name="__FDS_USED_FOR_REUSING_RANGE_IDS_RECYCLE" localSheetId="12" hidden="1">{124}</definedName>
    <definedName name="__FDS_USED_FOR_REUSING_RANGE_IDS_RECYCLE" localSheetId="35" hidden="1">{124}</definedName>
    <definedName name="__FDS_USED_FOR_REUSING_RANGE_IDS_RECYCLE" localSheetId="31" hidden="1">{124}</definedName>
    <definedName name="__FDS_USED_FOR_REUSING_RANGE_IDS_RECYCLE" localSheetId="23" hidden="1">{124}</definedName>
    <definedName name="__FDS_USED_FOR_REUSING_RANGE_IDS_RECYCLE" localSheetId="15" hidden="1">{124}</definedName>
    <definedName name="__FDS_USED_FOR_REUSING_RANGE_IDS_RECYCLE" localSheetId="11" hidden="1">{124}</definedName>
    <definedName name="__FDS_USED_FOR_REUSING_RANGE_IDS_RECYCLE" localSheetId="8" hidden="1">{124}</definedName>
    <definedName name="__FDS_USED_FOR_REUSING_RANGE_IDS_RECYCLE" hidden="1">{124}</definedName>
    <definedName name="_1__FDSAUDITLINK__" localSheetId="34"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30"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22"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14"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10"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37"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25"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17"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13"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9"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36"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32"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24"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16"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12"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35"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31"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23"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15"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11"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8"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localSheetId="5"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25__FDSAUDITLINK__" localSheetId="34"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30"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22"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14"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10"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37"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25"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17"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13"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9"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36"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32"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24"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16"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12"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35"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31"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23"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15"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11"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localSheetId="8"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5__FDSAUDITLINK__" hidden="1">{"fdsup://directions/FAT Viewer?action=UPDATE&amp;creator=factset&amp;DYN_ARGS=TRUE&amp;DOC_NAME=FAT:FQL_AUDITING_CLIENT_TEMPLATE.FAT&amp;display_string=Audit&amp;VAR:KEY=UBEPIPIBQH&amp;VAR:QUERY=RkZfRU5UUlBSX1ZBTF9EQUlMWSg0MDIxMCk=&amp;WINDOW=FIRST_POPUP&amp;HEIGHT=450&amp;WIDTH=450&amp;START_MA","XIMIZED=FALSE&amp;VAR:CALENDAR=US&amp;VAR:SYMBOL=BYD&amp;VAR:INDEX=0"}</definedName>
    <definedName name="_126__FDSAUDITLINK__" localSheetId="34"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30"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22"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14"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10"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37"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25"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17"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13"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9"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36"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32"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24"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16"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12"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35"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31"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23"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15"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11"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localSheetId="8"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6__FDSAUDITLINK__" hidden="1">{"fdsup://directions/FAT Viewer?action=UPDATE&amp;creator=factset&amp;DYN_ARGS=TRUE&amp;DOC_NAME=FAT:FQL_AUDITING_CLIENT_TEMPLATE.FAT&amp;display_string=Audit&amp;VAR:KEY=WLSPUJWZCV&amp;VAR:QUERY=RkZfRU5UUlBSX1ZBTF9EQUlMWSg0MDE3OSk=&amp;WINDOW=FIRST_POPUP&amp;HEIGHT=450&amp;WIDTH=450&amp;START_MA","XIMIZED=FALSE&amp;VAR:CALENDAR=US&amp;VAR:SYMBOL=BYD&amp;VAR:INDEX=0"}</definedName>
    <definedName name="_127__FDSAUDITLINK__" localSheetId="34"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30"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22"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14"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10"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37"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25"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17"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13"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9"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36"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32"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24"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16"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12"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35"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31"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23"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15"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11"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localSheetId="8"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7__FDSAUDITLINK__" hidden="1">{"fdsup://directions/FAT Viewer?action=UPDATE&amp;creator=factset&amp;DYN_ARGS=TRUE&amp;DOC_NAME=FAT:FQL_AUDITING_CLIENT_TEMPLATE.FAT&amp;display_string=Audit&amp;VAR:KEY=KFADOXKXAL&amp;VAR:QUERY=RkZfRU5UUlBSX1ZBTF9EQUlMWSg0MDE0OCk=&amp;WINDOW=FIRST_POPUP&amp;HEIGHT=450&amp;WIDTH=450&amp;START_MA","XIMIZED=FALSE&amp;VAR:CALENDAR=US&amp;VAR:SYMBOL=BYD&amp;VAR:INDEX=0"}</definedName>
    <definedName name="_128__FDSAUDITLINK__" localSheetId="34"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30"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22"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14"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10"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37"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25"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17"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13"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9"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36"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32"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24"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16"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12"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35"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31"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23"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15"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11"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localSheetId="8"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8__FDSAUDITLINK__" hidden="1">{"fdsup://directions/FAT Viewer?action=UPDATE&amp;creator=factset&amp;DYN_ARGS=TRUE&amp;DOC_NAME=FAT:FQL_AUDITING_CLIENT_TEMPLATE.FAT&amp;display_string=Audit&amp;VAR:KEY=MRSDORUJYN&amp;VAR:QUERY=RkZfRU5UUlBSX1ZBTF9EQUlMWSg0MDExOCk=&amp;WINDOW=FIRST_POPUP&amp;HEIGHT=450&amp;WIDTH=450&amp;START_MA","XIMIZED=FALSE&amp;VAR:CALENDAR=US&amp;VAR:SYMBOL=BYD&amp;VAR:INDEX=0"}</definedName>
    <definedName name="_129__FDSAUDITLINK__" localSheetId="34"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30"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22"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14"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10"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37"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25"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17"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13"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9"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36"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32"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24"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16"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12"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35"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31"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23"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15"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11"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localSheetId="8"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29__FDSAUDITLINK__" hidden="1">{"fdsup://directions/FAT Viewer?action=UPDATE&amp;creator=factset&amp;DYN_ARGS=TRUE&amp;DOC_NAME=FAT:FQL_AUDITING_CLIENT_TEMPLATE.FAT&amp;display_string=Audit&amp;VAR:KEY=QTOXQRSNWN&amp;VAR:QUERY=RkZfRU5UUlBSX1ZBTF9EQUlMWSg0MDA4Nyk=&amp;WINDOW=FIRST_POPUP&amp;HEIGHT=450&amp;WIDTH=450&amp;START_MA","XIMIZED=FALSE&amp;VAR:CALENDAR=US&amp;VAR:SYMBOL=BYD&amp;VAR:INDEX=0"}</definedName>
    <definedName name="_130__FDSAUDITLINK__" localSheetId="34"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30"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22"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14"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10"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37"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25"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17"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13"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9"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36"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32"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24"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16"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12"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35"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31"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23"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15"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11"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localSheetId="8"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0__FDSAUDITLINK__" hidden="1">{"fdsup://directions/FAT Viewer?action=UPDATE&amp;creator=factset&amp;DYN_ARGS=TRUE&amp;DOC_NAME=FAT:FQL_AUDITING_CLIENT_TEMPLATE.FAT&amp;display_string=Audit&amp;VAR:KEY=UHERGFUHAB&amp;VAR:QUERY=RkZfRU5UUlBSX1ZBTF9EQUlMWSg0MDA1Nyk=&amp;WINDOW=FIRST_POPUP&amp;HEIGHT=450&amp;WIDTH=450&amp;START_MA","XIMIZED=FALSE&amp;VAR:CALENDAR=US&amp;VAR:SYMBOL=BYD&amp;VAR:INDEX=0"}</definedName>
    <definedName name="_131__FDSAUDITLINK__" localSheetId="34"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30"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22"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14"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10"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37"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25"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17"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13"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9"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36"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32"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24"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16"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12"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35"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31"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23"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15"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11"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localSheetId="8"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1__FDSAUDITLINK__" hidden="1">{"fdsup://directions/FAT Viewer?action=UPDATE&amp;creator=factset&amp;DYN_ARGS=TRUE&amp;DOC_NAME=FAT:FQL_AUDITING_CLIENT_TEMPLATE.FAT&amp;display_string=Audit&amp;VAR:KEY=QPOLWFUNKN&amp;VAR:QUERY=RkZfRU5UUlBSX1ZBTF9EQUlMWSg0MDAyNik=&amp;WINDOW=FIRST_POPUP&amp;HEIGHT=450&amp;WIDTH=450&amp;START_MA","XIMIZED=FALSE&amp;VAR:CALENDAR=US&amp;VAR:SYMBOL=BYD&amp;VAR:INDEX=0"}</definedName>
    <definedName name="_132__FDSAUDITLINK__" localSheetId="34"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30"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22"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14"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10"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37"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25"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17"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13"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9"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36"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32"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24"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16"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12"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35"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31"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23"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15"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11"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localSheetId="8"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2__FDSAUDITLINK__" hidden="1">{"fdsup://directions/FAT Viewer?action=UPDATE&amp;creator=factset&amp;DYN_ARGS=TRUE&amp;DOC_NAME=FAT:FQL_AUDITING_CLIENT_TEMPLATE.FAT&amp;display_string=Audit&amp;VAR:KEY=IRWZQBUTOZ&amp;VAR:QUERY=RkZfRU5UUlBSX1ZBTF9EQUlMWSgzOTk5NSk=&amp;WINDOW=FIRST_POPUP&amp;HEIGHT=450&amp;WIDTH=450&amp;START_MA","XIMIZED=FALSE&amp;VAR:CALENDAR=US&amp;VAR:SYMBOL=BYD&amp;VAR:INDEX=0"}</definedName>
    <definedName name="_133__FDSAUDITLINK__" localSheetId="34"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30"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22"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14"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10"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37"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25"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17"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13"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9"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36"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32"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24"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16"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12"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35"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31"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23"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15"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11"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localSheetId="8"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3__FDSAUDITLINK__" hidden="1">{"fdsup://directions/FAT Viewer?action=UPDATE&amp;creator=factset&amp;DYN_ARGS=TRUE&amp;DOC_NAME=FAT:FQL_AUDITING_CLIENT_TEMPLATE.FAT&amp;display_string=Audit&amp;VAR:KEY=ILYDCZYPAX&amp;VAR:QUERY=RkZfRU5UUlBSX1ZBTF9EQUlMWSgzOTk2NSk=&amp;WINDOW=FIRST_POPUP&amp;HEIGHT=450&amp;WIDTH=450&amp;START_MA","XIMIZED=FALSE&amp;VAR:CALENDAR=US&amp;VAR:SYMBOL=BYD&amp;VAR:INDEX=0"}</definedName>
    <definedName name="_134__FDSAUDITLINK__" localSheetId="34"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30"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22"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14"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10"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37"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25"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17"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13"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9"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36"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32"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24"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16"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12"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35"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31"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23"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15"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11"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localSheetId="8"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4__FDSAUDITLINK__" hidden="1">{"fdsup://directions/FAT Viewer?action=UPDATE&amp;creator=factset&amp;DYN_ARGS=TRUE&amp;DOC_NAME=FAT:FQL_AUDITING_CLIENT_TEMPLATE.FAT&amp;display_string=Audit&amp;VAR:KEY=MJOVYLGBEN&amp;VAR:QUERY=RkZfRU5UUlBSX1ZBTF9EQUlMWSgzOTkzNCk=&amp;WINDOW=FIRST_POPUP&amp;HEIGHT=450&amp;WIDTH=450&amp;START_MA","XIMIZED=FALSE&amp;VAR:CALENDAR=US&amp;VAR:SYMBOL=BYD&amp;VAR:INDEX=0"}</definedName>
    <definedName name="_135__FDSAUDITLINK__" localSheetId="34"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30"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22"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14"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10"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37"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25"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17"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13"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9"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36"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32"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24"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16"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12"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35"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31"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23"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15"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11"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localSheetId="8"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5__FDSAUDITLINK__" hidden="1">{"fdsup://directions/FAT Viewer?action=UPDATE&amp;creator=factset&amp;DYN_ARGS=TRUE&amp;DOC_NAME=FAT:FQL_AUDITING_CLIENT_TEMPLATE.FAT&amp;display_string=Audit&amp;VAR:KEY=EVWXQNMBKR&amp;VAR:QUERY=RkZfRU5UUlBSX1ZBTF9EQUlMWSgzOTkwNCk=&amp;WINDOW=FIRST_POPUP&amp;HEIGHT=450&amp;WIDTH=450&amp;START_MA","XIMIZED=FALSE&amp;VAR:CALENDAR=US&amp;VAR:SYMBOL=BYD&amp;VAR:INDEX=0"}</definedName>
    <definedName name="_136__FDSAUDITLINK__" localSheetId="34"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30"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22"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14"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10"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37"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25"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17"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13"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9"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36"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32"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24"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16"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12"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35"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31"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23"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15"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11"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localSheetId="8"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6__FDSAUDITLINK__" hidden="1">{"fdsup://directions/FAT Viewer?action=UPDATE&amp;creator=factset&amp;DYN_ARGS=TRUE&amp;DOC_NAME=FAT:FQL_AUDITING_CLIENT_TEMPLATE.FAT&amp;display_string=Audit&amp;VAR:KEY=GVKVEHKZOX&amp;VAR:QUERY=RkZfRU5UUlBSX1ZBTF9EQUlMWSgzOTg3Myk=&amp;WINDOW=FIRST_POPUP&amp;HEIGHT=450&amp;WIDTH=450&amp;START_MA","XIMIZED=FALSE&amp;VAR:CALENDAR=US&amp;VAR:SYMBOL=BYD&amp;VAR:INDEX=0"}</definedName>
    <definedName name="_137__FDSAUDITLINK__" localSheetId="34"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30"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22"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14"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10"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37"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25"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17"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13"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9"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36"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32"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24"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16"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12"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35"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31"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23"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15"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11"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localSheetId="8"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7__FDSAUDITLINK__" hidden="1">{"fdsup://directions/FAT Viewer?action=UPDATE&amp;creator=factset&amp;DYN_ARGS=TRUE&amp;DOC_NAME=FAT:FQL_AUDITING_CLIENT_TEMPLATE.FAT&amp;display_string=Audit&amp;VAR:KEY=KVEPULQLCT&amp;VAR:QUERY=RkZfRU5UUlBSX1ZBTF9EQUlMWSgzOTg0NSk=&amp;WINDOW=FIRST_POPUP&amp;HEIGHT=450&amp;WIDTH=450&amp;START_MA","XIMIZED=FALSE&amp;VAR:CALENDAR=US&amp;VAR:SYMBOL=BYD&amp;VAR:INDEX=0"}</definedName>
    <definedName name="_138__FDSAUDITLINK__" localSheetId="34"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30"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22"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14"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10"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37"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25"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17"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13"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9"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36"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32"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24"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16"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12"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35"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31"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23"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15"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11"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localSheetId="8"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8__FDSAUDITLINK__" hidden="1">{"fdsup://directions/FAT Viewer?action=UPDATE&amp;creator=factset&amp;DYN_ARGS=TRUE&amp;DOC_NAME=FAT:FQL_AUDITING_CLIENT_TEMPLATE.FAT&amp;display_string=Audit&amp;VAR:KEY=WPAJQFIFML&amp;VAR:QUERY=RkZfRU5UUlBSX1ZBTF9EQUlMWSgzOTgxNCk=&amp;WINDOW=FIRST_POPUP&amp;HEIGHT=450&amp;WIDTH=450&amp;START_MA","XIMIZED=FALSE&amp;VAR:CALENDAR=US&amp;VAR:SYMBOL=BYD&amp;VAR:INDEX=0"}</definedName>
    <definedName name="_139__FDSAUDITLINK__" localSheetId="34"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30"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22"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14"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10"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37"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25"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17"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13"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9"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36"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32"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24"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16"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12"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35"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31"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23"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15"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11"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localSheetId="8"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39__FDSAUDITLINK__" hidden="1">{"fdsup://directions/FAT Viewer?action=UPDATE&amp;creator=factset&amp;DYN_ARGS=TRUE&amp;DOC_NAME=FAT:FQL_AUDITING_CLIENT_TEMPLATE.FAT&amp;display_string=Audit&amp;VAR:KEY=SPSDIPIRYP&amp;VAR:QUERY=RkZfRU5UUlBSX1ZBTF9EQUlMWSgzOTc4Myk=&amp;WINDOW=FIRST_POPUP&amp;HEIGHT=450&amp;WIDTH=450&amp;START_MA","XIMIZED=FALSE&amp;VAR:CALENDAR=US&amp;VAR:SYMBOL=BYD&amp;VAR:INDEX=0"}</definedName>
    <definedName name="_140__FDSAUDITLINK__" localSheetId="34"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30"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22"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14"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10"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37"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25"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17"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13"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9"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36"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32"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24"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16"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12"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35"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31"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23"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15"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11"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localSheetId="8"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0__FDSAUDITLINK__" hidden="1">{"fdsup://directions/FAT Viewer?action=UPDATE&amp;creator=factset&amp;DYN_ARGS=TRUE&amp;DOC_NAME=FAT:FQL_AUDITING_CLIENT_TEMPLATE.FAT&amp;display_string=Audit&amp;VAR:KEY=YPWPEBSVQN&amp;VAR:QUERY=RkZfRU5UUlBSX1ZBTF9EQUlMWSgzOTc1Myk=&amp;WINDOW=FIRST_POPUP&amp;HEIGHT=450&amp;WIDTH=450&amp;START_MA","XIMIZED=FALSE&amp;VAR:CALENDAR=US&amp;VAR:SYMBOL=BYD&amp;VAR:INDEX=0"}</definedName>
    <definedName name="_141__FDSAUDITLINK__" localSheetId="34"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30"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22"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14"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10"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37"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25"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17"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13"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9"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36"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32"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24"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16"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12"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35"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31"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23"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15"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11"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localSheetId="8"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1__FDSAUDITLINK__" hidden="1">{"fdsup://directions/FAT Viewer?action=UPDATE&amp;creator=factset&amp;DYN_ARGS=TRUE&amp;DOC_NAME=FAT:FQL_AUDITING_CLIENT_TEMPLATE.FAT&amp;display_string=Audit&amp;VAR:KEY=IBYHMFMTER&amp;VAR:QUERY=RkZfRU5UUlBSX1ZBTF9EQUlMWSgzOTcyMik=&amp;WINDOW=FIRST_POPUP&amp;HEIGHT=450&amp;WIDTH=450&amp;START_MA","XIMIZED=FALSE&amp;VAR:CALENDAR=US&amp;VAR:SYMBOL=BYD&amp;VAR:INDEX=0"}</definedName>
    <definedName name="_142__FDSAUDITLINK__" localSheetId="34"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30"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22"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14"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10"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37"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25"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17"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13"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9"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36"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32"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24"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16"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12"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35"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31"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23"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15"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11"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localSheetId="8"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2__FDSAUDITLINK__" hidden="1">{"fdsup://directions/FAT Viewer?action=UPDATE&amp;creator=factset&amp;DYN_ARGS=TRUE&amp;DOC_NAME=FAT:FQL_AUDITING_CLIENT_TEMPLATE.FAT&amp;display_string=Audit&amp;VAR:KEY=YZMROFYRUN&amp;VAR:QUERY=RkZfRU5UUlBSX1ZBTF9EQUlMWSgzOTY5Mik=&amp;WINDOW=FIRST_POPUP&amp;HEIGHT=450&amp;WIDTH=450&amp;START_MA","XIMIZED=FALSE&amp;VAR:CALENDAR=US&amp;VAR:SYMBOL=BYD&amp;VAR:INDEX=0"}</definedName>
    <definedName name="_143__FDSAUDITLINK__" localSheetId="34"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30"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22"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14"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10"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37"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25"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17"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13"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9"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36"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32"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24"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16"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12"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35"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31"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23"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15"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11"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localSheetId="8"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3__FDSAUDITLINK__" hidden="1">{"fdsup://directions/FAT Viewer?action=UPDATE&amp;creator=factset&amp;DYN_ARGS=TRUE&amp;DOC_NAME=FAT:FQL_AUDITING_CLIENT_TEMPLATE.FAT&amp;display_string=Audit&amp;VAR:KEY=YBWNQTGPYZ&amp;VAR:QUERY=RkZfRU5UUlBSX1ZBTF9EQUlMWSgzOTY2MSk=&amp;WINDOW=FIRST_POPUP&amp;HEIGHT=450&amp;WIDTH=450&amp;START_MA","XIMIZED=FALSE&amp;VAR:CALENDAR=US&amp;VAR:SYMBOL=BYD&amp;VAR:INDEX=0"}</definedName>
    <definedName name="_144__FDSAUDITLINK__" localSheetId="34"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30"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22"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14"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10"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37"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25"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17"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13"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9"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36"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32"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24"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16"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12"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35"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31"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23"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15"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11"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localSheetId="8"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4__FDSAUDITLINK__" hidden="1">{"fdsup://directions/FAT Viewer?action=UPDATE&amp;creator=factset&amp;DYN_ARGS=TRUE&amp;DOC_NAME=FAT:FQL_AUDITING_CLIENT_TEMPLATE.FAT&amp;display_string=Audit&amp;VAR:KEY=QZSXIVQVOP&amp;VAR:QUERY=RkZfRU5UUlBSX1ZBTF9EQUlMWSgzOTYzMCk=&amp;WINDOW=FIRST_POPUP&amp;HEIGHT=450&amp;WIDTH=450&amp;START_MA","XIMIZED=FALSE&amp;VAR:CALENDAR=US&amp;VAR:SYMBOL=BYD&amp;VAR:INDEX=0"}</definedName>
    <definedName name="_145__FDSAUDITLINK__" localSheetId="34"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30"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22"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14"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10"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37"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25"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17"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13"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9"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36"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32"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24"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16"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12"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35"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31"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23"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15"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11"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localSheetId="8"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5__FDSAUDITLINK__" hidden="1">{"fdsup://directions/FAT Viewer?action=UPDATE&amp;creator=factset&amp;DYN_ARGS=TRUE&amp;DOC_NAME=FAT:FQL_AUDITING_CLIENT_TEMPLATE.FAT&amp;display_string=Audit&amp;VAR:KEY=OPCJEPYPAL&amp;VAR:QUERY=RkZfRU5UUlBSX1ZBTF9EQUlMWSgzOTYwMCk=&amp;WINDOW=FIRST_POPUP&amp;HEIGHT=450&amp;WIDTH=450&amp;START_MA","XIMIZED=FALSE&amp;VAR:CALENDAR=US&amp;VAR:SYMBOL=BYD&amp;VAR:INDEX=0"}</definedName>
    <definedName name="_146__FDSAUDITLINK__" localSheetId="34"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30"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22"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14"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10"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37"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25"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17"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13"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9"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36"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32"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24"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16"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12"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35"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31"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23"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15"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11"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localSheetId="8"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6__FDSAUDITLINK__" hidden="1">{"fdsup://directions/FAT Viewer?action=UPDATE&amp;creator=factset&amp;DYN_ARGS=TRUE&amp;DOC_NAME=FAT:FQL_AUDITING_CLIENT_TEMPLATE.FAT&amp;display_string=Audit&amp;VAR:KEY=ALQLAHEFQB&amp;VAR:QUERY=RkZfRU5UUlBSX1ZBTF9EQUlMWSgzOTU2OSk=&amp;WINDOW=FIRST_POPUP&amp;HEIGHT=450&amp;WIDTH=450&amp;START_MA","XIMIZED=FALSE&amp;VAR:CALENDAR=US&amp;VAR:SYMBOL=BYD&amp;VAR:INDEX=0"}</definedName>
    <definedName name="_147__FDSAUDITLINK__" localSheetId="34"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30"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22"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14"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10"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37"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25"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17"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13"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9"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36"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32"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24"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16"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12"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35"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31"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23"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15"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11"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localSheetId="8"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7__FDSAUDITLINK__" hidden="1">{"fdsup://directions/FAT Viewer?action=UPDATE&amp;creator=factset&amp;DYN_ARGS=TRUE&amp;DOC_NAME=FAT:FQL_AUDITING_CLIENT_TEMPLATE.FAT&amp;display_string=Audit&amp;VAR:KEY=KDINSXAPID&amp;VAR:QUERY=RkZfRU5UUlBSX1ZBTF9EQUlMWSgzOTUzOSk=&amp;WINDOW=FIRST_POPUP&amp;HEIGHT=450&amp;WIDTH=450&amp;START_MA","XIMIZED=FALSE&amp;VAR:CALENDAR=US&amp;VAR:SYMBOL=BYD&amp;VAR:INDEX=0"}</definedName>
    <definedName name="_148__FDSAUDITLINK__" localSheetId="34"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30"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22"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14"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10"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37"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25"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17"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13"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9"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36"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32"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24"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16"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12"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35"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31"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23"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15"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11"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localSheetId="8"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8__FDSAUDITLINK__" hidden="1">{"fdsup://directions/FAT Viewer?action=UPDATE&amp;creator=factset&amp;DYN_ARGS=TRUE&amp;DOC_NAME=FAT:FQL_AUDITING_CLIENT_TEMPLATE.FAT&amp;display_string=Audit&amp;VAR:KEY=ETIHYRSFKB&amp;VAR:QUERY=RkZfRU5UUlBSX1ZBTF9EQUlMWSgzOTUwOCk=&amp;WINDOW=FIRST_POPUP&amp;HEIGHT=450&amp;WIDTH=450&amp;START_MA","XIMIZED=FALSE&amp;VAR:CALENDAR=US&amp;VAR:SYMBOL=BYD&amp;VAR:INDEX=0"}</definedName>
    <definedName name="_149__FDSAUDITLINK__" localSheetId="34"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30"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22"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14"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10"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37"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25"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17"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13"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9"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36"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32"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24"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16"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12"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35"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31"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23"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15"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11"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localSheetId="8"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49__FDSAUDITLINK__" hidden="1">{"fdsup://directions/FAT Viewer?action=UPDATE&amp;creator=factset&amp;DYN_ARGS=TRUE&amp;DOC_NAME=FAT:FQL_AUDITING_CLIENT_TEMPLATE.FAT&amp;display_string=Audit&amp;VAR:KEY=KHYZWHQJEH&amp;VAR:QUERY=RkZfRU5UUlBSX1ZBTF9EQUlMWSgzOTQ3OSk=&amp;WINDOW=FIRST_POPUP&amp;HEIGHT=450&amp;WIDTH=450&amp;START_MA","XIMIZED=FALSE&amp;VAR:CALENDAR=US&amp;VAR:SYMBOL=BYD&amp;VAR:INDEX=0"}</definedName>
    <definedName name="_150__FDSAUDITLINK__" localSheetId="34"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30"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22"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14"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10"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37"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25"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17"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13"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9"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36"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32"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24"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16"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12"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35"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31"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23"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15"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11"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localSheetId="8"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0__FDSAUDITLINK__" hidden="1">{"fdsup://directions/FAT Viewer?action=UPDATE&amp;creator=factset&amp;DYN_ARGS=TRUE&amp;DOC_NAME=FAT:FQL_AUDITING_CLIENT_TEMPLATE.FAT&amp;display_string=Audit&amp;VAR:KEY=SRCPCFONWH&amp;VAR:QUERY=RkZfRU5UUlBSX1ZBTF9EQUlMWSgzOTQ0OCk=&amp;WINDOW=FIRST_POPUP&amp;HEIGHT=450&amp;WIDTH=450&amp;START_MA","XIMIZED=FALSE&amp;VAR:CALENDAR=US&amp;VAR:SYMBOL=BYD&amp;VAR:INDEX=0"}</definedName>
    <definedName name="_151__FDSAUDITLINK__" localSheetId="34"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30"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22"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14"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10"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37"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25"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17"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13"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9"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36"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32"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24"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16"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12"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35"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31"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23"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15"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11"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localSheetId="8"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1__FDSAUDITLINK__" hidden="1">{"fdsup://directions/FAT Viewer?action=UPDATE&amp;creator=factset&amp;DYN_ARGS=TRUE&amp;DOC_NAME=FAT:FQL_AUDITING_CLIENT_TEMPLATE.FAT&amp;display_string=Audit&amp;VAR:KEY=AHSXGNWFEX&amp;VAR:QUERY=RkZfRU5UUlBSX1ZBTF9EQUlMWSgzOTQxNyk=&amp;WINDOW=FIRST_POPUP&amp;HEIGHT=450&amp;WIDTH=450&amp;START_MA","XIMIZED=FALSE&amp;VAR:CALENDAR=US&amp;VAR:SYMBOL=BYD&amp;VAR:INDEX=0"}</definedName>
    <definedName name="_152__FDSAUDITLINK__" localSheetId="34"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30"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22"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14"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10"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37"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25"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17"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13"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9"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36"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32"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24"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16"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12"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35"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31"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23"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15"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11"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localSheetId="8"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2__FDSAUDITLINK__" hidden="1">{"fdsup://directions/FAT Viewer?action=UPDATE&amp;creator=factset&amp;DYN_ARGS=TRUE&amp;DOC_NAME=FAT:FQL_AUDITING_CLIENT_TEMPLATE.FAT&amp;display_string=Audit&amp;VAR:KEY=EFEZGVKNGL&amp;VAR:QUERY=RkZfRU5UUlBSX1ZBTF9EQUlMWSgzOTM4Nyk=&amp;WINDOW=FIRST_POPUP&amp;HEIGHT=450&amp;WIDTH=450&amp;START_MA","XIMIZED=FALSE&amp;VAR:CALENDAR=US&amp;VAR:SYMBOL=BYD&amp;VAR:INDEX=0"}</definedName>
    <definedName name="_153__FDSAUDITLINK__" localSheetId="34"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30"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22"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14"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10"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37"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25"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17"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13"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9"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36"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32"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24"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16"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12"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35"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31"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23"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15"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11"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localSheetId="8"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3__FDSAUDITLINK__" hidden="1">{"fdsup://directions/FAT Viewer?action=UPDATE&amp;creator=factset&amp;DYN_ARGS=TRUE&amp;DOC_NAME=FAT:FQL_AUDITING_CLIENT_TEMPLATE.FAT&amp;display_string=Audit&amp;VAR:KEY=CVYBMLGXED&amp;VAR:QUERY=RkZfRU5UUlBSX1ZBTF9EQUlMWSgzOTM1Nik=&amp;WINDOW=FIRST_POPUP&amp;HEIGHT=450&amp;WIDTH=450&amp;START_MA","XIMIZED=FALSE&amp;VAR:CALENDAR=US&amp;VAR:SYMBOL=BYD&amp;VAR:INDEX=0"}</definedName>
    <definedName name="_154__FDSAUDITLINK__" localSheetId="34"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30"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22"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14"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10"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37"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25"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17"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13"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9"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36"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32"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24"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16"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12"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35"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31"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23"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15"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11"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localSheetId="8"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4__FDSAUDITLINK__" hidden="1">{"fdsup://directions/FAT Viewer?action=UPDATE&amp;creator=factset&amp;DYN_ARGS=TRUE&amp;DOC_NAME=FAT:FQL_AUDITING_CLIENT_TEMPLATE.FAT&amp;display_string=Audit&amp;VAR:KEY=OREJEXWDSN&amp;VAR:QUERY=RkZfRU5UUlBSX1ZBTF9EQUlMWSgzOTMyNik=&amp;WINDOW=FIRST_POPUP&amp;HEIGHT=450&amp;WIDTH=450&amp;START_MA","XIMIZED=FALSE&amp;VAR:CALENDAR=US&amp;VAR:SYMBOL=BYD&amp;VAR:INDEX=0"}</definedName>
    <definedName name="_155__FDSAUDITLINK__" localSheetId="34"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30"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22"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14"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10"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37"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25"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17"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13"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9"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36"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32"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24"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16"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12"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35"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31"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23"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15"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11"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localSheetId="8"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5__FDSAUDITLINK__" hidden="1">{"fdsup://directions/FAT Viewer?action=UPDATE&amp;creator=factset&amp;DYN_ARGS=TRUE&amp;DOC_NAME=FAT:FQL_AUDITING_CLIENT_TEMPLATE.FAT&amp;display_string=Audit&amp;VAR:KEY=KDOJAVOXWX&amp;VAR:QUERY=RkZfRU5UUlBSX1ZBTF9EQUlMWSgzOTI5NSk=&amp;WINDOW=FIRST_POPUP&amp;HEIGHT=450&amp;WIDTH=450&amp;START_MA","XIMIZED=FALSE&amp;VAR:CALENDAR=US&amp;VAR:SYMBOL=BYD&amp;VAR:INDEX=0"}</definedName>
    <definedName name="_156__FDSAUDITLINK__" localSheetId="34"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30"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22"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14"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10"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37"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25"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17"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13"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9"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36"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32"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24"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16"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12"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35"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31"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23"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15"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11"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localSheetId="8"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6__FDSAUDITLINK__" hidden="1">{"fdsup://directions/FAT Viewer?action=UPDATE&amp;creator=factset&amp;DYN_ARGS=TRUE&amp;DOC_NAME=FAT:FQL_AUDITING_CLIENT_TEMPLATE.FAT&amp;display_string=Audit&amp;VAR:KEY=CNEDSVIHID&amp;VAR:QUERY=RkZfRU5UUlBSX1ZBTF9EQUlMWSgzOTI2NCk=&amp;WINDOW=FIRST_POPUP&amp;HEIGHT=450&amp;WIDTH=450&amp;START_MA","XIMIZED=FALSE&amp;VAR:CALENDAR=US&amp;VAR:SYMBOL=BYD&amp;VAR:INDEX=0"}</definedName>
    <definedName name="_157__FDSAUDITLINK__" localSheetId="34"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30"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22"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14"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10"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37"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25"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17"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13"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9"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36"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32"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24"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16"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12"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35"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31"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23"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15"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11"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localSheetId="8"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7__FDSAUDITLINK__" hidden="1">{"fdsup://directions/FAT Viewer?action=UPDATE&amp;creator=factset&amp;DYN_ARGS=TRUE&amp;DOC_NAME=FAT:FQL_AUDITING_CLIENT_TEMPLATE.FAT&amp;display_string=Audit&amp;VAR:KEY=QDCLSTKJQJ&amp;VAR:QUERY=RkZfRU5UUlBSX1ZBTF9EQUlMWSgzOTIzNCk=&amp;WINDOW=FIRST_POPUP&amp;HEIGHT=450&amp;WIDTH=450&amp;START_MA","XIMIZED=FALSE&amp;VAR:CALENDAR=US&amp;VAR:SYMBOL=BYD&amp;VAR:INDEX=0"}</definedName>
    <definedName name="_158__FDSAUDITLINK__" localSheetId="34"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30"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22"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14"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10"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37"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25"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17"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13"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9"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36"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32"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24"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16"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12"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35"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31"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23"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15"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11"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localSheetId="8"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8__FDSAUDITLINK__" hidden="1">{"fdsup://directions/FAT Viewer?action=UPDATE&amp;creator=factset&amp;DYN_ARGS=TRUE&amp;DOC_NAME=FAT:FQL_AUDITING_CLIENT_TEMPLATE.FAT&amp;display_string=Audit&amp;VAR:KEY=ATMVUXSDMD&amp;VAR:QUERY=RkZfRU5UUlBSX1ZBTF9EQUlMWSgzOTIwMyk=&amp;WINDOW=FIRST_POPUP&amp;HEIGHT=450&amp;WIDTH=450&amp;START_MA","XIMIZED=FALSE&amp;VAR:CALENDAR=US&amp;VAR:SYMBOL=BYD&amp;VAR:INDEX=0"}</definedName>
    <definedName name="_159__FDSAUDITLINK__" localSheetId="34"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30"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22"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14"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10"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37"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25"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17"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13"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9"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36"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32"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24"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16"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12"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35"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31"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23"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15"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11"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localSheetId="8"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59__FDSAUDITLINK__" hidden="1">{"fdsup://directions/FAT Viewer?action=UPDATE&amp;creator=factset&amp;DYN_ARGS=TRUE&amp;DOC_NAME=FAT:FQL_AUDITING_CLIENT_TEMPLATE.FAT&amp;display_string=Audit&amp;VAR:KEY=EZAJQBEVGH&amp;VAR:QUERY=RkZfRU5UUlBSX1ZBTF9EQUlMWSgzOTE3Myk=&amp;WINDOW=FIRST_POPUP&amp;HEIGHT=450&amp;WIDTH=450&amp;START_MA","XIMIZED=FALSE&amp;VAR:CALENDAR=US&amp;VAR:SYMBOL=BYD&amp;VAR:INDEX=0"}</definedName>
    <definedName name="_160__FDSAUDITLINK__" localSheetId="34"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30"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22"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14"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10"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37"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25"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17"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13"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9"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36"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32"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24"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16"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12"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35"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31"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23"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15"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11"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localSheetId="8"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0__FDSAUDITLINK__" hidden="1">{"fdsup://directions/FAT Viewer?action=UPDATE&amp;creator=factset&amp;DYN_ARGS=TRUE&amp;DOC_NAME=FAT:FQL_AUDITING_CLIENT_TEMPLATE.FAT&amp;display_string=Audit&amp;VAR:KEY=SXWHSHIHMJ&amp;VAR:QUERY=RkZfRU5UUlBSX1ZBTF9EQUlMWSgzOTE0Mik=&amp;WINDOW=FIRST_POPUP&amp;HEIGHT=450&amp;WIDTH=450&amp;START_MA","XIMIZED=FALSE&amp;VAR:CALENDAR=US&amp;VAR:SYMBOL=BYD&amp;VAR:INDEX=0"}</definedName>
    <definedName name="_161__FDSAUDITLINK__" localSheetId="34"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30"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22"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14"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10"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37"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25"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17"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13"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9"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36"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32"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24"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16"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12"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35"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31"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23"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15"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11"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localSheetId="8"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1__FDSAUDITLINK__" hidden="1">{"fdsup://directions/FAT Viewer?action=UPDATE&amp;creator=factset&amp;DYN_ARGS=TRUE&amp;DOC_NAME=FAT:FQL_AUDITING_CLIENT_TEMPLATE.FAT&amp;display_string=Audit&amp;VAR:KEY=KJGBKTGPGH&amp;VAR:QUERY=RkZfRU5UUlBSX1ZBTF9EQUlMWSgzOTExNCk=&amp;WINDOW=FIRST_POPUP&amp;HEIGHT=450&amp;WIDTH=450&amp;START_MA","XIMIZED=FALSE&amp;VAR:CALENDAR=US&amp;VAR:SYMBOL=BYD&amp;VAR:INDEX=0"}</definedName>
    <definedName name="_162__FDSAUDITLINK__" localSheetId="34"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30"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22"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14"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10"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37"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25"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17"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13"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9"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36"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32"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24"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16"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12"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35"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31"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23"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15"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11"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localSheetId="8"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2__FDSAUDITLINK__" hidden="1">{"fdsup://directions/FAT Viewer?action=UPDATE&amp;creator=factset&amp;DYN_ARGS=TRUE&amp;DOC_NAME=FAT:FQL_AUDITING_CLIENT_TEMPLATE.FAT&amp;display_string=Audit&amp;VAR:KEY=ERUJSFAZKD&amp;VAR:QUERY=RkZfRU5UUlBSX1ZBTF9EQUlMWSgzOTA4Myk=&amp;WINDOW=FIRST_POPUP&amp;HEIGHT=450&amp;WIDTH=450&amp;START_MA","XIMIZED=FALSE&amp;VAR:CALENDAR=US&amp;VAR:SYMBOL=BYD&amp;VAR:INDEX=0"}</definedName>
    <definedName name="_163__FDSAUDITLINK__" localSheetId="34"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30"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22"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14"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10"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37"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25"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17"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13"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9"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36"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32"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24"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16"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12"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35"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31"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23"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15"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11"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localSheetId="8"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3__FDSAUDITLINK__" hidden="1">{"fdsup://directions/FAT Viewer?action=UPDATE&amp;creator=factset&amp;DYN_ARGS=TRUE&amp;DOC_NAME=FAT:FQL_AUDITING_CLIENT_TEMPLATE.FAT&amp;display_string=Audit&amp;VAR:KEY=CNUXIPOZYV&amp;VAR:QUERY=RkZfRU5UUlBSX1ZBTF9EQUlMWSgzOTA1Mik=&amp;WINDOW=FIRST_POPUP&amp;HEIGHT=450&amp;WIDTH=450&amp;START_MA","XIMIZED=FALSE&amp;VAR:CALENDAR=US&amp;VAR:SYMBOL=BYD&amp;VAR:INDEX=0"}</definedName>
    <definedName name="_164__FDSAUDITLINK__" localSheetId="34"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30"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22"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14"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10"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37"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25"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17"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13"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9"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36"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32"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24"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16"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12"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35"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31"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23"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15"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11"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localSheetId="8"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4__FDSAUDITLINK__" hidden="1">{"fdsup://directions/FAT Viewer?action=UPDATE&amp;creator=factset&amp;DYN_ARGS=TRUE&amp;DOC_NAME=FAT:FQL_AUDITING_CLIENT_TEMPLATE.FAT&amp;display_string=Audit&amp;VAR:KEY=IBOBGTSBYR&amp;VAR:QUERY=RkZfRU5UUlBSX1ZBTF9EQUlMWSgzOTAyMik=&amp;WINDOW=FIRST_POPUP&amp;HEIGHT=450&amp;WIDTH=450&amp;START_MA","XIMIZED=FALSE&amp;VAR:CALENDAR=US&amp;VAR:SYMBOL=BYD&amp;VAR:INDEX=0"}</definedName>
    <definedName name="_165__FDSAUDITLINK__" localSheetId="34"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30"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22"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14"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10"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37"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25"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17"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13"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9"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36"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32"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24"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16"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12"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35"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31"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23"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15"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11"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localSheetId="8"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5__FDSAUDITLINK__" hidden="1">{"fdsup://directions/FAT Viewer?action=UPDATE&amp;creator=factset&amp;DYN_ARGS=TRUE&amp;DOC_NAME=FAT:FQL_AUDITING_CLIENT_TEMPLATE.FAT&amp;display_string=Audit&amp;VAR:KEY=WPYTKBEXWT&amp;VAR:QUERY=RkZfRU5UUlBSX1ZBTF9EQUlMWSgzODk5MSk=&amp;WINDOW=FIRST_POPUP&amp;HEIGHT=450&amp;WIDTH=450&amp;START_MA","XIMIZED=FALSE&amp;VAR:CALENDAR=US&amp;VAR:SYMBOL=BYD&amp;VAR:INDEX=0"}</definedName>
    <definedName name="_166__FDSAUDITLINK__" localSheetId="34"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30"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22"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14"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10"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37"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25"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17"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13"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9"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36"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32"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24"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16"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12"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35"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31"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23"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15"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11"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localSheetId="8"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6__FDSAUDITLINK__" hidden="1">{"fdsup://directions/FAT Viewer?action=UPDATE&amp;creator=factset&amp;DYN_ARGS=TRUE&amp;DOC_NAME=FAT:FQL_AUDITING_CLIENT_TEMPLATE.FAT&amp;display_string=Audit&amp;VAR:KEY=OFMTETWRUL&amp;VAR:QUERY=RkZfRU5UUlBSX1ZBTF9EQUlMWSgzODk2MSk=&amp;WINDOW=FIRST_POPUP&amp;HEIGHT=450&amp;WIDTH=450&amp;START_MA","XIMIZED=FALSE&amp;VAR:CALENDAR=US&amp;VAR:SYMBOL=BYD&amp;VAR:INDEX=0"}</definedName>
    <definedName name="_167__FDSAUDITLINK__" localSheetId="34"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30"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22"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14"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10"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37"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25"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17"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13"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9"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36"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32"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24"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16"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12"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35"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31"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23"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15"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11"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localSheetId="8"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7__FDSAUDITLINK__" hidden="1">{"fdsup://directions/FAT Viewer?action=UPDATE&amp;creator=factset&amp;DYN_ARGS=TRUE&amp;DOC_NAME=FAT:FQL_AUDITING_CLIENT_TEMPLATE.FAT&amp;display_string=Audit&amp;VAR:KEY=SZIFADCRQL&amp;VAR:QUERY=RkZfRU5UUlBSX1ZBTF9EQUlMWSgzODkzMCk=&amp;WINDOW=FIRST_POPUP&amp;HEIGHT=450&amp;WIDTH=450&amp;START_MA","XIMIZED=FALSE&amp;VAR:CALENDAR=US&amp;VAR:SYMBOL=BYD&amp;VAR:INDEX=0"}</definedName>
    <definedName name="_168__FDSAUDITLINK__" localSheetId="34"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30"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22"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14"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10"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37"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25"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17"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13"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9"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36"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32"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24"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16"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12"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35"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31"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23"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15"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11"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localSheetId="8"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8__FDSAUDITLINK__" hidden="1">{"fdsup://directions/FAT Viewer?action=UPDATE&amp;creator=factset&amp;DYN_ARGS=TRUE&amp;DOC_NAME=FAT:FQL_AUDITING_CLIENT_TEMPLATE.FAT&amp;display_string=Audit&amp;VAR:KEY=ABEXERUZQH&amp;VAR:QUERY=RkZfRU5UUlBSX1ZBTF9EQUlMWSgzODg5OSk=&amp;WINDOW=FIRST_POPUP&amp;HEIGHT=450&amp;WIDTH=450&amp;START_MA","XIMIZED=FALSE&amp;VAR:CALENDAR=US&amp;VAR:SYMBOL=BYD&amp;VAR:INDEX=0"}</definedName>
    <definedName name="_169__FDSAUDITLINK__" localSheetId="34"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30"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22"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14"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10"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37"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25"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17"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13"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9"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36"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32"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24"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16"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12"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35"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31"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23"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15"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11"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localSheetId="8"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69__FDSAUDITLINK__" hidden="1">{"fdsup://directions/FAT Viewer?action=UPDATE&amp;creator=factset&amp;DYN_ARGS=TRUE&amp;DOC_NAME=FAT:FQL_AUDITING_CLIENT_TEMPLATE.FAT&amp;display_string=Audit&amp;VAR:KEY=SDCTMPEHCR&amp;VAR:QUERY=RkZfRU5UUlBSX1ZBTF9EQUlMWSgzODg2OSk=&amp;WINDOW=FIRST_POPUP&amp;HEIGHT=450&amp;WIDTH=450&amp;START_MA","XIMIZED=FALSE&amp;VAR:CALENDAR=US&amp;VAR:SYMBOL=BYD&amp;VAR:INDEX=0"}</definedName>
    <definedName name="_170__FDSAUDITLINK__" localSheetId="34"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30"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22"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14"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10"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37"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25"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17"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13"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9"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36"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32"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24"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16"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12"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35"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31"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23"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15"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11"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localSheetId="8"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0__FDSAUDITLINK__" hidden="1">{"fdsup://directions/FAT Viewer?action=UPDATE&amp;creator=factset&amp;DYN_ARGS=TRUE&amp;DOC_NAME=FAT:FQL_AUDITING_CLIENT_TEMPLATE.FAT&amp;display_string=Audit&amp;VAR:KEY=MFUXMVALYZ&amp;VAR:QUERY=RkZfRU5UUlBSX1ZBTF9EQUlMWSgzODgzOCk=&amp;WINDOW=FIRST_POPUP&amp;HEIGHT=450&amp;WIDTH=450&amp;START_MA","XIMIZED=FALSE&amp;VAR:CALENDAR=US&amp;VAR:SYMBOL=BYD&amp;VAR:INDEX=0"}</definedName>
    <definedName name="_171__FDSAUDITLINK__" localSheetId="34"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30"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22"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14"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10"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37"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25"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17"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13"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9"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36"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32"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24"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16"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12"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35"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31"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23"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15"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11"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localSheetId="8"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1__FDSAUDITLINK__" hidden="1">{"fdsup://directions/FAT Viewer?action=UPDATE&amp;creator=factset&amp;DYN_ARGS=TRUE&amp;DOC_NAME=FAT:FQL_AUDITING_CLIENT_TEMPLATE.FAT&amp;display_string=Audit&amp;VAR:KEY=WDSRYHAJKT&amp;VAR:QUERY=RkZfRU5UUlBSX1ZBTF9EQUlMWSgzODgwOCk=&amp;WINDOW=FIRST_POPUP&amp;HEIGHT=450&amp;WIDTH=450&amp;START_MA","XIMIZED=FALSE&amp;VAR:CALENDAR=US&amp;VAR:SYMBOL=BYD&amp;VAR:INDEX=0"}</definedName>
    <definedName name="_172__FDSAUDITLINK__" localSheetId="34"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30"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22"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14"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10"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37"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25"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17"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13"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9"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36"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32"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24"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16"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12"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35"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31"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23"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15"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11"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localSheetId="8"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2__FDSAUDITLINK__" hidden="1">{"fdsup://directions/FAT Viewer?action=UPDATE&amp;creator=factset&amp;DYN_ARGS=TRUE&amp;DOC_NAME=FAT:FQL_AUDITING_CLIENT_TEMPLATE.FAT&amp;display_string=Audit&amp;VAR:KEY=CBCBCVSJSP&amp;VAR:QUERY=RkZfRU5UUlBSX1ZBTF9EQUlMWSgzODc3Nyk=&amp;WINDOW=FIRST_POPUP&amp;HEIGHT=450&amp;WIDTH=450&amp;START_MA","XIMIZED=FALSE&amp;VAR:CALENDAR=US&amp;VAR:SYMBOL=BYD&amp;VAR:INDEX=0"}</definedName>
    <definedName name="_173__FDSAUDITLINK__" localSheetId="34"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30"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22"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14"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10"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37"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25"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17"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13"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9"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36"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32"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24"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16"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12"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35"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31"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23"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15"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11"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localSheetId="8"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3__FDSAUDITLINK__" hidden="1">{"fdsup://directions/FAT Viewer?action=UPDATE&amp;creator=factset&amp;DYN_ARGS=TRUE&amp;DOC_NAME=FAT:FQL_AUDITING_CLIENT_TEMPLATE.FAT&amp;display_string=Audit&amp;VAR:KEY=MBEVAVMBKX&amp;VAR:QUERY=RkZfRU5UUlBSX1ZBTF9EQUlMWSgzODc0OSk=&amp;WINDOW=FIRST_POPUP&amp;HEIGHT=450&amp;WIDTH=450&amp;START_MA","XIMIZED=FALSE&amp;VAR:CALENDAR=US&amp;VAR:SYMBOL=BYD&amp;VAR:INDEX=0"}</definedName>
    <definedName name="_174__FDSAUDITLINK__" localSheetId="34"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30"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22"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14"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10"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37"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25"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17"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13"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9"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36"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32"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24"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16"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12"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35"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31"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23"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15"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11"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localSheetId="8"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4__FDSAUDITLINK__" hidden="1">{"fdsup://directions/FAT Viewer?action=UPDATE&amp;creator=factset&amp;DYN_ARGS=TRUE&amp;DOC_NAME=FAT:FQL_AUDITING_CLIENT_TEMPLATE.FAT&amp;display_string=Audit&amp;VAR:KEY=OVEFKPEBWL&amp;VAR:QUERY=RkZfRU5UUlBSX1ZBTF9EQUlMWSgzODcxOCk=&amp;WINDOW=FIRST_POPUP&amp;HEIGHT=450&amp;WIDTH=450&amp;START_MA","XIMIZED=FALSE&amp;VAR:CALENDAR=US&amp;VAR:SYMBOL=BYD&amp;VAR:INDEX=0"}</definedName>
    <definedName name="_175__FDSAUDITLINK__" localSheetId="34"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30"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22"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14"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10"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37"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25"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17"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13"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9"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36"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32"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24"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16"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12"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35"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31"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23"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15"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11"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localSheetId="8"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5__FDSAUDITLINK__" hidden="1">{"fdsup://directions/FAT Viewer?action=UPDATE&amp;creator=factset&amp;DYN_ARGS=TRUE&amp;DOC_NAME=FAT:FQL_AUDITING_CLIENT_TEMPLATE.FAT&amp;display_string=Audit&amp;VAR:KEY=YVURORUXYN&amp;VAR:QUERY=RkZfRU5UUlBSX1ZBTF9EQUlMWSgzODY4Nyk=&amp;WINDOW=FIRST_POPUP&amp;HEIGHT=450&amp;WIDTH=450&amp;START_MA","XIMIZED=FALSE&amp;VAR:CALENDAR=US&amp;VAR:SYMBOL=BYD&amp;VAR:INDEX=0"}</definedName>
    <definedName name="_176__FDSAUDITLINK__" localSheetId="34"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30"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22"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14"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10"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37"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25"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17"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13"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9"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36"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32"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24"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16"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12"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35"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31"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23"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15"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11"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localSheetId="8"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6__FDSAUDITLINK__" hidden="1">{"fdsup://directions/FAT Viewer?action=UPDATE&amp;creator=factset&amp;DYN_ARGS=TRUE&amp;DOC_NAME=FAT:FQL_AUDITING_CLIENT_TEMPLATE.FAT&amp;display_string=Audit&amp;VAR:KEY=SLSHITIPMZ&amp;VAR:QUERY=RkZfRU5UUlBSX1ZBTF9EQUlMWSgzODY1Nyk=&amp;WINDOW=FIRST_POPUP&amp;HEIGHT=450&amp;WIDTH=450&amp;START_MA","XIMIZED=FALSE&amp;VAR:CALENDAR=US&amp;VAR:SYMBOL=BYD&amp;VAR:INDEX=0"}</definedName>
    <definedName name="_177__FDSAUDITLINK__" localSheetId="34"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30"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22"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14"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10"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37"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25"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17"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13"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9"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36"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32"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24"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16"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12"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35"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31"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23"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15"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11"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localSheetId="8"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7__FDSAUDITLINK__" hidden="1">{"fdsup://directions/FAT Viewer?action=UPDATE&amp;creator=factset&amp;DYN_ARGS=TRUE&amp;DOC_NAME=FAT:FQL_AUDITING_CLIENT_TEMPLATE.FAT&amp;display_string=Audit&amp;VAR:KEY=ONOZYLCPEV&amp;VAR:QUERY=RkZfRU5UUlBSX1ZBTF9EQUlMWSgzODYyNik=&amp;WINDOW=FIRST_POPUP&amp;HEIGHT=450&amp;WIDTH=450&amp;START_MA","XIMIZED=FALSE&amp;VAR:CALENDAR=US&amp;VAR:SYMBOL=BYD&amp;VAR:INDEX=0"}</definedName>
    <definedName name="_178__FDSAUDITLINK__" localSheetId="34"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30"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22"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14"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10"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37"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25"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17"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13"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9"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36"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32"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24"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16"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12"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35"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31"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23"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15"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11"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localSheetId="8"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8__FDSAUDITLINK__" hidden="1">{"fdsup://directions/FAT Viewer?action=UPDATE&amp;creator=factset&amp;DYN_ARGS=TRUE&amp;DOC_NAME=FAT:FQL_AUDITING_CLIENT_TEMPLATE.FAT&amp;display_string=Audit&amp;VAR:KEY=ANKJEXWLWL&amp;VAR:QUERY=RkZfRU5UUlBSX1ZBTF9EQUlMWSgzODU5Nik=&amp;WINDOW=FIRST_POPUP&amp;HEIGHT=450&amp;WIDTH=450&amp;START_MA","XIMIZED=FALSE&amp;VAR:CALENDAR=US&amp;VAR:SYMBOL=BYD&amp;VAR:INDEX=0"}</definedName>
    <definedName name="_179__FDSAUDITLINK__" localSheetId="34"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30"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22"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14"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10"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37"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25"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17"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13"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9"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36"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32"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24"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16"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12"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35"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31"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23"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15"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11"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localSheetId="8"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79__FDSAUDITLINK__" hidden="1">{"fdsup://directions/FAT Viewer?action=UPDATE&amp;creator=factset&amp;DYN_ARGS=TRUE&amp;DOC_NAME=FAT:FQL_AUDITING_CLIENT_TEMPLATE.FAT&amp;display_string=Audit&amp;VAR:KEY=SNILWJYBGJ&amp;VAR:QUERY=RkZfRU5UUlBSX1ZBTF9EQUlMWSgzODU2NSk=&amp;WINDOW=FIRST_POPUP&amp;HEIGHT=450&amp;WIDTH=450&amp;START_MA","XIMIZED=FALSE&amp;VAR:CALENDAR=US&amp;VAR:SYMBOL=BYD&amp;VAR:INDEX=0"}</definedName>
    <definedName name="_180__FDSAUDITLINK__" localSheetId="34"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30"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22"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14"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10"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37"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25"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17"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13"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9"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36"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32"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24"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16"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12"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35"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31"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23"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15"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11"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localSheetId="8"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0__FDSAUDITLINK__" hidden="1">{"fdsup://directions/FAT Viewer?action=UPDATE&amp;creator=factset&amp;DYN_ARGS=TRUE&amp;DOC_NAME=FAT:FQL_AUDITING_CLIENT_TEMPLATE.FAT&amp;display_string=Audit&amp;VAR:KEY=WNKRAFIPYH&amp;VAR:QUERY=RkZfRU5UUlBSX1ZBTF9EQUlMWSgzODUzNCk=&amp;WINDOW=FIRST_POPUP&amp;HEIGHT=450&amp;WIDTH=450&amp;START_MA","XIMIZED=FALSE&amp;VAR:CALENDAR=US&amp;VAR:SYMBOL=BYD&amp;VAR:INDEX=0"}</definedName>
    <definedName name="_181__FDSAUDITLINK__" localSheetId="34"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30"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22"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14"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10"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37"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25"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17"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13"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9"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36"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32"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24"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16"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12"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35"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31"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23"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15"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11"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localSheetId="8"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1__FDSAUDITLINK__" hidden="1">{"fdsup://directions/FAT Viewer?action=UPDATE&amp;creator=factset&amp;DYN_ARGS=TRUE&amp;DOC_NAME=FAT:FQL_AUDITING_CLIENT_TEMPLATE.FAT&amp;display_string=Audit&amp;VAR:KEY=ITQNMHUTOD&amp;VAR:QUERY=RkZfRU5UUlBSX1ZBTF9EQUlMWSgzODUwNCk=&amp;WINDOW=FIRST_POPUP&amp;HEIGHT=450&amp;WIDTH=450&amp;START_MA","XIMIZED=FALSE&amp;VAR:CALENDAR=US&amp;VAR:SYMBOL=BYD&amp;VAR:INDEX=0"}</definedName>
    <definedName name="_182__FDSAUDITLINK__" localSheetId="34"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30"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22"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14"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10"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37"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25"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17"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13"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9"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36"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32"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24"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16"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12"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35"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31"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23"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15"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11"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localSheetId="8"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2__FDSAUDITLINK__" hidden="1">{"fdsup://directions/FAT Viewer?action=UPDATE&amp;creator=factset&amp;DYN_ARGS=TRUE&amp;DOC_NAME=FAT:FQL_AUDITING_CLIENT_TEMPLATE.FAT&amp;display_string=Audit&amp;VAR:KEY=QTOBWJMJKZ&amp;VAR:QUERY=RkZfRU5UUlBSX1ZBTF9EQUlMWSgzODQ3Myk=&amp;WINDOW=FIRST_POPUP&amp;HEIGHT=450&amp;WIDTH=450&amp;START_MA","XIMIZED=FALSE&amp;VAR:CALENDAR=US&amp;VAR:SYMBOL=BYD&amp;VAR:INDEX=0"}</definedName>
    <definedName name="_183__FDSAUDITLINK__" localSheetId="34"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30"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22"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14"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10"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37"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25"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17"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13"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9"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36"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32"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24"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16"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12"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35"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31"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23"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15"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11"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localSheetId="8"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3__FDSAUDITLINK__" hidden="1">{"fdsup://directions/FAT Viewer?action=UPDATE&amp;creator=factset&amp;DYN_ARGS=TRUE&amp;DOC_NAME=FAT:FQL_AUDITING_CLIENT_TEMPLATE.FAT&amp;display_string=Audit&amp;VAR:KEY=OFCDGFKTYF&amp;VAR:QUERY=RkZfRU5UUlBSX1ZBTF9EQUlMWSgzODQ0Myk=&amp;WINDOW=FIRST_POPUP&amp;HEIGHT=450&amp;WIDTH=450&amp;START_MA","XIMIZED=FALSE&amp;VAR:CALENDAR=US&amp;VAR:SYMBOL=BYD&amp;VAR:INDEX=0"}</definedName>
    <definedName name="_184__FDSAUDITLINK__" localSheetId="34"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30"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22"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14"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10"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37"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25"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17"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13"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9"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36"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32"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24"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16"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12"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35"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31"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23"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15"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11"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localSheetId="8"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4__FDSAUDITLINK__" hidden="1">{"fdsup://directions/FAT Viewer?action=UPDATE&amp;creator=factset&amp;DYN_ARGS=TRUE&amp;DOC_NAME=FAT:FQL_AUDITING_CLIENT_TEMPLATE.FAT&amp;display_string=Audit&amp;VAR:KEY=MNKRGNYVCH&amp;VAR:QUERY=RkZfRU5UUlBSX1ZBTF9EQUlMWSgzODQxMik=&amp;WINDOW=FIRST_POPUP&amp;HEIGHT=450&amp;WIDTH=450&amp;START_MA","XIMIZED=FALSE&amp;VAR:CALENDAR=US&amp;VAR:SYMBOL=BYD&amp;VAR:INDEX=0"}</definedName>
    <definedName name="_185__FDSAUDITLINK__" localSheetId="34"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30"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22"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14"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10"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37"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25"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17"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13"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9"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36"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32"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24"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16"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12"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35"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31"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23"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15"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11"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localSheetId="8"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5__FDSAUDITLINK__" hidden="1">{"fdsup://directions/FAT Viewer?action=UPDATE&amp;creator=factset&amp;DYN_ARGS=TRUE&amp;DOC_NAME=FAT:FQL_AUDITING_CLIENT_TEMPLATE.FAT&amp;display_string=Audit&amp;VAR:KEY=ABYZMJILGR&amp;VAR:QUERY=RkZfRU5UUlBSX1ZBTF9EQUlMWSgzODM4NCk=&amp;WINDOW=FIRST_POPUP&amp;HEIGHT=450&amp;WIDTH=450&amp;START_MA","XIMIZED=FALSE&amp;VAR:CALENDAR=US&amp;VAR:SYMBOL=BYD&amp;VAR:INDEX=0"}</definedName>
    <definedName name="_186__FDSAUDITLINK__" localSheetId="34"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30"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22"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14"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10"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37"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25"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17"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13"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9"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36"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32"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24"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16"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12"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35"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31"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23"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15"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11"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localSheetId="8"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6__FDSAUDITLINK__" hidden="1">{"fdsup://directions/FAT Viewer?action=UPDATE&amp;creator=factset&amp;DYN_ARGS=TRUE&amp;DOC_NAME=FAT:FQL_AUDITING_CLIENT_TEMPLATE.FAT&amp;display_string=Audit&amp;VAR:KEY=CVUXETEXAL&amp;VAR:QUERY=RkZfRU5UUlBSX1ZBTF9EQUlMWSgzODM1Myk=&amp;WINDOW=FIRST_POPUP&amp;HEIGHT=450&amp;WIDTH=450&amp;START_MA","XIMIZED=FALSE&amp;VAR:CALENDAR=US&amp;VAR:SYMBOL=BYD&amp;VAR:INDEX=0"}</definedName>
    <definedName name="_187__FDSAUDITLINK__" localSheetId="34"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30"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22"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14"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10"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37"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25"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17"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13"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9"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36"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32"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24"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16"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12"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35"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31"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23"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15"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11"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localSheetId="8"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7__FDSAUDITLINK__" hidden="1">{"fdsup://directions/FAT Viewer?action=UPDATE&amp;creator=factset&amp;DYN_ARGS=TRUE&amp;DOC_NAME=FAT:FQL_AUDITING_CLIENT_TEMPLATE.FAT&amp;display_string=Audit&amp;VAR:KEY=ILGTETMBMD&amp;VAR:QUERY=RkZfRU5UUlBSX1ZBTF9EQUlMWSgzODMyMik=&amp;WINDOW=FIRST_POPUP&amp;HEIGHT=450&amp;WIDTH=450&amp;START_MA","XIMIZED=FALSE&amp;VAR:CALENDAR=US&amp;VAR:SYMBOL=BYD&amp;VAR:INDEX=0"}</definedName>
    <definedName name="_188__FDSAUDITLINK__" localSheetId="34"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30"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22"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14"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10"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37"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25"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17"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13"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9"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36"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32"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24"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16"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12"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35"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31"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23"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15"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11"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localSheetId="8"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8__FDSAUDITLINK__" hidden="1">{"fdsup://directions/FAT Viewer?action=UPDATE&amp;creator=factset&amp;DYN_ARGS=TRUE&amp;DOC_NAME=FAT:FQL_AUDITING_CLIENT_TEMPLATE.FAT&amp;display_string=Audit&amp;VAR:KEY=MRIHEJAVOT&amp;VAR:QUERY=RkZfRU5UUlBSX1ZBTF9EQUlMWSgzODI5Mik=&amp;WINDOW=FIRST_POPUP&amp;HEIGHT=450&amp;WIDTH=450&amp;START_MA","XIMIZED=FALSE&amp;VAR:CALENDAR=US&amp;VAR:SYMBOL=BYD&amp;VAR:INDEX=0"}</definedName>
    <definedName name="_189__FDSAUDITLINK__" localSheetId="34"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30"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22"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14"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10"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37"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25"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17"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13"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9"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36"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32"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24"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16"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12"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35"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31"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23"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15"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11"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localSheetId="8"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89__FDSAUDITLINK__" hidden="1">{"fdsup://directions/FAT Viewer?action=UPDATE&amp;creator=factset&amp;DYN_ARGS=TRUE&amp;DOC_NAME=FAT:FQL_AUDITING_CLIENT_TEMPLATE.FAT&amp;display_string=Audit&amp;VAR:KEY=OXCFYVUTMF&amp;VAR:QUERY=RkZfRU5UUlBSX1ZBTF9EQUlMWSgzODI2MSk=&amp;WINDOW=FIRST_POPUP&amp;HEIGHT=450&amp;WIDTH=450&amp;START_MA","XIMIZED=FALSE&amp;VAR:CALENDAR=US&amp;VAR:SYMBOL=BYD&amp;VAR:INDEX=0"}</definedName>
    <definedName name="_190__FDSAUDITLINK__" localSheetId="34"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30"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22"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14"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10"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37"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25"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17"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13"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9"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36"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32"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24"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16"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12"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35"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31"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23"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15"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11"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localSheetId="8"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0__FDSAUDITLINK__" hidden="1">{"fdsup://directions/FAT Viewer?action=UPDATE&amp;creator=factset&amp;DYN_ARGS=TRUE&amp;DOC_NAME=FAT:FQL_AUDITING_CLIENT_TEMPLATE.FAT&amp;display_string=Audit&amp;VAR:KEY=ONGBEBELYN&amp;VAR:QUERY=RkZfRU5UUlBSX1ZBTF9EQUlMWSgzODIzMSk=&amp;WINDOW=FIRST_POPUP&amp;HEIGHT=450&amp;WIDTH=450&amp;START_MA","XIMIZED=FALSE&amp;VAR:CALENDAR=US&amp;VAR:SYMBOL=BYD&amp;VAR:INDEX=0"}</definedName>
    <definedName name="_191__FDSAUDITLINK__" localSheetId="34"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30"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22"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14"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10"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37"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25"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17"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13"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9"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36"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32"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24"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16"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12"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35"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31"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23"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15"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11"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localSheetId="8"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1__FDSAUDITLINK__" hidden="1">{"fdsup://directions/FAT Viewer?action=UPDATE&amp;creator=factset&amp;DYN_ARGS=TRUE&amp;DOC_NAME=FAT:FQL_AUDITING_CLIENT_TEMPLATE.FAT&amp;display_string=Audit&amp;VAR:KEY=CHMFYZEDGR&amp;VAR:QUERY=RkZfRU5UUlBSX1ZBTF9EQUlMWSgzODIwMCk=&amp;WINDOW=FIRST_POPUP&amp;HEIGHT=450&amp;WIDTH=450&amp;START_MA","XIMIZED=FALSE&amp;VAR:CALENDAR=US&amp;VAR:SYMBOL=BYD&amp;VAR:INDEX=0"}</definedName>
    <definedName name="_192__FDSAUDITLINK__" localSheetId="34"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30"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22"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14"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10"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37"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25"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17"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13"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9"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36"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32"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24"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16"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12"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35"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31"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23"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15"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11"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localSheetId="8"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2__FDSAUDITLINK__" hidden="1">{"fdsup://directions/FAT Viewer?action=UPDATE&amp;creator=factset&amp;DYN_ARGS=TRUE&amp;DOC_NAME=FAT:FQL_AUDITING_CLIENT_TEMPLATE.FAT&amp;display_string=Audit&amp;VAR:KEY=MFUJGZYHOF&amp;VAR:QUERY=RkZfRU5UUlBSX1ZBTF9EQUlMWSgzODE2OSk=&amp;WINDOW=FIRST_POPUP&amp;HEIGHT=450&amp;WIDTH=450&amp;START_MA","XIMIZED=FALSE&amp;VAR:CALENDAR=US&amp;VAR:SYMBOL=BYD&amp;VAR:INDEX=0"}</definedName>
    <definedName name="_193__FDSAUDITLINK__" localSheetId="34"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30"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22"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14"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10"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37"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25"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17"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13"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9"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36"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32"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24"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16"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12"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35"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31"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23"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15"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11"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localSheetId="8"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3__FDSAUDITLINK__" hidden="1">{"fdsup://directions/FAT Viewer?action=UPDATE&amp;creator=factset&amp;DYN_ARGS=TRUE&amp;DOC_NAME=FAT:FQL_AUDITING_CLIENT_TEMPLATE.FAT&amp;display_string=Audit&amp;VAR:KEY=GLGJMXUHGH&amp;VAR:QUERY=RkZfRU5UUlBSX1ZBTF9EQUlMWSgzODEzOSk=&amp;WINDOW=FIRST_POPUP&amp;HEIGHT=450&amp;WIDTH=450&amp;START_MA","XIMIZED=FALSE&amp;VAR:CALENDAR=US&amp;VAR:SYMBOL=BYD&amp;VAR:INDEX=0"}</definedName>
    <definedName name="_194__FDSAUDITLINK__" localSheetId="34"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30"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22"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14"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10"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37"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25"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17"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13"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9"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36"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32"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24"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16"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12"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35"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31"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23"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15"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11"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localSheetId="8"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4__FDSAUDITLINK__" hidden="1">{"fdsup://directions/FAT Viewer?action=UPDATE&amp;creator=factset&amp;DYN_ARGS=TRUE&amp;DOC_NAME=FAT:FQL_AUDITING_CLIENT_TEMPLATE.FAT&amp;display_string=Audit&amp;VAR:KEY=SPQJKXWXCZ&amp;VAR:QUERY=RkZfRU5UUlBSX1ZBTF9EQUlMWSgzODEwOCk=&amp;WINDOW=FIRST_POPUP&amp;HEIGHT=450&amp;WIDTH=450&amp;START_MA","XIMIZED=FALSE&amp;VAR:CALENDAR=US&amp;VAR:SYMBOL=BYD&amp;VAR:INDEX=0"}</definedName>
    <definedName name="_195__FDSAUDITLINK__" localSheetId="34"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30"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22"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14"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10"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37"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25"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17"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13"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9"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36"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32"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24"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16"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12"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35"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31"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23"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15"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11"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localSheetId="8"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5__FDSAUDITLINK__" hidden="1">{"fdsup://directions/FAT Viewer?action=UPDATE&amp;creator=factset&amp;DYN_ARGS=TRUE&amp;DOC_NAME=FAT:FQL_AUDITING_CLIENT_TEMPLATE.FAT&amp;display_string=Audit&amp;VAR:KEY=SNKNIRILWD&amp;VAR:QUERY=RkZfRU5UUlBSX1ZBTF9EQUlMWSgzODA3OCk=&amp;WINDOW=FIRST_POPUP&amp;HEIGHT=450&amp;WIDTH=450&amp;START_MA","XIMIZED=FALSE&amp;VAR:CALENDAR=US&amp;VAR:SYMBOL=BYD&amp;VAR:INDEX=0"}</definedName>
    <definedName name="_196__FDSAUDITLINK__" localSheetId="34"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30"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22"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14"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10"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37"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25"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17"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13"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9"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36"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32"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24"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16"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12"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35"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31"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23"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15"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11"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localSheetId="8"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6__FDSAUDITLINK__" hidden="1">{"fdsup://directions/FAT Viewer?action=UPDATE&amp;creator=factset&amp;DYN_ARGS=TRUE&amp;DOC_NAME=FAT:FQL_AUDITING_CLIENT_TEMPLATE.FAT&amp;display_string=Audit&amp;VAR:KEY=SHQPMBEBCF&amp;VAR:QUERY=RkZfRU5UUlBSX1ZBTF9EQUlMWSgzODA0Nyk=&amp;WINDOW=FIRST_POPUP&amp;HEIGHT=450&amp;WIDTH=450&amp;START_MA","XIMIZED=FALSE&amp;VAR:CALENDAR=US&amp;VAR:SYMBOL=BYD&amp;VAR:INDEX=0"}</definedName>
    <definedName name="_197__FDSAUDITLINK__" localSheetId="34"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30"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22"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14"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10"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37"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25"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17"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13"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9"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36"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32"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24"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16"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12"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35"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31"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23"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15"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11"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localSheetId="8"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7__FDSAUDITLINK__" hidden="1">{"fdsup://directions/FAT Viewer?action=UPDATE&amp;creator=factset&amp;DYN_ARGS=TRUE&amp;DOC_NAME=FAT:FQL_AUDITING_CLIENT_TEMPLATE.FAT&amp;display_string=Audit&amp;VAR:KEY=KLEVCXSDSN&amp;VAR:QUERY=RkZfRU5UUlBSX1ZBTF9EQUlMWSgzODAxOCk=&amp;WINDOW=FIRST_POPUP&amp;HEIGHT=450&amp;WIDTH=450&amp;START_MA","XIMIZED=FALSE&amp;VAR:CALENDAR=US&amp;VAR:SYMBOL=BYD&amp;VAR:INDEX=0"}</definedName>
    <definedName name="_198__FDSAUDITLINK__" localSheetId="34"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30"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22"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14"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10"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37"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25"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17"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13"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9"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36"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32"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24"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16"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12"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35"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31"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23"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15"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11"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localSheetId="8"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8__FDSAUDITLINK__" hidden="1">{"fdsup://directions/FAT Viewer?action=UPDATE&amp;creator=factset&amp;DYN_ARGS=TRUE&amp;DOC_NAME=FAT:FQL_AUDITING_CLIENT_TEMPLATE.FAT&amp;display_string=Audit&amp;VAR:KEY=GZQXAHUXKX&amp;VAR:QUERY=RkZfRU5UUlBSX1ZBTF9EQUlMWSgzNzk4Nyk=&amp;WINDOW=FIRST_POPUP&amp;HEIGHT=450&amp;WIDTH=450&amp;START_MA","XIMIZED=FALSE&amp;VAR:CALENDAR=US&amp;VAR:SYMBOL=BYD&amp;VAR:INDEX=0"}</definedName>
    <definedName name="_199__FDSAUDITLINK__" localSheetId="34"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30"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22"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14"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10"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37"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25"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17"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13"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9"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36"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32"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24"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16"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12"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35"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31"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23"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15"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11"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localSheetId="8"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199__FDSAUDITLINK__" hidden="1">{"fdsup://directions/FAT Viewer?action=UPDATE&amp;creator=factset&amp;DYN_ARGS=TRUE&amp;DOC_NAME=FAT:FQL_AUDITING_CLIENT_TEMPLATE.FAT&amp;display_string=Audit&amp;VAR:KEY=CFKPYJWXKD&amp;VAR:QUERY=RkZfRU5UUlBSX1ZBTF9EQUlMWSgzNzk1Nik=&amp;WINDOW=FIRST_POPUP&amp;HEIGHT=450&amp;WIDTH=450&amp;START_MA","XIMIZED=FALSE&amp;VAR:CALENDAR=US&amp;VAR:SYMBOL=BYD&amp;VAR:INDEX=0"}</definedName>
    <definedName name="_2__FDSAUDITLINK__" localSheetId="34"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30"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22"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14"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10"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37"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25"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17"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13"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9"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36"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32"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24"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16"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12"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35"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31"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23"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15"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11"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8"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localSheetId="5"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00__FDSAUDITLINK__" localSheetId="34"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30"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22"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14"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10"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37"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25"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17"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13"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9"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36"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32"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24"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16"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12"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35"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31"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23"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15"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11"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localSheetId="8"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0__FDSAUDITLINK__" hidden="1">{"fdsup://directions/FAT Viewer?action=UPDATE&amp;creator=factset&amp;DYN_ARGS=TRUE&amp;DOC_NAME=FAT:FQL_AUDITING_CLIENT_TEMPLATE.FAT&amp;display_string=Audit&amp;VAR:KEY=MPOZMFOTAX&amp;VAR:QUERY=RkZfRU5UUlBSX1ZBTF9EQUlMWSgzNzkyNik=&amp;WINDOW=FIRST_POPUP&amp;HEIGHT=450&amp;WIDTH=450&amp;START_MA","XIMIZED=FALSE&amp;VAR:CALENDAR=US&amp;VAR:SYMBOL=BYD&amp;VAR:INDEX=0"}</definedName>
    <definedName name="_201__FDSAUDITLINK__" localSheetId="34"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30"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22"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14"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10"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37"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25"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17"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13"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9"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36"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32"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24"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16"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12"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35"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31"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23"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15"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11"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localSheetId="8"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1__FDSAUDITLINK__" hidden="1">{"fdsup://directions/FAT Viewer?action=UPDATE&amp;creator=factset&amp;DYN_ARGS=TRUE&amp;DOC_NAME=FAT:FQL_AUDITING_CLIENT_TEMPLATE.FAT&amp;display_string=Audit&amp;VAR:KEY=OHMXKVOTYZ&amp;VAR:QUERY=RkZfRU5UUlBSX1ZBTF9EQUlMWSgzNzg5NSk=&amp;WINDOW=FIRST_POPUP&amp;HEIGHT=450&amp;WIDTH=450&amp;START_MA","XIMIZED=FALSE&amp;VAR:CALENDAR=US&amp;VAR:SYMBOL=BYD&amp;VAR:INDEX=0"}</definedName>
    <definedName name="_202__FDSAUDITLINK__" localSheetId="34"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30"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22"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14"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10"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37"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25"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17"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13"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9"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36"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32"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24"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16"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12"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35"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31"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23"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15"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11"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localSheetId="8"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2__FDSAUDITLINK__" hidden="1">{"fdsup://directions/FAT Viewer?action=UPDATE&amp;creator=factset&amp;DYN_ARGS=TRUE&amp;DOC_NAME=FAT:FQL_AUDITING_CLIENT_TEMPLATE.FAT&amp;display_string=Audit&amp;VAR:KEY=IBIFMXGLCN&amp;VAR:QUERY=RkZfRU5UUlBSX1ZBTF9EQUlMWSgzNzg2NSk=&amp;WINDOW=FIRST_POPUP&amp;HEIGHT=450&amp;WIDTH=450&amp;START_MA","XIMIZED=FALSE&amp;VAR:CALENDAR=US&amp;VAR:SYMBOL=BYD&amp;VAR:INDEX=0"}</definedName>
    <definedName name="_203__FDSAUDITLINK__" localSheetId="34"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30"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22"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14"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10"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37"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25"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17"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13"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9"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36"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32"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24"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16"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12"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35"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31"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23"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15"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11"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localSheetId="8"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3__FDSAUDITLINK__" hidden="1">{"fdsup://directions/FAT Viewer?action=UPDATE&amp;creator=factset&amp;DYN_ARGS=TRUE&amp;DOC_NAME=FAT:FQL_AUDITING_CLIENT_TEMPLATE.FAT&amp;display_string=Audit&amp;VAR:KEY=GJCXMJGBAZ&amp;VAR:QUERY=RkZfRU5UUlBSX1ZBTF9EQUlMWSgzNzgzNCk=&amp;WINDOW=FIRST_POPUP&amp;HEIGHT=450&amp;WIDTH=450&amp;START_MA","XIMIZED=FALSE&amp;VAR:CALENDAR=US&amp;VAR:SYMBOL=BYD&amp;VAR:INDEX=0"}</definedName>
    <definedName name="_204__FDSAUDITLINK__" localSheetId="34"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30"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22"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14"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10"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37"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25"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17"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13"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9"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36"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32"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24"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16"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12"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35"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31"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23"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15"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11"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localSheetId="8"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4__FDSAUDITLINK__" hidden="1">{"fdsup://directions/FAT Viewer?action=UPDATE&amp;creator=factset&amp;DYN_ARGS=TRUE&amp;DOC_NAME=FAT:FQL_AUDITING_CLIENT_TEMPLATE.FAT&amp;display_string=Audit&amp;VAR:KEY=ORQBIZMDOF&amp;VAR:QUERY=RkZfRU5UUlBSX1ZBTF9EQUlMWSgzNzgwMyk=&amp;WINDOW=FIRST_POPUP&amp;HEIGHT=450&amp;WIDTH=450&amp;START_MA","XIMIZED=FALSE&amp;VAR:CALENDAR=US&amp;VAR:SYMBOL=BYD&amp;VAR:INDEX=0"}</definedName>
    <definedName name="_205__FDSAUDITLINK__" localSheetId="34"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30"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22"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14"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10"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37"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25"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17"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13"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9"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36"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32"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24"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16"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12"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35"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31"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23"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15"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11"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localSheetId="8"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5__FDSAUDITLINK__" hidden="1">{"fdsup://directions/FAT Viewer?action=UPDATE&amp;creator=factset&amp;DYN_ARGS=TRUE&amp;DOC_NAME=FAT:FQL_AUDITING_CLIENT_TEMPLATE.FAT&amp;display_string=Audit&amp;VAR:KEY=EBENWZSVQP&amp;VAR:QUERY=RkZfRU5UUlBSX1ZBTF9EQUlMWSgzNzc3Myk=&amp;WINDOW=FIRST_POPUP&amp;HEIGHT=450&amp;WIDTH=450&amp;START_MA","XIMIZED=FALSE&amp;VAR:CALENDAR=US&amp;VAR:SYMBOL=BYD&amp;VAR:INDEX=0"}</definedName>
    <definedName name="_206__FDSAUDITLINK__" localSheetId="34"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30"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22"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14"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10"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37"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25"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17"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13"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9"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36"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32"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24"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16"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12"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35"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31"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23"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15"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11"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localSheetId="8"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6__FDSAUDITLINK__" hidden="1">{"fdsup://directions/FAT Viewer?action=UPDATE&amp;creator=factset&amp;DYN_ARGS=TRUE&amp;DOC_NAME=FAT:FQL_AUDITING_CLIENT_TEMPLATE.FAT&amp;display_string=Audit&amp;VAR:KEY=KBMDWRGVGJ&amp;VAR:QUERY=RkZfRU5UUlBSX1ZBTF9EQUlMWSgzNzc0Mik=&amp;WINDOW=FIRST_POPUP&amp;HEIGHT=450&amp;WIDTH=450&amp;START_MA","XIMIZED=FALSE&amp;VAR:CALENDAR=US&amp;VAR:SYMBOL=BYD&amp;VAR:INDEX=0"}</definedName>
    <definedName name="_207__FDSAUDITLINK__" localSheetId="34"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30"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22"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14"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10"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37"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25"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17"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13"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9"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36"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32"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24"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16"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12"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35"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31"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23"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15"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11"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localSheetId="8"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7__FDSAUDITLINK__" hidden="1">{"fdsup://directions/FAT Viewer?action=UPDATE&amp;creator=factset&amp;DYN_ARGS=TRUE&amp;DOC_NAME=FAT:FQL_AUDITING_CLIENT_TEMPLATE.FAT&amp;display_string=Audit&amp;VAR:KEY=WBMDCLYDQJ&amp;VAR:QUERY=RkZfRU5UUlBSX1ZBTF9EQUlMWSgzNzcxMik=&amp;WINDOW=FIRST_POPUP&amp;HEIGHT=450&amp;WIDTH=450&amp;START_MA","XIMIZED=FALSE&amp;VAR:CALENDAR=US&amp;VAR:SYMBOL=BYD&amp;VAR:INDEX=0"}</definedName>
    <definedName name="_208__FDSAUDITLINK__" localSheetId="34"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30"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22"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14"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10"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37"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25"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17"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13"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9"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36"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32"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24"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16"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12"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35"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31"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23"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15"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11"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localSheetId="8"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8__FDSAUDITLINK__" hidden="1">{"fdsup://directions/FAT Viewer?action=UPDATE&amp;creator=factset&amp;DYN_ARGS=TRUE&amp;DOC_NAME=FAT:FQL_AUDITING_CLIENT_TEMPLATE.FAT&amp;display_string=Audit&amp;VAR:KEY=UFAFEXCVMJ&amp;VAR:QUERY=RkZfRU5UUlBSX1ZBTF9EQUlMWSgzNzY4MSk=&amp;WINDOW=FIRST_POPUP&amp;HEIGHT=450&amp;WIDTH=450&amp;START_MA","XIMIZED=FALSE&amp;VAR:CALENDAR=US&amp;VAR:SYMBOL=BYD&amp;VAR:INDEX=0"}</definedName>
    <definedName name="_209__FDSAUDITLINK__" localSheetId="34"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30"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22"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14"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10"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37"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25"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17"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13"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9"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36"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32"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24"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16"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12"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35"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31"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23"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15"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11"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localSheetId="8"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09__FDSAUDITLINK__" hidden="1">{"fdsup://directions/FAT Viewer?action=UPDATE&amp;creator=factset&amp;DYN_ARGS=TRUE&amp;DOC_NAME=FAT:FQL_AUDITING_CLIENT_TEMPLATE.FAT&amp;display_string=Audit&amp;VAR:KEY=IDYLAFUVKD&amp;VAR:QUERY=RkZfRU5UUlBSX1ZBTF9EQUlMWSgzNzY1Myk=&amp;WINDOW=FIRST_POPUP&amp;HEIGHT=450&amp;WIDTH=450&amp;START_MA","XIMIZED=FALSE&amp;VAR:CALENDAR=US&amp;VAR:SYMBOL=BYD&amp;VAR:INDEX=0"}</definedName>
    <definedName name="_210__FDSAUDITLINK__" localSheetId="34"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30"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22"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14"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10"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37"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25"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17"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13"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9"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36"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32"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24"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16"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12"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35"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31"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23"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15"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11"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localSheetId="8"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0__FDSAUDITLINK__" hidden="1">{"fdsup://directions/FAT Viewer?action=UPDATE&amp;creator=factset&amp;DYN_ARGS=TRUE&amp;DOC_NAME=FAT:FQL_AUDITING_CLIENT_TEMPLATE.FAT&amp;display_string=Audit&amp;VAR:KEY=YNSDGHUDQD&amp;VAR:QUERY=RkZfRU5UUlBSX1ZBTF9EQUlMWSgzNzYyMik=&amp;WINDOW=FIRST_POPUP&amp;HEIGHT=450&amp;WIDTH=450&amp;START_MA","XIMIZED=FALSE&amp;VAR:CALENDAR=US&amp;VAR:SYMBOL=BYD&amp;VAR:INDEX=0"}</definedName>
    <definedName name="_211__FDSAUDITLINK__" localSheetId="34"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30"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22"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14"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10"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37"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25"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17"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13"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9"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36"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32"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24"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16"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12"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35"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31"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23"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15"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11"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localSheetId="8"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1__FDSAUDITLINK__" hidden="1">{"fdsup://directions/FAT Viewer?action=UPDATE&amp;creator=factset&amp;DYN_ARGS=TRUE&amp;DOC_NAME=FAT:FQL_AUDITING_CLIENT_TEMPLATE.FAT&amp;display_string=Audit&amp;VAR:KEY=MBKDGHGRGR&amp;VAR:QUERY=RkZfRU5UUlBSX1ZBTF9EQUlMWSgzNzU5MSk=&amp;WINDOW=FIRST_POPUP&amp;HEIGHT=450&amp;WIDTH=450&amp;START_MA","XIMIZED=FALSE&amp;VAR:CALENDAR=US&amp;VAR:SYMBOL=BYD&amp;VAR:INDEX=0"}</definedName>
    <definedName name="_212__FDSAUDITLINK__" localSheetId="34"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30"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22"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14"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10"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37"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25"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17"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13"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9"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36"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32"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24"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16"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12"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35"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31"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23"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15"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11"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localSheetId="8"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2__FDSAUDITLINK__" hidden="1">{"fdsup://directions/FAT Viewer?action=UPDATE&amp;creator=factset&amp;DYN_ARGS=TRUE&amp;DOC_NAME=FAT:FQL_AUDITING_CLIENT_TEMPLATE.FAT&amp;display_string=Audit&amp;VAR:KEY=WJOXGDELEH&amp;VAR:QUERY=RkZfRU5UUlBSX1ZBTF9EQUlMWSgzNzU2MSk=&amp;WINDOW=FIRST_POPUP&amp;HEIGHT=450&amp;WIDTH=450&amp;START_MA","XIMIZED=FALSE&amp;VAR:CALENDAR=US&amp;VAR:SYMBOL=BYD&amp;VAR:INDEX=0"}</definedName>
    <definedName name="_213__FDSAUDITLINK__" localSheetId="34"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30"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22"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14"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10"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37"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25"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17"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13"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9"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36"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32"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24"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16"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12"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35"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31"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23"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15"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11"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localSheetId="8"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3__FDSAUDITLINK__" hidden="1">{"fdsup://directions/FAT Viewer?action=UPDATE&amp;creator=factset&amp;DYN_ARGS=TRUE&amp;DOC_NAME=FAT:FQL_AUDITING_CLIENT_TEMPLATE.FAT&amp;display_string=Audit&amp;VAR:KEY=ETCZINEROJ&amp;VAR:QUERY=RkZfRU5UUlBSX1ZBTF9EQUlMWSgzNzUzMCk=&amp;WINDOW=FIRST_POPUP&amp;HEIGHT=450&amp;WIDTH=450&amp;START_MA","XIMIZED=FALSE&amp;VAR:CALENDAR=US&amp;VAR:SYMBOL=BYD&amp;VAR:INDEX=0"}</definedName>
    <definedName name="_214__FDSAUDITLINK__" localSheetId="34"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30"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22"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14"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10"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37"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25"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17"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13"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9"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36"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32"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24"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16"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12"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35"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31"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23"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15"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11"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localSheetId="8"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4__FDSAUDITLINK__" hidden="1">{"fdsup://directions/FAT Viewer?action=UPDATE&amp;creator=factset&amp;DYN_ARGS=TRUE&amp;DOC_NAME=FAT:FQL_AUDITING_CLIENT_TEMPLATE.FAT&amp;display_string=Audit&amp;VAR:KEY=WTCTIDOXCH&amp;VAR:QUERY=RkZfRU5UUlBSX1ZBTF9EQUlMWSgzNzUwMCk=&amp;WINDOW=FIRST_POPUP&amp;HEIGHT=450&amp;WIDTH=450&amp;START_MA","XIMIZED=FALSE&amp;VAR:CALENDAR=US&amp;VAR:SYMBOL=BYD&amp;VAR:INDEX=0"}</definedName>
    <definedName name="_215__FDSAUDITLINK__" localSheetId="34"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30"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22"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14"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10"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37"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25"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17"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13"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9"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36"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32"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24"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16"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12"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35"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31"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23"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15"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11"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localSheetId="8"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5__FDSAUDITLINK__" hidden="1">{"fdsup://directions/FAT Viewer?action=UPDATE&amp;creator=factset&amp;DYN_ARGS=TRUE&amp;DOC_NAME=FAT:FQL_AUDITING_CLIENT_TEMPLATE.FAT&amp;display_string=Audit&amp;VAR:KEY=CXMHSHORQX&amp;VAR:QUERY=RkZfRU5UUlBSX1ZBTF9EQUlMWSgzNzQ2OSk=&amp;WINDOW=FIRST_POPUP&amp;HEIGHT=450&amp;WIDTH=450&amp;START_MA","XIMIZED=FALSE&amp;VAR:CALENDAR=US&amp;VAR:SYMBOL=BYD&amp;VAR:INDEX=0"}</definedName>
    <definedName name="_216__FDSAUDITLINK__" localSheetId="34"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30"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22"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14"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10"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37"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25"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17"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13"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9"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36"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32"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24"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16"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12"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35"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31"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23"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15"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11"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localSheetId="8"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6__FDSAUDITLINK__" hidden="1">{"fdsup://directions/FAT Viewer?action=UPDATE&amp;creator=factset&amp;DYN_ARGS=TRUE&amp;DOC_NAME=FAT:FQL_AUDITING_CLIENT_TEMPLATE.FAT&amp;display_string=Audit&amp;VAR:KEY=WPCTERMBSF&amp;VAR:QUERY=RkZfRU5UUlBSX1ZBTF9EQUlMWSgzNzQzOCk=&amp;WINDOW=FIRST_POPUP&amp;HEIGHT=450&amp;WIDTH=450&amp;START_MA","XIMIZED=FALSE&amp;VAR:CALENDAR=US&amp;VAR:SYMBOL=BYD&amp;VAR:INDEX=0"}</definedName>
    <definedName name="_217__FDSAUDITLINK__" localSheetId="34"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30"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22"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14"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10"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37"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25"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17"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13"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9"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36"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32"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24"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16"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12"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35"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31"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23"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15"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11"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localSheetId="8"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7__FDSAUDITLINK__" hidden="1">{"fdsup://directions/FAT Viewer?action=UPDATE&amp;creator=factset&amp;DYN_ARGS=TRUE&amp;DOC_NAME=FAT:FQL_AUDITING_CLIENT_TEMPLATE.FAT&amp;display_string=Audit&amp;VAR:KEY=QZYXGBQHCV&amp;VAR:QUERY=RkZfRU5UUlBSX1ZBTF9EQUlMWSgzNzQwOCk=&amp;WINDOW=FIRST_POPUP&amp;HEIGHT=450&amp;WIDTH=450&amp;START_MA","XIMIZED=FALSE&amp;VAR:CALENDAR=US&amp;VAR:SYMBOL=BYD&amp;VAR:INDEX=0"}</definedName>
    <definedName name="_218__FDSAUDITLINK__" localSheetId="34"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30"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22"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14"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10"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37"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25"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17"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13"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9"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36"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32"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24"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16"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12"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35"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31"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23"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15"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11"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localSheetId="8"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8__FDSAUDITLINK__" hidden="1">{"fdsup://directions/FAT Viewer?action=UPDATE&amp;creator=factset&amp;DYN_ARGS=TRUE&amp;DOC_NAME=FAT:FQL_AUDITING_CLIENT_TEMPLATE.FAT&amp;display_string=Audit&amp;VAR:KEY=QTWLWHYJCB&amp;VAR:QUERY=RkZfRU5UUlBSX1ZBTF9EQUlMWSgzNzM3Nyk=&amp;WINDOW=FIRST_POPUP&amp;HEIGHT=450&amp;WIDTH=450&amp;START_MA","XIMIZED=FALSE&amp;VAR:CALENDAR=US&amp;VAR:SYMBOL=BYD&amp;VAR:INDEX=0"}</definedName>
    <definedName name="_219__FDSAUDITLINK__" localSheetId="34"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30"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22"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14"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10"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37"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25"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17"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13"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9"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36"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32"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24"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16"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12"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35"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31"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23"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15"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11"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localSheetId="8"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19__FDSAUDITLINK__" hidden="1">{"fdsup://directions/FAT Viewer?action=UPDATE&amp;creator=factset&amp;DYN_ARGS=TRUE&amp;DOC_NAME=FAT:FQL_AUDITING_CLIENT_TEMPLATE.FAT&amp;display_string=Audit&amp;VAR:KEY=IJATKRENGF&amp;VAR:QUERY=RkZfRU5UUlBSX1ZBTF9EQUlMWSgzNzM0Nyk=&amp;WINDOW=FIRST_POPUP&amp;HEIGHT=450&amp;WIDTH=450&amp;START_MA","XIMIZED=FALSE&amp;VAR:CALENDAR=US&amp;VAR:SYMBOL=BYD&amp;VAR:INDEX=0"}</definedName>
    <definedName name="_220__FDSAUDITLINK__" localSheetId="34"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30"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22"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14"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10"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37"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25"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17"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13"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9"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36"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32"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24"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16"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12"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35"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31"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23"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15"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11"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localSheetId="8"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0__FDSAUDITLINK__" hidden="1">{"fdsup://directions/FAT Viewer?action=UPDATE&amp;creator=factset&amp;DYN_ARGS=TRUE&amp;DOC_NAME=FAT:FQL_AUDITING_CLIENT_TEMPLATE.FAT&amp;display_string=Audit&amp;VAR:KEY=YPCBGFOVKB&amp;VAR:QUERY=RkZfRU5UUlBSX1ZBTF9EQUlMWSgzNzMxNik=&amp;WINDOW=FIRST_POPUP&amp;HEIGHT=450&amp;WIDTH=450&amp;START_MA","XIMIZED=FALSE&amp;VAR:CALENDAR=US&amp;VAR:SYMBOL=BYD&amp;VAR:INDEX=0"}</definedName>
    <definedName name="_221__FDSAUDITLINK__" localSheetId="34"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30"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22"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14"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10"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37"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25"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17"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13"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9"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36"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32"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24"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16"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12"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35"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31"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23"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15"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11"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localSheetId="8"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1__FDSAUDITLINK__" hidden="1">{"fdsup://directions/FAT Viewer?action=UPDATE&amp;creator=factset&amp;DYN_ARGS=TRUE&amp;DOC_NAME=FAT:FQL_AUDITING_CLIENT_TEMPLATE.FAT&amp;display_string=Audit&amp;VAR:KEY=IHKTQLIHIP&amp;VAR:QUERY=RkZfRU5UUlBSX1ZBTF9EQUlMWSgzNzI4OCk=&amp;WINDOW=FIRST_POPUP&amp;HEIGHT=450&amp;WIDTH=450&amp;START_MA","XIMIZED=FALSE&amp;VAR:CALENDAR=US&amp;VAR:SYMBOL=BYD&amp;VAR:INDEX=0"}</definedName>
    <definedName name="_222__FDSAUDITLINK__" localSheetId="34"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30"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22"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14"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10"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37"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25"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17"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13"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9"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36"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32"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24"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16"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12"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35"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31"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23"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15"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11"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localSheetId="8"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2__FDSAUDITLINK__" hidden="1">{"fdsup://directions/FAT Viewer?action=UPDATE&amp;creator=factset&amp;DYN_ARGS=TRUE&amp;DOC_NAME=FAT:FQL_AUDITING_CLIENT_TEMPLATE.FAT&amp;display_string=Audit&amp;VAR:KEY=AVAHGHQXUD&amp;VAR:QUERY=RkZfRU5UUlBSX1ZBTF9EQUlMWSgzNzI1Nyk=&amp;WINDOW=FIRST_POPUP&amp;HEIGHT=450&amp;WIDTH=450&amp;START_MA","XIMIZED=FALSE&amp;VAR:CALENDAR=US&amp;VAR:SYMBOL=BYD&amp;VAR:INDEX=0"}</definedName>
    <definedName name="_223__FDSAUDITLINK__" localSheetId="34"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30"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22"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14"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10"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37"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25"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17"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13"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9"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36"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32"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24"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16"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12"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35"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31"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23"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15"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11"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localSheetId="8"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3__FDSAUDITLINK__" hidden="1">{"fdsup://directions/FAT Viewer?action=UPDATE&amp;creator=factset&amp;DYN_ARGS=TRUE&amp;DOC_NAME=FAT:FQL_AUDITING_CLIENT_TEMPLATE.FAT&amp;display_string=Audit&amp;VAR:KEY=KLAJCBEJSJ&amp;VAR:QUERY=RkZfRU5UUlBSX1ZBTF9EQUlMWSgzNzIyNik=&amp;WINDOW=FIRST_POPUP&amp;HEIGHT=450&amp;WIDTH=450&amp;START_MA","XIMIZED=FALSE&amp;VAR:CALENDAR=US&amp;VAR:SYMBOL=BYD&amp;VAR:INDEX=0"}</definedName>
    <definedName name="_224__FDSAUDITLINK__" localSheetId="34"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30"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22"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14"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10"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37"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25"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17"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13"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9"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36"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32"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24"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16"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12"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35"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31"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23"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15"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11"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localSheetId="8"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4__FDSAUDITLINK__" hidden="1">{"fdsup://directions/FAT Viewer?action=UPDATE&amp;creator=factset&amp;DYN_ARGS=TRUE&amp;DOC_NAME=FAT:FQL_AUDITING_CLIENT_TEMPLATE.FAT&amp;display_string=Audit&amp;VAR:KEY=KHIZCLONAF&amp;VAR:QUERY=RkZfRU5UUlBSX1ZBTF9EQUlMWSgzNzE5Nik=&amp;WINDOW=FIRST_POPUP&amp;HEIGHT=450&amp;WIDTH=450&amp;START_MA","XIMIZED=FALSE&amp;VAR:CALENDAR=US&amp;VAR:SYMBOL=BYD&amp;VAR:INDEX=0"}</definedName>
    <definedName name="_225__FDSAUDITLINK__" localSheetId="34"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30"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22"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14"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10"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37"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25"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17"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13"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9"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36"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32"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24"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16"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12"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35"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31"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23"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15"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11"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localSheetId="8"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5__FDSAUDITLINK__" hidden="1">{"fdsup://directions/FAT Viewer?action=UPDATE&amp;creator=factset&amp;DYN_ARGS=TRUE&amp;DOC_NAME=FAT:FQL_AUDITING_CLIENT_TEMPLATE.FAT&amp;display_string=Audit&amp;VAR:KEY=ITURWJIZKD&amp;VAR:QUERY=RkZfRU5UUlBSX1ZBTF9EQUlMWSgzNzE2NSk=&amp;WINDOW=FIRST_POPUP&amp;HEIGHT=450&amp;WIDTH=450&amp;START_MA","XIMIZED=FALSE&amp;VAR:CALENDAR=US&amp;VAR:SYMBOL=BYD&amp;VAR:INDEX=0"}</definedName>
    <definedName name="_226__FDSAUDITLINK__" localSheetId="34"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30"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22"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14"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10"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37"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25"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17"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13"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9"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36"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32"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24"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16"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12"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35"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31"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23"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15"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11"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localSheetId="8"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6__FDSAUDITLINK__" hidden="1">{"fdsup://directions/FAT Viewer?action=UPDATE&amp;creator=factset&amp;DYN_ARGS=TRUE&amp;DOC_NAME=FAT:FQL_AUDITING_CLIENT_TEMPLATE.FAT&amp;display_string=Audit&amp;VAR:KEY=WFCHOTEZMB&amp;VAR:QUERY=RkZfRU5UUlBSX1ZBTF9EQUlMWSgzNzEzNSk=&amp;WINDOW=FIRST_POPUP&amp;HEIGHT=450&amp;WIDTH=450&amp;START_MA","XIMIZED=FALSE&amp;VAR:CALENDAR=US&amp;VAR:SYMBOL=BYD&amp;VAR:INDEX=0"}</definedName>
    <definedName name="_227__FDSAUDITLINK__" localSheetId="34"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30"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22"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14"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10"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37"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25"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17"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13"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9"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36"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32"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24"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16"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12"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35"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31"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23"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15"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11"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localSheetId="8"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7__FDSAUDITLINK__" hidden="1">{"fdsup://directions/FAT Viewer?action=UPDATE&amp;creator=factset&amp;DYN_ARGS=TRUE&amp;DOC_NAME=FAT:FQL_AUDITING_CLIENT_TEMPLATE.FAT&amp;display_string=Audit&amp;VAR:KEY=AJUXYLUNIB&amp;VAR:QUERY=RkZfRU5UUlBSX1ZBTF9EQUlMWSgzNzEwNCk=&amp;WINDOW=FIRST_POPUP&amp;HEIGHT=450&amp;WIDTH=450&amp;START_MA","XIMIZED=FALSE&amp;VAR:CALENDAR=US&amp;VAR:SYMBOL=BYD&amp;VAR:INDEX=0"}</definedName>
    <definedName name="_228__FDSAUDITLINK__" localSheetId="34"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30"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22"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14"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10"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37"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25"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17"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13"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9"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36"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32"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24"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16"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12"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35"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31"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23"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15"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11"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localSheetId="8"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8__FDSAUDITLINK__" hidden="1">{"fdsup://directions/FAT Viewer?action=UPDATE&amp;creator=factset&amp;DYN_ARGS=TRUE&amp;DOC_NAME=FAT:FQL_AUDITING_CLIENT_TEMPLATE.FAT&amp;display_string=Audit&amp;VAR:KEY=CJIXITMRUX&amp;VAR:QUERY=RkZfRU5UUlBSX1ZBTF9EQUlMWSgzNzA3Myk=&amp;WINDOW=FIRST_POPUP&amp;HEIGHT=450&amp;WIDTH=450&amp;START_MA","XIMIZED=FALSE&amp;VAR:CALENDAR=US&amp;VAR:SYMBOL=BYD&amp;VAR:INDEX=0"}</definedName>
    <definedName name="_229__FDSAUDITLINK__" localSheetId="34"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30"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22"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14"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10"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37"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25"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17"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13"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9"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36"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32"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24"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16"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12"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35"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31"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23"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15"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11"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localSheetId="8"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29__FDSAUDITLINK__" hidden="1">{"fdsup://directions/FAT Viewer?action=UPDATE&amp;creator=factset&amp;DYN_ARGS=TRUE&amp;DOC_NAME=FAT:FQL_AUDITING_CLIENT_TEMPLATE.FAT&amp;display_string=Audit&amp;VAR:KEY=MHSPSRKVSJ&amp;VAR:QUERY=RkZfRU5UUlBSX1ZBTF9EQUlMWSgzNzA0Myk=&amp;WINDOW=FIRST_POPUP&amp;HEIGHT=450&amp;WIDTH=450&amp;START_MA","XIMIZED=FALSE&amp;VAR:CALENDAR=US&amp;VAR:SYMBOL=BYD&amp;VAR:INDEX=0"}</definedName>
    <definedName name="_230__FDSAUDITLINK__" localSheetId="34"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30"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22"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14"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10"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37"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25"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17"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13"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9"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36"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32"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24"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16"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12"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35"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31"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23"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15"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11"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localSheetId="8"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0__FDSAUDITLINK__" hidden="1">{"fdsup://directions/FAT Viewer?action=UPDATE&amp;creator=factset&amp;DYN_ARGS=TRUE&amp;DOC_NAME=FAT:FQL_AUDITING_CLIENT_TEMPLATE.FAT&amp;display_string=Audit&amp;VAR:KEY=WXURMZIFEL&amp;VAR:QUERY=RkZfRU5UUlBSX1ZBTF9EQUlMWSgzNzAxMik=&amp;WINDOW=FIRST_POPUP&amp;HEIGHT=450&amp;WIDTH=450&amp;START_MA","XIMIZED=FALSE&amp;VAR:CALENDAR=US&amp;VAR:SYMBOL=BYD&amp;VAR:INDEX=0"}</definedName>
    <definedName name="_231__FDSAUDITLINK__" localSheetId="34"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30"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22"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14"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10"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37"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25"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17"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13"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9"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36"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32"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24"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16"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12"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35"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31"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23"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15"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11"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localSheetId="8"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1__FDSAUDITLINK__" hidden="1">{"fdsup://directions/FAT Viewer?action=UPDATE&amp;creator=factset&amp;DYN_ARGS=TRUE&amp;DOC_NAME=FAT:FQL_AUDITING_CLIENT_TEMPLATE.FAT&amp;display_string=Audit&amp;VAR:KEY=MDQDYZKPKB&amp;VAR:QUERY=RkZfRU5UUlBSX1ZBTF9EQUlMWSgzNjk4Mik=&amp;WINDOW=FIRST_POPUP&amp;HEIGHT=450&amp;WIDTH=450&amp;START_MA","XIMIZED=FALSE&amp;VAR:CALENDAR=US&amp;VAR:SYMBOL=BYD&amp;VAR:INDEX=0"}</definedName>
    <definedName name="_232__FDSAUDITLINK__" localSheetId="34"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30"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22"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14"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10"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37"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25"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17"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13"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9"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36"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32"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24"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16"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12"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35"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31"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23"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15"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11"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localSheetId="8"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2__FDSAUDITLINK__" hidden="1">{"fdsup://directions/FAT Viewer?action=UPDATE&amp;creator=factset&amp;DYN_ARGS=TRUE&amp;DOC_NAME=FAT:FQL_AUDITING_CLIENT_TEMPLATE.FAT&amp;display_string=Audit&amp;VAR:KEY=IPIDAXQZIB&amp;VAR:QUERY=RkZfRU5UUlBSX1ZBTF9EQUlMWSgzNjk1MSk=&amp;WINDOW=FIRST_POPUP&amp;HEIGHT=450&amp;WIDTH=450&amp;START_MA","XIMIZED=FALSE&amp;VAR:CALENDAR=US&amp;VAR:SYMBOL=BYD&amp;VAR:INDEX=0"}</definedName>
    <definedName name="_233__FDSAUDITLINK__" localSheetId="34"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30"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22"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14"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10"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37"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25"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17"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13"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9"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36"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32"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24"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16"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12"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35"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31"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23"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15"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11"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localSheetId="8"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3__FDSAUDITLINK__" hidden="1">{"fdsup://directions/FAT Viewer?action=UPDATE&amp;creator=factset&amp;DYN_ARGS=TRUE&amp;DOC_NAME=FAT:FQL_AUDITING_CLIENT_TEMPLATE.FAT&amp;display_string=Audit&amp;VAR:KEY=ANIHKZMNGP&amp;VAR:QUERY=RkZfRU5UUlBSX1ZBTF9EQUlMWSgzNjkyMyk=&amp;WINDOW=FIRST_POPUP&amp;HEIGHT=450&amp;WIDTH=450&amp;START_MA","XIMIZED=FALSE&amp;VAR:CALENDAR=US&amp;VAR:SYMBOL=BYD&amp;VAR:INDEX=0"}</definedName>
    <definedName name="_234__FDSAUDITLINK__" localSheetId="34"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30"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22"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14"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10"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37"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25"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17"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13"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9"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36"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32"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24"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16"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12"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35"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31"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23"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15"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11"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localSheetId="8"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4__FDSAUDITLINK__" hidden="1">{"fdsup://directions/FAT Viewer?action=UPDATE&amp;creator=factset&amp;DYN_ARGS=TRUE&amp;DOC_NAME=FAT:FQL_AUDITING_CLIENT_TEMPLATE.FAT&amp;display_string=Audit&amp;VAR:KEY=WRWFOJSJGV&amp;VAR:QUERY=RkZfRU5UUlBSX1ZBTF9EQUlMWSgzNjg5Mik=&amp;WINDOW=FIRST_POPUP&amp;HEIGHT=450&amp;WIDTH=450&amp;START_MA","XIMIZED=FALSE&amp;VAR:CALENDAR=US&amp;VAR:SYMBOL=BYD&amp;VAR:INDEX=0"}</definedName>
    <definedName name="_235__FDSAUDITLINK__" localSheetId="34"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30"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22"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14"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10"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37"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25"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17"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13"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9"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36"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32"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24"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16"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12"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35"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31"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23"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15"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11"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localSheetId="8"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5__FDSAUDITLINK__" hidden="1">{"fdsup://directions/FAT Viewer?action=UPDATE&amp;creator=factset&amp;DYN_ARGS=TRUE&amp;DOC_NAME=FAT:FQL_AUDITING_CLIENT_TEMPLATE.FAT&amp;display_string=Audit&amp;VAR:KEY=IPYVAJMTSJ&amp;VAR:QUERY=RkZfRU5UUlBSX1ZBTF9EQUlMWSgzNjg2MSk=&amp;WINDOW=FIRST_POPUP&amp;HEIGHT=450&amp;WIDTH=450&amp;START_MA","XIMIZED=FALSE&amp;VAR:CALENDAR=US&amp;VAR:SYMBOL=BYD&amp;VAR:INDEX=0"}</definedName>
    <definedName name="_236__FDSAUDITLINK__" localSheetId="34"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30"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22"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14"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10"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37"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25"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17"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13"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9"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36"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32"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24"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16"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12"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35"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31"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23"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15"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11"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localSheetId="8"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6__FDSAUDITLINK__" hidden="1">{"fdsup://directions/FAT Viewer?action=UPDATE&amp;creator=factset&amp;DYN_ARGS=TRUE&amp;DOC_NAME=FAT:FQL_AUDITING_CLIENT_TEMPLATE.FAT&amp;display_string=Audit&amp;VAR:KEY=YXSFKTCHUB&amp;VAR:QUERY=RkZfRU5UUlBSX1ZBTF9EQUlMWSgzNjgzMSk=&amp;WINDOW=FIRST_POPUP&amp;HEIGHT=450&amp;WIDTH=450&amp;START_MA","XIMIZED=FALSE&amp;VAR:CALENDAR=US&amp;VAR:SYMBOL=BYD&amp;VAR:INDEX=0"}</definedName>
    <definedName name="_237__FDSAUDITLINK__" localSheetId="34"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30"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22"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14"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10"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37"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25"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17"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13"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9"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36"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32"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24"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16"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12"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35"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31"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23"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15"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11"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localSheetId="8"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7__FDSAUDITLINK__" hidden="1">{"fdsup://directions/FAT Viewer?action=UPDATE&amp;creator=factset&amp;DYN_ARGS=TRUE&amp;DOC_NAME=FAT:FQL_AUDITING_CLIENT_TEMPLATE.FAT&amp;display_string=Audit&amp;VAR:KEY=WVYXIFYVUH&amp;VAR:QUERY=RkZfRU5UUlBSX1ZBTF9EQUlMWSgzNjgwMCk=&amp;WINDOW=FIRST_POPUP&amp;HEIGHT=450&amp;WIDTH=450&amp;START_MA","XIMIZED=FALSE&amp;VAR:CALENDAR=US&amp;VAR:SYMBOL=BYD&amp;VAR:INDEX=0"}</definedName>
    <definedName name="_238__FDSAUDITLINK__" localSheetId="34"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30"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22"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14"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10"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37"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25"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17"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13"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9"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36"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32"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24"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16"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12"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35"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31"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23"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15"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11"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localSheetId="8"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8__FDSAUDITLINK__" hidden="1">{"fdsup://directions/FAT Viewer?action=UPDATE&amp;creator=factset&amp;DYN_ARGS=TRUE&amp;DOC_NAME=FAT:FQL_AUDITING_CLIENT_TEMPLATE.FAT&amp;display_string=Audit&amp;VAR:KEY=UJCDALIXCF&amp;VAR:QUERY=RkZfRU5UUlBSX1ZBTF9EQUlMWSgzNjc3MCk=&amp;WINDOW=FIRST_POPUP&amp;HEIGHT=450&amp;WIDTH=450&amp;START_MA","XIMIZED=FALSE&amp;VAR:CALENDAR=US&amp;VAR:SYMBOL=BYD&amp;VAR:INDEX=0"}</definedName>
    <definedName name="_239__FDSAUDITLINK__" localSheetId="34"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30"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22"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14"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10"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37"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25"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17"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13"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9"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36"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32"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24"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16"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12"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35"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31"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23"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15"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11"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localSheetId="8"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39__FDSAUDITLINK__" hidden="1">{"fdsup://directions/FAT Viewer?action=UPDATE&amp;creator=factset&amp;DYN_ARGS=TRUE&amp;DOC_NAME=FAT:FQL_AUDITING_CLIENT_TEMPLATE.FAT&amp;display_string=Audit&amp;VAR:KEY=MTIFSDGNKD&amp;VAR:QUERY=RkZfRU5UUlBSX1ZBTF9EQUlMWSgzNjczOSk=&amp;WINDOW=FIRST_POPUP&amp;HEIGHT=450&amp;WIDTH=450&amp;START_MA","XIMIZED=FALSE&amp;VAR:CALENDAR=US&amp;VAR:SYMBOL=BYD&amp;VAR:INDEX=0"}</definedName>
    <definedName name="_240__FDSAUDITLINK__" localSheetId="34"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30"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22"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14"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10"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37"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25"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17"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13"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9"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36"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32"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24"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16"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12"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35"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31"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23"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15"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11"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localSheetId="8"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0__FDSAUDITLINK__" hidden="1">{"fdsup://directions/FAT Viewer?action=UPDATE&amp;creator=factset&amp;DYN_ARGS=TRUE&amp;DOC_NAME=FAT:FQL_AUDITING_CLIENT_TEMPLATE.FAT&amp;display_string=Audit&amp;VAR:KEY=GTEZOTOLYH&amp;VAR:QUERY=RkZfRU5UUlBSX1ZBTF9EQUlMWSgzNjcwOCk=&amp;WINDOW=FIRST_POPUP&amp;HEIGHT=450&amp;WIDTH=450&amp;START_MA","XIMIZED=FALSE&amp;VAR:CALENDAR=US&amp;VAR:SYMBOL=BYD&amp;VAR:INDEX=0"}</definedName>
    <definedName name="_241__FDSAUDITLINK__" localSheetId="34"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30"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22"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14"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10"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37"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25"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17"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13"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9"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36"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32"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24"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16"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12"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35"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31"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23"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15"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11"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localSheetId="8"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1__FDSAUDITLINK__" hidden="1">{"fdsup://directions/FAT Viewer?action=UPDATE&amp;creator=factset&amp;DYN_ARGS=TRUE&amp;DOC_NAME=FAT:FQL_AUDITING_CLIENT_TEMPLATE.FAT&amp;display_string=Audit&amp;VAR:KEY=SXGNIDQFWN&amp;VAR:QUERY=RkZfRU5UUlBSX1ZBTF9EQUlMWSgzNjY3OCk=&amp;WINDOW=FIRST_POPUP&amp;HEIGHT=450&amp;WIDTH=450&amp;START_MA","XIMIZED=FALSE&amp;VAR:CALENDAR=US&amp;VAR:SYMBOL=BYD&amp;VAR:INDEX=0"}</definedName>
    <definedName name="_242__FDSAUDITLINK__" localSheetId="34"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30"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22"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14"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10"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37"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25"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17"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13"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9"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36"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32"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24"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16"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12"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35"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31"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23"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15"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11"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localSheetId="8"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2__FDSAUDITLINK__" hidden="1">{"fdsup://directions/FAT Viewer?action=UPDATE&amp;creator=factset&amp;DYN_ARGS=TRUE&amp;DOC_NAME=FAT:FQL_AUDITING_CLIENT_TEMPLATE.FAT&amp;display_string=Audit&amp;VAR:KEY=ANOHCRKVCF&amp;VAR:QUERY=RkZfRU5UUlBSX1ZBTF9EQUlMWSgzNjY0Nyk=&amp;WINDOW=FIRST_POPUP&amp;HEIGHT=450&amp;WIDTH=450&amp;START_MA","XIMIZED=FALSE&amp;VAR:CALENDAR=US&amp;VAR:SYMBOL=BYD&amp;VAR:INDEX=0"}</definedName>
    <definedName name="_243__FDSAUDITLINK__" localSheetId="34"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30"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22"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14"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10"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37"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25"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17"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13"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9"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36"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32"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24"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16"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12"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35"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31"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23"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15"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11"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localSheetId="8"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3__FDSAUDITLINK__" hidden="1">{"fdsup://directions/FAT Viewer?action=UPDATE&amp;creator=factset&amp;DYN_ARGS=TRUE&amp;DOC_NAME=FAT:FQL_AUDITING_CLIENT_TEMPLATE.FAT&amp;display_string=Audit&amp;VAR:KEY=EPWBONKVCL&amp;VAR:QUERY=RkZfRU5UUlBSX1ZBTF9EQUlMWSgzNjYxNyk=&amp;WINDOW=FIRST_POPUP&amp;HEIGHT=450&amp;WIDTH=450&amp;START_MA","XIMIZED=FALSE&amp;VAR:CALENDAR=US&amp;VAR:SYMBOL=BYD&amp;VAR:INDEX=0"}</definedName>
    <definedName name="_244__FDSAUDITLINK__" localSheetId="34"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30"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22"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14"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10"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37"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25"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17"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13"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9"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36"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32"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24"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16"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12"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35"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31"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23"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15"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11"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localSheetId="8"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4__FDSAUDITLINK__" hidden="1">{"fdsup://directions/FAT Viewer?action=UPDATE&amp;creator=factset&amp;DYN_ARGS=TRUE&amp;DOC_NAME=FAT:FQL_AUDITING_CLIENT_TEMPLATE.FAT&amp;display_string=Audit&amp;VAR:KEY=MFUDGBIJOB&amp;VAR:QUERY=RkZfRU5UUlBSX1ZBTF9EQUlMWSgzNjU4Nik=&amp;WINDOW=FIRST_POPUP&amp;HEIGHT=450&amp;WIDTH=450&amp;START_MA","XIMIZED=FALSE&amp;VAR:CALENDAR=US&amp;VAR:SYMBOL=BYD&amp;VAR:INDEX=0"}</definedName>
    <definedName name="_245__FDSAUDITLINK__" localSheetId="34"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30"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22"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14"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10"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37"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25"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17"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13"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9"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36"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32"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24"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16"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12"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35"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31"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23"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15"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11"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localSheetId="8"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5__FDSAUDITLINK__" hidden="1">{"fdsup://directions/FAT Viewer?action=UPDATE&amp;creator=factset&amp;DYN_ARGS=TRUE&amp;DOC_NAME=FAT:FQL_AUDITING_CLIENT_TEMPLATE.FAT&amp;display_string=Audit&amp;VAR:KEY=CTIFUTMJYV&amp;VAR:QUERY=RkZfRU5UUlBSX1ZBTF9EQUlMWSgzNjU1Nyk=&amp;WINDOW=FIRST_POPUP&amp;HEIGHT=450&amp;WIDTH=450&amp;START_MA","XIMIZED=FALSE&amp;VAR:CALENDAR=US&amp;VAR:SYMBOL=BYD&amp;VAR:INDEX=0"}</definedName>
    <definedName name="_246__FDSAUDITLINK__" localSheetId="34"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30"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22"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14"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10"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37"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25"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17"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13"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9"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36"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32"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24"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16"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12"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35"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31"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23"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15"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11"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localSheetId="8"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6__FDSAUDITLINK__" hidden="1">{"fdsup://directions/FAT Viewer?action=UPDATE&amp;creator=factset&amp;DYN_ARGS=TRUE&amp;DOC_NAME=FAT:FQL_AUDITING_CLIENT_TEMPLATE.FAT&amp;display_string=Audit&amp;VAR:KEY=QRMVGVQFAN&amp;VAR:QUERY=RkZfRU5UUlBSX1ZBTF9EQUlMWSgzNjUyNik=&amp;WINDOW=FIRST_POPUP&amp;HEIGHT=450&amp;WIDTH=450&amp;START_MA","XIMIZED=FALSE&amp;VAR:CALENDAR=US&amp;VAR:SYMBOL=BYD&amp;VAR:INDEX=0"}</definedName>
    <definedName name="_247__FDSAUDITLINK__" localSheetId="34"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30"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22"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14"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10"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37"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25"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17"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13"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9"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36"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32"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24"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16"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12"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35"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31"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23"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15"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11"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localSheetId="8"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247__FDSAUDITLINK__" hidden="1">{"fdsup://directions/FAT Viewer?action=UPDATE&amp;creator=factset&amp;DYN_ARGS=TRUE&amp;DOC_NAME=FAT:FQL_AUDITING_CLIENT_TEMPLATE.FAT&amp;display_string=Audit&amp;VAR:KEY=CJATYFCXYJ&amp;VAR:QUERY=RkZfRU5UUlBSX1ZBTF9EQUlMWSg0MDIyOSk=&amp;WINDOW=FIRST_POPUP&amp;HEIGHT=450&amp;WIDTH=450&amp;START_MA","XIMIZED=FALSE&amp;VAR:CALENDAR=US&amp;VAR:SYMBOL=BYD&amp;VAR:INDEX=0"}</definedName>
    <definedName name="_3__FDSAUDITLINK__" localSheetId="34"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30"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22"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14"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10"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37"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25"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17"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13"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9"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36"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32"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24"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16"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12"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35"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31"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23"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15"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11"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8"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localSheetId="5"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4__FDSAUDITLINK__" localSheetId="34"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30"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22"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14"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10"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37"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25"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17"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13"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9"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36"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32"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24"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16"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12"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35"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31"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23"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15"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11"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8"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localSheetId="5"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5__FDSAUDITLINK__" localSheetId="34"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30"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22"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14"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10"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37"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25"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17"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13"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9"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36"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32"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24"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16"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12"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35"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31"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23"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15"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11"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8"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localSheetId="5"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0__FDSAUDITLINK__" localSheetId="34"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30"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22"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14"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10"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37"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25"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17"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13"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9"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36"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32"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24"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16"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12"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35"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31"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23"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15"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11"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8"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localSheetId="5"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6__FDSAUDITLINK__" localSheetId="34"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30"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22"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14"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10"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37"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25"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17"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13"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9"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36"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32"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24"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16"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12"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35"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31"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23"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15"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11"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8"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localSheetId="5"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7__FDSAUDITLINK__" localSheetId="14"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10"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13"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9"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16"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12"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15"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11"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8"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hidden="1">{"fdsup://Directions/FactSet Auditing Viewer?action=AUDIT_VALUE&amp;DB=129&amp;ID1=16990510&amp;VALUEID=01001&amp;SDATE=201002&amp;PERIODTYPE=QTR_STD&amp;SCFT=3&amp;window=popup_no_bar&amp;width=385&amp;height=120&amp;START_MAXIMIZED=FALSE&amp;creator=factset&amp;display_string=Audit"}</definedName>
    <definedName name="_8__FDSAUDITLINK__" localSheetId="14"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10"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13"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9"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16"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12"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15"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11"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8"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hidden="1">{"fdsup://Directions/FactSet Auditing Viewer?action=AUDIT_VALUE&amp;DB=129&amp;ID1=85590A40&amp;VALUEID=01001&amp;SDATE=201002&amp;PERIODTYPE=QTR_STD&amp;SCFT=3&amp;window=popup_no_bar&amp;width=385&amp;height=120&amp;START_MAXIMIZED=FALSE&amp;creator=factset&amp;display_string=Audit"}</definedName>
    <definedName name="_bdm.03E88E8443E0473FBD537FC65A90E6FE.edm" localSheetId="36" hidden="1">'3Q10'!$1:$1048576</definedName>
    <definedName name="_bdm.03E88E8443E0473FBD537FC65A90E6FE.edm" hidden="1">'2Q10'!$1:$1048576</definedName>
    <definedName name="_bdm.05FF6B61E6A3493EB198714403055E4D.edm" localSheetId="27" hidden="1">STN!$AQ$68:$AV$79</definedName>
    <definedName name="_bdm.0C04AF70408446F29146614B48EC7181.edm" localSheetId="1" hidden="1">BYD!$A$1050:$AV$1128</definedName>
    <definedName name="_bdm.0FAEAF0FF30F4D65953118AA2E3C4DF6.edm" localSheetId="27" hidden="1">STN!$AQ$67:$AT$80</definedName>
    <definedName name="_bdm.1091E87A137448F7BE1B89E1B89FA900.edm" localSheetId="1" hidden="1">BYD!$A$1051:$AV$1127</definedName>
    <definedName name="_bdm.10CC5860F0EC439880D68BCBB9958895.edm" localSheetId="1" hidden="1">BYD!$A$1223:$AV$1298</definedName>
    <definedName name="_bdm.166782733AE44F80B1E718B9996EC6D6.edm" localSheetId="27" hidden="1">STN!$AQ$86:$AT$102</definedName>
    <definedName name="_bdm.1A35FD89183B4326957F8BF3524EC2FE.edm" localSheetId="1" hidden="1">BYD!$A$1009:$AV$1049</definedName>
    <definedName name="_bdm.2831F25F3180461484876C63E68302F1.edm" localSheetId="28" hidden="1">Acq!$G$80:$L$100</definedName>
    <definedName name="_bdm.2A92F0FFBA6D45A7B5CE4769CEB61F6C.edm" localSheetId="1" hidden="1">BYD!$A$1223:$AV$1329</definedName>
    <definedName name="_bdm.2BFFB878201A4169BB33A29094E83E3E.edm" hidden="1">BYD!$1:$1048576</definedName>
    <definedName name="_bdm.2CFFF8F632534576BDC522DD38D2A978.edm" localSheetId="1" hidden="1">BYD!$A$1051:$AV$1128</definedName>
    <definedName name="_bdm.2FB932244F6440F8A534385416748A90.edm" localSheetId="27" hidden="1">STN!$AQ$68:$AT$80</definedName>
    <definedName name="_bdm.360A58A143F24A8C89156829F0DC3C16.edm" localSheetId="6" hidden="1">Sensitivity!$S$82:$V$92</definedName>
    <definedName name="_bdm.3AE8838FD85B4642A824EC0ADAADF9D7.edm" hidden="1">Acq!$1:$1048576</definedName>
    <definedName name="_bdm.3DD436F8B2754F57A5D2D7B65F98A60D.edm" localSheetId="1" hidden="1">BYD!$A$133:$AV$159</definedName>
    <definedName name="_bdm.4362E72878284731A7E4E11437ADD3F0.edm" localSheetId="3" hidden="1">'EBITDA Val'!$A$3:$E$16</definedName>
    <definedName name="_bdm.49B666CB166D468F9EF5A5F64588D265.edm" localSheetId="3" hidden="1">'EBITDA Val'!$A$1:$E$24</definedName>
    <definedName name="_bdm.4C9DECC70FD94A40B5FB052340D2F5AC.edm" hidden="1">'1Q11'!$1:$1048576</definedName>
    <definedName name="_bdm.4DFDC7520D224555AEC3964377D9118F.edm" localSheetId="1" hidden="1">BYD!$A$3:$BK$131</definedName>
    <definedName name="_bdm.4F0D811C67384DA5BF878A2AB755E562.edm" hidden="1">Sensitivity!$1:$1048576</definedName>
    <definedName name="_bdm.51A60B719174467BAB598930BBD97D53.edm" localSheetId="38" hidden="1">'1Q10'!$A$4:$L$52</definedName>
    <definedName name="_bdm.51A60B719174467BAB598930BBD97D53.edm" localSheetId="34" hidden="1">'1Q11'!$A$3:$L$57</definedName>
    <definedName name="_bdm.51A60B719174467BAB598930BBD97D53.edm" localSheetId="37" hidden="1">'2Q10'!$A$3:$L$57</definedName>
    <definedName name="_bdm.51A60B719174467BAB598930BBD97D53.edm" localSheetId="36" hidden="1">'3Q10'!$A$3:$L$57</definedName>
    <definedName name="_bdm.51A60B719174467BAB598930BBD97D53.edm" localSheetId="35" hidden="1">'4Q10'!$A$3:$L$57</definedName>
    <definedName name="_bdm.51E3941106F846AA83E73897EB162AD7.edm" localSheetId="34" hidden="1">'1Q11'!$A$4:$L$57</definedName>
    <definedName name="_bdm.51E3941106F846AA83E73897EB162AD7.edm" localSheetId="35" hidden="1">'4Q10'!$A$4:$L$57</definedName>
    <definedName name="_bdm.5592777BA7B7414A9D3B61528E7C243E.edm" hidden="1">'EBITDA Val'!$1:$1048576</definedName>
    <definedName name="_bdm.5F9C9BF76CC34752893CBA5FD32BF734.edm" localSheetId="1" hidden="1">BYD!$A$133:$BK$162</definedName>
    <definedName name="_bdm.60070E84167D4670B7B5429FC59993FC.edm" localSheetId="34" hidden="1">'1Q11'!$S$74:$Y$83</definedName>
    <definedName name="_bdm.60070E84167D4670B7B5429FC59993FC.edm" localSheetId="35" hidden="1">'4Q10'!$S$74:$Y$83</definedName>
    <definedName name="_bdm.60C00586C1B346BA941DDA12935A91E5.edm" hidden="1">'4Q10'!$1:$1048576</definedName>
    <definedName name="_bdm.6281166EB7524BD092025535CAC27D60.edm" localSheetId="28" hidden="1">Acq!$Z$119:$AG$169</definedName>
    <definedName name="_bdm.651E9768B99142CE8526F1FCDD9AB541.edm" localSheetId="30" hidden="1">'1Q12'!$AH$90:$AO$98</definedName>
    <definedName name="_bdm.651E9768B99142CE8526F1FCDD9AB541.edm" localSheetId="22" hidden="1">'1Q13'!$AG$95:$AM$103</definedName>
    <definedName name="_bdm.651E9768B99142CE8526F1FCDD9AB541.edm" localSheetId="14" hidden="1">'1Q14'!$AJ$96:$AP$104</definedName>
    <definedName name="_bdm.651E9768B99142CE8526F1FCDD9AB541.edm" localSheetId="10" hidden="1">'1Q15'!$AJ$95:$AP$103</definedName>
    <definedName name="_bdm.651E9768B99142CE8526F1FCDD9AB541.edm" localSheetId="25" hidden="1">'2Q12'!$AH$90:$AO$98</definedName>
    <definedName name="_bdm.651E9768B99142CE8526F1FCDD9AB541.edm" localSheetId="17" hidden="1">'2Q13'!$AJ$95:$AP$103</definedName>
    <definedName name="_bdm.651E9768B99142CE8526F1FCDD9AB541.edm" localSheetId="13" hidden="1">'2Q14'!$AJ$96:$AP$104</definedName>
    <definedName name="_bdm.651E9768B99142CE8526F1FCDD9AB541.edm" localSheetId="9" hidden="1">'2Q15'!$AJ$97:$AP$105</definedName>
    <definedName name="_bdm.651E9768B99142CE8526F1FCDD9AB541.edm" localSheetId="32" hidden="1">'3Q11'!$AJ$94:$AN$102</definedName>
    <definedName name="_bdm.651E9768B99142CE8526F1FCDD9AB541.edm" localSheetId="24" hidden="1">'3Q12'!$AH$90:$AO$98</definedName>
    <definedName name="_bdm.651E9768B99142CE8526F1FCDD9AB541.edm" localSheetId="16" hidden="1">'3Q13'!$AJ$95:$AP$103</definedName>
    <definedName name="_bdm.651E9768B99142CE8526F1FCDD9AB541.edm" localSheetId="12" hidden="1">'3Q14'!$AJ$96:$AP$104</definedName>
    <definedName name="_bdm.651E9768B99142CE8526F1FCDD9AB541.edm" localSheetId="31" hidden="1">'4Q11'!$AH$90:$AL$98</definedName>
    <definedName name="_bdm.651E9768B99142CE8526F1FCDD9AB541.edm" localSheetId="23" hidden="1">'4Q12'!$AH$93:$AO$101</definedName>
    <definedName name="_bdm.651E9768B99142CE8526F1FCDD9AB541.edm" localSheetId="15" hidden="1">'4Q13'!$AJ$95:$AP$103</definedName>
    <definedName name="_bdm.651E9768B99142CE8526F1FCDD9AB541.edm" localSheetId="11" hidden="1">'4Q14'!$AJ$95:$AP$103</definedName>
    <definedName name="_bdm.651E9768B99142CE8526F1FCDD9AB541.edm" localSheetId="8" hidden="1">'4Q15'!$AJ$97:$AP$105</definedName>
    <definedName name="_bdm.730635A9147C49738E6418EC1CF151E7.edm" localSheetId="30" hidden="1">'1Q12'!$S$72:$Y$78</definedName>
    <definedName name="_bdm.730635A9147C49738E6418EC1CF151E7.edm" localSheetId="22" hidden="1">'1Q13'!$R$77:$X$83</definedName>
    <definedName name="_bdm.730635A9147C49738E6418EC1CF151E7.edm" localSheetId="14" hidden="1">'1Q14'!$U$78:$AA$84</definedName>
    <definedName name="_bdm.730635A9147C49738E6418EC1CF151E7.edm" localSheetId="10" hidden="1">'1Q15'!$U$77:$AA$83</definedName>
    <definedName name="_bdm.730635A9147C49738E6418EC1CF151E7.edm" localSheetId="25" hidden="1">'2Q12'!$S$72:$Y$78</definedName>
    <definedName name="_bdm.730635A9147C49738E6418EC1CF151E7.edm" localSheetId="17" hidden="1">'2Q13'!$U$77:$AA$83</definedName>
    <definedName name="_bdm.730635A9147C49738E6418EC1CF151E7.edm" localSheetId="13" hidden="1">'2Q14'!$U$78:$AA$84</definedName>
    <definedName name="_bdm.730635A9147C49738E6418EC1CF151E7.edm" localSheetId="9" hidden="1">'2Q15'!$U$79:$AA$85</definedName>
    <definedName name="_bdm.730635A9147C49738E6418EC1CF151E7.edm" localSheetId="32" hidden="1">'3Q11'!$S$72:$Y$82</definedName>
    <definedName name="_bdm.730635A9147C49738E6418EC1CF151E7.edm" localSheetId="24" hidden="1">'3Q12'!$S$72:$Y$78</definedName>
    <definedName name="_bdm.730635A9147C49738E6418EC1CF151E7.edm" localSheetId="16" hidden="1">'3Q13'!$U$77:$AA$83</definedName>
    <definedName name="_bdm.730635A9147C49738E6418EC1CF151E7.edm" localSheetId="12" hidden="1">'3Q14'!$U$78:$AA$84</definedName>
    <definedName name="_bdm.730635A9147C49738E6418EC1CF151E7.edm" localSheetId="31" hidden="1">'4Q11'!$S$72:$Y$78</definedName>
    <definedName name="_bdm.730635A9147C49738E6418EC1CF151E7.edm" localSheetId="23" hidden="1">'4Q12'!$S$75:$Y$81</definedName>
    <definedName name="_bdm.730635A9147C49738E6418EC1CF151E7.edm" localSheetId="15" hidden="1">'4Q13'!$U$77:$AA$83</definedName>
    <definedName name="_bdm.730635A9147C49738E6418EC1CF151E7.edm" localSheetId="11" hidden="1">'4Q14'!$U$77:$AA$83</definedName>
    <definedName name="_bdm.730635A9147C49738E6418EC1CF151E7.edm" localSheetId="8" hidden="1">'4Q15'!$U$79:$AA$85</definedName>
    <definedName name="_bdm.76A14572BF8C4854A8A93C1C4C4040A4.edm" localSheetId="7" hidden="1">Tables!$DC$334:$DP$352</definedName>
    <definedName name="_bdm.84E7DD8C6B5849699B549103CD8502C5.edm" localSheetId="1" hidden="1">BYD!$A$3:$AV$129</definedName>
    <definedName name="_bdm.87C4ADD2CA524B838F0DDD57D138E7A6.edm" localSheetId="32" hidden="1">'3Q11'!$AO$104:$AP$125</definedName>
    <definedName name="_bdm.87C4ADD2CA524B838F0DDD57D138E7A6.edm" localSheetId="31" hidden="1">'4Q11'!$AM$100:$AN$121</definedName>
    <definedName name="_bdm.89E83BADB5A84EF5B500CC65E888B468.edm" localSheetId="6" hidden="1">Sensitivity!$S$81:$V$92</definedName>
    <definedName name="_bdm.8A6173C59EED403CB56D8F5CEC237CC2.edm" localSheetId="27" hidden="1">STN!$AQ$68:$AT$79</definedName>
    <definedName name="_bdm.9936B38565534321B1E2F3F5817EC911.edm" localSheetId="1" hidden="1">BYD!$A$5:$AV$116</definedName>
    <definedName name="_bdm.9FA61ECE62444061A2946549C45CDFCE.edm" localSheetId="1" hidden="1">BYD!$A$3:$BK$129</definedName>
    <definedName name="_bdm.AA05124D8C4346CD936E782C9E9053B4.edm" localSheetId="1" hidden="1">BYD!$A$3:$AV$130</definedName>
    <definedName name="_bdm.AB436CF0B7ED4142BA98D90D8879048A.edm" localSheetId="30" hidden="1">'1Q12'!$A$3:$L$50</definedName>
    <definedName name="_bdm.AB436CF0B7ED4142BA98D90D8879048A.edm" localSheetId="22" hidden="1">'1Q13'!$A$3:$L$55</definedName>
    <definedName name="_bdm.AB436CF0B7ED4142BA98D90D8879048A.edm" localSheetId="14" hidden="1">'1Q14'!$A$3:$L$56</definedName>
    <definedName name="_bdm.AB436CF0B7ED4142BA98D90D8879048A.edm" localSheetId="10" hidden="1">'1Q15'!$A$3:$L$55</definedName>
    <definedName name="_bdm.AB436CF0B7ED4142BA98D90D8879048A.edm" localSheetId="33" hidden="1">'2Q11'!$A$3:$L$51</definedName>
    <definedName name="_bdm.AB436CF0B7ED4142BA98D90D8879048A.edm" localSheetId="25" hidden="1">'2Q12'!$A$3:$L$50</definedName>
    <definedName name="_bdm.AB436CF0B7ED4142BA98D90D8879048A.edm" localSheetId="17" hidden="1">'2Q13'!$A$3:$L$55</definedName>
    <definedName name="_bdm.AB436CF0B7ED4142BA98D90D8879048A.edm" localSheetId="13" hidden="1">'2Q14'!$A$3:$L$56</definedName>
    <definedName name="_bdm.AB436CF0B7ED4142BA98D90D8879048A.edm" localSheetId="9" hidden="1">'2Q15'!$A$3:$L$57</definedName>
    <definedName name="_bdm.AB436CF0B7ED4142BA98D90D8879048A.edm" localSheetId="32" hidden="1">'3Q11'!$A$3:$L$50</definedName>
    <definedName name="_bdm.AB436CF0B7ED4142BA98D90D8879048A.edm" localSheetId="24" hidden="1">'3Q12'!$A$3:$L$50</definedName>
    <definedName name="_bdm.AB436CF0B7ED4142BA98D90D8879048A.edm" localSheetId="16" hidden="1">'3Q13'!$A$3:$L$55</definedName>
    <definedName name="_bdm.AB436CF0B7ED4142BA98D90D8879048A.edm" localSheetId="12" hidden="1">'3Q14'!$A$3:$L$56</definedName>
    <definedName name="_bdm.AB436CF0B7ED4142BA98D90D8879048A.edm" localSheetId="31" hidden="1">'4Q11'!$A$3:$L$50</definedName>
    <definedName name="_bdm.AB436CF0B7ED4142BA98D90D8879048A.edm" localSheetId="23" hidden="1">'4Q12'!$A$3:$L$53</definedName>
    <definedName name="_bdm.AB436CF0B7ED4142BA98D90D8879048A.edm" localSheetId="15" hidden="1">'4Q13'!$A$3:$L$55</definedName>
    <definedName name="_bdm.AB436CF0B7ED4142BA98D90D8879048A.edm" localSheetId="11" hidden="1">'4Q14'!$A$3:$L$55</definedName>
    <definedName name="_bdm.AB436CF0B7ED4142BA98D90D8879048A.edm" localSheetId="8" hidden="1">'4Q15'!$A$3:$L$57</definedName>
    <definedName name="_bdm.AE8774A28CE24E18A9FF63964A21B7CD.edm" localSheetId="28" hidden="1">Acq!$Q$122:$W$127</definedName>
    <definedName name="_bdm.B92961ED495140058043F1EF48B85E2D.edm" localSheetId="30" hidden="1">'1Q12'!$1:$1048576</definedName>
    <definedName name="_bdm.B92961ED495140058043F1EF48B85E2D.edm" localSheetId="22" hidden="1">'1Q13'!$1:$1048576</definedName>
    <definedName name="_bdm.B92961ED495140058043F1EF48B85E2D.edm" localSheetId="14" hidden="1">'1Q14'!$1:$1048576</definedName>
    <definedName name="_bdm.B92961ED495140058043F1EF48B85E2D.edm" localSheetId="10" hidden="1">'1Q15'!$1:$1048576</definedName>
    <definedName name="_bdm.B92961ED495140058043F1EF48B85E2D.edm" localSheetId="25" hidden="1">'2Q12'!$1:$1048576</definedName>
    <definedName name="_bdm.B92961ED495140058043F1EF48B85E2D.edm" localSheetId="17" hidden="1">'2Q13'!$1:$1048576</definedName>
    <definedName name="_bdm.B92961ED495140058043F1EF48B85E2D.edm" localSheetId="13" hidden="1">'2Q14'!$1:$1048576</definedName>
    <definedName name="_bdm.B92961ED495140058043F1EF48B85E2D.edm" localSheetId="9" hidden="1">'2Q15'!$1:$1048576</definedName>
    <definedName name="_bdm.B92961ED495140058043F1EF48B85E2D.edm" localSheetId="24" hidden="1">'3Q12'!$1:$1048576</definedName>
    <definedName name="_bdm.B92961ED495140058043F1EF48B85E2D.edm" localSheetId="16" hidden="1">'3Q13'!$1:$1048576</definedName>
    <definedName name="_bdm.B92961ED495140058043F1EF48B85E2D.edm" localSheetId="12" hidden="1">'3Q14'!$1:$1048576</definedName>
    <definedName name="_bdm.B92961ED495140058043F1EF48B85E2D.edm" localSheetId="31" hidden="1">'4Q11'!$1:$1048576</definedName>
    <definedName name="_bdm.B92961ED495140058043F1EF48B85E2D.edm" localSheetId="23" hidden="1">'4Q12'!$1:$1048576</definedName>
    <definedName name="_bdm.B92961ED495140058043F1EF48B85E2D.edm" localSheetId="15" hidden="1">'4Q13'!$1:$1048576</definedName>
    <definedName name="_bdm.B92961ED495140058043F1EF48B85E2D.edm" localSheetId="11" hidden="1">'4Q14'!$1:$1048576</definedName>
    <definedName name="_bdm.B92961ED495140058043F1EF48B85E2D.edm" localSheetId="8" hidden="1">'4Q15'!$1:$1048576</definedName>
    <definedName name="_bdm.B92961ED495140058043F1EF48B85E2D.edm" hidden="1">'3Q11'!$1:$1048576</definedName>
    <definedName name="_bdm.BC0A7D5817DE439189A18B1694FB615F.edm" localSheetId="1" hidden="1">BYD!$A$1009:$AV$1048</definedName>
    <definedName name="_bdm.C1444BA7F3B34DF4BED862A2C9612465.edm" localSheetId="1" hidden="1">BYD!$A$132:$BK$184</definedName>
    <definedName name="_bdm.C1E416E020CB44EC9CDF49E0EE8E5AD5.edm" localSheetId="1" hidden="1">BYD!$A$3:$AV$123</definedName>
    <definedName name="_bdm.C478E0C40CCB442EA85B64C99F640F7E.edm" hidden="1">Tables!$1:$1048576</definedName>
    <definedName name="_bdm.C4B1A0309BF74D609B3515806D855D33.edm" localSheetId="1" hidden="1">BYD!$A$133:$AV$151</definedName>
    <definedName name="_bdm.C66AF87AD1CC49D18CAE751C2B557125.edm" localSheetId="34" hidden="1">'1Q11'!$A$3:$L$56</definedName>
    <definedName name="_bdm.CB57D3545F0244A1A25AC4034E64EE5A.edm" localSheetId="1" hidden="1">BYD!$A$132:$AV$184</definedName>
    <definedName name="_bdm.D4157E40AF86439098A735CC891922C2.edm" hidden="1">'Bull-Bear'!$1:$1048576</definedName>
    <definedName name="_bdm.D4E09A1C945645AB984E3E4B846BD4C6.edm" localSheetId="1" hidden="1">BYD!$A$1010:$AV$1049</definedName>
    <definedName name="_bdm.DC00C9B512DD4BFDB81BAC2DFC275FEB.edm" localSheetId="28" hidden="1">Acq!$G$80:$L$102</definedName>
    <definedName name="_bdm.DE7DCAC754804DB59DB2A6FCE92BBD30.edm" localSheetId="1" hidden="1">BYD!$A$1010:$AV$1048</definedName>
    <definedName name="_bdm.E13BFB66E1D24CBAB1F71053AD9C250C.edm" hidden="1">STN!$1:$1048576</definedName>
    <definedName name="_bdm.E32AF7F2709D43A98B81CBA99A437D91.edm" hidden="1">'1Q10'!$1:$1048576</definedName>
    <definedName name="_bdm.F27C9AD74814459BA57223D53F2FA7E1.edm" localSheetId="3" hidden="1">'EBITDA Val'!$A$3:$E$24</definedName>
    <definedName name="_bdm.F35389BB896F4935B8A82FFE097DD74B.edm" localSheetId="1" hidden="1">BYD!$A$3:$AV$131</definedName>
    <definedName name="_bdm.F4D0BA6A887F424A834B30953DD5D0AA.edm" hidden="1">'2Q11'!$1:$1048576</definedName>
    <definedName name="_bdm.F92FB4B6662D4DF68D4DF4DF496D11FF.edm" localSheetId="3" hidden="1">'EBITDA Val'!$A$3:$E$22</definedName>
    <definedName name="_bdm.FAA0BE72128B4703AEF02CEEB79FEE4A.edm" localSheetId="1" hidden="1">BYD!$A$133:$AV$162</definedName>
    <definedName name="_bdm.FC33E10D5CA1426BB75632042245128E.edm" localSheetId="27" hidden="1">STN!$AQ$67:$AV$80</definedName>
    <definedName name="_DCF2" localSheetId="14">{"Client Name or Project Name"}</definedName>
    <definedName name="_DCF2" localSheetId="10">{"Client Name or Project Name"}</definedName>
    <definedName name="_DCF2" localSheetId="13">{"Client Name or Project Name"}</definedName>
    <definedName name="_DCF2" localSheetId="9">{"Client Name or Project Name"}</definedName>
    <definedName name="_DCF2" localSheetId="16">{"Client Name or Project Name"}</definedName>
    <definedName name="_DCF2" localSheetId="12">{"Client Name or Project Name"}</definedName>
    <definedName name="_DCF2" localSheetId="15">{"Client Name or Project Name"}</definedName>
    <definedName name="_DCF2" localSheetId="11">{"Client Name or Project Name"}</definedName>
    <definedName name="_DCF2" localSheetId="8">{"Client Name or Project Name"}</definedName>
    <definedName name="_DCF2" localSheetId="5">{"Client Name or Project Name"}</definedName>
    <definedName name="_DCF2">{"Client Name or Project Name"}</definedName>
    <definedName name="_xlnm._FilterDatabase" localSheetId="1" hidden="1">BYD!$A$125:$DU$129</definedName>
    <definedName name="AdditionalInstructions">IndexInformation!$B$42</definedName>
    <definedName name="Address" localSheetId="0">ImportantDisclosures!$A$2:$A$2</definedName>
    <definedName name="ANA" localSheetId="42">ModPubIndex!$A$7</definedName>
    <definedName name="Authors" localSheetId="0">ImportantDisclosures!$A$7</definedName>
    <definedName name="Authors" localSheetId="41">IndexInformation!$B$18</definedName>
    <definedName name="BRO" localSheetId="42">ModPubIndex!$A$1</definedName>
    <definedName name="CopyrightStamp">ImportantDisclosures!$A$27</definedName>
    <definedName name="COU" localSheetId="42">ModPubIndex!$A$5</definedName>
    <definedName name="CQEnd" localSheetId="41">IndexInformation!$B$31</definedName>
    <definedName name="Currency" localSheetId="41">IndexInformation!$B$24</definedName>
    <definedName name="CurrentStockPrice" localSheetId="41">IndexInformation!$B$23</definedName>
    <definedName name="CurrQtrEPS" localSheetId="41">IndexInformation!$B$29</definedName>
    <definedName name="CurrYearEPS" localSheetId="41">IndexInformation!$B$11</definedName>
    <definedName name="CurrYearTotalRevenue" localSheetId="41">IndexInformation!$B$10</definedName>
    <definedName name="CurrYearTotalRevenueActual" localSheetId="41">IndexInformation!$B$32</definedName>
    <definedName name="CUSIP" localSheetId="41">IndexInformation!$B$20</definedName>
    <definedName name="CYEnd" localSheetId="41">IndexInformation!$B$30</definedName>
    <definedName name="Date" localSheetId="0">ImportantDisclosures!$A$8</definedName>
    <definedName name="Deleted" localSheetId="41">IndexInformation!$B$27</definedName>
    <definedName name="Description" localSheetId="41">IndexInformation!$B$7</definedName>
    <definedName name="Discipline" localSheetId="41">IndexInformation!$B$3</definedName>
    <definedName name="DISCIPLINE" localSheetId="42">ModPubIndex!$A$12</definedName>
    <definedName name="DisclosuresText">ImportantDisclosures!$A$22</definedName>
    <definedName name="Distribution" localSheetId="41">IndexInformation!$B$26</definedName>
    <definedName name="DistTable" localSheetId="0">ImportantDisclosures!#REF!</definedName>
    <definedName name="DistTablePreamble" localSheetId="0">ImportantDisclosures!#REF!</definedName>
    <definedName name="DOCDAT" localSheetId="42">ModPubIndex!$A$2</definedName>
    <definedName name="DOCTIME" localSheetId="42">ModPubIndex!$A$3</definedName>
    <definedName name="DocType" localSheetId="41">IndexInformation!$B$5</definedName>
    <definedName name="EMAIL_ALERT" localSheetId="42">ModPubIndex!$A$10</definedName>
    <definedName name="EmailAlert" localSheetId="41">IndexInformation!$B$28</definedName>
    <definedName name="FiveYearGrowthRate" localSheetId="41">IndexInformation!$B$16</definedName>
    <definedName name="FollowingYearEPS" localSheetId="41">IndexInformation!$B$15</definedName>
    <definedName name="FollowingYearTotalRevenue" localSheetId="41">IndexInformation!$B$14</definedName>
    <definedName name="FollowingYearTotalRevenueActual" localSheetId="41">IndexInformation!$B$34</definedName>
    <definedName name="HL" localSheetId="42">ModPubIndex!$A$8</definedName>
    <definedName name="IND" localSheetId="42">ModPubIndex!$A$9</definedName>
    <definedName name="Industry" localSheetId="0">ImportantDisclosures!$A$12</definedName>
    <definedName name="IndustryId">IndexInformation!$B$40</definedName>
    <definedName name="IndustryRating" localSheetId="0">ImportantDisclosures!$A$13</definedName>
    <definedName name="IQ_ADDIN" hidden="1">"AUTO"</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 hidden="1">110000</definedName>
    <definedName name="IQ_CHANGE_AP_BR" hidden="1">"c135"</definedName>
    <definedName name="IQ_CHANGE_AR_BR" hidden="1">"c142"</definedName>
    <definedName name="IQ_CHANGE_OTHER_NET_OPER_ASSETS_BR" hidden="1">"c3595"</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 hidden="1">5000</definedName>
    <definedName name="IQ_CURRENCY_GAIN_BR" hidden="1">"c236"</definedName>
    <definedName name="IQ_CURRENT_PORT_DEBT_BR" hidden="1">"c1567"</definedName>
    <definedName name="IQ_CY" hidden="1">10000</definedName>
    <definedName name="IQ_DA_BR" hidden="1">"c248"</definedName>
    <definedName name="IQ_DA_CF_BR" hidden="1">"c251"</definedName>
    <definedName name="IQ_DA_SUPPL_BR" hidden="1">"c260"</definedName>
    <definedName name="IQ_DA_SUPPL_CF_BR" hidden="1">"c263"</definedName>
    <definedName name="IQ_DAILY" hidden="1">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PENSE_CODE_">"019802400"</definedName>
    <definedName name="IQ_EXTRA_ACC_ITEMS_BR" hidden="1">"c412"</definedName>
    <definedName name="IQ_FH" hidden="1">100000</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 hidden="1">2000</definedName>
    <definedName name="IQ_LTMMONTH" hidden="1">120000</definedName>
    <definedName name="IQ_MERGER_BR" hidden="1">"c715"</definedName>
    <definedName name="IQ_MERGER_RESTRUCTURE_BR" hidden="1">"c721"</definedName>
    <definedName name="IQ_MINORITY_INTEREST_BR" hidden="1">"c729"</definedName>
    <definedName name="IQ_MONTH" hidden="1">15000</definedName>
    <definedName name="IQ_MTD" hidden="1">800000</definedName>
    <definedName name="IQ_NAMES_REVISION_DATE_" hidden="1">41541.7844907407</definedName>
    <definedName name="IQ_NET_DEBT_ISSUED_BR" hidden="1">"c753"</definedName>
    <definedName name="IQ_NET_INT_INC_BR" hidden="1">"c765"</definedName>
    <definedName name="IQ_NTM" hidden="1">6000</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OTAL_UNUSUAL_BR" hidden="1">"c5517"</definedName>
    <definedName name="IQ_TREASURY_OTHER_EQUITY_BR" hidden="1">"c1314"</definedName>
    <definedName name="IQ_UNEARN_REV_CURRENT_BR" hidden="1">"c1324"</definedName>
    <definedName name="IQ_WEEK" hidden="1">50000</definedName>
    <definedName name="IQ_YTD" hidden="1">3000</definedName>
    <definedName name="IQ_YTDMONTH" hidden="1">130000</definedName>
    <definedName name="KeepVersions" localSheetId="41">IndexInformation!$B$8</definedName>
    <definedName name="LanguageCode">IndexInformation!$B$38</definedName>
    <definedName name="LastCell" localSheetId="0">ImportantDisclosures!$A$22</definedName>
    <definedName name="Linking_1">'Tables 2'!$CG$479:$CK$505</definedName>
    <definedName name="Linking_2">'Tables 2'!$CG$479:$CK$507</definedName>
    <definedName name="Linking_3">'Tables 2'!$CG$479:$CK$491</definedName>
    <definedName name="Linking_4">'Tables 2'!$CG$492:$CK$507</definedName>
    <definedName name="Linking_5">'Tables 2'!$CY$530:$DC$532</definedName>
    <definedName name="Linking_6">BYD!$A$6:$BZ$95</definedName>
    <definedName name="Linking_7">'EBITDA Val'!$A$4:$F$20</definedName>
    <definedName name="Linking_8">BYD!$A$1051:$CB$1127</definedName>
    <definedName name="Linking_Range_1" localSheetId="30">'1Q12'!$A$3:$L$50</definedName>
    <definedName name="Linking_Range_1" localSheetId="22">'1Q13'!$A$3:$L$55</definedName>
    <definedName name="Linking_Range_1" localSheetId="14">'1Q14'!$A$3:$L$56</definedName>
    <definedName name="Linking_Range_1" localSheetId="10">'1Q15'!$A$3:$L$55</definedName>
    <definedName name="Linking_Range_1" localSheetId="25">'2Q12'!$A$3:$L$50</definedName>
    <definedName name="Linking_Range_1" localSheetId="17">'2Q13'!$A$3:$L$55</definedName>
    <definedName name="Linking_Range_1" localSheetId="13">'2Q14'!$A$3:$L$56</definedName>
    <definedName name="Linking_Range_1" localSheetId="9">'2Q15'!$A$3:$L$57</definedName>
    <definedName name="Linking_Range_1" localSheetId="24">'3Q12'!$A$3:$L$50</definedName>
    <definedName name="Linking_Range_1" localSheetId="16">'3Q13'!$A$3:$L$55</definedName>
    <definedName name="Linking_Range_1" localSheetId="12">'3Q14'!$A$3:$L$56</definedName>
    <definedName name="Linking_Range_1" localSheetId="23">'4Q12'!$A$3:$L$53</definedName>
    <definedName name="Linking_Range_1" localSheetId="15">'4Q13'!$A$3:$L$55</definedName>
    <definedName name="Linking_Range_1" localSheetId="11">'4Q14'!$A$3:$L$55</definedName>
    <definedName name="Linking_Range_1" localSheetId="8">'4Q15'!$A$3:$L$57</definedName>
    <definedName name="Linking_Range_1">'4Q11'!$A$3:$L$50</definedName>
    <definedName name="Linking_Range_10">'EBITDA Val'!$A$3:$E$16</definedName>
    <definedName name="Linking_Range_11">BYD!$A$3:$BF$130</definedName>
    <definedName name="Linking_Range_12">BYD!$A$133:$BF$162</definedName>
    <definedName name="Linking_Range_13">BYD!$A$1051:$BF$1127</definedName>
    <definedName name="Linking_Range_14" localSheetId="22">'1Q13'!$A$3:$L$55</definedName>
    <definedName name="Linking_Range_14" localSheetId="14">'1Q14'!$A$3:$L$56</definedName>
    <definedName name="Linking_Range_14" localSheetId="10">'1Q15'!$A$3:$L$55</definedName>
    <definedName name="Linking_Range_14" localSheetId="17">'2Q13'!$A$3:$L$55</definedName>
    <definedName name="Linking_Range_14" localSheetId="13">'2Q14'!$A$3:$L$56</definedName>
    <definedName name="Linking_Range_14" localSheetId="9">'2Q15'!$A$3:$L$57</definedName>
    <definedName name="Linking_Range_14" localSheetId="16">'3Q13'!$A$3:$L$55</definedName>
    <definedName name="Linking_Range_14" localSheetId="12">'3Q14'!$A$3:$L$56</definedName>
    <definedName name="Linking_Range_14" localSheetId="23">'4Q12'!$A$3:$L$53</definedName>
    <definedName name="Linking_Range_14" localSheetId="15">'4Q13'!$A$3:$L$55</definedName>
    <definedName name="Linking_Range_14" localSheetId="11">'4Q14'!$A$3:$L$55</definedName>
    <definedName name="Linking_Range_14" localSheetId="8">'4Q15'!$A$3:$L$57</definedName>
    <definedName name="Linking_Range_14">'3Q12'!$A$3:$L$50</definedName>
    <definedName name="Linking_Range_15">BYD!$A$3:$BF$103</definedName>
    <definedName name="Linking_Range_16">'EBITDA Val'!$A$3:$E$21</definedName>
    <definedName name="Linking_Range_17">Tables!$GB$563:$GE$590</definedName>
    <definedName name="Linking_Range_18">Tables!$GB$563:$GE$601</definedName>
    <definedName name="Linking_Range_19">'EBITDA Val'!$A$3:$E$20</definedName>
    <definedName name="Linking_Range_2">BYD!$A$133:$AV$162</definedName>
    <definedName name="Linking_Range_20">Tables!$GR$638:$GU$676</definedName>
    <definedName name="Linking_Range_21">Tables!$GZ$797:$HC$813</definedName>
    <definedName name="Linking_Range_22">Tables!$HI$821:$HQ$833</definedName>
    <definedName name="Linking_Range_23">BYD!$A$1009:$BF$1048</definedName>
    <definedName name="Linking_Range_24">BYD!$A$1010:$BF$1048</definedName>
    <definedName name="Linking_Range_25">Tables!$GR$638:$GU$677</definedName>
    <definedName name="Linking_Range_26">Tables!$GR$678:$GU$713</definedName>
    <definedName name="Linking_Range_27">Tables!$GR$714:$GU$728</definedName>
    <definedName name="Linking_Range_28">Tables!$GR$729:$GU$742</definedName>
    <definedName name="Linking_Range_29">Tables!$GR$757:$GU$770</definedName>
    <definedName name="Linking_Range_3" localSheetId="22">'1Q13'!$A$3:$L$56</definedName>
    <definedName name="Linking_Range_3" localSheetId="14">'1Q14'!$A$3:$L$57</definedName>
    <definedName name="Linking_Range_3" localSheetId="10">'1Q15'!$A$3:$L$56</definedName>
    <definedName name="Linking_Range_3" localSheetId="25">'2Q12'!$A$3:$L$51</definedName>
    <definedName name="Linking_Range_3" localSheetId="17">'2Q13'!$A$3:$L$56</definedName>
    <definedName name="Linking_Range_3" localSheetId="13">'2Q14'!$A$3:$L$57</definedName>
    <definedName name="Linking_Range_3" localSheetId="9">'2Q15'!$A$3:$L$58</definedName>
    <definedName name="Linking_Range_3" localSheetId="24">'3Q12'!$A$3:$L$51</definedName>
    <definedName name="Linking_Range_3" localSheetId="16">'3Q13'!$A$3:$L$56</definedName>
    <definedName name="Linking_Range_3" localSheetId="12">'3Q14'!$A$3:$L$57</definedName>
    <definedName name="Linking_Range_3" localSheetId="23">'4Q12'!$A$3:$L$54</definedName>
    <definedName name="Linking_Range_3" localSheetId="15">'4Q13'!$A$3:$L$56</definedName>
    <definedName name="Linking_Range_3" localSheetId="11">'4Q14'!$A$3:$L$56</definedName>
    <definedName name="Linking_Range_3" localSheetId="8">'4Q15'!$A$3:$L$58</definedName>
    <definedName name="Linking_Range_3">'1Q12'!$A$3:$L$51</definedName>
    <definedName name="Linking_Range_30">Tables!$GR$771:$GU$784</definedName>
    <definedName name="Linking_Range_31">Tables!$GR$743:$GU$756</definedName>
    <definedName name="Linking_Range_32">Tables!$GV$786:$GY$794</definedName>
    <definedName name="Linking_Range_33" localSheetId="14">'1Q14'!$A$3:$L$56</definedName>
    <definedName name="Linking_Range_33" localSheetId="10">'1Q15'!$A$3:$L$55</definedName>
    <definedName name="Linking_Range_33" localSheetId="17">'2Q13'!$A$3:$L$55</definedName>
    <definedName name="Linking_Range_33" localSheetId="13">'2Q14'!$A$3:$L$56</definedName>
    <definedName name="Linking_Range_33" localSheetId="9">'2Q15'!$A$3:$L$57</definedName>
    <definedName name="Linking_Range_33" localSheetId="16">'3Q13'!$A$3:$L$55</definedName>
    <definedName name="Linking_Range_33" localSheetId="12">'3Q14'!$A$3:$L$56</definedName>
    <definedName name="Linking_Range_33" localSheetId="15">'4Q13'!$A$3:$L$55</definedName>
    <definedName name="Linking_Range_33" localSheetId="11">'4Q14'!$A$3:$L$55</definedName>
    <definedName name="Linking_Range_33" localSheetId="8">'4Q15'!$A$3:$L$57</definedName>
    <definedName name="Linking_Range_33">'1Q13'!$A$3:$L$55</definedName>
    <definedName name="Linking_Range_34">Tables!$IK$859:$IU$889</definedName>
    <definedName name="Linking_Range_35">Tables!$HR$836:$II$842</definedName>
    <definedName name="Linking_Range_36">BYD!$A$6:$BK$130</definedName>
    <definedName name="Linking_Range_37" localSheetId="14">'1Q14'!$A$4:$L$56</definedName>
    <definedName name="Linking_Range_37" localSheetId="10">'1Q15'!$A$4:$L$55</definedName>
    <definedName name="Linking_Range_37" localSheetId="13">'2Q14'!$A$4:$L$56</definedName>
    <definedName name="Linking_Range_37" localSheetId="9">'2Q15'!$A$4:$L$57</definedName>
    <definedName name="Linking_Range_37" localSheetId="16">'3Q13'!$A$4:$L$55</definedName>
    <definedName name="Linking_Range_37" localSheetId="12">'3Q14'!$A$4:$L$56</definedName>
    <definedName name="Linking_Range_37" localSheetId="15">'4Q13'!$A$4:$L$55</definedName>
    <definedName name="Linking_Range_37" localSheetId="11">'4Q14'!$A$4:$L$55</definedName>
    <definedName name="Linking_Range_37" localSheetId="8">'4Q15'!$A$4:$L$57</definedName>
    <definedName name="Linking_Range_37">'2Q13'!$A$4:$L$55</definedName>
    <definedName name="Linking_Range_38">Tables!$IK$859:$IU$888</definedName>
    <definedName name="Linking_Range_39">'EBITDA Val'!$A$4:$E$20</definedName>
    <definedName name="Linking_Range_4" localSheetId="22">'1Q13'!$A$3:$L$55</definedName>
    <definedName name="Linking_Range_4" localSheetId="14">'1Q14'!$A$3:$L$56</definedName>
    <definedName name="Linking_Range_4" localSheetId="10">'1Q15'!$A$3:$L$55</definedName>
    <definedName name="Linking_Range_4" localSheetId="25">'2Q12'!$A$3:$L$50</definedName>
    <definedName name="Linking_Range_4" localSheetId="17">'2Q13'!$A$3:$L$55</definedName>
    <definedName name="Linking_Range_4" localSheetId="13">'2Q14'!$A$3:$L$56</definedName>
    <definedName name="Linking_Range_4" localSheetId="9">'2Q15'!$A$3:$L$57</definedName>
    <definedName name="Linking_Range_4" localSheetId="24">'3Q12'!$A$3:$L$50</definedName>
    <definedName name="Linking_Range_4" localSheetId="16">'3Q13'!$A$3:$L$55</definedName>
    <definedName name="Linking_Range_4" localSheetId="12">'3Q14'!$A$3:$L$56</definedName>
    <definedName name="Linking_Range_4" localSheetId="23">'4Q12'!$A$3:$L$53</definedName>
    <definedName name="Linking_Range_4" localSheetId="15">'4Q13'!$A$3:$L$55</definedName>
    <definedName name="Linking_Range_4" localSheetId="11">'4Q14'!$A$3:$L$55</definedName>
    <definedName name="Linking_Range_4" localSheetId="8">'4Q15'!$A$3:$L$57</definedName>
    <definedName name="Linking_Range_4">'1Q12'!$A$3:$L$50</definedName>
    <definedName name="Linking_Range_40" localSheetId="14">'1Q14'!$A$4:$L$56</definedName>
    <definedName name="Linking_Range_40" localSheetId="10">'1Q15'!$A$4:$L$55</definedName>
    <definedName name="Linking_Range_40" localSheetId="13">'2Q14'!$A$4:$L$56</definedName>
    <definedName name="Linking_Range_40" localSheetId="9">'2Q15'!$A$4:$L$57</definedName>
    <definedName name="Linking_Range_40" localSheetId="12">'3Q14'!$A$4:$L$56</definedName>
    <definedName name="Linking_Range_40" localSheetId="15">'4Q13'!$A$4:$L$55</definedName>
    <definedName name="Linking_Range_40" localSheetId="11">'4Q14'!$A$4:$L$55</definedName>
    <definedName name="Linking_Range_40" localSheetId="8">'4Q15'!$A$4:$L$57</definedName>
    <definedName name="Linking_Range_40">'3Q13'!$A$4:$L$55</definedName>
    <definedName name="Linking_Range_41">BYD!$A$133:$BF$163</definedName>
    <definedName name="Linking_Range_42">'Tables 2'!$G$35:$J$72</definedName>
    <definedName name="Linking_Range_43">BYD!$A$6:$BU$130</definedName>
    <definedName name="Linking_Range_44">BYD!$A$6:$BK$95</definedName>
    <definedName name="Linking_Range_45">'Tables 2'!$Q$136:$T$198</definedName>
    <definedName name="Linking_Range_46">'Tables 2'!$Q$136:$T$202</definedName>
    <definedName name="Linking_Range_47">Tables!$IK$859:$IV$888</definedName>
    <definedName name="Linking_Range_48">'Tables 2'!$AV$381:$BC$398</definedName>
    <definedName name="Linking_Range_49">BYD!$A$6:$CB$95</definedName>
    <definedName name="Linking_Range_5">Tables!$FT$485:$FU$501</definedName>
    <definedName name="Linking_Range_50">BYD!$A$6:$BP$95</definedName>
    <definedName name="Linking_Range_51">'Tables 2'!$G$35:$J$80</definedName>
    <definedName name="Linking_Range_52">BYD!$A$6:$BU$95</definedName>
    <definedName name="Linking_Range_6" localSheetId="22">'1Q13'!$A$3:$L$55</definedName>
    <definedName name="Linking_Range_6" localSheetId="14">'1Q14'!$A$3:$L$56</definedName>
    <definedName name="Linking_Range_6" localSheetId="10">'1Q15'!$A$3:$L$55</definedName>
    <definedName name="Linking_Range_6" localSheetId="17">'2Q13'!$A$3:$L$55</definedName>
    <definedName name="Linking_Range_6" localSheetId="13">'2Q14'!$A$3:$L$56</definedName>
    <definedName name="Linking_Range_6" localSheetId="9">'2Q15'!$A$3:$L$57</definedName>
    <definedName name="Linking_Range_6" localSheetId="24">'3Q12'!$A$3:$L$50</definedName>
    <definedName name="Linking_Range_6" localSheetId="16">'3Q13'!$A$3:$L$55</definedName>
    <definedName name="Linking_Range_6" localSheetId="12">'3Q14'!$A$3:$L$56</definedName>
    <definedName name="Linking_Range_6" localSheetId="23">'4Q12'!$A$3:$L$53</definedName>
    <definedName name="Linking_Range_6" localSheetId="15">'4Q13'!$A$3:$L$55</definedName>
    <definedName name="Linking_Range_6" localSheetId="11">'4Q14'!$A$3:$L$55</definedName>
    <definedName name="Linking_Range_6" localSheetId="8">'4Q15'!$A$3:$L$57</definedName>
    <definedName name="Linking_Range_6">'2Q12'!$A$3:$L$50</definedName>
    <definedName name="Linking_Range_7" localSheetId="22">'1Q13'!$A$3:$L$56</definedName>
    <definedName name="Linking_Range_7" localSheetId="14">'1Q14'!$A$3:$L$57</definedName>
    <definedName name="Linking_Range_7" localSheetId="10">'1Q15'!$A$3:$L$56</definedName>
    <definedName name="Linking_Range_7" localSheetId="17">'2Q13'!$A$3:$L$56</definedName>
    <definedName name="Linking_Range_7" localSheetId="13">'2Q14'!$A$3:$L$57</definedName>
    <definedName name="Linking_Range_7" localSheetId="9">'2Q15'!$A$3:$L$58</definedName>
    <definedName name="Linking_Range_7" localSheetId="24">'3Q12'!$A$3:$L$51</definedName>
    <definedName name="Linking_Range_7" localSheetId="16">'3Q13'!$A$3:$L$56</definedName>
    <definedName name="Linking_Range_7" localSheetId="12">'3Q14'!$A$3:$L$57</definedName>
    <definedName name="Linking_Range_7" localSheetId="23">'4Q12'!$A$3:$L$54</definedName>
    <definedName name="Linking_Range_7" localSheetId="15">'4Q13'!$A$3:$L$56</definedName>
    <definedName name="Linking_Range_7" localSheetId="11">'4Q14'!$A$3:$L$56</definedName>
    <definedName name="Linking_Range_7" localSheetId="8">'4Q15'!$A$3:$L$58</definedName>
    <definedName name="Linking_Range_7">'2Q12'!$A$3:$L$51</definedName>
    <definedName name="Linking_Range_8">BYD!$A$3:$BA$130</definedName>
    <definedName name="Linking_Range_9">BYD!$A$133:$BA$162</definedName>
    <definedName name="MacroVersion" localSheetId="41">IndexInformation!$B$1</definedName>
    <definedName name="ModelPrice" localSheetId="0">ImportantDisclosures!$A$14</definedName>
    <definedName name="Multiplier" localSheetId="41">IndexInformation!$B$35</definedName>
    <definedName name="NextYearEPS" localSheetId="41">IndexInformation!$B$13</definedName>
    <definedName name="NextYearTotalRevenue" localSheetId="41">IndexInformation!$B$12</definedName>
    <definedName name="NextYearTotalRevenueActual" localSheetId="41">IndexInformation!$B$33</definedName>
    <definedName name="ObjectType">IndexInformation!$B$37</definedName>
    <definedName name="PANA" localSheetId="42">ModPubIndex!$A$11</definedName>
    <definedName name="PathName" localSheetId="41">IndexInformation!$B$25</definedName>
    <definedName name="_xlnm.Print_Area" localSheetId="1">BYD!$A$1:$BA$1298</definedName>
    <definedName name="_xlnm.Print_Area" localSheetId="6">Sensitivity!$A$1:$Q$77</definedName>
    <definedName name="_xlnm.Print_Area" localSheetId="21">Taxes!$A$2:$A$72</definedName>
    <definedName name="_xlnm.Print_Area">#REF!</definedName>
    <definedName name="_xlnm.Print_Titles">#REF!</definedName>
    <definedName name="PRODUCT" localSheetId="42">ModPubIndex!$A$6</definedName>
    <definedName name="ProjectName" localSheetId="34">{"Client Name or Project Name"}</definedName>
    <definedName name="ProjectName" localSheetId="30">{"Client Name or Project Name"}</definedName>
    <definedName name="ProjectName" localSheetId="22">{"Client Name or Project Name"}</definedName>
    <definedName name="ProjectName" localSheetId="14">{"Client Name or Project Name"}</definedName>
    <definedName name="ProjectName" localSheetId="10">{"Client Name or Project Name"}</definedName>
    <definedName name="ProjectName" localSheetId="37">{"Client Name or Project Name"}</definedName>
    <definedName name="ProjectName" localSheetId="25">{"Client Name or Project Name"}</definedName>
    <definedName name="ProjectName" localSheetId="17">{"Client Name or Project Name"}</definedName>
    <definedName name="ProjectName" localSheetId="13">{"Client Name or Project Name"}</definedName>
    <definedName name="ProjectName" localSheetId="9">{"Client Name or Project Name"}</definedName>
    <definedName name="ProjectName" localSheetId="36">{"Client Name or Project Name"}</definedName>
    <definedName name="ProjectName" localSheetId="32">{"Client Name or Project Name"}</definedName>
    <definedName name="ProjectName" localSheetId="24">{"Client Name or Project Name"}</definedName>
    <definedName name="ProjectName" localSheetId="16">{"Client Name or Project Name"}</definedName>
    <definedName name="ProjectName" localSheetId="12">{"Client Name or Project Name"}</definedName>
    <definedName name="ProjectName" localSheetId="35">{"Client Name or Project Name"}</definedName>
    <definedName name="ProjectName" localSheetId="31">{"Client Name or Project Name"}</definedName>
    <definedName name="ProjectName" localSheetId="23">{"Client Name or Project Name"}</definedName>
    <definedName name="ProjectName" localSheetId="15">{"Client Name or Project Name"}</definedName>
    <definedName name="ProjectName" localSheetId="11">{"Client Name or Project Name"}</definedName>
    <definedName name="ProjectName" localSheetId="8">{"Client Name or Project Name"}</definedName>
    <definedName name="ProjectName" localSheetId="5">{"Client Name or Project Name"}</definedName>
    <definedName name="ProjectName" localSheetId="20">{"Client Name or Project Name"}</definedName>
    <definedName name="ProjectName">{"Client Name or Project Name"}</definedName>
    <definedName name="ProjectName2" localSheetId="34">{"Client Name or Project Name"}</definedName>
    <definedName name="ProjectName2" localSheetId="30">{"Client Name or Project Name"}</definedName>
    <definedName name="ProjectName2" localSheetId="22">{"Client Name or Project Name"}</definedName>
    <definedName name="ProjectName2" localSheetId="14">{"Client Name or Project Name"}</definedName>
    <definedName name="ProjectName2" localSheetId="10">{"Client Name or Project Name"}</definedName>
    <definedName name="ProjectName2" localSheetId="37">{"Client Name or Project Name"}</definedName>
    <definedName name="ProjectName2" localSheetId="25">{"Client Name or Project Name"}</definedName>
    <definedName name="ProjectName2" localSheetId="17">{"Client Name or Project Name"}</definedName>
    <definedName name="ProjectName2" localSheetId="13">{"Client Name or Project Name"}</definedName>
    <definedName name="ProjectName2" localSheetId="9">{"Client Name or Project Name"}</definedName>
    <definedName name="ProjectName2" localSheetId="36">{"Client Name or Project Name"}</definedName>
    <definedName name="ProjectName2" localSheetId="32">{"Client Name or Project Name"}</definedName>
    <definedName name="ProjectName2" localSheetId="24">{"Client Name or Project Name"}</definedName>
    <definedName name="ProjectName2" localSheetId="16">{"Client Name or Project Name"}</definedName>
    <definedName name="ProjectName2" localSheetId="12">{"Client Name or Project Name"}</definedName>
    <definedName name="ProjectName2" localSheetId="35">{"Client Name or Project Name"}</definedName>
    <definedName name="ProjectName2" localSheetId="31">{"Client Name or Project Name"}</definedName>
    <definedName name="ProjectName2" localSheetId="23">{"Client Name or Project Name"}</definedName>
    <definedName name="ProjectName2" localSheetId="15">{"Client Name or Project Name"}</definedName>
    <definedName name="ProjectName2" localSheetId="11">{"Client Name or Project Name"}</definedName>
    <definedName name="ProjectName2" localSheetId="8">{"Client Name or Project Name"}</definedName>
    <definedName name="projectname2" localSheetId="5">{"Client Name or Project Name"}</definedName>
    <definedName name="ProjectName2" localSheetId="20">{"Client Name or Project Name"}</definedName>
    <definedName name="ProjectName2">{"Client Name or Project Name"}</definedName>
    <definedName name="PSYM" localSheetId="42">ModPubIndex!$A$4</definedName>
    <definedName name="PublishDate" localSheetId="41">IndexInformation!$B$2</definedName>
    <definedName name="Rating" localSheetId="41">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41">IndexInformation!$B$4</definedName>
    <definedName name="revsheet" localSheetId="14">{"Client Name or Project Name"}</definedName>
    <definedName name="revsheet" localSheetId="10">{"Client Name or Project Name"}</definedName>
    <definedName name="revsheet" localSheetId="13">{"Client Name or Project Name"}</definedName>
    <definedName name="revsheet" localSheetId="9">{"Client Name or Project Name"}</definedName>
    <definedName name="revsheet" localSheetId="16">{"Client Name or Project Name"}</definedName>
    <definedName name="revsheet" localSheetId="12">{"Client Name or Project Name"}</definedName>
    <definedName name="revsheet" localSheetId="15">{"Client Name or Project Name"}</definedName>
    <definedName name="revsheet" localSheetId="11">{"Client Name or Project Name"}</definedName>
    <definedName name="revsheet" localSheetId="8">{"Client Name or Project Name"}</definedName>
    <definedName name="revsheet" localSheetId="5">{"Client Name or Project Name"}</definedName>
    <definedName name="revsheet">{"Client Name or Project Name"}</definedName>
    <definedName name="RIC" localSheetId="41">IndexInformation!$B$21</definedName>
    <definedName name="SECSettlement" localSheetId="0">ImportantDisclosures!#REF!</definedName>
    <definedName name="SEDOL" localSheetId="41">IndexInformation!$B$22</definedName>
    <definedName name="solver_cvg" localSheetId="1" hidden="1">0.001</definedName>
    <definedName name="solver_drv" localSheetId="1" hidden="1">1</definedName>
    <definedName name="solver_est" localSheetId="1" hidden="1">1</definedName>
    <definedName name="solver_itr" localSheetId="1" hidden="1">100</definedName>
    <definedName name="solver_lin" localSheetId="1" hidden="1">2</definedName>
    <definedName name="solver_neg" localSheetId="1" hidden="1">2</definedName>
    <definedName name="solver_num" localSheetId="1" hidden="1">0</definedName>
    <definedName name="solver_nwt" localSheetId="1" hidden="1">1</definedName>
    <definedName name="solver_pre" localSheetId="1" hidden="1">0.000001</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1" hidden="1">3</definedName>
    <definedName name="solver_val" localSheetId="1" hidden="1">-0.55</definedName>
    <definedName name="SourceDefined" localSheetId="0">ImportantDisclosures!$A$19</definedName>
    <definedName name="StockRating" localSheetId="0">ImportantDisclosures!$A$11</definedName>
    <definedName name="SubjectCode" localSheetId="41">IndexInformation!$B$6</definedName>
    <definedName name="SubmitterUserId">IndexInformation!$B$39</definedName>
    <definedName name="SUPPRESSED" localSheetId="42">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41">IndexInformation!$B$19</definedName>
    <definedName name="UpdateReason" localSheetId="41">IndexInformation!$B$17</definedName>
    <definedName name="USRegDisclosures" localSheetId="0">ImportantDisclosures!#REF!</definedName>
  </definedNames>
  <calcPr calcId="145621"/>
</workbook>
</file>

<file path=xl/calcChain.xml><?xml version="1.0" encoding="utf-8"?>
<calcChain xmlns="http://schemas.openxmlformats.org/spreadsheetml/2006/main">
  <c r="BT323" i="6" l="1"/>
  <c r="BS323" i="6"/>
  <c r="BT321" i="6"/>
  <c r="BS321" i="6"/>
  <c r="BT505" i="6" l="1"/>
  <c r="BW65" i="6" l="1"/>
  <c r="BX65" i="6"/>
  <c r="BY65" i="6"/>
  <c r="BV65" i="6"/>
  <c r="BW1190" i="6"/>
  <c r="BX1190" i="6"/>
  <c r="BY1190" i="6"/>
  <c r="BV1190" i="6"/>
  <c r="BT1199" i="6"/>
  <c r="BS1199" i="6"/>
  <c r="BR1199" i="6"/>
  <c r="BQ1199" i="6"/>
  <c r="BT1069" i="6"/>
  <c r="BT1220" i="6"/>
  <c r="BT1170" i="6"/>
  <c r="BT1088" i="6"/>
  <c r="BT87" i="6"/>
  <c r="BT78" i="6"/>
  <c r="BT73" i="6"/>
  <c r="BT1190" i="6"/>
  <c r="BT461" i="6"/>
  <c r="BT460" i="6"/>
  <c r="BT459" i="6"/>
  <c r="BT456" i="6"/>
  <c r="BT455" i="6"/>
  <c r="BT454" i="6"/>
  <c r="BT453" i="6"/>
  <c r="BT503" i="6"/>
  <c r="BT340" i="6"/>
  <c r="BT343" i="6"/>
  <c r="BT342" i="6"/>
  <c r="BT306" i="6"/>
  <c r="BS1170" i="6"/>
  <c r="BS1044" i="6"/>
  <c r="BS1116" i="6"/>
  <c r="BS1105" i="6"/>
  <c r="BS1101" i="6"/>
  <c r="BS1100" i="6"/>
  <c r="BS1099" i="6"/>
  <c r="BS1098" i="6"/>
  <c r="BS1097" i="6"/>
  <c r="BS1096" i="6"/>
  <c r="BS1095" i="6"/>
  <c r="BS1094" i="6"/>
  <c r="BS1093" i="6"/>
  <c r="BS1084" i="6"/>
  <c r="BS1077" i="6"/>
  <c r="BS1070" i="6"/>
  <c r="BS1041" i="6"/>
  <c r="BS1040" i="6"/>
  <c r="BS1039" i="6"/>
  <c r="BS1038" i="6"/>
  <c r="BS1034" i="6"/>
  <c r="BS1032" i="6"/>
  <c r="BS1031" i="6"/>
  <c r="BS1027" i="6"/>
  <c r="BS1025" i="6"/>
  <c r="BS1024" i="6"/>
  <c r="BS1023" i="6"/>
  <c r="BS1022" i="6"/>
  <c r="BS1021" i="6"/>
  <c r="BS1020" i="6"/>
  <c r="BS1019" i="6"/>
  <c r="BS1014" i="6"/>
  <c r="BS512" i="6" l="1"/>
  <c r="BR512" i="6"/>
  <c r="BQ512" i="6"/>
  <c r="BT458" i="6" l="1"/>
  <c r="BT457" i="6"/>
  <c r="BT452" i="6"/>
  <c r="HO732" i="42458" l="1"/>
  <c r="HN732" i="42458"/>
  <c r="HM732" i="42458"/>
  <c r="HJ732" i="42458"/>
  <c r="HL732" i="42458"/>
  <c r="BX1031" i="6"/>
  <c r="BX403" i="6" l="1"/>
  <c r="BY403" i="6" s="1"/>
  <c r="HQ729" i="42458"/>
  <c r="HN716" i="42458"/>
  <c r="HN724" i="42458" s="1"/>
  <c r="HM716" i="42458"/>
  <c r="HL716" i="42458"/>
  <c r="HJ716" i="42458"/>
  <c r="HO716" i="42458" s="1"/>
  <c r="HO724" i="42458" s="1"/>
  <c r="HH733" i="42458"/>
  <c r="HG733" i="42458"/>
  <c r="HF733" i="42458"/>
  <c r="HE733" i="42458"/>
  <c r="HD733" i="42458"/>
  <c r="HC733" i="42458"/>
  <c r="HB733" i="42458"/>
  <c r="HA733" i="42458"/>
  <c r="GZ733" i="42458"/>
  <c r="GY733" i="42458"/>
  <c r="GX733" i="42458"/>
  <c r="GW733" i="42458"/>
  <c r="HI733" i="42458"/>
  <c r="HI720" i="42458"/>
  <c r="HH720" i="42458"/>
  <c r="HG720" i="42458"/>
  <c r="HF720" i="42458"/>
  <c r="HE720" i="42458"/>
  <c r="HD720" i="42458"/>
  <c r="HC720" i="42458"/>
  <c r="HB720" i="42458"/>
  <c r="HA720" i="42458"/>
  <c r="GZ720" i="42458"/>
  <c r="GY720" i="42458"/>
  <c r="GX720" i="42458"/>
  <c r="GW720" i="42458"/>
  <c r="HI719" i="42458"/>
  <c r="HH719" i="42458"/>
  <c r="HG719" i="42458"/>
  <c r="HF719" i="42458"/>
  <c r="HE719" i="42458"/>
  <c r="HD719" i="42458"/>
  <c r="HC719" i="42458"/>
  <c r="HB719" i="42458"/>
  <c r="HA719" i="42458"/>
  <c r="GZ719" i="42458"/>
  <c r="GY719" i="42458"/>
  <c r="GX719" i="42458"/>
  <c r="GW719" i="42458"/>
  <c r="HJ731" i="42458"/>
  <c r="HK731" i="42458" s="1"/>
  <c r="HL731" i="42458" s="1"/>
  <c r="HM731" i="42458" s="1"/>
  <c r="HN731" i="42458" s="1"/>
  <c r="HO731" i="42458" s="1"/>
  <c r="HP731" i="42458" s="1"/>
  <c r="HQ731" i="42458" s="1"/>
  <c r="HR731" i="42458" s="1"/>
  <c r="GX721" i="42458"/>
  <c r="GY721" i="42458"/>
  <c r="GZ721" i="42458"/>
  <c r="HA721" i="42458"/>
  <c r="HB721" i="42458"/>
  <c r="HC721" i="42458"/>
  <c r="HD721" i="42458"/>
  <c r="HE721" i="42458"/>
  <c r="HF721" i="42458"/>
  <c r="HG721" i="42458"/>
  <c r="HH721" i="42458"/>
  <c r="HI721" i="42458"/>
  <c r="GW721" i="42458"/>
  <c r="BX362" i="6"/>
  <c r="HK716" i="42458" l="1"/>
  <c r="HK724" i="42458" s="1"/>
  <c r="HK720" i="42458"/>
  <c r="BX382" i="6"/>
  <c r="BY382" i="6" s="1"/>
  <c r="BY424" i="6" s="1"/>
  <c r="HP724" i="42458"/>
  <c r="BZ403" i="6"/>
  <c r="CA403" i="6" s="1"/>
  <c r="CB403" i="6" s="1"/>
  <c r="HP716" i="42458"/>
  <c r="HQ716" i="42458" s="1"/>
  <c r="BX424" i="6" l="1"/>
  <c r="BZ424" i="6" s="1"/>
  <c r="CA424" i="6" s="1"/>
  <c r="CB424" i="6" s="1"/>
  <c r="BZ382" i="6"/>
  <c r="CA382" i="6" s="1"/>
  <c r="CB382" i="6" s="1"/>
  <c r="HR716" i="42458"/>
  <c r="HR724" i="42458" s="1"/>
  <c r="HQ724" i="42458"/>
  <c r="HP720" i="42458"/>
  <c r="HQ698" i="42458" l="1"/>
  <c r="BX1195" i="6"/>
  <c r="BW1195" i="6"/>
  <c r="BV1195" i="6"/>
  <c r="BT143" i="6"/>
  <c r="BS143" i="6"/>
  <c r="BR143" i="6"/>
  <c r="BQ143" i="6"/>
  <c r="BP143" i="6"/>
  <c r="BO143" i="6"/>
  <c r="BN143" i="6"/>
  <c r="BM143" i="6"/>
  <c r="BL143" i="6"/>
  <c r="CB1205" i="6"/>
  <c r="BZ1205" i="6"/>
  <c r="BT1207" i="6"/>
  <c r="BS1207" i="6"/>
  <c r="BR1207" i="6"/>
  <c r="BQ1207" i="6"/>
  <c r="BP1207" i="6"/>
  <c r="BO1207" i="6"/>
  <c r="BN1207" i="6"/>
  <c r="BM1207" i="6"/>
  <c r="BL1207" i="6"/>
  <c r="BK1207" i="6"/>
  <c r="BJ1207" i="6"/>
  <c r="BI1207" i="6"/>
  <c r="BH1207" i="6"/>
  <c r="BG1207" i="6"/>
  <c r="BF1207" i="6"/>
  <c r="BE1207" i="6"/>
  <c r="BD1207" i="6"/>
  <c r="BC1207" i="6"/>
  <c r="BB1207" i="6"/>
  <c r="CA1193" i="6"/>
  <c r="BY1193" i="6"/>
  <c r="BX1193" i="6"/>
  <c r="CA1169" i="6"/>
  <c r="BY1169" i="6"/>
  <c r="BX1169" i="6"/>
  <c r="CA1112" i="6"/>
  <c r="BZ1112" i="6"/>
  <c r="BY1112" i="6"/>
  <c r="BX1112" i="6"/>
  <c r="CA743" i="6"/>
  <c r="BY743" i="6"/>
  <c r="BX743" i="6"/>
  <c r="CA742" i="6"/>
  <c r="BY742" i="6"/>
  <c r="BX742" i="6"/>
  <c r="BZ745" i="6"/>
  <c r="CA745" i="6" s="1"/>
  <c r="CB745" i="6" s="1"/>
  <c r="CB744" i="6"/>
  <c r="CA744" i="6"/>
  <c r="BZ744" i="6"/>
  <c r="BY745" i="6"/>
  <c r="BY744" i="6"/>
  <c r="BX745" i="6"/>
  <c r="CB734" i="6"/>
  <c r="CA734" i="6"/>
  <c r="CA738" i="6"/>
  <c r="BY738" i="6"/>
  <c r="BZ738" i="6" s="1"/>
  <c r="CA736" i="6"/>
  <c r="CB735" i="6"/>
  <c r="CA735" i="6"/>
  <c r="BZ735" i="6"/>
  <c r="BZ736" i="6"/>
  <c r="BZ734" i="6"/>
  <c r="BY735" i="6"/>
  <c r="BY736" i="6"/>
  <c r="BY734" i="6"/>
  <c r="BX736" i="6"/>
  <c r="BX735" i="6"/>
  <c r="BX734" i="6"/>
  <c r="BX738" i="6"/>
  <c r="DG737" i="6"/>
  <c r="DF737" i="6"/>
  <c r="DE737" i="6"/>
  <c r="DD737" i="6"/>
  <c r="DC737" i="6"/>
  <c r="DB737" i="6"/>
  <c r="DA737" i="6"/>
  <c r="CZ737" i="6"/>
  <c r="CY737" i="6"/>
  <c r="CX737" i="6"/>
  <c r="CW737" i="6"/>
  <c r="CV737" i="6"/>
  <c r="CU737" i="6"/>
  <c r="CT737" i="6"/>
  <c r="CS737" i="6"/>
  <c r="CR737" i="6"/>
  <c r="CQ737" i="6"/>
  <c r="CB732" i="6"/>
  <c r="CA732" i="6"/>
  <c r="BZ732" i="6"/>
  <c r="BY732" i="6"/>
  <c r="BX732" i="6"/>
  <c r="BW732" i="6"/>
  <c r="BV732" i="6"/>
  <c r="BU732" i="6"/>
  <c r="DD732" i="6" s="1"/>
  <c r="BT732" i="6"/>
  <c r="BS732" i="6"/>
  <c r="BR732" i="6"/>
  <c r="BQ732" i="6"/>
  <c r="BP732" i="6"/>
  <c r="BO732" i="6"/>
  <c r="BN732" i="6"/>
  <c r="BM732" i="6"/>
  <c r="BL732" i="6"/>
  <c r="BK732" i="6"/>
  <c r="BJ732" i="6"/>
  <c r="BI732" i="6"/>
  <c r="BH732" i="6"/>
  <c r="BG732" i="6"/>
  <c r="BF732" i="6"/>
  <c r="BE732" i="6"/>
  <c r="BD732" i="6"/>
  <c r="BC732" i="6"/>
  <c r="BB732" i="6"/>
  <c r="BA732" i="6"/>
  <c r="AZ732" i="6"/>
  <c r="AY732" i="6"/>
  <c r="AX732" i="6"/>
  <c r="AW732" i="6"/>
  <c r="AV732" i="6"/>
  <c r="AU732" i="6"/>
  <c r="AT732" i="6"/>
  <c r="AS732" i="6"/>
  <c r="AR732" i="6"/>
  <c r="AQ732" i="6"/>
  <c r="AP732" i="6"/>
  <c r="AO732" i="6"/>
  <c r="AN732" i="6"/>
  <c r="AM732" i="6"/>
  <c r="AL732" i="6"/>
  <c r="AK732" i="6"/>
  <c r="AJ732" i="6"/>
  <c r="AI732" i="6"/>
  <c r="AH732" i="6"/>
  <c r="AG732" i="6"/>
  <c r="AF732" i="6"/>
  <c r="AE732" i="6"/>
  <c r="AD732" i="6"/>
  <c r="AC732" i="6"/>
  <c r="AB732" i="6"/>
  <c r="AA732" i="6"/>
  <c r="Z732" i="6"/>
  <c r="Y732" i="6"/>
  <c r="X732" i="6"/>
  <c r="W732" i="6"/>
  <c r="V732" i="6"/>
  <c r="U732" i="6"/>
  <c r="T732" i="6"/>
  <c r="S732" i="6"/>
  <c r="R732" i="6"/>
  <c r="Q732" i="6"/>
  <c r="P732" i="6"/>
  <c r="O732" i="6"/>
  <c r="N732" i="6"/>
  <c r="M732" i="6"/>
  <c r="L732" i="6"/>
  <c r="K732" i="6"/>
  <c r="J732" i="6"/>
  <c r="I732" i="6"/>
  <c r="H732" i="6"/>
  <c r="G732" i="6"/>
  <c r="F732" i="6"/>
  <c r="E732" i="6"/>
  <c r="D732" i="6"/>
  <c r="CP732" i="6"/>
  <c r="CG732" i="6"/>
  <c r="CF732" i="6"/>
  <c r="CE732" i="6"/>
  <c r="CD732" i="6"/>
  <c r="CC732" i="6"/>
  <c r="DG732" i="6"/>
  <c r="DF732" i="6"/>
  <c r="DE732" i="6"/>
  <c r="DC732" i="6"/>
  <c r="DB732" i="6"/>
  <c r="DA732" i="6"/>
  <c r="CZ732" i="6"/>
  <c r="CY732" i="6"/>
  <c r="CX732" i="6"/>
  <c r="CW732" i="6"/>
  <c r="CV732" i="6"/>
  <c r="CU732" i="6"/>
  <c r="CT732" i="6"/>
  <c r="CS732" i="6"/>
  <c r="CR732" i="6"/>
  <c r="CQ732" i="6"/>
  <c r="HI687" i="42458"/>
  <c r="HH687" i="42458"/>
  <c r="HG687" i="42458"/>
  <c r="HF687" i="42458"/>
  <c r="HE687" i="42458"/>
  <c r="HD687" i="42458"/>
  <c r="HC687" i="42458"/>
  <c r="HB687" i="42458"/>
  <c r="HA687" i="42458"/>
  <c r="GZ687" i="42458"/>
  <c r="GY687" i="42458"/>
  <c r="GX687" i="42458"/>
  <c r="GW687" i="42458"/>
  <c r="GV687" i="42458"/>
  <c r="GU687" i="42458"/>
  <c r="GT687" i="42458"/>
  <c r="GS687" i="42458"/>
  <c r="GR687" i="42458"/>
  <c r="CB465" i="6"/>
  <c r="CA465" i="6"/>
  <c r="CB464" i="6"/>
  <c r="CA464" i="6"/>
  <c r="CB463" i="6"/>
  <c r="CA463" i="6"/>
  <c r="CB462" i="6"/>
  <c r="CA462" i="6"/>
  <c r="BY462" i="6"/>
  <c r="BY463" i="6"/>
  <c r="BY464" i="6"/>
  <c r="BY465" i="6"/>
  <c r="BX463" i="6"/>
  <c r="BX464" i="6"/>
  <c r="BX465" i="6"/>
  <c r="BX462" i="6"/>
  <c r="HN685" i="42458"/>
  <c r="BX444" i="6" s="1"/>
  <c r="HM685" i="42458"/>
  <c r="HL685" i="42458"/>
  <c r="HN684" i="42458"/>
  <c r="BX443" i="6" s="1"/>
  <c r="HM684" i="42458"/>
  <c r="HL684" i="42458"/>
  <c r="HN683" i="42458"/>
  <c r="BX442" i="6" s="1"/>
  <c r="HM683" i="42458"/>
  <c r="HL683" i="42458"/>
  <c r="HN682" i="42458"/>
  <c r="BX441" i="6" s="1"/>
  <c r="HM682" i="42458"/>
  <c r="HL682" i="42458"/>
  <c r="HJ683" i="42458"/>
  <c r="HO683" i="42458" s="1"/>
  <c r="HJ684" i="42458"/>
  <c r="HK684" i="42458" s="1"/>
  <c r="HK692" i="42458" s="1"/>
  <c r="HJ685" i="42458"/>
  <c r="HK685" i="42458" s="1"/>
  <c r="HK693" i="42458" s="1"/>
  <c r="HJ682" i="42458"/>
  <c r="BX400" i="6"/>
  <c r="BX401" i="6"/>
  <c r="BX402" i="6"/>
  <c r="BX399" i="6"/>
  <c r="BX379" i="6"/>
  <c r="BX421" i="6" s="1"/>
  <c r="BX380" i="6"/>
  <c r="BX422" i="6" s="1"/>
  <c r="BX381" i="6"/>
  <c r="BX423" i="6" s="1"/>
  <c r="BX378" i="6"/>
  <c r="BX420" i="6" s="1"/>
  <c r="HA693" i="42458"/>
  <c r="GZ693" i="42458"/>
  <c r="GY693" i="42458"/>
  <c r="GX693" i="42458"/>
  <c r="HA692" i="42458"/>
  <c r="GZ692" i="42458"/>
  <c r="GY692" i="42458"/>
  <c r="GX692" i="42458"/>
  <c r="GW692" i="42458"/>
  <c r="HA691" i="42458"/>
  <c r="GZ691" i="42458"/>
  <c r="GY691" i="42458"/>
  <c r="GX691" i="42458"/>
  <c r="GW691" i="42458"/>
  <c r="HA690" i="42458"/>
  <c r="GZ690" i="42458"/>
  <c r="GY690" i="42458"/>
  <c r="GX690" i="42458"/>
  <c r="GW690" i="42458"/>
  <c r="GW688" i="42458" l="1"/>
  <c r="HA688" i="42458"/>
  <c r="HE688" i="42458"/>
  <c r="HI688" i="42458"/>
  <c r="GX688" i="42458"/>
  <c r="HB688" i="42458"/>
  <c r="HF688" i="42458"/>
  <c r="GY688" i="42458"/>
  <c r="HC688" i="42458"/>
  <c r="HG688" i="42458"/>
  <c r="HJ687" i="42458"/>
  <c r="HJ688" i="42458" s="1"/>
  <c r="GZ688" i="42458"/>
  <c r="HD688" i="42458"/>
  <c r="HH688" i="42458"/>
  <c r="HK682" i="42458"/>
  <c r="HK690" i="42458" s="1"/>
  <c r="HO682" i="42458"/>
  <c r="BY441" i="6" s="1"/>
  <c r="BZ441" i="6" s="1"/>
  <c r="HP683" i="42458"/>
  <c r="HQ683" i="42458" s="1"/>
  <c r="HM687" i="42458"/>
  <c r="HM688" i="42458" s="1"/>
  <c r="CA740" i="6"/>
  <c r="HL687" i="42458"/>
  <c r="HL688" i="42458" s="1"/>
  <c r="BZ742" i="6"/>
  <c r="BZ1169" i="6" s="1"/>
  <c r="BZ743" i="6"/>
  <c r="BZ1193" i="6" s="1"/>
  <c r="BY379" i="6"/>
  <c r="BZ379" i="6" s="1"/>
  <c r="CA379" i="6" s="1"/>
  <c r="CB379" i="6" s="1"/>
  <c r="BY378" i="6"/>
  <c r="BZ378" i="6" s="1"/>
  <c r="CA378" i="6" s="1"/>
  <c r="CB378" i="6" s="1"/>
  <c r="HN687" i="42458"/>
  <c r="BY380" i="6"/>
  <c r="BZ380" i="6" s="1"/>
  <c r="CA380" i="6" s="1"/>
  <c r="CB380" i="6" s="1"/>
  <c r="BY400" i="6"/>
  <c r="BZ400" i="6" s="1"/>
  <c r="CA400" i="6" s="1"/>
  <c r="CB400" i="6" s="1"/>
  <c r="BY402" i="6"/>
  <c r="BZ402" i="6" s="1"/>
  <c r="CA402" i="6" s="1"/>
  <c r="CB402" i="6" s="1"/>
  <c r="HO684" i="42458"/>
  <c r="BY443" i="6" s="1"/>
  <c r="BZ443" i="6" s="1"/>
  <c r="HO685" i="42458"/>
  <c r="BY444" i="6" s="1"/>
  <c r="BZ444" i="6" s="1"/>
  <c r="BY399" i="6"/>
  <c r="BY401" i="6"/>
  <c r="BZ401" i="6" s="1"/>
  <c r="CA401" i="6" s="1"/>
  <c r="CB401" i="6" s="1"/>
  <c r="BY442" i="6"/>
  <c r="BZ442" i="6" s="1"/>
  <c r="HK683" i="42458"/>
  <c r="BY381" i="6"/>
  <c r="HC690" i="42458"/>
  <c r="HD690" i="42458"/>
  <c r="HE690" i="42458"/>
  <c r="HF690" i="42458"/>
  <c r="HG690" i="42458"/>
  <c r="HH690" i="42458"/>
  <c r="HI690" i="42458"/>
  <c r="HC691" i="42458"/>
  <c r="HD691" i="42458"/>
  <c r="HE691" i="42458"/>
  <c r="HF691" i="42458"/>
  <c r="HG691" i="42458"/>
  <c r="HH691" i="42458"/>
  <c r="HI691" i="42458"/>
  <c r="HC692" i="42458"/>
  <c r="HD692" i="42458"/>
  <c r="HE692" i="42458"/>
  <c r="HF692" i="42458"/>
  <c r="HG692" i="42458"/>
  <c r="HH692" i="42458"/>
  <c r="HI692" i="42458"/>
  <c r="HC693" i="42458"/>
  <c r="HD693" i="42458"/>
  <c r="HE693" i="42458"/>
  <c r="HF693" i="42458"/>
  <c r="HG693" i="42458"/>
  <c r="HH693" i="42458"/>
  <c r="HI693" i="42458"/>
  <c r="HB691" i="42458"/>
  <c r="HB692" i="42458"/>
  <c r="HB693" i="42458"/>
  <c r="HB690" i="42458"/>
  <c r="HP682" i="42458" l="1"/>
  <c r="HQ682" i="42458" s="1"/>
  <c r="HR682" i="42458" s="1"/>
  <c r="HK691" i="42458"/>
  <c r="HK687" i="42458"/>
  <c r="HK688" i="42458" s="1"/>
  <c r="HP685" i="42458"/>
  <c r="HP693" i="42458" s="1"/>
  <c r="HO687" i="42458"/>
  <c r="HO688" i="42458" s="1"/>
  <c r="BY420" i="6"/>
  <c r="BZ420" i="6" s="1"/>
  <c r="CA420" i="6" s="1"/>
  <c r="CB420" i="6" s="1"/>
  <c r="HN688" i="42458"/>
  <c r="BY421" i="6"/>
  <c r="BZ421" i="6" s="1"/>
  <c r="CA421" i="6" s="1"/>
  <c r="CB421" i="6" s="1"/>
  <c r="HR683" i="42458"/>
  <c r="CB442" i="6" s="1"/>
  <c r="CA442" i="6"/>
  <c r="CA441" i="6"/>
  <c r="BZ399" i="6"/>
  <c r="CA399" i="6" s="1"/>
  <c r="CB399" i="6" s="1"/>
  <c r="BY422" i="6"/>
  <c r="BZ422" i="6" s="1"/>
  <c r="CA422" i="6" s="1"/>
  <c r="CB422" i="6" s="1"/>
  <c r="HP684" i="42458"/>
  <c r="BZ381" i="6"/>
  <c r="CA381" i="6" s="1"/>
  <c r="CB381" i="6" s="1"/>
  <c r="BY423" i="6"/>
  <c r="BZ423" i="6" s="1"/>
  <c r="CA423" i="6" s="1"/>
  <c r="CB423" i="6" s="1"/>
  <c r="HP691" i="42458"/>
  <c r="AZ357" i="6"/>
  <c r="AU357" i="6"/>
  <c r="AK357" i="6"/>
  <c r="AZ356" i="6"/>
  <c r="AK356" i="6"/>
  <c r="HP690" i="42458" l="1"/>
  <c r="HQ685" i="42458"/>
  <c r="CA444" i="6" s="1"/>
  <c r="HP687" i="42458"/>
  <c r="HP688" i="42458" s="1"/>
  <c r="CB441" i="6"/>
  <c r="HP692" i="42458"/>
  <c r="HQ684" i="42458"/>
  <c r="HR685" i="42458" l="1"/>
  <c r="CB444" i="6" s="1"/>
  <c r="HQ687" i="42458"/>
  <c r="HQ688" i="42458" s="1"/>
  <c r="HR684" i="42458"/>
  <c r="CA443" i="6"/>
  <c r="HQ695" i="42458" l="1"/>
  <c r="HO695" i="42458" s="1"/>
  <c r="CB443" i="6"/>
  <c r="HR687" i="42458"/>
  <c r="HR695" i="42458" l="1"/>
  <c r="HR698" i="42458" s="1"/>
  <c r="HN695" i="42458"/>
  <c r="HR688" i="42458"/>
  <c r="CB736" i="6"/>
  <c r="CB738" i="6" s="1"/>
  <c r="HO698" i="42458"/>
  <c r="HN698" i="42458" l="1"/>
  <c r="HP698" i="42458" s="1"/>
  <c r="BZ740" i="6" s="1"/>
  <c r="HP695" i="42458"/>
  <c r="CB740" i="6"/>
  <c r="CB742" i="6"/>
  <c r="CB1169" i="6" s="1"/>
  <c r="CB743" i="6"/>
  <c r="CB1112" i="6" l="1"/>
  <c r="CB1193" i="6"/>
  <c r="BU106" i="6"/>
  <c r="BV106" i="6"/>
  <c r="CP106" i="6"/>
  <c r="CA1135" i="6"/>
  <c r="BV102" i="6" l="1"/>
  <c r="BV103" i="6"/>
  <c r="BW106" i="6"/>
  <c r="BX106" i="6" s="1"/>
  <c r="BY106" i="6" s="1"/>
  <c r="CA106" i="6" s="1"/>
  <c r="CB106" i="6" s="1"/>
  <c r="BS87" i="6"/>
  <c r="BS78" i="6"/>
  <c r="BS73" i="6"/>
  <c r="BS503" i="6"/>
  <c r="BS342" i="6"/>
  <c r="BS340" i="6"/>
  <c r="BS306" i="6"/>
  <c r="BZ106" i="6" l="1"/>
  <c r="BW102" i="6"/>
  <c r="BX102" i="6" s="1"/>
  <c r="BW103" i="6"/>
  <c r="BX103" i="6" s="1"/>
  <c r="B27" i="42419"/>
  <c r="G40" i="42422"/>
  <c r="G39" i="42422"/>
  <c r="G38" i="42422"/>
  <c r="G37" i="42422"/>
  <c r="G36" i="42422"/>
  <c r="G35" i="42422"/>
  <c r="G34" i="42422"/>
  <c r="G33" i="42422"/>
  <c r="BR1040" i="6" l="1"/>
  <c r="BR1031" i="6"/>
  <c r="BR1034" i="6"/>
  <c r="BR1116" i="6"/>
  <c r="BR1124" i="6"/>
  <c r="BR1105" i="6"/>
  <c r="BR1077" i="6"/>
  <c r="BR1079" i="6" s="1"/>
  <c r="BR1070" i="6"/>
  <c r="BR1066" i="6"/>
  <c r="BR1039" i="6"/>
  <c r="BR1032" i="6"/>
  <c r="BR1025" i="6"/>
  <c r="BR1024" i="6"/>
  <c r="BR1023" i="6"/>
  <c r="BR1020" i="6"/>
  <c r="BM1020" i="6"/>
  <c r="BR1019" i="6"/>
  <c r="BS461" i="6"/>
  <c r="BS460" i="6"/>
  <c r="BS459" i="6"/>
  <c r="BS458" i="6"/>
  <c r="BS457" i="6"/>
  <c r="BS456" i="6"/>
  <c r="BS455" i="6"/>
  <c r="BS454" i="6"/>
  <c r="BS453" i="6"/>
  <c r="BS452" i="6"/>
  <c r="BY103" i="6" l="1"/>
  <c r="BY102" i="6"/>
  <c r="CN1352" i="6"/>
  <c r="CO1352" i="6" s="1"/>
  <c r="BZ1351" i="6"/>
  <c r="BZ1215" i="6"/>
  <c r="BZ1204" i="6"/>
  <c r="BZ1203" i="6"/>
  <c r="BZ1202" i="6"/>
  <c r="BZ1201" i="6"/>
  <c r="BZ1200" i="6"/>
  <c r="BZ1220" i="6"/>
  <c r="BZ1160" i="6"/>
  <c r="BZ1111" i="6"/>
  <c r="BZ1109" i="6"/>
  <c r="BZ1107" i="6"/>
  <c r="BZ1104" i="6"/>
  <c r="BZ1102" i="6"/>
  <c r="BZ1086" i="6"/>
  <c r="BZ1044" i="6"/>
  <c r="BZ1041" i="6"/>
  <c r="BZ1039" i="6"/>
  <c r="BZ1034" i="6"/>
  <c r="BZ1033" i="6"/>
  <c r="BZ1031" i="6"/>
  <c r="BZ1023" i="6"/>
  <c r="BZ1022" i="6"/>
  <c r="BZ1020" i="6"/>
  <c r="BZ1019" i="6"/>
  <c r="BZ1017" i="6"/>
  <c r="BZ1016" i="6"/>
  <c r="BZ1015" i="6"/>
  <c r="BZ302" i="6"/>
  <c r="BZ299" i="6"/>
  <c r="BZ154" i="6"/>
  <c r="BZ121" i="6"/>
  <c r="BZ120" i="6"/>
  <c r="BZ85" i="6"/>
  <c r="BZ83" i="6"/>
  <c r="BZ77" i="6"/>
  <c r="BZ1342" i="6" s="1"/>
  <c r="BZ54" i="6"/>
  <c r="BU54" i="6"/>
  <c r="CO1197" i="6"/>
  <c r="CO1196" i="6"/>
  <c r="CO1123" i="6"/>
  <c r="CO1113" i="6"/>
  <c r="CO1078" i="6"/>
  <c r="CO1071" i="6"/>
  <c r="CO1065" i="6"/>
  <c r="CO1060" i="6"/>
  <c r="CO822" i="6"/>
  <c r="CO810" i="6"/>
  <c r="CO795" i="6"/>
  <c r="CO789" i="6"/>
  <c r="CO775" i="6"/>
  <c r="CN1206" i="6"/>
  <c r="CO1206" i="6" s="1"/>
  <c r="CN1204" i="6"/>
  <c r="CO1204" i="6" s="1"/>
  <c r="CN1203" i="6"/>
  <c r="CO1203" i="6" s="1"/>
  <c r="CN1202" i="6"/>
  <c r="CO1202" i="6" s="1"/>
  <c r="CN1201" i="6"/>
  <c r="CO1201" i="6" s="1"/>
  <c r="CN1200" i="6"/>
  <c r="CO1200" i="6" s="1"/>
  <c r="CN1194" i="6"/>
  <c r="CO1194" i="6" s="1"/>
  <c r="CN1189" i="6"/>
  <c r="CO1189" i="6" s="1"/>
  <c r="CN1171" i="6"/>
  <c r="CO1171" i="6" s="1"/>
  <c r="CN1163" i="6"/>
  <c r="CO1163" i="6" s="1"/>
  <c r="CN1160" i="6"/>
  <c r="CO1160" i="6" s="1"/>
  <c r="CN1111" i="6"/>
  <c r="CO1111" i="6" s="1"/>
  <c r="CN1109" i="6"/>
  <c r="CO1109" i="6" s="1"/>
  <c r="CN1107" i="6"/>
  <c r="CO1107" i="6" s="1"/>
  <c r="CN1104" i="6"/>
  <c r="CO1104" i="6" s="1"/>
  <c r="CN1102" i="6"/>
  <c r="CO1102" i="6" s="1"/>
  <c r="CN1086" i="6"/>
  <c r="CO1086" i="6" s="1"/>
  <c r="CN1085" i="6"/>
  <c r="CO1085" i="6" s="1"/>
  <c r="CN1045" i="6"/>
  <c r="CO1045" i="6" s="1"/>
  <c r="CN1044" i="6"/>
  <c r="CO1044" i="6" s="1"/>
  <c r="CN1041" i="6"/>
  <c r="CO1041" i="6" s="1"/>
  <c r="CN1039" i="6"/>
  <c r="CO1039" i="6" s="1"/>
  <c r="CN1034" i="6"/>
  <c r="CO1034" i="6" s="1"/>
  <c r="CN1033" i="6"/>
  <c r="CO1033" i="6" s="1"/>
  <c r="CN1031" i="6"/>
  <c r="CO1031" i="6" s="1"/>
  <c r="CN1026" i="6"/>
  <c r="CO1026" i="6" s="1"/>
  <c r="CN1023" i="6"/>
  <c r="CO1023" i="6" s="1"/>
  <c r="CN1022" i="6"/>
  <c r="CO1022" i="6" s="1"/>
  <c r="CN1020" i="6"/>
  <c r="CO1020" i="6" s="1"/>
  <c r="CN1019" i="6"/>
  <c r="CO1019" i="6" s="1"/>
  <c r="CN1018" i="6"/>
  <c r="CO1018" i="6" s="1"/>
  <c r="CN1017" i="6"/>
  <c r="CO1017" i="6" s="1"/>
  <c r="CN1016" i="6"/>
  <c r="CO1016" i="6" s="1"/>
  <c r="CN1015" i="6"/>
  <c r="CO1015" i="6" s="1"/>
  <c r="CN838" i="6"/>
  <c r="CN835" i="6"/>
  <c r="CN832" i="6"/>
  <c r="CN829" i="6"/>
  <c r="CN801" i="6"/>
  <c r="CO801" i="6" s="1"/>
  <c r="CN791" i="6"/>
  <c r="CN488" i="6"/>
  <c r="CN446" i="6"/>
  <c r="CO446" i="6" s="1"/>
  <c r="CN122" i="6"/>
  <c r="CN121" i="6"/>
  <c r="CO121" i="6" s="1"/>
  <c r="CN120" i="6"/>
  <c r="CO120" i="6" s="1"/>
  <c r="CN85" i="6"/>
  <c r="CO85" i="6" s="1"/>
  <c r="CN83" i="6"/>
  <c r="CO83" i="6" s="1"/>
  <c r="CN77" i="6"/>
  <c r="CO77" i="6" s="1"/>
  <c r="CN76" i="6"/>
  <c r="CO76" i="6" s="1"/>
  <c r="CI1150" i="6"/>
  <c r="CJ1150" i="6" l="1"/>
  <c r="BZ108" i="6"/>
  <c r="BY1166" i="6" l="1"/>
  <c r="BX1166" i="6"/>
  <c r="BW1166" i="6"/>
  <c r="BY1158" i="6"/>
  <c r="BX1158" i="6"/>
  <c r="BW1158" i="6"/>
  <c r="BY1351" i="6"/>
  <c r="BX1351" i="6"/>
  <c r="BW1351" i="6"/>
  <c r="BV1351" i="6"/>
  <c r="BY1342" i="6"/>
  <c r="BX1342" i="6"/>
  <c r="BW1342" i="6"/>
  <c r="BV1342" i="6"/>
  <c r="BY1272" i="6"/>
  <c r="BX1272" i="6"/>
  <c r="BW1272" i="6"/>
  <c r="BV1272" i="6"/>
  <c r="BY1220" i="6"/>
  <c r="BX1220" i="6"/>
  <c r="BW1220" i="6"/>
  <c r="BV1220" i="6"/>
  <c r="BV1024" i="6"/>
  <c r="BY154" i="6"/>
  <c r="BX154" i="6"/>
  <c r="BW154" i="6"/>
  <c r="BV154" i="6"/>
  <c r="BY150" i="6"/>
  <c r="BX150" i="6"/>
  <c r="BW150" i="6"/>
  <c r="BV150" i="6"/>
  <c r="BY148" i="6"/>
  <c r="BX148" i="6"/>
  <c r="BW148" i="6"/>
  <c r="BV148" i="6"/>
  <c r="BY146" i="6"/>
  <c r="BX146" i="6"/>
  <c r="BW146" i="6"/>
  <c r="BV146" i="6"/>
  <c r="BY141" i="6"/>
  <c r="BX141" i="6"/>
  <c r="BW141" i="6"/>
  <c r="BV141" i="6"/>
  <c r="BY140" i="6"/>
  <c r="BX140" i="6"/>
  <c r="BW140" i="6"/>
  <c r="BV140" i="6"/>
  <c r="BY139" i="6"/>
  <c r="BX139" i="6"/>
  <c r="BW139" i="6"/>
  <c r="BV139" i="6"/>
  <c r="BY99" i="6"/>
  <c r="BX99" i="6"/>
  <c r="BW99" i="6"/>
  <c r="BV99" i="6"/>
  <c r="BY68" i="6"/>
  <c r="BX68" i="6"/>
  <c r="BW68" i="6"/>
  <c r="BV68" i="6"/>
  <c r="BY66" i="6"/>
  <c r="BY1340" i="6" s="1"/>
  <c r="BX66" i="6"/>
  <c r="BX1340" i="6" s="1"/>
  <c r="BW66" i="6"/>
  <c r="BW1340" i="6" s="1"/>
  <c r="BV66" i="6"/>
  <c r="BW1025" i="6"/>
  <c r="BW138" i="6" s="1"/>
  <c r="BY108" i="6"/>
  <c r="BX108" i="6"/>
  <c r="BW108" i="6"/>
  <c r="BV108" i="6"/>
  <c r="BY49" i="6"/>
  <c r="BX49" i="6"/>
  <c r="BW49" i="6"/>
  <c r="BV49" i="6"/>
  <c r="BY48" i="6"/>
  <c r="BX48" i="6"/>
  <c r="BW48" i="6"/>
  <c r="BV48" i="6"/>
  <c r="BY29" i="6"/>
  <c r="BX29" i="6"/>
  <c r="BW29" i="6"/>
  <c r="BV29" i="6"/>
  <c r="BV826" i="6"/>
  <c r="BV818" i="6"/>
  <c r="BW818" i="6" s="1"/>
  <c r="BX818" i="6" s="1"/>
  <c r="BY818" i="6" s="1"/>
  <c r="BV817" i="6"/>
  <c r="BW817" i="6" s="1"/>
  <c r="BX817" i="6" s="1"/>
  <c r="BY817" i="6" s="1"/>
  <c r="BY764" i="6"/>
  <c r="BX764" i="6"/>
  <c r="BW764" i="6"/>
  <c r="BV764" i="6"/>
  <c r="BY763" i="6"/>
  <c r="BX763" i="6"/>
  <c r="BW763" i="6"/>
  <c r="BV763" i="6"/>
  <c r="BY762" i="6"/>
  <c r="BX762" i="6"/>
  <c r="BW762" i="6"/>
  <c r="BV762" i="6"/>
  <c r="BY761" i="6"/>
  <c r="BX761" i="6"/>
  <c r="BW761" i="6"/>
  <c r="BV761" i="6"/>
  <c r="BY760" i="6"/>
  <c r="BY780" i="6" s="1"/>
  <c r="BX760" i="6"/>
  <c r="BX780" i="6" s="1"/>
  <c r="BW760" i="6"/>
  <c r="BW780" i="6" s="1"/>
  <c r="BV760" i="6"/>
  <c r="BY759" i="6"/>
  <c r="BX759" i="6"/>
  <c r="BW759" i="6"/>
  <c r="BV759" i="6"/>
  <c r="BY758" i="6"/>
  <c r="BY774" i="6" s="1"/>
  <c r="BX758" i="6"/>
  <c r="BX776" i="6" s="1"/>
  <c r="BW758" i="6"/>
  <c r="BW774" i="6" s="1"/>
  <c r="BV758" i="6"/>
  <c r="BY748" i="6"/>
  <c r="BX748" i="6"/>
  <c r="BW748" i="6"/>
  <c r="BV748" i="6"/>
  <c r="BW440" i="6"/>
  <c r="BW439" i="6"/>
  <c r="BW438" i="6"/>
  <c r="BW437" i="6"/>
  <c r="BW436" i="6"/>
  <c r="BW435" i="6"/>
  <c r="BW434" i="6"/>
  <c r="BW433" i="6"/>
  <c r="BW432" i="6"/>
  <c r="BW431" i="6"/>
  <c r="BV440" i="6"/>
  <c r="BV439" i="6"/>
  <c r="BV438" i="6"/>
  <c r="BV437" i="6"/>
  <c r="BV436" i="6"/>
  <c r="BV435" i="6"/>
  <c r="BV434" i="6"/>
  <c r="BV433" i="6"/>
  <c r="BV432" i="6"/>
  <c r="BV431" i="6"/>
  <c r="BZ353" i="6"/>
  <c r="BY353" i="6"/>
  <c r="BX353" i="6"/>
  <c r="BW353" i="6"/>
  <c r="BV353" i="6"/>
  <c r="BW339" i="6"/>
  <c r="BW11" i="6" s="1"/>
  <c r="BV339" i="6"/>
  <c r="BV11" i="6" s="1"/>
  <c r="BW297" i="6"/>
  <c r="BW10" i="6" s="1"/>
  <c r="BV297" i="6"/>
  <c r="BY133" i="6"/>
  <c r="BX133" i="6"/>
  <c r="BW133" i="6"/>
  <c r="BV133" i="6"/>
  <c r="BY165" i="6"/>
  <c r="BX165" i="6"/>
  <c r="BW165" i="6"/>
  <c r="BV165" i="6"/>
  <c r="BY185" i="6"/>
  <c r="BX185" i="6"/>
  <c r="BW185" i="6"/>
  <c r="BV185" i="6"/>
  <c r="BY187" i="6"/>
  <c r="BX187" i="6"/>
  <c r="BW187" i="6"/>
  <c r="BV187" i="6"/>
  <c r="BY220" i="6"/>
  <c r="BX220" i="6"/>
  <c r="BW220" i="6"/>
  <c r="BV220" i="6"/>
  <c r="BY285" i="6"/>
  <c r="BX285" i="6"/>
  <c r="BW285" i="6"/>
  <c r="BV285" i="6"/>
  <c r="BY327" i="6"/>
  <c r="BX327" i="6"/>
  <c r="BW327" i="6"/>
  <c r="BV327" i="6"/>
  <c r="BY355" i="6"/>
  <c r="BX355" i="6"/>
  <c r="BW355" i="6"/>
  <c r="BV355" i="6"/>
  <c r="BY523" i="6"/>
  <c r="BX523" i="6"/>
  <c r="BW523" i="6"/>
  <c r="BV523" i="6"/>
  <c r="BY755" i="6"/>
  <c r="BX755" i="6"/>
  <c r="BW755" i="6"/>
  <c r="BV755" i="6"/>
  <c r="BY876" i="6"/>
  <c r="BX876" i="6"/>
  <c r="BW876" i="6"/>
  <c r="BV876" i="6"/>
  <c r="BY1010" i="6"/>
  <c r="BX1010" i="6"/>
  <c r="BW1010" i="6"/>
  <c r="BV1010" i="6"/>
  <c r="BY1051" i="6"/>
  <c r="BX1051" i="6"/>
  <c r="BW1051" i="6"/>
  <c r="BV1051" i="6"/>
  <c r="BY1223" i="6"/>
  <c r="BX1223" i="6"/>
  <c r="BW1223" i="6"/>
  <c r="BV1223" i="6"/>
  <c r="BY1182" i="6"/>
  <c r="BX1182" i="6"/>
  <c r="BW1182" i="6"/>
  <c r="BV1182" i="6"/>
  <c r="BY1131" i="6"/>
  <c r="BX1131" i="6"/>
  <c r="BW1131" i="6"/>
  <c r="BV1131" i="6"/>
  <c r="BY5" i="6"/>
  <c r="HO680" i="42458" s="1"/>
  <c r="HO715" i="42458" s="1"/>
  <c r="BX5" i="6"/>
  <c r="HN680" i="42458" s="1"/>
  <c r="HN715" i="42458" s="1"/>
  <c r="BW5" i="6"/>
  <c r="HM680" i="42458" s="1"/>
  <c r="HM715" i="42458" s="1"/>
  <c r="BV5" i="6"/>
  <c r="HL680" i="42458" s="1"/>
  <c r="HL715" i="42458" s="1"/>
  <c r="BX143" i="6" l="1"/>
  <c r="BX1207" i="6"/>
  <c r="BW143" i="6"/>
  <c r="BW1207" i="6"/>
  <c r="BW1032" i="6" s="1"/>
  <c r="BW1035" i="6" s="1"/>
  <c r="BV143" i="6"/>
  <c r="BV1207" i="6"/>
  <c r="BY143" i="6"/>
  <c r="BY1207" i="6"/>
  <c r="HN719" i="42458"/>
  <c r="HN723" i="42458"/>
  <c r="HN718" i="42458"/>
  <c r="HO723" i="42458"/>
  <c r="HO718" i="42458"/>
  <c r="HL719" i="42458"/>
  <c r="HP715" i="42458"/>
  <c r="HL718" i="42458"/>
  <c r="HM719" i="42458"/>
  <c r="HM718" i="42458"/>
  <c r="HM721" i="42458" s="1"/>
  <c r="BY483" i="6"/>
  <c r="BY484" i="6"/>
  <c r="BY486" i="6"/>
  <c r="BY485" i="6"/>
  <c r="BZ99" i="6"/>
  <c r="BX485" i="6"/>
  <c r="BX483" i="6"/>
  <c r="BX486" i="6"/>
  <c r="BX484" i="6"/>
  <c r="BZ759" i="6"/>
  <c r="BZ761" i="6"/>
  <c r="BZ762" i="6"/>
  <c r="BZ763" i="6"/>
  <c r="BZ764" i="6"/>
  <c r="BV776" i="6"/>
  <c r="BZ758" i="6"/>
  <c r="BV780" i="6"/>
  <c r="CN780" i="6" s="1"/>
  <c r="CO780" i="6" s="1"/>
  <c r="BZ760" i="6"/>
  <c r="BV10" i="6"/>
  <c r="BZ29" i="6"/>
  <c r="CN29" i="6"/>
  <c r="CO29" i="6" s="1"/>
  <c r="BZ48" i="6"/>
  <c r="CN48" i="6"/>
  <c r="CO48" i="6" s="1"/>
  <c r="BZ49" i="6"/>
  <c r="CN49" i="6"/>
  <c r="CO49" i="6" s="1"/>
  <c r="CN108" i="6"/>
  <c r="CO108" i="6" s="1"/>
  <c r="BV1339" i="6"/>
  <c r="BV1340" i="6"/>
  <c r="CN1340" i="6" s="1"/>
  <c r="CO1340" i="6" s="1"/>
  <c r="BZ66" i="6"/>
  <c r="BZ1340" i="6" s="1"/>
  <c r="CN66" i="6"/>
  <c r="CO66" i="6" s="1"/>
  <c r="BZ68" i="6"/>
  <c r="BZ139" i="6"/>
  <c r="CN139" i="6"/>
  <c r="CO139" i="6" s="1"/>
  <c r="BZ140" i="6"/>
  <c r="CN140" i="6"/>
  <c r="CO140" i="6" s="1"/>
  <c r="CN141" i="6"/>
  <c r="CO141" i="6" s="1"/>
  <c r="BZ141" i="6"/>
  <c r="BZ146" i="6"/>
  <c r="CN146" i="6"/>
  <c r="CO146" i="6" s="1"/>
  <c r="BZ148" i="6"/>
  <c r="CN148" i="6"/>
  <c r="CO148" i="6" s="1"/>
  <c r="BZ150" i="6"/>
  <c r="CN150" i="6"/>
  <c r="CO150" i="6" s="1"/>
  <c r="CN154" i="6"/>
  <c r="CO154" i="6" s="1"/>
  <c r="BV137" i="6"/>
  <c r="BZ1198" i="6"/>
  <c r="CN1198" i="6"/>
  <c r="CO1198" i="6" s="1"/>
  <c r="CN1342" i="6"/>
  <c r="CO1342" i="6" s="1"/>
  <c r="CN1351" i="6"/>
  <c r="CO1351" i="6" s="1"/>
  <c r="BW826" i="6"/>
  <c r="BV1139" i="6"/>
  <c r="CN143" i="6"/>
  <c r="CO143" i="6" s="1"/>
  <c r="BZ1199" i="6"/>
  <c r="CN1199" i="6"/>
  <c r="CO1199" i="6" s="1"/>
  <c r="BX777" i="6"/>
  <c r="BW777" i="6"/>
  <c r="BY777" i="6"/>
  <c r="BY776" i="6"/>
  <c r="BV1025" i="6"/>
  <c r="BW1339" i="6"/>
  <c r="BV777" i="6"/>
  <c r="BX774" i="6"/>
  <c r="BW776" i="6"/>
  <c r="BV1164" i="6"/>
  <c r="BX1140" i="6"/>
  <c r="BV301" i="6"/>
  <c r="BV774" i="6"/>
  <c r="BW301" i="6"/>
  <c r="BV1140" i="6"/>
  <c r="BY1032" i="6"/>
  <c r="BY1035" i="6" s="1"/>
  <c r="BX1032" i="6"/>
  <c r="BX1035" i="6" s="1"/>
  <c r="BW298" i="6"/>
  <c r="BV298" i="6"/>
  <c r="BZ1207" i="6" l="1"/>
  <c r="BZ143" i="6"/>
  <c r="HN721" i="42458"/>
  <c r="BX466" i="6" s="1"/>
  <c r="BX445" i="6"/>
  <c r="BY445" i="6"/>
  <c r="BY487" i="6" s="1"/>
  <c r="HP723" i="42458"/>
  <c r="HL721" i="42458"/>
  <c r="HP718" i="42458"/>
  <c r="BW828" i="6"/>
  <c r="BW840" i="6" s="1"/>
  <c r="BX826" i="6"/>
  <c r="BY826" i="6" s="1"/>
  <c r="BY828" i="6" s="1"/>
  <c r="CN774" i="6"/>
  <c r="CO774" i="6" s="1"/>
  <c r="BZ1135" i="6"/>
  <c r="CN776" i="6"/>
  <c r="CO776" i="6" s="1"/>
  <c r="BX1142" i="6"/>
  <c r="BZ776" i="6"/>
  <c r="BZ780" i="6"/>
  <c r="BZ774" i="6"/>
  <c r="BZ777" i="6"/>
  <c r="BV1032" i="6"/>
  <c r="CN1207" i="6"/>
  <c r="CO1207" i="6" s="1"/>
  <c r="BV138" i="6"/>
  <c r="BV828" i="6"/>
  <c r="BV831" i="6" s="1"/>
  <c r="CN777" i="6"/>
  <c r="CO777" i="6" s="1"/>
  <c r="BX1164" i="6"/>
  <c r="BX1139" i="6"/>
  <c r="BW831" i="6"/>
  <c r="BW834" i="6" s="1"/>
  <c r="BW837" i="6" s="1"/>
  <c r="BV840" i="6"/>
  <c r="BX487" i="6" l="1"/>
  <c r="BZ445" i="6"/>
  <c r="BX828" i="6"/>
  <c r="CN828" i="6" s="1"/>
  <c r="CO828" i="6" s="1"/>
  <c r="BV834" i="6"/>
  <c r="BZ828" i="6"/>
  <c r="BZ1032" i="6"/>
  <c r="BZ1035" i="6" s="1"/>
  <c r="CN1032" i="6"/>
  <c r="CO1032" i="6" s="1"/>
  <c r="BV1035" i="6"/>
  <c r="CN1035" i="6" s="1"/>
  <c r="CO1035" i="6" s="1"/>
  <c r="BZ826" i="6"/>
  <c r="BY840" i="6"/>
  <c r="BY831" i="6"/>
  <c r="BY834" i="6" s="1"/>
  <c r="BY837" i="6" s="1"/>
  <c r="BX840" i="6" l="1"/>
  <c r="BZ840" i="6" s="1"/>
  <c r="BX831" i="6"/>
  <c r="BX834" i="6" s="1"/>
  <c r="BX837" i="6" s="1"/>
  <c r="CN840" i="6"/>
  <c r="CO840" i="6" s="1"/>
  <c r="BZ831" i="6"/>
  <c r="BZ834" i="6" s="1"/>
  <c r="BZ837" i="6" s="1"/>
  <c r="CN831" i="6"/>
  <c r="CO831" i="6" s="1"/>
  <c r="BV837" i="6"/>
  <c r="CN837" i="6" s="1"/>
  <c r="CO837" i="6" s="1"/>
  <c r="CN834" i="6"/>
  <c r="CO834" i="6" s="1"/>
  <c r="BQ1105" i="6" l="1"/>
  <c r="BR87" i="6"/>
  <c r="BR73" i="6"/>
  <c r="BR78" i="6"/>
  <c r="BW87" i="6" s="1"/>
  <c r="BR503" i="6"/>
  <c r="BW503" i="6" s="1"/>
  <c r="BR461" i="6"/>
  <c r="BR460" i="6"/>
  <c r="BR459" i="6"/>
  <c r="BR456" i="6"/>
  <c r="BR455" i="6"/>
  <c r="BR453" i="6"/>
  <c r="BW1343" i="6" l="1"/>
  <c r="BW1335" i="6"/>
  <c r="BW1336" i="6" s="1"/>
  <c r="BR342" i="6"/>
  <c r="BW342" i="6" s="1"/>
  <c r="BR340" i="6"/>
  <c r="BW27" i="6" l="1"/>
  <c r="BW345" i="6"/>
  <c r="BR323" i="6"/>
  <c r="BR321" i="6"/>
  <c r="BW39" i="6" l="1"/>
  <c r="BW128" i="6" s="1"/>
  <c r="BW346" i="6"/>
  <c r="BW347" i="6"/>
  <c r="BU1102" i="6"/>
  <c r="BV1158" i="6" s="1"/>
  <c r="BU1104" i="6"/>
  <c r="BU1107" i="6"/>
  <c r="BU1109" i="6"/>
  <c r="BV1166" i="6" s="1"/>
  <c r="BU1086" i="6"/>
  <c r="BV1142" i="6" s="1"/>
  <c r="BU1111" i="6"/>
  <c r="BZ1158" i="6" l="1"/>
  <c r="CN1158" i="6"/>
  <c r="CO1158" i="6" s="1"/>
  <c r="BZ1166" i="6"/>
  <c r="CN1166" i="6"/>
  <c r="CO1166" i="6" s="1"/>
  <c r="BU1044" i="6"/>
  <c r="BQ1124" i="6" l="1"/>
  <c r="BQ1116" i="6"/>
  <c r="BQ1077" i="6"/>
  <c r="BQ1079" i="6" s="1"/>
  <c r="BQ1070" i="6"/>
  <c r="BQ1041" i="6"/>
  <c r="BR1041" i="6" s="1"/>
  <c r="BQ1038" i="6"/>
  <c r="BR1038" i="6" s="1"/>
  <c r="BQ1040" i="6"/>
  <c r="BQ1022" i="6"/>
  <c r="BR1022" i="6" s="1"/>
  <c r="BQ1021" i="6"/>
  <c r="BR1021" i="6" s="1"/>
  <c r="BR1042" i="6" l="1"/>
  <c r="BR454" i="6"/>
  <c r="BR452" i="6"/>
  <c r="BR457" i="6"/>
  <c r="BR458" i="6"/>
  <c r="DL546" i="42458" l="1"/>
  <c r="DL551" i="42458"/>
  <c r="CA99" i="6" l="1"/>
  <c r="CB99" i="6" s="1"/>
  <c r="BQ323" i="6" l="1"/>
  <c r="BQ321" i="6"/>
  <c r="BQ461" i="6" l="1"/>
  <c r="BQ460" i="6"/>
  <c r="BQ459" i="6"/>
  <c r="BQ458" i="6"/>
  <c r="BQ457" i="6"/>
  <c r="BQ456" i="6"/>
  <c r="BQ455" i="6"/>
  <c r="BQ454" i="6"/>
  <c r="BQ453" i="6"/>
  <c r="BQ452" i="6"/>
  <c r="BQ87" i="6" l="1"/>
  <c r="BQ78" i="6"/>
  <c r="BQ73" i="6"/>
  <c r="BQ503" i="6"/>
  <c r="BV503" i="6" s="1"/>
  <c r="BQ342" i="6"/>
  <c r="BV342" i="6" s="1"/>
  <c r="BQ340" i="6"/>
  <c r="BQ306" i="6"/>
  <c r="BV306" i="6" s="1"/>
  <c r="BV87" i="6" l="1"/>
  <c r="BV1335" i="6" s="1"/>
  <c r="BV1336" i="6" s="1"/>
  <c r="BV26" i="6"/>
  <c r="BV307" i="6"/>
  <c r="BV310" i="6"/>
  <c r="BV303" i="6"/>
  <c r="BV27" i="6"/>
  <c r="BV345" i="6"/>
  <c r="BR1148" i="6"/>
  <c r="BR1147" i="6"/>
  <c r="BR1146" i="6"/>
  <c r="BV1343" i="6" l="1"/>
  <c r="BV347" i="6"/>
  <c r="BV39" i="6"/>
  <c r="BV346" i="6"/>
  <c r="BV38" i="6"/>
  <c r="BV313" i="6"/>
  <c r="BV311" i="6"/>
  <c r="BV312" i="6"/>
  <c r="BT1090" i="6"/>
  <c r="BT1092" i="6"/>
  <c r="BV128" i="6" l="1"/>
  <c r="BV127" i="6"/>
  <c r="BS1148" i="6"/>
  <c r="BU1092" i="6"/>
  <c r="BV1092" i="6" s="1"/>
  <c r="BU1090" i="6"/>
  <c r="BV1090" i="6" s="1"/>
  <c r="BT1148" i="6"/>
  <c r="BO1147" i="6"/>
  <c r="BW1090" i="6" l="1"/>
  <c r="BV1146" i="6"/>
  <c r="BW1092" i="6"/>
  <c r="BV1148" i="6"/>
  <c r="BO1044" i="6"/>
  <c r="BX1092" i="6" l="1"/>
  <c r="BX1090" i="6"/>
  <c r="BO1116" i="6"/>
  <c r="BO1105" i="6"/>
  <c r="BO1077" i="6"/>
  <c r="BO1070" i="6"/>
  <c r="BY1090" i="6" l="1"/>
  <c r="BX1146" i="6"/>
  <c r="BY1092" i="6"/>
  <c r="BX1148" i="6"/>
  <c r="BO313" i="6"/>
  <c r="BZ1092" i="6" l="1"/>
  <c r="CA1092" i="6" s="1"/>
  <c r="CB1092" i="6" s="1"/>
  <c r="CN1092" i="6"/>
  <c r="CO1092" i="6" s="1"/>
  <c r="BZ1090" i="6"/>
  <c r="CA1090" i="6" s="1"/>
  <c r="CB1090" i="6" s="1"/>
  <c r="CN1090" i="6"/>
  <c r="CO1090" i="6" s="1"/>
  <c r="BZ65" i="6" l="1"/>
  <c r="CN65" i="6"/>
  <c r="CO65" i="6" s="1"/>
  <c r="BX1339" i="6"/>
  <c r="BX1025" i="6"/>
  <c r="BY1025" i="6"/>
  <c r="BY138" i="6" s="1"/>
  <c r="BY1339" i="6"/>
  <c r="BO323" i="6"/>
  <c r="BO321" i="6"/>
  <c r="BX138" i="6" l="1"/>
  <c r="CN1025" i="6"/>
  <c r="CO1025" i="6" s="1"/>
  <c r="BZ1025" i="6"/>
  <c r="CN1339" i="6"/>
  <c r="CO1339" i="6" s="1"/>
  <c r="BZ1339" i="6"/>
  <c r="BO87" i="6"/>
  <c r="BO78" i="6"/>
  <c r="BO73" i="6"/>
  <c r="BO503" i="6"/>
  <c r="BO342" i="6"/>
  <c r="BO340" i="6"/>
  <c r="BO306" i="6"/>
  <c r="BZ138" i="6" l="1"/>
  <c r="CN138" i="6"/>
  <c r="CO138" i="6" s="1"/>
  <c r="BO461" i="6"/>
  <c r="BO460" i="6"/>
  <c r="BO459" i="6"/>
  <c r="BO458" i="6"/>
  <c r="BO457" i="6"/>
  <c r="BO456" i="6"/>
  <c r="BO455" i="6"/>
  <c r="BO454" i="6"/>
  <c r="BO453" i="6"/>
  <c r="BN266" i="42290" l="1"/>
  <c r="FF633" i="42458" l="1"/>
  <c r="FI618" i="42458" s="1"/>
  <c r="DZ593" i="42458" l="1"/>
  <c r="EA593" i="42458"/>
  <c r="EB593" i="42458"/>
  <c r="ED593" i="42458"/>
  <c r="EE593" i="42458"/>
  <c r="EF593" i="42458"/>
  <c r="EG593" i="42458"/>
  <c r="EI593" i="42458"/>
  <c r="EJ593" i="42458"/>
  <c r="EK593" i="42458"/>
  <c r="EL593" i="42458"/>
  <c r="DZ594" i="42458"/>
  <c r="EA594" i="42458"/>
  <c r="EB594" i="42458"/>
  <c r="ED594" i="42458"/>
  <c r="EE594" i="42458"/>
  <c r="EF594" i="42458"/>
  <c r="EG594" i="42458"/>
  <c r="EI594" i="42458"/>
  <c r="EJ594" i="42458"/>
  <c r="EK594" i="42458"/>
  <c r="DZ595" i="42458"/>
  <c r="EA595" i="42458"/>
  <c r="EB595" i="42458"/>
  <c r="ED595" i="42458"/>
  <c r="EE595" i="42458"/>
  <c r="EF595" i="42458"/>
  <c r="EG595" i="42458"/>
  <c r="EI595" i="42458"/>
  <c r="EJ595" i="42458"/>
  <c r="EK595" i="42458"/>
  <c r="EL595" i="42458"/>
  <c r="DZ596" i="42458"/>
  <c r="EA596" i="42458"/>
  <c r="EB596" i="42458"/>
  <c r="ED596" i="42458"/>
  <c r="EE596" i="42458"/>
  <c r="EF596" i="42458"/>
  <c r="EG596" i="42458"/>
  <c r="EI596" i="42458"/>
  <c r="EJ596" i="42458"/>
  <c r="EK596" i="42458"/>
  <c r="DZ597" i="42458"/>
  <c r="EA597" i="42458"/>
  <c r="EB597" i="42458"/>
  <c r="ED597" i="42458"/>
  <c r="EE597" i="42458"/>
  <c r="EF597" i="42458"/>
  <c r="EG597" i="42458"/>
  <c r="EI597" i="42458"/>
  <c r="EJ597" i="42458"/>
  <c r="EK597" i="42458"/>
  <c r="EL597" i="42458"/>
  <c r="DZ598" i="42458"/>
  <c r="EA598" i="42458"/>
  <c r="EB598" i="42458"/>
  <c r="ED598" i="42458"/>
  <c r="EE598" i="42458"/>
  <c r="EF598" i="42458"/>
  <c r="EG598" i="42458"/>
  <c r="EI598" i="42458"/>
  <c r="EJ598" i="42458"/>
  <c r="EK598" i="42458"/>
  <c r="EL598" i="42458"/>
  <c r="EO598" i="42458"/>
  <c r="DZ599" i="42458"/>
  <c r="EA599" i="42458"/>
  <c r="EB599" i="42458"/>
  <c r="ED599" i="42458"/>
  <c r="EE599" i="42458"/>
  <c r="EF599" i="42458"/>
  <c r="EG599" i="42458"/>
  <c r="EI599" i="42458"/>
  <c r="EJ599" i="42458"/>
  <c r="EK599" i="42458"/>
  <c r="EL599" i="42458"/>
  <c r="DZ600" i="42458"/>
  <c r="EA600" i="42458"/>
  <c r="EB600" i="42458"/>
  <c r="ED600" i="42458"/>
  <c r="EE600" i="42458"/>
  <c r="EF600" i="42458"/>
  <c r="EG600" i="42458"/>
  <c r="EI600" i="42458"/>
  <c r="EJ600" i="42458"/>
  <c r="EK600" i="42458"/>
  <c r="EL600" i="42458"/>
  <c r="DZ601" i="42458"/>
  <c r="EA601" i="42458"/>
  <c r="EB601" i="42458"/>
  <c r="ED601" i="42458"/>
  <c r="EE601" i="42458"/>
  <c r="EF601" i="42458"/>
  <c r="EG601" i="42458"/>
  <c r="EI601" i="42458"/>
  <c r="EJ601" i="42458"/>
  <c r="EK601" i="42458"/>
  <c r="DZ602" i="42458"/>
  <c r="EA602" i="42458"/>
  <c r="EB602" i="42458"/>
  <c r="ED602" i="42458"/>
  <c r="EE602" i="42458"/>
  <c r="EF602" i="42458"/>
  <c r="EG602" i="42458"/>
  <c r="EI602" i="42458"/>
  <c r="EJ602" i="42458"/>
  <c r="EK602" i="42458"/>
  <c r="EL602" i="42458"/>
  <c r="DY593" i="42458"/>
  <c r="DY594" i="42458"/>
  <c r="DY595" i="42458"/>
  <c r="DY596" i="42458"/>
  <c r="DY597" i="42458"/>
  <c r="DY598" i="42458"/>
  <c r="DY599" i="42458"/>
  <c r="DY600" i="42458"/>
  <c r="DY601" i="42458"/>
  <c r="DY602" i="42458"/>
  <c r="BO452" i="6" l="1"/>
  <c r="BN44" i="6" l="1"/>
  <c r="BN16" i="6"/>
  <c r="EK611" i="42458" s="1"/>
  <c r="BM508" i="6"/>
  <c r="BL508" i="6"/>
  <c r="BJ508" i="6"/>
  <c r="BI508" i="6"/>
  <c r="BH508" i="6"/>
  <c r="BG508" i="6"/>
  <c r="BE508" i="6"/>
  <c r="BD508" i="6"/>
  <c r="BC508" i="6"/>
  <c r="BB508" i="6"/>
  <c r="AZ508" i="6"/>
  <c r="AY508" i="6"/>
  <c r="AX508" i="6"/>
  <c r="AW508" i="6"/>
  <c r="AU508" i="6"/>
  <c r="AZ405" i="6"/>
  <c r="AU405" i="6"/>
  <c r="AZ384" i="6"/>
  <c r="BM41" i="6"/>
  <c r="BL41" i="6"/>
  <c r="BJ41" i="6"/>
  <c r="BI41" i="6"/>
  <c r="BH41" i="6"/>
  <c r="BG41" i="6"/>
  <c r="BE41" i="6"/>
  <c r="BD41" i="6"/>
  <c r="BC41" i="6"/>
  <c r="BB41" i="6"/>
  <c r="AZ41" i="6"/>
  <c r="AY41" i="6"/>
  <c r="AX41" i="6"/>
  <c r="AW41" i="6"/>
  <c r="AU41" i="6"/>
  <c r="AT41" i="6"/>
  <c r="AS41" i="6"/>
  <c r="AR41" i="6"/>
  <c r="AP41" i="6"/>
  <c r="AO41" i="6"/>
  <c r="AN41" i="6"/>
  <c r="AM41" i="6"/>
  <c r="AK41" i="6"/>
  <c r="AJ41" i="6"/>
  <c r="AI41" i="6"/>
  <c r="AF41" i="6"/>
  <c r="AE41" i="6"/>
  <c r="AD41" i="6"/>
  <c r="AC41" i="6"/>
  <c r="AA41" i="6"/>
  <c r="Z41" i="6"/>
  <c r="Y41" i="6"/>
  <c r="X41" i="6"/>
  <c r="V41" i="6"/>
  <c r="U41" i="6"/>
  <c r="T41" i="6"/>
  <c r="S41" i="6"/>
  <c r="Q41" i="6"/>
  <c r="P41" i="6"/>
  <c r="N41" i="6"/>
  <c r="L41" i="6"/>
  <c r="K41" i="6"/>
  <c r="J41" i="6"/>
  <c r="I41" i="6"/>
  <c r="G41" i="6"/>
  <c r="F41" i="6"/>
  <c r="E41" i="6"/>
  <c r="D41" i="6"/>
  <c r="BM13" i="6"/>
  <c r="BL13" i="6"/>
  <c r="BJ13" i="6"/>
  <c r="BI13" i="6"/>
  <c r="BH13" i="6"/>
  <c r="BG13" i="6"/>
  <c r="BE13" i="6"/>
  <c r="BD13" i="6"/>
  <c r="BC13" i="6"/>
  <c r="BB13" i="6"/>
  <c r="AZ13" i="6"/>
  <c r="AY13" i="6"/>
  <c r="AX13" i="6"/>
  <c r="AW13" i="6"/>
  <c r="AU13" i="6"/>
  <c r="AT13" i="6"/>
  <c r="AS13" i="6"/>
  <c r="AR13" i="6"/>
  <c r="AP13" i="6"/>
  <c r="AO13" i="6"/>
  <c r="AN13" i="6"/>
  <c r="AM13" i="6"/>
  <c r="AK13" i="6"/>
  <c r="AJ13" i="6"/>
  <c r="AI13" i="6"/>
  <c r="AF13" i="6"/>
  <c r="AE13" i="6"/>
  <c r="AD13" i="6"/>
  <c r="AC13" i="6"/>
  <c r="AA13" i="6"/>
  <c r="Z13" i="6"/>
  <c r="Y13" i="6"/>
  <c r="X13" i="6"/>
  <c r="V13" i="6"/>
  <c r="U13" i="6"/>
  <c r="T13" i="6"/>
  <c r="S13" i="6"/>
  <c r="Q13" i="6"/>
  <c r="P13" i="6"/>
  <c r="O13" i="6"/>
  <c r="N13" i="6"/>
  <c r="L13" i="6"/>
  <c r="K13" i="6"/>
  <c r="J13" i="6"/>
  <c r="I13" i="6"/>
  <c r="G13" i="6"/>
  <c r="F13" i="6"/>
  <c r="E13" i="6"/>
  <c r="D13" i="6"/>
  <c r="BM504" i="6"/>
  <c r="BL504" i="6"/>
  <c r="BJ504" i="6"/>
  <c r="BI504" i="6"/>
  <c r="BH504" i="6"/>
  <c r="BG504" i="6"/>
  <c r="BE504" i="6"/>
  <c r="BD504" i="6"/>
  <c r="BC504" i="6"/>
  <c r="BB504" i="6"/>
  <c r="AZ504" i="6"/>
  <c r="AY504" i="6"/>
  <c r="AX504" i="6"/>
  <c r="AW504" i="6"/>
  <c r="AU504" i="6"/>
  <c r="AT504" i="6"/>
  <c r="AS504" i="6"/>
  <c r="AR504" i="6"/>
  <c r="AP504" i="6"/>
  <c r="AO504" i="6"/>
  <c r="AN504" i="6"/>
  <c r="AM504" i="6"/>
  <c r="AK504" i="6"/>
  <c r="AJ504" i="6"/>
  <c r="AI504" i="6"/>
  <c r="AH504" i="6"/>
  <c r="AF504" i="6"/>
  <c r="AE504" i="6"/>
  <c r="AD504" i="6"/>
  <c r="AC504" i="6"/>
  <c r="AA504" i="6"/>
  <c r="Z504" i="6"/>
  <c r="Y504" i="6"/>
  <c r="X504" i="6"/>
  <c r="V504" i="6"/>
  <c r="U504" i="6"/>
  <c r="T504" i="6"/>
  <c r="S504" i="6"/>
  <c r="Q504" i="6"/>
  <c r="P504" i="6"/>
  <c r="N504" i="6"/>
  <c r="L504" i="6"/>
  <c r="K504" i="6"/>
  <c r="J504" i="6"/>
  <c r="I504" i="6"/>
  <c r="G504" i="6"/>
  <c r="H504" i="6" s="1"/>
  <c r="BK509" i="6"/>
  <c r="BF509" i="6"/>
  <c r="BA509" i="6"/>
  <c r="AV509" i="6"/>
  <c r="AQ509" i="6"/>
  <c r="AL509" i="6"/>
  <c r="AG509" i="6"/>
  <c r="AB509" i="6"/>
  <c r="W509" i="6"/>
  <c r="O509" i="6"/>
  <c r="R509" i="6" s="1"/>
  <c r="M509" i="6"/>
  <c r="H509" i="6"/>
  <c r="BK500" i="6"/>
  <c r="BF500" i="6"/>
  <c r="BA500" i="6"/>
  <c r="AV500" i="6"/>
  <c r="AQ500" i="6"/>
  <c r="AL500" i="6"/>
  <c r="AG500" i="6"/>
  <c r="AB500" i="6"/>
  <c r="W500" i="6"/>
  <c r="R500" i="6"/>
  <c r="M500" i="6"/>
  <c r="H500" i="6"/>
  <c r="BN503" i="6"/>
  <c r="EO602" i="42458"/>
  <c r="EN602" i="42458"/>
  <c r="BP440" i="6"/>
  <c r="EM602" i="42458" s="1"/>
  <c r="EP602" i="42458" l="1"/>
  <c r="BX440" i="6"/>
  <c r="W504" i="6"/>
  <c r="AB504" i="6"/>
  <c r="AG504" i="6"/>
  <c r="AL504" i="6"/>
  <c r="AQ504" i="6"/>
  <c r="AV504" i="6"/>
  <c r="BA504" i="6"/>
  <c r="BF504" i="6"/>
  <c r="BK504" i="6"/>
  <c r="M504" i="6"/>
  <c r="BY440" i="6"/>
  <c r="O504" i="6"/>
  <c r="R504" i="6" s="1"/>
  <c r="O41" i="6"/>
  <c r="EO601" i="42458"/>
  <c r="EN601" i="42458"/>
  <c r="EO600" i="42458"/>
  <c r="EN600" i="42458"/>
  <c r="EO599" i="42458"/>
  <c r="EN599" i="42458"/>
  <c r="BN461" i="6"/>
  <c r="BM461" i="6"/>
  <c r="BL461" i="6"/>
  <c r="BJ461" i="6"/>
  <c r="BI461" i="6"/>
  <c r="BH461" i="6"/>
  <c r="BG461" i="6"/>
  <c r="BE461" i="6"/>
  <c r="BD461" i="6"/>
  <c r="BC461" i="6"/>
  <c r="BB461" i="6"/>
  <c r="AZ461" i="6"/>
  <c r="AY461" i="6"/>
  <c r="AX461" i="6"/>
  <c r="AW461" i="6"/>
  <c r="BN460" i="6"/>
  <c r="BM460" i="6"/>
  <c r="BL460" i="6"/>
  <c r="BJ460" i="6"/>
  <c r="BI460" i="6"/>
  <c r="BH460" i="6"/>
  <c r="BG460" i="6"/>
  <c r="BE460" i="6"/>
  <c r="BD460" i="6"/>
  <c r="BC460" i="6"/>
  <c r="BB460" i="6"/>
  <c r="AZ460" i="6"/>
  <c r="AY460" i="6"/>
  <c r="AX460" i="6"/>
  <c r="AW460" i="6"/>
  <c r="AU460" i="6"/>
  <c r="AT460" i="6"/>
  <c r="AS460" i="6"/>
  <c r="AR460" i="6"/>
  <c r="BN459" i="6"/>
  <c r="BM459" i="6"/>
  <c r="BL459" i="6"/>
  <c r="BJ459" i="6"/>
  <c r="BI459" i="6"/>
  <c r="BH459" i="6"/>
  <c r="BG459" i="6"/>
  <c r="BE459" i="6"/>
  <c r="BD459" i="6"/>
  <c r="BC459" i="6"/>
  <c r="BB459" i="6"/>
  <c r="AZ459" i="6"/>
  <c r="AY459" i="6"/>
  <c r="AX459" i="6"/>
  <c r="AW459" i="6"/>
  <c r="AU459" i="6"/>
  <c r="AT459" i="6"/>
  <c r="AS459" i="6"/>
  <c r="AR459" i="6"/>
  <c r="BN458" i="6"/>
  <c r="BM458" i="6"/>
  <c r="BL458" i="6"/>
  <c r="BJ458" i="6"/>
  <c r="BI458" i="6"/>
  <c r="BH458" i="6"/>
  <c r="BG458" i="6"/>
  <c r="BE458" i="6"/>
  <c r="BD458" i="6"/>
  <c r="BC458" i="6"/>
  <c r="BB458" i="6"/>
  <c r="AZ458" i="6"/>
  <c r="AY458" i="6"/>
  <c r="AX458" i="6"/>
  <c r="AW458" i="6"/>
  <c r="AU458" i="6"/>
  <c r="AT458" i="6"/>
  <c r="AS458" i="6"/>
  <c r="AR458" i="6"/>
  <c r="BK440" i="6"/>
  <c r="EH602" i="42458" s="1"/>
  <c r="BF440" i="6"/>
  <c r="EC602" i="42458" s="1"/>
  <c r="BA440" i="6"/>
  <c r="AV440" i="6"/>
  <c r="AQ440" i="6"/>
  <c r="BK439" i="6"/>
  <c r="EH601" i="42458" s="1"/>
  <c r="BF439" i="6"/>
  <c r="EC601" i="42458" s="1"/>
  <c r="BA439" i="6"/>
  <c r="AV439" i="6"/>
  <c r="AQ439" i="6"/>
  <c r="BK438" i="6"/>
  <c r="EH600" i="42458" s="1"/>
  <c r="BF438" i="6"/>
  <c r="EC600" i="42458" s="1"/>
  <c r="BA438" i="6"/>
  <c r="AV438" i="6"/>
  <c r="AQ438" i="6"/>
  <c r="BK437" i="6"/>
  <c r="EH599" i="42458" s="1"/>
  <c r="BF437" i="6"/>
  <c r="EC599" i="42458" s="1"/>
  <c r="BA437" i="6"/>
  <c r="AV437" i="6"/>
  <c r="AQ437" i="6"/>
  <c r="BP398" i="6"/>
  <c r="BK398" i="6"/>
  <c r="BF398" i="6"/>
  <c r="AS398" i="6"/>
  <c r="AT398" i="6" s="1"/>
  <c r="AW398" i="6" s="1"/>
  <c r="BP377" i="6"/>
  <c r="BK377" i="6"/>
  <c r="BF377" i="6"/>
  <c r="AS377" i="6"/>
  <c r="AT377" i="6" s="1"/>
  <c r="AW377" i="6" s="1"/>
  <c r="BP397" i="6"/>
  <c r="BK397" i="6"/>
  <c r="BF397" i="6"/>
  <c r="AW397" i="6"/>
  <c r="AX397" i="6" s="1"/>
  <c r="AY397" i="6" s="1"/>
  <c r="AS397" i="6"/>
  <c r="AN397" i="6"/>
  <c r="BP376" i="6"/>
  <c r="BK376" i="6"/>
  <c r="BF376" i="6"/>
  <c r="AW376" i="6"/>
  <c r="AS376" i="6"/>
  <c r="AN376" i="6"/>
  <c r="BK395" i="6"/>
  <c r="BF395" i="6"/>
  <c r="AW395" i="6"/>
  <c r="AV395" i="6"/>
  <c r="AQ395" i="6"/>
  <c r="BP396" i="6"/>
  <c r="BK396" i="6"/>
  <c r="BF396" i="6"/>
  <c r="BA396" i="6"/>
  <c r="AV396" i="6"/>
  <c r="AQ396" i="6"/>
  <c r="BP375" i="6"/>
  <c r="BK375" i="6"/>
  <c r="BF375" i="6"/>
  <c r="AN375" i="6"/>
  <c r="BP395" i="6"/>
  <c r="BP374" i="6"/>
  <c r="BK374" i="6"/>
  <c r="BF374" i="6"/>
  <c r="AW374" i="6"/>
  <c r="AV374" i="6"/>
  <c r="AQ374" i="6"/>
  <c r="CN440" i="6" l="1"/>
  <c r="CO440" i="6" s="1"/>
  <c r="BZ440" i="6"/>
  <c r="EQ599" i="42458"/>
  <c r="BY437" i="6"/>
  <c r="EQ600" i="42458"/>
  <c r="BY438" i="6"/>
  <c r="EP601" i="42458"/>
  <c r="BX439" i="6"/>
  <c r="EP599" i="42458"/>
  <c r="BX437" i="6"/>
  <c r="EP600" i="42458"/>
  <c r="BX438" i="6"/>
  <c r="BU440" i="6"/>
  <c r="EQ602" i="42458"/>
  <c r="EL601" i="42458"/>
  <c r="BA459" i="6"/>
  <c r="BK461" i="6"/>
  <c r="AV458" i="6"/>
  <c r="BK459" i="6"/>
  <c r="BF460" i="6"/>
  <c r="BA461" i="6"/>
  <c r="BF458" i="6"/>
  <c r="AV459" i="6"/>
  <c r="AV460" i="6"/>
  <c r="BK460" i="6"/>
  <c r="BF461" i="6"/>
  <c r="BK458" i="6"/>
  <c r="BF459" i="6"/>
  <c r="BA460" i="6"/>
  <c r="BA397" i="6"/>
  <c r="BA458" i="6"/>
  <c r="AV398" i="6"/>
  <c r="BP439" i="6"/>
  <c r="BU437" i="6"/>
  <c r="ER599" i="42458" s="1"/>
  <c r="BP437" i="6"/>
  <c r="BU438" i="6"/>
  <c r="ER600" i="42458" s="1"/>
  <c r="BP438" i="6"/>
  <c r="BS398" i="6"/>
  <c r="BT398" i="6" s="1"/>
  <c r="AX398" i="6"/>
  <c r="AY398" i="6" s="1"/>
  <c r="BS377" i="6"/>
  <c r="BT377" i="6" s="1"/>
  <c r="AX377" i="6"/>
  <c r="AY377" i="6" s="1"/>
  <c r="AV377" i="6"/>
  <c r="BS397" i="6"/>
  <c r="BT397" i="6" s="1"/>
  <c r="AO397" i="6"/>
  <c r="AP397" i="6" s="1"/>
  <c r="AT397" i="6"/>
  <c r="AV397" i="6" s="1"/>
  <c r="BS376" i="6"/>
  <c r="BT376" i="6" s="1"/>
  <c r="AO376" i="6"/>
  <c r="AP376" i="6" s="1"/>
  <c r="AT376" i="6"/>
  <c r="AV376" i="6" s="1"/>
  <c r="AX376" i="6"/>
  <c r="AY376" i="6" s="1"/>
  <c r="AY418" i="6" s="1"/>
  <c r="AX395" i="6"/>
  <c r="AY395" i="6" s="1"/>
  <c r="BS396" i="6"/>
  <c r="BT396" i="6" s="1"/>
  <c r="BS375" i="6"/>
  <c r="BT375" i="6" s="1"/>
  <c r="AO375" i="6"/>
  <c r="AP375" i="6" s="1"/>
  <c r="AP356" i="6" s="1"/>
  <c r="BS395" i="6"/>
  <c r="BT395" i="6" s="1"/>
  <c r="BS374" i="6"/>
  <c r="BT374" i="6" s="1"/>
  <c r="AX374" i="6"/>
  <c r="AY374" i="6" s="1"/>
  <c r="BQ419" i="6"/>
  <c r="BO419" i="6"/>
  <c r="BN419" i="6"/>
  <c r="BM419" i="6"/>
  <c r="BL419" i="6"/>
  <c r="BJ419" i="6"/>
  <c r="BI419" i="6"/>
  <c r="BH419" i="6"/>
  <c r="BG419" i="6"/>
  <c r="BE419" i="6"/>
  <c r="BD419" i="6"/>
  <c r="BC419" i="6"/>
  <c r="BB419" i="6"/>
  <c r="AZ419" i="6"/>
  <c r="AW419" i="6"/>
  <c r="AU419" i="6"/>
  <c r="AT419" i="6"/>
  <c r="AS419" i="6"/>
  <c r="AR419" i="6"/>
  <c r="AP419" i="6"/>
  <c r="AO419" i="6"/>
  <c r="AN419" i="6"/>
  <c r="AM419" i="6"/>
  <c r="BQ418" i="6"/>
  <c r="BO418" i="6"/>
  <c r="BN418" i="6"/>
  <c r="BM418" i="6"/>
  <c r="BL418" i="6"/>
  <c r="BJ418" i="6"/>
  <c r="BI418" i="6"/>
  <c r="BH418" i="6"/>
  <c r="BG418" i="6"/>
  <c r="BE418" i="6"/>
  <c r="BD418" i="6"/>
  <c r="BC418" i="6"/>
  <c r="BB418" i="6"/>
  <c r="AZ418" i="6"/>
  <c r="AW418" i="6"/>
  <c r="AU418" i="6"/>
  <c r="AS418" i="6"/>
  <c r="AR418" i="6"/>
  <c r="AN418" i="6"/>
  <c r="AM418" i="6"/>
  <c r="BQ417" i="6"/>
  <c r="BO417" i="6"/>
  <c r="BN417" i="6"/>
  <c r="BM417" i="6"/>
  <c r="BL417" i="6"/>
  <c r="BJ417" i="6"/>
  <c r="BI417" i="6"/>
  <c r="BH417" i="6"/>
  <c r="BG417" i="6"/>
  <c r="BE417" i="6"/>
  <c r="BD417" i="6"/>
  <c r="BC417" i="6"/>
  <c r="BB417" i="6"/>
  <c r="AZ417" i="6"/>
  <c r="AN417" i="6"/>
  <c r="AM417" i="6"/>
  <c r="BQ416" i="6"/>
  <c r="BO416" i="6"/>
  <c r="BN416" i="6"/>
  <c r="BM416" i="6"/>
  <c r="BL416" i="6"/>
  <c r="BJ416" i="6"/>
  <c r="BI416" i="6"/>
  <c r="BH416" i="6"/>
  <c r="BG416" i="6"/>
  <c r="BE416" i="6"/>
  <c r="BD416" i="6"/>
  <c r="BC416" i="6"/>
  <c r="BB416" i="6"/>
  <c r="AZ416" i="6"/>
  <c r="AW416" i="6"/>
  <c r="AU416" i="6"/>
  <c r="AT416" i="6"/>
  <c r="AS416" i="6"/>
  <c r="AR416" i="6"/>
  <c r="AP416" i="6"/>
  <c r="AO416" i="6"/>
  <c r="AN416" i="6"/>
  <c r="AM416" i="6"/>
  <c r="BN457" i="6"/>
  <c r="BM457" i="6"/>
  <c r="BL457" i="6"/>
  <c r="BJ457" i="6"/>
  <c r="BI457" i="6"/>
  <c r="BH457" i="6"/>
  <c r="BG457" i="6"/>
  <c r="BE457" i="6"/>
  <c r="BD457" i="6"/>
  <c r="BC457" i="6"/>
  <c r="BB457" i="6"/>
  <c r="AZ457" i="6"/>
  <c r="AY457" i="6"/>
  <c r="AX457" i="6"/>
  <c r="AW457" i="6"/>
  <c r="AU457" i="6"/>
  <c r="AT457" i="6"/>
  <c r="AS457" i="6"/>
  <c r="AR457" i="6"/>
  <c r="BX436" i="6"/>
  <c r="EN598" i="42458"/>
  <c r="BK436" i="6"/>
  <c r="EH598" i="42458" s="1"/>
  <c r="BF436" i="6"/>
  <c r="EC598" i="42458" s="1"/>
  <c r="BA436" i="6"/>
  <c r="AV436" i="6"/>
  <c r="AQ436" i="6"/>
  <c r="BN415" i="6"/>
  <c r="BM415" i="6"/>
  <c r="BL415" i="6"/>
  <c r="BJ415" i="6"/>
  <c r="BI415" i="6"/>
  <c r="BH415" i="6"/>
  <c r="BG415" i="6"/>
  <c r="BE415" i="6"/>
  <c r="BD415" i="6"/>
  <c r="BC415" i="6"/>
  <c r="BB415" i="6"/>
  <c r="AZ415" i="6"/>
  <c r="AU415" i="6"/>
  <c r="AT415" i="6"/>
  <c r="AS415" i="6"/>
  <c r="AR415" i="6"/>
  <c r="AP415" i="6"/>
  <c r="AO415" i="6"/>
  <c r="AN415" i="6"/>
  <c r="AM415" i="6"/>
  <c r="BP394" i="6"/>
  <c r="BK394" i="6"/>
  <c r="BF394" i="6"/>
  <c r="AW394" i="6"/>
  <c r="AX394" i="6" s="1"/>
  <c r="AV394" i="6"/>
  <c r="AQ394" i="6"/>
  <c r="AW373" i="6"/>
  <c r="AX373" i="6" s="1"/>
  <c r="AY373" i="6" s="1"/>
  <c r="AV373" i="6"/>
  <c r="AQ373" i="6"/>
  <c r="AP405" i="6" l="1"/>
  <c r="AP357" i="6"/>
  <c r="CN438" i="6"/>
  <c r="CO438" i="6" s="1"/>
  <c r="BZ438" i="6"/>
  <c r="CN437" i="6"/>
  <c r="CO437" i="6" s="1"/>
  <c r="BZ437" i="6"/>
  <c r="BZ461" i="6"/>
  <c r="EQ601" i="42458"/>
  <c r="BY439" i="6"/>
  <c r="CN439" i="6" s="1"/>
  <c r="CO439" i="6" s="1"/>
  <c r="EP598" i="42458"/>
  <c r="AY419" i="6"/>
  <c r="AV457" i="6"/>
  <c r="AY416" i="6"/>
  <c r="BU439" i="6"/>
  <c r="ER601" i="42458" s="1"/>
  <c r="BP458" i="6"/>
  <c r="EM599" i="42458"/>
  <c r="BT419" i="6"/>
  <c r="ER602" i="42458"/>
  <c r="BP459" i="6"/>
  <c r="EM600" i="42458"/>
  <c r="BP460" i="6"/>
  <c r="EM601" i="42458"/>
  <c r="AO417" i="6"/>
  <c r="AP418" i="6"/>
  <c r="AR375" i="6"/>
  <c r="AR417" i="6" s="1"/>
  <c r="AP384" i="6"/>
  <c r="BF415" i="6"/>
  <c r="AX419" i="6"/>
  <c r="BR419" i="6"/>
  <c r="BA395" i="6"/>
  <c r="BT418" i="6"/>
  <c r="BU397" i="6"/>
  <c r="AO418" i="6"/>
  <c r="AT418" i="6"/>
  <c r="AV418" i="6" s="1"/>
  <c r="BT416" i="6"/>
  <c r="BS418" i="6"/>
  <c r="BU395" i="6"/>
  <c r="BT417" i="6"/>
  <c r="BU459" i="6"/>
  <c r="BU458" i="6"/>
  <c r="BA377" i="6"/>
  <c r="BU398" i="6"/>
  <c r="BS419" i="6"/>
  <c r="BU375" i="6"/>
  <c r="BF457" i="6"/>
  <c r="AX416" i="6"/>
  <c r="AX418" i="6"/>
  <c r="BA418" i="6" s="1"/>
  <c r="BA376" i="6"/>
  <c r="BA398" i="6"/>
  <c r="BU377" i="6"/>
  <c r="AQ397" i="6"/>
  <c r="BR418" i="6"/>
  <c r="BU376" i="6"/>
  <c r="AQ376" i="6"/>
  <c r="BR417" i="6"/>
  <c r="BS417" i="6"/>
  <c r="BU396" i="6"/>
  <c r="BK415" i="6"/>
  <c r="AP417" i="6"/>
  <c r="AQ375" i="6"/>
  <c r="BR416" i="6"/>
  <c r="BS416" i="6"/>
  <c r="BU374" i="6"/>
  <c r="BA374" i="6"/>
  <c r="AW415" i="6"/>
  <c r="AV415" i="6"/>
  <c r="BA457" i="6"/>
  <c r="BK457" i="6"/>
  <c r="BF418" i="6"/>
  <c r="BK418" i="6"/>
  <c r="BP418" i="6"/>
  <c r="AQ419" i="6"/>
  <c r="AV419" i="6"/>
  <c r="BF419" i="6"/>
  <c r="BK419" i="6"/>
  <c r="BP419" i="6"/>
  <c r="AQ415" i="6"/>
  <c r="AQ416" i="6"/>
  <c r="AV416" i="6"/>
  <c r="BF416" i="6"/>
  <c r="BK416" i="6"/>
  <c r="BP416" i="6"/>
  <c r="BF417" i="6"/>
  <c r="BK417" i="6"/>
  <c r="BP417" i="6"/>
  <c r="BA373" i="6"/>
  <c r="AX415" i="6"/>
  <c r="BY436" i="6"/>
  <c r="CN436" i="6" s="1"/>
  <c r="CO436" i="6" s="1"/>
  <c r="BP436" i="6"/>
  <c r="BS394" i="6"/>
  <c r="BT394" i="6" s="1"/>
  <c r="AY394" i="6"/>
  <c r="AY415" i="6" s="1"/>
  <c r="BK373" i="6"/>
  <c r="BF373" i="6"/>
  <c r="BA416" i="6" l="1"/>
  <c r="BZ436" i="6"/>
  <c r="BZ439" i="6"/>
  <c r="ES601" i="42458" s="1"/>
  <c r="BZ458" i="6"/>
  <c r="BZ459" i="6"/>
  <c r="BV377" i="6"/>
  <c r="BV375" i="6"/>
  <c r="BV398" i="6"/>
  <c r="BV397" i="6"/>
  <c r="BV374" i="6"/>
  <c r="BV396" i="6"/>
  <c r="BV376" i="6"/>
  <c r="BV395" i="6"/>
  <c r="BA419" i="6"/>
  <c r="BP457" i="6"/>
  <c r="EM598" i="42458"/>
  <c r="BU460" i="6"/>
  <c r="BU436" i="6"/>
  <c r="ER598" i="42458" s="1"/>
  <c r="EQ598" i="42458"/>
  <c r="CA437" i="6"/>
  <c r="CB437" i="6" s="1"/>
  <c r="CC437" i="6" s="1"/>
  <c r="CD437" i="6" s="1"/>
  <c r="ES599" i="42458"/>
  <c r="ES602" i="42458"/>
  <c r="CA440" i="6"/>
  <c r="CB440" i="6" s="1"/>
  <c r="CC440" i="6" s="1"/>
  <c r="CA438" i="6"/>
  <c r="CB438" i="6" s="1"/>
  <c r="CC438" i="6" s="1"/>
  <c r="CD438" i="6" s="1"/>
  <c r="ES600" i="42458"/>
  <c r="BA394" i="6"/>
  <c r="AQ417" i="6"/>
  <c r="BU419" i="6"/>
  <c r="AQ418" i="6"/>
  <c r="AS375" i="6"/>
  <c r="AT375" i="6" s="1"/>
  <c r="BU417" i="6"/>
  <c r="BU418" i="6"/>
  <c r="BU394" i="6"/>
  <c r="BU416" i="6"/>
  <c r="BP373" i="6"/>
  <c r="BQ415" i="6" s="1"/>
  <c r="BO415" i="6"/>
  <c r="BA415" i="6"/>
  <c r="BP1087" i="6"/>
  <c r="BP1111" i="6"/>
  <c r="CA1111" i="6"/>
  <c r="CB1111" i="6" s="1"/>
  <c r="BN1105" i="6"/>
  <c r="BN1116" i="6"/>
  <c r="BN1077" i="6"/>
  <c r="BN1079" i="6" s="1"/>
  <c r="BN1070" i="6"/>
  <c r="BN1124" i="6"/>
  <c r="BN1066" i="6"/>
  <c r="BN1031" i="6"/>
  <c r="BO1031" i="6" s="1"/>
  <c r="BT1087" i="6" l="1"/>
  <c r="BU1087" i="6" s="1"/>
  <c r="BW395" i="6"/>
  <c r="BX395" i="6" s="1"/>
  <c r="BY395" i="6" s="1"/>
  <c r="BW396" i="6"/>
  <c r="BX396" i="6" s="1"/>
  <c r="BY396" i="6" s="1"/>
  <c r="BW397" i="6"/>
  <c r="BX397" i="6" s="1"/>
  <c r="BY397" i="6" s="1"/>
  <c r="BW398" i="6"/>
  <c r="BX398" i="6" s="1"/>
  <c r="BY398" i="6" s="1"/>
  <c r="BZ460" i="6"/>
  <c r="BZ457" i="6"/>
  <c r="BV418" i="6"/>
  <c r="BW376" i="6"/>
  <c r="BV416" i="6"/>
  <c r="BW374" i="6"/>
  <c r="BV394" i="6"/>
  <c r="BV417" i="6"/>
  <c r="BW375" i="6"/>
  <c r="BV419" i="6"/>
  <c r="BW377" i="6"/>
  <c r="AS417" i="6"/>
  <c r="CA439" i="6"/>
  <c r="CB439" i="6" s="1"/>
  <c r="CC439" i="6" s="1"/>
  <c r="CD439" i="6" s="1"/>
  <c r="CE439" i="6" s="1"/>
  <c r="BU457" i="6"/>
  <c r="ES598" i="42458"/>
  <c r="CE437" i="6"/>
  <c r="CE438" i="6"/>
  <c r="CD440" i="6"/>
  <c r="AU375" i="6"/>
  <c r="AU356" i="6" s="1"/>
  <c r="AT417" i="6"/>
  <c r="BS373" i="6"/>
  <c r="BP415" i="6"/>
  <c r="BZ395" i="6" l="1"/>
  <c r="CA395" i="6" s="1"/>
  <c r="CB395" i="6" s="1"/>
  <c r="CC395" i="6" s="1"/>
  <c r="CD395" i="6" s="1"/>
  <c r="CE395" i="6" s="1"/>
  <c r="CF395" i="6" s="1"/>
  <c r="CG395" i="6" s="1"/>
  <c r="BZ396" i="6"/>
  <c r="CA396" i="6" s="1"/>
  <c r="CB396" i="6" s="1"/>
  <c r="CC396" i="6" s="1"/>
  <c r="CD396" i="6" s="1"/>
  <c r="CE396" i="6" s="1"/>
  <c r="CF396" i="6" s="1"/>
  <c r="CG396" i="6" s="1"/>
  <c r="BW394" i="6"/>
  <c r="BX394" i="6" s="1"/>
  <c r="BY394" i="6" s="1"/>
  <c r="BZ398" i="6"/>
  <c r="CA398" i="6" s="1"/>
  <c r="CB398" i="6" s="1"/>
  <c r="CC398" i="6" s="1"/>
  <c r="CD398" i="6" s="1"/>
  <c r="CE398" i="6" s="1"/>
  <c r="CF398" i="6" s="1"/>
  <c r="CG398" i="6" s="1"/>
  <c r="BZ397" i="6"/>
  <c r="CA397" i="6" s="1"/>
  <c r="CB397" i="6" s="1"/>
  <c r="CC397" i="6" s="1"/>
  <c r="CD397" i="6" s="1"/>
  <c r="CE397" i="6" s="1"/>
  <c r="CF397" i="6" s="1"/>
  <c r="CG397" i="6" s="1"/>
  <c r="BV1087" i="6"/>
  <c r="BV482" i="6"/>
  <c r="BV480" i="6"/>
  <c r="BX374" i="6"/>
  <c r="BW416" i="6"/>
  <c r="BW479" i="6" s="1"/>
  <c r="BW418" i="6"/>
  <c r="BW481" i="6" s="1"/>
  <c r="BX376" i="6"/>
  <c r="BX377" i="6"/>
  <c r="BW419" i="6"/>
  <c r="BW482" i="6" s="1"/>
  <c r="BX375" i="6"/>
  <c r="BW417" i="6"/>
  <c r="BW480" i="6" s="1"/>
  <c r="BV479" i="6"/>
  <c r="BV481" i="6"/>
  <c r="CA436" i="6"/>
  <c r="CB436" i="6" s="1"/>
  <c r="CC436" i="6" s="1"/>
  <c r="CD436" i="6" s="1"/>
  <c r="CE436" i="6" s="1"/>
  <c r="CF436" i="6" s="1"/>
  <c r="CG436" i="6" s="1"/>
  <c r="AV375" i="6"/>
  <c r="AU384" i="6"/>
  <c r="CF437" i="6"/>
  <c r="CF439" i="6"/>
  <c r="CF438" i="6"/>
  <c r="CE440" i="6"/>
  <c r="BR415" i="6"/>
  <c r="AW375" i="6"/>
  <c r="AU417" i="6"/>
  <c r="AV417" i="6" s="1"/>
  <c r="BT373" i="6"/>
  <c r="BS415" i="6"/>
  <c r="BZ394" i="6" l="1"/>
  <c r="CA394" i="6" s="1"/>
  <c r="CB394" i="6" s="1"/>
  <c r="CC394" i="6" s="1"/>
  <c r="CD394" i="6" s="1"/>
  <c r="CE394" i="6" s="1"/>
  <c r="CF394" i="6" s="1"/>
  <c r="CG394" i="6" s="1"/>
  <c r="BY376" i="6"/>
  <c r="BY418" i="6" s="1"/>
  <c r="BY481" i="6" s="1"/>
  <c r="BX418" i="6"/>
  <c r="BW1087" i="6"/>
  <c r="BV1143" i="6"/>
  <c r="BY375" i="6"/>
  <c r="BY417" i="6" s="1"/>
  <c r="BY480" i="6" s="1"/>
  <c r="BX417" i="6"/>
  <c r="BX480" i="6" s="1"/>
  <c r="BY377" i="6"/>
  <c r="BY419" i="6" s="1"/>
  <c r="BY482" i="6" s="1"/>
  <c r="BX419" i="6"/>
  <c r="BX482" i="6" s="1"/>
  <c r="BY374" i="6"/>
  <c r="BY416" i="6" s="1"/>
  <c r="BY479" i="6" s="1"/>
  <c r="BX416" i="6"/>
  <c r="BX479" i="6" s="1"/>
  <c r="CG438" i="6"/>
  <c r="CG439" i="6"/>
  <c r="CG437" i="6"/>
  <c r="CF440" i="6"/>
  <c r="AX375" i="6"/>
  <c r="AW417" i="6"/>
  <c r="BT415" i="6"/>
  <c r="BU415" i="6" s="1"/>
  <c r="BU373" i="6"/>
  <c r="CN480" i="6" l="1"/>
  <c r="BZ418" i="6"/>
  <c r="CA418" i="6" s="1"/>
  <c r="CB418" i="6" s="1"/>
  <c r="CC418" i="6" s="1"/>
  <c r="CD418" i="6" s="1"/>
  <c r="CE418" i="6" s="1"/>
  <c r="CF418" i="6" s="1"/>
  <c r="CG418" i="6" s="1"/>
  <c r="CN482" i="6"/>
  <c r="CN479" i="6"/>
  <c r="BZ417" i="6"/>
  <c r="CA417" i="6" s="1"/>
  <c r="CB417" i="6" s="1"/>
  <c r="CC417" i="6" s="1"/>
  <c r="CD417" i="6" s="1"/>
  <c r="CE417" i="6" s="1"/>
  <c r="CF417" i="6" s="1"/>
  <c r="CG417" i="6" s="1"/>
  <c r="BZ374" i="6"/>
  <c r="CA374" i="6" s="1"/>
  <c r="CB374" i="6" s="1"/>
  <c r="CC374" i="6" s="1"/>
  <c r="CD374" i="6" s="1"/>
  <c r="CE374" i="6" s="1"/>
  <c r="CF374" i="6" s="1"/>
  <c r="CG374" i="6" s="1"/>
  <c r="BZ375" i="6"/>
  <c r="CA375" i="6" s="1"/>
  <c r="CB375" i="6" s="1"/>
  <c r="CC375" i="6" s="1"/>
  <c r="CD375" i="6" s="1"/>
  <c r="CE375" i="6" s="1"/>
  <c r="CF375" i="6" s="1"/>
  <c r="CG375" i="6" s="1"/>
  <c r="BZ419" i="6"/>
  <c r="CA419" i="6" s="1"/>
  <c r="CB419" i="6" s="1"/>
  <c r="CC419" i="6" s="1"/>
  <c r="CD419" i="6" s="1"/>
  <c r="CE419" i="6" s="1"/>
  <c r="CF419" i="6" s="1"/>
  <c r="CG419" i="6" s="1"/>
  <c r="BZ416" i="6"/>
  <c r="CA416" i="6" s="1"/>
  <c r="CB416" i="6" s="1"/>
  <c r="CC416" i="6" s="1"/>
  <c r="CD416" i="6" s="1"/>
  <c r="CE416" i="6" s="1"/>
  <c r="BZ377" i="6"/>
  <c r="CA377" i="6" s="1"/>
  <c r="CB377" i="6" s="1"/>
  <c r="CC377" i="6" s="1"/>
  <c r="CD377" i="6" s="1"/>
  <c r="CE377" i="6" s="1"/>
  <c r="CF377" i="6" s="1"/>
  <c r="CG377" i="6" s="1"/>
  <c r="BZ376" i="6"/>
  <c r="CA376" i="6" s="1"/>
  <c r="CB376" i="6" s="1"/>
  <c r="CC376" i="6" s="1"/>
  <c r="CD376" i="6" s="1"/>
  <c r="CE376" i="6" s="1"/>
  <c r="CF376" i="6" s="1"/>
  <c r="CG376" i="6" s="1"/>
  <c r="BX481" i="6"/>
  <c r="CN481" i="6" s="1"/>
  <c r="BV373" i="6"/>
  <c r="BW1143" i="6"/>
  <c r="BX1087" i="6"/>
  <c r="CG440" i="6"/>
  <c r="AY375" i="6"/>
  <c r="AX417" i="6"/>
  <c r="BY1087" i="6" l="1"/>
  <c r="BX1143" i="6"/>
  <c r="BV415" i="6"/>
  <c r="BW373" i="6"/>
  <c r="CF416" i="6"/>
  <c r="AY417" i="6"/>
  <c r="BA417" i="6" s="1"/>
  <c r="BA375" i="6"/>
  <c r="BY1143" i="6" l="1"/>
  <c r="CN1143" i="6" s="1"/>
  <c r="CO1143" i="6" s="1"/>
  <c r="BZ1087" i="6"/>
  <c r="CA1087" i="6" s="1"/>
  <c r="CB1087" i="6" s="1"/>
  <c r="CN1087" i="6"/>
  <c r="CO1087" i="6" s="1"/>
  <c r="BX373" i="6"/>
  <c r="BW415" i="6"/>
  <c r="BW478" i="6" s="1"/>
  <c r="BV478" i="6"/>
  <c r="CG416" i="6"/>
  <c r="BZ1143" i="6" l="1"/>
  <c r="BY373" i="6"/>
  <c r="BY415" i="6" s="1"/>
  <c r="BY478" i="6" s="1"/>
  <c r="BX415" i="6"/>
  <c r="BX478" i="6" s="1"/>
  <c r="CN478" i="6" l="1"/>
  <c r="BZ415" i="6"/>
  <c r="CA415" i="6" s="1"/>
  <c r="CB415" i="6" s="1"/>
  <c r="CC415" i="6" s="1"/>
  <c r="CD415" i="6" s="1"/>
  <c r="CE415" i="6" s="1"/>
  <c r="BZ373" i="6"/>
  <c r="CA373" i="6" s="1"/>
  <c r="CB373" i="6" s="1"/>
  <c r="CC373" i="6" s="1"/>
  <c r="CD373" i="6" s="1"/>
  <c r="CE373" i="6" s="1"/>
  <c r="CF373" i="6" s="1"/>
  <c r="CG373" i="6" s="1"/>
  <c r="BY87" i="6"/>
  <c r="BX87" i="6" l="1"/>
  <c r="BX1343" i="6" s="1"/>
  <c r="CN78" i="6"/>
  <c r="CO78" i="6" s="1"/>
  <c r="BZ78" i="6"/>
  <c r="BY1343" i="6"/>
  <c r="BY1335" i="6"/>
  <c r="BY1336" i="6" s="1"/>
  <c r="CF415" i="6"/>
  <c r="BN87" i="6"/>
  <c r="BN78" i="6"/>
  <c r="BO77" i="6"/>
  <c r="BN77" i="6"/>
  <c r="BN1342" i="6" s="1"/>
  <c r="BM77" i="6"/>
  <c r="BN73" i="6"/>
  <c r="BN342" i="6"/>
  <c r="BS343" i="6" s="1"/>
  <c r="BN340" i="6"/>
  <c r="BN306" i="6"/>
  <c r="CB353" i="6"/>
  <c r="CA353" i="6"/>
  <c r="BU353" i="6"/>
  <c r="BT353" i="6"/>
  <c r="BS353" i="6"/>
  <c r="BR353" i="6"/>
  <c r="BQ353" i="6"/>
  <c r="BP353" i="6"/>
  <c r="BO353" i="6"/>
  <c r="BN353" i="6"/>
  <c r="BM353" i="6"/>
  <c r="BL353" i="6"/>
  <c r="BK353" i="6"/>
  <c r="BJ353" i="6"/>
  <c r="BI353" i="6"/>
  <c r="BH353" i="6"/>
  <c r="BG353" i="6"/>
  <c r="BF353" i="6"/>
  <c r="BE353" i="6"/>
  <c r="BD353" i="6"/>
  <c r="BC353" i="6"/>
  <c r="BB353" i="6"/>
  <c r="BA353" i="6"/>
  <c r="AZ353" i="6"/>
  <c r="AY353" i="6"/>
  <c r="AX353" i="6"/>
  <c r="AW353" i="6"/>
  <c r="AV353" i="6"/>
  <c r="AU353" i="6"/>
  <c r="AT353" i="6"/>
  <c r="AS353" i="6"/>
  <c r="AR353" i="6"/>
  <c r="AQ353" i="6"/>
  <c r="AP353" i="6"/>
  <c r="AO353" i="6"/>
  <c r="AN353" i="6"/>
  <c r="AM353" i="6"/>
  <c r="AL353" i="6"/>
  <c r="AK353" i="6"/>
  <c r="AJ353" i="6"/>
  <c r="AI353" i="6"/>
  <c r="AH353" i="6"/>
  <c r="AG353" i="6"/>
  <c r="AF353" i="6"/>
  <c r="AE353" i="6"/>
  <c r="AD353" i="6"/>
  <c r="AC353" i="6"/>
  <c r="AB353" i="6"/>
  <c r="AA353" i="6"/>
  <c r="Z353" i="6"/>
  <c r="Y353" i="6"/>
  <c r="X353" i="6"/>
  <c r="W353" i="6"/>
  <c r="V353" i="6"/>
  <c r="U353" i="6"/>
  <c r="T353" i="6"/>
  <c r="S353" i="6"/>
  <c r="R353" i="6"/>
  <c r="Q353" i="6"/>
  <c r="P353" i="6"/>
  <c r="O353" i="6"/>
  <c r="N353" i="6"/>
  <c r="M353" i="6"/>
  <c r="L353" i="6"/>
  <c r="K353" i="6"/>
  <c r="J353" i="6"/>
  <c r="I353" i="6"/>
  <c r="H353" i="6"/>
  <c r="G353" i="6"/>
  <c r="F353" i="6"/>
  <c r="E353" i="6"/>
  <c r="D353" i="6"/>
  <c r="BN453" i="6"/>
  <c r="BN452" i="6"/>
  <c r="BN454" i="6"/>
  <c r="BN455" i="6"/>
  <c r="BN456" i="6"/>
  <c r="BN412" i="6"/>
  <c r="BU826" i="6"/>
  <c r="BT761" i="6"/>
  <c r="BS761" i="6"/>
  <c r="BR761" i="6"/>
  <c r="BQ761" i="6"/>
  <c r="BQ758" i="6"/>
  <c r="BT762" i="6"/>
  <c r="BS762" i="6"/>
  <c r="BR762" i="6"/>
  <c r="BQ762" i="6"/>
  <c r="BT760" i="6"/>
  <c r="BS760" i="6"/>
  <c r="BS780" i="6" s="1"/>
  <c r="BR760" i="6"/>
  <c r="BR780" i="6" s="1"/>
  <c r="BQ760" i="6"/>
  <c r="BT759" i="6"/>
  <c r="BS759" i="6"/>
  <c r="BR759" i="6"/>
  <c r="BQ759" i="6"/>
  <c r="BT758" i="6"/>
  <c r="BS758" i="6"/>
  <c r="BR758" i="6"/>
  <c r="AZ50" i="6"/>
  <c r="AY50" i="6"/>
  <c r="AX50" i="6"/>
  <c r="AW50" i="6"/>
  <c r="AU50" i="6"/>
  <c r="AT50" i="6"/>
  <c r="AS50" i="6"/>
  <c r="AR50" i="6"/>
  <c r="AP50" i="6"/>
  <c r="AO50" i="6"/>
  <c r="AN50" i="6"/>
  <c r="AM50" i="6"/>
  <c r="AK50" i="6"/>
  <c r="AJ50" i="6"/>
  <c r="AI50" i="6"/>
  <c r="AH50" i="6"/>
  <c r="AF50" i="6"/>
  <c r="AE50" i="6"/>
  <c r="AD50" i="6"/>
  <c r="AC50" i="6"/>
  <c r="AA50" i="6"/>
  <c r="Z50" i="6"/>
  <c r="Y50" i="6"/>
  <c r="X50" i="6"/>
  <c r="V50" i="6"/>
  <c r="U50" i="6"/>
  <c r="T50" i="6"/>
  <c r="S50" i="6"/>
  <c r="Q50" i="6"/>
  <c r="P50" i="6"/>
  <c r="O50" i="6"/>
  <c r="N50" i="6"/>
  <c r="L50" i="6"/>
  <c r="K50" i="6"/>
  <c r="J50" i="6"/>
  <c r="I50" i="6"/>
  <c r="G50" i="6"/>
  <c r="F50" i="6"/>
  <c r="E50" i="6"/>
  <c r="D50" i="6"/>
  <c r="BT49" i="6"/>
  <c r="BS49" i="6"/>
  <c r="BR49" i="6"/>
  <c r="BQ49" i="6"/>
  <c r="BT48" i="6"/>
  <c r="BS48" i="6"/>
  <c r="BR48" i="6"/>
  <c r="BQ48" i="6"/>
  <c r="AW49" i="6"/>
  <c r="AX49" i="6"/>
  <c r="AY49" i="6"/>
  <c r="AZ49" i="6"/>
  <c r="BP1044" i="6"/>
  <c r="DC1044" i="6" s="1"/>
  <c r="BQ1164" i="6"/>
  <c r="BQ1340" i="6"/>
  <c r="BU1022" i="6"/>
  <c r="BU1019" i="6"/>
  <c r="BU1017" i="6"/>
  <c r="DD1017" i="6" s="1"/>
  <c r="BU1016" i="6"/>
  <c r="BU1015" i="6"/>
  <c r="BU1033" i="6"/>
  <c r="BT281" i="42290"/>
  <c r="BS281" i="42290"/>
  <c r="BS282" i="42290" s="1"/>
  <c r="BR281" i="42290"/>
  <c r="BR282" i="42290" s="1"/>
  <c r="BR288" i="42290" s="1"/>
  <c r="BQ281" i="42290"/>
  <c r="BQ282" i="42290" s="1"/>
  <c r="BQ288" i="42290" s="1"/>
  <c r="BP281" i="42290"/>
  <c r="BP282" i="42290" s="1"/>
  <c r="BP288" i="42290" s="1"/>
  <c r="BT266" i="42290"/>
  <c r="BT269" i="42290" s="1"/>
  <c r="BS266" i="42290"/>
  <c r="BS273" i="42290" s="1"/>
  <c r="BR266" i="42290"/>
  <c r="BR273" i="42290" s="1"/>
  <c r="BQ266" i="42290"/>
  <c r="BP266" i="42290"/>
  <c r="BT252" i="42290"/>
  <c r="BT251" i="42290"/>
  <c r="BT241" i="42290"/>
  <c r="BT240" i="42290"/>
  <c r="BT230" i="42290"/>
  <c r="BT85" i="42290"/>
  <c r="BS85" i="42290"/>
  <c r="BR85" i="42290"/>
  <c r="BQ85" i="42290"/>
  <c r="BP85" i="42290"/>
  <c r="BT76" i="42290"/>
  <c r="BS76" i="42290"/>
  <c r="BR76" i="42290"/>
  <c r="BQ76" i="42290"/>
  <c r="BP76" i="42290"/>
  <c r="BT68" i="42290"/>
  <c r="BS68" i="42290"/>
  <c r="BR68" i="42290"/>
  <c r="BQ68" i="42290"/>
  <c r="BP68" i="42290"/>
  <c r="BT55" i="42290"/>
  <c r="BS55" i="42290"/>
  <c r="BR55" i="42290"/>
  <c r="BQ55" i="42290"/>
  <c r="BP55" i="42290"/>
  <c r="BU1351" i="6"/>
  <c r="DD1316" i="6"/>
  <c r="DD1309" i="6"/>
  <c r="BU1287" i="6"/>
  <c r="BV1287" i="6" s="1"/>
  <c r="BW1287" i="6" s="1"/>
  <c r="BX1287" i="6" s="1"/>
  <c r="BY1287" i="6" s="1"/>
  <c r="BZ1287" i="6" s="1"/>
  <c r="BU1279" i="6"/>
  <c r="BV1279" i="6" s="1"/>
  <c r="BW1279" i="6" s="1"/>
  <c r="BX1279" i="6" s="1"/>
  <c r="BY1279" i="6" s="1"/>
  <c r="BZ1279" i="6" s="1"/>
  <c r="BU1220" i="6"/>
  <c r="BU1204" i="6"/>
  <c r="BU1203" i="6"/>
  <c r="BU1202" i="6"/>
  <c r="BU1201" i="6"/>
  <c r="BU1200" i="6"/>
  <c r="BU1199" i="6"/>
  <c r="BU1198" i="6"/>
  <c r="BU1135" i="6"/>
  <c r="BU851" i="6"/>
  <c r="BV851" i="6" s="1"/>
  <c r="BW851" i="6" s="1"/>
  <c r="BX851" i="6" s="1"/>
  <c r="BY851" i="6" s="1"/>
  <c r="BZ851" i="6" s="1"/>
  <c r="BU299" i="6"/>
  <c r="BU154" i="6"/>
  <c r="BU121" i="6"/>
  <c r="DD121" i="6" s="1"/>
  <c r="BU120" i="6"/>
  <c r="BT1272" i="6"/>
  <c r="BS1272" i="6"/>
  <c r="BR1272" i="6"/>
  <c r="BQ1272" i="6"/>
  <c r="BT1223" i="6"/>
  <c r="BS1223" i="6"/>
  <c r="BR1223" i="6"/>
  <c r="BQ1223" i="6"/>
  <c r="BT1035" i="6"/>
  <c r="BT1182" i="6"/>
  <c r="BS1182" i="6"/>
  <c r="BR1182" i="6"/>
  <c r="BQ1182" i="6"/>
  <c r="BT1166" i="6"/>
  <c r="BS1166" i="6"/>
  <c r="BR1166" i="6"/>
  <c r="BT1158" i="6"/>
  <c r="BS1158" i="6"/>
  <c r="BR1158" i="6"/>
  <c r="BT1143" i="6"/>
  <c r="BS1143" i="6"/>
  <c r="BR1143" i="6"/>
  <c r="BQ1143" i="6"/>
  <c r="BT1142" i="6"/>
  <c r="BS1142" i="6"/>
  <c r="BR1142" i="6"/>
  <c r="BT1140" i="6"/>
  <c r="BS1140" i="6"/>
  <c r="BR1140" i="6"/>
  <c r="BQ1140" i="6"/>
  <c r="BT1139" i="6"/>
  <c r="BS1139" i="6"/>
  <c r="BR1139" i="6"/>
  <c r="BQ1139" i="6"/>
  <c r="BT1131" i="6"/>
  <c r="BS1131" i="6"/>
  <c r="BR1131" i="6"/>
  <c r="BQ1131" i="6"/>
  <c r="BT1051" i="6"/>
  <c r="BS1051" i="6"/>
  <c r="BR1051" i="6"/>
  <c r="BQ1051" i="6"/>
  <c r="BT1010" i="6"/>
  <c r="BS1010" i="6"/>
  <c r="BR1010" i="6"/>
  <c r="BQ1010" i="6"/>
  <c r="BT876" i="6"/>
  <c r="BS876" i="6"/>
  <c r="BR876" i="6"/>
  <c r="BQ876" i="6"/>
  <c r="BT860" i="6"/>
  <c r="BS860" i="6"/>
  <c r="BX860" i="6" s="1"/>
  <c r="BR860" i="6"/>
  <c r="BW860" i="6" s="1"/>
  <c r="BQ860" i="6"/>
  <c r="BV860" i="6" s="1"/>
  <c r="BQ818" i="6"/>
  <c r="BR818" i="6" s="1"/>
  <c r="BS818" i="6" s="1"/>
  <c r="BT818" i="6" s="1"/>
  <c r="BQ817" i="6"/>
  <c r="BR817" i="6" s="1"/>
  <c r="BT813" i="6"/>
  <c r="BS813" i="6"/>
  <c r="BR813" i="6"/>
  <c r="BQ813" i="6"/>
  <c r="BT780" i="6"/>
  <c r="BQ780" i="6"/>
  <c r="BT755" i="6"/>
  <c r="BS755" i="6"/>
  <c r="BR755" i="6"/>
  <c r="BQ755" i="6"/>
  <c r="BT748" i="6"/>
  <c r="BS748" i="6"/>
  <c r="BR748" i="6"/>
  <c r="BQ748" i="6"/>
  <c r="BQ191" i="42290"/>
  <c r="BP191" i="42290"/>
  <c r="BP170" i="42290"/>
  <c r="BT523" i="6"/>
  <c r="BS523" i="6"/>
  <c r="BR523" i="6"/>
  <c r="BQ523" i="6"/>
  <c r="BT355" i="6"/>
  <c r="BS355" i="6"/>
  <c r="BR355" i="6"/>
  <c r="BQ355" i="6"/>
  <c r="BQ11" i="6"/>
  <c r="EN590" i="42458" s="1"/>
  <c r="EN610" i="42458" s="1"/>
  <c r="BT327" i="6"/>
  <c r="BS327" i="6"/>
  <c r="BR327" i="6"/>
  <c r="BQ327" i="6"/>
  <c r="BT285" i="6"/>
  <c r="BS285" i="6"/>
  <c r="BR285" i="6"/>
  <c r="BQ285" i="6"/>
  <c r="BT220" i="6"/>
  <c r="BS220" i="6"/>
  <c r="BR220" i="6"/>
  <c r="BQ220" i="6"/>
  <c r="BT187" i="6"/>
  <c r="BS187" i="6"/>
  <c r="BR187" i="6"/>
  <c r="BQ187" i="6"/>
  <c r="BT185" i="6"/>
  <c r="BS185" i="6"/>
  <c r="BR185" i="6"/>
  <c r="BQ185" i="6"/>
  <c r="BT165" i="6"/>
  <c r="BS165" i="6"/>
  <c r="BR165" i="6"/>
  <c r="BQ165" i="6"/>
  <c r="BT150" i="6"/>
  <c r="BS150" i="6"/>
  <c r="BR150" i="6"/>
  <c r="BQ150" i="6"/>
  <c r="BT148" i="6"/>
  <c r="BS148" i="6"/>
  <c r="BR148" i="6"/>
  <c r="BQ148" i="6"/>
  <c r="BT146" i="6"/>
  <c r="BS146" i="6"/>
  <c r="BR146" i="6"/>
  <c r="BQ146" i="6"/>
  <c r="BT141" i="6"/>
  <c r="BS141" i="6"/>
  <c r="BR141" i="6"/>
  <c r="BQ141" i="6"/>
  <c r="BT140" i="6"/>
  <c r="BS140" i="6"/>
  <c r="BR140" i="6"/>
  <c r="BQ140" i="6"/>
  <c r="BT139" i="6"/>
  <c r="BS139" i="6"/>
  <c r="BR139" i="6"/>
  <c r="BQ139" i="6"/>
  <c r="BQ137" i="6"/>
  <c r="BT133" i="6"/>
  <c r="BS133" i="6"/>
  <c r="BR133" i="6"/>
  <c r="BQ133" i="6"/>
  <c r="BT77" i="6"/>
  <c r="BT1342" i="6" s="1"/>
  <c r="BS77" i="6"/>
  <c r="BS1342" i="6" s="1"/>
  <c r="BR77" i="6"/>
  <c r="BR1342" i="6" s="1"/>
  <c r="BQ77" i="6"/>
  <c r="BT68" i="6"/>
  <c r="BS68" i="6"/>
  <c r="BR68" i="6"/>
  <c r="BQ68" i="6"/>
  <c r="BQ108" i="6"/>
  <c r="BT5" i="6"/>
  <c r="HJ680" i="42458" s="1"/>
  <c r="HJ715" i="42458" s="1"/>
  <c r="BS5" i="6"/>
  <c r="BR5" i="6"/>
  <c r="BM1116" i="6"/>
  <c r="BM1077" i="6"/>
  <c r="BM1079" i="6" s="1"/>
  <c r="BM1070" i="6"/>
  <c r="BM1066" i="6"/>
  <c r="BM1041" i="6"/>
  <c r="BM1040" i="6"/>
  <c r="BM1034" i="6"/>
  <c r="BN1034" i="6" s="1"/>
  <c r="BO1034" i="6" s="1"/>
  <c r="BM1032" i="6"/>
  <c r="BM1025" i="6"/>
  <c r="BM1024" i="6"/>
  <c r="BN1024" i="6" s="1"/>
  <c r="BN137" i="6" s="1"/>
  <c r="BM1023" i="6"/>
  <c r="BN1023" i="6" s="1"/>
  <c r="BN146" i="6" s="1"/>
  <c r="BM1019" i="6"/>
  <c r="BM760" i="6"/>
  <c r="BM780" i="6" s="1"/>
  <c r="BP1147" i="6"/>
  <c r="BP1091" i="6"/>
  <c r="BQ1147" i="6" s="1"/>
  <c r="BM1105" i="6"/>
  <c r="DU571" i="42458"/>
  <c r="DV571" i="42458" s="1"/>
  <c r="DS572" i="42458"/>
  <c r="DS571" i="42458"/>
  <c r="DV569" i="42458"/>
  <c r="DV572" i="42458"/>
  <c r="DW572" i="42458" s="1"/>
  <c r="DQ570" i="42458"/>
  <c r="DQ569" i="42458"/>
  <c r="DS569" i="42458" s="1"/>
  <c r="DV567" i="42458"/>
  <c r="DV566" i="42458"/>
  <c r="DQ568" i="42458"/>
  <c r="DS567" i="42458"/>
  <c r="DS566" i="42458"/>
  <c r="BN1166" i="6"/>
  <c r="BN1158" i="6"/>
  <c r="DL548" i="42458"/>
  <c r="DL549" i="42458" s="1"/>
  <c r="DO551" i="42458"/>
  <c r="DO545" i="42458" s="1"/>
  <c r="DL560" i="42458"/>
  <c r="BN936" i="6"/>
  <c r="BM87" i="6"/>
  <c r="BM1343" i="6" s="1"/>
  <c r="BM73" i="6"/>
  <c r="BM78" i="6"/>
  <c r="BM54" i="6"/>
  <c r="BR108" i="6"/>
  <c r="BM940" i="6"/>
  <c r="BM924" i="6"/>
  <c r="BM891" i="6"/>
  <c r="BM903" i="6"/>
  <c r="BM897" i="6" s="1"/>
  <c r="BM901" i="6"/>
  <c r="BM699" i="6"/>
  <c r="BM710" i="6" s="1"/>
  <c r="BM342" i="6"/>
  <c r="BR343" i="6" s="1"/>
  <c r="BM340" i="6"/>
  <c r="BM306" i="6"/>
  <c r="BM298" i="6"/>
  <c r="BM323" i="6" s="1"/>
  <c r="BM643" i="6"/>
  <c r="BM637" i="6"/>
  <c r="BM636" i="6"/>
  <c r="BM609" i="6"/>
  <c r="BM603" i="6"/>
  <c r="BM602" i="6"/>
  <c r="BM575" i="6"/>
  <c r="BM569" i="6"/>
  <c r="BM568" i="6"/>
  <c r="BM541" i="6"/>
  <c r="BM534" i="6"/>
  <c r="BM456" i="6"/>
  <c r="BM455" i="6"/>
  <c r="BM453" i="6"/>
  <c r="BM454" i="6"/>
  <c r="BM452" i="6"/>
  <c r="CD7" i="42424"/>
  <c r="CD11" i="42424"/>
  <c r="CD15" i="42424"/>
  <c r="I8" i="42425" s="1"/>
  <c r="J8" i="42425" s="1"/>
  <c r="CD19" i="42424"/>
  <c r="CD23" i="42424"/>
  <c r="CD27" i="42424"/>
  <c r="C11" i="42428"/>
  <c r="C17" i="42428"/>
  <c r="C19" i="42428"/>
  <c r="K19" i="42428" s="1"/>
  <c r="C21" i="42428"/>
  <c r="L21" i="42428" s="1"/>
  <c r="D21" i="42428"/>
  <c r="C22" i="42428"/>
  <c r="D22" i="42428"/>
  <c r="C27" i="42428"/>
  <c r="K27" i="42428" s="1"/>
  <c r="D27" i="42428"/>
  <c r="L27" i="42428"/>
  <c r="C28" i="42428"/>
  <c r="D28" i="42428"/>
  <c r="D48" i="42428" s="1"/>
  <c r="C29" i="42428"/>
  <c r="K29" i="42428" s="1"/>
  <c r="D29" i="42428"/>
  <c r="L30" i="42428"/>
  <c r="C33" i="42428"/>
  <c r="K33" i="42428" s="1"/>
  <c r="C11" i="42432"/>
  <c r="L11" i="42432" s="1"/>
  <c r="C20" i="42432"/>
  <c r="C22" i="42432"/>
  <c r="D22" i="42432"/>
  <c r="C23" i="42432"/>
  <c r="L23" i="42432" s="1"/>
  <c r="D23" i="42432"/>
  <c r="C27" i="42432"/>
  <c r="D27" i="42432"/>
  <c r="C28" i="42432"/>
  <c r="K28" i="42432" s="1"/>
  <c r="D28" i="42432"/>
  <c r="G28" i="42432" s="1"/>
  <c r="L28" i="42432"/>
  <c r="D29" i="42432"/>
  <c r="D53" i="42432" s="1"/>
  <c r="L29" i="42432"/>
  <c r="D30" i="42432"/>
  <c r="L30" i="42432"/>
  <c r="L31" i="42432"/>
  <c r="C34" i="42432"/>
  <c r="C37" i="42432"/>
  <c r="L37" i="42432" s="1"/>
  <c r="D37" i="42432"/>
  <c r="G37" i="42432" s="1"/>
  <c r="I46" i="42432"/>
  <c r="I47" i="42432"/>
  <c r="I48" i="42432"/>
  <c r="I49" i="42432"/>
  <c r="I50" i="42432"/>
  <c r="I52" i="42432"/>
  <c r="I55" i="42432" s="1"/>
  <c r="C11" i="42437"/>
  <c r="K11" i="42437" s="1"/>
  <c r="C20" i="42437"/>
  <c r="C22" i="42437"/>
  <c r="K22" i="42437" s="1"/>
  <c r="D22" i="42437"/>
  <c r="C23" i="42437"/>
  <c r="D23" i="42437"/>
  <c r="C27" i="42437"/>
  <c r="L27" i="42437" s="1"/>
  <c r="D27" i="42437"/>
  <c r="C28" i="42437"/>
  <c r="K28" i="42437" s="1"/>
  <c r="D28" i="42437"/>
  <c r="G28" i="42437" s="1"/>
  <c r="L28" i="42437"/>
  <c r="D29" i="42437"/>
  <c r="D53" i="42437" s="1"/>
  <c r="L29" i="42437"/>
  <c r="D30" i="42437"/>
  <c r="L30" i="42437"/>
  <c r="L31" i="42437"/>
  <c r="C34" i="42437"/>
  <c r="L34" i="42437" s="1"/>
  <c r="C37" i="42437"/>
  <c r="K37" i="42437" s="1"/>
  <c r="D37" i="42437"/>
  <c r="G37" i="42437" s="1"/>
  <c r="L37" i="42437"/>
  <c r="L53" i="42437"/>
  <c r="C11" i="42440"/>
  <c r="D11" i="42440"/>
  <c r="C20" i="42440"/>
  <c r="D20" i="42440"/>
  <c r="C22" i="42440"/>
  <c r="D22" i="42440"/>
  <c r="C23" i="42440"/>
  <c r="D23" i="42440"/>
  <c r="C27" i="42440"/>
  <c r="D27" i="42440"/>
  <c r="C28" i="42440"/>
  <c r="K28" i="42440" s="1"/>
  <c r="D28" i="42440"/>
  <c r="L28" i="42440"/>
  <c r="D29" i="42440"/>
  <c r="D53" i="42440" s="1"/>
  <c r="L29" i="42440"/>
  <c r="D30" i="42440"/>
  <c r="L30" i="42440"/>
  <c r="L31" i="42440"/>
  <c r="C34" i="42440"/>
  <c r="D34" i="42440"/>
  <c r="C37" i="42440"/>
  <c r="K37" i="42440" s="1"/>
  <c r="D37" i="42440"/>
  <c r="G37" i="42440" s="1"/>
  <c r="I46" i="42440"/>
  <c r="I47" i="42440"/>
  <c r="I48" i="42440"/>
  <c r="I49" i="42440"/>
  <c r="D50" i="42440"/>
  <c r="I50" i="42440"/>
  <c r="C11" i="42441"/>
  <c r="K11" i="42441" s="1"/>
  <c r="D11" i="42441"/>
  <c r="C20" i="42441"/>
  <c r="D20" i="42441"/>
  <c r="C22" i="42441"/>
  <c r="D22" i="42441"/>
  <c r="C23" i="42441"/>
  <c r="L23" i="42441" s="1"/>
  <c r="D23" i="42441"/>
  <c r="C27" i="42441"/>
  <c r="C28" i="42441"/>
  <c r="K28" i="42441" s="1"/>
  <c r="G28" i="42441"/>
  <c r="L28" i="42441"/>
  <c r="G29" i="42441"/>
  <c r="L29" i="42441"/>
  <c r="G30" i="42441"/>
  <c r="L30" i="42441"/>
  <c r="D31" i="42441"/>
  <c r="C34" i="42441"/>
  <c r="L34" i="42441" s="1"/>
  <c r="C37" i="42441"/>
  <c r="K37" i="42441" s="1"/>
  <c r="D49" i="42441"/>
  <c r="N49" i="42441"/>
  <c r="O49" i="42441"/>
  <c r="N53" i="42441"/>
  <c r="O55" i="42441" s="1"/>
  <c r="O53" i="42441"/>
  <c r="K8" i="42442"/>
  <c r="L8" i="42442"/>
  <c r="K9" i="42442"/>
  <c r="L9" i="42442"/>
  <c r="K10" i="42442"/>
  <c r="L10" i="42442"/>
  <c r="D11" i="42442"/>
  <c r="F11" i="42442" s="1"/>
  <c r="K11" i="42442"/>
  <c r="L11" i="42442"/>
  <c r="C12" i="42442"/>
  <c r="L12" i="42442" s="1"/>
  <c r="K15" i="42442"/>
  <c r="L15" i="42442"/>
  <c r="K16" i="42442"/>
  <c r="L16" i="42442"/>
  <c r="K17" i="42442"/>
  <c r="L17" i="42442"/>
  <c r="K18" i="42442"/>
  <c r="L18" i="42442"/>
  <c r="C19" i="42442"/>
  <c r="C21" i="42442" s="1"/>
  <c r="C26" i="42442" s="1"/>
  <c r="D20" i="42442"/>
  <c r="K20" i="42442"/>
  <c r="L20" i="42442"/>
  <c r="D22" i="42442"/>
  <c r="K22" i="42442"/>
  <c r="L22" i="42442"/>
  <c r="D23" i="42442"/>
  <c r="F23" i="42442" s="1"/>
  <c r="K23" i="42442"/>
  <c r="L23" i="42442"/>
  <c r="K24" i="42442"/>
  <c r="L24" i="42442"/>
  <c r="C27" i="42442"/>
  <c r="K27" i="42442" s="1"/>
  <c r="D27" i="42442"/>
  <c r="D28" i="42442"/>
  <c r="K28" i="42442"/>
  <c r="L28" i="42442"/>
  <c r="K29" i="42442"/>
  <c r="L29" i="42442"/>
  <c r="K30" i="42442"/>
  <c r="L30" i="42442"/>
  <c r="C31" i="42442"/>
  <c r="K31" i="42442"/>
  <c r="L31" i="42442"/>
  <c r="D34" i="42442"/>
  <c r="K34" i="42442"/>
  <c r="L34" i="42442"/>
  <c r="D37" i="42442"/>
  <c r="K37" i="42442"/>
  <c r="L37" i="42442"/>
  <c r="C40" i="42442"/>
  <c r="K44" i="42442"/>
  <c r="L44" i="42442"/>
  <c r="I46" i="42442"/>
  <c r="C47" i="42442"/>
  <c r="I47" i="42442"/>
  <c r="C48" i="42442"/>
  <c r="L48" i="42442" s="1"/>
  <c r="I48" i="42442"/>
  <c r="C49" i="42442"/>
  <c r="I49" i="42442"/>
  <c r="N49" i="42442"/>
  <c r="O49" i="42442"/>
  <c r="C50" i="42442"/>
  <c r="I50" i="42442"/>
  <c r="N53" i="42442"/>
  <c r="O53" i="42442"/>
  <c r="C1" i="42443"/>
  <c r="K8" i="42443"/>
  <c r="L8" i="42443"/>
  <c r="K9" i="42443"/>
  <c r="L9" i="42443"/>
  <c r="K10" i="42443"/>
  <c r="L10" i="42443"/>
  <c r="D11" i="42443"/>
  <c r="F11" i="42443" s="1"/>
  <c r="K11" i="42443"/>
  <c r="L11" i="42443"/>
  <c r="F12" i="42443"/>
  <c r="G12" i="42443"/>
  <c r="C13" i="42443"/>
  <c r="L13" i="42443" s="1"/>
  <c r="K16" i="42443"/>
  <c r="L16" i="42443"/>
  <c r="K17" i="42443"/>
  <c r="L17" i="42443"/>
  <c r="K18" i="42443"/>
  <c r="L18" i="42443"/>
  <c r="K19" i="42443"/>
  <c r="L19" i="42443"/>
  <c r="C20" i="42443"/>
  <c r="L20" i="42443"/>
  <c r="L22" i="42443" s="1"/>
  <c r="D21" i="42443"/>
  <c r="K21" i="42443"/>
  <c r="L21" i="42443"/>
  <c r="C22" i="42443"/>
  <c r="C27" i="42443" s="1"/>
  <c r="L27" i="42443" s="1"/>
  <c r="D23" i="42443"/>
  <c r="G23" i="42443" s="1"/>
  <c r="K23" i="42443"/>
  <c r="L23" i="42443"/>
  <c r="D24" i="42443"/>
  <c r="K24" i="42443"/>
  <c r="L24" i="42443"/>
  <c r="K25" i="42443"/>
  <c r="L25" i="42443"/>
  <c r="D28" i="42443"/>
  <c r="K28" i="42443"/>
  <c r="L28" i="42443"/>
  <c r="D29" i="42443"/>
  <c r="K29" i="42443"/>
  <c r="L29" i="42443"/>
  <c r="C30" i="42443"/>
  <c r="L30" i="42443" s="1"/>
  <c r="D33" i="42443"/>
  <c r="K33" i="42443"/>
  <c r="L33" i="42443"/>
  <c r="D36" i="42443"/>
  <c r="K36" i="42443"/>
  <c r="L36" i="42443"/>
  <c r="C39" i="42443"/>
  <c r="K43" i="42443"/>
  <c r="L43" i="42443"/>
  <c r="I45" i="42443"/>
  <c r="C46" i="42443"/>
  <c r="I46" i="42443"/>
  <c r="C47" i="42443"/>
  <c r="I47" i="42443"/>
  <c r="C48" i="42443"/>
  <c r="I48" i="42443"/>
  <c r="L48" i="42443"/>
  <c r="N48" i="42443"/>
  <c r="O48" i="42443"/>
  <c r="C49" i="42443"/>
  <c r="I49" i="42443"/>
  <c r="L49" i="42443" s="1"/>
  <c r="N52" i="42443"/>
  <c r="O52" i="42443"/>
  <c r="O53" i="42443"/>
  <c r="AH84" i="42443"/>
  <c r="AH85" i="42443"/>
  <c r="AM97" i="42443"/>
  <c r="AP109" i="42443"/>
  <c r="AP122" i="42443" s="1"/>
  <c r="K8" i="42447"/>
  <c r="L8" i="42447"/>
  <c r="K9" i="42447"/>
  <c r="L9" i="42447"/>
  <c r="K10" i="42447"/>
  <c r="L10" i="42447"/>
  <c r="Q10" i="42447"/>
  <c r="D11" i="42447"/>
  <c r="F11" i="42447" s="1"/>
  <c r="K11" i="42447"/>
  <c r="L11" i="42447"/>
  <c r="F12" i="42447"/>
  <c r="G12" i="42447"/>
  <c r="K12" i="42447"/>
  <c r="L12" i="42447"/>
  <c r="C13" i="42447"/>
  <c r="I13" i="42447"/>
  <c r="K16" i="42447"/>
  <c r="L16" i="42447"/>
  <c r="K17" i="42447"/>
  <c r="L17" i="42447"/>
  <c r="K18" i="42447"/>
  <c r="L18" i="42447"/>
  <c r="Q18" i="42447"/>
  <c r="K19" i="42447"/>
  <c r="L19" i="42447"/>
  <c r="C20" i="42447"/>
  <c r="L20" i="42447" s="1"/>
  <c r="I20" i="42447"/>
  <c r="I22" i="42447" s="1"/>
  <c r="D21" i="42447"/>
  <c r="K21" i="42447"/>
  <c r="L21" i="42447"/>
  <c r="D23" i="42447"/>
  <c r="K23" i="42447"/>
  <c r="L23" i="42447"/>
  <c r="D24" i="42447"/>
  <c r="G24" i="42447" s="1"/>
  <c r="K24" i="42447"/>
  <c r="L24" i="42447"/>
  <c r="K25" i="42447"/>
  <c r="L25" i="42447"/>
  <c r="D28" i="42447"/>
  <c r="K28" i="42447"/>
  <c r="L28" i="42447"/>
  <c r="D29" i="42447"/>
  <c r="G29" i="42447" s="1"/>
  <c r="K29" i="42447"/>
  <c r="L29" i="42447"/>
  <c r="C30" i="42447"/>
  <c r="K30" i="42447" s="1"/>
  <c r="D33" i="42447"/>
  <c r="F33" i="42447" s="1"/>
  <c r="K33" i="42447"/>
  <c r="L33" i="42447"/>
  <c r="D36" i="42447"/>
  <c r="K36" i="42447"/>
  <c r="L36" i="42447"/>
  <c r="S38" i="42447"/>
  <c r="C39" i="42447"/>
  <c r="K43" i="42447"/>
  <c r="L43" i="42447"/>
  <c r="C45" i="42447"/>
  <c r="L45" i="42447" s="1"/>
  <c r="C46" i="42447"/>
  <c r="L46" i="42447" s="1"/>
  <c r="I46" i="42447"/>
  <c r="C47" i="42447"/>
  <c r="I47" i="42447"/>
  <c r="C48" i="42447"/>
  <c r="I48" i="42447"/>
  <c r="L48" i="42447"/>
  <c r="C49" i="42447"/>
  <c r="L49" i="42447" s="1"/>
  <c r="I49" i="42447"/>
  <c r="AI82" i="42447"/>
  <c r="AI83" i="42447"/>
  <c r="AN105" i="42447"/>
  <c r="AN118" i="42447" s="1"/>
  <c r="K8" i="42448"/>
  <c r="L8" i="42448"/>
  <c r="K9" i="42448"/>
  <c r="K13" i="42448" s="1"/>
  <c r="L9" i="42448"/>
  <c r="K10" i="42448"/>
  <c r="L10" i="42448"/>
  <c r="D11" i="42448"/>
  <c r="K11" i="42448"/>
  <c r="L11" i="42448"/>
  <c r="F12" i="42448"/>
  <c r="G12" i="42448"/>
  <c r="K12" i="42448"/>
  <c r="L12" i="42448"/>
  <c r="C13" i="42448"/>
  <c r="I13" i="42448"/>
  <c r="K16" i="42448"/>
  <c r="L16" i="42448"/>
  <c r="K17" i="42448"/>
  <c r="L17" i="42448"/>
  <c r="K18" i="42448"/>
  <c r="L18" i="42448"/>
  <c r="N18" i="42448"/>
  <c r="K19" i="42448"/>
  <c r="L19" i="42448"/>
  <c r="C20" i="42448"/>
  <c r="I20" i="42448"/>
  <c r="I22" i="42448" s="1"/>
  <c r="L22" i="42448" s="1"/>
  <c r="D21" i="42448"/>
  <c r="K21" i="42448"/>
  <c r="L21" i="42448"/>
  <c r="C22" i="42448"/>
  <c r="C27" i="42448" s="1"/>
  <c r="D23" i="42448"/>
  <c r="F23" i="42448" s="1"/>
  <c r="K23" i="42448"/>
  <c r="L23" i="42448"/>
  <c r="D24" i="42448"/>
  <c r="K24" i="42448"/>
  <c r="L24" i="42448"/>
  <c r="K25" i="42448"/>
  <c r="L25" i="42448"/>
  <c r="D28" i="42448"/>
  <c r="G28" i="42448" s="1"/>
  <c r="K28" i="42448"/>
  <c r="L28" i="42448"/>
  <c r="D29" i="42448"/>
  <c r="K29" i="42448"/>
  <c r="L29" i="42448"/>
  <c r="C30" i="42448"/>
  <c r="K30" i="42448" s="1"/>
  <c r="D33" i="42448"/>
  <c r="F33" i="42448" s="1"/>
  <c r="K33" i="42448"/>
  <c r="L33" i="42448"/>
  <c r="S35" i="42448"/>
  <c r="D36" i="42448"/>
  <c r="G36" i="42448" s="1"/>
  <c r="K36" i="42448"/>
  <c r="L36" i="42448"/>
  <c r="C39" i="42448"/>
  <c r="K43" i="42448"/>
  <c r="L43" i="42448"/>
  <c r="C45" i="42448"/>
  <c r="C46" i="42448"/>
  <c r="I46" i="42448"/>
  <c r="C47" i="42448"/>
  <c r="L47" i="42448" s="1"/>
  <c r="I47" i="42448"/>
  <c r="C48" i="42448"/>
  <c r="I48" i="42448"/>
  <c r="C49" i="42448"/>
  <c r="I49" i="42448"/>
  <c r="Z69" i="42448"/>
  <c r="AA69" i="42448"/>
  <c r="AI82" i="42448"/>
  <c r="AI83" i="42448"/>
  <c r="AI100" i="42448"/>
  <c r="AI101" i="42448"/>
  <c r="B9" i="42434"/>
  <c r="B24" i="42434"/>
  <c r="B26" i="42434" s="1"/>
  <c r="B10" i="42434" s="1"/>
  <c r="B29" i="42434"/>
  <c r="C46" i="42434"/>
  <c r="H89" i="42434" s="1"/>
  <c r="D49" i="42434"/>
  <c r="D56" i="42434" s="1"/>
  <c r="C54" i="42434"/>
  <c r="AB133" i="42434" s="1"/>
  <c r="C59" i="42434"/>
  <c r="C64" i="42434"/>
  <c r="AB142" i="42434" s="1"/>
  <c r="C67" i="42434"/>
  <c r="J84" i="42434"/>
  <c r="J85" i="42434"/>
  <c r="T85" i="42434"/>
  <c r="U85" i="42434"/>
  <c r="J86" i="42434"/>
  <c r="J89" i="42434"/>
  <c r="L92" i="42434"/>
  <c r="T107" i="42434"/>
  <c r="U107" i="42434" s="1"/>
  <c r="S115" i="42434"/>
  <c r="S122" i="42434" s="1"/>
  <c r="S116" i="42434"/>
  <c r="S123" i="42434" s="1"/>
  <c r="S117" i="42434"/>
  <c r="T117" i="42434"/>
  <c r="U117" i="42434"/>
  <c r="V117" i="42434"/>
  <c r="W117" i="42434"/>
  <c r="R118" i="42434"/>
  <c r="R119" i="42434" s="1"/>
  <c r="R120" i="42434" s="1"/>
  <c r="S118" i="42434"/>
  <c r="T118" i="42434"/>
  <c r="U118" i="42434"/>
  <c r="V118" i="42434"/>
  <c r="W118" i="42434"/>
  <c r="S119" i="42434"/>
  <c r="T119" i="42434"/>
  <c r="U119" i="42434"/>
  <c r="V119" i="42434"/>
  <c r="W119" i="42434"/>
  <c r="S120" i="42434"/>
  <c r="T120" i="42434"/>
  <c r="U120" i="42434"/>
  <c r="V120" i="42434"/>
  <c r="W120" i="42434"/>
  <c r="AB122" i="42434"/>
  <c r="R125" i="42434"/>
  <c r="R126" i="42434" s="1"/>
  <c r="R127" i="42434" s="1"/>
  <c r="AB127" i="42434"/>
  <c r="AC127" i="42434"/>
  <c r="AB128" i="42434"/>
  <c r="AB129" i="42434" s="1"/>
  <c r="AB131" i="42434"/>
  <c r="AC131" i="42434"/>
  <c r="AB132" i="42434"/>
  <c r="AC132" i="42434"/>
  <c r="AC133" i="42434"/>
  <c r="AB135" i="42434"/>
  <c r="AB136" i="42434"/>
  <c r="AD136" i="42434"/>
  <c r="AB138" i="42434"/>
  <c r="AB139" i="42434"/>
  <c r="AC139" i="42434"/>
  <c r="AB141" i="42434"/>
  <c r="AB144" i="42434"/>
  <c r="AB145" i="42434"/>
  <c r="AC145" i="42434"/>
  <c r="AB147" i="42434"/>
  <c r="AB154" i="42434"/>
  <c r="U5" i="42416"/>
  <c r="Z5" i="42416" s="1"/>
  <c r="P8" i="42416"/>
  <c r="P9" i="42416" s="1"/>
  <c r="T8" i="42416"/>
  <c r="T9" i="42416" s="1"/>
  <c r="AS8" i="42416"/>
  <c r="D9" i="42416"/>
  <c r="E9" i="42416"/>
  <c r="F9" i="42416"/>
  <c r="K9" i="42416"/>
  <c r="L9" i="42416"/>
  <c r="M9" i="42416"/>
  <c r="N9" i="42416"/>
  <c r="O9" i="42416"/>
  <c r="Q9" i="42416"/>
  <c r="R9" i="42416"/>
  <c r="S9" i="42416"/>
  <c r="V9" i="42416"/>
  <c r="P10" i="42416"/>
  <c r="P12" i="42416" s="1"/>
  <c r="AS10" i="42416"/>
  <c r="D11" i="42416"/>
  <c r="E11" i="42416"/>
  <c r="F11" i="42416"/>
  <c r="K11" i="42416"/>
  <c r="L11" i="42416"/>
  <c r="M11" i="42416"/>
  <c r="N11" i="42416"/>
  <c r="O11" i="42416"/>
  <c r="Q11" i="42416"/>
  <c r="R11" i="42416"/>
  <c r="AS11" i="42416"/>
  <c r="C12" i="42416"/>
  <c r="D12" i="42416"/>
  <c r="E12" i="42416"/>
  <c r="F12" i="42416"/>
  <c r="G12" i="42416"/>
  <c r="H12" i="42416"/>
  <c r="I12" i="42416"/>
  <c r="J12" i="42416"/>
  <c r="K12" i="42416"/>
  <c r="L12" i="42416"/>
  <c r="M12" i="42416"/>
  <c r="N12" i="42416"/>
  <c r="O12" i="42416"/>
  <c r="Q12" i="42416"/>
  <c r="R12" i="42416"/>
  <c r="AS12" i="42416"/>
  <c r="AR14" i="42416"/>
  <c r="P15" i="42416"/>
  <c r="P16" i="42416" s="1"/>
  <c r="D16" i="42416"/>
  <c r="E16" i="42416"/>
  <c r="F16" i="42416"/>
  <c r="K16" i="42416"/>
  <c r="L16" i="42416"/>
  <c r="M16" i="42416"/>
  <c r="N16" i="42416"/>
  <c r="Q16" i="42416"/>
  <c r="R16" i="42416"/>
  <c r="P17" i="42416"/>
  <c r="P18" i="42416" s="1"/>
  <c r="D18" i="42416"/>
  <c r="E18" i="42416"/>
  <c r="F18" i="42416"/>
  <c r="K18" i="42416"/>
  <c r="L18" i="42416"/>
  <c r="M18" i="42416"/>
  <c r="N18" i="42416"/>
  <c r="Q18" i="42416"/>
  <c r="R18" i="42416"/>
  <c r="C19" i="42416"/>
  <c r="D19" i="42416"/>
  <c r="E19" i="42416"/>
  <c r="F19" i="42416"/>
  <c r="G19" i="42416"/>
  <c r="H19" i="42416"/>
  <c r="I19" i="42416"/>
  <c r="J19" i="42416"/>
  <c r="K19" i="42416"/>
  <c r="L19" i="42416"/>
  <c r="M19" i="42416"/>
  <c r="N19" i="42416"/>
  <c r="O19" i="42416"/>
  <c r="Q19" i="42416"/>
  <c r="R19" i="42416"/>
  <c r="AS20" i="42416"/>
  <c r="AU69" i="42416" s="1"/>
  <c r="C22" i="42416"/>
  <c r="D22" i="42416"/>
  <c r="E22" i="42416"/>
  <c r="F22" i="42416"/>
  <c r="G22" i="42416"/>
  <c r="H22" i="42416"/>
  <c r="I22" i="42416"/>
  <c r="N23" i="42416" s="1"/>
  <c r="J22" i="42416"/>
  <c r="K22" i="42416"/>
  <c r="L22" i="42416"/>
  <c r="M22" i="42416"/>
  <c r="N22" i="42416"/>
  <c r="O22" i="42416"/>
  <c r="Q22" i="42416"/>
  <c r="R22" i="42416"/>
  <c r="D23" i="42416"/>
  <c r="Q23" i="42416"/>
  <c r="C24" i="42416"/>
  <c r="D42" i="42416" s="1"/>
  <c r="D24" i="42416"/>
  <c r="E24" i="42416"/>
  <c r="E25" i="42416" s="1"/>
  <c r="F24" i="42416"/>
  <c r="F25" i="42416" s="1"/>
  <c r="G24" i="42416"/>
  <c r="G26" i="42416" s="1"/>
  <c r="H24" i="42416"/>
  <c r="I24" i="42416"/>
  <c r="J24" i="42416"/>
  <c r="K24" i="42416"/>
  <c r="K26" i="42416" s="1"/>
  <c r="L24" i="42416"/>
  <c r="M24" i="42416"/>
  <c r="N24" i="42416"/>
  <c r="O24" i="42416"/>
  <c r="O26" i="42416" s="1"/>
  <c r="Q24" i="42416"/>
  <c r="Q25" i="42416" s="1"/>
  <c r="R24" i="42416"/>
  <c r="AS24" i="42416"/>
  <c r="AT24" i="42416" s="1"/>
  <c r="D25" i="42416"/>
  <c r="C29" i="42416"/>
  <c r="D30" i="42416" s="1"/>
  <c r="D29" i="42416"/>
  <c r="E29" i="42416"/>
  <c r="F30" i="42416" s="1"/>
  <c r="F29" i="42416"/>
  <c r="G29" i="42416"/>
  <c r="L30" i="42416" s="1"/>
  <c r="H29" i="42416"/>
  <c r="I29" i="42416"/>
  <c r="N30" i="42416" s="1"/>
  <c r="J29" i="42416"/>
  <c r="K29" i="42416"/>
  <c r="K30" i="42416" s="1"/>
  <c r="L29" i="42416"/>
  <c r="M29" i="42416"/>
  <c r="N29" i="42416"/>
  <c r="O29" i="42416"/>
  <c r="O33" i="42416" s="1"/>
  <c r="Q29" i="42416"/>
  <c r="Q30" i="42416" s="1"/>
  <c r="R29" i="42416"/>
  <c r="R30" i="42416" s="1"/>
  <c r="M30" i="42416"/>
  <c r="C31" i="42416"/>
  <c r="D31" i="42416"/>
  <c r="E31" i="42416"/>
  <c r="F31" i="42416"/>
  <c r="F33" i="42416" s="1"/>
  <c r="AR73" i="42425" s="1"/>
  <c r="G31" i="42416"/>
  <c r="H31" i="42416"/>
  <c r="I31" i="42416"/>
  <c r="J31" i="42416"/>
  <c r="J33" i="42416" s="1"/>
  <c r="K31" i="42416"/>
  <c r="AR15" i="42416" s="1"/>
  <c r="L31" i="42416"/>
  <c r="L33" i="42416" s="1"/>
  <c r="M31" i="42416"/>
  <c r="N31" i="42416"/>
  <c r="N33" i="42416" s="1"/>
  <c r="O31" i="42416"/>
  <c r="Q31" i="42416"/>
  <c r="Q32" i="42416" s="1"/>
  <c r="R31" i="42416"/>
  <c r="R32" i="42416" s="1"/>
  <c r="C32" i="42416"/>
  <c r="D32" i="42416"/>
  <c r="L32" i="42416"/>
  <c r="C33" i="42416"/>
  <c r="AO73" i="42425" s="1"/>
  <c r="F35" i="42416"/>
  <c r="P35" i="42416"/>
  <c r="AS35" i="42416"/>
  <c r="AT35" i="42416" s="1"/>
  <c r="AA42" i="42416"/>
  <c r="AR42" i="42416"/>
  <c r="AR49" i="42416" s="1"/>
  <c r="AR61" i="42416"/>
  <c r="AS61" i="42416"/>
  <c r="AV69" i="42416"/>
  <c r="AZ94" i="42416"/>
  <c r="AZ92" i="42416" s="1"/>
  <c r="AZ91" i="42416" s="1"/>
  <c r="AS96" i="42416"/>
  <c r="AT96" i="42416" s="1"/>
  <c r="D16" i="42419"/>
  <c r="E16" i="42419"/>
  <c r="F16" i="42419"/>
  <c r="G16" i="42419"/>
  <c r="H16" i="42419" s="1"/>
  <c r="B25" i="42419"/>
  <c r="B32" i="42419"/>
  <c r="K8" i="42450"/>
  <c r="L8" i="42450"/>
  <c r="K9" i="42450"/>
  <c r="L9" i="42450"/>
  <c r="K10" i="42450"/>
  <c r="L10" i="42450"/>
  <c r="D11" i="42450"/>
  <c r="F11" i="42450" s="1"/>
  <c r="K11" i="42450"/>
  <c r="L11" i="42450"/>
  <c r="F12" i="42450"/>
  <c r="G12" i="42450"/>
  <c r="K12" i="42450"/>
  <c r="L12" i="42450"/>
  <c r="C13" i="42450"/>
  <c r="I13" i="42450"/>
  <c r="K13" i="42450"/>
  <c r="K16" i="42450"/>
  <c r="L16" i="42450"/>
  <c r="K17" i="42450"/>
  <c r="L17" i="42450"/>
  <c r="K18" i="42450"/>
  <c r="L18" i="42450"/>
  <c r="M18" i="42450"/>
  <c r="S18" i="42450"/>
  <c r="K19" i="42450"/>
  <c r="L19" i="42450"/>
  <c r="C20" i="42450"/>
  <c r="I20" i="42450"/>
  <c r="I22" i="42450" s="1"/>
  <c r="K20" i="42450"/>
  <c r="M20" i="42450"/>
  <c r="D21" i="42450"/>
  <c r="K21" i="42450"/>
  <c r="L21" i="42450"/>
  <c r="C22" i="42450"/>
  <c r="D23" i="42450"/>
  <c r="K23" i="42450"/>
  <c r="L23" i="42450"/>
  <c r="D24" i="42450"/>
  <c r="G24" i="42450" s="1"/>
  <c r="K24" i="42450"/>
  <c r="L24" i="42450"/>
  <c r="K25" i="42450"/>
  <c r="L25" i="42450"/>
  <c r="C27" i="42450"/>
  <c r="C32" i="42450" s="1"/>
  <c r="K28" i="42450"/>
  <c r="L28" i="42450"/>
  <c r="D29" i="42450"/>
  <c r="K29" i="42450"/>
  <c r="L29" i="42450"/>
  <c r="C30" i="42450"/>
  <c r="K30" i="42450" s="1"/>
  <c r="D33" i="42450"/>
  <c r="K33" i="42450"/>
  <c r="L33" i="42450"/>
  <c r="D36" i="42450"/>
  <c r="K36" i="42450"/>
  <c r="L36" i="42450"/>
  <c r="C39" i="42450"/>
  <c r="K43" i="42450"/>
  <c r="L43" i="42450"/>
  <c r="C46" i="42450"/>
  <c r="L46" i="42450" s="1"/>
  <c r="I46" i="42450"/>
  <c r="C47" i="42450"/>
  <c r="I47" i="42450"/>
  <c r="L47" i="42450" s="1"/>
  <c r="C48" i="42450"/>
  <c r="L48" i="42450" s="1"/>
  <c r="I48" i="42450"/>
  <c r="O48" i="42450"/>
  <c r="C49" i="42450"/>
  <c r="I49" i="42450"/>
  <c r="L49" i="42450" s="1"/>
  <c r="O49" i="42450"/>
  <c r="O50" i="42450"/>
  <c r="S51" i="42450"/>
  <c r="S52" i="42450" s="1"/>
  <c r="U51" i="42450"/>
  <c r="U52" i="42450" s="1"/>
  <c r="Z69" i="42450"/>
  <c r="AA69" i="42450"/>
  <c r="AI82" i="42450"/>
  <c r="AI83" i="42450"/>
  <c r="AI100" i="42450"/>
  <c r="AI101" i="42450"/>
  <c r="K8" i="42451"/>
  <c r="L8" i="42451"/>
  <c r="K9" i="42451"/>
  <c r="L9" i="42451"/>
  <c r="K10" i="42451"/>
  <c r="L10" i="42451"/>
  <c r="D11" i="42451"/>
  <c r="K11" i="42451"/>
  <c r="L11" i="42451"/>
  <c r="F12" i="42451"/>
  <c r="G12" i="42451"/>
  <c r="K12" i="42451"/>
  <c r="L12" i="42451"/>
  <c r="C13" i="42451"/>
  <c r="L13" i="42451" s="1"/>
  <c r="I13" i="42451"/>
  <c r="N13" i="42451"/>
  <c r="K16" i="42451"/>
  <c r="L16" i="42451"/>
  <c r="K17" i="42451"/>
  <c r="L17" i="42451"/>
  <c r="K18" i="42451"/>
  <c r="L18" i="42451"/>
  <c r="O18" i="42451"/>
  <c r="S18" i="42451"/>
  <c r="K19" i="42451"/>
  <c r="L19" i="42451"/>
  <c r="C20" i="42451"/>
  <c r="I20" i="42451"/>
  <c r="L20" i="42451" s="1"/>
  <c r="K20" i="42451"/>
  <c r="D21" i="42451"/>
  <c r="K21" i="42451"/>
  <c r="L21" i="42451"/>
  <c r="C22" i="42451"/>
  <c r="N22" i="42451" s="1"/>
  <c r="K22" i="42451"/>
  <c r="D23" i="42451"/>
  <c r="G23" i="42451" s="1"/>
  <c r="K23" i="42451"/>
  <c r="L23" i="42451"/>
  <c r="D24" i="42451"/>
  <c r="F24" i="42451" s="1"/>
  <c r="K24" i="42451"/>
  <c r="L24" i="42451"/>
  <c r="K25" i="42451"/>
  <c r="L25" i="42451"/>
  <c r="C27" i="42451"/>
  <c r="S27" i="42451"/>
  <c r="D28" i="42451"/>
  <c r="K28" i="42451"/>
  <c r="L28" i="42451"/>
  <c r="C29" i="42451"/>
  <c r="K29" i="42451" s="1"/>
  <c r="D29" i="42451"/>
  <c r="G29" i="42451" s="1"/>
  <c r="L29" i="42451"/>
  <c r="K30" i="42451"/>
  <c r="L30" i="42451"/>
  <c r="D33" i="42451"/>
  <c r="F33" i="42451" s="1"/>
  <c r="K33" i="42451"/>
  <c r="L33" i="42451"/>
  <c r="D36" i="42451"/>
  <c r="F36" i="42451" s="1"/>
  <c r="K36" i="42451"/>
  <c r="L36" i="42451"/>
  <c r="C39" i="42451"/>
  <c r="K43" i="42451"/>
  <c r="L43" i="42451"/>
  <c r="C46" i="42451"/>
  <c r="L46" i="42451" s="1"/>
  <c r="I46" i="42451"/>
  <c r="C47" i="42451"/>
  <c r="I47" i="42451"/>
  <c r="L47" i="42451" s="1"/>
  <c r="C48" i="42451"/>
  <c r="L48" i="42451" s="1"/>
  <c r="I48" i="42451"/>
  <c r="C49" i="42451"/>
  <c r="I49" i="42451"/>
  <c r="S51" i="42451"/>
  <c r="S52" i="42451" s="1"/>
  <c r="U51" i="42451"/>
  <c r="U52" i="42451" s="1"/>
  <c r="Z69" i="42451"/>
  <c r="AA69" i="42451"/>
  <c r="AI82" i="42451"/>
  <c r="AI83" i="42451"/>
  <c r="AI100" i="42451"/>
  <c r="AI101" i="42451"/>
  <c r="C11" i="42452"/>
  <c r="K11" i="42452" s="1"/>
  <c r="D11" i="42452"/>
  <c r="G11" i="42452" s="1"/>
  <c r="C12" i="42452"/>
  <c r="D12" i="42452"/>
  <c r="F13" i="42452"/>
  <c r="G13" i="42452"/>
  <c r="K13" i="42452"/>
  <c r="L13" i="42452"/>
  <c r="S19" i="42452"/>
  <c r="C20" i="42452"/>
  <c r="D20" i="42452"/>
  <c r="G20" i="42452" s="1"/>
  <c r="C21" i="42452"/>
  <c r="C23" i="42452"/>
  <c r="K23" i="42452" s="1"/>
  <c r="D23" i="42452"/>
  <c r="C25" i="42452"/>
  <c r="D25" i="42452"/>
  <c r="C26" i="42452"/>
  <c r="L26" i="42452" s="1"/>
  <c r="D26" i="42452"/>
  <c r="S29" i="42452"/>
  <c r="C30" i="42452"/>
  <c r="K30" i="42452" s="1"/>
  <c r="D30" i="42452"/>
  <c r="C31" i="42452"/>
  <c r="D31" i="42452"/>
  <c r="G31" i="42452" s="1"/>
  <c r="L31" i="42452"/>
  <c r="C35" i="42452"/>
  <c r="L35" i="42452" s="1"/>
  <c r="D35" i="42452"/>
  <c r="C38" i="42452"/>
  <c r="D38" i="42452"/>
  <c r="I47" i="42452"/>
  <c r="I48" i="42452"/>
  <c r="I49" i="42452"/>
  <c r="I50" i="42452"/>
  <c r="I51" i="42452"/>
  <c r="I52" i="42452"/>
  <c r="I55" i="42452"/>
  <c r="Z72" i="42452"/>
  <c r="AA72" i="42452"/>
  <c r="AI85" i="42452"/>
  <c r="AI86" i="42452"/>
  <c r="AI103" i="42452"/>
  <c r="AI104" i="42452"/>
  <c r="D11" i="42454"/>
  <c r="G11" i="42454" s="1"/>
  <c r="C12" i="42454"/>
  <c r="D12" i="42454"/>
  <c r="F13" i="42454"/>
  <c r="G13" i="42454"/>
  <c r="K13" i="42454"/>
  <c r="L13" i="42454"/>
  <c r="R13" i="42454"/>
  <c r="T15" i="42454"/>
  <c r="V15" i="42454"/>
  <c r="X17" i="42454"/>
  <c r="Y17" i="42454"/>
  <c r="X18" i="42454"/>
  <c r="Y18" i="42454"/>
  <c r="X19" i="42454"/>
  <c r="Y19" i="42454"/>
  <c r="D20" i="42454"/>
  <c r="X20" i="42454"/>
  <c r="Y20" i="42454"/>
  <c r="C21" i="42454"/>
  <c r="K21" i="42454" s="1"/>
  <c r="D21" i="42454"/>
  <c r="X21" i="42454"/>
  <c r="Y21" i="42454"/>
  <c r="N22" i="42454"/>
  <c r="C23" i="42454"/>
  <c r="D23" i="42454"/>
  <c r="I25" i="42454"/>
  <c r="N25" i="42454"/>
  <c r="C27" i="42454"/>
  <c r="K27" i="42454" s="1"/>
  <c r="D27" i="42454"/>
  <c r="C28" i="42454"/>
  <c r="K28" i="42454" s="1"/>
  <c r="D28" i="42454"/>
  <c r="C32" i="42454"/>
  <c r="C33" i="42454"/>
  <c r="D33" i="42454"/>
  <c r="G33" i="42454" s="1"/>
  <c r="L33" i="42454"/>
  <c r="D34" i="42454"/>
  <c r="C37" i="42454"/>
  <c r="K37" i="42454" s="1"/>
  <c r="D37" i="42454"/>
  <c r="C40" i="42454"/>
  <c r="D40" i="42454"/>
  <c r="AC91" i="42454"/>
  <c r="AJ100" i="42454"/>
  <c r="AL100" i="42454"/>
  <c r="AO111" i="42454"/>
  <c r="D4" i="42290"/>
  <c r="E4" i="42290"/>
  <c r="F4" i="42290"/>
  <c r="H4" i="42290"/>
  <c r="I4" i="42290"/>
  <c r="J4" i="42290"/>
  <c r="K4" i="42290"/>
  <c r="M4" i="42290"/>
  <c r="N4" i="42290"/>
  <c r="O4" i="42290"/>
  <c r="P4" i="42290"/>
  <c r="R4" i="42290"/>
  <c r="S4" i="42290"/>
  <c r="T4" i="42290"/>
  <c r="U4" i="42290"/>
  <c r="W4" i="42290"/>
  <c r="X4" i="42290"/>
  <c r="Y4" i="42290"/>
  <c r="Z4" i="42290"/>
  <c r="AB4" i="42290"/>
  <c r="AC4" i="42290"/>
  <c r="AD4" i="42290"/>
  <c r="AE4" i="42290"/>
  <c r="AG4" i="42290"/>
  <c r="AH4" i="42290"/>
  <c r="AI4" i="42290"/>
  <c r="AJ4" i="42290"/>
  <c r="AK4" i="42290"/>
  <c r="AL4" i="42290"/>
  <c r="AM4" i="42290"/>
  <c r="AN4" i="42290"/>
  <c r="AO4" i="42290"/>
  <c r="AP4" i="42290"/>
  <c r="AQ4" i="42290"/>
  <c r="AR4" i="42290"/>
  <c r="AS4" i="42290"/>
  <c r="AT4" i="42290"/>
  <c r="AU4" i="42290"/>
  <c r="AV4" i="42290"/>
  <c r="AW4" i="42290"/>
  <c r="AX4" i="42290"/>
  <c r="AY4" i="42290"/>
  <c r="AZ4" i="42290"/>
  <c r="BA4" i="42290"/>
  <c r="BB4" i="42290"/>
  <c r="BC4" i="42290"/>
  <c r="BD4" i="42290"/>
  <c r="BE4" i="42290"/>
  <c r="BF4" i="42290"/>
  <c r="BG4" i="42290"/>
  <c r="BH4" i="42290"/>
  <c r="BI4" i="42290"/>
  <c r="BJ4" i="42290"/>
  <c r="BK4" i="42290"/>
  <c r="BL4" i="42290"/>
  <c r="BM4" i="42290"/>
  <c r="BN4" i="42290"/>
  <c r="BO4" i="42290"/>
  <c r="BT4" i="42290"/>
  <c r="BU4" i="42290"/>
  <c r="BV4" i="42290"/>
  <c r="BW4" i="42290"/>
  <c r="BX4" i="42290"/>
  <c r="BY4" i="42290"/>
  <c r="BZ4" i="42290"/>
  <c r="CA4" i="42290"/>
  <c r="CB4" i="42290"/>
  <c r="C24" i="42290"/>
  <c r="D24" i="42290"/>
  <c r="E24" i="42290"/>
  <c r="F24" i="42290"/>
  <c r="H24" i="42290"/>
  <c r="I24" i="42290"/>
  <c r="J24" i="42290"/>
  <c r="K24" i="42290"/>
  <c r="M24" i="42290"/>
  <c r="N24" i="42290"/>
  <c r="O24" i="42290"/>
  <c r="P24" i="42290"/>
  <c r="R24" i="42290"/>
  <c r="S24" i="42290"/>
  <c r="T24" i="42290"/>
  <c r="U24" i="42290"/>
  <c r="W24" i="42290"/>
  <c r="X24" i="42290"/>
  <c r="Y24" i="42290"/>
  <c r="Z24" i="42290"/>
  <c r="AB24" i="42290"/>
  <c r="AC24" i="42290"/>
  <c r="AD24" i="42290"/>
  <c r="AE24" i="42290"/>
  <c r="AG24" i="42290"/>
  <c r="AH24" i="42290"/>
  <c r="AI24" i="42290"/>
  <c r="AJ24" i="42290"/>
  <c r="AL24" i="42290"/>
  <c r="AM24" i="42290"/>
  <c r="AN24" i="42290"/>
  <c r="AO24" i="42290"/>
  <c r="AQ24" i="42290"/>
  <c r="AR24" i="42290"/>
  <c r="AS24" i="42290"/>
  <c r="AT24" i="42290"/>
  <c r="AV24" i="42290"/>
  <c r="AW24" i="42290"/>
  <c r="AX24" i="42290"/>
  <c r="AY24" i="42290"/>
  <c r="BA24" i="42290"/>
  <c r="BB24" i="42290"/>
  <c r="BC24" i="42290"/>
  <c r="BD24" i="42290"/>
  <c r="BF24" i="42290"/>
  <c r="BG24" i="42290"/>
  <c r="BH24" i="42290"/>
  <c r="BI24" i="42290"/>
  <c r="BK24" i="42290"/>
  <c r="BL24" i="42290"/>
  <c r="G25" i="42290"/>
  <c r="G37" i="42290" s="1"/>
  <c r="L25" i="42290"/>
  <c r="Q25" i="42290"/>
  <c r="Q37" i="42290" s="1"/>
  <c r="V25" i="42290"/>
  <c r="V37" i="42290" s="1"/>
  <c r="Z25" i="42290"/>
  <c r="AA25" i="42290" s="1"/>
  <c r="AB25" i="42290"/>
  <c r="AB37" i="42290"/>
  <c r="AC25" i="42290"/>
  <c r="AD25" i="42290"/>
  <c r="AI25" i="42290" s="1"/>
  <c r="AN25" i="42290" s="1"/>
  <c r="AG25" i="42290"/>
  <c r="H26" i="42290"/>
  <c r="I26" i="42290"/>
  <c r="J26" i="42290"/>
  <c r="K26" i="42290"/>
  <c r="M26" i="42290"/>
  <c r="N26" i="42290"/>
  <c r="O26" i="42290"/>
  <c r="P26" i="42290"/>
  <c r="R26" i="42290"/>
  <c r="S26" i="42290"/>
  <c r="T26" i="42290"/>
  <c r="U26" i="42290"/>
  <c r="W26" i="42290"/>
  <c r="X26" i="42290"/>
  <c r="Y26" i="42290"/>
  <c r="C37" i="42290"/>
  <c r="D37" i="42290"/>
  <c r="E37" i="42290"/>
  <c r="F37" i="42290"/>
  <c r="H37" i="42290"/>
  <c r="I37" i="42290"/>
  <c r="J37" i="42290"/>
  <c r="K37" i="42290"/>
  <c r="L37" i="42290"/>
  <c r="M37" i="42290"/>
  <c r="N37" i="42290"/>
  <c r="O37" i="42290"/>
  <c r="P37" i="42290"/>
  <c r="R37" i="42290"/>
  <c r="S37" i="42290"/>
  <c r="T37" i="42290"/>
  <c r="U37" i="42290"/>
  <c r="W37" i="42290"/>
  <c r="X37" i="42290"/>
  <c r="Y37" i="42290"/>
  <c r="AD37" i="42290"/>
  <c r="G41" i="42290"/>
  <c r="C50" i="42290"/>
  <c r="C54" i="42290" s="1"/>
  <c r="D50" i="42290"/>
  <c r="D54" i="42290" s="1"/>
  <c r="E50" i="42290"/>
  <c r="E54" i="42290" s="1"/>
  <c r="F50" i="42290"/>
  <c r="F54" i="42290" s="1"/>
  <c r="H50" i="42290"/>
  <c r="H54" i="42290" s="1"/>
  <c r="I50" i="42290"/>
  <c r="I54" i="42290" s="1"/>
  <c r="J50" i="42290"/>
  <c r="J54" i="42290" s="1"/>
  <c r="K50" i="42290"/>
  <c r="K54" i="42290" s="1"/>
  <c r="M50" i="42290"/>
  <c r="M54" i="42290" s="1"/>
  <c r="N50" i="42290"/>
  <c r="N54" i="42290" s="1"/>
  <c r="O50" i="42290"/>
  <c r="O54" i="42290" s="1"/>
  <c r="P50" i="42290"/>
  <c r="P54" i="42290" s="1"/>
  <c r="R50" i="42290"/>
  <c r="R54" i="42290" s="1"/>
  <c r="S50" i="42290"/>
  <c r="S54" i="42290" s="1"/>
  <c r="T50" i="42290"/>
  <c r="T54" i="42290" s="1"/>
  <c r="U50" i="42290"/>
  <c r="U54" i="42290" s="1"/>
  <c r="W50" i="42290"/>
  <c r="W54" i="42290" s="1"/>
  <c r="X50" i="42290"/>
  <c r="X54" i="42290" s="1"/>
  <c r="Y50" i="42290"/>
  <c r="Y54" i="42290" s="1"/>
  <c r="Z50" i="42290"/>
  <c r="Z54" i="42290" s="1"/>
  <c r="AB50" i="42290"/>
  <c r="AB54" i="42290" s="1"/>
  <c r="AC50" i="42290"/>
  <c r="AC54" i="42290" s="1"/>
  <c r="AD50" i="42290"/>
  <c r="AD54" i="42290" s="1"/>
  <c r="AE50" i="42290"/>
  <c r="AE54" i="42290" s="1"/>
  <c r="AG50" i="42290"/>
  <c r="AG54" i="42290" s="1"/>
  <c r="AH50" i="42290"/>
  <c r="AH54" i="42290" s="1"/>
  <c r="AI50" i="42290"/>
  <c r="AI54" i="42290" s="1"/>
  <c r="AJ50" i="42290"/>
  <c r="AJ54" i="42290" s="1"/>
  <c r="AL50" i="42290"/>
  <c r="AL54" i="42290" s="1"/>
  <c r="AM50" i="42290"/>
  <c r="AM54" i="42290" s="1"/>
  <c r="AN50" i="42290"/>
  <c r="AN54" i="42290" s="1"/>
  <c r="AO50" i="42290"/>
  <c r="AO54" i="42290" s="1"/>
  <c r="AQ50" i="42290"/>
  <c r="AQ54" i="42290" s="1"/>
  <c r="AR50" i="42290"/>
  <c r="AR54" i="42290" s="1"/>
  <c r="AS50" i="42290"/>
  <c r="AS54" i="42290" s="1"/>
  <c r="AT50" i="42290"/>
  <c r="AT54" i="42290" s="1"/>
  <c r="AV50" i="42290"/>
  <c r="AV54" i="42290" s="1"/>
  <c r="AW50" i="42290"/>
  <c r="AW54" i="42290" s="1"/>
  <c r="AX50" i="42290"/>
  <c r="AX54" i="42290" s="1"/>
  <c r="AY50" i="42290"/>
  <c r="AY54" i="42290" s="1"/>
  <c r="BA50" i="42290"/>
  <c r="BA54" i="42290" s="1"/>
  <c r="BB50" i="42290"/>
  <c r="BB54" i="42290" s="1"/>
  <c r="BC50" i="42290"/>
  <c r="BC54" i="42290" s="1"/>
  <c r="BD50" i="42290"/>
  <c r="BD54" i="42290" s="1"/>
  <c r="BF50" i="42290"/>
  <c r="BF54" i="42290" s="1"/>
  <c r="BG50" i="42290"/>
  <c r="BG54" i="42290" s="1"/>
  <c r="BH50" i="42290"/>
  <c r="BH54" i="42290" s="1"/>
  <c r="BI50" i="42290"/>
  <c r="BI54" i="42290" s="1"/>
  <c r="BK50" i="42290"/>
  <c r="BK54" i="42290" s="1"/>
  <c r="BL50" i="42290"/>
  <c r="BL54" i="42290" s="1"/>
  <c r="G51" i="42290"/>
  <c r="G55" i="42290"/>
  <c r="L51" i="42290"/>
  <c r="L55" i="42290" s="1"/>
  <c r="H52" i="42290"/>
  <c r="I52" i="42290"/>
  <c r="J52" i="42290"/>
  <c r="K52" i="42290"/>
  <c r="M52" i="42290"/>
  <c r="N52" i="42290"/>
  <c r="C55" i="42290"/>
  <c r="D55" i="42290"/>
  <c r="E55" i="42290"/>
  <c r="F55" i="42290"/>
  <c r="H55" i="42290"/>
  <c r="I55" i="42290"/>
  <c r="J55" i="42290"/>
  <c r="K55" i="42290"/>
  <c r="M55" i="42290"/>
  <c r="N55" i="42290"/>
  <c r="O55" i="42290"/>
  <c r="P55" i="42290"/>
  <c r="Q55" i="42290"/>
  <c r="R55" i="42290"/>
  <c r="S55" i="42290"/>
  <c r="T55" i="42290"/>
  <c r="U55" i="42290"/>
  <c r="V55" i="42290"/>
  <c r="W55" i="42290"/>
  <c r="X55" i="42290"/>
  <c r="Y55" i="42290"/>
  <c r="Z55" i="42290"/>
  <c r="AA55" i="42290"/>
  <c r="AB55" i="42290"/>
  <c r="AC55" i="42290"/>
  <c r="AD55" i="42290"/>
  <c r="AE55" i="42290"/>
  <c r="AF55" i="42290"/>
  <c r="AG55" i="42290"/>
  <c r="AH55" i="42290"/>
  <c r="AI55" i="42290"/>
  <c r="AJ55" i="42290"/>
  <c r="AK55" i="42290"/>
  <c r="AL55" i="42290"/>
  <c r="AM55" i="42290"/>
  <c r="AN55" i="42290"/>
  <c r="AO55" i="42290"/>
  <c r="AP55" i="42290"/>
  <c r="AQ55" i="42290"/>
  <c r="AR55" i="42290"/>
  <c r="AS55" i="42290"/>
  <c r="AT55" i="42290"/>
  <c r="AU55" i="42290"/>
  <c r="AV55" i="42290"/>
  <c r="AW55" i="42290"/>
  <c r="AX55" i="42290"/>
  <c r="AY55" i="42290"/>
  <c r="AZ55" i="42290"/>
  <c r="BA55" i="42290"/>
  <c r="BB55" i="42290"/>
  <c r="BC55" i="42290"/>
  <c r="BD55" i="42290"/>
  <c r="BE55" i="42290"/>
  <c r="BF55" i="42290"/>
  <c r="BG55" i="42290"/>
  <c r="BH55" i="42290"/>
  <c r="BI55" i="42290"/>
  <c r="BJ55" i="42290"/>
  <c r="BK55" i="42290"/>
  <c r="BL55" i="42290"/>
  <c r="BM55" i="42290"/>
  <c r="BN55" i="42290"/>
  <c r="BO55" i="42290"/>
  <c r="BU55" i="42290"/>
  <c r="BV55" i="42290"/>
  <c r="BW55" i="42290"/>
  <c r="BX55" i="42290"/>
  <c r="BY55" i="42290"/>
  <c r="BZ55" i="42290"/>
  <c r="CA55" i="42290"/>
  <c r="CB55" i="42290"/>
  <c r="G59" i="42290"/>
  <c r="C63" i="42290"/>
  <c r="C67" i="42290" s="1"/>
  <c r="C70" i="42290" s="1"/>
  <c r="D63" i="42290"/>
  <c r="D67" i="42290" s="1"/>
  <c r="E63" i="42290"/>
  <c r="E67" i="42290" s="1"/>
  <c r="F63" i="42290"/>
  <c r="F67" i="42290" s="1"/>
  <c r="H63" i="42290"/>
  <c r="H67" i="42290" s="1"/>
  <c r="H70" i="42290" s="1"/>
  <c r="I63" i="42290"/>
  <c r="I67" i="42290" s="1"/>
  <c r="J63" i="42290"/>
  <c r="J67" i="42290" s="1"/>
  <c r="K63" i="42290"/>
  <c r="K67" i="42290" s="1"/>
  <c r="M63" i="42290"/>
  <c r="M67" i="42290" s="1"/>
  <c r="M70" i="42290" s="1"/>
  <c r="N63" i="42290"/>
  <c r="N67" i="42290" s="1"/>
  <c r="O63" i="42290"/>
  <c r="O67" i="42290" s="1"/>
  <c r="P63" i="42290"/>
  <c r="P67" i="42290" s="1"/>
  <c r="R63" i="42290"/>
  <c r="R67" i="42290" s="1"/>
  <c r="S63" i="42290"/>
  <c r="S67" i="42290" s="1"/>
  <c r="T63" i="42290"/>
  <c r="T67" i="42290" s="1"/>
  <c r="U63" i="42290"/>
  <c r="U67" i="42290" s="1"/>
  <c r="W63" i="42290"/>
  <c r="W67" i="42290" s="1"/>
  <c r="W70" i="42290" s="1"/>
  <c r="X63" i="42290"/>
  <c r="X67" i="42290" s="1"/>
  <c r="Y63" i="42290"/>
  <c r="Y67" i="42290" s="1"/>
  <c r="Z63" i="42290"/>
  <c r="Z67" i="42290" s="1"/>
  <c r="AB63" i="42290"/>
  <c r="AB67" i="42290" s="1"/>
  <c r="AB70" i="42290" s="1"/>
  <c r="AC63" i="42290"/>
  <c r="AC67" i="42290" s="1"/>
  <c r="AD63" i="42290"/>
  <c r="AD67" i="42290" s="1"/>
  <c r="AE63" i="42290"/>
  <c r="AE67" i="42290" s="1"/>
  <c r="AG63" i="42290"/>
  <c r="AG67" i="42290" s="1"/>
  <c r="AG70" i="42290" s="1"/>
  <c r="AH63" i="42290"/>
  <c r="AH67" i="42290" s="1"/>
  <c r="AI63" i="42290"/>
  <c r="AI67" i="42290" s="1"/>
  <c r="AJ63" i="42290"/>
  <c r="AJ67" i="42290" s="1"/>
  <c r="AL63" i="42290"/>
  <c r="AL67" i="42290" s="1"/>
  <c r="AM63" i="42290"/>
  <c r="AM67" i="42290" s="1"/>
  <c r="AN63" i="42290"/>
  <c r="AN67" i="42290" s="1"/>
  <c r="AO63" i="42290"/>
  <c r="AO67" i="42290" s="1"/>
  <c r="AQ63" i="42290"/>
  <c r="AQ67" i="42290" s="1"/>
  <c r="AQ70" i="42290" s="1"/>
  <c r="AR63" i="42290"/>
  <c r="AR67" i="42290" s="1"/>
  <c r="AS63" i="42290"/>
  <c r="AS67" i="42290" s="1"/>
  <c r="AT63" i="42290"/>
  <c r="AT67" i="42290" s="1"/>
  <c r="AV63" i="42290"/>
  <c r="AV67" i="42290" s="1"/>
  <c r="AW63" i="42290"/>
  <c r="AW67" i="42290" s="1"/>
  <c r="AX63" i="42290"/>
  <c r="AX67" i="42290" s="1"/>
  <c r="AY63" i="42290"/>
  <c r="AY67" i="42290" s="1"/>
  <c r="BA63" i="42290"/>
  <c r="BA67" i="42290" s="1"/>
  <c r="BA70" i="42290" s="1"/>
  <c r="BB63" i="42290"/>
  <c r="BB67" i="42290" s="1"/>
  <c r="BC63" i="42290"/>
  <c r="BC67" i="42290" s="1"/>
  <c r="BD63" i="42290"/>
  <c r="BD67" i="42290" s="1"/>
  <c r="BF63" i="42290"/>
  <c r="BF67" i="42290" s="1"/>
  <c r="BG63" i="42290"/>
  <c r="BG67" i="42290" s="1"/>
  <c r="BH63" i="42290"/>
  <c r="BH67" i="42290" s="1"/>
  <c r="BI63" i="42290"/>
  <c r="BI67" i="42290" s="1"/>
  <c r="BK63" i="42290"/>
  <c r="BK67" i="42290" s="1"/>
  <c r="BK70" i="42290" s="1"/>
  <c r="BL63" i="42290"/>
  <c r="BL67" i="42290" s="1"/>
  <c r="G64" i="42290"/>
  <c r="G68" i="42290" s="1"/>
  <c r="L64" i="42290"/>
  <c r="H65" i="42290"/>
  <c r="I65" i="42290"/>
  <c r="J65" i="42290"/>
  <c r="K65" i="42290"/>
  <c r="M65" i="42290"/>
  <c r="N65" i="42290"/>
  <c r="C68" i="42290"/>
  <c r="D68" i="42290"/>
  <c r="E68" i="42290"/>
  <c r="F68" i="42290"/>
  <c r="H68" i="42290"/>
  <c r="I68" i="42290"/>
  <c r="J68" i="42290"/>
  <c r="K68" i="42290"/>
  <c r="L68" i="42290"/>
  <c r="M68" i="42290"/>
  <c r="N68" i="42290"/>
  <c r="O68" i="42290"/>
  <c r="P68" i="42290"/>
  <c r="Q68" i="42290"/>
  <c r="R68" i="42290"/>
  <c r="S68" i="42290"/>
  <c r="T68" i="42290"/>
  <c r="U68" i="42290"/>
  <c r="V68" i="42290"/>
  <c r="W68" i="42290"/>
  <c r="X68" i="42290"/>
  <c r="Y68" i="42290"/>
  <c r="Z68" i="42290"/>
  <c r="AA68" i="42290"/>
  <c r="AB68" i="42290"/>
  <c r="AC68" i="42290"/>
  <c r="AD68" i="42290"/>
  <c r="AE68" i="42290"/>
  <c r="AF68" i="42290"/>
  <c r="AG68" i="42290"/>
  <c r="AH68" i="42290"/>
  <c r="AI68" i="42290"/>
  <c r="AJ68" i="42290"/>
  <c r="AK68" i="42290"/>
  <c r="AL68" i="42290"/>
  <c r="AM68" i="42290"/>
  <c r="AN68" i="42290"/>
  <c r="AO68" i="42290"/>
  <c r="AP68" i="42290"/>
  <c r="AQ68" i="42290"/>
  <c r="AR68" i="42290"/>
  <c r="AS68" i="42290"/>
  <c r="AT68" i="42290"/>
  <c r="AU68" i="42290"/>
  <c r="AV68" i="42290"/>
  <c r="AW68" i="42290"/>
  <c r="AX68" i="42290"/>
  <c r="AY68" i="42290"/>
  <c r="AZ68" i="42290"/>
  <c r="BA68" i="42290"/>
  <c r="BB68" i="42290"/>
  <c r="BC68" i="42290"/>
  <c r="BD68" i="42290"/>
  <c r="BE68" i="42290"/>
  <c r="BF68" i="42290"/>
  <c r="BG68" i="42290"/>
  <c r="BH68" i="42290"/>
  <c r="BI68" i="42290"/>
  <c r="BJ68" i="42290"/>
  <c r="BK68" i="42290"/>
  <c r="BL68" i="42290"/>
  <c r="BM68" i="42290"/>
  <c r="BN68" i="42290"/>
  <c r="BO68" i="42290"/>
  <c r="BU68" i="42290"/>
  <c r="BV68" i="42290"/>
  <c r="BW68" i="42290"/>
  <c r="BX68" i="42290"/>
  <c r="BY68" i="42290"/>
  <c r="BZ68" i="42290"/>
  <c r="CA68" i="42290"/>
  <c r="CB68" i="42290"/>
  <c r="D72" i="42290"/>
  <c r="G72" i="42290" s="1"/>
  <c r="C76" i="42290"/>
  <c r="D76" i="42290"/>
  <c r="E76" i="42290"/>
  <c r="F76" i="42290"/>
  <c r="G76" i="42290"/>
  <c r="H76" i="42290"/>
  <c r="I76" i="42290"/>
  <c r="J76" i="42290"/>
  <c r="K76" i="42290"/>
  <c r="L76" i="42290"/>
  <c r="M76" i="42290"/>
  <c r="N76" i="42290"/>
  <c r="O76" i="42290"/>
  <c r="P76" i="42290"/>
  <c r="Q76" i="42290"/>
  <c r="R76" i="42290"/>
  <c r="S76" i="42290"/>
  <c r="T76" i="42290"/>
  <c r="U76" i="42290"/>
  <c r="V76" i="42290"/>
  <c r="W76" i="42290"/>
  <c r="X76" i="42290"/>
  <c r="Y76" i="42290"/>
  <c r="Z76" i="42290"/>
  <c r="AA76" i="42290"/>
  <c r="AB76" i="42290"/>
  <c r="AC76" i="42290"/>
  <c r="AD76" i="42290"/>
  <c r="AE76" i="42290"/>
  <c r="AF76" i="42290"/>
  <c r="AG76" i="42290"/>
  <c r="AH76" i="42290"/>
  <c r="AI76" i="42290"/>
  <c r="AJ76" i="42290"/>
  <c r="AK76" i="42290"/>
  <c r="AL76" i="42290"/>
  <c r="AM76" i="42290"/>
  <c r="AN76" i="42290"/>
  <c r="AO76" i="42290"/>
  <c r="AP76" i="42290"/>
  <c r="AQ76" i="42290"/>
  <c r="AR76" i="42290"/>
  <c r="AS76" i="42290"/>
  <c r="AT76" i="42290"/>
  <c r="AU76" i="42290"/>
  <c r="AV76" i="42290"/>
  <c r="AW76" i="42290"/>
  <c r="AX76" i="42290"/>
  <c r="AY76" i="42290"/>
  <c r="AZ76" i="42290"/>
  <c r="BA76" i="42290"/>
  <c r="BB76" i="42290"/>
  <c r="BC76" i="42290"/>
  <c r="BD76" i="42290"/>
  <c r="BE76" i="42290"/>
  <c r="BF76" i="42290"/>
  <c r="BG76" i="42290"/>
  <c r="BH76" i="42290"/>
  <c r="BI76" i="42290"/>
  <c r="BJ76" i="42290"/>
  <c r="BK76" i="42290"/>
  <c r="BL76" i="42290"/>
  <c r="BM76" i="42290"/>
  <c r="BN76" i="42290"/>
  <c r="BO76" i="42290"/>
  <c r="BU76" i="42290"/>
  <c r="BV76" i="42290"/>
  <c r="BW76" i="42290"/>
  <c r="BX76" i="42290"/>
  <c r="BY76" i="42290"/>
  <c r="BZ76" i="42290"/>
  <c r="CA76" i="42290"/>
  <c r="CB76" i="42290"/>
  <c r="C80" i="42290"/>
  <c r="D80" i="42290"/>
  <c r="E80" i="42290"/>
  <c r="E84" i="42290" s="1"/>
  <c r="F80" i="42290"/>
  <c r="F84" i="42290" s="1"/>
  <c r="H80" i="42290"/>
  <c r="H84" i="42290" s="1"/>
  <c r="H87" i="42290" s="1"/>
  <c r="I80" i="42290"/>
  <c r="I84" i="42290" s="1"/>
  <c r="J80" i="42290"/>
  <c r="J84" i="42290" s="1"/>
  <c r="K80" i="42290"/>
  <c r="K84" i="42290" s="1"/>
  <c r="M80" i="42290"/>
  <c r="M84" i="42290" s="1"/>
  <c r="M87" i="42290" s="1"/>
  <c r="N80" i="42290"/>
  <c r="N84" i="42290" s="1"/>
  <c r="O80" i="42290"/>
  <c r="O84" i="42290" s="1"/>
  <c r="P80" i="42290"/>
  <c r="R80" i="42290"/>
  <c r="R84" i="42290" s="1"/>
  <c r="S80" i="42290"/>
  <c r="S84" i="42290" s="1"/>
  <c r="T80" i="42290"/>
  <c r="U80" i="42290"/>
  <c r="U84" i="42290" s="1"/>
  <c r="W80" i="42290"/>
  <c r="W84" i="42290" s="1"/>
  <c r="W87" i="42290" s="1"/>
  <c r="X80" i="42290"/>
  <c r="Y80" i="42290"/>
  <c r="Y84" i="42290" s="1"/>
  <c r="Z80" i="42290"/>
  <c r="Z84" i="42290" s="1"/>
  <c r="AB80" i="42290"/>
  <c r="AB84" i="42290" s="1"/>
  <c r="AB87" i="42290" s="1"/>
  <c r="AC80" i="42290"/>
  <c r="AC84" i="42290" s="1"/>
  <c r="AD80" i="42290"/>
  <c r="AD84" i="42290" s="1"/>
  <c r="AE80" i="42290"/>
  <c r="AE84" i="42290" s="1"/>
  <c r="AG80" i="42290"/>
  <c r="AG84" i="42290" s="1"/>
  <c r="AG87" i="42290" s="1"/>
  <c r="AH80" i="42290"/>
  <c r="AH84" i="42290" s="1"/>
  <c r="AI80" i="42290"/>
  <c r="AI84" i="42290" s="1"/>
  <c r="AJ80" i="42290"/>
  <c r="AL80" i="42290"/>
  <c r="AL84" i="42290" s="1"/>
  <c r="AM80" i="42290"/>
  <c r="AM84" i="42290" s="1"/>
  <c r="AN80" i="42290"/>
  <c r="AO80" i="42290"/>
  <c r="AO84" i="42290" s="1"/>
  <c r="AQ80" i="42290"/>
  <c r="AR80" i="42290"/>
  <c r="AS80" i="42290"/>
  <c r="AS84" i="42290" s="1"/>
  <c r="AT80" i="42290"/>
  <c r="AT84" i="42290" s="1"/>
  <c r="AV80" i="42290"/>
  <c r="AV84" i="42290" s="1"/>
  <c r="AV87" i="42290" s="1"/>
  <c r="AW80" i="42290"/>
  <c r="AW84" i="42290" s="1"/>
  <c r="AX80" i="42290"/>
  <c r="AX84" i="42290" s="1"/>
  <c r="AY80" i="42290"/>
  <c r="AY84" i="42290" s="1"/>
  <c r="BA80" i="42290"/>
  <c r="BA84" i="42290" s="1"/>
  <c r="BA87" i="42290" s="1"/>
  <c r="BB80" i="42290"/>
  <c r="BB84" i="42290" s="1"/>
  <c r="BC80" i="42290"/>
  <c r="BC84" i="42290" s="1"/>
  <c r="BD80" i="42290"/>
  <c r="BF80" i="42290"/>
  <c r="BF84" i="42290" s="1"/>
  <c r="BG80" i="42290"/>
  <c r="BH80" i="42290"/>
  <c r="BI80" i="42290"/>
  <c r="BI84" i="42290" s="1"/>
  <c r="BK80" i="42290"/>
  <c r="BK84" i="42290" s="1"/>
  <c r="BK87" i="42290" s="1"/>
  <c r="BL80" i="42290"/>
  <c r="G81" i="42290"/>
  <c r="G85" i="42290" s="1"/>
  <c r="L81" i="42290"/>
  <c r="H82" i="42290"/>
  <c r="I82" i="42290"/>
  <c r="J82" i="42290"/>
  <c r="K82" i="42290"/>
  <c r="M82" i="42290"/>
  <c r="N82" i="42290"/>
  <c r="C85" i="42290"/>
  <c r="D85" i="42290"/>
  <c r="E85" i="42290"/>
  <c r="F85" i="42290"/>
  <c r="H85" i="42290"/>
  <c r="I85" i="42290"/>
  <c r="J85" i="42290"/>
  <c r="K85" i="42290"/>
  <c r="L85" i="42290"/>
  <c r="M85" i="42290"/>
  <c r="N85" i="42290"/>
  <c r="O85" i="42290"/>
  <c r="P85" i="42290"/>
  <c r="Q85" i="42290"/>
  <c r="R85" i="42290"/>
  <c r="S85" i="42290"/>
  <c r="T85" i="42290"/>
  <c r="U85" i="42290"/>
  <c r="V85" i="42290"/>
  <c r="W85" i="42290"/>
  <c r="X85" i="42290"/>
  <c r="Y85" i="42290"/>
  <c r="Z85" i="42290"/>
  <c r="AA85" i="42290"/>
  <c r="AB85" i="42290"/>
  <c r="AC85" i="42290"/>
  <c r="AD85" i="42290"/>
  <c r="AE85" i="42290"/>
  <c r="AF85" i="42290"/>
  <c r="AG85" i="42290"/>
  <c r="AH85" i="42290"/>
  <c r="AI85" i="42290"/>
  <c r="AJ85" i="42290"/>
  <c r="AK85" i="42290"/>
  <c r="AL85" i="42290"/>
  <c r="AM85" i="42290"/>
  <c r="AN85" i="42290"/>
  <c r="AO85" i="42290"/>
  <c r="AP85" i="42290"/>
  <c r="AQ85" i="42290"/>
  <c r="AR85" i="42290"/>
  <c r="AS85" i="42290"/>
  <c r="AT85" i="42290"/>
  <c r="AU85" i="42290"/>
  <c r="AV85" i="42290"/>
  <c r="AW85" i="42290"/>
  <c r="AX85" i="42290"/>
  <c r="AY85" i="42290"/>
  <c r="AZ85" i="42290"/>
  <c r="BA85" i="42290"/>
  <c r="BB85" i="42290"/>
  <c r="BC85" i="42290"/>
  <c r="BD85" i="42290"/>
  <c r="BE85" i="42290"/>
  <c r="BF85" i="42290"/>
  <c r="BG85" i="42290"/>
  <c r="BH85" i="42290"/>
  <c r="BI85" i="42290"/>
  <c r="BJ85" i="42290"/>
  <c r="BK85" i="42290"/>
  <c r="BL85" i="42290"/>
  <c r="BM85" i="42290"/>
  <c r="BN85" i="42290"/>
  <c r="BO85" i="42290"/>
  <c r="BU85" i="42290"/>
  <c r="BV85" i="42290"/>
  <c r="BW85" i="42290"/>
  <c r="BX85" i="42290"/>
  <c r="BY85" i="42290"/>
  <c r="BZ85" i="42290"/>
  <c r="CA85" i="42290"/>
  <c r="CB85" i="42290"/>
  <c r="G89" i="42290"/>
  <c r="C124" i="42290"/>
  <c r="D124" i="42290"/>
  <c r="E124" i="42290"/>
  <c r="F124" i="42290"/>
  <c r="H124" i="42290"/>
  <c r="H129" i="42290" s="1"/>
  <c r="I124" i="42290"/>
  <c r="I129" i="42290" s="1"/>
  <c r="J124" i="42290"/>
  <c r="K124" i="42290"/>
  <c r="M124" i="42290"/>
  <c r="N124" i="42290"/>
  <c r="O124" i="42290"/>
  <c r="P124" i="42290"/>
  <c r="R124" i="42290"/>
  <c r="S124" i="42290"/>
  <c r="T124" i="42290"/>
  <c r="U124" i="42290"/>
  <c r="W124" i="42290"/>
  <c r="X124" i="42290"/>
  <c r="Y124" i="42290"/>
  <c r="Z124" i="42290"/>
  <c r="AB124" i="42290"/>
  <c r="AC124" i="42290"/>
  <c r="AD124" i="42290"/>
  <c r="AE124" i="42290"/>
  <c r="AG124" i="42290"/>
  <c r="AH124" i="42290"/>
  <c r="AI124" i="42290"/>
  <c r="AJ124" i="42290"/>
  <c r="AL124" i="42290"/>
  <c r="AM124" i="42290"/>
  <c r="AN124" i="42290"/>
  <c r="AO124" i="42290"/>
  <c r="AQ124" i="42290"/>
  <c r="AR124" i="42290"/>
  <c r="AS124" i="42290"/>
  <c r="AT124" i="42290"/>
  <c r="AV124" i="42290"/>
  <c r="AW124" i="42290"/>
  <c r="AX124" i="42290"/>
  <c r="AY124" i="42290"/>
  <c r="BA124" i="42290"/>
  <c r="BB124" i="42290"/>
  <c r="BC124" i="42290"/>
  <c r="BD124" i="42290"/>
  <c r="BF124" i="42290"/>
  <c r="BG124" i="42290"/>
  <c r="BH124" i="42290"/>
  <c r="BI124" i="42290"/>
  <c r="BK124" i="42290"/>
  <c r="BL124" i="42290"/>
  <c r="G125" i="42290"/>
  <c r="L125" i="42290"/>
  <c r="Q125" i="42290"/>
  <c r="V125" i="42290"/>
  <c r="Z125" i="42290"/>
  <c r="AB125" i="42290"/>
  <c r="AG125" i="42290" s="1"/>
  <c r="AC125" i="42290"/>
  <c r="AC142" i="42290" s="1"/>
  <c r="AD125" i="42290"/>
  <c r="AI125" i="42290" s="1"/>
  <c r="H126" i="42290"/>
  <c r="I126" i="42290"/>
  <c r="J126" i="42290"/>
  <c r="K126" i="42290"/>
  <c r="M126" i="42290"/>
  <c r="N126" i="42290"/>
  <c r="O126" i="42290"/>
  <c r="P126" i="42290"/>
  <c r="R126" i="42290"/>
  <c r="S126" i="42290"/>
  <c r="T126" i="42290"/>
  <c r="U126" i="42290"/>
  <c r="W126" i="42290"/>
  <c r="X126" i="42290"/>
  <c r="Y126" i="42290"/>
  <c r="C142" i="42290"/>
  <c r="D142" i="42290"/>
  <c r="E142" i="42290"/>
  <c r="F142" i="42290"/>
  <c r="H142" i="42290"/>
  <c r="I142" i="42290"/>
  <c r="J142" i="42290"/>
  <c r="K142" i="42290"/>
  <c r="M142" i="42290"/>
  <c r="N142" i="42290"/>
  <c r="O142" i="42290"/>
  <c r="P142" i="42290"/>
  <c r="R142" i="42290"/>
  <c r="S142" i="42290"/>
  <c r="T142" i="42290"/>
  <c r="U142" i="42290"/>
  <c r="W142" i="42290"/>
  <c r="X142" i="42290"/>
  <c r="Y142" i="42290"/>
  <c r="Z142" i="42290"/>
  <c r="J145" i="42290"/>
  <c r="G146" i="42290"/>
  <c r="AL170" i="42290"/>
  <c r="AM170" i="42290"/>
  <c r="AN170" i="42290"/>
  <c r="AO170" i="42290"/>
  <c r="AQ170" i="42290"/>
  <c r="AR170" i="42290"/>
  <c r="AS170" i="42290"/>
  <c r="AT170" i="42290"/>
  <c r="AV170" i="42290"/>
  <c r="AW170" i="42290"/>
  <c r="AX170" i="42290"/>
  <c r="AY170" i="42290"/>
  <c r="BA170" i="42290"/>
  <c r="BB170" i="42290"/>
  <c r="BC170" i="42290"/>
  <c r="BD170" i="42290"/>
  <c r="BF170" i="42290"/>
  <c r="BG170" i="42290"/>
  <c r="BH170" i="42290"/>
  <c r="BI170" i="42290"/>
  <c r="BK170" i="42290"/>
  <c r="BL170" i="42290"/>
  <c r="AL171" i="42290"/>
  <c r="AM171" i="42290"/>
  <c r="AN171" i="42290"/>
  <c r="AO171" i="42290"/>
  <c r="AQ171" i="42290"/>
  <c r="AR171" i="42290"/>
  <c r="AS171" i="42290"/>
  <c r="AT171" i="42290"/>
  <c r="AV171" i="42290"/>
  <c r="AW171" i="42290"/>
  <c r="AX171" i="42290"/>
  <c r="AY171" i="42290"/>
  <c r="BA171" i="42290"/>
  <c r="BB171" i="42290"/>
  <c r="BC171" i="42290"/>
  <c r="BD171" i="42290"/>
  <c r="BF171" i="42290"/>
  <c r="BG171" i="42290"/>
  <c r="BH171" i="42290"/>
  <c r="BI171" i="42290"/>
  <c r="BK171" i="42290"/>
  <c r="BL171" i="42290"/>
  <c r="AL191" i="42290"/>
  <c r="AM191" i="42290"/>
  <c r="AN191" i="42290"/>
  <c r="AO191" i="42290"/>
  <c r="AQ191" i="42290"/>
  <c r="AR191" i="42290"/>
  <c r="AS191" i="42290"/>
  <c r="AT191" i="42290"/>
  <c r="AV191" i="42290"/>
  <c r="AW191" i="42290"/>
  <c r="AX191" i="42290"/>
  <c r="AY191" i="42290"/>
  <c r="BA191" i="42290"/>
  <c r="BB191" i="42290"/>
  <c r="BC191" i="42290"/>
  <c r="BD191" i="42290"/>
  <c r="BF191" i="42290"/>
  <c r="BG191" i="42290"/>
  <c r="BH191" i="42290"/>
  <c r="BI191" i="42290"/>
  <c r="BK191" i="42290"/>
  <c r="BL191" i="42290"/>
  <c r="AL192" i="42290"/>
  <c r="AM192" i="42290"/>
  <c r="AN192" i="42290"/>
  <c r="AO192" i="42290"/>
  <c r="AQ192" i="42290"/>
  <c r="AR192" i="42290"/>
  <c r="AS192" i="42290"/>
  <c r="AT192" i="42290"/>
  <c r="AV192" i="42290"/>
  <c r="AW192" i="42290"/>
  <c r="AX192" i="42290"/>
  <c r="AY192" i="42290"/>
  <c r="BA192" i="42290"/>
  <c r="BB192" i="42290"/>
  <c r="BC192" i="42290"/>
  <c r="BD192" i="42290"/>
  <c r="BF192" i="42290"/>
  <c r="BG192" i="42290"/>
  <c r="BH192" i="42290"/>
  <c r="BI192" i="42290"/>
  <c r="BK192" i="42290"/>
  <c r="BL192" i="42290"/>
  <c r="AK252" i="42290"/>
  <c r="AP230" i="42290"/>
  <c r="AU230" i="42290"/>
  <c r="AZ230" i="42290"/>
  <c r="BE230" i="42290"/>
  <c r="BJ230" i="42290"/>
  <c r="BO230" i="42290"/>
  <c r="BU230" i="42290"/>
  <c r="BV230" i="42290"/>
  <c r="BW230" i="42290"/>
  <c r="BX230" i="42290"/>
  <c r="BY230" i="42290"/>
  <c r="BZ230" i="42290"/>
  <c r="CA230" i="42290"/>
  <c r="CB230" i="42290"/>
  <c r="AP240" i="42290"/>
  <c r="AU240" i="42290"/>
  <c r="AZ240" i="42290"/>
  <c r="BE240" i="42290"/>
  <c r="BJ240" i="42290"/>
  <c r="BO240" i="42290"/>
  <c r="BU240" i="42290"/>
  <c r="BV240" i="42290"/>
  <c r="BW240" i="42290"/>
  <c r="BX240" i="42290"/>
  <c r="BY240" i="42290"/>
  <c r="BZ240" i="42290"/>
  <c r="CA240" i="42290"/>
  <c r="CB240" i="42290"/>
  <c r="AP241" i="42290"/>
  <c r="AU241" i="42290"/>
  <c r="AZ241" i="42290"/>
  <c r="BE241" i="42290"/>
  <c r="BJ241" i="42290"/>
  <c r="BO241" i="42290"/>
  <c r="BU241" i="42290"/>
  <c r="BV241" i="42290"/>
  <c r="BW241" i="42290"/>
  <c r="BX241" i="42290"/>
  <c r="BY241" i="42290"/>
  <c r="BZ241" i="42290"/>
  <c r="CA241" i="42290"/>
  <c r="CB241" i="42290"/>
  <c r="AP251" i="42290"/>
  <c r="AU251" i="42290"/>
  <c r="AZ251" i="42290"/>
  <c r="BE251" i="42290"/>
  <c r="BJ251" i="42290"/>
  <c r="BO251" i="42290"/>
  <c r="BU251" i="42290"/>
  <c r="BV251" i="42290"/>
  <c r="BW251" i="42290"/>
  <c r="BX251" i="42290"/>
  <c r="BY251" i="42290"/>
  <c r="BZ251" i="42290"/>
  <c r="CA251" i="42290"/>
  <c r="CB251" i="42290"/>
  <c r="AP252" i="42290"/>
  <c r="AU252" i="42290"/>
  <c r="AZ252" i="42290"/>
  <c r="BE252" i="42290"/>
  <c r="BJ252" i="42290"/>
  <c r="BO252" i="42290"/>
  <c r="BU252" i="42290"/>
  <c r="BV252" i="42290"/>
  <c r="BW252" i="42290"/>
  <c r="BX252" i="42290"/>
  <c r="BY252" i="42290"/>
  <c r="BZ252" i="42290"/>
  <c r="CA252" i="42290"/>
  <c r="CB252" i="42290"/>
  <c r="AK254" i="42290"/>
  <c r="AP254" i="42290" s="1"/>
  <c r="AK255" i="42290"/>
  <c r="AP255" i="42290" s="1"/>
  <c r="AU255" i="42290" s="1"/>
  <c r="AZ255" i="42290" s="1"/>
  <c r="BE255" i="42290" s="1"/>
  <c r="BJ255" i="42290" s="1"/>
  <c r="BO255" i="42290" s="1"/>
  <c r="BT255" i="42290" s="1"/>
  <c r="BU255" i="42290" s="1"/>
  <c r="BV255" i="42290" s="1"/>
  <c r="BW255" i="42290" s="1"/>
  <c r="BX255" i="42290" s="1"/>
  <c r="BY255" i="42290" s="1"/>
  <c r="BZ255" i="42290" s="1"/>
  <c r="CA255" i="42290" s="1"/>
  <c r="CB255" i="42290" s="1"/>
  <c r="C266" i="42290"/>
  <c r="C269" i="42290" s="1"/>
  <c r="E266" i="42290"/>
  <c r="F266" i="42290"/>
  <c r="H266" i="42290"/>
  <c r="H273" i="42290" s="1"/>
  <c r="I266" i="42290"/>
  <c r="I284" i="42290" s="1"/>
  <c r="J266" i="42290"/>
  <c r="J273" i="42290" s="1"/>
  <c r="K266" i="42290"/>
  <c r="M266" i="42290"/>
  <c r="N266" i="42290"/>
  <c r="N277" i="42290" s="1"/>
  <c r="O266" i="42290"/>
  <c r="O273" i="42290" s="1"/>
  <c r="P266" i="42290"/>
  <c r="P273" i="42290" s="1"/>
  <c r="R266" i="42290"/>
  <c r="S266" i="42290"/>
  <c r="T266" i="42290"/>
  <c r="T269" i="42290" s="1"/>
  <c r="W266" i="42290"/>
  <c r="X266" i="42290"/>
  <c r="X277" i="42290" s="1"/>
  <c r="Y266" i="42290"/>
  <c r="Y273" i="42290" s="1"/>
  <c r="Z266" i="42290"/>
  <c r="Z273" i="42290" s="1"/>
  <c r="AB266" i="42290"/>
  <c r="AC266" i="42290"/>
  <c r="AC277" i="42290" s="1"/>
  <c r="AD266" i="42290"/>
  <c r="AE266" i="42290"/>
  <c r="AE277" i="42290" s="1"/>
  <c r="AG266" i="42290"/>
  <c r="AH266" i="42290"/>
  <c r="AH277" i="42290" s="1"/>
  <c r="AI266" i="42290"/>
  <c r="AJ266" i="42290"/>
  <c r="AJ269" i="42290" s="1"/>
  <c r="AL266" i="42290"/>
  <c r="AL277" i="42290" s="1"/>
  <c r="AM266" i="42290"/>
  <c r="AN266" i="42290"/>
  <c r="AN277" i="42290" s="1"/>
  <c r="AO266" i="42290"/>
  <c r="AQ266" i="42290"/>
  <c r="AQ277" i="42290" s="1"/>
  <c r="AR266" i="42290"/>
  <c r="AR273" i="42290" s="1"/>
  <c r="AS266" i="42290"/>
  <c r="AS273" i="42290" s="1"/>
  <c r="AT266" i="42290"/>
  <c r="AV266" i="42290"/>
  <c r="AW266" i="42290"/>
  <c r="AX266" i="42290"/>
  <c r="AX273" i="42290" s="1"/>
  <c r="AY266" i="42290"/>
  <c r="AY277" i="42290" s="1"/>
  <c r="BA266" i="42290"/>
  <c r="BB266" i="42290"/>
  <c r="BC266" i="42290"/>
  <c r="BD266" i="42290"/>
  <c r="BF266" i="42290"/>
  <c r="BG266" i="42290"/>
  <c r="BG269" i="42290" s="1"/>
  <c r="BH266" i="42290"/>
  <c r="BI266" i="42290"/>
  <c r="BI269" i="42290" s="1"/>
  <c r="BK266" i="42290"/>
  <c r="BL266" i="42290"/>
  <c r="BL269" i="42290" s="1"/>
  <c r="BO266" i="42290"/>
  <c r="BO269" i="42290" s="1"/>
  <c r="BU266" i="42290"/>
  <c r="BU277" i="42290" s="1"/>
  <c r="BV266" i="42290"/>
  <c r="BW266" i="42290"/>
  <c r="C281" i="42290"/>
  <c r="C283" i="42290" s="1"/>
  <c r="D281" i="42290"/>
  <c r="D283" i="42290" s="1"/>
  <c r="E281" i="42290"/>
  <c r="E283" i="42290" s="1"/>
  <c r="F281" i="42290"/>
  <c r="F283" i="42290" s="1"/>
  <c r="H281" i="42290"/>
  <c r="H283" i="42290" s="1"/>
  <c r="I281" i="42290"/>
  <c r="I283" i="42290" s="1"/>
  <c r="N283" i="42290" s="1"/>
  <c r="S283" i="42290" s="1"/>
  <c r="J281" i="42290"/>
  <c r="J283" i="42290" s="1"/>
  <c r="O283" i="42290" s="1"/>
  <c r="T283" i="42290" s="1"/>
  <c r="Y283" i="42290" s="1"/>
  <c r="K281" i="42290"/>
  <c r="K283" i="42290" s="1"/>
  <c r="P283" i="42290" s="1"/>
  <c r="U283" i="42290" s="1"/>
  <c r="M281" i="42290"/>
  <c r="M283" i="42290" s="1"/>
  <c r="R283" i="42290" s="1"/>
  <c r="N281" i="42290"/>
  <c r="O281" i="42290"/>
  <c r="P281" i="42290"/>
  <c r="R281" i="42290"/>
  <c r="S281" i="42290"/>
  <c r="T281" i="42290"/>
  <c r="U281" i="42290"/>
  <c r="W281" i="42290"/>
  <c r="X281" i="42290"/>
  <c r="Y281" i="42290"/>
  <c r="Z281" i="42290"/>
  <c r="AB281" i="42290"/>
  <c r="AC281" i="42290"/>
  <c r="AD281" i="42290"/>
  <c r="AE281" i="42290"/>
  <c r="AG281" i="42290"/>
  <c r="AH281" i="42290"/>
  <c r="AI281" i="42290"/>
  <c r="AJ281" i="42290"/>
  <c r="AL281" i="42290"/>
  <c r="AM281" i="42290"/>
  <c r="AN281" i="42290"/>
  <c r="AO281" i="42290"/>
  <c r="AQ281" i="42290"/>
  <c r="AR281" i="42290"/>
  <c r="AS281" i="42290"/>
  <c r="AT281" i="42290"/>
  <c r="AV281" i="42290"/>
  <c r="AW281" i="42290"/>
  <c r="AX281" i="42290"/>
  <c r="AY281" i="42290"/>
  <c r="BA281" i="42290"/>
  <c r="BB281" i="42290"/>
  <c r="BC281" i="42290"/>
  <c r="BD281" i="42290"/>
  <c r="BF281" i="42290"/>
  <c r="BF282" i="42290" s="1"/>
  <c r="BF288" i="42290" s="1"/>
  <c r="BG281" i="42290"/>
  <c r="BG282" i="42290" s="1"/>
  <c r="BG288" i="42290" s="1"/>
  <c r="BH281" i="42290"/>
  <c r="BH282" i="42290" s="1"/>
  <c r="BH288" i="42290" s="1"/>
  <c r="BI281" i="42290"/>
  <c r="BI282" i="42290" s="1"/>
  <c r="BI288" i="42290" s="1"/>
  <c r="BK281" i="42290"/>
  <c r="BK282" i="42290" s="1"/>
  <c r="BK288" i="42290" s="1"/>
  <c r="BN281" i="42290"/>
  <c r="BN282" i="42290" s="1"/>
  <c r="BN288" i="42290" s="1"/>
  <c r="BO281" i="42290"/>
  <c r="BU281" i="42290"/>
  <c r="BU282" i="42290" s="1"/>
  <c r="BU288" i="42290" s="1"/>
  <c r="BV281" i="42290"/>
  <c r="BV282" i="42290" s="1"/>
  <c r="BV288" i="42290" s="1"/>
  <c r="BW281" i="42290"/>
  <c r="BW282" i="42290" s="1"/>
  <c r="BW288" i="42290" s="1"/>
  <c r="G282" i="42290"/>
  <c r="G288" i="42290" s="1"/>
  <c r="L282" i="42290"/>
  <c r="L288" i="42290" s="1"/>
  <c r="AG286" i="42290"/>
  <c r="AH286" i="42290"/>
  <c r="AI286" i="42290"/>
  <c r="AJ286" i="42290"/>
  <c r="AK286" i="42290"/>
  <c r="C288" i="42290"/>
  <c r="D288" i="42290"/>
  <c r="E288" i="42290"/>
  <c r="F288" i="42290"/>
  <c r="H288" i="42290"/>
  <c r="I288" i="42290"/>
  <c r="J288" i="42290"/>
  <c r="K288" i="42290"/>
  <c r="M288" i="42290"/>
  <c r="H9" i="42446"/>
  <c r="I9" i="42446"/>
  <c r="V9" i="42446"/>
  <c r="W9" i="42446"/>
  <c r="AJ9" i="42446"/>
  <c r="AK9" i="42446"/>
  <c r="AX9" i="42446"/>
  <c r="AY9" i="42446"/>
  <c r="BT9" i="42446"/>
  <c r="BU9" i="42446"/>
  <c r="CF9" i="42446"/>
  <c r="CG9" i="42446"/>
  <c r="CQ9" i="42446"/>
  <c r="H10" i="42446"/>
  <c r="I10" i="42446"/>
  <c r="V10" i="42446"/>
  <c r="W10" i="42446"/>
  <c r="AJ10" i="42446"/>
  <c r="AK10" i="42446"/>
  <c r="AX10" i="42446"/>
  <c r="AY10" i="42446"/>
  <c r="BQ10" i="42446"/>
  <c r="BT10" i="42446"/>
  <c r="BU10" i="42446"/>
  <c r="CF10" i="42446"/>
  <c r="CG10" i="42446"/>
  <c r="CP10" i="42446"/>
  <c r="CQ10" i="42446"/>
  <c r="H11" i="42446"/>
  <c r="I11" i="42446"/>
  <c r="V11" i="42446"/>
  <c r="W11" i="42446"/>
  <c r="AJ11" i="42446"/>
  <c r="AK11" i="42446"/>
  <c r="AX11" i="42446"/>
  <c r="AY11" i="42446"/>
  <c r="BT11" i="42446"/>
  <c r="BU11" i="42446"/>
  <c r="CF11" i="42446"/>
  <c r="CG11" i="42446"/>
  <c r="CQ11" i="42446"/>
  <c r="H12" i="42446"/>
  <c r="I12" i="42446"/>
  <c r="V12" i="42446"/>
  <c r="W12" i="42446"/>
  <c r="AJ12" i="42446"/>
  <c r="AK12" i="42446"/>
  <c r="AX12" i="42446"/>
  <c r="AY12" i="42446"/>
  <c r="BQ12" i="42446"/>
  <c r="BT12" i="42446"/>
  <c r="BU12" i="42446"/>
  <c r="CF12" i="42446"/>
  <c r="CG12" i="42446"/>
  <c r="CP12" i="42446"/>
  <c r="CQ12" i="42446" s="1"/>
  <c r="H13" i="42446"/>
  <c r="I13" i="42446"/>
  <c r="V13" i="42446"/>
  <c r="W13" i="42446"/>
  <c r="AJ13" i="42446"/>
  <c r="AK13" i="42446"/>
  <c r="AX13" i="42446"/>
  <c r="AY13" i="42446"/>
  <c r="BT13" i="42446"/>
  <c r="BU13" i="42446"/>
  <c r="CF13" i="42446"/>
  <c r="CG13" i="42446"/>
  <c r="CP13" i="42446"/>
  <c r="CQ13" i="42446"/>
  <c r="H14" i="42446"/>
  <c r="I14" i="42446"/>
  <c r="V14" i="42446"/>
  <c r="W14" i="42446"/>
  <c r="AJ14" i="42446"/>
  <c r="AK14" i="42446"/>
  <c r="H15" i="42446"/>
  <c r="I15" i="42446"/>
  <c r="V15" i="42446"/>
  <c r="W15" i="42446"/>
  <c r="AG15" i="42446"/>
  <c r="AJ15" i="42446"/>
  <c r="AK15" i="42446"/>
  <c r="CB15" i="42446"/>
  <c r="CN15" i="42446"/>
  <c r="CO15" i="42446"/>
  <c r="CP15" i="42446"/>
  <c r="CT15" i="42446"/>
  <c r="H16" i="42446"/>
  <c r="I16" i="42446"/>
  <c r="V16" i="42446"/>
  <c r="W16" i="42446"/>
  <c r="AJ16" i="42446"/>
  <c r="AK16" i="42446"/>
  <c r="H17" i="42446"/>
  <c r="I17" i="42446"/>
  <c r="V17" i="42446"/>
  <c r="W17" i="42446"/>
  <c r="AJ17" i="42446"/>
  <c r="AK17" i="42446"/>
  <c r="AX17" i="42446"/>
  <c r="AY17" i="42446"/>
  <c r="BT17" i="42446"/>
  <c r="BU17" i="42446"/>
  <c r="CF17" i="42446"/>
  <c r="CG17" i="42446"/>
  <c r="CQ17" i="42446"/>
  <c r="H18" i="42446"/>
  <c r="I18" i="42446"/>
  <c r="V18" i="42446"/>
  <c r="W18" i="42446"/>
  <c r="AJ18" i="42446"/>
  <c r="AK18" i="42446"/>
  <c r="AR20" i="42446"/>
  <c r="AS20" i="42446"/>
  <c r="AT20" i="42446"/>
  <c r="BN20" i="42446"/>
  <c r="BO20" i="42446"/>
  <c r="BP20" i="42446"/>
  <c r="CQ21" i="42446"/>
  <c r="CU9" i="42446" s="1"/>
  <c r="H22" i="42446"/>
  <c r="I22" i="42446"/>
  <c r="V22" i="42446"/>
  <c r="W22" i="42446"/>
  <c r="AJ22" i="42446"/>
  <c r="AK22" i="42446"/>
  <c r="AS49" i="42446"/>
  <c r="CB36" i="42446"/>
  <c r="CQ22" i="42446"/>
  <c r="CU10" i="42446" s="1"/>
  <c r="AS37" i="42446"/>
  <c r="AT37" i="42446"/>
  <c r="BZ27" i="42446"/>
  <c r="CQ23" i="42446"/>
  <c r="AS51" i="42446"/>
  <c r="AT38" i="42446"/>
  <c r="BO38" i="42446"/>
  <c r="BZ38" i="42446"/>
  <c r="CQ24" i="42446"/>
  <c r="CU12" i="42446" s="1"/>
  <c r="B25" i="42446"/>
  <c r="C25" i="42446"/>
  <c r="D25" i="42446"/>
  <c r="P25" i="42446"/>
  <c r="Q25" i="42446"/>
  <c r="R25" i="42446"/>
  <c r="AD25" i="42446"/>
  <c r="AE25" i="42446"/>
  <c r="AF25" i="42446"/>
  <c r="AS52" i="42446"/>
  <c r="BN39" i="42446"/>
  <c r="CC25" i="42446"/>
  <c r="CQ25" i="42446"/>
  <c r="CU13" i="42446" s="1"/>
  <c r="AE45" i="42446"/>
  <c r="CN27" i="42446"/>
  <c r="CO27" i="42446"/>
  <c r="CP27" i="42446"/>
  <c r="CP40" i="42446" s="1"/>
  <c r="AE47" i="42446"/>
  <c r="CA42" i="42446"/>
  <c r="CB42" i="42446"/>
  <c r="CQ29" i="42446"/>
  <c r="CU17" i="42446" s="1"/>
  <c r="AD50" i="42446"/>
  <c r="AD52" i="42446"/>
  <c r="AE53" i="42446"/>
  <c r="AR34" i="42446"/>
  <c r="AS34" i="42446"/>
  <c r="AT34" i="42446"/>
  <c r="BN34" i="42446"/>
  <c r="BO34" i="42446"/>
  <c r="BP34" i="42446"/>
  <c r="BZ34" i="42446"/>
  <c r="CA34" i="42446"/>
  <c r="CB34" i="42446"/>
  <c r="AR35" i="42446"/>
  <c r="AT35" i="42446"/>
  <c r="BO35" i="42446"/>
  <c r="BZ35" i="42446"/>
  <c r="CB35" i="42446"/>
  <c r="CN35" i="42446"/>
  <c r="CO35" i="42446"/>
  <c r="CP35" i="42446"/>
  <c r="AS36" i="42446"/>
  <c r="BN36" i="42446"/>
  <c r="BZ36" i="42446"/>
  <c r="CA36" i="42446"/>
  <c r="CN36" i="42446"/>
  <c r="CO36" i="42446"/>
  <c r="CP36" i="42446"/>
  <c r="CQ36" i="42446"/>
  <c r="AF37" i="42446"/>
  <c r="BN37" i="42446"/>
  <c r="CA37" i="42446"/>
  <c r="CB37" i="42446"/>
  <c r="CN37" i="42446"/>
  <c r="CO37" i="42446"/>
  <c r="CP37" i="42446"/>
  <c r="CQ37" i="42446"/>
  <c r="AS38" i="42446"/>
  <c r="BN38" i="42446"/>
  <c r="BP38" i="42446"/>
  <c r="CA38" i="42446"/>
  <c r="CB38" i="42446"/>
  <c r="CN38" i="42446"/>
  <c r="CO38" i="42446"/>
  <c r="CP38" i="42446"/>
  <c r="B57" i="42446"/>
  <c r="Q57" i="42446"/>
  <c r="AR39" i="42446"/>
  <c r="BZ39" i="42446"/>
  <c r="CB39" i="42446"/>
  <c r="CN39" i="42446"/>
  <c r="CO39" i="42446"/>
  <c r="CP39" i="42446"/>
  <c r="CN40" i="42446"/>
  <c r="CO40" i="42446"/>
  <c r="AR42" i="42446"/>
  <c r="BP42" i="42446"/>
  <c r="CN42" i="42446"/>
  <c r="CO42" i="42446"/>
  <c r="CP42" i="42446"/>
  <c r="CQ42" i="42446"/>
  <c r="B44" i="42446"/>
  <c r="C44" i="42446"/>
  <c r="D44" i="42446"/>
  <c r="P44" i="42446"/>
  <c r="Q44" i="42446"/>
  <c r="R44" i="42446"/>
  <c r="AD44" i="42446"/>
  <c r="AE44" i="42446"/>
  <c r="AF44" i="42446"/>
  <c r="AS44" i="42446"/>
  <c r="AD46" i="42446"/>
  <c r="AS46" i="42446"/>
  <c r="AS47" i="42446"/>
  <c r="AE48" i="42446"/>
  <c r="AE49" i="42446"/>
  <c r="AD51" i="42446"/>
  <c r="AE51" i="42446"/>
  <c r="AE52" i="42446"/>
  <c r="AD53" i="42446"/>
  <c r="AE54" i="42446"/>
  <c r="D57" i="42446"/>
  <c r="AD57" i="42446"/>
  <c r="AD61" i="42446"/>
  <c r="AF61" i="42446"/>
  <c r="D11" i="42455"/>
  <c r="G11" i="42455" s="1"/>
  <c r="C12" i="42455"/>
  <c r="D12" i="42455"/>
  <c r="F13" i="42455"/>
  <c r="G13" i="42455"/>
  <c r="K13" i="42455"/>
  <c r="L13" i="42455"/>
  <c r="P13" i="42455"/>
  <c r="Q13" i="42455"/>
  <c r="W15" i="42455"/>
  <c r="Y15" i="42455"/>
  <c r="AA17" i="42455"/>
  <c r="AA18" i="42455"/>
  <c r="AA19" i="42455"/>
  <c r="D20" i="42455"/>
  <c r="G20" i="42455" s="1"/>
  <c r="AA20" i="42455"/>
  <c r="D21" i="42455"/>
  <c r="AA21" i="42455"/>
  <c r="C23" i="42455"/>
  <c r="K23" i="42455" s="1"/>
  <c r="D23" i="42455"/>
  <c r="C27" i="42455"/>
  <c r="L27" i="42455" s="1"/>
  <c r="D27" i="42455"/>
  <c r="C28" i="42455"/>
  <c r="D28" i="42455"/>
  <c r="C32" i="42455"/>
  <c r="D32" i="42455"/>
  <c r="C33" i="42455"/>
  <c r="K33" i="42455" s="1"/>
  <c r="D33" i="42455"/>
  <c r="G33" i="42455" s="1"/>
  <c r="L33" i="42455"/>
  <c r="C37" i="42455"/>
  <c r="L37" i="42455" s="1"/>
  <c r="D37" i="42455"/>
  <c r="C40" i="42455"/>
  <c r="D40" i="42455"/>
  <c r="AM98" i="42455"/>
  <c r="AR111" i="42455"/>
  <c r="D11" i="42459"/>
  <c r="G11" i="42459" s="1"/>
  <c r="C12" i="42459"/>
  <c r="P12" i="42459" s="1"/>
  <c r="D12" i="42459"/>
  <c r="F13" i="42459"/>
  <c r="G13" i="42459"/>
  <c r="K13" i="42459"/>
  <c r="L13" i="42459"/>
  <c r="P13" i="42459"/>
  <c r="Q13" i="42459"/>
  <c r="W15" i="42459"/>
  <c r="Y15" i="42459"/>
  <c r="AA17" i="42459"/>
  <c r="AA18" i="42459"/>
  <c r="AA19" i="42459"/>
  <c r="D20" i="42459"/>
  <c r="AA20" i="42459"/>
  <c r="D21" i="42459"/>
  <c r="AA21" i="42459"/>
  <c r="C23" i="42459"/>
  <c r="D23" i="42459"/>
  <c r="C27" i="42459"/>
  <c r="D27" i="42459"/>
  <c r="C28" i="42459"/>
  <c r="D28" i="42459"/>
  <c r="C32" i="42459"/>
  <c r="D32" i="42459"/>
  <c r="C33" i="42459"/>
  <c r="K33" i="42459" s="1"/>
  <c r="D33" i="42459"/>
  <c r="L33" i="42459"/>
  <c r="C37" i="42459"/>
  <c r="D37" i="42459"/>
  <c r="C40" i="42459"/>
  <c r="L40" i="42459" s="1"/>
  <c r="D40" i="42459"/>
  <c r="AM98" i="42459"/>
  <c r="AR111" i="42459"/>
  <c r="D11" i="42461"/>
  <c r="C12" i="42461"/>
  <c r="L12" i="42461" s="1"/>
  <c r="D12" i="42461"/>
  <c r="F13" i="42461"/>
  <c r="G13" i="42461"/>
  <c r="K13" i="42461"/>
  <c r="L13" i="42461"/>
  <c r="P13" i="42461"/>
  <c r="Q13" i="42461"/>
  <c r="W15" i="42461"/>
  <c r="Y15" i="42461"/>
  <c r="AA17" i="42461"/>
  <c r="AA18" i="42461"/>
  <c r="AA19" i="42461"/>
  <c r="D20" i="42461"/>
  <c r="AA20" i="42461"/>
  <c r="D21" i="42461"/>
  <c r="AA21" i="42461"/>
  <c r="C23" i="42461"/>
  <c r="D23" i="42461"/>
  <c r="C27" i="42461"/>
  <c r="K27" i="42461" s="1"/>
  <c r="D27" i="42461"/>
  <c r="C28" i="42461"/>
  <c r="D28" i="42461"/>
  <c r="C32" i="42461"/>
  <c r="L32" i="42461" s="1"/>
  <c r="D32" i="42461"/>
  <c r="C33" i="42461"/>
  <c r="D33" i="42461"/>
  <c r="G33" i="42461" s="1"/>
  <c r="L33" i="42461"/>
  <c r="C37" i="42461"/>
  <c r="D37" i="42461"/>
  <c r="C40" i="42461"/>
  <c r="D40" i="42461"/>
  <c r="C47" i="42461"/>
  <c r="K47" i="42461" s="1"/>
  <c r="AM98" i="42461"/>
  <c r="AR111" i="42461"/>
  <c r="C12" i="42464"/>
  <c r="Q12" i="42464" s="1"/>
  <c r="D12" i="42464"/>
  <c r="G12" i="42464" s="1"/>
  <c r="C13" i="42464"/>
  <c r="D13" i="42464"/>
  <c r="G13" i="42464" s="1"/>
  <c r="Q13" i="42464"/>
  <c r="W15" i="42464"/>
  <c r="Y15" i="42464"/>
  <c r="AA17" i="42464"/>
  <c r="AA18" i="42464"/>
  <c r="AA19" i="42464"/>
  <c r="AA20" i="42464"/>
  <c r="AA21" i="42464"/>
  <c r="D22" i="42464"/>
  <c r="C24" i="42464"/>
  <c r="D24" i="42464"/>
  <c r="C28" i="42464"/>
  <c r="D28" i="42464"/>
  <c r="C29" i="42464"/>
  <c r="D29" i="42464"/>
  <c r="C33" i="42464"/>
  <c r="K33" i="42464" s="1"/>
  <c r="D33" i="42464"/>
  <c r="C34" i="42464"/>
  <c r="D34" i="42464"/>
  <c r="G34" i="42464" s="1"/>
  <c r="L34" i="42464"/>
  <c r="C38" i="42464"/>
  <c r="L38" i="42464" s="1"/>
  <c r="D38" i="42464"/>
  <c r="C41" i="42464"/>
  <c r="D41" i="42464"/>
  <c r="C48" i="42464"/>
  <c r="L48" i="42464" s="1"/>
  <c r="AM99" i="42464"/>
  <c r="AR112" i="42464"/>
  <c r="C12" i="42467"/>
  <c r="K12" i="42467" s="1"/>
  <c r="D12" i="42467"/>
  <c r="G12" i="42467" s="1"/>
  <c r="C13" i="42467"/>
  <c r="L13" i="42467" s="1"/>
  <c r="D13" i="42467"/>
  <c r="G13" i="42467" s="1"/>
  <c r="W15" i="42467"/>
  <c r="Y15" i="42467"/>
  <c r="AA17" i="42467"/>
  <c r="AA18" i="42467"/>
  <c r="AA19" i="42467"/>
  <c r="AA20" i="42467"/>
  <c r="AA21" i="42467"/>
  <c r="D22" i="42467"/>
  <c r="C24" i="42467"/>
  <c r="L24" i="42467" s="1"/>
  <c r="D24" i="42467"/>
  <c r="C28" i="42467"/>
  <c r="D28" i="42467"/>
  <c r="C29" i="42467"/>
  <c r="K29" i="42467" s="1"/>
  <c r="D29" i="42467"/>
  <c r="C33" i="42467"/>
  <c r="D33" i="42467"/>
  <c r="C34" i="42467"/>
  <c r="K34" i="42467" s="1"/>
  <c r="D34" i="42467"/>
  <c r="L34" i="42467"/>
  <c r="C38" i="42467"/>
  <c r="K38" i="42467" s="1"/>
  <c r="D38" i="42467"/>
  <c r="C41" i="42467"/>
  <c r="D41" i="42467"/>
  <c r="G41" i="42467" s="1"/>
  <c r="C48" i="42467"/>
  <c r="K48" i="42467" s="1"/>
  <c r="D48" i="42467"/>
  <c r="I50" i="42467"/>
  <c r="I51" i="42467"/>
  <c r="I52" i="42467"/>
  <c r="I53" i="42467"/>
  <c r="I54" i="42467"/>
  <c r="I55" i="42467"/>
  <c r="AM99" i="42467"/>
  <c r="AR112" i="42467"/>
  <c r="C12" i="42468"/>
  <c r="K12" i="42468" s="1"/>
  <c r="D12" i="42468"/>
  <c r="C13" i="42468"/>
  <c r="L13" i="42468" s="1"/>
  <c r="D13" i="42468"/>
  <c r="G13" i="42468" s="1"/>
  <c r="W15" i="42468"/>
  <c r="Y15" i="42468"/>
  <c r="AA17" i="42468"/>
  <c r="AA18" i="42468"/>
  <c r="AA19" i="42468"/>
  <c r="AA20" i="42468"/>
  <c r="AA21" i="42468"/>
  <c r="D22" i="42468"/>
  <c r="C24" i="42468"/>
  <c r="L24" i="42468" s="1"/>
  <c r="D24" i="42468"/>
  <c r="C28" i="42468"/>
  <c r="D28" i="42468"/>
  <c r="C29" i="42468"/>
  <c r="L29" i="42468" s="1"/>
  <c r="D29" i="42468"/>
  <c r="C33" i="42468"/>
  <c r="D33" i="42468"/>
  <c r="C34" i="42468"/>
  <c r="D34" i="42468"/>
  <c r="G34" i="42468" s="1"/>
  <c r="L34" i="42468"/>
  <c r="C38" i="42468"/>
  <c r="L38" i="42468" s="1"/>
  <c r="D38" i="42468"/>
  <c r="C41" i="42468"/>
  <c r="L41" i="42468" s="1"/>
  <c r="D41" i="42468"/>
  <c r="G41" i="42468" s="1"/>
  <c r="C48" i="42468"/>
  <c r="L48" i="42468" s="1"/>
  <c r="AM99" i="42468"/>
  <c r="AR112" i="42468"/>
  <c r="C12" i="42471"/>
  <c r="D12" i="42471"/>
  <c r="G12" i="42471" s="1"/>
  <c r="L12" i="42471"/>
  <c r="Q12" i="42471"/>
  <c r="C13" i="42471"/>
  <c r="D13" i="42471"/>
  <c r="G13" i="42471" s="1"/>
  <c r="L13" i="42471"/>
  <c r="Q13" i="42471"/>
  <c r="W15" i="42471"/>
  <c r="Y15" i="42471"/>
  <c r="AA17" i="42471"/>
  <c r="AA18" i="42471"/>
  <c r="AA19" i="42471"/>
  <c r="AA20" i="42471"/>
  <c r="D22" i="42471"/>
  <c r="C24" i="42471"/>
  <c r="D24" i="42471"/>
  <c r="C28" i="42471"/>
  <c r="K28" i="42471" s="1"/>
  <c r="D28" i="42471"/>
  <c r="C29" i="42471"/>
  <c r="D29" i="42471"/>
  <c r="C33" i="42471"/>
  <c r="L33" i="42471" s="1"/>
  <c r="D33" i="42471"/>
  <c r="C34" i="42471"/>
  <c r="K34" i="42471" s="1"/>
  <c r="D34" i="42471"/>
  <c r="L34" i="42471"/>
  <c r="C38" i="42471"/>
  <c r="L38" i="42471" s="1"/>
  <c r="D38" i="42471"/>
  <c r="C41" i="42471"/>
  <c r="D41" i="42471"/>
  <c r="G41" i="42471" s="1"/>
  <c r="L41" i="42471"/>
  <c r="C48" i="42471"/>
  <c r="D48" i="42471"/>
  <c r="AM98" i="42471"/>
  <c r="AR111" i="42471"/>
  <c r="C12" i="42473"/>
  <c r="P12" i="42473" s="1"/>
  <c r="D12" i="42473"/>
  <c r="G12" i="42473" s="1"/>
  <c r="L12" i="42473"/>
  <c r="Q12" i="42473"/>
  <c r="C13" i="42473"/>
  <c r="D13" i="42473"/>
  <c r="G13" i="42473" s="1"/>
  <c r="L13" i="42473"/>
  <c r="Q13" i="42473"/>
  <c r="W15" i="42473"/>
  <c r="Y15" i="42473"/>
  <c r="AA17" i="42473"/>
  <c r="AA18" i="42473"/>
  <c r="AA19" i="42473"/>
  <c r="AA20" i="42473"/>
  <c r="C22" i="42473"/>
  <c r="C24" i="42473"/>
  <c r="K24" i="42473" s="1"/>
  <c r="D24" i="42473"/>
  <c r="C28" i="42473"/>
  <c r="K28" i="42473" s="1"/>
  <c r="D28" i="42473"/>
  <c r="C29" i="42473"/>
  <c r="K29" i="42473" s="1"/>
  <c r="D29" i="42473"/>
  <c r="C33" i="42473"/>
  <c r="L33" i="42473" s="1"/>
  <c r="D33" i="42473"/>
  <c r="C34" i="42473"/>
  <c r="D34" i="42473"/>
  <c r="L34" i="42473"/>
  <c r="C38" i="42473"/>
  <c r="K38" i="42473" s="1"/>
  <c r="D38" i="42473"/>
  <c r="C41" i="42473"/>
  <c r="D41" i="42473"/>
  <c r="G41" i="42473" s="1"/>
  <c r="L41" i="42473"/>
  <c r="C48" i="42473"/>
  <c r="L48" i="42473" s="1"/>
  <c r="D48" i="42473"/>
  <c r="AM98" i="42473"/>
  <c r="AR111" i="42473"/>
  <c r="C12" i="42474"/>
  <c r="D12" i="42474"/>
  <c r="G12" i="42474" s="1"/>
  <c r="L12" i="42474"/>
  <c r="Q12" i="42474"/>
  <c r="C13" i="42474"/>
  <c r="P13" i="42474" s="1"/>
  <c r="D13" i="42474"/>
  <c r="G13" i="42474" s="1"/>
  <c r="L13" i="42474"/>
  <c r="Q13" i="42474"/>
  <c r="W15" i="42474"/>
  <c r="Y15" i="42474"/>
  <c r="AA17" i="42474"/>
  <c r="AA18" i="42474"/>
  <c r="AA19" i="42474"/>
  <c r="AA20" i="42474"/>
  <c r="C24" i="42474"/>
  <c r="D24" i="42474"/>
  <c r="C28" i="42474"/>
  <c r="K28" i="42474" s="1"/>
  <c r="D28" i="42474"/>
  <c r="C29" i="42474"/>
  <c r="L29" i="42474" s="1"/>
  <c r="D29" i="42474"/>
  <c r="D34" i="42474"/>
  <c r="C35" i="42474"/>
  <c r="K35" i="42474" s="1"/>
  <c r="D35" i="42474"/>
  <c r="G35" i="42474" s="1"/>
  <c r="L35" i="42474"/>
  <c r="C40" i="42474"/>
  <c r="L40" i="42474" s="1"/>
  <c r="D40" i="42474"/>
  <c r="C43" i="42474"/>
  <c r="K43" i="42474" s="1"/>
  <c r="D43" i="42474"/>
  <c r="G43" i="42474" s="1"/>
  <c r="L43" i="42474"/>
  <c r="I49" i="42474"/>
  <c r="C50" i="42474"/>
  <c r="L50" i="42474" s="1"/>
  <c r="D50" i="42474"/>
  <c r="I52" i="42474"/>
  <c r="I53" i="42474"/>
  <c r="I54" i="42474"/>
  <c r="I55" i="42474"/>
  <c r="I56" i="42474"/>
  <c r="AM100" i="42474"/>
  <c r="AR113" i="42474"/>
  <c r="C12" i="42475"/>
  <c r="K12" i="42475" s="1"/>
  <c r="D12" i="42475"/>
  <c r="G12" i="42475" s="1"/>
  <c r="L12" i="42475"/>
  <c r="Q12" i="42475"/>
  <c r="C13" i="42475"/>
  <c r="P13" i="42475" s="1"/>
  <c r="D13" i="42475"/>
  <c r="G13" i="42475" s="1"/>
  <c r="L13" i="42475"/>
  <c r="Q13" i="42475"/>
  <c r="W15" i="42475"/>
  <c r="Y15" i="42475"/>
  <c r="AA17" i="42475"/>
  <c r="AA18" i="42475"/>
  <c r="AA19" i="42475"/>
  <c r="AA20" i="42475"/>
  <c r="C24" i="42475"/>
  <c r="D24" i="42475"/>
  <c r="C28" i="42475"/>
  <c r="L28" i="42475" s="1"/>
  <c r="D28" i="42475"/>
  <c r="C29" i="42475"/>
  <c r="D29" i="42475"/>
  <c r="D34" i="42475"/>
  <c r="C35" i="42475"/>
  <c r="K35" i="42475" s="1"/>
  <c r="D35" i="42475"/>
  <c r="G35" i="42475" s="1"/>
  <c r="L35" i="42475"/>
  <c r="C40" i="42475"/>
  <c r="K40" i="42475" s="1"/>
  <c r="D40" i="42475"/>
  <c r="C43" i="42475"/>
  <c r="K43" i="42475" s="1"/>
  <c r="D43" i="42475"/>
  <c r="G43" i="42475" s="1"/>
  <c r="L43" i="42475"/>
  <c r="C50" i="42475"/>
  <c r="K50" i="42475" s="1"/>
  <c r="D50" i="42475"/>
  <c r="AM100" i="42475"/>
  <c r="AR113" i="42475"/>
  <c r="C6" i="42425"/>
  <c r="H6" i="42425"/>
  <c r="I6" i="42425"/>
  <c r="J6" i="42425" s="1"/>
  <c r="K6" i="42425"/>
  <c r="C7" i="42425"/>
  <c r="H7" i="42425"/>
  <c r="I7" i="42425"/>
  <c r="K7" i="42425"/>
  <c r="C8" i="42425"/>
  <c r="H8" i="42425"/>
  <c r="K8" i="42425"/>
  <c r="C9" i="42425"/>
  <c r="H9" i="42425"/>
  <c r="I9" i="42425"/>
  <c r="K9" i="42425"/>
  <c r="C10" i="42425"/>
  <c r="H10" i="42425"/>
  <c r="I10" i="42425"/>
  <c r="K10" i="42425"/>
  <c r="C11" i="42425"/>
  <c r="H11" i="42425"/>
  <c r="I11" i="42425"/>
  <c r="K11" i="42425"/>
  <c r="J14" i="42425"/>
  <c r="J16" i="42425"/>
  <c r="J18" i="42425"/>
  <c r="BW127" i="42425"/>
  <c r="BY127" i="42425"/>
  <c r="BL128" i="42425"/>
  <c r="BM128" i="42425"/>
  <c r="BN128" i="42425"/>
  <c r="BN130" i="42425" s="1"/>
  <c r="BO128" i="42425"/>
  <c r="BP128" i="42425"/>
  <c r="BQ128" i="42425"/>
  <c r="BQ130" i="42425" s="1"/>
  <c r="BT128" i="42425"/>
  <c r="BT130" i="42425" s="1"/>
  <c r="BU128" i="42425"/>
  <c r="BU130" i="42425" s="1"/>
  <c r="BV128" i="42425"/>
  <c r="BV130" i="42425" s="1"/>
  <c r="BW128" i="42425"/>
  <c r="BP129" i="42425"/>
  <c r="BP133" i="42425" s="1"/>
  <c r="BW129" i="42425"/>
  <c r="BY129" i="42425"/>
  <c r="BG130" i="42425"/>
  <c r="BH130" i="42425"/>
  <c r="BI130" i="42425"/>
  <c r="BJ130" i="42425"/>
  <c r="BK130" i="42425"/>
  <c r="BW130" i="42425" s="1"/>
  <c r="BS130" i="42425"/>
  <c r="BH132" i="42425"/>
  <c r="BI132" i="42425"/>
  <c r="BJ132" i="42425"/>
  <c r="BK132" i="42425"/>
  <c r="BW132" i="42425" s="1"/>
  <c r="BH133" i="42425"/>
  <c r="BI133" i="42425"/>
  <c r="BJ133" i="42425"/>
  <c r="BK133" i="42425"/>
  <c r="BL133" i="42425"/>
  <c r="BM133" i="42425"/>
  <c r="BY133" i="42425" s="1"/>
  <c r="BN133" i="42425"/>
  <c r="BO133" i="42425"/>
  <c r="BQ133" i="42425"/>
  <c r="BW133" i="42425"/>
  <c r="BX133" i="42425"/>
  <c r="BO135" i="42425"/>
  <c r="BQ135" i="42425"/>
  <c r="BW135" i="42425"/>
  <c r="BY135" i="42425"/>
  <c r="BL136" i="42425"/>
  <c r="BX136" i="42425" s="1"/>
  <c r="BX138" i="42425" s="1"/>
  <c r="BM136" i="42425"/>
  <c r="BN136" i="42425"/>
  <c r="BN138" i="42425" s="1"/>
  <c r="BO136" i="42425"/>
  <c r="BO138" i="42425" s="1"/>
  <c r="BP136" i="42425"/>
  <c r="BQ136" i="42425"/>
  <c r="BT136" i="42425"/>
  <c r="BT138" i="42425" s="1"/>
  <c r="BU136" i="42425"/>
  <c r="BU138" i="42425" s="1"/>
  <c r="BV136" i="42425"/>
  <c r="BW136" i="42425"/>
  <c r="BP137" i="42425"/>
  <c r="BW137" i="42425"/>
  <c r="BY137" i="42425"/>
  <c r="BG138" i="42425"/>
  <c r="BH138" i="42425"/>
  <c r="BI138" i="42425"/>
  <c r="BJ138" i="42425"/>
  <c r="BK138" i="42425"/>
  <c r="BW138" i="42425" s="1"/>
  <c r="BS138" i="42425"/>
  <c r="BH140" i="42425"/>
  <c r="BI140" i="42425"/>
  <c r="BJ140" i="42425"/>
  <c r="BK140" i="42425"/>
  <c r="BW140" i="42425" s="1"/>
  <c r="BH141" i="42425"/>
  <c r="BI141" i="42425"/>
  <c r="BJ141" i="42425"/>
  <c r="BK141" i="42425"/>
  <c r="BW141" i="42425" s="1"/>
  <c r="BL141" i="42425"/>
  <c r="BM141" i="42425"/>
  <c r="BN141" i="42425"/>
  <c r="BO141" i="42425"/>
  <c r="BP141" i="42425"/>
  <c r="BQ141" i="42425"/>
  <c r="BX141" i="42425"/>
  <c r="BY141" i="42425"/>
  <c r="BO143" i="42425"/>
  <c r="BQ143" i="42425"/>
  <c r="BW143" i="42425"/>
  <c r="BY143" i="42425"/>
  <c r="BL144" i="42425"/>
  <c r="BX144" i="42425" s="1"/>
  <c r="BM144" i="42425"/>
  <c r="BM146" i="42425" s="1"/>
  <c r="BY146" i="42425" s="1"/>
  <c r="BN144" i="42425"/>
  <c r="BO144" i="42425"/>
  <c r="BO146" i="42425" s="1"/>
  <c r="BP144" i="42425"/>
  <c r="BQ144" i="42425"/>
  <c r="BT144" i="42425"/>
  <c r="BU144" i="42425"/>
  <c r="BU146" i="42425" s="1"/>
  <c r="BV144" i="42425"/>
  <c r="BV146" i="42425" s="1"/>
  <c r="BW144" i="42425"/>
  <c r="BP145" i="42425"/>
  <c r="BP170" i="42425" s="1"/>
  <c r="BP174" i="42425" s="1"/>
  <c r="BW145" i="42425"/>
  <c r="BY145" i="42425"/>
  <c r="BG146" i="42425"/>
  <c r="BH146" i="42425"/>
  <c r="BI146" i="42425"/>
  <c r="BJ146" i="42425"/>
  <c r="BK146" i="42425"/>
  <c r="BW146" i="42425" s="1"/>
  <c r="BS146" i="42425"/>
  <c r="BH148" i="42425"/>
  <c r="BI148" i="42425"/>
  <c r="BJ148" i="42425"/>
  <c r="BK148" i="42425"/>
  <c r="BW148" i="42425" s="1"/>
  <c r="BH149" i="42425"/>
  <c r="BI149" i="42425"/>
  <c r="BJ149" i="42425"/>
  <c r="BK149" i="42425"/>
  <c r="BW149" i="42425" s="1"/>
  <c r="BL149" i="42425"/>
  <c r="BM149" i="42425"/>
  <c r="BY149" i="42425" s="1"/>
  <c r="BN149" i="42425"/>
  <c r="BO149" i="42425"/>
  <c r="BQ149" i="42425"/>
  <c r="BX149" i="42425"/>
  <c r="BO151" i="42425"/>
  <c r="BQ151" i="42425"/>
  <c r="BW151" i="42425"/>
  <c r="BY151" i="42425"/>
  <c r="BL152" i="42425"/>
  <c r="BM152" i="42425"/>
  <c r="BY152" i="42425" s="1"/>
  <c r="BN152" i="42425"/>
  <c r="BO152" i="42425"/>
  <c r="BO156" i="42425" s="1"/>
  <c r="BP152" i="42425"/>
  <c r="BQ152" i="42425"/>
  <c r="BQ154" i="42425" s="1"/>
  <c r="BT152" i="42425"/>
  <c r="BT154" i="42425" s="1"/>
  <c r="BU152" i="42425"/>
  <c r="BU154" i="42425" s="1"/>
  <c r="BV152" i="42425"/>
  <c r="BV154" i="42425" s="1"/>
  <c r="BW152" i="42425"/>
  <c r="BP153" i="42425"/>
  <c r="BW153" i="42425"/>
  <c r="BY153" i="42425"/>
  <c r="BG154" i="42425"/>
  <c r="BH154" i="42425"/>
  <c r="BI154" i="42425"/>
  <c r="BJ154" i="42425"/>
  <c r="BK154" i="42425"/>
  <c r="BW154" i="42425" s="1"/>
  <c r="BS154" i="42425"/>
  <c r="BH156" i="42425"/>
  <c r="BI156" i="42425"/>
  <c r="BJ156" i="42425"/>
  <c r="BK156" i="42425"/>
  <c r="BW156" i="42425"/>
  <c r="BH157" i="42425"/>
  <c r="BI157" i="42425"/>
  <c r="BJ157" i="42425"/>
  <c r="BK157" i="42425"/>
  <c r="BW157" i="42425" s="1"/>
  <c r="BL157" i="42425"/>
  <c r="BM157" i="42425"/>
  <c r="BN157" i="42425"/>
  <c r="BO157" i="42425"/>
  <c r="BP157" i="42425"/>
  <c r="BQ157" i="42425"/>
  <c r="BX157" i="42425"/>
  <c r="BY157" i="42425"/>
  <c r="BO159" i="42425"/>
  <c r="BQ159" i="42425"/>
  <c r="BW159" i="42425"/>
  <c r="BY159" i="42425"/>
  <c r="BL160" i="42425"/>
  <c r="BN160" i="42425"/>
  <c r="BO160" i="42425"/>
  <c r="BO162" i="42425" s="1"/>
  <c r="BP160" i="42425"/>
  <c r="BP162" i="42425" s="1"/>
  <c r="BT160" i="42425"/>
  <c r="BT162" i="42425" s="1"/>
  <c r="BU160" i="42425"/>
  <c r="BV160" i="42425"/>
  <c r="BV162" i="42425" s="1"/>
  <c r="BW160" i="42425"/>
  <c r="BY160" i="42425"/>
  <c r="BW161" i="42425"/>
  <c r="BY161" i="42425"/>
  <c r="BG162" i="42425"/>
  <c r="BH162" i="42425"/>
  <c r="BI162" i="42425"/>
  <c r="BJ162" i="42425"/>
  <c r="BK162" i="42425"/>
  <c r="BW162" i="42425" s="1"/>
  <c r="BL162" i="42425"/>
  <c r="BS162" i="42425"/>
  <c r="BY162" i="42425"/>
  <c r="BH164" i="42425"/>
  <c r="BI164" i="42425"/>
  <c r="BJ164" i="42425"/>
  <c r="BK164" i="42425"/>
  <c r="BW164" i="42425" s="1"/>
  <c r="BH165" i="42425"/>
  <c r="BI165" i="42425"/>
  <c r="BJ165" i="42425"/>
  <c r="BK165" i="42425"/>
  <c r="BW165" i="42425" s="1"/>
  <c r="BL165" i="42425"/>
  <c r="BX165" i="42425" s="1"/>
  <c r="BM165" i="42425"/>
  <c r="BN165" i="42425"/>
  <c r="BO165" i="42425"/>
  <c r="BP165" i="42425"/>
  <c r="BO168" i="42425"/>
  <c r="BQ168" i="42425"/>
  <c r="BW168" i="42425"/>
  <c r="BY168" i="42425"/>
  <c r="BG169" i="42425"/>
  <c r="BH169" i="42425"/>
  <c r="BI169" i="42425"/>
  <c r="BI171" i="42425" s="1"/>
  <c r="BI175" i="42425" s="1"/>
  <c r="BJ169" i="42425"/>
  <c r="BK169" i="42425"/>
  <c r="BW169" i="42425" s="1"/>
  <c r="BS169" i="42425"/>
  <c r="BG170" i="42425"/>
  <c r="BH174" i="42425" s="1"/>
  <c r="BH170" i="42425"/>
  <c r="BI170" i="42425"/>
  <c r="BJ170" i="42425"/>
  <c r="BK170" i="42425"/>
  <c r="BW170" i="42425" s="1"/>
  <c r="BL170" i="42425"/>
  <c r="BM170" i="42425"/>
  <c r="BY170" i="42425" s="1"/>
  <c r="BN170" i="42425"/>
  <c r="BO170" i="42425"/>
  <c r="BO174" i="42425" s="1"/>
  <c r="BQ170" i="42425"/>
  <c r="BS170" i="42425"/>
  <c r="BT170" i="42425"/>
  <c r="BL174" i="42425" s="1"/>
  <c r="BX174" i="42425" s="1"/>
  <c r="BU170" i="42425"/>
  <c r="BV170" i="42425"/>
  <c r="BX170" i="42425"/>
  <c r="BH171" i="42425"/>
  <c r="BJ171" i="42425"/>
  <c r="BJ175" i="42425" s="1"/>
  <c r="BS171" i="42425"/>
  <c r="BH173" i="42425"/>
  <c r="BI173" i="42425"/>
  <c r="BK173" i="42425"/>
  <c r="BW173" i="42425" s="1"/>
  <c r="BI174" i="42425"/>
  <c r="BJ174" i="42425"/>
  <c r="BM174" i="42425"/>
  <c r="BY174" i="42425" s="1"/>
  <c r="BN174" i="42425"/>
  <c r="BT216" i="42425"/>
  <c r="BU216" i="42425"/>
  <c r="BV216" i="42425"/>
  <c r="BW216" i="42425"/>
  <c r="BX216" i="42425"/>
  <c r="BY216" i="42425"/>
  <c r="BZ216" i="42425"/>
  <c r="CA216" i="42425"/>
  <c r="CB216" i="42425"/>
  <c r="CC216" i="42425"/>
  <c r="CD216" i="42425"/>
  <c r="CE216" i="42425"/>
  <c r="CF216" i="42425"/>
  <c r="CG216" i="42425"/>
  <c r="CH216" i="42425"/>
  <c r="CI216" i="42425"/>
  <c r="CJ216" i="42425"/>
  <c r="CK216" i="42425"/>
  <c r="CL216" i="42425"/>
  <c r="CO301" i="42425"/>
  <c r="CP301" i="42425"/>
  <c r="CQ301" i="42425"/>
  <c r="CQ302" i="42425" s="1"/>
  <c r="CR301" i="42425"/>
  <c r="CS301" i="42425"/>
  <c r="CT301" i="42425"/>
  <c r="CU301" i="42425"/>
  <c r="CV301" i="42425"/>
  <c r="CW301" i="42425"/>
  <c r="CX301" i="42425"/>
  <c r="CY301" i="42425"/>
  <c r="CZ301" i="42425"/>
  <c r="DA301" i="42425"/>
  <c r="DB301" i="42425"/>
  <c r="DC301" i="42425"/>
  <c r="DD301" i="42425"/>
  <c r="DE301" i="42425"/>
  <c r="DF301" i="42425"/>
  <c r="DF305" i="42425" s="1"/>
  <c r="DG301" i="42425"/>
  <c r="DH301" i="42425"/>
  <c r="DI301" i="42425"/>
  <c r="DJ301" i="42425"/>
  <c r="DK301" i="42425"/>
  <c r="DL301" i="42425"/>
  <c r="DS332" i="42425"/>
  <c r="DT332" i="42425" s="1"/>
  <c r="DU332" i="42425" s="1"/>
  <c r="DS337" i="42425"/>
  <c r="DT337" i="42425"/>
  <c r="DU337" i="42425"/>
  <c r="DY333" i="42425" s="1"/>
  <c r="EC333" i="42425" s="1"/>
  <c r="EG412" i="42425"/>
  <c r="EK412" i="42425"/>
  <c r="EL412" i="42425" s="1"/>
  <c r="EL427" i="42425" s="1"/>
  <c r="EM412" i="42425"/>
  <c r="EN412" i="42425"/>
  <c r="EO412" i="42425"/>
  <c r="EP412" i="42425"/>
  <c r="ER412" i="42425"/>
  <c r="EG413" i="42425"/>
  <c r="EL413" i="42425"/>
  <c r="EQ413" i="42425"/>
  <c r="EG414" i="42425"/>
  <c r="EL414" i="42425"/>
  <c r="EQ414" i="42425"/>
  <c r="EQ429" i="42425" s="1"/>
  <c r="EG417" i="42425"/>
  <c r="EK417" i="42425"/>
  <c r="EL417" i="42425"/>
  <c r="EM417" i="42425"/>
  <c r="EM427" i="42425" s="1"/>
  <c r="EN417" i="42425"/>
  <c r="EO417" i="42425"/>
  <c r="EP417" i="42425"/>
  <c r="ER417" i="42425"/>
  <c r="ER422" i="42425" s="1"/>
  <c r="EG418" i="42425"/>
  <c r="EL418" i="42425"/>
  <c r="EQ418" i="42425"/>
  <c r="EG419" i="42425"/>
  <c r="EG429" i="42425" s="1"/>
  <c r="EL419" i="42425"/>
  <c r="EQ419" i="42425"/>
  <c r="EO422" i="42425"/>
  <c r="EP422" i="42425"/>
  <c r="EH423" i="42425"/>
  <c r="EI423" i="42425"/>
  <c r="EJ423" i="42425"/>
  <c r="EK423" i="42425"/>
  <c r="EL423" i="42425"/>
  <c r="EM423" i="42425"/>
  <c r="EN423" i="42425"/>
  <c r="EO423" i="42425"/>
  <c r="EP423" i="42425"/>
  <c r="EQ423" i="42425"/>
  <c r="ER423" i="42425"/>
  <c r="EH424" i="42425"/>
  <c r="EI424" i="42425"/>
  <c r="EJ424" i="42425"/>
  <c r="EK424" i="42425"/>
  <c r="EL424" i="42425"/>
  <c r="EM424" i="42425"/>
  <c r="EN424" i="42425"/>
  <c r="EO424" i="42425"/>
  <c r="EP424" i="42425"/>
  <c r="EQ424" i="42425"/>
  <c r="ER424" i="42425"/>
  <c r="EJ427" i="42425"/>
  <c r="EK427" i="42425"/>
  <c r="EN427" i="42425"/>
  <c r="EO427" i="42425"/>
  <c r="EP427" i="42425"/>
  <c r="EC428" i="42425"/>
  <c r="ED428" i="42425"/>
  <c r="EE428" i="42425"/>
  <c r="EF428" i="42425"/>
  <c r="EG428" i="42425"/>
  <c r="EH428" i="42425"/>
  <c r="EI428" i="42425"/>
  <c r="EJ428" i="42425"/>
  <c r="EK428" i="42425"/>
  <c r="EL428" i="42425"/>
  <c r="EM428" i="42425"/>
  <c r="EN428" i="42425"/>
  <c r="EO428" i="42425"/>
  <c r="EP428" i="42425"/>
  <c r="EQ428" i="42425"/>
  <c r="ER428" i="42425"/>
  <c r="EC429" i="42425"/>
  <c r="ED429" i="42425"/>
  <c r="EE429" i="42425"/>
  <c r="EF429" i="42425"/>
  <c r="EH429" i="42425"/>
  <c r="EI429" i="42425"/>
  <c r="EJ429" i="42425"/>
  <c r="EK429" i="42425"/>
  <c r="EL429" i="42425"/>
  <c r="EM429" i="42425"/>
  <c r="EN429" i="42425"/>
  <c r="EO429" i="42425"/>
  <c r="EP429" i="42425"/>
  <c r="ER429" i="42425"/>
  <c r="EW448" i="42425"/>
  <c r="FA448" i="42425"/>
  <c r="EW454" i="42425"/>
  <c r="FA454" i="42425"/>
  <c r="FD462" i="42425"/>
  <c r="FE462" i="42425"/>
  <c r="FF462" i="42425"/>
  <c r="FG462" i="42425"/>
  <c r="FH462" i="42425"/>
  <c r="FI462" i="42425"/>
  <c r="FJ462" i="42425"/>
  <c r="FK462" i="42425"/>
  <c r="FL462" i="42425"/>
  <c r="FM462" i="42425"/>
  <c r="FO462" i="42425"/>
  <c r="FP462" i="42425"/>
  <c r="FQ462" i="42425"/>
  <c r="FU486" i="42425"/>
  <c r="FU515" i="42425" s="1"/>
  <c r="FW504" i="42425"/>
  <c r="FW505" i="42425"/>
  <c r="FW506" i="42425"/>
  <c r="FW507" i="42425" s="1"/>
  <c r="FV507" i="42425" s="1"/>
  <c r="FU507" i="42425"/>
  <c r="FU518" i="42425" s="1"/>
  <c r="FV518" i="42425" s="1"/>
  <c r="FV516" i="42425"/>
  <c r="FZ555" i="42425"/>
  <c r="GA555" i="42425" s="1"/>
  <c r="GJ562" i="42425"/>
  <c r="GK562" i="42425" s="1"/>
  <c r="GC565" i="42425"/>
  <c r="GE565" i="42425"/>
  <c r="GD567" i="42425"/>
  <c r="GC568" i="42425"/>
  <c r="GC572" i="42425" s="1"/>
  <c r="GC578" i="42425" s="1"/>
  <c r="GE568" i="42425"/>
  <c r="GC569" i="42425"/>
  <c r="GE569" i="42425"/>
  <c r="GD571" i="42425"/>
  <c r="GD577" i="42425" s="1"/>
  <c r="GD572" i="42425"/>
  <c r="GE572" i="42425"/>
  <c r="GE578" i="42425" s="1"/>
  <c r="GD573" i="42425"/>
  <c r="GD579" i="42425" s="1"/>
  <c r="GD578" i="42425"/>
  <c r="GC587" i="42425"/>
  <c r="GD587" i="42425"/>
  <c r="GE587" i="42425"/>
  <c r="GC598" i="42425"/>
  <c r="GD598" i="42425"/>
  <c r="GE598" i="42425"/>
  <c r="GS641" i="42425"/>
  <c r="GS640" i="42425" s="1"/>
  <c r="GT641" i="42425"/>
  <c r="GU641" i="42425"/>
  <c r="GU640" i="42425" s="1"/>
  <c r="GS673" i="42425"/>
  <c r="GT673" i="42425"/>
  <c r="GU673" i="42425"/>
  <c r="GS709" i="42425"/>
  <c r="GT709" i="42425"/>
  <c r="GU709" i="42425"/>
  <c r="GS716" i="42425"/>
  <c r="GT716" i="42425"/>
  <c r="GU716" i="42425"/>
  <c r="GS725" i="42425"/>
  <c r="GT725" i="42425"/>
  <c r="GU725" i="42425"/>
  <c r="GS739" i="42425"/>
  <c r="GT739" i="42425"/>
  <c r="GU739" i="42425"/>
  <c r="GS753" i="42425"/>
  <c r="GT753" i="42425"/>
  <c r="GU753" i="42425"/>
  <c r="GS767" i="42425"/>
  <c r="GT767" i="42425"/>
  <c r="GU767" i="42425"/>
  <c r="GS781" i="42425"/>
  <c r="GT781" i="42425"/>
  <c r="GU781" i="42425"/>
  <c r="HC799" i="42425"/>
  <c r="HC800" i="42425"/>
  <c r="HC801" i="42425"/>
  <c r="HC802" i="42425"/>
  <c r="HC803" i="42425"/>
  <c r="HC805" i="42425"/>
  <c r="HB807" i="42425"/>
  <c r="HB811" i="42425"/>
  <c r="HV836" i="42425"/>
  <c r="HU836" i="42425" s="1"/>
  <c r="HT836" i="42425" s="1"/>
  <c r="HS836" i="42425" s="1"/>
  <c r="IC837" i="42425"/>
  <c r="IH837" i="42425"/>
  <c r="IH840" i="42425" s="1"/>
  <c r="IC838" i="42425"/>
  <c r="IH838" i="42425"/>
  <c r="HS840" i="42425"/>
  <c r="HT840" i="42425"/>
  <c r="HU840" i="42425"/>
  <c r="HV840" i="42425"/>
  <c r="HW840" i="42425"/>
  <c r="HX840" i="42425"/>
  <c r="HY840" i="42425"/>
  <c r="HZ840" i="42425"/>
  <c r="IA840" i="42425"/>
  <c r="IB840" i="42425"/>
  <c r="IC840" i="42425"/>
  <c r="ID840" i="42425"/>
  <c r="IE840" i="42425"/>
  <c r="IF840" i="42425"/>
  <c r="IG840" i="42425"/>
  <c r="II840" i="42425"/>
  <c r="IJ840" i="42425"/>
  <c r="HS841" i="42425"/>
  <c r="HT841" i="42425"/>
  <c r="HU841" i="42425"/>
  <c r="HV841" i="42425"/>
  <c r="HV842" i="42425" s="1"/>
  <c r="HW841" i="42425"/>
  <c r="HX841" i="42425"/>
  <c r="HY841" i="42425"/>
  <c r="HZ841" i="42425"/>
  <c r="IE842" i="42425" s="1"/>
  <c r="IA841" i="42425"/>
  <c r="IB841" i="42425"/>
  <c r="IC841" i="42425"/>
  <c r="ID841" i="42425"/>
  <c r="ID842" i="42425" s="1"/>
  <c r="IE841" i="42425"/>
  <c r="IF841" i="42425"/>
  <c r="IG841" i="42425"/>
  <c r="IH841" i="42425"/>
  <c r="IH842" i="42425" s="1"/>
  <c r="II841" i="42425"/>
  <c r="IJ841" i="42425"/>
  <c r="HT842" i="42425"/>
  <c r="HU842" i="42425"/>
  <c r="HX842" i="42425"/>
  <c r="IC842" i="42425"/>
  <c r="IF842" i="42425"/>
  <c r="IG842" i="42425"/>
  <c r="IJ842" i="42425"/>
  <c r="IC844" i="42425"/>
  <c r="IC847" i="42425" s="1"/>
  <c r="IH844" i="42425"/>
  <c r="IC845" i="42425"/>
  <c r="IH845" i="42425"/>
  <c r="HX847" i="42425"/>
  <c r="HY847" i="42425"/>
  <c r="HZ847" i="42425"/>
  <c r="IA847" i="42425"/>
  <c r="IB847" i="42425"/>
  <c r="ID847" i="42425"/>
  <c r="IE847" i="42425"/>
  <c r="IF847" i="42425"/>
  <c r="IG847" i="42425"/>
  <c r="IH847" i="42425"/>
  <c r="II847" i="42425"/>
  <c r="IJ847" i="42425"/>
  <c r="HX848" i="42425"/>
  <c r="HY848" i="42425"/>
  <c r="HZ848" i="42425"/>
  <c r="IA848" i="42425"/>
  <c r="IF849" i="42425" s="1"/>
  <c r="IB848" i="42425"/>
  <c r="ID848" i="42425"/>
  <c r="IE848" i="42425"/>
  <c r="IJ849" i="42425" s="1"/>
  <c r="IF848" i="42425"/>
  <c r="IG848" i="42425"/>
  <c r="IH848" i="42425"/>
  <c r="II848" i="42425"/>
  <c r="IJ848" i="42425"/>
  <c r="ID849" i="42425"/>
  <c r="IE849" i="42425"/>
  <c r="IG849" i="42425"/>
  <c r="II849" i="42425"/>
  <c r="HX851" i="42425"/>
  <c r="HY851" i="42425"/>
  <c r="HZ851" i="42425"/>
  <c r="HZ854" i="42425" s="1"/>
  <c r="IA851" i="42425"/>
  <c r="IB851" i="42425"/>
  <c r="ID851" i="42425"/>
  <c r="IE851" i="42425"/>
  <c r="IE854" i="42425" s="1"/>
  <c r="IF851" i="42425"/>
  <c r="IG851" i="42425"/>
  <c r="II851" i="42425"/>
  <c r="IJ851" i="42425"/>
  <c r="HX852" i="42425"/>
  <c r="HY852" i="42425"/>
  <c r="HZ852" i="42425"/>
  <c r="IA852" i="42425"/>
  <c r="IA854" i="42425" s="1"/>
  <c r="IB852" i="42425"/>
  <c r="ID852" i="42425"/>
  <c r="IE852" i="42425"/>
  <c r="IF852" i="42425"/>
  <c r="IF854" i="42425" s="1"/>
  <c r="IG852" i="42425"/>
  <c r="II852" i="42425"/>
  <c r="IJ852" i="42425"/>
  <c r="HX854" i="42425"/>
  <c r="HY854" i="42425"/>
  <c r="IB854" i="42425"/>
  <c r="ID854" i="42425"/>
  <c r="IG854" i="42425"/>
  <c r="II854" i="42425"/>
  <c r="HX855" i="42425"/>
  <c r="HY855" i="42425"/>
  <c r="HZ855" i="42425"/>
  <c r="IB855" i="42425"/>
  <c r="ID855" i="42425"/>
  <c r="ID856" i="42425" s="1"/>
  <c r="IE855" i="42425"/>
  <c r="IE856" i="42425" s="1"/>
  <c r="IG855" i="42425"/>
  <c r="IG856" i="42425" s="1"/>
  <c r="II855" i="42425"/>
  <c r="II856" i="42425" s="1"/>
  <c r="IJ855" i="42425"/>
  <c r="IJ856" i="42425" s="1"/>
  <c r="IL863" i="42425"/>
  <c r="IM863" i="42425"/>
  <c r="IN863" i="42425"/>
  <c r="IO863" i="42425"/>
  <c r="IP863" i="42425"/>
  <c r="IQ863" i="42425"/>
  <c r="IR863" i="42425"/>
  <c r="IS863" i="42425"/>
  <c r="IT863" i="42425"/>
  <c r="IU863" i="42425"/>
  <c r="IV863" i="42425"/>
  <c r="IL870" i="42425"/>
  <c r="IM870" i="42425"/>
  <c r="IM876" i="42425" s="1"/>
  <c r="IN870" i="42425"/>
  <c r="IO870" i="42425"/>
  <c r="IP870" i="42425"/>
  <c r="IQ870" i="42425"/>
  <c r="IQ876" i="42425" s="1"/>
  <c r="IR870" i="42425"/>
  <c r="IS870" i="42425"/>
  <c r="IT870" i="42425"/>
  <c r="IU870" i="42425"/>
  <c r="IU876" i="42425" s="1"/>
  <c r="IL871" i="42425"/>
  <c r="IM871" i="42425"/>
  <c r="IN871" i="42425"/>
  <c r="IO871" i="42425"/>
  <c r="IO877" i="42425" s="1"/>
  <c r="IP871" i="42425"/>
  <c r="IQ871" i="42425"/>
  <c r="IR871" i="42425"/>
  <c r="IS871" i="42425"/>
  <c r="IS877" i="42425" s="1"/>
  <c r="IT871" i="42425"/>
  <c r="IU871" i="42425"/>
  <c r="IL872" i="42425"/>
  <c r="IM872" i="42425"/>
  <c r="IM878" i="42425" s="1"/>
  <c r="IM879" i="42425" s="1"/>
  <c r="IN872" i="42425"/>
  <c r="IO872" i="42425"/>
  <c r="IP872" i="42425"/>
  <c r="IL876" i="42425"/>
  <c r="IN876" i="42425"/>
  <c r="IO876" i="42425"/>
  <c r="IP876" i="42425"/>
  <c r="IP879" i="42425" s="1"/>
  <c r="IR876" i="42425"/>
  <c r="IS876" i="42425"/>
  <c r="IT876" i="42425"/>
  <c r="IV876" i="42425"/>
  <c r="IL877" i="42425"/>
  <c r="IM877" i="42425"/>
  <c r="IN877" i="42425"/>
  <c r="IP877" i="42425"/>
  <c r="IQ877" i="42425"/>
  <c r="IR877" i="42425"/>
  <c r="IT877" i="42425"/>
  <c r="IU877" i="42425"/>
  <c r="IV877" i="42425"/>
  <c r="IL878" i="42425"/>
  <c r="IN878" i="42425"/>
  <c r="IO878" i="42425"/>
  <c r="IP878" i="42425"/>
  <c r="IN879" i="42425"/>
  <c r="IO879" i="42425"/>
  <c r="IL884" i="42425"/>
  <c r="IM884" i="42425"/>
  <c r="IN884" i="42425"/>
  <c r="IO884" i="42425"/>
  <c r="IP884" i="42425"/>
  <c r="IQ884" i="42425"/>
  <c r="IR884" i="42425"/>
  <c r="IS884" i="42425"/>
  <c r="IT884" i="42425"/>
  <c r="IU884" i="42425"/>
  <c r="IV884" i="42425"/>
  <c r="IO888" i="42425"/>
  <c r="IP888" i="42425"/>
  <c r="B2" i="42458"/>
  <c r="D18" i="42458"/>
  <c r="E18" i="42458" s="1"/>
  <c r="E20" i="42458" s="1"/>
  <c r="D23" i="42458"/>
  <c r="E23" i="42458"/>
  <c r="H45" i="42458"/>
  <c r="I45" i="42458"/>
  <c r="J45" i="42458"/>
  <c r="H46" i="42458"/>
  <c r="H51" i="42458" s="1"/>
  <c r="I46" i="42458"/>
  <c r="J46" i="42458"/>
  <c r="H62" i="42458"/>
  <c r="I62" i="42458"/>
  <c r="I74" i="42458" s="1"/>
  <c r="J62" i="42458"/>
  <c r="H63" i="42458"/>
  <c r="I63" i="42458"/>
  <c r="I78" i="42458" s="1"/>
  <c r="J63" i="42458"/>
  <c r="J78" i="42458" s="1"/>
  <c r="H86" i="42458"/>
  <c r="H82" i="42458" s="1"/>
  <c r="I86" i="42458"/>
  <c r="I82" i="42458" s="1"/>
  <c r="J86" i="42458"/>
  <c r="J82" i="42458" s="1"/>
  <c r="M98" i="42458"/>
  <c r="N98" i="42458" s="1"/>
  <c r="O98" i="42458" s="1"/>
  <c r="P98" i="42458" s="1"/>
  <c r="M118" i="42458"/>
  <c r="N118" i="42458" s="1"/>
  <c r="O118" i="42458" s="1"/>
  <c r="P118" i="42458" s="1"/>
  <c r="R143" i="42458"/>
  <c r="T143" i="42458"/>
  <c r="R162" i="42458"/>
  <c r="T162" i="42458"/>
  <c r="R188" i="42458"/>
  <c r="S188" i="42458"/>
  <c r="T188" i="42458"/>
  <c r="Y215" i="42458"/>
  <c r="AA215" i="42458"/>
  <c r="Z222" i="42458"/>
  <c r="AA222" i="42458" s="1"/>
  <c r="Y239" i="42458"/>
  <c r="Z239" i="42458"/>
  <c r="AA239" i="42458"/>
  <c r="Y243" i="42458"/>
  <c r="Z243" i="42458"/>
  <c r="AA243" i="42458"/>
  <c r="Y260" i="42458"/>
  <c r="AA260" i="42458"/>
  <c r="Z271" i="42458"/>
  <c r="AA271" i="42458" s="1"/>
  <c r="Y288" i="42458"/>
  <c r="Z288" i="42458"/>
  <c r="AA288" i="42458"/>
  <c r="AG314" i="42458"/>
  <c r="AK364" i="42458" s="1"/>
  <c r="AG319" i="42458"/>
  <c r="AG321" i="42458" s="1"/>
  <c r="AG324" i="42458" s="1"/>
  <c r="AG326" i="42458"/>
  <c r="AG334" i="42458"/>
  <c r="AG336" i="42458" s="1"/>
  <c r="AG339" i="42458" s="1"/>
  <c r="AG341" i="42458"/>
  <c r="AG349" i="42458"/>
  <c r="AG351" i="42458" s="1"/>
  <c r="AG354" i="42458" s="1"/>
  <c r="AG356" i="42458"/>
  <c r="BC383" i="42458"/>
  <c r="BB384" i="42458"/>
  <c r="BC384" i="42458"/>
  <c r="AW386" i="42458"/>
  <c r="AX386" i="42458"/>
  <c r="AY386" i="42458"/>
  <c r="AZ386" i="42458"/>
  <c r="AW387" i="42458"/>
  <c r="AX387" i="42458"/>
  <c r="AY387" i="42458"/>
  <c r="AZ387" i="42458"/>
  <c r="AW388" i="42458"/>
  <c r="AX388" i="42458"/>
  <c r="AY388" i="42458"/>
  <c r="AZ388" i="42458"/>
  <c r="BB388" i="42458"/>
  <c r="BC388" i="42458"/>
  <c r="AX396" i="42458"/>
  <c r="AZ396" i="42458"/>
  <c r="BA396" i="42458"/>
  <c r="BB396" i="42458"/>
  <c r="BH403" i="42458"/>
  <c r="BH405" i="42458" s="1"/>
  <c r="BH406" i="42458" s="1"/>
  <c r="BN417" i="42458"/>
  <c r="BQ417" i="42458" s="1"/>
  <c r="BP417" i="42458"/>
  <c r="BN418" i="42458"/>
  <c r="BP418" i="42458"/>
  <c r="BN419" i="42458"/>
  <c r="BP419" i="42458"/>
  <c r="BN442" i="42458"/>
  <c r="BN443" i="42458"/>
  <c r="BN444" i="42458"/>
  <c r="BL446" i="42458"/>
  <c r="BL450" i="42458" s="1"/>
  <c r="BN448" i="42458"/>
  <c r="CJ483" i="42458"/>
  <c r="CK483" i="42458"/>
  <c r="CI485" i="42458"/>
  <c r="CJ485" i="42458"/>
  <c r="CK485" i="42458"/>
  <c r="CI487" i="42458"/>
  <c r="CI490" i="42458" s="1"/>
  <c r="CJ487" i="42458"/>
  <c r="CK487" i="42458"/>
  <c r="CK488" i="42458" s="1"/>
  <c r="CJ496" i="42458"/>
  <c r="CK496" i="42458"/>
  <c r="CI498" i="42458"/>
  <c r="CJ498" i="42458"/>
  <c r="CK498" i="42458"/>
  <c r="CI500" i="42458"/>
  <c r="CJ500" i="42458"/>
  <c r="CK500" i="42458"/>
  <c r="CJ504" i="42458"/>
  <c r="CK504" i="42458"/>
  <c r="CJ505" i="42458"/>
  <c r="CK505" i="42458"/>
  <c r="DH542" i="42458"/>
  <c r="DG542" i="42458" s="1"/>
  <c r="T88" i="42421"/>
  <c r="V88" i="42421"/>
  <c r="B24" i="42457"/>
  <c r="C24" i="42457"/>
  <c r="D24" i="42457"/>
  <c r="E24" i="42457"/>
  <c r="F24" i="42457"/>
  <c r="G24" i="42457"/>
  <c r="H24" i="42457"/>
  <c r="I24" i="42457"/>
  <c r="J24" i="42457"/>
  <c r="K24" i="42457"/>
  <c r="L24" i="42457"/>
  <c r="M24" i="42457"/>
  <c r="N24" i="42457"/>
  <c r="O24" i="42457"/>
  <c r="P24" i="42457"/>
  <c r="R24" i="42457"/>
  <c r="R25" i="42457" s="1"/>
  <c r="S24" i="42457"/>
  <c r="S25" i="42457" s="1"/>
  <c r="T24" i="42457"/>
  <c r="T25" i="42457" s="1"/>
  <c r="U24" i="42457"/>
  <c r="U25" i="42457" s="1"/>
  <c r="W24" i="42457"/>
  <c r="X24" i="42457"/>
  <c r="X25" i="42457" s="1"/>
  <c r="I27" i="42457"/>
  <c r="K27" i="42457"/>
  <c r="M27" i="42457"/>
  <c r="N27" i="42457"/>
  <c r="O27" i="42457"/>
  <c r="P27" i="42457"/>
  <c r="P28" i="42457" s="1"/>
  <c r="R27" i="42457"/>
  <c r="R28" i="42457" s="1"/>
  <c r="S27" i="42457"/>
  <c r="S28" i="42457" s="1"/>
  <c r="T27" i="42457"/>
  <c r="T28" i="42457" s="1"/>
  <c r="U27" i="42457"/>
  <c r="U28" i="42457" s="1"/>
  <c r="W27" i="42457"/>
  <c r="W28" i="42457" s="1"/>
  <c r="X27" i="42457"/>
  <c r="X28" i="42457" s="1"/>
  <c r="D45" i="42457"/>
  <c r="E45" i="42457"/>
  <c r="F45" i="42457"/>
  <c r="H45" i="42457"/>
  <c r="I45" i="42457"/>
  <c r="J45" i="42457"/>
  <c r="K45" i="42457"/>
  <c r="M45" i="42457"/>
  <c r="N45" i="42457"/>
  <c r="O45" i="42457"/>
  <c r="P45" i="42457"/>
  <c r="R45" i="42457"/>
  <c r="X45" i="42457"/>
  <c r="Z50" i="42457"/>
  <c r="AA50" i="42457"/>
  <c r="AB50" i="42457"/>
  <c r="AC50" i="42457"/>
  <c r="AD50" i="42457"/>
  <c r="AE50" i="42457"/>
  <c r="CP1" i="6"/>
  <c r="CP2" i="6"/>
  <c r="CP3" i="6"/>
  <c r="H4" i="6"/>
  <c r="CQ4" i="6" s="1"/>
  <c r="M4" i="6"/>
  <c r="R4" i="6"/>
  <c r="W4" i="6"/>
  <c r="AB4" i="6"/>
  <c r="CU4" i="6" s="1"/>
  <c r="AG4" i="6"/>
  <c r="CV4" i="6" s="1"/>
  <c r="AL4" i="6"/>
  <c r="AQ4" i="6"/>
  <c r="AV4" i="6"/>
  <c r="CY4" i="6" s="1"/>
  <c r="BA4" i="6"/>
  <c r="BF4" i="6"/>
  <c r="BK4" i="6"/>
  <c r="BP4" i="6"/>
  <c r="BQ5" i="6" s="1"/>
  <c r="DD4" i="6"/>
  <c r="DE4" i="6"/>
  <c r="DF4" i="6"/>
  <c r="DG4" i="6"/>
  <c r="E5" i="6"/>
  <c r="E229" i="6" s="1"/>
  <c r="F5" i="6"/>
  <c r="G5" i="6"/>
  <c r="J5" i="6"/>
  <c r="K5" i="6"/>
  <c r="L5" i="6"/>
  <c r="O5" i="6"/>
  <c r="P5" i="6"/>
  <c r="Q5" i="6"/>
  <c r="T5" i="6"/>
  <c r="U5" i="6"/>
  <c r="V5" i="6"/>
  <c r="Y5" i="6"/>
  <c r="Z5" i="6"/>
  <c r="AA5" i="6"/>
  <c r="AD5" i="6"/>
  <c r="AE5" i="6"/>
  <c r="AF5" i="6"/>
  <c r="AI5" i="6"/>
  <c r="AJ5" i="6"/>
  <c r="AK5" i="6"/>
  <c r="AN5" i="6"/>
  <c r="AO5" i="6"/>
  <c r="AP5" i="6"/>
  <c r="AS5" i="6"/>
  <c r="AT5" i="6"/>
  <c r="AU5" i="6"/>
  <c r="AX5" i="6"/>
  <c r="AY5" i="6"/>
  <c r="AZ5" i="6"/>
  <c r="BC5" i="6"/>
  <c r="BD5" i="6"/>
  <c r="BD473" i="6" s="1"/>
  <c r="BE5" i="6"/>
  <c r="BH5" i="6"/>
  <c r="BI5" i="6"/>
  <c r="BJ5" i="6"/>
  <c r="BM5" i="6"/>
  <c r="BN5" i="6"/>
  <c r="BO5" i="6"/>
  <c r="BZ5" i="6"/>
  <c r="CA5" i="6"/>
  <c r="HQ680" i="42458" s="1"/>
  <c r="CB5" i="6"/>
  <c r="HR680" i="42458" s="1"/>
  <c r="CC5" i="6"/>
  <c r="CD5" i="6"/>
  <c r="CE5" i="6"/>
  <c r="CF5" i="6"/>
  <c r="CG5" i="6"/>
  <c r="CP5" i="6"/>
  <c r="CQ6" i="6"/>
  <c r="CR6" i="6"/>
  <c r="CS6" i="6"/>
  <c r="CT6" i="6"/>
  <c r="CU6" i="6"/>
  <c r="CV6" i="6"/>
  <c r="CW6" i="6"/>
  <c r="CX6" i="6"/>
  <c r="CY6" i="6"/>
  <c r="CZ6" i="6"/>
  <c r="DA6" i="6"/>
  <c r="DB6" i="6"/>
  <c r="DC6" i="6"/>
  <c r="DD6" i="6"/>
  <c r="DE6" i="6"/>
  <c r="DF6" i="6"/>
  <c r="DG6" i="6"/>
  <c r="CP8" i="6"/>
  <c r="D9" i="6"/>
  <c r="E9" i="6"/>
  <c r="F9" i="6"/>
  <c r="G9" i="6"/>
  <c r="I9" i="6"/>
  <c r="J9" i="6"/>
  <c r="K9" i="6"/>
  <c r="L9" i="6"/>
  <c r="N9" i="6"/>
  <c r="O9" i="6"/>
  <c r="P9" i="6"/>
  <c r="Q9" i="6"/>
  <c r="CP9" i="6"/>
  <c r="N10" i="6"/>
  <c r="O10" i="6"/>
  <c r="P10" i="6"/>
  <c r="Q10" i="6"/>
  <c r="S10" i="6"/>
  <c r="T10" i="6"/>
  <c r="U10" i="6"/>
  <c r="V10" i="6"/>
  <c r="X10" i="6"/>
  <c r="Y10" i="6"/>
  <c r="Z10" i="6"/>
  <c r="AA10" i="6"/>
  <c r="AC10" i="6"/>
  <c r="AD10" i="6"/>
  <c r="AE10" i="6"/>
  <c r="AF10" i="6"/>
  <c r="AH10" i="6"/>
  <c r="AI10" i="6"/>
  <c r="AJ10" i="6"/>
  <c r="AK10" i="6"/>
  <c r="AM10" i="6"/>
  <c r="AN10" i="6"/>
  <c r="AO10" i="6"/>
  <c r="AP10" i="6"/>
  <c r="AR10" i="6"/>
  <c r="AS10" i="6"/>
  <c r="IM866" i="42425" s="1"/>
  <c r="AT10" i="6"/>
  <c r="AU10" i="6"/>
  <c r="AW10" i="6"/>
  <c r="AX10" i="6"/>
  <c r="AY10" i="6"/>
  <c r="AZ10" i="6"/>
  <c r="BB10" i="6"/>
  <c r="DY589" i="42458" s="1"/>
  <c r="DY609" i="42458" s="1"/>
  <c r="BC10" i="6"/>
  <c r="DZ589" i="42458" s="1"/>
  <c r="DZ609" i="42458" s="1"/>
  <c r="BD10" i="6"/>
  <c r="EA589" i="42458" s="1"/>
  <c r="EA609" i="42458" s="1"/>
  <c r="BE10" i="6"/>
  <c r="BG10" i="6"/>
  <c r="BH10" i="6"/>
  <c r="EE589" i="42458" s="1"/>
  <c r="EE609" i="42458" s="1"/>
  <c r="BI10" i="6"/>
  <c r="EF589" i="42458" s="1"/>
  <c r="EF609" i="42458" s="1"/>
  <c r="BJ10" i="6"/>
  <c r="EG589" i="42458" s="1"/>
  <c r="EG609" i="42458" s="1"/>
  <c r="BL10" i="6"/>
  <c r="EI589" i="42458" s="1"/>
  <c r="EI609" i="42458" s="1"/>
  <c r="BM10" i="6"/>
  <c r="EJ589" i="42458" s="1"/>
  <c r="EJ609" i="42458" s="1"/>
  <c r="CP10" i="6"/>
  <c r="D11" i="6"/>
  <c r="E11" i="6"/>
  <c r="F11" i="6"/>
  <c r="G11" i="6"/>
  <c r="I11" i="6"/>
  <c r="J11" i="6"/>
  <c r="K11" i="6"/>
  <c r="L11" i="6"/>
  <c r="N11" i="6"/>
  <c r="O11" i="6"/>
  <c r="P11" i="6"/>
  <c r="Q11" i="6"/>
  <c r="S11" i="6"/>
  <c r="T11" i="6"/>
  <c r="U11" i="6"/>
  <c r="V11" i="6"/>
  <c r="X11" i="6"/>
  <c r="Y11" i="6"/>
  <c r="Z11" i="6"/>
  <c r="AA11" i="6"/>
  <c r="AC11" i="6"/>
  <c r="D10" i="42428" s="1"/>
  <c r="AD11" i="6"/>
  <c r="D9" i="42432" s="1"/>
  <c r="AE11" i="6"/>
  <c r="D9" i="42437" s="1"/>
  <c r="AF11" i="6"/>
  <c r="AH11" i="6"/>
  <c r="AI11" i="6"/>
  <c r="C9" i="42432" s="1"/>
  <c r="AJ11" i="6"/>
  <c r="AK11" i="6"/>
  <c r="AM11" i="6"/>
  <c r="AN11" i="6"/>
  <c r="D9" i="42450" s="1"/>
  <c r="F9" i="42450" s="1"/>
  <c r="AO11" i="6"/>
  <c r="AP11" i="6"/>
  <c r="AR11" i="6"/>
  <c r="D9" i="42454" s="1"/>
  <c r="AS11" i="6"/>
  <c r="AT11" i="6"/>
  <c r="D9" i="42459" s="1"/>
  <c r="AU11" i="6"/>
  <c r="AW11" i="6"/>
  <c r="AX11" i="6"/>
  <c r="AY11" i="6"/>
  <c r="AZ11" i="6"/>
  <c r="BB11" i="6"/>
  <c r="DY590" i="42458" s="1"/>
  <c r="DY610" i="42458" s="1"/>
  <c r="BC11" i="6"/>
  <c r="DZ590" i="42458" s="1"/>
  <c r="DZ610" i="42458" s="1"/>
  <c r="BD11" i="6"/>
  <c r="BE11" i="6"/>
  <c r="EB590" i="42458" s="1"/>
  <c r="EB610" i="42458" s="1"/>
  <c r="BG11" i="6"/>
  <c r="BH11" i="6"/>
  <c r="EE590" i="42458" s="1"/>
  <c r="EE610" i="42458" s="1"/>
  <c r="BI11" i="6"/>
  <c r="EF590" i="42458" s="1"/>
  <c r="EF610" i="42458" s="1"/>
  <c r="BJ11" i="6"/>
  <c r="EG590" i="42458" s="1"/>
  <c r="EG610" i="42458" s="1"/>
  <c r="BL11" i="6"/>
  <c r="EI590" i="42458" s="1"/>
  <c r="EI610" i="42458" s="1"/>
  <c r="BM11" i="6"/>
  <c r="EJ590" i="42458" s="1"/>
  <c r="EJ610" i="42458" s="1"/>
  <c r="CP11" i="6"/>
  <c r="S129" i="6"/>
  <c r="X129" i="6"/>
  <c r="AC129" i="6"/>
  <c r="D10" i="42432"/>
  <c r="D10" i="42450"/>
  <c r="F10" i="42450" s="1"/>
  <c r="AU16" i="6"/>
  <c r="C10" i="42468"/>
  <c r="K10" i="42468" s="1"/>
  <c r="C10" i="42473"/>
  <c r="CP13" i="6"/>
  <c r="AV14" i="6"/>
  <c r="CP14" i="6"/>
  <c r="CQ14" i="6"/>
  <c r="CR14" i="6"/>
  <c r="CS14" i="6"/>
  <c r="CT14" i="6"/>
  <c r="CU14" i="6"/>
  <c r="CV14" i="6"/>
  <c r="CW14" i="6"/>
  <c r="CX14" i="6"/>
  <c r="AI17" i="6"/>
  <c r="AJ17" i="6"/>
  <c r="AK17" i="6"/>
  <c r="AM17" i="6"/>
  <c r="AN17" i="6"/>
  <c r="AO17" i="6"/>
  <c r="AP17" i="6"/>
  <c r="AR17" i="6"/>
  <c r="AS17" i="6"/>
  <c r="AT17" i="6"/>
  <c r="AU17" i="6"/>
  <c r="CP17" i="6"/>
  <c r="CZ17" i="6"/>
  <c r="DA17" i="6"/>
  <c r="DB17" i="6"/>
  <c r="DC17" i="6"/>
  <c r="DD17" i="6"/>
  <c r="DE17" i="6"/>
  <c r="DF17" i="6"/>
  <c r="DG17" i="6"/>
  <c r="CP18" i="6"/>
  <c r="CW18" i="6"/>
  <c r="CX18" i="6"/>
  <c r="CY18" i="6"/>
  <c r="CZ18" i="6"/>
  <c r="DA18" i="6"/>
  <c r="DB18" i="6"/>
  <c r="DC18" i="6"/>
  <c r="DD18" i="6"/>
  <c r="DE18" i="6"/>
  <c r="DF18" i="6"/>
  <c r="DG18" i="6"/>
  <c r="CP20" i="6"/>
  <c r="CP21" i="6"/>
  <c r="CP22" i="6"/>
  <c r="CP25" i="6"/>
  <c r="BM26" i="6"/>
  <c r="CP26" i="6"/>
  <c r="BM27" i="6"/>
  <c r="CP27" i="6"/>
  <c r="CP28" i="6"/>
  <c r="CZ28" i="6"/>
  <c r="DA28" i="6"/>
  <c r="DB28" i="6"/>
  <c r="DC28" i="6"/>
  <c r="DD28" i="6"/>
  <c r="DE28" i="6"/>
  <c r="DF28" i="6"/>
  <c r="DG28" i="6"/>
  <c r="AU29" i="6"/>
  <c r="CP29" i="6"/>
  <c r="D30" i="6"/>
  <c r="E30" i="6"/>
  <c r="F30" i="6"/>
  <c r="CP30" i="6"/>
  <c r="CQ32" i="6"/>
  <c r="CR32" i="6"/>
  <c r="CS32" i="6"/>
  <c r="CT32" i="6"/>
  <c r="CU32" i="6"/>
  <c r="CV32" i="6"/>
  <c r="CW32" i="6"/>
  <c r="CX32" i="6"/>
  <c r="CY32" i="6"/>
  <c r="CZ32" i="6"/>
  <c r="DA32" i="6"/>
  <c r="DB32" i="6"/>
  <c r="DC32" i="6"/>
  <c r="DD32" i="6"/>
  <c r="DE32" i="6"/>
  <c r="DF32" i="6"/>
  <c r="DG32" i="6"/>
  <c r="CP33" i="6"/>
  <c r="CP34" i="6"/>
  <c r="CP35" i="6"/>
  <c r="D37" i="6"/>
  <c r="E37" i="6"/>
  <c r="F37" i="6"/>
  <c r="G37" i="6"/>
  <c r="I37" i="6"/>
  <c r="J37" i="6"/>
  <c r="K37" i="6"/>
  <c r="L37" i="6"/>
  <c r="N37" i="6"/>
  <c r="O37" i="6"/>
  <c r="P37" i="6"/>
  <c r="Q37" i="6"/>
  <c r="CP37" i="6"/>
  <c r="N38" i="6"/>
  <c r="O38" i="6"/>
  <c r="P38" i="6"/>
  <c r="Q38" i="6"/>
  <c r="S38" i="6"/>
  <c r="T38" i="6"/>
  <c r="U38" i="6"/>
  <c r="V38" i="6"/>
  <c r="X38" i="6"/>
  <c r="Y38" i="6"/>
  <c r="Z38" i="6"/>
  <c r="AA38" i="6"/>
  <c r="AC38" i="6"/>
  <c r="AD38" i="6"/>
  <c r="D15" i="42432" s="1"/>
  <c r="AE38" i="6"/>
  <c r="AF38" i="6"/>
  <c r="D15" i="42440" s="1"/>
  <c r="AH38" i="6"/>
  <c r="AI38" i="6"/>
  <c r="C15" i="42432" s="1"/>
  <c r="AJ38" i="6"/>
  <c r="AK38" i="6"/>
  <c r="AM38" i="6"/>
  <c r="AN38" i="6"/>
  <c r="D16" i="42450" s="1"/>
  <c r="AO38" i="6"/>
  <c r="AP38" i="6"/>
  <c r="AR38" i="6"/>
  <c r="AS38" i="6"/>
  <c r="AT38" i="6"/>
  <c r="AU38" i="6"/>
  <c r="IO887" i="42425" s="1"/>
  <c r="AW38" i="6"/>
  <c r="AX38" i="6"/>
  <c r="AR114" i="42459" s="1"/>
  <c r="AY38" i="6"/>
  <c r="AZ38" i="6"/>
  <c r="C17" i="42461" s="1"/>
  <c r="BB38" i="6"/>
  <c r="BC38" i="6"/>
  <c r="BD38" i="6"/>
  <c r="BE38" i="6"/>
  <c r="D17" i="42475" s="1"/>
  <c r="BG38" i="6"/>
  <c r="BH38" i="6"/>
  <c r="BI38" i="6"/>
  <c r="BJ38" i="6"/>
  <c r="C17" i="42475" s="1"/>
  <c r="L17" i="42475" s="1"/>
  <c r="BL38" i="6"/>
  <c r="CP38" i="6"/>
  <c r="D39" i="6"/>
  <c r="D128" i="6" s="1"/>
  <c r="E39" i="6"/>
  <c r="F39" i="6"/>
  <c r="G39" i="6"/>
  <c r="I39" i="6"/>
  <c r="I128" i="6" s="1"/>
  <c r="J39" i="6"/>
  <c r="K39" i="6"/>
  <c r="L39" i="6"/>
  <c r="N39" i="6"/>
  <c r="O39" i="6"/>
  <c r="P39" i="6"/>
  <c r="Q39" i="6"/>
  <c r="S39" i="6"/>
  <c r="S128" i="6" s="1"/>
  <c r="T39" i="6"/>
  <c r="U39" i="6"/>
  <c r="U128" i="6" s="1"/>
  <c r="V39" i="6"/>
  <c r="X39" i="6"/>
  <c r="X128" i="6" s="1"/>
  <c r="Y39" i="6"/>
  <c r="Z39" i="6"/>
  <c r="Z128" i="6" s="1"/>
  <c r="AA39" i="6"/>
  <c r="AC39" i="6"/>
  <c r="D16" i="42428" s="1"/>
  <c r="AD39" i="6"/>
  <c r="AE39" i="6"/>
  <c r="D16" i="42437" s="1"/>
  <c r="D48" i="42437" s="1"/>
  <c r="AF39" i="6"/>
  <c r="D16" i="42440" s="1"/>
  <c r="AH39" i="6"/>
  <c r="AI39" i="6"/>
  <c r="AJ39" i="6"/>
  <c r="AK39" i="6"/>
  <c r="AM39" i="6"/>
  <c r="AN39" i="6"/>
  <c r="D17" i="42450" s="1"/>
  <c r="F17" i="42450" s="1"/>
  <c r="AO39" i="6"/>
  <c r="D17" i="42451" s="1"/>
  <c r="F17" i="42451" s="1"/>
  <c r="AP39" i="6"/>
  <c r="D18" i="42452" s="1"/>
  <c r="AR39" i="6"/>
  <c r="D18" i="42454" s="1"/>
  <c r="AS39" i="6"/>
  <c r="D18" i="42455" s="1"/>
  <c r="AT39" i="6"/>
  <c r="D18" i="42459" s="1"/>
  <c r="AU39" i="6"/>
  <c r="AW39" i="6"/>
  <c r="AW128" i="6" s="1"/>
  <c r="AX39" i="6"/>
  <c r="AY39" i="6"/>
  <c r="AY128" i="6" s="1"/>
  <c r="AZ39" i="6"/>
  <c r="BB39" i="6"/>
  <c r="BB128" i="6" s="1"/>
  <c r="BC39" i="6"/>
  <c r="BD39" i="6"/>
  <c r="BD128" i="6" s="1"/>
  <c r="BE39" i="6"/>
  <c r="BG39" i="6"/>
  <c r="C18" i="42473" s="1"/>
  <c r="P18" i="42473" s="1"/>
  <c r="BH39" i="6"/>
  <c r="C18" i="42474" s="1"/>
  <c r="Q18" i="42474" s="1"/>
  <c r="BI39" i="6"/>
  <c r="BI128" i="6" s="1"/>
  <c r="BJ39" i="6"/>
  <c r="C18" i="42475" s="1"/>
  <c r="BL39" i="6"/>
  <c r="BL128" i="6" s="1"/>
  <c r="CP39" i="6"/>
  <c r="D129" i="6"/>
  <c r="I129" i="6"/>
  <c r="N129" i="6"/>
  <c r="T129" i="6"/>
  <c r="D17" i="42428"/>
  <c r="D17" i="42432"/>
  <c r="D17" i="42437"/>
  <c r="D17" i="42440"/>
  <c r="D18" i="42451"/>
  <c r="O19" i="42451" s="1"/>
  <c r="O20" i="42451" s="1"/>
  <c r="D19" i="42452"/>
  <c r="D19" i="42454"/>
  <c r="D19" i="42455"/>
  <c r="D19" i="42459"/>
  <c r="AU44" i="6"/>
  <c r="C19" i="42468"/>
  <c r="C19" i="42473"/>
  <c r="C19" i="42474"/>
  <c r="C19" i="42475"/>
  <c r="CP41" i="6"/>
  <c r="AV42" i="6"/>
  <c r="CY42" i="6" s="1"/>
  <c r="AW42" i="6"/>
  <c r="AX42" i="6"/>
  <c r="AY42" i="6"/>
  <c r="AZ42" i="6"/>
  <c r="BB42" i="6"/>
  <c r="BC42" i="6"/>
  <c r="BD42" i="6"/>
  <c r="C20" i="42468" s="1"/>
  <c r="BE42" i="6"/>
  <c r="BG42" i="6"/>
  <c r="C20" i="42473" s="1"/>
  <c r="K20" i="42473" s="1"/>
  <c r="BH42" i="6"/>
  <c r="C20" i="42474" s="1"/>
  <c r="BI42" i="6"/>
  <c r="BJ42" i="6"/>
  <c r="BL42" i="6"/>
  <c r="CP42" i="6"/>
  <c r="AR45" i="6"/>
  <c r="AS45" i="6"/>
  <c r="AS121" i="6" s="1"/>
  <c r="AT45" i="6"/>
  <c r="AU45" i="6"/>
  <c r="AU121" i="6" s="1"/>
  <c r="AW45" i="6"/>
  <c r="D21" i="42464" s="1"/>
  <c r="AY45" i="6"/>
  <c r="AZ45" i="6"/>
  <c r="C21" i="42461" s="1"/>
  <c r="K21" i="42461" s="1"/>
  <c r="CP45" i="6"/>
  <c r="DB45" i="6"/>
  <c r="HQ826" i="42425" s="1"/>
  <c r="DC45" i="6"/>
  <c r="DD45" i="6"/>
  <c r="DE45" i="6"/>
  <c r="DF45" i="6"/>
  <c r="DG45" i="6"/>
  <c r="BB46" i="6"/>
  <c r="BC46" i="6"/>
  <c r="C22" i="42467" s="1"/>
  <c r="BD46" i="6"/>
  <c r="C22" i="42468" s="1"/>
  <c r="BE46" i="6"/>
  <c r="C22" i="42471" s="1"/>
  <c r="CP46" i="6"/>
  <c r="CW46" i="6"/>
  <c r="CX46" i="6"/>
  <c r="CY46" i="6"/>
  <c r="CZ46" i="6"/>
  <c r="DA46" i="6"/>
  <c r="DB46" i="6"/>
  <c r="DC46" i="6"/>
  <c r="DD46" i="6"/>
  <c r="DE46" i="6"/>
  <c r="DF46" i="6"/>
  <c r="DG46" i="6"/>
  <c r="CP48" i="6"/>
  <c r="CP51" i="6"/>
  <c r="CP52" i="6"/>
  <c r="CP53" i="6"/>
  <c r="F54" i="6"/>
  <c r="G54" i="6"/>
  <c r="I54" i="6"/>
  <c r="J54" i="6"/>
  <c r="J108" i="6" s="1"/>
  <c r="K54" i="6"/>
  <c r="K108" i="6" s="1"/>
  <c r="L54" i="6"/>
  <c r="L108" i="6" s="1"/>
  <c r="N54" i="6"/>
  <c r="O54" i="6"/>
  <c r="O108" i="6" s="1"/>
  <c r="P54" i="6"/>
  <c r="P108" i="6" s="1"/>
  <c r="Q54" i="6"/>
  <c r="S54" i="6"/>
  <c r="T54" i="6"/>
  <c r="T108" i="6" s="1"/>
  <c r="U54" i="6"/>
  <c r="V54" i="6"/>
  <c r="V108" i="6" s="1"/>
  <c r="X54" i="6"/>
  <c r="Y54" i="6"/>
  <c r="Y108" i="6" s="1"/>
  <c r="Z54" i="6"/>
  <c r="AA54" i="6"/>
  <c r="AA108" i="6" s="1"/>
  <c r="AC54" i="6"/>
  <c r="D19" i="42428" s="1"/>
  <c r="AD54" i="6"/>
  <c r="D20" i="42432" s="1"/>
  <c r="AE54" i="6"/>
  <c r="D20" i="42437" s="1"/>
  <c r="AL54" i="6"/>
  <c r="CW54" i="6" s="1"/>
  <c r="AQ54" i="6"/>
  <c r="AV54" i="6"/>
  <c r="BA54" i="6"/>
  <c r="BF54" i="6"/>
  <c r="DA54" i="6" s="1"/>
  <c r="BK54" i="6"/>
  <c r="CP54" i="6"/>
  <c r="CP55" i="6"/>
  <c r="CP56" i="6"/>
  <c r="CP57" i="6"/>
  <c r="H65" i="6"/>
  <c r="CQ65" i="6" s="1"/>
  <c r="M65" i="6"/>
  <c r="R65" i="6"/>
  <c r="CS65" i="6" s="1"/>
  <c r="W65" i="6"/>
  <c r="AB65" i="6"/>
  <c r="CU65" i="6" s="1"/>
  <c r="AG65" i="6"/>
  <c r="AL65" i="6"/>
  <c r="CW65" i="6" s="1"/>
  <c r="AQ65" i="6"/>
  <c r="AV65" i="6"/>
  <c r="B10" i="42419" s="1"/>
  <c r="BA65" i="6"/>
  <c r="BF65" i="6"/>
  <c r="D10" i="42419" s="1"/>
  <c r="BK65" i="6"/>
  <c r="DB65" i="6" s="1"/>
  <c r="BS1339" i="6"/>
  <c r="CP65" i="6"/>
  <c r="H66" i="6"/>
  <c r="M66" i="6"/>
  <c r="CR66" i="6" s="1"/>
  <c r="R66" i="6"/>
  <c r="W66" i="6"/>
  <c r="CT66" i="6" s="1"/>
  <c r="AB66" i="6"/>
  <c r="AG66" i="6"/>
  <c r="CV66" i="6" s="1"/>
  <c r="AL66" i="6"/>
  <c r="AQ66" i="6"/>
  <c r="B53" i="42434" s="1"/>
  <c r="E53" i="42434" s="1"/>
  <c r="AD132" i="42434" s="1"/>
  <c r="AV66" i="6"/>
  <c r="BA66" i="6"/>
  <c r="C11" i="42419" s="1"/>
  <c r="BF66" i="6"/>
  <c r="BK66" i="6"/>
  <c r="E11" i="42419" s="1"/>
  <c r="CP66" i="6"/>
  <c r="D67" i="6"/>
  <c r="E67" i="6"/>
  <c r="E136" i="6" s="1"/>
  <c r="F67" i="6"/>
  <c r="F136" i="6" s="1"/>
  <c r="G67" i="6"/>
  <c r="I67" i="6"/>
  <c r="J67" i="6"/>
  <c r="J136" i="6" s="1"/>
  <c r="K67" i="6"/>
  <c r="K136" i="6" s="1"/>
  <c r="L67" i="6"/>
  <c r="L136" i="6" s="1"/>
  <c r="N67" i="6"/>
  <c r="N136" i="6" s="1"/>
  <c r="O67" i="6"/>
  <c r="O136" i="6" s="1"/>
  <c r="P67" i="6"/>
  <c r="P136" i="6" s="1"/>
  <c r="Q67" i="6"/>
  <c r="Q136" i="6" s="1"/>
  <c r="S67" i="6"/>
  <c r="S136" i="6" s="1"/>
  <c r="T67" i="6"/>
  <c r="T136" i="6" s="1"/>
  <c r="U67" i="6"/>
  <c r="U136" i="6" s="1"/>
  <c r="V67" i="6"/>
  <c r="V136" i="6" s="1"/>
  <c r="X67" i="6"/>
  <c r="Y67" i="6"/>
  <c r="Y136" i="6" s="1"/>
  <c r="Z67" i="6"/>
  <c r="Z136" i="6" s="1"/>
  <c r="AA67" i="6"/>
  <c r="AA136" i="6" s="1"/>
  <c r="AC67" i="6"/>
  <c r="AD67" i="6"/>
  <c r="D24" i="42432" s="1"/>
  <c r="AE67" i="6"/>
  <c r="AF67" i="6"/>
  <c r="D24" i="42440" s="1"/>
  <c r="AH67" i="6"/>
  <c r="AI67" i="6"/>
  <c r="AI136" i="6" s="1"/>
  <c r="AJ67" i="6"/>
  <c r="AK67" i="6"/>
  <c r="AK136" i="6" s="1"/>
  <c r="AM67" i="6"/>
  <c r="AN67" i="6"/>
  <c r="D25" i="42450" s="1"/>
  <c r="AO67" i="6"/>
  <c r="AP67" i="6"/>
  <c r="D27" i="42452" s="1"/>
  <c r="AR67" i="6"/>
  <c r="AS67" i="6"/>
  <c r="D29" i="42455" s="1"/>
  <c r="AT67" i="6"/>
  <c r="AU67" i="6"/>
  <c r="AU136" i="6" s="1"/>
  <c r="AW67" i="6"/>
  <c r="AX67" i="6"/>
  <c r="AX136" i="6" s="1"/>
  <c r="AY67" i="6"/>
  <c r="AZ67" i="6"/>
  <c r="AZ136" i="6" s="1"/>
  <c r="BB67" i="6"/>
  <c r="BC67" i="6"/>
  <c r="BC136" i="6" s="1"/>
  <c r="BD67" i="6"/>
  <c r="BE67" i="6"/>
  <c r="BE136" i="6" s="1"/>
  <c r="BG67" i="6"/>
  <c r="BH67" i="6"/>
  <c r="C30" i="42474" s="1"/>
  <c r="L30" i="42474" s="1"/>
  <c r="BI67" i="6"/>
  <c r="BJ67" i="6"/>
  <c r="C30" i="42475" s="1"/>
  <c r="L30" i="42475" s="1"/>
  <c r="BL67" i="6"/>
  <c r="BM67" i="6"/>
  <c r="BM1014" i="6" s="1"/>
  <c r="CP67" i="6"/>
  <c r="AW68" i="6"/>
  <c r="AX68" i="6"/>
  <c r="AY68" i="6"/>
  <c r="AZ68" i="6"/>
  <c r="BB68" i="6"/>
  <c r="BC68" i="6"/>
  <c r="BD68" i="6"/>
  <c r="BE68" i="6"/>
  <c r="D31" i="42475" s="1"/>
  <c r="BG68" i="6"/>
  <c r="BH68" i="6"/>
  <c r="C31" i="42474" s="1"/>
  <c r="BI68" i="6"/>
  <c r="BJ68" i="6"/>
  <c r="C31" i="42475" s="1"/>
  <c r="BL68" i="6"/>
  <c r="CQ69" i="6"/>
  <c r="CR69" i="6"/>
  <c r="CS69" i="6"/>
  <c r="CT69" i="6"/>
  <c r="CU69" i="6"/>
  <c r="CV69" i="6"/>
  <c r="CW69" i="6"/>
  <c r="CX69" i="6"/>
  <c r="CY69" i="6"/>
  <c r="CZ69" i="6"/>
  <c r="DA69" i="6"/>
  <c r="DB69" i="6"/>
  <c r="DC69" i="6"/>
  <c r="DD69" i="6"/>
  <c r="DE69" i="6"/>
  <c r="DF69" i="6"/>
  <c r="DG69" i="6"/>
  <c r="CP70" i="6"/>
  <c r="CP71" i="6"/>
  <c r="H73" i="6"/>
  <c r="C9" i="42453" s="1"/>
  <c r="M73" i="6"/>
  <c r="D9" i="42453" s="1"/>
  <c r="R73" i="6"/>
  <c r="E9" i="42453" s="1"/>
  <c r="W73" i="6"/>
  <c r="F9" i="42453" s="1"/>
  <c r="AB73" i="6"/>
  <c r="G9" i="42453" s="1"/>
  <c r="AC73" i="6"/>
  <c r="D26" i="42428" s="1"/>
  <c r="AH73" i="6"/>
  <c r="C26" i="42428" s="1"/>
  <c r="AN73" i="6"/>
  <c r="D28" i="42450" s="1"/>
  <c r="AR73" i="6"/>
  <c r="D32" i="42454" s="1"/>
  <c r="BA73" i="6"/>
  <c r="BF73" i="6"/>
  <c r="DA73" i="6" s="1"/>
  <c r="BH73" i="6"/>
  <c r="C34" i="42474" s="1"/>
  <c r="L34" i="42474" s="1"/>
  <c r="BI73" i="6"/>
  <c r="T45" i="42457" s="1"/>
  <c r="BJ73" i="6"/>
  <c r="C34" i="42475" s="1"/>
  <c r="L34" i="42475" s="1"/>
  <c r="BL73" i="6"/>
  <c r="W45" i="42457" s="1"/>
  <c r="CP73" i="6"/>
  <c r="H74" i="6"/>
  <c r="CQ74" i="6" s="1"/>
  <c r="M74" i="6"/>
  <c r="R74" i="6"/>
  <c r="CS74" i="6" s="1"/>
  <c r="W74" i="6"/>
  <c r="CT74" i="6" s="1"/>
  <c r="AB74" i="6"/>
  <c r="CU74" i="6" s="1"/>
  <c r="AG74" i="6"/>
  <c r="CV74" i="6" s="1"/>
  <c r="AL74" i="6"/>
  <c r="CW74" i="6" s="1"/>
  <c r="AQ74" i="6"/>
  <c r="CP74" i="6"/>
  <c r="CR74" i="6"/>
  <c r="CY74" i="6"/>
  <c r="CZ74" i="6"/>
  <c r="DA74" i="6"/>
  <c r="DB74" i="6"/>
  <c r="DC74" i="6"/>
  <c r="DD74" i="6"/>
  <c r="DE74" i="6"/>
  <c r="DF74" i="6"/>
  <c r="DG74" i="6"/>
  <c r="H75" i="6"/>
  <c r="M75" i="6"/>
  <c r="R75" i="6"/>
  <c r="CS75" i="6" s="1"/>
  <c r="W75" i="6"/>
  <c r="AB75" i="6"/>
  <c r="AG75" i="6"/>
  <c r="CV75" i="6" s="1"/>
  <c r="AI75" i="6"/>
  <c r="AI114" i="6" s="1"/>
  <c r="AI119" i="6" s="1"/>
  <c r="AJ75" i="6"/>
  <c r="AK75" i="6"/>
  <c r="C29" i="42440" s="1"/>
  <c r="AM75" i="6"/>
  <c r="AM114" i="6" s="1"/>
  <c r="AM119" i="6" s="1"/>
  <c r="AN75" i="6"/>
  <c r="AS75" i="6" s="1"/>
  <c r="AS114" i="6" s="1"/>
  <c r="AS119" i="6" s="1"/>
  <c r="AO75" i="6"/>
  <c r="AP75" i="6"/>
  <c r="AY75" i="6"/>
  <c r="BG75" i="6"/>
  <c r="BH75" i="6"/>
  <c r="BI75" i="6"/>
  <c r="BN1341" i="6"/>
  <c r="CP75" i="6"/>
  <c r="BF76" i="6"/>
  <c r="DA76" i="6" s="1"/>
  <c r="BK76" i="6"/>
  <c r="DB76" i="6" s="1"/>
  <c r="CP76" i="6"/>
  <c r="CQ76" i="6"/>
  <c r="CR76" i="6"/>
  <c r="CS76" i="6"/>
  <c r="CT76" i="6"/>
  <c r="CU76" i="6"/>
  <c r="CV76" i="6"/>
  <c r="CW76" i="6"/>
  <c r="CX76" i="6"/>
  <c r="CY76" i="6"/>
  <c r="CZ76" i="6"/>
  <c r="G77" i="6"/>
  <c r="H77" i="6" s="1"/>
  <c r="M77" i="6"/>
  <c r="M1342" i="6" s="1"/>
  <c r="R77" i="6"/>
  <c r="CS77" i="6" s="1"/>
  <c r="W77" i="6"/>
  <c r="AB77" i="6"/>
  <c r="AG77" i="6"/>
  <c r="AG1342" i="6" s="1"/>
  <c r="AI77" i="6"/>
  <c r="AJ77" i="6"/>
  <c r="AK77" i="6"/>
  <c r="C30" i="42440" s="1"/>
  <c r="K30" i="42440" s="1"/>
  <c r="AM77" i="6"/>
  <c r="AR77" i="6" s="1"/>
  <c r="AR1342" i="6" s="1"/>
  <c r="AN77" i="6"/>
  <c r="AS77" i="6" s="1"/>
  <c r="AS1342" i="6" s="1"/>
  <c r="AO77" i="6"/>
  <c r="AO1342" i="6" s="1"/>
  <c r="AP77" i="6"/>
  <c r="AU77" i="6" s="1"/>
  <c r="AW77" i="6"/>
  <c r="AX77" i="6"/>
  <c r="AY77" i="6"/>
  <c r="AY1342" i="6" s="1"/>
  <c r="AZ77" i="6"/>
  <c r="AZ1342" i="6" s="1"/>
  <c r="BB77" i="6"/>
  <c r="BC77" i="6"/>
  <c r="BD77" i="6"/>
  <c r="BD1342" i="6" s="1"/>
  <c r="BE77" i="6"/>
  <c r="BG77" i="6"/>
  <c r="BH77" i="6"/>
  <c r="BI77" i="6"/>
  <c r="BI1342" i="6" s="1"/>
  <c r="BJ77" i="6"/>
  <c r="BL77" i="6"/>
  <c r="CP77" i="6"/>
  <c r="DE77" i="6"/>
  <c r="DF77" i="6"/>
  <c r="DG77" i="6"/>
  <c r="E78" i="6"/>
  <c r="F78" i="6"/>
  <c r="G78" i="6"/>
  <c r="I78" i="6"/>
  <c r="J78" i="6"/>
  <c r="J87" i="6" s="1"/>
  <c r="K78" i="6"/>
  <c r="K87" i="6" s="1"/>
  <c r="L78" i="6"/>
  <c r="N78" i="6"/>
  <c r="N87" i="6" s="1"/>
  <c r="O78" i="6"/>
  <c r="O87" i="6" s="1"/>
  <c r="P78" i="6"/>
  <c r="P87" i="6" s="1"/>
  <c r="Q78" i="6"/>
  <c r="Q87" i="6" s="1"/>
  <c r="Q1343" i="6" s="1"/>
  <c r="S78" i="6"/>
  <c r="S87" i="6" s="1"/>
  <c r="T78" i="6"/>
  <c r="U78" i="6"/>
  <c r="U87" i="6" s="1"/>
  <c r="V78" i="6"/>
  <c r="V87" i="6" s="1"/>
  <c r="V1343" i="6" s="1"/>
  <c r="X78" i="6"/>
  <c r="Y78" i="6"/>
  <c r="Z78" i="6"/>
  <c r="AA78" i="6"/>
  <c r="AC78" i="6"/>
  <c r="D30" i="42428" s="1"/>
  <c r="AD78" i="6"/>
  <c r="D31" i="42432" s="1"/>
  <c r="AE78" i="6"/>
  <c r="D31" i="42437" s="1"/>
  <c r="AF78" i="6"/>
  <c r="D31" i="42440" s="1"/>
  <c r="AH78" i="6"/>
  <c r="C30" i="42428" s="1"/>
  <c r="K30" i="42428" s="1"/>
  <c r="AI78" i="6"/>
  <c r="C31" i="42432" s="1"/>
  <c r="K31" i="42432" s="1"/>
  <c r="AJ78" i="6"/>
  <c r="D30" i="42443" s="1"/>
  <c r="G30" i="42443" s="1"/>
  <c r="AK78" i="6"/>
  <c r="C31" i="42440" s="1"/>
  <c r="K31" i="42440" s="1"/>
  <c r="AM78" i="6"/>
  <c r="C31" i="42441" s="1"/>
  <c r="L31" i="42441" s="1"/>
  <c r="AN78" i="6"/>
  <c r="D30" i="42450" s="1"/>
  <c r="F30" i="42450" s="1"/>
  <c r="AO78" i="6"/>
  <c r="D30" i="42451" s="1"/>
  <c r="AP78" i="6"/>
  <c r="D32" i="42452" s="1"/>
  <c r="AS78" i="6"/>
  <c r="D34" i="42455" s="1"/>
  <c r="AT78" i="6"/>
  <c r="D34" i="42459" s="1"/>
  <c r="AU78" i="6"/>
  <c r="C32" i="42452" s="1"/>
  <c r="AW78" i="6"/>
  <c r="D35" i="42464" s="1"/>
  <c r="AX78" i="6"/>
  <c r="C34" i="42455" s="1"/>
  <c r="AY78" i="6"/>
  <c r="C34" i="42459" s="1"/>
  <c r="AZ78" i="6"/>
  <c r="C34" i="42461" s="1"/>
  <c r="BB78" i="6"/>
  <c r="C35" i="42464" s="1"/>
  <c r="L35" i="42464" s="1"/>
  <c r="BC78" i="6"/>
  <c r="BD78" i="6"/>
  <c r="C35" i="42468" s="1"/>
  <c r="BE78" i="6"/>
  <c r="C35" i="42471" s="1"/>
  <c r="K35" i="42471" s="1"/>
  <c r="BG78" i="6"/>
  <c r="C35" i="42473" s="1"/>
  <c r="K35" i="42473" s="1"/>
  <c r="BH78" i="6"/>
  <c r="C37" i="42474" s="1"/>
  <c r="BI78" i="6"/>
  <c r="BJ78" i="6"/>
  <c r="C37" i="42475" s="1"/>
  <c r="BL78" i="6"/>
  <c r="CP78" i="6"/>
  <c r="CQ79" i="6"/>
  <c r="CR79" i="6"/>
  <c r="CS79" i="6"/>
  <c r="CT79" i="6"/>
  <c r="CU79" i="6"/>
  <c r="CV79" i="6"/>
  <c r="CW79" i="6"/>
  <c r="CX79" i="6"/>
  <c r="CY79" i="6"/>
  <c r="CZ79" i="6"/>
  <c r="DA79" i="6"/>
  <c r="DB79" i="6"/>
  <c r="DC79" i="6"/>
  <c r="DD79" i="6"/>
  <c r="DE79" i="6"/>
  <c r="DF79" i="6"/>
  <c r="DG79" i="6"/>
  <c r="CP80" i="6"/>
  <c r="D81" i="6"/>
  <c r="E81" i="6"/>
  <c r="F81" i="6"/>
  <c r="G81" i="6"/>
  <c r="I81" i="6"/>
  <c r="J81" i="6"/>
  <c r="K81" i="6"/>
  <c r="L81" i="6"/>
  <c r="N81" i="6"/>
  <c r="O81" i="6"/>
  <c r="P81" i="6"/>
  <c r="Q81" i="6"/>
  <c r="S81" i="6"/>
  <c r="T81" i="6"/>
  <c r="U81" i="6"/>
  <c r="V81" i="6"/>
  <c r="Y81" i="6"/>
  <c r="Z81" i="6"/>
  <c r="AA81" i="6"/>
  <c r="AC81" i="6"/>
  <c r="D33" i="42428" s="1"/>
  <c r="AD81" i="6"/>
  <c r="D34" i="42432" s="1"/>
  <c r="AE81" i="6"/>
  <c r="D34" i="42437" s="1"/>
  <c r="AL81" i="6"/>
  <c r="CW81" i="6" s="1"/>
  <c r="AQ81" i="6"/>
  <c r="AV81" i="6"/>
  <c r="BA81" i="6"/>
  <c r="C8" i="42419" s="1"/>
  <c r="BF81" i="6"/>
  <c r="D8" i="42419" s="1"/>
  <c r="BK81" i="6"/>
  <c r="E8" i="42419" s="1"/>
  <c r="CP81" i="6"/>
  <c r="CP82" i="6"/>
  <c r="H83" i="6"/>
  <c r="CQ83" i="6" s="1"/>
  <c r="M83" i="6"/>
  <c r="CR83" i="6" s="1"/>
  <c r="R83" i="6"/>
  <c r="CS83" i="6" s="1"/>
  <c r="S83" i="6"/>
  <c r="W83" i="6" s="1"/>
  <c r="CT83" i="6" s="1"/>
  <c r="AB83" i="6"/>
  <c r="CU83" i="6" s="1"/>
  <c r="AG83" i="6"/>
  <c r="CV83" i="6" s="1"/>
  <c r="AL83" i="6"/>
  <c r="CW83" i="6" s="1"/>
  <c r="AQ83" i="6"/>
  <c r="CX83" i="6" s="1"/>
  <c r="AV83" i="6"/>
  <c r="CY83" i="6" s="1"/>
  <c r="BA83" i="6"/>
  <c r="CZ83" i="6" s="1"/>
  <c r="BF83" i="6"/>
  <c r="DA83" i="6" s="1"/>
  <c r="BK83" i="6"/>
  <c r="DB83" i="6" s="1"/>
  <c r="BP83" i="6"/>
  <c r="DC83" i="6" s="1"/>
  <c r="CP83" i="6"/>
  <c r="DE83" i="6"/>
  <c r="DF83" i="6"/>
  <c r="DG83" i="6"/>
  <c r="CP84" i="6"/>
  <c r="H85" i="6"/>
  <c r="CQ85" i="6" s="1"/>
  <c r="M85" i="6"/>
  <c r="CR85" i="6" s="1"/>
  <c r="R85" i="6"/>
  <c r="CS85" i="6" s="1"/>
  <c r="W85" i="6"/>
  <c r="CT85" i="6" s="1"/>
  <c r="AB85" i="6"/>
  <c r="CU85" i="6" s="1"/>
  <c r="AG85" i="6"/>
  <c r="CV85" i="6" s="1"/>
  <c r="AL85" i="6"/>
  <c r="CW85" i="6" s="1"/>
  <c r="AQ85" i="6"/>
  <c r="AV85" i="6"/>
  <c r="CY85" i="6" s="1"/>
  <c r="BA85" i="6"/>
  <c r="CZ85" i="6" s="1"/>
  <c r="BF85" i="6"/>
  <c r="DA85" i="6" s="1"/>
  <c r="BK85" i="6"/>
  <c r="DB85" i="6" s="1"/>
  <c r="BP85" i="6"/>
  <c r="DC85" i="6" s="1"/>
  <c r="CP85" i="6"/>
  <c r="DE85" i="6"/>
  <c r="DF85" i="6"/>
  <c r="DG85" i="6"/>
  <c r="CP86" i="6"/>
  <c r="D87" i="6"/>
  <c r="F87" i="6"/>
  <c r="G87" i="6"/>
  <c r="G1343" i="6" s="1"/>
  <c r="L87" i="6"/>
  <c r="L1343" i="6" s="1"/>
  <c r="X87" i="6"/>
  <c r="Y87" i="6"/>
  <c r="Z87" i="6"/>
  <c r="AC87" i="6"/>
  <c r="AD87" i="6"/>
  <c r="AE87" i="6"/>
  <c r="AH87" i="6"/>
  <c r="AI87" i="6"/>
  <c r="D40" i="42442" s="1"/>
  <c r="AJ87" i="6"/>
  <c r="D39" i="42443" s="1"/>
  <c r="AK87" i="6"/>
  <c r="D39" i="42447" s="1"/>
  <c r="AM87" i="6"/>
  <c r="D39" i="42448" s="1"/>
  <c r="AN87" i="6"/>
  <c r="D39" i="42450" s="1"/>
  <c r="AO87" i="6"/>
  <c r="D39" i="42451" s="1"/>
  <c r="AP87" i="6"/>
  <c r="D41" i="42452" s="1"/>
  <c r="AR87" i="6"/>
  <c r="D43" i="42454" s="1"/>
  <c r="AS87" i="6"/>
  <c r="D43" i="42455" s="1"/>
  <c r="AT87" i="6"/>
  <c r="D43" i="42459" s="1"/>
  <c r="AU87" i="6"/>
  <c r="AW87" i="6"/>
  <c r="AX87" i="6"/>
  <c r="AY87" i="6"/>
  <c r="AZ87" i="6"/>
  <c r="BB87" i="6"/>
  <c r="BC87" i="6"/>
  <c r="BD87" i="6"/>
  <c r="C44" i="42468" s="1"/>
  <c r="BE87" i="6"/>
  <c r="BG87" i="6"/>
  <c r="C44" i="42473" s="1"/>
  <c r="BH87" i="6"/>
  <c r="C46" i="42474" s="1"/>
  <c r="BI87" i="6"/>
  <c r="BJ87" i="6"/>
  <c r="C46" i="42475" s="1"/>
  <c r="BL87" i="6"/>
  <c r="CP87" i="6"/>
  <c r="CP88" i="6"/>
  <c r="CP90" i="6"/>
  <c r="CP91" i="6"/>
  <c r="CP92" i="6"/>
  <c r="CU92" i="6"/>
  <c r="CV92" i="6"/>
  <c r="CP94" i="6"/>
  <c r="CP95" i="6"/>
  <c r="CP96" i="6"/>
  <c r="CU96" i="6"/>
  <c r="CV96" i="6"/>
  <c r="H99" i="6"/>
  <c r="CQ99" i="6" s="1"/>
  <c r="M99" i="6"/>
  <c r="CR99" i="6" s="1"/>
  <c r="R99" i="6"/>
  <c r="CS99" i="6" s="1"/>
  <c r="W99" i="6"/>
  <c r="CT99" i="6" s="1"/>
  <c r="AB99" i="6"/>
  <c r="CU99" i="6" s="1"/>
  <c r="AG99" i="6"/>
  <c r="CV99" i="6" s="1"/>
  <c r="AL99" i="6"/>
  <c r="CW99" i="6" s="1"/>
  <c r="AQ99" i="6"/>
  <c r="CX99" i="6" s="1"/>
  <c r="AV99" i="6"/>
  <c r="CY99" i="6" s="1"/>
  <c r="BA99" i="6"/>
  <c r="CZ99" i="6" s="1"/>
  <c r="BF99" i="6"/>
  <c r="DA99" i="6" s="1"/>
  <c r="BK99" i="6"/>
  <c r="DB99" i="6" s="1"/>
  <c r="BP99" i="6"/>
  <c r="DC99" i="6" s="1"/>
  <c r="CP99" i="6"/>
  <c r="DE99" i="6"/>
  <c r="DF99" i="6"/>
  <c r="DG99" i="6"/>
  <c r="CP100" i="6"/>
  <c r="M102" i="6"/>
  <c r="CR102" i="6" s="1"/>
  <c r="R102" i="6"/>
  <c r="CS102" i="6" s="1"/>
  <c r="W102" i="6"/>
  <c r="CT102" i="6" s="1"/>
  <c r="AB102" i="6"/>
  <c r="CU102" i="6" s="1"/>
  <c r="BF102" i="6"/>
  <c r="BK102" i="6"/>
  <c r="V24" i="42457" s="1"/>
  <c r="CP102" i="6"/>
  <c r="CQ102" i="6"/>
  <c r="CV102" i="6"/>
  <c r="CW102" i="6"/>
  <c r="CX102" i="6"/>
  <c r="CY102" i="6"/>
  <c r="CZ102" i="6"/>
  <c r="BF103" i="6"/>
  <c r="BK103" i="6"/>
  <c r="DB103" i="6" s="1"/>
  <c r="CP103" i="6"/>
  <c r="M104" i="6"/>
  <c r="CR104" i="6" s="1"/>
  <c r="R104" i="6"/>
  <c r="CS104" i="6" s="1"/>
  <c r="W104" i="6"/>
  <c r="CT104" i="6" s="1"/>
  <c r="AB104" i="6"/>
  <c r="CU104" i="6" s="1"/>
  <c r="AF104" i="6"/>
  <c r="AX104" i="6"/>
  <c r="AZ104" i="6"/>
  <c r="BB104" i="6" s="1"/>
  <c r="BC104" i="6" s="1"/>
  <c r="CP104" i="6"/>
  <c r="CQ104" i="6"/>
  <c r="CV104" i="6"/>
  <c r="CW104" i="6"/>
  <c r="CX104" i="6"/>
  <c r="CY104" i="6"/>
  <c r="CZ104" i="6"/>
  <c r="H105" i="6"/>
  <c r="CQ105" i="6" s="1"/>
  <c r="M105" i="6"/>
  <c r="CR105" i="6" s="1"/>
  <c r="R105" i="6"/>
  <c r="CS105" i="6" s="1"/>
  <c r="W105" i="6"/>
  <c r="CT105" i="6" s="1"/>
  <c r="AB105" i="6"/>
  <c r="CU105" i="6" s="1"/>
  <c r="AG105" i="6"/>
  <c r="CV105" i="6" s="1"/>
  <c r="AL105" i="6"/>
  <c r="CW105" i="6" s="1"/>
  <c r="AQ105" i="6"/>
  <c r="CX105" i="6" s="1"/>
  <c r="AU105" i="6"/>
  <c r="AV105" i="6" s="1"/>
  <c r="CY105" i="6" s="1"/>
  <c r="BA105" i="6"/>
  <c r="CZ105" i="6" s="1"/>
  <c r="BE105" i="6"/>
  <c r="BF105" i="6" s="1"/>
  <c r="DA105" i="6" s="1"/>
  <c r="CP105" i="6"/>
  <c r="CP107" i="6"/>
  <c r="D108" i="6"/>
  <c r="E108" i="6"/>
  <c r="F108" i="6"/>
  <c r="G108" i="6"/>
  <c r="I108" i="6"/>
  <c r="N108" i="6"/>
  <c r="Q108" i="6"/>
  <c r="S108" i="6"/>
  <c r="Z108" i="6"/>
  <c r="AC108" i="6"/>
  <c r="AE108" i="6"/>
  <c r="AF108" i="6"/>
  <c r="AH108" i="6"/>
  <c r="AI108" i="6"/>
  <c r="AJ108" i="6"/>
  <c r="AK108" i="6"/>
  <c r="AM108" i="6"/>
  <c r="AN108" i="6"/>
  <c r="AO108" i="6"/>
  <c r="AP108" i="6"/>
  <c r="AR108" i="6"/>
  <c r="AS108" i="6"/>
  <c r="AT108" i="6"/>
  <c r="AU108" i="6"/>
  <c r="AW108" i="6"/>
  <c r="AX108" i="6"/>
  <c r="AY108" i="6"/>
  <c r="AZ108" i="6"/>
  <c r="BB108" i="6"/>
  <c r="BC108" i="6"/>
  <c r="BD108" i="6"/>
  <c r="BE108" i="6"/>
  <c r="BG108" i="6"/>
  <c r="BH108" i="6"/>
  <c r="BI108" i="6"/>
  <c r="BJ108" i="6"/>
  <c r="BL108" i="6"/>
  <c r="BM108" i="6"/>
  <c r="BN108" i="6"/>
  <c r="BO108" i="6"/>
  <c r="CP108" i="6"/>
  <c r="CQ109" i="6"/>
  <c r="CR109" i="6"/>
  <c r="CS109" i="6"/>
  <c r="CT109" i="6"/>
  <c r="CU109" i="6"/>
  <c r="CV109" i="6"/>
  <c r="CW109" i="6"/>
  <c r="CX109" i="6"/>
  <c r="CY109" i="6"/>
  <c r="CZ109" i="6"/>
  <c r="DA109" i="6"/>
  <c r="DB109" i="6"/>
  <c r="DC109" i="6"/>
  <c r="DD109" i="6"/>
  <c r="DE109" i="6"/>
  <c r="DF109" i="6"/>
  <c r="DG109" i="6"/>
  <c r="CP110" i="6"/>
  <c r="CP113" i="6"/>
  <c r="D114" i="6"/>
  <c r="D119" i="6" s="1"/>
  <c r="E114" i="6"/>
  <c r="F114" i="6"/>
  <c r="F119" i="6" s="1"/>
  <c r="G114" i="6"/>
  <c r="G119" i="6" s="1"/>
  <c r="I114" i="6"/>
  <c r="I119" i="6" s="1"/>
  <c r="J114" i="6"/>
  <c r="J119" i="6" s="1"/>
  <c r="K114" i="6"/>
  <c r="K119" i="6" s="1"/>
  <c r="L114" i="6"/>
  <c r="L119" i="6" s="1"/>
  <c r="N114" i="6"/>
  <c r="N119" i="6" s="1"/>
  <c r="O114" i="6"/>
  <c r="O119" i="6" s="1"/>
  <c r="P114" i="6"/>
  <c r="P119" i="6" s="1"/>
  <c r="Q114" i="6"/>
  <c r="S114" i="6"/>
  <c r="T114" i="6"/>
  <c r="U114" i="6"/>
  <c r="U119" i="6" s="1"/>
  <c r="V114" i="6"/>
  <c r="V119" i="6" s="1"/>
  <c r="X114" i="6"/>
  <c r="X119" i="6" s="1"/>
  <c r="Y114" i="6"/>
  <c r="Z114" i="6"/>
  <c r="AA114" i="6"/>
  <c r="AA119" i="6" s="1"/>
  <c r="AC114" i="6"/>
  <c r="AC119" i="6" s="1"/>
  <c r="AD114" i="6"/>
  <c r="AD119" i="6" s="1"/>
  <c r="AE114" i="6"/>
  <c r="AE119" i="6" s="1"/>
  <c r="AF114" i="6"/>
  <c r="AH114" i="6"/>
  <c r="AH119" i="6" s="1"/>
  <c r="AT114" i="6"/>
  <c r="AT119" i="6" s="1"/>
  <c r="AW114" i="6"/>
  <c r="AW119" i="6" s="1"/>
  <c r="AX114" i="6"/>
  <c r="AX119" i="6" s="1"/>
  <c r="BB114" i="6"/>
  <c r="BB119" i="6" s="1"/>
  <c r="BC114" i="6"/>
  <c r="BC119" i="6" s="1"/>
  <c r="BD114" i="6"/>
  <c r="BD119" i="6" s="1"/>
  <c r="BG114" i="6"/>
  <c r="BG119" i="6" s="1"/>
  <c r="CP114" i="6"/>
  <c r="CQ115" i="6"/>
  <c r="CR115" i="6"/>
  <c r="CS115" i="6"/>
  <c r="CT115" i="6"/>
  <c r="CU115" i="6"/>
  <c r="CV115" i="6"/>
  <c r="CW115" i="6"/>
  <c r="CX115" i="6"/>
  <c r="CY115" i="6"/>
  <c r="CZ115" i="6"/>
  <c r="DA115" i="6"/>
  <c r="DB115" i="6"/>
  <c r="DC115" i="6"/>
  <c r="DD115" i="6"/>
  <c r="DE115" i="6"/>
  <c r="DF115" i="6"/>
  <c r="DG115" i="6"/>
  <c r="CP116" i="6"/>
  <c r="CP118" i="6"/>
  <c r="S119" i="6"/>
  <c r="CP119" i="6"/>
  <c r="D120" i="6"/>
  <c r="AQ120" i="6"/>
  <c r="CX120" i="6" s="1"/>
  <c r="AV120" i="6"/>
  <c r="CY120" i="6" s="1"/>
  <c r="BA120" i="6"/>
  <c r="CZ120" i="6" s="1"/>
  <c r="BF120" i="6"/>
  <c r="DA120" i="6" s="1"/>
  <c r="BK120" i="6"/>
  <c r="DB120" i="6" s="1"/>
  <c r="BP120" i="6"/>
  <c r="DC120" i="6" s="1"/>
  <c r="CP120" i="6"/>
  <c r="DE120" i="6"/>
  <c r="DF120" i="6"/>
  <c r="DG120" i="6"/>
  <c r="AH121" i="6"/>
  <c r="AR121" i="6"/>
  <c r="AT121" i="6"/>
  <c r="BA121" i="6"/>
  <c r="CZ121" i="6" s="1"/>
  <c r="BF121" i="6"/>
  <c r="DA121" i="6" s="1"/>
  <c r="BK121" i="6"/>
  <c r="DB121" i="6" s="1"/>
  <c r="BP121" i="6"/>
  <c r="DC121" i="6" s="1"/>
  <c r="CP121" i="6"/>
  <c r="CQ121" i="6"/>
  <c r="CR121" i="6"/>
  <c r="CS121" i="6"/>
  <c r="CT121" i="6"/>
  <c r="CU121" i="6"/>
  <c r="CV121" i="6"/>
  <c r="DE121" i="6"/>
  <c r="DF121" i="6"/>
  <c r="DG121" i="6"/>
  <c r="CQ122" i="6"/>
  <c r="CR122" i="6"/>
  <c r="CS122" i="6"/>
  <c r="CT122" i="6"/>
  <c r="CU122" i="6"/>
  <c r="CV122" i="6"/>
  <c r="CW122" i="6"/>
  <c r="CX122" i="6"/>
  <c r="CY122" i="6"/>
  <c r="CZ122" i="6"/>
  <c r="DA122" i="6"/>
  <c r="DB122" i="6"/>
  <c r="DC122" i="6"/>
  <c r="DD122" i="6"/>
  <c r="DE122" i="6"/>
  <c r="DF122" i="6"/>
  <c r="DG122" i="6"/>
  <c r="CP123" i="6"/>
  <c r="CP125" i="6"/>
  <c r="CP126" i="6"/>
  <c r="CP127" i="6"/>
  <c r="N128" i="6"/>
  <c r="AE128" i="6"/>
  <c r="BG128" i="6"/>
  <c r="CP128" i="6"/>
  <c r="E129" i="6"/>
  <c r="F129" i="6"/>
  <c r="G129" i="6"/>
  <c r="J129" i="6"/>
  <c r="K129" i="6"/>
  <c r="L129" i="6"/>
  <c r="P129" i="6"/>
  <c r="Q129" i="6"/>
  <c r="U129" i="6"/>
  <c r="V129" i="6"/>
  <c r="Z129" i="6"/>
  <c r="AA129" i="6"/>
  <c r="AE129" i="6"/>
  <c r="AF129" i="6"/>
  <c r="AH129" i="6"/>
  <c r="AW129" i="6"/>
  <c r="AY129" i="6"/>
  <c r="BB129" i="6"/>
  <c r="BG129" i="6"/>
  <c r="BI129" i="6"/>
  <c r="BL129" i="6"/>
  <c r="CP129" i="6"/>
  <c r="CP130" i="6"/>
  <c r="CZ130" i="6"/>
  <c r="DA130" i="6"/>
  <c r="DB130" i="6"/>
  <c r="DC130" i="6"/>
  <c r="DD130" i="6"/>
  <c r="DE130" i="6"/>
  <c r="DF130" i="6"/>
  <c r="DG130" i="6"/>
  <c r="AI133" i="6"/>
  <c r="AJ133" i="6"/>
  <c r="AK133" i="6"/>
  <c r="AL133" i="6"/>
  <c r="CW133" i="6" s="1"/>
  <c r="AM133" i="6"/>
  <c r="AN133" i="6"/>
  <c r="AO133" i="6"/>
  <c r="AP133" i="6"/>
  <c r="AQ133" i="6"/>
  <c r="CX133" i="6" s="1"/>
  <c r="AR133" i="6"/>
  <c r="AS133" i="6"/>
  <c r="AT133" i="6"/>
  <c r="AU133" i="6"/>
  <c r="AV133" i="6"/>
  <c r="CY133" i="6" s="1"/>
  <c r="AW133" i="6"/>
  <c r="AX133" i="6"/>
  <c r="AY133" i="6"/>
  <c r="AZ133" i="6"/>
  <c r="BA133" i="6"/>
  <c r="CZ133" i="6" s="1"/>
  <c r="BB133" i="6"/>
  <c r="BC133" i="6"/>
  <c r="BD133" i="6"/>
  <c r="BE133" i="6"/>
  <c r="BF133" i="6"/>
  <c r="DA133" i="6" s="1"/>
  <c r="BG133" i="6"/>
  <c r="BH133" i="6"/>
  <c r="BI133" i="6"/>
  <c r="BJ133" i="6"/>
  <c r="BK133" i="6"/>
  <c r="DB133" i="6" s="1"/>
  <c r="BL133" i="6"/>
  <c r="BM133" i="6"/>
  <c r="BN133" i="6"/>
  <c r="BO133" i="6"/>
  <c r="BP133" i="6"/>
  <c r="DC133" i="6" s="1"/>
  <c r="BU133" i="6"/>
  <c r="DD133" i="6" s="1"/>
  <c r="BZ133" i="6"/>
  <c r="DE133" i="6" s="1"/>
  <c r="CA133" i="6"/>
  <c r="DF133" i="6" s="1"/>
  <c r="CB133" i="6"/>
  <c r="DG133" i="6" s="1"/>
  <c r="CC133" i="6"/>
  <c r="CD133" i="6"/>
  <c r="CE133" i="6"/>
  <c r="CF133" i="6"/>
  <c r="CG133" i="6"/>
  <c r="CP133" i="6"/>
  <c r="CQ133" i="6"/>
  <c r="CR133" i="6"/>
  <c r="CS133" i="6"/>
  <c r="CT133" i="6"/>
  <c r="CU133" i="6"/>
  <c r="CV133" i="6"/>
  <c r="CP135" i="6"/>
  <c r="G136" i="6"/>
  <c r="AS136" i="6"/>
  <c r="CP136" i="6"/>
  <c r="D137" i="6"/>
  <c r="E137" i="6"/>
  <c r="F137" i="6"/>
  <c r="G137" i="6"/>
  <c r="I137" i="6"/>
  <c r="J137" i="6"/>
  <c r="K137" i="6"/>
  <c r="N137" i="6"/>
  <c r="X137" i="6"/>
  <c r="AC137" i="6"/>
  <c r="AH137" i="6"/>
  <c r="AM137" i="6"/>
  <c r="BB137" i="6"/>
  <c r="BL137" i="6"/>
  <c r="BO137" i="6"/>
  <c r="CP137" i="6"/>
  <c r="D138" i="6"/>
  <c r="E138" i="6"/>
  <c r="F138" i="6"/>
  <c r="G138" i="6"/>
  <c r="I138" i="6"/>
  <c r="J138" i="6"/>
  <c r="K138" i="6"/>
  <c r="L138" i="6"/>
  <c r="N138" i="6"/>
  <c r="S138" i="6"/>
  <c r="X138" i="6"/>
  <c r="AC138" i="6"/>
  <c r="AM138" i="6"/>
  <c r="AR138" i="6"/>
  <c r="AW138" i="6"/>
  <c r="BB138" i="6"/>
  <c r="BG138" i="6"/>
  <c r="BL138" i="6"/>
  <c r="CP138" i="6"/>
  <c r="D139" i="6"/>
  <c r="I139" i="6"/>
  <c r="N139" i="6"/>
  <c r="X139" i="6"/>
  <c r="Y139" i="6"/>
  <c r="Z139" i="6"/>
  <c r="AA139" i="6"/>
  <c r="AC139" i="6"/>
  <c r="AD139" i="6"/>
  <c r="AE139" i="6"/>
  <c r="AF139" i="6"/>
  <c r="AH139" i="6"/>
  <c r="AI139" i="6"/>
  <c r="AJ139" i="6"/>
  <c r="AK139" i="6"/>
  <c r="AM139" i="6"/>
  <c r="AN139" i="6"/>
  <c r="AO139" i="6"/>
  <c r="AP139" i="6"/>
  <c r="AR139" i="6"/>
  <c r="AS139" i="6"/>
  <c r="AT139" i="6"/>
  <c r="AU139" i="6"/>
  <c r="AW139" i="6"/>
  <c r="AX139" i="6"/>
  <c r="AY139" i="6"/>
  <c r="AZ139" i="6"/>
  <c r="BB139" i="6"/>
  <c r="BC139" i="6"/>
  <c r="BD139" i="6"/>
  <c r="BE139" i="6"/>
  <c r="BG139" i="6"/>
  <c r="BH139" i="6"/>
  <c r="BI139" i="6"/>
  <c r="BJ139" i="6"/>
  <c r="BL139" i="6"/>
  <c r="BM139" i="6"/>
  <c r="BN139" i="6"/>
  <c r="BO139" i="6"/>
  <c r="DE139" i="6"/>
  <c r="CA139" i="6"/>
  <c r="DF139" i="6" s="1"/>
  <c r="CB139" i="6"/>
  <c r="DG139" i="6" s="1"/>
  <c r="CC139" i="6"/>
  <c r="CD139" i="6"/>
  <c r="CE139" i="6"/>
  <c r="CF139" i="6"/>
  <c r="CG139" i="6"/>
  <c r="CP139" i="6"/>
  <c r="D140" i="6"/>
  <c r="I140" i="6"/>
  <c r="N140" i="6"/>
  <c r="S140" i="6"/>
  <c r="X140" i="6"/>
  <c r="AC140" i="6"/>
  <c r="AH140" i="6"/>
  <c r="AM140" i="6"/>
  <c r="AN140" i="6"/>
  <c r="AO140" i="6"/>
  <c r="AR140" i="6"/>
  <c r="AS140" i="6"/>
  <c r="AT140" i="6"/>
  <c r="AW140" i="6"/>
  <c r="AX140" i="6"/>
  <c r="BB140" i="6"/>
  <c r="BC140" i="6"/>
  <c r="BG140" i="6"/>
  <c r="BH140" i="6"/>
  <c r="BI140" i="6"/>
  <c r="BL140" i="6"/>
  <c r="BM140" i="6"/>
  <c r="BN140" i="6"/>
  <c r="BO140" i="6"/>
  <c r="CP140" i="6"/>
  <c r="D141" i="6"/>
  <c r="E141" i="6"/>
  <c r="F141" i="6"/>
  <c r="G141" i="6"/>
  <c r="I141" i="6"/>
  <c r="N141" i="6"/>
  <c r="S141" i="6"/>
  <c r="X141" i="6"/>
  <c r="AC141" i="6"/>
  <c r="AH141" i="6"/>
  <c r="AM141" i="6"/>
  <c r="AN141" i="6"/>
  <c r="AO141" i="6"/>
  <c r="AP141" i="6"/>
  <c r="AR141" i="6"/>
  <c r="AS141" i="6"/>
  <c r="AT141" i="6"/>
  <c r="AW141" i="6"/>
  <c r="AX141" i="6"/>
  <c r="BB141" i="6"/>
  <c r="BC141" i="6"/>
  <c r="BG141" i="6"/>
  <c r="BH141" i="6"/>
  <c r="BI141" i="6"/>
  <c r="BL141" i="6"/>
  <c r="BM141" i="6"/>
  <c r="BN141" i="6"/>
  <c r="BO141" i="6"/>
  <c r="CP141" i="6"/>
  <c r="D142" i="6"/>
  <c r="E142" i="6"/>
  <c r="F142" i="6"/>
  <c r="G142" i="6"/>
  <c r="I142" i="6"/>
  <c r="J142" i="6"/>
  <c r="K142" i="6"/>
  <c r="L142" i="6"/>
  <c r="N142" i="6"/>
  <c r="O142" i="6"/>
  <c r="P142" i="6"/>
  <c r="S142" i="6"/>
  <c r="T142" i="6"/>
  <c r="U142" i="6"/>
  <c r="V142" i="6"/>
  <c r="X142" i="6"/>
  <c r="Y142" i="6"/>
  <c r="Z142" i="6"/>
  <c r="AA142" i="6"/>
  <c r="AC142" i="6"/>
  <c r="AD142" i="6"/>
  <c r="AE142" i="6"/>
  <c r="AF142" i="6"/>
  <c r="AT142" i="6"/>
  <c r="CP142" i="6"/>
  <c r="CP143" i="6"/>
  <c r="CP144" i="6"/>
  <c r="D145" i="6"/>
  <c r="CP145" i="6"/>
  <c r="D146" i="6"/>
  <c r="I146" i="6"/>
  <c r="N146" i="6"/>
  <c r="S146" i="6"/>
  <c r="X146" i="6"/>
  <c r="AC146" i="6"/>
  <c r="AH146" i="6"/>
  <c r="AM146" i="6"/>
  <c r="AR146" i="6"/>
  <c r="AW146" i="6"/>
  <c r="BB146" i="6"/>
  <c r="BG146" i="6"/>
  <c r="BL146" i="6"/>
  <c r="BO146" i="6"/>
  <c r="DE146" i="6"/>
  <c r="CA146" i="6"/>
  <c r="DF146" i="6" s="1"/>
  <c r="CB146" i="6"/>
  <c r="DG146" i="6" s="1"/>
  <c r="CC146" i="6"/>
  <c r="CD146" i="6"/>
  <c r="CE146" i="6"/>
  <c r="CF146" i="6"/>
  <c r="CG146" i="6"/>
  <c r="CP146" i="6"/>
  <c r="CP147" i="6"/>
  <c r="D148" i="6"/>
  <c r="I148" i="6"/>
  <c r="N148" i="6"/>
  <c r="O148" i="6"/>
  <c r="P148" i="6"/>
  <c r="S148" i="6"/>
  <c r="X148" i="6"/>
  <c r="AC148" i="6"/>
  <c r="AH148" i="6"/>
  <c r="AM148" i="6"/>
  <c r="AN148" i="6"/>
  <c r="AO148" i="6"/>
  <c r="AP148" i="6"/>
  <c r="AR148" i="6"/>
  <c r="AS148" i="6"/>
  <c r="AT148" i="6"/>
  <c r="AU148" i="6"/>
  <c r="AW148" i="6"/>
  <c r="AX148" i="6"/>
  <c r="AZ148" i="6"/>
  <c r="BB148" i="6"/>
  <c r="BC148" i="6"/>
  <c r="BG148" i="6"/>
  <c r="BH148" i="6"/>
  <c r="BI148" i="6"/>
  <c r="BL148" i="6"/>
  <c r="BM148" i="6"/>
  <c r="BN148" i="6"/>
  <c r="BO148" i="6"/>
  <c r="DE148" i="6"/>
  <c r="CA148" i="6"/>
  <c r="DF148" i="6" s="1"/>
  <c r="CB148" i="6"/>
  <c r="DG148" i="6" s="1"/>
  <c r="CC148" i="6"/>
  <c r="CD148" i="6"/>
  <c r="CE148" i="6"/>
  <c r="CF148" i="6"/>
  <c r="CG148" i="6"/>
  <c r="CP148" i="6"/>
  <c r="D149" i="6"/>
  <c r="I149" i="6"/>
  <c r="N149" i="6"/>
  <c r="S149" i="6"/>
  <c r="X149" i="6"/>
  <c r="AC149" i="6"/>
  <c r="AF149" i="6"/>
  <c r="AH149" i="6"/>
  <c r="AI149" i="6"/>
  <c r="AJ149" i="6"/>
  <c r="AK149" i="6"/>
  <c r="AM149" i="6"/>
  <c r="AN149" i="6"/>
  <c r="AO149" i="6"/>
  <c r="AP149" i="6"/>
  <c r="AR149" i="6"/>
  <c r="AS149" i="6"/>
  <c r="AT149" i="6"/>
  <c r="AW149" i="6"/>
  <c r="AX149" i="6"/>
  <c r="AY149" i="6"/>
  <c r="AZ149" i="6"/>
  <c r="BB149" i="6"/>
  <c r="BC149" i="6"/>
  <c r="BD149" i="6"/>
  <c r="BG149" i="6"/>
  <c r="CP149" i="6"/>
  <c r="D150" i="6"/>
  <c r="I150" i="6"/>
  <c r="N150" i="6"/>
  <c r="O150" i="6"/>
  <c r="P150" i="6"/>
  <c r="S150" i="6"/>
  <c r="X150" i="6"/>
  <c r="Y150" i="6"/>
  <c r="Z150" i="6"/>
  <c r="AC150" i="6"/>
  <c r="AH150" i="6"/>
  <c r="AI150" i="6"/>
  <c r="AJ150" i="6"/>
  <c r="AK150" i="6"/>
  <c r="AM150" i="6"/>
  <c r="AN150" i="6"/>
  <c r="AO150" i="6"/>
  <c r="AR150" i="6"/>
  <c r="AS150" i="6"/>
  <c r="AT150" i="6"/>
  <c r="AW150" i="6"/>
  <c r="AX150" i="6"/>
  <c r="BB150" i="6"/>
  <c r="BC150" i="6"/>
  <c r="BG150" i="6"/>
  <c r="BH150" i="6"/>
  <c r="BI150" i="6"/>
  <c r="BL150" i="6"/>
  <c r="BM150" i="6"/>
  <c r="BN150" i="6"/>
  <c r="BO150" i="6"/>
  <c r="DE150" i="6"/>
  <c r="CA150" i="6"/>
  <c r="DF150" i="6" s="1"/>
  <c r="CB150" i="6"/>
  <c r="DG150" i="6" s="1"/>
  <c r="CC150" i="6"/>
  <c r="CD150" i="6"/>
  <c r="CE150" i="6"/>
  <c r="CF150" i="6"/>
  <c r="CG150" i="6"/>
  <c r="CP150" i="6"/>
  <c r="CP151" i="6"/>
  <c r="CP153" i="6"/>
  <c r="BP154" i="6"/>
  <c r="DC154" i="6" s="1"/>
  <c r="CP154" i="6"/>
  <c r="DE154" i="6"/>
  <c r="DF154" i="6"/>
  <c r="DG154" i="6"/>
  <c r="CP155" i="6"/>
  <c r="CP157" i="6"/>
  <c r="CP159" i="6"/>
  <c r="CP160" i="6"/>
  <c r="CP162" i="6"/>
  <c r="D165" i="6"/>
  <c r="E165" i="6"/>
  <c r="F165" i="6"/>
  <c r="G165" i="6"/>
  <c r="H165" i="6"/>
  <c r="CV165" i="6" s="1"/>
  <c r="I165" i="6"/>
  <c r="J165" i="6"/>
  <c r="K165" i="6"/>
  <c r="L165" i="6"/>
  <c r="M165" i="6"/>
  <c r="CW165" i="6" s="1"/>
  <c r="N165" i="6"/>
  <c r="O165" i="6"/>
  <c r="P165" i="6"/>
  <c r="Q165" i="6"/>
  <c r="R165" i="6"/>
  <c r="CX165" i="6" s="1"/>
  <c r="S165" i="6"/>
  <c r="T165" i="6"/>
  <c r="U165" i="6"/>
  <c r="V165" i="6"/>
  <c r="W165" i="6"/>
  <c r="CY165" i="6" s="1"/>
  <c r="X165" i="6"/>
  <c r="Y165" i="6"/>
  <c r="Z165" i="6"/>
  <c r="AA165" i="6"/>
  <c r="AB165" i="6"/>
  <c r="CZ165" i="6" s="1"/>
  <c r="AC165" i="6"/>
  <c r="AD165" i="6"/>
  <c r="AE165" i="6"/>
  <c r="AF165" i="6"/>
  <c r="AG165" i="6"/>
  <c r="DA165" i="6" s="1"/>
  <c r="AH165" i="6"/>
  <c r="AI165" i="6"/>
  <c r="AJ165" i="6"/>
  <c r="AK165" i="6"/>
  <c r="AL165" i="6"/>
  <c r="DB165" i="6" s="1"/>
  <c r="AM165" i="6"/>
  <c r="AN165" i="6"/>
  <c r="AO165" i="6"/>
  <c r="AP165" i="6"/>
  <c r="AQ165" i="6"/>
  <c r="DC165" i="6" s="1"/>
  <c r="AR165" i="6"/>
  <c r="AS165" i="6"/>
  <c r="AT165" i="6"/>
  <c r="AU165" i="6"/>
  <c r="AV165" i="6"/>
  <c r="DD165" i="6" s="1"/>
  <c r="AW165" i="6"/>
  <c r="AX165" i="6"/>
  <c r="AY165" i="6"/>
  <c r="AZ165" i="6"/>
  <c r="BA165" i="6"/>
  <c r="DE165" i="6" s="1"/>
  <c r="BB165" i="6"/>
  <c r="BC165" i="6"/>
  <c r="BD165" i="6"/>
  <c r="BE165" i="6"/>
  <c r="BF165" i="6"/>
  <c r="DF165" i="6" s="1"/>
  <c r="BG165" i="6"/>
  <c r="BH165" i="6"/>
  <c r="BI165" i="6"/>
  <c r="BJ165" i="6"/>
  <c r="BK165" i="6"/>
  <c r="DG165" i="6" s="1"/>
  <c r="BL165" i="6"/>
  <c r="BM165" i="6"/>
  <c r="BN165" i="6"/>
  <c r="BO165" i="6"/>
  <c r="BP165" i="6"/>
  <c r="DH165" i="6" s="1"/>
  <c r="BU165" i="6"/>
  <c r="DI165" i="6" s="1"/>
  <c r="BZ165" i="6"/>
  <c r="DJ165" i="6" s="1"/>
  <c r="CA165" i="6"/>
  <c r="DK165" i="6" s="1"/>
  <c r="CB165" i="6"/>
  <c r="DL165" i="6" s="1"/>
  <c r="CC165" i="6"/>
  <c r="CD165" i="6"/>
  <c r="CE165" i="6"/>
  <c r="CF165" i="6"/>
  <c r="CG165" i="6"/>
  <c r="CU165" i="6"/>
  <c r="CU167" i="6"/>
  <c r="CV167" i="6"/>
  <c r="I168" i="6"/>
  <c r="J168" i="6"/>
  <c r="K168" i="6"/>
  <c r="L168" i="6"/>
  <c r="M168" i="6" s="1"/>
  <c r="N168" i="6"/>
  <c r="O168" i="6"/>
  <c r="P168" i="6"/>
  <c r="Q168" i="6"/>
  <c r="R168" i="6" s="1"/>
  <c r="S168" i="6"/>
  <c r="T168" i="6"/>
  <c r="U168" i="6"/>
  <c r="V168" i="6"/>
  <c r="W168" i="6" s="1"/>
  <c r="X168" i="6"/>
  <c r="Y168" i="6"/>
  <c r="Z168" i="6"/>
  <c r="AA168" i="6"/>
  <c r="AB168" i="6" s="1"/>
  <c r="AC168" i="6"/>
  <c r="AE168" i="6"/>
  <c r="AI168" i="6"/>
  <c r="AM168" i="6"/>
  <c r="AO168" i="6"/>
  <c r="AS168" i="6"/>
  <c r="AU168" i="6"/>
  <c r="AV168" i="6" s="1"/>
  <c r="AW168" i="6"/>
  <c r="AX168" i="6"/>
  <c r="AY168" i="6"/>
  <c r="AZ168" i="6"/>
  <c r="BA168" i="6" s="1"/>
  <c r="BB168" i="6"/>
  <c r="BC168" i="6"/>
  <c r="BD168" i="6"/>
  <c r="BE168" i="6"/>
  <c r="BF168" i="6" s="1"/>
  <c r="BG168" i="6"/>
  <c r="BI168" i="6"/>
  <c r="D185" i="6"/>
  <c r="E185" i="6"/>
  <c r="F185" i="6"/>
  <c r="G185" i="6"/>
  <c r="H185" i="6"/>
  <c r="CQ185" i="6" s="1"/>
  <c r="I185" i="6"/>
  <c r="J185" i="6"/>
  <c r="K185" i="6"/>
  <c r="L185" i="6"/>
  <c r="M185" i="6"/>
  <c r="CR185" i="6" s="1"/>
  <c r="N185" i="6"/>
  <c r="O185" i="6"/>
  <c r="P185" i="6"/>
  <c r="Q185" i="6"/>
  <c r="R185" i="6"/>
  <c r="CS185" i="6" s="1"/>
  <c r="S185" i="6"/>
  <c r="T185" i="6"/>
  <c r="U185" i="6"/>
  <c r="V185" i="6"/>
  <c r="W185" i="6"/>
  <c r="CT185" i="6" s="1"/>
  <c r="X185" i="6"/>
  <c r="Y185" i="6"/>
  <c r="Z185" i="6"/>
  <c r="AA185" i="6"/>
  <c r="AB185" i="6"/>
  <c r="CU185" i="6" s="1"/>
  <c r="AC185" i="6"/>
  <c r="AD185" i="6"/>
  <c r="AE185" i="6"/>
  <c r="AF185" i="6"/>
  <c r="AG185" i="6"/>
  <c r="CV185" i="6" s="1"/>
  <c r="AH185" i="6"/>
  <c r="AI185" i="6"/>
  <c r="AJ185" i="6"/>
  <c r="AK185" i="6"/>
  <c r="AL185" i="6"/>
  <c r="CW185" i="6" s="1"/>
  <c r="AM185" i="6"/>
  <c r="AN185" i="6"/>
  <c r="AO185" i="6"/>
  <c r="AP185" i="6"/>
  <c r="AQ185" i="6"/>
  <c r="CX185" i="6" s="1"/>
  <c r="AR185" i="6"/>
  <c r="AS185" i="6"/>
  <c r="AT185" i="6"/>
  <c r="AU185" i="6"/>
  <c r="AV185" i="6"/>
  <c r="CY185" i="6" s="1"/>
  <c r="AW185" i="6"/>
  <c r="AX185" i="6"/>
  <c r="AY185" i="6"/>
  <c r="AZ185" i="6"/>
  <c r="BA185" i="6"/>
  <c r="CZ185" i="6" s="1"/>
  <c r="BB185" i="6"/>
  <c r="BC185" i="6"/>
  <c r="BD185" i="6"/>
  <c r="BE185" i="6"/>
  <c r="BF185" i="6"/>
  <c r="DA185" i="6" s="1"/>
  <c r="BG185" i="6"/>
  <c r="BH185" i="6"/>
  <c r="BI185" i="6"/>
  <c r="BJ185" i="6"/>
  <c r="BK185" i="6"/>
  <c r="DB185" i="6" s="1"/>
  <c r="BL185" i="6"/>
  <c r="BM185" i="6"/>
  <c r="BN185" i="6"/>
  <c r="BO185" i="6"/>
  <c r="BP185" i="6"/>
  <c r="DC185" i="6" s="1"/>
  <c r="BU185" i="6"/>
  <c r="DD185" i="6" s="1"/>
  <c r="BZ185" i="6"/>
  <c r="DE185" i="6" s="1"/>
  <c r="CA185" i="6"/>
  <c r="DF185" i="6" s="1"/>
  <c r="CB185" i="6"/>
  <c r="DG185" i="6" s="1"/>
  <c r="CC185" i="6"/>
  <c r="CD185" i="6"/>
  <c r="CE185" i="6"/>
  <c r="CF185" i="6"/>
  <c r="CG185" i="6"/>
  <c r="CP185" i="6"/>
  <c r="D187" i="6"/>
  <c r="E187" i="6"/>
  <c r="F187" i="6"/>
  <c r="G187" i="6"/>
  <c r="H187" i="6"/>
  <c r="CQ187" i="6" s="1"/>
  <c r="I187" i="6"/>
  <c r="J187" i="6"/>
  <c r="K187" i="6"/>
  <c r="L187" i="6"/>
  <c r="M187" i="6"/>
  <c r="CR187" i="6" s="1"/>
  <c r="N187" i="6"/>
  <c r="O187" i="6"/>
  <c r="P187" i="6"/>
  <c r="Q187" i="6"/>
  <c r="R187" i="6"/>
  <c r="CS187" i="6" s="1"/>
  <c r="S187" i="6"/>
  <c r="T187" i="6"/>
  <c r="U187" i="6"/>
  <c r="V187" i="6"/>
  <c r="W187" i="6"/>
  <c r="CT187" i="6" s="1"/>
  <c r="X187" i="6"/>
  <c r="Y187" i="6"/>
  <c r="Z187" i="6"/>
  <c r="AA187" i="6"/>
  <c r="AB187" i="6"/>
  <c r="CU187" i="6" s="1"/>
  <c r="AC187" i="6"/>
  <c r="AD187" i="6"/>
  <c r="AE187" i="6"/>
  <c r="AF187" i="6"/>
  <c r="AG187" i="6"/>
  <c r="CV187" i="6" s="1"/>
  <c r="AH187" i="6"/>
  <c r="AI187" i="6"/>
  <c r="AJ187" i="6"/>
  <c r="AK187" i="6"/>
  <c r="AL187" i="6"/>
  <c r="CW187" i="6" s="1"/>
  <c r="AM187" i="6"/>
  <c r="AN187" i="6"/>
  <c r="AO187" i="6"/>
  <c r="AP187" i="6"/>
  <c r="AQ187" i="6"/>
  <c r="CX187" i="6" s="1"/>
  <c r="AR187" i="6"/>
  <c r="AS187" i="6"/>
  <c r="AT187" i="6"/>
  <c r="AU187" i="6"/>
  <c r="AV187" i="6"/>
  <c r="CY187" i="6" s="1"/>
  <c r="AW187" i="6"/>
  <c r="AX187" i="6"/>
  <c r="AY187" i="6"/>
  <c r="AZ187" i="6"/>
  <c r="BA187" i="6"/>
  <c r="CZ187" i="6" s="1"/>
  <c r="BB187" i="6"/>
  <c r="BC187" i="6"/>
  <c r="BD187" i="6"/>
  <c r="BE187" i="6"/>
  <c r="BF187" i="6"/>
  <c r="DA187" i="6" s="1"/>
  <c r="BG187" i="6"/>
  <c r="BH187" i="6"/>
  <c r="BI187" i="6"/>
  <c r="BJ187" i="6"/>
  <c r="BK187" i="6"/>
  <c r="DB187" i="6" s="1"/>
  <c r="BL187" i="6"/>
  <c r="BM187" i="6"/>
  <c r="BN187" i="6"/>
  <c r="BO187" i="6"/>
  <c r="BP187" i="6"/>
  <c r="DC187" i="6" s="1"/>
  <c r="BU187" i="6"/>
  <c r="DD187" i="6" s="1"/>
  <c r="BZ187" i="6"/>
  <c r="DE187" i="6" s="1"/>
  <c r="CA187" i="6"/>
  <c r="DF187" i="6" s="1"/>
  <c r="CB187" i="6"/>
  <c r="DG187" i="6" s="1"/>
  <c r="CC187" i="6"/>
  <c r="CD187" i="6"/>
  <c r="CE187" i="6"/>
  <c r="CF187" i="6"/>
  <c r="CG187" i="6"/>
  <c r="CP187" i="6"/>
  <c r="H188" i="6"/>
  <c r="M188" i="6"/>
  <c r="R188" i="6"/>
  <c r="CP188" i="6"/>
  <c r="CQ188" i="6"/>
  <c r="CR188" i="6"/>
  <c r="CS188" i="6"/>
  <c r="H189" i="6"/>
  <c r="M189" i="6"/>
  <c r="R189" i="6"/>
  <c r="CP189" i="6"/>
  <c r="CQ189" i="6"/>
  <c r="CR189" i="6"/>
  <c r="CS189" i="6"/>
  <c r="D190" i="6"/>
  <c r="E190" i="6"/>
  <c r="F190" i="6"/>
  <c r="G190" i="6"/>
  <c r="I190" i="6"/>
  <c r="J190" i="6"/>
  <c r="K190" i="6"/>
  <c r="L190" i="6"/>
  <c r="N190" i="6"/>
  <c r="O190" i="6"/>
  <c r="P190" i="6"/>
  <c r="Q190" i="6"/>
  <c r="CP190" i="6"/>
  <c r="CP191" i="6"/>
  <c r="H193" i="6"/>
  <c r="M193" i="6" s="1"/>
  <c r="M194" i="6" s="1"/>
  <c r="CR194" i="6" s="1"/>
  <c r="CP193" i="6"/>
  <c r="D194" i="6"/>
  <c r="E194" i="6"/>
  <c r="F194" i="6"/>
  <c r="G194" i="6"/>
  <c r="J194" i="6"/>
  <c r="K194" i="6"/>
  <c r="L194" i="6"/>
  <c r="O194" i="6"/>
  <c r="P194" i="6"/>
  <c r="Q194" i="6"/>
  <c r="CP194" i="6"/>
  <c r="CP196" i="6"/>
  <c r="CQ196" i="6"/>
  <c r="CR196" i="6"/>
  <c r="CS196" i="6"/>
  <c r="CP197" i="6"/>
  <c r="CQ197" i="6"/>
  <c r="CR197" i="6"/>
  <c r="CS197" i="6"/>
  <c r="H198" i="6"/>
  <c r="CQ198" i="6" s="1"/>
  <c r="M198" i="6"/>
  <c r="CR198" i="6" s="1"/>
  <c r="CP198" i="6"/>
  <c r="CS198" i="6"/>
  <c r="CP200" i="6"/>
  <c r="CP201" i="6"/>
  <c r="H203" i="6"/>
  <c r="M203" i="6"/>
  <c r="R203" i="6"/>
  <c r="CS203" i="6" s="1"/>
  <c r="CP203" i="6"/>
  <c r="CQ203" i="6"/>
  <c r="I204" i="6"/>
  <c r="J204" i="6"/>
  <c r="K204" i="6"/>
  <c r="L204" i="6"/>
  <c r="N204" i="6"/>
  <c r="O204" i="6"/>
  <c r="P204" i="6"/>
  <c r="Q204" i="6"/>
  <c r="CP204" i="6"/>
  <c r="D206" i="6"/>
  <c r="D25" i="6" s="1"/>
  <c r="E206" i="6"/>
  <c r="E25" i="6" s="1"/>
  <c r="F206" i="6"/>
  <c r="F25" i="6" s="1"/>
  <c r="G206" i="6"/>
  <c r="G25" i="6" s="1"/>
  <c r="I206" i="6"/>
  <c r="I25" i="6" s="1"/>
  <c r="J206" i="6"/>
  <c r="J25" i="6" s="1"/>
  <c r="K206" i="6"/>
  <c r="K25" i="6" s="1"/>
  <c r="L206" i="6"/>
  <c r="L25" i="6" s="1"/>
  <c r="N206" i="6"/>
  <c r="N25" i="6" s="1"/>
  <c r="O206" i="6"/>
  <c r="O25" i="6" s="1"/>
  <c r="P206" i="6"/>
  <c r="P25" i="6" s="1"/>
  <c r="Q206" i="6"/>
  <c r="Q25" i="6" s="1"/>
  <c r="CP206" i="6"/>
  <c r="CP207" i="6"/>
  <c r="CP208" i="6"/>
  <c r="H210" i="6"/>
  <c r="M210" i="6"/>
  <c r="CR210" i="6" s="1"/>
  <c r="R210" i="6"/>
  <c r="CP210" i="6"/>
  <c r="D211" i="6"/>
  <c r="E211" i="6"/>
  <c r="F211" i="6"/>
  <c r="G211" i="6"/>
  <c r="I211" i="6"/>
  <c r="J211" i="6"/>
  <c r="K211" i="6"/>
  <c r="L211" i="6"/>
  <c r="N211" i="6"/>
  <c r="O211" i="6"/>
  <c r="P211" i="6"/>
  <c r="Q211" i="6"/>
  <c r="CP211" i="6"/>
  <c r="I212" i="6"/>
  <c r="J212" i="6"/>
  <c r="K212" i="6"/>
  <c r="L212" i="6"/>
  <c r="N212" i="6"/>
  <c r="O212" i="6"/>
  <c r="P212" i="6"/>
  <c r="Q212" i="6"/>
  <c r="CP212" i="6"/>
  <c r="H214" i="6"/>
  <c r="M214" i="6"/>
  <c r="CR214" i="6" s="1"/>
  <c r="R214" i="6"/>
  <c r="CS214" i="6" s="1"/>
  <c r="CP214" i="6"/>
  <c r="D215" i="6"/>
  <c r="E215" i="6"/>
  <c r="F215" i="6"/>
  <c r="G215" i="6"/>
  <c r="I215" i="6"/>
  <c r="J215" i="6"/>
  <c r="K215" i="6"/>
  <c r="L215" i="6"/>
  <c r="CP215" i="6"/>
  <c r="CP219" i="6"/>
  <c r="D220" i="6"/>
  <c r="E220" i="6"/>
  <c r="F220" i="6"/>
  <c r="G220" i="6"/>
  <c r="H220" i="6"/>
  <c r="CQ220" i="6" s="1"/>
  <c r="I220" i="6"/>
  <c r="J220" i="6"/>
  <c r="K220" i="6"/>
  <c r="L220" i="6"/>
  <c r="M220" i="6"/>
  <c r="CR220" i="6" s="1"/>
  <c r="N220" i="6"/>
  <c r="O220" i="6"/>
  <c r="P220" i="6"/>
  <c r="Q220" i="6"/>
  <c r="R220" i="6"/>
  <c r="CS220" i="6" s="1"/>
  <c r="S220" i="6"/>
  <c r="T220" i="6"/>
  <c r="U220" i="6"/>
  <c r="V220" i="6"/>
  <c r="W220" i="6"/>
  <c r="CT220" i="6" s="1"/>
  <c r="X220" i="6"/>
  <c r="Y220" i="6"/>
  <c r="Z220" i="6"/>
  <c r="AA220" i="6"/>
  <c r="AB220" i="6"/>
  <c r="CU220" i="6" s="1"/>
  <c r="AC220" i="6"/>
  <c r="AD220" i="6"/>
  <c r="AE220" i="6"/>
  <c r="AF220" i="6"/>
  <c r="AG220" i="6"/>
  <c r="CV220" i="6" s="1"/>
  <c r="AH220" i="6"/>
  <c r="AI220" i="6"/>
  <c r="AJ220" i="6"/>
  <c r="AK220" i="6"/>
  <c r="AL220" i="6"/>
  <c r="CW220" i="6" s="1"/>
  <c r="AM220" i="6"/>
  <c r="AN220" i="6"/>
  <c r="AO220" i="6"/>
  <c r="AP220" i="6"/>
  <c r="AQ220" i="6"/>
  <c r="CX220" i="6" s="1"/>
  <c r="AR220" i="6"/>
  <c r="AS220" i="6"/>
  <c r="AT220" i="6"/>
  <c r="AU220" i="6"/>
  <c r="AV220" i="6"/>
  <c r="CY220" i="6" s="1"/>
  <c r="AW220" i="6"/>
  <c r="AX220" i="6"/>
  <c r="AY220" i="6"/>
  <c r="AZ220" i="6"/>
  <c r="BA220" i="6"/>
  <c r="CZ220" i="6" s="1"/>
  <c r="BB220" i="6"/>
  <c r="BC220" i="6"/>
  <c r="BD220" i="6"/>
  <c r="BE220" i="6"/>
  <c r="BF220" i="6"/>
  <c r="DA220" i="6" s="1"/>
  <c r="BG220" i="6"/>
  <c r="BH220" i="6"/>
  <c r="BI220" i="6"/>
  <c r="BJ220" i="6"/>
  <c r="BK220" i="6"/>
  <c r="DB220" i="6" s="1"/>
  <c r="BL220" i="6"/>
  <c r="BM220" i="6"/>
  <c r="BN220" i="6"/>
  <c r="BO220" i="6"/>
  <c r="BP220" i="6"/>
  <c r="DC220" i="6" s="1"/>
  <c r="BU220" i="6"/>
  <c r="DD220" i="6" s="1"/>
  <c r="BZ220" i="6"/>
  <c r="DE220" i="6" s="1"/>
  <c r="CA220" i="6"/>
  <c r="DF220" i="6" s="1"/>
  <c r="CB220" i="6"/>
  <c r="DG220" i="6" s="1"/>
  <c r="CC220" i="6"/>
  <c r="CD220" i="6"/>
  <c r="CE220" i="6"/>
  <c r="CF220" i="6"/>
  <c r="CG220" i="6"/>
  <c r="CP220" i="6"/>
  <c r="F221" i="6"/>
  <c r="G221" i="6"/>
  <c r="H221" i="6" s="1"/>
  <c r="L221" i="6"/>
  <c r="M221" i="6" s="1"/>
  <c r="CR221" i="6" s="1"/>
  <c r="CP221" i="6"/>
  <c r="F222" i="6"/>
  <c r="G222" i="6"/>
  <c r="G223" i="6" s="1"/>
  <c r="L222" i="6"/>
  <c r="M222" i="6" s="1"/>
  <c r="CR222" i="6" s="1"/>
  <c r="CP222" i="6"/>
  <c r="CP223" i="6"/>
  <c r="CP224" i="6"/>
  <c r="H226" i="6"/>
  <c r="I226" i="6" s="1"/>
  <c r="CP226" i="6"/>
  <c r="F227" i="6"/>
  <c r="G227" i="6"/>
  <c r="H227" i="6"/>
  <c r="CQ227" i="6" s="1"/>
  <c r="CP227" i="6"/>
  <c r="D229" i="6"/>
  <c r="CP229" i="6"/>
  <c r="CP230" i="6"/>
  <c r="H232" i="6"/>
  <c r="M232" i="6"/>
  <c r="CR232" i="6" s="1"/>
  <c r="CP232" i="6"/>
  <c r="I233" i="6"/>
  <c r="J233" i="6"/>
  <c r="K233" i="6"/>
  <c r="L233" i="6"/>
  <c r="CP233" i="6"/>
  <c r="F235" i="6"/>
  <c r="G235" i="6"/>
  <c r="I235" i="6"/>
  <c r="I236" i="6" s="1"/>
  <c r="J235" i="6"/>
  <c r="J236" i="6" s="1"/>
  <c r="K235" i="6"/>
  <c r="L235" i="6"/>
  <c r="L236" i="6" s="1"/>
  <c r="CP235" i="6"/>
  <c r="CP236" i="6"/>
  <c r="H238" i="6"/>
  <c r="CQ238" i="6" s="1"/>
  <c r="M238" i="6"/>
  <c r="CR238" i="6" s="1"/>
  <c r="CP238" i="6"/>
  <c r="F239" i="6"/>
  <c r="G239" i="6"/>
  <c r="I239" i="6"/>
  <c r="J239" i="6"/>
  <c r="K239" i="6"/>
  <c r="L239" i="6"/>
  <c r="CP239" i="6"/>
  <c r="I240" i="6"/>
  <c r="J240" i="6"/>
  <c r="K240" i="6"/>
  <c r="L240" i="6"/>
  <c r="CP240" i="6"/>
  <c r="H242" i="6"/>
  <c r="CQ242" i="6" s="1"/>
  <c r="M242" i="6"/>
  <c r="CR242" i="6" s="1"/>
  <c r="CP242" i="6"/>
  <c r="F243" i="6"/>
  <c r="G243" i="6"/>
  <c r="I243" i="6"/>
  <c r="J243" i="6"/>
  <c r="K243" i="6"/>
  <c r="L243" i="6"/>
  <c r="CP243" i="6"/>
  <c r="F245" i="6"/>
  <c r="F247" i="6" s="1"/>
  <c r="G245" i="6" s="1"/>
  <c r="H245" i="6" s="1"/>
  <c r="CQ245" i="6" s="1"/>
  <c r="CP245" i="6"/>
  <c r="H246" i="6"/>
  <c r="CQ246" i="6" s="1"/>
  <c r="M246" i="6"/>
  <c r="CR246" i="6" s="1"/>
  <c r="CP246" i="6"/>
  <c r="CP247" i="6"/>
  <c r="CP250" i="6"/>
  <c r="D251" i="6"/>
  <c r="E251" i="6"/>
  <c r="F251" i="6"/>
  <c r="G251" i="6"/>
  <c r="H251" i="6"/>
  <c r="CQ251" i="6" s="1"/>
  <c r="I251" i="6"/>
  <c r="J251" i="6"/>
  <c r="K251" i="6"/>
  <c r="L251" i="6"/>
  <c r="M251" i="6"/>
  <c r="CR251" i="6" s="1"/>
  <c r="CP251" i="6"/>
  <c r="CP252" i="6"/>
  <c r="D253" i="6"/>
  <c r="E253" i="6"/>
  <c r="F253" i="6"/>
  <c r="G253" i="6"/>
  <c r="I253" i="6"/>
  <c r="J253" i="6"/>
  <c r="K253" i="6"/>
  <c r="L253" i="6"/>
  <c r="CP253" i="6"/>
  <c r="D254" i="6"/>
  <c r="E254" i="6"/>
  <c r="F254" i="6"/>
  <c r="G254" i="6"/>
  <c r="H254" i="6" s="1"/>
  <c r="CQ254" i="6" s="1"/>
  <c r="I254" i="6"/>
  <c r="J254" i="6"/>
  <c r="K254" i="6"/>
  <c r="L254" i="6"/>
  <c r="CP254" i="6"/>
  <c r="H255" i="6"/>
  <c r="CQ255" i="6" s="1"/>
  <c r="M255" i="6"/>
  <c r="CR255" i="6" s="1"/>
  <c r="CP255" i="6"/>
  <c r="CP256" i="6"/>
  <c r="E258" i="6"/>
  <c r="F258" i="6" s="1"/>
  <c r="G258" i="6"/>
  <c r="H258" i="6" s="1"/>
  <c r="I258" i="6" s="1"/>
  <c r="L258" i="6"/>
  <c r="CP258" i="6"/>
  <c r="CP260" i="6"/>
  <c r="CP261" i="6"/>
  <c r="E263" i="6"/>
  <c r="E271" i="6" s="1"/>
  <c r="M263" i="6"/>
  <c r="CR263" i="6" s="1"/>
  <c r="CP263" i="6"/>
  <c r="I264" i="6"/>
  <c r="K264" i="6"/>
  <c r="L264" i="6"/>
  <c r="CP264" i="6"/>
  <c r="F266" i="6"/>
  <c r="F267" i="6" s="1"/>
  <c r="G266" i="6"/>
  <c r="G267" i="6" s="1"/>
  <c r="I266" i="6"/>
  <c r="I267" i="6" s="1"/>
  <c r="J266" i="6"/>
  <c r="J275" i="6" s="1"/>
  <c r="K266" i="6"/>
  <c r="L266" i="6"/>
  <c r="L267" i="6" s="1"/>
  <c r="CP266" i="6"/>
  <c r="CP267" i="6"/>
  <c r="CP268" i="6"/>
  <c r="D270" i="6"/>
  <c r="D266" i="6" s="1"/>
  <c r="D267" i="6" s="1"/>
  <c r="CP270" i="6"/>
  <c r="F271" i="6"/>
  <c r="G271" i="6"/>
  <c r="I271" i="6"/>
  <c r="J271" i="6"/>
  <c r="K271" i="6"/>
  <c r="L271" i="6"/>
  <c r="CP271" i="6"/>
  <c r="J272" i="6"/>
  <c r="K272" i="6"/>
  <c r="L272" i="6"/>
  <c r="CP272" i="6"/>
  <c r="H274" i="6"/>
  <c r="CQ274" i="6" s="1"/>
  <c r="M274" i="6"/>
  <c r="CR274" i="6" s="1"/>
  <c r="CP274" i="6"/>
  <c r="CP275" i="6"/>
  <c r="F277" i="6"/>
  <c r="CP277" i="6"/>
  <c r="F278" i="6"/>
  <c r="G278" i="6"/>
  <c r="K278" i="6"/>
  <c r="M278" i="6" s="1"/>
  <c r="CR278" i="6" s="1"/>
  <c r="CP278" i="6"/>
  <c r="CP279" i="6"/>
  <c r="F281" i="6"/>
  <c r="G281" i="6" s="1"/>
  <c r="H281" i="6" s="1"/>
  <c r="CQ281" i="6" s="1"/>
  <c r="CP281" i="6"/>
  <c r="D285" i="6"/>
  <c r="E285" i="6"/>
  <c r="F285" i="6"/>
  <c r="G285" i="6"/>
  <c r="H285" i="6"/>
  <c r="CQ285" i="6" s="1"/>
  <c r="I285" i="6"/>
  <c r="J285" i="6"/>
  <c r="K285" i="6"/>
  <c r="L285" i="6"/>
  <c r="M285" i="6"/>
  <c r="CR285" i="6" s="1"/>
  <c r="N285" i="6"/>
  <c r="O285" i="6"/>
  <c r="P285" i="6"/>
  <c r="Q285" i="6"/>
  <c r="R285" i="6"/>
  <c r="CS285" i="6" s="1"/>
  <c r="S285" i="6"/>
  <c r="T285" i="6"/>
  <c r="U285" i="6"/>
  <c r="V285" i="6"/>
  <c r="W285" i="6"/>
  <c r="CT285" i="6" s="1"/>
  <c r="X285" i="6"/>
  <c r="Y285" i="6"/>
  <c r="Z285" i="6"/>
  <c r="AA285" i="6"/>
  <c r="AB285" i="6"/>
  <c r="CU285" i="6" s="1"/>
  <c r="AC285" i="6"/>
  <c r="AD285" i="6"/>
  <c r="AE285" i="6"/>
  <c r="AF285" i="6"/>
  <c r="AG285" i="6"/>
  <c r="CV285" i="6" s="1"/>
  <c r="AH285" i="6"/>
  <c r="AI285" i="6"/>
  <c r="AJ285" i="6"/>
  <c r="AK285" i="6"/>
  <c r="AL285" i="6"/>
  <c r="CW285" i="6" s="1"/>
  <c r="AM285" i="6"/>
  <c r="AN285" i="6"/>
  <c r="AO285" i="6"/>
  <c r="AP285" i="6"/>
  <c r="AQ285" i="6"/>
  <c r="CX285" i="6" s="1"/>
  <c r="AR285" i="6"/>
  <c r="AS285" i="6"/>
  <c r="AT285" i="6"/>
  <c r="AU285" i="6"/>
  <c r="AV285" i="6"/>
  <c r="CY285" i="6" s="1"/>
  <c r="AW285" i="6"/>
  <c r="AX285" i="6"/>
  <c r="AY285" i="6"/>
  <c r="AZ285" i="6"/>
  <c r="BA285" i="6"/>
  <c r="CZ285" i="6" s="1"/>
  <c r="BB285" i="6"/>
  <c r="BC285" i="6"/>
  <c r="BD285" i="6"/>
  <c r="BE285" i="6"/>
  <c r="BF285" i="6"/>
  <c r="DA285" i="6" s="1"/>
  <c r="BG285" i="6"/>
  <c r="BH285" i="6"/>
  <c r="BI285" i="6"/>
  <c r="BJ285" i="6"/>
  <c r="BK285" i="6"/>
  <c r="DB285" i="6" s="1"/>
  <c r="BL285" i="6"/>
  <c r="BM285" i="6"/>
  <c r="BN285" i="6"/>
  <c r="BO285" i="6"/>
  <c r="BP285" i="6"/>
  <c r="DC285" i="6" s="1"/>
  <c r="BU285" i="6"/>
  <c r="DD285" i="6" s="1"/>
  <c r="BZ285" i="6"/>
  <c r="DE285" i="6" s="1"/>
  <c r="CA285" i="6"/>
  <c r="DF285" i="6" s="1"/>
  <c r="CB285" i="6"/>
  <c r="DG285" i="6" s="1"/>
  <c r="CC285" i="6"/>
  <c r="CD285" i="6"/>
  <c r="CE285" i="6"/>
  <c r="CF285" i="6"/>
  <c r="CG285" i="6"/>
  <c r="CP285" i="6"/>
  <c r="D286" i="6"/>
  <c r="E286" i="6"/>
  <c r="Q286" i="6"/>
  <c r="V286" i="6"/>
  <c r="W286" i="6" s="1"/>
  <c r="AA286" i="6"/>
  <c r="AF286" i="6"/>
  <c r="AK286" i="6"/>
  <c r="AP286" i="6"/>
  <c r="AQ286" i="6" s="1"/>
  <c r="AU286" i="6"/>
  <c r="AV286" i="6" s="1"/>
  <c r="AZ286" i="6"/>
  <c r="BA286" i="6" s="1"/>
  <c r="D287" i="6"/>
  <c r="E287" i="6"/>
  <c r="Q287" i="6"/>
  <c r="R287" i="6" s="1"/>
  <c r="S287" i="6" s="1"/>
  <c r="T287" i="6" s="1"/>
  <c r="U287" i="6" s="1"/>
  <c r="V287" i="6"/>
  <c r="W287" i="6" s="1"/>
  <c r="X287" i="6" s="1"/>
  <c r="Y287" i="6" s="1"/>
  <c r="Z287" i="6" s="1"/>
  <c r="AA287" i="6"/>
  <c r="AB287" i="6" s="1"/>
  <c r="AC287" i="6" s="1"/>
  <c r="AD287" i="6" s="1"/>
  <c r="AE287" i="6" s="1"/>
  <c r="AF287" i="6"/>
  <c r="AG287" i="6" s="1"/>
  <c r="AH287" i="6" s="1"/>
  <c r="AI287" i="6" s="1"/>
  <c r="AJ287" i="6" s="1"/>
  <c r="AK287" i="6"/>
  <c r="AL287" i="6" s="1"/>
  <c r="AM287" i="6" s="1"/>
  <c r="AN287" i="6" s="1"/>
  <c r="AO287" i="6" s="1"/>
  <c r="AP287" i="6"/>
  <c r="AQ287" i="6" s="1"/>
  <c r="AR287" i="6" s="1"/>
  <c r="AS287" i="6" s="1"/>
  <c r="AU287" i="6"/>
  <c r="AV287" i="6" s="1"/>
  <c r="AW287" i="6" s="1"/>
  <c r="AX287" i="6" s="1"/>
  <c r="AY287" i="6" s="1"/>
  <c r="AZ287" i="6"/>
  <c r="D291" i="6"/>
  <c r="D753" i="6" s="1"/>
  <c r="E291" i="6"/>
  <c r="Q291" i="6"/>
  <c r="R291" i="6" s="1"/>
  <c r="S291" i="6" s="1"/>
  <c r="V291" i="6"/>
  <c r="W291" i="6" s="1"/>
  <c r="CT291" i="6" s="1"/>
  <c r="AA291" i="6"/>
  <c r="AB291" i="6" s="1"/>
  <c r="AC291" i="6" s="1"/>
  <c r="AD291" i="6" s="1"/>
  <c r="AF291" i="6"/>
  <c r="AG291" i="6" s="1"/>
  <c r="AH291" i="6" s="1"/>
  <c r="AK291" i="6"/>
  <c r="AL291" i="6" s="1"/>
  <c r="AM291" i="6" s="1"/>
  <c r="AN291" i="6" s="1"/>
  <c r="AP291" i="6"/>
  <c r="AQ291" i="6" s="1"/>
  <c r="AU291" i="6"/>
  <c r="AV291" i="6" s="1"/>
  <c r="CY291" i="6" s="1"/>
  <c r="AZ291" i="6"/>
  <c r="BA291" i="6" s="1"/>
  <c r="CP291" i="6"/>
  <c r="CP292" i="6"/>
  <c r="CP294" i="6"/>
  <c r="CP295" i="6"/>
  <c r="D297" i="6"/>
  <c r="E297" i="6"/>
  <c r="F297" i="6"/>
  <c r="F10" i="6" s="1"/>
  <c r="G297" i="6"/>
  <c r="G10" i="6" s="1"/>
  <c r="I297" i="6"/>
  <c r="J297" i="6"/>
  <c r="J10" i="6" s="1"/>
  <c r="K297" i="6"/>
  <c r="K10" i="6" s="1"/>
  <c r="L297" i="6"/>
  <c r="L10" i="6" s="1"/>
  <c r="R297" i="6"/>
  <c r="W297" i="6"/>
  <c r="AB297" i="6"/>
  <c r="AG297" i="6"/>
  <c r="AL297" i="6"/>
  <c r="AQ297" i="6"/>
  <c r="AV297" i="6"/>
  <c r="BA297" i="6"/>
  <c r="BF297" i="6"/>
  <c r="BK297" i="6"/>
  <c r="S298" i="6"/>
  <c r="T298" i="6"/>
  <c r="U298" i="6"/>
  <c r="V298" i="6"/>
  <c r="X298" i="6"/>
  <c r="BT209" i="42425" s="1"/>
  <c r="Y298" i="6"/>
  <c r="BU209" i="42425" s="1"/>
  <c r="Z298" i="6"/>
  <c r="BV209" i="42425" s="1"/>
  <c r="AA298" i="6"/>
  <c r="BW209" i="42425" s="1"/>
  <c r="AC298" i="6"/>
  <c r="BX209" i="42425" s="1"/>
  <c r="AD298" i="6"/>
  <c r="BY209" i="42425" s="1"/>
  <c r="AE298" i="6"/>
  <c r="BZ209" i="42425" s="1"/>
  <c r="AF298" i="6"/>
  <c r="CA209" i="42425" s="1"/>
  <c r="AH298" i="6"/>
  <c r="CB209" i="42425" s="1"/>
  <c r="AI298" i="6"/>
  <c r="CC209" i="42425" s="1"/>
  <c r="AJ298" i="6"/>
  <c r="CD209" i="42425" s="1"/>
  <c r="AK298" i="6"/>
  <c r="AM298" i="6"/>
  <c r="AN298" i="6"/>
  <c r="AN323" i="6" s="1"/>
  <c r="AO298" i="6"/>
  <c r="AP298" i="6"/>
  <c r="AP321" i="6" s="1"/>
  <c r="AR298" i="6"/>
  <c r="AR323" i="6" s="1"/>
  <c r="AS298" i="6"/>
  <c r="AS323" i="6" s="1"/>
  <c r="AT298" i="6"/>
  <c r="AU298" i="6"/>
  <c r="AU321" i="6" s="1"/>
  <c r="AW298" i="6"/>
  <c r="AX298" i="6"/>
  <c r="AX323" i="6" s="1"/>
  <c r="AY298" i="6"/>
  <c r="AY323" i="6" s="1"/>
  <c r="AZ298" i="6"/>
  <c r="AZ321" i="6" s="1"/>
  <c r="BB298" i="6"/>
  <c r="BC298" i="6"/>
  <c r="BC323" i="6" s="1"/>
  <c r="BD298" i="6"/>
  <c r="BE298" i="6"/>
  <c r="BE323" i="6" s="1"/>
  <c r="BG298" i="6"/>
  <c r="BH298" i="6"/>
  <c r="BH323" i="6" s="1"/>
  <c r="BI298" i="6"/>
  <c r="BJ298" i="6"/>
  <c r="BJ323" i="6" s="1"/>
  <c r="BL298" i="6"/>
  <c r="BL299" i="6" s="1"/>
  <c r="BN298" i="6"/>
  <c r="AU301" i="6"/>
  <c r="AT302" i="6"/>
  <c r="AT301" i="6" s="1"/>
  <c r="AV302" i="6"/>
  <c r="AW302" i="6" s="1"/>
  <c r="AW301" i="6" s="1"/>
  <c r="CP304" i="6"/>
  <c r="D306" i="6"/>
  <c r="D26" i="6" s="1"/>
  <c r="E306" i="6"/>
  <c r="E26" i="6" s="1"/>
  <c r="N306" i="6"/>
  <c r="N26" i="6" s="1"/>
  <c r="O306" i="6"/>
  <c r="P306" i="6"/>
  <c r="P26" i="6" s="1"/>
  <c r="Q306" i="6"/>
  <c r="Q26" i="6" s="1"/>
  <c r="S306" i="6"/>
  <c r="S26" i="6" s="1"/>
  <c r="T306" i="6"/>
  <c r="U306" i="6"/>
  <c r="V306" i="6"/>
  <c r="V26" i="6" s="1"/>
  <c r="X306" i="6"/>
  <c r="X26" i="6" s="1"/>
  <c r="Y306" i="6"/>
  <c r="Z306" i="6"/>
  <c r="AA306" i="6"/>
  <c r="AC306" i="6"/>
  <c r="AC26" i="6" s="1"/>
  <c r="AD306" i="6"/>
  <c r="AD26" i="6" s="1"/>
  <c r="AE306" i="6"/>
  <c r="AF306" i="6"/>
  <c r="AF26" i="6" s="1"/>
  <c r="AH306" i="6"/>
  <c r="AI306" i="6"/>
  <c r="AI26" i="6" s="1"/>
  <c r="AJ306" i="6"/>
  <c r="AJ26" i="6" s="1"/>
  <c r="AK306" i="6"/>
  <c r="AK26" i="6" s="1"/>
  <c r="AM306" i="6"/>
  <c r="AM308" i="6" s="1"/>
  <c r="AN306" i="6"/>
  <c r="AN26" i="6" s="1"/>
  <c r="AO306" i="6"/>
  <c r="AO26" i="6" s="1"/>
  <c r="AP306" i="6"/>
  <c r="AP26" i="6" s="1"/>
  <c r="AR306" i="6"/>
  <c r="AR26" i="6" s="1"/>
  <c r="AS306" i="6"/>
  <c r="AT306" i="6"/>
  <c r="AT26" i="6" s="1"/>
  <c r="AU306" i="6"/>
  <c r="AU26" i="6" s="1"/>
  <c r="AW306" i="6"/>
  <c r="AW307" i="6" s="1"/>
  <c r="AX306" i="6"/>
  <c r="AX26" i="6" s="1"/>
  <c r="AY306" i="6"/>
  <c r="AY26" i="6" s="1"/>
  <c r="AZ306" i="6"/>
  <c r="BB306" i="6"/>
  <c r="BB26" i="6" s="1"/>
  <c r="BC306" i="6"/>
  <c r="BC307" i="6" s="1"/>
  <c r="BD306" i="6"/>
  <c r="BD26" i="6" s="1"/>
  <c r="BE306" i="6"/>
  <c r="BE26" i="6" s="1"/>
  <c r="BG306" i="6"/>
  <c r="BH306" i="6"/>
  <c r="BH307" i="6" s="1"/>
  <c r="BI306" i="6"/>
  <c r="BI26" i="6" s="1"/>
  <c r="BJ306" i="6"/>
  <c r="BL306" i="6"/>
  <c r="CP307" i="6"/>
  <c r="CP308" i="6"/>
  <c r="DF308" i="6"/>
  <c r="DG308" i="6"/>
  <c r="D310" i="6"/>
  <c r="D38" i="6" s="1"/>
  <c r="E310" i="6"/>
  <c r="E38" i="6" s="1"/>
  <c r="F310" i="6"/>
  <c r="F38" i="6" s="1"/>
  <c r="G310" i="6"/>
  <c r="G38" i="6" s="1"/>
  <c r="G127" i="6" s="1"/>
  <c r="I310" i="6"/>
  <c r="I38" i="6" s="1"/>
  <c r="J310" i="6"/>
  <c r="K310" i="6"/>
  <c r="K38" i="6" s="1"/>
  <c r="L310" i="6"/>
  <c r="Q312" i="6" s="1"/>
  <c r="R310" i="6"/>
  <c r="W310" i="6"/>
  <c r="AB310" i="6"/>
  <c r="DS333" i="42425" s="1"/>
  <c r="AG310" i="6"/>
  <c r="DT333" i="42425" s="1"/>
  <c r="AL310" i="6"/>
  <c r="CW310" i="6" s="1"/>
  <c r="AQ310" i="6"/>
  <c r="AV310" i="6"/>
  <c r="CY310" i="6" s="1"/>
  <c r="BA310" i="6"/>
  <c r="BF310" i="6"/>
  <c r="BK310" i="6"/>
  <c r="CP310" i="6"/>
  <c r="N311" i="6"/>
  <c r="O311" i="6"/>
  <c r="P311" i="6"/>
  <c r="Q311" i="6"/>
  <c r="S311" i="6"/>
  <c r="CO297" i="42425" s="1"/>
  <c r="CO298" i="42425" s="1"/>
  <c r="CO299" i="42425" s="1"/>
  <c r="T311" i="6"/>
  <c r="CP297" i="42425" s="1"/>
  <c r="U311" i="6"/>
  <c r="CQ297" i="42425" s="1"/>
  <c r="CU298" i="42425" s="1"/>
  <c r="V311" i="6"/>
  <c r="CR297" i="42425" s="1"/>
  <c r="X311" i="6"/>
  <c r="CS297" i="42425" s="1"/>
  <c r="Y311" i="6"/>
  <c r="CT297" i="42425" s="1"/>
  <c r="Z311" i="6"/>
  <c r="CU297" i="42425" s="1"/>
  <c r="AA311" i="6"/>
  <c r="CV297" i="42425" s="1"/>
  <c r="AC311" i="6"/>
  <c r="CW297" i="42425" s="1"/>
  <c r="AD311" i="6"/>
  <c r="CX297" i="42425" s="1"/>
  <c r="AE311" i="6"/>
  <c r="CY297" i="42425" s="1"/>
  <c r="AF311" i="6"/>
  <c r="CZ297" i="42425" s="1"/>
  <c r="AH311" i="6"/>
  <c r="DA297" i="42425" s="1"/>
  <c r="AI311" i="6"/>
  <c r="DB297" i="42425" s="1"/>
  <c r="AJ311" i="6"/>
  <c r="DC297" i="42425" s="1"/>
  <c r="AK311" i="6"/>
  <c r="DD297" i="42425" s="1"/>
  <c r="AM311" i="6"/>
  <c r="DE297" i="42425" s="1"/>
  <c r="AN311" i="6"/>
  <c r="DF297" i="42425" s="1"/>
  <c r="AO311" i="6"/>
  <c r="DG297" i="42425" s="1"/>
  <c r="AP311" i="6"/>
  <c r="DH297" i="42425" s="1"/>
  <c r="AR311" i="6"/>
  <c r="DI297" i="42425" s="1"/>
  <c r="AS311" i="6"/>
  <c r="DJ297" i="42425" s="1"/>
  <c r="AT311" i="6"/>
  <c r="DK297" i="42425" s="1"/>
  <c r="AU311" i="6"/>
  <c r="DL297" i="42425" s="1"/>
  <c r="AW311" i="6"/>
  <c r="AX311" i="6"/>
  <c r="AY311" i="6"/>
  <c r="AZ311" i="6"/>
  <c r="BB311" i="6"/>
  <c r="BC311" i="6"/>
  <c r="BD311" i="6"/>
  <c r="BE311" i="6"/>
  <c r="BG311" i="6"/>
  <c r="BH311" i="6"/>
  <c r="BI311" i="6"/>
  <c r="BJ311" i="6"/>
  <c r="BL311" i="6"/>
  <c r="BM311" i="6"/>
  <c r="CP311" i="6"/>
  <c r="S312" i="6"/>
  <c r="T312" i="6"/>
  <c r="U312" i="6"/>
  <c r="V312" i="6"/>
  <c r="X312" i="6"/>
  <c r="BT251" i="42425" s="1"/>
  <c r="Y312" i="6"/>
  <c r="BU251" i="42425" s="1"/>
  <c r="Z312" i="6"/>
  <c r="BV251" i="42425" s="1"/>
  <c r="AA312" i="6"/>
  <c r="BW251" i="42425" s="1"/>
  <c r="AC312" i="6"/>
  <c r="BX251" i="42425" s="1"/>
  <c r="AD312" i="6"/>
  <c r="BY251" i="42425" s="1"/>
  <c r="AE312" i="6"/>
  <c r="BZ251" i="42425" s="1"/>
  <c r="AF312" i="6"/>
  <c r="CA251" i="42425" s="1"/>
  <c r="AH312" i="6"/>
  <c r="CB251" i="42425" s="1"/>
  <c r="AI312" i="6"/>
  <c r="CC251" i="42425" s="1"/>
  <c r="AJ312" i="6"/>
  <c r="CD251" i="42425" s="1"/>
  <c r="AK312" i="6"/>
  <c r="CE251" i="42425" s="1"/>
  <c r="AM312" i="6"/>
  <c r="CF251" i="42425" s="1"/>
  <c r="AN312" i="6"/>
  <c r="CG251" i="42425" s="1"/>
  <c r="AO312" i="6"/>
  <c r="CH251" i="42425" s="1"/>
  <c r="AP312" i="6"/>
  <c r="AR312" i="6"/>
  <c r="AS312" i="6"/>
  <c r="AT312" i="6"/>
  <c r="AU312" i="6"/>
  <c r="AW312" i="6"/>
  <c r="AX312" i="6"/>
  <c r="AY312" i="6"/>
  <c r="AZ312" i="6"/>
  <c r="BB312" i="6"/>
  <c r="BC312" i="6"/>
  <c r="BD312" i="6"/>
  <c r="BE312" i="6"/>
  <c r="BG312" i="6"/>
  <c r="BH312" i="6"/>
  <c r="BI312" i="6"/>
  <c r="BJ312" i="6"/>
  <c r="BL312" i="6"/>
  <c r="BL313" i="6" s="1"/>
  <c r="BM312" i="6"/>
  <c r="BM313" i="6" s="1"/>
  <c r="CP312" i="6"/>
  <c r="D316" i="6"/>
  <c r="E316" i="6"/>
  <c r="E1186" i="6" s="1"/>
  <c r="F316" i="6"/>
  <c r="F1186" i="6" s="1"/>
  <c r="G316" i="6"/>
  <c r="G1186" i="6" s="1"/>
  <c r="I316" i="6"/>
  <c r="J316" i="6"/>
  <c r="K316" i="6"/>
  <c r="K1186" i="6" s="1"/>
  <c r="L316" i="6"/>
  <c r="L1186" i="6" s="1"/>
  <c r="CP316" i="6"/>
  <c r="CP317" i="6"/>
  <c r="CP326" i="6"/>
  <c r="D327" i="6"/>
  <c r="E327" i="6"/>
  <c r="F327" i="6"/>
  <c r="G327" i="6"/>
  <c r="H327" i="6"/>
  <c r="CQ327" i="6" s="1"/>
  <c r="I327" i="6"/>
  <c r="J327" i="6"/>
  <c r="K327" i="6"/>
  <c r="L327" i="6"/>
  <c r="M327" i="6"/>
  <c r="CR327" i="6" s="1"/>
  <c r="N327" i="6"/>
  <c r="O327" i="6"/>
  <c r="P327" i="6"/>
  <c r="Q327" i="6"/>
  <c r="R327" i="6"/>
  <c r="CS327" i="6" s="1"/>
  <c r="S327" i="6"/>
  <c r="T327" i="6"/>
  <c r="U327" i="6"/>
  <c r="V327" i="6"/>
  <c r="W327" i="6"/>
  <c r="CT327" i="6" s="1"/>
  <c r="X327" i="6"/>
  <c r="Y327" i="6"/>
  <c r="Z327" i="6"/>
  <c r="AA327" i="6"/>
  <c r="AB327" i="6"/>
  <c r="CU327" i="6" s="1"/>
  <c r="AC327" i="6"/>
  <c r="AD327" i="6"/>
  <c r="AE327" i="6"/>
  <c r="AF327" i="6"/>
  <c r="AG327" i="6"/>
  <c r="CV327" i="6" s="1"/>
  <c r="AH327" i="6"/>
  <c r="AI327" i="6"/>
  <c r="AJ327" i="6"/>
  <c r="AK327" i="6"/>
  <c r="AL327" i="6"/>
  <c r="CW327" i="6" s="1"/>
  <c r="AM327" i="6"/>
  <c r="AN327" i="6"/>
  <c r="AO327" i="6"/>
  <c r="AP327" i="6"/>
  <c r="AQ327" i="6"/>
  <c r="CX327" i="6" s="1"/>
  <c r="AR327" i="6"/>
  <c r="AS327" i="6"/>
  <c r="AT327" i="6"/>
  <c r="AU327" i="6"/>
  <c r="AV327" i="6"/>
  <c r="CY327" i="6" s="1"/>
  <c r="AW327" i="6"/>
  <c r="AX327" i="6"/>
  <c r="AY327" i="6"/>
  <c r="AZ327" i="6"/>
  <c r="BA327" i="6"/>
  <c r="CZ327" i="6" s="1"/>
  <c r="BB327" i="6"/>
  <c r="BC327" i="6"/>
  <c r="BD327" i="6"/>
  <c r="BE327" i="6"/>
  <c r="BF327" i="6"/>
  <c r="DA327" i="6" s="1"/>
  <c r="BG327" i="6"/>
  <c r="BH327" i="6"/>
  <c r="BI327" i="6"/>
  <c r="BJ327" i="6"/>
  <c r="BK327" i="6"/>
  <c r="DB327" i="6" s="1"/>
  <c r="BL327" i="6"/>
  <c r="BM327" i="6"/>
  <c r="BN327" i="6"/>
  <c r="BO327" i="6"/>
  <c r="BP327" i="6"/>
  <c r="DC327" i="6" s="1"/>
  <c r="BU327" i="6"/>
  <c r="DD327" i="6" s="1"/>
  <c r="BZ327" i="6"/>
  <c r="DE327" i="6" s="1"/>
  <c r="CA327" i="6"/>
  <c r="DF327" i="6" s="1"/>
  <c r="CB327" i="6"/>
  <c r="DG327" i="6" s="1"/>
  <c r="CC327" i="6"/>
  <c r="CD327" i="6"/>
  <c r="CE327" i="6"/>
  <c r="CF327" i="6"/>
  <c r="CG327" i="6"/>
  <c r="CP327" i="6"/>
  <c r="D328" i="6"/>
  <c r="E328" i="6"/>
  <c r="F328" i="6"/>
  <c r="G328" i="6"/>
  <c r="H328" i="6" s="1"/>
  <c r="CQ328" i="6" s="1"/>
  <c r="I328" i="6"/>
  <c r="J328" i="6"/>
  <c r="K328" i="6"/>
  <c r="L328" i="6"/>
  <c r="M328" i="6" s="1"/>
  <c r="CR328" i="6" s="1"/>
  <c r="N328" i="6"/>
  <c r="O328" i="6"/>
  <c r="P328" i="6"/>
  <c r="Q328" i="6"/>
  <c r="R328" i="6" s="1"/>
  <c r="S328" i="6"/>
  <c r="T328" i="6"/>
  <c r="U328" i="6"/>
  <c r="V328" i="6"/>
  <c r="W328" i="6" s="1"/>
  <c r="CT328" i="6" s="1"/>
  <c r="X328" i="6"/>
  <c r="Y328" i="6"/>
  <c r="Z328" i="6"/>
  <c r="AA328" i="6"/>
  <c r="AB328" i="6" s="1"/>
  <c r="CU328" i="6" s="1"/>
  <c r="AC328" i="6"/>
  <c r="AD328" i="6"/>
  <c r="AE328" i="6"/>
  <c r="AF328" i="6"/>
  <c r="AG328" i="6" s="1"/>
  <c r="AK328" i="6"/>
  <c r="AL328" i="6" s="1"/>
  <c r="AM328" i="6" s="1"/>
  <c r="AN328" i="6" s="1"/>
  <c r="AO328" i="6" s="1"/>
  <c r="AP328" i="6"/>
  <c r="AQ328" i="6" s="1"/>
  <c r="AR328" i="6" s="1"/>
  <c r="AS328" i="6" s="1"/>
  <c r="AT328" i="6" s="1"/>
  <c r="AU328" i="6"/>
  <c r="AV328" i="6" s="1"/>
  <c r="AZ328" i="6"/>
  <c r="BA328" i="6" s="1"/>
  <c r="CP328" i="6"/>
  <c r="D329" i="6"/>
  <c r="E329" i="6"/>
  <c r="F329" i="6"/>
  <c r="G329" i="6"/>
  <c r="H329" i="6" s="1"/>
  <c r="I329" i="6"/>
  <c r="J329" i="6"/>
  <c r="K329" i="6"/>
  <c r="L329" i="6"/>
  <c r="M329" i="6" s="1"/>
  <c r="CR329" i="6" s="1"/>
  <c r="N329" i="6"/>
  <c r="O329" i="6"/>
  <c r="P329" i="6"/>
  <c r="Q329" i="6"/>
  <c r="R329" i="6" s="1"/>
  <c r="CS329" i="6" s="1"/>
  <c r="S329" i="6"/>
  <c r="T329" i="6"/>
  <c r="U329" i="6"/>
  <c r="V329" i="6"/>
  <c r="X329" i="6"/>
  <c r="Y329" i="6"/>
  <c r="Z329" i="6"/>
  <c r="AA329" i="6"/>
  <c r="AB329" i="6" s="1"/>
  <c r="CU329" i="6" s="1"/>
  <c r="AC329" i="6"/>
  <c r="AD329" i="6"/>
  <c r="AE329" i="6"/>
  <c r="AF329" i="6"/>
  <c r="AK329" i="6"/>
  <c r="AL329" i="6" s="1"/>
  <c r="AP329" i="6"/>
  <c r="AU329" i="6"/>
  <c r="AV329" i="6" s="1"/>
  <c r="AW329" i="6" s="1"/>
  <c r="AX329" i="6" s="1"/>
  <c r="AY329" i="6" s="1"/>
  <c r="AZ329" i="6"/>
  <c r="BA329" i="6" s="1"/>
  <c r="CP329" i="6"/>
  <c r="CP330" i="6"/>
  <c r="CP331" i="6"/>
  <c r="E333" i="6"/>
  <c r="E334" i="6" s="1"/>
  <c r="G333" i="6"/>
  <c r="H333" i="6" s="1"/>
  <c r="I333" i="6" s="1"/>
  <c r="L333" i="6"/>
  <c r="V333" i="6"/>
  <c r="AA333" i="6"/>
  <c r="AF333" i="6"/>
  <c r="AK333" i="6"/>
  <c r="AP333" i="6"/>
  <c r="AU333" i="6"/>
  <c r="AZ333" i="6"/>
  <c r="BA333" i="6" s="1"/>
  <c r="CP333" i="6"/>
  <c r="D334" i="6"/>
  <c r="CP334" i="6"/>
  <c r="CP336" i="6"/>
  <c r="CP337" i="6"/>
  <c r="H339" i="6"/>
  <c r="M339" i="6"/>
  <c r="R339" i="6"/>
  <c r="CS339" i="6" s="1"/>
  <c r="W339" i="6"/>
  <c r="AB339" i="6"/>
  <c r="AG339" i="6"/>
  <c r="AL339" i="6"/>
  <c r="CW339" i="6" s="1"/>
  <c r="AQ339" i="6"/>
  <c r="CX339" i="6" s="1"/>
  <c r="AV339" i="6"/>
  <c r="BA339" i="6"/>
  <c r="BF339" i="6"/>
  <c r="DA339" i="6" s="1"/>
  <c r="BK339" i="6"/>
  <c r="DB339" i="6" s="1"/>
  <c r="BO11" i="6"/>
  <c r="EL590" i="42458" s="1"/>
  <c r="EL610" i="42458" s="1"/>
  <c r="CP339" i="6"/>
  <c r="I340" i="6"/>
  <c r="J340" i="6"/>
  <c r="K340" i="6"/>
  <c r="L340" i="6"/>
  <c r="N340" i="6"/>
  <c r="O340" i="6"/>
  <c r="P340" i="6"/>
  <c r="Q340" i="6"/>
  <c r="S340" i="6"/>
  <c r="T340" i="6"/>
  <c r="U340" i="6"/>
  <c r="V340" i="6"/>
  <c r="X340" i="6"/>
  <c r="BT211" i="42425" s="1"/>
  <c r="Y340" i="6"/>
  <c r="BU211" i="42425" s="1"/>
  <c r="Z340" i="6"/>
  <c r="BV211" i="42425" s="1"/>
  <c r="AA340" i="6"/>
  <c r="BW211" i="42425" s="1"/>
  <c r="AC340" i="6"/>
  <c r="BX211" i="42425" s="1"/>
  <c r="AD340" i="6"/>
  <c r="BY211" i="42425" s="1"/>
  <c r="AE340" i="6"/>
  <c r="BZ211" i="42425" s="1"/>
  <c r="AF340" i="6"/>
  <c r="CA211" i="42425" s="1"/>
  <c r="AH340" i="6"/>
  <c r="CB211" i="42425" s="1"/>
  <c r="AI340" i="6"/>
  <c r="CC211" i="42425" s="1"/>
  <c r="AJ340" i="6"/>
  <c r="CD211" i="42425" s="1"/>
  <c r="AK340" i="6"/>
  <c r="AM340" i="6"/>
  <c r="AN340" i="6"/>
  <c r="AO340" i="6"/>
  <c r="AP340" i="6"/>
  <c r="AR340" i="6"/>
  <c r="AS340" i="6"/>
  <c r="AT340" i="6"/>
  <c r="AU340" i="6"/>
  <c r="AW340" i="6"/>
  <c r="AX340" i="6"/>
  <c r="AY340" i="6"/>
  <c r="AZ340" i="6"/>
  <c r="BB340" i="6"/>
  <c r="BC340" i="6"/>
  <c r="BD340" i="6"/>
  <c r="BE340" i="6"/>
  <c r="BG340" i="6"/>
  <c r="BH340" i="6"/>
  <c r="BI340" i="6"/>
  <c r="BJ340" i="6"/>
  <c r="BL340" i="6"/>
  <c r="CP340" i="6"/>
  <c r="DF340" i="6"/>
  <c r="DG340" i="6"/>
  <c r="D342" i="6"/>
  <c r="D27" i="6" s="1"/>
  <c r="E342" i="6"/>
  <c r="E27" i="6" s="1"/>
  <c r="F342" i="6"/>
  <c r="F27" i="6" s="1"/>
  <c r="G342" i="6"/>
  <c r="G27" i="6" s="1"/>
  <c r="I342" i="6"/>
  <c r="J342" i="6"/>
  <c r="J27" i="6" s="1"/>
  <c r="K342" i="6"/>
  <c r="K27" i="6" s="1"/>
  <c r="L342" i="6"/>
  <c r="N342" i="6"/>
  <c r="N27" i="6" s="1"/>
  <c r="O342" i="6"/>
  <c r="O27" i="6" s="1"/>
  <c r="P342" i="6"/>
  <c r="Q342" i="6"/>
  <c r="Q27" i="6" s="1"/>
  <c r="S342" i="6"/>
  <c r="S27" i="6" s="1"/>
  <c r="T342" i="6"/>
  <c r="T27" i="6" s="1"/>
  <c r="U342" i="6"/>
  <c r="U27" i="6" s="1"/>
  <c r="V342" i="6"/>
  <c r="X342" i="6"/>
  <c r="X27" i="6" s="1"/>
  <c r="Y342" i="6"/>
  <c r="Y27" i="6" s="1"/>
  <c r="Z342" i="6"/>
  <c r="AA342" i="6"/>
  <c r="AA27" i="6" s="1"/>
  <c r="AC342" i="6"/>
  <c r="AC27" i="6" s="1"/>
  <c r="AD342" i="6"/>
  <c r="AD27" i="6" s="1"/>
  <c r="AE342" i="6"/>
  <c r="AF342" i="6"/>
  <c r="AF27" i="6" s="1"/>
  <c r="AH342" i="6"/>
  <c r="AH27" i="6" s="1"/>
  <c r="AI342" i="6"/>
  <c r="AJ342" i="6"/>
  <c r="AJ27" i="6" s="1"/>
  <c r="AK342" i="6"/>
  <c r="AK27" i="6" s="1"/>
  <c r="AM342" i="6"/>
  <c r="AN342" i="6"/>
  <c r="AO342" i="6"/>
  <c r="AO27" i="6" s="1"/>
  <c r="AP342" i="6"/>
  <c r="AR342" i="6"/>
  <c r="AR27" i="6" s="1"/>
  <c r="AS342" i="6"/>
  <c r="AS27" i="6" s="1"/>
  <c r="AT342" i="6"/>
  <c r="AT27" i="6" s="1"/>
  <c r="AU342" i="6"/>
  <c r="AW342" i="6"/>
  <c r="AW27" i="6" s="1"/>
  <c r="AX342" i="6"/>
  <c r="AX27" i="6" s="1"/>
  <c r="AY342" i="6"/>
  <c r="AZ342" i="6"/>
  <c r="AZ27" i="6" s="1"/>
  <c r="BB342" i="6"/>
  <c r="BC342" i="6"/>
  <c r="BC27" i="6" s="1"/>
  <c r="BD342" i="6"/>
  <c r="BE342" i="6"/>
  <c r="BE27" i="6" s="1"/>
  <c r="BG342" i="6"/>
  <c r="BG27" i="6" s="1"/>
  <c r="BH342" i="6"/>
  <c r="BI342" i="6"/>
  <c r="BJ342" i="6"/>
  <c r="BJ343" i="6" s="1"/>
  <c r="BL342" i="6"/>
  <c r="BQ343" i="6" s="1"/>
  <c r="CP342" i="6"/>
  <c r="CP343" i="6"/>
  <c r="DF343" i="6"/>
  <c r="DG343" i="6"/>
  <c r="H345" i="6"/>
  <c r="M345" i="6"/>
  <c r="R345" i="6"/>
  <c r="CS345" i="6" s="1"/>
  <c r="W345" i="6"/>
  <c r="AB345" i="6"/>
  <c r="AG345" i="6"/>
  <c r="AL345" i="6"/>
  <c r="CW345" i="6" s="1"/>
  <c r="AQ345" i="6"/>
  <c r="AV345" i="6"/>
  <c r="BA345" i="6"/>
  <c r="CZ345" i="6" s="1"/>
  <c r="BF345" i="6"/>
  <c r="BK345" i="6"/>
  <c r="DB345" i="6" s="1"/>
  <c r="BM39" i="6"/>
  <c r="BM128" i="6" s="1"/>
  <c r="CP345" i="6"/>
  <c r="D346" i="6"/>
  <c r="E346" i="6"/>
  <c r="F346" i="6"/>
  <c r="G346" i="6"/>
  <c r="I346" i="6"/>
  <c r="J346" i="6"/>
  <c r="K346" i="6"/>
  <c r="L346" i="6"/>
  <c r="N346" i="6"/>
  <c r="O346" i="6"/>
  <c r="P346" i="6"/>
  <c r="Q346" i="6"/>
  <c r="S346" i="6"/>
  <c r="T346" i="6"/>
  <c r="U346" i="6"/>
  <c r="V346" i="6"/>
  <c r="X346" i="6"/>
  <c r="Y346" i="6"/>
  <c r="Z346" i="6"/>
  <c r="AA346" i="6"/>
  <c r="AC346" i="6"/>
  <c r="AD346" i="6"/>
  <c r="AE346" i="6"/>
  <c r="AF346" i="6"/>
  <c r="AH346" i="6"/>
  <c r="AI346" i="6"/>
  <c r="AJ346" i="6"/>
  <c r="AK346" i="6"/>
  <c r="AM346" i="6"/>
  <c r="AN346" i="6"/>
  <c r="AO346" i="6"/>
  <c r="AP346" i="6"/>
  <c r="AR346" i="6"/>
  <c r="AS346" i="6"/>
  <c r="AT346" i="6"/>
  <c r="AU346" i="6"/>
  <c r="AW346" i="6"/>
  <c r="AX346" i="6"/>
  <c r="AY346" i="6"/>
  <c r="AZ346" i="6"/>
  <c r="BB346" i="6"/>
  <c r="BC346" i="6"/>
  <c r="BD346" i="6"/>
  <c r="BE346" i="6"/>
  <c r="BG346" i="6"/>
  <c r="BH346" i="6"/>
  <c r="BI346" i="6"/>
  <c r="BJ346" i="6"/>
  <c r="BL346" i="6"/>
  <c r="BM346" i="6"/>
  <c r="CP346" i="6"/>
  <c r="I347" i="6"/>
  <c r="J347" i="6"/>
  <c r="K347" i="6"/>
  <c r="L347" i="6"/>
  <c r="N347" i="6"/>
  <c r="O347" i="6"/>
  <c r="P347" i="6"/>
  <c r="Q347" i="6"/>
  <c r="S347" i="6"/>
  <c r="T347" i="6"/>
  <c r="U347" i="6"/>
  <c r="V347" i="6"/>
  <c r="X347" i="6"/>
  <c r="BT253" i="42425" s="1"/>
  <c r="Y347" i="6"/>
  <c r="BU253" i="42425" s="1"/>
  <c r="Z347" i="6"/>
  <c r="BV253" i="42425" s="1"/>
  <c r="AA347" i="6"/>
  <c r="BW253" i="42425" s="1"/>
  <c r="AC347" i="6"/>
  <c r="BX253" i="42425" s="1"/>
  <c r="AD347" i="6"/>
  <c r="BY253" i="42425" s="1"/>
  <c r="AE347" i="6"/>
  <c r="BZ253" i="42425" s="1"/>
  <c r="AF347" i="6"/>
  <c r="CA253" i="42425" s="1"/>
  <c r="AH347" i="6"/>
  <c r="CB253" i="42425" s="1"/>
  <c r="AI347" i="6"/>
  <c r="CC253" i="42425" s="1"/>
  <c r="AJ347" i="6"/>
  <c r="CD253" i="42425" s="1"/>
  <c r="AK347" i="6"/>
  <c r="CE253" i="42425" s="1"/>
  <c r="AM347" i="6"/>
  <c r="CF253" i="42425" s="1"/>
  <c r="AN347" i="6"/>
  <c r="CG253" i="42425" s="1"/>
  <c r="AO347" i="6"/>
  <c r="CH253" i="42425" s="1"/>
  <c r="AP347" i="6"/>
  <c r="AR347" i="6"/>
  <c r="AS347" i="6"/>
  <c r="AT347" i="6"/>
  <c r="AU347" i="6"/>
  <c r="AW347" i="6"/>
  <c r="AX347" i="6"/>
  <c r="AY347" i="6"/>
  <c r="AZ347" i="6"/>
  <c r="BB347" i="6"/>
  <c r="BC347" i="6"/>
  <c r="BD347" i="6"/>
  <c r="BE347" i="6"/>
  <c r="BG347" i="6"/>
  <c r="BH347" i="6"/>
  <c r="BI347" i="6"/>
  <c r="BJ347" i="6"/>
  <c r="BL347" i="6"/>
  <c r="CP347" i="6"/>
  <c r="H349" i="6"/>
  <c r="CQ349" i="6" s="1"/>
  <c r="M349" i="6"/>
  <c r="CR349" i="6" s="1"/>
  <c r="CP349" i="6"/>
  <c r="D350" i="6"/>
  <c r="E350" i="6"/>
  <c r="F350" i="6"/>
  <c r="G350" i="6"/>
  <c r="I350" i="6"/>
  <c r="J350" i="6"/>
  <c r="K350" i="6"/>
  <c r="L350" i="6"/>
  <c r="CP350" i="6"/>
  <c r="CP354" i="6"/>
  <c r="D355" i="6"/>
  <c r="E355" i="6"/>
  <c r="F355" i="6"/>
  <c r="G355" i="6"/>
  <c r="H355" i="6"/>
  <c r="CQ355" i="6" s="1"/>
  <c r="I355" i="6"/>
  <c r="J355" i="6"/>
  <c r="K355" i="6"/>
  <c r="L355" i="6"/>
  <c r="M355" i="6"/>
  <c r="CR355" i="6" s="1"/>
  <c r="N355" i="6"/>
  <c r="O355" i="6"/>
  <c r="P355" i="6"/>
  <c r="Q355" i="6"/>
  <c r="R355" i="6"/>
  <c r="CS355" i="6" s="1"/>
  <c r="S355" i="6"/>
  <c r="T355" i="6"/>
  <c r="U355" i="6"/>
  <c r="V355" i="6"/>
  <c r="W355" i="6"/>
  <c r="CT355" i="6" s="1"/>
  <c r="X355" i="6"/>
  <c r="Y355" i="6"/>
  <c r="Z355" i="6"/>
  <c r="AA355" i="6"/>
  <c r="AB355" i="6"/>
  <c r="CU355" i="6" s="1"/>
  <c r="AC355" i="6"/>
  <c r="AD355" i="6"/>
  <c r="AE355" i="6"/>
  <c r="AF355" i="6"/>
  <c r="AG355" i="6"/>
  <c r="CV355" i="6" s="1"/>
  <c r="AH355" i="6"/>
  <c r="AI355" i="6"/>
  <c r="AJ355" i="6"/>
  <c r="AK355" i="6"/>
  <c r="AL355" i="6"/>
  <c r="CW355" i="6" s="1"/>
  <c r="AM355" i="6"/>
  <c r="AN355" i="6"/>
  <c r="AO355" i="6"/>
  <c r="AP355" i="6"/>
  <c r="AQ355" i="6"/>
  <c r="CX355" i="6" s="1"/>
  <c r="AR355" i="6"/>
  <c r="AS355" i="6"/>
  <c r="AT355" i="6"/>
  <c r="AU355" i="6"/>
  <c r="AV355" i="6"/>
  <c r="CY355" i="6" s="1"/>
  <c r="AW355" i="6"/>
  <c r="AX355" i="6"/>
  <c r="AY355" i="6"/>
  <c r="AZ355" i="6"/>
  <c r="BA355" i="6"/>
  <c r="CZ355" i="6" s="1"/>
  <c r="BB355" i="6"/>
  <c r="BC355" i="6"/>
  <c r="BD355" i="6"/>
  <c r="BE355" i="6"/>
  <c r="BF355" i="6"/>
  <c r="DA355" i="6" s="1"/>
  <c r="BG355" i="6"/>
  <c r="BH355" i="6"/>
  <c r="BI355" i="6"/>
  <c r="BJ355" i="6"/>
  <c r="BK355" i="6"/>
  <c r="DB355" i="6" s="1"/>
  <c r="BL355" i="6"/>
  <c r="BM355" i="6"/>
  <c r="BN355" i="6"/>
  <c r="BO355" i="6"/>
  <c r="BP355" i="6"/>
  <c r="DC355" i="6" s="1"/>
  <c r="BU355" i="6"/>
  <c r="DD355" i="6" s="1"/>
  <c r="BZ355" i="6"/>
  <c r="DE355" i="6" s="1"/>
  <c r="CA355" i="6"/>
  <c r="DF355" i="6" s="1"/>
  <c r="CB355" i="6"/>
  <c r="DG355" i="6" s="1"/>
  <c r="CC355" i="6"/>
  <c r="CD355" i="6"/>
  <c r="CE355" i="6"/>
  <c r="CF355" i="6"/>
  <c r="CG355" i="6"/>
  <c r="CP355" i="6"/>
  <c r="D356" i="6"/>
  <c r="E356" i="6"/>
  <c r="F356" i="6"/>
  <c r="G356" i="6"/>
  <c r="L356" i="6"/>
  <c r="M356" i="6" s="1"/>
  <c r="CR356" i="6" s="1"/>
  <c r="Q356" i="6"/>
  <c r="V356" i="6"/>
  <c r="W356" i="6" s="1"/>
  <c r="CT356" i="6" s="1"/>
  <c r="AA356" i="6"/>
  <c r="AB356" i="6" s="1"/>
  <c r="AF356" i="6"/>
  <c r="AG356" i="6" s="1"/>
  <c r="CV356" i="6" s="1"/>
  <c r="CP356" i="6"/>
  <c r="L357" i="6"/>
  <c r="AA357" i="6"/>
  <c r="AB357" i="6" s="1"/>
  <c r="AF357" i="6"/>
  <c r="CP357" i="6"/>
  <c r="CP358" i="6"/>
  <c r="CQ359" i="6"/>
  <c r="CR359" i="6"/>
  <c r="CS359" i="6"/>
  <c r="CT359" i="6"/>
  <c r="CU359" i="6"/>
  <c r="CV359" i="6"/>
  <c r="CW359" i="6"/>
  <c r="CX359" i="6"/>
  <c r="CY359" i="6"/>
  <c r="CZ359" i="6"/>
  <c r="DA359" i="6"/>
  <c r="DB359" i="6"/>
  <c r="DC359" i="6"/>
  <c r="DD359" i="6"/>
  <c r="DE359" i="6"/>
  <c r="DF359" i="6"/>
  <c r="DG359" i="6"/>
  <c r="CP360" i="6"/>
  <c r="H362" i="6"/>
  <c r="H363" i="6" s="1"/>
  <c r="CQ363" i="6" s="1"/>
  <c r="M362" i="6"/>
  <c r="R362" i="6"/>
  <c r="CS362" i="6" s="1"/>
  <c r="W362" i="6"/>
  <c r="AB362" i="6"/>
  <c r="AC363" i="6" s="1"/>
  <c r="AF362" i="6"/>
  <c r="AG362" i="6" s="1"/>
  <c r="AK362" i="6"/>
  <c r="AL362" i="6" s="1"/>
  <c r="CW362" i="6" s="1"/>
  <c r="AP362" i="6"/>
  <c r="AQ362" i="6" s="1"/>
  <c r="AU362" i="6"/>
  <c r="AV362" i="6" s="1"/>
  <c r="AW362" i="6" s="1"/>
  <c r="AX362" i="6" s="1"/>
  <c r="AZ362" i="6"/>
  <c r="BA362" i="6" s="1"/>
  <c r="CZ362" i="6" s="1"/>
  <c r="CP362" i="6"/>
  <c r="D363" i="6"/>
  <c r="E363" i="6"/>
  <c r="F363" i="6"/>
  <c r="G363" i="6"/>
  <c r="J363" i="6"/>
  <c r="K363" i="6"/>
  <c r="L363" i="6"/>
  <c r="O363" i="6"/>
  <c r="P363" i="6"/>
  <c r="Q363" i="6"/>
  <c r="T363" i="6"/>
  <c r="U363" i="6"/>
  <c r="V363" i="6"/>
  <c r="Y363" i="6"/>
  <c r="Z363" i="6"/>
  <c r="AA363" i="6"/>
  <c r="AD363" i="6"/>
  <c r="AE363" i="6"/>
  <c r="CP363" i="6"/>
  <c r="CP365" i="6"/>
  <c r="AQ366" i="6"/>
  <c r="AR366" i="6" s="1"/>
  <c r="AV366" i="6"/>
  <c r="BA366" i="6"/>
  <c r="CP366" i="6"/>
  <c r="H367" i="6"/>
  <c r="CQ367" i="6" s="1"/>
  <c r="M367" i="6"/>
  <c r="R367" i="6"/>
  <c r="W367" i="6"/>
  <c r="CT367" i="6" s="1"/>
  <c r="AB367" i="6"/>
  <c r="CU367" i="6" s="1"/>
  <c r="AG367" i="6"/>
  <c r="AL367" i="6"/>
  <c r="AQ367" i="6"/>
  <c r="AV367" i="6"/>
  <c r="BA367" i="6"/>
  <c r="BB367" i="6" s="1"/>
  <c r="BC367" i="6" s="1"/>
  <c r="CP367" i="6"/>
  <c r="H368" i="6"/>
  <c r="M368" i="6"/>
  <c r="CR368" i="6" s="1"/>
  <c r="R368" i="6"/>
  <c r="W368" i="6"/>
  <c r="CT368" i="6" s="1"/>
  <c r="AB368" i="6"/>
  <c r="AG368" i="6"/>
  <c r="AH368" i="6" s="1"/>
  <c r="AI368" i="6" s="1"/>
  <c r="AJ368" i="6" s="1"/>
  <c r="AL368" i="6"/>
  <c r="AQ368" i="6"/>
  <c r="AV368" i="6"/>
  <c r="AW368" i="6" s="1"/>
  <c r="AX368" i="6" s="1"/>
  <c r="AY368" i="6" s="1"/>
  <c r="BA368" i="6"/>
  <c r="CZ368" i="6" s="1"/>
  <c r="BF368" i="6"/>
  <c r="DA368" i="6" s="1"/>
  <c r="BK368" i="6"/>
  <c r="DB368" i="6" s="1"/>
  <c r="CP368" i="6"/>
  <c r="H369" i="6"/>
  <c r="I369" i="6" s="1"/>
  <c r="M369" i="6"/>
  <c r="R369" i="6"/>
  <c r="CS369" i="6" s="1"/>
  <c r="W369" i="6"/>
  <c r="AB369" i="6"/>
  <c r="AC369" i="6" s="1"/>
  <c r="AD369" i="6" s="1"/>
  <c r="AE369" i="6" s="1"/>
  <c r="AG369" i="6"/>
  <c r="AL369" i="6"/>
  <c r="AQ369" i="6"/>
  <c r="AV369" i="6"/>
  <c r="AW369" i="6" s="1"/>
  <c r="AX369" i="6" s="1"/>
  <c r="BA369" i="6"/>
  <c r="CZ369" i="6" s="1"/>
  <c r="BF369" i="6"/>
  <c r="DA369" i="6" s="1"/>
  <c r="BK369" i="6"/>
  <c r="DB369" i="6" s="1"/>
  <c r="CP369" i="6"/>
  <c r="H370" i="6"/>
  <c r="M370" i="6"/>
  <c r="R370" i="6"/>
  <c r="W370" i="6"/>
  <c r="X370" i="6" s="1"/>
  <c r="Y370" i="6" s="1"/>
  <c r="Z370" i="6" s="1"/>
  <c r="AB370" i="6"/>
  <c r="CU370" i="6" s="1"/>
  <c r="AG370" i="6"/>
  <c r="AL370" i="6"/>
  <c r="CW370" i="6" s="1"/>
  <c r="AQ370" i="6"/>
  <c r="AR370" i="6" s="1"/>
  <c r="AR412" i="6" s="1"/>
  <c r="AV370" i="6"/>
  <c r="CY370" i="6" s="1"/>
  <c r="BA370" i="6"/>
  <c r="BF370" i="6"/>
  <c r="DA370" i="6" s="1"/>
  <c r="BK370" i="6"/>
  <c r="DB370" i="6" s="1"/>
  <c r="CP370" i="6"/>
  <c r="H371" i="6"/>
  <c r="M371" i="6"/>
  <c r="CR371" i="6" s="1"/>
  <c r="R371" i="6"/>
  <c r="S371" i="6" s="1"/>
  <c r="T371" i="6" s="1"/>
  <c r="U371" i="6" s="1"/>
  <c r="W371" i="6"/>
  <c r="AB371" i="6"/>
  <c r="AG371" i="6"/>
  <c r="CV371" i="6" s="1"/>
  <c r="AL371" i="6"/>
  <c r="AM371" i="6" s="1"/>
  <c r="AN371" i="6" s="1"/>
  <c r="AQ371" i="6"/>
  <c r="AV371" i="6"/>
  <c r="CY371" i="6" s="1"/>
  <c r="BA371" i="6"/>
  <c r="CZ371" i="6" s="1"/>
  <c r="BF371" i="6"/>
  <c r="DA371" i="6" s="1"/>
  <c r="BK371" i="6"/>
  <c r="DB371" i="6" s="1"/>
  <c r="BP371" i="6"/>
  <c r="DC371" i="6" s="1"/>
  <c r="CP371" i="6"/>
  <c r="H372" i="6"/>
  <c r="CQ372" i="6" s="1"/>
  <c r="M372" i="6"/>
  <c r="R372" i="6"/>
  <c r="S372" i="6" s="1"/>
  <c r="W372" i="6"/>
  <c r="AB372" i="6"/>
  <c r="CU372" i="6" s="1"/>
  <c r="AG372" i="6"/>
  <c r="CV372" i="6" s="1"/>
  <c r="AL372" i="6"/>
  <c r="AM372" i="6" s="1"/>
  <c r="AN372" i="6" s="1"/>
  <c r="AQ372" i="6"/>
  <c r="AV372" i="6"/>
  <c r="BA372" i="6"/>
  <c r="CZ372" i="6" s="1"/>
  <c r="BF372" i="6"/>
  <c r="DA372" i="6" s="1"/>
  <c r="BK372" i="6"/>
  <c r="DB372" i="6" s="1"/>
  <c r="CP372" i="6"/>
  <c r="CQ383" i="6"/>
  <c r="CR383" i="6"/>
  <c r="CS383" i="6"/>
  <c r="CT383" i="6"/>
  <c r="CU383" i="6"/>
  <c r="CV383" i="6"/>
  <c r="CW383" i="6"/>
  <c r="CX383" i="6"/>
  <c r="CY383" i="6"/>
  <c r="CZ383" i="6"/>
  <c r="DA383" i="6"/>
  <c r="DB383" i="6"/>
  <c r="DC383" i="6"/>
  <c r="DD383" i="6"/>
  <c r="DE383" i="6"/>
  <c r="DF383" i="6"/>
  <c r="DG383" i="6"/>
  <c r="D384" i="6"/>
  <c r="E384" i="6"/>
  <c r="F384" i="6"/>
  <c r="G384" i="6"/>
  <c r="L384" i="6"/>
  <c r="Q384" i="6"/>
  <c r="V384" i="6"/>
  <c r="AA384" i="6"/>
  <c r="AF384" i="6"/>
  <c r="AK384" i="6"/>
  <c r="CP384" i="6"/>
  <c r="CP386" i="6"/>
  <c r="AQ387" i="6"/>
  <c r="AV387" i="6"/>
  <c r="CY387" i="6" s="1"/>
  <c r="BA387" i="6"/>
  <c r="BB387" i="6" s="1"/>
  <c r="CP387" i="6"/>
  <c r="H388" i="6"/>
  <c r="I388" i="6" s="1"/>
  <c r="M388" i="6"/>
  <c r="CR388" i="6" s="1"/>
  <c r="R388" i="6"/>
  <c r="W388" i="6"/>
  <c r="X388" i="6" s="1"/>
  <c r="Y388" i="6" s="1"/>
  <c r="Z388" i="6" s="1"/>
  <c r="AB388" i="6"/>
  <c r="AG388" i="6"/>
  <c r="CV388" i="6" s="1"/>
  <c r="AL388" i="6"/>
  <c r="AQ388" i="6"/>
  <c r="AV388" i="6"/>
  <c r="BA388" i="6"/>
  <c r="CP388" i="6"/>
  <c r="H389" i="6"/>
  <c r="I389" i="6" s="1"/>
  <c r="J389" i="6" s="1"/>
  <c r="K389" i="6" s="1"/>
  <c r="M389" i="6"/>
  <c r="R389" i="6"/>
  <c r="CS389" i="6" s="1"/>
  <c r="W389" i="6"/>
  <c r="AB389" i="6"/>
  <c r="AC389" i="6" s="1"/>
  <c r="AD389" i="6" s="1"/>
  <c r="AE389" i="6" s="1"/>
  <c r="AG389" i="6"/>
  <c r="AL389" i="6"/>
  <c r="CW389" i="6" s="1"/>
  <c r="AQ389" i="6"/>
  <c r="AV389" i="6"/>
  <c r="CY389" i="6" s="1"/>
  <c r="BA389" i="6"/>
  <c r="CZ389" i="6" s="1"/>
  <c r="BF389" i="6"/>
  <c r="DA389" i="6" s="1"/>
  <c r="BK389" i="6"/>
  <c r="DB389" i="6" s="1"/>
  <c r="CP389" i="6"/>
  <c r="H390" i="6"/>
  <c r="M390" i="6"/>
  <c r="R390" i="6"/>
  <c r="S390" i="6" s="1"/>
  <c r="T390" i="6" s="1"/>
  <c r="U390" i="6" s="1"/>
  <c r="W390" i="6"/>
  <c r="AB390" i="6"/>
  <c r="CU390" i="6" s="1"/>
  <c r="AG390" i="6"/>
  <c r="CV390" i="6" s="1"/>
  <c r="AL390" i="6"/>
  <c r="AQ390" i="6"/>
  <c r="CX390" i="6" s="1"/>
  <c r="AV390" i="6"/>
  <c r="BA390" i="6"/>
  <c r="BF390" i="6"/>
  <c r="DA390" i="6" s="1"/>
  <c r="BK390" i="6"/>
  <c r="DB390" i="6" s="1"/>
  <c r="CP390" i="6"/>
  <c r="H391" i="6"/>
  <c r="I391" i="6" s="1"/>
  <c r="J391" i="6" s="1"/>
  <c r="K391" i="6" s="1"/>
  <c r="M391" i="6"/>
  <c r="R391" i="6"/>
  <c r="S391" i="6" s="1"/>
  <c r="W391" i="6"/>
  <c r="X391" i="6" s="1"/>
  <c r="AB391" i="6"/>
  <c r="AC391" i="6" s="1"/>
  <c r="AD391" i="6" s="1"/>
  <c r="AE391" i="6" s="1"/>
  <c r="AG391" i="6"/>
  <c r="AL391" i="6"/>
  <c r="AM391" i="6" s="1"/>
  <c r="AN391" i="6" s="1"/>
  <c r="AO391" i="6" s="1"/>
  <c r="AQ391" i="6"/>
  <c r="AR391" i="6" s="1"/>
  <c r="AS391" i="6" s="1"/>
  <c r="AV391" i="6"/>
  <c r="AW391" i="6" s="1"/>
  <c r="AX391" i="6" s="1"/>
  <c r="AY391" i="6" s="1"/>
  <c r="BA391" i="6"/>
  <c r="CZ391" i="6" s="1"/>
  <c r="BF391" i="6"/>
  <c r="DA391" i="6" s="1"/>
  <c r="BK391" i="6"/>
  <c r="DB391" i="6" s="1"/>
  <c r="CP391" i="6"/>
  <c r="H392" i="6"/>
  <c r="CQ392" i="6" s="1"/>
  <c r="M392" i="6"/>
  <c r="AB392" i="6"/>
  <c r="AC392" i="6" s="1"/>
  <c r="AD392" i="6" s="1"/>
  <c r="AE392" i="6" s="1"/>
  <c r="AG392" i="6"/>
  <c r="AL392" i="6"/>
  <c r="AQ392" i="6"/>
  <c r="AR392" i="6" s="1"/>
  <c r="AS392" i="6" s="1"/>
  <c r="AT392" i="6" s="1"/>
  <c r="AV392" i="6"/>
  <c r="AW392" i="6" s="1"/>
  <c r="BA392" i="6"/>
  <c r="CZ392" i="6" s="1"/>
  <c r="BF392" i="6"/>
  <c r="DA392" i="6" s="1"/>
  <c r="BK392" i="6"/>
  <c r="DB392" i="6" s="1"/>
  <c r="CP392" i="6"/>
  <c r="H393" i="6"/>
  <c r="M393" i="6"/>
  <c r="CR393" i="6" s="1"/>
  <c r="R393" i="6"/>
  <c r="W393" i="6"/>
  <c r="X393" i="6" s="1"/>
  <c r="AB393" i="6"/>
  <c r="AG393" i="6"/>
  <c r="CV393" i="6" s="1"/>
  <c r="AL393" i="6"/>
  <c r="CW393" i="6" s="1"/>
  <c r="AQ393" i="6"/>
  <c r="AV393" i="6"/>
  <c r="AW393" i="6" s="1"/>
  <c r="BA393" i="6"/>
  <c r="CZ393" i="6" s="1"/>
  <c r="BF393" i="6"/>
  <c r="DA393" i="6" s="1"/>
  <c r="BK393" i="6"/>
  <c r="DB393" i="6" s="1"/>
  <c r="CP393" i="6"/>
  <c r="CQ404" i="6"/>
  <c r="CR404" i="6"/>
  <c r="CS404" i="6"/>
  <c r="CT404" i="6"/>
  <c r="CU404" i="6"/>
  <c r="CV404" i="6"/>
  <c r="CW404" i="6"/>
  <c r="CX404" i="6"/>
  <c r="CY404" i="6"/>
  <c r="CZ404" i="6"/>
  <c r="DA404" i="6"/>
  <c r="DB404" i="6"/>
  <c r="DC404" i="6"/>
  <c r="DD404" i="6"/>
  <c r="DE404" i="6"/>
  <c r="DF404" i="6"/>
  <c r="DG404" i="6"/>
  <c r="D405" i="6"/>
  <c r="D357" i="6" s="1"/>
  <c r="E405" i="6"/>
  <c r="E357" i="6" s="1"/>
  <c r="F405" i="6"/>
  <c r="F357" i="6" s="1"/>
  <c r="G405" i="6"/>
  <c r="G357" i="6" s="1"/>
  <c r="L405" i="6"/>
  <c r="AA405" i="6"/>
  <c r="AF405" i="6"/>
  <c r="AK405" i="6"/>
  <c r="CP405" i="6"/>
  <c r="CP407" i="6"/>
  <c r="AP408" i="6"/>
  <c r="AU408" i="6"/>
  <c r="AZ408" i="6"/>
  <c r="CP408" i="6"/>
  <c r="D409" i="6"/>
  <c r="D430" i="6" s="1"/>
  <c r="D447" i="6" s="1"/>
  <c r="D495" i="6" s="1"/>
  <c r="D496" i="6" s="1"/>
  <c r="D497" i="6" s="1"/>
  <c r="E409" i="6"/>
  <c r="F409" i="6"/>
  <c r="G409" i="6"/>
  <c r="L409" i="6"/>
  <c r="L430" i="6" s="1"/>
  <c r="K96" i="42290" s="1"/>
  <c r="K98" i="42290" s="1"/>
  <c r="K100" i="42290" s="1"/>
  <c r="Q409" i="6"/>
  <c r="V409" i="6"/>
  <c r="AA409" i="6"/>
  <c r="AA430" i="6" s="1"/>
  <c r="AA447" i="6" s="1"/>
  <c r="AA495" i="6" s="1"/>
  <c r="AA496" i="6" s="1"/>
  <c r="AA497" i="6" s="1"/>
  <c r="AF409" i="6"/>
  <c r="AF430" i="6" s="1"/>
  <c r="AF447" i="6" s="1"/>
  <c r="AF495" i="6" s="1"/>
  <c r="AF496" i="6" s="1"/>
  <c r="AF497" i="6" s="1"/>
  <c r="AK409" i="6"/>
  <c r="AP409" i="6"/>
  <c r="AU409" i="6"/>
  <c r="AZ409" i="6"/>
  <c r="CP409" i="6"/>
  <c r="D410" i="6"/>
  <c r="D473" i="6" s="1"/>
  <c r="E410" i="6"/>
  <c r="F410" i="6"/>
  <c r="F473" i="6" s="1"/>
  <c r="G410" i="6"/>
  <c r="L410" i="6"/>
  <c r="Q410" i="6"/>
  <c r="V410" i="6"/>
  <c r="AA410" i="6"/>
  <c r="AA473" i="6" s="1"/>
  <c r="AF410" i="6"/>
  <c r="AK410" i="6"/>
  <c r="AP410" i="6"/>
  <c r="AU410" i="6"/>
  <c r="AZ410" i="6"/>
  <c r="BB410" i="6"/>
  <c r="BC410" i="6"/>
  <c r="BD410" i="6"/>
  <c r="BE410" i="6"/>
  <c r="BG410" i="6"/>
  <c r="BH410" i="6"/>
  <c r="BH473" i="6" s="1"/>
  <c r="BI410" i="6"/>
  <c r="BJ410" i="6"/>
  <c r="BL410" i="6"/>
  <c r="BM410" i="6"/>
  <c r="CP410" i="6"/>
  <c r="D411" i="6"/>
  <c r="D474" i="6" s="1"/>
  <c r="E411" i="6"/>
  <c r="E474" i="6" s="1"/>
  <c r="F411" i="6"/>
  <c r="F474" i="6" s="1"/>
  <c r="G411" i="6"/>
  <c r="G474" i="6" s="1"/>
  <c r="L411" i="6"/>
  <c r="L474" i="6" s="1"/>
  <c r="Q411" i="6"/>
  <c r="Q474" i="6" s="1"/>
  <c r="V411" i="6"/>
  <c r="AA411" i="6"/>
  <c r="AA474" i="6" s="1"/>
  <c r="AF411" i="6"/>
  <c r="AK411" i="6"/>
  <c r="AK474" i="6" s="1"/>
  <c r="AP411" i="6"/>
  <c r="AU411" i="6"/>
  <c r="AU474" i="6" s="1"/>
  <c r="AZ411" i="6"/>
  <c r="BC411" i="6"/>
  <c r="BC474" i="6" s="1"/>
  <c r="BD411" i="6"/>
  <c r="BE411" i="6"/>
  <c r="BG411" i="6"/>
  <c r="BH411" i="6"/>
  <c r="BI411" i="6"/>
  <c r="BJ411" i="6"/>
  <c r="BL411" i="6"/>
  <c r="BM411" i="6"/>
  <c r="BM474" i="6" s="1"/>
  <c r="CP411" i="6"/>
  <c r="D412" i="6"/>
  <c r="E412" i="6"/>
  <c r="F412" i="6"/>
  <c r="G412" i="6"/>
  <c r="L412" i="6"/>
  <c r="Q412" i="6"/>
  <c r="V412" i="6"/>
  <c r="V475" i="6" s="1"/>
  <c r="AA412" i="6"/>
  <c r="AF412" i="6"/>
  <c r="AK412" i="6"/>
  <c r="AP412" i="6"/>
  <c r="AP475" i="6" s="1"/>
  <c r="AU412" i="6"/>
  <c r="AZ412" i="6"/>
  <c r="BB412" i="6"/>
  <c r="BC412" i="6"/>
  <c r="BD412" i="6"/>
  <c r="BE412" i="6"/>
  <c r="BG412" i="6"/>
  <c r="BH412" i="6"/>
  <c r="BI412" i="6"/>
  <c r="BJ412" i="6"/>
  <c r="BL412" i="6"/>
  <c r="BM412" i="6"/>
  <c r="BM475" i="6" s="1"/>
  <c r="CP412" i="6"/>
  <c r="D413" i="6"/>
  <c r="D476" i="6" s="1"/>
  <c r="E413" i="6"/>
  <c r="F413" i="6"/>
  <c r="G413" i="6"/>
  <c r="L413" i="6"/>
  <c r="L476" i="6" s="1"/>
  <c r="AA413" i="6"/>
  <c r="AF413" i="6"/>
  <c r="AK413" i="6"/>
  <c r="AP413" i="6"/>
  <c r="AU413" i="6"/>
  <c r="AZ413" i="6"/>
  <c r="BB413" i="6"/>
  <c r="BC413" i="6"/>
  <c r="BD413" i="6"/>
  <c r="BE413" i="6"/>
  <c r="BE476" i="6" s="1"/>
  <c r="BG413" i="6"/>
  <c r="BH413" i="6"/>
  <c r="BI413" i="6"/>
  <c r="BJ413" i="6"/>
  <c r="BL413" i="6"/>
  <c r="BM413" i="6"/>
  <c r="CP413" i="6"/>
  <c r="D414" i="6"/>
  <c r="E414" i="6"/>
  <c r="F414" i="6"/>
  <c r="G414" i="6"/>
  <c r="L414" i="6"/>
  <c r="Q414" i="6"/>
  <c r="V414" i="6"/>
  <c r="AA414" i="6"/>
  <c r="AF414" i="6"/>
  <c r="AK414" i="6"/>
  <c r="AP414" i="6"/>
  <c r="AU414" i="6"/>
  <c r="AZ414" i="6"/>
  <c r="AZ477" i="6" s="1"/>
  <c r="BB414" i="6"/>
  <c r="BC414" i="6"/>
  <c r="BD414" i="6"/>
  <c r="BE414" i="6"/>
  <c r="BG414" i="6"/>
  <c r="BH414" i="6"/>
  <c r="BI414" i="6"/>
  <c r="BJ414" i="6"/>
  <c r="BJ477" i="6" s="1"/>
  <c r="BL414" i="6"/>
  <c r="BM414" i="6"/>
  <c r="BM477" i="6" s="1"/>
  <c r="CP414" i="6"/>
  <c r="CQ425" i="6"/>
  <c r="CR425" i="6"/>
  <c r="CS425" i="6"/>
  <c r="CT425" i="6"/>
  <c r="CU425" i="6"/>
  <c r="CV425" i="6"/>
  <c r="CW425" i="6"/>
  <c r="CX425" i="6"/>
  <c r="CY425" i="6"/>
  <c r="CZ425" i="6"/>
  <c r="DA425" i="6"/>
  <c r="DB425" i="6"/>
  <c r="DC425" i="6"/>
  <c r="DD425" i="6"/>
  <c r="DE425" i="6"/>
  <c r="DF425" i="6"/>
  <c r="DG425" i="6"/>
  <c r="CP426" i="6"/>
  <c r="CP428" i="6"/>
  <c r="AQ429" i="6"/>
  <c r="CX429" i="6" s="1"/>
  <c r="AU429" i="6"/>
  <c r="AW429" i="6"/>
  <c r="AX429" i="6"/>
  <c r="AY429" i="6"/>
  <c r="CP429" i="6"/>
  <c r="CP430" i="6"/>
  <c r="H431" i="6"/>
  <c r="CQ431" i="6" s="1"/>
  <c r="M431" i="6"/>
  <c r="L124" i="42290" s="1"/>
  <c r="L135" i="42290" s="1"/>
  <c r="R431" i="6"/>
  <c r="Q124" i="42290" s="1"/>
  <c r="W431" i="6"/>
  <c r="AB431" i="6"/>
  <c r="AG431" i="6"/>
  <c r="CV431" i="6" s="1"/>
  <c r="AL431" i="6"/>
  <c r="AQ431" i="6"/>
  <c r="AV431" i="6"/>
  <c r="CY431" i="6" s="1"/>
  <c r="BA431" i="6"/>
  <c r="AZ124" i="42290" s="1"/>
  <c r="AZ134" i="42290" s="1"/>
  <c r="AX134" i="42290" s="1"/>
  <c r="BF431" i="6"/>
  <c r="EC593" i="42458" s="1"/>
  <c r="BK431" i="6"/>
  <c r="EH593" i="42458" s="1"/>
  <c r="BX431" i="6"/>
  <c r="BY431" i="6"/>
  <c r="CP431" i="6"/>
  <c r="H432" i="6"/>
  <c r="M432" i="6"/>
  <c r="L50" i="42290" s="1"/>
  <c r="L54" i="42290" s="1"/>
  <c r="R432" i="6"/>
  <c r="Q50" i="42290" s="1"/>
  <c r="Q54" i="42290" s="1"/>
  <c r="Q57" i="42290" s="1"/>
  <c r="W432" i="6"/>
  <c r="V50" i="42290" s="1"/>
  <c r="V54" i="42290" s="1"/>
  <c r="V57" i="42290" s="1"/>
  <c r="AB432" i="6"/>
  <c r="AG432" i="6"/>
  <c r="CV432" i="6" s="1"/>
  <c r="AL432" i="6"/>
  <c r="AK50" i="42290" s="1"/>
  <c r="AK54" i="42290" s="1"/>
  <c r="AK57" i="42290" s="1"/>
  <c r="AQ432" i="6"/>
  <c r="AP50" i="42290" s="1"/>
  <c r="AP54" i="42290" s="1"/>
  <c r="AP57" i="42290" s="1"/>
  <c r="AV432" i="6"/>
  <c r="BA432" i="6"/>
  <c r="CZ432" i="6" s="1"/>
  <c r="BF432" i="6"/>
  <c r="BE50" i="42290" s="1"/>
  <c r="BE54" i="42290" s="1"/>
  <c r="BE57" i="42290" s="1"/>
  <c r="BK432" i="6"/>
  <c r="DB432" i="6" s="1"/>
  <c r="BX432" i="6"/>
  <c r="EL594" i="42458"/>
  <c r="CP432" i="6"/>
  <c r="H433" i="6"/>
  <c r="G24" i="42290" s="1"/>
  <c r="G29" i="42290" s="1"/>
  <c r="C29" i="42290" s="1"/>
  <c r="M433" i="6"/>
  <c r="R433" i="6"/>
  <c r="Q24" i="42290" s="1"/>
  <c r="W433" i="6"/>
  <c r="V24" i="42290" s="1"/>
  <c r="V29" i="42290" s="1"/>
  <c r="AB433" i="6"/>
  <c r="AA24" i="42290" s="1"/>
  <c r="AG433" i="6"/>
  <c r="AL433" i="6"/>
  <c r="AK24" i="42290" s="1"/>
  <c r="AK31" i="42290" s="1"/>
  <c r="AQ433" i="6"/>
  <c r="AP24" i="42290" s="1"/>
  <c r="AV433" i="6"/>
  <c r="AU24" i="42290" s="1"/>
  <c r="BA433" i="6"/>
  <c r="BF433" i="6"/>
  <c r="BK433" i="6"/>
  <c r="DB433" i="6" s="1"/>
  <c r="BX433" i="6"/>
  <c r="BY433" i="6"/>
  <c r="CP433" i="6"/>
  <c r="H434" i="6"/>
  <c r="G80" i="42290" s="1"/>
  <c r="G84" i="42290" s="1"/>
  <c r="G87" i="42290" s="1"/>
  <c r="M434" i="6"/>
  <c r="R434" i="6"/>
  <c r="Q80" i="42290" s="1"/>
  <c r="Q84" i="42290" s="1"/>
  <c r="Q87" i="42290" s="1"/>
  <c r="W434" i="6"/>
  <c r="V80" i="42290" s="1"/>
  <c r="V84" i="42290" s="1"/>
  <c r="V87" i="42290" s="1"/>
  <c r="AB434" i="6"/>
  <c r="AA80" i="42290" s="1"/>
  <c r="AA84" i="42290" s="1"/>
  <c r="AA87" i="42290" s="1"/>
  <c r="AG434" i="6"/>
  <c r="AF80" i="42290" s="1"/>
  <c r="AF84" i="42290" s="1"/>
  <c r="AF87" i="42290" s="1"/>
  <c r="AL434" i="6"/>
  <c r="AQ434" i="6"/>
  <c r="AP80" i="42290" s="1"/>
  <c r="AP84" i="42290" s="1"/>
  <c r="AP87" i="42290" s="1"/>
  <c r="AV434" i="6"/>
  <c r="AU80" i="42290" s="1"/>
  <c r="AU84" i="42290" s="1"/>
  <c r="AU87" i="42290" s="1"/>
  <c r="BA434" i="6"/>
  <c r="BF434" i="6"/>
  <c r="EC596" i="42458" s="1"/>
  <c r="BK434" i="6"/>
  <c r="DB434" i="6" s="1"/>
  <c r="BX434" i="6"/>
  <c r="BP434" i="6"/>
  <c r="CP434" i="6"/>
  <c r="H435" i="6"/>
  <c r="G63" i="42290" s="1"/>
  <c r="G67" i="42290" s="1"/>
  <c r="G70" i="42290" s="1"/>
  <c r="M435" i="6"/>
  <c r="R456" i="6" s="1"/>
  <c r="CS456" i="6" s="1"/>
  <c r="R435" i="6"/>
  <c r="Q63" i="42290" s="1"/>
  <c r="Q67" i="42290" s="1"/>
  <c r="Q70" i="42290" s="1"/>
  <c r="W435" i="6"/>
  <c r="AB435" i="6"/>
  <c r="AG435" i="6"/>
  <c r="F11" i="42425" s="1"/>
  <c r="AL435" i="6"/>
  <c r="AK63" i="42290" s="1"/>
  <c r="AK67" i="42290" s="1"/>
  <c r="AK70" i="42290" s="1"/>
  <c r="AQ435" i="6"/>
  <c r="CX435" i="6" s="1"/>
  <c r="AV435" i="6"/>
  <c r="CY435" i="6" s="1"/>
  <c r="BA435" i="6"/>
  <c r="AZ63" i="42290" s="1"/>
  <c r="AZ67" i="42290" s="1"/>
  <c r="AZ70" i="42290" s="1"/>
  <c r="BF435" i="6"/>
  <c r="BK435" i="6"/>
  <c r="EH597" i="42458" s="1"/>
  <c r="BX435" i="6"/>
  <c r="BY435" i="6"/>
  <c r="CP435" i="6"/>
  <c r="CQ446" i="6"/>
  <c r="CR446" i="6"/>
  <c r="CS446" i="6"/>
  <c r="CT446" i="6"/>
  <c r="CU446" i="6"/>
  <c r="CV446" i="6"/>
  <c r="CW446" i="6"/>
  <c r="CX446" i="6"/>
  <c r="CY446" i="6"/>
  <c r="CZ446" i="6"/>
  <c r="DA446" i="6"/>
  <c r="DB446" i="6"/>
  <c r="DC446" i="6"/>
  <c r="DD446" i="6"/>
  <c r="DE446" i="6"/>
  <c r="DF446" i="6"/>
  <c r="DG446" i="6"/>
  <c r="CP447" i="6"/>
  <c r="CP449" i="6"/>
  <c r="CP450" i="6"/>
  <c r="DF450" i="6"/>
  <c r="DG450" i="6"/>
  <c r="CP451" i="6"/>
  <c r="DF451" i="6"/>
  <c r="DG451" i="6"/>
  <c r="I452" i="6"/>
  <c r="J452" i="6"/>
  <c r="K452" i="6"/>
  <c r="L452" i="6"/>
  <c r="N452" i="6"/>
  <c r="O452" i="6"/>
  <c r="P452" i="6"/>
  <c r="Q452" i="6"/>
  <c r="S452" i="6"/>
  <c r="T452" i="6"/>
  <c r="U452" i="6"/>
  <c r="V452" i="6"/>
  <c r="X452" i="6"/>
  <c r="Y452" i="6"/>
  <c r="Z452" i="6"/>
  <c r="AA452" i="6"/>
  <c r="AC452" i="6"/>
  <c r="AD452" i="6"/>
  <c r="AE452" i="6"/>
  <c r="AF452" i="6"/>
  <c r="AH452" i="6"/>
  <c r="AI452" i="6"/>
  <c r="AJ452" i="6"/>
  <c r="AK452" i="6"/>
  <c r="AM452" i="6"/>
  <c r="AN452" i="6"/>
  <c r="AO452" i="6"/>
  <c r="AP452" i="6"/>
  <c r="AR452" i="6"/>
  <c r="AS452" i="6"/>
  <c r="AT452" i="6"/>
  <c r="AU452" i="6"/>
  <c r="AW452" i="6"/>
  <c r="AX452" i="6"/>
  <c r="AY452" i="6"/>
  <c r="AZ452" i="6"/>
  <c r="BB452" i="6"/>
  <c r="BC452" i="6"/>
  <c r="BD452" i="6"/>
  <c r="BE452" i="6"/>
  <c r="BG452" i="6"/>
  <c r="BH452" i="6"/>
  <c r="BI452" i="6"/>
  <c r="BJ452" i="6"/>
  <c r="BL452" i="6"/>
  <c r="CP452" i="6"/>
  <c r="DF452" i="6"/>
  <c r="DG452" i="6"/>
  <c r="I453" i="6"/>
  <c r="J453" i="6"/>
  <c r="K453" i="6"/>
  <c r="L453" i="6"/>
  <c r="N453" i="6"/>
  <c r="O453" i="6"/>
  <c r="P453" i="6"/>
  <c r="Q453" i="6"/>
  <c r="S453" i="6"/>
  <c r="T453" i="6"/>
  <c r="U453" i="6"/>
  <c r="V453" i="6"/>
  <c r="X453" i="6"/>
  <c r="Y453" i="6"/>
  <c r="Z453" i="6"/>
  <c r="AA453" i="6"/>
  <c r="AC453" i="6"/>
  <c r="AD453" i="6"/>
  <c r="AE453" i="6"/>
  <c r="AF453" i="6"/>
  <c r="AH453" i="6"/>
  <c r="AI453" i="6"/>
  <c r="AJ453" i="6"/>
  <c r="AK453" i="6"/>
  <c r="AM453" i="6"/>
  <c r="AN453" i="6"/>
  <c r="AO453" i="6"/>
  <c r="AP453" i="6"/>
  <c r="AR453" i="6"/>
  <c r="AS453" i="6"/>
  <c r="AT453" i="6"/>
  <c r="AU453" i="6"/>
  <c r="AW453" i="6"/>
  <c r="AX453" i="6"/>
  <c r="AY453" i="6"/>
  <c r="AZ453" i="6"/>
  <c r="BB453" i="6"/>
  <c r="BC453" i="6"/>
  <c r="BD453" i="6"/>
  <c r="BE453" i="6"/>
  <c r="BG453" i="6"/>
  <c r="BH453" i="6"/>
  <c r="BI453" i="6"/>
  <c r="BJ453" i="6"/>
  <c r="BL453" i="6"/>
  <c r="CP453" i="6"/>
  <c r="DF453" i="6"/>
  <c r="DG453" i="6"/>
  <c r="I454" i="6"/>
  <c r="J454" i="6"/>
  <c r="K454" i="6"/>
  <c r="L454" i="6"/>
  <c r="N454" i="6"/>
  <c r="O454" i="6"/>
  <c r="P454" i="6"/>
  <c r="Q454" i="6"/>
  <c r="S454" i="6"/>
  <c r="T454" i="6"/>
  <c r="U454" i="6"/>
  <c r="V454" i="6"/>
  <c r="X454" i="6"/>
  <c r="Y454" i="6"/>
  <c r="Z454" i="6"/>
  <c r="AA454" i="6"/>
  <c r="AC454" i="6"/>
  <c r="AD454" i="6"/>
  <c r="AE454" i="6"/>
  <c r="AF454" i="6"/>
  <c r="AH454" i="6"/>
  <c r="AI454" i="6"/>
  <c r="AJ454" i="6"/>
  <c r="AK454" i="6"/>
  <c r="AM454" i="6"/>
  <c r="AN454" i="6"/>
  <c r="AO454" i="6"/>
  <c r="AP454" i="6"/>
  <c r="AR454" i="6"/>
  <c r="AS454" i="6"/>
  <c r="AT454" i="6"/>
  <c r="AU454" i="6"/>
  <c r="AW454" i="6"/>
  <c r="AX454" i="6"/>
  <c r="AY454" i="6"/>
  <c r="AZ454" i="6"/>
  <c r="BB454" i="6"/>
  <c r="BC454" i="6"/>
  <c r="BD454" i="6"/>
  <c r="BE454" i="6"/>
  <c r="BG454" i="6"/>
  <c r="BH454" i="6"/>
  <c r="BI454" i="6"/>
  <c r="BJ454" i="6"/>
  <c r="BL454" i="6"/>
  <c r="CP454" i="6"/>
  <c r="DF454" i="6"/>
  <c r="DG454" i="6"/>
  <c r="I455" i="6"/>
  <c r="J455" i="6"/>
  <c r="K455" i="6"/>
  <c r="L455" i="6"/>
  <c r="N455" i="6"/>
  <c r="O455" i="6"/>
  <c r="P455" i="6"/>
  <c r="Q455" i="6"/>
  <c r="S455" i="6"/>
  <c r="T455" i="6"/>
  <c r="U455" i="6"/>
  <c r="V455" i="6"/>
  <c r="X455" i="6"/>
  <c r="Y455" i="6"/>
  <c r="Z455" i="6"/>
  <c r="AA455" i="6"/>
  <c r="AC455" i="6"/>
  <c r="AD455" i="6"/>
  <c r="AE455" i="6"/>
  <c r="AF455" i="6"/>
  <c r="AH455" i="6"/>
  <c r="AI455" i="6"/>
  <c r="AJ455" i="6"/>
  <c r="AK455" i="6"/>
  <c r="AM455" i="6"/>
  <c r="AN455" i="6"/>
  <c r="AO455" i="6"/>
  <c r="AP455" i="6"/>
  <c r="AR455" i="6"/>
  <c r="AS455" i="6"/>
  <c r="AT455" i="6"/>
  <c r="AU455" i="6"/>
  <c r="AW455" i="6"/>
  <c r="AX455" i="6"/>
  <c r="AY455" i="6"/>
  <c r="AZ455" i="6"/>
  <c r="BB455" i="6"/>
  <c r="BC455" i="6"/>
  <c r="BD455" i="6"/>
  <c r="BE455" i="6"/>
  <c r="BG455" i="6"/>
  <c r="BH455" i="6"/>
  <c r="BI455" i="6"/>
  <c r="BJ455" i="6"/>
  <c r="BL455" i="6"/>
  <c r="CP455" i="6"/>
  <c r="DF455" i="6"/>
  <c r="DG455" i="6"/>
  <c r="J456" i="6"/>
  <c r="K456" i="6"/>
  <c r="L456" i="6"/>
  <c r="N456" i="6"/>
  <c r="O456" i="6"/>
  <c r="P456" i="6"/>
  <c r="Q456" i="6"/>
  <c r="S456" i="6"/>
  <c r="T456" i="6"/>
  <c r="U456" i="6"/>
  <c r="V456" i="6"/>
  <c r="X456" i="6"/>
  <c r="Y456" i="6"/>
  <c r="Z456" i="6"/>
  <c r="AA456" i="6"/>
  <c r="AC456" i="6"/>
  <c r="AD456" i="6"/>
  <c r="AE456" i="6"/>
  <c r="AF456" i="6"/>
  <c r="AH456" i="6"/>
  <c r="AI456" i="6"/>
  <c r="AJ456" i="6"/>
  <c r="AK456" i="6"/>
  <c r="AM456" i="6"/>
  <c r="AN456" i="6"/>
  <c r="AO456" i="6"/>
  <c r="AP456" i="6"/>
  <c r="AR456" i="6"/>
  <c r="AS456" i="6"/>
  <c r="AT456" i="6"/>
  <c r="AU456" i="6"/>
  <c r="AW456" i="6"/>
  <c r="AX456" i="6"/>
  <c r="AY456" i="6"/>
  <c r="AZ456" i="6"/>
  <c r="BB456" i="6"/>
  <c r="BC456" i="6"/>
  <c r="BD456" i="6"/>
  <c r="BE456" i="6"/>
  <c r="BG456" i="6"/>
  <c r="BH456" i="6"/>
  <c r="BI456" i="6"/>
  <c r="BJ456" i="6"/>
  <c r="BL456" i="6"/>
  <c r="CP456" i="6"/>
  <c r="DF456" i="6"/>
  <c r="DG456" i="6"/>
  <c r="CR467" i="6"/>
  <c r="CS467" i="6"/>
  <c r="CT467" i="6"/>
  <c r="CU467" i="6"/>
  <c r="CV467" i="6"/>
  <c r="CW467" i="6"/>
  <c r="CX467" i="6"/>
  <c r="CY467" i="6"/>
  <c r="CZ467" i="6"/>
  <c r="DA467" i="6"/>
  <c r="DB467" i="6"/>
  <c r="DC467" i="6"/>
  <c r="DD467" i="6"/>
  <c r="DE467" i="6"/>
  <c r="DF467" i="6"/>
  <c r="DG467" i="6"/>
  <c r="CP468" i="6"/>
  <c r="CP470" i="6"/>
  <c r="CP471" i="6"/>
  <c r="CP472" i="6"/>
  <c r="CQ472" i="6"/>
  <c r="CR472" i="6"/>
  <c r="CS472" i="6"/>
  <c r="CT472" i="6"/>
  <c r="CU472" i="6"/>
  <c r="CV472" i="6"/>
  <c r="CP473" i="6"/>
  <c r="CP474" i="6"/>
  <c r="CP475" i="6"/>
  <c r="CP476" i="6"/>
  <c r="CP477" i="6"/>
  <c r="CQ488" i="6"/>
  <c r="CR488" i="6"/>
  <c r="CS488" i="6"/>
  <c r="CT488" i="6"/>
  <c r="CU488" i="6"/>
  <c r="CV488" i="6"/>
  <c r="CW488" i="6"/>
  <c r="CX488" i="6"/>
  <c r="CY488" i="6"/>
  <c r="CZ488" i="6"/>
  <c r="DA488" i="6"/>
  <c r="DB488" i="6"/>
  <c r="DC488" i="6"/>
  <c r="DD488" i="6"/>
  <c r="DE488" i="6"/>
  <c r="DF488" i="6"/>
  <c r="DG488" i="6"/>
  <c r="CP489" i="6"/>
  <c r="CP490" i="6"/>
  <c r="D492" i="6"/>
  <c r="CP492" i="6"/>
  <c r="CP493" i="6"/>
  <c r="CP495" i="6"/>
  <c r="CP496" i="6"/>
  <c r="CQ498" i="6"/>
  <c r="CR498" i="6"/>
  <c r="CS498" i="6"/>
  <c r="CT498" i="6"/>
  <c r="CU498" i="6"/>
  <c r="CV498" i="6"/>
  <c r="CW498" i="6"/>
  <c r="CX498" i="6"/>
  <c r="CY498" i="6"/>
  <c r="CZ498" i="6"/>
  <c r="DA498" i="6"/>
  <c r="DB498" i="6"/>
  <c r="DC498" i="6"/>
  <c r="DD498" i="6"/>
  <c r="DE498" i="6"/>
  <c r="DF498" i="6"/>
  <c r="DG498" i="6"/>
  <c r="H499" i="6"/>
  <c r="CQ499" i="6" s="1"/>
  <c r="M499" i="6"/>
  <c r="CR499" i="6" s="1"/>
  <c r="R499" i="6"/>
  <c r="CS499" i="6" s="1"/>
  <c r="W499" i="6"/>
  <c r="AB499" i="6"/>
  <c r="CU499" i="6" s="1"/>
  <c r="AG499" i="6"/>
  <c r="CV499" i="6" s="1"/>
  <c r="AL499" i="6"/>
  <c r="CW499" i="6" s="1"/>
  <c r="AQ499" i="6"/>
  <c r="CP499" i="6"/>
  <c r="I501" i="6"/>
  <c r="J501" i="6"/>
  <c r="K501" i="6"/>
  <c r="L501" i="6"/>
  <c r="N501" i="6"/>
  <c r="O501" i="6"/>
  <c r="P501" i="6"/>
  <c r="Q501" i="6"/>
  <c r="S501" i="6"/>
  <c r="T501" i="6"/>
  <c r="U501" i="6"/>
  <c r="V501" i="6"/>
  <c r="X501" i="6"/>
  <c r="BT210" i="42425" s="1"/>
  <c r="Y501" i="6"/>
  <c r="BU210" i="42425" s="1"/>
  <c r="Z501" i="6"/>
  <c r="BV210" i="42425" s="1"/>
  <c r="AA501" i="6"/>
  <c r="BW210" i="42425" s="1"/>
  <c r="AC501" i="6"/>
  <c r="BX210" i="42425" s="1"/>
  <c r="AD501" i="6"/>
  <c r="BY210" i="42425" s="1"/>
  <c r="AE501" i="6"/>
  <c r="BZ210" i="42425" s="1"/>
  <c r="AF501" i="6"/>
  <c r="CA210" i="42425" s="1"/>
  <c r="AH501" i="6"/>
  <c r="CB210" i="42425" s="1"/>
  <c r="AI501" i="6"/>
  <c r="CC210" i="42425" s="1"/>
  <c r="AJ501" i="6"/>
  <c r="CD210" i="42425" s="1"/>
  <c r="AK501" i="6"/>
  <c r="AM501" i="6"/>
  <c r="AN501" i="6"/>
  <c r="AO501" i="6"/>
  <c r="AP501" i="6"/>
  <c r="AR501" i="6"/>
  <c r="AS501" i="6"/>
  <c r="AT501" i="6"/>
  <c r="CP501" i="6"/>
  <c r="G503" i="6"/>
  <c r="I503" i="6"/>
  <c r="I505" i="6" s="1"/>
  <c r="J503" i="6"/>
  <c r="J505" i="6" s="1"/>
  <c r="K503" i="6"/>
  <c r="K30" i="6" s="1"/>
  <c r="L503" i="6"/>
  <c r="L30" i="6" s="1"/>
  <c r="N503" i="6"/>
  <c r="N30" i="6" s="1"/>
  <c r="P503" i="6"/>
  <c r="P30" i="6" s="1"/>
  <c r="Q503" i="6"/>
  <c r="Q30" i="6" s="1"/>
  <c r="S503" i="6"/>
  <c r="S30" i="6" s="1"/>
  <c r="T503" i="6"/>
  <c r="U503" i="6"/>
  <c r="V503" i="6"/>
  <c r="V30" i="6" s="1"/>
  <c r="X503" i="6"/>
  <c r="X30" i="6" s="1"/>
  <c r="Y503" i="6"/>
  <c r="Z503" i="6"/>
  <c r="Z30" i="6" s="1"/>
  <c r="AA503" i="6"/>
  <c r="AA30" i="6" s="1"/>
  <c r="AC503" i="6"/>
  <c r="AC30" i="6" s="1"/>
  <c r="AD503" i="6"/>
  <c r="AD30" i="6" s="1"/>
  <c r="AD33" i="6" s="1"/>
  <c r="AE503" i="6"/>
  <c r="AE30" i="6" s="1"/>
  <c r="AF503" i="6"/>
  <c r="AF30" i="6" s="1"/>
  <c r="AH503" i="6"/>
  <c r="AH30" i="6" s="1"/>
  <c r="AI503" i="6"/>
  <c r="AI30" i="6" s="1"/>
  <c r="AJ503" i="6"/>
  <c r="AJ30" i="6" s="1"/>
  <c r="AK503" i="6"/>
  <c r="AK505" i="6" s="1"/>
  <c r="AM503" i="6"/>
  <c r="AM30" i="6" s="1"/>
  <c r="AN503" i="6"/>
  <c r="AO503" i="6"/>
  <c r="AP503" i="6"/>
  <c r="AP30" i="6" s="1"/>
  <c r="AR503" i="6"/>
  <c r="AR30" i="6" s="1"/>
  <c r="AS503" i="6"/>
  <c r="AS30" i="6" s="1"/>
  <c r="AT503" i="6"/>
  <c r="AT30" i="6" s="1"/>
  <c r="CP503" i="6"/>
  <c r="CP505" i="6"/>
  <c r="DF505" i="6"/>
  <c r="DG505" i="6"/>
  <c r="H508" i="6"/>
  <c r="M508" i="6"/>
  <c r="O508" i="6"/>
  <c r="O510" i="6" s="1"/>
  <c r="W508" i="6"/>
  <c r="AB508" i="6"/>
  <c r="CU508" i="6" s="1"/>
  <c r="AG508" i="6"/>
  <c r="AL508" i="6"/>
  <c r="CW508" i="6" s="1"/>
  <c r="AQ508" i="6"/>
  <c r="CX508" i="6" s="1"/>
  <c r="CP508" i="6"/>
  <c r="G510" i="6"/>
  <c r="I510" i="6"/>
  <c r="J510" i="6"/>
  <c r="K510" i="6"/>
  <c r="L510" i="6"/>
  <c r="N510" i="6"/>
  <c r="P510" i="6"/>
  <c r="Q510" i="6"/>
  <c r="S510" i="6"/>
  <c r="T510" i="6"/>
  <c r="U510" i="6"/>
  <c r="V510" i="6"/>
  <c r="X510" i="6"/>
  <c r="Y510" i="6"/>
  <c r="Z510" i="6"/>
  <c r="AA510" i="6"/>
  <c r="AC510" i="6"/>
  <c r="AD510" i="6"/>
  <c r="AE510" i="6"/>
  <c r="AF510" i="6"/>
  <c r="AH510" i="6"/>
  <c r="AI510" i="6"/>
  <c r="AJ510" i="6"/>
  <c r="AK510" i="6"/>
  <c r="AM510" i="6"/>
  <c r="AN510" i="6"/>
  <c r="AN514" i="6" s="1"/>
  <c r="AO510" i="6"/>
  <c r="AP510" i="6"/>
  <c r="AR510" i="6"/>
  <c r="AS510" i="6"/>
  <c r="AT510" i="6"/>
  <c r="CP510" i="6"/>
  <c r="I511" i="6"/>
  <c r="J511" i="6"/>
  <c r="K511" i="6"/>
  <c r="L511" i="6"/>
  <c r="N511" i="6"/>
  <c r="P511" i="6"/>
  <c r="Q511" i="6"/>
  <c r="S511" i="6"/>
  <c r="U511" i="6"/>
  <c r="V511" i="6"/>
  <c r="X511" i="6"/>
  <c r="BT252" i="42425" s="1"/>
  <c r="Y511" i="6"/>
  <c r="BU252" i="42425" s="1"/>
  <c r="Z511" i="6"/>
  <c r="BV252" i="42425" s="1"/>
  <c r="AA511" i="6"/>
  <c r="BW252" i="42425" s="1"/>
  <c r="AC511" i="6"/>
  <c r="BX252" i="42425" s="1"/>
  <c r="AD511" i="6"/>
  <c r="BY252" i="42425" s="1"/>
  <c r="AE511" i="6"/>
  <c r="BZ252" i="42425" s="1"/>
  <c r="AF511" i="6"/>
  <c r="CA252" i="42425" s="1"/>
  <c r="AH511" i="6"/>
  <c r="CB252" i="42425" s="1"/>
  <c r="AI511" i="6"/>
  <c r="CC252" i="42425" s="1"/>
  <c r="AJ511" i="6"/>
  <c r="CD252" i="42425" s="1"/>
  <c r="AK511" i="6"/>
  <c r="CE252" i="42425" s="1"/>
  <c r="AM511" i="6"/>
  <c r="CF252" i="42425" s="1"/>
  <c r="AN511" i="6"/>
  <c r="CG252" i="42425" s="1"/>
  <c r="AO511" i="6"/>
  <c r="CH252" i="42425" s="1"/>
  <c r="AP511" i="6"/>
  <c r="AR511" i="6"/>
  <c r="AS511" i="6"/>
  <c r="AT511" i="6"/>
  <c r="AU511" i="6"/>
  <c r="AW511" i="6"/>
  <c r="AX511" i="6"/>
  <c r="AY511" i="6"/>
  <c r="AZ511" i="6"/>
  <c r="BB511" i="6"/>
  <c r="BC511" i="6"/>
  <c r="BD511" i="6"/>
  <c r="BE511" i="6"/>
  <c r="BG511" i="6"/>
  <c r="BH511" i="6"/>
  <c r="BI511" i="6"/>
  <c r="BJ511" i="6"/>
  <c r="BL511" i="6"/>
  <c r="CP511" i="6"/>
  <c r="H513" i="6"/>
  <c r="CQ513" i="6" s="1"/>
  <c r="M513" i="6"/>
  <c r="CP513" i="6"/>
  <c r="G514" i="6"/>
  <c r="I514" i="6"/>
  <c r="J514" i="6"/>
  <c r="K514" i="6"/>
  <c r="L514" i="6"/>
  <c r="CP514" i="6"/>
  <c r="AP516" i="6"/>
  <c r="AR516" i="6"/>
  <c r="AS516" i="6"/>
  <c r="AS517" i="6" s="1"/>
  <c r="AT516" i="6"/>
  <c r="AT517" i="6" s="1"/>
  <c r="AP517" i="6"/>
  <c r="AR517" i="6"/>
  <c r="AP518" i="6"/>
  <c r="AP519" i="6" s="1"/>
  <c r="AR518" i="6"/>
  <c r="AR519" i="6" s="1"/>
  <c r="AS518" i="6"/>
  <c r="AX518" i="6" s="1"/>
  <c r="AX519" i="6" s="1"/>
  <c r="AT518" i="6"/>
  <c r="AT519" i="6" s="1"/>
  <c r="D523" i="6"/>
  <c r="E523" i="6"/>
  <c r="F523" i="6"/>
  <c r="G523" i="6"/>
  <c r="H523" i="6"/>
  <c r="CQ523" i="6" s="1"/>
  <c r="I523" i="6"/>
  <c r="J523" i="6"/>
  <c r="K523" i="6"/>
  <c r="L523" i="6"/>
  <c r="M523" i="6"/>
  <c r="CR523" i="6" s="1"/>
  <c r="N523" i="6"/>
  <c r="O523" i="6"/>
  <c r="P523" i="6"/>
  <c r="Q523" i="6"/>
  <c r="R523" i="6"/>
  <c r="CS523" i="6" s="1"/>
  <c r="S523" i="6"/>
  <c r="T523" i="6"/>
  <c r="U523" i="6"/>
  <c r="V523" i="6"/>
  <c r="W523" i="6"/>
  <c r="CT523" i="6" s="1"/>
  <c r="X523" i="6"/>
  <c r="Y523" i="6"/>
  <c r="Z523" i="6"/>
  <c r="AA523" i="6"/>
  <c r="AB523" i="6"/>
  <c r="CU523" i="6" s="1"/>
  <c r="AC523" i="6"/>
  <c r="AD523" i="6"/>
  <c r="AE523" i="6"/>
  <c r="AF523" i="6"/>
  <c r="AG523" i="6"/>
  <c r="CV523" i="6" s="1"/>
  <c r="AH523" i="6"/>
  <c r="AI523" i="6"/>
  <c r="AJ523" i="6"/>
  <c r="AK523" i="6"/>
  <c r="AL523" i="6"/>
  <c r="CW523" i="6" s="1"/>
  <c r="AM523" i="6"/>
  <c r="AN523" i="6"/>
  <c r="AO523" i="6"/>
  <c r="AP523" i="6"/>
  <c r="AQ523" i="6"/>
  <c r="CX523" i="6" s="1"/>
  <c r="AR523" i="6"/>
  <c r="AS523" i="6"/>
  <c r="AT523" i="6"/>
  <c r="AU523" i="6"/>
  <c r="AV523" i="6"/>
  <c r="CY523" i="6" s="1"/>
  <c r="AW523" i="6"/>
  <c r="AX523" i="6"/>
  <c r="AY523" i="6"/>
  <c r="AZ523" i="6"/>
  <c r="BA523" i="6"/>
  <c r="CZ523" i="6" s="1"/>
  <c r="BB523" i="6"/>
  <c r="BC523" i="6"/>
  <c r="BD523" i="6"/>
  <c r="BE523" i="6"/>
  <c r="BF523" i="6"/>
  <c r="DA523" i="6" s="1"/>
  <c r="BG523" i="6"/>
  <c r="BH523" i="6"/>
  <c r="BI523" i="6"/>
  <c r="BJ523" i="6"/>
  <c r="BK523" i="6"/>
  <c r="DB523" i="6" s="1"/>
  <c r="BL523" i="6"/>
  <c r="BM523" i="6"/>
  <c r="BN523" i="6"/>
  <c r="BO523" i="6"/>
  <c r="BP523" i="6"/>
  <c r="DC523" i="6" s="1"/>
  <c r="BU523" i="6"/>
  <c r="DD523" i="6" s="1"/>
  <c r="BZ523" i="6"/>
  <c r="DE523" i="6" s="1"/>
  <c r="CA523" i="6"/>
  <c r="DF523" i="6" s="1"/>
  <c r="CB523" i="6"/>
  <c r="DG523" i="6" s="1"/>
  <c r="CC523" i="6"/>
  <c r="CD523" i="6"/>
  <c r="CE523" i="6"/>
  <c r="CF523" i="6"/>
  <c r="CG523" i="6"/>
  <c r="CP523" i="6"/>
  <c r="AQ527" i="6"/>
  <c r="AV527" i="6"/>
  <c r="AW527" i="6"/>
  <c r="AX527" i="6" s="1"/>
  <c r="AY527" i="6" s="1"/>
  <c r="BA527" i="6" s="1"/>
  <c r="BF527" i="6"/>
  <c r="BK527" i="6"/>
  <c r="AQ528" i="6"/>
  <c r="AV528" i="6"/>
  <c r="AW528" i="6"/>
  <c r="AX528" i="6" s="1"/>
  <c r="BF528" i="6"/>
  <c r="BK528" i="6"/>
  <c r="AM529" i="6"/>
  <c r="AN529" i="6"/>
  <c r="AN530" i="6" s="1"/>
  <c r="AO529" i="6"/>
  <c r="AP529" i="6"/>
  <c r="AR529" i="6"/>
  <c r="AS529" i="6"/>
  <c r="AS530" i="6" s="1"/>
  <c r="AT529" i="6"/>
  <c r="AT530" i="6" s="1"/>
  <c r="AU529" i="6"/>
  <c r="AZ529" i="6"/>
  <c r="BB529" i="6"/>
  <c r="BC529" i="6"/>
  <c r="BD529" i="6"/>
  <c r="BE529" i="6"/>
  <c r="BF529" i="6" s="1"/>
  <c r="BG529" i="6"/>
  <c r="BH529" i="6"/>
  <c r="BI529" i="6"/>
  <c r="BI530" i="6" s="1"/>
  <c r="BJ529" i="6"/>
  <c r="BL529" i="6"/>
  <c r="BM529" i="6"/>
  <c r="AQ533" i="6"/>
  <c r="AV533" i="6"/>
  <c r="BA533" i="6"/>
  <c r="BF533" i="6"/>
  <c r="BK533" i="6"/>
  <c r="AR534" i="6"/>
  <c r="AS534" i="6"/>
  <c r="AT534" i="6"/>
  <c r="AU534" i="6"/>
  <c r="AW534" i="6"/>
  <c r="AX534" i="6"/>
  <c r="AY534" i="6"/>
  <c r="AZ534" i="6"/>
  <c r="BB534" i="6"/>
  <c r="BC534" i="6"/>
  <c r="BD534" i="6"/>
  <c r="BE534" i="6"/>
  <c r="BG534" i="6"/>
  <c r="BH534" i="6"/>
  <c r="BI534" i="6"/>
  <c r="BJ534" i="6"/>
  <c r="BL534" i="6"/>
  <c r="BS171" i="42290"/>
  <c r="AM535" i="6"/>
  <c r="AN535" i="6"/>
  <c r="AO535" i="6"/>
  <c r="AP535" i="6"/>
  <c r="AR535" i="6"/>
  <c r="AS535" i="6"/>
  <c r="AT535" i="6"/>
  <c r="AU535" i="6"/>
  <c r="AW535" i="6"/>
  <c r="AX535" i="6"/>
  <c r="AY535" i="6"/>
  <c r="AZ535" i="6"/>
  <c r="BB535" i="6"/>
  <c r="BC535" i="6"/>
  <c r="BD535" i="6"/>
  <c r="BE535" i="6"/>
  <c r="BG535" i="6"/>
  <c r="BH535" i="6"/>
  <c r="BI535" i="6"/>
  <c r="BJ535" i="6"/>
  <c r="BL535" i="6"/>
  <c r="BM535" i="6"/>
  <c r="AQ537" i="6"/>
  <c r="AV537" i="6"/>
  <c r="BA537" i="6"/>
  <c r="BF537" i="6"/>
  <c r="BK537" i="6"/>
  <c r="BR170" i="42290"/>
  <c r="AM538" i="6"/>
  <c r="AN538" i="6"/>
  <c r="AO538" i="6"/>
  <c r="AP538" i="6"/>
  <c r="AU538" i="6" s="1"/>
  <c r="AZ538" i="6" s="1"/>
  <c r="AR538" i="6"/>
  <c r="AW538" i="6" s="1"/>
  <c r="AS538" i="6"/>
  <c r="AX538" i="6" s="1"/>
  <c r="BC538" i="6" s="1"/>
  <c r="BC540" i="6" s="1"/>
  <c r="AT538" i="6"/>
  <c r="AY538" i="6" s="1"/>
  <c r="BI538" i="6"/>
  <c r="BJ538" i="6" s="1"/>
  <c r="CQ539" i="6"/>
  <c r="CR539" i="6"/>
  <c r="CS539" i="6"/>
  <c r="CT539" i="6"/>
  <c r="CU539" i="6"/>
  <c r="CV539" i="6"/>
  <c r="CW539" i="6"/>
  <c r="CX539" i="6"/>
  <c r="CY539" i="6"/>
  <c r="CZ539" i="6"/>
  <c r="DA539" i="6"/>
  <c r="DB539" i="6"/>
  <c r="DC539" i="6"/>
  <c r="DD539" i="6"/>
  <c r="DE539" i="6"/>
  <c r="DF539" i="6"/>
  <c r="DG539" i="6"/>
  <c r="AQ540" i="6"/>
  <c r="BH540" i="6"/>
  <c r="AR541" i="6"/>
  <c r="AS541" i="6"/>
  <c r="AT541" i="6"/>
  <c r="AU541" i="6"/>
  <c r="AW541" i="6"/>
  <c r="AX541" i="6"/>
  <c r="AY541" i="6"/>
  <c r="AZ541" i="6"/>
  <c r="BB541" i="6"/>
  <c r="BC541" i="6"/>
  <c r="BD541" i="6"/>
  <c r="BE541" i="6"/>
  <c r="BG541" i="6"/>
  <c r="BH541" i="6"/>
  <c r="BI541" i="6"/>
  <c r="BJ541" i="6"/>
  <c r="BL541" i="6"/>
  <c r="AR542" i="6"/>
  <c r="AS542" i="6"/>
  <c r="AT542" i="6"/>
  <c r="AM551" i="6"/>
  <c r="AM552" i="6" s="1"/>
  <c r="AN551" i="6"/>
  <c r="AO551" i="6"/>
  <c r="AO552" i="6" s="1"/>
  <c r="AP551" i="6"/>
  <c r="AP552" i="6" s="1"/>
  <c r="AR551" i="6"/>
  <c r="AR552" i="6" s="1"/>
  <c r="AS551" i="6"/>
  <c r="AT551" i="6"/>
  <c r="AT553" i="6" s="1"/>
  <c r="AQ555" i="6"/>
  <c r="AM556" i="6"/>
  <c r="AN556" i="6"/>
  <c r="AO556" i="6"/>
  <c r="AP556" i="6"/>
  <c r="AR556" i="6"/>
  <c r="AS556" i="6"/>
  <c r="AT556" i="6"/>
  <c r="AR557" i="6"/>
  <c r="AS557" i="6"/>
  <c r="AT557" i="6"/>
  <c r="AQ561" i="6"/>
  <c r="AV561" i="6"/>
  <c r="AW561" i="6"/>
  <c r="AX561" i="6" s="1"/>
  <c r="BF561" i="6"/>
  <c r="BK561" i="6"/>
  <c r="AQ562" i="6"/>
  <c r="AV562" i="6"/>
  <c r="AW562" i="6"/>
  <c r="AX562" i="6" s="1"/>
  <c r="BF562" i="6"/>
  <c r="BK562" i="6"/>
  <c r="AM563" i="6"/>
  <c r="AN563" i="6"/>
  <c r="AN564" i="6" s="1"/>
  <c r="AO563" i="6"/>
  <c r="AO564" i="6" s="1"/>
  <c r="AP563" i="6"/>
  <c r="AR563" i="6"/>
  <c r="AS563" i="6"/>
  <c r="AT563" i="6"/>
  <c r="AT564" i="6" s="1"/>
  <c r="AT565" i="6" s="1"/>
  <c r="AU563" i="6"/>
  <c r="AZ563" i="6"/>
  <c r="AZ564" i="6" s="1"/>
  <c r="BB563" i="6"/>
  <c r="BC563" i="6"/>
  <c r="BD563" i="6"/>
  <c r="BE563" i="6"/>
  <c r="BE564" i="6" s="1"/>
  <c r="BG563" i="6"/>
  <c r="BH563" i="6"/>
  <c r="BI563" i="6"/>
  <c r="BJ563" i="6"/>
  <c r="BL563" i="6"/>
  <c r="BM563" i="6"/>
  <c r="BM564" i="6" s="1"/>
  <c r="AQ567" i="6"/>
  <c r="AV567" i="6"/>
  <c r="AU192" i="42290" s="1"/>
  <c r="BA567" i="6"/>
  <c r="BF567" i="6"/>
  <c r="BE192" i="42290" s="1"/>
  <c r="BE204" i="42290" s="1"/>
  <c r="BK567" i="6"/>
  <c r="BJ192" i="42290" s="1"/>
  <c r="AR568" i="6"/>
  <c r="AS568" i="6"/>
  <c r="AT568" i="6"/>
  <c r="AU568" i="6"/>
  <c r="AW568" i="6"/>
  <c r="AX568" i="6"/>
  <c r="AY568" i="6"/>
  <c r="AZ568" i="6"/>
  <c r="BB568" i="6"/>
  <c r="BC568" i="6"/>
  <c r="BD568" i="6"/>
  <c r="BE568" i="6"/>
  <c r="BG568" i="6"/>
  <c r="BH568" i="6"/>
  <c r="BI568" i="6"/>
  <c r="BJ568" i="6"/>
  <c r="BL568" i="6"/>
  <c r="AM569" i="6"/>
  <c r="AN569" i="6"/>
  <c r="AO569" i="6"/>
  <c r="AP569" i="6"/>
  <c r="AR569" i="6"/>
  <c r="AS569" i="6"/>
  <c r="AT569" i="6"/>
  <c r="AU569" i="6"/>
  <c r="AW569" i="6"/>
  <c r="AX569" i="6"/>
  <c r="AY569" i="6"/>
  <c r="AZ569" i="6"/>
  <c r="BB569" i="6"/>
  <c r="BC569" i="6"/>
  <c r="BD569" i="6"/>
  <c r="BE569" i="6"/>
  <c r="BG569" i="6"/>
  <c r="BH569" i="6"/>
  <c r="BI569" i="6"/>
  <c r="BJ569" i="6"/>
  <c r="BL569" i="6"/>
  <c r="AQ571" i="6"/>
  <c r="AV571" i="6"/>
  <c r="AU191" i="42290" s="1"/>
  <c r="AU197" i="42290" s="1"/>
  <c r="AQ197" i="42290" s="1"/>
  <c r="BA571" i="6"/>
  <c r="AZ191" i="42290" s="1"/>
  <c r="AZ195" i="42290" s="1"/>
  <c r="BF571" i="6"/>
  <c r="BE191" i="42290" s="1"/>
  <c r="BE195" i="42290" s="1"/>
  <c r="BD195" i="42290" s="1"/>
  <c r="BK571" i="6"/>
  <c r="BJ191" i="42290" s="1"/>
  <c r="BJ195" i="42290" s="1"/>
  <c r="AM572" i="6"/>
  <c r="AN572" i="6"/>
  <c r="AO572" i="6"/>
  <c r="AP572" i="6"/>
  <c r="AU572" i="6" s="1"/>
  <c r="AZ572" i="6" s="1"/>
  <c r="AR572" i="6"/>
  <c r="AS572" i="6"/>
  <c r="AX572" i="6" s="1"/>
  <c r="BC572" i="6" s="1"/>
  <c r="BH572" i="6" s="1"/>
  <c r="AT572" i="6"/>
  <c r="CQ573" i="6"/>
  <c r="CR573" i="6"/>
  <c r="CS573" i="6"/>
  <c r="CT573" i="6"/>
  <c r="CU573" i="6"/>
  <c r="CV573" i="6"/>
  <c r="CW573" i="6"/>
  <c r="CX573" i="6"/>
  <c r="CY573" i="6"/>
  <c r="CZ573" i="6"/>
  <c r="DA573" i="6"/>
  <c r="DB573" i="6"/>
  <c r="DC573" i="6"/>
  <c r="DD573" i="6"/>
  <c r="DE573" i="6"/>
  <c r="DF573" i="6"/>
  <c r="DG573" i="6"/>
  <c r="AQ574" i="6"/>
  <c r="AR575" i="6"/>
  <c r="AS575" i="6"/>
  <c r="AT575" i="6"/>
  <c r="AU575" i="6"/>
  <c r="AW575" i="6"/>
  <c r="AX575" i="6"/>
  <c r="AY575" i="6"/>
  <c r="AZ575" i="6"/>
  <c r="BB575" i="6"/>
  <c r="BC575" i="6"/>
  <c r="BD575" i="6"/>
  <c r="BE575" i="6"/>
  <c r="BG575" i="6"/>
  <c r="BH575" i="6"/>
  <c r="BI575" i="6"/>
  <c r="BJ575" i="6"/>
  <c r="BL575" i="6"/>
  <c r="AM585" i="6"/>
  <c r="AN585" i="6"/>
  <c r="AN586" i="6" s="1"/>
  <c r="AO585" i="6"/>
  <c r="AO586" i="6" s="1"/>
  <c r="AP585" i="6"/>
  <c r="AR585" i="6"/>
  <c r="AR586" i="6" s="1"/>
  <c r="AS585" i="6"/>
  <c r="AS587" i="6" s="1"/>
  <c r="AT585" i="6"/>
  <c r="AT586" i="6" s="1"/>
  <c r="AQ589" i="6"/>
  <c r="AM590" i="6"/>
  <c r="AN590" i="6"/>
  <c r="AO590" i="6"/>
  <c r="AP590" i="6"/>
  <c r="AR590" i="6"/>
  <c r="AS590" i="6"/>
  <c r="AT590" i="6"/>
  <c r="AR591" i="6"/>
  <c r="AS591" i="6"/>
  <c r="AT591" i="6"/>
  <c r="AN595" i="6"/>
  <c r="AO595" i="6" s="1"/>
  <c r="BF595" i="6"/>
  <c r="BK595" i="6"/>
  <c r="AQ596" i="6"/>
  <c r="AV596" i="6"/>
  <c r="BA596" i="6"/>
  <c r="BF596" i="6"/>
  <c r="BK596" i="6"/>
  <c r="AM597" i="6"/>
  <c r="AZ597" i="6"/>
  <c r="AZ598" i="6" s="1"/>
  <c r="BB597" i="6"/>
  <c r="BC597" i="6"/>
  <c r="BC598" i="6" s="1"/>
  <c r="BD597" i="6"/>
  <c r="BE597" i="6"/>
  <c r="BE598" i="6" s="1"/>
  <c r="BE599" i="6" s="1"/>
  <c r="BG597" i="6"/>
  <c r="BH597" i="6"/>
  <c r="BI597" i="6"/>
  <c r="BJ597" i="6"/>
  <c r="BL597" i="6"/>
  <c r="BM597" i="6"/>
  <c r="BM598" i="6" s="1"/>
  <c r="AQ601" i="6"/>
  <c r="AV601" i="6"/>
  <c r="BA601" i="6"/>
  <c r="BF601" i="6"/>
  <c r="BK601" i="6"/>
  <c r="AR602" i="6"/>
  <c r="AS602" i="6"/>
  <c r="AT602" i="6"/>
  <c r="AU602" i="6"/>
  <c r="AW602" i="6"/>
  <c r="AX602" i="6"/>
  <c r="AY602" i="6"/>
  <c r="AZ602" i="6"/>
  <c r="BB602" i="6"/>
  <c r="BC602" i="6"/>
  <c r="BD602" i="6"/>
  <c r="BE602" i="6"/>
  <c r="BG602" i="6"/>
  <c r="BH602" i="6"/>
  <c r="BI602" i="6"/>
  <c r="BJ602" i="6"/>
  <c r="BL602" i="6"/>
  <c r="AM603" i="6"/>
  <c r="AN603" i="6"/>
  <c r="AO603" i="6"/>
  <c r="AP603" i="6"/>
  <c r="AR603" i="6"/>
  <c r="AS603" i="6"/>
  <c r="AT603" i="6"/>
  <c r="AU603" i="6"/>
  <c r="AW603" i="6"/>
  <c r="AX603" i="6"/>
  <c r="AY603" i="6"/>
  <c r="AZ603" i="6"/>
  <c r="BB603" i="6"/>
  <c r="BC603" i="6"/>
  <c r="BD603" i="6"/>
  <c r="BE603" i="6"/>
  <c r="BG603" i="6"/>
  <c r="BH603" i="6"/>
  <c r="BI603" i="6"/>
  <c r="BJ603" i="6"/>
  <c r="BL603" i="6"/>
  <c r="AQ605" i="6"/>
  <c r="AV605" i="6"/>
  <c r="BA605" i="6"/>
  <c r="BF605" i="6"/>
  <c r="BK605" i="6"/>
  <c r="AM606" i="6"/>
  <c r="AN606" i="6"/>
  <c r="AO606" i="6"/>
  <c r="AP606" i="6"/>
  <c r="AU606" i="6" s="1"/>
  <c r="AZ606" i="6" s="1"/>
  <c r="AR606" i="6"/>
  <c r="AW606" i="6" s="1"/>
  <c r="BB606" i="6" s="1"/>
  <c r="BG606" i="6" s="1"/>
  <c r="AS606" i="6"/>
  <c r="AX606" i="6" s="1"/>
  <c r="BC606" i="6" s="1"/>
  <c r="BH606" i="6" s="1"/>
  <c r="AT606" i="6"/>
  <c r="AY606" i="6" s="1"/>
  <c r="BD606" i="6" s="1"/>
  <c r="CQ607" i="6"/>
  <c r="CR607" i="6"/>
  <c r="CS607" i="6"/>
  <c r="CT607" i="6"/>
  <c r="CU607" i="6"/>
  <c r="CV607" i="6"/>
  <c r="CW607" i="6"/>
  <c r="CX607" i="6"/>
  <c r="CY607" i="6"/>
  <c r="CZ607" i="6"/>
  <c r="DA607" i="6"/>
  <c r="DB607" i="6"/>
  <c r="DC607" i="6"/>
  <c r="DD607" i="6"/>
  <c r="DE607" i="6"/>
  <c r="DF607" i="6"/>
  <c r="DG607" i="6"/>
  <c r="AQ608" i="6"/>
  <c r="AR609" i="6"/>
  <c r="AS609" i="6"/>
  <c r="AT609" i="6"/>
  <c r="AU609" i="6"/>
  <c r="AW609" i="6"/>
  <c r="AX609" i="6"/>
  <c r="AY609" i="6"/>
  <c r="AZ609" i="6"/>
  <c r="BB609" i="6"/>
  <c r="BC609" i="6"/>
  <c r="BD609" i="6"/>
  <c r="BE609" i="6"/>
  <c r="BG609" i="6"/>
  <c r="BH609" i="6"/>
  <c r="BI609" i="6"/>
  <c r="BJ609" i="6"/>
  <c r="BL609" i="6"/>
  <c r="AR610" i="6"/>
  <c r="AS610" i="6"/>
  <c r="AT610" i="6"/>
  <c r="AM612" i="6"/>
  <c r="AN612" i="6"/>
  <c r="AO612" i="6"/>
  <c r="AP612" i="6"/>
  <c r="AR612" i="6"/>
  <c r="AS612" i="6"/>
  <c r="AT612" i="6"/>
  <c r="AU612" i="6"/>
  <c r="AW612" i="6"/>
  <c r="AX612" i="6"/>
  <c r="AY612" i="6"/>
  <c r="AZ612" i="6"/>
  <c r="BB612" i="6"/>
  <c r="BC612" i="6"/>
  <c r="BD612" i="6"/>
  <c r="BE612" i="6"/>
  <c r="BG612" i="6"/>
  <c r="BH612" i="6"/>
  <c r="BI612" i="6"/>
  <c r="BJ612" i="6"/>
  <c r="BL612" i="6"/>
  <c r="BM612" i="6"/>
  <c r="AM619" i="6"/>
  <c r="AN619" i="6"/>
  <c r="AO619" i="6"/>
  <c r="AP619" i="6"/>
  <c r="AP620" i="6" s="1"/>
  <c r="AR619" i="6"/>
  <c r="AS619" i="6"/>
  <c r="AS620" i="6" s="1"/>
  <c r="AT619" i="6"/>
  <c r="AT620" i="6" s="1"/>
  <c r="AQ623" i="6"/>
  <c r="AM624" i="6"/>
  <c r="AN624" i="6"/>
  <c r="AO624" i="6"/>
  <c r="AP624" i="6"/>
  <c r="AR624" i="6"/>
  <c r="AS624" i="6"/>
  <c r="AT624" i="6"/>
  <c r="AR625" i="6"/>
  <c r="AS625" i="6"/>
  <c r="AT625" i="6"/>
  <c r="AN629" i="6"/>
  <c r="AO629" i="6" s="1"/>
  <c r="AO693" i="6" s="1"/>
  <c r="AS629" i="6"/>
  <c r="AW629" i="6"/>
  <c r="AX629" i="6" s="1"/>
  <c r="AY629" i="6" s="1"/>
  <c r="BA629" i="6" s="1"/>
  <c r="BF629" i="6"/>
  <c r="BK629" i="6"/>
  <c r="AN630" i="6"/>
  <c r="AO630" i="6" s="1"/>
  <c r="AP630" i="6" s="1"/>
  <c r="AS630" i="6"/>
  <c r="AT630" i="6" s="1"/>
  <c r="AW630" i="6"/>
  <c r="AX630" i="6" s="1"/>
  <c r="BF630" i="6"/>
  <c r="BK630" i="6"/>
  <c r="AM631" i="6"/>
  <c r="AR631" i="6"/>
  <c r="AU631" i="6"/>
  <c r="AU632" i="6" s="1"/>
  <c r="AZ631" i="6"/>
  <c r="AZ632" i="6" s="1"/>
  <c r="BB631" i="6"/>
  <c r="BC631" i="6"/>
  <c r="BD631" i="6"/>
  <c r="BE631" i="6"/>
  <c r="BG631" i="6"/>
  <c r="BH631" i="6"/>
  <c r="BI631" i="6"/>
  <c r="BI632" i="6" s="1"/>
  <c r="BJ631" i="6"/>
  <c r="BL631" i="6"/>
  <c r="BM631" i="6"/>
  <c r="AQ635" i="6"/>
  <c r="AV635" i="6"/>
  <c r="BA635" i="6"/>
  <c r="BF635" i="6"/>
  <c r="BK635" i="6"/>
  <c r="AR636" i="6"/>
  <c r="AS636" i="6"/>
  <c r="AT636" i="6"/>
  <c r="AU636" i="6"/>
  <c r="AW636" i="6"/>
  <c r="AX636" i="6"/>
  <c r="AY636" i="6"/>
  <c r="AZ636" i="6"/>
  <c r="BB636" i="6"/>
  <c r="BC636" i="6"/>
  <c r="BD636" i="6"/>
  <c r="BE636" i="6"/>
  <c r="BG636" i="6"/>
  <c r="BH636" i="6"/>
  <c r="BI636" i="6"/>
  <c r="BJ636" i="6"/>
  <c r="BL636" i="6"/>
  <c r="AM637" i="6"/>
  <c r="AN637" i="6"/>
  <c r="AO637" i="6"/>
  <c r="AP637" i="6"/>
  <c r="AR637" i="6"/>
  <c r="AS637" i="6"/>
  <c r="AT637" i="6"/>
  <c r="AU637" i="6"/>
  <c r="AW637" i="6"/>
  <c r="AX637" i="6"/>
  <c r="AY637" i="6"/>
  <c r="AZ637" i="6"/>
  <c r="BB637" i="6"/>
  <c r="BC637" i="6"/>
  <c r="BD637" i="6"/>
  <c r="BE637" i="6"/>
  <c r="BG637" i="6"/>
  <c r="BH637" i="6"/>
  <c r="BI637" i="6"/>
  <c r="BJ637" i="6"/>
  <c r="BL637" i="6"/>
  <c r="AQ639" i="6"/>
  <c r="AV639" i="6"/>
  <c r="BA639" i="6"/>
  <c r="BF639" i="6"/>
  <c r="BK639" i="6"/>
  <c r="AM640" i="6"/>
  <c r="AM711" i="6" s="1"/>
  <c r="AN640" i="6"/>
  <c r="AO640" i="6"/>
  <c r="AP640" i="6"/>
  <c r="AU640" i="6" s="1"/>
  <c r="AR640" i="6"/>
  <c r="AW640" i="6" s="1"/>
  <c r="BB640" i="6" s="1"/>
  <c r="AS640" i="6"/>
  <c r="AX640" i="6" s="1"/>
  <c r="AT640" i="6"/>
  <c r="AY640" i="6" s="1"/>
  <c r="CQ641" i="6"/>
  <c r="CR641" i="6"/>
  <c r="CS641" i="6"/>
  <c r="CT641" i="6"/>
  <c r="CU641" i="6"/>
  <c r="CV641" i="6"/>
  <c r="CW641" i="6"/>
  <c r="CX641" i="6"/>
  <c r="CY641" i="6"/>
  <c r="CZ641" i="6"/>
  <c r="DA641" i="6"/>
  <c r="DB641" i="6"/>
  <c r="DC641" i="6"/>
  <c r="DD641" i="6"/>
  <c r="DE641" i="6"/>
  <c r="DF641" i="6"/>
  <c r="DG641" i="6"/>
  <c r="AQ642" i="6"/>
  <c r="AR643" i="6"/>
  <c r="AS643" i="6"/>
  <c r="AT643" i="6"/>
  <c r="AU643" i="6"/>
  <c r="AW643" i="6"/>
  <c r="AX643" i="6"/>
  <c r="AY643" i="6"/>
  <c r="AZ643" i="6"/>
  <c r="BB643" i="6"/>
  <c r="BC643" i="6"/>
  <c r="BD643" i="6"/>
  <c r="BE643" i="6"/>
  <c r="BG643" i="6"/>
  <c r="BH643" i="6"/>
  <c r="BI643" i="6"/>
  <c r="BJ643" i="6"/>
  <c r="BL643" i="6"/>
  <c r="AR644" i="6"/>
  <c r="AS644" i="6"/>
  <c r="AT644" i="6"/>
  <c r="AM646" i="6"/>
  <c r="AN646" i="6"/>
  <c r="AO646" i="6"/>
  <c r="AP646" i="6"/>
  <c r="AR646" i="6"/>
  <c r="AS646" i="6"/>
  <c r="AT646" i="6"/>
  <c r="AU646" i="6"/>
  <c r="AW646" i="6"/>
  <c r="AX646" i="6"/>
  <c r="AY646" i="6"/>
  <c r="AZ646" i="6"/>
  <c r="BB646" i="6"/>
  <c r="BC646" i="6"/>
  <c r="BD646" i="6"/>
  <c r="BE646" i="6"/>
  <c r="BG646" i="6"/>
  <c r="BH646" i="6"/>
  <c r="BI646" i="6"/>
  <c r="BJ646" i="6"/>
  <c r="BL646" i="6"/>
  <c r="BM646" i="6"/>
  <c r="AM653" i="6"/>
  <c r="AM654" i="6" s="1"/>
  <c r="AN653" i="6"/>
  <c r="AN654" i="6" s="1"/>
  <c r="AO653" i="6"/>
  <c r="AP653" i="6"/>
  <c r="AR653" i="6"/>
  <c r="AS653" i="6"/>
  <c r="AS655" i="6" s="1"/>
  <c r="AT653" i="6"/>
  <c r="AT654" i="6" s="1"/>
  <c r="AQ657" i="6"/>
  <c r="AM658" i="6"/>
  <c r="AN658" i="6"/>
  <c r="AO658" i="6"/>
  <c r="AP658" i="6"/>
  <c r="AR658" i="6"/>
  <c r="AS658" i="6"/>
  <c r="AT658" i="6"/>
  <c r="AR659" i="6"/>
  <c r="AS659" i="6"/>
  <c r="AT659" i="6"/>
  <c r="AS663" i="6"/>
  <c r="AT663" i="6" s="1"/>
  <c r="AW663" i="6" s="1"/>
  <c r="AX663" i="6" s="1"/>
  <c r="BF663" i="6"/>
  <c r="BK663" i="6"/>
  <c r="AS664" i="6"/>
  <c r="AT664" i="6" s="1"/>
  <c r="BF664" i="6"/>
  <c r="BK664" i="6"/>
  <c r="AP665" i="6"/>
  <c r="AP666" i="6" s="1"/>
  <c r="AR665" i="6"/>
  <c r="AU665" i="6"/>
  <c r="AZ665" i="6"/>
  <c r="BB665" i="6"/>
  <c r="BC665" i="6"/>
  <c r="BC666" i="6" s="1"/>
  <c r="BD665" i="6"/>
  <c r="BE665" i="6"/>
  <c r="BE666" i="6" s="1"/>
  <c r="BG665" i="6"/>
  <c r="BH665" i="6"/>
  <c r="BI665" i="6"/>
  <c r="BJ665" i="6"/>
  <c r="BL665" i="6"/>
  <c r="BM665" i="6"/>
  <c r="BM666" i="6" s="1"/>
  <c r="AQ669" i="6"/>
  <c r="AV669" i="6"/>
  <c r="BA669" i="6"/>
  <c r="BF669" i="6"/>
  <c r="BK669" i="6"/>
  <c r="AP670" i="6"/>
  <c r="AQ670" i="6" s="1"/>
  <c r="AR670" i="6"/>
  <c r="AS670" i="6"/>
  <c r="AT670" i="6"/>
  <c r="AU670" i="6" s="1"/>
  <c r="BA670" i="6"/>
  <c r="BB670" i="6"/>
  <c r="BG670" i="6" s="1"/>
  <c r="BL670" i="6" s="1"/>
  <c r="CQ671" i="6"/>
  <c r="CR671" i="6"/>
  <c r="CS671" i="6"/>
  <c r="CT671" i="6"/>
  <c r="CU671" i="6"/>
  <c r="CV671" i="6"/>
  <c r="CW671" i="6"/>
  <c r="CX671" i="6"/>
  <c r="CY671" i="6"/>
  <c r="CZ671" i="6"/>
  <c r="DA671" i="6"/>
  <c r="DB671" i="6"/>
  <c r="DC671" i="6"/>
  <c r="DD671" i="6"/>
  <c r="DE671" i="6"/>
  <c r="DF671" i="6"/>
  <c r="DG671" i="6"/>
  <c r="AQ672" i="6"/>
  <c r="AW672" i="6"/>
  <c r="AW674" i="6" s="1"/>
  <c r="AX672" i="6"/>
  <c r="AY672" i="6"/>
  <c r="AY674" i="6" s="1"/>
  <c r="AZ672" i="6"/>
  <c r="AZ680" i="6" s="1"/>
  <c r="AW673" i="6"/>
  <c r="AX673" i="6"/>
  <c r="AY673" i="6"/>
  <c r="AZ673" i="6"/>
  <c r="BB673" i="6"/>
  <c r="BC673" i="6"/>
  <c r="BD673" i="6"/>
  <c r="BE673" i="6"/>
  <c r="BG673" i="6"/>
  <c r="BH673" i="6"/>
  <c r="BI673" i="6"/>
  <c r="BJ673" i="6"/>
  <c r="BL673" i="6"/>
  <c r="BM673" i="6"/>
  <c r="AP676" i="6"/>
  <c r="AQ676" i="6" s="1"/>
  <c r="AQ677" i="6" s="1"/>
  <c r="AR676" i="6"/>
  <c r="AS676" i="6"/>
  <c r="AT676" i="6"/>
  <c r="AU676" i="6"/>
  <c r="AW676" i="6"/>
  <c r="AW683" i="6" s="1"/>
  <c r="AX676" i="6"/>
  <c r="AX683" i="6" s="1"/>
  <c r="AY676" i="6"/>
  <c r="AZ676" i="6"/>
  <c r="AZ683" i="6" s="1"/>
  <c r="BB676" i="6"/>
  <c r="BB683" i="6" s="1"/>
  <c r="BB685" i="6" s="1"/>
  <c r="BC676" i="6"/>
  <c r="BC683" i="6" s="1"/>
  <c r="BD676" i="6"/>
  <c r="BE676" i="6"/>
  <c r="BE683" i="6" s="1"/>
  <c r="BG676" i="6"/>
  <c r="BH676" i="6"/>
  <c r="BI676" i="6"/>
  <c r="BJ676" i="6"/>
  <c r="BL676" i="6"/>
  <c r="BM676" i="6"/>
  <c r="BA679" i="6"/>
  <c r="BF679" i="6"/>
  <c r="BG679" i="6"/>
  <c r="BH679" i="6"/>
  <c r="BM679" i="6" s="1"/>
  <c r="BI679" i="6"/>
  <c r="BJ679" i="6"/>
  <c r="BB681" i="6"/>
  <c r="BC681" i="6"/>
  <c r="BD681" i="6"/>
  <c r="BE681" i="6"/>
  <c r="AP683" i="6"/>
  <c r="AP684" i="6" s="1"/>
  <c r="AR683" i="6"/>
  <c r="AS683" i="6"/>
  <c r="AT683" i="6"/>
  <c r="AT684" i="6" s="1"/>
  <c r="AQ687" i="6"/>
  <c r="AQ688" i="6" s="1"/>
  <c r="AP688" i="6"/>
  <c r="AR688" i="6"/>
  <c r="AS688" i="6"/>
  <c r="AT688" i="6"/>
  <c r="AM693" i="6"/>
  <c r="AZ693" i="6"/>
  <c r="BB693" i="6"/>
  <c r="BC693" i="6"/>
  <c r="BD693" i="6"/>
  <c r="BE693" i="6"/>
  <c r="BG693" i="6"/>
  <c r="BH693" i="6"/>
  <c r="BI693" i="6"/>
  <c r="BJ693" i="6"/>
  <c r="BL693" i="6"/>
  <c r="BM693" i="6"/>
  <c r="AM694" i="6"/>
  <c r="AR694" i="6"/>
  <c r="AU694" i="6"/>
  <c r="AU750" i="6" s="1"/>
  <c r="AZ694" i="6"/>
  <c r="BB694" i="6"/>
  <c r="BC694" i="6"/>
  <c r="BD694" i="6"/>
  <c r="BE694" i="6"/>
  <c r="BG694" i="6"/>
  <c r="BH694" i="6"/>
  <c r="BI694" i="6"/>
  <c r="BJ694" i="6"/>
  <c r="BL694" i="6"/>
  <c r="BM694" i="6"/>
  <c r="AU699" i="6"/>
  <c r="AV699" i="6" s="1"/>
  <c r="AW699" i="6"/>
  <c r="AW710" i="6" s="1"/>
  <c r="AX699" i="6"/>
  <c r="AX700" i="6" s="1"/>
  <c r="AY699" i="6"/>
  <c r="AZ699" i="6"/>
  <c r="AZ700" i="6" s="1"/>
  <c r="BB699" i="6"/>
  <c r="BB700" i="6" s="1"/>
  <c r="BC699" i="6"/>
  <c r="BD699" i="6"/>
  <c r="BE699" i="6"/>
  <c r="BE710" i="6" s="1"/>
  <c r="BG699" i="6"/>
  <c r="BH699" i="6"/>
  <c r="BH710" i="6" s="1"/>
  <c r="BI699" i="6"/>
  <c r="BI710" i="6" s="1"/>
  <c r="BJ699" i="6"/>
  <c r="BJ710" i="6" s="1"/>
  <c r="BL699" i="6"/>
  <c r="BL710" i="6" s="1"/>
  <c r="AM710" i="6"/>
  <c r="AN710" i="6"/>
  <c r="AO710" i="6"/>
  <c r="AP710" i="6"/>
  <c r="AR710" i="6"/>
  <c r="AS710" i="6"/>
  <c r="AT710" i="6"/>
  <c r="CQ712" i="6"/>
  <c r="CR712" i="6"/>
  <c r="CS712" i="6"/>
  <c r="CT712" i="6"/>
  <c r="CU712" i="6"/>
  <c r="CV712" i="6"/>
  <c r="CW712" i="6"/>
  <c r="CX712" i="6"/>
  <c r="CY712" i="6"/>
  <c r="CZ712" i="6"/>
  <c r="DA712" i="6"/>
  <c r="DB712" i="6"/>
  <c r="DC712" i="6"/>
  <c r="DD712" i="6"/>
  <c r="DE712" i="6"/>
  <c r="DF712" i="6"/>
  <c r="DG712" i="6"/>
  <c r="AM727" i="6"/>
  <c r="AN727" i="6"/>
  <c r="AO727" i="6"/>
  <c r="AP727" i="6"/>
  <c r="AU729" i="6" s="1"/>
  <c r="AR727" i="6"/>
  <c r="AW729" i="6" s="1"/>
  <c r="AS727" i="6"/>
  <c r="AX729" i="6" s="1"/>
  <c r="AT727" i="6"/>
  <c r="AT729" i="6" s="1"/>
  <c r="AZ729" i="6"/>
  <c r="BB729" i="6"/>
  <c r="BC729" i="6"/>
  <c r="BD729" i="6"/>
  <c r="BE729" i="6"/>
  <c r="BG729" i="6"/>
  <c r="BH729" i="6"/>
  <c r="BI729" i="6"/>
  <c r="BJ729" i="6"/>
  <c r="BL729" i="6"/>
  <c r="D748" i="6"/>
  <c r="E748" i="6"/>
  <c r="F748" i="6"/>
  <c r="G748" i="6"/>
  <c r="H748" i="6"/>
  <c r="I748" i="6"/>
  <c r="J748" i="6"/>
  <c r="K748" i="6"/>
  <c r="L748" i="6"/>
  <c r="M748" i="6"/>
  <c r="N748" i="6"/>
  <c r="O748" i="6"/>
  <c r="P748" i="6"/>
  <c r="Q748" i="6"/>
  <c r="R748" i="6"/>
  <c r="S748" i="6"/>
  <c r="T748" i="6"/>
  <c r="U748" i="6"/>
  <c r="V748" i="6"/>
  <c r="W748" i="6"/>
  <c r="X748" i="6"/>
  <c r="Y748" i="6"/>
  <c r="Z748" i="6"/>
  <c r="AA748" i="6"/>
  <c r="AB748" i="6"/>
  <c r="AC748" i="6"/>
  <c r="AD748" i="6"/>
  <c r="AE748" i="6"/>
  <c r="AF748" i="6"/>
  <c r="AG748" i="6"/>
  <c r="AH748" i="6"/>
  <c r="AI748" i="6"/>
  <c r="AJ748" i="6"/>
  <c r="AK748" i="6"/>
  <c r="AL748" i="6"/>
  <c r="AM748" i="6"/>
  <c r="AN748" i="6"/>
  <c r="AO748" i="6"/>
  <c r="AP748" i="6"/>
  <c r="AQ748" i="6"/>
  <c r="AR748" i="6"/>
  <c r="AS748" i="6"/>
  <c r="AT748" i="6"/>
  <c r="AU748" i="6"/>
  <c r="AV748" i="6"/>
  <c r="AW748" i="6"/>
  <c r="AX748" i="6"/>
  <c r="AY748" i="6"/>
  <c r="AZ748" i="6"/>
  <c r="BA748" i="6"/>
  <c r="BB748" i="6"/>
  <c r="BC748" i="6"/>
  <c r="BD748" i="6"/>
  <c r="BE748" i="6"/>
  <c r="BF748" i="6"/>
  <c r="BG748" i="6"/>
  <c r="BH748" i="6"/>
  <c r="BI748" i="6"/>
  <c r="BJ748" i="6"/>
  <c r="BK748" i="6"/>
  <c r="BL748" i="6"/>
  <c r="BM748" i="6"/>
  <c r="BN748" i="6"/>
  <c r="BO748" i="6"/>
  <c r="BP748" i="6"/>
  <c r="BU748" i="6"/>
  <c r="BZ748" i="6"/>
  <c r="CA748" i="6"/>
  <c r="CB748" i="6"/>
  <c r="CC748" i="6"/>
  <c r="CD748" i="6"/>
  <c r="CE748" i="6"/>
  <c r="CF748" i="6"/>
  <c r="CG748" i="6"/>
  <c r="CP748" i="6"/>
  <c r="CP749" i="6"/>
  <c r="AK750" i="6"/>
  <c r="CP750" i="6"/>
  <c r="CP751" i="6"/>
  <c r="V753" i="6"/>
  <c r="AA753" i="6"/>
  <c r="CP753" i="6"/>
  <c r="D755" i="6"/>
  <c r="E755" i="6"/>
  <c r="F755" i="6"/>
  <c r="G755" i="6"/>
  <c r="H755" i="6"/>
  <c r="CQ755" i="6" s="1"/>
  <c r="I755" i="6"/>
  <c r="J755" i="6"/>
  <c r="K755" i="6"/>
  <c r="L755" i="6"/>
  <c r="M755" i="6"/>
  <c r="CR755" i="6" s="1"/>
  <c r="N755" i="6"/>
  <c r="O755" i="6"/>
  <c r="P755" i="6"/>
  <c r="Q755" i="6"/>
  <c r="R755" i="6"/>
  <c r="CS755" i="6" s="1"/>
  <c r="S755" i="6"/>
  <c r="T755" i="6"/>
  <c r="U755" i="6"/>
  <c r="V755" i="6"/>
  <c r="W755" i="6"/>
  <c r="CT755" i="6" s="1"/>
  <c r="X755" i="6"/>
  <c r="Y755" i="6"/>
  <c r="Z755" i="6"/>
  <c r="AA755" i="6"/>
  <c r="AB755" i="6"/>
  <c r="CU755" i="6" s="1"/>
  <c r="AC755" i="6"/>
  <c r="AD755" i="6"/>
  <c r="AE755" i="6"/>
  <c r="AF755" i="6"/>
  <c r="AG755" i="6"/>
  <c r="CV755" i="6" s="1"/>
  <c r="AH755" i="6"/>
  <c r="AI755" i="6"/>
  <c r="AJ755" i="6"/>
  <c r="AK755" i="6"/>
  <c r="AL755" i="6"/>
  <c r="CW755" i="6" s="1"/>
  <c r="AM755" i="6"/>
  <c r="AN755" i="6"/>
  <c r="AO755" i="6"/>
  <c r="AP755" i="6"/>
  <c r="AQ755" i="6"/>
  <c r="CX755" i="6" s="1"/>
  <c r="AR755" i="6"/>
  <c r="AS755" i="6"/>
  <c r="AT755" i="6"/>
  <c r="AU755" i="6"/>
  <c r="AV755" i="6"/>
  <c r="CY755" i="6" s="1"/>
  <c r="AW755" i="6"/>
  <c r="AX755" i="6"/>
  <c r="AY755" i="6"/>
  <c r="AZ755" i="6"/>
  <c r="BA755" i="6"/>
  <c r="CZ755" i="6" s="1"/>
  <c r="BB755" i="6"/>
  <c r="BC755" i="6"/>
  <c r="BD755" i="6"/>
  <c r="BE755" i="6"/>
  <c r="BF755" i="6"/>
  <c r="DA755" i="6" s="1"/>
  <c r="BG755" i="6"/>
  <c r="BH755" i="6"/>
  <c r="BI755" i="6"/>
  <c r="BJ755" i="6"/>
  <c r="BK755" i="6"/>
  <c r="DB755" i="6" s="1"/>
  <c r="BL755" i="6"/>
  <c r="BM755" i="6"/>
  <c r="BN755" i="6"/>
  <c r="BO755" i="6"/>
  <c r="BP755" i="6"/>
  <c r="DC755" i="6" s="1"/>
  <c r="BU755" i="6"/>
  <c r="DD755" i="6" s="1"/>
  <c r="BZ755" i="6"/>
  <c r="DE755" i="6" s="1"/>
  <c r="CA755" i="6"/>
  <c r="DF755" i="6" s="1"/>
  <c r="CB755" i="6"/>
  <c r="DG755" i="6" s="1"/>
  <c r="CC755" i="6"/>
  <c r="CD755" i="6"/>
  <c r="CE755" i="6"/>
  <c r="CF755" i="6"/>
  <c r="CG755" i="6"/>
  <c r="CP755" i="6"/>
  <c r="BE758" i="6"/>
  <c r="BF758" i="6" s="1"/>
  <c r="BG758" i="6"/>
  <c r="BG777" i="6" s="1"/>
  <c r="BG847" i="6" s="1"/>
  <c r="BG859" i="6" s="1"/>
  <c r="BG865" i="6" s="1"/>
  <c r="BH758" i="6"/>
  <c r="BI758" i="6"/>
  <c r="BJ758" i="6"/>
  <c r="BL758" i="6"/>
  <c r="BL777" i="6" s="1"/>
  <c r="BL847" i="6" s="1"/>
  <c r="BM758" i="6"/>
  <c r="BN758" i="6"/>
  <c r="BO758" i="6"/>
  <c r="CC758" i="6"/>
  <c r="CD758" i="6" s="1"/>
  <c r="CE758" i="6" s="1"/>
  <c r="CF758" i="6" s="1"/>
  <c r="CG758" i="6" s="1"/>
  <c r="CP758" i="6"/>
  <c r="CZ758" i="6"/>
  <c r="DB758" i="6"/>
  <c r="DC758" i="6"/>
  <c r="DE758" i="6"/>
  <c r="DF758" i="6"/>
  <c r="DG758" i="6"/>
  <c r="BF759" i="6"/>
  <c r="BG759" i="6"/>
  <c r="BH759" i="6"/>
  <c r="BI759" i="6"/>
  <c r="BJ759" i="6"/>
  <c r="BL759" i="6"/>
  <c r="BM759" i="6"/>
  <c r="BN759" i="6"/>
  <c r="BO759" i="6"/>
  <c r="CC759" i="6"/>
  <c r="CD759" i="6" s="1"/>
  <c r="CP759" i="6"/>
  <c r="CZ759" i="6"/>
  <c r="DB759" i="6"/>
  <c r="DC759" i="6"/>
  <c r="DE759" i="6"/>
  <c r="DF759" i="6"/>
  <c r="DG759" i="6"/>
  <c r="BF760" i="6"/>
  <c r="DA760" i="6" s="1"/>
  <c r="BK760" i="6"/>
  <c r="DB760" i="6" s="1"/>
  <c r="BN760" i="6"/>
  <c r="BN780" i="6" s="1"/>
  <c r="BO760" i="6"/>
  <c r="BO780" i="6" s="1"/>
  <c r="CC760" i="6"/>
  <c r="CD760" i="6" s="1"/>
  <c r="CP760" i="6"/>
  <c r="CZ760" i="6"/>
  <c r="DC760" i="6"/>
  <c r="DE760" i="6"/>
  <c r="DF760" i="6"/>
  <c r="DG760" i="6"/>
  <c r="CC761" i="6"/>
  <c r="CD761" i="6" s="1"/>
  <c r="CP761" i="6"/>
  <c r="CZ761" i="6"/>
  <c r="DA761" i="6"/>
  <c r="DB761" i="6"/>
  <c r="DC761" i="6"/>
  <c r="DE761" i="6"/>
  <c r="DF761" i="6"/>
  <c r="DG761" i="6"/>
  <c r="CC762" i="6"/>
  <c r="CD762" i="6" s="1"/>
  <c r="CE762" i="6" s="1"/>
  <c r="CF762" i="6" s="1"/>
  <c r="CG762" i="6" s="1"/>
  <c r="CP762" i="6"/>
  <c r="CZ762" i="6"/>
  <c r="DA762" i="6"/>
  <c r="DB762" i="6"/>
  <c r="DC762" i="6"/>
  <c r="DE762" i="6"/>
  <c r="DF762" i="6"/>
  <c r="DG762" i="6"/>
  <c r="CC763" i="6"/>
  <c r="CD763" i="6" s="1"/>
  <c r="CE763" i="6" s="1"/>
  <c r="CF763" i="6" s="1"/>
  <c r="CG763" i="6" s="1"/>
  <c r="CP763" i="6"/>
  <c r="CZ763" i="6"/>
  <c r="DA763" i="6"/>
  <c r="DB763" i="6"/>
  <c r="DC763" i="6"/>
  <c r="DD763" i="6"/>
  <c r="DE763" i="6"/>
  <c r="DF763" i="6"/>
  <c r="DG763" i="6"/>
  <c r="CC764" i="6"/>
  <c r="CD764" i="6" s="1"/>
  <c r="CE764" i="6" s="1"/>
  <c r="CF764" i="6" s="1"/>
  <c r="CG764" i="6" s="1"/>
  <c r="CP764" i="6"/>
  <c r="CZ764" i="6"/>
  <c r="DA764" i="6"/>
  <c r="DB764" i="6"/>
  <c r="DC764" i="6"/>
  <c r="DD764" i="6"/>
  <c r="DE764" i="6"/>
  <c r="DF764" i="6"/>
  <c r="DG764" i="6"/>
  <c r="CC765" i="6"/>
  <c r="CD765" i="6" s="1"/>
  <c r="CE765" i="6" s="1"/>
  <c r="CF765" i="6" s="1"/>
  <c r="CG765" i="6" s="1"/>
  <c r="CP765" i="6"/>
  <c r="CZ765" i="6"/>
  <c r="DA765" i="6"/>
  <c r="DB765" i="6"/>
  <c r="DC765" i="6"/>
  <c r="DD765" i="6"/>
  <c r="DE765" i="6"/>
  <c r="DF765" i="6"/>
  <c r="DG765" i="6"/>
  <c r="CC766" i="6"/>
  <c r="CD766" i="6" s="1"/>
  <c r="CE766" i="6" s="1"/>
  <c r="CF766" i="6" s="1"/>
  <c r="CG766" i="6" s="1"/>
  <c r="CP766" i="6"/>
  <c r="CZ766" i="6"/>
  <c r="DA766" i="6"/>
  <c r="DB766" i="6"/>
  <c r="DC766" i="6"/>
  <c r="DD766" i="6"/>
  <c r="DE766" i="6"/>
  <c r="DF766" i="6"/>
  <c r="DG766" i="6"/>
  <c r="CC767" i="6"/>
  <c r="CD767" i="6" s="1"/>
  <c r="CE767" i="6" s="1"/>
  <c r="CF767" i="6" s="1"/>
  <c r="CG767" i="6" s="1"/>
  <c r="CP767" i="6"/>
  <c r="CZ767" i="6"/>
  <c r="DA767" i="6"/>
  <c r="DB767" i="6"/>
  <c r="DC767" i="6"/>
  <c r="DD767" i="6"/>
  <c r="DE767" i="6"/>
  <c r="DF767" i="6"/>
  <c r="DG767" i="6"/>
  <c r="CC768" i="6"/>
  <c r="CD768" i="6" s="1"/>
  <c r="CE768" i="6" s="1"/>
  <c r="CF768" i="6" s="1"/>
  <c r="CG768" i="6" s="1"/>
  <c r="CP768" i="6"/>
  <c r="CZ768" i="6"/>
  <c r="DA768" i="6"/>
  <c r="DB768" i="6"/>
  <c r="DC768" i="6"/>
  <c r="DD768" i="6"/>
  <c r="DE768" i="6"/>
  <c r="DF768" i="6"/>
  <c r="DG768" i="6"/>
  <c r="CC769" i="6"/>
  <c r="CD769" i="6" s="1"/>
  <c r="CE769" i="6" s="1"/>
  <c r="CF769" i="6" s="1"/>
  <c r="CG769" i="6" s="1"/>
  <c r="CP769" i="6"/>
  <c r="CC770" i="6"/>
  <c r="CD770" i="6" s="1"/>
  <c r="CE770" i="6" s="1"/>
  <c r="CF770" i="6" s="1"/>
  <c r="CG770" i="6" s="1"/>
  <c r="CP770" i="6"/>
  <c r="CZ770" i="6"/>
  <c r="DA770" i="6"/>
  <c r="DB770" i="6"/>
  <c r="DC770" i="6"/>
  <c r="DD770" i="6"/>
  <c r="DE770" i="6"/>
  <c r="DF770" i="6"/>
  <c r="DG770" i="6"/>
  <c r="CC771" i="6"/>
  <c r="CD771" i="6" s="1"/>
  <c r="CE771" i="6" s="1"/>
  <c r="CF771" i="6" s="1"/>
  <c r="CG771" i="6" s="1"/>
  <c r="CP771" i="6"/>
  <c r="CZ771" i="6"/>
  <c r="DA771" i="6"/>
  <c r="DB771" i="6"/>
  <c r="DC771" i="6"/>
  <c r="DD771" i="6"/>
  <c r="DE771" i="6"/>
  <c r="DF771" i="6"/>
  <c r="DG771" i="6"/>
  <c r="CC772" i="6"/>
  <c r="CD772" i="6" s="1"/>
  <c r="CE772" i="6" s="1"/>
  <c r="CF772" i="6" s="1"/>
  <c r="CG772" i="6" s="1"/>
  <c r="CP772" i="6"/>
  <c r="CZ772" i="6"/>
  <c r="DA772" i="6"/>
  <c r="DB772" i="6"/>
  <c r="DC772" i="6"/>
  <c r="DD772" i="6"/>
  <c r="DE772" i="6"/>
  <c r="DF772" i="6"/>
  <c r="DG772" i="6"/>
  <c r="BB774" i="6"/>
  <c r="BC774" i="6"/>
  <c r="BD774" i="6"/>
  <c r="BP774" i="6"/>
  <c r="CA774" i="6"/>
  <c r="CB774" i="6"/>
  <c r="BB776" i="6"/>
  <c r="BC776" i="6"/>
  <c r="BD776" i="6"/>
  <c r="BP776" i="6"/>
  <c r="DC776" i="6" s="1"/>
  <c r="DE776" i="6"/>
  <c r="CA776" i="6"/>
  <c r="DF776" i="6" s="1"/>
  <c r="CB776" i="6"/>
  <c r="DG776" i="6" s="1"/>
  <c r="CP776" i="6"/>
  <c r="CZ776" i="6"/>
  <c r="BB777" i="6"/>
  <c r="BC777" i="6"/>
  <c r="BC828" i="6" s="1"/>
  <c r="BC831" i="6" s="1"/>
  <c r="BD777" i="6"/>
  <c r="BD828" i="6" s="1"/>
  <c r="BD831" i="6" s="1"/>
  <c r="BK777" i="6"/>
  <c r="DB777" i="6" s="1"/>
  <c r="BP777" i="6"/>
  <c r="DC777" i="6" s="1"/>
  <c r="DE777" i="6"/>
  <c r="CA777" i="6"/>
  <c r="CB777" i="6"/>
  <c r="DG777" i="6" s="1"/>
  <c r="CP777" i="6"/>
  <c r="CZ777" i="6"/>
  <c r="BB780" i="6"/>
  <c r="BB783" i="6" s="1"/>
  <c r="BC780" i="6"/>
  <c r="BC782" i="6" s="1"/>
  <c r="BD780" i="6"/>
  <c r="BD787" i="6" s="1"/>
  <c r="BE780" i="6"/>
  <c r="BE787" i="6" s="1"/>
  <c r="BE793" i="6" s="1"/>
  <c r="BE917" i="6" s="1"/>
  <c r="BE918" i="6" s="1"/>
  <c r="BG780" i="6"/>
  <c r="BG787" i="6" s="1"/>
  <c r="BG793" i="6" s="1"/>
  <c r="BH780" i="6"/>
  <c r="BH787" i="6" s="1"/>
  <c r="BI780" i="6"/>
  <c r="BI787" i="6" s="1"/>
  <c r="BJ780" i="6"/>
  <c r="BJ787" i="6" s="1"/>
  <c r="BL780" i="6"/>
  <c r="BL787" i="6" s="1"/>
  <c r="BL788" i="6" s="1"/>
  <c r="BL794" i="6" s="1"/>
  <c r="BP780" i="6"/>
  <c r="DC780" i="6" s="1"/>
  <c r="DE780" i="6"/>
  <c r="CA780" i="6"/>
  <c r="DF780" i="6" s="1"/>
  <c r="CB780" i="6"/>
  <c r="DG780" i="6" s="1"/>
  <c r="CP780" i="6"/>
  <c r="CZ780" i="6"/>
  <c r="BM782" i="6"/>
  <c r="BN782" i="6" s="1"/>
  <c r="CP782" i="6"/>
  <c r="CZ782" i="6"/>
  <c r="CP783" i="6"/>
  <c r="CZ783" i="6"/>
  <c r="BD785" i="6"/>
  <c r="BD783" i="6" s="1"/>
  <c r="BE785" i="6"/>
  <c r="BE783" i="6" s="1"/>
  <c r="BG785" i="6"/>
  <c r="BG783" i="6" s="1"/>
  <c r="BH785" i="6"/>
  <c r="BH783" i="6" s="1"/>
  <c r="BI785" i="6"/>
  <c r="BI783" i="6" s="1"/>
  <c r="BJ785" i="6"/>
  <c r="BJ783" i="6" s="1"/>
  <c r="BL785" i="6"/>
  <c r="BL783" i="6" s="1"/>
  <c r="BM783" i="6" s="1"/>
  <c r="BN783" i="6" s="1"/>
  <c r="BO783" i="6" s="1"/>
  <c r="CP785" i="6"/>
  <c r="CZ785" i="6"/>
  <c r="CP787" i="6"/>
  <c r="CZ787" i="6"/>
  <c r="BC788" i="6"/>
  <c r="CP788" i="6"/>
  <c r="CZ788" i="6"/>
  <c r="BB790" i="6"/>
  <c r="BF790" i="6" s="1"/>
  <c r="DA790" i="6" s="1"/>
  <c r="BK790" i="6"/>
  <c r="CP790" i="6"/>
  <c r="CZ790" i="6"/>
  <c r="CP791" i="6"/>
  <c r="CZ791" i="6"/>
  <c r="DA791" i="6"/>
  <c r="BB793" i="6"/>
  <c r="BB917" i="6" s="1"/>
  <c r="BB918" i="6" s="1"/>
  <c r="BC793" i="6"/>
  <c r="BC917" i="6" s="1"/>
  <c r="BC918" i="6" s="1"/>
  <c r="CP793" i="6"/>
  <c r="CZ793" i="6"/>
  <c r="BB794" i="6"/>
  <c r="CP794" i="6"/>
  <c r="CZ794" i="6"/>
  <c r="CP796" i="6"/>
  <c r="CZ796" i="6"/>
  <c r="CP797" i="6"/>
  <c r="CZ797" i="6"/>
  <c r="DF797" i="6"/>
  <c r="DG797" i="6"/>
  <c r="CP799" i="6"/>
  <c r="CZ799" i="6"/>
  <c r="CP800" i="6"/>
  <c r="CZ800" i="6"/>
  <c r="CP802" i="6"/>
  <c r="CZ802" i="6"/>
  <c r="CP803" i="6"/>
  <c r="CZ803" i="6"/>
  <c r="CP805" i="6"/>
  <c r="CZ805" i="6"/>
  <c r="CP806" i="6"/>
  <c r="CZ806" i="6"/>
  <c r="BB808" i="6"/>
  <c r="BC808" i="6"/>
  <c r="BC812" i="6" s="1"/>
  <c r="BC813" i="6" s="1"/>
  <c r="BD808" i="6"/>
  <c r="BE808" i="6"/>
  <c r="BG808" i="6"/>
  <c r="BH808" i="6"/>
  <c r="BI808" i="6"/>
  <c r="BJ808" i="6"/>
  <c r="CP808" i="6"/>
  <c r="CZ808" i="6"/>
  <c r="CP809" i="6"/>
  <c r="CZ809" i="6"/>
  <c r="CP811" i="6"/>
  <c r="CZ811" i="6"/>
  <c r="CP812" i="6"/>
  <c r="CZ812" i="6"/>
  <c r="BM813" i="6"/>
  <c r="BN813" i="6"/>
  <c r="BO813" i="6"/>
  <c r="CP813" i="6"/>
  <c r="CZ813" i="6"/>
  <c r="CP814" i="6"/>
  <c r="CZ814" i="6"/>
  <c r="DA814" i="6"/>
  <c r="DB814" i="6"/>
  <c r="DC814" i="6"/>
  <c r="CP816" i="6"/>
  <c r="CZ816" i="6"/>
  <c r="DA816" i="6"/>
  <c r="DB816" i="6"/>
  <c r="DC816" i="6"/>
  <c r="DD816" i="6"/>
  <c r="DE816" i="6"/>
  <c r="DF816" i="6"/>
  <c r="DG816" i="6"/>
  <c r="BB817" i="6"/>
  <c r="BC817" i="6" s="1"/>
  <c r="BD817" i="6" s="1"/>
  <c r="BE817" i="6" s="1"/>
  <c r="BE820" i="6" s="1"/>
  <c r="BG817" i="6"/>
  <c r="DE817" i="6"/>
  <c r="CP817" i="6"/>
  <c r="CZ817" i="6"/>
  <c r="DA817" i="6"/>
  <c r="DB817" i="6"/>
  <c r="DC817" i="6"/>
  <c r="BB818" i="6"/>
  <c r="BC818" i="6" s="1"/>
  <c r="BD818" i="6" s="1"/>
  <c r="BE818" i="6" s="1"/>
  <c r="BG818" i="6"/>
  <c r="BH818" i="6" s="1"/>
  <c r="BI818" i="6" s="1"/>
  <c r="BJ818" i="6" s="1"/>
  <c r="BL818" i="6" s="1"/>
  <c r="BM818" i="6" s="1"/>
  <c r="DE818" i="6"/>
  <c r="CP818" i="6"/>
  <c r="CZ818" i="6"/>
  <c r="DA818" i="6"/>
  <c r="DB818" i="6"/>
  <c r="DC818" i="6"/>
  <c r="CP820" i="6"/>
  <c r="CZ820" i="6"/>
  <c r="CP821" i="6"/>
  <c r="CZ821" i="6"/>
  <c r="CP823" i="6"/>
  <c r="CZ823" i="6"/>
  <c r="DE826" i="6"/>
  <c r="CP826" i="6"/>
  <c r="CZ826" i="6"/>
  <c r="DC826" i="6"/>
  <c r="BH828" i="6"/>
  <c r="BH831" i="6" s="1"/>
  <c r="BM828" i="6"/>
  <c r="BM840" i="6" s="1"/>
  <c r="CP828" i="6"/>
  <c r="CZ828" i="6"/>
  <c r="CP829" i="6"/>
  <c r="CZ829" i="6"/>
  <c r="DA829" i="6"/>
  <c r="DB829" i="6"/>
  <c r="DC829" i="6"/>
  <c r="DD829" i="6"/>
  <c r="BG831" i="6"/>
  <c r="BL831" i="6"/>
  <c r="CP831" i="6"/>
  <c r="CZ831" i="6"/>
  <c r="CP832" i="6"/>
  <c r="CZ832" i="6"/>
  <c r="DA832" i="6"/>
  <c r="DB832" i="6"/>
  <c r="DC832" i="6"/>
  <c r="DD832" i="6"/>
  <c r="DE832" i="6"/>
  <c r="DF832" i="6"/>
  <c r="DG832" i="6"/>
  <c r="BL834" i="6"/>
  <c r="CP834" i="6"/>
  <c r="CZ834" i="6"/>
  <c r="CP835" i="6"/>
  <c r="CZ835" i="6"/>
  <c r="DA835" i="6"/>
  <c r="DB835" i="6"/>
  <c r="DC835" i="6"/>
  <c r="BL837" i="6"/>
  <c r="CP837" i="6"/>
  <c r="CZ837" i="6"/>
  <c r="CP838" i="6"/>
  <c r="CZ838" i="6"/>
  <c r="DA838" i="6"/>
  <c r="DB838" i="6"/>
  <c r="DC838" i="6"/>
  <c r="BG840" i="6"/>
  <c r="BL840" i="6"/>
  <c r="CP840" i="6"/>
  <c r="CZ840" i="6"/>
  <c r="CP841" i="6"/>
  <c r="CZ841" i="6"/>
  <c r="DA841" i="6"/>
  <c r="DB841" i="6"/>
  <c r="DC841" i="6"/>
  <c r="DD841" i="6"/>
  <c r="DE841" i="6"/>
  <c r="DF841" i="6"/>
  <c r="DG841" i="6"/>
  <c r="CP842" i="6"/>
  <c r="CZ842" i="6"/>
  <c r="DA842" i="6"/>
  <c r="DB842" i="6"/>
  <c r="DC842" i="6"/>
  <c r="DD842" i="6"/>
  <c r="CP845" i="6"/>
  <c r="CZ845" i="6"/>
  <c r="CP847" i="6"/>
  <c r="CZ847" i="6"/>
  <c r="CP848" i="6"/>
  <c r="CZ848" i="6"/>
  <c r="DA848" i="6"/>
  <c r="DB848" i="6"/>
  <c r="DC848" i="6"/>
  <c r="DD848" i="6"/>
  <c r="CP850" i="6"/>
  <c r="CZ850" i="6"/>
  <c r="BP851" i="6"/>
  <c r="DC851" i="6" s="1"/>
  <c r="CP851" i="6"/>
  <c r="CZ851" i="6"/>
  <c r="DA851" i="6"/>
  <c r="DB851" i="6"/>
  <c r="CP853" i="6"/>
  <c r="CZ853" i="6"/>
  <c r="CP854" i="6"/>
  <c r="CZ854" i="6"/>
  <c r="DA854" i="6"/>
  <c r="DB854" i="6"/>
  <c r="DC854" i="6"/>
  <c r="CP856" i="6"/>
  <c r="CZ856" i="6"/>
  <c r="CP857" i="6"/>
  <c r="CZ857" i="6"/>
  <c r="DA857" i="6"/>
  <c r="DB857" i="6"/>
  <c r="DC857" i="6"/>
  <c r="CP859" i="6"/>
  <c r="CZ859" i="6"/>
  <c r="BH860" i="6"/>
  <c r="BI860" i="6"/>
  <c r="BJ860" i="6"/>
  <c r="BL860" i="6"/>
  <c r="BM860" i="6"/>
  <c r="BN860" i="6"/>
  <c r="BO860" i="6"/>
  <c r="BP860" i="6" s="1"/>
  <c r="DC860" i="6" s="1"/>
  <c r="CA860" i="6"/>
  <c r="DF860" i="6" s="1"/>
  <c r="CB860" i="6"/>
  <c r="DG860" i="6" s="1"/>
  <c r="CC860" i="6"/>
  <c r="CD860" i="6"/>
  <c r="CE860" i="6"/>
  <c r="CF860" i="6"/>
  <c r="CG860" i="6"/>
  <c r="CP860" i="6"/>
  <c r="CZ860" i="6"/>
  <c r="DA860" i="6"/>
  <c r="DB860" i="6"/>
  <c r="CP861" i="6"/>
  <c r="CZ861" i="6"/>
  <c r="DA861" i="6"/>
  <c r="DB861" i="6"/>
  <c r="DC861" i="6"/>
  <c r="DD861" i="6"/>
  <c r="CP863" i="6"/>
  <c r="CZ863" i="6"/>
  <c r="DA863" i="6"/>
  <c r="DB863" i="6"/>
  <c r="DC863" i="6"/>
  <c r="DD863" i="6"/>
  <c r="DE863" i="6"/>
  <c r="DF863" i="6"/>
  <c r="DG863" i="6"/>
  <c r="CP865" i="6"/>
  <c r="CZ865" i="6"/>
  <c r="CP872" i="6"/>
  <c r="CZ872" i="6"/>
  <c r="HO827" i="42425" s="1"/>
  <c r="CP873" i="6"/>
  <c r="CZ873" i="6"/>
  <c r="DA873" i="6"/>
  <c r="DB873" i="6"/>
  <c r="DC873" i="6"/>
  <c r="D876" i="6"/>
  <c r="E876" i="6"/>
  <c r="F876" i="6"/>
  <c r="G876" i="6"/>
  <c r="H876" i="6"/>
  <c r="CQ876" i="6" s="1"/>
  <c r="I876" i="6"/>
  <c r="J876" i="6"/>
  <c r="K876" i="6"/>
  <c r="L876" i="6"/>
  <c r="M876" i="6"/>
  <c r="CR876" i="6" s="1"/>
  <c r="N876" i="6"/>
  <c r="O876" i="6"/>
  <c r="P876" i="6"/>
  <c r="Q876" i="6"/>
  <c r="R876" i="6"/>
  <c r="CS876" i="6" s="1"/>
  <c r="S876" i="6"/>
  <c r="T876" i="6"/>
  <c r="U876" i="6"/>
  <c r="V876" i="6"/>
  <c r="W876" i="6"/>
  <c r="CT876" i="6" s="1"/>
  <c r="X876" i="6"/>
  <c r="Y876" i="6"/>
  <c r="Z876" i="6"/>
  <c r="AA876" i="6"/>
  <c r="AB876" i="6"/>
  <c r="CU876" i="6" s="1"/>
  <c r="AC876" i="6"/>
  <c r="AD876" i="6"/>
  <c r="AE876" i="6"/>
  <c r="AF876" i="6"/>
  <c r="AG876" i="6"/>
  <c r="CV876" i="6" s="1"/>
  <c r="AH876" i="6"/>
  <c r="AI876" i="6"/>
  <c r="AJ876" i="6"/>
  <c r="AK876" i="6"/>
  <c r="AL876" i="6"/>
  <c r="CW876" i="6" s="1"/>
  <c r="AM876" i="6"/>
  <c r="AN876" i="6"/>
  <c r="AO876" i="6"/>
  <c r="AP876" i="6"/>
  <c r="AQ876" i="6"/>
  <c r="CX876" i="6" s="1"/>
  <c r="AR876" i="6"/>
  <c r="AS876" i="6"/>
  <c r="AT876" i="6"/>
  <c r="AU876" i="6"/>
  <c r="AV876" i="6"/>
  <c r="CY876" i="6" s="1"/>
  <c r="AW876" i="6"/>
  <c r="AX876" i="6"/>
  <c r="AY876" i="6"/>
  <c r="AZ876" i="6"/>
  <c r="BA876" i="6"/>
  <c r="CZ876" i="6" s="1"/>
  <c r="BB876" i="6"/>
  <c r="BC876" i="6"/>
  <c r="BD876" i="6"/>
  <c r="BE876" i="6"/>
  <c r="BF876" i="6"/>
  <c r="DA876" i="6" s="1"/>
  <c r="BG876" i="6"/>
  <c r="BH876" i="6"/>
  <c r="BI876" i="6"/>
  <c r="BJ876" i="6"/>
  <c r="BK876" i="6"/>
  <c r="DB876" i="6" s="1"/>
  <c r="BL876" i="6"/>
  <c r="BM876" i="6"/>
  <c r="BN876" i="6"/>
  <c r="BO876" i="6"/>
  <c r="BP876" i="6"/>
  <c r="DC876" i="6" s="1"/>
  <c r="BU876" i="6"/>
  <c r="DD876" i="6" s="1"/>
  <c r="BZ876" i="6"/>
  <c r="DE876" i="6" s="1"/>
  <c r="CA876" i="6"/>
  <c r="DF876" i="6" s="1"/>
  <c r="CB876" i="6"/>
  <c r="DG876" i="6" s="1"/>
  <c r="CC876" i="6"/>
  <c r="CD876" i="6"/>
  <c r="CE876" i="6"/>
  <c r="CF876" i="6"/>
  <c r="CG876" i="6"/>
  <c r="CP876" i="6"/>
  <c r="E877" i="6"/>
  <c r="F877" i="6" s="1"/>
  <c r="H877" i="6"/>
  <c r="CQ877" i="6" s="1"/>
  <c r="O877" i="6"/>
  <c r="P877" i="6" s="1"/>
  <c r="R877" i="6"/>
  <c r="CS877" i="6" s="1"/>
  <c r="S877" i="6"/>
  <c r="W877" i="6"/>
  <c r="AB877" i="6"/>
  <c r="CU877" i="6" s="1"/>
  <c r="AD877" i="6"/>
  <c r="AD878" i="6" s="1"/>
  <c r="AG877" i="6"/>
  <c r="AH877" i="6" s="1"/>
  <c r="AL877" i="6"/>
  <c r="CW877" i="6" s="1"/>
  <c r="AQ877" i="6"/>
  <c r="AR877" i="6" s="1"/>
  <c r="AV877" i="6"/>
  <c r="CY877" i="6" s="1"/>
  <c r="BA877" i="6"/>
  <c r="BB877" i="6" s="1"/>
  <c r="BC877" i="6" s="1"/>
  <c r="CC877" i="6"/>
  <c r="CD877" i="6" s="1"/>
  <c r="CE877" i="6" s="1"/>
  <c r="CF877" i="6" s="1"/>
  <c r="CG877" i="6" s="1"/>
  <c r="CP877" i="6"/>
  <c r="DC877" i="6"/>
  <c r="DD877" i="6"/>
  <c r="DE877" i="6"/>
  <c r="DF877" i="6"/>
  <c r="DG877" i="6"/>
  <c r="D878" i="6"/>
  <c r="D888" i="6" s="1"/>
  <c r="N878" i="6"/>
  <c r="Z878" i="6"/>
  <c r="Z888" i="6" s="1"/>
  <c r="AA878" i="6"/>
  <c r="AA888" i="6" s="1"/>
  <c r="AF878" i="6"/>
  <c r="AF888" i="6" s="1"/>
  <c r="CC878" i="6"/>
  <c r="CD878" i="6" s="1"/>
  <c r="CE878" i="6" s="1"/>
  <c r="CP878" i="6"/>
  <c r="DC878" i="6"/>
  <c r="DD878" i="6"/>
  <c r="DE878" i="6"/>
  <c r="DF878" i="6"/>
  <c r="DG878" i="6"/>
  <c r="D880" i="6"/>
  <c r="E880" i="6"/>
  <c r="F880" i="6"/>
  <c r="I880" i="6"/>
  <c r="J880" i="6"/>
  <c r="K880" i="6"/>
  <c r="L880" i="6"/>
  <c r="N880" i="6"/>
  <c r="O880" i="6"/>
  <c r="Q880" i="6"/>
  <c r="S880" i="6"/>
  <c r="T880" i="6"/>
  <c r="U880" i="6"/>
  <c r="V880" i="6"/>
  <c r="X880" i="6"/>
  <c r="Y880" i="6"/>
  <c r="Z880" i="6"/>
  <c r="AA880" i="6"/>
  <c r="AC880" i="6"/>
  <c r="CC880" i="6"/>
  <c r="CD880" i="6" s="1"/>
  <c r="CE880" i="6" s="1"/>
  <c r="CF880" i="6" s="1"/>
  <c r="CG880" i="6" s="1"/>
  <c r="CP880" i="6"/>
  <c r="DC880" i="6"/>
  <c r="DD880" i="6"/>
  <c r="DE880" i="6"/>
  <c r="DF880" i="6"/>
  <c r="DG880" i="6"/>
  <c r="H881" i="6"/>
  <c r="CQ881" i="6" s="1"/>
  <c r="M881" i="6"/>
  <c r="CR881" i="6" s="1"/>
  <c r="P881" i="6"/>
  <c r="R881" i="6"/>
  <c r="CS881" i="6" s="1"/>
  <c r="W881" i="6"/>
  <c r="CT881" i="6" s="1"/>
  <c r="AB881" i="6"/>
  <c r="AD881" i="6"/>
  <c r="AE881" i="6" s="1"/>
  <c r="AG881" i="6"/>
  <c r="CV881" i="6" s="1"/>
  <c r="AL881" i="6"/>
  <c r="CW881" i="6" s="1"/>
  <c r="AN881" i="6"/>
  <c r="AO881" i="6" s="1"/>
  <c r="AQ881" i="6"/>
  <c r="AR881" i="6" s="1"/>
  <c r="AS881" i="6" s="1"/>
  <c r="AT881" i="6" s="1"/>
  <c r="AV881" i="6"/>
  <c r="AW881" i="6" s="1"/>
  <c r="AX881" i="6" s="1"/>
  <c r="AY881" i="6" s="1"/>
  <c r="BA881" i="6"/>
  <c r="BB881" i="6" s="1"/>
  <c r="BC881" i="6" s="1"/>
  <c r="BD881" i="6" s="1"/>
  <c r="BE881" i="6" s="1"/>
  <c r="BF881" i="6" s="1"/>
  <c r="BG881" i="6" s="1"/>
  <c r="BH881" i="6" s="1"/>
  <c r="BI881" i="6" s="1"/>
  <c r="BJ881" i="6" s="1"/>
  <c r="BK881" i="6" s="1"/>
  <c r="BL881" i="6" s="1"/>
  <c r="BM881" i="6" s="1"/>
  <c r="BN881" i="6" s="1"/>
  <c r="CC881" i="6"/>
  <c r="CD881" i="6" s="1"/>
  <c r="CE881" i="6" s="1"/>
  <c r="CF881" i="6" s="1"/>
  <c r="CG881" i="6" s="1"/>
  <c r="CP881" i="6"/>
  <c r="DC881" i="6"/>
  <c r="DD881" i="6"/>
  <c r="DE881" i="6"/>
  <c r="DF881" i="6"/>
  <c r="DG881" i="6"/>
  <c r="G882" i="6"/>
  <c r="G880" i="6" s="1"/>
  <c r="M882" i="6"/>
  <c r="CR882" i="6" s="1"/>
  <c r="P882" i="6"/>
  <c r="R882" i="6"/>
  <c r="CS882" i="6" s="1"/>
  <c r="W882" i="6"/>
  <c r="CT882" i="6" s="1"/>
  <c r="AB882" i="6"/>
  <c r="CU882" i="6" s="1"/>
  <c r="AD882" i="6"/>
  <c r="AE882" i="6" s="1"/>
  <c r="AG882" i="6"/>
  <c r="AH882" i="6" s="1"/>
  <c r="AI882" i="6" s="1"/>
  <c r="AJ882" i="6" s="1"/>
  <c r="AL882" i="6"/>
  <c r="CW882" i="6" s="1"/>
  <c r="AQ882" i="6"/>
  <c r="AR882" i="6" s="1"/>
  <c r="AS882" i="6" s="1"/>
  <c r="AT882" i="6" s="1"/>
  <c r="AV882" i="6"/>
  <c r="AW882" i="6" s="1"/>
  <c r="AX882" i="6" s="1"/>
  <c r="AY882" i="6" s="1"/>
  <c r="BA882" i="6"/>
  <c r="BB882" i="6" s="1"/>
  <c r="BC882" i="6" s="1"/>
  <c r="BD882" i="6" s="1"/>
  <c r="BE882" i="6" s="1"/>
  <c r="BF882" i="6" s="1"/>
  <c r="DA882" i="6" s="1"/>
  <c r="CC882" i="6"/>
  <c r="CD882" i="6" s="1"/>
  <c r="CE882" i="6" s="1"/>
  <c r="CF882" i="6" s="1"/>
  <c r="CG882" i="6" s="1"/>
  <c r="CP882" i="6"/>
  <c r="DC882" i="6"/>
  <c r="DD882" i="6"/>
  <c r="DE882" i="6"/>
  <c r="DF882" i="6"/>
  <c r="DG882" i="6"/>
  <c r="H883" i="6"/>
  <c r="CQ883" i="6" s="1"/>
  <c r="M883" i="6"/>
  <c r="CR883" i="6" s="1"/>
  <c r="R883" i="6"/>
  <c r="CS883" i="6" s="1"/>
  <c r="W883" i="6"/>
  <c r="AB883" i="6"/>
  <c r="CU883" i="6" s="1"/>
  <c r="AD883" i="6"/>
  <c r="AE883" i="6" s="1"/>
  <c r="AF883" i="6" s="1"/>
  <c r="AF880" i="6" s="1"/>
  <c r="CC883" i="6"/>
  <c r="CD883" i="6" s="1"/>
  <c r="CE883" i="6" s="1"/>
  <c r="CF883" i="6" s="1"/>
  <c r="CG883" i="6" s="1"/>
  <c r="CP883" i="6"/>
  <c r="DC883" i="6"/>
  <c r="DD883" i="6"/>
  <c r="DE883" i="6"/>
  <c r="DF883" i="6"/>
  <c r="DG883" i="6"/>
  <c r="CC884" i="6"/>
  <c r="CD884" i="6" s="1"/>
  <c r="CE884" i="6" s="1"/>
  <c r="CF884" i="6" s="1"/>
  <c r="CG884" i="6" s="1"/>
  <c r="CP884" i="6"/>
  <c r="DC884" i="6"/>
  <c r="DD884" i="6"/>
  <c r="DE884" i="6"/>
  <c r="DF884" i="6"/>
  <c r="DG884" i="6"/>
  <c r="BF886" i="6"/>
  <c r="DA886" i="6" s="1"/>
  <c r="CC886" i="6"/>
  <c r="CD886" i="6" s="1"/>
  <c r="CP886" i="6"/>
  <c r="CQ886" i="6"/>
  <c r="CR886" i="6"/>
  <c r="CS886" i="6"/>
  <c r="CT886" i="6"/>
  <c r="CU886" i="6"/>
  <c r="CV886" i="6"/>
  <c r="CW886" i="6"/>
  <c r="CX886" i="6"/>
  <c r="CY886" i="6"/>
  <c r="CZ886" i="6"/>
  <c r="DC886" i="6"/>
  <c r="DD886" i="6"/>
  <c r="DE886" i="6"/>
  <c r="DF886" i="6"/>
  <c r="DG886" i="6"/>
  <c r="M887" i="6"/>
  <c r="CR887" i="6" s="1"/>
  <c r="R887" i="6"/>
  <c r="CS887" i="6" s="1"/>
  <c r="W887" i="6"/>
  <c r="CT887" i="6" s="1"/>
  <c r="AB887" i="6"/>
  <c r="CU887" i="6" s="1"/>
  <c r="AG887" i="6"/>
  <c r="CV887" i="6" s="1"/>
  <c r="AL887" i="6"/>
  <c r="CW887" i="6" s="1"/>
  <c r="AQ887" i="6"/>
  <c r="CX887" i="6" s="1"/>
  <c r="AV887" i="6"/>
  <c r="CY887" i="6" s="1"/>
  <c r="BA887" i="6"/>
  <c r="CZ887" i="6" s="1"/>
  <c r="CP887" i="6"/>
  <c r="DA887" i="6"/>
  <c r="DB887" i="6"/>
  <c r="DC887" i="6"/>
  <c r="DD887" i="6"/>
  <c r="DE887" i="6"/>
  <c r="DF887" i="6"/>
  <c r="DG887" i="6"/>
  <c r="CC888" i="6"/>
  <c r="CD888" i="6" s="1"/>
  <c r="CP888" i="6"/>
  <c r="DC888" i="6"/>
  <c r="DD888" i="6"/>
  <c r="DE888" i="6"/>
  <c r="DF888" i="6"/>
  <c r="DG888" i="6"/>
  <c r="CP889" i="6"/>
  <c r="DC889" i="6"/>
  <c r="DD889" i="6"/>
  <c r="DE889" i="6"/>
  <c r="DF889" i="6"/>
  <c r="DG889" i="6"/>
  <c r="D891" i="6"/>
  <c r="F891" i="6"/>
  <c r="G891" i="6"/>
  <c r="I891" i="6"/>
  <c r="J891" i="6"/>
  <c r="K891" i="6"/>
  <c r="K892" i="6" s="1"/>
  <c r="L891" i="6"/>
  <c r="N891" i="6"/>
  <c r="O891" i="6"/>
  <c r="P891" i="6"/>
  <c r="Q891" i="6"/>
  <c r="S891" i="6"/>
  <c r="T891" i="6"/>
  <c r="U891" i="6"/>
  <c r="U892" i="6" s="1"/>
  <c r="X891" i="6"/>
  <c r="Y891" i="6"/>
  <c r="Z891" i="6"/>
  <c r="AA891" i="6"/>
  <c r="AC891" i="6"/>
  <c r="AC892" i="6" s="1"/>
  <c r="AD891" i="6"/>
  <c r="AE891" i="6"/>
  <c r="AE892" i="6" s="1"/>
  <c r="AF891" i="6"/>
  <c r="AF892" i="6" s="1"/>
  <c r="AH891" i="6"/>
  <c r="AH892" i="6" s="1"/>
  <c r="AI891" i="6"/>
  <c r="AJ891" i="6"/>
  <c r="AK891" i="6"/>
  <c r="AK892" i="6" s="1"/>
  <c r="AM891" i="6"/>
  <c r="AN891" i="6"/>
  <c r="AN892" i="6" s="1"/>
  <c r="AO891" i="6"/>
  <c r="AO892" i="6" s="1"/>
  <c r="AP891" i="6"/>
  <c r="AR891" i="6"/>
  <c r="AS891" i="6"/>
  <c r="AT891" i="6"/>
  <c r="AT892" i="6" s="1"/>
  <c r="AU891" i="6"/>
  <c r="AW891" i="6"/>
  <c r="AX891" i="6"/>
  <c r="AX892" i="6" s="1"/>
  <c r="AY891" i="6"/>
  <c r="AY892" i="6" s="1"/>
  <c r="AZ891" i="6"/>
  <c r="BB891" i="6"/>
  <c r="BC891" i="6"/>
  <c r="BC892" i="6" s="1"/>
  <c r="BD891" i="6"/>
  <c r="BD892" i="6" s="1"/>
  <c r="BE891" i="6"/>
  <c r="BE892" i="6" s="1"/>
  <c r="BG891" i="6"/>
  <c r="BH891" i="6"/>
  <c r="BI891" i="6"/>
  <c r="BN891" i="6" s="1"/>
  <c r="BJ891" i="6"/>
  <c r="BJ892" i="6" s="1"/>
  <c r="BL891" i="6"/>
  <c r="CC891" i="6"/>
  <c r="CP891" i="6"/>
  <c r="DC891" i="6"/>
  <c r="DD891" i="6"/>
  <c r="DE891" i="6"/>
  <c r="DF891" i="6"/>
  <c r="DG891" i="6"/>
  <c r="CP892" i="6"/>
  <c r="DC892" i="6"/>
  <c r="DD892" i="6"/>
  <c r="DE892" i="6"/>
  <c r="DF892" i="6"/>
  <c r="DG892" i="6"/>
  <c r="CP894" i="6"/>
  <c r="DC894" i="6"/>
  <c r="DD894" i="6"/>
  <c r="DE894" i="6"/>
  <c r="DF894" i="6"/>
  <c r="DG894" i="6"/>
  <c r="CP895" i="6"/>
  <c r="DC895" i="6"/>
  <c r="DD895" i="6"/>
  <c r="DE895" i="6"/>
  <c r="DF895" i="6"/>
  <c r="DG895" i="6"/>
  <c r="CC897" i="6"/>
  <c r="CD897" i="6" s="1"/>
  <c r="CE897" i="6" s="1"/>
  <c r="CF897" i="6" s="1"/>
  <c r="CG897" i="6" s="1"/>
  <c r="CP897" i="6"/>
  <c r="DC897" i="6"/>
  <c r="DD897" i="6"/>
  <c r="DE897" i="6"/>
  <c r="DF897" i="6"/>
  <c r="DG897" i="6"/>
  <c r="CP899" i="6"/>
  <c r="E900" i="6"/>
  <c r="D266" i="42290" s="1"/>
  <c r="M900" i="6"/>
  <c r="CR900" i="6" s="1"/>
  <c r="R900" i="6"/>
  <c r="CS900" i="6" s="1"/>
  <c r="V900" i="6"/>
  <c r="W900" i="6" s="1"/>
  <c r="V266" i="42290" s="1"/>
  <c r="V269" i="42290" s="1"/>
  <c r="AB900" i="6"/>
  <c r="CU900" i="6" s="1"/>
  <c r="AG900" i="6"/>
  <c r="AF266" i="42290" s="1"/>
  <c r="AF269" i="42290" s="1"/>
  <c r="AL900" i="6"/>
  <c r="CW900" i="6" s="1"/>
  <c r="AQ900" i="6"/>
  <c r="AP266" i="42290" s="1"/>
  <c r="AP269" i="42290" s="1"/>
  <c r="AV900" i="6"/>
  <c r="CY900" i="6" s="1"/>
  <c r="BA900" i="6"/>
  <c r="AZ266" i="42290" s="1"/>
  <c r="AZ269" i="42290" s="1"/>
  <c r="BF900" i="6"/>
  <c r="BK900" i="6"/>
  <c r="BJ266" i="42290" s="1"/>
  <c r="BJ269" i="42290" s="1"/>
  <c r="CP900" i="6"/>
  <c r="DC900" i="6"/>
  <c r="DD900" i="6"/>
  <c r="DE900" i="6"/>
  <c r="DF900" i="6"/>
  <c r="DG900" i="6"/>
  <c r="BB901" i="6"/>
  <c r="BC901" i="6"/>
  <c r="BD901" i="6"/>
  <c r="BE901" i="6"/>
  <c r="BG901" i="6"/>
  <c r="BH901" i="6"/>
  <c r="BI901" i="6"/>
  <c r="BJ901" i="6"/>
  <c r="BL901" i="6"/>
  <c r="E902" i="6"/>
  <c r="G902" i="6" s="1"/>
  <c r="H902" i="6" s="1"/>
  <c r="J902" i="6"/>
  <c r="M902" i="6" s="1"/>
  <c r="CR902" i="6" s="1"/>
  <c r="N902" i="6"/>
  <c r="R902" i="6" s="1"/>
  <c r="CS902" i="6" s="1"/>
  <c r="V902" i="6"/>
  <c r="W902" i="6" s="1"/>
  <c r="CT902" i="6" s="1"/>
  <c r="AB902" i="6"/>
  <c r="CU902" i="6" s="1"/>
  <c r="AG902" i="6"/>
  <c r="CV902" i="6" s="1"/>
  <c r="AL902" i="6"/>
  <c r="CW902" i="6" s="1"/>
  <c r="AQ902" i="6"/>
  <c r="CX902" i="6" s="1"/>
  <c r="AV902" i="6"/>
  <c r="CY902" i="6" s="1"/>
  <c r="BA902" i="6"/>
  <c r="CZ902" i="6" s="1"/>
  <c r="BF902" i="6"/>
  <c r="DA902" i="6" s="1"/>
  <c r="BK902" i="6"/>
  <c r="DB902" i="6" s="1"/>
  <c r="CP902" i="6"/>
  <c r="DC902" i="6"/>
  <c r="DD902" i="6"/>
  <c r="DE902" i="6"/>
  <c r="DF902" i="6"/>
  <c r="DG902" i="6"/>
  <c r="D903" i="6"/>
  <c r="D897" i="6" s="1"/>
  <c r="F903" i="6"/>
  <c r="F897" i="6" s="1"/>
  <c r="I903" i="6"/>
  <c r="I897" i="6" s="1"/>
  <c r="K903" i="6"/>
  <c r="K897" i="6" s="1"/>
  <c r="L903" i="6"/>
  <c r="L897" i="6" s="1"/>
  <c r="N903" i="6"/>
  <c r="N897" i="6" s="1"/>
  <c r="O903" i="6"/>
  <c r="O897" i="6" s="1"/>
  <c r="P903" i="6"/>
  <c r="P897" i="6" s="1"/>
  <c r="Q903" i="6"/>
  <c r="Q897" i="6" s="1"/>
  <c r="S903" i="6"/>
  <c r="S897" i="6" s="1"/>
  <c r="T903" i="6"/>
  <c r="T897" i="6" s="1"/>
  <c r="U903" i="6"/>
  <c r="U897" i="6" s="1"/>
  <c r="X903" i="6"/>
  <c r="X897" i="6" s="1"/>
  <c r="Y903" i="6"/>
  <c r="Y897" i="6" s="1"/>
  <c r="Z903" i="6"/>
  <c r="Z897" i="6" s="1"/>
  <c r="AA903" i="6"/>
  <c r="AA897" i="6" s="1"/>
  <c r="AC903" i="6"/>
  <c r="AC897" i="6" s="1"/>
  <c r="AD903" i="6"/>
  <c r="AD904" i="6" s="1"/>
  <c r="AE903" i="6"/>
  <c r="AE897" i="6" s="1"/>
  <c r="AF903" i="6"/>
  <c r="AF904" i="6" s="1"/>
  <c r="AH903" i="6"/>
  <c r="AH904" i="6" s="1"/>
  <c r="AI903" i="6"/>
  <c r="AJ903" i="6"/>
  <c r="AJ897" i="6" s="1"/>
  <c r="AK903" i="6"/>
  <c r="AK904" i="6" s="1"/>
  <c r="AM903" i="6"/>
  <c r="AM897" i="6" s="1"/>
  <c r="AN903" i="6"/>
  <c r="AN897" i="6" s="1"/>
  <c r="AO903" i="6"/>
  <c r="AO897" i="6" s="1"/>
  <c r="AP903" i="6"/>
  <c r="AP897" i="6" s="1"/>
  <c r="AR903" i="6"/>
  <c r="AR897" i="6" s="1"/>
  <c r="AS903" i="6"/>
  <c r="AT903" i="6"/>
  <c r="AT897" i="6" s="1"/>
  <c r="AU903" i="6"/>
  <c r="AU904" i="6" s="1"/>
  <c r="AW903" i="6"/>
  <c r="AW897" i="6" s="1"/>
  <c r="AX903" i="6"/>
  <c r="AX904" i="6" s="1"/>
  <c r="AY903" i="6"/>
  <c r="AY897" i="6" s="1"/>
  <c r="AZ903" i="6"/>
  <c r="AZ904" i="6" s="1"/>
  <c r="BB903" i="6"/>
  <c r="BB897" i="6" s="1"/>
  <c r="BC903" i="6"/>
  <c r="BC897" i="6" s="1"/>
  <c r="BD903" i="6"/>
  <c r="BE903" i="6"/>
  <c r="BE897" i="6" s="1"/>
  <c r="BG903" i="6"/>
  <c r="BG897" i="6" s="1"/>
  <c r="BH903" i="6"/>
  <c r="BH897" i="6" s="1"/>
  <c r="BI903" i="6"/>
  <c r="BI897" i="6" s="1"/>
  <c r="BN897" i="6" s="1"/>
  <c r="BN903" i="6" s="1"/>
  <c r="BJ903" i="6"/>
  <c r="BJ897" i="6" s="1"/>
  <c r="BL903" i="6"/>
  <c r="BL897" i="6" s="1"/>
  <c r="CP903" i="6"/>
  <c r="DC903" i="6"/>
  <c r="DD903" i="6"/>
  <c r="DE903" i="6"/>
  <c r="DF903" i="6"/>
  <c r="DG903" i="6"/>
  <c r="F904" i="6"/>
  <c r="AS904" i="6"/>
  <c r="CP904" i="6"/>
  <c r="DB904" i="6"/>
  <c r="DC904" i="6"/>
  <c r="DD904" i="6"/>
  <c r="DE904" i="6"/>
  <c r="DF904" i="6"/>
  <c r="DG904" i="6"/>
  <c r="CQ905" i="6"/>
  <c r="CR905" i="6"/>
  <c r="CS905" i="6"/>
  <c r="CT905" i="6"/>
  <c r="CU905" i="6"/>
  <c r="CV905" i="6"/>
  <c r="CW905" i="6"/>
  <c r="CX905" i="6"/>
  <c r="CY905" i="6"/>
  <c r="CZ905" i="6"/>
  <c r="DA905" i="6"/>
  <c r="DB905" i="6"/>
  <c r="DC905" i="6"/>
  <c r="DD905" i="6"/>
  <c r="DE905" i="6"/>
  <c r="DF905" i="6"/>
  <c r="DG905" i="6"/>
  <c r="H906" i="6"/>
  <c r="G281" i="42290" s="1"/>
  <c r="G283" i="42290" s="1"/>
  <c r="M906" i="6"/>
  <c r="L281" i="42290" s="1"/>
  <c r="L283" i="42290" s="1"/>
  <c r="Q283" i="42290" s="1"/>
  <c r="V283" i="42290" s="1"/>
  <c r="AA283" i="42290" s="1"/>
  <c r="AF283" i="42290" s="1"/>
  <c r="AK283" i="42290" s="1"/>
  <c r="AP283" i="42290" s="1"/>
  <c r="AU283" i="42290" s="1"/>
  <c r="AZ283" i="42290" s="1"/>
  <c r="BE283" i="42290" s="1"/>
  <c r="R906" i="6"/>
  <c r="Q281" i="42290" s="1"/>
  <c r="W906" i="6"/>
  <c r="AB906" i="6"/>
  <c r="AA281" i="42290" s="1"/>
  <c r="AG906" i="6"/>
  <c r="CV906" i="6" s="1"/>
  <c r="AL906" i="6"/>
  <c r="AK281" i="42290" s="1"/>
  <c r="AQ906" i="6"/>
  <c r="CX906" i="6" s="1"/>
  <c r="BL281" i="42290"/>
  <c r="BL282" i="42290" s="1"/>
  <c r="BL288" i="42290" s="1"/>
  <c r="CP906" i="6"/>
  <c r="DC906" i="6"/>
  <c r="DD906" i="6"/>
  <c r="DE906" i="6"/>
  <c r="DF906" i="6"/>
  <c r="DG906" i="6"/>
  <c r="I907" i="6"/>
  <c r="J907" i="6"/>
  <c r="K907" i="6"/>
  <c r="L907" i="6"/>
  <c r="N907" i="6"/>
  <c r="O907" i="6"/>
  <c r="P907" i="6"/>
  <c r="Q907" i="6"/>
  <c r="S907" i="6"/>
  <c r="T907" i="6"/>
  <c r="U907" i="6"/>
  <c r="V907" i="6"/>
  <c r="X907" i="6"/>
  <c r="BT212" i="42425" s="1"/>
  <c r="Y907" i="6"/>
  <c r="BU212" i="42425" s="1"/>
  <c r="Z907" i="6"/>
  <c r="BV212" i="42425" s="1"/>
  <c r="AA907" i="6"/>
  <c r="BW212" i="42425" s="1"/>
  <c r="AC907" i="6"/>
  <c r="BX212" i="42425" s="1"/>
  <c r="AD907" i="6"/>
  <c r="BY212" i="42425" s="1"/>
  <c r="AE907" i="6"/>
  <c r="BZ212" i="42425" s="1"/>
  <c r="AF907" i="6"/>
  <c r="CA212" i="42425" s="1"/>
  <c r="AH907" i="6"/>
  <c r="CB212" i="42425" s="1"/>
  <c r="AI907" i="6"/>
  <c r="CC212" i="42425" s="1"/>
  <c r="AJ907" i="6"/>
  <c r="CD212" i="42425" s="1"/>
  <c r="AK907" i="6"/>
  <c r="AM907" i="6"/>
  <c r="AN907" i="6"/>
  <c r="AO907" i="6"/>
  <c r="AP907" i="6"/>
  <c r="AR907" i="6"/>
  <c r="AS907" i="6"/>
  <c r="AT907" i="6"/>
  <c r="AU907" i="6"/>
  <c r="AW907" i="6"/>
  <c r="AX907" i="6"/>
  <c r="AY907" i="6"/>
  <c r="AZ907" i="6"/>
  <c r="BB907" i="6"/>
  <c r="BC907" i="6"/>
  <c r="BD907" i="6"/>
  <c r="BE907" i="6"/>
  <c r="BG907" i="6"/>
  <c r="BH907" i="6"/>
  <c r="BI907" i="6"/>
  <c r="BJ907" i="6"/>
  <c r="BL907" i="6"/>
  <c r="CP907" i="6"/>
  <c r="DC907" i="6"/>
  <c r="DD907" i="6"/>
  <c r="DE907" i="6"/>
  <c r="DF907" i="6"/>
  <c r="DG907" i="6"/>
  <c r="CC909" i="6"/>
  <c r="CD909" i="6" s="1"/>
  <c r="CE909" i="6" s="1"/>
  <c r="CF909" i="6" s="1"/>
  <c r="CG909" i="6" s="1"/>
  <c r="CP909" i="6"/>
  <c r="DC909" i="6"/>
  <c r="DD909" i="6"/>
  <c r="DE909" i="6"/>
  <c r="DF909" i="6"/>
  <c r="DG909" i="6"/>
  <c r="CP910" i="6"/>
  <c r="DC910" i="6"/>
  <c r="DD910" i="6"/>
  <c r="DE910" i="6"/>
  <c r="DF910" i="6"/>
  <c r="DG910" i="6"/>
  <c r="CP911" i="6"/>
  <c r="DC911" i="6"/>
  <c r="DD911" i="6"/>
  <c r="DE911" i="6"/>
  <c r="DF911" i="6"/>
  <c r="DG911" i="6"/>
  <c r="CP921" i="6"/>
  <c r="DC921" i="6"/>
  <c r="DD921" i="6"/>
  <c r="DE921" i="6"/>
  <c r="DF921" i="6"/>
  <c r="DG921" i="6"/>
  <c r="CP922" i="6"/>
  <c r="DC922" i="6"/>
  <c r="DD922" i="6"/>
  <c r="DE922" i="6"/>
  <c r="DF922" i="6"/>
  <c r="DG922" i="6"/>
  <c r="D924" i="6"/>
  <c r="D925" i="6" s="1"/>
  <c r="J924" i="6"/>
  <c r="J925" i="6" s="1"/>
  <c r="AI924" i="6"/>
  <c r="AI28" i="6" s="1"/>
  <c r="AJ924" i="6"/>
  <c r="AJ925" i="6" s="1"/>
  <c r="AK924" i="6"/>
  <c r="AK28" i="6" s="1"/>
  <c r="AM924" i="6"/>
  <c r="AM28" i="6" s="1"/>
  <c r="AN924" i="6"/>
  <c r="AN28" i="6" s="1"/>
  <c r="AO924" i="6"/>
  <c r="AO927" i="6" s="1"/>
  <c r="AP924" i="6"/>
  <c r="AP927" i="6" s="1"/>
  <c r="AR924" i="6"/>
  <c r="AS924" i="6"/>
  <c r="AS28" i="6" s="1"/>
  <c r="AT924" i="6"/>
  <c r="AT28" i="6" s="1"/>
  <c r="AU924" i="6"/>
  <c r="AU925" i="6" s="1"/>
  <c r="AW924" i="6"/>
  <c r="AW925" i="6" s="1"/>
  <c r="AY924" i="6"/>
  <c r="AY925" i="6" s="1"/>
  <c r="AZ924" i="6"/>
  <c r="AZ925" i="6" s="1"/>
  <c r="BB924" i="6"/>
  <c r="BB925" i="6" s="1"/>
  <c r="BC924" i="6"/>
  <c r="BD924" i="6"/>
  <c r="BD925" i="6" s="1"/>
  <c r="BE924" i="6"/>
  <c r="BE925" i="6" s="1"/>
  <c r="BG924" i="6"/>
  <c r="BG925" i="6" s="1"/>
  <c r="BH924" i="6"/>
  <c r="BI924" i="6"/>
  <c r="BI925" i="6" s="1"/>
  <c r="BJ924" i="6"/>
  <c r="BJ925" i="6" s="1"/>
  <c r="BL924" i="6"/>
  <c r="BL925" i="6" s="1"/>
  <c r="CP924" i="6"/>
  <c r="DC924" i="6"/>
  <c r="DD924" i="6"/>
  <c r="DE924" i="6"/>
  <c r="DF924" i="6"/>
  <c r="DG924" i="6"/>
  <c r="E925" i="6"/>
  <c r="F925" i="6"/>
  <c r="G925" i="6"/>
  <c r="I925" i="6"/>
  <c r="K925" i="6"/>
  <c r="L925" i="6"/>
  <c r="N925" i="6"/>
  <c r="O925" i="6"/>
  <c r="P925" i="6"/>
  <c r="Q925" i="6"/>
  <c r="S925" i="6"/>
  <c r="T925" i="6"/>
  <c r="U925" i="6"/>
  <c r="V925" i="6"/>
  <c r="X925" i="6"/>
  <c r="Y925" i="6"/>
  <c r="Z925" i="6"/>
  <c r="AA925" i="6"/>
  <c r="AC925" i="6"/>
  <c r="AD925" i="6"/>
  <c r="AE925" i="6"/>
  <c r="AF925" i="6"/>
  <c r="AH925" i="6"/>
  <c r="CP925" i="6"/>
  <c r="DC925" i="6"/>
  <c r="DD925" i="6"/>
  <c r="DE925" i="6"/>
  <c r="DF925" i="6"/>
  <c r="DG925" i="6"/>
  <c r="E927" i="6"/>
  <c r="E120" i="6" s="1"/>
  <c r="F927" i="6"/>
  <c r="F120" i="6" s="1"/>
  <c r="G927" i="6"/>
  <c r="G928" i="6" s="1"/>
  <c r="I927" i="6"/>
  <c r="I120" i="6" s="1"/>
  <c r="J927" i="6"/>
  <c r="J928" i="6" s="1"/>
  <c r="K927" i="6"/>
  <c r="K928" i="6" s="1"/>
  <c r="L927" i="6"/>
  <c r="L120" i="6" s="1"/>
  <c r="N927" i="6"/>
  <c r="N958" i="6" s="1"/>
  <c r="O927" i="6"/>
  <c r="O937" i="6" s="1"/>
  <c r="O938" i="6" s="1"/>
  <c r="P927" i="6"/>
  <c r="P928" i="6" s="1"/>
  <c r="Q927" i="6"/>
  <c r="Q958" i="6" s="1"/>
  <c r="S927" i="6"/>
  <c r="T927" i="6"/>
  <c r="T928" i="6" s="1"/>
  <c r="U927" i="6"/>
  <c r="U928" i="6" s="1"/>
  <c r="V927" i="6"/>
  <c r="V928" i="6" s="1"/>
  <c r="X927" i="6"/>
  <c r="X929" i="6" s="1"/>
  <c r="BT254" i="42425" s="1"/>
  <c r="Y927" i="6"/>
  <c r="Y937" i="6" s="1"/>
  <c r="Z927" i="6"/>
  <c r="Z937" i="6" s="1"/>
  <c r="AA927" i="6"/>
  <c r="AA937" i="6" s="1"/>
  <c r="AC927" i="6"/>
  <c r="AD927" i="6"/>
  <c r="AD928" i="6" s="1"/>
  <c r="AE927" i="6"/>
  <c r="CD258" i="42425" s="1"/>
  <c r="AF927" i="6"/>
  <c r="AF928" i="6" s="1"/>
  <c r="AH927" i="6"/>
  <c r="AH928" i="6" s="1"/>
  <c r="AV927" i="6"/>
  <c r="AZ101" i="42425" s="1"/>
  <c r="AX927" i="6"/>
  <c r="AX1007" i="6" s="1"/>
  <c r="BF927" i="6"/>
  <c r="DA927" i="6" s="1"/>
  <c r="CP927" i="6"/>
  <c r="DC927" i="6"/>
  <c r="DD927" i="6"/>
  <c r="DE927" i="6"/>
  <c r="DF927" i="6"/>
  <c r="DG927" i="6"/>
  <c r="D928" i="6"/>
  <c r="AR928" i="6"/>
  <c r="AS928" i="6"/>
  <c r="AT928" i="6"/>
  <c r="AU928" i="6"/>
  <c r="AW928" i="6"/>
  <c r="AY928" i="6"/>
  <c r="AZ928" i="6"/>
  <c r="BB928" i="6"/>
  <c r="BC928" i="6"/>
  <c r="BD928" i="6"/>
  <c r="BE928" i="6"/>
  <c r="BG928" i="6"/>
  <c r="BH928" i="6"/>
  <c r="BI928" i="6"/>
  <c r="BJ928" i="6"/>
  <c r="BL928" i="6"/>
  <c r="CP928" i="6"/>
  <c r="DC928" i="6"/>
  <c r="DD928" i="6"/>
  <c r="DE928" i="6"/>
  <c r="DF928" i="6"/>
  <c r="DG928" i="6"/>
  <c r="AW929" i="6"/>
  <c r="AX929" i="6"/>
  <c r="AY929" i="6"/>
  <c r="AZ929" i="6"/>
  <c r="BB929" i="6"/>
  <c r="BC929" i="6"/>
  <c r="BD929" i="6"/>
  <c r="BE929" i="6"/>
  <c r="BG929" i="6"/>
  <c r="BH929" i="6"/>
  <c r="BI929" i="6"/>
  <c r="BJ929" i="6"/>
  <c r="BL929" i="6"/>
  <c r="CP929" i="6"/>
  <c r="DC929" i="6"/>
  <c r="DD929" i="6"/>
  <c r="DE929" i="6"/>
  <c r="DF929" i="6"/>
  <c r="DG929" i="6"/>
  <c r="BF932" i="6"/>
  <c r="BK932" i="6"/>
  <c r="BB934" i="6"/>
  <c r="BB45" i="6" s="1"/>
  <c r="C21" i="42464" s="1"/>
  <c r="L21" i="42464" s="1"/>
  <c r="BC934" i="6"/>
  <c r="BC45" i="6" s="1"/>
  <c r="C21" i="42467" s="1"/>
  <c r="L21" i="42467" s="1"/>
  <c r="BD934" i="6"/>
  <c r="BD45" i="6" s="1"/>
  <c r="C21" i="42468" s="1"/>
  <c r="K21" i="42468" s="1"/>
  <c r="BE934" i="6"/>
  <c r="BE45" i="6" s="1"/>
  <c r="BG934" i="6"/>
  <c r="BH934" i="6"/>
  <c r="BI934" i="6"/>
  <c r="BJ934" i="6"/>
  <c r="H936" i="6"/>
  <c r="CQ936" i="6" s="1"/>
  <c r="M936" i="6"/>
  <c r="CR936" i="6" s="1"/>
  <c r="R936" i="6"/>
  <c r="CS936" i="6" s="1"/>
  <c r="W936" i="6"/>
  <c r="CT936" i="6" s="1"/>
  <c r="AB936" i="6"/>
  <c r="CU936" i="6" s="1"/>
  <c r="AG936" i="6"/>
  <c r="CV936" i="6" s="1"/>
  <c r="AL936" i="6"/>
  <c r="CW936" i="6" s="1"/>
  <c r="AQ936" i="6"/>
  <c r="CX936" i="6" s="1"/>
  <c r="AV936" i="6"/>
  <c r="CY936" i="6" s="1"/>
  <c r="BA936" i="6"/>
  <c r="CZ936" i="6" s="1"/>
  <c r="BE936" i="6"/>
  <c r="BF936" i="6" s="1"/>
  <c r="BK936" i="6"/>
  <c r="DB936" i="6" s="1"/>
  <c r="CC936" i="6"/>
  <c r="CD936" i="6" s="1"/>
  <c r="CP936" i="6"/>
  <c r="DC936" i="6"/>
  <c r="DD936" i="6"/>
  <c r="DE936" i="6"/>
  <c r="DF936" i="6"/>
  <c r="DG936" i="6"/>
  <c r="D937" i="6"/>
  <c r="D938" i="6" s="1"/>
  <c r="AR937" i="6"/>
  <c r="AR938" i="6" s="1"/>
  <c r="AS937" i="6"/>
  <c r="AS938" i="6" s="1"/>
  <c r="AT937" i="6"/>
  <c r="AT938" i="6" s="1"/>
  <c r="AU937" i="6"/>
  <c r="AU938" i="6" s="1"/>
  <c r="AW937" i="6"/>
  <c r="AW938" i="6" s="1"/>
  <c r="AY937" i="6"/>
  <c r="AY938" i="6" s="1"/>
  <c r="AZ937" i="6"/>
  <c r="BB937" i="6"/>
  <c r="BB938" i="6" s="1"/>
  <c r="BC937" i="6"/>
  <c r="BC938" i="6" s="1"/>
  <c r="BD937" i="6"/>
  <c r="BD938" i="6" s="1"/>
  <c r="BG937" i="6"/>
  <c r="BH937" i="6"/>
  <c r="BH938" i="6" s="1"/>
  <c r="BI937" i="6"/>
  <c r="BJ937" i="6"/>
  <c r="BJ938" i="6" s="1"/>
  <c r="BL937" i="6"/>
  <c r="CP937" i="6"/>
  <c r="DC937" i="6"/>
  <c r="DD937" i="6"/>
  <c r="DE937" i="6"/>
  <c r="DF937" i="6"/>
  <c r="DG937" i="6"/>
  <c r="CP938" i="6"/>
  <c r="DC938" i="6"/>
  <c r="DD938" i="6"/>
  <c r="DE938" i="6"/>
  <c r="DF938" i="6"/>
  <c r="DG938" i="6"/>
  <c r="H940" i="6"/>
  <c r="CQ940" i="6" s="1"/>
  <c r="M940" i="6"/>
  <c r="CR940" i="6" s="1"/>
  <c r="N940" i="6"/>
  <c r="O940" i="6"/>
  <c r="P940" i="6"/>
  <c r="S940" i="6"/>
  <c r="T940" i="6"/>
  <c r="U940" i="6"/>
  <c r="X940" i="6"/>
  <c r="Y940" i="6"/>
  <c r="Z940" i="6"/>
  <c r="AC940" i="6"/>
  <c r="AD940" i="6"/>
  <c r="AG940" i="6" s="1"/>
  <c r="CV940" i="6" s="1"/>
  <c r="AE940" i="6"/>
  <c r="AL940" i="6"/>
  <c r="CW940" i="6" s="1"/>
  <c r="AN940" i="6"/>
  <c r="AO940" i="6"/>
  <c r="AP940" i="6"/>
  <c r="AR940" i="6"/>
  <c r="AS940" i="6"/>
  <c r="AU940" i="6"/>
  <c r="AX940" i="6"/>
  <c r="AY940" i="6"/>
  <c r="AZ940" i="6"/>
  <c r="BB940" i="6"/>
  <c r="BC940" i="6"/>
  <c r="BD940" i="6"/>
  <c r="BG940" i="6"/>
  <c r="BH940" i="6"/>
  <c r="BI940" i="6"/>
  <c r="BJ940" i="6"/>
  <c r="BL940" i="6"/>
  <c r="CC940" i="6"/>
  <c r="CD940" i="6" s="1"/>
  <c r="CE940" i="6" s="1"/>
  <c r="CF940" i="6" s="1"/>
  <c r="CG940" i="6" s="1"/>
  <c r="CP940" i="6"/>
  <c r="DC940" i="6"/>
  <c r="DD940" i="6"/>
  <c r="DE940" i="6"/>
  <c r="DF940" i="6"/>
  <c r="DG940" i="6"/>
  <c r="H941" i="6"/>
  <c r="CQ941" i="6" s="1"/>
  <c r="M941" i="6"/>
  <c r="CR941" i="6" s="1"/>
  <c r="R941" i="6"/>
  <c r="CS941" i="6" s="1"/>
  <c r="W941" i="6"/>
  <c r="CT941" i="6" s="1"/>
  <c r="AB941" i="6"/>
  <c r="AB959" i="6" s="1"/>
  <c r="CU959" i="6" s="1"/>
  <c r="AG941" i="6"/>
  <c r="CV941" i="6" s="1"/>
  <c r="AL941" i="6"/>
  <c r="AL959" i="6" s="1"/>
  <c r="CW959" i="6" s="1"/>
  <c r="AQ941" i="6"/>
  <c r="CX941" i="6" s="1"/>
  <c r="AV941" i="6"/>
  <c r="CY941" i="6" s="1"/>
  <c r="BA941" i="6"/>
  <c r="CZ941" i="6" s="1"/>
  <c r="BD941" i="6"/>
  <c r="BD1007" i="6" s="1"/>
  <c r="BK941" i="6"/>
  <c r="DB941" i="6" s="1"/>
  <c r="CP941" i="6"/>
  <c r="DC941" i="6"/>
  <c r="DD941" i="6"/>
  <c r="DE941" i="6"/>
  <c r="DF941" i="6"/>
  <c r="DG941" i="6"/>
  <c r="CP942" i="6"/>
  <c r="DC942" i="6"/>
  <c r="DD942" i="6"/>
  <c r="DE942" i="6"/>
  <c r="DF942" i="6"/>
  <c r="DG942" i="6"/>
  <c r="G943" i="6"/>
  <c r="H943" i="6" s="1"/>
  <c r="CQ943" i="6" s="1"/>
  <c r="M943" i="6"/>
  <c r="CR943" i="6" s="1"/>
  <c r="R943" i="6"/>
  <c r="R960" i="6" s="1"/>
  <c r="CS960" i="6" s="1"/>
  <c r="W943" i="6"/>
  <c r="CT943" i="6" s="1"/>
  <c r="AB943" i="6"/>
  <c r="CU943" i="6" s="1"/>
  <c r="AG943" i="6"/>
  <c r="CV943" i="6" s="1"/>
  <c r="AL943" i="6"/>
  <c r="AL960" i="6" s="1"/>
  <c r="CW960" i="6" s="1"/>
  <c r="AQ943" i="6"/>
  <c r="CX943" i="6" s="1"/>
  <c r="AV943" i="6"/>
  <c r="CY943" i="6" s="1"/>
  <c r="BA943" i="6"/>
  <c r="CZ943" i="6" s="1"/>
  <c r="BE943" i="6"/>
  <c r="BF943" i="6" s="1"/>
  <c r="BK943" i="6"/>
  <c r="DB943" i="6" s="1"/>
  <c r="CP943" i="6"/>
  <c r="DC943" i="6"/>
  <c r="DD943" i="6"/>
  <c r="DE943" i="6"/>
  <c r="DF943" i="6"/>
  <c r="DG943" i="6"/>
  <c r="CC944" i="6"/>
  <c r="CD944" i="6" s="1"/>
  <c r="CE944" i="6" s="1"/>
  <c r="CF944" i="6" s="1"/>
  <c r="CG944" i="6" s="1"/>
  <c r="CP944" i="6"/>
  <c r="DC944" i="6"/>
  <c r="DD944" i="6"/>
  <c r="DE944" i="6"/>
  <c r="DF944" i="6"/>
  <c r="DG944" i="6"/>
  <c r="CP945" i="6"/>
  <c r="DC945" i="6"/>
  <c r="DD945" i="6"/>
  <c r="DE945" i="6"/>
  <c r="DF945" i="6"/>
  <c r="DG945" i="6"/>
  <c r="CP946" i="6"/>
  <c r="DC946" i="6"/>
  <c r="DD946" i="6"/>
  <c r="DE946" i="6"/>
  <c r="DF946" i="6"/>
  <c r="DG946" i="6"/>
  <c r="AW949" i="6"/>
  <c r="AW48" i="6" s="1"/>
  <c r="AY949" i="6"/>
  <c r="AY48" i="6" s="1"/>
  <c r="AZ949" i="6"/>
  <c r="AZ48" i="6" s="1"/>
  <c r="D21" i="42471" s="1"/>
  <c r="BA950" i="6"/>
  <c r="BB950" i="6"/>
  <c r="BB49" i="6" s="1"/>
  <c r="BC950" i="6"/>
  <c r="BC49" i="6" s="1"/>
  <c r="D22" i="42474" s="1"/>
  <c r="BD950" i="6"/>
  <c r="BD49" i="6" s="1"/>
  <c r="BE950" i="6"/>
  <c r="BE49" i="6" s="1"/>
  <c r="D22" i="42475" s="1"/>
  <c r="BG950" i="6"/>
  <c r="BG49" i="6" s="1"/>
  <c r="BH950" i="6"/>
  <c r="BH49" i="6" s="1"/>
  <c r="C22" i="42474" s="1"/>
  <c r="K22" i="42474" s="1"/>
  <c r="BI950" i="6"/>
  <c r="BI49" i="6" s="1"/>
  <c r="BJ950" i="6"/>
  <c r="BJ49" i="6" s="1"/>
  <c r="C22" i="42475" s="1"/>
  <c r="L22" i="42475" s="1"/>
  <c r="BA953" i="6"/>
  <c r="BF953" i="6"/>
  <c r="BK953" i="6"/>
  <c r="BM68" i="6"/>
  <c r="BN68" i="6"/>
  <c r="BP68" i="6" s="1"/>
  <c r="BA954" i="6"/>
  <c r="BF954" i="6"/>
  <c r="BK954" i="6"/>
  <c r="BM1342" i="6"/>
  <c r="CP957" i="6"/>
  <c r="D958" i="6"/>
  <c r="AR958" i="6"/>
  <c r="AS958" i="6"/>
  <c r="AT958" i="6"/>
  <c r="AU958" i="6"/>
  <c r="AW958" i="6"/>
  <c r="AY958" i="6"/>
  <c r="AZ958" i="6"/>
  <c r="BB958" i="6"/>
  <c r="BC958" i="6"/>
  <c r="BD958" i="6"/>
  <c r="BE958" i="6"/>
  <c r="BG958" i="6"/>
  <c r="BH958" i="6"/>
  <c r="BI958" i="6"/>
  <c r="BJ958" i="6"/>
  <c r="BL958" i="6"/>
  <c r="CP958" i="6"/>
  <c r="DC958" i="6"/>
  <c r="DD958" i="6"/>
  <c r="DE958" i="6"/>
  <c r="DF958" i="6"/>
  <c r="DG958" i="6"/>
  <c r="D959" i="6"/>
  <c r="E959" i="6"/>
  <c r="F959" i="6"/>
  <c r="G959" i="6"/>
  <c r="I959" i="6"/>
  <c r="J959" i="6"/>
  <c r="K959" i="6"/>
  <c r="L959" i="6"/>
  <c r="N959" i="6"/>
  <c r="O959" i="6"/>
  <c r="P959" i="6"/>
  <c r="Q959" i="6"/>
  <c r="S959" i="6"/>
  <c r="T959" i="6"/>
  <c r="U959" i="6"/>
  <c r="V959" i="6"/>
  <c r="X959" i="6"/>
  <c r="Y959" i="6"/>
  <c r="Z959" i="6"/>
  <c r="AA959" i="6"/>
  <c r="AC959" i="6"/>
  <c r="AD959" i="6"/>
  <c r="AE959" i="6"/>
  <c r="AF959" i="6"/>
  <c r="AH959" i="6"/>
  <c r="AI959" i="6"/>
  <c r="AJ959" i="6"/>
  <c r="AK959" i="6"/>
  <c r="AM959" i="6"/>
  <c r="AN959" i="6"/>
  <c r="AO959" i="6"/>
  <c r="AP959" i="6"/>
  <c r="AR959" i="6"/>
  <c r="AS959" i="6"/>
  <c r="AT959" i="6"/>
  <c r="AU959" i="6"/>
  <c r="AW959" i="6"/>
  <c r="AX959" i="6"/>
  <c r="AY959" i="6"/>
  <c r="AZ959" i="6"/>
  <c r="BB959" i="6"/>
  <c r="BC959" i="6"/>
  <c r="BG959" i="6"/>
  <c r="BH959" i="6"/>
  <c r="BI959" i="6"/>
  <c r="BJ959" i="6"/>
  <c r="BL959" i="6"/>
  <c r="BM959" i="6"/>
  <c r="CP959" i="6"/>
  <c r="DC959" i="6"/>
  <c r="DD959" i="6"/>
  <c r="DE959" i="6"/>
  <c r="DF959" i="6"/>
  <c r="DG959" i="6"/>
  <c r="D960" i="6"/>
  <c r="E960" i="6"/>
  <c r="F960" i="6"/>
  <c r="I960" i="6"/>
  <c r="J960" i="6"/>
  <c r="K960" i="6"/>
  <c r="L960" i="6"/>
  <c r="N960" i="6"/>
  <c r="O960" i="6"/>
  <c r="P960" i="6"/>
  <c r="Q960" i="6"/>
  <c r="S960" i="6"/>
  <c r="T960" i="6"/>
  <c r="U960" i="6"/>
  <c r="V960" i="6"/>
  <c r="X960" i="6"/>
  <c r="Y960" i="6"/>
  <c r="Z960" i="6"/>
  <c r="AA960" i="6"/>
  <c r="AC960" i="6"/>
  <c r="AD960" i="6"/>
  <c r="AE960" i="6"/>
  <c r="AF960" i="6"/>
  <c r="AH960" i="6"/>
  <c r="AI960" i="6"/>
  <c r="AJ960" i="6"/>
  <c r="AK960" i="6"/>
  <c r="AM960" i="6"/>
  <c r="AN960" i="6"/>
  <c r="AO960" i="6"/>
  <c r="AP960" i="6"/>
  <c r="AR960" i="6"/>
  <c r="AS960" i="6"/>
  <c r="AT960" i="6"/>
  <c r="AU960" i="6"/>
  <c r="AW960" i="6"/>
  <c r="AX960" i="6"/>
  <c r="AY960" i="6"/>
  <c r="AZ960" i="6"/>
  <c r="BB960" i="6"/>
  <c r="BC960" i="6"/>
  <c r="BD960" i="6"/>
  <c r="BG960" i="6"/>
  <c r="BH960" i="6"/>
  <c r="BI960" i="6"/>
  <c r="BJ960" i="6"/>
  <c r="BL960" i="6"/>
  <c r="CP960" i="6"/>
  <c r="DC960" i="6"/>
  <c r="DD960" i="6"/>
  <c r="DE960" i="6"/>
  <c r="DF960" i="6"/>
  <c r="DG960" i="6"/>
  <c r="AJ961" i="6"/>
  <c r="AK961" i="6"/>
  <c r="AM961" i="6"/>
  <c r="AP961" i="6"/>
  <c r="AR961" i="6"/>
  <c r="AS961" i="6"/>
  <c r="AW961" i="6"/>
  <c r="AY961" i="6"/>
  <c r="BB961" i="6"/>
  <c r="BC961" i="6"/>
  <c r="BE961" i="6"/>
  <c r="BG961" i="6"/>
  <c r="BI961" i="6"/>
  <c r="BJ961" i="6"/>
  <c r="BL961" i="6"/>
  <c r="BM961" i="6"/>
  <c r="BN961" i="6"/>
  <c r="CP961" i="6"/>
  <c r="DC961" i="6"/>
  <c r="DD961" i="6"/>
  <c r="DE961" i="6"/>
  <c r="DF961" i="6"/>
  <c r="DG961" i="6"/>
  <c r="D962" i="6"/>
  <c r="E962" i="6"/>
  <c r="F962" i="6"/>
  <c r="G962" i="6"/>
  <c r="I962" i="6"/>
  <c r="J962" i="6"/>
  <c r="K962" i="6"/>
  <c r="L962" i="6"/>
  <c r="N962" i="6"/>
  <c r="O962" i="6"/>
  <c r="P962" i="6"/>
  <c r="Q962" i="6"/>
  <c r="S962" i="6"/>
  <c r="T962" i="6"/>
  <c r="U962" i="6"/>
  <c r="V962" i="6"/>
  <c r="X962" i="6"/>
  <c r="Y962" i="6"/>
  <c r="Z962" i="6"/>
  <c r="AA962" i="6"/>
  <c r="AC962" i="6"/>
  <c r="AD962" i="6"/>
  <c r="AE962" i="6"/>
  <c r="AF962" i="6"/>
  <c r="AH962" i="6"/>
  <c r="AI962" i="6"/>
  <c r="AJ962" i="6"/>
  <c r="AK962" i="6"/>
  <c r="AM962" i="6"/>
  <c r="AN962" i="6"/>
  <c r="AO962" i="6"/>
  <c r="AP962" i="6"/>
  <c r="AT962" i="6"/>
  <c r="AU962" i="6"/>
  <c r="AW962" i="6"/>
  <c r="BB962" i="6"/>
  <c r="BC962" i="6"/>
  <c r="BD962" i="6"/>
  <c r="BG962" i="6"/>
  <c r="BH962" i="6"/>
  <c r="BI962" i="6"/>
  <c r="BJ962" i="6"/>
  <c r="BL962" i="6"/>
  <c r="BM962" i="6"/>
  <c r="BN962" i="6"/>
  <c r="CP962" i="6"/>
  <c r="DC962" i="6"/>
  <c r="DD962" i="6"/>
  <c r="DE962" i="6"/>
  <c r="DF962" i="6"/>
  <c r="DG962" i="6"/>
  <c r="AN963" i="6"/>
  <c r="AO963" i="6" s="1"/>
  <c r="AS963" i="6"/>
  <c r="AX963" i="6"/>
  <c r="BC963" i="6"/>
  <c r="BD963" i="6" s="1"/>
  <c r="BE963" i="6" s="1"/>
  <c r="BG963" i="6" s="1"/>
  <c r="CC963" i="6"/>
  <c r="CD963" i="6" s="1"/>
  <c r="CE963" i="6" s="1"/>
  <c r="CF963" i="6" s="1"/>
  <c r="CG963" i="6" s="1"/>
  <c r="CP963" i="6"/>
  <c r="CQ963" i="6"/>
  <c r="CR963" i="6"/>
  <c r="CS963" i="6"/>
  <c r="CT963" i="6"/>
  <c r="CU963" i="6"/>
  <c r="CV963" i="6"/>
  <c r="CW963" i="6"/>
  <c r="DC963" i="6"/>
  <c r="DD963" i="6"/>
  <c r="DE963" i="6"/>
  <c r="DF963" i="6"/>
  <c r="DG963" i="6"/>
  <c r="BF964" i="6"/>
  <c r="BK964" i="6"/>
  <c r="CP965" i="6"/>
  <c r="DC965" i="6"/>
  <c r="DD965" i="6"/>
  <c r="DE965" i="6"/>
  <c r="DF965" i="6"/>
  <c r="DG965" i="6"/>
  <c r="CP967" i="6"/>
  <c r="D968" i="6"/>
  <c r="E968" i="6"/>
  <c r="F968" i="6"/>
  <c r="G968" i="6"/>
  <c r="I968" i="6"/>
  <c r="N968" i="6"/>
  <c r="S968" i="6"/>
  <c r="X968" i="6"/>
  <c r="AC968" i="6"/>
  <c r="AH968" i="6"/>
  <c r="AI968" i="6" s="1"/>
  <c r="AM968" i="6"/>
  <c r="AN968" i="6"/>
  <c r="AO968" i="6"/>
  <c r="AP968" i="6"/>
  <c r="CP968" i="6"/>
  <c r="AH970" i="6"/>
  <c r="CP970" i="6"/>
  <c r="CX970" i="6"/>
  <c r="E971" i="6"/>
  <c r="J971" i="6"/>
  <c r="K971" i="6" s="1"/>
  <c r="L971" i="6" s="1"/>
  <c r="O971" i="6"/>
  <c r="P971" i="6" s="1"/>
  <c r="Q971" i="6" s="1"/>
  <c r="R971" i="6" s="1"/>
  <c r="CS971" i="6" s="1"/>
  <c r="T971" i="6"/>
  <c r="U971" i="6" s="1"/>
  <c r="V971" i="6" s="1"/>
  <c r="W971" i="6" s="1"/>
  <c r="CT971" i="6" s="1"/>
  <c r="Y971" i="6"/>
  <c r="Z971" i="6" s="1"/>
  <c r="AA971" i="6" s="1"/>
  <c r="AD971" i="6"/>
  <c r="AE971" i="6" s="1"/>
  <c r="AF971" i="6" s="1"/>
  <c r="AG971" i="6" s="1"/>
  <c r="CV971" i="6" s="1"/>
  <c r="AI971" i="6"/>
  <c r="AJ971" i="6" s="1"/>
  <c r="AN971" i="6"/>
  <c r="AO971" i="6" s="1"/>
  <c r="AP971" i="6" s="1"/>
  <c r="AQ971" i="6" s="1"/>
  <c r="CX971" i="6" s="1"/>
  <c r="CP971" i="6"/>
  <c r="D972" i="6"/>
  <c r="I972" i="6"/>
  <c r="N972" i="6"/>
  <c r="S972" i="6"/>
  <c r="X972" i="6"/>
  <c r="AC972" i="6"/>
  <c r="AH972" i="6"/>
  <c r="AL972" i="6" s="1"/>
  <c r="CW972" i="6" s="1"/>
  <c r="CP972" i="6"/>
  <c r="CX972" i="6"/>
  <c r="E973" i="6"/>
  <c r="E972" i="6" s="1"/>
  <c r="J973" i="6"/>
  <c r="J972" i="6" s="1"/>
  <c r="O973" i="6"/>
  <c r="O972" i="6" s="1"/>
  <c r="T973" i="6"/>
  <c r="U973" i="6" s="1"/>
  <c r="U972" i="6" s="1"/>
  <c r="Y973" i="6"/>
  <c r="Y972" i="6" s="1"/>
  <c r="AD973" i="6"/>
  <c r="AE973" i="6" s="1"/>
  <c r="AI973" i="6"/>
  <c r="AJ973" i="6" s="1"/>
  <c r="AN973" i="6"/>
  <c r="AO973" i="6" s="1"/>
  <c r="AP973" i="6" s="1"/>
  <c r="AQ973" i="6" s="1"/>
  <c r="CX973" i="6" s="1"/>
  <c r="CP973" i="6"/>
  <c r="AI974" i="6"/>
  <c r="AJ974" i="6"/>
  <c r="AK974" i="6"/>
  <c r="AM974" i="6"/>
  <c r="AN974" i="6"/>
  <c r="AO974" i="6"/>
  <c r="AP974" i="6"/>
  <c r="AP1015" i="6" s="1"/>
  <c r="AP1068" i="6" s="1"/>
  <c r="AQ1068" i="6" s="1"/>
  <c r="CX1068" i="6" s="1"/>
  <c r="CP974" i="6"/>
  <c r="CP977" i="6"/>
  <c r="AL978" i="6"/>
  <c r="CW978" i="6" s="1"/>
  <c r="AQ978" i="6"/>
  <c r="CX978" i="6" s="1"/>
  <c r="AV978" i="6"/>
  <c r="CY978" i="6" s="1"/>
  <c r="BA978" i="6"/>
  <c r="CZ978" i="6" s="1"/>
  <c r="CP978" i="6"/>
  <c r="DC978" i="6"/>
  <c r="DD978" i="6"/>
  <c r="DE978" i="6"/>
  <c r="DF978" i="6"/>
  <c r="DG978" i="6"/>
  <c r="D979" i="6"/>
  <c r="D1230" i="6" s="1"/>
  <c r="E979" i="6"/>
  <c r="E1230" i="6" s="1"/>
  <c r="F979" i="6"/>
  <c r="F1230" i="6" s="1"/>
  <c r="G979" i="6"/>
  <c r="H979" i="6" s="1"/>
  <c r="I979" i="6"/>
  <c r="J979" i="6"/>
  <c r="J1230" i="6" s="1"/>
  <c r="K979" i="6"/>
  <c r="L979" i="6"/>
  <c r="M979" i="6" s="1"/>
  <c r="M1230" i="6" s="1"/>
  <c r="CR1230" i="6" s="1"/>
  <c r="N979" i="6"/>
  <c r="R979" i="6"/>
  <c r="R1230" i="6" s="1"/>
  <c r="CS1230" i="6" s="1"/>
  <c r="W979" i="6"/>
  <c r="W1230" i="6" s="1"/>
  <c r="CT1230" i="6" s="1"/>
  <c r="AB979" i="6"/>
  <c r="AB1230" i="6" s="1"/>
  <c r="CU1230" i="6" s="1"/>
  <c r="AG979" i="6"/>
  <c r="CV979" i="6" s="1"/>
  <c r="AJ979" i="6"/>
  <c r="AJ1104" i="6" s="1"/>
  <c r="AK979" i="6"/>
  <c r="AK1230" i="6" s="1"/>
  <c r="AM979" i="6"/>
  <c r="AM1230" i="6" s="1"/>
  <c r="AN979" i="6"/>
  <c r="AN1230" i="6" s="1"/>
  <c r="AO979" i="6"/>
  <c r="AO1230" i="6" s="1"/>
  <c r="AP979" i="6"/>
  <c r="AR979" i="6"/>
  <c r="AR1230" i="6" s="1"/>
  <c r="AS979" i="6"/>
  <c r="AS1230" i="6" s="1"/>
  <c r="AT979" i="6"/>
  <c r="AT1230" i="6" s="1"/>
  <c r="AW979" i="6"/>
  <c r="AX979" i="6"/>
  <c r="AX1230" i="6" s="1"/>
  <c r="AY979" i="6"/>
  <c r="AY1230" i="6" s="1"/>
  <c r="AZ979" i="6"/>
  <c r="AZ1230" i="6" s="1"/>
  <c r="BB979" i="6"/>
  <c r="BC979" i="6"/>
  <c r="BC1005" i="6" s="1"/>
  <c r="BD979" i="6"/>
  <c r="BD1006" i="6" s="1"/>
  <c r="CP979" i="6"/>
  <c r="DC979" i="6"/>
  <c r="DD979" i="6"/>
  <c r="DE979" i="6"/>
  <c r="DF979" i="6"/>
  <c r="DG979" i="6"/>
  <c r="AL980" i="6"/>
  <c r="CW980" i="6" s="1"/>
  <c r="AQ980" i="6"/>
  <c r="CX980" i="6" s="1"/>
  <c r="AV980" i="6"/>
  <c r="CY980" i="6" s="1"/>
  <c r="BA980" i="6"/>
  <c r="CZ980" i="6" s="1"/>
  <c r="BE980" i="6"/>
  <c r="BG980" i="6" s="1"/>
  <c r="BH980" i="6" s="1"/>
  <c r="BI980" i="6" s="1"/>
  <c r="BJ980" i="6" s="1"/>
  <c r="BK980" i="6" s="1"/>
  <c r="CC980" i="6"/>
  <c r="CP980" i="6"/>
  <c r="DC980" i="6"/>
  <c r="DD980" i="6"/>
  <c r="DE980" i="6"/>
  <c r="DF980" i="6"/>
  <c r="DG980" i="6"/>
  <c r="AL981" i="6"/>
  <c r="CW981" i="6" s="1"/>
  <c r="AQ981" i="6"/>
  <c r="CX981" i="6" s="1"/>
  <c r="AV981" i="6"/>
  <c r="CY981" i="6" s="1"/>
  <c r="BA981" i="6"/>
  <c r="CZ981" i="6" s="1"/>
  <c r="BE981" i="6"/>
  <c r="BG981" i="6" s="1"/>
  <c r="CC981" i="6"/>
  <c r="CD981" i="6" s="1"/>
  <c r="CP981" i="6"/>
  <c r="DC981" i="6"/>
  <c r="DD981" i="6"/>
  <c r="DE981" i="6"/>
  <c r="DF981" i="6"/>
  <c r="DG981" i="6"/>
  <c r="AL982" i="6"/>
  <c r="CW982" i="6" s="1"/>
  <c r="AQ982" i="6"/>
  <c r="CX982" i="6" s="1"/>
  <c r="AV982" i="6"/>
  <c r="CY982" i="6" s="1"/>
  <c r="BA982" i="6"/>
  <c r="CZ982" i="6" s="1"/>
  <c r="BE982" i="6"/>
  <c r="BG982" i="6" s="1"/>
  <c r="BH982" i="6" s="1"/>
  <c r="BJ982" i="6"/>
  <c r="BK982" i="6" s="1"/>
  <c r="BL982" i="6" s="1"/>
  <c r="BM982" i="6" s="1"/>
  <c r="BN982" i="6" s="1"/>
  <c r="CC982" i="6"/>
  <c r="CD982" i="6" s="1"/>
  <c r="CE982" i="6" s="1"/>
  <c r="CF982" i="6" s="1"/>
  <c r="CG982" i="6" s="1"/>
  <c r="CP982" i="6"/>
  <c r="DC982" i="6"/>
  <c r="DD982" i="6"/>
  <c r="DE982" i="6"/>
  <c r="DF982" i="6"/>
  <c r="DG982" i="6"/>
  <c r="BE983" i="6"/>
  <c r="BF983" i="6" s="1"/>
  <c r="CC983" i="6"/>
  <c r="CD983" i="6" s="1"/>
  <c r="CE983" i="6" s="1"/>
  <c r="CF983" i="6" s="1"/>
  <c r="CG983" i="6" s="1"/>
  <c r="CP983" i="6"/>
  <c r="CP984" i="6"/>
  <c r="CQ985" i="6"/>
  <c r="CR985" i="6"/>
  <c r="CS985" i="6"/>
  <c r="CT985" i="6"/>
  <c r="CU985" i="6"/>
  <c r="CV985" i="6"/>
  <c r="CW985" i="6"/>
  <c r="CX985" i="6"/>
  <c r="CY985" i="6"/>
  <c r="CZ985" i="6"/>
  <c r="DA985" i="6"/>
  <c r="DB985" i="6"/>
  <c r="DC985" i="6"/>
  <c r="DD985" i="6"/>
  <c r="DE985" i="6"/>
  <c r="DF985" i="6"/>
  <c r="DG985" i="6"/>
  <c r="AJ986" i="6"/>
  <c r="AK986" i="6"/>
  <c r="AM986" i="6"/>
  <c r="AN986" i="6"/>
  <c r="AO986" i="6"/>
  <c r="AP986" i="6"/>
  <c r="AR986" i="6"/>
  <c r="AS986" i="6"/>
  <c r="AT986" i="6"/>
  <c r="AU986" i="6"/>
  <c r="AW986" i="6"/>
  <c r="AX986" i="6"/>
  <c r="AY986" i="6"/>
  <c r="AZ986" i="6"/>
  <c r="BB986" i="6"/>
  <c r="BC986" i="6"/>
  <c r="BD986" i="6"/>
  <c r="CP986" i="6"/>
  <c r="DC986" i="6"/>
  <c r="DD986" i="6"/>
  <c r="DE986" i="6"/>
  <c r="DF986" i="6"/>
  <c r="DG986" i="6"/>
  <c r="H987" i="6"/>
  <c r="CQ987" i="6" s="1"/>
  <c r="M987" i="6"/>
  <c r="CR987" i="6" s="1"/>
  <c r="R987" i="6"/>
  <c r="CS987" i="6" s="1"/>
  <c r="W987" i="6"/>
  <c r="CT987" i="6" s="1"/>
  <c r="AB987" i="6"/>
  <c r="CU987" i="6" s="1"/>
  <c r="AG987" i="6"/>
  <c r="CV987" i="6" s="1"/>
  <c r="AJ987" i="6"/>
  <c r="CP987" i="6"/>
  <c r="CP989" i="6"/>
  <c r="D990" i="6"/>
  <c r="D961" i="6" s="1"/>
  <c r="E990" i="6"/>
  <c r="E961" i="6" s="1"/>
  <c r="F990" i="6"/>
  <c r="F961" i="6" s="1"/>
  <c r="G990" i="6"/>
  <c r="G961" i="6" s="1"/>
  <c r="I990" i="6"/>
  <c r="I961" i="6" s="1"/>
  <c r="J990" i="6"/>
  <c r="K990" i="6"/>
  <c r="K993" i="6" s="1"/>
  <c r="K1200" i="6" s="1"/>
  <c r="L990" i="6"/>
  <c r="L961" i="6" s="1"/>
  <c r="N990" i="6"/>
  <c r="N993" i="6" s="1"/>
  <c r="O990" i="6"/>
  <c r="O993" i="6" s="1"/>
  <c r="O1200" i="6" s="1"/>
  <c r="P990" i="6"/>
  <c r="P961" i="6" s="1"/>
  <c r="Q990" i="6"/>
  <c r="Q993" i="6" s="1"/>
  <c r="Q1200" i="6" s="1"/>
  <c r="S990" i="6"/>
  <c r="S993" i="6" s="1"/>
  <c r="S1200" i="6" s="1"/>
  <c r="T990" i="6"/>
  <c r="T961" i="6" s="1"/>
  <c r="U990" i="6"/>
  <c r="U961" i="6" s="1"/>
  <c r="V990" i="6"/>
  <c r="V993" i="6" s="1"/>
  <c r="V1200" i="6" s="1"/>
  <c r="X990" i="6"/>
  <c r="X961" i="6" s="1"/>
  <c r="Y990" i="6"/>
  <c r="Y961" i="6" s="1"/>
  <c r="Z990" i="6"/>
  <c r="Z993" i="6" s="1"/>
  <c r="Z1200" i="6" s="1"/>
  <c r="AA990" i="6"/>
  <c r="AA961" i="6" s="1"/>
  <c r="AC990" i="6"/>
  <c r="AC961" i="6" s="1"/>
  <c r="AH990" i="6"/>
  <c r="AN990" i="6"/>
  <c r="AN961" i="6" s="1"/>
  <c r="AX990" i="6"/>
  <c r="AX1200" i="6" s="1"/>
  <c r="BD990" i="6"/>
  <c r="BD961" i="6" s="1"/>
  <c r="BH990" i="6"/>
  <c r="BH993" i="6" s="1"/>
  <c r="CC990" i="6"/>
  <c r="CP990" i="6"/>
  <c r="DC990" i="6"/>
  <c r="DD990" i="6"/>
  <c r="DE990" i="6"/>
  <c r="DF990" i="6"/>
  <c r="DG990" i="6"/>
  <c r="H991" i="6"/>
  <c r="H962" i="6" s="1"/>
  <c r="CQ962" i="6" s="1"/>
  <c r="M991" i="6"/>
  <c r="M962" i="6" s="1"/>
  <c r="CR962" i="6" s="1"/>
  <c r="R991" i="6"/>
  <c r="R962" i="6" s="1"/>
  <c r="CS962" i="6" s="1"/>
  <c r="W991" i="6"/>
  <c r="CT991" i="6" s="1"/>
  <c r="AB991" i="6"/>
  <c r="AB962" i="6" s="1"/>
  <c r="CU962" i="6" s="1"/>
  <c r="AG991" i="6"/>
  <c r="AG962" i="6" s="1"/>
  <c r="CV962" i="6" s="1"/>
  <c r="AL991" i="6"/>
  <c r="AL962" i="6" s="1"/>
  <c r="CW962" i="6" s="1"/>
  <c r="AQ991" i="6"/>
  <c r="CX991" i="6" s="1"/>
  <c r="AR991" i="6"/>
  <c r="AR1201" i="6" s="1"/>
  <c r="AX991" i="6"/>
  <c r="AX962" i="6" s="1"/>
  <c r="BE991" i="6"/>
  <c r="BE1201" i="6" s="1"/>
  <c r="BK991" i="6"/>
  <c r="CC991" i="6"/>
  <c r="CD991" i="6" s="1"/>
  <c r="CP991" i="6"/>
  <c r="DC991" i="6"/>
  <c r="DD991" i="6"/>
  <c r="DE991" i="6"/>
  <c r="DF991" i="6"/>
  <c r="DG991" i="6"/>
  <c r="CQ992" i="6"/>
  <c r="CR992" i="6"/>
  <c r="CS992" i="6"/>
  <c r="CT992" i="6"/>
  <c r="CU992" i="6"/>
  <c r="CV992" i="6"/>
  <c r="CW992" i="6"/>
  <c r="CX992" i="6"/>
  <c r="CY992" i="6"/>
  <c r="CZ992" i="6"/>
  <c r="DA992" i="6"/>
  <c r="DB992" i="6"/>
  <c r="DC992" i="6"/>
  <c r="DD992" i="6"/>
  <c r="DE992" i="6"/>
  <c r="DF992" i="6"/>
  <c r="DG992" i="6"/>
  <c r="AJ993" i="6"/>
  <c r="AJ1200" i="6" s="1"/>
  <c r="AK993" i="6"/>
  <c r="AK1200" i="6" s="1"/>
  <c r="AM993" i="6"/>
  <c r="AM1200" i="6" s="1"/>
  <c r="AP993" i="6"/>
  <c r="AW993" i="6"/>
  <c r="BB993" i="6"/>
  <c r="BC993" i="6"/>
  <c r="BG993" i="6"/>
  <c r="BI993" i="6"/>
  <c r="BJ993" i="6"/>
  <c r="BL993" i="6"/>
  <c r="BM993" i="6"/>
  <c r="BN993" i="6"/>
  <c r="CP993" i="6"/>
  <c r="DC993" i="6"/>
  <c r="DD993" i="6"/>
  <c r="DE993" i="6"/>
  <c r="DF993" i="6"/>
  <c r="DG993" i="6"/>
  <c r="CP996" i="6"/>
  <c r="CP998" i="6"/>
  <c r="AR999" i="6"/>
  <c r="AS999" i="6"/>
  <c r="AT999" i="6"/>
  <c r="AU999" i="6"/>
  <c r="AW999" i="6"/>
  <c r="AY999" i="6"/>
  <c r="AZ999" i="6"/>
  <c r="BB999" i="6"/>
  <c r="BC999" i="6"/>
  <c r="BD999" i="6"/>
  <c r="BE999" i="6"/>
  <c r="BG999" i="6"/>
  <c r="BH999" i="6"/>
  <c r="BI999" i="6"/>
  <c r="BJ999" i="6"/>
  <c r="BL999" i="6"/>
  <c r="CP999" i="6"/>
  <c r="DC999" i="6"/>
  <c r="DD999" i="6"/>
  <c r="DE999" i="6"/>
  <c r="DF999" i="6"/>
  <c r="DG999" i="6"/>
  <c r="CP1000" i="6"/>
  <c r="DC1000" i="6"/>
  <c r="DD1000" i="6"/>
  <c r="DE1000" i="6"/>
  <c r="DF1000" i="6"/>
  <c r="DG1000" i="6"/>
  <c r="AS1001" i="6"/>
  <c r="AT1001" i="6" s="1"/>
  <c r="AW1001" i="6"/>
  <c r="AX1001" i="6" s="1"/>
  <c r="AY1001" i="6" s="1"/>
  <c r="AZ1001" i="6" s="1"/>
  <c r="CC1001" i="6"/>
  <c r="CD1001" i="6" s="1"/>
  <c r="CE1001" i="6" s="1"/>
  <c r="CF1001" i="6" s="1"/>
  <c r="CG1001" i="6" s="1"/>
  <c r="CP1001" i="6"/>
  <c r="DC1001" i="6"/>
  <c r="DD1001" i="6"/>
  <c r="DE1001" i="6"/>
  <c r="DF1001" i="6"/>
  <c r="DG1001" i="6"/>
  <c r="CP1002" i="6"/>
  <c r="DC1002" i="6"/>
  <c r="DD1002" i="6"/>
  <c r="DE1002" i="6"/>
  <c r="DF1002" i="6"/>
  <c r="DG1002" i="6"/>
  <c r="CP1004" i="6"/>
  <c r="CP1005" i="6"/>
  <c r="DC1005" i="6"/>
  <c r="DD1005" i="6"/>
  <c r="DE1005" i="6"/>
  <c r="DF1005" i="6"/>
  <c r="DG1005" i="6"/>
  <c r="CP1006" i="6"/>
  <c r="DC1006" i="6"/>
  <c r="DD1006" i="6"/>
  <c r="DE1006" i="6"/>
  <c r="DF1006" i="6"/>
  <c r="DG1006" i="6"/>
  <c r="AU1007" i="6"/>
  <c r="AW1007" i="6"/>
  <c r="BC1007" i="6"/>
  <c r="BJ1007" i="6"/>
  <c r="BL1007" i="6"/>
  <c r="CP1007" i="6"/>
  <c r="DC1007" i="6"/>
  <c r="DD1007" i="6"/>
  <c r="DE1007" i="6"/>
  <c r="DF1007" i="6"/>
  <c r="DG1007" i="6"/>
  <c r="H1008" i="6"/>
  <c r="CQ1008" i="6" s="1"/>
  <c r="M1008" i="6"/>
  <c r="CR1008" i="6" s="1"/>
  <c r="R1008" i="6"/>
  <c r="CS1008" i="6" s="1"/>
  <c r="W1008" i="6"/>
  <c r="CT1008" i="6" s="1"/>
  <c r="AB1008" i="6"/>
  <c r="CU1008" i="6" s="1"/>
  <c r="AG1008" i="6"/>
  <c r="CV1008" i="6" s="1"/>
  <c r="AK1008" i="6"/>
  <c r="AL1008" i="6" s="1"/>
  <c r="CW1008" i="6" s="1"/>
  <c r="CP1008" i="6"/>
  <c r="D1010" i="6"/>
  <c r="E1010" i="6"/>
  <c r="F1010" i="6"/>
  <c r="G1010" i="6"/>
  <c r="H1010" i="6"/>
  <c r="CQ1010" i="6" s="1"/>
  <c r="I1010" i="6"/>
  <c r="J1010" i="6"/>
  <c r="K1010" i="6"/>
  <c r="L1010" i="6"/>
  <c r="M1010" i="6"/>
  <c r="CR1010" i="6" s="1"/>
  <c r="N1010" i="6"/>
  <c r="O1010" i="6"/>
  <c r="P1010" i="6"/>
  <c r="Q1010" i="6"/>
  <c r="R1010" i="6"/>
  <c r="CS1010" i="6" s="1"/>
  <c r="S1010" i="6"/>
  <c r="T1010" i="6"/>
  <c r="U1010" i="6"/>
  <c r="V1010" i="6"/>
  <c r="W1010" i="6"/>
  <c r="CT1010" i="6" s="1"/>
  <c r="X1010" i="6"/>
  <c r="Y1010" i="6"/>
  <c r="Z1010" i="6"/>
  <c r="AA1010" i="6"/>
  <c r="AB1010" i="6"/>
  <c r="CU1010" i="6" s="1"/>
  <c r="AC1010" i="6"/>
  <c r="AD1010" i="6"/>
  <c r="AE1010" i="6"/>
  <c r="AF1010" i="6"/>
  <c r="AG1010" i="6"/>
  <c r="CV1010" i="6" s="1"/>
  <c r="AH1010" i="6"/>
  <c r="AI1010" i="6"/>
  <c r="AJ1010" i="6"/>
  <c r="AK1010" i="6"/>
  <c r="AL1010" i="6"/>
  <c r="CW1010" i="6" s="1"/>
  <c r="AM1010" i="6"/>
  <c r="AN1010" i="6"/>
  <c r="AO1010" i="6"/>
  <c r="AP1010" i="6"/>
  <c r="AQ1010" i="6"/>
  <c r="CX1010" i="6" s="1"/>
  <c r="AR1010" i="6"/>
  <c r="AS1010" i="6"/>
  <c r="AT1010" i="6"/>
  <c r="AU1010" i="6"/>
  <c r="AV1010" i="6"/>
  <c r="CY1010" i="6" s="1"/>
  <c r="AW1010" i="6"/>
  <c r="AX1010" i="6"/>
  <c r="AY1010" i="6"/>
  <c r="AZ1010" i="6"/>
  <c r="BA1010" i="6"/>
  <c r="CZ1010" i="6" s="1"/>
  <c r="BB1010" i="6"/>
  <c r="BC1010" i="6"/>
  <c r="BD1010" i="6"/>
  <c r="BE1010" i="6"/>
  <c r="BF1010" i="6"/>
  <c r="DA1010" i="6" s="1"/>
  <c r="BG1010" i="6"/>
  <c r="BH1010" i="6"/>
  <c r="BI1010" i="6"/>
  <c r="BJ1010" i="6"/>
  <c r="BK1010" i="6"/>
  <c r="DB1010" i="6" s="1"/>
  <c r="BL1010" i="6"/>
  <c r="BM1010" i="6"/>
  <c r="BN1010" i="6"/>
  <c r="BO1010" i="6"/>
  <c r="BP1010" i="6"/>
  <c r="DC1010" i="6" s="1"/>
  <c r="BU1010" i="6"/>
  <c r="DD1010" i="6" s="1"/>
  <c r="BZ1010" i="6"/>
  <c r="DE1010" i="6" s="1"/>
  <c r="CA1010" i="6"/>
  <c r="DF1010" i="6" s="1"/>
  <c r="CB1010" i="6"/>
  <c r="DG1010" i="6" s="1"/>
  <c r="CC1010" i="6"/>
  <c r="CD1010" i="6"/>
  <c r="CE1010" i="6"/>
  <c r="CF1010" i="6"/>
  <c r="CG1010" i="6"/>
  <c r="CP1010" i="6"/>
  <c r="CP1012" i="6"/>
  <c r="CP1013" i="6"/>
  <c r="E1014" i="6"/>
  <c r="J1014" i="6"/>
  <c r="K1014" i="6" s="1"/>
  <c r="L1014" i="6" s="1"/>
  <c r="O1014" i="6"/>
  <c r="P1014" i="6" s="1"/>
  <c r="Q1014" i="6" s="1"/>
  <c r="R1014" i="6" s="1"/>
  <c r="CS1014" i="6" s="1"/>
  <c r="T1014" i="6"/>
  <c r="U1014" i="6" s="1"/>
  <c r="V1014" i="6" s="1"/>
  <c r="Y1014" i="6"/>
  <c r="Z1014" i="6" s="1"/>
  <c r="AA1014" i="6" s="1"/>
  <c r="AD1014" i="6"/>
  <c r="AE1014" i="6" s="1"/>
  <c r="AF1014" i="6" s="1"/>
  <c r="AI1014" i="6"/>
  <c r="AK1014" i="6"/>
  <c r="AN1014" i="6"/>
  <c r="AP1014" i="6"/>
  <c r="AS1014" i="6"/>
  <c r="AU1014" i="6"/>
  <c r="AX1014" i="6"/>
  <c r="AZ1014" i="6"/>
  <c r="BC1014" i="6"/>
  <c r="BE1014" i="6"/>
  <c r="BH1014" i="6"/>
  <c r="BJ1014" i="6"/>
  <c r="CP1014" i="6"/>
  <c r="E1015" i="6"/>
  <c r="F1015" i="6" s="1"/>
  <c r="G1015" i="6" s="1"/>
  <c r="G140" i="6" s="1"/>
  <c r="J1015" i="6"/>
  <c r="J140" i="6" s="1"/>
  <c r="O1015" i="6"/>
  <c r="P1015" i="6" s="1"/>
  <c r="T1015" i="6"/>
  <c r="Y1015" i="6"/>
  <c r="Z1015" i="6" s="1"/>
  <c r="AD1015" i="6"/>
  <c r="AD140" i="6" s="1"/>
  <c r="AI1015" i="6"/>
  <c r="AJ1015" i="6" s="1"/>
  <c r="AU1015" i="6"/>
  <c r="AU140" i="6" s="1"/>
  <c r="AV140" i="6" s="1"/>
  <c r="CY140" i="6" s="1"/>
  <c r="AY1015" i="6"/>
  <c r="AY140" i="6" s="1"/>
  <c r="BD1015" i="6"/>
  <c r="BD140" i="6" s="1"/>
  <c r="BJ1015" i="6"/>
  <c r="BJ140" i="6" s="1"/>
  <c r="BK140" i="6" s="1"/>
  <c r="DB140" i="6" s="1"/>
  <c r="BP1015" i="6"/>
  <c r="DC1015" i="6" s="1"/>
  <c r="CP1015" i="6"/>
  <c r="J1016" i="6"/>
  <c r="K1016" i="6" s="1"/>
  <c r="K141" i="6" s="1"/>
  <c r="O1016" i="6"/>
  <c r="O968" i="6" s="1"/>
  <c r="T1016" i="6"/>
  <c r="U1016" i="6" s="1"/>
  <c r="U968" i="6" s="1"/>
  <c r="Y1016" i="6"/>
  <c r="Y968" i="6" s="1"/>
  <c r="AD1016" i="6"/>
  <c r="AD968" i="6" s="1"/>
  <c r="AI1016" i="6"/>
  <c r="AJ1016" i="6" s="1"/>
  <c r="AK1016" i="6" s="1"/>
  <c r="AK141" i="6" s="1"/>
  <c r="AU1016" i="6"/>
  <c r="AU141" i="6" s="1"/>
  <c r="AY1016" i="6"/>
  <c r="AY141" i="6" s="1"/>
  <c r="BD1016" i="6"/>
  <c r="BE1016" i="6" s="1"/>
  <c r="BF1016" i="6" s="1"/>
  <c r="BF968" i="6" s="1"/>
  <c r="DA968" i="6" s="1"/>
  <c r="BJ1016" i="6"/>
  <c r="BK1016" i="6" s="1"/>
  <c r="BK968" i="6" s="1"/>
  <c r="DB968" i="6" s="1"/>
  <c r="BP1016" i="6"/>
  <c r="DE141" i="6"/>
  <c r="CP1016" i="6"/>
  <c r="CQ1016" i="6"/>
  <c r="CX1016" i="6"/>
  <c r="O1017" i="6"/>
  <c r="P1017" i="6" s="1"/>
  <c r="Q1017" i="6" s="1"/>
  <c r="V1017" i="6"/>
  <c r="W1017" i="6" s="1"/>
  <c r="CT1017" i="6" s="1"/>
  <c r="Y1017" i="6"/>
  <c r="Z1017" i="6" s="1"/>
  <c r="AA1017" i="6" s="1"/>
  <c r="AD1017" i="6"/>
  <c r="AE1017" i="6" s="1"/>
  <c r="AF1017" i="6" s="1"/>
  <c r="AL1017" i="6"/>
  <c r="CW1017" i="6" s="1"/>
  <c r="AN1017" i="6"/>
  <c r="AO1017" i="6" s="1"/>
  <c r="AP1017" i="6" s="1"/>
  <c r="AU1017" i="6"/>
  <c r="AV1017" i="6" s="1"/>
  <c r="CY1017" i="6" s="1"/>
  <c r="AY1017" i="6"/>
  <c r="AZ1017" i="6" s="1"/>
  <c r="BD1017" i="6"/>
  <c r="BJ1017" i="6"/>
  <c r="BK1017" i="6" s="1"/>
  <c r="DB1017" i="6" s="1"/>
  <c r="BP1017" i="6"/>
  <c r="DC1017" i="6" s="1"/>
  <c r="CP1017" i="6"/>
  <c r="CQ1017" i="6"/>
  <c r="CR1017" i="6"/>
  <c r="CP1018" i="6"/>
  <c r="CQ1018" i="6"/>
  <c r="CR1018" i="6"/>
  <c r="CS1018" i="6"/>
  <c r="CT1018" i="6"/>
  <c r="CU1018" i="6"/>
  <c r="CV1018" i="6"/>
  <c r="CW1018" i="6"/>
  <c r="CX1018" i="6"/>
  <c r="CY1018" i="6"/>
  <c r="CZ1018" i="6"/>
  <c r="DA1018" i="6"/>
  <c r="DB1018" i="6"/>
  <c r="DC1018" i="6"/>
  <c r="DD1018" i="6"/>
  <c r="DE1018" i="6"/>
  <c r="DF1018" i="6"/>
  <c r="DG1018" i="6"/>
  <c r="E1019" i="6"/>
  <c r="F1019" i="6" s="1"/>
  <c r="J1019" i="6"/>
  <c r="K1019" i="6" s="1"/>
  <c r="L1019" i="6" s="1"/>
  <c r="O1019" i="6"/>
  <c r="P1019" i="6" s="1"/>
  <c r="T1019" i="6"/>
  <c r="U1019" i="6" s="1"/>
  <c r="V1019" i="6" s="1"/>
  <c r="W1019" i="6" s="1"/>
  <c r="CT1019" i="6" s="1"/>
  <c r="Y1019" i="6"/>
  <c r="Z1019" i="6" s="1"/>
  <c r="AA1019" i="6" s="1"/>
  <c r="AB1019" i="6" s="1"/>
  <c r="CU1019" i="6" s="1"/>
  <c r="AD1019" i="6"/>
  <c r="AE1019" i="6" s="1"/>
  <c r="AF1019" i="6" s="1"/>
  <c r="AI1019" i="6"/>
  <c r="AJ1019" i="6" s="1"/>
  <c r="AK1019" i="6" s="1"/>
  <c r="AL1019" i="6" s="1"/>
  <c r="CW1019" i="6" s="1"/>
  <c r="AN1019" i="6"/>
  <c r="AO1019" i="6" s="1"/>
  <c r="AP1019" i="6" s="1"/>
  <c r="AQ1019" i="6" s="1"/>
  <c r="CX1019" i="6" s="1"/>
  <c r="AS1019" i="6"/>
  <c r="AT1019" i="6" s="1"/>
  <c r="AX1019" i="6"/>
  <c r="BC1019" i="6"/>
  <c r="BD1019" i="6" s="1"/>
  <c r="BE1019" i="6" s="1"/>
  <c r="BH1019" i="6"/>
  <c r="BI1019" i="6" s="1"/>
  <c r="BJ1019" i="6" s="1"/>
  <c r="CP1019" i="6"/>
  <c r="DD1019" i="6"/>
  <c r="E1020" i="6"/>
  <c r="F1020" i="6" s="1"/>
  <c r="J1020" i="6"/>
  <c r="O1020" i="6"/>
  <c r="P1020" i="6" s="1"/>
  <c r="Q1020" i="6" s="1"/>
  <c r="R1020" i="6" s="1"/>
  <c r="CS1020" i="6" s="1"/>
  <c r="T1020" i="6"/>
  <c r="U1020" i="6" s="1"/>
  <c r="V1020" i="6" s="1"/>
  <c r="W1020" i="6" s="1"/>
  <c r="CT1020" i="6" s="1"/>
  <c r="Y1020" i="6"/>
  <c r="Z1020" i="6" s="1"/>
  <c r="AA1020" i="6" s="1"/>
  <c r="AB1020" i="6" s="1"/>
  <c r="CU1020" i="6" s="1"/>
  <c r="AD1020" i="6"/>
  <c r="AE1020" i="6" s="1"/>
  <c r="AI1020" i="6"/>
  <c r="AJ1020" i="6" s="1"/>
  <c r="AK1020" i="6" s="1"/>
  <c r="AL1020" i="6" s="1"/>
  <c r="CW1020" i="6" s="1"/>
  <c r="AN1020" i="6"/>
  <c r="AO1020" i="6" s="1"/>
  <c r="AP1020" i="6" s="1"/>
  <c r="AS1020" i="6"/>
  <c r="AT1020" i="6" s="1"/>
  <c r="AX1020" i="6"/>
  <c r="AY1020" i="6" s="1"/>
  <c r="BC1020" i="6"/>
  <c r="BD1020" i="6" s="1"/>
  <c r="BE1020" i="6" s="1"/>
  <c r="BH1020" i="6"/>
  <c r="BI1020" i="6" s="1"/>
  <c r="CP1020" i="6"/>
  <c r="E1021" i="6"/>
  <c r="F1021" i="6" s="1"/>
  <c r="G1021" i="6" s="1"/>
  <c r="H1021" i="6" s="1"/>
  <c r="CQ1021" i="6" s="1"/>
  <c r="I1021" i="6"/>
  <c r="J1021" i="6" s="1"/>
  <c r="N1021" i="6"/>
  <c r="O1021" i="6" s="1"/>
  <c r="P1021" i="6" s="1"/>
  <c r="T1021" i="6"/>
  <c r="U1021" i="6" s="1"/>
  <c r="V1021" i="6" s="1"/>
  <c r="W1021" i="6" s="1"/>
  <c r="CT1021" i="6" s="1"/>
  <c r="Y1021" i="6"/>
  <c r="Z1021" i="6" s="1"/>
  <c r="AA1021" i="6" s="1"/>
  <c r="AD1021" i="6"/>
  <c r="AE1021" i="6" s="1"/>
  <c r="AF1021" i="6" s="1"/>
  <c r="AH1021" i="6"/>
  <c r="AH145" i="6" s="1"/>
  <c r="AM1021" i="6"/>
  <c r="AS1021" i="6"/>
  <c r="AT1021" i="6" s="1"/>
  <c r="AX1021" i="6"/>
  <c r="AY1021" i="6" s="1"/>
  <c r="BC1021" i="6"/>
  <c r="BD1021" i="6" s="1"/>
  <c r="BE1021" i="6" s="1"/>
  <c r="BF1021" i="6" s="1"/>
  <c r="DA1021" i="6" s="1"/>
  <c r="BG1021" i="6"/>
  <c r="BL1021" i="6"/>
  <c r="BM1021" i="6" s="1"/>
  <c r="BN1021" i="6" s="1"/>
  <c r="CP1021" i="6"/>
  <c r="E1022" i="6"/>
  <c r="F1022" i="6" s="1"/>
  <c r="I1022" i="6"/>
  <c r="J1022" i="6" s="1"/>
  <c r="K1022" i="6" s="1"/>
  <c r="N1022" i="6"/>
  <c r="O1022" i="6" s="1"/>
  <c r="S1022" i="6"/>
  <c r="S145" i="6" s="1"/>
  <c r="X1022" i="6"/>
  <c r="X145" i="6" s="1"/>
  <c r="AC1022" i="6"/>
  <c r="AC145" i="6" s="1"/>
  <c r="AH1022" i="6"/>
  <c r="AI1022" i="6" s="1"/>
  <c r="AJ1022" i="6" s="1"/>
  <c r="AK1022" i="6" s="1"/>
  <c r="AM1022" i="6"/>
  <c r="AN1022" i="6" s="1"/>
  <c r="AR1022" i="6"/>
  <c r="AR145" i="6" s="1"/>
  <c r="AW1022" i="6"/>
  <c r="BB1022" i="6"/>
  <c r="BB145" i="6" s="1"/>
  <c r="BG1022" i="6"/>
  <c r="BH1022" i="6" s="1"/>
  <c r="BL1022" i="6"/>
  <c r="CP1022" i="6"/>
  <c r="DD1022" i="6"/>
  <c r="DE1022" i="6"/>
  <c r="DF1022" i="6"/>
  <c r="DG1022" i="6"/>
  <c r="E1023" i="6"/>
  <c r="F1023" i="6" s="1"/>
  <c r="J1023" i="6"/>
  <c r="J146" i="6" s="1"/>
  <c r="O1023" i="6"/>
  <c r="P1023" i="6" s="1"/>
  <c r="T1023" i="6"/>
  <c r="T146" i="6" s="1"/>
  <c r="Y1023" i="6"/>
  <c r="Z1023" i="6" s="1"/>
  <c r="AD1023" i="6"/>
  <c r="AD146" i="6" s="1"/>
  <c r="AI1023" i="6"/>
  <c r="AJ1023" i="6" s="1"/>
  <c r="AN1023" i="6"/>
  <c r="AN146" i="6" s="1"/>
  <c r="AS1023" i="6"/>
  <c r="AT1023" i="6" s="1"/>
  <c r="AX1023" i="6"/>
  <c r="AX146" i="6" s="1"/>
  <c r="BC1023" i="6"/>
  <c r="BD1023" i="6" s="1"/>
  <c r="BH1023" i="6"/>
  <c r="BH146" i="6" s="1"/>
  <c r="BP1023" i="6"/>
  <c r="DC1023" i="6" s="1"/>
  <c r="CP1023" i="6"/>
  <c r="DE1023" i="6"/>
  <c r="DF1023" i="6"/>
  <c r="DG1023" i="6"/>
  <c r="H1024" i="6"/>
  <c r="CQ1024" i="6" s="1"/>
  <c r="L1024" i="6"/>
  <c r="M1024" i="6" s="1"/>
  <c r="CR1024" i="6" s="1"/>
  <c r="O1024" i="6"/>
  <c r="P1024" i="6" s="1"/>
  <c r="S1024" i="6"/>
  <c r="S137" i="6" s="1"/>
  <c r="Y1024" i="6"/>
  <c r="AD1024" i="6"/>
  <c r="AD137" i="6" s="1"/>
  <c r="AI1024" i="6"/>
  <c r="AI137" i="6" s="1"/>
  <c r="AN1024" i="6"/>
  <c r="AN137" i="6" s="1"/>
  <c r="AR1024" i="6"/>
  <c r="AR137" i="6" s="1"/>
  <c r="AW1024" i="6"/>
  <c r="AW137" i="6" s="1"/>
  <c r="BC1024" i="6"/>
  <c r="BC137" i="6" s="1"/>
  <c r="BG1024" i="6"/>
  <c r="BG137" i="6" s="1"/>
  <c r="BP1024" i="6"/>
  <c r="CP1024" i="6"/>
  <c r="H1025" i="6"/>
  <c r="CQ1025" i="6" s="1"/>
  <c r="M1025" i="6"/>
  <c r="CR1025" i="6" s="1"/>
  <c r="O1025" i="6"/>
  <c r="O138" i="6" s="1"/>
  <c r="T1025" i="6"/>
  <c r="T138" i="6" s="1"/>
  <c r="Y1025" i="6"/>
  <c r="Y138" i="6" s="1"/>
  <c r="AD1025" i="6"/>
  <c r="AE1025" i="6" s="1"/>
  <c r="AH1025" i="6"/>
  <c r="AH138" i="6" s="1"/>
  <c r="AI1025" i="6"/>
  <c r="AI138" i="6" s="1"/>
  <c r="AJ1025" i="6"/>
  <c r="AJ138" i="6" s="1"/>
  <c r="AK1025" i="6"/>
  <c r="AK138" i="6" s="1"/>
  <c r="AN1025" i="6"/>
  <c r="AN138" i="6" s="1"/>
  <c r="AS1025" i="6"/>
  <c r="AS138" i="6" s="1"/>
  <c r="AX1025" i="6"/>
  <c r="AX138" i="6" s="1"/>
  <c r="BC1025" i="6"/>
  <c r="BC138" i="6" s="1"/>
  <c r="BH1025" i="6"/>
  <c r="BH138" i="6" s="1"/>
  <c r="BM138" i="6"/>
  <c r="CP1025" i="6"/>
  <c r="E1026" i="6"/>
  <c r="F1026" i="6" s="1"/>
  <c r="G1026" i="6" s="1"/>
  <c r="J1026" i="6"/>
  <c r="J139" i="6" s="1"/>
  <c r="O1026" i="6"/>
  <c r="O139" i="6" s="1"/>
  <c r="S1026" i="6"/>
  <c r="S139" i="6" s="1"/>
  <c r="AB1026" i="6"/>
  <c r="CU1026" i="6" s="1"/>
  <c r="AG1026" i="6"/>
  <c r="CV1026" i="6" s="1"/>
  <c r="AL1026" i="6"/>
  <c r="CW1026" i="6" s="1"/>
  <c r="CP1026" i="6"/>
  <c r="CX1026" i="6"/>
  <c r="CY1026" i="6"/>
  <c r="CZ1026" i="6"/>
  <c r="DA1026" i="6"/>
  <c r="DB1026" i="6"/>
  <c r="DC1026" i="6"/>
  <c r="DD1026" i="6"/>
  <c r="DE1026" i="6"/>
  <c r="DF1026" i="6"/>
  <c r="DG1026" i="6"/>
  <c r="D1027" i="6"/>
  <c r="E1027" i="6" s="1"/>
  <c r="I1027" i="6"/>
  <c r="J1027" i="6" s="1"/>
  <c r="K1027" i="6" s="1"/>
  <c r="L1027" i="6" s="1"/>
  <c r="M1027" i="6" s="1"/>
  <c r="CR1027" i="6" s="1"/>
  <c r="N1027" i="6"/>
  <c r="O1027" i="6" s="1"/>
  <c r="S1027" i="6"/>
  <c r="T1027" i="6" s="1"/>
  <c r="U1027" i="6" s="1"/>
  <c r="V1027" i="6" s="1"/>
  <c r="W1027" i="6" s="1"/>
  <c r="CT1027" i="6" s="1"/>
  <c r="X1027" i="6"/>
  <c r="Y1027" i="6" s="1"/>
  <c r="Z1027" i="6" s="1"/>
  <c r="AC1027" i="6"/>
  <c r="AD1027" i="6" s="1"/>
  <c r="AH1027" i="6"/>
  <c r="AM1027" i="6"/>
  <c r="CP1027" i="6"/>
  <c r="CP1028" i="6"/>
  <c r="CY1029" i="6"/>
  <c r="CP1030" i="6"/>
  <c r="E1031" i="6"/>
  <c r="F1031" i="6" s="1"/>
  <c r="F150" i="6" s="1"/>
  <c r="J1031" i="6"/>
  <c r="K1031" i="6" s="1"/>
  <c r="L1031" i="6" s="1"/>
  <c r="M1031" i="6" s="1"/>
  <c r="CR1031" i="6" s="1"/>
  <c r="Q1031" i="6"/>
  <c r="Q150" i="6" s="1"/>
  <c r="T1031" i="6"/>
  <c r="T150" i="6" s="1"/>
  <c r="AA1031" i="6"/>
  <c r="AA150" i="6" s="1"/>
  <c r="AD1031" i="6"/>
  <c r="AL1031" i="6"/>
  <c r="CW1031" i="6" s="1"/>
  <c r="AP1031" i="6"/>
  <c r="AQ1031" i="6" s="1"/>
  <c r="CX1031" i="6" s="1"/>
  <c r="AU1031" i="6"/>
  <c r="AU150" i="6" s="1"/>
  <c r="AY1031" i="6"/>
  <c r="AY150" i="6" s="1"/>
  <c r="BD1031" i="6"/>
  <c r="BD150" i="6" s="1"/>
  <c r="BJ1031" i="6"/>
  <c r="BJ150" i="6" s="1"/>
  <c r="BP1031" i="6"/>
  <c r="DC1031" i="6" s="1"/>
  <c r="CP1031" i="6"/>
  <c r="DE1031" i="6"/>
  <c r="DF1031" i="6"/>
  <c r="DG1031" i="6"/>
  <c r="E1032" i="6"/>
  <c r="E1207" i="6" s="1"/>
  <c r="J1032" i="6"/>
  <c r="J1207" i="6" s="1"/>
  <c r="O1032" i="6"/>
  <c r="O1207" i="6" s="1"/>
  <c r="T1032" i="6"/>
  <c r="Y1032" i="6"/>
  <c r="Y1207" i="6" s="1"/>
  <c r="AD1032" i="6"/>
  <c r="AD1207" i="6" s="1"/>
  <c r="AI1032" i="6"/>
  <c r="AI1207" i="6" s="1"/>
  <c r="AM1032" i="6"/>
  <c r="AN1032" i="6" s="1"/>
  <c r="AN1035" i="6" s="1"/>
  <c r="AS1032" i="6"/>
  <c r="AT1032" i="6" s="1"/>
  <c r="AX1032" i="6"/>
  <c r="AY1032" i="6" s="1"/>
  <c r="BC1032" i="6"/>
  <c r="BD1032" i="6" s="1"/>
  <c r="BE1032" i="6" s="1"/>
  <c r="BF1032" i="6" s="1"/>
  <c r="DA1032" i="6" s="1"/>
  <c r="BH1032" i="6"/>
  <c r="CP1032" i="6"/>
  <c r="E1033" i="6"/>
  <c r="E148" i="6" s="1"/>
  <c r="J1033" i="6"/>
  <c r="J148" i="6" s="1"/>
  <c r="Q1033" i="6"/>
  <c r="T1033" i="6"/>
  <c r="Y1033" i="6"/>
  <c r="Y148" i="6" s="1"/>
  <c r="AD1033" i="6"/>
  <c r="AD148" i="6" s="1"/>
  <c r="AI1033" i="6"/>
  <c r="AJ1033" i="6" s="1"/>
  <c r="AK1033" i="6" s="1"/>
  <c r="AK148" i="6" s="1"/>
  <c r="AQ1033" i="6"/>
  <c r="CX1033" i="6" s="1"/>
  <c r="AV1033" i="6"/>
  <c r="CY1033" i="6" s="1"/>
  <c r="AY1033" i="6"/>
  <c r="AY148" i="6" s="1"/>
  <c r="BD1033" i="6"/>
  <c r="BD148" i="6" s="1"/>
  <c r="BJ1033" i="6"/>
  <c r="BP1033" i="6"/>
  <c r="DC1033" i="6" s="1"/>
  <c r="CP1033" i="6"/>
  <c r="DE1033" i="6"/>
  <c r="DF1033" i="6"/>
  <c r="DG1033" i="6"/>
  <c r="E1034" i="6"/>
  <c r="F1034" i="6" s="1"/>
  <c r="G1034" i="6" s="1"/>
  <c r="I1034" i="6"/>
  <c r="J1034" i="6" s="1"/>
  <c r="K1034" i="6" s="1"/>
  <c r="L1034" i="6" s="1"/>
  <c r="O1034" i="6"/>
  <c r="T1034" i="6"/>
  <c r="U1034" i="6" s="1"/>
  <c r="Y1034" i="6"/>
  <c r="Z1034" i="6" s="1"/>
  <c r="AA1034" i="6" s="1"/>
  <c r="AB1034" i="6" s="1"/>
  <c r="CU1034" i="6" s="1"/>
  <c r="AD1034" i="6"/>
  <c r="AE1034" i="6" s="1"/>
  <c r="AF1034" i="6" s="1"/>
  <c r="AI1034" i="6"/>
  <c r="AM1034" i="6"/>
  <c r="AN1034" i="6" s="1"/>
  <c r="AS1034" i="6"/>
  <c r="AT1034" i="6" s="1"/>
  <c r="AT1035" i="6" s="1"/>
  <c r="AW1034" i="6"/>
  <c r="AX1034" i="6" s="1"/>
  <c r="BC1034" i="6"/>
  <c r="BH1034" i="6"/>
  <c r="BI1034" i="6" s="1"/>
  <c r="BP1034" i="6"/>
  <c r="DC1034" i="6" s="1"/>
  <c r="CP1034" i="6"/>
  <c r="DE1034" i="6"/>
  <c r="DF1034" i="6"/>
  <c r="DG1034" i="6"/>
  <c r="D1035" i="6"/>
  <c r="N1035" i="6"/>
  <c r="S1035" i="6"/>
  <c r="X1035" i="6"/>
  <c r="AC1035" i="6"/>
  <c r="AH1035" i="6"/>
  <c r="AR1035" i="6"/>
  <c r="BB1035" i="6"/>
  <c r="BG1035" i="6"/>
  <c r="BL1035" i="6"/>
  <c r="BM1035" i="6"/>
  <c r="CP1035" i="6"/>
  <c r="CY1036" i="6"/>
  <c r="DA1036" i="6"/>
  <c r="CP1037" i="6"/>
  <c r="D1038" i="6"/>
  <c r="E1038" i="6" s="1"/>
  <c r="I1038" i="6"/>
  <c r="J1038" i="6" s="1"/>
  <c r="N1038" i="6"/>
  <c r="O1038" i="6" s="1"/>
  <c r="P1038" i="6" s="1"/>
  <c r="S1038" i="6"/>
  <c r="T1038" i="6" s="1"/>
  <c r="X1038" i="6"/>
  <c r="Y1038" i="6" s="1"/>
  <c r="Z1038" i="6" s="1"/>
  <c r="AA1038" i="6" s="1"/>
  <c r="AC1038" i="6"/>
  <c r="AD1038" i="6" s="1"/>
  <c r="AH1038" i="6"/>
  <c r="AI1038" i="6" s="1"/>
  <c r="AM1038" i="6"/>
  <c r="AN1038" i="6" s="1"/>
  <c r="AO1038" i="6" s="1"/>
  <c r="AR1038" i="6"/>
  <c r="AS1038" i="6" s="1"/>
  <c r="AT1038" i="6" s="1"/>
  <c r="AW1038" i="6"/>
  <c r="AX1038" i="6" s="1"/>
  <c r="AY1038" i="6" s="1"/>
  <c r="BB1038" i="6"/>
  <c r="BC1038" i="6" s="1"/>
  <c r="BG1038" i="6"/>
  <c r="BL1038" i="6"/>
  <c r="CP1038" i="6"/>
  <c r="E1039" i="6"/>
  <c r="F1039" i="6" s="1"/>
  <c r="J1039" i="6"/>
  <c r="K1039" i="6" s="1"/>
  <c r="O1039" i="6"/>
  <c r="P1039" i="6" s="1"/>
  <c r="Q1039" i="6" s="1"/>
  <c r="R1039" i="6" s="1"/>
  <c r="CS1039" i="6" s="1"/>
  <c r="T1039" i="6"/>
  <c r="U1039" i="6" s="1"/>
  <c r="V1039" i="6" s="1"/>
  <c r="W1039" i="6" s="1"/>
  <c r="CT1039" i="6" s="1"/>
  <c r="X1039" i="6"/>
  <c r="AD1039" i="6"/>
  <c r="AL1039" i="6"/>
  <c r="CW1039" i="6" s="1"/>
  <c r="AP1039" i="6"/>
  <c r="AQ1039" i="6" s="1"/>
  <c r="CX1039" i="6" s="1"/>
  <c r="AU1039" i="6"/>
  <c r="AV1039" i="6" s="1"/>
  <c r="CY1039" i="6" s="1"/>
  <c r="AY1039" i="6"/>
  <c r="AZ1039" i="6" s="1"/>
  <c r="BD1039" i="6"/>
  <c r="BE1039" i="6" s="1"/>
  <c r="BF1039" i="6" s="1"/>
  <c r="DA1039" i="6" s="1"/>
  <c r="BJ1039" i="6"/>
  <c r="BK1039" i="6" s="1"/>
  <c r="DB1039" i="6" s="1"/>
  <c r="BP1039" i="6"/>
  <c r="DC1039" i="6" s="1"/>
  <c r="CP1039" i="6"/>
  <c r="DE1039" i="6"/>
  <c r="DF1039" i="6"/>
  <c r="DG1039" i="6"/>
  <c r="E1040" i="6"/>
  <c r="E1333" i="6" s="1"/>
  <c r="J1040" i="6"/>
  <c r="J1333" i="6" s="1"/>
  <c r="O1040" i="6"/>
  <c r="O149" i="6" s="1"/>
  <c r="T1040" i="6"/>
  <c r="T149" i="6" s="1"/>
  <c r="Y1040" i="6"/>
  <c r="Y1333" i="6" s="1"/>
  <c r="AD1040" i="6"/>
  <c r="AE1040" i="6" s="1"/>
  <c r="AE149" i="6" s="1"/>
  <c r="AL1040" i="6"/>
  <c r="CW1040" i="6" s="1"/>
  <c r="AQ1040" i="6"/>
  <c r="AQ1333" i="6" s="1"/>
  <c r="CX1333" i="6" s="1"/>
  <c r="AU1040" i="6"/>
  <c r="AU149" i="6" s="1"/>
  <c r="BA1040" i="6"/>
  <c r="CZ1040" i="6" s="1"/>
  <c r="BE1040" i="6"/>
  <c r="BH1040" i="6"/>
  <c r="BI1040" i="6"/>
  <c r="BI149" i="6" s="1"/>
  <c r="BL1040" i="6"/>
  <c r="BL149" i="6" s="1"/>
  <c r="BM149" i="6"/>
  <c r="CP1040" i="6"/>
  <c r="G1041" i="6"/>
  <c r="H1041" i="6" s="1"/>
  <c r="CQ1041" i="6" s="1"/>
  <c r="J1041" i="6"/>
  <c r="O1041" i="6"/>
  <c r="P1041" i="6" s="1"/>
  <c r="Q1041" i="6" s="1"/>
  <c r="R1041" i="6" s="1"/>
  <c r="CS1041" i="6" s="1"/>
  <c r="T1041" i="6"/>
  <c r="U1041" i="6" s="1"/>
  <c r="V1041" i="6" s="1"/>
  <c r="Y1041" i="6"/>
  <c r="Z1041" i="6" s="1"/>
  <c r="AD1041" i="6"/>
  <c r="AE1041" i="6" s="1"/>
  <c r="AF1041" i="6" s="1"/>
  <c r="AI1041" i="6"/>
  <c r="AJ1041" i="6" s="1"/>
  <c r="AK1041" i="6" s="1"/>
  <c r="AL1041" i="6" s="1"/>
  <c r="CW1041" i="6" s="1"/>
  <c r="AM1041" i="6"/>
  <c r="AN1041" i="6" s="1"/>
  <c r="AO1041" i="6" s="1"/>
  <c r="AR1041" i="6"/>
  <c r="AS1041" i="6" s="1"/>
  <c r="AW1041" i="6"/>
  <c r="AX1041" i="6" s="1"/>
  <c r="BB1041" i="6"/>
  <c r="BC1041" i="6" s="1"/>
  <c r="BD1041" i="6" s="1"/>
  <c r="BG1041" i="6"/>
  <c r="CP1041" i="6"/>
  <c r="DE1041" i="6"/>
  <c r="DF1041" i="6"/>
  <c r="DG1041" i="6"/>
  <c r="S1042" i="6"/>
  <c r="CP1042" i="6"/>
  <c r="R1044" i="6"/>
  <c r="CS1044" i="6" s="1"/>
  <c r="CP1044" i="6"/>
  <c r="CQ1044" i="6"/>
  <c r="CR1044" i="6"/>
  <c r="CU1044" i="6"/>
  <c r="CV1044" i="6"/>
  <c r="CW1044" i="6"/>
  <c r="CX1044" i="6"/>
  <c r="CY1044" i="6"/>
  <c r="CZ1044" i="6"/>
  <c r="DA1044" i="6"/>
  <c r="DB1044" i="6"/>
  <c r="DD1044" i="6"/>
  <c r="DE1044" i="6"/>
  <c r="DF1044" i="6"/>
  <c r="DG1044" i="6"/>
  <c r="CP1046" i="6"/>
  <c r="H1047" i="6"/>
  <c r="CQ1047" i="6" s="1"/>
  <c r="CP1047" i="6"/>
  <c r="CP1048" i="6"/>
  <c r="D1051" i="6"/>
  <c r="E1051" i="6"/>
  <c r="F1051" i="6"/>
  <c r="G1051" i="6"/>
  <c r="H1051" i="6"/>
  <c r="CQ1051" i="6" s="1"/>
  <c r="I1051" i="6"/>
  <c r="J1051" i="6"/>
  <c r="K1051" i="6"/>
  <c r="L1051" i="6"/>
  <c r="M1051" i="6"/>
  <c r="CR1051" i="6" s="1"/>
  <c r="N1051" i="6"/>
  <c r="O1051" i="6"/>
  <c r="P1051" i="6"/>
  <c r="Q1051" i="6"/>
  <c r="R1051" i="6"/>
  <c r="CS1051" i="6" s="1"/>
  <c r="S1051" i="6"/>
  <c r="T1051" i="6"/>
  <c r="U1051" i="6"/>
  <c r="V1051" i="6"/>
  <c r="W1051" i="6"/>
  <c r="CT1051" i="6" s="1"/>
  <c r="X1051" i="6"/>
  <c r="Y1051" i="6"/>
  <c r="Z1051" i="6"/>
  <c r="AA1051" i="6"/>
  <c r="AB1051" i="6"/>
  <c r="CU1051" i="6" s="1"/>
  <c r="AC1051" i="6"/>
  <c r="AD1051" i="6"/>
  <c r="AE1051" i="6"/>
  <c r="AF1051" i="6"/>
  <c r="AG1051" i="6"/>
  <c r="CV1051" i="6" s="1"/>
  <c r="AH1051" i="6"/>
  <c r="AI1051" i="6"/>
  <c r="AJ1051" i="6"/>
  <c r="AK1051" i="6"/>
  <c r="AL1051" i="6"/>
  <c r="CW1051" i="6" s="1"/>
  <c r="AM1051" i="6"/>
  <c r="AN1051" i="6"/>
  <c r="AO1051" i="6"/>
  <c r="AP1051" i="6"/>
  <c r="AQ1051" i="6"/>
  <c r="CX1051" i="6" s="1"/>
  <c r="AR1051" i="6"/>
  <c r="AS1051" i="6"/>
  <c r="AT1051" i="6"/>
  <c r="AU1051" i="6"/>
  <c r="AV1051" i="6"/>
  <c r="CY1051" i="6" s="1"/>
  <c r="AW1051" i="6"/>
  <c r="AX1051" i="6"/>
  <c r="AY1051" i="6"/>
  <c r="AZ1051" i="6"/>
  <c r="BA1051" i="6"/>
  <c r="CZ1051" i="6" s="1"/>
  <c r="BB1051" i="6"/>
  <c r="BC1051" i="6"/>
  <c r="BD1051" i="6"/>
  <c r="BE1051" i="6"/>
  <c r="BF1051" i="6"/>
  <c r="DA1051" i="6" s="1"/>
  <c r="BG1051" i="6"/>
  <c r="BH1051" i="6"/>
  <c r="BI1051" i="6"/>
  <c r="BJ1051" i="6"/>
  <c r="BK1051" i="6"/>
  <c r="DB1051" i="6" s="1"/>
  <c r="BL1051" i="6"/>
  <c r="BM1051" i="6"/>
  <c r="BN1051" i="6"/>
  <c r="BO1051" i="6"/>
  <c r="BP1051" i="6"/>
  <c r="DC1051" i="6" s="1"/>
  <c r="BU1051" i="6"/>
  <c r="DD1051" i="6" s="1"/>
  <c r="BZ1051" i="6"/>
  <c r="DE1051" i="6" s="1"/>
  <c r="CA1051" i="6"/>
  <c r="DF1051" i="6" s="1"/>
  <c r="CB1051" i="6"/>
  <c r="DG1051" i="6" s="1"/>
  <c r="CC1051" i="6"/>
  <c r="CD1051" i="6"/>
  <c r="CE1051" i="6"/>
  <c r="CF1051" i="6"/>
  <c r="CG1051" i="6"/>
  <c r="CP1051" i="6"/>
  <c r="CP1052" i="6"/>
  <c r="CP1053" i="6"/>
  <c r="H1054" i="6"/>
  <c r="CQ1054" i="6" s="1"/>
  <c r="M1054" i="6"/>
  <c r="CR1054" i="6" s="1"/>
  <c r="R1054" i="6"/>
  <c r="CS1054" i="6" s="1"/>
  <c r="W1054" i="6"/>
  <c r="CT1054" i="6" s="1"/>
  <c r="AB1054" i="6"/>
  <c r="CU1054" i="6" s="1"/>
  <c r="AG1054" i="6"/>
  <c r="CV1054" i="6" s="1"/>
  <c r="AL1054" i="6"/>
  <c r="CW1054" i="6" s="1"/>
  <c r="AQ1054" i="6"/>
  <c r="CX1054" i="6" s="1"/>
  <c r="AT1054" i="6"/>
  <c r="AV1054" i="6"/>
  <c r="CY1054" i="6" s="1"/>
  <c r="BA1054" i="6"/>
  <c r="CZ1054" i="6" s="1"/>
  <c r="BF1054" i="6"/>
  <c r="DA1054" i="6" s="1"/>
  <c r="BK1054" i="6"/>
  <c r="DB1054" i="6" s="1"/>
  <c r="BP1054" i="6"/>
  <c r="BT1054" i="6" s="1"/>
  <c r="BU1054" i="6" s="1"/>
  <c r="CP1054" i="6"/>
  <c r="H1055" i="6"/>
  <c r="CQ1055" i="6" s="1"/>
  <c r="M1055" i="6"/>
  <c r="CR1055" i="6" s="1"/>
  <c r="R1055" i="6"/>
  <c r="CS1055" i="6" s="1"/>
  <c r="W1055" i="6"/>
  <c r="CT1055" i="6" s="1"/>
  <c r="AB1055" i="6"/>
  <c r="CU1055" i="6" s="1"/>
  <c r="AG1055" i="6"/>
  <c r="CV1055" i="6" s="1"/>
  <c r="AL1055" i="6"/>
  <c r="CW1055" i="6" s="1"/>
  <c r="AQ1055" i="6"/>
  <c r="CX1055" i="6" s="1"/>
  <c r="AV1055" i="6"/>
  <c r="CY1055" i="6" s="1"/>
  <c r="BA1055" i="6"/>
  <c r="CZ1055" i="6" s="1"/>
  <c r="BF1055" i="6"/>
  <c r="DA1055" i="6" s="1"/>
  <c r="BK1055" i="6"/>
  <c r="DB1055" i="6" s="1"/>
  <c r="BP1055" i="6"/>
  <c r="DC1055" i="6" s="1"/>
  <c r="CP1055" i="6"/>
  <c r="H1056" i="6"/>
  <c r="CQ1056" i="6" s="1"/>
  <c r="M1056" i="6"/>
  <c r="CR1056" i="6" s="1"/>
  <c r="R1056" i="6"/>
  <c r="CS1056" i="6" s="1"/>
  <c r="W1056" i="6"/>
  <c r="CT1056" i="6" s="1"/>
  <c r="AB1056" i="6"/>
  <c r="CU1056" i="6" s="1"/>
  <c r="AG1056" i="6"/>
  <c r="CV1056" i="6" s="1"/>
  <c r="AL1056" i="6"/>
  <c r="CW1056" i="6" s="1"/>
  <c r="AQ1056" i="6"/>
  <c r="CX1056" i="6" s="1"/>
  <c r="AV1056" i="6"/>
  <c r="CY1056" i="6" s="1"/>
  <c r="BA1056" i="6"/>
  <c r="CZ1056" i="6" s="1"/>
  <c r="BF1056" i="6"/>
  <c r="DA1056" i="6" s="1"/>
  <c r="BK1056" i="6"/>
  <c r="DB1056" i="6" s="1"/>
  <c r="BP1056" i="6"/>
  <c r="CP1056" i="6"/>
  <c r="H1057" i="6"/>
  <c r="CQ1057" i="6" s="1"/>
  <c r="L1057" i="6"/>
  <c r="M1057" i="6" s="1"/>
  <c r="CR1057" i="6" s="1"/>
  <c r="N1057" i="6"/>
  <c r="R1057" i="6"/>
  <c r="CS1057" i="6" s="1"/>
  <c r="W1057" i="6"/>
  <c r="CT1057" i="6" s="1"/>
  <c r="AB1057" i="6"/>
  <c r="CU1057" i="6" s="1"/>
  <c r="AG1057" i="6"/>
  <c r="CV1057" i="6" s="1"/>
  <c r="AL1057" i="6"/>
  <c r="CW1057" i="6" s="1"/>
  <c r="AQ1057" i="6"/>
  <c r="CX1057" i="6" s="1"/>
  <c r="AV1057" i="6"/>
  <c r="CY1057" i="6" s="1"/>
  <c r="BA1057" i="6"/>
  <c r="CZ1057" i="6" s="1"/>
  <c r="BF1057" i="6"/>
  <c r="DA1057" i="6" s="1"/>
  <c r="BK1057" i="6"/>
  <c r="DB1057" i="6" s="1"/>
  <c r="BP1057" i="6"/>
  <c r="CP1057" i="6"/>
  <c r="H1058" i="6"/>
  <c r="CQ1058" i="6" s="1"/>
  <c r="K1058" i="6"/>
  <c r="M1058" i="6"/>
  <c r="CR1058" i="6" s="1"/>
  <c r="P1058" i="6"/>
  <c r="R1058" i="6"/>
  <c r="CS1058" i="6" s="1"/>
  <c r="W1058" i="6"/>
  <c r="CT1058" i="6" s="1"/>
  <c r="AB1058" i="6"/>
  <c r="CU1058" i="6" s="1"/>
  <c r="AG1058" i="6"/>
  <c r="CV1058" i="6" s="1"/>
  <c r="AI1058" i="6"/>
  <c r="AJ1058" i="6" s="1"/>
  <c r="AL1058" i="6"/>
  <c r="CW1058" i="6" s="1"/>
  <c r="AQ1058" i="6"/>
  <c r="CX1058" i="6" s="1"/>
  <c r="AV1058" i="6"/>
  <c r="CY1058" i="6" s="1"/>
  <c r="AX1058" i="6"/>
  <c r="BA1058" i="6"/>
  <c r="CZ1058" i="6" s="1"/>
  <c r="BF1058" i="6"/>
  <c r="DA1058" i="6" s="1"/>
  <c r="BK1058" i="6"/>
  <c r="BL1058" i="6" s="1"/>
  <c r="CP1058" i="6"/>
  <c r="F1059" i="6"/>
  <c r="G1059" i="6"/>
  <c r="H1059" i="6" s="1"/>
  <c r="CQ1059" i="6" s="1"/>
  <c r="J1059" i="6"/>
  <c r="K1059" i="6"/>
  <c r="L1059" i="6"/>
  <c r="M1059" i="6" s="1"/>
  <c r="CR1059" i="6" s="1"/>
  <c r="O1059" i="6"/>
  <c r="P1059" i="6"/>
  <c r="Q1059" i="6"/>
  <c r="R1059" i="6" s="1"/>
  <c r="CS1059" i="6" s="1"/>
  <c r="T1059" i="6"/>
  <c r="U1059" i="6"/>
  <c r="V1059" i="6"/>
  <c r="W1059" i="6" s="1"/>
  <c r="CT1059" i="6" s="1"/>
  <c r="X1059" i="6"/>
  <c r="Y1059" i="6"/>
  <c r="Z1059" i="6"/>
  <c r="AA1059" i="6"/>
  <c r="AB1059" i="6" s="1"/>
  <c r="CU1059" i="6" s="1"/>
  <c r="AC1059" i="6"/>
  <c r="AD1059" i="6"/>
  <c r="AE1059" i="6"/>
  <c r="AF1059" i="6"/>
  <c r="AG1059" i="6" s="1"/>
  <c r="CV1059" i="6" s="1"/>
  <c r="AI1059" i="6"/>
  <c r="AJ1059" i="6"/>
  <c r="AK1059" i="6"/>
  <c r="AL1059" i="6" s="1"/>
  <c r="CW1059" i="6" s="1"/>
  <c r="AM1059" i="6"/>
  <c r="AP1059" i="6"/>
  <c r="AQ1059" i="6" s="1"/>
  <c r="CX1059" i="6" s="1"/>
  <c r="AR1059" i="6"/>
  <c r="AS1059" i="6"/>
  <c r="AT1059" i="6"/>
  <c r="AU1059" i="6"/>
  <c r="AV1059" i="6" s="1"/>
  <c r="CY1059" i="6" s="1"/>
  <c r="AW1059" i="6"/>
  <c r="AX1059" i="6"/>
  <c r="AY1059" i="6"/>
  <c r="AZ1059" i="6"/>
  <c r="BA1059" i="6" s="1"/>
  <c r="CZ1059" i="6" s="1"/>
  <c r="BB1059" i="6"/>
  <c r="BC1059" i="6"/>
  <c r="BD1059" i="6"/>
  <c r="BE1059" i="6"/>
  <c r="BF1059" i="6" s="1"/>
  <c r="DA1059" i="6" s="1"/>
  <c r="BG1059" i="6"/>
  <c r="BK1059" i="6"/>
  <c r="DB1059" i="6" s="1"/>
  <c r="BP1059" i="6"/>
  <c r="BT1059" i="6" s="1"/>
  <c r="BU1059" i="6" s="1"/>
  <c r="BV1059" i="6" s="1"/>
  <c r="BW1059" i="6" s="1"/>
  <c r="BX1059" i="6" s="1"/>
  <c r="BY1059" i="6" s="1"/>
  <c r="CP1059" i="6"/>
  <c r="CQ1060" i="6"/>
  <c r="CR1060" i="6"/>
  <c r="CS1060" i="6"/>
  <c r="CT1060" i="6"/>
  <c r="CU1060" i="6"/>
  <c r="CV1060" i="6"/>
  <c r="CW1060" i="6"/>
  <c r="CX1060" i="6"/>
  <c r="CY1060" i="6"/>
  <c r="CZ1060" i="6"/>
  <c r="DA1060" i="6"/>
  <c r="DB1060" i="6"/>
  <c r="DC1060" i="6"/>
  <c r="DD1060" i="6"/>
  <c r="DE1060" i="6"/>
  <c r="DF1060" i="6"/>
  <c r="DG1060" i="6"/>
  <c r="CP1061" i="6"/>
  <c r="D1063" i="6"/>
  <c r="D1064" i="6" s="1"/>
  <c r="H1063" i="6"/>
  <c r="I1063" i="6" s="1"/>
  <c r="AG1063" i="6"/>
  <c r="CV1063" i="6" s="1"/>
  <c r="AL1063" i="6"/>
  <c r="CW1063" i="6" s="1"/>
  <c r="AQ1063" i="6"/>
  <c r="CX1063" i="6" s="1"/>
  <c r="AV1063" i="6"/>
  <c r="CY1063" i="6" s="1"/>
  <c r="BA1063" i="6"/>
  <c r="CZ1063" i="6" s="1"/>
  <c r="BF1063" i="6"/>
  <c r="DA1063" i="6" s="1"/>
  <c r="BK1063" i="6"/>
  <c r="DB1063" i="6" s="1"/>
  <c r="CP1063" i="6"/>
  <c r="H1064" i="6"/>
  <c r="CQ1064" i="6" s="1"/>
  <c r="AG1064" i="6"/>
  <c r="CV1064" i="6" s="1"/>
  <c r="AH1064" i="6"/>
  <c r="AH1066" i="6" s="1"/>
  <c r="AL1064" i="6"/>
  <c r="CW1064" i="6" s="1"/>
  <c r="AQ1064" i="6"/>
  <c r="CX1064" i="6" s="1"/>
  <c r="AV1064" i="6"/>
  <c r="CY1064" i="6" s="1"/>
  <c r="BA1064" i="6"/>
  <c r="CZ1064" i="6" s="1"/>
  <c r="BF1064" i="6"/>
  <c r="DA1064" i="6" s="1"/>
  <c r="BK1064" i="6"/>
  <c r="DB1064" i="6" s="1"/>
  <c r="CP1064" i="6"/>
  <c r="CQ1065" i="6"/>
  <c r="CR1065" i="6"/>
  <c r="CS1065" i="6"/>
  <c r="CT1065" i="6"/>
  <c r="CU1065" i="6"/>
  <c r="CV1065" i="6"/>
  <c r="CW1065" i="6"/>
  <c r="CX1065" i="6"/>
  <c r="CY1065" i="6"/>
  <c r="CZ1065" i="6"/>
  <c r="DA1065" i="6"/>
  <c r="DB1065" i="6"/>
  <c r="DC1065" i="6"/>
  <c r="DD1065" i="6"/>
  <c r="DE1065" i="6"/>
  <c r="DF1065" i="6"/>
  <c r="DG1065" i="6"/>
  <c r="G1066" i="6"/>
  <c r="H1066" i="6" s="1"/>
  <c r="CQ1066" i="6" s="1"/>
  <c r="AF1066" i="6"/>
  <c r="AG1066" i="6" s="1"/>
  <c r="CV1066" i="6" s="1"/>
  <c r="AI1066" i="6"/>
  <c r="AJ1066" i="6"/>
  <c r="AK1066" i="6"/>
  <c r="AL1066" i="6" s="1"/>
  <c r="CW1066" i="6" s="1"/>
  <c r="AM1066" i="6"/>
  <c r="AN1066" i="6"/>
  <c r="AO1066" i="6"/>
  <c r="AP1066" i="6"/>
  <c r="AQ1066" i="6" s="1"/>
  <c r="CX1066" i="6" s="1"/>
  <c r="AR1066" i="6"/>
  <c r="AS1066" i="6"/>
  <c r="AT1066" i="6"/>
  <c r="AU1066" i="6"/>
  <c r="AV1066" i="6" s="1"/>
  <c r="CY1066" i="6" s="1"/>
  <c r="AW1066" i="6"/>
  <c r="AX1066" i="6"/>
  <c r="AY1066" i="6"/>
  <c r="AZ1066" i="6"/>
  <c r="BA1066" i="6" s="1"/>
  <c r="CZ1066" i="6" s="1"/>
  <c r="BB1066" i="6"/>
  <c r="BC1066" i="6"/>
  <c r="BD1066" i="6"/>
  <c r="BE1066" i="6"/>
  <c r="BF1066" i="6" s="1"/>
  <c r="DA1066" i="6" s="1"/>
  <c r="BG1066" i="6"/>
  <c r="BH1066" i="6"/>
  <c r="BI1066" i="6"/>
  <c r="BJ1066" i="6"/>
  <c r="BK1066" i="6" s="1"/>
  <c r="DB1066" i="6" s="1"/>
  <c r="BL1066" i="6"/>
  <c r="CP1066" i="6"/>
  <c r="H1068" i="6"/>
  <c r="CQ1068" i="6" s="1"/>
  <c r="M1068" i="6"/>
  <c r="R1068" i="6"/>
  <c r="CS1068" i="6" s="1"/>
  <c r="W1068" i="6"/>
  <c r="CT1068" i="6" s="1"/>
  <c r="AB1068" i="6"/>
  <c r="CU1068" i="6" s="1"/>
  <c r="AG1068" i="6"/>
  <c r="CV1068" i="6" s="1"/>
  <c r="AL1068" i="6"/>
  <c r="CW1068" i="6" s="1"/>
  <c r="AV1068" i="6"/>
  <c r="CY1068" i="6" s="1"/>
  <c r="AX1068" i="6"/>
  <c r="BA1068" i="6"/>
  <c r="CZ1068" i="6" s="1"/>
  <c r="BF1068" i="6"/>
  <c r="DA1068" i="6" s="1"/>
  <c r="BK1068" i="6"/>
  <c r="DB1068" i="6" s="1"/>
  <c r="BP1068" i="6"/>
  <c r="CP1068" i="6"/>
  <c r="H1069" i="6"/>
  <c r="CQ1069" i="6" s="1"/>
  <c r="M1069" i="6"/>
  <c r="CR1069" i="6" s="1"/>
  <c r="R1069" i="6"/>
  <c r="CS1069" i="6" s="1"/>
  <c r="W1069" i="6"/>
  <c r="CT1069" i="6" s="1"/>
  <c r="AB1069" i="6"/>
  <c r="CU1069" i="6" s="1"/>
  <c r="AF1069" i="6"/>
  <c r="AG1069" i="6" s="1"/>
  <c r="CV1069" i="6" s="1"/>
  <c r="AI1069" i="6"/>
  <c r="AJ1069" i="6"/>
  <c r="AK1069" i="6"/>
  <c r="AL1069" i="6" s="1"/>
  <c r="CW1069" i="6" s="1"/>
  <c r="AM1069" i="6"/>
  <c r="AN1069" i="6"/>
  <c r="AO1069" i="6"/>
  <c r="AP1069" i="6"/>
  <c r="AQ1069" i="6" s="1"/>
  <c r="CX1069" i="6" s="1"/>
  <c r="AR1069" i="6"/>
  <c r="AS1069" i="6"/>
  <c r="AT1069" i="6"/>
  <c r="AU1069" i="6"/>
  <c r="AV1069" i="6" s="1"/>
  <c r="CY1069" i="6" s="1"/>
  <c r="AW1069" i="6"/>
  <c r="AX1069" i="6"/>
  <c r="AY1069" i="6"/>
  <c r="AZ1069" i="6"/>
  <c r="BA1069" i="6" s="1"/>
  <c r="CZ1069" i="6" s="1"/>
  <c r="BB1069" i="6"/>
  <c r="BC1069" i="6"/>
  <c r="BD1069" i="6"/>
  <c r="BE1069" i="6"/>
  <c r="BF1069" i="6" s="1"/>
  <c r="DA1069" i="6" s="1"/>
  <c r="BG1069" i="6"/>
  <c r="BH1069" i="6"/>
  <c r="BI1069" i="6"/>
  <c r="BK1069" i="6"/>
  <c r="DB1069" i="6" s="1"/>
  <c r="BP1069" i="6"/>
  <c r="DC1069" i="6" s="1"/>
  <c r="CP1069" i="6"/>
  <c r="E1070" i="6"/>
  <c r="F1070" i="6"/>
  <c r="G1070" i="6"/>
  <c r="H1070" i="6" s="1"/>
  <c r="CQ1070" i="6" s="1"/>
  <c r="I1070" i="6"/>
  <c r="J1070" i="6"/>
  <c r="K1070" i="6"/>
  <c r="L1070" i="6"/>
  <c r="M1070" i="6" s="1"/>
  <c r="CR1070" i="6" s="1"/>
  <c r="N1070" i="6"/>
  <c r="O1070" i="6"/>
  <c r="P1070" i="6"/>
  <c r="Q1070" i="6"/>
  <c r="R1070" i="6" s="1"/>
  <c r="CS1070" i="6" s="1"/>
  <c r="S1070" i="6"/>
  <c r="T1070" i="6"/>
  <c r="U1070" i="6"/>
  <c r="V1070" i="6"/>
  <c r="W1070" i="6" s="1"/>
  <c r="CT1070" i="6" s="1"/>
  <c r="X1070" i="6"/>
  <c r="Y1070" i="6"/>
  <c r="Z1070" i="6"/>
  <c r="AA1070" i="6"/>
  <c r="AB1070" i="6" s="1"/>
  <c r="CU1070" i="6" s="1"/>
  <c r="AC1070" i="6"/>
  <c r="AD1070" i="6"/>
  <c r="AE1070" i="6"/>
  <c r="AF1070" i="6"/>
  <c r="AG1070" i="6" s="1"/>
  <c r="CV1070" i="6" s="1"/>
  <c r="AH1070" i="6"/>
  <c r="AI1070" i="6"/>
  <c r="AJ1070" i="6"/>
  <c r="AK1070" i="6"/>
  <c r="AL1070" i="6" s="1"/>
  <c r="CW1070" i="6" s="1"/>
  <c r="AM1070" i="6"/>
  <c r="AN1070" i="6"/>
  <c r="AO1070" i="6"/>
  <c r="AP1070" i="6"/>
  <c r="AQ1070" i="6" s="1"/>
  <c r="CX1070" i="6" s="1"/>
  <c r="AR1070" i="6"/>
  <c r="AS1070" i="6"/>
  <c r="AT1070" i="6"/>
  <c r="AU1070" i="6"/>
  <c r="AV1070" i="6" s="1"/>
  <c r="CY1070" i="6" s="1"/>
  <c r="AW1070" i="6"/>
  <c r="AX1070" i="6"/>
  <c r="AY1070" i="6"/>
  <c r="AZ1070" i="6"/>
  <c r="BA1070" i="6" s="1"/>
  <c r="CZ1070" i="6" s="1"/>
  <c r="BB1070" i="6"/>
  <c r="BC1070" i="6"/>
  <c r="BD1070" i="6"/>
  <c r="BE1070" i="6"/>
  <c r="BF1070" i="6" s="1"/>
  <c r="DA1070" i="6" s="1"/>
  <c r="BG1070" i="6"/>
  <c r="BH1070" i="6"/>
  <c r="BI1070" i="6"/>
  <c r="BJ1070" i="6"/>
  <c r="BK1070" i="6" s="1"/>
  <c r="DB1070" i="6" s="1"/>
  <c r="BL1070" i="6"/>
  <c r="CP1070" i="6"/>
  <c r="CQ1071" i="6"/>
  <c r="CR1071" i="6"/>
  <c r="CS1071" i="6"/>
  <c r="CT1071" i="6"/>
  <c r="CU1071" i="6"/>
  <c r="CV1071" i="6"/>
  <c r="CW1071" i="6"/>
  <c r="CX1071" i="6"/>
  <c r="CY1071" i="6"/>
  <c r="CZ1071" i="6"/>
  <c r="DA1071" i="6"/>
  <c r="DB1071" i="6"/>
  <c r="DC1071" i="6"/>
  <c r="DD1071" i="6"/>
  <c r="DE1071" i="6"/>
  <c r="DF1071" i="6"/>
  <c r="DG1071" i="6"/>
  <c r="CP1072" i="6"/>
  <c r="CP1074" i="6"/>
  <c r="H1075" i="6"/>
  <c r="CQ1075" i="6" s="1"/>
  <c r="M1075" i="6"/>
  <c r="CR1075" i="6" s="1"/>
  <c r="R1075" i="6"/>
  <c r="CS1075" i="6" s="1"/>
  <c r="W1075" i="6"/>
  <c r="CT1075" i="6" s="1"/>
  <c r="AB1075" i="6"/>
  <c r="CU1075" i="6" s="1"/>
  <c r="AG1075" i="6"/>
  <c r="CV1075" i="6" s="1"/>
  <c r="AL1075" i="6"/>
  <c r="CW1075" i="6" s="1"/>
  <c r="AQ1075" i="6"/>
  <c r="AV1075" i="6"/>
  <c r="CY1075" i="6" s="1"/>
  <c r="BA1075" i="6"/>
  <c r="CZ1075" i="6" s="1"/>
  <c r="BF1075" i="6"/>
  <c r="DA1075" i="6" s="1"/>
  <c r="BK1075" i="6"/>
  <c r="DB1075" i="6" s="1"/>
  <c r="BP1075" i="6"/>
  <c r="BT1075" i="6" s="1"/>
  <c r="CP1075" i="6"/>
  <c r="H1076" i="6"/>
  <c r="CQ1076" i="6" s="1"/>
  <c r="M1076" i="6"/>
  <c r="R1076" i="6"/>
  <c r="CS1076" i="6" s="1"/>
  <c r="W1076" i="6"/>
  <c r="CT1076" i="6" s="1"/>
  <c r="AB1076" i="6"/>
  <c r="CU1076" i="6" s="1"/>
  <c r="AG1076" i="6"/>
  <c r="CV1076" i="6" s="1"/>
  <c r="AL1076" i="6"/>
  <c r="CW1076" i="6" s="1"/>
  <c r="AQ1076" i="6"/>
  <c r="AR1076" i="6" s="1"/>
  <c r="AV1076" i="6"/>
  <c r="CY1076" i="6" s="1"/>
  <c r="BA1076" i="6"/>
  <c r="CZ1076" i="6" s="1"/>
  <c r="BF1076" i="6"/>
  <c r="DA1076" i="6" s="1"/>
  <c r="BK1076" i="6"/>
  <c r="BL1076" i="6" s="1"/>
  <c r="BL1079" i="6" s="1"/>
  <c r="CP1076" i="6"/>
  <c r="CR1076" i="6"/>
  <c r="D1077" i="6"/>
  <c r="D1079" i="6" s="1"/>
  <c r="E1077" i="6"/>
  <c r="E1079" i="6" s="1"/>
  <c r="F1077" i="6"/>
  <c r="F1079" i="6" s="1"/>
  <c r="G1077" i="6"/>
  <c r="H1077" i="6" s="1"/>
  <c r="I1077" i="6"/>
  <c r="I1079" i="6" s="1"/>
  <c r="J1077" i="6"/>
  <c r="J1079" i="6" s="1"/>
  <c r="K1077" i="6"/>
  <c r="K1079" i="6" s="1"/>
  <c r="L1077" i="6"/>
  <c r="M1077" i="6" s="1"/>
  <c r="CR1077" i="6" s="1"/>
  <c r="N1077" i="6"/>
  <c r="N1079" i="6" s="1"/>
  <c r="O1077" i="6"/>
  <c r="O1079" i="6" s="1"/>
  <c r="P1077" i="6"/>
  <c r="P1079" i="6" s="1"/>
  <c r="Q1077" i="6"/>
  <c r="Q1079" i="6" s="1"/>
  <c r="S1077" i="6"/>
  <c r="S1079" i="6" s="1"/>
  <c r="T1077" i="6"/>
  <c r="T1079" i="6" s="1"/>
  <c r="U1077" i="6"/>
  <c r="U1079" i="6" s="1"/>
  <c r="V1077" i="6"/>
  <c r="W1077" i="6" s="1"/>
  <c r="CT1077" i="6" s="1"/>
  <c r="X1077" i="6"/>
  <c r="X1079" i="6" s="1"/>
  <c r="Y1077" i="6"/>
  <c r="Y1079" i="6" s="1"/>
  <c r="Z1077" i="6"/>
  <c r="Z1079" i="6" s="1"/>
  <c r="AA1077" i="6"/>
  <c r="AC1077" i="6"/>
  <c r="AC1079" i="6" s="1"/>
  <c r="AD1077" i="6"/>
  <c r="AD1079" i="6" s="1"/>
  <c r="AE1077" i="6"/>
  <c r="AE1079" i="6" s="1"/>
  <c r="AF1077" i="6"/>
  <c r="AG1077" i="6" s="1"/>
  <c r="CV1077" i="6" s="1"/>
  <c r="AH1077" i="6"/>
  <c r="AH1079" i="6" s="1"/>
  <c r="AK1077" i="6"/>
  <c r="AM1077" i="6"/>
  <c r="AM1079" i="6" s="1"/>
  <c r="AN1077" i="6"/>
  <c r="AN1079" i="6" s="1"/>
  <c r="AO1077" i="6"/>
  <c r="AO1079" i="6" s="1"/>
  <c r="AP1077" i="6"/>
  <c r="AQ1077" i="6" s="1"/>
  <c r="CX1077" i="6" s="1"/>
  <c r="AR1077" i="6"/>
  <c r="AS1077" i="6"/>
  <c r="AS1079" i="6" s="1"/>
  <c r="AT1077" i="6"/>
  <c r="AT1079" i="6" s="1"/>
  <c r="AU1077" i="6"/>
  <c r="AV1077" i="6" s="1"/>
  <c r="AW1077" i="6"/>
  <c r="AW1079" i="6" s="1"/>
  <c r="AX1077" i="6"/>
  <c r="AX1079" i="6" s="1"/>
  <c r="AY1077" i="6"/>
  <c r="AY1079" i="6" s="1"/>
  <c r="AZ1077" i="6"/>
  <c r="BA1077" i="6" s="1"/>
  <c r="BB1077" i="6"/>
  <c r="BB1079" i="6" s="1"/>
  <c r="BC1077" i="6"/>
  <c r="BC1079" i="6" s="1"/>
  <c r="BD1077" i="6"/>
  <c r="BD1079" i="6" s="1"/>
  <c r="BE1077" i="6"/>
  <c r="BF1077" i="6" s="1"/>
  <c r="DA1077" i="6" s="1"/>
  <c r="BG1077" i="6"/>
  <c r="BG1079" i="6" s="1"/>
  <c r="BH1077" i="6"/>
  <c r="BH1079" i="6" s="1"/>
  <c r="BI1077" i="6"/>
  <c r="BI1079" i="6" s="1"/>
  <c r="BJ1077" i="6"/>
  <c r="BK1077" i="6" s="1"/>
  <c r="BL1077" i="6"/>
  <c r="BP1077" i="6"/>
  <c r="BT1077" i="6" s="1"/>
  <c r="CP1077" i="6"/>
  <c r="CQ1078" i="6"/>
  <c r="CR1078" i="6"/>
  <c r="CS1078" i="6"/>
  <c r="CT1078" i="6"/>
  <c r="CU1078" i="6"/>
  <c r="CV1078" i="6"/>
  <c r="CW1078" i="6"/>
  <c r="CX1078" i="6"/>
  <c r="CY1078" i="6"/>
  <c r="CZ1078" i="6"/>
  <c r="DA1078" i="6"/>
  <c r="DB1078" i="6"/>
  <c r="DC1078" i="6"/>
  <c r="DD1078" i="6"/>
  <c r="DE1078" i="6"/>
  <c r="DF1078" i="6"/>
  <c r="DG1078" i="6"/>
  <c r="AI1079" i="6"/>
  <c r="AJ1079" i="6"/>
  <c r="CP1079" i="6"/>
  <c r="CP1081" i="6"/>
  <c r="D1082" i="6"/>
  <c r="D1114" i="6" s="1"/>
  <c r="H1082" i="6"/>
  <c r="CQ1082" i="6" s="1"/>
  <c r="I1082" i="6"/>
  <c r="K1082" i="6"/>
  <c r="M1082" i="6"/>
  <c r="CR1082" i="6" s="1"/>
  <c r="R1082" i="6"/>
  <c r="CS1082" i="6" s="1"/>
  <c r="T1082" i="6"/>
  <c r="T1176" i="6" s="1"/>
  <c r="T1178" i="6" s="1"/>
  <c r="U1082" i="6"/>
  <c r="U1176" i="6" s="1"/>
  <c r="U1178" i="6" s="1"/>
  <c r="V1082" i="6"/>
  <c r="W1082" i="6" s="1"/>
  <c r="CT1082" i="6" s="1"/>
  <c r="X1082" i="6"/>
  <c r="X1176" i="6" s="1"/>
  <c r="X1178" i="6" s="1"/>
  <c r="Y1082" i="6"/>
  <c r="Y1176" i="6" s="1"/>
  <c r="Y1178" i="6" s="1"/>
  <c r="Z1082" i="6"/>
  <c r="Z1176" i="6" s="1"/>
  <c r="Z1178" i="6" s="1"/>
  <c r="AB1082" i="6"/>
  <c r="CU1082" i="6" s="1"/>
  <c r="AG1082" i="6"/>
  <c r="AK1082" i="6"/>
  <c r="AL1082" i="6" s="1"/>
  <c r="CW1082" i="6" s="1"/>
  <c r="AN1082" i="6"/>
  <c r="AN1139" i="6" s="1"/>
  <c r="CP1082" i="6"/>
  <c r="CX1082" i="6"/>
  <c r="CY1082" i="6"/>
  <c r="CZ1082" i="6"/>
  <c r="DA1082" i="6"/>
  <c r="DB1082" i="6"/>
  <c r="DC1082" i="6"/>
  <c r="DD1082" i="6"/>
  <c r="DE1082" i="6"/>
  <c r="DF1082" i="6"/>
  <c r="DG1082" i="6"/>
  <c r="AL1083" i="6"/>
  <c r="CW1083" i="6" s="1"/>
  <c r="AO1083" i="6"/>
  <c r="AO1082" i="6" s="1"/>
  <c r="CP1083" i="6"/>
  <c r="CQ1083" i="6"/>
  <c r="CR1083" i="6"/>
  <c r="CS1083" i="6"/>
  <c r="CT1083" i="6"/>
  <c r="CU1083" i="6"/>
  <c r="CV1083" i="6"/>
  <c r="CX1083" i="6"/>
  <c r="CY1083" i="6"/>
  <c r="CZ1083" i="6"/>
  <c r="DA1083" i="6"/>
  <c r="DB1083" i="6"/>
  <c r="DC1083" i="6"/>
  <c r="DD1083" i="6"/>
  <c r="DE1083" i="6"/>
  <c r="DF1083" i="6"/>
  <c r="DG1083" i="6"/>
  <c r="AX1084" i="6"/>
  <c r="AX1176" i="6" s="1"/>
  <c r="AY1084" i="6"/>
  <c r="AY1176" i="6" s="1"/>
  <c r="AZ1084" i="6"/>
  <c r="AZ1141" i="6" s="1"/>
  <c r="BB1084" i="6"/>
  <c r="BB1141" i="6" s="1"/>
  <c r="BC1084" i="6"/>
  <c r="BC1176" i="6" s="1"/>
  <c r="BD1084" i="6"/>
  <c r="BD1285" i="6" s="1"/>
  <c r="BE1084" i="6"/>
  <c r="BE1176" i="6" s="1"/>
  <c r="BF1176" i="6" s="1"/>
  <c r="DA1176" i="6" s="1"/>
  <c r="BJ1084" i="6"/>
  <c r="BJ1141" i="6" s="1"/>
  <c r="CP1084" i="6"/>
  <c r="CQ1084" i="6"/>
  <c r="CR1084" i="6"/>
  <c r="CS1084" i="6"/>
  <c r="CT1084" i="6"/>
  <c r="CU1084" i="6"/>
  <c r="CV1084" i="6"/>
  <c r="CW1084" i="6"/>
  <c r="CP1085" i="6"/>
  <c r="AL1086" i="6"/>
  <c r="CW1086" i="6" s="1"/>
  <c r="AM1086" i="6"/>
  <c r="AN1086" i="6" s="1"/>
  <c r="AO1086" i="6" s="1"/>
  <c r="AP1142" i="6" s="1"/>
  <c r="AQ1142" i="6" s="1"/>
  <c r="CX1142" i="6" s="1"/>
  <c r="AV1086" i="6"/>
  <c r="AW1142" i="6" s="1"/>
  <c r="BA1086" i="6"/>
  <c r="CZ1086" i="6" s="1"/>
  <c r="BF1086" i="6"/>
  <c r="DA1086" i="6" s="1"/>
  <c r="BK1086" i="6"/>
  <c r="BL1142" i="6" s="1"/>
  <c r="BP1086" i="6"/>
  <c r="BQ1142" i="6" s="1"/>
  <c r="CP1086" i="6"/>
  <c r="CQ1086" i="6"/>
  <c r="CR1086" i="6"/>
  <c r="CS1086" i="6"/>
  <c r="CT1086" i="6"/>
  <c r="CU1086" i="6"/>
  <c r="CV1086" i="6"/>
  <c r="DE1086" i="6"/>
  <c r="DF1086" i="6"/>
  <c r="DG1086" i="6"/>
  <c r="AQ1087" i="6"/>
  <c r="AR1087" i="6" s="1"/>
  <c r="AR1143" i="6" s="1"/>
  <c r="AS1087" i="6"/>
  <c r="AS1084" i="6" s="1"/>
  <c r="AT1087" i="6"/>
  <c r="AT1084" i="6" s="1"/>
  <c r="AT1285" i="6" s="1"/>
  <c r="AU1087" i="6"/>
  <c r="AU1084" i="6" s="1"/>
  <c r="AU1141" i="6" s="1"/>
  <c r="AW1087" i="6"/>
  <c r="AW1084" i="6" s="1"/>
  <c r="BA1087" i="6"/>
  <c r="CZ1087" i="6" s="1"/>
  <c r="BF1087" i="6"/>
  <c r="DA1087" i="6" s="1"/>
  <c r="BK1087" i="6"/>
  <c r="DB1087" i="6" s="1"/>
  <c r="DC1087" i="6"/>
  <c r="CP1087" i="6"/>
  <c r="CQ1087" i="6"/>
  <c r="CR1087" i="6"/>
  <c r="CS1087" i="6"/>
  <c r="CT1087" i="6"/>
  <c r="CU1087" i="6"/>
  <c r="CV1087" i="6"/>
  <c r="CW1087" i="6"/>
  <c r="DD1087" i="6"/>
  <c r="DE1087" i="6"/>
  <c r="DF1087" i="6"/>
  <c r="DG1087" i="6"/>
  <c r="BA1088" i="6"/>
  <c r="BF1088" i="6"/>
  <c r="BK1088" i="6"/>
  <c r="BL1144" i="6" s="1"/>
  <c r="BP1088" i="6"/>
  <c r="CP1088" i="6"/>
  <c r="AQ1089" i="6"/>
  <c r="AR1089" i="6" s="1"/>
  <c r="AS1089" i="6" s="1"/>
  <c r="AS1145" i="6" s="1"/>
  <c r="AV1089" i="6"/>
  <c r="BA1089" i="6"/>
  <c r="BF1089" i="6"/>
  <c r="BK1089" i="6"/>
  <c r="BL1145" i="6" s="1"/>
  <c r="BO1145" i="6"/>
  <c r="CP1089" i="6"/>
  <c r="AQ1090" i="6"/>
  <c r="AR1090" i="6" s="1"/>
  <c r="AR1146" i="6" s="1"/>
  <c r="AV1090" i="6"/>
  <c r="BA1090" i="6"/>
  <c r="BF1090" i="6"/>
  <c r="BK1090" i="6"/>
  <c r="BL1146" i="6" s="1"/>
  <c r="CP1090" i="6"/>
  <c r="F1093" i="6"/>
  <c r="G1149" i="6" s="1"/>
  <c r="H1093" i="6"/>
  <c r="I1093" i="6" s="1"/>
  <c r="J1093" i="6" s="1"/>
  <c r="M1093" i="6"/>
  <c r="R1093" i="6"/>
  <c r="CS1093" i="6" s="1"/>
  <c r="AF1093" i="6"/>
  <c r="AG1093" i="6" s="1"/>
  <c r="CV1093" i="6" s="1"/>
  <c r="AV1093" i="6"/>
  <c r="CY1093" i="6" s="1"/>
  <c r="AX1093" i="6"/>
  <c r="AY1093" i="6" s="1"/>
  <c r="CP1093" i="6"/>
  <c r="F1094" i="6"/>
  <c r="F1150" i="6" s="1"/>
  <c r="H1094" i="6"/>
  <c r="CQ1094" i="6" s="1"/>
  <c r="M1094" i="6"/>
  <c r="R1094" i="6"/>
  <c r="S1094" i="6" s="1"/>
  <c r="T1094" i="6" s="1"/>
  <c r="T1150" i="6" s="1"/>
  <c r="AF1094" i="6"/>
  <c r="AG1094" i="6" s="1"/>
  <c r="CV1094" i="6" s="1"/>
  <c r="AV1094" i="6"/>
  <c r="AW1150" i="6" s="1"/>
  <c r="AX1094" i="6"/>
  <c r="AX1150" i="6" s="1"/>
  <c r="CP1094" i="6"/>
  <c r="F1095" i="6"/>
  <c r="F1151" i="6" s="1"/>
  <c r="H1095" i="6"/>
  <c r="CQ1095" i="6" s="1"/>
  <c r="M1095" i="6"/>
  <c r="R1095" i="6"/>
  <c r="S1095" i="6" s="1"/>
  <c r="T1095" i="6" s="1"/>
  <c r="T1151" i="6" s="1"/>
  <c r="AF1095" i="6"/>
  <c r="AF1151" i="6" s="1"/>
  <c r="AV1095" i="6"/>
  <c r="AW1151" i="6" s="1"/>
  <c r="AX1095" i="6"/>
  <c r="AX1151" i="6" s="1"/>
  <c r="CP1095" i="6"/>
  <c r="E1096" i="6"/>
  <c r="E1152" i="6" s="1"/>
  <c r="U1096" i="6"/>
  <c r="U1152" i="6" s="1"/>
  <c r="AF1096" i="6"/>
  <c r="AF1152" i="6" s="1"/>
  <c r="AV1096" i="6"/>
  <c r="AW1152" i="6" s="1"/>
  <c r="AX1096" i="6"/>
  <c r="AX1152" i="6" s="1"/>
  <c r="CP1096" i="6"/>
  <c r="E1097" i="6"/>
  <c r="F1097" i="6" s="1"/>
  <c r="G1097" i="6" s="1"/>
  <c r="H1097" i="6" s="1"/>
  <c r="W1097" i="6"/>
  <c r="CT1097" i="6" s="1"/>
  <c r="AB1097" i="6"/>
  <c r="CU1097" i="6" s="1"/>
  <c r="AG1097" i="6"/>
  <c r="CV1097" i="6" s="1"/>
  <c r="AL1097" i="6"/>
  <c r="CW1097" i="6" s="1"/>
  <c r="AN1097" i="6"/>
  <c r="AO1097" i="6" s="1"/>
  <c r="AS1097" i="6"/>
  <c r="AS1153" i="6" s="1"/>
  <c r="AV1097" i="6"/>
  <c r="CY1097" i="6" s="1"/>
  <c r="AX1097" i="6"/>
  <c r="AX1153" i="6" s="1"/>
  <c r="BC1097" i="6"/>
  <c r="BC1153" i="6" s="1"/>
  <c r="CP1097" i="6"/>
  <c r="E1098" i="6"/>
  <c r="E1154" i="6" s="1"/>
  <c r="R1098" i="6"/>
  <c r="CS1098" i="6" s="1"/>
  <c r="W1098" i="6"/>
  <c r="CT1098" i="6" s="1"/>
  <c r="AB1098" i="6"/>
  <c r="AC1154" i="6" s="1"/>
  <c r="AG1098" i="6"/>
  <c r="AH1098" i="6" s="1"/>
  <c r="AI1098" i="6" s="1"/>
  <c r="AV1098" i="6"/>
  <c r="CY1098" i="6" s="1"/>
  <c r="AX1098" i="6"/>
  <c r="AX1154" i="6" s="1"/>
  <c r="CP1098" i="6"/>
  <c r="F1099" i="6"/>
  <c r="F1155" i="6" s="1"/>
  <c r="W1099" i="6"/>
  <c r="CT1099" i="6" s="1"/>
  <c r="AB1099" i="6"/>
  <c r="AC1099" i="6" s="1"/>
  <c r="AD1155" i="6" s="1"/>
  <c r="AG1099" i="6"/>
  <c r="AH1155" i="6" s="1"/>
  <c r="AL1099" i="6"/>
  <c r="AM1155" i="6" s="1"/>
  <c r="AQ1099" i="6"/>
  <c r="AV1099" i="6"/>
  <c r="CY1099" i="6" s="1"/>
  <c r="AY1099" i="6"/>
  <c r="AY1155" i="6" s="1"/>
  <c r="BF1099" i="6"/>
  <c r="BG1099" i="6" s="1"/>
  <c r="BK1099" i="6"/>
  <c r="BL1155" i="6" s="1"/>
  <c r="BM1099" i="6"/>
  <c r="BN1099" i="6" s="1"/>
  <c r="BO1099" i="6" s="1"/>
  <c r="BP1099" i="6" s="1"/>
  <c r="DC1099" i="6" s="1"/>
  <c r="CP1099" i="6"/>
  <c r="O1100" i="6"/>
  <c r="O1156" i="6" s="1"/>
  <c r="W1100" i="6"/>
  <c r="CT1100" i="6" s="1"/>
  <c r="AB1100" i="6"/>
  <c r="AC1100" i="6" s="1"/>
  <c r="AG1100" i="6"/>
  <c r="CV1100" i="6" s="1"/>
  <c r="AL1100" i="6"/>
  <c r="CW1100" i="6" s="1"/>
  <c r="AQ1100" i="6"/>
  <c r="AS1100" i="6"/>
  <c r="AT1156" i="6" s="1"/>
  <c r="AV1100" i="6"/>
  <c r="CY1100" i="6" s="1"/>
  <c r="BA1100" i="6"/>
  <c r="CZ1100" i="6" s="1"/>
  <c r="BF1100" i="6"/>
  <c r="DA1100" i="6" s="1"/>
  <c r="BK1100" i="6"/>
  <c r="DB1100" i="6" s="1"/>
  <c r="BM1100" i="6"/>
  <c r="BN1100" i="6" s="1"/>
  <c r="CP1100" i="6"/>
  <c r="CQ1100" i="6"/>
  <c r="CR1100" i="6"/>
  <c r="AL1101" i="6"/>
  <c r="CW1101" i="6" s="1"/>
  <c r="AQ1101" i="6"/>
  <c r="AR1157" i="6" s="1"/>
  <c r="AV1101" i="6"/>
  <c r="CY1101" i="6" s="1"/>
  <c r="BA1101" i="6"/>
  <c r="BB1157" i="6" s="1"/>
  <c r="BF1101" i="6"/>
  <c r="DA1101" i="6" s="1"/>
  <c r="BK1101" i="6"/>
  <c r="BL1157" i="6" s="1"/>
  <c r="CP1101" i="6"/>
  <c r="CQ1101" i="6"/>
  <c r="CR1101" i="6"/>
  <c r="CS1101" i="6"/>
  <c r="CT1101" i="6"/>
  <c r="CU1101" i="6"/>
  <c r="CV1101" i="6"/>
  <c r="AV1102" i="6"/>
  <c r="AW1158" i="6" s="1"/>
  <c r="BA1102" i="6"/>
  <c r="BF1102" i="6"/>
  <c r="DA1102" i="6" s="1"/>
  <c r="BK1102" i="6"/>
  <c r="BL1158" i="6" s="1"/>
  <c r="CP1102" i="6"/>
  <c r="CQ1102" i="6"/>
  <c r="CR1102" i="6"/>
  <c r="CS1102" i="6"/>
  <c r="CT1102" i="6"/>
  <c r="CU1102" i="6"/>
  <c r="CV1102" i="6"/>
  <c r="CW1102" i="6"/>
  <c r="CX1102" i="6"/>
  <c r="BK1103" i="6"/>
  <c r="BL1159" i="6" s="1"/>
  <c r="CP1103" i="6"/>
  <c r="W1104" i="6"/>
  <c r="CT1104" i="6" s="1"/>
  <c r="AI1104" i="6"/>
  <c r="AM1104" i="6"/>
  <c r="AP1104" i="6"/>
  <c r="AQ1104" i="6" s="1"/>
  <c r="CX1104" i="6" s="1"/>
  <c r="AR1104" i="6"/>
  <c r="AS1104" i="6"/>
  <c r="AT1104" i="6"/>
  <c r="AU1104" i="6"/>
  <c r="AV1104" i="6" s="1"/>
  <c r="CY1104" i="6" s="1"/>
  <c r="AW1104" i="6"/>
  <c r="AX1104" i="6"/>
  <c r="AY1104" i="6"/>
  <c r="AZ1104" i="6"/>
  <c r="BA1104" i="6" s="1"/>
  <c r="CZ1104" i="6" s="1"/>
  <c r="BB1104" i="6"/>
  <c r="BC1104" i="6"/>
  <c r="BF1104" i="6"/>
  <c r="DA1104" i="6" s="1"/>
  <c r="BK1104" i="6"/>
  <c r="DB1104" i="6" s="1"/>
  <c r="BP1104" i="6"/>
  <c r="DC1104" i="6" s="1"/>
  <c r="CP1104" i="6"/>
  <c r="CQ1104" i="6"/>
  <c r="CR1104" i="6"/>
  <c r="CS1104" i="6"/>
  <c r="DD1104" i="6"/>
  <c r="DE1104" i="6"/>
  <c r="DF1104" i="6"/>
  <c r="DG1104" i="6"/>
  <c r="AM1105" i="6"/>
  <c r="AN1105" i="6"/>
  <c r="AO1105" i="6"/>
  <c r="AP1105" i="6"/>
  <c r="AQ1105" i="6" s="1"/>
  <c r="CX1105" i="6" s="1"/>
  <c r="AR1105" i="6"/>
  <c r="AS1105" i="6"/>
  <c r="AT1105" i="6"/>
  <c r="AU1105" i="6"/>
  <c r="AV1105" i="6" s="1"/>
  <c r="CY1105" i="6" s="1"/>
  <c r="AW1105" i="6"/>
  <c r="AX1105" i="6"/>
  <c r="AY1105" i="6"/>
  <c r="AZ1105" i="6"/>
  <c r="BA1105" i="6" s="1"/>
  <c r="CZ1105" i="6" s="1"/>
  <c r="BB1105" i="6"/>
  <c r="BC1105" i="6"/>
  <c r="BD1105" i="6"/>
  <c r="BE1105" i="6"/>
  <c r="BF1105" i="6" s="1"/>
  <c r="DA1105" i="6" s="1"/>
  <c r="BG1105" i="6"/>
  <c r="BJ1105" i="6"/>
  <c r="BK1105" i="6" s="1"/>
  <c r="DB1105" i="6" s="1"/>
  <c r="BL1105" i="6"/>
  <c r="BP1105" i="6"/>
  <c r="DC1105" i="6" s="1"/>
  <c r="CP1105" i="6"/>
  <c r="CQ1105" i="6"/>
  <c r="CR1105" i="6"/>
  <c r="CS1105" i="6"/>
  <c r="CT1105" i="6"/>
  <c r="CU1105" i="6"/>
  <c r="CV1105" i="6"/>
  <c r="CW1105" i="6"/>
  <c r="E1106" i="6"/>
  <c r="R1106" i="6"/>
  <c r="U1106" i="6"/>
  <c r="V1106" i="6" s="1"/>
  <c r="AG1106" i="6"/>
  <c r="CV1106" i="6" s="1"/>
  <c r="AL1106" i="6"/>
  <c r="AQ1106" i="6"/>
  <c r="AR1161" i="6" s="1"/>
  <c r="AT1106" i="6"/>
  <c r="AT1161" i="6" s="1"/>
  <c r="AU1106" i="6"/>
  <c r="AV1106" i="6" s="1"/>
  <c r="CY1106" i="6" s="1"/>
  <c r="AW1106" i="6"/>
  <c r="AX1106" i="6"/>
  <c r="AY1106" i="6"/>
  <c r="AZ1106" i="6"/>
  <c r="BA1106" i="6" s="1"/>
  <c r="CZ1106" i="6" s="1"/>
  <c r="BB1106" i="6"/>
  <c r="BC1106" i="6"/>
  <c r="BD1106" i="6"/>
  <c r="BE1161" i="6" s="1"/>
  <c r="BE1106" i="6"/>
  <c r="BF1106" i="6" s="1"/>
  <c r="DA1106" i="6" s="1"/>
  <c r="BG1106" i="6"/>
  <c r="BK1106" i="6"/>
  <c r="DB1106" i="6" s="1"/>
  <c r="BL1106" i="6"/>
  <c r="CP1106" i="6"/>
  <c r="AV1107" i="6"/>
  <c r="AX1107" i="6"/>
  <c r="AX1164" i="6" s="1"/>
  <c r="BA1107" i="6"/>
  <c r="CZ1107" i="6" s="1"/>
  <c r="BF1107" i="6"/>
  <c r="DA1107" i="6" s="1"/>
  <c r="BK1107" i="6"/>
  <c r="DB1107" i="6" s="1"/>
  <c r="BL1107" i="6"/>
  <c r="BL1164" i="6" s="1"/>
  <c r="CP1107" i="6"/>
  <c r="AV1108" i="6"/>
  <c r="BA1108" i="6"/>
  <c r="CZ1108" i="6" s="1"/>
  <c r="BF1108" i="6"/>
  <c r="DA1108" i="6" s="1"/>
  <c r="BK1108" i="6"/>
  <c r="BL1108" i="6" s="1"/>
  <c r="CP1108" i="6"/>
  <c r="AV1109" i="6"/>
  <c r="AW1166" i="6" s="1"/>
  <c r="BA1109" i="6"/>
  <c r="BB1166" i="6" s="1"/>
  <c r="BF1109" i="6"/>
  <c r="BG1166" i="6" s="1"/>
  <c r="BK1109" i="6"/>
  <c r="BL1166" i="6" s="1"/>
  <c r="BP1109" i="6"/>
  <c r="BQ1166" i="6" s="1"/>
  <c r="BN1167" i="6"/>
  <c r="AV1111" i="6"/>
  <c r="AW1111" i="6"/>
  <c r="AX1111" i="6"/>
  <c r="AY1111" i="6"/>
  <c r="AZ1111" i="6"/>
  <c r="BA1111" i="6" s="1"/>
  <c r="CZ1111" i="6" s="1"/>
  <c r="BB1111" i="6"/>
  <c r="BF1111" i="6"/>
  <c r="DA1111" i="6" s="1"/>
  <c r="BI1111" i="6"/>
  <c r="BK1111" i="6"/>
  <c r="DB1111" i="6" s="1"/>
  <c r="DC1111" i="6"/>
  <c r="CP1111" i="6"/>
  <c r="DD1111" i="6"/>
  <c r="CQ1113" i="6"/>
  <c r="CR1113" i="6"/>
  <c r="CS1113" i="6"/>
  <c r="CT1113" i="6"/>
  <c r="CU1113" i="6"/>
  <c r="CV1113" i="6"/>
  <c r="CW1113" i="6"/>
  <c r="CX1113" i="6"/>
  <c r="CY1113" i="6"/>
  <c r="CZ1113" i="6"/>
  <c r="DA1113" i="6"/>
  <c r="DB1113" i="6"/>
  <c r="DC1113" i="6"/>
  <c r="DD1113" i="6"/>
  <c r="DE1113" i="6"/>
  <c r="DF1113" i="6"/>
  <c r="DG1113" i="6"/>
  <c r="CP1114" i="6"/>
  <c r="H1116" i="6"/>
  <c r="M1116" i="6"/>
  <c r="D19" i="42453" s="1"/>
  <c r="Q1116" i="6"/>
  <c r="R1116" i="6" s="1"/>
  <c r="CS1116" i="6" s="1"/>
  <c r="S1116" i="6"/>
  <c r="T1116" i="6"/>
  <c r="U1116" i="6"/>
  <c r="V1116" i="6"/>
  <c r="W1116" i="6" s="1"/>
  <c r="X1116" i="6"/>
  <c r="Y1116" i="6"/>
  <c r="Z1116" i="6"/>
  <c r="AA1116" i="6"/>
  <c r="AB1116" i="6" s="1"/>
  <c r="AC1116" i="6"/>
  <c r="AD1116" i="6"/>
  <c r="AE1116" i="6"/>
  <c r="AF1116" i="6"/>
  <c r="AG1116" i="6" s="1"/>
  <c r="AH1116" i="6"/>
  <c r="AI1116" i="6"/>
  <c r="AJ1116" i="6"/>
  <c r="AK1116" i="6"/>
  <c r="AL1116" i="6" s="1"/>
  <c r="AM1116" i="6"/>
  <c r="AN1116" i="6"/>
  <c r="AO1116" i="6"/>
  <c r="AP1116" i="6"/>
  <c r="AQ1116" i="6" s="1"/>
  <c r="AR1116" i="6"/>
  <c r="AS1116" i="6"/>
  <c r="AT1116" i="6"/>
  <c r="AU1116" i="6"/>
  <c r="AV1116" i="6" s="1"/>
  <c r="AW1116" i="6"/>
  <c r="AX1116" i="6"/>
  <c r="AY1116" i="6"/>
  <c r="AZ1116" i="6"/>
  <c r="BA1116" i="6" s="1"/>
  <c r="BB1116" i="6"/>
  <c r="BC1116" i="6"/>
  <c r="BD1116" i="6"/>
  <c r="BE1116" i="6"/>
  <c r="BF1116" i="6" s="1"/>
  <c r="BG1116" i="6"/>
  <c r="BH1116" i="6"/>
  <c r="BI1116" i="6"/>
  <c r="BJ1116" i="6"/>
  <c r="BK1116" i="6" s="1"/>
  <c r="BL1116" i="6"/>
  <c r="BP1116" i="6"/>
  <c r="CP1116" i="6"/>
  <c r="CP1118" i="6"/>
  <c r="H1119" i="6"/>
  <c r="CQ1119" i="6" s="1"/>
  <c r="M1119" i="6"/>
  <c r="R1119" i="6"/>
  <c r="W1119" i="6"/>
  <c r="AB1119" i="6"/>
  <c r="CU1119" i="6" s="1"/>
  <c r="AG1119" i="6"/>
  <c r="CV1119" i="6" s="1"/>
  <c r="AL1119" i="6"/>
  <c r="AQ1119" i="6"/>
  <c r="CX1119" i="6" s="1"/>
  <c r="AV1119" i="6"/>
  <c r="CY1119" i="6" s="1"/>
  <c r="BA1119" i="6"/>
  <c r="BF1119" i="6"/>
  <c r="BK1119" i="6"/>
  <c r="DB1119" i="6" s="1"/>
  <c r="BP1119" i="6"/>
  <c r="DC1119" i="6" s="1"/>
  <c r="CP1119" i="6"/>
  <c r="H1120" i="6"/>
  <c r="CQ1120" i="6" s="1"/>
  <c r="M1120" i="6"/>
  <c r="CR1120" i="6" s="1"/>
  <c r="R1120" i="6"/>
  <c r="CS1120" i="6" s="1"/>
  <c r="W1120" i="6"/>
  <c r="CT1120" i="6" s="1"/>
  <c r="AB1120" i="6"/>
  <c r="CU1120" i="6" s="1"/>
  <c r="AG1120" i="6"/>
  <c r="CV1120" i="6" s="1"/>
  <c r="AL1120" i="6"/>
  <c r="CW1120" i="6" s="1"/>
  <c r="AQ1120" i="6"/>
  <c r="CX1120" i="6" s="1"/>
  <c r="AV1120" i="6"/>
  <c r="CY1120" i="6" s="1"/>
  <c r="BA1120" i="6"/>
  <c r="CZ1120" i="6" s="1"/>
  <c r="BF1120" i="6"/>
  <c r="DA1120" i="6" s="1"/>
  <c r="BK1120" i="6"/>
  <c r="DB1120" i="6" s="1"/>
  <c r="BP1120" i="6"/>
  <c r="CP1120" i="6"/>
  <c r="H1121" i="6"/>
  <c r="CQ1121" i="6" s="1"/>
  <c r="M1121" i="6"/>
  <c r="CR1121" i="6" s="1"/>
  <c r="R1121" i="6"/>
  <c r="CS1121" i="6" s="1"/>
  <c r="W1121" i="6"/>
  <c r="CT1121" i="6" s="1"/>
  <c r="AB1121" i="6"/>
  <c r="CU1121" i="6" s="1"/>
  <c r="AG1121" i="6"/>
  <c r="CV1121" i="6" s="1"/>
  <c r="AL1121" i="6"/>
  <c r="CW1121" i="6" s="1"/>
  <c r="AQ1121" i="6"/>
  <c r="CX1121" i="6" s="1"/>
  <c r="AV1121" i="6"/>
  <c r="CY1121" i="6" s="1"/>
  <c r="BA1121" i="6"/>
  <c r="CZ1121" i="6" s="1"/>
  <c r="BF1121" i="6"/>
  <c r="DA1121" i="6" s="1"/>
  <c r="BK1121" i="6"/>
  <c r="DB1121" i="6" s="1"/>
  <c r="CP1121" i="6"/>
  <c r="H1122" i="6"/>
  <c r="CQ1122" i="6" s="1"/>
  <c r="M1122" i="6"/>
  <c r="R1122" i="6"/>
  <c r="CS1122" i="6" s="1"/>
  <c r="W1122" i="6"/>
  <c r="CT1122" i="6" s="1"/>
  <c r="AB1122" i="6"/>
  <c r="CU1122" i="6" s="1"/>
  <c r="AG1122" i="6"/>
  <c r="AL1122" i="6"/>
  <c r="CW1122" i="6" s="1"/>
  <c r="AM1122" i="6"/>
  <c r="AM1124" i="6" s="1"/>
  <c r="AP1122" i="6"/>
  <c r="AV1122" i="6"/>
  <c r="CY1122" i="6" s="1"/>
  <c r="BA1122" i="6"/>
  <c r="CZ1122" i="6" s="1"/>
  <c r="BF1122" i="6"/>
  <c r="DA1122" i="6" s="1"/>
  <c r="BK1122" i="6"/>
  <c r="DB1122" i="6" s="1"/>
  <c r="BP1122" i="6"/>
  <c r="DC1122" i="6" s="1"/>
  <c r="CP1122" i="6"/>
  <c r="CQ1123" i="6"/>
  <c r="CR1123" i="6"/>
  <c r="CS1123" i="6"/>
  <c r="CT1123" i="6"/>
  <c r="CU1123" i="6"/>
  <c r="CV1123" i="6"/>
  <c r="CW1123" i="6"/>
  <c r="CX1123" i="6"/>
  <c r="CY1123" i="6"/>
  <c r="CZ1123" i="6"/>
  <c r="DA1123" i="6"/>
  <c r="DB1123" i="6"/>
  <c r="DC1123" i="6"/>
  <c r="DD1123" i="6"/>
  <c r="DE1123" i="6"/>
  <c r="DF1123" i="6"/>
  <c r="DG1123" i="6"/>
  <c r="D1124" i="6"/>
  <c r="E1124" i="6"/>
  <c r="F1124" i="6"/>
  <c r="G1124" i="6"/>
  <c r="I1124" i="6"/>
  <c r="J1124" i="6"/>
  <c r="K1124" i="6"/>
  <c r="L1124" i="6"/>
  <c r="N1124" i="6"/>
  <c r="O1124" i="6"/>
  <c r="P1124" i="6"/>
  <c r="Q1124" i="6"/>
  <c r="S1124" i="6"/>
  <c r="T1124" i="6"/>
  <c r="U1124" i="6"/>
  <c r="V1124" i="6"/>
  <c r="X1124" i="6"/>
  <c r="Y1124" i="6"/>
  <c r="Z1124" i="6"/>
  <c r="AA1124" i="6"/>
  <c r="AC1124" i="6"/>
  <c r="AD1124" i="6"/>
  <c r="AE1124" i="6"/>
  <c r="AF1124" i="6"/>
  <c r="AH1124" i="6"/>
  <c r="AI1124" i="6"/>
  <c r="AJ1124" i="6"/>
  <c r="AK1124" i="6"/>
  <c r="AN1124" i="6"/>
  <c r="AO1124" i="6"/>
  <c r="AR1124" i="6"/>
  <c r="C43" i="42457" s="1"/>
  <c r="AS1124" i="6"/>
  <c r="D43" i="42457" s="1"/>
  <c r="AT1124" i="6"/>
  <c r="AU1124" i="6"/>
  <c r="F43" i="42457" s="1"/>
  <c r="AW1124" i="6"/>
  <c r="H43" i="42457" s="1"/>
  <c r="AX1124" i="6"/>
  <c r="I43" i="42457" s="1"/>
  <c r="AY1124" i="6"/>
  <c r="J43" i="42457" s="1"/>
  <c r="AZ1124" i="6"/>
  <c r="K43" i="42457" s="1"/>
  <c r="BB1124" i="6"/>
  <c r="M43" i="42457" s="1"/>
  <c r="BC1124" i="6"/>
  <c r="N43" i="42457" s="1"/>
  <c r="BD1124" i="6"/>
  <c r="O43" i="42457" s="1"/>
  <c r="BE1124" i="6"/>
  <c r="P43" i="42457" s="1"/>
  <c r="BG1124" i="6"/>
  <c r="R43" i="42457" s="1"/>
  <c r="BH1124" i="6"/>
  <c r="BI1124" i="6"/>
  <c r="BJ1124" i="6"/>
  <c r="U43" i="42457" s="1"/>
  <c r="BL1124" i="6"/>
  <c r="W43" i="42457" s="1"/>
  <c r="CP1124" i="6"/>
  <c r="AL1125" i="6"/>
  <c r="CW1125" i="6" s="1"/>
  <c r="AQ1125" i="6"/>
  <c r="CX1125" i="6" s="1"/>
  <c r="AV1125" i="6"/>
  <c r="CY1125" i="6" s="1"/>
  <c r="BA1125" i="6"/>
  <c r="CZ1125" i="6" s="1"/>
  <c r="BF1125" i="6"/>
  <c r="DA1125" i="6" s="1"/>
  <c r="BK1125" i="6"/>
  <c r="DB1125" i="6" s="1"/>
  <c r="BP1125" i="6"/>
  <c r="DC1125" i="6" s="1"/>
  <c r="CP1125" i="6"/>
  <c r="CQ1125" i="6"/>
  <c r="CR1125" i="6"/>
  <c r="CS1125" i="6"/>
  <c r="CT1125" i="6"/>
  <c r="CU1125" i="6"/>
  <c r="CV1125" i="6"/>
  <c r="CP1127" i="6"/>
  <c r="CP1129" i="6"/>
  <c r="AB1131" i="6"/>
  <c r="AC1131" i="6"/>
  <c r="AD1131" i="6"/>
  <c r="AE1131" i="6"/>
  <c r="AF1131" i="6"/>
  <c r="AG1131" i="6"/>
  <c r="AH1131" i="6"/>
  <c r="AH1182" i="6" s="1"/>
  <c r="AH1223" i="6" s="1"/>
  <c r="AI1131" i="6"/>
  <c r="AJ1131" i="6"/>
  <c r="AK1131" i="6"/>
  <c r="AL1131" i="6"/>
  <c r="AM1131" i="6"/>
  <c r="AN1131" i="6"/>
  <c r="AO1131" i="6"/>
  <c r="AP1131" i="6"/>
  <c r="AQ1131" i="6"/>
  <c r="AR1131" i="6"/>
  <c r="AS1131" i="6"/>
  <c r="AT1131" i="6"/>
  <c r="AU1131" i="6"/>
  <c r="AV1131" i="6"/>
  <c r="AW1131" i="6"/>
  <c r="AX1131" i="6"/>
  <c r="AY1131" i="6"/>
  <c r="AZ1131" i="6"/>
  <c r="BA1131" i="6"/>
  <c r="BB1131" i="6"/>
  <c r="BC1131" i="6"/>
  <c r="BD1131" i="6"/>
  <c r="BE1131" i="6"/>
  <c r="BF1131" i="6"/>
  <c r="BG1131" i="6"/>
  <c r="BH1131" i="6"/>
  <c r="BI1131" i="6"/>
  <c r="BJ1131" i="6"/>
  <c r="BK1131" i="6"/>
  <c r="BL1131" i="6"/>
  <c r="BM1131" i="6"/>
  <c r="BN1131" i="6"/>
  <c r="BO1131" i="6"/>
  <c r="BP1131" i="6"/>
  <c r="BU1131" i="6"/>
  <c r="BZ1131" i="6"/>
  <c r="CA1131" i="6"/>
  <c r="CB1131" i="6"/>
  <c r="CC1131" i="6"/>
  <c r="CD1131" i="6"/>
  <c r="CE1131" i="6"/>
  <c r="CF1131" i="6"/>
  <c r="CG1131" i="6"/>
  <c r="CP1131" i="6"/>
  <c r="CP1133" i="6"/>
  <c r="H1135" i="6"/>
  <c r="CQ1135" i="6" s="1"/>
  <c r="M1135" i="6"/>
  <c r="CR1135" i="6" s="1"/>
  <c r="R1135" i="6"/>
  <c r="CS1135" i="6" s="1"/>
  <c r="W1135" i="6"/>
  <c r="CT1135" i="6" s="1"/>
  <c r="AB1135" i="6"/>
  <c r="CU1135" i="6" s="1"/>
  <c r="AG1135" i="6"/>
  <c r="CV1135" i="6" s="1"/>
  <c r="AL1135" i="6"/>
  <c r="CW1135" i="6" s="1"/>
  <c r="AQ1135" i="6"/>
  <c r="CX1135" i="6" s="1"/>
  <c r="AV1135" i="6"/>
  <c r="BA1135" i="6"/>
  <c r="BA1136" i="6" s="1"/>
  <c r="CZ1136" i="6" s="1"/>
  <c r="BF1135" i="6"/>
  <c r="BK1135" i="6"/>
  <c r="DB1135" i="6" s="1"/>
  <c r="BP1135" i="6"/>
  <c r="DC1135" i="6" s="1"/>
  <c r="CP1135" i="6"/>
  <c r="D1136" i="6"/>
  <c r="D1138" i="6" s="1"/>
  <c r="E1136" i="6"/>
  <c r="F1136" i="6"/>
  <c r="G1136" i="6"/>
  <c r="I1136" i="6"/>
  <c r="J1136" i="6"/>
  <c r="K1136" i="6"/>
  <c r="L1136" i="6"/>
  <c r="N1136" i="6"/>
  <c r="O1136" i="6"/>
  <c r="P1136" i="6"/>
  <c r="Q1136" i="6"/>
  <c r="S1136" i="6"/>
  <c r="T1136" i="6"/>
  <c r="U1136" i="6"/>
  <c r="V1136" i="6"/>
  <c r="X1136" i="6"/>
  <c r="Y1136" i="6"/>
  <c r="Z1136" i="6"/>
  <c r="AA1136" i="6"/>
  <c r="AC1136" i="6"/>
  <c r="AD1136" i="6"/>
  <c r="AE1136" i="6"/>
  <c r="AF1136" i="6"/>
  <c r="AH1136" i="6"/>
  <c r="AI1136" i="6"/>
  <c r="AJ1136" i="6"/>
  <c r="AK1136" i="6"/>
  <c r="AM1136" i="6"/>
  <c r="CP1136" i="6"/>
  <c r="DB1136" i="6"/>
  <c r="DC1136" i="6"/>
  <c r="DD1136" i="6"/>
  <c r="DE1136" i="6"/>
  <c r="DF1136" i="6"/>
  <c r="DG1136" i="6"/>
  <c r="CP1138" i="6"/>
  <c r="CU1138" i="6"/>
  <c r="CV1138" i="6"/>
  <c r="CW1138" i="6"/>
  <c r="CX1138" i="6"/>
  <c r="CY1138" i="6"/>
  <c r="CZ1138" i="6"/>
  <c r="DA1138" i="6"/>
  <c r="DB1138" i="6"/>
  <c r="DC1138" i="6"/>
  <c r="DD1138" i="6"/>
  <c r="DE1138" i="6"/>
  <c r="DF1138" i="6"/>
  <c r="DG1138" i="6"/>
  <c r="AP1139" i="6"/>
  <c r="AR1139" i="6"/>
  <c r="AS1139" i="6"/>
  <c r="AT1139" i="6"/>
  <c r="AU1139" i="6"/>
  <c r="AW1139" i="6"/>
  <c r="AX1139" i="6"/>
  <c r="AY1139" i="6"/>
  <c r="AZ1139" i="6"/>
  <c r="BB1139" i="6"/>
  <c r="BC1139" i="6"/>
  <c r="BD1139" i="6"/>
  <c r="BE1139" i="6"/>
  <c r="BG1139" i="6"/>
  <c r="BH1139" i="6"/>
  <c r="BI1139" i="6"/>
  <c r="BJ1139" i="6"/>
  <c r="BL1139" i="6"/>
  <c r="BM1139" i="6"/>
  <c r="BN1139" i="6"/>
  <c r="BO1139" i="6"/>
  <c r="CP1139" i="6"/>
  <c r="CQ1139" i="6"/>
  <c r="CR1139" i="6"/>
  <c r="CS1139" i="6"/>
  <c r="AK1140" i="6"/>
  <c r="AL1140" i="6" s="1"/>
  <c r="CW1140" i="6" s="1"/>
  <c r="AN1140" i="6"/>
  <c r="AP1140" i="6"/>
  <c r="AR1140" i="6"/>
  <c r="AS1140" i="6"/>
  <c r="AT1140" i="6"/>
  <c r="AU1140" i="6"/>
  <c r="AW1140" i="6"/>
  <c r="AX1140" i="6"/>
  <c r="AY1140" i="6"/>
  <c r="AZ1140" i="6"/>
  <c r="BB1140" i="6"/>
  <c r="BC1140" i="6"/>
  <c r="BD1140" i="6"/>
  <c r="BE1140" i="6"/>
  <c r="BG1140" i="6"/>
  <c r="BH1140" i="6"/>
  <c r="BI1140" i="6"/>
  <c r="BJ1140" i="6"/>
  <c r="BL1140" i="6"/>
  <c r="BM1140" i="6"/>
  <c r="BN1140" i="6"/>
  <c r="BO1140" i="6"/>
  <c r="CP1140" i="6"/>
  <c r="CQ1140" i="6"/>
  <c r="CR1140" i="6"/>
  <c r="CS1140" i="6"/>
  <c r="CT1140" i="6"/>
  <c r="CU1140" i="6"/>
  <c r="CV1140" i="6"/>
  <c r="CP1141" i="6"/>
  <c r="CQ1141" i="6"/>
  <c r="CR1141" i="6"/>
  <c r="CS1141" i="6"/>
  <c r="CT1141" i="6"/>
  <c r="CU1141" i="6"/>
  <c r="CV1141" i="6"/>
  <c r="CW1141" i="6"/>
  <c r="AT1142" i="6"/>
  <c r="AU1142" i="6"/>
  <c r="AX1142" i="6"/>
  <c r="BA1142" i="6" s="1"/>
  <c r="CZ1142" i="6" s="1"/>
  <c r="AY1142" i="6"/>
  <c r="AZ1142" i="6"/>
  <c r="BB1142" i="6"/>
  <c r="BC1142" i="6"/>
  <c r="BD1142" i="6"/>
  <c r="BE1142" i="6"/>
  <c r="BG1142" i="6"/>
  <c r="BH1142" i="6"/>
  <c r="BI1142" i="6"/>
  <c r="BJ1142" i="6"/>
  <c r="BM1142" i="6"/>
  <c r="BN1142" i="6"/>
  <c r="BP1142" i="6" s="1"/>
  <c r="DC1142" i="6" s="1"/>
  <c r="BO1142" i="6"/>
  <c r="CP1142" i="6"/>
  <c r="CQ1142" i="6"/>
  <c r="CR1142" i="6"/>
  <c r="CS1142" i="6"/>
  <c r="CT1142" i="6"/>
  <c r="CU1142" i="6"/>
  <c r="CV1142" i="6"/>
  <c r="CW1142" i="6"/>
  <c r="AP1143" i="6"/>
  <c r="AQ1143" i="6" s="1"/>
  <c r="CX1143" i="6" s="1"/>
  <c r="AS1143" i="6"/>
  <c r="AT1143" i="6"/>
  <c r="AU1143" i="6"/>
  <c r="AW1143" i="6"/>
  <c r="AX1143" i="6"/>
  <c r="AY1143" i="6"/>
  <c r="AZ1143" i="6"/>
  <c r="BB1143" i="6"/>
  <c r="BC1143" i="6"/>
  <c r="BD1143" i="6"/>
  <c r="BE1143" i="6"/>
  <c r="BG1143" i="6"/>
  <c r="BH1143" i="6"/>
  <c r="BI1143" i="6"/>
  <c r="BJ1143" i="6"/>
  <c r="BL1143" i="6"/>
  <c r="BM1143" i="6"/>
  <c r="BN1143" i="6"/>
  <c r="BO1143" i="6"/>
  <c r="DE1143" i="6"/>
  <c r="CA1143" i="6"/>
  <c r="DF1143" i="6" s="1"/>
  <c r="CB1143" i="6"/>
  <c r="DG1143" i="6" s="1"/>
  <c r="CC1143" i="6"/>
  <c r="CD1143" i="6"/>
  <c r="CE1143" i="6"/>
  <c r="CF1143" i="6"/>
  <c r="CG1143" i="6"/>
  <c r="CP1143" i="6"/>
  <c r="CQ1143" i="6"/>
  <c r="CR1143" i="6"/>
  <c r="CS1143" i="6"/>
  <c r="CT1143" i="6"/>
  <c r="CU1143" i="6"/>
  <c r="CV1143" i="6"/>
  <c r="CW1143" i="6"/>
  <c r="AY1144" i="6"/>
  <c r="AZ1144" i="6"/>
  <c r="BB1144" i="6"/>
  <c r="BC1144" i="6"/>
  <c r="BD1144" i="6"/>
  <c r="BE1144" i="6"/>
  <c r="BG1144" i="6"/>
  <c r="BH1144" i="6"/>
  <c r="BI1144" i="6"/>
  <c r="BJ1144" i="6"/>
  <c r="BM1144" i="6"/>
  <c r="BN1144" i="6"/>
  <c r="BO1144" i="6"/>
  <c r="AT1145" i="6"/>
  <c r="AU1145" i="6"/>
  <c r="AW1145" i="6"/>
  <c r="AX1145" i="6"/>
  <c r="AY1145" i="6"/>
  <c r="AZ1145" i="6"/>
  <c r="BB1145" i="6"/>
  <c r="BC1145" i="6"/>
  <c r="BD1145" i="6"/>
  <c r="BE1145" i="6"/>
  <c r="BG1145" i="6"/>
  <c r="BH1145" i="6"/>
  <c r="BI1145" i="6"/>
  <c r="BJ1145" i="6"/>
  <c r="BM1145" i="6"/>
  <c r="AT1146" i="6"/>
  <c r="AU1146" i="6"/>
  <c r="AW1146" i="6"/>
  <c r="AX1146" i="6"/>
  <c r="AY1146" i="6"/>
  <c r="AZ1146" i="6"/>
  <c r="BB1146" i="6"/>
  <c r="BF1146" i="6" s="1"/>
  <c r="BC1146" i="6"/>
  <c r="BD1146" i="6"/>
  <c r="BE1146" i="6"/>
  <c r="BG1146" i="6"/>
  <c r="BK1146" i="6" s="1"/>
  <c r="BH1146" i="6"/>
  <c r="BI1146" i="6"/>
  <c r="BJ1146" i="6"/>
  <c r="D1149" i="6"/>
  <c r="E1149" i="6"/>
  <c r="L1149" i="6"/>
  <c r="O1149" i="6"/>
  <c r="P1149" i="6"/>
  <c r="Q1149" i="6"/>
  <c r="AE1149" i="6"/>
  <c r="AU1149" i="6"/>
  <c r="CP1149" i="6"/>
  <c r="D1150" i="6"/>
  <c r="E1150" i="6"/>
  <c r="J1150" i="6"/>
  <c r="K1150" i="6"/>
  <c r="L1150" i="6"/>
  <c r="O1150" i="6"/>
  <c r="P1150" i="6"/>
  <c r="Q1150" i="6"/>
  <c r="AE1150" i="6"/>
  <c r="AU1150" i="6"/>
  <c r="CP1150" i="6"/>
  <c r="D1151" i="6"/>
  <c r="E1151" i="6"/>
  <c r="J1151" i="6"/>
  <c r="K1151" i="6"/>
  <c r="L1151" i="6"/>
  <c r="O1151" i="6"/>
  <c r="P1151" i="6"/>
  <c r="Q1151" i="6"/>
  <c r="AE1151" i="6"/>
  <c r="AU1151" i="6"/>
  <c r="CP1151" i="6"/>
  <c r="D1152" i="6"/>
  <c r="AE1152" i="6"/>
  <c r="AU1152" i="6"/>
  <c r="CP1152" i="6"/>
  <c r="D1153" i="6"/>
  <c r="Y1153" i="6"/>
  <c r="Z1153" i="6"/>
  <c r="AA1153" i="6"/>
  <c r="AD1153" i="6"/>
  <c r="AE1153" i="6"/>
  <c r="AF1153" i="6"/>
  <c r="AI1153" i="6"/>
  <c r="AJ1153" i="6"/>
  <c r="AK1153" i="6"/>
  <c r="AU1153" i="6"/>
  <c r="CP1153" i="6"/>
  <c r="D1154" i="6"/>
  <c r="U1154" i="6"/>
  <c r="V1154" i="6"/>
  <c r="Y1154" i="6"/>
  <c r="Z1154" i="6"/>
  <c r="AA1154" i="6"/>
  <c r="AD1154" i="6"/>
  <c r="AE1154" i="6"/>
  <c r="AF1154" i="6"/>
  <c r="AU1154" i="6"/>
  <c r="CP1154" i="6"/>
  <c r="E1155" i="6"/>
  <c r="Y1155" i="6"/>
  <c r="Z1155" i="6"/>
  <c r="AA1155" i="6"/>
  <c r="AE1155" i="6"/>
  <c r="AF1155" i="6"/>
  <c r="AI1155" i="6"/>
  <c r="AJ1155" i="6"/>
  <c r="AK1155" i="6"/>
  <c r="AN1155" i="6"/>
  <c r="AO1155" i="6"/>
  <c r="AP1155" i="6"/>
  <c r="AS1155" i="6"/>
  <c r="AT1155" i="6"/>
  <c r="AU1155" i="6"/>
  <c r="AX1155" i="6"/>
  <c r="BC1155" i="6"/>
  <c r="BD1155" i="6"/>
  <c r="BE1155" i="6"/>
  <c r="CP1155" i="6"/>
  <c r="N1156" i="6"/>
  <c r="Y1156" i="6"/>
  <c r="Z1156" i="6"/>
  <c r="AA1156" i="6"/>
  <c r="AF1156" i="6"/>
  <c r="AI1156" i="6"/>
  <c r="AJ1156" i="6"/>
  <c r="AK1156" i="6"/>
  <c r="AN1156" i="6"/>
  <c r="AO1156" i="6"/>
  <c r="AP1156" i="6"/>
  <c r="AU1156" i="6"/>
  <c r="AX1156" i="6"/>
  <c r="AY1156" i="6"/>
  <c r="AZ1156" i="6"/>
  <c r="BC1156" i="6"/>
  <c r="BD1156" i="6"/>
  <c r="BE1156" i="6"/>
  <c r="CP1156" i="6"/>
  <c r="CQ1156" i="6"/>
  <c r="CR1156" i="6"/>
  <c r="AM1157" i="6"/>
  <c r="AN1157" i="6"/>
  <c r="AO1157" i="6"/>
  <c r="AP1157" i="6"/>
  <c r="AS1157" i="6"/>
  <c r="AT1157" i="6"/>
  <c r="AU1157" i="6"/>
  <c r="AX1157" i="6"/>
  <c r="AY1157" i="6"/>
  <c r="AZ1157" i="6"/>
  <c r="BC1157" i="6"/>
  <c r="BD1157" i="6"/>
  <c r="BE1157" i="6"/>
  <c r="BH1157" i="6"/>
  <c r="BI1157" i="6"/>
  <c r="BJ1157" i="6"/>
  <c r="BM1157" i="6"/>
  <c r="CP1157" i="6"/>
  <c r="CQ1157" i="6"/>
  <c r="CR1157" i="6"/>
  <c r="CS1157" i="6"/>
  <c r="CT1157" i="6"/>
  <c r="CU1157" i="6"/>
  <c r="CV1157" i="6"/>
  <c r="CW1157" i="6"/>
  <c r="AS1158" i="6"/>
  <c r="AT1158" i="6"/>
  <c r="AU1158" i="6"/>
  <c r="AX1158" i="6"/>
  <c r="AY1158" i="6"/>
  <c r="AZ1158" i="6"/>
  <c r="BC1158" i="6"/>
  <c r="BD1158" i="6"/>
  <c r="BE1158" i="6"/>
  <c r="BH1158" i="6"/>
  <c r="BI1158" i="6"/>
  <c r="BJ1158" i="6"/>
  <c r="CP1158" i="6"/>
  <c r="CQ1158" i="6"/>
  <c r="CR1158" i="6"/>
  <c r="CS1158" i="6"/>
  <c r="CT1158" i="6"/>
  <c r="CU1158" i="6"/>
  <c r="CV1158" i="6"/>
  <c r="CW1158" i="6"/>
  <c r="CX1158" i="6"/>
  <c r="BH1159" i="6"/>
  <c r="BI1159" i="6"/>
  <c r="BJ1159" i="6"/>
  <c r="W1160" i="6"/>
  <c r="CT1160" i="6" s="1"/>
  <c r="AL1160" i="6"/>
  <c r="CW1160" i="6" s="1"/>
  <c r="AQ1160" i="6"/>
  <c r="CX1160" i="6" s="1"/>
  <c r="AV1160" i="6"/>
  <c r="CY1160" i="6" s="1"/>
  <c r="BA1160" i="6"/>
  <c r="CZ1160" i="6" s="1"/>
  <c r="BF1160" i="6"/>
  <c r="DA1160" i="6" s="1"/>
  <c r="BK1160" i="6"/>
  <c r="DB1160" i="6" s="1"/>
  <c r="BP1160" i="6"/>
  <c r="DC1160" i="6" s="1"/>
  <c r="CP1160" i="6"/>
  <c r="CQ1160" i="6"/>
  <c r="CR1160" i="6"/>
  <c r="CS1160" i="6"/>
  <c r="DE1160" i="6"/>
  <c r="DF1160" i="6"/>
  <c r="DG1160" i="6"/>
  <c r="D1161" i="6"/>
  <c r="AI1161" i="6"/>
  <c r="AJ1161" i="6"/>
  <c r="AK1161" i="6"/>
  <c r="AN1161" i="6"/>
  <c r="AO1161" i="6"/>
  <c r="AP1161" i="6"/>
  <c r="AS1161" i="6"/>
  <c r="BI1161" i="6"/>
  <c r="BJ1161" i="6"/>
  <c r="CP1161" i="6"/>
  <c r="H1162" i="6"/>
  <c r="CQ1162" i="6" s="1"/>
  <c r="M1162" i="6"/>
  <c r="CR1162" i="6" s="1"/>
  <c r="Q1162" i="6"/>
  <c r="Q142" i="6" s="1"/>
  <c r="W1162" i="6"/>
  <c r="CT1162" i="6" s="1"/>
  <c r="AB1162" i="6"/>
  <c r="CU1162" i="6" s="1"/>
  <c r="AG1162" i="6"/>
  <c r="CV1162" i="6" s="1"/>
  <c r="AH1162" i="6"/>
  <c r="AH142" i="6" s="1"/>
  <c r="AU1162" i="6"/>
  <c r="AU142" i="6" s="1"/>
  <c r="CP1162" i="6"/>
  <c r="AI1163" i="6"/>
  <c r="AI1272" i="6" s="1"/>
  <c r="AJ1163" i="6"/>
  <c r="AJ1272" i="6" s="1"/>
  <c r="AK1163" i="6"/>
  <c r="AK1272" i="6" s="1"/>
  <c r="AM1163" i="6"/>
  <c r="AM1272" i="6" s="1"/>
  <c r="AN1163" i="6"/>
  <c r="AO1163" i="6"/>
  <c r="AO1272" i="6" s="1"/>
  <c r="AP1163" i="6"/>
  <c r="AP1272" i="6" s="1"/>
  <c r="AR1163" i="6"/>
  <c r="AR1272" i="6" s="1"/>
  <c r="AS1163" i="6"/>
  <c r="AS1272" i="6" s="1"/>
  <c r="AT1163" i="6"/>
  <c r="AT1272" i="6" s="1"/>
  <c r="AU1163" i="6"/>
  <c r="AU1272" i="6" s="1"/>
  <c r="CP1163" i="6"/>
  <c r="CQ1163" i="6"/>
  <c r="CR1163" i="6"/>
  <c r="CS1163" i="6"/>
  <c r="CT1163" i="6"/>
  <c r="CU1163" i="6"/>
  <c r="CV1163" i="6"/>
  <c r="CZ1163" i="6"/>
  <c r="DA1163" i="6"/>
  <c r="DB1163" i="6"/>
  <c r="DC1163" i="6"/>
  <c r="DD1163" i="6"/>
  <c r="DE1163" i="6"/>
  <c r="DF1163" i="6"/>
  <c r="DG1163" i="6"/>
  <c r="AU1164" i="6"/>
  <c r="AV1164" i="6" s="1"/>
  <c r="AW1164" i="6"/>
  <c r="AY1164" i="6"/>
  <c r="AZ1164" i="6"/>
  <c r="BB1164" i="6"/>
  <c r="BC1164" i="6"/>
  <c r="BD1164" i="6"/>
  <c r="BE1164" i="6"/>
  <c r="BG1164" i="6"/>
  <c r="BH1164" i="6"/>
  <c r="BI1164" i="6"/>
  <c r="BJ1164" i="6"/>
  <c r="BM1164" i="6"/>
  <c r="AU1165" i="6"/>
  <c r="AV1165" i="6" s="1"/>
  <c r="AW1165" i="6"/>
  <c r="AX1165" i="6"/>
  <c r="AY1165" i="6"/>
  <c r="AZ1165" i="6"/>
  <c r="BB1165" i="6"/>
  <c r="BC1165" i="6"/>
  <c r="BD1165" i="6"/>
  <c r="BE1165" i="6"/>
  <c r="BG1165" i="6"/>
  <c r="BH1165" i="6"/>
  <c r="BK1165" i="6" s="1"/>
  <c r="BI1165" i="6"/>
  <c r="BJ1165" i="6"/>
  <c r="AT1166" i="6"/>
  <c r="AT1273" i="6" s="1"/>
  <c r="AU1166" i="6"/>
  <c r="AU1273" i="6" s="1"/>
  <c r="AX1166" i="6"/>
  <c r="AY1166" i="6"/>
  <c r="AZ1166" i="6"/>
  <c r="BC1166" i="6"/>
  <c r="BF1166" i="6" s="1"/>
  <c r="BD1166" i="6"/>
  <c r="BE1166" i="6"/>
  <c r="BH1166" i="6"/>
  <c r="BI1166" i="6"/>
  <c r="BJ1166" i="6"/>
  <c r="BM1166" i="6"/>
  <c r="BL1167" i="6"/>
  <c r="BM1167" i="6"/>
  <c r="AV1168" i="6"/>
  <c r="AX1168" i="6"/>
  <c r="AY1168" i="6" s="1"/>
  <c r="AZ1168" i="6" s="1"/>
  <c r="BB1168" i="6" s="1"/>
  <c r="BC1168" i="6" s="1"/>
  <c r="BD1168" i="6" s="1"/>
  <c r="BM1168" i="6"/>
  <c r="BN1168" i="6" s="1"/>
  <c r="BO1168" i="6" s="1"/>
  <c r="CP1170" i="6"/>
  <c r="CQ1171" i="6"/>
  <c r="CR1171" i="6"/>
  <c r="CS1171" i="6"/>
  <c r="CT1171" i="6"/>
  <c r="CU1171" i="6"/>
  <c r="CV1171" i="6"/>
  <c r="CW1171" i="6"/>
  <c r="CX1171" i="6"/>
  <c r="CY1171" i="6"/>
  <c r="CZ1171" i="6"/>
  <c r="DA1171" i="6"/>
  <c r="DB1171" i="6"/>
  <c r="DC1171" i="6"/>
  <c r="DD1171" i="6"/>
  <c r="DE1171" i="6"/>
  <c r="DF1171" i="6"/>
  <c r="DG1171" i="6"/>
  <c r="CP1172" i="6"/>
  <c r="CP1174" i="6"/>
  <c r="W1175" i="6"/>
  <c r="CT1175" i="6" s="1"/>
  <c r="AB1175" i="6"/>
  <c r="CU1175" i="6" s="1"/>
  <c r="AG1175" i="6"/>
  <c r="CV1175" i="6" s="1"/>
  <c r="AH1175" i="6"/>
  <c r="AI1175" i="6" s="1"/>
  <c r="AJ1175" i="6" s="1"/>
  <c r="AK1175" i="6" s="1"/>
  <c r="AL1175" i="6" s="1"/>
  <c r="CW1175" i="6" s="1"/>
  <c r="AN1175" i="6"/>
  <c r="AQ1175" i="6"/>
  <c r="CX1175" i="6" s="1"/>
  <c r="AS1175" i="6"/>
  <c r="CP1175" i="6"/>
  <c r="V1176" i="6"/>
  <c r="W1176" i="6" s="1"/>
  <c r="CT1176" i="6" s="1"/>
  <c r="AA1176" i="6"/>
  <c r="AA1178" i="6" s="1"/>
  <c r="AB1178" i="6" s="1"/>
  <c r="CU1178" i="6" s="1"/>
  <c r="AC1176" i="6"/>
  <c r="AC1178" i="6" s="1"/>
  <c r="AD1176" i="6"/>
  <c r="AD1178" i="6" s="1"/>
  <c r="AE1176" i="6"/>
  <c r="AE1178" i="6" s="1"/>
  <c r="AF1176" i="6"/>
  <c r="CP1176" i="6"/>
  <c r="W1177" i="6"/>
  <c r="CT1177" i="6" s="1"/>
  <c r="AB1177" i="6"/>
  <c r="CU1177" i="6" s="1"/>
  <c r="AG1177" i="6"/>
  <c r="CV1177" i="6" s="1"/>
  <c r="AH1177" i="6"/>
  <c r="AI1177" i="6" s="1"/>
  <c r="AJ1177" i="6" s="1"/>
  <c r="AK1177" i="6" s="1"/>
  <c r="AL1177" i="6" s="1"/>
  <c r="CW1177" i="6" s="1"/>
  <c r="AN1177" i="6"/>
  <c r="AP1177" i="6"/>
  <c r="AS1177" i="6"/>
  <c r="AT1177" i="6" s="1"/>
  <c r="AU1177" i="6" s="1"/>
  <c r="AW1177" i="6" s="1"/>
  <c r="AX1177" i="6" s="1"/>
  <c r="AY1177" i="6" s="1"/>
  <c r="AZ1177" i="6" s="1"/>
  <c r="BB1177" i="6" s="1"/>
  <c r="BC1177" i="6" s="1"/>
  <c r="BD1177" i="6" s="1"/>
  <c r="BE1177" i="6" s="1"/>
  <c r="BG1177" i="6" s="1"/>
  <c r="BH1177" i="6" s="1"/>
  <c r="BI1177" i="6" s="1"/>
  <c r="BJ1177" i="6" s="1"/>
  <c r="BL1177" i="6" s="1"/>
  <c r="BM1177" i="6" s="1"/>
  <c r="BN1177" i="6" s="1"/>
  <c r="BO1177" i="6" s="1"/>
  <c r="BP1177" i="6" s="1"/>
  <c r="DC1177" i="6" s="1"/>
  <c r="CP1177" i="6"/>
  <c r="CP1178" i="6"/>
  <c r="AI1182" i="6"/>
  <c r="AJ1182" i="6"/>
  <c r="AK1182" i="6"/>
  <c r="AL1182" i="6"/>
  <c r="CW1182" i="6" s="1"/>
  <c r="AM1182" i="6"/>
  <c r="AN1182" i="6"/>
  <c r="AO1182" i="6"/>
  <c r="AP1182" i="6"/>
  <c r="AQ1182" i="6"/>
  <c r="CX1182" i="6" s="1"/>
  <c r="AR1182" i="6"/>
  <c r="AS1182" i="6"/>
  <c r="AT1182" i="6"/>
  <c r="AU1182" i="6"/>
  <c r="AV1182" i="6"/>
  <c r="CY1182" i="6" s="1"/>
  <c r="AW1182" i="6"/>
  <c r="AX1182" i="6"/>
  <c r="AY1182" i="6"/>
  <c r="AZ1182" i="6"/>
  <c r="BA1182" i="6"/>
  <c r="CZ1182" i="6" s="1"/>
  <c r="BB1182" i="6"/>
  <c r="BC1182" i="6"/>
  <c r="BD1182" i="6"/>
  <c r="BE1182" i="6"/>
  <c r="BF1182" i="6"/>
  <c r="DA1182" i="6" s="1"/>
  <c r="BG1182" i="6"/>
  <c r="BH1182" i="6"/>
  <c r="BI1182" i="6"/>
  <c r="BJ1182" i="6"/>
  <c r="BK1182" i="6"/>
  <c r="DB1182" i="6" s="1"/>
  <c r="BL1182" i="6"/>
  <c r="BM1182" i="6"/>
  <c r="BN1182" i="6"/>
  <c r="BO1182" i="6"/>
  <c r="BP1182" i="6"/>
  <c r="DC1182" i="6" s="1"/>
  <c r="BU1182" i="6"/>
  <c r="DD1182" i="6" s="1"/>
  <c r="BZ1182" i="6"/>
  <c r="DE1182" i="6" s="1"/>
  <c r="CA1182" i="6"/>
  <c r="DF1182" i="6" s="1"/>
  <c r="CB1182" i="6"/>
  <c r="DG1182" i="6" s="1"/>
  <c r="CC1182" i="6"/>
  <c r="CD1182" i="6"/>
  <c r="CE1182" i="6"/>
  <c r="CF1182" i="6"/>
  <c r="CG1182" i="6"/>
  <c r="CP1182" i="6"/>
  <c r="CQ1182" i="6"/>
  <c r="CR1182" i="6"/>
  <c r="CS1182" i="6"/>
  <c r="CT1182" i="6"/>
  <c r="CU1182" i="6"/>
  <c r="CV1182" i="6"/>
  <c r="CP1184" i="6"/>
  <c r="D1185" i="6"/>
  <c r="E1185" i="6"/>
  <c r="F1185" i="6"/>
  <c r="G1185" i="6"/>
  <c r="I1185" i="6"/>
  <c r="J1185" i="6"/>
  <c r="K1185" i="6"/>
  <c r="L1185" i="6"/>
  <c r="N1185" i="6"/>
  <c r="O1185" i="6"/>
  <c r="P1185" i="6"/>
  <c r="Q1185" i="6"/>
  <c r="CP1185" i="6"/>
  <c r="CT1185" i="6"/>
  <c r="CU1185" i="6"/>
  <c r="CV1185" i="6"/>
  <c r="CW1185" i="6"/>
  <c r="CX1185" i="6"/>
  <c r="CY1185" i="6"/>
  <c r="CZ1185" i="6"/>
  <c r="DA1185" i="6"/>
  <c r="DB1185" i="6"/>
  <c r="DC1185" i="6"/>
  <c r="DD1185" i="6"/>
  <c r="DE1185" i="6"/>
  <c r="DF1185" i="6"/>
  <c r="DG1185" i="6"/>
  <c r="D1186" i="6"/>
  <c r="I1186" i="6"/>
  <c r="N1186" i="6"/>
  <c r="O1186" i="6"/>
  <c r="P1186" i="6"/>
  <c r="Q1186" i="6"/>
  <c r="S1186" i="6"/>
  <c r="T1186" i="6"/>
  <c r="U1186" i="6"/>
  <c r="V1186" i="6"/>
  <c r="X1186" i="6"/>
  <c r="Y1186" i="6"/>
  <c r="Z1186" i="6"/>
  <c r="AA1186" i="6"/>
  <c r="AC1186" i="6"/>
  <c r="AD1186" i="6"/>
  <c r="AE1186" i="6"/>
  <c r="AF1186" i="6"/>
  <c r="AH1186" i="6"/>
  <c r="AI1186" i="6"/>
  <c r="AJ1186" i="6"/>
  <c r="AK1186" i="6"/>
  <c r="AM1186" i="6"/>
  <c r="AN1186" i="6"/>
  <c r="AO1186" i="6"/>
  <c r="AP1186" i="6"/>
  <c r="AQ1186" i="6" s="1"/>
  <c r="CX1186" i="6" s="1"/>
  <c r="AR1186" i="6"/>
  <c r="CP1186" i="6"/>
  <c r="D1187" i="6"/>
  <c r="E1187" i="6"/>
  <c r="F1187" i="6"/>
  <c r="G1187" i="6"/>
  <c r="I1187" i="6"/>
  <c r="J1187" i="6"/>
  <c r="K1187" i="6"/>
  <c r="L1187" i="6"/>
  <c r="N1187" i="6"/>
  <c r="O1187" i="6"/>
  <c r="P1187" i="6"/>
  <c r="Q1187" i="6"/>
  <c r="S1187" i="6"/>
  <c r="T1187" i="6"/>
  <c r="W1187" i="6" s="1"/>
  <c r="CT1187" i="6" s="1"/>
  <c r="U1187" i="6"/>
  <c r="V1187" i="6"/>
  <c r="X1187" i="6"/>
  <c r="Y1187" i="6"/>
  <c r="AB1187" i="6" s="1"/>
  <c r="CU1187" i="6" s="1"/>
  <c r="Z1187" i="6"/>
  <c r="AA1187" i="6"/>
  <c r="AC1187" i="6"/>
  <c r="AD1187" i="6"/>
  <c r="AE1187" i="6"/>
  <c r="AF1187" i="6"/>
  <c r="AH1187" i="6"/>
  <c r="AI1187" i="6"/>
  <c r="AL1187" i="6" s="1"/>
  <c r="CW1187" i="6" s="1"/>
  <c r="AJ1187" i="6"/>
  <c r="AK1187" i="6"/>
  <c r="AM1187" i="6"/>
  <c r="AR1187" i="6" s="1"/>
  <c r="AW1187" i="6" s="1"/>
  <c r="AN1187" i="6"/>
  <c r="AQ1187" i="6" s="1"/>
  <c r="CX1187" i="6" s="1"/>
  <c r="AO1187" i="6"/>
  <c r="AP1187" i="6"/>
  <c r="CP1187" i="6"/>
  <c r="D1188" i="6"/>
  <c r="E1188" i="6"/>
  <c r="F1188" i="6"/>
  <c r="G1188" i="6"/>
  <c r="I1188" i="6"/>
  <c r="J1188" i="6"/>
  <c r="K1188" i="6"/>
  <c r="L1188" i="6"/>
  <c r="N1188" i="6"/>
  <c r="O1188" i="6"/>
  <c r="P1188" i="6"/>
  <c r="Q1188" i="6"/>
  <c r="S1188" i="6"/>
  <c r="T1188" i="6"/>
  <c r="U1188" i="6"/>
  <c r="V1188" i="6"/>
  <c r="X1188" i="6"/>
  <c r="AB1188" i="6" s="1"/>
  <c r="CU1188" i="6" s="1"/>
  <c r="Y1188" i="6"/>
  <c r="Z1188" i="6"/>
  <c r="AA1188" i="6"/>
  <c r="AC1188" i="6"/>
  <c r="AD1188" i="6"/>
  <c r="AE1188" i="6"/>
  <c r="AF1188" i="6"/>
  <c r="AO1188" i="6"/>
  <c r="AP1188" i="6"/>
  <c r="AS1188" i="6"/>
  <c r="AT1188" i="6" s="1"/>
  <c r="AW1188" i="6"/>
  <c r="BB1188" i="6" s="1"/>
  <c r="BG1188" i="6" s="1"/>
  <c r="BL1188" i="6" s="1"/>
  <c r="BQ1188" i="6" s="1"/>
  <c r="BV1188" i="6" s="1"/>
  <c r="CP1188" i="6"/>
  <c r="AI1189" i="6"/>
  <c r="AJ1189" i="6"/>
  <c r="AK1189" i="6"/>
  <c r="AM1189" i="6"/>
  <c r="AN1189" i="6"/>
  <c r="AO1189" i="6"/>
  <c r="AP1189" i="6"/>
  <c r="AR1189" i="6"/>
  <c r="AS1189" i="6"/>
  <c r="AT1189" i="6"/>
  <c r="AU1189" i="6"/>
  <c r="CP1189" i="6"/>
  <c r="CQ1189" i="6"/>
  <c r="CR1189" i="6"/>
  <c r="CS1189" i="6"/>
  <c r="CT1189" i="6"/>
  <c r="CU1189" i="6"/>
  <c r="CV1189" i="6"/>
  <c r="CZ1189" i="6"/>
  <c r="DA1189" i="6"/>
  <c r="DB1189" i="6"/>
  <c r="DC1189" i="6"/>
  <c r="DD1189" i="6"/>
  <c r="DE1189" i="6"/>
  <c r="DF1189" i="6"/>
  <c r="DG1189" i="6"/>
  <c r="CP1190" i="6"/>
  <c r="AS1191" i="6"/>
  <c r="AT1191" i="6" s="1"/>
  <c r="AU1191" i="6" s="1"/>
  <c r="AZ1191" i="6" s="1"/>
  <c r="AW1191" i="6"/>
  <c r="BB1191" i="6" s="1"/>
  <c r="BC1191" i="6" s="1"/>
  <c r="BD1191" i="6" s="1"/>
  <c r="BH1191" i="6"/>
  <c r="CP1191" i="6"/>
  <c r="CQ1191" i="6"/>
  <c r="CR1191" i="6"/>
  <c r="CS1191" i="6"/>
  <c r="CT1191" i="6"/>
  <c r="CU1191" i="6"/>
  <c r="CV1191" i="6"/>
  <c r="CW1191" i="6"/>
  <c r="CX1191" i="6"/>
  <c r="AV1192" i="6"/>
  <c r="BA1192" i="6"/>
  <c r="BE1192" i="6"/>
  <c r="BF1192" i="6" s="1"/>
  <c r="BK1192" i="6"/>
  <c r="DB1192" i="6" s="1"/>
  <c r="BN1192" i="6"/>
  <c r="CP1192" i="6"/>
  <c r="CQ1194" i="6"/>
  <c r="CR1194" i="6"/>
  <c r="CS1194" i="6"/>
  <c r="CT1194" i="6"/>
  <c r="CU1194" i="6"/>
  <c r="CV1194" i="6"/>
  <c r="CW1194" i="6"/>
  <c r="CX1194" i="6"/>
  <c r="CY1194" i="6"/>
  <c r="CZ1194" i="6"/>
  <c r="DA1194" i="6"/>
  <c r="DB1194" i="6"/>
  <c r="DC1194" i="6"/>
  <c r="DD1194" i="6"/>
  <c r="DE1194" i="6"/>
  <c r="DF1194" i="6"/>
  <c r="DG1194" i="6"/>
  <c r="AV1195" i="6"/>
  <c r="CY1195" i="6" s="1"/>
  <c r="BA1195" i="6"/>
  <c r="CZ1195" i="6" s="1"/>
  <c r="BF1195" i="6"/>
  <c r="DA1195" i="6" s="1"/>
  <c r="BK1195" i="6"/>
  <c r="DB1195" i="6" s="1"/>
  <c r="CP1195" i="6"/>
  <c r="CP1197" i="6"/>
  <c r="AH1198" i="6"/>
  <c r="AQ1198" i="6"/>
  <c r="CX1198" i="6" s="1"/>
  <c r="AX1198" i="6"/>
  <c r="BF1198" i="6"/>
  <c r="DA1198" i="6" s="1"/>
  <c r="BJ1198" i="6"/>
  <c r="BK1198" i="6" s="1"/>
  <c r="DB1198" i="6" s="1"/>
  <c r="BL1198" i="6"/>
  <c r="BM1198" i="6"/>
  <c r="BM1199" i="6" s="1"/>
  <c r="CP1198" i="6"/>
  <c r="AP1199" i="6"/>
  <c r="AS1199" i="6"/>
  <c r="AT1199" i="6" s="1"/>
  <c r="AW1199" i="6"/>
  <c r="BG1199" i="6"/>
  <c r="CP1199" i="6"/>
  <c r="DE1199" i="6"/>
  <c r="AP1200" i="6"/>
  <c r="AR1200" i="6"/>
  <c r="AR143" i="6" s="1"/>
  <c r="AS1200" i="6"/>
  <c r="AW1200" i="6"/>
  <c r="AY1200" i="6"/>
  <c r="BB1200" i="6"/>
  <c r="BC1200" i="6"/>
  <c r="BK1200" i="6"/>
  <c r="DB1200" i="6" s="1"/>
  <c r="BP1200" i="6"/>
  <c r="DC1200" i="6" s="1"/>
  <c r="CP1200" i="6"/>
  <c r="DE1200" i="6"/>
  <c r="DF1200" i="6"/>
  <c r="DG1200" i="6"/>
  <c r="AP1201" i="6"/>
  <c r="AT1201" i="6"/>
  <c r="AU1201" i="6"/>
  <c r="AW1201" i="6"/>
  <c r="AX1201" i="6"/>
  <c r="BB1201" i="6"/>
  <c r="BC1201" i="6"/>
  <c r="BD1201" i="6"/>
  <c r="BK1201" i="6"/>
  <c r="DB1201" i="6" s="1"/>
  <c r="BP1201" i="6"/>
  <c r="DC1201" i="6" s="1"/>
  <c r="CP1201" i="6"/>
  <c r="CQ1201" i="6"/>
  <c r="CR1201" i="6"/>
  <c r="CS1201" i="6"/>
  <c r="CT1201" i="6"/>
  <c r="CU1201" i="6"/>
  <c r="CV1201" i="6"/>
  <c r="CW1201" i="6"/>
  <c r="DD1201" i="6"/>
  <c r="DE1201" i="6"/>
  <c r="DF1201" i="6"/>
  <c r="DG1201" i="6"/>
  <c r="H1202" i="6"/>
  <c r="CQ1202" i="6" s="1"/>
  <c r="L1202" i="6"/>
  <c r="M1202" i="6" s="1"/>
  <c r="CR1202" i="6" s="1"/>
  <c r="N1202" i="6"/>
  <c r="R1202" i="6" s="1"/>
  <c r="CS1202" i="6" s="1"/>
  <c r="W1202" i="6"/>
  <c r="CT1202" i="6" s="1"/>
  <c r="AB1202" i="6"/>
  <c r="CU1202" i="6" s="1"/>
  <c r="AG1202" i="6"/>
  <c r="CV1202" i="6" s="1"/>
  <c r="AL1202" i="6"/>
  <c r="CW1202" i="6" s="1"/>
  <c r="AQ1202" i="6"/>
  <c r="CX1202" i="6" s="1"/>
  <c r="AV1202" i="6"/>
  <c r="CY1202" i="6" s="1"/>
  <c r="BA1202" i="6"/>
  <c r="CZ1202" i="6" s="1"/>
  <c r="BF1202" i="6"/>
  <c r="DA1202" i="6" s="1"/>
  <c r="BK1202" i="6"/>
  <c r="DB1202" i="6" s="1"/>
  <c r="BP1202" i="6"/>
  <c r="DC1202" i="6" s="1"/>
  <c r="CP1202" i="6"/>
  <c r="DE1202" i="6"/>
  <c r="DF1202" i="6"/>
  <c r="DG1202" i="6"/>
  <c r="AW1203" i="6"/>
  <c r="AX1203" i="6"/>
  <c r="BA1203" i="6" s="1"/>
  <c r="AZ1204" i="6" s="1"/>
  <c r="BF1203" i="6"/>
  <c r="BK1203" i="6"/>
  <c r="DB1203" i="6" s="1"/>
  <c r="BP1203" i="6"/>
  <c r="AU1204" i="6"/>
  <c r="AV1204" i="6" s="1"/>
  <c r="BF1204" i="6"/>
  <c r="BK1204" i="6"/>
  <c r="BP1204" i="6"/>
  <c r="CQ1206" i="6"/>
  <c r="CR1206" i="6"/>
  <c r="CS1206" i="6"/>
  <c r="CT1206" i="6"/>
  <c r="CU1206" i="6"/>
  <c r="CV1206" i="6"/>
  <c r="CW1206" i="6"/>
  <c r="CX1206" i="6"/>
  <c r="CY1206" i="6"/>
  <c r="CZ1206" i="6"/>
  <c r="DA1206" i="6"/>
  <c r="DB1206" i="6"/>
  <c r="DC1206" i="6"/>
  <c r="DD1206" i="6"/>
  <c r="DE1206" i="6"/>
  <c r="DF1206" i="6"/>
  <c r="DG1206" i="6"/>
  <c r="D1207" i="6"/>
  <c r="I1207" i="6"/>
  <c r="N1207" i="6"/>
  <c r="S1207" i="6"/>
  <c r="X1207" i="6"/>
  <c r="AC1207" i="6"/>
  <c r="AH1207" i="6"/>
  <c r="CP1207" i="6"/>
  <c r="CP1209" i="6"/>
  <c r="CW1209" i="6"/>
  <c r="CX1209" i="6"/>
  <c r="CY1209" i="6"/>
  <c r="CZ1209" i="6"/>
  <c r="DA1209" i="6"/>
  <c r="DB1209" i="6"/>
  <c r="DC1209" i="6"/>
  <c r="DD1209" i="6"/>
  <c r="DE1209" i="6"/>
  <c r="DF1209" i="6"/>
  <c r="DG1209" i="6"/>
  <c r="CP1211" i="6"/>
  <c r="CX1211" i="6"/>
  <c r="BK1215" i="6"/>
  <c r="BP1215" i="6"/>
  <c r="BP1216" i="6"/>
  <c r="CQ1217" i="6"/>
  <c r="CR1217" i="6"/>
  <c r="CS1217" i="6"/>
  <c r="CT1217" i="6"/>
  <c r="CU1217" i="6"/>
  <c r="CV1217" i="6"/>
  <c r="CW1217" i="6"/>
  <c r="CX1217" i="6"/>
  <c r="CY1217" i="6"/>
  <c r="CZ1217" i="6"/>
  <c r="DA1217" i="6"/>
  <c r="DB1217" i="6"/>
  <c r="DC1217" i="6"/>
  <c r="DD1217" i="6"/>
  <c r="DE1217" i="6"/>
  <c r="DF1217" i="6"/>
  <c r="DG1217" i="6"/>
  <c r="AV1218" i="6"/>
  <c r="AW1214" i="6" s="1"/>
  <c r="AW1216" i="6" s="1"/>
  <c r="BF1220" i="6"/>
  <c r="Q77" i="42457" s="1"/>
  <c r="BK1220" i="6"/>
  <c r="V77" i="42457" s="1"/>
  <c r="BP1220" i="6"/>
  <c r="AA77" i="42457" s="1"/>
  <c r="AB77" i="42457"/>
  <c r="AC77" i="42457"/>
  <c r="CA1220" i="6"/>
  <c r="AD77" i="42457" s="1"/>
  <c r="CB1220" i="6"/>
  <c r="AE77" i="42457" s="1"/>
  <c r="CC1220" i="6"/>
  <c r="CD1220" i="6"/>
  <c r="CE1220" i="6"/>
  <c r="CF1220" i="6"/>
  <c r="CG1220" i="6"/>
  <c r="AI1223" i="6"/>
  <c r="AJ1223" i="6"/>
  <c r="AK1223" i="6"/>
  <c r="AL1223" i="6"/>
  <c r="CW1223" i="6" s="1"/>
  <c r="AM1223" i="6"/>
  <c r="AN1223" i="6"/>
  <c r="AO1223" i="6"/>
  <c r="AP1223" i="6"/>
  <c r="AQ1223" i="6"/>
  <c r="CX1223" i="6" s="1"/>
  <c r="AR1223" i="6"/>
  <c r="AS1223" i="6"/>
  <c r="AT1223" i="6"/>
  <c r="AU1223" i="6"/>
  <c r="AV1223" i="6"/>
  <c r="CY1223" i="6" s="1"/>
  <c r="AW1223" i="6"/>
  <c r="AX1223" i="6"/>
  <c r="AY1223" i="6"/>
  <c r="AZ1223" i="6"/>
  <c r="BA1223" i="6"/>
  <c r="CZ1223" i="6" s="1"/>
  <c r="BB1223" i="6"/>
  <c r="BC1223" i="6"/>
  <c r="BD1223" i="6"/>
  <c r="BE1223" i="6"/>
  <c r="BF1223" i="6"/>
  <c r="DA1223" i="6" s="1"/>
  <c r="BG1223" i="6"/>
  <c r="BH1223" i="6"/>
  <c r="BI1223" i="6"/>
  <c r="BJ1223" i="6"/>
  <c r="BK1223" i="6"/>
  <c r="DB1223" i="6" s="1"/>
  <c r="BL1223" i="6"/>
  <c r="BM1223" i="6"/>
  <c r="BN1223" i="6"/>
  <c r="BO1223" i="6"/>
  <c r="BP1223" i="6"/>
  <c r="DC1223" i="6" s="1"/>
  <c r="BU1223" i="6"/>
  <c r="DD1223" i="6" s="1"/>
  <c r="BZ1223" i="6"/>
  <c r="DE1223" i="6" s="1"/>
  <c r="CA1223" i="6"/>
  <c r="DF1223" i="6" s="1"/>
  <c r="CB1223" i="6"/>
  <c r="DG1223" i="6" s="1"/>
  <c r="CC1223" i="6"/>
  <c r="CD1223" i="6"/>
  <c r="CE1223" i="6"/>
  <c r="CF1223" i="6"/>
  <c r="CG1223" i="6"/>
  <c r="CP1223" i="6"/>
  <c r="CU1223" i="6"/>
  <c r="CV1223" i="6"/>
  <c r="CP1224" i="6"/>
  <c r="CP1225" i="6"/>
  <c r="CQ1226" i="6"/>
  <c r="CR1226" i="6"/>
  <c r="CS1226" i="6"/>
  <c r="CT1226" i="6"/>
  <c r="CU1226" i="6"/>
  <c r="CV1226" i="6"/>
  <c r="CW1226" i="6"/>
  <c r="CX1226" i="6"/>
  <c r="CY1226" i="6"/>
  <c r="CZ1226" i="6"/>
  <c r="DA1226" i="6"/>
  <c r="DB1226" i="6"/>
  <c r="DC1226" i="6"/>
  <c r="DD1226" i="6"/>
  <c r="DE1226" i="6"/>
  <c r="DF1226" i="6"/>
  <c r="DG1226" i="6"/>
  <c r="CP1227" i="6"/>
  <c r="CP1229" i="6"/>
  <c r="I1230" i="6"/>
  <c r="K1230" i="6"/>
  <c r="N1230" i="6"/>
  <c r="O1230" i="6"/>
  <c r="P1230" i="6"/>
  <c r="Q1230" i="6"/>
  <c r="S1230" i="6"/>
  <c r="T1230" i="6"/>
  <c r="U1230" i="6"/>
  <c r="V1230" i="6"/>
  <c r="X1230" i="6"/>
  <c r="Y1230" i="6"/>
  <c r="Z1230" i="6"/>
  <c r="AA1230" i="6"/>
  <c r="AC1230" i="6"/>
  <c r="AD1230" i="6"/>
  <c r="AE1230" i="6"/>
  <c r="AF1230" i="6"/>
  <c r="AH1230" i="6"/>
  <c r="AI1230" i="6"/>
  <c r="CP1230" i="6"/>
  <c r="DA1230" i="6"/>
  <c r="DB1230" i="6"/>
  <c r="DC1230" i="6"/>
  <c r="DD1230" i="6"/>
  <c r="DE1230" i="6"/>
  <c r="DF1230" i="6"/>
  <c r="DG1230" i="6"/>
  <c r="CQ1231" i="6"/>
  <c r="CR1231" i="6"/>
  <c r="CS1231" i="6"/>
  <c r="CT1231" i="6"/>
  <c r="CU1231" i="6"/>
  <c r="CV1231" i="6"/>
  <c r="CW1231" i="6"/>
  <c r="CX1231" i="6"/>
  <c r="CY1231" i="6"/>
  <c r="CZ1231" i="6"/>
  <c r="DA1231" i="6"/>
  <c r="DB1231" i="6"/>
  <c r="DC1231" i="6"/>
  <c r="DD1231" i="6"/>
  <c r="DE1231" i="6"/>
  <c r="DF1231" i="6"/>
  <c r="DG1231" i="6"/>
  <c r="CP1232" i="6"/>
  <c r="CP1234" i="6"/>
  <c r="CP1235" i="6"/>
  <c r="AP1236" i="6"/>
  <c r="AQ1236" i="6" s="1"/>
  <c r="CX1236" i="6" s="1"/>
  <c r="AR1236" i="6"/>
  <c r="AS1236" i="6"/>
  <c r="AT1236" i="6"/>
  <c r="AU1236" i="6"/>
  <c r="AV1236" i="6" s="1"/>
  <c r="CY1236" i="6" s="1"/>
  <c r="AW1236" i="6"/>
  <c r="AX1236" i="6"/>
  <c r="AY1236" i="6"/>
  <c r="AZ1236" i="6"/>
  <c r="BA1236" i="6" s="1"/>
  <c r="CZ1236" i="6" s="1"/>
  <c r="BB1236" i="6"/>
  <c r="BC1236" i="6"/>
  <c r="CP1236" i="6"/>
  <c r="DA1236" i="6"/>
  <c r="DB1236" i="6"/>
  <c r="DC1236" i="6"/>
  <c r="DD1236" i="6"/>
  <c r="DE1236" i="6"/>
  <c r="DF1236" i="6"/>
  <c r="DG1236" i="6"/>
  <c r="CX1237" i="6"/>
  <c r="CY1237" i="6"/>
  <c r="CZ1237" i="6"/>
  <c r="DA1237" i="6"/>
  <c r="DB1237" i="6"/>
  <c r="DC1237" i="6"/>
  <c r="DD1237" i="6"/>
  <c r="DE1237" i="6"/>
  <c r="DF1237" i="6"/>
  <c r="DG1237" i="6"/>
  <c r="CP1238" i="6"/>
  <c r="CP1240" i="6"/>
  <c r="CP1241" i="6"/>
  <c r="CP1242" i="6"/>
  <c r="CP1243" i="6"/>
  <c r="CP1244" i="6"/>
  <c r="CP1246" i="6"/>
  <c r="CP1247" i="6"/>
  <c r="CP1248" i="6"/>
  <c r="CP1249" i="6"/>
  <c r="CP1251" i="6"/>
  <c r="CP1252" i="6"/>
  <c r="CP1253" i="6"/>
  <c r="CP1254" i="6"/>
  <c r="CP1256" i="6"/>
  <c r="CP1258" i="6"/>
  <c r="CP1259" i="6"/>
  <c r="CP1260" i="6"/>
  <c r="CP1261" i="6"/>
  <c r="CP1262" i="6"/>
  <c r="CP1263" i="6"/>
  <c r="CP1265" i="6"/>
  <c r="CP1266" i="6"/>
  <c r="CP1267" i="6"/>
  <c r="CP1268" i="6"/>
  <c r="CP1270" i="6"/>
  <c r="CP1271" i="6"/>
  <c r="AH1272" i="6"/>
  <c r="AW1272" i="6"/>
  <c r="AX1272" i="6"/>
  <c r="AY1272" i="6"/>
  <c r="AZ1272" i="6"/>
  <c r="BB1272" i="6"/>
  <c r="BC1272" i="6"/>
  <c r="BD1272" i="6"/>
  <c r="BE1272" i="6"/>
  <c r="BG1272" i="6"/>
  <c r="BH1272" i="6"/>
  <c r="BI1272" i="6"/>
  <c r="BJ1272" i="6"/>
  <c r="BL1272" i="6"/>
  <c r="BM1272" i="6"/>
  <c r="BN1272" i="6"/>
  <c r="BO1272" i="6"/>
  <c r="DD1272" i="6"/>
  <c r="DE1272" i="6"/>
  <c r="CA1272" i="6"/>
  <c r="DF1272" i="6" s="1"/>
  <c r="CB1272" i="6"/>
  <c r="CC1272" i="6"/>
  <c r="CD1272" i="6"/>
  <c r="CE1272" i="6"/>
  <c r="CF1272" i="6"/>
  <c r="CG1272" i="6"/>
  <c r="CP1272" i="6"/>
  <c r="DC1272" i="6"/>
  <c r="DG1272" i="6"/>
  <c r="DC1274" i="6"/>
  <c r="DD1274" i="6"/>
  <c r="DE1274" i="6"/>
  <c r="DF1274" i="6"/>
  <c r="DG1274" i="6"/>
  <c r="CP1275" i="6"/>
  <c r="H1276" i="6"/>
  <c r="CQ1276" i="6" s="1"/>
  <c r="I1276" i="6"/>
  <c r="J1276" i="6"/>
  <c r="K1276" i="6"/>
  <c r="L1276" i="6"/>
  <c r="M1276" i="6" s="1"/>
  <c r="CR1276" i="6" s="1"/>
  <c r="N1276" i="6"/>
  <c r="O1276" i="6"/>
  <c r="P1276" i="6"/>
  <c r="Q1276" i="6"/>
  <c r="R1276" i="6" s="1"/>
  <c r="CS1276" i="6" s="1"/>
  <c r="S1276" i="6"/>
  <c r="T1276" i="6"/>
  <c r="U1276" i="6"/>
  <c r="V1276" i="6"/>
  <c r="W1276" i="6" s="1"/>
  <c r="CT1276" i="6" s="1"/>
  <c r="X1276" i="6"/>
  <c r="Y1276" i="6"/>
  <c r="Z1276" i="6"/>
  <c r="AA1276" i="6"/>
  <c r="AB1276" i="6" s="1"/>
  <c r="CU1276" i="6" s="1"/>
  <c r="AC1276" i="6"/>
  <c r="AD1276" i="6"/>
  <c r="AE1276" i="6"/>
  <c r="AF1276" i="6"/>
  <c r="AG1276" i="6" s="1"/>
  <c r="CV1276" i="6" s="1"/>
  <c r="CP1276" i="6"/>
  <c r="CP1278" i="6"/>
  <c r="W1279" i="6"/>
  <c r="CT1279" i="6" s="1"/>
  <c r="Y1279" i="6"/>
  <c r="Z1279" i="6" s="1"/>
  <c r="AA1279" i="6" s="1"/>
  <c r="AB1279" i="6" s="1"/>
  <c r="CU1279" i="6" s="1"/>
  <c r="AD1279" i="6"/>
  <c r="AE1279" i="6" s="1"/>
  <c r="AF1279" i="6" s="1"/>
  <c r="AG1279" i="6" s="1"/>
  <c r="CV1279" i="6" s="1"/>
  <c r="AW1279" i="6"/>
  <c r="AX1279" i="6" s="1"/>
  <c r="AY1279" i="6" s="1"/>
  <c r="BC1279" i="6"/>
  <c r="BD1279" i="6" s="1"/>
  <c r="BP1279" i="6"/>
  <c r="DC1279" i="6" s="1"/>
  <c r="CP1279" i="6"/>
  <c r="CP1280" i="6"/>
  <c r="CP1281" i="6"/>
  <c r="AM1282" i="6"/>
  <c r="AN1282" i="6"/>
  <c r="AO1282" i="6"/>
  <c r="CP1282" i="6"/>
  <c r="CP1284" i="6"/>
  <c r="BB1285" i="6"/>
  <c r="BJ1285" i="6"/>
  <c r="CP1285" i="6"/>
  <c r="CP1286" i="6"/>
  <c r="AX1287" i="6"/>
  <c r="AY1287" i="6" s="1"/>
  <c r="BC1287" i="6"/>
  <c r="BD1287" i="6" s="1"/>
  <c r="BE1287" i="6" s="1"/>
  <c r="BP1287" i="6"/>
  <c r="DC1287" i="6" s="1"/>
  <c r="CP1287" i="6"/>
  <c r="CP1288" i="6"/>
  <c r="CP1289" i="6"/>
  <c r="AM1290" i="6"/>
  <c r="AN1290" i="6"/>
  <c r="AO1290" i="6"/>
  <c r="CP1290" i="6"/>
  <c r="CP1292" i="6"/>
  <c r="U1293" i="6"/>
  <c r="V1293" i="6" s="1"/>
  <c r="W1293" i="6" s="1"/>
  <c r="X1293" i="6" s="1"/>
  <c r="Y1293" i="6" s="1"/>
  <c r="Z1293" i="6" s="1"/>
  <c r="AA1293" i="6" s="1"/>
  <c r="AB1293" i="6" s="1"/>
  <c r="AS1293" i="6"/>
  <c r="AT1293" i="6" s="1"/>
  <c r="AU1293" i="6" s="1"/>
  <c r="AW1293" i="6"/>
  <c r="AY1293" i="6"/>
  <c r="AZ1293" i="6" s="1"/>
  <c r="BC1293" i="6"/>
  <c r="BD1293" i="6" s="1"/>
  <c r="BE1293" i="6" s="1"/>
  <c r="BG1293" i="6" s="1"/>
  <c r="BH1293" i="6" s="1"/>
  <c r="BI1293" i="6" s="1"/>
  <c r="BJ1293" i="6" s="1"/>
  <c r="BL1293" i="6" s="1"/>
  <c r="BM1293" i="6" s="1"/>
  <c r="BN1293" i="6" s="1"/>
  <c r="BO1293" i="6" s="1"/>
  <c r="BP1293" i="6" s="1"/>
  <c r="DC1293" i="6" s="1"/>
  <c r="CP1293" i="6"/>
  <c r="CP1294" i="6"/>
  <c r="CP1295" i="6"/>
  <c r="CP1296" i="6"/>
  <c r="CP1302" i="6"/>
  <c r="CW1302" i="6"/>
  <c r="CX1302" i="6"/>
  <c r="CY1302" i="6"/>
  <c r="CZ1302" i="6"/>
  <c r="DA1302" i="6"/>
  <c r="DB1302" i="6"/>
  <c r="DC1302" i="6"/>
  <c r="DD1302" i="6"/>
  <c r="DE1302" i="6"/>
  <c r="DF1302" i="6"/>
  <c r="DG1302" i="6"/>
  <c r="CP1303" i="6"/>
  <c r="CW1303" i="6"/>
  <c r="CX1303" i="6"/>
  <c r="CY1303" i="6"/>
  <c r="CZ1303" i="6"/>
  <c r="DA1303" i="6"/>
  <c r="DB1303" i="6"/>
  <c r="DC1303" i="6"/>
  <c r="DD1303" i="6"/>
  <c r="DE1303" i="6"/>
  <c r="DF1303" i="6"/>
  <c r="DG1303" i="6"/>
  <c r="AJ1304" i="6"/>
  <c r="AK1304" i="6"/>
  <c r="AL1304" i="6" s="1"/>
  <c r="CW1304" i="6" s="1"/>
  <c r="AM1304" i="6"/>
  <c r="AN1304" i="6"/>
  <c r="AO1304" i="6"/>
  <c r="AP1304" i="6"/>
  <c r="AQ1304" i="6" s="1"/>
  <c r="CX1304" i="6" s="1"/>
  <c r="AR1304" i="6"/>
  <c r="AS1304" i="6"/>
  <c r="AT1304" i="6"/>
  <c r="AU1304" i="6"/>
  <c r="AV1304" i="6" s="1"/>
  <c r="CY1304" i="6" s="1"/>
  <c r="AW1304" i="6"/>
  <c r="AX1304" i="6"/>
  <c r="AY1304" i="6"/>
  <c r="BA1304" i="6"/>
  <c r="CZ1304" i="6" s="1"/>
  <c r="CP1304" i="6"/>
  <c r="DD1304" i="6"/>
  <c r="DE1304" i="6"/>
  <c r="DF1304" i="6"/>
  <c r="DG1304" i="6"/>
  <c r="AJ1305" i="6"/>
  <c r="AK1305" i="6"/>
  <c r="AM1305" i="6"/>
  <c r="AM1313" i="6" s="1"/>
  <c r="AN1305" i="6"/>
  <c r="AO1305" i="6"/>
  <c r="AP1305" i="6"/>
  <c r="AQ1305" i="6" s="1"/>
  <c r="AR1305" i="6"/>
  <c r="AS1313" i="6" s="1"/>
  <c r="AS1305" i="6"/>
  <c r="AT1305" i="6"/>
  <c r="AU1305" i="6"/>
  <c r="AV1305" i="6" s="1"/>
  <c r="CY1305" i="6" s="1"/>
  <c r="AW1305" i="6"/>
  <c r="AW1313" i="6" s="1"/>
  <c r="AX1305" i="6"/>
  <c r="AY1305" i="6"/>
  <c r="AZ1305" i="6"/>
  <c r="BA1305" i="6" s="1"/>
  <c r="BB1305" i="6"/>
  <c r="BB1313" i="6" s="1"/>
  <c r="BB1316" i="6" s="1"/>
  <c r="CP1305" i="6"/>
  <c r="DD1305" i="6"/>
  <c r="DE1305" i="6"/>
  <c r="DF1305" i="6"/>
  <c r="DG1305" i="6"/>
  <c r="AL1306" i="6"/>
  <c r="CW1306" i="6" s="1"/>
  <c r="AQ1306" i="6"/>
  <c r="BK1314" i="6" s="1"/>
  <c r="DB1314" i="6" s="1"/>
  <c r="AV1306" i="6"/>
  <c r="CY1306" i="6" s="1"/>
  <c r="BA1306" i="6"/>
  <c r="CZ1306" i="6" s="1"/>
  <c r="CP1306" i="6"/>
  <c r="DD1306" i="6"/>
  <c r="DE1306" i="6"/>
  <c r="DF1306" i="6"/>
  <c r="DG1306" i="6"/>
  <c r="AP1307" i="6"/>
  <c r="AQ1307" i="6" s="1"/>
  <c r="CX1307" i="6" s="1"/>
  <c r="AR1307" i="6"/>
  <c r="AS1307" i="6"/>
  <c r="AT1307" i="6"/>
  <c r="AU1307" i="6"/>
  <c r="AV1307" i="6" s="1"/>
  <c r="CY1307" i="6" s="1"/>
  <c r="AW1307" i="6"/>
  <c r="AX1307" i="6"/>
  <c r="AY1307" i="6"/>
  <c r="AZ1307" i="6"/>
  <c r="BA1307" i="6" s="1"/>
  <c r="CZ1307" i="6" s="1"/>
  <c r="BB1307" i="6"/>
  <c r="BB1309" i="6" s="1"/>
  <c r="CP1307" i="6"/>
  <c r="CW1307" i="6"/>
  <c r="DA1307" i="6"/>
  <c r="DB1307" i="6"/>
  <c r="DC1307" i="6"/>
  <c r="DD1307" i="6"/>
  <c r="DE1307" i="6"/>
  <c r="DF1307" i="6"/>
  <c r="DG1307" i="6"/>
  <c r="CW1308" i="6"/>
  <c r="CX1308" i="6"/>
  <c r="CY1308" i="6"/>
  <c r="CZ1308" i="6"/>
  <c r="DA1308" i="6"/>
  <c r="DB1308" i="6"/>
  <c r="DC1308" i="6"/>
  <c r="DD1308" i="6"/>
  <c r="DE1308" i="6"/>
  <c r="DF1308" i="6"/>
  <c r="DG1308" i="6"/>
  <c r="CP1309" i="6"/>
  <c r="DE1309" i="6"/>
  <c r="DF1309" i="6"/>
  <c r="DG1309" i="6"/>
  <c r="CP1311" i="6"/>
  <c r="CX1311" i="6"/>
  <c r="CY1311" i="6"/>
  <c r="CZ1311" i="6"/>
  <c r="DA1311" i="6"/>
  <c r="DB1311" i="6"/>
  <c r="DC1311" i="6"/>
  <c r="DD1311" i="6"/>
  <c r="DE1311" i="6"/>
  <c r="DF1311" i="6"/>
  <c r="DG1311" i="6"/>
  <c r="AZ1312" i="6"/>
  <c r="BB1312" i="6"/>
  <c r="CP1312" i="6"/>
  <c r="DD1312" i="6"/>
  <c r="DE1312" i="6"/>
  <c r="DF1312" i="6"/>
  <c r="DG1312" i="6"/>
  <c r="CP1313" i="6"/>
  <c r="DD1313" i="6"/>
  <c r="DE1313" i="6"/>
  <c r="DF1313" i="6"/>
  <c r="DG1313" i="6"/>
  <c r="AM1314" i="6"/>
  <c r="AN1314" i="6"/>
  <c r="AO1314" i="6"/>
  <c r="AP1314" i="6"/>
  <c r="AR1314" i="6"/>
  <c r="AS1314" i="6"/>
  <c r="AT1314" i="6"/>
  <c r="AU1314" i="6"/>
  <c r="AW1314" i="6"/>
  <c r="AX1314" i="6"/>
  <c r="AY1314" i="6"/>
  <c r="AZ1314" i="6"/>
  <c r="BB1314" i="6"/>
  <c r="CP1314" i="6"/>
  <c r="DD1314" i="6"/>
  <c r="DE1314" i="6"/>
  <c r="DF1314" i="6"/>
  <c r="DG1314" i="6"/>
  <c r="CX1315" i="6"/>
  <c r="CY1315" i="6"/>
  <c r="CZ1315" i="6"/>
  <c r="DA1315" i="6"/>
  <c r="DB1315" i="6"/>
  <c r="DC1315" i="6"/>
  <c r="DD1315" i="6"/>
  <c r="DE1315" i="6"/>
  <c r="DF1315" i="6"/>
  <c r="DG1315" i="6"/>
  <c r="CP1316" i="6"/>
  <c r="DE1316" i="6"/>
  <c r="DF1316" i="6"/>
  <c r="DG1316" i="6"/>
  <c r="AM1317" i="6"/>
  <c r="AR1317" i="6"/>
  <c r="BB1317" i="6"/>
  <c r="CP1317" i="6"/>
  <c r="CP1318" i="6"/>
  <c r="CP1330" i="6"/>
  <c r="CP1331" i="6"/>
  <c r="CQ1331" i="6"/>
  <c r="CR1331" i="6"/>
  <c r="CS1331" i="6"/>
  <c r="CT1331" i="6"/>
  <c r="CU1331" i="6"/>
  <c r="CV1331" i="6"/>
  <c r="CW1331" i="6"/>
  <c r="CX1331" i="6"/>
  <c r="CY1331" i="6"/>
  <c r="CZ1331" i="6"/>
  <c r="DA1331" i="6"/>
  <c r="DB1331" i="6"/>
  <c r="DC1331" i="6"/>
  <c r="DD1331" i="6"/>
  <c r="DE1331" i="6"/>
  <c r="DF1331" i="6"/>
  <c r="DG1331" i="6"/>
  <c r="CP1332" i="6"/>
  <c r="D1333" i="6"/>
  <c r="I1333" i="6"/>
  <c r="N1333" i="6"/>
  <c r="S1333" i="6"/>
  <c r="X1333" i="6"/>
  <c r="AC1333" i="6"/>
  <c r="AF1333" i="6"/>
  <c r="AH1333" i="6"/>
  <c r="AI1333" i="6"/>
  <c r="AJ1333" i="6"/>
  <c r="AK1333" i="6"/>
  <c r="AM1333" i="6"/>
  <c r="AN1333" i="6"/>
  <c r="AO1333" i="6"/>
  <c r="AP1333" i="6"/>
  <c r="AR1333" i="6"/>
  <c r="AS1333" i="6"/>
  <c r="AT1333" i="6"/>
  <c r="AU1333" i="6"/>
  <c r="AW1333" i="6"/>
  <c r="AX1333" i="6"/>
  <c r="AY1333" i="6"/>
  <c r="AZ1333" i="6"/>
  <c r="BB1333" i="6"/>
  <c r="BC1333" i="6"/>
  <c r="BD1333" i="6"/>
  <c r="BG1333" i="6"/>
  <c r="BM1333" i="6"/>
  <c r="CP1333" i="6"/>
  <c r="CW1333" i="6"/>
  <c r="CP1334" i="6"/>
  <c r="CQ1334" i="6"/>
  <c r="CR1334" i="6"/>
  <c r="CS1334" i="6"/>
  <c r="CT1334" i="6"/>
  <c r="CU1334" i="6"/>
  <c r="CV1334" i="6"/>
  <c r="CW1334" i="6"/>
  <c r="CX1334" i="6"/>
  <c r="CY1334" i="6"/>
  <c r="CZ1334" i="6"/>
  <c r="DA1334" i="6"/>
  <c r="DB1334" i="6"/>
  <c r="DC1334" i="6"/>
  <c r="DD1334" i="6"/>
  <c r="DE1334" i="6"/>
  <c r="DF1334" i="6"/>
  <c r="DG1334" i="6"/>
  <c r="D1335" i="6"/>
  <c r="D1336" i="6" s="1"/>
  <c r="F1335" i="6"/>
  <c r="F1336" i="6" s="1"/>
  <c r="K1335" i="6"/>
  <c r="K1336" i="6" s="1"/>
  <c r="X1335" i="6"/>
  <c r="X1336" i="6" s="1"/>
  <c r="Y1335" i="6"/>
  <c r="Y1336" i="6" s="1"/>
  <c r="Z1335" i="6"/>
  <c r="Z1336" i="6" s="1"/>
  <c r="AC1335" i="6"/>
  <c r="AC1336" i="6" s="1"/>
  <c r="AD1335" i="6"/>
  <c r="AD1336" i="6" s="1"/>
  <c r="AE1335" i="6"/>
  <c r="AE1336" i="6" s="1"/>
  <c r="AH1335" i="6"/>
  <c r="AH1336" i="6" s="1"/>
  <c r="AI1335" i="6"/>
  <c r="AI1336" i="6" s="1"/>
  <c r="AJ1335" i="6"/>
  <c r="AJ1336" i="6" s="1"/>
  <c r="AK1335" i="6"/>
  <c r="AK1336" i="6" s="1"/>
  <c r="AM1335" i="6"/>
  <c r="AM1336" i="6" s="1"/>
  <c r="AN1335" i="6"/>
  <c r="AN1336" i="6" s="1"/>
  <c r="AO1335" i="6"/>
  <c r="AO1336" i="6" s="1"/>
  <c r="AP1335" i="6"/>
  <c r="AP1336" i="6" s="1"/>
  <c r="AR1335" i="6"/>
  <c r="AR1336" i="6" s="1"/>
  <c r="AS1335" i="6"/>
  <c r="AS1336" i="6" s="1"/>
  <c r="AT1335" i="6"/>
  <c r="AT1336" i="6" s="1"/>
  <c r="AU1335" i="6"/>
  <c r="AU1336" i="6" s="1"/>
  <c r="AW1335" i="6"/>
  <c r="AW1336" i="6" s="1"/>
  <c r="AX1335" i="6"/>
  <c r="AX1336" i="6" s="1"/>
  <c r="AY1335" i="6"/>
  <c r="AY1336" i="6" s="1"/>
  <c r="AZ1335" i="6"/>
  <c r="AZ1336" i="6" s="1"/>
  <c r="BB1335" i="6"/>
  <c r="BB1336" i="6" s="1"/>
  <c r="BC1335" i="6"/>
  <c r="BC1336" i="6" s="1"/>
  <c r="BD1335" i="6"/>
  <c r="BD1336" i="6" s="1"/>
  <c r="BE1335" i="6"/>
  <c r="BE1336" i="6" s="1"/>
  <c r="BG1335" i="6"/>
  <c r="BG1336" i="6" s="1"/>
  <c r="BH1335" i="6"/>
  <c r="BH1336" i="6" s="1"/>
  <c r="BI1335" i="6"/>
  <c r="BI1336" i="6" s="1"/>
  <c r="BJ1335" i="6"/>
  <c r="BJ1336" i="6" s="1"/>
  <c r="BL1335" i="6"/>
  <c r="BL1336" i="6" s="1"/>
  <c r="D1339" i="6"/>
  <c r="E1339" i="6"/>
  <c r="F1339" i="6"/>
  <c r="G1339" i="6"/>
  <c r="H1339" i="6"/>
  <c r="I1339" i="6"/>
  <c r="J1339" i="6"/>
  <c r="K1339" i="6"/>
  <c r="L1339" i="6"/>
  <c r="N1339" i="6"/>
  <c r="O1339" i="6"/>
  <c r="P1339" i="6"/>
  <c r="Q1339" i="6"/>
  <c r="R1339" i="6"/>
  <c r="S1339" i="6"/>
  <c r="T1339" i="6"/>
  <c r="U1339" i="6"/>
  <c r="V1339" i="6"/>
  <c r="X1339" i="6"/>
  <c r="Y1339" i="6"/>
  <c r="Z1339" i="6"/>
  <c r="AA1339" i="6"/>
  <c r="AB1339" i="6"/>
  <c r="AC1339" i="6"/>
  <c r="AD1339" i="6"/>
  <c r="AE1339" i="6"/>
  <c r="AF1339" i="6"/>
  <c r="AH1339" i="6"/>
  <c r="AI1339" i="6"/>
  <c r="AJ1339" i="6"/>
  <c r="AK1339" i="6"/>
  <c r="AL1339" i="6"/>
  <c r="AM1339" i="6"/>
  <c r="AN1339" i="6"/>
  <c r="AO1339" i="6"/>
  <c r="AP1339" i="6"/>
  <c r="AR1339" i="6"/>
  <c r="AS1339" i="6"/>
  <c r="AT1339" i="6"/>
  <c r="AU1339" i="6"/>
  <c r="AV1339" i="6"/>
  <c r="AW1339" i="6"/>
  <c r="AX1339" i="6"/>
  <c r="AY1339" i="6"/>
  <c r="AZ1339" i="6"/>
  <c r="BB1339" i="6"/>
  <c r="BC1339" i="6"/>
  <c r="BD1339" i="6"/>
  <c r="BE1339" i="6"/>
  <c r="BF1339" i="6"/>
  <c r="BG1339" i="6"/>
  <c r="BH1339" i="6"/>
  <c r="BI1339" i="6"/>
  <c r="BJ1339" i="6"/>
  <c r="BK1339" i="6"/>
  <c r="BL1339" i="6"/>
  <c r="BM1339" i="6"/>
  <c r="BN1339" i="6"/>
  <c r="BO1339" i="6"/>
  <c r="D1340" i="6"/>
  <c r="E1340" i="6"/>
  <c r="F1340" i="6"/>
  <c r="G1340" i="6"/>
  <c r="I1340" i="6"/>
  <c r="J1340" i="6"/>
  <c r="K1340" i="6"/>
  <c r="L1340" i="6"/>
  <c r="M1340" i="6"/>
  <c r="N1340" i="6"/>
  <c r="O1340" i="6"/>
  <c r="P1340" i="6"/>
  <c r="Q1340" i="6"/>
  <c r="S1340" i="6"/>
  <c r="T1340" i="6"/>
  <c r="U1340" i="6"/>
  <c r="V1340" i="6"/>
  <c r="W1340" i="6"/>
  <c r="X1340" i="6"/>
  <c r="Y1340" i="6"/>
  <c r="Z1340" i="6"/>
  <c r="AA1340" i="6"/>
  <c r="AC1340" i="6"/>
  <c r="AD1340" i="6"/>
  <c r="AE1340" i="6"/>
  <c r="AF1340" i="6"/>
  <c r="AG1340" i="6"/>
  <c r="AH1340" i="6"/>
  <c r="AI1340" i="6"/>
  <c r="AJ1340" i="6"/>
  <c r="AK1340" i="6"/>
  <c r="AM1340" i="6"/>
  <c r="AN1340" i="6"/>
  <c r="AO1340" i="6"/>
  <c r="AP1340" i="6"/>
  <c r="AQ1340" i="6"/>
  <c r="AR1340" i="6"/>
  <c r="AS1340" i="6"/>
  <c r="AT1340" i="6"/>
  <c r="AU1340" i="6"/>
  <c r="AW1340" i="6"/>
  <c r="AX1340" i="6"/>
  <c r="AY1340" i="6"/>
  <c r="AZ1340" i="6"/>
  <c r="BA1340" i="6"/>
  <c r="BB1340" i="6"/>
  <c r="BC1340" i="6"/>
  <c r="BD1340" i="6"/>
  <c r="BE1340" i="6"/>
  <c r="BG1340" i="6"/>
  <c r="BH1340" i="6"/>
  <c r="BI1340" i="6"/>
  <c r="BJ1340" i="6"/>
  <c r="BK1340" i="6"/>
  <c r="BL1340" i="6"/>
  <c r="BM1340" i="6"/>
  <c r="D1341" i="6"/>
  <c r="E1341" i="6"/>
  <c r="F1341" i="6"/>
  <c r="G1341" i="6"/>
  <c r="I1341" i="6"/>
  <c r="J1341" i="6"/>
  <c r="K1341" i="6"/>
  <c r="L1341" i="6"/>
  <c r="N1341" i="6"/>
  <c r="O1341" i="6"/>
  <c r="P1341" i="6"/>
  <c r="Q1341" i="6"/>
  <c r="R1341" i="6"/>
  <c r="S1341" i="6"/>
  <c r="T1341" i="6"/>
  <c r="U1341" i="6"/>
  <c r="V1341" i="6"/>
  <c r="X1341" i="6"/>
  <c r="Y1341" i="6"/>
  <c r="Z1341" i="6"/>
  <c r="AA1341" i="6"/>
  <c r="AC1341" i="6"/>
  <c r="AD1341" i="6"/>
  <c r="AE1341" i="6"/>
  <c r="AF1341" i="6"/>
  <c r="AH1341" i="6"/>
  <c r="AI1341" i="6"/>
  <c r="AK1341" i="6"/>
  <c r="AN1341" i="6"/>
  <c r="AP1341" i="6"/>
  <c r="AT1341" i="6"/>
  <c r="AW1341" i="6"/>
  <c r="AX1341" i="6"/>
  <c r="BB1341" i="6"/>
  <c r="BC1341" i="6"/>
  <c r="BD1341" i="6"/>
  <c r="BG1341" i="6"/>
  <c r="BI1341" i="6"/>
  <c r="BL1341" i="6"/>
  <c r="D1342" i="6"/>
  <c r="E1342" i="6"/>
  <c r="F1342" i="6"/>
  <c r="G1342" i="6"/>
  <c r="I1342" i="6"/>
  <c r="J1342" i="6"/>
  <c r="K1342" i="6"/>
  <c r="L1342" i="6"/>
  <c r="N1342" i="6"/>
  <c r="O1342" i="6"/>
  <c r="P1342" i="6"/>
  <c r="Q1342" i="6"/>
  <c r="R1342" i="6"/>
  <c r="S1342" i="6"/>
  <c r="T1342" i="6"/>
  <c r="U1342" i="6"/>
  <c r="V1342" i="6"/>
  <c r="X1342" i="6"/>
  <c r="Y1342" i="6"/>
  <c r="Z1342" i="6"/>
  <c r="AA1342" i="6"/>
  <c r="AC1342" i="6"/>
  <c r="AD1342" i="6"/>
  <c r="AE1342" i="6"/>
  <c r="AF1342" i="6"/>
  <c r="AH1342" i="6"/>
  <c r="AI1342" i="6"/>
  <c r="AK1342" i="6"/>
  <c r="AN1342" i="6"/>
  <c r="AP1342" i="6"/>
  <c r="AT1342" i="6"/>
  <c r="AW1342" i="6"/>
  <c r="BB1342" i="6"/>
  <c r="BG1342" i="6"/>
  <c r="BL1342" i="6"/>
  <c r="BO1342" i="6"/>
  <c r="CA1342" i="6"/>
  <c r="CB1342" i="6"/>
  <c r="D1343" i="6"/>
  <c r="F1343" i="6"/>
  <c r="K1343" i="6"/>
  <c r="X1343" i="6"/>
  <c r="Y1343" i="6"/>
  <c r="Z1343" i="6"/>
  <c r="AC1343" i="6"/>
  <c r="AD1343" i="6"/>
  <c r="AE1343" i="6"/>
  <c r="AH1343" i="6"/>
  <c r="AI1343" i="6"/>
  <c r="AJ1343" i="6"/>
  <c r="AK1343" i="6"/>
  <c r="AM1343" i="6"/>
  <c r="AN1343" i="6"/>
  <c r="AO1343" i="6"/>
  <c r="AP1343" i="6"/>
  <c r="AR1343" i="6"/>
  <c r="AS1343" i="6"/>
  <c r="AT1343" i="6"/>
  <c r="AU1343" i="6"/>
  <c r="AW1343" i="6"/>
  <c r="AX1343" i="6"/>
  <c r="AY1343" i="6"/>
  <c r="AZ1343" i="6"/>
  <c r="BB1343" i="6"/>
  <c r="BC1343" i="6"/>
  <c r="BD1343" i="6"/>
  <c r="BE1343" i="6"/>
  <c r="BG1343" i="6"/>
  <c r="BH1343" i="6"/>
  <c r="BI1343" i="6"/>
  <c r="BJ1343" i="6"/>
  <c r="BL1343" i="6"/>
  <c r="BO1351" i="6"/>
  <c r="BP1351" i="6"/>
  <c r="CA1351" i="6"/>
  <c r="CB1351" i="6"/>
  <c r="BM124" i="42290"/>
  <c r="BM1335" i="6"/>
  <c r="BM1336" i="6" s="1"/>
  <c r="BN1335" i="6"/>
  <c r="BN1336" i="6" s="1"/>
  <c r="BM347" i="6"/>
  <c r="BM38" i="6"/>
  <c r="BM907" i="6"/>
  <c r="BP372" i="6"/>
  <c r="DC372" i="6" s="1"/>
  <c r="BN414" i="6"/>
  <c r="BN477" i="6" s="1"/>
  <c r="BN411" i="6"/>
  <c r="BN474" i="6" s="1"/>
  <c r="BN410" i="6"/>
  <c r="BN473" i="6" s="1"/>
  <c r="BM511" i="6"/>
  <c r="BM925" i="6"/>
  <c r="BM937" i="6"/>
  <c r="BM1007" i="6"/>
  <c r="BM928" i="6"/>
  <c r="BM999" i="6"/>
  <c r="BM929" i="6"/>
  <c r="BM958" i="6"/>
  <c r="BM729" i="6"/>
  <c r="BM42" i="6"/>
  <c r="BM44" i="6" s="1"/>
  <c r="BM960" i="6"/>
  <c r="BL813" i="6"/>
  <c r="BL809" i="6" s="1"/>
  <c r="BL821" i="6" s="1"/>
  <c r="BM831" i="6"/>
  <c r="BM834" i="6" s="1"/>
  <c r="BM837" i="6" s="1"/>
  <c r="L12" i="42468"/>
  <c r="P12" i="42474"/>
  <c r="P12" i="42464"/>
  <c r="BN11" i="6"/>
  <c r="DC76" i="6"/>
  <c r="DD76" i="6"/>
  <c r="DE76" i="6"/>
  <c r="DF76" i="6"/>
  <c r="DG76" i="6"/>
  <c r="CV1122" i="6"/>
  <c r="CR1122" i="6"/>
  <c r="BP1058" i="6"/>
  <c r="DC1058" i="6" s="1"/>
  <c r="BD1034" i="6"/>
  <c r="Z973" i="6"/>
  <c r="AA973" i="6" s="1"/>
  <c r="AA972" i="6" s="1"/>
  <c r="L266" i="42290"/>
  <c r="K973" i="6"/>
  <c r="K972" i="6" s="1"/>
  <c r="AR962" i="6"/>
  <c r="AV1040" i="6"/>
  <c r="CY1040" i="6" s="1"/>
  <c r="BI1025" i="6"/>
  <c r="BI138" i="6" s="1"/>
  <c r="M880" i="6"/>
  <c r="AE878" i="6"/>
  <c r="AE888" i="6" s="1"/>
  <c r="O892" i="6"/>
  <c r="BM683" i="6"/>
  <c r="AT655" i="6"/>
  <c r="AV878" i="6"/>
  <c r="CY878" i="6" s="1"/>
  <c r="AW877" i="6"/>
  <c r="AX877" i="6" s="1"/>
  <c r="AY877" i="6" s="1"/>
  <c r="AZ878" i="6" s="1"/>
  <c r="AZ888" i="6" s="1"/>
  <c r="AO654" i="6"/>
  <c r="BK597" i="6"/>
  <c r="BF535" i="6"/>
  <c r="CY882" i="6"/>
  <c r="BK569" i="6"/>
  <c r="BP432" i="6"/>
  <c r="BP453" i="6" s="1"/>
  <c r="AM388" i="6"/>
  <c r="AR387" i="6"/>
  <c r="AG357" i="6"/>
  <c r="CV357" i="6" s="1"/>
  <c r="AH343" i="6"/>
  <c r="T343" i="6"/>
  <c r="BB333" i="6"/>
  <c r="BC333" i="6" s="1"/>
  <c r="BC334" i="6" s="1"/>
  <c r="CX328" i="6"/>
  <c r="M350" i="6"/>
  <c r="CR350" i="6" s="1"/>
  <c r="AR343" i="6"/>
  <c r="K343" i="6"/>
  <c r="AQ340" i="6"/>
  <c r="CX340" i="6" s="1"/>
  <c r="S363" i="6"/>
  <c r="AA358" i="6"/>
  <c r="AB358" i="6" s="1"/>
  <c r="CU358" i="6" s="1"/>
  <c r="AK358" i="6"/>
  <c r="AL358" i="6" s="1"/>
  <c r="CW358" i="6" s="1"/>
  <c r="BK347" i="6"/>
  <c r="DB347" i="6" s="1"/>
  <c r="AD343" i="6"/>
  <c r="J343" i="6"/>
  <c r="H27" i="6"/>
  <c r="CQ27" i="6" s="1"/>
  <c r="BK340" i="6"/>
  <c r="DB340" i="6" s="1"/>
  <c r="BG308" i="6"/>
  <c r="AY308" i="6"/>
  <c r="AF308" i="6"/>
  <c r="E307" i="6"/>
  <c r="AV306" i="6"/>
  <c r="AC292" i="6"/>
  <c r="AW291" i="6"/>
  <c r="AW286" i="6"/>
  <c r="AX286" i="6" s="1"/>
  <c r="AX288" i="6" s="1"/>
  <c r="R204" i="6"/>
  <c r="CS204" i="6" s="1"/>
  <c r="AQ149" i="6"/>
  <c r="CX149" i="6" s="1"/>
  <c r="AB114" i="6"/>
  <c r="AB119" i="6" s="1"/>
  <c r="CU119" i="6" s="1"/>
  <c r="AV312" i="6"/>
  <c r="CY312" i="6" s="1"/>
  <c r="AW308" i="6"/>
  <c r="AP308" i="6"/>
  <c r="AI308" i="6"/>
  <c r="AD308" i="6"/>
  <c r="BF298" i="6"/>
  <c r="BF323" i="6" s="1"/>
  <c r="K236" i="6"/>
  <c r="M211" i="6"/>
  <c r="CR211" i="6" s="1"/>
  <c r="Q207" i="6"/>
  <c r="G207" i="6"/>
  <c r="R206" i="6"/>
  <c r="CS206" i="6" s="1"/>
  <c r="BP150" i="6"/>
  <c r="DC150" i="6" s="1"/>
  <c r="AL150" i="6"/>
  <c r="CW150" i="6" s="1"/>
  <c r="H114" i="6"/>
  <c r="H119" i="6" s="1"/>
  <c r="CQ119" i="6" s="1"/>
  <c r="AU308" i="6"/>
  <c r="AC308" i="6"/>
  <c r="X308" i="6"/>
  <c r="S308" i="6"/>
  <c r="BI307" i="6"/>
  <c r="BD307" i="6"/>
  <c r="AY307" i="6"/>
  <c r="AU307" i="6"/>
  <c r="AP307" i="6"/>
  <c r="AK307" i="6"/>
  <c r="AF307" i="6"/>
  <c r="X307" i="6"/>
  <c r="S307" i="6"/>
  <c r="N307" i="6"/>
  <c r="AM292" i="6"/>
  <c r="S292" i="6"/>
  <c r="D271" i="6"/>
  <c r="O207" i="6"/>
  <c r="E207" i="6"/>
  <c r="AL149" i="6"/>
  <c r="CW149" i="6" s="1"/>
  <c r="AG142" i="6"/>
  <c r="CV142" i="6" s="1"/>
  <c r="M142" i="6"/>
  <c r="CR142" i="6" s="1"/>
  <c r="CS73" i="6"/>
  <c r="W41" i="6"/>
  <c r="CT41" i="6" s="1"/>
  <c r="R41" i="6"/>
  <c r="CS41" i="6" s="1"/>
  <c r="AB39" i="6"/>
  <c r="CU39" i="6" s="1"/>
  <c r="HJ823" i="42425" s="1"/>
  <c r="W39" i="6"/>
  <c r="CT39" i="6" s="1"/>
  <c r="AG11" i="6"/>
  <c r="F16" i="42425" s="1"/>
  <c r="CZ81" i="6"/>
  <c r="AV67" i="6"/>
  <c r="AG39" i="6"/>
  <c r="AY102" i="42425" s="1"/>
  <c r="L29" i="42473"/>
  <c r="R67" i="6"/>
  <c r="CS67" i="6" s="1"/>
  <c r="AL41" i="6"/>
  <c r="AV13" i="6"/>
  <c r="CY13" i="6" s="1"/>
  <c r="H5" i="6"/>
  <c r="CQ5" i="6" s="1"/>
  <c r="AU75" i="6"/>
  <c r="AZ75" i="6" s="1"/>
  <c r="AZ114" i="6" s="1"/>
  <c r="M37" i="6"/>
  <c r="CR37" i="6" s="1"/>
  <c r="DE1279" i="6"/>
  <c r="DE1016" i="6"/>
  <c r="DA1119" i="6"/>
  <c r="CW1119" i="6"/>
  <c r="CS1119" i="6"/>
  <c r="CX1100" i="6"/>
  <c r="AR1156" i="6"/>
  <c r="BF1084" i="6"/>
  <c r="DA1084" i="6" s="1"/>
  <c r="AW1141" i="6"/>
  <c r="R1031" i="6"/>
  <c r="CS1031" i="6" s="1"/>
  <c r="E139" i="6"/>
  <c r="Y141" i="6"/>
  <c r="AZ172" i="6"/>
  <c r="BP1110" i="6"/>
  <c r="BM1158" i="6"/>
  <c r="CY1102" i="6"/>
  <c r="Y149" i="6"/>
  <c r="Z1040" i="6"/>
  <c r="J150" i="6"/>
  <c r="DC1024" i="6"/>
  <c r="AH1176" i="6"/>
  <c r="AI1176" i="6" s="1"/>
  <c r="BO1166" i="6"/>
  <c r="BO1164" i="6"/>
  <c r="BN1164" i="6"/>
  <c r="CV1082" i="6"/>
  <c r="Z1033" i="6"/>
  <c r="E150" i="6"/>
  <c r="BM1159" i="6"/>
  <c r="BP1103" i="6"/>
  <c r="BM1146" i="6"/>
  <c r="AE1039" i="6"/>
  <c r="AF1039" i="6" s="1"/>
  <c r="T148" i="6"/>
  <c r="U1033" i="6"/>
  <c r="V1033" i="6" s="1"/>
  <c r="V148" i="6" s="1"/>
  <c r="Z1032" i="6"/>
  <c r="AA1032" i="6" s="1"/>
  <c r="F1032" i="6"/>
  <c r="K1021" i="6"/>
  <c r="L1021" i="6" s="1"/>
  <c r="M1021" i="6" s="1"/>
  <c r="CR1021" i="6" s="1"/>
  <c r="DD1016" i="6"/>
  <c r="AD141" i="6"/>
  <c r="J968" i="6"/>
  <c r="AW1006" i="6"/>
  <c r="AL979" i="6"/>
  <c r="AL1230" i="6" s="1"/>
  <c r="CW1230" i="6" s="1"/>
  <c r="F971" i="6"/>
  <c r="G971" i="6" s="1"/>
  <c r="H971" i="6" s="1"/>
  <c r="CQ971" i="6" s="1"/>
  <c r="CU881" i="6"/>
  <c r="J961" i="6"/>
  <c r="D18" i="42440"/>
  <c r="CU906" i="6"/>
  <c r="AI892" i="6"/>
  <c r="AK1104" i="6"/>
  <c r="AL1104" i="6" s="1"/>
  <c r="CW1104" i="6" s="1"/>
  <c r="P1025" i="6"/>
  <c r="P138" i="6" s="1"/>
  <c r="AY1023" i="6"/>
  <c r="AZ1023" i="6" s="1"/>
  <c r="AZ146" i="6" s="1"/>
  <c r="AE1023" i="6"/>
  <c r="AE146" i="6" s="1"/>
  <c r="K1023" i="6"/>
  <c r="L1023" i="6" s="1"/>
  <c r="J993" i="6"/>
  <c r="J1200" i="6" s="1"/>
  <c r="Q266" i="42290"/>
  <c r="Q269" i="42290" s="1"/>
  <c r="AW608" i="6"/>
  <c r="AW610" i="6" s="1"/>
  <c r="AY562" i="6"/>
  <c r="BJ172" i="6"/>
  <c r="CT979" i="6"/>
  <c r="BJ949" i="6"/>
  <c r="BJ952" i="6" s="1"/>
  <c r="AD120" i="6"/>
  <c r="CW906" i="6"/>
  <c r="AQ683" i="6"/>
  <c r="AQ684" i="6" s="1"/>
  <c r="AV663" i="6"/>
  <c r="AT629" i="6"/>
  <c r="AS586" i="6"/>
  <c r="AT552" i="6"/>
  <c r="BK529" i="6"/>
  <c r="R49" i="42425"/>
  <c r="R51" i="42425" s="1"/>
  <c r="J333" i="6"/>
  <c r="AO30" i="6"/>
  <c r="I30" i="6"/>
  <c r="AX392" i="6"/>
  <c r="AY392" i="6" s="1"/>
  <c r="BK776" i="6"/>
  <c r="DB776" i="6" s="1"/>
  <c r="AT649" i="6"/>
  <c r="BC564" i="6"/>
  <c r="AS520" i="6"/>
  <c r="AS521" i="6" s="1"/>
  <c r="U30" i="6"/>
  <c r="AS892" i="6"/>
  <c r="DD817" i="6"/>
  <c r="BN777" i="6"/>
  <c r="BN847" i="6" s="1"/>
  <c r="AS631" i="6"/>
  <c r="AS632" i="6" s="1"/>
  <c r="AS621" i="6"/>
  <c r="BF603" i="6"/>
  <c r="AX540" i="6"/>
  <c r="AX542" i="6" s="1"/>
  <c r="Y30" i="6"/>
  <c r="CX499" i="6"/>
  <c r="CT499" i="6"/>
  <c r="AZ429" i="6"/>
  <c r="BE429" i="6" s="1"/>
  <c r="EB591" i="42458" s="1"/>
  <c r="BM343" i="6"/>
  <c r="BH27" i="6"/>
  <c r="AN292" i="6"/>
  <c r="AO291" i="6"/>
  <c r="BK342" i="6"/>
  <c r="AQ342" i="6"/>
  <c r="CX342" i="6" s="1"/>
  <c r="W342" i="6"/>
  <c r="CT342" i="6" s="1"/>
  <c r="CQ333" i="6"/>
  <c r="AE291" i="6"/>
  <c r="AF292" i="6" s="1"/>
  <c r="DA435" i="6"/>
  <c r="CY392" i="6"/>
  <c r="CU392" i="6"/>
  <c r="CY369" i="6"/>
  <c r="R363" i="6"/>
  <c r="CS363" i="6" s="1"/>
  <c r="BK346" i="6"/>
  <c r="DB346" i="6" s="1"/>
  <c r="AQ346" i="6"/>
  <c r="CX346" i="6" s="1"/>
  <c r="W346" i="6"/>
  <c r="CT346" i="6" s="1"/>
  <c r="CX345" i="6"/>
  <c r="CT345" i="6"/>
  <c r="BF342" i="6"/>
  <c r="AL342" i="6"/>
  <c r="R342" i="6"/>
  <c r="CS342" i="6" s="1"/>
  <c r="AI505" i="6"/>
  <c r="CY433" i="6"/>
  <c r="CQ433" i="6"/>
  <c r="CT432" i="6"/>
  <c r="CX392" i="6"/>
  <c r="CX391" i="6"/>
  <c r="CT391" i="6"/>
  <c r="M363" i="6"/>
  <c r="CR363" i="6" s="1"/>
  <c r="BF346" i="6"/>
  <c r="DA346" i="6" s="1"/>
  <c r="AL346" i="6"/>
  <c r="CW346" i="6" s="1"/>
  <c r="R346" i="6"/>
  <c r="CS346" i="6" s="1"/>
  <c r="BI343" i="6"/>
  <c r="BE343" i="6"/>
  <c r="AW343" i="6"/>
  <c r="AS343" i="6"/>
  <c r="AO343" i="6"/>
  <c r="AK343" i="6"/>
  <c r="AC343" i="6"/>
  <c r="Y343" i="6"/>
  <c r="U343" i="6"/>
  <c r="Q343" i="6"/>
  <c r="I343" i="6"/>
  <c r="BA342" i="6"/>
  <c r="AG342" i="6"/>
  <c r="CV342" i="6" s="1"/>
  <c r="M342" i="6"/>
  <c r="BF340" i="6"/>
  <c r="DA340" i="6" s="1"/>
  <c r="AL340" i="6"/>
  <c r="CW340" i="6" s="1"/>
  <c r="R340" i="6"/>
  <c r="CS340" i="6" s="1"/>
  <c r="I334" i="6"/>
  <c r="M333" i="6"/>
  <c r="R333" i="6" s="1"/>
  <c r="W333" i="6" s="1"/>
  <c r="AI291" i="6"/>
  <c r="AJ291" i="6" s="1"/>
  <c r="AK292" i="6" s="1"/>
  <c r="AL311" i="6"/>
  <c r="CW311" i="6" s="1"/>
  <c r="DA310" i="6"/>
  <c r="AQ38" i="6"/>
  <c r="CX38" i="6" s="1"/>
  <c r="HM822" i="42425" s="1"/>
  <c r="DR333" i="42425"/>
  <c r="BM308" i="6"/>
  <c r="BH26" i="6"/>
  <c r="DU333" i="42425"/>
  <c r="AL38" i="6"/>
  <c r="CW38" i="6" s="1"/>
  <c r="HL822" i="42425" s="1"/>
  <c r="BK306" i="6"/>
  <c r="AQ306" i="6"/>
  <c r="AQ307" i="6" s="1"/>
  <c r="CX307" i="6" s="1"/>
  <c r="W306" i="6"/>
  <c r="W307" i="6" s="1"/>
  <c r="CT307" i="6" s="1"/>
  <c r="K306" i="6"/>
  <c r="P308" i="6" s="1"/>
  <c r="AX302" i="6"/>
  <c r="AX301" i="6" s="1"/>
  <c r="AX303" i="6" s="1"/>
  <c r="AS302" i="6"/>
  <c r="AR302" i="6" s="1"/>
  <c r="J298" i="6"/>
  <c r="CQ232" i="6"/>
  <c r="M212" i="6"/>
  <c r="CR212" i="6" s="1"/>
  <c r="L208" i="6"/>
  <c r="N207" i="6"/>
  <c r="J207" i="6"/>
  <c r="BG105" i="6"/>
  <c r="BH105" i="6" s="1"/>
  <c r="BI105" i="6" s="1"/>
  <c r="BJ105" i="6" s="1"/>
  <c r="BK105" i="6" s="1"/>
  <c r="BL105" i="6" s="1"/>
  <c r="BM105" i="6" s="1"/>
  <c r="BN105" i="6" s="1"/>
  <c r="BO105" i="6" s="1"/>
  <c r="BP105" i="6" s="1"/>
  <c r="AL312" i="6"/>
  <c r="CW312" i="6" s="1"/>
  <c r="AG38" i="6"/>
  <c r="CV38" i="6" s="1"/>
  <c r="HK822" i="42425" s="1"/>
  <c r="I107" i="6"/>
  <c r="I110" i="6" s="1"/>
  <c r="BI308" i="6"/>
  <c r="BJ26" i="6"/>
  <c r="BF306" i="6"/>
  <c r="AL306" i="6"/>
  <c r="R306" i="6"/>
  <c r="R307" i="6" s="1"/>
  <c r="CS307" i="6" s="1"/>
  <c r="AU303" i="6"/>
  <c r="H297" i="6"/>
  <c r="E266" i="6"/>
  <c r="H206" i="6"/>
  <c r="CQ206" i="6" s="1"/>
  <c r="BD104" i="6"/>
  <c r="BE104" i="6" s="1"/>
  <c r="AQ311" i="6"/>
  <c r="CX311" i="6" s="1"/>
  <c r="DB310" i="6"/>
  <c r="CT310" i="6"/>
  <c r="BL308" i="6"/>
  <c r="BH308" i="6"/>
  <c r="BD308" i="6"/>
  <c r="AZ308" i="6"/>
  <c r="AR308" i="6"/>
  <c r="AN308" i="6"/>
  <c r="AJ308" i="6"/>
  <c r="BA306" i="6"/>
  <c r="FT639" i="42458" s="1"/>
  <c r="AG306" i="6"/>
  <c r="AL308" i="6" s="1"/>
  <c r="CW308" i="6" s="1"/>
  <c r="AT303" i="6"/>
  <c r="BL323" i="6"/>
  <c r="BL321" i="6"/>
  <c r="L298" i="6"/>
  <c r="AH292" i="6"/>
  <c r="AD292" i="6"/>
  <c r="CV291" i="6"/>
  <c r="I272" i="6"/>
  <c r="K268" i="6"/>
  <c r="H263" i="6"/>
  <c r="M243" i="6"/>
  <c r="CR243" i="6" s="1"/>
  <c r="N208" i="6"/>
  <c r="J208" i="6"/>
  <c r="P207" i="6"/>
  <c r="L207" i="6"/>
  <c r="D207" i="6"/>
  <c r="W114" i="6"/>
  <c r="W119" i="6" s="1"/>
  <c r="CT119" i="6" s="1"/>
  <c r="AD214" i="42458"/>
  <c r="AE214" i="42458"/>
  <c r="AF214" i="42458"/>
  <c r="V27" i="42457"/>
  <c r="AL77" i="6"/>
  <c r="C29" i="42432"/>
  <c r="D29" i="42442"/>
  <c r="M9" i="42453"/>
  <c r="Q45" i="42457"/>
  <c r="Q81" i="42457"/>
  <c r="C30" i="42464"/>
  <c r="K30" i="42464" s="1"/>
  <c r="D30" i="42467"/>
  <c r="C29" i="42455"/>
  <c r="L29" i="42455" s="1"/>
  <c r="R114" i="6"/>
  <c r="R119" i="6" s="1"/>
  <c r="CS119" i="6" s="1"/>
  <c r="C30" i="42471"/>
  <c r="D30" i="42475"/>
  <c r="BA67" i="6"/>
  <c r="L125" i="42458" s="1"/>
  <c r="C24" i="42440"/>
  <c r="F24" i="42440" s="1"/>
  <c r="D25" i="42447"/>
  <c r="DB102" i="6"/>
  <c r="D30" i="42471"/>
  <c r="C29" i="42461"/>
  <c r="L29" i="42461" s="1"/>
  <c r="E10" i="42419"/>
  <c r="N103" i="42458"/>
  <c r="Y119" i="6"/>
  <c r="E119" i="6"/>
  <c r="C30" i="42432"/>
  <c r="K30" i="42432" s="1"/>
  <c r="D30" i="42442"/>
  <c r="C30" i="42467"/>
  <c r="K30" i="42467" s="1"/>
  <c r="D30" i="42474"/>
  <c r="C27" i="42452"/>
  <c r="D29" i="42461"/>
  <c r="C24" i="42432"/>
  <c r="K24" i="42432" s="1"/>
  <c r="D24" i="42442"/>
  <c r="AP108" i="42448"/>
  <c r="AP108" i="42450"/>
  <c r="AP111" i="42452"/>
  <c r="AP108" i="42451"/>
  <c r="C20" i="42461"/>
  <c r="P20" i="42461" s="1"/>
  <c r="D20" i="42471"/>
  <c r="BF41" i="6"/>
  <c r="D19" i="42473"/>
  <c r="C19" i="42464"/>
  <c r="AO116" i="42454"/>
  <c r="C19" i="42455"/>
  <c r="P19" i="42455" s="1"/>
  <c r="AR116" i="42461"/>
  <c r="D19" i="42467"/>
  <c r="AR116" i="42459"/>
  <c r="AR116" i="42471"/>
  <c r="AR116" i="42455"/>
  <c r="AR117" i="42464"/>
  <c r="AR117" i="42467"/>
  <c r="AR117" i="42468"/>
  <c r="AR118" i="42474"/>
  <c r="AR116" i="42473"/>
  <c r="AR118" i="42475"/>
  <c r="AG41" i="6"/>
  <c r="BK39" i="6"/>
  <c r="C18" i="42467"/>
  <c r="P18" i="42467" s="1"/>
  <c r="D18" i="42474"/>
  <c r="D18" i="42468"/>
  <c r="C18" i="42459"/>
  <c r="Q18" i="42459" s="1"/>
  <c r="C18" i="42452"/>
  <c r="D18" i="42461"/>
  <c r="AQ39" i="6"/>
  <c r="CX39" i="6" s="1"/>
  <c r="HM823" i="42425" s="1"/>
  <c r="C16" i="42441"/>
  <c r="D17" i="42448"/>
  <c r="F17" i="42448" s="1"/>
  <c r="C16" i="42432"/>
  <c r="K16" i="42432" s="1"/>
  <c r="D16" i="42442"/>
  <c r="F16" i="42442" s="1"/>
  <c r="C17" i="42471"/>
  <c r="L17" i="42471" s="1"/>
  <c r="C17" i="42454"/>
  <c r="L17" i="42454" s="1"/>
  <c r="D17" i="42464"/>
  <c r="AP106" i="42451"/>
  <c r="D16" i="42451"/>
  <c r="F16" i="42451" s="1"/>
  <c r="D16" i="42447"/>
  <c r="CB257" i="42425"/>
  <c r="BY257" i="42425"/>
  <c r="BV257" i="42425"/>
  <c r="C10" i="42454"/>
  <c r="K10" i="42454" s="1"/>
  <c r="D10" i="42464"/>
  <c r="C9" i="42459"/>
  <c r="D9" i="42468"/>
  <c r="D9" i="42461"/>
  <c r="C8" i="42467"/>
  <c r="P8" i="42467" s="1"/>
  <c r="D8" i="42474"/>
  <c r="C8" i="42459"/>
  <c r="K8" i="42459" s="1"/>
  <c r="D8" i="42468"/>
  <c r="C8" i="42452"/>
  <c r="D8" i="42461"/>
  <c r="FQ463" i="42425"/>
  <c r="C8" i="42441"/>
  <c r="L8" i="42441" s="1"/>
  <c r="D8" i="42448"/>
  <c r="FJ463" i="42425"/>
  <c r="C8" i="42432"/>
  <c r="K8" i="42432" s="1"/>
  <c r="D8" i="42442"/>
  <c r="G8" i="42442" s="1"/>
  <c r="FG463" i="42425"/>
  <c r="D8" i="42437"/>
  <c r="FD463" i="42425"/>
  <c r="BT215" i="42425"/>
  <c r="M103" i="42458"/>
  <c r="AV45" i="6"/>
  <c r="CY45" i="6" s="1"/>
  <c r="HN826" i="42425" s="1"/>
  <c r="AK95" i="42447"/>
  <c r="AK95" i="42448"/>
  <c r="AK95" i="42450"/>
  <c r="AK98" i="42452"/>
  <c r="AK95" i="42451"/>
  <c r="BK42" i="6"/>
  <c r="C20" i="42467"/>
  <c r="L20" i="42467" s="1"/>
  <c r="D20" i="42474"/>
  <c r="D20" i="42468"/>
  <c r="C20" i="42459"/>
  <c r="L20" i="42459" s="1"/>
  <c r="C19" i="42471"/>
  <c r="K19" i="42471" s="1"/>
  <c r="D19" i="42475"/>
  <c r="C19" i="42454"/>
  <c r="K19" i="42454" s="1"/>
  <c r="D19" i="42464"/>
  <c r="C17" i="42440"/>
  <c r="D18" i="42447"/>
  <c r="D18" i="42473"/>
  <c r="C18" i="42464"/>
  <c r="AO115" i="42454"/>
  <c r="C18" i="42455"/>
  <c r="F18" i="42455" s="1"/>
  <c r="D18" i="42467"/>
  <c r="AR116" i="42468"/>
  <c r="AR115" i="42455"/>
  <c r="AR116" i="42464"/>
  <c r="AR116" i="42467"/>
  <c r="AR115" i="42461"/>
  <c r="AR115" i="42459"/>
  <c r="AR115" i="42471"/>
  <c r="AR117" i="42474"/>
  <c r="AR115" i="42473"/>
  <c r="AR117" i="42475"/>
  <c r="C16" i="42428"/>
  <c r="D16" i="42441"/>
  <c r="D17" i="42471"/>
  <c r="AK93" i="42448"/>
  <c r="AK93" i="42447"/>
  <c r="AK93" i="42450"/>
  <c r="D17" i="42454"/>
  <c r="AK93" i="42451"/>
  <c r="AK96" i="42452"/>
  <c r="CK257" i="42425"/>
  <c r="C15" i="42437"/>
  <c r="K15" i="42437" s="1"/>
  <c r="CH257" i="42425"/>
  <c r="CE257" i="42425"/>
  <c r="BX257" i="42425"/>
  <c r="BU257" i="42425"/>
  <c r="D10" i="42443"/>
  <c r="G10" i="42443" s="1"/>
  <c r="D9" i="42473"/>
  <c r="C9" i="42464"/>
  <c r="P9" i="42464" s="1"/>
  <c r="AR108" i="42459"/>
  <c r="AR110" i="42475"/>
  <c r="BF10" i="6"/>
  <c r="EC589" i="42458" s="1"/>
  <c r="EC609" i="42458" s="1"/>
  <c r="D8" i="42473"/>
  <c r="C8" i="42464"/>
  <c r="AO107" i="42454"/>
  <c r="C8" i="42455"/>
  <c r="K8" i="42455" s="1"/>
  <c r="AR107" i="42455"/>
  <c r="AR108" i="42464"/>
  <c r="AR108" i="42467"/>
  <c r="AR108" i="42468"/>
  <c r="AR107" i="42459"/>
  <c r="D8" i="42467"/>
  <c r="AR107" i="42471"/>
  <c r="AR109" i="42475"/>
  <c r="AR107" i="42461"/>
  <c r="AR109" i="42474"/>
  <c r="AR107" i="42473"/>
  <c r="D8" i="42459"/>
  <c r="FP463" i="42425"/>
  <c r="D8" i="42452"/>
  <c r="FM463" i="42425"/>
  <c r="AL10" i="6"/>
  <c r="T85" i="42421" s="1"/>
  <c r="C9" i="42428"/>
  <c r="L9" i="42428" s="1"/>
  <c r="D8" i="42441"/>
  <c r="G8" i="42441" s="1"/>
  <c r="FF463" i="42425"/>
  <c r="D8" i="42432"/>
  <c r="IN887" i="42425"/>
  <c r="C21" i="42459"/>
  <c r="K21" i="42459" s="1"/>
  <c r="D21" i="42468"/>
  <c r="BF42" i="6"/>
  <c r="DA42" i="6" s="1"/>
  <c r="HP825" i="42425" s="1"/>
  <c r="D20" i="42473"/>
  <c r="C20" i="42464"/>
  <c r="AO117" i="42454"/>
  <c r="C20" i="42455"/>
  <c r="P20" i="42455" s="1"/>
  <c r="AR117" i="42455"/>
  <c r="AR118" i="42464"/>
  <c r="D20" i="42467"/>
  <c r="AR118" i="42467"/>
  <c r="AR118" i="42468"/>
  <c r="AR117" i="42459"/>
  <c r="AR117" i="42471"/>
  <c r="AR119" i="42475"/>
  <c r="AR119" i="42474"/>
  <c r="AR117" i="42461"/>
  <c r="AR117" i="42473"/>
  <c r="C19" i="42461"/>
  <c r="D19" i="42471"/>
  <c r="C17" i="42437"/>
  <c r="D18" i="42443"/>
  <c r="G18" i="42443" s="1"/>
  <c r="C18" i="42471"/>
  <c r="L18" i="42471" s="1"/>
  <c r="D18" i="42475"/>
  <c r="C18" i="42454"/>
  <c r="K18" i="42454" s="1"/>
  <c r="D18" i="42464"/>
  <c r="C16" i="42440"/>
  <c r="K16" i="42440" s="1"/>
  <c r="D17" i="42447"/>
  <c r="D17" i="42474"/>
  <c r="D17" i="42468"/>
  <c r="C17" i="42459"/>
  <c r="D17" i="42461"/>
  <c r="C15" i="42441"/>
  <c r="K15" i="42441" s="1"/>
  <c r="CJ257" i="42425"/>
  <c r="D15" i="42442"/>
  <c r="F15" i="42442" s="1"/>
  <c r="D15" i="42437"/>
  <c r="CA257" i="42425"/>
  <c r="BT257" i="42425"/>
  <c r="D10" i="42474"/>
  <c r="C10" i="42459"/>
  <c r="K10" i="42459" s="1"/>
  <c r="D10" i="42468"/>
  <c r="C9" i="42454"/>
  <c r="D9" i="42464"/>
  <c r="D9" i="42447"/>
  <c r="F9" i="42447" s="1"/>
  <c r="C8" i="42471"/>
  <c r="L8" i="42471" s="1"/>
  <c r="D8" i="42475"/>
  <c r="BA10" i="6"/>
  <c r="CZ10" i="6" s="1"/>
  <c r="C8" i="42454"/>
  <c r="R8" i="42454" s="1"/>
  <c r="D8" i="42464"/>
  <c r="D8" i="42455"/>
  <c r="FO463" i="42425"/>
  <c r="D8" i="42451"/>
  <c r="G8" i="42451" s="1"/>
  <c r="FL463" i="42425"/>
  <c r="C8" i="42440"/>
  <c r="D8" i="42447"/>
  <c r="G8" i="42447" s="1"/>
  <c r="FI463" i="42425"/>
  <c r="AG10" i="6"/>
  <c r="F14" i="42425" s="1"/>
  <c r="D9" i="42428"/>
  <c r="IT886" i="42425"/>
  <c r="IT888" i="42425" s="1"/>
  <c r="IS865" i="42425"/>
  <c r="IS867" i="42425" s="1"/>
  <c r="C22" i="42464"/>
  <c r="D22" i="42473"/>
  <c r="C20" i="42471"/>
  <c r="P20" i="42471" s="1"/>
  <c r="D20" i="42475"/>
  <c r="BA42" i="6"/>
  <c r="B7" i="42458" s="1"/>
  <c r="C20" i="42454"/>
  <c r="K20" i="42454" s="1"/>
  <c r="D20" i="42464"/>
  <c r="BK41" i="6"/>
  <c r="C19" i="42467"/>
  <c r="P19" i="42467" s="1"/>
  <c r="D19" i="42474"/>
  <c r="D19" i="42468"/>
  <c r="C19" i="42459"/>
  <c r="C19" i="42452"/>
  <c r="D19" i="42461"/>
  <c r="AQ41" i="6"/>
  <c r="C17" i="42441"/>
  <c r="D18" i="42448"/>
  <c r="G18" i="42448" s="1"/>
  <c r="C17" i="42432"/>
  <c r="K17" i="42432" s="1"/>
  <c r="D17" i="42442"/>
  <c r="C18" i="42461"/>
  <c r="K18" i="42461" s="1"/>
  <c r="D18" i="42471"/>
  <c r="AV39" i="6"/>
  <c r="G17" i="42450"/>
  <c r="C16" i="42437"/>
  <c r="K16" i="42437" s="1"/>
  <c r="D17" i="42443"/>
  <c r="F17" i="42443" s="1"/>
  <c r="D17" i="42473"/>
  <c r="C17" i="42464"/>
  <c r="AO114" i="42454"/>
  <c r="AR114" i="42471"/>
  <c r="AR115" i="42467"/>
  <c r="AR116" i="42474"/>
  <c r="C15" i="42428"/>
  <c r="L15" i="42428" s="1"/>
  <c r="CF257" i="42425"/>
  <c r="CC257" i="42425"/>
  <c r="BZ257" i="42425"/>
  <c r="BW257" i="42425"/>
  <c r="D10" i="42473"/>
  <c r="C10" i="42464"/>
  <c r="L10" i="42464" s="1"/>
  <c r="AR109" i="42455"/>
  <c r="AR109" i="42471"/>
  <c r="C9" i="42437"/>
  <c r="L9" i="42437" s="1"/>
  <c r="C8" i="42461"/>
  <c r="D8" i="42471"/>
  <c r="AV10" i="6"/>
  <c r="CY10" i="6" s="1"/>
  <c r="D8" i="42454"/>
  <c r="FN463" i="42425"/>
  <c r="D8" i="42450"/>
  <c r="FK463" i="42425"/>
  <c r="C8" i="42437"/>
  <c r="K8" i="42437" s="1"/>
  <c r="D8" i="42443"/>
  <c r="G8" i="42443" s="1"/>
  <c r="FH463" i="42425"/>
  <c r="D8" i="42440"/>
  <c r="FE463" i="42425"/>
  <c r="AB10" i="6"/>
  <c r="CU10" i="6" s="1"/>
  <c r="BX215" i="42425"/>
  <c r="IL887" i="42425"/>
  <c r="IS886" i="42425"/>
  <c r="IS888" i="42425" s="1"/>
  <c r="IO866" i="42425"/>
  <c r="IR865" i="42425"/>
  <c r="IR866" i="42425" s="1"/>
  <c r="G33" i="42459"/>
  <c r="DD851" i="6"/>
  <c r="CA818" i="6"/>
  <c r="DF818" i="6" s="1"/>
  <c r="DD818" i="6"/>
  <c r="CA826" i="6"/>
  <c r="GT646" i="42425"/>
  <c r="AW5" i="6"/>
  <c r="BA5" i="6" s="1"/>
  <c r="CA1203" i="6"/>
  <c r="CK507" i="42458"/>
  <c r="BQ418" i="42458"/>
  <c r="J74" i="42458"/>
  <c r="CJ488" i="42458"/>
  <c r="BL453" i="42458"/>
  <c r="BN453" i="42458" s="1"/>
  <c r="BP421" i="42458"/>
  <c r="J68" i="42458"/>
  <c r="D20" i="42458"/>
  <c r="CJ490" i="42458"/>
  <c r="AU608" i="6"/>
  <c r="AV608" i="6" s="1"/>
  <c r="BB334" i="6"/>
  <c r="AT391" i="6"/>
  <c r="BO1102" i="6"/>
  <c r="BP1102" i="6" s="1"/>
  <c r="BQ1158" i="6" s="1"/>
  <c r="BN1159" i="6"/>
  <c r="AF1023" i="6"/>
  <c r="AF146" i="6" s="1"/>
  <c r="AG146" i="6" s="1"/>
  <c r="CV146" i="6" s="1"/>
  <c r="AY369" i="6"/>
  <c r="BO1167" i="6"/>
  <c r="BO10" i="6"/>
  <c r="BP297" i="6"/>
  <c r="F34" i="42422"/>
  <c r="I34" i="42422" s="1"/>
  <c r="F39" i="42422"/>
  <c r="I39" i="42422" s="1"/>
  <c r="BP1107" i="6"/>
  <c r="DC1107" i="6" s="1"/>
  <c r="BP1089" i="6"/>
  <c r="BQ1145" i="6" s="1"/>
  <c r="BN1145" i="6"/>
  <c r="DV568" i="42458"/>
  <c r="E1153" i="6"/>
  <c r="DC1059" i="6"/>
  <c r="DC1054" i="6"/>
  <c r="L80" i="42290"/>
  <c r="L84" i="42290" s="1"/>
  <c r="L87" i="42290" s="1"/>
  <c r="CR434" i="6"/>
  <c r="CC777" i="6"/>
  <c r="BI777" i="6"/>
  <c r="BI847" i="6" s="1"/>
  <c r="BI850" i="6" s="1"/>
  <c r="AU124" i="42290"/>
  <c r="AU133" i="42290" s="1"/>
  <c r="AT133" i="42290" s="1"/>
  <c r="T372" i="6"/>
  <c r="N368" i="6"/>
  <c r="O368" i="6" s="1"/>
  <c r="P368" i="6" s="1"/>
  <c r="BO412" i="6"/>
  <c r="CY367" i="6"/>
  <c r="AH1153" i="6"/>
  <c r="AY1097" i="6"/>
  <c r="AY1153" i="6" s="1"/>
  <c r="AY1094" i="6"/>
  <c r="AZ1094" i="6" s="1"/>
  <c r="BA1094" i="6" s="1"/>
  <c r="S1098" i="6"/>
  <c r="T1154" i="6" s="1"/>
  <c r="DE1107" i="6"/>
  <c r="DF1107" i="6"/>
  <c r="DG1107" i="6"/>
  <c r="DA1099" i="6"/>
  <c r="Y393" i="6"/>
  <c r="Z393" i="6" s="1"/>
  <c r="I130" i="42290"/>
  <c r="R9" i="6"/>
  <c r="CS9" i="6" s="1"/>
  <c r="CQ258" i="6"/>
  <c r="I208" i="6"/>
  <c r="K207" i="6"/>
  <c r="H9" i="6"/>
  <c r="CQ9" i="6" s="1"/>
  <c r="BR1339" i="6"/>
  <c r="BT1339" i="6"/>
  <c r="BT1025" i="6"/>
  <c r="BT138" i="6" s="1"/>
  <c r="BR1340" i="6"/>
  <c r="BQ1339" i="6"/>
  <c r="BQ138" i="6"/>
  <c r="BS138" i="6"/>
  <c r="BQ1335" i="6"/>
  <c r="BQ1336" i="6" s="1"/>
  <c r="BQ774" i="6"/>
  <c r="BQ776" i="6"/>
  <c r="BS817" i="6"/>
  <c r="BT817" i="6" s="1"/>
  <c r="BR774" i="6"/>
  <c r="BT774" i="6"/>
  <c r="BR776" i="6"/>
  <c r="BT776" i="6"/>
  <c r="BR1164" i="6"/>
  <c r="G1153" i="6"/>
  <c r="DB1099" i="6"/>
  <c r="AM1153" i="6"/>
  <c r="D18" i="42441"/>
  <c r="D53" i="42441" s="1"/>
  <c r="AH929" i="6"/>
  <c r="CB254" i="42425" s="1"/>
  <c r="AC928" i="6"/>
  <c r="CB258" i="42425"/>
  <c r="AC120" i="6"/>
  <c r="X937" i="6"/>
  <c r="X928" i="6"/>
  <c r="S928" i="6"/>
  <c r="BT258" i="42425"/>
  <c r="S120" i="6"/>
  <c r="N928" i="6"/>
  <c r="I928" i="6"/>
  <c r="I937" i="6"/>
  <c r="I938" i="6" s="1"/>
  <c r="BJ788" i="6"/>
  <c r="BJ794" i="6" s="1"/>
  <c r="DF777" i="6"/>
  <c r="BM777" i="6"/>
  <c r="BM847" i="6" s="1"/>
  <c r="BM859" i="6" s="1"/>
  <c r="BM865" i="6" s="1"/>
  <c r="BF139" i="6"/>
  <c r="DA139" i="6" s="1"/>
  <c r="AG139" i="6"/>
  <c r="CV139" i="6" s="1"/>
  <c r="H138" i="6"/>
  <c r="CQ138" i="6" s="1"/>
  <c r="D10" i="42451"/>
  <c r="G10" i="42451" s="1"/>
  <c r="AO129" i="6"/>
  <c r="AM129" i="6"/>
  <c r="D10" i="42448"/>
  <c r="F10" i="42448" s="1"/>
  <c r="AJ129" i="6"/>
  <c r="C10" i="42437"/>
  <c r="D9" i="42451"/>
  <c r="F9" i="42451" s="1"/>
  <c r="AO128" i="6"/>
  <c r="CL215" i="42425"/>
  <c r="AM128" i="6"/>
  <c r="C9" i="42441"/>
  <c r="AJ128" i="6"/>
  <c r="D9" i="42443"/>
  <c r="AH21" i="6"/>
  <c r="AH128" i="6"/>
  <c r="C10" i="42428"/>
  <c r="L10" i="42428" s="1"/>
  <c r="K34" i="42468"/>
  <c r="K29" i="42468"/>
  <c r="K24" i="42468"/>
  <c r="L27" i="42461"/>
  <c r="K28" i="42455"/>
  <c r="F29" i="42451"/>
  <c r="BO298" i="6"/>
  <c r="L28" i="42455"/>
  <c r="CH215" i="42425"/>
  <c r="C10" i="42441"/>
  <c r="K10" i="42441" s="1"/>
  <c r="CF215" i="42425"/>
  <c r="D9" i="42441"/>
  <c r="CJ215" i="42425"/>
  <c r="D9" i="42448"/>
  <c r="X120" i="6"/>
  <c r="N120" i="6"/>
  <c r="BD847" i="6"/>
  <c r="BD850" i="6" s="1"/>
  <c r="AM389" i="6"/>
  <c r="AN389" i="6" s="1"/>
  <c r="AO389" i="6" s="1"/>
  <c r="AW372" i="6"/>
  <c r="AX372" i="6" s="1"/>
  <c r="AY372" i="6" s="1"/>
  <c r="CY372" i="6"/>
  <c r="CW372" i="6"/>
  <c r="BB1005" i="6"/>
  <c r="AZ938" i="6"/>
  <c r="BD877" i="6"/>
  <c r="BE877" i="6" s="1"/>
  <c r="BC477" i="6"/>
  <c r="BC475" i="6"/>
  <c r="F430" i="6"/>
  <c r="H357" i="6"/>
  <c r="CQ357" i="6" s="1"/>
  <c r="AR389" i="6"/>
  <c r="AS389" i="6" s="1"/>
  <c r="AT389" i="6" s="1"/>
  <c r="CX389" i="6"/>
  <c r="BK77" i="6"/>
  <c r="DB77" i="6" s="1"/>
  <c r="U884" i="6"/>
  <c r="U894" i="6" s="1"/>
  <c r="AY729" i="6"/>
  <c r="AR390" i="6"/>
  <c r="AS390" i="6" s="1"/>
  <c r="AT390" i="6" s="1"/>
  <c r="BH321" i="6"/>
  <c r="BC321" i="6"/>
  <c r="AX321" i="6"/>
  <c r="AS321" i="6"/>
  <c r="AN321" i="6"/>
  <c r="H137" i="6"/>
  <c r="CQ137" i="6" s="1"/>
  <c r="V929" i="6"/>
  <c r="O928" i="6"/>
  <c r="L937" i="6"/>
  <c r="L938" i="6" s="1"/>
  <c r="J937" i="6"/>
  <c r="J938" i="6" s="1"/>
  <c r="G120" i="6"/>
  <c r="AZ666" i="6"/>
  <c r="AA29" i="42290"/>
  <c r="W29" i="42290" s="1"/>
  <c r="AM393" i="6"/>
  <c r="AN393" i="6" s="1"/>
  <c r="AO393" i="6" s="1"/>
  <c r="AM390" i="6"/>
  <c r="CW390" i="6"/>
  <c r="Y27" i="42457"/>
  <c r="BM321" i="6"/>
  <c r="BM299" i="6"/>
  <c r="AG1096" i="6"/>
  <c r="AH1096" i="6" s="1"/>
  <c r="AI1096" i="6" s="1"/>
  <c r="AJ1096" i="6" s="1"/>
  <c r="AJ1152" i="6" s="1"/>
  <c r="AY1095" i="6"/>
  <c r="T929" i="6"/>
  <c r="AM362" i="6"/>
  <c r="AM363" i="6" s="1"/>
  <c r="AW328" i="6"/>
  <c r="AX328" i="6" s="1"/>
  <c r="AX330" i="6" s="1"/>
  <c r="CY328" i="6"/>
  <c r="Q17" i="42475"/>
  <c r="C17" i="42473"/>
  <c r="K17" i="42473" s="1"/>
  <c r="BG107" i="6"/>
  <c r="BG110" i="6" s="1"/>
  <c r="AX107" i="6"/>
  <c r="AX110" i="6" s="1"/>
  <c r="AM98" i="42467" s="1"/>
  <c r="D17" i="42467"/>
  <c r="AR114" i="42473"/>
  <c r="AR114" i="42455"/>
  <c r="AS127" i="6"/>
  <c r="AP106" i="42448"/>
  <c r="D17" i="42455"/>
  <c r="AO107" i="6"/>
  <c r="AO110" i="6" s="1"/>
  <c r="CL257" i="42425"/>
  <c r="AM107" i="6"/>
  <c r="AM110" i="6" s="1"/>
  <c r="D16" i="42448"/>
  <c r="G16" i="42448" s="1"/>
  <c r="AJ107" i="6"/>
  <c r="D16" i="42443"/>
  <c r="AH107" i="6"/>
  <c r="AH51" i="6"/>
  <c r="D15" i="42441"/>
  <c r="AE107" i="6"/>
  <c r="AE110" i="6" s="1"/>
  <c r="CD257" i="42425"/>
  <c r="AC51" i="6"/>
  <c r="AC55" i="6" s="1"/>
  <c r="AC107" i="6"/>
  <c r="D15" i="42428"/>
  <c r="C10" i="42440"/>
  <c r="K10" i="42440" s="1"/>
  <c r="AK21" i="6"/>
  <c r="AK1199" i="6" s="1"/>
  <c r="AL11" i="6"/>
  <c r="CW11" i="6" s="1"/>
  <c r="AE937" i="6"/>
  <c r="AE938" i="6" s="1"/>
  <c r="X958" i="6"/>
  <c r="AS729" i="6"/>
  <c r="AR393" i="6"/>
  <c r="AS393" i="6" s="1"/>
  <c r="AT393" i="6" s="1"/>
  <c r="CX393" i="6"/>
  <c r="CX362" i="6"/>
  <c r="AR362" i="6"/>
  <c r="AR363" i="6" s="1"/>
  <c r="AV288" i="6"/>
  <c r="AX1188" i="6"/>
  <c r="BC1188" i="6" s="1"/>
  <c r="BH1188" i="6" s="1"/>
  <c r="BM1188" i="6" s="1"/>
  <c r="BR1188" i="6" s="1"/>
  <c r="BW1188" i="6" s="1"/>
  <c r="AF889" i="6"/>
  <c r="BH777" i="6"/>
  <c r="BH847" i="6" s="1"/>
  <c r="BH859" i="6" s="1"/>
  <c r="CY329" i="6"/>
  <c r="AQ141" i="6"/>
  <c r="CX141" i="6" s="1"/>
  <c r="BK139" i="6"/>
  <c r="DB139" i="6" s="1"/>
  <c r="AL139" i="6"/>
  <c r="CW139" i="6" s="1"/>
  <c r="DC1016" i="6"/>
  <c r="CA1016" i="6"/>
  <c r="CB1016" i="6" s="1"/>
  <c r="BE1168" i="6"/>
  <c r="BF1168" i="6" s="1"/>
  <c r="BG1168" i="6" s="1"/>
  <c r="BH1168" i="6" s="1"/>
  <c r="DD1287" i="6"/>
  <c r="CA1287" i="6"/>
  <c r="AP1086" i="6"/>
  <c r="AQ1086" i="6" s="1"/>
  <c r="AR1086" i="6" s="1"/>
  <c r="AS1142" i="6" s="1"/>
  <c r="Y938" i="6"/>
  <c r="BN1343" i="6"/>
  <c r="BO410" i="6"/>
  <c r="CX1306" i="6"/>
  <c r="BA1168" i="6"/>
  <c r="DE1111" i="6"/>
  <c r="AO1034" i="6"/>
  <c r="AP1034" i="6" s="1"/>
  <c r="AQ1034" i="6" s="1"/>
  <c r="AG1021" i="6"/>
  <c r="CV1021" i="6" s="1"/>
  <c r="Y993" i="6"/>
  <c r="Y1200" i="6" s="1"/>
  <c r="E993" i="6"/>
  <c r="E1200" i="6" s="1"/>
  <c r="CR991" i="6"/>
  <c r="AV959" i="6"/>
  <c r="CY959" i="6" s="1"/>
  <c r="AT942" i="6"/>
  <c r="AT944" i="6" s="1"/>
  <c r="BA959" i="6"/>
  <c r="CZ959" i="6" s="1"/>
  <c r="CU941" i="6"/>
  <c r="BG942" i="6"/>
  <c r="BG944" i="6" s="1"/>
  <c r="BG938" i="6"/>
  <c r="CC953" i="6"/>
  <c r="CC68" i="6" s="1"/>
  <c r="Q929" i="6"/>
  <c r="AI877" i="6"/>
  <c r="AI878" i="6" s="1"/>
  <c r="AI888" i="6" s="1"/>
  <c r="BD793" i="6"/>
  <c r="BD917" i="6" s="1"/>
  <c r="G960" i="6"/>
  <c r="AA928" i="6"/>
  <c r="CX882" i="6"/>
  <c r="CV877" i="6"/>
  <c r="DD826" i="6"/>
  <c r="BH695" i="6"/>
  <c r="BG683" i="6"/>
  <c r="BG685" i="6" s="1"/>
  <c r="AW680" i="6"/>
  <c r="BB672" i="6"/>
  <c r="BB674" i="6" s="1"/>
  <c r="AR655" i="6"/>
  <c r="AP654" i="6"/>
  <c r="AM620" i="6"/>
  <c r="BK602" i="6"/>
  <c r="BK575" i="6"/>
  <c r="BA575" i="6"/>
  <c r="AU574" i="6"/>
  <c r="AV574" i="6" s="1"/>
  <c r="AP520" i="6"/>
  <c r="AP521" i="6" s="1"/>
  <c r="AO505" i="6"/>
  <c r="U505" i="6"/>
  <c r="AQ501" i="6"/>
  <c r="CX501" i="6" s="1"/>
  <c r="CS391" i="6"/>
  <c r="AW390" i="6"/>
  <c r="AX390" i="6" s="1"/>
  <c r="AY390" i="6" s="1"/>
  <c r="CY390" i="6"/>
  <c r="AW389" i="6"/>
  <c r="AX389" i="6" s="1"/>
  <c r="AY389" i="6" s="1"/>
  <c r="AC372" i="6"/>
  <c r="AD372" i="6" s="1"/>
  <c r="AE372" i="6" s="1"/>
  <c r="AF358" i="6"/>
  <c r="AG358" i="6" s="1"/>
  <c r="CV358" i="6" s="1"/>
  <c r="AL347" i="6"/>
  <c r="CW347" i="6" s="1"/>
  <c r="R347" i="6"/>
  <c r="CS347" i="6" s="1"/>
  <c r="CQ345" i="6"/>
  <c r="W347" i="6"/>
  <c r="CT347" i="6" s="1"/>
  <c r="BG343" i="6"/>
  <c r="AT343" i="6"/>
  <c r="AJ343" i="6"/>
  <c r="S343" i="6"/>
  <c r="AV342" i="6"/>
  <c r="FS640" i="42458" s="1"/>
  <c r="AP27" i="6"/>
  <c r="AP343" i="6"/>
  <c r="AI27" i="6"/>
  <c r="AI343" i="6"/>
  <c r="V27" i="6"/>
  <c r="V343" i="6"/>
  <c r="L27" i="6"/>
  <c r="L343" i="6"/>
  <c r="CT339" i="6"/>
  <c r="CQ339" i="6"/>
  <c r="CV339" i="6"/>
  <c r="AG340" i="6"/>
  <c r="CV340" i="6" s="1"/>
  <c r="BF333" i="6"/>
  <c r="DA333" i="6" s="1"/>
  <c r="AM392" i="6"/>
  <c r="CW392" i="6"/>
  <c r="CY368" i="6"/>
  <c r="AW367" i="6"/>
  <c r="AX367" i="6" s="1"/>
  <c r="AY367" i="6" s="1"/>
  <c r="AH362" i="6"/>
  <c r="AH363" i="6" s="1"/>
  <c r="CV362" i="6"/>
  <c r="CT362" i="6"/>
  <c r="X363" i="6"/>
  <c r="AB363" i="6"/>
  <c r="CU363" i="6" s="1"/>
  <c r="AU358" i="6"/>
  <c r="AV358" i="6" s="1"/>
  <c r="CY358" i="6" s="1"/>
  <c r="E358" i="6"/>
  <c r="CV345" i="6"/>
  <c r="AG347" i="6"/>
  <c r="CV347" i="6" s="1"/>
  <c r="BD27" i="6"/>
  <c r="BD343" i="6"/>
  <c r="BB27" i="6"/>
  <c r="BB343" i="6"/>
  <c r="AY27" i="6"/>
  <c r="BA27" i="6" s="1"/>
  <c r="CZ27" i="6" s="1"/>
  <c r="AY343" i="6"/>
  <c r="AU27" i="6"/>
  <c r="AV27" i="6" s="1"/>
  <c r="CY27" i="6" s="1"/>
  <c r="AU343" i="6"/>
  <c r="AM27" i="6"/>
  <c r="AM343" i="6"/>
  <c r="AE27" i="6"/>
  <c r="AG27" i="6" s="1"/>
  <c r="CV27" i="6" s="1"/>
  <c r="AE343" i="6"/>
  <c r="Z27" i="6"/>
  <c r="AB27" i="6" s="1"/>
  <c r="CU27" i="6" s="1"/>
  <c r="Z343" i="6"/>
  <c r="P27" i="6"/>
  <c r="R27" i="6" s="1"/>
  <c r="CS27" i="6" s="1"/>
  <c r="P343" i="6"/>
  <c r="CZ339" i="6"/>
  <c r="BA340" i="6"/>
  <c r="CZ340" i="6" s="1"/>
  <c r="AG312" i="6"/>
  <c r="CV312" i="6" s="1"/>
  <c r="AB312" i="6"/>
  <c r="CU312" i="6" s="1"/>
  <c r="P312" i="6"/>
  <c r="N312" i="6"/>
  <c r="I312" i="6"/>
  <c r="AB311" i="6"/>
  <c r="CU311" i="6" s="1"/>
  <c r="L311" i="6"/>
  <c r="D311" i="6"/>
  <c r="CU310" i="6"/>
  <c r="BJ308" i="6"/>
  <c r="AA308" i="6"/>
  <c r="Y308" i="6"/>
  <c r="U308" i="6"/>
  <c r="Z307" i="6"/>
  <c r="V307" i="6"/>
  <c r="T307" i="6"/>
  <c r="P307" i="6"/>
  <c r="D307" i="6"/>
  <c r="AV301" i="6"/>
  <c r="N298" i="6"/>
  <c r="I298" i="6"/>
  <c r="L275" i="6"/>
  <c r="M226" i="6"/>
  <c r="CR226" i="6" s="1"/>
  <c r="I207" i="6"/>
  <c r="I194" i="6"/>
  <c r="Z119" i="6"/>
  <c r="AG114" i="6"/>
  <c r="CV114" i="6" s="1"/>
  <c r="Q119" i="6"/>
  <c r="AR51" i="6"/>
  <c r="AE51" i="6"/>
  <c r="AE55" i="6" s="1"/>
  <c r="AE113" i="6" s="1"/>
  <c r="AE116" i="6" s="1"/>
  <c r="AE118" i="6" s="1"/>
  <c r="AV41" i="6"/>
  <c r="H13" i="6"/>
  <c r="CQ13" i="6" s="1"/>
  <c r="BN277" i="42290"/>
  <c r="K34" i="42473"/>
  <c r="BQ1343" i="6"/>
  <c r="BS1335" i="6"/>
  <c r="BS1336" i="6" s="1"/>
  <c r="BS1164" i="6"/>
  <c r="H960" i="6"/>
  <c r="CQ960" i="6" s="1"/>
  <c r="DE1287" i="6"/>
  <c r="BT1164" i="6"/>
  <c r="DD835" i="6"/>
  <c r="DD854" i="6"/>
  <c r="DD838" i="6"/>
  <c r="DD857" i="6"/>
  <c r="BR1351" i="6"/>
  <c r="BR154" i="6"/>
  <c r="BQ1351" i="6"/>
  <c r="BQ154" i="6"/>
  <c r="BS1351" i="6"/>
  <c r="BS154" i="6"/>
  <c r="BT1351" i="6"/>
  <c r="BT154" i="6"/>
  <c r="BM1124" i="6"/>
  <c r="DF1111" i="6"/>
  <c r="AG34" i="42446"/>
  <c r="AG14" i="42446"/>
  <c r="AU11" i="42446"/>
  <c r="BQ24" i="42446"/>
  <c r="AU22" i="42446"/>
  <c r="AG13" i="42446"/>
  <c r="AU9" i="42446"/>
  <c r="DD1107" i="6"/>
  <c r="CX900" i="6"/>
  <c r="AY963" i="6"/>
  <c r="AZ963" i="6" s="1"/>
  <c r="BA963" i="6" s="1"/>
  <c r="CZ963" i="6" s="1"/>
  <c r="AV960" i="6"/>
  <c r="CY960" i="6" s="1"/>
  <c r="CV900" i="6"/>
  <c r="AO925" i="6"/>
  <c r="AK266" i="42290"/>
  <c r="AK269" i="42290" s="1"/>
  <c r="CD891" i="6"/>
  <c r="CD900" i="6" s="1"/>
  <c r="CC900" i="6"/>
  <c r="BX266" i="42290" s="1"/>
  <c r="D884" i="6"/>
  <c r="D894" i="6" s="1"/>
  <c r="E878" i="6"/>
  <c r="E888" i="6" s="1"/>
  <c r="AU130" i="6"/>
  <c r="N892" i="6"/>
  <c r="S892" i="6"/>
  <c r="AC878" i="6"/>
  <c r="T877" i="6"/>
  <c r="T878" i="6" s="1"/>
  <c r="T888" i="6" s="1"/>
  <c r="BQ269" i="42290"/>
  <c r="BS277" i="42290"/>
  <c r="Q126" i="42290"/>
  <c r="L52" i="42290"/>
  <c r="Z37" i="42290"/>
  <c r="AF4" i="42290"/>
  <c r="Q4" i="42290"/>
  <c r="V142" i="42290"/>
  <c r="L65" i="42290"/>
  <c r="AE25" i="42290"/>
  <c r="V26" i="42290"/>
  <c r="L26" i="42290"/>
  <c r="V126" i="42290"/>
  <c r="L126" i="42290"/>
  <c r="AI37" i="42290"/>
  <c r="Q26" i="42290"/>
  <c r="AA142" i="42290"/>
  <c r="AH25" i="42290"/>
  <c r="AM25" i="42290" s="1"/>
  <c r="AM37" i="42290" s="1"/>
  <c r="AC37" i="42290"/>
  <c r="L4" i="42290"/>
  <c r="AD142" i="42290"/>
  <c r="AB142" i="42290"/>
  <c r="Q142" i="42290"/>
  <c r="AA125" i="42290"/>
  <c r="AA126" i="42290" s="1"/>
  <c r="AE125" i="42290"/>
  <c r="AJ125" i="42290" s="1"/>
  <c r="AJ142" i="42290" s="1"/>
  <c r="AL25" i="42290"/>
  <c r="AQ25" i="42290" s="1"/>
  <c r="AG37" i="42290"/>
  <c r="V4" i="42290"/>
  <c r="AS25" i="42290"/>
  <c r="AN37" i="42290"/>
  <c r="AQ84" i="42290"/>
  <c r="AQ87" i="42290" s="1"/>
  <c r="G142" i="42290"/>
  <c r="L142" i="42290"/>
  <c r="AV70" i="42290"/>
  <c r="BR27" i="6"/>
  <c r="BQ27" i="6"/>
  <c r="I51" i="6"/>
  <c r="I55" i="6" s="1"/>
  <c r="I70" i="6" s="1"/>
  <c r="I80" i="6" s="1"/>
  <c r="I82" i="6" s="1"/>
  <c r="I103" i="6" s="1"/>
  <c r="F51" i="6"/>
  <c r="D107" i="6"/>
  <c r="D110" i="6" s="1"/>
  <c r="O312" i="6"/>
  <c r="J312" i="6"/>
  <c r="CQ226" i="6"/>
  <c r="H215" i="6"/>
  <c r="CQ215" i="6" s="1"/>
  <c r="M215" i="6"/>
  <c r="CR215" i="6" s="1"/>
  <c r="E10" i="6"/>
  <c r="E127" i="6" s="1"/>
  <c r="E311" i="6"/>
  <c r="CQ193" i="6"/>
  <c r="Q298" i="6"/>
  <c r="P298" i="6"/>
  <c r="K267" i="6"/>
  <c r="K275" i="6"/>
  <c r="CQ214" i="6"/>
  <c r="AE142" i="42290"/>
  <c r="AF125" i="42290"/>
  <c r="AF126" i="42290" s="1"/>
  <c r="J258" i="6"/>
  <c r="K258" i="6" s="1"/>
  <c r="O298" i="6"/>
  <c r="BQ1293" i="6"/>
  <c r="BR1293" i="6" s="1"/>
  <c r="BS1293" i="6" s="1"/>
  <c r="BT1293" i="6" s="1"/>
  <c r="BU1293" i="6" s="1"/>
  <c r="BV1293" i="6" s="1"/>
  <c r="BW1293" i="6" s="1"/>
  <c r="BX1293" i="6" s="1"/>
  <c r="BY1293" i="6" s="1"/>
  <c r="BZ1293" i="6" s="1"/>
  <c r="BT1056" i="6"/>
  <c r="BU1056" i="6" s="1"/>
  <c r="BV1056" i="6" s="1"/>
  <c r="BW1056" i="6" s="1"/>
  <c r="BX1056" i="6" s="1"/>
  <c r="BY1056" i="6" s="1"/>
  <c r="DC1056" i="6"/>
  <c r="BT1055" i="6"/>
  <c r="BU1055" i="6" s="1"/>
  <c r="BU1069" i="6"/>
  <c r="BV1069" i="6" s="1"/>
  <c r="BW1069" i="6" s="1"/>
  <c r="BX1069" i="6" s="1"/>
  <c r="BY1069" i="6" s="1"/>
  <c r="P1034" i="6"/>
  <c r="Q1034" i="6" s="1"/>
  <c r="N33" i="6"/>
  <c r="CZ1135" i="6"/>
  <c r="AQ1017" i="6"/>
  <c r="CX1017" i="6" s="1"/>
  <c r="AT925" i="6"/>
  <c r="BB710" i="6"/>
  <c r="AW685" i="6"/>
  <c r="AX680" i="6"/>
  <c r="AX674" i="6"/>
  <c r="BF643" i="6"/>
  <c r="AR587" i="6"/>
  <c r="BN191" i="42290"/>
  <c r="BM191" i="42290"/>
  <c r="BN171" i="42290"/>
  <c r="CR513" i="6"/>
  <c r="BR80" i="42290"/>
  <c r="BR84" i="42290" s="1"/>
  <c r="BR87" i="42290" s="1"/>
  <c r="BR24" i="42290"/>
  <c r="AZ343" i="6"/>
  <c r="BS75" i="6"/>
  <c r="BX75" i="6" s="1"/>
  <c r="BN114" i="6"/>
  <c r="BN119" i="6" s="1"/>
  <c r="CR508" i="6"/>
  <c r="AS505" i="6"/>
  <c r="R501" i="6"/>
  <c r="CS501" i="6" s="1"/>
  <c r="CX434" i="6"/>
  <c r="BM80" i="42290"/>
  <c r="BM84" i="42290" s="1"/>
  <c r="BM87" i="42290" s="1"/>
  <c r="BN24" i="42290"/>
  <c r="BM24" i="42290"/>
  <c r="BM50" i="42290"/>
  <c r="BM54" i="42290" s="1"/>
  <c r="BM57" i="42290" s="1"/>
  <c r="CT393" i="6"/>
  <c r="CU362" i="6"/>
  <c r="M346" i="6"/>
  <c r="CR346" i="6" s="1"/>
  <c r="CR345" i="6"/>
  <c r="BL343" i="6"/>
  <c r="AF343" i="6"/>
  <c r="X343" i="6"/>
  <c r="BL27" i="6"/>
  <c r="CU339" i="6"/>
  <c r="CR339" i="6"/>
  <c r="CV310" i="6"/>
  <c r="BE308" i="6"/>
  <c r="BB308" i="6"/>
  <c r="AT308" i="6"/>
  <c r="AO308" i="6"/>
  <c r="AK308" i="6"/>
  <c r="AE308" i="6"/>
  <c r="BE307" i="6"/>
  <c r="BB307" i="6"/>
  <c r="AX307" i="6"/>
  <c r="AT307" i="6"/>
  <c r="AR307" i="6"/>
  <c r="AN307" i="6"/>
  <c r="AJ307" i="6"/>
  <c r="AH307" i="6"/>
  <c r="AD307" i="6"/>
  <c r="AW26" i="6"/>
  <c r="CS210" i="6"/>
  <c r="AF119" i="6"/>
  <c r="T119" i="6"/>
  <c r="M114" i="6"/>
  <c r="M119" i="6" s="1"/>
  <c r="CR119" i="6" s="1"/>
  <c r="AB11" i="6"/>
  <c r="CU11" i="6" s="1"/>
  <c r="DB81" i="6"/>
  <c r="CU73" i="6"/>
  <c r="CR73" i="6"/>
  <c r="CY66" i="6"/>
  <c r="DA65" i="6"/>
  <c r="CY65" i="6"/>
  <c r="Y51" i="6"/>
  <c r="S51" i="6"/>
  <c r="N51" i="6"/>
  <c r="N55" i="6" s="1"/>
  <c r="N113" i="6" s="1"/>
  <c r="N116" i="6" s="1"/>
  <c r="N118" i="6" s="1"/>
  <c r="AS21" i="6"/>
  <c r="S21" i="6"/>
  <c r="S1199" i="6" s="1"/>
  <c r="AH5" i="6"/>
  <c r="K32" i="42461"/>
  <c r="BM307" i="6"/>
  <c r="BS108" i="6"/>
  <c r="BU65" i="6"/>
  <c r="G10" i="42419" s="1"/>
  <c r="BQ1342" i="6"/>
  <c r="BU139" i="6"/>
  <c r="DD139" i="6" s="1"/>
  <c r="BQ347" i="6"/>
  <c r="BQ170" i="42290"/>
  <c r="BO1079" i="6"/>
  <c r="CZ67" i="6"/>
  <c r="BJ1020" i="6"/>
  <c r="BK1020" i="6" s="1"/>
  <c r="DB1020" i="6" s="1"/>
  <c r="BN1161" i="6"/>
  <c r="CA1279" i="6"/>
  <c r="BX342" i="6"/>
  <c r="BN27" i="6"/>
  <c r="CE888" i="6"/>
  <c r="B3" i="42458"/>
  <c r="CS1106" i="6"/>
  <c r="S1106" i="6"/>
  <c r="T1161" i="6" s="1"/>
  <c r="DB1102" i="6"/>
  <c r="CZ1102" i="6"/>
  <c r="BB1158" i="6"/>
  <c r="P1100" i="6"/>
  <c r="Q1100" i="6" s="1"/>
  <c r="R1100" i="6" s="1"/>
  <c r="BH1099" i="6"/>
  <c r="G1099" i="6"/>
  <c r="H1099" i="6" s="1"/>
  <c r="CQ1099" i="6" s="1"/>
  <c r="F1098" i="6"/>
  <c r="G1098" i="6" s="1"/>
  <c r="Q27" i="42457"/>
  <c r="DA103" i="6"/>
  <c r="BO1040" i="6"/>
  <c r="BN1040" i="6"/>
  <c r="Y24" i="42457"/>
  <c r="Q24" i="42457"/>
  <c r="DA102" i="6"/>
  <c r="O1343" i="6"/>
  <c r="B8" i="42419"/>
  <c r="CY81" i="6"/>
  <c r="C36" i="42475"/>
  <c r="BJ1342" i="6"/>
  <c r="BH1342" i="6"/>
  <c r="C36" i="42474"/>
  <c r="BE1342" i="6"/>
  <c r="D36" i="42475"/>
  <c r="D36" i="42474"/>
  <c r="BC1342" i="6"/>
  <c r="AX1342" i="6"/>
  <c r="C30" i="42441"/>
  <c r="F30" i="42441" s="1"/>
  <c r="AM1342" i="6"/>
  <c r="AQ77" i="6"/>
  <c r="CX77" i="6" s="1"/>
  <c r="C30" i="42437"/>
  <c r="K30" i="42437" s="1"/>
  <c r="AJ1342" i="6"/>
  <c r="CV77" i="6"/>
  <c r="CT77" i="6"/>
  <c r="W1342" i="6"/>
  <c r="BH114" i="6"/>
  <c r="BH119" i="6" s="1"/>
  <c r="BH1341" i="6"/>
  <c r="AY114" i="6"/>
  <c r="AY119" i="6" s="1"/>
  <c r="AY1341" i="6"/>
  <c r="AO114" i="6"/>
  <c r="AO119" i="6" s="1"/>
  <c r="AO1341" i="6"/>
  <c r="C29" i="42441"/>
  <c r="F29" i="42441" s="1"/>
  <c r="AM1341" i="6"/>
  <c r="AR75" i="6"/>
  <c r="AJ114" i="6"/>
  <c r="AJ119" i="6" s="1"/>
  <c r="AJ1341" i="6"/>
  <c r="AG1341" i="6"/>
  <c r="CT75" i="6"/>
  <c r="W1341" i="6"/>
  <c r="CR75" i="6"/>
  <c r="M1341" i="6"/>
  <c r="CZ73" i="6"/>
  <c r="L45" i="42457"/>
  <c r="L81" i="42457"/>
  <c r="D31" i="42474"/>
  <c r="BA68" i="6"/>
  <c r="BL136" i="6"/>
  <c r="BL1014" i="6"/>
  <c r="BI136" i="6"/>
  <c r="BI1014" i="6"/>
  <c r="C30" i="42473"/>
  <c r="L30" i="42473" s="1"/>
  <c r="BG136" i="6"/>
  <c r="BG1014" i="6"/>
  <c r="BK67" i="6"/>
  <c r="E9" i="42419" s="1"/>
  <c r="C30" i="42468"/>
  <c r="K30" i="42468" s="1"/>
  <c r="BD136" i="6"/>
  <c r="BD1014" i="6"/>
  <c r="BB136" i="6"/>
  <c r="D30" i="42473"/>
  <c r="BB1014" i="6"/>
  <c r="AY136" i="6"/>
  <c r="C29" i="42459"/>
  <c r="AY1014" i="6"/>
  <c r="D30" i="42468"/>
  <c r="AW136" i="6"/>
  <c r="C29" i="42454"/>
  <c r="AW1014" i="6"/>
  <c r="D30" i="42464"/>
  <c r="D29" i="42459"/>
  <c r="AT136" i="6"/>
  <c r="AT1014" i="6"/>
  <c r="D29" i="42454"/>
  <c r="AR136" i="6"/>
  <c r="AR1014" i="6"/>
  <c r="D25" i="42451"/>
  <c r="F25" i="42451" s="1"/>
  <c r="AO136" i="6"/>
  <c r="AO1014" i="6"/>
  <c r="AM136" i="6"/>
  <c r="AQ67" i="6"/>
  <c r="CX67" i="6" s="1"/>
  <c r="C24" i="42441"/>
  <c r="K24" i="42441" s="1"/>
  <c r="AM1014" i="6"/>
  <c r="AJ136" i="6"/>
  <c r="D25" i="42443"/>
  <c r="G25" i="42443" s="1"/>
  <c r="AJ1014" i="6"/>
  <c r="C24" i="42437"/>
  <c r="C23" i="42428"/>
  <c r="AH136" i="6"/>
  <c r="AH1014" i="6"/>
  <c r="AL1014" i="6" s="1"/>
  <c r="CW1014" i="6" s="1"/>
  <c r="AL67" i="6"/>
  <c r="CW67" i="6" s="1"/>
  <c r="D24" i="42437"/>
  <c r="AE136" i="6"/>
  <c r="D23" i="42428"/>
  <c r="AC136" i="6"/>
  <c r="AG67" i="6"/>
  <c r="CV67" i="6" s="1"/>
  <c r="X136" i="6"/>
  <c r="AB67" i="6"/>
  <c r="CU67" i="6" s="1"/>
  <c r="R136" i="6"/>
  <c r="CS136" i="6" s="1"/>
  <c r="I136" i="6"/>
  <c r="M67" i="6"/>
  <c r="CR67" i="6" s="1"/>
  <c r="D136" i="6"/>
  <c r="H136" i="6" s="1"/>
  <c r="CQ136" i="6" s="1"/>
  <c r="D1014" i="6"/>
  <c r="BO1340" i="6"/>
  <c r="BN1340" i="6"/>
  <c r="D11" i="42419"/>
  <c r="BF1340" i="6"/>
  <c r="B11" i="42419"/>
  <c r="AV1340" i="6"/>
  <c r="CW66" i="6"/>
  <c r="AL1340" i="6"/>
  <c r="CU66" i="6"/>
  <c r="AB1340" i="6"/>
  <c r="CS66" i="6"/>
  <c r="R1340" i="6"/>
  <c r="CQ66" i="6"/>
  <c r="H1340" i="6"/>
  <c r="C10" i="42419"/>
  <c r="CZ65" i="6"/>
  <c r="BA1339" i="6"/>
  <c r="L103" i="42458"/>
  <c r="B52" i="42434"/>
  <c r="AA131" i="42434" s="1"/>
  <c r="CX65" i="6"/>
  <c r="AQ1339" i="6"/>
  <c r="CV65" i="6"/>
  <c r="AG1339" i="6"/>
  <c r="CT65" i="6"/>
  <c r="W1339" i="6"/>
  <c r="CR65" i="6"/>
  <c r="M1339" i="6"/>
  <c r="AQ17" i="6"/>
  <c r="B38" i="42434" s="1"/>
  <c r="C10" i="42475"/>
  <c r="Q10" i="42475" s="1"/>
  <c r="BJ129" i="6"/>
  <c r="C10" i="42474"/>
  <c r="BK13" i="6"/>
  <c r="DB13" i="6" s="1"/>
  <c r="BH129" i="6"/>
  <c r="C10" i="42471"/>
  <c r="P10" i="42471" s="1"/>
  <c r="BE129" i="6"/>
  <c r="D10" i="42475"/>
  <c r="C10" i="42467"/>
  <c r="L10" i="42467" s="1"/>
  <c r="BC129" i="6"/>
  <c r="D10" i="42471"/>
  <c r="AZ129" i="6"/>
  <c r="C10" i="42461"/>
  <c r="Q10" i="42461" s="1"/>
  <c r="AO109" i="42454"/>
  <c r="AR110" i="42468"/>
  <c r="AR110" i="42464"/>
  <c r="AR109" i="42461"/>
  <c r="AR111" i="42474"/>
  <c r="AR109" i="42459"/>
  <c r="AR111" i="42475"/>
  <c r="AX129" i="6"/>
  <c r="BA13" i="6"/>
  <c r="CZ13" i="6" s="1"/>
  <c r="C10" i="42455"/>
  <c r="AR110" i="42467"/>
  <c r="AR109" i="42473"/>
  <c r="C10" i="42452"/>
  <c r="AU129" i="6"/>
  <c r="D10" i="42461"/>
  <c r="D10" i="42455"/>
  <c r="AS129" i="6"/>
  <c r="D10" i="42452"/>
  <c r="AP129" i="6"/>
  <c r="AK129" i="6"/>
  <c r="D10" i="42447"/>
  <c r="F10" i="42447" s="1"/>
  <c r="C10" i="42432"/>
  <c r="AL13" i="6"/>
  <c r="CW13" i="6" s="1"/>
  <c r="D10" i="42437"/>
  <c r="CD215" i="42425"/>
  <c r="D11" i="42428"/>
  <c r="AC21" i="6"/>
  <c r="AC1199" i="6" s="1"/>
  <c r="AC1198" i="6" s="1"/>
  <c r="AC147" i="6" s="1"/>
  <c r="CB215" i="42425"/>
  <c r="AG13" i="6"/>
  <c r="CV13" i="6" s="1"/>
  <c r="AB13" i="6"/>
  <c r="CU13" i="6" s="1"/>
  <c r="C9" i="42475"/>
  <c r="L9" i="42475" s="1"/>
  <c r="BJ128" i="6"/>
  <c r="C9" i="42474"/>
  <c r="P9" i="42474" s="1"/>
  <c r="BH128" i="6"/>
  <c r="BE128" i="6"/>
  <c r="C9" i="42471"/>
  <c r="D9" i="42475"/>
  <c r="BC128" i="6"/>
  <c r="C9" i="42467"/>
  <c r="P9" i="42467" s="1"/>
  <c r="D9" i="42474"/>
  <c r="AZ128" i="6"/>
  <c r="D9" i="42471"/>
  <c r="AX128" i="6"/>
  <c r="C9" i="42455"/>
  <c r="L9" i="42455" s="1"/>
  <c r="AR108" i="42471"/>
  <c r="D9" i="42467"/>
  <c r="AR109" i="42464"/>
  <c r="AR108" i="42455"/>
  <c r="AR109" i="42467"/>
  <c r="BA11" i="6"/>
  <c r="CZ11" i="6" s="1"/>
  <c r="AO108" i="42454"/>
  <c r="AR108" i="42461"/>
  <c r="AR108" i="42473"/>
  <c r="AR110" i="42474"/>
  <c r="AU128" i="6"/>
  <c r="C9" i="42452"/>
  <c r="L9" i="42452" s="1"/>
  <c r="D9" i="42455"/>
  <c r="D51" i="42455" s="1"/>
  <c r="AS128" i="6"/>
  <c r="AV11" i="6"/>
  <c r="D9" i="42452"/>
  <c r="G9" i="42452" s="1"/>
  <c r="CK215" i="42425"/>
  <c r="AQ11" i="6"/>
  <c r="AQ128" i="6" s="1"/>
  <c r="CX128" i="6" s="1"/>
  <c r="CG215" i="42425"/>
  <c r="D9" i="42442"/>
  <c r="F9" i="42442" s="1"/>
  <c r="D9" i="42440"/>
  <c r="AF128" i="6"/>
  <c r="CE215" i="42425"/>
  <c r="AA128" i="6"/>
  <c r="CA215" i="42425"/>
  <c r="Y128" i="6"/>
  <c r="BY215" i="42425"/>
  <c r="V128" i="6"/>
  <c r="BW215" i="42425"/>
  <c r="T128" i="6"/>
  <c r="BU215" i="42425"/>
  <c r="O128" i="6"/>
  <c r="R11" i="6"/>
  <c r="CS11" i="6" s="1"/>
  <c r="J128" i="6"/>
  <c r="M11" i="6"/>
  <c r="CR11" i="6" s="1"/>
  <c r="E128" i="6"/>
  <c r="H11" i="6"/>
  <c r="CQ11" i="6" s="1"/>
  <c r="DB4" i="6"/>
  <c r="BL5" i="6"/>
  <c r="BL598" i="6" s="1"/>
  <c r="CX4" i="6"/>
  <c r="AR5" i="6"/>
  <c r="AR632" i="6" s="1"/>
  <c r="CR4" i="6"/>
  <c r="N5" i="6"/>
  <c r="DD120" i="6"/>
  <c r="DD1086" i="6"/>
  <c r="DD1102" i="6"/>
  <c r="DD1135" i="6"/>
  <c r="DD1198" i="6"/>
  <c r="DD1200" i="6"/>
  <c r="DD1202" i="6"/>
  <c r="DD1279" i="6"/>
  <c r="DD1033" i="6"/>
  <c r="DD1015" i="6"/>
  <c r="CA1020" i="6"/>
  <c r="DF1020" i="6" s="1"/>
  <c r="BR1343" i="6"/>
  <c r="BR1335" i="6"/>
  <c r="BR1336" i="6" s="1"/>
  <c r="AE21" i="6"/>
  <c r="AE1199" i="6" s="1"/>
  <c r="DA66" i="6"/>
  <c r="J21" i="6"/>
  <c r="J1199" i="6" s="1"/>
  <c r="DE1015" i="6"/>
  <c r="C9" i="42440"/>
  <c r="AP128" i="6"/>
  <c r="DB1101" i="6"/>
  <c r="AQ13" i="6"/>
  <c r="B37" i="42434" s="1"/>
  <c r="CV1098" i="6"/>
  <c r="BO1100" i="6"/>
  <c r="BP1100" i="6" s="1"/>
  <c r="AS1090" i="6"/>
  <c r="AS1146" i="6" s="1"/>
  <c r="AV1146" i="6" s="1"/>
  <c r="DE1102" i="6"/>
  <c r="AG1039" i="6"/>
  <c r="CV1039" i="6" s="1"/>
  <c r="BO1161" i="6"/>
  <c r="C9" i="42461"/>
  <c r="D10" i="42467"/>
  <c r="BF13" i="6"/>
  <c r="DA13" i="6" s="1"/>
  <c r="D10" i="42442"/>
  <c r="G10" i="42442" s="1"/>
  <c r="CC215" i="42425"/>
  <c r="AR109" i="42468"/>
  <c r="G10" i="42450"/>
  <c r="BK11" i="6"/>
  <c r="D25" i="42448"/>
  <c r="G25" i="42448" s="1"/>
  <c r="L9" i="42453"/>
  <c r="BJ48" i="6"/>
  <c r="C21" i="42475" s="1"/>
  <c r="AY663" i="6"/>
  <c r="BA663" i="6" s="1"/>
  <c r="BN26" i="6"/>
  <c r="BN307" i="6"/>
  <c r="BT1058" i="6"/>
  <c r="BU1058" i="6" s="1"/>
  <c r="BV1058" i="6" s="1"/>
  <c r="BW1058" i="6" s="1"/>
  <c r="BX1058" i="6" s="1"/>
  <c r="BY1058" i="6" s="1"/>
  <c r="BP77" i="6"/>
  <c r="V1335" i="6"/>
  <c r="V1336" i="6" s="1"/>
  <c r="Q1335" i="6"/>
  <c r="Q1336" i="6" s="1"/>
  <c r="O1335" i="6"/>
  <c r="O1336" i="6" s="1"/>
  <c r="L1335" i="6"/>
  <c r="L1336" i="6" s="1"/>
  <c r="G1335" i="6"/>
  <c r="G1336" i="6" s="1"/>
  <c r="EY451" i="42425"/>
  <c r="EY454" i="42425" s="1"/>
  <c r="W962" i="6"/>
  <c r="CT962" i="6" s="1"/>
  <c r="CD990" i="6"/>
  <c r="CD961" i="6" s="1"/>
  <c r="AX961" i="6"/>
  <c r="AI990" i="6"/>
  <c r="AI961" i="6" s="1"/>
  <c r="AH961" i="6"/>
  <c r="AH993" i="6"/>
  <c r="AH1200" i="6" s="1"/>
  <c r="AH143" i="6" s="1"/>
  <c r="S961" i="6"/>
  <c r="P973" i="6"/>
  <c r="P972" i="6" s="1"/>
  <c r="AT963" i="6"/>
  <c r="AU963" i="6" s="1"/>
  <c r="BB949" i="6"/>
  <c r="BB48" i="6" s="1"/>
  <c r="D21" i="42473" s="1"/>
  <c r="AB960" i="6"/>
  <c r="CU960" i="6" s="1"/>
  <c r="CS943" i="6"/>
  <c r="BC925" i="6"/>
  <c r="AK927" i="6"/>
  <c r="CI258" i="42425" s="1"/>
  <c r="AF281" i="42290"/>
  <c r="V281" i="42290"/>
  <c r="BB904" i="6"/>
  <c r="DA900" i="6"/>
  <c r="BE266" i="42290"/>
  <c r="BE269" i="42290" s="1"/>
  <c r="BM266" i="42290"/>
  <c r="BM277" i="42290" s="1"/>
  <c r="BK891" i="6"/>
  <c r="DB891" i="6" s="1"/>
  <c r="BM892" i="6"/>
  <c r="BH892" i="6"/>
  <c r="BG892" i="6"/>
  <c r="BF891" i="6"/>
  <c r="DA891" i="6" s="1"/>
  <c r="AW892" i="6"/>
  <c r="AR892" i="6"/>
  <c r="AM892" i="6"/>
  <c r="AD892" i="6"/>
  <c r="BK886" i="6"/>
  <c r="DB886" i="6" s="1"/>
  <c r="BH817" i="6"/>
  <c r="BI817" i="6" s="1"/>
  <c r="BJ817" i="6" s="1"/>
  <c r="BG820" i="6"/>
  <c r="BG869" i="6" s="1"/>
  <c r="BB812" i="6"/>
  <c r="BB813" i="6" s="1"/>
  <c r="BB809" i="6" s="1"/>
  <c r="DB790" i="6"/>
  <c r="BC794" i="6"/>
  <c r="BC783" i="6"/>
  <c r="BD564" i="6"/>
  <c r="AS564" i="6"/>
  <c r="AQ556" i="6"/>
  <c r="AS552" i="6"/>
  <c r="AS553" i="6"/>
  <c r="AN552" i="6"/>
  <c r="BF541" i="6"/>
  <c r="AQ535" i="6"/>
  <c r="BM171" i="42290"/>
  <c r="AV534" i="6"/>
  <c r="AU530" i="6"/>
  <c r="W510" i="6"/>
  <c r="CT510" i="6" s="1"/>
  <c r="CT508" i="6"/>
  <c r="Q49" i="42425"/>
  <c r="U49" i="42425" s="1"/>
  <c r="U51" i="42425" s="1"/>
  <c r="CQ508" i="6"/>
  <c r="T30" i="6"/>
  <c r="T33" i="6" s="1"/>
  <c r="G30" i="6"/>
  <c r="H30" i="6" s="1"/>
  <c r="CQ30" i="6" s="1"/>
  <c r="H503" i="6"/>
  <c r="CQ503" i="6" s="1"/>
  <c r="AL307" i="6"/>
  <c r="CW307" i="6" s="1"/>
  <c r="K150" i="6"/>
  <c r="T43" i="42457"/>
  <c r="CX1075" i="6"/>
  <c r="N1068" i="6"/>
  <c r="CR1068" i="6"/>
  <c r="CX1040" i="6"/>
  <c r="T1333" i="6"/>
  <c r="U1040" i="6"/>
  <c r="AK1034" i="6"/>
  <c r="AL1034" i="6" s="1"/>
  <c r="AD138" i="6"/>
  <c r="U1025" i="6"/>
  <c r="U138" i="6" s="1"/>
  <c r="Y137" i="6"/>
  <c r="Z1024" i="6"/>
  <c r="Z137" i="6" s="1"/>
  <c r="BC146" i="6"/>
  <c r="Y146" i="6"/>
  <c r="CA1019" i="6"/>
  <c r="DF1019" i="6" s="1"/>
  <c r="DE1019" i="6"/>
  <c r="AI140" i="6"/>
  <c r="Y140" i="6"/>
  <c r="E140" i="6"/>
  <c r="BA979" i="6"/>
  <c r="AD972" i="6"/>
  <c r="T972" i="6"/>
  <c r="CE761" i="6"/>
  <c r="BG710" i="6"/>
  <c r="BK699" i="6"/>
  <c r="BK710" i="6" s="1"/>
  <c r="BD710" i="6"/>
  <c r="BD700" i="6"/>
  <c r="AT679" i="6"/>
  <c r="BL679" i="6"/>
  <c r="BL683" i="6" s="1"/>
  <c r="AM586" i="6"/>
  <c r="AY572" i="6"/>
  <c r="AY574" i="6" s="1"/>
  <c r="AY576" i="6" s="1"/>
  <c r="AT711" i="6"/>
  <c r="AW572" i="6"/>
  <c r="AW574" i="6" s="1"/>
  <c r="AW576" i="6" s="1"/>
  <c r="BR192" i="42290"/>
  <c r="BM192" i="42290"/>
  <c r="AZ192" i="42290"/>
  <c r="BF568" i="6"/>
  <c r="BH477" i="6"/>
  <c r="BH476" i="6"/>
  <c r="Q475" i="6"/>
  <c r="BB369" i="6"/>
  <c r="N363" i="6"/>
  <c r="CR362" i="6"/>
  <c r="AP358" i="6"/>
  <c r="AQ358" i="6" s="1"/>
  <c r="CX358" i="6" s="1"/>
  <c r="L358" i="6"/>
  <c r="M358" i="6" s="1"/>
  <c r="CR358" i="6" s="1"/>
  <c r="M357" i="6"/>
  <c r="CR357" i="6" s="1"/>
  <c r="BK38" i="6"/>
  <c r="IV886" i="42425" s="1"/>
  <c r="IV888" i="42425" s="1"/>
  <c r="BK312" i="6"/>
  <c r="DB312" i="6" s="1"/>
  <c r="BK311" i="6"/>
  <c r="DB311" i="6" s="1"/>
  <c r="R40" i="42425"/>
  <c r="R42" i="42425" s="1"/>
  <c r="CX310" i="6"/>
  <c r="Q40" i="42425"/>
  <c r="W311" i="6"/>
  <c r="L38" i="6"/>
  <c r="J38" i="6"/>
  <c r="J311" i="6"/>
  <c r="J306" i="6"/>
  <c r="E51" i="6"/>
  <c r="E55" i="6" s="1"/>
  <c r="E113" i="6" s="1"/>
  <c r="E116" i="6" s="1"/>
  <c r="E118" i="6" s="1"/>
  <c r="E107" i="6"/>
  <c r="AO323" i="6"/>
  <c r="AO321" i="6"/>
  <c r="I10" i="6"/>
  <c r="I127" i="6" s="1"/>
  <c r="I306" i="6"/>
  <c r="N308" i="6" s="1"/>
  <c r="F21" i="6"/>
  <c r="F1199" i="6" s="1"/>
  <c r="D10" i="6"/>
  <c r="D21" i="6" s="1"/>
  <c r="D1199" i="6" s="1"/>
  <c r="D294" i="6"/>
  <c r="T291" i="6"/>
  <c r="T292" i="6" s="1"/>
  <c r="H223" i="6"/>
  <c r="CQ223" i="6" s="1"/>
  <c r="D191" i="6"/>
  <c r="D200" i="6" s="1"/>
  <c r="E191" i="6"/>
  <c r="E200" i="6" s="1"/>
  <c r="BM129" i="6"/>
  <c r="AB1186" i="6"/>
  <c r="CU1186" i="6" s="1"/>
  <c r="AY1273" i="6"/>
  <c r="BE1285" i="6"/>
  <c r="AZ1176" i="6"/>
  <c r="BA1176" i="6" s="1"/>
  <c r="CZ1176" i="6" s="1"/>
  <c r="BD141" i="6"/>
  <c r="AS991" i="6"/>
  <c r="AS962" i="6" s="1"/>
  <c r="O961" i="6"/>
  <c r="AQ979" i="6"/>
  <c r="AQ1230" i="6" s="1"/>
  <c r="CX1230" i="6" s="1"/>
  <c r="AP1230" i="6"/>
  <c r="BB847" i="6"/>
  <c r="BB850" i="6" s="1"/>
  <c r="BB828" i="6"/>
  <c r="AR711" i="6"/>
  <c r="AR713" i="6" s="1"/>
  <c r="AQ710" i="6"/>
  <c r="AU666" i="6"/>
  <c r="AU667" i="6" s="1"/>
  <c r="AO711" i="6"/>
  <c r="BJ632" i="6"/>
  <c r="BH632" i="6"/>
  <c r="CY434" i="6"/>
  <c r="BH474" i="6"/>
  <c r="AU473" i="6"/>
  <c r="CZ333" i="6"/>
  <c r="J317" i="6"/>
  <c r="J1186" i="6"/>
  <c r="U26" i="6"/>
  <c r="U307" i="6"/>
  <c r="AZ323" i="6"/>
  <c r="DB54" i="6"/>
  <c r="BK108" i="6"/>
  <c r="DB108" i="6" s="1"/>
  <c r="CZ54" i="6"/>
  <c r="BA108" i="6"/>
  <c r="CZ108" i="6" s="1"/>
  <c r="B48" i="42434"/>
  <c r="AA127" i="42434" s="1"/>
  <c r="AQ108" i="6"/>
  <c r="CX108" i="6" s="1"/>
  <c r="D16" i="42432"/>
  <c r="AD107" i="6"/>
  <c r="AD128" i="6"/>
  <c r="C17" i="42474"/>
  <c r="P17" i="42474" s="1"/>
  <c r="BH127" i="6"/>
  <c r="K12" i="42464"/>
  <c r="O172" i="6"/>
  <c r="BU1142" i="6"/>
  <c r="DD1142" i="6" s="1"/>
  <c r="BK808" i="6"/>
  <c r="DB808" i="6" s="1"/>
  <c r="BC809" i="6"/>
  <c r="BC811" i="6" s="1"/>
  <c r="BH666" i="6"/>
  <c r="BH598" i="6"/>
  <c r="BH599" i="6" s="1"/>
  <c r="BH564" i="6"/>
  <c r="BM565" i="6" s="1"/>
  <c r="BH530" i="6"/>
  <c r="H514" i="6"/>
  <c r="CQ514" i="6" s="1"/>
  <c r="Y505" i="6"/>
  <c r="AU477" i="6"/>
  <c r="AU476" i="6"/>
  <c r="H346" i="6"/>
  <c r="CQ346" i="6" s="1"/>
  <c r="I317" i="6"/>
  <c r="D317" i="6"/>
  <c r="BK298" i="6"/>
  <c r="BA298" i="6"/>
  <c r="AQ298" i="6"/>
  <c r="AQ323" i="6" s="1"/>
  <c r="W298" i="6"/>
  <c r="L21" i="6"/>
  <c r="L1199" i="6" s="1"/>
  <c r="B64" i="42434"/>
  <c r="AA142" i="42434" s="1"/>
  <c r="CX81" i="6"/>
  <c r="AR130" i="6"/>
  <c r="D18" i="42450"/>
  <c r="AN129" i="6"/>
  <c r="AI129" i="6"/>
  <c r="BL107" i="6"/>
  <c r="BL110" i="6" s="1"/>
  <c r="C17" i="42468"/>
  <c r="P17" i="42468" s="1"/>
  <c r="BD107" i="6"/>
  <c r="IQ886" i="42425"/>
  <c r="IQ888" i="42425" s="1"/>
  <c r="BB107" i="6"/>
  <c r="AY107" i="6"/>
  <c r="AY110" i="6" s="1"/>
  <c r="D17" i="42459"/>
  <c r="AT127" i="6"/>
  <c r="AR107" i="6"/>
  <c r="AR110" i="6" s="1"/>
  <c r="Z51" i="6"/>
  <c r="Z55" i="6" s="1"/>
  <c r="Z107" i="6"/>
  <c r="Z110" i="6" s="1"/>
  <c r="X107" i="6"/>
  <c r="U51" i="6"/>
  <c r="U55" i="6" s="1"/>
  <c r="U107" i="6"/>
  <c r="S107" i="6"/>
  <c r="S110" i="6" s="1"/>
  <c r="P107" i="6"/>
  <c r="P110" i="6" s="1"/>
  <c r="N107" i="6"/>
  <c r="D10" i="42459"/>
  <c r="AT129" i="6"/>
  <c r="D10" i="42454"/>
  <c r="AR21" i="6"/>
  <c r="AR129" i="6"/>
  <c r="C8" i="42475"/>
  <c r="BJ127" i="6"/>
  <c r="Y21" i="6"/>
  <c r="Y1199" i="6" s="1"/>
  <c r="Y127" i="6"/>
  <c r="K48" i="42473"/>
  <c r="BN10" i="6"/>
  <c r="EK589" i="42458" s="1"/>
  <c r="EK609" i="42458" s="1"/>
  <c r="BP54" i="6"/>
  <c r="BP148" i="6"/>
  <c r="DC148" i="6" s="1"/>
  <c r="AD51" i="6"/>
  <c r="AD55" i="6" s="1"/>
  <c r="W38" i="6"/>
  <c r="AX100" i="42425" s="1"/>
  <c r="AA21" i="6"/>
  <c r="V21" i="6"/>
  <c r="T21" i="6"/>
  <c r="Z21" i="6"/>
  <c r="Z1199" i="6" s="1"/>
  <c r="U21" i="6"/>
  <c r="DC1077" i="6"/>
  <c r="DE19" i="6"/>
  <c r="N333" i="6"/>
  <c r="N334" i="6" s="1"/>
  <c r="AA1033" i="6"/>
  <c r="AA148" i="6" s="1"/>
  <c r="J268" i="6"/>
  <c r="L1022" i="6"/>
  <c r="M1022" i="6" s="1"/>
  <c r="CR1022" i="6" s="1"/>
  <c r="BF1314" i="6"/>
  <c r="DA1314" i="6" s="1"/>
  <c r="BP1314" i="6"/>
  <c r="DC1314" i="6" s="1"/>
  <c r="AS1186" i="6"/>
  <c r="AW1186" i="6"/>
  <c r="BB1186" i="6" s="1"/>
  <c r="BG1186" i="6" s="1"/>
  <c r="BL1186" i="6" s="1"/>
  <c r="BQ1186" i="6" s="1"/>
  <c r="BV1186" i="6" s="1"/>
  <c r="AG1176" i="6"/>
  <c r="CV1176" i="6" s="1"/>
  <c r="AF1178" i="6"/>
  <c r="AG1178" i="6" s="1"/>
  <c r="CV1178" i="6" s="1"/>
  <c r="AY1041" i="6"/>
  <c r="AQ959" i="6"/>
  <c r="CX959" i="6" s="1"/>
  <c r="BL938" i="6"/>
  <c r="BL942" i="6"/>
  <c r="BL944" i="6" s="1"/>
  <c r="AR28" i="6"/>
  <c r="AR33" i="6" s="1"/>
  <c r="AR925" i="6"/>
  <c r="BI683" i="6"/>
  <c r="BF631" i="6"/>
  <c r="AR621" i="6"/>
  <c r="AN30" i="6"/>
  <c r="AN505" i="6"/>
  <c r="J30" i="6"/>
  <c r="CZ434" i="6"/>
  <c r="CV434" i="6"/>
  <c r="Z96" i="42290"/>
  <c r="Z98" i="42290" s="1"/>
  <c r="Z100" i="42290" s="1"/>
  <c r="CU356" i="6"/>
  <c r="R356" i="6"/>
  <c r="Q749" i="6"/>
  <c r="H356" i="6"/>
  <c r="CQ356" i="6" s="1"/>
  <c r="AB347" i="6"/>
  <c r="CU347" i="6" s="1"/>
  <c r="CU345" i="6"/>
  <c r="AB346" i="6"/>
  <c r="CU346" i="6" s="1"/>
  <c r="AN27" i="6"/>
  <c r="AN343" i="6"/>
  <c r="AA26" i="6"/>
  <c r="AA307" i="6"/>
  <c r="Y26" i="6"/>
  <c r="AB306" i="6"/>
  <c r="AB307" i="6" s="1"/>
  <c r="CU307" i="6" s="1"/>
  <c r="T26" i="6"/>
  <c r="T308" i="6"/>
  <c r="O26" i="6"/>
  <c r="R26" i="6" s="1"/>
  <c r="CS26" i="6" s="1"/>
  <c r="O307" i="6"/>
  <c r="BI323" i="6"/>
  <c r="BI321" i="6"/>
  <c r="BD323" i="6"/>
  <c r="BD321" i="6"/>
  <c r="BB323" i="6"/>
  <c r="BB321" i="6"/>
  <c r="AT323" i="6"/>
  <c r="AT321" i="6"/>
  <c r="R207" i="6"/>
  <c r="CS207" i="6" s="1"/>
  <c r="CS906" i="6"/>
  <c r="AU172" i="6"/>
  <c r="CX881" i="6"/>
  <c r="CY927" i="6"/>
  <c r="AO1024" i="6"/>
  <c r="AO1317" i="6" s="1"/>
  <c r="CX1101" i="6"/>
  <c r="AS1156" i="6"/>
  <c r="AM1156" i="6"/>
  <c r="AW1153" i="6"/>
  <c r="CR1093" i="6"/>
  <c r="N1149" i="6"/>
  <c r="AN1285" i="6"/>
  <c r="BH149" i="6"/>
  <c r="BJ148" i="6"/>
  <c r="BK148" i="6" s="1"/>
  <c r="DB148" i="6" s="1"/>
  <c r="BK1033" i="6"/>
  <c r="DB1033" i="6" s="1"/>
  <c r="AQ1201" i="6"/>
  <c r="CX1201" i="6" s="1"/>
  <c r="K961" i="6"/>
  <c r="AW1005" i="6"/>
  <c r="AW1230" i="6"/>
  <c r="CU979" i="6"/>
  <c r="AY710" i="6"/>
  <c r="AY700" i="6"/>
  <c r="AS711" i="6"/>
  <c r="BR191" i="42290"/>
  <c r="AP192" i="42290"/>
  <c r="AP202" i="42290" s="1"/>
  <c r="AN202" i="42290" s="1"/>
  <c r="AV568" i="6"/>
  <c r="BK454" i="6"/>
  <c r="DB454" i="6" s="1"/>
  <c r="BY432" i="6"/>
  <c r="BN50" i="42290"/>
  <c r="BN54" i="42290" s="1"/>
  <c r="BN57" i="42290" s="1"/>
  <c r="AZ50" i="42290"/>
  <c r="AZ54" i="42290" s="1"/>
  <c r="AZ57" i="42290" s="1"/>
  <c r="BN124" i="42290"/>
  <c r="T172" i="6"/>
  <c r="P880" i="6"/>
  <c r="R884" i="6" s="1"/>
  <c r="AN615" i="6"/>
  <c r="AN616" i="6" s="1"/>
  <c r="BF602" i="6"/>
  <c r="M510" i="6"/>
  <c r="CR510" i="6" s="1"/>
  <c r="I363" i="6"/>
  <c r="CQ362" i="6"/>
  <c r="AQ347" i="6"/>
  <c r="CX347" i="6" s="1"/>
  <c r="AV340" i="6"/>
  <c r="CY340" i="6" s="1"/>
  <c r="CY339" i="6"/>
  <c r="AG311" i="6"/>
  <c r="BL307" i="6"/>
  <c r="AQ148" i="6"/>
  <c r="CX148" i="6" s="1"/>
  <c r="AL39" i="6"/>
  <c r="CW39" i="6" s="1"/>
  <c r="HL823" i="42425" s="1"/>
  <c r="C8" i="42474"/>
  <c r="P8" i="42474" s="1"/>
  <c r="BK10" i="6"/>
  <c r="EH589" i="42458" s="1"/>
  <c r="EH609" i="42458" s="1"/>
  <c r="BU5" i="6"/>
  <c r="DA4" i="6"/>
  <c r="BG5" i="6"/>
  <c r="CW4" i="6"/>
  <c r="AM5" i="6"/>
  <c r="AM598" i="6" s="1"/>
  <c r="BN413" i="6"/>
  <c r="BN476" i="6" s="1"/>
  <c r="M347" i="6"/>
  <c r="CR347" i="6" s="1"/>
  <c r="BH343" i="6"/>
  <c r="M340" i="6"/>
  <c r="CR340" i="6" s="1"/>
  <c r="AQ312" i="6"/>
  <c r="CX312" i="6" s="1"/>
  <c r="W312" i="6"/>
  <c r="CT312" i="6" s="1"/>
  <c r="CU291" i="6"/>
  <c r="AV148" i="6"/>
  <c r="CY148" i="6" s="1"/>
  <c r="AV121" i="6"/>
  <c r="CY121" i="6" s="1"/>
  <c r="W67" i="6"/>
  <c r="CT67" i="6" s="1"/>
  <c r="CX66" i="6"/>
  <c r="BI107" i="6"/>
  <c r="BI110" i="6" s="1"/>
  <c r="X51" i="6"/>
  <c r="AB41" i="6"/>
  <c r="CU41" i="6" s="1"/>
  <c r="HJ824" i="42425" s="1"/>
  <c r="D10" i="42440"/>
  <c r="AF21" i="6"/>
  <c r="IN866" i="42425"/>
  <c r="AT21" i="6"/>
  <c r="O21" i="6"/>
  <c r="DC4" i="6"/>
  <c r="Q51" i="6"/>
  <c r="Q55" i="6" s="1"/>
  <c r="M41" i="6"/>
  <c r="BF39" i="6"/>
  <c r="J126" i="6"/>
  <c r="L1039" i="6"/>
  <c r="M1039" i="6" s="1"/>
  <c r="CR1039" i="6" s="1"/>
  <c r="Q1038" i="6"/>
  <c r="R1038" i="6" s="1"/>
  <c r="CS1038" i="6" s="1"/>
  <c r="G1039" i="6"/>
  <c r="H1039" i="6" s="1"/>
  <c r="CQ1039" i="6" s="1"/>
  <c r="AA938" i="6"/>
  <c r="BO191" i="42290"/>
  <c r="BO196" i="42290" s="1"/>
  <c r="BM196" i="42290" s="1"/>
  <c r="AV1124" i="6"/>
  <c r="AW172" i="6" s="1"/>
  <c r="J172" i="6"/>
  <c r="CX1106" i="6"/>
  <c r="AZ1031" i="6"/>
  <c r="AZ150" i="6" s="1"/>
  <c r="BA150" i="6" s="1"/>
  <c r="CZ150" i="6" s="1"/>
  <c r="CU991" i="6"/>
  <c r="BK960" i="6"/>
  <c r="DB960" i="6" s="1"/>
  <c r="AG960" i="6"/>
  <c r="CV960" i="6" s="1"/>
  <c r="H959" i="6"/>
  <c r="CQ959" i="6" s="1"/>
  <c r="CU357" i="6"/>
  <c r="AB750" i="6"/>
  <c r="CU750" i="6" s="1"/>
  <c r="X892" i="6"/>
  <c r="BJ683" i="6"/>
  <c r="BA673" i="6"/>
  <c r="BF646" i="6"/>
  <c r="BF647" i="6" s="1"/>
  <c r="BK643" i="6"/>
  <c r="AN620" i="6"/>
  <c r="AN597" i="6"/>
  <c r="AN598" i="6" s="1"/>
  <c r="AV575" i="6"/>
  <c r="CV508" i="6"/>
  <c r="W501" i="6"/>
  <c r="CT501" i="6" s="1"/>
  <c r="AZ80" i="42290"/>
  <c r="AZ84" i="42290" s="1"/>
  <c r="AZ87" i="42290" s="1"/>
  <c r="AC390" i="6"/>
  <c r="AH372" i="6"/>
  <c r="AI372" i="6" s="1"/>
  <c r="AJ372" i="6" s="1"/>
  <c r="BC343" i="6"/>
  <c r="BA346" i="6"/>
  <c r="CZ346" i="6" s="1"/>
  <c r="W340" i="6"/>
  <c r="CT340" i="6" s="1"/>
  <c r="BA312" i="6"/>
  <c r="CZ312" i="6" s="1"/>
  <c r="AX308" i="6"/>
  <c r="V308" i="6"/>
  <c r="AI307" i="6"/>
  <c r="Y307" i="6"/>
  <c r="Q307" i="6"/>
  <c r="AW303" i="6"/>
  <c r="AB298" i="6"/>
  <c r="CS291" i="6"/>
  <c r="BB286" i="6"/>
  <c r="BF665" i="6"/>
  <c r="AQ640" i="6"/>
  <c r="BF563" i="6"/>
  <c r="BA149" i="6"/>
  <c r="CZ149" i="6" s="1"/>
  <c r="H142" i="6"/>
  <c r="CQ142" i="6" s="1"/>
  <c r="AQ75" i="6"/>
  <c r="BF67" i="6"/>
  <c r="D9" i="42419" s="1"/>
  <c r="H67" i="6"/>
  <c r="CQ67" i="6" s="1"/>
  <c r="CX54" i="6"/>
  <c r="BA41" i="6"/>
  <c r="BA39" i="6"/>
  <c r="CZ39" i="6" s="1"/>
  <c r="HO823" i="42425" s="1"/>
  <c r="R39" i="6"/>
  <c r="M39" i="6"/>
  <c r="CR39" i="6" s="1"/>
  <c r="H39" i="6"/>
  <c r="CQ39" i="6" s="1"/>
  <c r="X21" i="6"/>
  <c r="X1199" i="6" s="1"/>
  <c r="W13" i="6"/>
  <c r="R13" i="6"/>
  <c r="CS13" i="6" s="1"/>
  <c r="M13" i="6"/>
  <c r="CR13" i="6" s="1"/>
  <c r="BF11" i="6"/>
  <c r="W11" i="6"/>
  <c r="W128" i="6" s="1"/>
  <c r="CT128" i="6" s="1"/>
  <c r="W10" i="6"/>
  <c r="BA49" i="6"/>
  <c r="H41" i="6"/>
  <c r="T51" i="6"/>
  <c r="AB38" i="6"/>
  <c r="AQ10" i="6"/>
  <c r="AQ127" i="6" s="1"/>
  <c r="CX127" i="6" s="1"/>
  <c r="R10" i="6"/>
  <c r="CS10" i="6" s="1"/>
  <c r="CQ991" i="6"/>
  <c r="BH925" i="6"/>
  <c r="DB900" i="6"/>
  <c r="T892" i="6"/>
  <c r="CT883" i="6"/>
  <c r="F884" i="6"/>
  <c r="F894" i="6" s="1"/>
  <c r="AP114" i="6"/>
  <c r="AP119" i="6" s="1"/>
  <c r="AN114" i="6"/>
  <c r="AN119" i="6" s="1"/>
  <c r="AK114" i="6"/>
  <c r="AL75" i="6"/>
  <c r="CW75" i="6" s="1"/>
  <c r="BS1125" i="6"/>
  <c r="BT1125" i="6" s="1"/>
  <c r="BU1125" i="6" s="1"/>
  <c r="BV1125" i="6" s="1"/>
  <c r="BW1125" i="6" s="1"/>
  <c r="BX1125" i="6" s="1"/>
  <c r="BY1125" i="6" s="1"/>
  <c r="BZ1125" i="6" s="1"/>
  <c r="BT1116" i="6"/>
  <c r="BU1116" i="6" s="1"/>
  <c r="BV1116" i="6" s="1"/>
  <c r="BW1116" i="6" s="1"/>
  <c r="BX1116" i="6" s="1"/>
  <c r="BY1116" i="6" s="1"/>
  <c r="DC1116" i="6"/>
  <c r="BB1273" i="6"/>
  <c r="I1064" i="6"/>
  <c r="I1066" i="6" s="1"/>
  <c r="J1063" i="6"/>
  <c r="AA1041" i="6"/>
  <c r="AB1041" i="6" s="1"/>
  <c r="CU1041" i="6" s="1"/>
  <c r="BJ1034" i="6"/>
  <c r="AZ1021" i="6"/>
  <c r="BA1021" i="6" s="1"/>
  <c r="CZ1021" i="6" s="1"/>
  <c r="CE981" i="6"/>
  <c r="CF981" i="6" s="1"/>
  <c r="CG981" i="6" s="1"/>
  <c r="AW684" i="6"/>
  <c r="AW687" i="6"/>
  <c r="AW689" i="6" s="1"/>
  <c r="BB1001" i="6"/>
  <c r="BC1001" i="6" s="1"/>
  <c r="BQ1177" i="6"/>
  <c r="BR1177" i="6" s="1"/>
  <c r="BS1177" i="6" s="1"/>
  <c r="BT1177" i="6" s="1"/>
  <c r="BU1177" i="6" s="1"/>
  <c r="BV1177" i="6" s="1"/>
  <c r="BW1177" i="6" s="1"/>
  <c r="BX1177" i="6" s="1"/>
  <c r="BY1177" i="6" s="1"/>
  <c r="BZ1177" i="6" s="1"/>
  <c r="BT1122" i="6"/>
  <c r="AP1041" i="6"/>
  <c r="AQ1041" i="6" s="1"/>
  <c r="CX1041" i="6" s="1"/>
  <c r="AO1042" i="6"/>
  <c r="AP1038" i="6"/>
  <c r="V1034" i="6"/>
  <c r="W1034" i="6" s="1"/>
  <c r="CT1034" i="6" s="1"/>
  <c r="AZ1032" i="6"/>
  <c r="BA1032" i="6" s="1"/>
  <c r="CZ1032" i="6" s="1"/>
  <c r="AA1027" i="6"/>
  <c r="AB1027" i="6" s="1"/>
  <c r="CU1027" i="6" s="1"/>
  <c r="AU1021" i="6"/>
  <c r="AV1021" i="6" s="1"/>
  <c r="CY1021" i="6" s="1"/>
  <c r="BF963" i="6"/>
  <c r="DA963" i="6" s="1"/>
  <c r="AW1156" i="6"/>
  <c r="X1156" i="6"/>
  <c r="X1155" i="6"/>
  <c r="AR993" i="6"/>
  <c r="AA993" i="6"/>
  <c r="T993" i="6"/>
  <c r="T1200" i="6" s="1"/>
  <c r="CS991" i="6"/>
  <c r="BA986" i="6"/>
  <c r="CZ986" i="6" s="1"/>
  <c r="BB892" i="6"/>
  <c r="R880" i="6"/>
  <c r="BI828" i="6"/>
  <c r="AP281" i="42290"/>
  <c r="AQ907" i="6"/>
  <c r="CX907" i="6" s="1"/>
  <c r="BN828" i="6"/>
  <c r="BO828" i="6" s="1"/>
  <c r="BO840" i="6" s="1"/>
  <c r="BC700" i="6"/>
  <c r="BC710" i="6"/>
  <c r="BC685" i="6"/>
  <c r="AX687" i="6"/>
  <c r="AX688" i="6" s="1"/>
  <c r="AP711" i="6"/>
  <c r="AP713" i="6" s="1"/>
  <c r="AP728" i="6" s="1"/>
  <c r="AU564" i="6"/>
  <c r="AZ565" i="6" s="1"/>
  <c r="AB454" i="6"/>
  <c r="CU454" i="6" s="1"/>
  <c r="BM63" i="42290"/>
  <c r="BM67" i="42290" s="1"/>
  <c r="BM70" i="42290" s="1"/>
  <c r="CQ434" i="6"/>
  <c r="CX388" i="6"/>
  <c r="CS372" i="6"/>
  <c r="BB362" i="6"/>
  <c r="BB363" i="6" s="1"/>
  <c r="AG363" i="6"/>
  <c r="CV363" i="6" s="1"/>
  <c r="AG346" i="6"/>
  <c r="CV346" i="6" s="1"/>
  <c r="AX343" i="6"/>
  <c r="AA343" i="6"/>
  <c r="I27" i="6"/>
  <c r="N343" i="6"/>
  <c r="BP339" i="6"/>
  <c r="AB340" i="6"/>
  <c r="CU340" i="6" s="1"/>
  <c r="I311" i="6"/>
  <c r="AV38" i="6"/>
  <c r="AV311" i="6"/>
  <c r="CY311" i="6" s="1"/>
  <c r="R311" i="6"/>
  <c r="CS310" i="6"/>
  <c r="AO307" i="6"/>
  <c r="AC307" i="6"/>
  <c r="BL26" i="6"/>
  <c r="BC26" i="6"/>
  <c r="BF26" i="6" s="1"/>
  <c r="DA26" i="6" s="1"/>
  <c r="BC308" i="6"/>
  <c r="AZ26" i="6"/>
  <c r="AZ307" i="6"/>
  <c r="AS26" i="6"/>
  <c r="AV26" i="6" s="1"/>
  <c r="AS307" i="6"/>
  <c r="AS308" i="6"/>
  <c r="BE321" i="6"/>
  <c r="AW323" i="6"/>
  <c r="AW321" i="6"/>
  <c r="AG298" i="6"/>
  <c r="AH371" i="6"/>
  <c r="AI371" i="6" s="1"/>
  <c r="AJ371" i="6" s="1"/>
  <c r="S369" i="6"/>
  <c r="I367" i="6"/>
  <c r="J367" i="6" s="1"/>
  <c r="K367" i="6" s="1"/>
  <c r="DA345" i="6"/>
  <c r="BF347" i="6"/>
  <c r="DA347" i="6" s="1"/>
  <c r="AV347" i="6"/>
  <c r="CY347" i="6" s="1"/>
  <c r="CY345" i="6"/>
  <c r="AV346" i="6"/>
  <c r="CY346" i="6" s="1"/>
  <c r="BA347" i="6"/>
  <c r="CZ347" i="6" s="1"/>
  <c r="BB329" i="6"/>
  <c r="BC329" i="6" s="1"/>
  <c r="CZ329" i="6"/>
  <c r="BA38" i="6"/>
  <c r="CZ38" i="6" s="1"/>
  <c r="HO822" i="42425" s="1"/>
  <c r="CZ310" i="6"/>
  <c r="BA311" i="6"/>
  <c r="CZ311" i="6" s="1"/>
  <c r="BG26" i="6"/>
  <c r="BG307" i="6"/>
  <c r="AM26" i="6"/>
  <c r="AM307" i="6"/>
  <c r="AH26" i="6"/>
  <c r="AL26" i="6" s="1"/>
  <c r="CW26" i="6" s="1"/>
  <c r="AH308" i="6"/>
  <c r="AE26" i="6"/>
  <c r="AE307" i="6"/>
  <c r="BG323" i="6"/>
  <c r="BG321" i="6"/>
  <c r="AU323" i="6"/>
  <c r="AM323" i="6"/>
  <c r="AM321" i="6"/>
  <c r="M239" i="6"/>
  <c r="CR239" i="6" s="1"/>
  <c r="H211" i="6"/>
  <c r="CQ211" i="6" s="1"/>
  <c r="CQ210" i="6"/>
  <c r="Q208" i="6"/>
  <c r="AB142" i="6"/>
  <c r="CU142" i="6" s="1"/>
  <c r="W142" i="6"/>
  <c r="CT142" i="6" s="1"/>
  <c r="B66" i="42434"/>
  <c r="E66" i="42434" s="1"/>
  <c r="AD145" i="42434" s="1"/>
  <c r="CX85" i="6"/>
  <c r="C29" i="42437"/>
  <c r="K29" i="42437" s="1"/>
  <c r="C18" i="42468"/>
  <c r="AD21" i="6"/>
  <c r="R38" i="6"/>
  <c r="CS38" i="6" s="1"/>
  <c r="CA1109" i="6"/>
  <c r="DG1111" i="6"/>
  <c r="CC1111" i="6"/>
  <c r="CD1111" i="6" s="1"/>
  <c r="CE1111" i="6" s="1"/>
  <c r="CF1111" i="6" s="1"/>
  <c r="CG1111" i="6" s="1"/>
  <c r="DE1135" i="6"/>
  <c r="DD154" i="6"/>
  <c r="F140" i="6"/>
  <c r="C18" i="42440"/>
  <c r="L18" i="42440" s="1"/>
  <c r="AB333" i="6"/>
  <c r="AC333" i="6" s="1"/>
  <c r="AC753" i="6" s="1"/>
  <c r="DE1020" i="6"/>
  <c r="B54" i="42434"/>
  <c r="BR75" i="6"/>
  <c r="BW75" i="6" s="1"/>
  <c r="BM114" i="6"/>
  <c r="BM119" i="6" s="1"/>
  <c r="BM1341" i="6"/>
  <c r="S1161" i="6"/>
  <c r="BP1076" i="6"/>
  <c r="BP1079" i="6" s="1"/>
  <c r="DC1079" i="6" s="1"/>
  <c r="BT108" i="6"/>
  <c r="I21" i="6"/>
  <c r="I1199" i="6" s="1"/>
  <c r="DB38" i="6"/>
  <c r="HQ822" i="42425" s="1"/>
  <c r="BN313" i="6"/>
  <c r="BN311" i="6"/>
  <c r="BN312" i="6"/>
  <c r="BN38" i="6"/>
  <c r="BP5" i="6"/>
  <c r="BO290" i="42290" s="1"/>
  <c r="BO292" i="42290" s="1"/>
  <c r="BP66" i="6"/>
  <c r="DC66" i="6" s="1"/>
  <c r="N125" i="42458"/>
  <c r="DB67" i="6"/>
  <c r="BN346" i="6"/>
  <c r="BN347" i="6"/>
  <c r="BN39" i="6"/>
  <c r="BN51" i="6" s="1"/>
  <c r="Y8" i="42457" s="1"/>
  <c r="DF19" i="6"/>
  <c r="CS356" i="6"/>
  <c r="W26" i="6"/>
  <c r="CT26" i="6" s="1"/>
  <c r="O333" i="6"/>
  <c r="O334" i="6" s="1"/>
  <c r="E16" i="42425"/>
  <c r="CT11" i="6"/>
  <c r="AW688" i="6"/>
  <c r="BR1145" i="6"/>
  <c r="DG19" i="6"/>
  <c r="DB19" i="6"/>
  <c r="AJ1176" i="6"/>
  <c r="AJ1178" i="6" s="1"/>
  <c r="K1038" i="6"/>
  <c r="L1038" i="6" s="1"/>
  <c r="BH542" i="6"/>
  <c r="DC1086" i="6"/>
  <c r="CY1086" i="6"/>
  <c r="W1041" i="6"/>
  <c r="CT1041" i="6" s="1"/>
  <c r="BA1039" i="6"/>
  <c r="CZ1039" i="6" s="1"/>
  <c r="AO1022" i="6"/>
  <c r="AP1022" i="6" s="1"/>
  <c r="AU1020" i="6"/>
  <c r="AV1020" i="6" s="1"/>
  <c r="CY1020" i="6" s="1"/>
  <c r="AU1019" i="6"/>
  <c r="AV1019" i="6" s="1"/>
  <c r="CY1019" i="6" s="1"/>
  <c r="CC780" i="6"/>
  <c r="BK774" i="6"/>
  <c r="AW700" i="6"/>
  <c r="AP191" i="42290"/>
  <c r="BM170" i="42290"/>
  <c r="AP323" i="6"/>
  <c r="AR321" i="6"/>
  <c r="BF312" i="6"/>
  <c r="DA312" i="6" s="1"/>
  <c r="D749" i="6"/>
  <c r="CR77" i="6"/>
  <c r="CZ66" i="6"/>
  <c r="AP127" i="6"/>
  <c r="AT51" i="6"/>
  <c r="AT55" i="6" s="1"/>
  <c r="AT70" i="6" s="1"/>
  <c r="I227" i="6"/>
  <c r="I291" i="6"/>
  <c r="J226" i="6"/>
  <c r="N126" i="6"/>
  <c r="I126" i="6"/>
  <c r="D126" i="6"/>
  <c r="G21" i="6"/>
  <c r="F275" i="6"/>
  <c r="J267" i="6"/>
  <c r="K107" i="6"/>
  <c r="K110" i="6" s="1"/>
  <c r="D275" i="6"/>
  <c r="AX631" i="6"/>
  <c r="AY630" i="6"/>
  <c r="M1034" i="6"/>
  <c r="CR1034" i="6" s="1"/>
  <c r="AU1032" i="6"/>
  <c r="CQ1093" i="6"/>
  <c r="CQ1063" i="6"/>
  <c r="BD1273" i="6"/>
  <c r="BL776" i="6"/>
  <c r="BA636" i="6"/>
  <c r="AQ624" i="6"/>
  <c r="AV609" i="6"/>
  <c r="AQ569" i="6"/>
  <c r="BK563" i="6"/>
  <c r="G358" i="6"/>
  <c r="H358" i="6" s="1"/>
  <c r="CQ358" i="6" s="1"/>
  <c r="AU107" i="6"/>
  <c r="AU110" i="6" s="1"/>
  <c r="V51" i="6"/>
  <c r="BV215" i="42425"/>
  <c r="P21" i="6"/>
  <c r="DB66" i="6"/>
  <c r="AV17" i="6"/>
  <c r="CY17" i="6" s="1"/>
  <c r="W50" i="6"/>
  <c r="AI1152" i="6"/>
  <c r="BH850" i="6"/>
  <c r="CY342" i="6"/>
  <c r="BA1023" i="6"/>
  <c r="CZ1023" i="6" s="1"/>
  <c r="DB1086" i="6"/>
  <c r="D358" i="6"/>
  <c r="E360" i="6" s="1"/>
  <c r="E492" i="6" s="1"/>
  <c r="BB328" i="6"/>
  <c r="BC328" i="6" s="1"/>
  <c r="BD328" i="6" s="1"/>
  <c r="BE328" i="6" s="1"/>
  <c r="BF328" i="6" s="1"/>
  <c r="BG328" i="6" s="1"/>
  <c r="BH328" i="6" s="1"/>
  <c r="BI328" i="6" s="1"/>
  <c r="BJ328" i="6" s="1"/>
  <c r="BK328" i="6" s="1"/>
  <c r="CZ328" i="6"/>
  <c r="D33" i="6"/>
  <c r="R959" i="6"/>
  <c r="CS959" i="6" s="1"/>
  <c r="BZ215" i="42425"/>
  <c r="N21" i="6"/>
  <c r="CW291" i="6"/>
  <c r="BP65" i="6"/>
  <c r="AA51" i="6"/>
  <c r="IR886" i="42425"/>
  <c r="IR888" i="42425" s="1"/>
  <c r="AF51" i="6"/>
  <c r="AF55" i="6" s="1"/>
  <c r="AF113" i="6" s="1"/>
  <c r="AF116" i="6" s="1"/>
  <c r="AE61" i="42446"/>
  <c r="AE57" i="42446"/>
  <c r="AE46" i="42446"/>
  <c r="BP39" i="42446"/>
  <c r="AE37" i="42446"/>
  <c r="BP36" i="42446"/>
  <c r="BP27" i="42446"/>
  <c r="AW411" i="6"/>
  <c r="CE991" i="6"/>
  <c r="CE962" i="6" s="1"/>
  <c r="BL130" i="42425"/>
  <c r="DD1059" i="6"/>
  <c r="BC542" i="6"/>
  <c r="BQ75" i="6"/>
  <c r="BL114" i="6"/>
  <c r="BL119" i="6" s="1"/>
  <c r="BK609" i="6"/>
  <c r="BC127" i="6"/>
  <c r="E126" i="6"/>
  <c r="BR11" i="6"/>
  <c r="EO590" i="42458" s="1"/>
  <c r="EO610" i="42458" s="1"/>
  <c r="DD19" i="6"/>
  <c r="CC29" i="42446"/>
  <c r="AG28" i="42446"/>
  <c r="AU25" i="42446"/>
  <c r="AS27" i="42446"/>
  <c r="AG22" i="42446"/>
  <c r="AU12" i="42446"/>
  <c r="BQ9" i="42446"/>
  <c r="CC24" i="42446"/>
  <c r="AG18" i="42446"/>
  <c r="AU17" i="42446"/>
  <c r="AG12" i="42446"/>
  <c r="AG31" i="42446"/>
  <c r="CC12" i="42446"/>
  <c r="BQ11" i="42446"/>
  <c r="G1155" i="6"/>
  <c r="H1155" i="6" s="1"/>
  <c r="CQ1155" i="6" s="1"/>
  <c r="U877" i="6"/>
  <c r="V878" i="6" s="1"/>
  <c r="BG945" i="6"/>
  <c r="AG119" i="6"/>
  <c r="CV119" i="6" s="1"/>
  <c r="AW330" i="6"/>
  <c r="BO1159" i="6"/>
  <c r="CQ902" i="6"/>
  <c r="BT1340" i="6"/>
  <c r="BN818" i="6"/>
  <c r="BO818" i="6" s="1"/>
  <c r="CE759" i="6"/>
  <c r="CD774" i="6"/>
  <c r="BI859" i="6"/>
  <c r="BI865" i="6" s="1"/>
  <c r="BI793" i="6"/>
  <c r="BI917" i="6" s="1"/>
  <c r="BI918" i="6" s="1"/>
  <c r="CD780" i="6"/>
  <c r="CE760" i="6"/>
  <c r="CE780" i="6" s="1"/>
  <c r="DC19" i="6"/>
  <c r="H1015" i="6"/>
  <c r="CQ1015" i="6" s="1"/>
  <c r="BO1101" i="6"/>
  <c r="BO1157" i="6" s="1"/>
  <c r="BN1157" i="6"/>
  <c r="AN1153" i="6"/>
  <c r="BK1084" i="6"/>
  <c r="BL1084" i="6" s="1"/>
  <c r="BJ1176" i="6"/>
  <c r="BK1176" i="6" s="1"/>
  <c r="DB1176" i="6" s="1"/>
  <c r="AW1157" i="6"/>
  <c r="AV1136" i="6"/>
  <c r="CY1136" i="6" s="1"/>
  <c r="CY1135" i="6"/>
  <c r="Q892" i="6"/>
  <c r="BF780" i="6"/>
  <c r="DA780" i="6" s="1"/>
  <c r="BK535" i="6"/>
  <c r="BJ321" i="6"/>
  <c r="E753" i="6"/>
  <c r="BI114" i="6"/>
  <c r="BI119" i="6" s="1"/>
  <c r="M50" i="6"/>
  <c r="AG33" i="42446"/>
  <c r="AZ1097" i="6"/>
  <c r="BG812" i="6"/>
  <c r="BG813" i="6" s="1"/>
  <c r="AL50" i="6"/>
  <c r="R1017" i="6"/>
  <c r="CS1017" i="6" s="1"/>
  <c r="AR620" i="6"/>
  <c r="BF311" i="6"/>
  <c r="DA311" i="6" s="1"/>
  <c r="BF38" i="6"/>
  <c r="IU886" i="42425" s="1"/>
  <c r="I26" i="6"/>
  <c r="G1019" i="6"/>
  <c r="H1019" i="6" s="1"/>
  <c r="CQ1019" i="6" s="1"/>
  <c r="AX642" i="6"/>
  <c r="AX644" i="6" s="1"/>
  <c r="BC640" i="6"/>
  <c r="BC642" i="6" s="1"/>
  <c r="AP595" i="6"/>
  <c r="AO597" i="6"/>
  <c r="AO598" i="6" s="1"/>
  <c r="AU672" i="6"/>
  <c r="AZ674" i="6" s="1"/>
  <c r="BD640" i="6"/>
  <c r="AY642" i="6"/>
  <c r="BK534" i="6"/>
  <c r="AL298" i="6"/>
  <c r="BU77" i="6"/>
  <c r="BU1342" i="6" s="1"/>
  <c r="L150" i="6"/>
  <c r="BK665" i="6"/>
  <c r="BF636" i="6"/>
  <c r="AQ603" i="6"/>
  <c r="AB1176" i="6"/>
  <c r="CU1176" i="6" s="1"/>
  <c r="AP892" i="6"/>
  <c r="AL510" i="6"/>
  <c r="CW510" i="6" s="1"/>
  <c r="R452" i="6"/>
  <c r="CS452" i="6" s="1"/>
  <c r="AV298" i="6"/>
  <c r="AV323" i="6" s="1"/>
  <c r="AS130" i="6"/>
  <c r="AT587" i="6"/>
  <c r="CS4" i="6"/>
  <c r="S5" i="6"/>
  <c r="W5" i="6" s="1"/>
  <c r="CT5" i="6" s="1"/>
  <c r="C20" i="42475"/>
  <c r="AF107" i="6"/>
  <c r="AF110" i="6" s="1"/>
  <c r="T127" i="6"/>
  <c r="T107" i="6"/>
  <c r="DF5" i="6"/>
  <c r="AW127" i="6"/>
  <c r="CZ4" i="6"/>
  <c r="BB5" i="6"/>
  <c r="X5" i="6"/>
  <c r="CT4" i="6"/>
  <c r="BQ192" i="42290"/>
  <c r="BP192" i="42290"/>
  <c r="BQ171" i="42290"/>
  <c r="BP171" i="42290"/>
  <c r="BS389" i="6"/>
  <c r="BT389" i="6" s="1"/>
  <c r="BP389" i="6"/>
  <c r="DC389" i="6" s="1"/>
  <c r="BN475" i="6"/>
  <c r="BP370" i="6"/>
  <c r="DC370" i="6" s="1"/>
  <c r="CD12" i="42446"/>
  <c r="W453" i="6"/>
  <c r="CT453" i="6" s="1"/>
  <c r="F7" i="42425"/>
  <c r="AL452" i="6"/>
  <c r="CW452" i="6" s="1"/>
  <c r="BE477" i="6"/>
  <c r="G430" i="6"/>
  <c r="G447" i="6" s="1"/>
  <c r="BS390" i="6"/>
  <c r="BP390" i="6"/>
  <c r="DC390" i="6" s="1"/>
  <c r="I390" i="6"/>
  <c r="J390" i="6" s="1"/>
  <c r="K390" i="6" s="1"/>
  <c r="CQ390" i="6"/>
  <c r="CT388" i="6"/>
  <c r="AR368" i="6"/>
  <c r="X368" i="6"/>
  <c r="Y368" i="6" s="1"/>
  <c r="Z368" i="6" s="1"/>
  <c r="K17" i="42475"/>
  <c r="BN132" i="42425"/>
  <c r="CZ435" i="6"/>
  <c r="CX17" i="6"/>
  <c r="T391" i="6"/>
  <c r="U391" i="6" s="1"/>
  <c r="BG666" i="6"/>
  <c r="BG598" i="6"/>
  <c r="BG475" i="6"/>
  <c r="DB10" i="6"/>
  <c r="IV865" i="42425"/>
  <c r="J334" i="6"/>
  <c r="K333" i="6"/>
  <c r="L334" i="6" s="1"/>
  <c r="BF321" i="6"/>
  <c r="I307" i="6"/>
  <c r="Z1207" i="6"/>
  <c r="CV10" i="6"/>
  <c r="BG672" i="6"/>
  <c r="AO1309" i="6"/>
  <c r="AO1312" i="6"/>
  <c r="BA1214" i="6"/>
  <c r="V1079" i="6"/>
  <c r="Y1039" i="6"/>
  <c r="AM145" i="6"/>
  <c r="AN1021" i="6"/>
  <c r="AO1021" i="6" s="1"/>
  <c r="AW145" i="6"/>
  <c r="AX1022" i="6"/>
  <c r="AY1022" i="6" s="1"/>
  <c r="AT1309" i="6"/>
  <c r="BQ1144" i="6"/>
  <c r="BR1144" i="6" s="1"/>
  <c r="BS1144" i="6" s="1"/>
  <c r="BT1144" i="6" s="1"/>
  <c r="BE1079" i="6"/>
  <c r="AM1042" i="6"/>
  <c r="V940" i="6"/>
  <c r="BL904" i="6"/>
  <c r="AQ329" i="6"/>
  <c r="AF288" i="6"/>
  <c r="AG288" i="6" s="1"/>
  <c r="R286" i="6"/>
  <c r="S286" i="6" s="1"/>
  <c r="T286" i="6" s="1"/>
  <c r="Q288" i="6"/>
  <c r="R288" i="6" s="1"/>
  <c r="BJ942" i="6"/>
  <c r="BJ945" i="6" s="1"/>
  <c r="BF681" i="6"/>
  <c r="AU288" i="6"/>
  <c r="F286" i="6"/>
  <c r="F252" i="6"/>
  <c r="AD1022" i="6"/>
  <c r="BI904" i="6"/>
  <c r="BK780" i="6"/>
  <c r="AF363" i="6"/>
  <c r="J252" i="6"/>
  <c r="BA940" i="6"/>
  <c r="CZ940" i="6" s="1"/>
  <c r="BH904" i="6"/>
  <c r="AG329" i="6"/>
  <c r="AH329" i="6" s="1"/>
  <c r="BJ307" i="6"/>
  <c r="AG286" i="6"/>
  <c r="AB78" i="6"/>
  <c r="G10" i="42453" s="1"/>
  <c r="AG54" i="6"/>
  <c r="M54" i="6"/>
  <c r="M108" i="6" s="1"/>
  <c r="CR108" i="6" s="1"/>
  <c r="BF78" i="6"/>
  <c r="R78" i="6"/>
  <c r="E10" i="42453" s="1"/>
  <c r="BK78" i="6"/>
  <c r="DB78" i="6" s="1"/>
  <c r="R54" i="6"/>
  <c r="R108" i="6" s="1"/>
  <c r="CS108" i="6" s="1"/>
  <c r="H253" i="6"/>
  <c r="CQ253" i="6" s="1"/>
  <c r="D252" i="6"/>
  <c r="D256" i="6" s="1"/>
  <c r="D260" i="6" s="1"/>
  <c r="F287" i="6"/>
  <c r="F750" i="6" s="1"/>
  <c r="BU759" i="6"/>
  <c r="BU760" i="6"/>
  <c r="DD760" i="6" s="1"/>
  <c r="BU762" i="6"/>
  <c r="DD762" i="6" s="1"/>
  <c r="BU758" i="6"/>
  <c r="DD758" i="6" s="1"/>
  <c r="DA943" i="6"/>
  <c r="BF960" i="6"/>
  <c r="DA960" i="6" s="1"/>
  <c r="AM98" i="42468"/>
  <c r="AM101" i="42468" s="1"/>
  <c r="CT1293" i="6"/>
  <c r="AY146" i="6"/>
  <c r="BA146" i="6" s="1"/>
  <c r="CZ146" i="6" s="1"/>
  <c r="AJ292" i="6"/>
  <c r="AU1199" i="6"/>
  <c r="AV1199" i="6" s="1"/>
  <c r="EZ451" i="42425" s="1"/>
  <c r="EZ454" i="42425" s="1"/>
  <c r="BM127" i="6"/>
  <c r="AZ1313" i="6"/>
  <c r="AM1309" i="6"/>
  <c r="AT1175" i="6"/>
  <c r="CR333" i="6"/>
  <c r="AQ292" i="6"/>
  <c r="CX292" i="6" s="1"/>
  <c r="BE1034" i="6"/>
  <c r="AZ1309" i="6"/>
  <c r="BA1309" i="6" s="1"/>
  <c r="CZ1309" i="6" s="1"/>
  <c r="FZ531" i="42425"/>
  <c r="AY1312" i="6"/>
  <c r="AZ1079" i="6"/>
  <c r="D1066" i="6"/>
  <c r="BH961" i="6"/>
  <c r="BK990" i="6"/>
  <c r="AV1084" i="6"/>
  <c r="CY1084" i="6" s="1"/>
  <c r="BB1042" i="6"/>
  <c r="BJ1079" i="6"/>
  <c r="BG145" i="6"/>
  <c r="BH1021" i="6"/>
  <c r="BI1021" i="6" s="1"/>
  <c r="AI1021" i="6"/>
  <c r="T1026" i="6"/>
  <c r="U1026" i="6" s="1"/>
  <c r="T1022" i="6"/>
  <c r="I145" i="6"/>
  <c r="AD990" i="6"/>
  <c r="AD993" i="6" s="1"/>
  <c r="AD1200" i="6" s="1"/>
  <c r="C21" i="42455"/>
  <c r="AX45" i="6"/>
  <c r="AR120" i="42475" s="1"/>
  <c r="J903" i="6"/>
  <c r="BD897" i="6"/>
  <c r="AX999" i="6"/>
  <c r="AX949" i="6"/>
  <c r="BE937" i="6"/>
  <c r="AX924" i="6"/>
  <c r="AX925" i="6" s="1"/>
  <c r="BC904" i="6"/>
  <c r="AX897" i="6"/>
  <c r="AS897" i="6"/>
  <c r="AD897" i="6"/>
  <c r="BD959" i="6"/>
  <c r="AX958" i="6"/>
  <c r="AN927" i="6"/>
  <c r="AN937" i="6" s="1"/>
  <c r="AN942" i="6" s="1"/>
  <c r="AN945" i="6" s="1"/>
  <c r="AY1007" i="6"/>
  <c r="AX937" i="6"/>
  <c r="AX942" i="6" s="1"/>
  <c r="AX945" i="6" s="1"/>
  <c r="AX928" i="6"/>
  <c r="BA927" i="6"/>
  <c r="BA699" i="6"/>
  <c r="BA710" i="6" s="1"/>
  <c r="M254" i="6"/>
  <c r="CR254" i="6" s="1"/>
  <c r="L287" i="6"/>
  <c r="M287" i="6" s="1"/>
  <c r="BA287" i="6"/>
  <c r="AZ288" i="6"/>
  <c r="AL286" i="6"/>
  <c r="AM286" i="6" s="1"/>
  <c r="AN286" i="6" s="1"/>
  <c r="AK288" i="6"/>
  <c r="AV630" i="6"/>
  <c r="O107" i="6"/>
  <c r="O110" i="6" s="1"/>
  <c r="O129" i="6"/>
  <c r="O503" i="6"/>
  <c r="O30" i="6" s="1"/>
  <c r="AU330" i="6"/>
  <c r="AV330" i="6" s="1"/>
  <c r="AA330" i="6"/>
  <c r="AB330" i="6" s="1"/>
  <c r="CU330" i="6" s="1"/>
  <c r="Q330" i="6"/>
  <c r="R330" i="6" s="1"/>
  <c r="CS330" i="6" s="1"/>
  <c r="V288" i="6"/>
  <c r="W288" i="6" s="1"/>
  <c r="AZ330" i="6"/>
  <c r="BA330" i="6" s="1"/>
  <c r="CZ330" i="6" s="1"/>
  <c r="M258" i="6"/>
  <c r="CR258" i="6" s="1"/>
  <c r="L291" i="6"/>
  <c r="L252" i="6"/>
  <c r="M253" i="6"/>
  <c r="E252" i="6"/>
  <c r="C44" i="42464"/>
  <c r="D44" i="42473"/>
  <c r="D44" i="42467"/>
  <c r="C43" i="42455"/>
  <c r="L223" i="6"/>
  <c r="M223" i="6" s="1"/>
  <c r="CR223" i="6" s="1"/>
  <c r="F223" i="6"/>
  <c r="D46" i="42475"/>
  <c r="C44" i="42471"/>
  <c r="BA87" i="6"/>
  <c r="BA1343" i="6" s="1"/>
  <c r="C43" i="42454"/>
  <c r="D44" i="42464"/>
  <c r="AG81" i="6"/>
  <c r="CV81" i="6" s="1"/>
  <c r="R81" i="6"/>
  <c r="D44" i="42471"/>
  <c r="C43" i="42461"/>
  <c r="AV87" i="6"/>
  <c r="DA81" i="6"/>
  <c r="L286" i="6"/>
  <c r="BK87" i="6"/>
  <c r="BK1343" i="6" s="1"/>
  <c r="C44" i="42467"/>
  <c r="D46" i="42474"/>
  <c r="C43" i="42459"/>
  <c r="D44" i="42468"/>
  <c r="D43" i="42461"/>
  <c r="C41" i="42452"/>
  <c r="AQ87" i="6"/>
  <c r="AQ1343" i="6" s="1"/>
  <c r="AV78" i="6"/>
  <c r="K10" i="42453" s="1"/>
  <c r="AQ78" i="6"/>
  <c r="BI44" i="6"/>
  <c r="BG44" i="6"/>
  <c r="BC44" i="6"/>
  <c r="AX44" i="6"/>
  <c r="C45" i="42457"/>
  <c r="D37" i="42475"/>
  <c r="D35" i="42467"/>
  <c r="C34" i="42454"/>
  <c r="D31" i="42442"/>
  <c r="BL44" i="6"/>
  <c r="BE44" i="6"/>
  <c r="BB44" i="6"/>
  <c r="AU21" i="6"/>
  <c r="U45" i="42457"/>
  <c r="D37" i="42474"/>
  <c r="C35" i="42467"/>
  <c r="K35" i="42467" s="1"/>
  <c r="D34" i="42461"/>
  <c r="C31" i="42437"/>
  <c r="AG78" i="6"/>
  <c r="BK73" i="6"/>
  <c r="V45" i="42457" s="1"/>
  <c r="BH44" i="6"/>
  <c r="AZ44" i="6"/>
  <c r="AW44" i="6"/>
  <c r="D35" i="42471"/>
  <c r="D30" i="42448"/>
  <c r="F30" i="42448" s="1"/>
  <c r="D30" i="42447"/>
  <c r="F30" i="42447" s="1"/>
  <c r="BA78" i="6"/>
  <c r="BJ44" i="6"/>
  <c r="BD44" i="6"/>
  <c r="AY44" i="6"/>
  <c r="IQ865" i="42425"/>
  <c r="IQ867" i="42425" s="1"/>
  <c r="S45" i="42457"/>
  <c r="D35" i="42473"/>
  <c r="D35" i="42468"/>
  <c r="AT197" i="42290"/>
  <c r="CX368" i="6"/>
  <c r="CS390" i="6"/>
  <c r="AL456" i="6"/>
  <c r="CW456" i="6" s="1"/>
  <c r="BF452" i="6"/>
  <c r="DA452" i="6" s="1"/>
  <c r="AK124" i="42290"/>
  <c r="AK133" i="42290" s="1"/>
  <c r="AJ133" i="42290" s="1"/>
  <c r="CT433" i="6"/>
  <c r="AQ453" i="6"/>
  <c r="CX453" i="6" s="1"/>
  <c r="CW431" i="6"/>
  <c r="CW432" i="6"/>
  <c r="BP431" i="6"/>
  <c r="EM593" i="42458" s="1"/>
  <c r="CX433" i="6"/>
  <c r="BE124" i="42290"/>
  <c r="BE133" i="42290" s="1"/>
  <c r="BA133" i="42290" s="1"/>
  <c r="L63" i="42290"/>
  <c r="L67" i="42290" s="1"/>
  <c r="L70" i="42290" s="1"/>
  <c r="DA431" i="6"/>
  <c r="AQ1342" i="6"/>
  <c r="W25" i="42457"/>
  <c r="AF124" i="42290"/>
  <c r="AF130" i="42290" s="1"/>
  <c r="BP433" i="6"/>
  <c r="CR431" i="6"/>
  <c r="AE96" i="42290"/>
  <c r="AE98" i="42290" s="1"/>
  <c r="AE100" i="42290" s="1"/>
  <c r="CX432" i="6"/>
  <c r="BK453" i="6"/>
  <c r="DB453" i="6" s="1"/>
  <c r="AO372" i="6"/>
  <c r="BN149" i="6"/>
  <c r="BN1333" i="6"/>
  <c r="Z27" i="42457"/>
  <c r="BP103" i="6"/>
  <c r="Q30" i="42290"/>
  <c r="N30" i="42290" s="1"/>
  <c r="BP392" i="6"/>
  <c r="DC392" i="6" s="1"/>
  <c r="J369" i="6"/>
  <c r="K369" i="6" s="1"/>
  <c r="BP102" i="6"/>
  <c r="AA24" i="42457" s="1"/>
  <c r="Z24" i="42457"/>
  <c r="V85" i="42421"/>
  <c r="F10" i="42425"/>
  <c r="F8" i="42425"/>
  <c r="CW435" i="6"/>
  <c r="AU63" i="42290"/>
  <c r="AU67" i="42290" s="1"/>
  <c r="AU70" i="42290" s="1"/>
  <c r="K48" i="42464"/>
  <c r="D54" i="42461"/>
  <c r="K18" i="42474"/>
  <c r="K38" i="42471"/>
  <c r="L15" i="42437"/>
  <c r="AU196" i="42290"/>
  <c r="AT196" i="42290" s="1"/>
  <c r="AR197" i="42290"/>
  <c r="K9" i="42441"/>
  <c r="K13" i="42475"/>
  <c r="K12" i="42474"/>
  <c r="P13" i="42464"/>
  <c r="AR329" i="6"/>
  <c r="AR330" i="6" s="1"/>
  <c r="CX329" i="6"/>
  <c r="BL672" i="6"/>
  <c r="CR54" i="6"/>
  <c r="BG687" i="6"/>
  <c r="BG688" i="6" s="1"/>
  <c r="AR119" i="42464"/>
  <c r="DB990" i="6"/>
  <c r="AU1175" i="6"/>
  <c r="AV1175" i="6" s="1"/>
  <c r="CY1175" i="6" s="1"/>
  <c r="CS81" i="6"/>
  <c r="BO114" i="6"/>
  <c r="BP75" i="6"/>
  <c r="BT75" i="6"/>
  <c r="BO1341" i="6"/>
  <c r="DC14" i="6"/>
  <c r="BN67" i="6"/>
  <c r="BN1014" i="6" s="1"/>
  <c r="DD14" i="6"/>
  <c r="DE14" i="6"/>
  <c r="DF14" i="6"/>
  <c r="DG14" i="6"/>
  <c r="BN29" i="6"/>
  <c r="BS29" i="6"/>
  <c r="BR29" i="6"/>
  <c r="BO29" i="6"/>
  <c r="BQ29" i="6"/>
  <c r="DC42" i="6"/>
  <c r="BT29" i="6"/>
  <c r="DD42" i="6"/>
  <c r="DE29" i="6"/>
  <c r="DE42" i="6"/>
  <c r="DF42" i="6"/>
  <c r="CA29" i="6"/>
  <c r="DF29" i="6" s="1"/>
  <c r="CB29" i="6"/>
  <c r="DG29" i="6" s="1"/>
  <c r="DG42" i="6"/>
  <c r="Y45" i="42457"/>
  <c r="DC13" i="6"/>
  <c r="DD13" i="6"/>
  <c r="DE13" i="6"/>
  <c r="DF13" i="6"/>
  <c r="DG13" i="6"/>
  <c r="DC41" i="6"/>
  <c r="DD41" i="6"/>
  <c r="DE41" i="6"/>
  <c r="DF41" i="6"/>
  <c r="DG41" i="6"/>
  <c r="BN192" i="42290"/>
  <c r="BN170" i="42290"/>
  <c r="BQ39" i="6"/>
  <c r="BQ346" i="6"/>
  <c r="BC644" i="6"/>
  <c r="BS191" i="42290"/>
  <c r="AY631" i="6"/>
  <c r="AY632" i="6" s="1"/>
  <c r="BA630" i="6"/>
  <c r="BA631" i="6" s="1"/>
  <c r="BO1335" i="6"/>
  <c r="BO1336" i="6" s="1"/>
  <c r="BP78" i="6"/>
  <c r="DC78" i="6" s="1"/>
  <c r="BR138" i="6"/>
  <c r="BU138" i="6" s="1"/>
  <c r="DD138" i="6" s="1"/>
  <c r="L973" i="6"/>
  <c r="L972" i="6" s="1"/>
  <c r="X43" i="42457"/>
  <c r="AV963" i="6"/>
  <c r="CY963" i="6" s="1"/>
  <c r="AN390" i="6"/>
  <c r="CS333" i="6"/>
  <c r="S333" i="6"/>
  <c r="S753" i="6" s="1"/>
  <c r="AK971" i="6"/>
  <c r="AL971" i="6" s="1"/>
  <c r="CW971" i="6" s="1"/>
  <c r="BL1199" i="6"/>
  <c r="BH1161" i="6"/>
  <c r="CX1099" i="6"/>
  <c r="AR1155" i="6"/>
  <c r="AX1161" i="6"/>
  <c r="AW1161" i="6"/>
  <c r="BH1038" i="6"/>
  <c r="BI1038" i="6" s="1"/>
  <c r="BE1017" i="6"/>
  <c r="BF1017" i="6" s="1"/>
  <c r="DA1017" i="6" s="1"/>
  <c r="AM925" i="6"/>
  <c r="AI904" i="6"/>
  <c r="AI897" i="6"/>
  <c r="AX710" i="6"/>
  <c r="BI27" i="6"/>
  <c r="W329" i="6"/>
  <c r="CT329" i="6" s="1"/>
  <c r="BQ777" i="6"/>
  <c r="BQ847" i="6" s="1"/>
  <c r="BN308" i="6"/>
  <c r="BP87" i="6"/>
  <c r="BP1335" i="6" s="1"/>
  <c r="DC1120" i="6"/>
  <c r="DD65" i="6"/>
  <c r="BS27" i="6"/>
  <c r="BO192" i="42290"/>
  <c r="BO202" i="42290" s="1"/>
  <c r="BK202" i="42290" s="1"/>
  <c r="BS192" i="42290"/>
  <c r="BO1343" i="6"/>
  <c r="BU78" i="6"/>
  <c r="DD78" i="6" s="1"/>
  <c r="BT192" i="42290"/>
  <c r="BT202" i="42290" s="1"/>
  <c r="BU170" i="42290"/>
  <c r="BU175" i="42290" s="1"/>
  <c r="BN21" i="6"/>
  <c r="BU323" i="6" l="1"/>
  <c r="BU321" i="6"/>
  <c r="CA1199" i="6"/>
  <c r="BU143" i="6"/>
  <c r="BU1207" i="6"/>
  <c r="BJ666" i="6"/>
  <c r="Q1190" i="6"/>
  <c r="AT47" i="42446"/>
  <c r="AT46" i="42446"/>
  <c r="BZ42" i="42446"/>
  <c r="AT42" i="42446"/>
  <c r="AD48" i="42446"/>
  <c r="AR36" i="42446"/>
  <c r="AE60" i="42446"/>
  <c r="BP35" i="42446"/>
  <c r="AD45" i="42446"/>
  <c r="B54" i="42446"/>
  <c r="CJ507" i="42458"/>
  <c r="BN421" i="42458"/>
  <c r="H78" i="42458"/>
  <c r="CJ501" i="42458"/>
  <c r="DD5" i="6"/>
  <c r="HK680" i="42458"/>
  <c r="BZ478" i="6"/>
  <c r="HP680" i="42458"/>
  <c r="HP732" i="42458" s="1"/>
  <c r="HK715" i="42458"/>
  <c r="HJ719" i="42458"/>
  <c r="HJ718" i="42458"/>
  <c r="HO719" i="42458"/>
  <c r="DW571" i="42458"/>
  <c r="BJ474" i="6"/>
  <c r="BJ476" i="6"/>
  <c r="BD598" i="6"/>
  <c r="DE5" i="6"/>
  <c r="BD632" i="6"/>
  <c r="BI633" i="6" s="1"/>
  <c r="BJ598" i="6"/>
  <c r="BJ599" i="6" s="1"/>
  <c r="BJ564" i="6"/>
  <c r="BJ565" i="6" s="1"/>
  <c r="BD477" i="6"/>
  <c r="BD476" i="6"/>
  <c r="BJ473" i="6"/>
  <c r="V430" i="6"/>
  <c r="BA632" i="6"/>
  <c r="AW474" i="6"/>
  <c r="BD530" i="6"/>
  <c r="BI531" i="6" s="1"/>
  <c r="AL5" i="6"/>
  <c r="CW5" i="6" s="1"/>
  <c r="I5" i="6"/>
  <c r="AP564" i="6"/>
  <c r="AU565" i="6" s="1"/>
  <c r="AP477" i="6"/>
  <c r="V477" i="6"/>
  <c r="AP476" i="6"/>
  <c r="V888" i="6"/>
  <c r="AA889" i="6" s="1"/>
  <c r="AX632" i="6"/>
  <c r="BJ530" i="6"/>
  <c r="R5" i="6"/>
  <c r="AC5" i="6"/>
  <c r="AG5" i="6" s="1"/>
  <c r="CV5" i="6" s="1"/>
  <c r="AD888" i="6"/>
  <c r="AP530" i="6"/>
  <c r="AU531" i="6" s="1"/>
  <c r="BD475" i="6"/>
  <c r="BD474" i="6"/>
  <c r="AP474" i="6"/>
  <c r="V474" i="6"/>
  <c r="AP473" i="6"/>
  <c r="V473" i="6"/>
  <c r="AP471" i="6"/>
  <c r="CK501" i="42458"/>
  <c r="F24" i="42447"/>
  <c r="CZ431" i="6"/>
  <c r="CR435" i="6"/>
  <c r="CU434" i="6"/>
  <c r="AV454" i="6"/>
  <c r="CY454" i="6" s="1"/>
  <c r="CU389" i="6"/>
  <c r="AG455" i="6"/>
  <c r="CV455" i="6" s="1"/>
  <c r="BA455" i="6"/>
  <c r="CZ455" i="6" s="1"/>
  <c r="CQ389" i="6"/>
  <c r="CV435" i="6"/>
  <c r="M455" i="6"/>
  <c r="CR455" i="6" s="1"/>
  <c r="E9" i="42425"/>
  <c r="BF456" i="6"/>
  <c r="DA456" i="6" s="1"/>
  <c r="CS432" i="6"/>
  <c r="AF63" i="42290"/>
  <c r="AF67" i="42290" s="1"/>
  <c r="AF70" i="42290" s="1"/>
  <c r="P21" i="42461"/>
  <c r="K35" i="42452"/>
  <c r="V25" i="42457"/>
  <c r="Q21" i="42461"/>
  <c r="L21" i="42461"/>
  <c r="F29" i="42447"/>
  <c r="F18" i="42451"/>
  <c r="L23" i="42452"/>
  <c r="CC993" i="6"/>
  <c r="X505" i="6"/>
  <c r="CW433" i="6"/>
  <c r="W454" i="6"/>
  <c r="CT454" i="6" s="1"/>
  <c r="AV453" i="6"/>
  <c r="CY453" i="6" s="1"/>
  <c r="U1335" i="6"/>
  <c r="U1336" i="6" s="1"/>
  <c r="U1343" i="6"/>
  <c r="BK1079" i="6"/>
  <c r="DB1079" i="6" s="1"/>
  <c r="DB1077" i="6"/>
  <c r="BA1079" i="6"/>
  <c r="CZ1079" i="6" s="1"/>
  <c r="CZ1077" i="6"/>
  <c r="E884" i="6"/>
  <c r="E894" i="6" s="1"/>
  <c r="F8" i="42442"/>
  <c r="M903" i="6"/>
  <c r="CR903" i="6" s="1"/>
  <c r="AG1023" i="6"/>
  <c r="CV1023" i="6" s="1"/>
  <c r="AB1014" i="6"/>
  <c r="CU1014" i="6" s="1"/>
  <c r="P993" i="6"/>
  <c r="P1200" i="6" s="1"/>
  <c r="BA960" i="6"/>
  <c r="CZ960" i="6" s="1"/>
  <c r="R907" i="6"/>
  <c r="CS907" i="6" s="1"/>
  <c r="BC1230" i="6"/>
  <c r="B21" i="42419" s="1"/>
  <c r="O146" i="6"/>
  <c r="L137" i="6"/>
  <c r="M137" i="6" s="1"/>
  <c r="CR137" i="6" s="1"/>
  <c r="M1079" i="6"/>
  <c r="CR1079" i="6" s="1"/>
  <c r="AL907" i="6"/>
  <c r="CW907" i="6" s="1"/>
  <c r="AP28" i="6"/>
  <c r="AU942" i="6"/>
  <c r="CC961" i="6"/>
  <c r="CR906" i="6"/>
  <c r="M959" i="6"/>
  <c r="CR959" i="6" s="1"/>
  <c r="AD937" i="6"/>
  <c r="AD942" i="6" s="1"/>
  <c r="AD944" i="6" s="1"/>
  <c r="J958" i="6"/>
  <c r="CV991" i="6"/>
  <c r="AN993" i="6"/>
  <c r="AN1200" i="6" s="1"/>
  <c r="AQ1020" i="6"/>
  <c r="CX1020" i="6" s="1"/>
  <c r="J929" i="6"/>
  <c r="K1015" i="6"/>
  <c r="K140" i="6" s="1"/>
  <c r="J141" i="6"/>
  <c r="BE1015" i="6"/>
  <c r="BE140" i="6" s="1"/>
  <c r="BF140" i="6" s="1"/>
  <c r="DA140" i="6" s="1"/>
  <c r="G1230" i="6"/>
  <c r="AS329" i="6"/>
  <c r="AS330" i="6" s="1"/>
  <c r="P20" i="42459"/>
  <c r="AX1313" i="6"/>
  <c r="BF104" i="6"/>
  <c r="BG104" i="6" s="1"/>
  <c r="BH104" i="6" s="1"/>
  <c r="BI104" i="6" s="1"/>
  <c r="BJ104" i="6" s="1"/>
  <c r="AU897" i="6"/>
  <c r="AG307" i="6"/>
  <c r="CV307" i="6" s="1"/>
  <c r="AV672" i="6"/>
  <c r="J897" i="6"/>
  <c r="E256" i="6"/>
  <c r="E260" i="6" s="1"/>
  <c r="BE904" i="6"/>
  <c r="AX1000" i="6"/>
  <c r="AX1002" i="6" s="1"/>
  <c r="Y1022" i="6"/>
  <c r="Z1022" i="6" s="1"/>
  <c r="AR1313" i="6"/>
  <c r="AZ1316" i="6"/>
  <c r="R903" i="6"/>
  <c r="S1151" i="6"/>
  <c r="AX1024" i="6"/>
  <c r="AX137" i="6" s="1"/>
  <c r="AU1224" i="6"/>
  <c r="AU1347" i="6" s="1"/>
  <c r="AJ148" i="6"/>
  <c r="J970" i="6"/>
  <c r="J974" i="6" s="1"/>
  <c r="D942" i="6"/>
  <c r="D944" i="6" s="1"/>
  <c r="AT1025" i="6"/>
  <c r="BF1312" i="6"/>
  <c r="BF1015" i="6"/>
  <c r="DA1015" i="6" s="1"/>
  <c r="AV1007" i="6"/>
  <c r="CY1007" i="6" s="1"/>
  <c r="CR979" i="6"/>
  <c r="BF981" i="6"/>
  <c r="DA981" i="6" s="1"/>
  <c r="AY1019" i="6"/>
  <c r="AZ1019" i="6" s="1"/>
  <c r="BA1019" i="6" s="1"/>
  <c r="CZ1019" i="6" s="1"/>
  <c r="H900" i="6"/>
  <c r="CQ900" i="6" s="1"/>
  <c r="F18" i="42425"/>
  <c r="AP925" i="6"/>
  <c r="BG949" i="6"/>
  <c r="BG48" i="6" s="1"/>
  <c r="F1014" i="6"/>
  <c r="G1014" i="6" s="1"/>
  <c r="H1014" i="6" s="1"/>
  <c r="CQ1014" i="6" s="1"/>
  <c r="BF27" i="6"/>
  <c r="DA27" i="6" s="1"/>
  <c r="T937" i="6"/>
  <c r="T942" i="6" s="1"/>
  <c r="T945" i="6" s="1"/>
  <c r="J120" i="6"/>
  <c r="M1019" i="6"/>
  <c r="CR1019" i="6" s="1"/>
  <c r="CX1076" i="6"/>
  <c r="BB942" i="6"/>
  <c r="X942" i="6"/>
  <c r="X945" i="6" s="1"/>
  <c r="X967" i="6" s="1"/>
  <c r="T120" i="6"/>
  <c r="AE1015" i="6"/>
  <c r="AF1015" i="6" s="1"/>
  <c r="AE1016" i="6"/>
  <c r="AI148" i="6"/>
  <c r="AL148" i="6" s="1"/>
  <c r="CW148" i="6" s="1"/>
  <c r="AO990" i="6"/>
  <c r="AQ990" i="6" s="1"/>
  <c r="CX990" i="6" s="1"/>
  <c r="AE1024" i="6"/>
  <c r="BM51" i="6"/>
  <c r="X8" i="42457" s="1"/>
  <c r="X46" i="42457" s="1"/>
  <c r="L1230" i="6"/>
  <c r="Q107" i="6"/>
  <c r="AK897" i="6"/>
  <c r="AN414" i="6"/>
  <c r="AN477" i="6" s="1"/>
  <c r="AF897" i="6"/>
  <c r="AT1176" i="6"/>
  <c r="BA929" i="6"/>
  <c r="CZ929" i="6" s="1"/>
  <c r="AX1006" i="6"/>
  <c r="Z1139" i="6"/>
  <c r="AP1309" i="6"/>
  <c r="AQ1309" i="6" s="1"/>
  <c r="CX1309" i="6" s="1"/>
  <c r="V903" i="6"/>
  <c r="W903" i="6" s="1"/>
  <c r="W897" i="6" s="1"/>
  <c r="CT897" i="6" s="1"/>
  <c r="AZ1038" i="6"/>
  <c r="BA1038" i="6" s="1"/>
  <c r="CZ1038" i="6" s="1"/>
  <c r="AP1312" i="6"/>
  <c r="AL1033" i="6"/>
  <c r="CW1033" i="6" s="1"/>
  <c r="T110" i="6"/>
  <c r="M960" i="6"/>
  <c r="CR960" i="6" s="1"/>
  <c r="BL945" i="6"/>
  <c r="Q973" i="6"/>
  <c r="Q972" i="6" s="1"/>
  <c r="W1079" i="6"/>
  <c r="CT1079" i="6" s="1"/>
  <c r="AR97" i="42416"/>
  <c r="AS97" i="42416" s="1"/>
  <c r="AV958" i="6"/>
  <c r="CY958" i="6" s="1"/>
  <c r="AX1005" i="6"/>
  <c r="AI146" i="6"/>
  <c r="AU266" i="42290"/>
  <c r="AU269" i="42290" s="1"/>
  <c r="AU28" i="6"/>
  <c r="Z961" i="6"/>
  <c r="AW952" i="6"/>
  <c r="Y929" i="6"/>
  <c r="BU254" i="42425" s="1"/>
  <c r="BF982" i="6"/>
  <c r="DA982" i="6" s="1"/>
  <c r="U993" i="6"/>
  <c r="U1200" i="6" s="1"/>
  <c r="AG1019" i="6"/>
  <c r="CV1019" i="6" s="1"/>
  <c r="E958" i="6"/>
  <c r="O958" i="6"/>
  <c r="Y120" i="6"/>
  <c r="AY991" i="6"/>
  <c r="AZ991" i="6" s="1"/>
  <c r="BA991" i="6" s="1"/>
  <c r="CZ991" i="6" s="1"/>
  <c r="P1026" i="6"/>
  <c r="P139" i="6" s="1"/>
  <c r="CR1116" i="6"/>
  <c r="BB1266" i="6"/>
  <c r="BB1268" i="6" s="1"/>
  <c r="AR1079" i="6"/>
  <c r="AO904" i="6"/>
  <c r="F127" i="6"/>
  <c r="G287" i="6"/>
  <c r="AK168" i="6"/>
  <c r="AL168" i="6" s="1"/>
  <c r="F34" i="42474"/>
  <c r="AQ308" i="6"/>
  <c r="CX308" i="6" s="1"/>
  <c r="AL129" i="6"/>
  <c r="CW129" i="6" s="1"/>
  <c r="BK128" i="6"/>
  <c r="DB128" i="6" s="1"/>
  <c r="AP143" i="6"/>
  <c r="N1042" i="6"/>
  <c r="AJ904" i="6"/>
  <c r="BF128" i="6"/>
  <c r="DA128" i="6" s="1"/>
  <c r="BK940" i="6"/>
  <c r="DB940" i="6" s="1"/>
  <c r="Q940" i="6"/>
  <c r="R940" i="6" s="1"/>
  <c r="CS940" i="6" s="1"/>
  <c r="I904" i="6"/>
  <c r="M511" i="6"/>
  <c r="CR511" i="6" s="1"/>
  <c r="AA426" i="6"/>
  <c r="DG5" i="6"/>
  <c r="CB484" i="6"/>
  <c r="CB486" i="6"/>
  <c r="CB483" i="6"/>
  <c r="CB485" i="6"/>
  <c r="AX1309" i="6"/>
  <c r="AS1309" i="6"/>
  <c r="AN1313" i="6"/>
  <c r="AX1312" i="6"/>
  <c r="AS1312" i="6"/>
  <c r="AN1312" i="6"/>
  <c r="AE1139" i="6"/>
  <c r="AW1224" i="6"/>
  <c r="AW1347" i="6" s="1"/>
  <c r="AH1042" i="6"/>
  <c r="AU1000" i="6"/>
  <c r="AU1002" i="6" s="1"/>
  <c r="BI942" i="6"/>
  <c r="BK934" i="6"/>
  <c r="W907" i="6"/>
  <c r="CT907" i="6" s="1"/>
  <c r="I892" i="6"/>
  <c r="BK679" i="6"/>
  <c r="BK681" i="6" s="1"/>
  <c r="AZ684" i="6"/>
  <c r="AV676" i="6"/>
  <c r="AV677" i="6" s="1"/>
  <c r="AV670" i="6"/>
  <c r="BF673" i="6"/>
  <c r="BK646" i="6"/>
  <c r="BK647" i="6" s="1"/>
  <c r="AV646" i="6"/>
  <c r="AV647" i="6" s="1"/>
  <c r="AV535" i="6"/>
  <c r="CA484" i="6"/>
  <c r="CA483" i="6"/>
  <c r="CA486" i="6"/>
  <c r="CA485" i="6"/>
  <c r="CC263" i="42425"/>
  <c r="F30" i="42475"/>
  <c r="AH505" i="6"/>
  <c r="K17" i="42474"/>
  <c r="L447" i="6"/>
  <c r="L495" i="6" s="1"/>
  <c r="L496" i="6" s="1"/>
  <c r="L497" i="6" s="1"/>
  <c r="DC432" i="6"/>
  <c r="AO694" i="6"/>
  <c r="Y28" i="42457"/>
  <c r="AB456" i="6"/>
  <c r="CU456" i="6" s="1"/>
  <c r="BF454" i="6"/>
  <c r="DA454" i="6" s="1"/>
  <c r="F23" i="42451"/>
  <c r="L18" i="42461"/>
  <c r="CQ73" i="6"/>
  <c r="CU302" i="42425"/>
  <c r="DG302" i="42425" s="1"/>
  <c r="DG303" i="42425" s="1"/>
  <c r="AR520" i="6"/>
  <c r="AG452" i="6"/>
  <c r="CV452" i="6" s="1"/>
  <c r="BK693" i="6"/>
  <c r="H68" i="42458"/>
  <c r="DO546" i="42458"/>
  <c r="DP545" i="42458"/>
  <c r="DW567" i="42458"/>
  <c r="DW569" i="42458"/>
  <c r="Q47" i="42446"/>
  <c r="C47" i="42446"/>
  <c r="G23" i="42442"/>
  <c r="M452" i="6"/>
  <c r="CR452" i="6" s="1"/>
  <c r="G124" i="42290"/>
  <c r="G129" i="42290" s="1"/>
  <c r="C129" i="42290" s="1"/>
  <c r="P18" i="42471"/>
  <c r="CW371" i="6"/>
  <c r="M456" i="6"/>
  <c r="CR456" i="6" s="1"/>
  <c r="CQ369" i="6"/>
  <c r="CS371" i="6"/>
  <c r="CU435" i="6"/>
  <c r="CU431" i="6"/>
  <c r="AC367" i="6"/>
  <c r="AD367" i="6" s="1"/>
  <c r="AE367" i="6" s="1"/>
  <c r="CT434" i="6"/>
  <c r="G8" i="42455"/>
  <c r="CV368" i="6"/>
  <c r="E10" i="42425"/>
  <c r="G10" i="42425" s="1"/>
  <c r="AL454" i="6"/>
  <c r="CW454" i="6" s="1"/>
  <c r="R454" i="6"/>
  <c r="CS454" i="6" s="1"/>
  <c r="M453" i="6"/>
  <c r="CR453" i="6" s="1"/>
  <c r="L30" i="42467"/>
  <c r="G11" i="42447"/>
  <c r="N393" i="6"/>
  <c r="O393" i="6" s="1"/>
  <c r="P393" i="6" s="1"/>
  <c r="DA433" i="6"/>
  <c r="AB455" i="6"/>
  <c r="CU455" i="6" s="1"/>
  <c r="AH393" i="6"/>
  <c r="AI393" i="6" s="1"/>
  <c r="AJ393" i="6" s="1"/>
  <c r="AJ414" i="6" s="1"/>
  <c r="AJ477" i="6" s="1"/>
  <c r="BA452" i="6"/>
  <c r="CZ452" i="6" s="1"/>
  <c r="CX370" i="6"/>
  <c r="CX366" i="6"/>
  <c r="AG456" i="6"/>
  <c r="CV456" i="6" s="1"/>
  <c r="AA63" i="42290"/>
  <c r="AA67" i="42290" s="1"/>
  <c r="AA70" i="42290" s="1"/>
  <c r="CT370" i="6"/>
  <c r="AA124" i="42290"/>
  <c r="AA131" i="42290" s="1"/>
  <c r="X131" i="42290" s="1"/>
  <c r="L33" i="42428"/>
  <c r="G36" i="42451"/>
  <c r="F18" i="42471"/>
  <c r="CR432" i="6"/>
  <c r="AS1341" i="6"/>
  <c r="AL453" i="6"/>
  <c r="CW453" i="6" s="1"/>
  <c r="CS433" i="6"/>
  <c r="R453" i="6"/>
  <c r="CS453" i="6" s="1"/>
  <c r="CU369" i="6"/>
  <c r="AV455" i="6"/>
  <c r="CY455" i="6" s="1"/>
  <c r="BF453" i="6"/>
  <c r="DA453" i="6" s="1"/>
  <c r="I372" i="6"/>
  <c r="J372" i="6" s="1"/>
  <c r="K372" i="6" s="1"/>
  <c r="BA453" i="6"/>
  <c r="CZ453" i="6" s="1"/>
  <c r="AQ454" i="6"/>
  <c r="CX454" i="6" s="1"/>
  <c r="I392" i="6"/>
  <c r="J392" i="6" s="1"/>
  <c r="K392" i="6" s="1"/>
  <c r="AM413" i="6"/>
  <c r="AM476" i="6" s="1"/>
  <c r="BA456" i="6"/>
  <c r="CZ456" i="6" s="1"/>
  <c r="F29" i="42432"/>
  <c r="CQ435" i="6"/>
  <c r="BA454" i="6"/>
  <c r="CZ454" i="6" s="1"/>
  <c r="AB452" i="6"/>
  <c r="CU452" i="6" s="1"/>
  <c r="X367" i="6"/>
  <c r="Y367" i="6" s="1"/>
  <c r="Z367" i="6" s="1"/>
  <c r="Z409" i="6" s="1"/>
  <c r="Z430" i="6" s="1"/>
  <c r="S389" i="6"/>
  <c r="T389" i="6" s="1"/>
  <c r="U389" i="6" s="1"/>
  <c r="CW328" i="6"/>
  <c r="D54" i="42454"/>
  <c r="DA298" i="42425"/>
  <c r="DL298" i="42425" s="1"/>
  <c r="DL299" i="42425" s="1"/>
  <c r="CW298" i="42425"/>
  <c r="AC1293" i="6"/>
  <c r="AD1293" i="6" s="1"/>
  <c r="AE1293" i="6" s="1"/>
  <c r="AF1293" i="6" s="1"/>
  <c r="AG1293" i="6" s="1"/>
  <c r="CU1293" i="6"/>
  <c r="AT1141" i="6"/>
  <c r="CE891" i="6"/>
  <c r="CE900" i="6" s="1"/>
  <c r="L9" i="42464"/>
  <c r="IP866" i="42425"/>
  <c r="H1034" i="6"/>
  <c r="CS114" i="6"/>
  <c r="Y1190" i="6"/>
  <c r="AS1035" i="6"/>
  <c r="AI362" i="6"/>
  <c r="AD945" i="6"/>
  <c r="BF1019" i="6"/>
  <c r="DA1019" i="6" s="1"/>
  <c r="AK1139" i="6"/>
  <c r="L993" i="6"/>
  <c r="L1200" i="6" s="1"/>
  <c r="AY1006" i="6"/>
  <c r="E145" i="6"/>
  <c r="AV924" i="6"/>
  <c r="CY924" i="6" s="1"/>
  <c r="AS301" i="6"/>
  <c r="AS303" i="6" s="1"/>
  <c r="Q961" i="6"/>
  <c r="AX1141" i="6"/>
  <c r="BD1024" i="6"/>
  <c r="BE1024" i="6" s="1"/>
  <c r="BE137" i="6" s="1"/>
  <c r="E891" i="6"/>
  <c r="J892" i="6" s="1"/>
  <c r="CW941" i="6"/>
  <c r="DB1108" i="6"/>
  <c r="AC888" i="6"/>
  <c r="BG882" i="6"/>
  <c r="BH882" i="6" s="1"/>
  <c r="BI882" i="6" s="1"/>
  <c r="BJ882" i="6" s="1"/>
  <c r="BK882" i="6" s="1"/>
  <c r="DB882" i="6" s="1"/>
  <c r="AG1014" i="6"/>
  <c r="CV1014" i="6" s="1"/>
  <c r="AB1017" i="6"/>
  <c r="CU1017" i="6" s="1"/>
  <c r="CZ882" i="6"/>
  <c r="BK1015" i="6"/>
  <c r="DB1015" i="6" s="1"/>
  <c r="AV1158" i="6"/>
  <c r="CY1158" i="6" s="1"/>
  <c r="BK1145" i="6"/>
  <c r="BK1142" i="6"/>
  <c r="DB1142" i="6" s="1"/>
  <c r="AI1139" i="6"/>
  <c r="H1136" i="6"/>
  <c r="CQ1136" i="6" s="1"/>
  <c r="BL1000" i="6"/>
  <c r="BI1000" i="6"/>
  <c r="BC1000" i="6"/>
  <c r="AW1000" i="6"/>
  <c r="AW1002" i="6" s="1"/>
  <c r="AR942" i="6"/>
  <c r="AR944" i="6" s="1"/>
  <c r="BK901" i="6"/>
  <c r="BF901" i="6"/>
  <c r="BA891" i="6"/>
  <c r="CZ891" i="6" s="1"/>
  <c r="AQ891" i="6"/>
  <c r="CX891" i="6" s="1"/>
  <c r="AB891" i="6"/>
  <c r="CU891" i="6" s="1"/>
  <c r="R891" i="6"/>
  <c r="BF808" i="6"/>
  <c r="DA808" i="6" s="1"/>
  <c r="AF33" i="6"/>
  <c r="AL455" i="6"/>
  <c r="CW455" i="6" s="1"/>
  <c r="W452" i="6"/>
  <c r="CT452" i="6" s="1"/>
  <c r="BK414" i="6"/>
  <c r="DB414" i="6" s="1"/>
  <c r="H414" i="6"/>
  <c r="CQ414" i="6" s="1"/>
  <c r="H413" i="6"/>
  <c r="CQ413" i="6" s="1"/>
  <c r="AL108" i="6"/>
  <c r="CW108" i="6" s="1"/>
  <c r="U1161" i="6"/>
  <c r="AE970" i="6"/>
  <c r="DC1102" i="6"/>
  <c r="BM172" i="6"/>
  <c r="DB39" i="6"/>
  <c r="HQ823" i="42425" s="1"/>
  <c r="G9" i="42451"/>
  <c r="U85" i="42421"/>
  <c r="AC1155" i="6"/>
  <c r="CR114" i="6"/>
  <c r="AX878" i="6"/>
  <c r="AX888" i="6" s="1"/>
  <c r="AM564" i="6"/>
  <c r="BN1155" i="6"/>
  <c r="CW991" i="6"/>
  <c r="AL1016" i="6"/>
  <c r="CW1016" i="6" s="1"/>
  <c r="BF991" i="6"/>
  <c r="AP1207" i="6"/>
  <c r="CS1094" i="6"/>
  <c r="AT1224" i="6"/>
  <c r="AT1347" i="6" s="1"/>
  <c r="X1153" i="6"/>
  <c r="M1014" i="6"/>
  <c r="CR1014" i="6" s="1"/>
  <c r="BF934" i="6"/>
  <c r="E19" i="42453"/>
  <c r="AG1230" i="6"/>
  <c r="CV1230" i="6" s="1"/>
  <c r="AV891" i="6"/>
  <c r="CY891" i="6" s="1"/>
  <c r="AA266" i="42290"/>
  <c r="AA269" i="42290" s="1"/>
  <c r="E18" i="42425"/>
  <c r="G18" i="42425" s="1"/>
  <c r="BC942" i="6"/>
  <c r="BC944" i="6" s="1"/>
  <c r="C51" i="42461"/>
  <c r="AB136" i="6"/>
  <c r="CU136" i="6" s="1"/>
  <c r="BA1014" i="6"/>
  <c r="CZ1014" i="6" s="1"/>
  <c r="BL1156" i="6"/>
  <c r="CE902" i="6"/>
  <c r="AS925" i="6"/>
  <c r="AW942" i="6"/>
  <c r="AW944" i="6" s="1"/>
  <c r="P958" i="6"/>
  <c r="P965" i="6" s="1"/>
  <c r="G15" i="42428"/>
  <c r="BC1199" i="6"/>
  <c r="F958" i="6"/>
  <c r="F965" i="6" s="1"/>
  <c r="O1007" i="6"/>
  <c r="Z958" i="6"/>
  <c r="AE958" i="6"/>
  <c r="CY881" i="6"/>
  <c r="AR1145" i="6"/>
  <c r="AV1145" i="6" s="1"/>
  <c r="G9" i="42464"/>
  <c r="AV937" i="6"/>
  <c r="CY937" i="6" s="1"/>
  <c r="T139" i="6"/>
  <c r="BL674" i="6"/>
  <c r="K30" i="42441"/>
  <c r="BA128" i="6"/>
  <c r="CZ128" i="6" s="1"/>
  <c r="CX13" i="6"/>
  <c r="R973" i="6"/>
  <c r="CS973" i="6" s="1"/>
  <c r="BO1158" i="6"/>
  <c r="M150" i="6"/>
  <c r="CR150" i="6" s="1"/>
  <c r="AS72" i="42425"/>
  <c r="AS74" i="42425" s="1"/>
  <c r="BA26" i="6"/>
  <c r="CZ26" i="6" s="1"/>
  <c r="G993" i="6"/>
  <c r="G1200" i="6" s="1"/>
  <c r="BE993" i="6"/>
  <c r="CU1099" i="6"/>
  <c r="BC1266" i="6"/>
  <c r="BC1268" i="6" s="1"/>
  <c r="Z120" i="6"/>
  <c r="AD1333" i="6"/>
  <c r="CT906" i="6"/>
  <c r="CW943" i="6"/>
  <c r="AQ986" i="6"/>
  <c r="CX986" i="6" s="1"/>
  <c r="BE960" i="6"/>
  <c r="BI938" i="6"/>
  <c r="K958" i="6"/>
  <c r="U937" i="6"/>
  <c r="U942" i="6" s="1"/>
  <c r="U945" i="6" s="1"/>
  <c r="F928" i="6"/>
  <c r="U120" i="6"/>
  <c r="O141" i="6"/>
  <c r="AX1266" i="6"/>
  <c r="AX1268" i="6" s="1"/>
  <c r="BF108" i="6"/>
  <c r="DA108" i="6" s="1"/>
  <c r="BH565" i="6"/>
  <c r="BA1031" i="6"/>
  <c r="CZ1031" i="6" s="1"/>
  <c r="AV308" i="6"/>
  <c r="CY308" i="6" s="1"/>
  <c r="BA1314" i="6"/>
  <c r="CZ1314" i="6" s="1"/>
  <c r="CW388" i="6"/>
  <c r="AL357" i="6"/>
  <c r="CW357" i="6" s="1"/>
  <c r="AQ356" i="6"/>
  <c r="CX356" i="6" s="1"/>
  <c r="AJ127" i="6"/>
  <c r="P127" i="6"/>
  <c r="BC800" i="6"/>
  <c r="AN388" i="6"/>
  <c r="AM357" i="6"/>
  <c r="BP1166" i="6"/>
  <c r="AL1155" i="6"/>
  <c r="CW1155" i="6" s="1"/>
  <c r="W1200" i="6"/>
  <c r="CT1200" i="6" s="1"/>
  <c r="R993" i="6"/>
  <c r="CS993" i="6" s="1"/>
  <c r="BC965" i="6"/>
  <c r="BC154" i="6" s="1"/>
  <c r="D965" i="6"/>
  <c r="H891" i="6"/>
  <c r="CD777" i="6"/>
  <c r="AP33" i="6"/>
  <c r="V33" i="6"/>
  <c r="BA429" i="6"/>
  <c r="CZ429" i="6" s="1"/>
  <c r="BG476" i="6"/>
  <c r="CZ388" i="6"/>
  <c r="BA357" i="6"/>
  <c r="CZ357" i="6" s="1"/>
  <c r="AA749" i="6"/>
  <c r="G43" i="42457"/>
  <c r="AE52" i="6"/>
  <c r="BF1014" i="6"/>
  <c r="DA1014" i="6" s="1"/>
  <c r="R1187" i="6"/>
  <c r="CS1187" i="6" s="1"/>
  <c r="AL1186" i="6"/>
  <c r="CW1186" i="6" s="1"/>
  <c r="M1185" i="6"/>
  <c r="CR1185" i="6" s="1"/>
  <c r="BH1273" i="6"/>
  <c r="BC1273" i="6"/>
  <c r="BF1144" i="6"/>
  <c r="BP1143" i="6"/>
  <c r="DC1143" i="6" s="1"/>
  <c r="BA1143" i="6"/>
  <c r="CZ1143" i="6" s="1"/>
  <c r="BF1142" i="6"/>
  <c r="DA1142" i="6" s="1"/>
  <c r="AK172" i="6"/>
  <c r="BP1145" i="6"/>
  <c r="CC986" i="6"/>
  <c r="AV357" i="6"/>
  <c r="CY357" i="6" s="1"/>
  <c r="AL356" i="6"/>
  <c r="BA356" i="6"/>
  <c r="CZ356" i="6" s="1"/>
  <c r="AM530" i="6"/>
  <c r="AS1316" i="6"/>
  <c r="M1187" i="6"/>
  <c r="CR1187" i="6" s="1"/>
  <c r="R1186" i="6"/>
  <c r="CS1186" i="6" s="1"/>
  <c r="BK1166" i="6"/>
  <c r="BG1273" i="6"/>
  <c r="BA1165" i="6"/>
  <c r="BI1273" i="6"/>
  <c r="AR388" i="6"/>
  <c r="AQ357" i="6"/>
  <c r="CX357" i="6" s="1"/>
  <c r="AV356" i="6"/>
  <c r="CY356" i="6" s="1"/>
  <c r="Y107" i="6"/>
  <c r="AK107" i="6"/>
  <c r="T1190" i="6"/>
  <c r="BK637" i="6"/>
  <c r="AQ637" i="6"/>
  <c r="AZ633" i="6"/>
  <c r="BK631" i="6"/>
  <c r="AO615" i="6"/>
  <c r="AO616" i="6" s="1"/>
  <c r="BK612" i="6"/>
  <c r="BK613" i="6" s="1"/>
  <c r="AV612" i="6"/>
  <c r="AV613" i="6" s="1"/>
  <c r="BA603" i="6"/>
  <c r="AV602" i="6"/>
  <c r="BF597" i="6"/>
  <c r="AQ585" i="6"/>
  <c r="AQ586" i="6" s="1"/>
  <c r="AQ572" i="6"/>
  <c r="AQ563" i="6"/>
  <c r="AA1190" i="6"/>
  <c r="AM713" i="6"/>
  <c r="AV710" i="6"/>
  <c r="AM615" i="6"/>
  <c r="AN711" i="6"/>
  <c r="AN713" i="6" s="1"/>
  <c r="AQ727" i="6"/>
  <c r="AV563" i="6"/>
  <c r="BA535" i="6"/>
  <c r="BG695" i="6"/>
  <c r="BB695" i="6"/>
  <c r="BB696" i="6" s="1"/>
  <c r="L1190" i="6"/>
  <c r="BK603" i="6"/>
  <c r="G426" i="6"/>
  <c r="P1335" i="6"/>
  <c r="P1336" i="6" s="1"/>
  <c r="P1343" i="6"/>
  <c r="CL258" i="42425"/>
  <c r="CL259" i="42425" s="1"/>
  <c r="AO937" i="6"/>
  <c r="AO938" i="6" s="1"/>
  <c r="P878" i="6"/>
  <c r="P888" i="6" s="1"/>
  <c r="Q878" i="6"/>
  <c r="Q888" i="6" s="1"/>
  <c r="FV515" i="42425"/>
  <c r="FU517" i="42425"/>
  <c r="BI945" i="6"/>
  <c r="BI944" i="6"/>
  <c r="CD953" i="6"/>
  <c r="CD68" i="6" s="1"/>
  <c r="CE936" i="6"/>
  <c r="BM572" i="6"/>
  <c r="BM574" i="6" s="1"/>
  <c r="BH574" i="6"/>
  <c r="AX563" i="6"/>
  <c r="AX564" i="6" s="1"/>
  <c r="BC565" i="6" s="1"/>
  <c r="AY561" i="6"/>
  <c r="AY563" i="6" s="1"/>
  <c r="BE538" i="6"/>
  <c r="BE540" i="6" s="1"/>
  <c r="AZ540" i="6"/>
  <c r="AA1207" i="6"/>
  <c r="AB1032" i="6"/>
  <c r="AA1035" i="6"/>
  <c r="AZ640" i="6"/>
  <c r="AU642" i="6"/>
  <c r="IC848" i="42425"/>
  <c r="II842" i="42425"/>
  <c r="HW842" i="42425"/>
  <c r="FA457" i="42425"/>
  <c r="ER427" i="42425"/>
  <c r="BK174" i="42425"/>
  <c r="BW174" i="42425" s="1"/>
  <c r="BQ174" i="42425"/>
  <c r="BP149" i="42425"/>
  <c r="BO140" i="42425"/>
  <c r="AR38" i="42446"/>
  <c r="AD54" i="42446"/>
  <c r="AG32" i="42446"/>
  <c r="BO37" i="42446"/>
  <c r="CA35" i="42446"/>
  <c r="CR10" i="42446"/>
  <c r="G4" i="42290"/>
  <c r="L13" i="42450"/>
  <c r="K33" i="42416"/>
  <c r="AS73" i="42425" s="1"/>
  <c r="P29" i="42416"/>
  <c r="P30" i="42416" s="1"/>
  <c r="P24" i="42416"/>
  <c r="I26" i="42416"/>
  <c r="C26" i="42416"/>
  <c r="N22" i="42448"/>
  <c r="L30" i="42447"/>
  <c r="L13" i="42447"/>
  <c r="K13" i="42447"/>
  <c r="L46" i="42443"/>
  <c r="K13" i="42443"/>
  <c r="L50" i="42442"/>
  <c r="L47" i="42442"/>
  <c r="BG1161" i="6"/>
  <c r="BK1161" i="6" s="1"/>
  <c r="DB1161" i="6" s="1"/>
  <c r="AR118" i="42471"/>
  <c r="D46" i="42443"/>
  <c r="G46" i="42443" s="1"/>
  <c r="C96" i="42290"/>
  <c r="C98" i="42290" s="1"/>
  <c r="C100" i="42290" s="1"/>
  <c r="DA39" i="6"/>
  <c r="HP823" i="42425" s="1"/>
  <c r="AG454" i="6"/>
  <c r="CV454" i="6" s="1"/>
  <c r="AB903" i="6"/>
  <c r="BB1161" i="6"/>
  <c r="R1162" i="6"/>
  <c r="CS1162" i="6" s="1"/>
  <c r="AU1161" i="6"/>
  <c r="AV1161" i="6" s="1"/>
  <c r="CY1161" i="6" s="1"/>
  <c r="V1178" i="6"/>
  <c r="W1178" i="6" s="1"/>
  <c r="CT1178" i="6" s="1"/>
  <c r="AU1285" i="6"/>
  <c r="CV1096" i="6"/>
  <c r="AZ892" i="6"/>
  <c r="L942" i="6"/>
  <c r="AV538" i="6"/>
  <c r="AS519" i="6"/>
  <c r="K1041" i="6"/>
  <c r="L1041" i="6" s="1"/>
  <c r="BA643" i="6"/>
  <c r="BG965" i="6"/>
  <c r="AU1034" i="6"/>
  <c r="AV1034" i="6" s="1"/>
  <c r="CY1034" i="6" s="1"/>
  <c r="N1200" i="6"/>
  <c r="AH388" i="6"/>
  <c r="BK636" i="6"/>
  <c r="AD1139" i="6"/>
  <c r="BF1124" i="6"/>
  <c r="AO713" i="6"/>
  <c r="AT713" i="6"/>
  <c r="BD1025" i="6"/>
  <c r="BE1025" i="6" s="1"/>
  <c r="H510" i="6"/>
  <c r="CQ510" i="6" s="1"/>
  <c r="AV541" i="6"/>
  <c r="BA672" i="6"/>
  <c r="BA680" i="6" s="1"/>
  <c r="AU710" i="6"/>
  <c r="AF505" i="6"/>
  <c r="AW642" i="6"/>
  <c r="AW644" i="6" s="1"/>
  <c r="V937" i="6"/>
  <c r="AH1007" i="6"/>
  <c r="AX1114" i="6"/>
  <c r="AG501" i="6"/>
  <c r="CV501" i="6" s="1"/>
  <c r="AP586" i="6"/>
  <c r="AP505" i="6"/>
  <c r="AT615" i="6"/>
  <c r="U1031" i="6"/>
  <c r="U150" i="6" s="1"/>
  <c r="V120" i="6"/>
  <c r="AJ1032" i="6"/>
  <c r="K1040" i="6"/>
  <c r="L1040" i="6" s="1"/>
  <c r="P505" i="6"/>
  <c r="BA602" i="6"/>
  <c r="AY942" i="6"/>
  <c r="O878" i="6"/>
  <c r="O888" i="6" s="1"/>
  <c r="BD1200" i="6"/>
  <c r="D904" i="6"/>
  <c r="BL127" i="6"/>
  <c r="BG127" i="6"/>
  <c r="BB127" i="6"/>
  <c r="N127" i="6"/>
  <c r="IF855" i="42425"/>
  <c r="IA855" i="42425"/>
  <c r="IC851" i="42425"/>
  <c r="FV517" i="42425"/>
  <c r="FV519" i="42425" s="1"/>
  <c r="FU495" i="42425"/>
  <c r="EQ417" i="42425"/>
  <c r="BJ173" i="42425"/>
  <c r="BK171" i="42425"/>
  <c r="BG171" i="42425"/>
  <c r="BH175" i="42425" s="1"/>
  <c r="BP154" i="42425"/>
  <c r="J11" i="42425"/>
  <c r="J10" i="42425"/>
  <c r="J9" i="42425"/>
  <c r="J7" i="42425"/>
  <c r="AS39" i="42446"/>
  <c r="BP15" i="42446"/>
  <c r="AH125" i="42290"/>
  <c r="AW70" i="42290"/>
  <c r="AR70" i="42290"/>
  <c r="X70" i="42290"/>
  <c r="S70" i="42290"/>
  <c r="I70" i="42290"/>
  <c r="D70" i="42290"/>
  <c r="BK57" i="42290"/>
  <c r="BF57" i="42290"/>
  <c r="AV57" i="42290"/>
  <c r="AQ57" i="42290"/>
  <c r="AL57" i="42290"/>
  <c r="AB57" i="42290"/>
  <c r="W57" i="42290"/>
  <c r="R57" i="42290"/>
  <c r="H57" i="42290"/>
  <c r="C57" i="42290"/>
  <c r="K13" i="42451"/>
  <c r="K22" i="42450"/>
  <c r="G33" i="42416"/>
  <c r="L25" i="42416"/>
  <c r="N26" i="42416"/>
  <c r="J26" i="42416"/>
  <c r="K23" i="42416"/>
  <c r="AT20" i="42416"/>
  <c r="AU20" i="42416" s="1"/>
  <c r="P19" i="42416"/>
  <c r="I45" i="42448"/>
  <c r="L47" i="42447"/>
  <c r="L22" i="42447"/>
  <c r="L47" i="42443"/>
  <c r="K20" i="42443"/>
  <c r="K22" i="42443" s="1"/>
  <c r="O54" i="42442"/>
  <c r="AY1024" i="6"/>
  <c r="CW10" i="6"/>
  <c r="B35" i="42434"/>
  <c r="BK452" i="6"/>
  <c r="DB452" i="6" s="1"/>
  <c r="BA924" i="6"/>
  <c r="BH1024" i="6"/>
  <c r="BH137" i="6" s="1"/>
  <c r="N145" i="6"/>
  <c r="AM1312" i="6"/>
  <c r="BJ904" i="6"/>
  <c r="Y1042" i="6"/>
  <c r="AV643" i="6"/>
  <c r="F145" i="6"/>
  <c r="AG511" i="6"/>
  <c r="CV511" i="6" s="1"/>
  <c r="BP1159" i="6"/>
  <c r="BA609" i="6"/>
  <c r="CT38" i="6"/>
  <c r="AH1161" i="6"/>
  <c r="AL1161" i="6" s="1"/>
  <c r="CW1161" i="6" s="1"/>
  <c r="X1006" i="6"/>
  <c r="X993" i="6"/>
  <c r="X1200" i="6" s="1"/>
  <c r="AQ612" i="6"/>
  <c r="AQ613" i="6" s="1"/>
  <c r="I1190" i="6"/>
  <c r="BM695" i="6"/>
  <c r="AQ962" i="6"/>
  <c r="CX962" i="6" s="1"/>
  <c r="AN1266" i="6"/>
  <c r="AN1268" i="6" s="1"/>
  <c r="AB1124" i="6"/>
  <c r="CQ906" i="6"/>
  <c r="K1020" i="6"/>
  <c r="AQ529" i="6"/>
  <c r="BA541" i="6"/>
  <c r="AX1191" i="6"/>
  <c r="X1104" i="6"/>
  <c r="AH37" i="42290"/>
  <c r="BF958" i="6"/>
  <c r="DA958" i="6" s="1"/>
  <c r="CY393" i="6"/>
  <c r="P892" i="6"/>
  <c r="Q928" i="6"/>
  <c r="BM1156" i="6"/>
  <c r="N904" i="6"/>
  <c r="Y145" i="6"/>
  <c r="DB87" i="6"/>
  <c r="AR118" i="42459"/>
  <c r="AX145" i="6"/>
  <c r="Z1039" i="6"/>
  <c r="AA1039" i="6" s="1"/>
  <c r="AX1317" i="6"/>
  <c r="U86" i="42421"/>
  <c r="U88" i="42421" s="1"/>
  <c r="IU865" i="42425"/>
  <c r="IU872" i="42425" s="1"/>
  <c r="IU878" i="42425" s="1"/>
  <c r="IU879" i="42425" s="1"/>
  <c r="AL127" i="6"/>
  <c r="CW127" i="6" s="1"/>
  <c r="B36" i="42434"/>
  <c r="C53" i="42440"/>
  <c r="K53" i="42440" s="1"/>
  <c r="H409" i="6"/>
  <c r="CQ409" i="6" s="1"/>
  <c r="AX965" i="6"/>
  <c r="AX154" i="6" s="1"/>
  <c r="H882" i="6"/>
  <c r="AQ903" i="6"/>
  <c r="BG1000" i="6"/>
  <c r="BL145" i="6"/>
  <c r="V1139" i="6"/>
  <c r="BK993" i="6"/>
  <c r="DB993" i="6" s="1"/>
  <c r="AR1042" i="6"/>
  <c r="BC1022" i="6"/>
  <c r="BD1022" i="6" s="1"/>
  <c r="BD145" i="6" s="1"/>
  <c r="X938" i="6"/>
  <c r="AG903" i="6"/>
  <c r="T1024" i="6"/>
  <c r="AV903" i="6"/>
  <c r="AG1136" i="6"/>
  <c r="CV1136" i="6" s="1"/>
  <c r="AW1312" i="6"/>
  <c r="AA1139" i="6"/>
  <c r="AN145" i="6"/>
  <c r="AU1266" i="6"/>
  <c r="AU1268" i="6" s="1"/>
  <c r="AU1176" i="6"/>
  <c r="AV1176" i="6" s="1"/>
  <c r="L1015" i="6"/>
  <c r="L140" i="6" s="1"/>
  <c r="M140" i="6" s="1"/>
  <c r="CR140" i="6" s="1"/>
  <c r="AO137" i="6"/>
  <c r="AV603" i="6"/>
  <c r="BH1000" i="6"/>
  <c r="BM850" i="6"/>
  <c r="AW945" i="6"/>
  <c r="M1040" i="6"/>
  <c r="N888" i="6"/>
  <c r="AE62" i="42446"/>
  <c r="AY680" i="6"/>
  <c r="AQ960" i="6"/>
  <c r="CX960" i="6" s="1"/>
  <c r="R1124" i="6"/>
  <c r="CS1124" i="6" s="1"/>
  <c r="AN392" i="6"/>
  <c r="AO392" i="6" s="1"/>
  <c r="BA534" i="6"/>
  <c r="AU540" i="6"/>
  <c r="AU542" i="6" s="1"/>
  <c r="AY286" i="6"/>
  <c r="AY288" i="6" s="1"/>
  <c r="BN128" i="6"/>
  <c r="BB572" i="6"/>
  <c r="BG572" i="6" s="1"/>
  <c r="BB952" i="6"/>
  <c r="V1025" i="6"/>
  <c r="V138" i="6" s="1"/>
  <c r="CY38" i="6"/>
  <c r="HN822" i="42425" s="1"/>
  <c r="H85" i="42434"/>
  <c r="BJ695" i="6"/>
  <c r="BJ696" i="6" s="1"/>
  <c r="AB1021" i="6"/>
  <c r="CU1021" i="6" s="1"/>
  <c r="AW1155" i="6"/>
  <c r="AG292" i="6"/>
  <c r="CV292" i="6" s="1"/>
  <c r="AD970" i="6"/>
  <c r="BK924" i="6"/>
  <c r="DB924" i="6" s="1"/>
  <c r="D993" i="6"/>
  <c r="D1200" i="6" s="1"/>
  <c r="AQ606" i="6"/>
  <c r="O1035" i="6"/>
  <c r="S1150" i="6"/>
  <c r="AQ590" i="6"/>
  <c r="AV1015" i="6"/>
  <c r="CY1015" i="6" s="1"/>
  <c r="AN1176" i="6"/>
  <c r="X1154" i="6"/>
  <c r="CZ1101" i="6"/>
  <c r="AG1124" i="6"/>
  <c r="AG907" i="6"/>
  <c r="CV907" i="6" s="1"/>
  <c r="AL1124" i="6"/>
  <c r="I17" i="42453" s="1"/>
  <c r="AO620" i="6"/>
  <c r="BK959" i="6"/>
  <c r="DB959" i="6" s="1"/>
  <c r="R455" i="6"/>
  <c r="CS455" i="6" s="1"/>
  <c r="M907" i="6"/>
  <c r="CR907" i="6" s="1"/>
  <c r="BC1285" i="6"/>
  <c r="BA569" i="6"/>
  <c r="CD776" i="6"/>
  <c r="AU979" i="6"/>
  <c r="CC979" i="6"/>
  <c r="E146" i="6"/>
  <c r="AS146" i="6"/>
  <c r="BL1333" i="6"/>
  <c r="AG1079" i="6"/>
  <c r="CV1079" i="6" s="1"/>
  <c r="AQ551" i="6"/>
  <c r="AQ552" i="6" s="1"/>
  <c r="M891" i="6"/>
  <c r="CR891" i="6" s="1"/>
  <c r="BG904" i="6"/>
  <c r="AZ952" i="6"/>
  <c r="BD949" i="6"/>
  <c r="BI949" i="6"/>
  <c r="AX993" i="6"/>
  <c r="AX1224" i="6"/>
  <c r="AX1347" i="6" s="1"/>
  <c r="BK1124" i="6"/>
  <c r="V43" i="42457" s="1"/>
  <c r="BF575" i="6"/>
  <c r="AJ28" i="6"/>
  <c r="AJ33" i="6" s="1"/>
  <c r="AJ34" i="6" s="1"/>
  <c r="CZ900" i="6"/>
  <c r="AM1008" i="6"/>
  <c r="AN1008" i="6" s="1"/>
  <c r="AO1008" i="6" s="1"/>
  <c r="AP1008" i="6" s="1"/>
  <c r="AQ1008" i="6" s="1"/>
  <c r="CX1008" i="6" s="1"/>
  <c r="BA568" i="6"/>
  <c r="K937" i="6"/>
  <c r="K970" i="6" s="1"/>
  <c r="K974" i="6" s="1"/>
  <c r="AF958" i="6"/>
  <c r="W960" i="6"/>
  <c r="CT960" i="6" s="1"/>
  <c r="DB1076" i="6"/>
  <c r="BN1156" i="6"/>
  <c r="P120" i="6"/>
  <c r="Z928" i="6"/>
  <c r="AG1095" i="6"/>
  <c r="CV1095" i="6" s="1"/>
  <c r="BD1005" i="6"/>
  <c r="U958" i="6"/>
  <c r="U965" i="6" s="1"/>
  <c r="U154" i="6" s="1"/>
  <c r="Z1006" i="6"/>
  <c r="AE120" i="6"/>
  <c r="S1093" i="6"/>
  <c r="AG1017" i="6"/>
  <c r="CV1017" i="6" s="1"/>
  <c r="K146" i="6"/>
  <c r="CY391" i="6"/>
  <c r="E7" i="42425"/>
  <c r="AZ710" i="6"/>
  <c r="AM649" i="6"/>
  <c r="AM650" i="6" s="1"/>
  <c r="AI1162" i="6"/>
  <c r="AA120" i="6"/>
  <c r="V961" i="6"/>
  <c r="F1040" i="6"/>
  <c r="BE1031" i="6"/>
  <c r="BF1031" i="6" s="1"/>
  <c r="DA1031" i="6" s="1"/>
  <c r="AD149" i="6"/>
  <c r="AG149" i="6" s="1"/>
  <c r="CV149" i="6" s="1"/>
  <c r="BD1097" i="6"/>
  <c r="M503" i="6"/>
  <c r="CR503" i="6" s="1"/>
  <c r="BF534" i="6"/>
  <c r="AE889" i="6"/>
  <c r="CZ881" i="6"/>
  <c r="BD1035" i="6"/>
  <c r="L1138" i="6"/>
  <c r="AP1079" i="6"/>
  <c r="AR904" i="6"/>
  <c r="U904" i="6"/>
  <c r="AU753" i="6"/>
  <c r="AZ695" i="6"/>
  <c r="AZ696" i="6" s="1"/>
  <c r="CY54" i="6"/>
  <c r="H90" i="42434"/>
  <c r="CR13" i="42446"/>
  <c r="CY39" i="6"/>
  <c r="HN823" i="42425" s="1"/>
  <c r="H86" i="42434"/>
  <c r="AX702" i="6"/>
  <c r="AX703" i="6" s="1"/>
  <c r="BD1141" i="6"/>
  <c r="BB1000" i="6"/>
  <c r="BB1002" i="6" s="1"/>
  <c r="BK1335" i="6"/>
  <c r="H411" i="6"/>
  <c r="CQ411" i="6" s="1"/>
  <c r="CQ391" i="6"/>
  <c r="AV1163" i="6"/>
  <c r="CY1163" i="6" s="1"/>
  <c r="AW1309" i="6"/>
  <c r="BA1017" i="6"/>
  <c r="CZ1017" i="6" s="1"/>
  <c r="E903" i="6"/>
  <c r="E904" i="6" s="1"/>
  <c r="BF1024" i="6"/>
  <c r="DA1024" i="6" s="1"/>
  <c r="AL128" i="6"/>
  <c r="CW128" i="6" s="1"/>
  <c r="BL882" i="6"/>
  <c r="BM882" i="6" s="1"/>
  <c r="BN882" i="6" s="1"/>
  <c r="DA1016" i="6"/>
  <c r="CF888" i="6"/>
  <c r="CG888" i="6" s="1"/>
  <c r="BE141" i="6"/>
  <c r="BG776" i="6"/>
  <c r="AE292" i="6"/>
  <c r="AB127" i="6"/>
  <c r="CU127" i="6" s="1"/>
  <c r="W959" i="6"/>
  <c r="CT959" i="6" s="1"/>
  <c r="BA1333" i="6"/>
  <c r="CZ1333" i="6" s="1"/>
  <c r="CC776" i="6"/>
  <c r="AE880" i="6"/>
  <c r="J149" i="6"/>
  <c r="F1149" i="6"/>
  <c r="AJ927" i="6"/>
  <c r="CH258" i="42425" s="1"/>
  <c r="AO28" i="6"/>
  <c r="AO33" i="6" s="1"/>
  <c r="AF1149" i="6"/>
  <c r="AY1096" i="6"/>
  <c r="AY1152" i="6" s="1"/>
  <c r="BB388" i="6"/>
  <c r="BB409" i="6" s="1"/>
  <c r="AB1038" i="6"/>
  <c r="CU1038" i="6" s="1"/>
  <c r="BP1340" i="6"/>
  <c r="BC574" i="6"/>
  <c r="T970" i="6"/>
  <c r="T974" i="6" s="1"/>
  <c r="AV1191" i="6"/>
  <c r="AV1333" i="6"/>
  <c r="CY1333" i="6" s="1"/>
  <c r="AE58" i="6"/>
  <c r="O103" i="42458"/>
  <c r="AT1178" i="6"/>
  <c r="T938" i="6"/>
  <c r="BU1025" i="6"/>
  <c r="DD1025" i="6" s="1"/>
  <c r="M1038" i="6"/>
  <c r="CR1038" i="6" s="1"/>
  <c r="BA674" i="6"/>
  <c r="BS24" i="42290"/>
  <c r="M897" i="6"/>
  <c r="CR897" i="6" s="1"/>
  <c r="BI1024" i="6"/>
  <c r="BI137" i="6" s="1"/>
  <c r="AR120" i="42474"/>
  <c r="AO118" i="42454"/>
  <c r="AY145" i="6"/>
  <c r="N10" i="42453"/>
  <c r="AV130" i="6"/>
  <c r="CY130" i="6" s="1"/>
  <c r="L9" i="42474"/>
  <c r="DA10" i="6"/>
  <c r="CX10" i="6"/>
  <c r="E426" i="6"/>
  <c r="K29" i="42455"/>
  <c r="CU391" i="6"/>
  <c r="BA949" i="6"/>
  <c r="BK903" i="6"/>
  <c r="AC993" i="6"/>
  <c r="AC1200" i="6" s="1"/>
  <c r="AC143" i="6" s="1"/>
  <c r="AI145" i="6"/>
  <c r="AU1114" i="6"/>
  <c r="AV1114" i="6" s="1"/>
  <c r="AR1312" i="6"/>
  <c r="R343" i="6"/>
  <c r="CS343" i="6" s="1"/>
  <c r="AK1312" i="6"/>
  <c r="AI292" i="6"/>
  <c r="AV940" i="6"/>
  <c r="CY940" i="6" s="1"/>
  <c r="AD145" i="6"/>
  <c r="BA903" i="6"/>
  <c r="CZ903" i="6" s="1"/>
  <c r="AW288" i="6"/>
  <c r="BG674" i="6"/>
  <c r="J942" i="6"/>
  <c r="J945" i="6" s="1"/>
  <c r="AQ961" i="6"/>
  <c r="CX961" i="6" s="1"/>
  <c r="AP1024" i="6"/>
  <c r="BF609" i="6"/>
  <c r="AS362" i="6"/>
  <c r="BD859" i="6"/>
  <c r="BD865" i="6" s="1"/>
  <c r="AH1152" i="6"/>
  <c r="AZ1020" i="6"/>
  <c r="BA1020" i="6" s="1"/>
  <c r="CZ1020" i="6" s="1"/>
  <c r="AD938" i="6"/>
  <c r="J1035" i="6"/>
  <c r="E21" i="6"/>
  <c r="E1199" i="6" s="1"/>
  <c r="AR553" i="6"/>
  <c r="BA561" i="6"/>
  <c r="G266" i="42290"/>
  <c r="G269" i="42290" s="1"/>
  <c r="AQ321" i="6"/>
  <c r="BI540" i="6"/>
  <c r="H1124" i="6"/>
  <c r="Z892" i="6"/>
  <c r="W880" i="6"/>
  <c r="CT880" i="6" s="1"/>
  <c r="BG1158" i="6"/>
  <c r="BK1158" i="6" s="1"/>
  <c r="DB1158" i="6" s="1"/>
  <c r="AN1042" i="6"/>
  <c r="AD1035" i="6"/>
  <c r="AL292" i="6"/>
  <c r="CW292" i="6" s="1"/>
  <c r="AB907" i="6"/>
  <c r="CU907" i="6" s="1"/>
  <c r="BE962" i="6"/>
  <c r="AX1285" i="6"/>
  <c r="AV572" i="6"/>
  <c r="CD980" i="6"/>
  <c r="O140" i="6"/>
  <c r="AJ1024" i="6"/>
  <c r="AP150" i="6"/>
  <c r="AQ150" i="6" s="1"/>
  <c r="CX150" i="6" s="1"/>
  <c r="AQ1079" i="6"/>
  <c r="CX1079" i="6" s="1"/>
  <c r="W30" i="6"/>
  <c r="CT30" i="6" s="1"/>
  <c r="BI695" i="6"/>
  <c r="BI696" i="6" s="1"/>
  <c r="F973" i="6"/>
  <c r="F972" i="6" s="1"/>
  <c r="F139" i="6"/>
  <c r="CS1095" i="6"/>
  <c r="AH1093" i="6"/>
  <c r="AH1149" i="6" s="1"/>
  <c r="AV128" i="6"/>
  <c r="CY128" i="6" s="1"/>
  <c r="AQ1014" i="6"/>
  <c r="CX1014" i="6" s="1"/>
  <c r="E1082" i="6"/>
  <c r="BM1155" i="6"/>
  <c r="CV11" i="6"/>
  <c r="AY302" i="6"/>
  <c r="AY1191" i="6"/>
  <c r="N388" i="6"/>
  <c r="O388" i="6" s="1"/>
  <c r="P388" i="6" s="1"/>
  <c r="K505" i="6"/>
  <c r="AB511" i="6"/>
  <c r="CU511" i="6" s="1"/>
  <c r="AX608" i="6"/>
  <c r="AX610" i="6" s="1"/>
  <c r="AS694" i="6"/>
  <c r="AA958" i="6"/>
  <c r="AA965" i="6" s="1"/>
  <c r="AF929" i="6"/>
  <c r="CA254" i="42425" s="1"/>
  <c r="BC608" i="6"/>
  <c r="BD942" i="6"/>
  <c r="BD945" i="6" s="1"/>
  <c r="E965" i="6"/>
  <c r="E154" i="6" s="1"/>
  <c r="T1006" i="6"/>
  <c r="AE1007" i="6"/>
  <c r="BL808" i="6"/>
  <c r="BL932" i="6" s="1"/>
  <c r="AM882" i="6"/>
  <c r="AN882" i="6" s="1"/>
  <c r="AO882" i="6" s="1"/>
  <c r="L928" i="6"/>
  <c r="Q1007" i="6"/>
  <c r="R1007" i="6" s="1"/>
  <c r="CS1007" i="6" s="1"/>
  <c r="BE941" i="6"/>
  <c r="BG1007" i="6" s="1"/>
  <c r="CV882" i="6"/>
  <c r="DB1016" i="6"/>
  <c r="G8" i="42471"/>
  <c r="F17" i="42464"/>
  <c r="BX290" i="42290"/>
  <c r="BX292" i="42290" s="1"/>
  <c r="AW529" i="6"/>
  <c r="AB30" i="6"/>
  <c r="CU30" i="6" s="1"/>
  <c r="BI892" i="6"/>
  <c r="AF120" i="6"/>
  <c r="BF990" i="6"/>
  <c r="K1032" i="6"/>
  <c r="E149" i="6"/>
  <c r="AL1025" i="6"/>
  <c r="CW1025" i="6" s="1"/>
  <c r="AS665" i="6"/>
  <c r="AS666" i="6" s="1"/>
  <c r="BI1333" i="6"/>
  <c r="BB1006" i="6"/>
  <c r="AK753" i="6"/>
  <c r="D288" i="6"/>
  <c r="IJ854" i="42425"/>
  <c r="IH852" i="42425"/>
  <c r="GE567" i="42425"/>
  <c r="GE571" i="42425" s="1"/>
  <c r="GE577" i="42425" s="1"/>
  <c r="CQ39" i="42446"/>
  <c r="BI87" i="42290"/>
  <c r="BD84" i="42290"/>
  <c r="BD87" i="42290" s="1"/>
  <c r="AY87" i="42290"/>
  <c r="AO87" i="42290"/>
  <c r="AE87" i="42290"/>
  <c r="U87" i="42290"/>
  <c r="P84" i="42290"/>
  <c r="P87" i="42290" s="1"/>
  <c r="K87" i="42290"/>
  <c r="F87" i="42290"/>
  <c r="I45" i="42450"/>
  <c r="N32" i="42416"/>
  <c r="C30" i="42416"/>
  <c r="L26" i="42416"/>
  <c r="M23" i="42416"/>
  <c r="E41" i="42416"/>
  <c r="AB124" i="42434"/>
  <c r="AB125" i="42434" s="1"/>
  <c r="L48" i="42448"/>
  <c r="L20" i="42448"/>
  <c r="Q48" i="42446"/>
  <c r="DB105" i="6"/>
  <c r="BS1035" i="6"/>
  <c r="BU1034" i="6" s="1"/>
  <c r="DD1034" i="6" s="1"/>
  <c r="BS776" i="6"/>
  <c r="BU1031" i="6"/>
  <c r="DD1031" i="6" s="1"/>
  <c r="BU48" i="6"/>
  <c r="BU49" i="6"/>
  <c r="BX1335" i="6"/>
  <c r="BX1336" i="6" s="1"/>
  <c r="Q52" i="42446"/>
  <c r="C45" i="42446"/>
  <c r="D50" i="42446"/>
  <c r="BX27" i="6"/>
  <c r="BZ1069" i="6"/>
  <c r="CN1069" i="6"/>
  <c r="CO1069" i="6" s="1"/>
  <c r="AX1273" i="6"/>
  <c r="CN432" i="6"/>
  <c r="CO432" i="6" s="1"/>
  <c r="BZ432" i="6"/>
  <c r="AL136" i="6"/>
  <c r="CW136" i="6" s="1"/>
  <c r="W136" i="6"/>
  <c r="CT136" i="6" s="1"/>
  <c r="P25" i="42457"/>
  <c r="N25" i="42457"/>
  <c r="F50" i="42475"/>
  <c r="F24" i="42473"/>
  <c r="F29" i="42471"/>
  <c r="J16" i="42446"/>
  <c r="X15" i="42446"/>
  <c r="J15" i="42446"/>
  <c r="AZ13" i="42446"/>
  <c r="AL13" i="42446"/>
  <c r="CH12" i="42446"/>
  <c r="AZ10" i="42446"/>
  <c r="F21" i="42428"/>
  <c r="BQ128" i="6"/>
  <c r="BU29" i="6"/>
  <c r="AY1000" i="6"/>
  <c r="AY1002" i="6" s="1"/>
  <c r="AZ1000" i="6"/>
  <c r="AZ1002" i="6" s="1"/>
  <c r="N35" i="42453"/>
  <c r="BA45" i="6"/>
  <c r="CZ45" i="6" s="1"/>
  <c r="HO826" i="42425" s="1"/>
  <c r="AR118" i="42473"/>
  <c r="AR118" i="42455"/>
  <c r="AR119" i="42468"/>
  <c r="J904" i="6"/>
  <c r="BE938" i="6"/>
  <c r="AE1022" i="6"/>
  <c r="CS54" i="6"/>
  <c r="E8" i="42457"/>
  <c r="BZ1116" i="6"/>
  <c r="CN1116" i="6"/>
  <c r="CO1116" i="6" s="1"/>
  <c r="BZ1058" i="6"/>
  <c r="CN1058" i="6"/>
  <c r="CO1058" i="6" s="1"/>
  <c r="AV136" i="6"/>
  <c r="CY136" i="6" s="1"/>
  <c r="BK1014" i="6"/>
  <c r="DB1014" i="6" s="1"/>
  <c r="BZ1056" i="6"/>
  <c r="CN1056" i="6"/>
  <c r="CO1056" i="6" s="1"/>
  <c r="V1031" i="6"/>
  <c r="G8" i="42454"/>
  <c r="AH147" i="6"/>
  <c r="B9" i="42458"/>
  <c r="CJ1165" i="6"/>
  <c r="BZ1059" i="6"/>
  <c r="DE1059" i="6" s="1"/>
  <c r="CN1059" i="6"/>
  <c r="CO1059" i="6" s="1"/>
  <c r="CN435" i="6"/>
  <c r="CO435" i="6" s="1"/>
  <c r="BZ435" i="6"/>
  <c r="CN433" i="6"/>
  <c r="CO433" i="6" s="1"/>
  <c r="BZ433" i="6"/>
  <c r="ES595" i="42458" s="1"/>
  <c r="CN431" i="6"/>
  <c r="CO431" i="6" s="1"/>
  <c r="BZ431" i="6"/>
  <c r="BZ481" i="6"/>
  <c r="BZ479" i="6"/>
  <c r="BZ480" i="6"/>
  <c r="BZ482" i="6"/>
  <c r="CN1343" i="6"/>
  <c r="CO1343" i="6" s="1"/>
  <c r="BZ87" i="6"/>
  <c r="CN87" i="6"/>
  <c r="CO87" i="6" s="1"/>
  <c r="DF1199" i="6"/>
  <c r="Y17" i="42464"/>
  <c r="G9" i="42474"/>
  <c r="L17" i="42468"/>
  <c r="L17" i="42464"/>
  <c r="F21" i="42464"/>
  <c r="F30" i="42443"/>
  <c r="E52" i="42434"/>
  <c r="AD131" i="42434" s="1"/>
  <c r="L16" i="42440"/>
  <c r="L40" i="42475"/>
  <c r="F26" i="42452"/>
  <c r="L8" i="42437"/>
  <c r="K9" i="42474"/>
  <c r="H131" i="42290"/>
  <c r="AY269" i="42290"/>
  <c r="Q9" i="42475"/>
  <c r="K9" i="42437"/>
  <c r="F21" i="42454"/>
  <c r="G21" i="42468"/>
  <c r="S1335" i="6"/>
  <c r="S1336" i="6" s="1"/>
  <c r="S1343" i="6"/>
  <c r="N1335" i="6"/>
  <c r="N1336" i="6" s="1"/>
  <c r="R87" i="6"/>
  <c r="R1335" i="6" s="1"/>
  <c r="N1343" i="6"/>
  <c r="AG127" i="6"/>
  <c r="CV127" i="6" s="1"/>
  <c r="CU114" i="6"/>
  <c r="AU1309" i="6"/>
  <c r="AV1309" i="6" s="1"/>
  <c r="CY1309" i="6" s="1"/>
  <c r="AE1190" i="6"/>
  <c r="Z1190" i="6"/>
  <c r="U1190" i="6"/>
  <c r="M1188" i="6"/>
  <c r="CR1188" i="6" s="1"/>
  <c r="AF1190" i="6"/>
  <c r="BB1176" i="6"/>
  <c r="AV1166" i="6"/>
  <c r="BJ1273" i="6"/>
  <c r="AZ1273" i="6"/>
  <c r="AZ1161" i="6"/>
  <c r="AJ1139" i="6"/>
  <c r="Y1139" i="6"/>
  <c r="BI172" i="6"/>
  <c r="AF172" i="6"/>
  <c r="AD172" i="6"/>
  <c r="Z172" i="6"/>
  <c r="Y172" i="6"/>
  <c r="U172" i="6"/>
  <c r="BC1161" i="6"/>
  <c r="AY1161" i="6"/>
  <c r="BD1000" i="6"/>
  <c r="AZ1005" i="6"/>
  <c r="J1006" i="6"/>
  <c r="Z904" i="6"/>
  <c r="T904" i="6"/>
  <c r="M136" i="6"/>
  <c r="CR136" i="6" s="1"/>
  <c r="AW563" i="6"/>
  <c r="BK541" i="6"/>
  <c r="R508" i="6"/>
  <c r="R511" i="6" s="1"/>
  <c r="CS511" i="6" s="1"/>
  <c r="W363" i="6"/>
  <c r="CT363" i="6" s="1"/>
  <c r="AP330" i="6"/>
  <c r="AQ330" i="6" s="1"/>
  <c r="CX330" i="6" s="1"/>
  <c r="AD330" i="6"/>
  <c r="Y330" i="6"/>
  <c r="E330" i="6"/>
  <c r="G291" i="6"/>
  <c r="M235" i="6"/>
  <c r="CR235" i="6" s="1"/>
  <c r="H235" i="6"/>
  <c r="CQ235" i="6" s="1"/>
  <c r="H243" i="6"/>
  <c r="CQ243" i="6" s="1"/>
  <c r="R212" i="6"/>
  <c r="CS212" i="6" s="1"/>
  <c r="M204" i="6"/>
  <c r="CR204" i="6" s="1"/>
  <c r="H190" i="6"/>
  <c r="I191" i="6" s="1"/>
  <c r="I200" i="6" s="1"/>
  <c r="I201" i="6" s="1"/>
  <c r="AT168" i="6"/>
  <c r="AR168" i="6"/>
  <c r="AJ168" i="6"/>
  <c r="AH168" i="6"/>
  <c r="BJ136" i="6"/>
  <c r="AP136" i="6"/>
  <c r="AV108" i="6"/>
  <c r="CY108" i="6" s="1"/>
  <c r="BD1038" i="6"/>
  <c r="BE1038" i="6" s="1"/>
  <c r="H1230" i="6"/>
  <c r="CQ1230" i="6" s="1"/>
  <c r="CQ979" i="6"/>
  <c r="W993" i="6"/>
  <c r="CT993" i="6" s="1"/>
  <c r="AH22" i="6"/>
  <c r="AP1313" i="6"/>
  <c r="AY1313" i="6"/>
  <c r="AT1313" i="6"/>
  <c r="AO1313" i="6"/>
  <c r="BK1159" i="6"/>
  <c r="D1042" i="6"/>
  <c r="BG1042" i="6"/>
  <c r="X1042" i="6"/>
  <c r="BL1042" i="6"/>
  <c r="AD1042" i="6"/>
  <c r="AT1005" i="6"/>
  <c r="BH683" i="6"/>
  <c r="AQ653" i="6"/>
  <c r="AQ654" i="6" s="1"/>
  <c r="AQ619" i="6"/>
  <c r="AQ620" i="6" s="1"/>
  <c r="AV529" i="6"/>
  <c r="H54" i="6"/>
  <c r="G48" i="42473"/>
  <c r="G33" i="42468"/>
  <c r="F32" i="42461"/>
  <c r="F40" i="42459"/>
  <c r="G23" i="42452"/>
  <c r="BS777" i="6"/>
  <c r="BR777" i="6"/>
  <c r="BF1079" i="6"/>
  <c r="DA1079" i="6" s="1"/>
  <c r="BH1035" i="6"/>
  <c r="J145" i="6"/>
  <c r="AB990" i="6"/>
  <c r="W990" i="6"/>
  <c r="AW965" i="6"/>
  <c r="AW154" i="6" s="1"/>
  <c r="AS942" i="6"/>
  <c r="Y942" i="6"/>
  <c r="O942" i="6"/>
  <c r="O945" i="6" s="1"/>
  <c r="O967" i="6" s="1"/>
  <c r="AE904" i="6"/>
  <c r="Q904" i="6"/>
  <c r="Y884" i="6"/>
  <c r="Y894" i="6" s="1"/>
  <c r="V884" i="6"/>
  <c r="V894" i="6" s="1"/>
  <c r="W884" i="6"/>
  <c r="CT884" i="6" s="1"/>
  <c r="L884" i="6"/>
  <c r="L894" i="6" s="1"/>
  <c r="BI812" i="6"/>
  <c r="BI813" i="6" s="1"/>
  <c r="BD812" i="6"/>
  <c r="BD813" i="6" s="1"/>
  <c r="BN776" i="6"/>
  <c r="BM776" i="6"/>
  <c r="Z330" i="6"/>
  <c r="X330" i="6"/>
  <c r="K330" i="6"/>
  <c r="F330" i="6"/>
  <c r="F331" i="6" s="1"/>
  <c r="F336" i="6" s="1"/>
  <c r="E292" i="6"/>
  <c r="AK749" i="6"/>
  <c r="AK751" i="6" s="1"/>
  <c r="BQ114" i="6"/>
  <c r="BQ119" i="6" s="1"/>
  <c r="BV75" i="6"/>
  <c r="L107" i="6"/>
  <c r="L110" i="6" s="1"/>
  <c r="M38" i="6"/>
  <c r="AK958" i="6"/>
  <c r="AK928" i="6"/>
  <c r="D19" i="42447"/>
  <c r="F19" i="42447" s="1"/>
  <c r="AK45" i="6"/>
  <c r="DC77" i="6"/>
  <c r="BP1342" i="6"/>
  <c r="BA1191" i="6"/>
  <c r="CZ1191" i="6" s="1"/>
  <c r="AV5" i="6"/>
  <c r="AR666" i="6"/>
  <c r="AR564" i="6"/>
  <c r="BL599" i="6"/>
  <c r="AL27" i="6"/>
  <c r="CW27" i="6" s="1"/>
  <c r="AI33" i="6"/>
  <c r="BB684" i="6"/>
  <c r="BB680" i="6"/>
  <c r="BE667" i="6"/>
  <c r="AZ667" i="6"/>
  <c r="DF826" i="6"/>
  <c r="CB826" i="6"/>
  <c r="P17" i="42459"/>
  <c r="Q17" i="42459"/>
  <c r="E267" i="6"/>
  <c r="H266" i="6"/>
  <c r="AR301" i="6"/>
  <c r="AR303" i="6" s="1"/>
  <c r="AQ302" i="6"/>
  <c r="AQ301" i="6" s="1"/>
  <c r="AQ303" i="6" s="1"/>
  <c r="W343" i="6"/>
  <c r="CT343" i="6" s="1"/>
  <c r="BK343" i="6"/>
  <c r="DB343" i="6" s="1"/>
  <c r="AT650" i="6"/>
  <c r="AY649" i="6"/>
  <c r="AV629" i="6"/>
  <c r="AV631" i="6" s="1"/>
  <c r="AV632" i="6" s="1"/>
  <c r="BA633" i="6" s="1"/>
  <c r="AT631" i="6"/>
  <c r="AT632" i="6" s="1"/>
  <c r="AY633" i="6" s="1"/>
  <c r="K968" i="6"/>
  <c r="L1016" i="6"/>
  <c r="L141" i="6" s="1"/>
  <c r="G1032" i="6"/>
  <c r="G1207" i="6" s="1"/>
  <c r="F1207" i="6"/>
  <c r="F1198" i="6" s="1"/>
  <c r="F147" i="6" s="1"/>
  <c r="U148" i="6"/>
  <c r="W1033" i="6"/>
  <c r="CT1033" i="6" s="1"/>
  <c r="Z148" i="6"/>
  <c r="AB148" i="6" s="1"/>
  <c r="CU148" i="6" s="1"/>
  <c r="Z1035" i="6"/>
  <c r="AB1033" i="6"/>
  <c r="AA1040" i="6"/>
  <c r="Z1333" i="6"/>
  <c r="BD1153" i="6"/>
  <c r="BE1097" i="6"/>
  <c r="B9" i="42419"/>
  <c r="CY67" i="6"/>
  <c r="AW292" i="6"/>
  <c r="AX291" i="6"/>
  <c r="BM942" i="6"/>
  <c r="BM938" i="6"/>
  <c r="AR1309" i="6"/>
  <c r="BP1312" i="6"/>
  <c r="DC1312" i="6" s="1"/>
  <c r="BK1312" i="6"/>
  <c r="BB1199" i="6"/>
  <c r="BB143" i="6" s="1"/>
  <c r="AW143" i="6"/>
  <c r="AW1198" i="6"/>
  <c r="BA1146" i="6"/>
  <c r="Q1023" i="6"/>
  <c r="Q146" i="6" s="1"/>
  <c r="AW564" i="6"/>
  <c r="BQ828" i="6"/>
  <c r="BT1341" i="6"/>
  <c r="BY75" i="6"/>
  <c r="AP629" i="6"/>
  <c r="AM1316" i="6"/>
  <c r="AW1316" i="6"/>
  <c r="BU339" i="6"/>
  <c r="BU340" i="6" s="1"/>
  <c r="DD340" i="6" s="1"/>
  <c r="BY339" i="6"/>
  <c r="CV311" i="6"/>
  <c r="AT72" i="42425"/>
  <c r="BF1304" i="6"/>
  <c r="DA1304" i="6" s="1"/>
  <c r="DA1312" i="6"/>
  <c r="AM172" i="6"/>
  <c r="AF22" i="6"/>
  <c r="AA1199" i="6"/>
  <c r="AA1198" i="6" s="1"/>
  <c r="AA147" i="6" s="1"/>
  <c r="AR530" i="6"/>
  <c r="AU944" i="6"/>
  <c r="AU945" i="6"/>
  <c r="DE1017" i="6"/>
  <c r="CA1017" i="6"/>
  <c r="BV1055" i="6"/>
  <c r="BW1055" i="6" s="1"/>
  <c r="BX1055" i="6" s="1"/>
  <c r="BY1055" i="6" s="1"/>
  <c r="CR342" i="6"/>
  <c r="AP292" i="6"/>
  <c r="AO292" i="6"/>
  <c r="I33" i="6"/>
  <c r="AY1201" i="6"/>
  <c r="AY1199" i="6" s="1"/>
  <c r="AY962" i="6"/>
  <c r="AY965" i="6" s="1"/>
  <c r="CR880" i="6"/>
  <c r="N884" i="6"/>
  <c r="N894" i="6" s="1"/>
  <c r="BG143" i="6"/>
  <c r="BO1192" i="6"/>
  <c r="BQ1192" i="6" s="1"/>
  <c r="BI1191" i="6"/>
  <c r="BJ1191" i="6" s="1"/>
  <c r="BL1191" i="6" s="1"/>
  <c r="BM1191" i="6" s="1"/>
  <c r="AV1189" i="6"/>
  <c r="CY1189" i="6" s="1"/>
  <c r="AG1188" i="6"/>
  <c r="CV1188" i="6" s="1"/>
  <c r="AC1190" i="6"/>
  <c r="H1187" i="6"/>
  <c r="CQ1187" i="6" s="1"/>
  <c r="G1190" i="6"/>
  <c r="AG1186" i="6"/>
  <c r="CV1186" i="6" s="1"/>
  <c r="AD1190" i="6"/>
  <c r="V1190" i="6"/>
  <c r="W1186" i="6"/>
  <c r="CT1186" i="6" s="1"/>
  <c r="P1190" i="6"/>
  <c r="D1190" i="6"/>
  <c r="BE1273" i="6"/>
  <c r="BF1165" i="6"/>
  <c r="BF1164" i="6"/>
  <c r="BA1164" i="6"/>
  <c r="AN1272" i="6"/>
  <c r="AQ1163" i="6"/>
  <c r="CX1163" i="6" s="1"/>
  <c r="BA1145" i="6"/>
  <c r="BK1144" i="6"/>
  <c r="BK1143" i="6"/>
  <c r="DB1143" i="6" s="1"/>
  <c r="BF1143" i="6"/>
  <c r="DA1143" i="6" s="1"/>
  <c r="M1136" i="6"/>
  <c r="CR1136" i="6" s="1"/>
  <c r="I1138" i="6"/>
  <c r="BF1136" i="6"/>
  <c r="DA1136" i="6" s="1"/>
  <c r="DA1135" i="6"/>
  <c r="E43" i="42457"/>
  <c r="AT172" i="6"/>
  <c r="AQ1122" i="6"/>
  <c r="AP1124" i="6"/>
  <c r="AP172" i="6" s="1"/>
  <c r="CZ1119" i="6"/>
  <c r="BA1124" i="6"/>
  <c r="BB172" i="6" s="1"/>
  <c r="CT1119" i="6"/>
  <c r="W1124" i="6"/>
  <c r="CR1119" i="6"/>
  <c r="M1124" i="6"/>
  <c r="D17" i="42453" s="1"/>
  <c r="K19" i="42453"/>
  <c r="CY1116" i="6"/>
  <c r="CX1116" i="6"/>
  <c r="J19" i="42453"/>
  <c r="G19" i="42453"/>
  <c r="CU1116" i="6"/>
  <c r="BL1161" i="6"/>
  <c r="BM1161" i="6"/>
  <c r="CW1106" i="6"/>
  <c r="AM1161" i="6"/>
  <c r="AQ1161" i="6" s="1"/>
  <c r="CX1161" i="6" s="1"/>
  <c r="AV1157" i="6"/>
  <c r="CY1157" i="6" s="1"/>
  <c r="AC1156" i="6"/>
  <c r="AD1100" i="6"/>
  <c r="AT1114" i="6"/>
  <c r="AV1143" i="6"/>
  <c r="D1127" i="6"/>
  <c r="BF1201" i="6"/>
  <c r="DA1201" i="6" s="1"/>
  <c r="AR1198" i="6"/>
  <c r="J1343" i="6"/>
  <c r="J1335" i="6"/>
  <c r="J1336" i="6" s="1"/>
  <c r="M316" i="6"/>
  <c r="R25" i="6"/>
  <c r="CS25" i="6" s="1"/>
  <c r="M25" i="6"/>
  <c r="CR25" i="6" s="1"/>
  <c r="H25" i="6"/>
  <c r="CQ25" i="6" s="1"/>
  <c r="AB81" i="6"/>
  <c r="CU81" i="6" s="1"/>
  <c r="H78" i="6"/>
  <c r="C10" i="42453" s="1"/>
  <c r="G16" i="42428"/>
  <c r="BU1023" i="6"/>
  <c r="DD1023" i="6" s="1"/>
  <c r="BW1024" i="6"/>
  <c r="E1138" i="6"/>
  <c r="BW114" i="6"/>
  <c r="BW1341" i="6"/>
  <c r="BK26" i="6"/>
  <c r="DB26" i="6" s="1"/>
  <c r="AR475" i="6"/>
  <c r="M27" i="6"/>
  <c r="CR27" i="6" s="1"/>
  <c r="CU1100" i="6"/>
  <c r="BB1156" i="6"/>
  <c r="U1139" i="6"/>
  <c r="BM696" i="6"/>
  <c r="AI1035" i="6"/>
  <c r="AN1178" i="6"/>
  <c r="AT1266" i="6"/>
  <c r="AT1268" i="6" s="1"/>
  <c r="BC1141" i="6"/>
  <c r="AN1317" i="6"/>
  <c r="AY1025" i="6"/>
  <c r="AZ1025" i="6" s="1"/>
  <c r="T1035" i="6"/>
  <c r="AZ1016" i="6"/>
  <c r="Y33" i="6"/>
  <c r="AX1042" i="6"/>
  <c r="DC1075" i="6"/>
  <c r="R990" i="6"/>
  <c r="AZ1285" i="6"/>
  <c r="BA1084" i="6"/>
  <c r="CZ1084" i="6" s="1"/>
  <c r="BE1266" i="6"/>
  <c r="BE1268" i="6" s="1"/>
  <c r="AZ1006" i="6"/>
  <c r="BC1006" i="6"/>
  <c r="AG1040" i="6"/>
  <c r="AK925" i="6"/>
  <c r="BF924" i="6"/>
  <c r="DA924" i="6" s="1"/>
  <c r="BF950" i="6"/>
  <c r="BK950" i="6"/>
  <c r="O970" i="6"/>
  <c r="O974" i="6" s="1"/>
  <c r="Y970" i="6"/>
  <c r="Y974" i="6" s="1"/>
  <c r="AX1199" i="6"/>
  <c r="V1096" i="6"/>
  <c r="AY1098" i="6"/>
  <c r="AZ1098" i="6" s="1"/>
  <c r="AZ1154" i="6" s="1"/>
  <c r="CW1099" i="6"/>
  <c r="BG1155" i="6"/>
  <c r="AB128" i="6"/>
  <c r="CU128" i="6" s="1"/>
  <c r="BX1341" i="6"/>
  <c r="BX114" i="6"/>
  <c r="BX119" i="6" s="1"/>
  <c r="S878" i="6"/>
  <c r="S888" i="6" s="1"/>
  <c r="BI946" i="6"/>
  <c r="AY952" i="6"/>
  <c r="AY411" i="6"/>
  <c r="AY474" i="6" s="1"/>
  <c r="T958" i="6"/>
  <c r="T965" i="6" s="1"/>
  <c r="T1351" i="6" s="1"/>
  <c r="V958" i="6"/>
  <c r="Y958" i="6"/>
  <c r="Y965" i="6" s="1"/>
  <c r="Y928" i="6"/>
  <c r="AA929" i="6"/>
  <c r="BW254" i="42425" s="1"/>
  <c r="AD958" i="6"/>
  <c r="AD929" i="6"/>
  <c r="BY254" i="42425" s="1"/>
  <c r="AF937" i="6"/>
  <c r="AF970" i="6" s="1"/>
  <c r="BH949" i="6"/>
  <c r="O929" i="6"/>
  <c r="L958" i="6"/>
  <c r="L965" i="6" s="1"/>
  <c r="BH942" i="6"/>
  <c r="AG959" i="6"/>
  <c r="CV959" i="6" s="1"/>
  <c r="D970" i="6"/>
  <c r="D974" i="6" s="1"/>
  <c r="H990" i="6"/>
  <c r="I993" i="6"/>
  <c r="AL1022" i="6"/>
  <c r="CW1022" i="6" s="1"/>
  <c r="CX1087" i="6"/>
  <c r="BF1020" i="6"/>
  <c r="DA1020" i="6" s="1"/>
  <c r="BC695" i="6"/>
  <c r="BC696" i="6" s="1"/>
  <c r="BA878" i="6"/>
  <c r="CZ878" i="6" s="1"/>
  <c r="E928" i="6"/>
  <c r="E937" i="6"/>
  <c r="BB782" i="6"/>
  <c r="BB785" i="6" s="1"/>
  <c r="V1007" i="6"/>
  <c r="W1007" i="6" s="1"/>
  <c r="CT1007" i="6" s="1"/>
  <c r="Y1007" i="6"/>
  <c r="AA1006" i="6"/>
  <c r="AD1006" i="6"/>
  <c r="CY1096" i="6"/>
  <c r="BG788" i="6"/>
  <c r="J1007" i="6"/>
  <c r="L1006" i="6"/>
  <c r="P1006" i="6"/>
  <c r="O1006" i="6"/>
  <c r="O120" i="6"/>
  <c r="Q937" i="6"/>
  <c r="Q1006" i="6"/>
  <c r="Q120" i="6"/>
  <c r="I877" i="6"/>
  <c r="AH1006" i="6"/>
  <c r="F937" i="6"/>
  <c r="I929" i="6"/>
  <c r="I958" i="6"/>
  <c r="I965" i="6" s="1"/>
  <c r="I1351" i="6" s="1"/>
  <c r="CY1094" i="6"/>
  <c r="CY1095" i="6"/>
  <c r="AW1149" i="6"/>
  <c r="D1224" i="6"/>
  <c r="D1347" i="6" s="1"/>
  <c r="CC962" i="6"/>
  <c r="AK968" i="6"/>
  <c r="AL968" i="6" s="1"/>
  <c r="CW968" i="6" s="1"/>
  <c r="AJ141" i="6"/>
  <c r="W1014" i="6"/>
  <c r="CT1014" i="6" s="1"/>
  <c r="AG1034" i="6"/>
  <c r="CV1034" i="6" s="1"/>
  <c r="AW878" i="6"/>
  <c r="CA817" i="6"/>
  <c r="BF308" i="6"/>
  <c r="DA308" i="6" s="1"/>
  <c r="BK308" i="6"/>
  <c r="DB308" i="6" s="1"/>
  <c r="AF50" i="42290"/>
  <c r="AF54" i="42290" s="1"/>
  <c r="AF57" i="42290" s="1"/>
  <c r="CU433" i="6"/>
  <c r="M501" i="6"/>
  <c r="CR501" i="6" s="1"/>
  <c r="AA505" i="6"/>
  <c r="CS431" i="6"/>
  <c r="CS435" i="6"/>
  <c r="AB510" i="6"/>
  <c r="CU510" i="6" s="1"/>
  <c r="E8" i="42425"/>
  <c r="G8" i="42425" s="1"/>
  <c r="AB501" i="6"/>
  <c r="CU501" i="6" s="1"/>
  <c r="AD505" i="6"/>
  <c r="BK568" i="6"/>
  <c r="AW631" i="6"/>
  <c r="AW632" i="6" s="1"/>
  <c r="AW633" i="6" s="1"/>
  <c r="CC774" i="6"/>
  <c r="BF569" i="6"/>
  <c r="AT621" i="6"/>
  <c r="N505" i="6"/>
  <c r="V505" i="6"/>
  <c r="AP679" i="6"/>
  <c r="AQ679" i="6" s="1"/>
  <c r="AQ680" i="6" s="1"/>
  <c r="AK30" i="6"/>
  <c r="AL30" i="6" s="1"/>
  <c r="CW30" i="6" s="1"/>
  <c r="W511" i="6"/>
  <c r="CT511" i="6" s="1"/>
  <c r="AQ511" i="6"/>
  <c r="CX511" i="6" s="1"/>
  <c r="AV569" i="6"/>
  <c r="BH840" i="6"/>
  <c r="BH867" i="6" s="1"/>
  <c r="BU258" i="42425"/>
  <c r="BU259" i="42425" s="1"/>
  <c r="BY258" i="42425"/>
  <c r="BY262" i="42425" s="1"/>
  <c r="CC258" i="42425"/>
  <c r="BC949" i="6"/>
  <c r="AV986" i="6"/>
  <c r="CY986" i="6" s="1"/>
  <c r="F993" i="6"/>
  <c r="F1200" i="6" s="1"/>
  <c r="F143" i="6" s="1"/>
  <c r="Z1025" i="6"/>
  <c r="AA1025" i="6" s="1"/>
  <c r="AA138" i="6" s="1"/>
  <c r="F1033" i="6"/>
  <c r="BW258" i="42425"/>
  <c r="BW259" i="42425" s="1"/>
  <c r="CA258" i="42425"/>
  <c r="CA259" i="42425" s="1"/>
  <c r="CE258" i="42425"/>
  <c r="CE259" i="42425" s="1"/>
  <c r="N961" i="6"/>
  <c r="AB880" i="6"/>
  <c r="BE949" i="6"/>
  <c r="BF980" i="6"/>
  <c r="DA980" i="6" s="1"/>
  <c r="BD993" i="6"/>
  <c r="AZ1015" i="6"/>
  <c r="K1026" i="6"/>
  <c r="P1016" i="6"/>
  <c r="AI141" i="6"/>
  <c r="AE1032" i="6"/>
  <c r="Z1016" i="6"/>
  <c r="BJ141" i="6"/>
  <c r="BE1033" i="6"/>
  <c r="BE148" i="6" s="1"/>
  <c r="BF148" i="6" s="1"/>
  <c r="DA148" i="6" s="1"/>
  <c r="BE1141" i="6"/>
  <c r="H342" i="6"/>
  <c r="CQ342" i="6" s="1"/>
  <c r="O343" i="6"/>
  <c r="H350" i="6"/>
  <c r="CQ350" i="6" s="1"/>
  <c r="AL501" i="6"/>
  <c r="CW501" i="6" s="1"/>
  <c r="AB342" i="6"/>
  <c r="AZ358" i="6"/>
  <c r="BA358" i="6" s="1"/>
  <c r="CZ358" i="6" s="1"/>
  <c r="F333" i="6"/>
  <c r="AW371" i="6"/>
  <c r="AX371" i="6" s="1"/>
  <c r="AX413" i="6" s="1"/>
  <c r="AX476" i="6" s="1"/>
  <c r="AS654" i="6"/>
  <c r="AM877" i="6"/>
  <c r="M990" i="6"/>
  <c r="AG878" i="6"/>
  <c r="AO1025" i="6"/>
  <c r="BK1031" i="6"/>
  <c r="DB1031" i="6" s="1"/>
  <c r="AL986" i="6"/>
  <c r="CW986" i="6" s="1"/>
  <c r="DB1058" i="6"/>
  <c r="AW1317" i="6"/>
  <c r="AV1314" i="6"/>
  <c r="CY1314" i="6" s="1"/>
  <c r="AQ1314" i="6"/>
  <c r="CX1314" i="6" s="1"/>
  <c r="AJ1230" i="6"/>
  <c r="AM1207" i="6"/>
  <c r="AQ1189" i="6"/>
  <c r="CX1189" i="6" s="1"/>
  <c r="R142" i="6"/>
  <c r="CS142" i="6" s="1"/>
  <c r="T1138" i="6"/>
  <c r="AO172" i="6"/>
  <c r="AJ172" i="6"/>
  <c r="AE172" i="6"/>
  <c r="AA172" i="6"/>
  <c r="V172" i="6"/>
  <c r="Q172" i="6"/>
  <c r="P172" i="6"/>
  <c r="AN172" i="6"/>
  <c r="BO1156" i="6"/>
  <c r="BV1054" i="6"/>
  <c r="BW1054" i="6" s="1"/>
  <c r="BX1054" i="6" s="1"/>
  <c r="BY1054" i="6" s="1"/>
  <c r="AM1035" i="6"/>
  <c r="AV150" i="6"/>
  <c r="CY150" i="6" s="1"/>
  <c r="AB150" i="6"/>
  <c r="CU150" i="6" s="1"/>
  <c r="R150" i="6"/>
  <c r="CS150" i="6" s="1"/>
  <c r="AV141" i="6"/>
  <c r="CY141" i="6" s="1"/>
  <c r="AQ974" i="6"/>
  <c r="CX974" i="6" s="1"/>
  <c r="AR965" i="6"/>
  <c r="BB965" i="6"/>
  <c r="AE1006" i="6"/>
  <c r="AD1007" i="6"/>
  <c r="Z942" i="6"/>
  <c r="S1006" i="6"/>
  <c r="L1007" i="6"/>
  <c r="M1007" i="6" s="1"/>
  <c r="CR1007" i="6" s="1"/>
  <c r="I1006" i="6"/>
  <c r="AN925" i="6"/>
  <c r="AN904" i="6"/>
  <c r="AC904" i="6"/>
  <c r="S904" i="6"/>
  <c r="AA884" i="6"/>
  <c r="AA894" i="6" s="1"/>
  <c r="AB884" i="6"/>
  <c r="CU884" i="6" s="1"/>
  <c r="O884" i="6"/>
  <c r="O894" i="6" s="1"/>
  <c r="J884" i="6"/>
  <c r="J894" i="6" s="1"/>
  <c r="BD878" i="6"/>
  <c r="BD888" i="6" s="1"/>
  <c r="BG834" i="6"/>
  <c r="BG837" i="6" s="1"/>
  <c r="BB799" i="6"/>
  <c r="BB913" i="6" s="1"/>
  <c r="BB914" i="6" s="1"/>
  <c r="BO774" i="6"/>
  <c r="BM774" i="6"/>
  <c r="BH776" i="6"/>
  <c r="AZ753" i="6"/>
  <c r="AP753" i="6"/>
  <c r="AF753" i="6"/>
  <c r="AA750" i="6"/>
  <c r="V749" i="6"/>
  <c r="BK694" i="6"/>
  <c r="BF694" i="6"/>
  <c r="BF693" i="6"/>
  <c r="BL695" i="6"/>
  <c r="BL696" i="6" s="1"/>
  <c r="BI666" i="6"/>
  <c r="BD695" i="6"/>
  <c r="BM632" i="6"/>
  <c r="BE632" i="6"/>
  <c r="BE633" i="6" s="1"/>
  <c r="BC632" i="6"/>
  <c r="BI598" i="6"/>
  <c r="BI599" i="6" s="1"/>
  <c r="AM695" i="6"/>
  <c r="BI564" i="6"/>
  <c r="BI565" i="6" s="1"/>
  <c r="BG564" i="6"/>
  <c r="BM530" i="6"/>
  <c r="BE530" i="6"/>
  <c r="BC530" i="6"/>
  <c r="BH531" i="6" s="1"/>
  <c r="AO530" i="6"/>
  <c r="AT531" i="6" s="1"/>
  <c r="AG30" i="6"/>
  <c r="CV30" i="6" s="1"/>
  <c r="BI477" i="6"/>
  <c r="AK477" i="6"/>
  <c r="AA477" i="6"/>
  <c r="Q477" i="6"/>
  <c r="G477" i="6"/>
  <c r="E477" i="6"/>
  <c r="BI476" i="6"/>
  <c r="AK476" i="6"/>
  <c r="AA476" i="6"/>
  <c r="G476" i="6"/>
  <c r="BL475" i="6"/>
  <c r="BI475" i="6"/>
  <c r="AU475" i="6"/>
  <c r="AA475" i="6"/>
  <c r="R412" i="6"/>
  <c r="CS412" i="6" s="1"/>
  <c r="G475" i="6"/>
  <c r="H412" i="6"/>
  <c r="CQ412" i="6" s="1"/>
  <c r="BI474" i="6"/>
  <c r="BM473" i="6"/>
  <c r="F426" i="6"/>
  <c r="F358" i="6"/>
  <c r="D750" i="6"/>
  <c r="AY410" i="6"/>
  <c r="AY473" i="6" s="1"/>
  <c r="BN343" i="6"/>
  <c r="BS11" i="6"/>
  <c r="EP590" i="42458" s="1"/>
  <c r="EP610" i="42458" s="1"/>
  <c r="BX339" i="6"/>
  <c r="G330" i="6"/>
  <c r="AE330" i="6"/>
  <c r="AE331" i="6" s="1"/>
  <c r="AE336" i="6" s="1"/>
  <c r="V330" i="6"/>
  <c r="W330" i="6" s="1"/>
  <c r="J330" i="6"/>
  <c r="F279" i="6"/>
  <c r="G277" i="6" s="1"/>
  <c r="G252" i="6"/>
  <c r="H252" i="6" s="1"/>
  <c r="CQ252" i="6" s="1"/>
  <c r="O191" i="6"/>
  <c r="O200" i="6" s="1"/>
  <c r="J191" i="6"/>
  <c r="J200" i="6" s="1"/>
  <c r="BJ168" i="6"/>
  <c r="BK168" i="6" s="1"/>
  <c r="BH168" i="6"/>
  <c r="AP168" i="6"/>
  <c r="AQ168" i="6" s="1"/>
  <c r="AN168" i="6"/>
  <c r="AF168" i="6"/>
  <c r="AG168" i="6" s="1"/>
  <c r="AD168" i="6"/>
  <c r="H141" i="6"/>
  <c r="CQ141" i="6" s="1"/>
  <c r="BP140" i="6"/>
  <c r="DC140" i="6" s="1"/>
  <c r="BP139" i="6"/>
  <c r="DC139" i="6" s="1"/>
  <c r="BA139" i="6"/>
  <c r="CZ139" i="6" s="1"/>
  <c r="AV139" i="6"/>
  <c r="CY139" i="6" s="1"/>
  <c r="AQ139" i="6"/>
  <c r="CX139" i="6" s="1"/>
  <c r="AB139" i="6"/>
  <c r="CU139" i="6" s="1"/>
  <c r="M138" i="6"/>
  <c r="CR138" i="6" s="1"/>
  <c r="AR128" i="6"/>
  <c r="AC128" i="6"/>
  <c r="AD108" i="6"/>
  <c r="AD110" i="6" s="1"/>
  <c r="BF77" i="6"/>
  <c r="BF1342" i="6" s="1"/>
  <c r="BK68" i="6"/>
  <c r="BF68" i="6"/>
  <c r="BH107" i="6"/>
  <c r="BH110" i="6" s="1"/>
  <c r="BC107" i="6"/>
  <c r="BC110" i="6" s="1"/>
  <c r="AP109" i="42452"/>
  <c r="AK127" i="6"/>
  <c r="Q127" i="6"/>
  <c r="AO21" i="6"/>
  <c r="AM21" i="6"/>
  <c r="AM22" i="6" s="1"/>
  <c r="AL17" i="6"/>
  <c r="CW17" i="6" s="1"/>
  <c r="AP21" i="6"/>
  <c r="CI215" i="42425"/>
  <c r="CI263" i="42425" s="1"/>
  <c r="CD902" i="6"/>
  <c r="BM787" i="6"/>
  <c r="BU140" i="6"/>
  <c r="DD140" i="6" s="1"/>
  <c r="BU860" i="6"/>
  <c r="DD860" i="6" s="1"/>
  <c r="BY860" i="6"/>
  <c r="BZ860" i="6" s="1"/>
  <c r="DE860" i="6" s="1"/>
  <c r="BW1139" i="6"/>
  <c r="BW1164" i="6"/>
  <c r="BW1140" i="6"/>
  <c r="BW1142" i="6"/>
  <c r="BW1148" i="6"/>
  <c r="BW1146" i="6"/>
  <c r="BT777" i="6"/>
  <c r="BT847" i="6" s="1"/>
  <c r="BT850" i="6" s="1"/>
  <c r="F9" i="42464"/>
  <c r="G17" i="42464"/>
  <c r="W21" i="42455"/>
  <c r="P8" i="42471"/>
  <c r="L17" i="42474"/>
  <c r="L18" i="42459"/>
  <c r="Q9" i="42474"/>
  <c r="F9" i="42437"/>
  <c r="K20" i="42455"/>
  <c r="L24" i="42440"/>
  <c r="G21" i="42428"/>
  <c r="Z277" i="42290"/>
  <c r="C52" i="42464"/>
  <c r="L52" i="42464" s="1"/>
  <c r="K9" i="42464"/>
  <c r="IT887" i="42425"/>
  <c r="C50" i="42459"/>
  <c r="L50" i="42459" s="1"/>
  <c r="IS887" i="42425"/>
  <c r="U52" i="42425"/>
  <c r="W18" i="42471"/>
  <c r="DS334" i="42425"/>
  <c r="Q9" i="42464"/>
  <c r="K12" i="42473"/>
  <c r="Q13" i="42467"/>
  <c r="G15" i="42441"/>
  <c r="K8" i="42471"/>
  <c r="Q8" i="42459"/>
  <c r="K29" i="42461"/>
  <c r="G11" i="42442"/>
  <c r="L47" i="42461"/>
  <c r="L15" i="42441"/>
  <c r="K24" i="42440"/>
  <c r="R46" i="42425"/>
  <c r="T273" i="42290"/>
  <c r="G24" i="42451"/>
  <c r="Q18" i="42471"/>
  <c r="K29" i="42441"/>
  <c r="F8" i="42447"/>
  <c r="F13" i="42447" s="1"/>
  <c r="G9" i="42442"/>
  <c r="W17" i="42459"/>
  <c r="Q20" i="42471"/>
  <c r="K18" i="42471"/>
  <c r="K29" i="42432"/>
  <c r="F34" i="42468"/>
  <c r="G17" i="42443"/>
  <c r="G11" i="42450"/>
  <c r="BU269" i="42290"/>
  <c r="BU273" i="42290"/>
  <c r="CJ217" i="42425"/>
  <c r="CF217" i="42425"/>
  <c r="C48" i="42441"/>
  <c r="L48" i="42441" s="1"/>
  <c r="Y19" i="42474"/>
  <c r="BT217" i="42425"/>
  <c r="C48" i="42440"/>
  <c r="L48" i="42440" s="1"/>
  <c r="G9" i="42440"/>
  <c r="G16" i="42443"/>
  <c r="F16" i="42443"/>
  <c r="L8" i="42461"/>
  <c r="F8" i="42461"/>
  <c r="D51" i="42473"/>
  <c r="Y17" i="42473"/>
  <c r="K8" i="42454"/>
  <c r="F8" i="42454"/>
  <c r="Y17" i="42468"/>
  <c r="D51" i="42468"/>
  <c r="G17" i="42447"/>
  <c r="D47" i="42447"/>
  <c r="G47" i="42447" s="1"/>
  <c r="F17" i="42447"/>
  <c r="G18" i="42464"/>
  <c r="D52" i="42464"/>
  <c r="G52" i="42464" s="1"/>
  <c r="D54" i="42475"/>
  <c r="Y18" i="42475"/>
  <c r="Y17" i="42467"/>
  <c r="F8" i="42467"/>
  <c r="K8" i="42464"/>
  <c r="P8" i="42464"/>
  <c r="Q8" i="42464"/>
  <c r="G8" i="42464"/>
  <c r="P18" i="42455"/>
  <c r="L18" i="42455"/>
  <c r="Q18" i="42464"/>
  <c r="K18" i="42464"/>
  <c r="P18" i="42464"/>
  <c r="F18" i="42447"/>
  <c r="G18" i="42447"/>
  <c r="G22" i="42474"/>
  <c r="AU33" i="42290"/>
  <c r="AS33" i="42290" s="1"/>
  <c r="AU29" i="42290"/>
  <c r="AK33" i="42290"/>
  <c r="AK30" i="42290"/>
  <c r="AH30" i="42290" s="1"/>
  <c r="AK29" i="42290"/>
  <c r="AI29" i="42290" s="1"/>
  <c r="AA30" i="42290"/>
  <c r="AA32" i="42290"/>
  <c r="Y32" i="42290" s="1"/>
  <c r="Q31" i="42290"/>
  <c r="Q29" i="42290"/>
  <c r="Q32" i="42290"/>
  <c r="Q131" i="42290"/>
  <c r="N131" i="42290" s="1"/>
  <c r="Q134" i="42290"/>
  <c r="P134" i="42290" s="1"/>
  <c r="Q135" i="42290"/>
  <c r="O135" i="42290" s="1"/>
  <c r="K35" i="42464"/>
  <c r="F35" i="42464"/>
  <c r="K29" i="42440"/>
  <c r="G29" i="42440"/>
  <c r="K34" i="42474"/>
  <c r="G34" i="42474"/>
  <c r="BX152" i="42425"/>
  <c r="BX154" i="42425" s="1"/>
  <c r="BL154" i="42425"/>
  <c r="L24" i="42471"/>
  <c r="K24" i="42471"/>
  <c r="L40" i="42461"/>
  <c r="K40" i="42461"/>
  <c r="U282" i="42290"/>
  <c r="U288" i="42290" s="1"/>
  <c r="S282" i="42290"/>
  <c r="S288" i="42290" s="1"/>
  <c r="BL277" i="42290"/>
  <c r="BL273" i="42290"/>
  <c r="BG277" i="42290"/>
  <c r="BG273" i="42290"/>
  <c r="BD269" i="42290"/>
  <c r="BD273" i="42290"/>
  <c r="BB269" i="42290"/>
  <c r="BB277" i="42290"/>
  <c r="AW273" i="42290"/>
  <c r="AW269" i="42290"/>
  <c r="AT273" i="42290"/>
  <c r="AT269" i="42290"/>
  <c r="AR277" i="42290"/>
  <c r="AR269" i="42290"/>
  <c r="AO277" i="42290"/>
  <c r="AO269" i="42290"/>
  <c r="AM269" i="42290"/>
  <c r="AM277" i="42290"/>
  <c r="AM273" i="42290"/>
  <c r="AH273" i="42290"/>
  <c r="AH269" i="42290"/>
  <c r="AC273" i="42290"/>
  <c r="AC269" i="42290"/>
  <c r="X273" i="42290"/>
  <c r="X269" i="42290"/>
  <c r="R273" i="42290"/>
  <c r="R277" i="42290"/>
  <c r="M277" i="42290"/>
  <c r="M269" i="42290"/>
  <c r="M284" i="42290"/>
  <c r="N284" i="42290" s="1"/>
  <c r="O284" i="42290" s="1"/>
  <c r="P284" i="42290" s="1"/>
  <c r="Q284" i="42290" s="1"/>
  <c r="R284" i="42290" s="1"/>
  <c r="S284" i="42290" s="1"/>
  <c r="T284" i="42290" s="1"/>
  <c r="U284" i="42290" s="1"/>
  <c r="V284" i="42290" s="1"/>
  <c r="W284" i="42290" s="1"/>
  <c r="X284" i="42290" s="1"/>
  <c r="Y284" i="42290" s="1"/>
  <c r="Z284" i="42290" s="1"/>
  <c r="AA284" i="42290" s="1"/>
  <c r="AB284" i="42290" s="1"/>
  <c r="AC284" i="42290" s="1"/>
  <c r="AD284" i="42290" s="1"/>
  <c r="AE284" i="42290" s="1"/>
  <c r="AF284" i="42290" s="1"/>
  <c r="AG284" i="42290" s="1"/>
  <c r="AH284" i="42290" s="1"/>
  <c r="AI284" i="42290" s="1"/>
  <c r="AJ284" i="42290" s="1"/>
  <c r="AK284" i="42290" s="1"/>
  <c r="AL284" i="42290" s="1"/>
  <c r="AM284" i="42290" s="1"/>
  <c r="AN284" i="42290" s="1"/>
  <c r="AO284" i="42290" s="1"/>
  <c r="AP284" i="42290" s="1"/>
  <c r="AQ284" i="42290" s="1"/>
  <c r="AR284" i="42290" s="1"/>
  <c r="AS284" i="42290" s="1"/>
  <c r="AT284" i="42290" s="1"/>
  <c r="AU284" i="42290" s="1"/>
  <c r="AV284" i="42290" s="1"/>
  <c r="AW284" i="42290" s="1"/>
  <c r="AX284" i="42290" s="1"/>
  <c r="AY284" i="42290" s="1"/>
  <c r="AZ284" i="42290" s="1"/>
  <c r="BA284" i="42290" s="1"/>
  <c r="BB284" i="42290" s="1"/>
  <c r="BC284" i="42290" s="1"/>
  <c r="BD284" i="42290" s="1"/>
  <c r="BE284" i="42290" s="1"/>
  <c r="BF284" i="42290" s="1"/>
  <c r="BG284" i="42290" s="1"/>
  <c r="BH284" i="42290" s="1"/>
  <c r="BI284" i="42290" s="1"/>
  <c r="BJ284" i="42290" s="1"/>
  <c r="BK284" i="42290" s="1"/>
  <c r="BL284" i="42290" s="1"/>
  <c r="BM284" i="42290" s="1"/>
  <c r="BN284" i="42290" s="1"/>
  <c r="BO284" i="42290" s="1"/>
  <c r="BP284" i="42290" s="1"/>
  <c r="BQ284" i="42290" s="1"/>
  <c r="BR284" i="42290" s="1"/>
  <c r="BS284" i="42290" s="1"/>
  <c r="BT284" i="42290" s="1"/>
  <c r="BU284" i="42290" s="1"/>
  <c r="BV284" i="42290" s="1"/>
  <c r="BW284" i="42290" s="1"/>
  <c r="BX284" i="42290" s="1"/>
  <c r="BY284" i="42290" s="1"/>
  <c r="BZ284" i="42290" s="1"/>
  <c r="CA284" i="42290" s="1"/>
  <c r="CB284" i="42290" s="1"/>
  <c r="H277" i="42290"/>
  <c r="H269" i="42290"/>
  <c r="E273" i="42290"/>
  <c r="E269" i="42290"/>
  <c r="H130" i="42290"/>
  <c r="H133" i="42290"/>
  <c r="H134" i="42290"/>
  <c r="L21" i="42452"/>
  <c r="K21" i="42452"/>
  <c r="F11" i="42448"/>
  <c r="G11" i="42448"/>
  <c r="G28" i="42442"/>
  <c r="F28" i="42442"/>
  <c r="L34" i="42440"/>
  <c r="K34" i="42440"/>
  <c r="F34" i="42432"/>
  <c r="L34" i="42432"/>
  <c r="P13" i="42467"/>
  <c r="K13" i="42467"/>
  <c r="L9" i="42441"/>
  <c r="D46" i="42448"/>
  <c r="G46" i="42448" s="1"/>
  <c r="Q20" i="42461"/>
  <c r="CF263" i="42425"/>
  <c r="L8" i="42464"/>
  <c r="L24" i="42432"/>
  <c r="AA132" i="42434"/>
  <c r="L29" i="42428"/>
  <c r="F12" i="42464"/>
  <c r="C47" i="42441"/>
  <c r="L47" i="42441" s="1"/>
  <c r="K11" i="42432"/>
  <c r="H135" i="42290"/>
  <c r="H132" i="42290"/>
  <c r="P282" i="42290"/>
  <c r="P288" i="42290" s="1"/>
  <c r="BI273" i="42290"/>
  <c r="J284" i="42290"/>
  <c r="W18" i="42464"/>
  <c r="AK32" i="42290"/>
  <c r="AJ32" i="42290" s="1"/>
  <c r="Q33" i="42290"/>
  <c r="P33" i="42290" s="1"/>
  <c r="G32" i="42290"/>
  <c r="F18" i="42467"/>
  <c r="K8" i="42441"/>
  <c r="K12" i="42441" s="1"/>
  <c r="C43" i="42428"/>
  <c r="L43" i="42428" s="1"/>
  <c r="F36" i="42448"/>
  <c r="G28" i="42475"/>
  <c r="L35" i="42473"/>
  <c r="K34" i="42432"/>
  <c r="K17" i="42468"/>
  <c r="F17" i="42468"/>
  <c r="U40" i="42425"/>
  <c r="U42" i="42425" s="1"/>
  <c r="T40" i="42425"/>
  <c r="T42" i="42425" s="1"/>
  <c r="T43" i="42425" s="1"/>
  <c r="CB263" i="42425"/>
  <c r="W19" i="42455"/>
  <c r="H284" i="42290"/>
  <c r="AW277" i="42290"/>
  <c r="R269" i="42290"/>
  <c r="M273" i="42290"/>
  <c r="G32" i="42461"/>
  <c r="BB273" i="42290"/>
  <c r="G35" i="42473"/>
  <c r="F8" i="42474"/>
  <c r="F24" i="42437"/>
  <c r="F30" i="42464"/>
  <c r="D51" i="42467"/>
  <c r="BX217" i="42425"/>
  <c r="Y18" i="42468"/>
  <c r="W18" i="42459"/>
  <c r="CW299" i="42425"/>
  <c r="DT334" i="42425"/>
  <c r="G32" i="42454"/>
  <c r="G24" i="42440"/>
  <c r="G21" i="42464"/>
  <c r="Y18" i="42455"/>
  <c r="G17" i="42475"/>
  <c r="G29" i="42475"/>
  <c r="F12" i="42474"/>
  <c r="G28" i="42471"/>
  <c r="G37" i="42461"/>
  <c r="G21" i="42461"/>
  <c r="G12" i="42461"/>
  <c r="G32" i="42459"/>
  <c r="G27" i="42459"/>
  <c r="F40" i="42455"/>
  <c r="G28" i="42455"/>
  <c r="AL18" i="42446"/>
  <c r="X18" i="42446"/>
  <c r="CH17" i="42446"/>
  <c r="BV17" i="42446"/>
  <c r="J17" i="42446"/>
  <c r="X16" i="42446"/>
  <c r="J14" i="42446"/>
  <c r="BV12" i="42446"/>
  <c r="J12" i="42446"/>
  <c r="X11" i="42446"/>
  <c r="AX15" i="42446"/>
  <c r="X9" i="42446"/>
  <c r="AP171" i="42290"/>
  <c r="F30" i="42452"/>
  <c r="G26" i="42452"/>
  <c r="S39" i="42446"/>
  <c r="AG30" i="42446"/>
  <c r="AG49" i="42446" s="1"/>
  <c r="BQ29" i="42446"/>
  <c r="AU29" i="42446"/>
  <c r="BQ17" i="42446"/>
  <c r="AG16" i="42446"/>
  <c r="AG52" i="42446" s="1"/>
  <c r="AD60" i="42446"/>
  <c r="AG50" i="42446"/>
  <c r="AG61" i="42446"/>
  <c r="AU23" i="42446"/>
  <c r="AU37" i="42446" s="1"/>
  <c r="AT27" i="42446"/>
  <c r="C57" i="42446"/>
  <c r="AE20" i="42446"/>
  <c r="AE55" i="42446" s="1"/>
  <c r="CA39" i="42446"/>
  <c r="BO39" i="42446"/>
  <c r="AT39" i="42446"/>
  <c r="BZ37" i="42446"/>
  <c r="AT36" i="42446"/>
  <c r="BN35" i="42446"/>
  <c r="AS35" i="42446"/>
  <c r="AF20" i="42446"/>
  <c r="BG917" i="6"/>
  <c r="BG918" i="6" s="1"/>
  <c r="BD696" i="6"/>
  <c r="U96" i="42290"/>
  <c r="U98" i="42290" s="1"/>
  <c r="U100" i="42290" s="1"/>
  <c r="AA451" i="6"/>
  <c r="V447" i="6"/>
  <c r="V495" i="6" s="1"/>
  <c r="V496" i="6" s="1"/>
  <c r="V497" i="6" s="1"/>
  <c r="AW414" i="6"/>
  <c r="AW477" i="6" s="1"/>
  <c r="AX393" i="6"/>
  <c r="AY362" i="6"/>
  <c r="P17" i="42461"/>
  <c r="K17" i="42461"/>
  <c r="L17" i="42461"/>
  <c r="Q17" i="42461"/>
  <c r="C50" i="42461"/>
  <c r="L50" i="42461" s="1"/>
  <c r="W17" i="42461"/>
  <c r="G16" i="42450"/>
  <c r="F16" i="42450"/>
  <c r="L15" i="42432"/>
  <c r="C47" i="42432"/>
  <c r="L47" i="42432" s="1"/>
  <c r="G15" i="42432"/>
  <c r="AR22" i="6"/>
  <c r="K9" i="42432"/>
  <c r="L9" i="42432"/>
  <c r="BM808" i="6"/>
  <c r="BM867" i="6" s="1"/>
  <c r="BM793" i="6"/>
  <c r="BT1110" i="6"/>
  <c r="BU1110" i="6" s="1"/>
  <c r="BS1167" i="6"/>
  <c r="BU1166" i="6" s="1"/>
  <c r="BE1191" i="6"/>
  <c r="BF1191" i="6" s="1"/>
  <c r="DA1191" i="6" s="1"/>
  <c r="I1097" i="6"/>
  <c r="J1097" i="6" s="1"/>
  <c r="CQ1097" i="6"/>
  <c r="AY1149" i="6"/>
  <c r="AZ1093" i="6"/>
  <c r="BA1093" i="6" s="1"/>
  <c r="AR1351" i="6"/>
  <c r="C50" i="42457"/>
  <c r="BB154" i="6"/>
  <c r="BB1351" i="6"/>
  <c r="M50" i="42457"/>
  <c r="Z945" i="6"/>
  <c r="Z944" i="6"/>
  <c r="BP1158" i="6"/>
  <c r="DC1158" i="6" s="1"/>
  <c r="EP596" i="42458"/>
  <c r="EQ595" i="42458"/>
  <c r="AF70" i="6"/>
  <c r="AH1095" i="6"/>
  <c r="L8" i="42454"/>
  <c r="AX363" i="6"/>
  <c r="CD894" i="6"/>
  <c r="BG1351" i="6"/>
  <c r="AE123" i="6"/>
  <c r="W894" i="6"/>
  <c r="CT894" i="6" s="1"/>
  <c r="AO631" i="6"/>
  <c r="T505" i="6"/>
  <c r="AR945" i="6"/>
  <c r="K12" i="42459"/>
  <c r="F13" i="42467"/>
  <c r="F16" i="42448"/>
  <c r="D47" i="42450"/>
  <c r="G47" i="42450" s="1"/>
  <c r="G17" i="42468"/>
  <c r="Q17" i="42468"/>
  <c r="C53" i="42474"/>
  <c r="L53" i="42474" s="1"/>
  <c r="IR887" i="42425"/>
  <c r="AS197" i="42290"/>
  <c r="P8" i="42461"/>
  <c r="G8" i="42461"/>
  <c r="AU195" i="42290"/>
  <c r="AU199" i="42290" s="1"/>
  <c r="F17" i="42475"/>
  <c r="P8" i="42459"/>
  <c r="L8" i="42459"/>
  <c r="L8" i="42432"/>
  <c r="W17" i="42464"/>
  <c r="Q17" i="42474"/>
  <c r="IQ887" i="42425"/>
  <c r="C44" i="42428"/>
  <c r="L44" i="42428" s="1"/>
  <c r="W18" i="42474"/>
  <c r="F9" i="42455"/>
  <c r="F9" i="42440"/>
  <c r="F21" i="42461"/>
  <c r="G30" i="42475"/>
  <c r="F23" i="42452"/>
  <c r="K26" i="42452"/>
  <c r="F38" i="42471"/>
  <c r="F13" i="42473"/>
  <c r="F48" i="42473"/>
  <c r="F35" i="42474"/>
  <c r="L18" i="42474"/>
  <c r="P18" i="42474"/>
  <c r="K30" i="42475"/>
  <c r="F29" i="42440"/>
  <c r="F35" i="42452"/>
  <c r="K40" i="42459"/>
  <c r="F33" i="42455"/>
  <c r="F35" i="42475"/>
  <c r="F25" i="42448"/>
  <c r="K21" i="42428"/>
  <c r="AA25" i="42457"/>
  <c r="K10" i="42475"/>
  <c r="G9" i="42455"/>
  <c r="AN631" i="6"/>
  <c r="CC217" i="42425"/>
  <c r="F8" i="42441"/>
  <c r="C12" i="42428"/>
  <c r="L12" i="42428" s="1"/>
  <c r="F24" i="42441"/>
  <c r="CX11" i="6"/>
  <c r="AO414" i="6"/>
  <c r="AO477" i="6" s="1"/>
  <c r="AZ471" i="6"/>
  <c r="G29" i="42432"/>
  <c r="L426" i="6"/>
  <c r="L20" i="42471"/>
  <c r="K20" i="42471"/>
  <c r="F8" i="42443"/>
  <c r="K8" i="42461"/>
  <c r="P10" i="42464"/>
  <c r="G31" i="42437"/>
  <c r="AN288" i="6"/>
  <c r="BD965" i="6"/>
  <c r="BK1342" i="6"/>
  <c r="X970" i="6"/>
  <c r="X974" i="6" s="1"/>
  <c r="CY1124" i="6"/>
  <c r="D46" i="42451"/>
  <c r="G46" i="42451" s="1"/>
  <c r="F38" i="42464"/>
  <c r="L50" i="42475"/>
  <c r="P17" i="42475"/>
  <c r="AR410" i="6"/>
  <c r="AR473" i="6" s="1"/>
  <c r="BJ107" i="6"/>
  <c r="BJ110" i="6" s="1"/>
  <c r="F1154" i="6"/>
  <c r="T944" i="6"/>
  <c r="I942" i="6"/>
  <c r="AZ1096" i="6"/>
  <c r="AZ1152" i="6" s="1"/>
  <c r="BC1351" i="6"/>
  <c r="AT945" i="6"/>
  <c r="AO999" i="6"/>
  <c r="BI788" i="6"/>
  <c r="BI794" i="6" s="1"/>
  <c r="BI796" i="6" s="1"/>
  <c r="BM785" i="6"/>
  <c r="BL867" i="6"/>
  <c r="AU134" i="42290"/>
  <c r="AS134" i="42290" s="1"/>
  <c r="AY1151" i="6"/>
  <c r="AM414" i="6"/>
  <c r="AM477" i="6" s="1"/>
  <c r="AF451" i="6"/>
  <c r="AJ21" i="6"/>
  <c r="AF127" i="6"/>
  <c r="BP1168" i="6"/>
  <c r="BQ1168" i="6" s="1"/>
  <c r="AK33" i="6"/>
  <c r="AP35" i="6" s="1"/>
  <c r="N50" i="42457"/>
  <c r="AJ877" i="6"/>
  <c r="AC505" i="6"/>
  <c r="AY1150" i="6"/>
  <c r="L23" i="42455"/>
  <c r="AB973" i="6"/>
  <c r="CU973" i="6" s="1"/>
  <c r="AI1178" i="6"/>
  <c r="AV888" i="6"/>
  <c r="CY888" i="6" s="1"/>
  <c r="BO1155" i="6"/>
  <c r="AT728" i="6"/>
  <c r="P884" i="6"/>
  <c r="P894" i="6" s="1"/>
  <c r="I154" i="6"/>
  <c r="AP928" i="6"/>
  <c r="AS965" i="6"/>
  <c r="BC945" i="6"/>
  <c r="BM599" i="6"/>
  <c r="BG774" i="6"/>
  <c r="BH774" i="6"/>
  <c r="BE878" i="6"/>
  <c r="BE888" i="6" s="1"/>
  <c r="BE889" i="6" s="1"/>
  <c r="AI1154" i="6"/>
  <c r="Z884" i="6"/>
  <c r="Z894" i="6" s="1"/>
  <c r="Z895" i="6" s="1"/>
  <c r="CZ877" i="6"/>
  <c r="CW391" i="6"/>
  <c r="G29" i="42473"/>
  <c r="K40" i="42474"/>
  <c r="BG477" i="6"/>
  <c r="BB796" i="6"/>
  <c r="AS713" i="6"/>
  <c r="R1149" i="6"/>
  <c r="CS1149" i="6" s="1"/>
  <c r="AQ1156" i="6"/>
  <c r="CX1156" i="6" s="1"/>
  <c r="AH130" i="6"/>
  <c r="AX172" i="6"/>
  <c r="BG850" i="6"/>
  <c r="BG853" i="6" s="1"/>
  <c r="BG856" i="6" s="1"/>
  <c r="AY100" i="42425"/>
  <c r="F13" i="42474"/>
  <c r="G34" i="42441"/>
  <c r="N110" i="6"/>
  <c r="BB110" i="6"/>
  <c r="BD110" i="6"/>
  <c r="AI107" i="6"/>
  <c r="AI110" i="6" s="1"/>
  <c r="AN107" i="6"/>
  <c r="AN110" i="6" s="1"/>
  <c r="BJ531" i="6"/>
  <c r="BK531" i="6" s="1"/>
  <c r="Z1007" i="6"/>
  <c r="AI172" i="6"/>
  <c r="AS172" i="6"/>
  <c r="L12" i="42464"/>
  <c r="BD666" i="6"/>
  <c r="O965" i="6"/>
  <c r="Q965" i="6"/>
  <c r="E110" i="6"/>
  <c r="CS298" i="42425"/>
  <c r="DE298" i="42425" s="1"/>
  <c r="DE299" i="42425" s="1"/>
  <c r="AY172" i="6"/>
  <c r="L505" i="6"/>
  <c r="W503" i="6"/>
  <c r="CT503" i="6" s="1"/>
  <c r="AK965" i="6"/>
  <c r="Z965" i="6"/>
  <c r="L17" i="42459"/>
  <c r="AX1149" i="6"/>
  <c r="AN128" i="6"/>
  <c r="AI128" i="6"/>
  <c r="BU217" i="42425"/>
  <c r="BY263" i="42425"/>
  <c r="AI21" i="6"/>
  <c r="AN21" i="6"/>
  <c r="AS22" i="6" s="1"/>
  <c r="C54" i="42474"/>
  <c r="L54" i="42474" s="1"/>
  <c r="BA77" i="6"/>
  <c r="AH1154" i="6"/>
  <c r="D19" i="42451"/>
  <c r="D49" i="42451" s="1"/>
  <c r="G49" i="42451" s="1"/>
  <c r="N123" i="6"/>
  <c r="AJ505" i="6"/>
  <c r="P277" i="42290"/>
  <c r="BS269" i="42290"/>
  <c r="BS279" i="42290" s="1"/>
  <c r="AN694" i="6"/>
  <c r="K929" i="6"/>
  <c r="K120" i="6"/>
  <c r="BD788" i="6"/>
  <c r="CY302" i="42425"/>
  <c r="CY303" i="42425" s="1"/>
  <c r="BE695" i="6"/>
  <c r="BE696" i="6" s="1"/>
  <c r="CX877" i="6"/>
  <c r="BB878" i="6"/>
  <c r="BB888" i="6" s="1"/>
  <c r="L929" i="6"/>
  <c r="G937" i="6"/>
  <c r="G958" i="6"/>
  <c r="G965" i="6" s="1"/>
  <c r="DA881" i="6"/>
  <c r="DB982" i="6"/>
  <c r="F24" i="42450"/>
  <c r="P929" i="6"/>
  <c r="P1007" i="6"/>
  <c r="P937" i="6"/>
  <c r="T1007" i="6"/>
  <c r="S958" i="6"/>
  <c r="S965" i="6" s="1"/>
  <c r="V1006" i="6"/>
  <c r="U929" i="6"/>
  <c r="Y1006" i="6"/>
  <c r="AA1007" i="6"/>
  <c r="AB1007" i="6" s="1"/>
  <c r="CU1007" i="6" s="1"/>
  <c r="Z929" i="6"/>
  <c r="BV254" i="42425" s="1"/>
  <c r="AC1007" i="6"/>
  <c r="AC958" i="6"/>
  <c r="AC965" i="6" s="1"/>
  <c r="AC154" i="6" s="1"/>
  <c r="AF1006" i="6"/>
  <c r="AE929" i="6"/>
  <c r="BZ254" i="42425" s="1"/>
  <c r="AH958" i="6"/>
  <c r="L28" i="42474"/>
  <c r="L10" i="42468"/>
  <c r="AC110" i="6"/>
  <c r="AH110" i="6"/>
  <c r="AJ110" i="6"/>
  <c r="AP106" i="42450"/>
  <c r="AS107" i="6"/>
  <c r="AS110" i="6" s="1"/>
  <c r="AS51" i="6"/>
  <c r="D8" i="42457" s="1"/>
  <c r="D46" i="42457" s="1"/>
  <c r="AR116" i="42475"/>
  <c r="AR114" i="42461"/>
  <c r="C17" i="42455"/>
  <c r="K17" i="42455" s="1"/>
  <c r="AX127" i="6"/>
  <c r="BL793" i="6"/>
  <c r="N1006" i="6"/>
  <c r="S1007" i="6"/>
  <c r="AG883" i="6"/>
  <c r="K13" i="42474"/>
  <c r="AL405" i="6"/>
  <c r="CW405" i="6" s="1"/>
  <c r="I1007" i="6"/>
  <c r="K1006" i="6"/>
  <c r="K1007" i="6"/>
  <c r="N1007" i="6"/>
  <c r="U1007" i="6"/>
  <c r="U1006" i="6"/>
  <c r="BE979" i="6"/>
  <c r="BE1006" i="6" s="1"/>
  <c r="BC878" i="6"/>
  <c r="BC888" i="6" s="1"/>
  <c r="BC889" i="6" s="1"/>
  <c r="BB1230" i="6"/>
  <c r="AE928" i="6"/>
  <c r="AC937" i="6"/>
  <c r="F24" i="42468"/>
  <c r="L24" i="42473"/>
  <c r="G29" i="42468"/>
  <c r="BD840" i="6"/>
  <c r="BD867" i="6" s="1"/>
  <c r="N937" i="6"/>
  <c r="N970" i="6" s="1"/>
  <c r="N974" i="6" s="1"/>
  <c r="N929" i="6"/>
  <c r="S937" i="6"/>
  <c r="S938" i="6" s="1"/>
  <c r="S929" i="6"/>
  <c r="BV258" i="42425"/>
  <c r="BV259" i="42425" s="1"/>
  <c r="BX258" i="42425"/>
  <c r="BX262" i="42425" s="1"/>
  <c r="X1007" i="6"/>
  <c r="BZ258" i="42425"/>
  <c r="AC1006" i="6"/>
  <c r="AC929" i="6"/>
  <c r="BX254" i="42425" s="1"/>
  <c r="AF1007" i="6"/>
  <c r="AG1007" i="6" s="1"/>
  <c r="CV1007" i="6" s="1"/>
  <c r="CF258" i="42425"/>
  <c r="AH120" i="6"/>
  <c r="AH937" i="6"/>
  <c r="AH938" i="6" s="1"/>
  <c r="G1151" i="6"/>
  <c r="H1151" i="6" s="1"/>
  <c r="CQ1151" i="6" s="1"/>
  <c r="BG1100" i="6"/>
  <c r="DD1054" i="6"/>
  <c r="AW1154" i="6"/>
  <c r="K38" i="42464"/>
  <c r="BE986" i="6"/>
  <c r="G11" i="42443"/>
  <c r="AR115" i="42464"/>
  <c r="AR115" i="42468"/>
  <c r="IM887" i="42425"/>
  <c r="F10" i="42468"/>
  <c r="CG257" i="42425"/>
  <c r="C17" i="42452"/>
  <c r="L17" i="42452" s="1"/>
  <c r="C17" i="42467"/>
  <c r="C51" i="42467" s="1"/>
  <c r="L51" i="42467" s="1"/>
  <c r="CI257" i="42425"/>
  <c r="CI262" i="42425" s="1"/>
  <c r="C15" i="42440"/>
  <c r="C47" i="42440" s="1"/>
  <c r="L47" i="42440" s="1"/>
  <c r="AW363" i="6"/>
  <c r="S505" i="6"/>
  <c r="AE505" i="6"/>
  <c r="AT520" i="6"/>
  <c r="AT521" i="6" s="1"/>
  <c r="CY362" i="6"/>
  <c r="AB503" i="6"/>
  <c r="Z505" i="6"/>
  <c r="AT505" i="6"/>
  <c r="AL503" i="6"/>
  <c r="BE172" i="6"/>
  <c r="BK141" i="6"/>
  <c r="DB141" i="6" s="1"/>
  <c r="AW370" i="6"/>
  <c r="AD880" i="6"/>
  <c r="AD884" i="6" s="1"/>
  <c r="AD894" i="6" s="1"/>
  <c r="P12" i="42468"/>
  <c r="Q12" i="42468"/>
  <c r="BM107" i="6"/>
  <c r="BM110" i="6" s="1"/>
  <c r="BF1200" i="6"/>
  <c r="DA1200" i="6" s="1"/>
  <c r="AP1190" i="6"/>
  <c r="BI776" i="6"/>
  <c r="EP595" i="42458"/>
  <c r="Q191" i="6"/>
  <c r="Q200" i="6" s="1"/>
  <c r="AU127" i="6"/>
  <c r="M25" i="42457"/>
  <c r="I25" i="42457"/>
  <c r="X12" i="42446"/>
  <c r="BV11" i="42446"/>
  <c r="BV9" i="42446"/>
  <c r="J9" i="42446"/>
  <c r="G22" i="42441"/>
  <c r="G27" i="42440"/>
  <c r="F11" i="42440"/>
  <c r="F27" i="42432"/>
  <c r="F22" i="42432"/>
  <c r="F28" i="42428"/>
  <c r="T333" i="6"/>
  <c r="T334" i="6" s="1"/>
  <c r="AQ27" i="6"/>
  <c r="CX27" i="6" s="1"/>
  <c r="X333" i="6"/>
  <c r="W753" i="6"/>
  <c r="CT753" i="6" s="1"/>
  <c r="CT333" i="6"/>
  <c r="H1032" i="6"/>
  <c r="H1207" i="6" s="1"/>
  <c r="CQ1207" i="6" s="1"/>
  <c r="AC334" i="6"/>
  <c r="AD333" i="6"/>
  <c r="AD753" i="6" s="1"/>
  <c r="R1343" i="6"/>
  <c r="E35" i="42453"/>
  <c r="CS87" i="6"/>
  <c r="BL1165" i="6"/>
  <c r="BL1273" i="6" s="1"/>
  <c r="BM1108" i="6"/>
  <c r="BM1165" i="6" s="1"/>
  <c r="BM1273" i="6" s="1"/>
  <c r="BS1341" i="6"/>
  <c r="BS114" i="6"/>
  <c r="BS119" i="6" s="1"/>
  <c r="BE606" i="6"/>
  <c r="BE608" i="6" s="1"/>
  <c r="BE610" i="6" s="1"/>
  <c r="AZ608" i="6"/>
  <c r="N172" i="6"/>
  <c r="CR1124" i="6"/>
  <c r="BG172" i="6"/>
  <c r="Q43" i="42457"/>
  <c r="AX1186" i="6"/>
  <c r="BC1186" i="6" s="1"/>
  <c r="BH1186" i="6" s="1"/>
  <c r="BM1186" i="6" s="1"/>
  <c r="BR1186" i="6" s="1"/>
  <c r="BW1186" i="6" s="1"/>
  <c r="AT1186" i="6"/>
  <c r="J308" i="6"/>
  <c r="J26" i="6"/>
  <c r="AF973" i="6"/>
  <c r="AF972" i="6" s="1"/>
  <c r="AE972" i="6"/>
  <c r="AJ928" i="6"/>
  <c r="Q1024" i="6"/>
  <c r="P137" i="6"/>
  <c r="CU333" i="6"/>
  <c r="AB753" i="6"/>
  <c r="CU753" i="6" s="1"/>
  <c r="AG333" i="6"/>
  <c r="U1199" i="6"/>
  <c r="U143" i="6" s="1"/>
  <c r="V170" i="6"/>
  <c r="W170" i="6" s="1"/>
  <c r="BK321" i="6"/>
  <c r="BK323" i="6"/>
  <c r="AY291" i="6"/>
  <c r="AZ292" i="6" s="1"/>
  <c r="AX292" i="6"/>
  <c r="CS891" i="6"/>
  <c r="R892" i="6"/>
  <c r="CS892" i="6" s="1"/>
  <c r="F154" i="6"/>
  <c r="F1351" i="6"/>
  <c r="BA1198" i="6"/>
  <c r="CZ1198" i="6" s="1"/>
  <c r="AW1207" i="6"/>
  <c r="CB1279" i="6"/>
  <c r="DG1279" i="6" s="1"/>
  <c r="DF1279" i="6"/>
  <c r="DD1056" i="6"/>
  <c r="AU1188" i="6"/>
  <c r="AV1188" i="6" s="1"/>
  <c r="CY1188" i="6" s="1"/>
  <c r="AY1188" i="6"/>
  <c r="BD1188" i="6" s="1"/>
  <c r="BI1188" i="6" s="1"/>
  <c r="BN1188" i="6" s="1"/>
  <c r="AR1142" i="6"/>
  <c r="AV1142" i="6" s="1"/>
  <c r="CY1142" i="6" s="1"/>
  <c r="DB881" i="6"/>
  <c r="N101" i="42458"/>
  <c r="AW410" i="6"/>
  <c r="K17" i="42459"/>
  <c r="Q8" i="42461"/>
  <c r="AZ1150" i="6"/>
  <c r="BA1150" i="6" s="1"/>
  <c r="CZ1150" i="6" s="1"/>
  <c r="E123" i="6"/>
  <c r="BJ1025" i="6"/>
  <c r="BJ138" i="6" s="1"/>
  <c r="D19" i="42441"/>
  <c r="D46" i="42441" s="1"/>
  <c r="G17" i="42473"/>
  <c r="O201" i="6"/>
  <c r="F1096" i="6"/>
  <c r="BP298" i="6"/>
  <c r="K149" i="6"/>
  <c r="CV39" i="6"/>
  <c r="HK823" i="42425" s="1"/>
  <c r="U1023" i="6"/>
  <c r="BI1023" i="6"/>
  <c r="AB1031" i="6"/>
  <c r="CU1031" i="6" s="1"/>
  <c r="E1035" i="6"/>
  <c r="P1032" i="6"/>
  <c r="P1035" i="6" s="1"/>
  <c r="E1063" i="6"/>
  <c r="F1063" i="6" s="1"/>
  <c r="F1064" i="6" s="1"/>
  <c r="F1066" i="6" s="1"/>
  <c r="O137" i="6"/>
  <c r="AL1163" i="6"/>
  <c r="CW1163" i="6" s="1"/>
  <c r="BJ1040" i="6"/>
  <c r="BK1040" i="6" s="1"/>
  <c r="BK1333" i="6" s="1"/>
  <c r="DB1333" i="6" s="1"/>
  <c r="P51" i="6"/>
  <c r="P55" i="6" s="1"/>
  <c r="P56" i="6" s="1"/>
  <c r="L191" i="6"/>
  <c r="L200" i="6" s="1"/>
  <c r="G191" i="6"/>
  <c r="G200" i="6" s="1"/>
  <c r="M190" i="6"/>
  <c r="N191" i="6" s="1"/>
  <c r="N200" i="6" s="1"/>
  <c r="BB687" i="6"/>
  <c r="BD799" i="6"/>
  <c r="BD913" i="6" s="1"/>
  <c r="BD914" i="6" s="1"/>
  <c r="AX410" i="6"/>
  <c r="AX473" i="6" s="1"/>
  <c r="CX1086" i="6"/>
  <c r="U22" i="6"/>
  <c r="BG333" i="6"/>
  <c r="U141" i="6"/>
  <c r="G9" i="42447"/>
  <c r="U33" i="6"/>
  <c r="U34" i="6" s="1"/>
  <c r="R878" i="6"/>
  <c r="CS878" i="6" s="1"/>
  <c r="AS565" i="6"/>
  <c r="F8" i="42451"/>
  <c r="Z938" i="6"/>
  <c r="BD1199" i="6"/>
  <c r="BD143" i="6" s="1"/>
  <c r="G1150" i="6"/>
  <c r="AH1094" i="6"/>
  <c r="AH1150" i="6" s="1"/>
  <c r="AF1150" i="6"/>
  <c r="Q1026" i="6"/>
  <c r="B42" i="42434"/>
  <c r="AV606" i="6"/>
  <c r="AO1023" i="6"/>
  <c r="K1033" i="6"/>
  <c r="K1035" i="6" s="1"/>
  <c r="AZ1099" i="6"/>
  <c r="AZ1155" i="6" s="1"/>
  <c r="BA1155" i="6" s="1"/>
  <c r="CZ1155" i="6" s="1"/>
  <c r="AV1016" i="6"/>
  <c r="AV968" i="6" s="1"/>
  <c r="CY968" i="6" s="1"/>
  <c r="AE1033" i="6"/>
  <c r="AL138" i="6"/>
  <c r="CW138" i="6" s="1"/>
  <c r="BC1035" i="6"/>
  <c r="AV1031" i="6"/>
  <c r="CY1031" i="6" s="1"/>
  <c r="AY1266" i="6"/>
  <c r="AY1268" i="6" s="1"/>
  <c r="E288" i="6"/>
  <c r="BK333" i="6"/>
  <c r="BP333" i="6" s="1"/>
  <c r="BU333" i="6" s="1"/>
  <c r="AL114" i="6"/>
  <c r="CW114" i="6" s="1"/>
  <c r="AX304" i="6"/>
  <c r="AG128" i="6"/>
  <c r="CV128" i="6" s="1"/>
  <c r="BF49" i="6"/>
  <c r="AE140" i="6"/>
  <c r="Z970" i="6"/>
  <c r="AG1187" i="6"/>
  <c r="CV1187" i="6" s="1"/>
  <c r="AH942" i="6"/>
  <c r="BE150" i="6"/>
  <c r="K1333" i="6"/>
  <c r="D23" i="42468"/>
  <c r="D25" i="42468" s="1"/>
  <c r="D32" i="42468" s="1"/>
  <c r="G8" i="42432"/>
  <c r="G8" i="42459"/>
  <c r="G8" i="42452"/>
  <c r="G29" i="42461"/>
  <c r="BA1033" i="6"/>
  <c r="CZ1033" i="6" s="1"/>
  <c r="BK1019" i="6"/>
  <c r="DB1019" i="6" s="1"/>
  <c r="Y1035" i="6"/>
  <c r="BG1157" i="6"/>
  <c r="BK1157" i="6" s="1"/>
  <c r="DB1157" i="6" s="1"/>
  <c r="AT1153" i="6"/>
  <c r="BB1187" i="6"/>
  <c r="AW1190" i="6"/>
  <c r="AV1335" i="6"/>
  <c r="AV1336" i="6" s="1"/>
  <c r="CY87" i="6"/>
  <c r="AJ1021" i="6"/>
  <c r="AX938" i="6"/>
  <c r="AP694" i="6"/>
  <c r="AP750" i="6" s="1"/>
  <c r="AQ630" i="6"/>
  <c r="V81" i="42457"/>
  <c r="N9" i="42453"/>
  <c r="G34" i="42454"/>
  <c r="F34" i="42454"/>
  <c r="B61" i="42434"/>
  <c r="CX78" i="6"/>
  <c r="M291" i="6"/>
  <c r="M753" i="6" s="1"/>
  <c r="CR753" i="6" s="1"/>
  <c r="L753" i="6"/>
  <c r="O50" i="42457"/>
  <c r="BD1351" i="6"/>
  <c r="AX48" i="6"/>
  <c r="BA48" i="6" s="1"/>
  <c r="L99" i="42458" s="1"/>
  <c r="AX952" i="6"/>
  <c r="BA952" i="6" s="1"/>
  <c r="AS1187" i="6"/>
  <c r="AR1190" i="6"/>
  <c r="K226" i="6"/>
  <c r="K291" i="6" s="1"/>
  <c r="J227" i="6"/>
  <c r="AQ1022" i="6"/>
  <c r="CX1022" i="6" s="1"/>
  <c r="AF140" i="6"/>
  <c r="AG1015" i="6"/>
  <c r="CV1015" i="6" s="1"/>
  <c r="BH576" i="6"/>
  <c r="K1042" i="6"/>
  <c r="BE1022" i="6"/>
  <c r="BE1041" i="6"/>
  <c r="BF1041" i="6" s="1"/>
  <c r="CT903" i="6"/>
  <c r="DB73" i="6"/>
  <c r="BK961" i="6"/>
  <c r="DB961" i="6" s="1"/>
  <c r="BC1042" i="6"/>
  <c r="DB903" i="6"/>
  <c r="BL680" i="6"/>
  <c r="BL684" i="6"/>
  <c r="U878" i="6"/>
  <c r="U888" i="6" s="1"/>
  <c r="W878" i="6"/>
  <c r="CT878" i="6" s="1"/>
  <c r="AX633" i="6"/>
  <c r="BS1145" i="6"/>
  <c r="BU1144" i="6" s="1"/>
  <c r="BT1089" i="6"/>
  <c r="BD154" i="6"/>
  <c r="AX944" i="6"/>
  <c r="BC145" i="6"/>
  <c r="U139" i="6"/>
  <c r="V1026" i="6"/>
  <c r="W1026" i="6" s="1"/>
  <c r="CT1026" i="6" s="1"/>
  <c r="R1336" i="6"/>
  <c r="CS78" i="6"/>
  <c r="V904" i="6"/>
  <c r="V897" i="6"/>
  <c r="J944" i="6"/>
  <c r="AY650" i="6"/>
  <c r="G360" i="6"/>
  <c r="G492" i="6" s="1"/>
  <c r="BG689" i="6"/>
  <c r="AK1176" i="6"/>
  <c r="AK1178" i="6" s="1"/>
  <c r="AL1178" i="6" s="1"/>
  <c r="CW1178" i="6" s="1"/>
  <c r="AR34" i="6"/>
  <c r="CU1124" i="6"/>
  <c r="CX979" i="6"/>
  <c r="AK937" i="6"/>
  <c r="AK938" i="6" s="1"/>
  <c r="BF1306" i="6"/>
  <c r="M128" i="6"/>
  <c r="CR128" i="6" s="1"/>
  <c r="BL474" i="6"/>
  <c r="D143" i="6"/>
  <c r="AY1114" i="6"/>
  <c r="J965" i="6"/>
  <c r="P938" i="6"/>
  <c r="Q1025" i="6"/>
  <c r="Z972" i="6"/>
  <c r="AB972" i="6" s="1"/>
  <c r="CU972" i="6" s="1"/>
  <c r="W1136" i="6"/>
  <c r="CT1136" i="6" s="1"/>
  <c r="AC1153" i="6"/>
  <c r="AG1153" i="6" s="1"/>
  <c r="CV1153" i="6" s="1"/>
  <c r="H194" i="6"/>
  <c r="CQ194" i="6" s="1"/>
  <c r="R190" i="6"/>
  <c r="K51" i="6"/>
  <c r="K55" i="6" s="1"/>
  <c r="K58" i="6" s="1"/>
  <c r="Q126" i="6"/>
  <c r="L126" i="6"/>
  <c r="G126" i="6"/>
  <c r="J18" i="42446"/>
  <c r="X14" i="42446"/>
  <c r="BU1122" i="6"/>
  <c r="F17" i="42474"/>
  <c r="C48" i="42432"/>
  <c r="L48" i="42432" s="1"/>
  <c r="G18" i="42459"/>
  <c r="R37" i="6"/>
  <c r="CS37" i="6" s="1"/>
  <c r="H37" i="6"/>
  <c r="CQ37" i="6" s="1"/>
  <c r="G9" i="42437"/>
  <c r="M9" i="6"/>
  <c r="CR9" i="6" s="1"/>
  <c r="G32" i="42455"/>
  <c r="J22" i="42446"/>
  <c r="AL17" i="42446"/>
  <c r="N282" i="42290"/>
  <c r="N288" i="42290" s="1"/>
  <c r="BU1032" i="6"/>
  <c r="L1042" i="6"/>
  <c r="AO145" i="6"/>
  <c r="BE542" i="6"/>
  <c r="BP1101" i="6"/>
  <c r="DC1101" i="6" s="1"/>
  <c r="AX689" i="6"/>
  <c r="AK119" i="6"/>
  <c r="AL119" i="6" s="1"/>
  <c r="CW119" i="6" s="1"/>
  <c r="H128" i="6"/>
  <c r="CQ128" i="6" s="1"/>
  <c r="D945" i="6"/>
  <c r="D967" i="6" s="1"/>
  <c r="AG308" i="6"/>
  <c r="CV308" i="6" s="1"/>
  <c r="G17" i="42453"/>
  <c r="BK5" i="6"/>
  <c r="BK598" i="6" s="1"/>
  <c r="BM531" i="6"/>
  <c r="F9" i="42474"/>
  <c r="BD333" i="6"/>
  <c r="BE333" i="6" s="1"/>
  <c r="BF334" i="6" s="1"/>
  <c r="DA334" i="6" s="1"/>
  <c r="AE1333" i="6"/>
  <c r="G1031" i="6"/>
  <c r="DU334" i="42425"/>
  <c r="DX333" i="42425" s="1"/>
  <c r="EB333" i="42425" s="1"/>
  <c r="CV1099" i="6"/>
  <c r="CU1098" i="6"/>
  <c r="O1190" i="6"/>
  <c r="J1190" i="6"/>
  <c r="E1190" i="6"/>
  <c r="AH1156" i="6"/>
  <c r="BU1075" i="6"/>
  <c r="BV1075" i="6" s="1"/>
  <c r="K1190" i="6"/>
  <c r="P33" i="6"/>
  <c r="G29" i="42471"/>
  <c r="CQ114" i="6"/>
  <c r="AO1190" i="6"/>
  <c r="X1190" i="6"/>
  <c r="AB1190" i="6" s="1"/>
  <c r="S1190" i="6"/>
  <c r="R1185" i="6"/>
  <c r="CS1185" i="6" s="1"/>
  <c r="H1185" i="6"/>
  <c r="CQ1185" i="6" s="1"/>
  <c r="BA1144" i="6"/>
  <c r="BU1077" i="6"/>
  <c r="F21" i="42468"/>
  <c r="AG904" i="6"/>
  <c r="CV904" i="6" s="1"/>
  <c r="CR193" i="6"/>
  <c r="R193" i="6"/>
  <c r="N194" i="6"/>
  <c r="G256" i="6"/>
  <c r="G260" i="6" s="1"/>
  <c r="H256" i="6"/>
  <c r="H260" i="6" s="1"/>
  <c r="CQ260" i="6" s="1"/>
  <c r="CR316" i="6"/>
  <c r="H1186" i="6"/>
  <c r="CQ1186" i="6" s="1"/>
  <c r="H10" i="6"/>
  <c r="M10" i="6"/>
  <c r="L127" i="6"/>
  <c r="J307" i="6"/>
  <c r="Q21" i="6"/>
  <c r="V22" i="6" s="1"/>
  <c r="M240" i="6"/>
  <c r="CR240" i="6" s="1"/>
  <c r="G247" i="6"/>
  <c r="H247" i="6" s="1"/>
  <c r="I275" i="6"/>
  <c r="H316" i="6"/>
  <c r="CQ316" i="6" s="1"/>
  <c r="E750" i="6"/>
  <c r="K307" i="6"/>
  <c r="F256" i="6"/>
  <c r="F260" i="6" s="1"/>
  <c r="E33" i="6"/>
  <c r="I268" i="6"/>
  <c r="H38" i="6"/>
  <c r="CQ38" i="6" s="1"/>
  <c r="D127" i="6"/>
  <c r="L51" i="6"/>
  <c r="O308" i="6"/>
  <c r="R211" i="6"/>
  <c r="CS211" i="6" s="1"/>
  <c r="E275" i="6"/>
  <c r="CQ263" i="6"/>
  <c r="K191" i="6"/>
  <c r="K200" i="6" s="1"/>
  <c r="F317" i="6"/>
  <c r="G306" i="6"/>
  <c r="L312" i="6"/>
  <c r="I281" i="6"/>
  <c r="J281" i="6" s="1"/>
  <c r="K281" i="6" s="1"/>
  <c r="L281" i="6" s="1"/>
  <c r="M281" i="6" s="1"/>
  <c r="CR281" i="6" s="1"/>
  <c r="K298" i="6"/>
  <c r="K208" i="6"/>
  <c r="F191" i="6"/>
  <c r="F200" i="6" s="1"/>
  <c r="M266" i="6"/>
  <c r="F306" i="6"/>
  <c r="K308" i="6" s="1"/>
  <c r="M206" i="6"/>
  <c r="R208" i="6" s="1"/>
  <c r="CS208" i="6" s="1"/>
  <c r="J264" i="6"/>
  <c r="M1186" i="6"/>
  <c r="CR1186" i="6" s="1"/>
  <c r="M233" i="6"/>
  <c r="CR233" i="6" s="1"/>
  <c r="G311" i="6"/>
  <c r="F1190" i="6"/>
  <c r="CR203" i="6"/>
  <c r="K26" i="6"/>
  <c r="I34" i="6"/>
  <c r="L317" i="6"/>
  <c r="O51" i="6"/>
  <c r="O52" i="6" s="1"/>
  <c r="M264" i="6"/>
  <c r="CR264" i="6" s="1"/>
  <c r="P191" i="6"/>
  <c r="P200" i="6" s="1"/>
  <c r="E317" i="6"/>
  <c r="M297" i="6"/>
  <c r="M317" i="6" s="1"/>
  <c r="CR317" i="6" s="1"/>
  <c r="O126" i="6"/>
  <c r="G275" i="6"/>
  <c r="F311" i="6"/>
  <c r="K312" i="6"/>
  <c r="H207" i="6"/>
  <c r="CQ207" i="6" s="1"/>
  <c r="H239" i="6"/>
  <c r="CQ239" i="6" s="1"/>
  <c r="K311" i="6"/>
  <c r="L268" i="6"/>
  <c r="F207" i="6"/>
  <c r="P208" i="6"/>
  <c r="L306" i="6"/>
  <c r="G317" i="6"/>
  <c r="O208" i="6"/>
  <c r="N1190" i="6"/>
  <c r="BS346" i="6"/>
  <c r="BT1105" i="6"/>
  <c r="R52" i="42446"/>
  <c r="C46" i="42446"/>
  <c r="B45" i="42446"/>
  <c r="P49" i="42446"/>
  <c r="AS15" i="42446"/>
  <c r="AS40" i="42446" s="1"/>
  <c r="BN15" i="42446"/>
  <c r="AF60" i="42446"/>
  <c r="AG60" i="42446" s="1"/>
  <c r="AG62" i="42446" s="1"/>
  <c r="R57" i="42446"/>
  <c r="BO42" i="42446"/>
  <c r="E39" i="42446"/>
  <c r="BO36" i="42446"/>
  <c r="AT15" i="42446"/>
  <c r="BQ13" i="42446"/>
  <c r="AH16" i="42446"/>
  <c r="CC21" i="42446"/>
  <c r="CA15" i="42446"/>
  <c r="CA27" i="42446"/>
  <c r="BP40" i="42446"/>
  <c r="AH13" i="42446"/>
  <c r="AU24" i="42446"/>
  <c r="AD49" i="42446"/>
  <c r="BN42" i="42446"/>
  <c r="P57" i="42446"/>
  <c r="AD37" i="42446"/>
  <c r="AE50" i="42446"/>
  <c r="D48" i="42446"/>
  <c r="AD47" i="42446"/>
  <c r="D47" i="42446"/>
  <c r="AU10" i="42446"/>
  <c r="AG9" i="42446"/>
  <c r="AU42" i="42446"/>
  <c r="AV17" i="42446"/>
  <c r="AH14" i="42446"/>
  <c r="BQ23" i="42446"/>
  <c r="E22" i="42446"/>
  <c r="AU13" i="42446"/>
  <c r="AV13" i="42446" s="1"/>
  <c r="AT44" i="42446"/>
  <c r="BP37" i="42446"/>
  <c r="AG27" i="42446"/>
  <c r="CC10" i="42446"/>
  <c r="AG10" i="42446"/>
  <c r="X30" i="42290"/>
  <c r="G16" i="42437"/>
  <c r="F13" i="42475"/>
  <c r="F12" i="42475"/>
  <c r="D13" i="42450"/>
  <c r="G13" i="42450" s="1"/>
  <c r="L16" i="42432"/>
  <c r="G16" i="42432"/>
  <c r="G8" i="42467"/>
  <c r="G18" i="42471"/>
  <c r="F18" i="42459"/>
  <c r="L28" i="42454"/>
  <c r="F40" i="42461"/>
  <c r="G15" i="42442"/>
  <c r="Q17" i="42473"/>
  <c r="V49" i="42425"/>
  <c r="V51" i="42425" s="1"/>
  <c r="V52" i="42425" s="1"/>
  <c r="AU135" i="42290"/>
  <c r="AT135" i="42290" s="1"/>
  <c r="E277" i="42290"/>
  <c r="T277" i="42290"/>
  <c r="AJ277" i="42290"/>
  <c r="O269" i="42290"/>
  <c r="AO273" i="42290"/>
  <c r="BI277" i="42290"/>
  <c r="J277" i="42290"/>
  <c r="AE273" i="42290"/>
  <c r="AY273" i="42290"/>
  <c r="AY279" i="42290" s="1"/>
  <c r="K9" i="42452"/>
  <c r="G24" i="42441"/>
  <c r="Q9" i="42455"/>
  <c r="G30" i="42290"/>
  <c r="E30" i="42290" s="1"/>
  <c r="G31" i="42290"/>
  <c r="E31" i="42290" s="1"/>
  <c r="Q133" i="42290"/>
  <c r="M133" i="42290" s="1"/>
  <c r="G17" i="42451"/>
  <c r="BE197" i="42290"/>
  <c r="BA197" i="42290" s="1"/>
  <c r="Z29" i="42290"/>
  <c r="F33" i="42464"/>
  <c r="D14" i="42459"/>
  <c r="BO148" i="42425"/>
  <c r="K28" i="42475"/>
  <c r="BE196" i="42290"/>
  <c r="BB196" i="42290" s="1"/>
  <c r="AA33" i="42290"/>
  <c r="AU31" i="42290"/>
  <c r="AT31" i="42290" s="1"/>
  <c r="F28" i="42454"/>
  <c r="K34" i="42475"/>
  <c r="L30" i="42452"/>
  <c r="X22" i="42446"/>
  <c r="F17" i="42473"/>
  <c r="G9" i="42450"/>
  <c r="Y17" i="42459"/>
  <c r="F8" i="42452"/>
  <c r="N19" i="42448"/>
  <c r="F11" i="42441"/>
  <c r="C48" i="42428"/>
  <c r="G40" i="42461"/>
  <c r="G37" i="42455"/>
  <c r="G40" i="42475"/>
  <c r="D47" i="42442"/>
  <c r="G47" i="42442" s="1"/>
  <c r="L17" i="42473"/>
  <c r="AU129" i="42290"/>
  <c r="AT129" i="42290" s="1"/>
  <c r="E284" i="42290"/>
  <c r="AJ273" i="42290"/>
  <c r="BD277" i="42290"/>
  <c r="O277" i="42290"/>
  <c r="Z269" i="42290"/>
  <c r="J269" i="42290"/>
  <c r="AE269" i="42290"/>
  <c r="AT277" i="42290"/>
  <c r="L12" i="42467"/>
  <c r="L24" i="42441"/>
  <c r="G33" i="42290"/>
  <c r="Q132" i="42290"/>
  <c r="M132" i="42290" s="1"/>
  <c r="G33" i="42448"/>
  <c r="F28" i="42475"/>
  <c r="D50" i="42441"/>
  <c r="Y29" i="42290"/>
  <c r="G30" i="42452"/>
  <c r="K20" i="42467"/>
  <c r="AU32" i="42290"/>
  <c r="AS32" i="42290" s="1"/>
  <c r="F38" i="42473"/>
  <c r="AA31" i="42290"/>
  <c r="X31" i="42290" s="1"/>
  <c r="G30" i="42450"/>
  <c r="L29" i="42467"/>
  <c r="Q130" i="42290"/>
  <c r="F12" i="42471"/>
  <c r="F33" i="42468"/>
  <c r="G28" i="42468"/>
  <c r="F13" i="42464"/>
  <c r="F33" i="42461"/>
  <c r="AL14" i="42446"/>
  <c r="D47" i="42451"/>
  <c r="G47" i="42451" s="1"/>
  <c r="F8" i="42459"/>
  <c r="L27" i="42432"/>
  <c r="F37" i="42440"/>
  <c r="W20" i="42446"/>
  <c r="Q9" i="42471"/>
  <c r="Q129" i="42290"/>
  <c r="N129" i="42290" s="1"/>
  <c r="G16" i="42451"/>
  <c r="X29" i="42290"/>
  <c r="L28" i="42471"/>
  <c r="AU30" i="42290"/>
  <c r="AG35" i="42446"/>
  <c r="AG54" i="42446" s="1"/>
  <c r="BQ42" i="42446"/>
  <c r="AG17" i="42446"/>
  <c r="AG26" i="42446"/>
  <c r="AT40" i="42446"/>
  <c r="BO27" i="42446"/>
  <c r="AR27" i="42446"/>
  <c r="AD62" i="42446"/>
  <c r="BQ25" i="42446"/>
  <c r="BQ39" i="42446" s="1"/>
  <c r="AR15" i="42446"/>
  <c r="AR40" i="42446" s="1"/>
  <c r="BZ15" i="42446"/>
  <c r="BO15" i="42446"/>
  <c r="R54" i="42446"/>
  <c r="B50" i="42446"/>
  <c r="R49" i="42446"/>
  <c r="Q49" i="42446"/>
  <c r="AI142" i="42290"/>
  <c r="AN125" i="42290"/>
  <c r="AS49" i="42416"/>
  <c r="AT49" i="42416" s="1"/>
  <c r="AV74" i="42416"/>
  <c r="AR291" i="6"/>
  <c r="AR292" i="6" s="1"/>
  <c r="CX291" i="6"/>
  <c r="F34" i="42455"/>
  <c r="G34" i="42455"/>
  <c r="AG53" i="42446"/>
  <c r="AH17" i="42446"/>
  <c r="AU254" i="42290"/>
  <c r="AP257" i="42290"/>
  <c r="AL125" i="42290"/>
  <c r="AK125" i="42290"/>
  <c r="AG142" i="42290"/>
  <c r="AA26" i="42290"/>
  <c r="AA37" i="42290"/>
  <c r="BR13" i="42446"/>
  <c r="C18" i="42434"/>
  <c r="D18" i="42434"/>
  <c r="D72" i="42434" s="1"/>
  <c r="AC152" i="42434" s="1"/>
  <c r="BS847" i="6"/>
  <c r="BS828" i="6"/>
  <c r="BR847" i="6"/>
  <c r="BR828" i="6"/>
  <c r="BR840" i="6" s="1"/>
  <c r="BT114" i="6"/>
  <c r="BT119" i="6" s="1"/>
  <c r="BR17" i="42446"/>
  <c r="BN1191" i="6"/>
  <c r="BG696" i="6"/>
  <c r="DB11" i="6"/>
  <c r="EH590" i="42458"/>
  <c r="EH610" i="42458" s="1"/>
  <c r="AO125" i="42290"/>
  <c r="AV11" i="42446"/>
  <c r="BF307" i="6"/>
  <c r="DA307" i="6" s="1"/>
  <c r="FU639" i="42458"/>
  <c r="CZ342" i="6"/>
  <c r="FT640" i="42458"/>
  <c r="AU1313" i="6"/>
  <c r="L1079" i="6"/>
  <c r="BO1021" i="6"/>
  <c r="BP1021" i="6" s="1"/>
  <c r="DC1021" i="6" s="1"/>
  <c r="K904" i="6"/>
  <c r="AZ897" i="6"/>
  <c r="AL73" i="6"/>
  <c r="C9" i="42468"/>
  <c r="W18" i="42468" s="1"/>
  <c r="EA590" i="42458"/>
  <c r="EA610" i="42458" s="1"/>
  <c r="GC567" i="42425"/>
  <c r="GC571" i="42425" s="1"/>
  <c r="GC577" i="42425" s="1"/>
  <c r="BO164" i="42425"/>
  <c r="CQ27" i="42446"/>
  <c r="CB27" i="42446"/>
  <c r="CB40" i="42446" s="1"/>
  <c r="CR11" i="42446"/>
  <c r="CR9" i="42446"/>
  <c r="BL84" i="42290"/>
  <c r="BL87" i="42290" s="1"/>
  <c r="BB87" i="42290"/>
  <c r="AW87" i="42290"/>
  <c r="AR84" i="42290"/>
  <c r="AR87" i="42290" s="1"/>
  <c r="AM87" i="42290"/>
  <c r="AH87" i="42290"/>
  <c r="AC87" i="42290"/>
  <c r="X84" i="42290"/>
  <c r="X87" i="42290" s="1"/>
  <c r="S87" i="42290"/>
  <c r="N87" i="42290"/>
  <c r="I87" i="42290"/>
  <c r="D84" i="42290"/>
  <c r="D87" i="42290" s="1"/>
  <c r="BL70" i="42290"/>
  <c r="BG70" i="42290"/>
  <c r="BB70" i="42290"/>
  <c r="AM70" i="42290"/>
  <c r="AH70" i="42290"/>
  <c r="AC70" i="42290"/>
  <c r="N70" i="42290"/>
  <c r="BL57" i="42290"/>
  <c r="BG57" i="42290"/>
  <c r="BB57" i="42290"/>
  <c r="AW57" i="42290"/>
  <c r="AR57" i="42290"/>
  <c r="AM57" i="42290"/>
  <c r="AH57" i="42290"/>
  <c r="AC57" i="42290"/>
  <c r="X57" i="42290"/>
  <c r="S57" i="42290"/>
  <c r="N57" i="42290"/>
  <c r="I57" i="42290"/>
  <c r="D57" i="42290"/>
  <c r="L49" i="42451"/>
  <c r="L20" i="42450"/>
  <c r="AS42" i="42416"/>
  <c r="AT42" i="42416" s="1"/>
  <c r="N25" i="42416"/>
  <c r="AC128" i="42434"/>
  <c r="AC135" i="42434" s="1"/>
  <c r="I52" i="42448"/>
  <c r="L46" i="42448"/>
  <c r="K20" i="42448"/>
  <c r="K22" i="42448" s="1"/>
  <c r="AP114" i="42443"/>
  <c r="K30" i="42443"/>
  <c r="L49" i="42442"/>
  <c r="BR137" i="6"/>
  <c r="BU761" i="6"/>
  <c r="BU774" i="6" s="1"/>
  <c r="BU75" i="6"/>
  <c r="DA11" i="6"/>
  <c r="EC590" i="42458"/>
  <c r="EC610" i="42458" s="1"/>
  <c r="DA342" i="6"/>
  <c r="FU640" i="42458"/>
  <c r="DB342" i="6"/>
  <c r="FV640" i="42458"/>
  <c r="BM1038" i="6"/>
  <c r="BJ27" i="6"/>
  <c r="BK27" i="6" s="1"/>
  <c r="DB27" i="6" s="1"/>
  <c r="BO343" i="6"/>
  <c r="C8" i="42473"/>
  <c r="L8" i="42473" s="1"/>
  <c r="ED589" i="42458"/>
  <c r="ED609" i="42458" s="1"/>
  <c r="IH851" i="42425"/>
  <c r="IH855" i="42425" s="1"/>
  <c r="IH856" i="42425" s="1"/>
  <c r="BZ40" i="42446"/>
  <c r="BF87" i="42290"/>
  <c r="AL87" i="42290"/>
  <c r="R87" i="42290"/>
  <c r="BF70" i="42290"/>
  <c r="AL70" i="42290"/>
  <c r="R70" i="42290"/>
  <c r="BA57" i="42290"/>
  <c r="AG57" i="42290"/>
  <c r="M57" i="42290"/>
  <c r="R26" i="42416"/>
  <c r="K20" i="42447"/>
  <c r="K22" i="42447" s="1"/>
  <c r="K19" i="42442"/>
  <c r="K21" i="42442" s="1"/>
  <c r="BN1019" i="6"/>
  <c r="BN1025" i="6"/>
  <c r="BO1025" i="6" s="1"/>
  <c r="BO138" i="6" s="1"/>
  <c r="BN1041" i="6"/>
  <c r="BO1041" i="6" s="1"/>
  <c r="AV12" i="42446"/>
  <c r="BQ15" i="42446"/>
  <c r="CA1139" i="6"/>
  <c r="DF1139" i="6" s="1"/>
  <c r="CA1148" i="6"/>
  <c r="L57" i="42290"/>
  <c r="AF142" i="42290"/>
  <c r="AG51" i="42446"/>
  <c r="BP1144" i="6"/>
  <c r="BP1164" i="6"/>
  <c r="AW1042" i="6"/>
  <c r="I1042" i="6"/>
  <c r="BH1041" i="6"/>
  <c r="BI1041" i="6" s="1"/>
  <c r="BJ1041" i="6" s="1"/>
  <c r="BK1041" i="6" s="1"/>
  <c r="DB1041" i="6" s="1"/>
  <c r="BM1022" i="6"/>
  <c r="AS1022" i="6"/>
  <c r="Y904" i="6"/>
  <c r="AK330" i="6"/>
  <c r="AL330" i="6" s="1"/>
  <c r="CW330" i="6" s="1"/>
  <c r="AF330" i="6"/>
  <c r="S330" i="6"/>
  <c r="S331" i="6" s="1"/>
  <c r="S336" i="6" s="1"/>
  <c r="N330" i="6"/>
  <c r="I330" i="6"/>
  <c r="J331" i="6" s="1"/>
  <c r="J336" i="6" s="1"/>
  <c r="AL78" i="6"/>
  <c r="C9" i="42473"/>
  <c r="W18" i="42473" s="1"/>
  <c r="ED590" i="42458"/>
  <c r="ED610" i="42458" s="1"/>
  <c r="IT865" i="42425"/>
  <c r="IT866" i="42425" s="1"/>
  <c r="EB589" i="42458"/>
  <c r="EB609" i="42458" s="1"/>
  <c r="IC852" i="42425"/>
  <c r="IC855" i="42425" s="1"/>
  <c r="IC856" i="42425" s="1"/>
  <c r="GC573" i="42425"/>
  <c r="GC579" i="42425" s="1"/>
  <c r="AG39" i="42446"/>
  <c r="CQ35" i="42446"/>
  <c r="AS42" i="42446"/>
  <c r="AR37" i="42446"/>
  <c r="AU21" i="42446"/>
  <c r="AD20" i="42446"/>
  <c r="CR17" i="42446"/>
  <c r="CC17" i="42446"/>
  <c r="CC42" i="42446" s="1"/>
  <c r="CU15" i="42446"/>
  <c r="CC13" i="42446"/>
  <c r="L82" i="42290"/>
  <c r="AT87" i="42290"/>
  <c r="AJ84" i="42290"/>
  <c r="AJ87" i="42290" s="1"/>
  <c r="Z87" i="42290"/>
  <c r="BI70" i="42290"/>
  <c r="BD70" i="42290"/>
  <c r="AY70" i="42290"/>
  <c r="AT70" i="42290"/>
  <c r="AO70" i="42290"/>
  <c r="AJ70" i="42290"/>
  <c r="AE70" i="42290"/>
  <c r="Z70" i="42290"/>
  <c r="U70" i="42290"/>
  <c r="P70" i="42290"/>
  <c r="K70" i="42290"/>
  <c r="F70" i="42290"/>
  <c r="BI57" i="42290"/>
  <c r="BD57" i="42290"/>
  <c r="AY57" i="42290"/>
  <c r="AT57" i="42290"/>
  <c r="AO57" i="42290"/>
  <c r="AJ57" i="42290"/>
  <c r="AE57" i="42290"/>
  <c r="Z57" i="42290"/>
  <c r="U57" i="42290"/>
  <c r="P57" i="42290"/>
  <c r="K57" i="42290"/>
  <c r="F57" i="42290"/>
  <c r="M13" i="42450"/>
  <c r="F32" i="42416"/>
  <c r="M32" i="42416"/>
  <c r="E32" i="42416"/>
  <c r="L23" i="42416"/>
  <c r="L49" i="42448"/>
  <c r="L30" i="42448"/>
  <c r="AN110" i="42447"/>
  <c r="C22" i="42447"/>
  <c r="Q13" i="42447"/>
  <c r="C45" i="42443"/>
  <c r="L45" i="42443" s="1"/>
  <c r="L27" i="42442"/>
  <c r="BN1020" i="6"/>
  <c r="BO1020" i="6" s="1"/>
  <c r="BN1032" i="6"/>
  <c r="BN1199" i="6" s="1"/>
  <c r="BU1139" i="6"/>
  <c r="DD1139" i="6" s="1"/>
  <c r="CC38" i="42446"/>
  <c r="AU39" i="42446"/>
  <c r="L101" i="42458"/>
  <c r="BK307" i="6"/>
  <c r="DB307" i="6" s="1"/>
  <c r="FV639" i="42458"/>
  <c r="AV307" i="6"/>
  <c r="CY307" i="6" s="1"/>
  <c r="FS639" i="42458"/>
  <c r="BP11" i="6"/>
  <c r="EK590" i="42458"/>
  <c r="EK610" i="42458" s="1"/>
  <c r="EK613" i="42458" s="1"/>
  <c r="AU1312" i="6"/>
  <c r="BP1140" i="6"/>
  <c r="DC1140" i="6" s="1"/>
  <c r="BK1140" i="6"/>
  <c r="DB1140" i="6" s="1"/>
  <c r="BF1140" i="6"/>
  <c r="DA1140" i="6" s="1"/>
  <c r="BA1140" i="6"/>
  <c r="CZ1140" i="6" s="1"/>
  <c r="AV1140" i="6"/>
  <c r="CY1140" i="6" s="1"/>
  <c r="BF1139" i="6"/>
  <c r="DA1139" i="6" s="1"/>
  <c r="BA1139" i="6"/>
  <c r="CZ1139" i="6" s="1"/>
  <c r="AW1035" i="6"/>
  <c r="I1035" i="6"/>
  <c r="O904" i="6"/>
  <c r="AV637" i="6"/>
  <c r="AG510" i="6"/>
  <c r="CV510" i="6" s="1"/>
  <c r="BU431" i="6"/>
  <c r="BT124" i="42290" s="1"/>
  <c r="AF750" i="6"/>
  <c r="D330" i="6"/>
  <c r="EQ412" i="42425"/>
  <c r="EQ427" i="42425" s="1"/>
  <c r="BP138" i="42425"/>
  <c r="BN27" i="42446"/>
  <c r="CC23" i="42446"/>
  <c r="CC22" i="42446"/>
  <c r="CD10" i="42446" s="1"/>
  <c r="S22" i="42446"/>
  <c r="S57" i="42446" s="1"/>
  <c r="AZ17" i="42446"/>
  <c r="BB17" i="42446" s="1"/>
  <c r="AL16" i="42446"/>
  <c r="CH13" i="42446"/>
  <c r="BV13" i="42446"/>
  <c r="J13" i="42446"/>
  <c r="CC9" i="42446"/>
  <c r="AZ9" i="42446"/>
  <c r="BH84" i="42290"/>
  <c r="BH87" i="42290" s="1"/>
  <c r="BC87" i="42290"/>
  <c r="AX87" i="42290"/>
  <c r="AS87" i="42290"/>
  <c r="AN84" i="42290"/>
  <c r="AN87" i="42290" s="1"/>
  <c r="AI87" i="42290"/>
  <c r="AD87" i="42290"/>
  <c r="Y87" i="42290"/>
  <c r="T84" i="42290"/>
  <c r="T87" i="42290" s="1"/>
  <c r="O87" i="42290"/>
  <c r="J87" i="42290"/>
  <c r="E87" i="42290"/>
  <c r="BH70" i="42290"/>
  <c r="BC70" i="42290"/>
  <c r="AX70" i="42290"/>
  <c r="AS70" i="42290"/>
  <c r="AN70" i="42290"/>
  <c r="AI70" i="42290"/>
  <c r="AD70" i="42290"/>
  <c r="Y70" i="42290"/>
  <c r="T70" i="42290"/>
  <c r="O70" i="42290"/>
  <c r="J70" i="42290"/>
  <c r="E70" i="42290"/>
  <c r="BH57" i="42290"/>
  <c r="BC57" i="42290"/>
  <c r="AX57" i="42290"/>
  <c r="AS57" i="42290"/>
  <c r="AN57" i="42290"/>
  <c r="AI57" i="42290"/>
  <c r="AD57" i="42290"/>
  <c r="Y57" i="42290"/>
  <c r="T57" i="42290"/>
  <c r="O57" i="42290"/>
  <c r="J57" i="42290"/>
  <c r="E57" i="42290"/>
  <c r="F27" i="42454"/>
  <c r="I22" i="42451"/>
  <c r="I52" i="42451" s="1"/>
  <c r="C52" i="42450"/>
  <c r="F41" i="42416"/>
  <c r="E30" i="42416"/>
  <c r="K25" i="42416"/>
  <c r="F23" i="42416"/>
  <c r="P22" i="42416"/>
  <c r="P23" i="42416" s="1"/>
  <c r="P11" i="42416"/>
  <c r="T116" i="42434"/>
  <c r="T123" i="42434" s="1"/>
  <c r="B11" i="42434"/>
  <c r="L45" i="42448"/>
  <c r="I27" i="42448"/>
  <c r="I32" i="42448" s="1"/>
  <c r="I35" i="42448" s="1"/>
  <c r="I38" i="42448" s="1"/>
  <c r="I40" i="42448" s="1"/>
  <c r="I42" i="42448" s="1"/>
  <c r="L13" i="42448"/>
  <c r="K12" i="42442"/>
  <c r="DW566" i="42458"/>
  <c r="R48" i="42446"/>
  <c r="Q46" i="42446"/>
  <c r="C61" i="42446"/>
  <c r="E17" i="42446"/>
  <c r="S10" i="42446"/>
  <c r="E33" i="42446"/>
  <c r="R51" i="42446"/>
  <c r="B61" i="42446"/>
  <c r="F9" i="42428"/>
  <c r="BH1333" i="6"/>
  <c r="BS1343" i="6"/>
  <c r="G1154" i="6"/>
  <c r="H1154" i="6" s="1"/>
  <c r="CQ1154" i="6" s="1"/>
  <c r="G1106" i="6"/>
  <c r="H1106" i="6" s="1"/>
  <c r="CQ1106" i="6" s="1"/>
  <c r="K34" i="42454"/>
  <c r="AV1343" i="6"/>
  <c r="BF986" i="6"/>
  <c r="DA986" i="6" s="1"/>
  <c r="AR91" i="42416"/>
  <c r="AS91" i="42416" s="1"/>
  <c r="AL1153" i="6"/>
  <c r="CW1153" i="6" s="1"/>
  <c r="L34" i="42454"/>
  <c r="K35" i="42453"/>
  <c r="AL288" i="6"/>
  <c r="L35" i="42467"/>
  <c r="U1095" i="6"/>
  <c r="V1095" i="6" s="1"/>
  <c r="BM932" i="6"/>
  <c r="U1094" i="6"/>
  <c r="DE140" i="6"/>
  <c r="CE990" i="6"/>
  <c r="CE961" i="6" s="1"/>
  <c r="CW979" i="6"/>
  <c r="AF133" i="42290"/>
  <c r="J10" i="42453"/>
  <c r="AF132" i="42290"/>
  <c r="AC132" i="42290" s="1"/>
  <c r="BF979" i="6"/>
  <c r="CA1015" i="6"/>
  <c r="CB1015" i="6" s="1"/>
  <c r="U970" i="6"/>
  <c r="U974" i="6" s="1"/>
  <c r="F26" i="42428"/>
  <c r="BT1091" i="6"/>
  <c r="BU1091" i="6" s="1"/>
  <c r="BV1091" i="6" s="1"/>
  <c r="BS1147" i="6"/>
  <c r="BL817" i="6"/>
  <c r="BJ820" i="6"/>
  <c r="O33" i="6"/>
  <c r="O34" i="6" s="1"/>
  <c r="R30" i="6"/>
  <c r="CS30" i="6" s="1"/>
  <c r="J1149" i="6"/>
  <c r="K1149" i="6"/>
  <c r="O505" i="6"/>
  <c r="L9" i="42471"/>
  <c r="C51" i="42455"/>
  <c r="L51" i="42455" s="1"/>
  <c r="F9" i="42452"/>
  <c r="BK695" i="6"/>
  <c r="C52" i="42471"/>
  <c r="L52" i="42471" s="1"/>
  <c r="S1154" i="6"/>
  <c r="W1154" i="6" s="1"/>
  <c r="CT1154" i="6" s="1"/>
  <c r="BH820" i="6"/>
  <c r="BH869" i="6" s="1"/>
  <c r="AB971" i="6"/>
  <c r="CU971" i="6" s="1"/>
  <c r="I1149" i="6"/>
  <c r="G8" i="42475"/>
  <c r="G17" i="42461"/>
  <c r="F18" i="42464"/>
  <c r="AT33" i="6"/>
  <c r="AT34" i="6" s="1"/>
  <c r="BE63" i="42290"/>
  <c r="BE67" i="42290" s="1"/>
  <c r="BE70" i="42290" s="1"/>
  <c r="EC597" i="42458"/>
  <c r="BJ50" i="42290"/>
  <c r="BJ54" i="42290" s="1"/>
  <c r="BJ57" i="42290" s="1"/>
  <c r="EH594" i="42458"/>
  <c r="BP141" i="6"/>
  <c r="DC141" i="6" s="1"/>
  <c r="BQ80" i="42290"/>
  <c r="BQ84" i="42290" s="1"/>
  <c r="BQ87" i="42290" s="1"/>
  <c r="EO596" i="42458"/>
  <c r="BJ24" i="42290"/>
  <c r="BJ30" i="42290" s="1"/>
  <c r="EH595" i="42458"/>
  <c r="DA432" i="6"/>
  <c r="EC594" i="42458"/>
  <c r="BP63" i="42290"/>
  <c r="BP67" i="42290" s="1"/>
  <c r="BP70" i="42290" s="1"/>
  <c r="EN597" i="42458"/>
  <c r="M973" i="6"/>
  <c r="CR973" i="6" s="1"/>
  <c r="AP631" i="6"/>
  <c r="AP632" i="6" s="1"/>
  <c r="AU633" i="6" s="1"/>
  <c r="R503" i="6"/>
  <c r="P9" i="42471"/>
  <c r="P9" i="42455"/>
  <c r="CB217" i="42425"/>
  <c r="BI820" i="6"/>
  <c r="CA141" i="6"/>
  <c r="DF141" i="6" s="1"/>
  <c r="I1150" i="6"/>
  <c r="M1150" i="6" s="1"/>
  <c r="CR1150" i="6" s="1"/>
  <c r="I1151" i="6"/>
  <c r="M1151" i="6" s="1"/>
  <c r="CR1151" i="6" s="1"/>
  <c r="BR63" i="42290"/>
  <c r="BR67" i="42290" s="1"/>
  <c r="BR70" i="42290" s="1"/>
  <c r="EP597" i="42458"/>
  <c r="BJ80" i="42290"/>
  <c r="BJ84" i="42290" s="1"/>
  <c r="BJ87" i="42290" s="1"/>
  <c r="EH596" i="42458"/>
  <c r="BE24" i="42290"/>
  <c r="BE29" i="42290" s="1"/>
  <c r="EC595" i="42458"/>
  <c r="BR124" i="42290"/>
  <c r="EP593" i="42458"/>
  <c r="F40" i="42475"/>
  <c r="F38" i="42468"/>
  <c r="BU433" i="6"/>
  <c r="BT24" i="42290" s="1"/>
  <c r="BT31" i="42290" s="1"/>
  <c r="BQ63" i="42290"/>
  <c r="BQ67" i="42290" s="1"/>
  <c r="BQ70" i="42290" s="1"/>
  <c r="EO597" i="42458"/>
  <c r="G30" i="42448"/>
  <c r="L750" i="6"/>
  <c r="F96" i="42290"/>
  <c r="F98" i="42290" s="1"/>
  <c r="F100" i="42290" s="1"/>
  <c r="AS370" i="6"/>
  <c r="K9" i="42471"/>
  <c r="K9" i="42455"/>
  <c r="AR1084" i="6"/>
  <c r="DF1016" i="6"/>
  <c r="FZ547" i="42425"/>
  <c r="BM788" i="6"/>
  <c r="BM809" i="6" s="1"/>
  <c r="BR50" i="42290"/>
  <c r="BR54" i="42290" s="1"/>
  <c r="BR57" i="42290" s="1"/>
  <c r="EP594" i="42458"/>
  <c r="Q25" i="42457"/>
  <c r="BQ156" i="42425"/>
  <c r="BL140" i="42425"/>
  <c r="BX140" i="42425" s="1"/>
  <c r="BM132" i="42425"/>
  <c r="BY132" i="42425" s="1"/>
  <c r="F41" i="42464"/>
  <c r="D54" i="42455"/>
  <c r="V20" i="42446"/>
  <c r="I20" i="42446"/>
  <c r="H20" i="42446"/>
  <c r="Y282" i="42290"/>
  <c r="Y288" i="42290" s="1"/>
  <c r="BJ171" i="42290"/>
  <c r="BE171" i="42290"/>
  <c r="AZ171" i="42290"/>
  <c r="AZ182" i="42290" s="1"/>
  <c r="AY182" i="42290" s="1"/>
  <c r="AU171" i="42290"/>
  <c r="AU181" i="42290" s="1"/>
  <c r="BJ170" i="42290"/>
  <c r="BJ175" i="42290" s="1"/>
  <c r="BE170" i="42290"/>
  <c r="BE176" i="42290" s="1"/>
  <c r="BC176" i="42290" s="1"/>
  <c r="AZ170" i="42290"/>
  <c r="AZ175" i="42290" s="1"/>
  <c r="AV175" i="42290" s="1"/>
  <c r="AU170" i="42290"/>
  <c r="AP170" i="42290"/>
  <c r="AP175" i="42290" s="1"/>
  <c r="AM175" i="42290" s="1"/>
  <c r="G37" i="42454"/>
  <c r="G31" i="42441"/>
  <c r="F20" i="42437"/>
  <c r="BP50" i="42290"/>
  <c r="BP54" i="42290" s="1"/>
  <c r="BP57" i="42290" s="1"/>
  <c r="EN594" i="42458"/>
  <c r="BP80" i="42290"/>
  <c r="BP84" i="42290" s="1"/>
  <c r="BP87" i="42290" s="1"/>
  <c r="EN596" i="42458"/>
  <c r="AG1154" i="6"/>
  <c r="CV1154" i="6" s="1"/>
  <c r="H1150" i="6"/>
  <c r="CQ1150" i="6" s="1"/>
  <c r="G34" i="42471"/>
  <c r="F34" i="42471"/>
  <c r="K23" i="42461"/>
  <c r="G23" i="42461"/>
  <c r="L23" i="42461"/>
  <c r="K27" i="42455"/>
  <c r="G27" i="42455"/>
  <c r="BA277" i="42290"/>
  <c r="BA269" i="42290"/>
  <c r="AL269" i="42290"/>
  <c r="AL273" i="42290"/>
  <c r="AB273" i="42290"/>
  <c r="AB277" i="42290"/>
  <c r="AB269" i="42290"/>
  <c r="K277" i="42290"/>
  <c r="K273" i="42290"/>
  <c r="K269" i="42290"/>
  <c r="K284" i="42290"/>
  <c r="K12" i="42454"/>
  <c r="L12" i="42454"/>
  <c r="G12" i="42454"/>
  <c r="F12" i="42454"/>
  <c r="R12" i="42454"/>
  <c r="K38" i="42452"/>
  <c r="F38" i="42452"/>
  <c r="G38" i="42452"/>
  <c r="F12" i="42452"/>
  <c r="C52" i="42452"/>
  <c r="L52" i="42452" s="1"/>
  <c r="K12" i="42452"/>
  <c r="F34" i="42442"/>
  <c r="G34" i="42442"/>
  <c r="F27" i="42441"/>
  <c r="G27" i="42441"/>
  <c r="L27" i="42441"/>
  <c r="K27" i="42441"/>
  <c r="F21" i="42455"/>
  <c r="F12" i="42473"/>
  <c r="F12" i="42459"/>
  <c r="AL202" i="42290"/>
  <c r="BJ288" i="42290"/>
  <c r="K18" i="42473"/>
  <c r="L18" i="42473"/>
  <c r="K27" i="42432"/>
  <c r="Y21" i="42461"/>
  <c r="G11" i="42451"/>
  <c r="X10" i="42446"/>
  <c r="L37" i="42454"/>
  <c r="BT15" i="42446"/>
  <c r="BL146" i="42425"/>
  <c r="K10" i="42452"/>
  <c r="L10" i="42452"/>
  <c r="L24" i="42437"/>
  <c r="K24" i="42437"/>
  <c r="L37" i="42440"/>
  <c r="L41" i="42464"/>
  <c r="G12" i="42452"/>
  <c r="L16" i="42441"/>
  <c r="K16" i="42441"/>
  <c r="G16" i="42441"/>
  <c r="G24" i="42442"/>
  <c r="F24" i="42442"/>
  <c r="F29" i="42442"/>
  <c r="G29" i="42442"/>
  <c r="CV302" i="42425"/>
  <c r="DH302" i="42425" s="1"/>
  <c r="DH303" i="42425" s="1"/>
  <c r="CR302" i="42425"/>
  <c r="CZ302" i="42425"/>
  <c r="DL302" i="42425" s="1"/>
  <c r="DL303" i="42425" s="1"/>
  <c r="BV138" i="42425"/>
  <c r="BN140" i="42425"/>
  <c r="F33" i="42473"/>
  <c r="K33" i="42473"/>
  <c r="G24" i="42464"/>
  <c r="F24" i="42464"/>
  <c r="K28" i="42461"/>
  <c r="L28" i="42461"/>
  <c r="K37" i="42459"/>
  <c r="L37" i="42459"/>
  <c r="AK20" i="42446"/>
  <c r="CG15" i="42446"/>
  <c r="BK273" i="42290"/>
  <c r="BK277" i="42290"/>
  <c r="AV273" i="42290"/>
  <c r="AV277" i="42290"/>
  <c r="AV269" i="42290"/>
  <c r="AG277" i="42290"/>
  <c r="AG273" i="42290"/>
  <c r="AG269" i="42290"/>
  <c r="W273" i="42290"/>
  <c r="W277" i="42290"/>
  <c r="W269" i="42290"/>
  <c r="F284" i="42290"/>
  <c r="F273" i="42290"/>
  <c r="G36" i="42450"/>
  <c r="F36" i="42450"/>
  <c r="F29" i="42448"/>
  <c r="G29" i="42448"/>
  <c r="G33" i="42443"/>
  <c r="F33" i="42443"/>
  <c r="L22" i="42441"/>
  <c r="F22" i="42441"/>
  <c r="K22" i="42441"/>
  <c r="L11" i="42440"/>
  <c r="K11" i="42440"/>
  <c r="C50" i="42440"/>
  <c r="L50" i="42440" s="1"/>
  <c r="K20" i="42437"/>
  <c r="L20" i="42437"/>
  <c r="G20" i="42437"/>
  <c r="K28" i="42428"/>
  <c r="L28" i="42428"/>
  <c r="K13" i="42464"/>
  <c r="L12" i="42459"/>
  <c r="Q12" i="42459"/>
  <c r="BJ282" i="42290"/>
  <c r="G18" i="42473"/>
  <c r="G22" i="42432"/>
  <c r="K41" i="42464"/>
  <c r="BV169" i="42425"/>
  <c r="BV171" i="42425" s="1"/>
  <c r="K27" i="42440"/>
  <c r="F11" i="42451"/>
  <c r="AY15" i="42446"/>
  <c r="F13" i="42468"/>
  <c r="F37" i="42454"/>
  <c r="F28" i="42468"/>
  <c r="L30" i="42464"/>
  <c r="F269" i="42290"/>
  <c r="BA273" i="42290"/>
  <c r="L38" i="42452"/>
  <c r="BE202" i="42290"/>
  <c r="BC202" i="42290" s="1"/>
  <c r="F277" i="42290"/>
  <c r="L12" i="42452"/>
  <c r="G33" i="42447"/>
  <c r="K33" i="42461"/>
  <c r="G8" i="42440"/>
  <c r="D47" i="42440"/>
  <c r="L8" i="42455"/>
  <c r="P8" i="42455"/>
  <c r="Q8" i="42455"/>
  <c r="G17" i="42454"/>
  <c r="D50" i="42454"/>
  <c r="V17" i="42454"/>
  <c r="G23" i="42448"/>
  <c r="L31" i="42474"/>
  <c r="F31" i="42474"/>
  <c r="K31" i="42474"/>
  <c r="BM154" i="42425"/>
  <c r="BY154" i="42425" s="1"/>
  <c r="BM156" i="42425"/>
  <c r="BY156" i="42425" s="1"/>
  <c r="BY128" i="42425"/>
  <c r="BQ132" i="42425" s="1"/>
  <c r="BM130" i="42425"/>
  <c r="BY130" i="42425" s="1"/>
  <c r="F38" i="42467"/>
  <c r="G38" i="42467"/>
  <c r="L38" i="42467"/>
  <c r="K32" i="42455"/>
  <c r="L32" i="42455"/>
  <c r="F32" i="42455"/>
  <c r="BU15" i="42446"/>
  <c r="BV10" i="42446"/>
  <c r="BV277" i="42290"/>
  <c r="BV269" i="42290"/>
  <c r="BV273" i="42290"/>
  <c r="BF273" i="42290"/>
  <c r="BF269" i="42290"/>
  <c r="BF277" i="42290"/>
  <c r="AQ273" i="42290"/>
  <c r="AQ269" i="42290"/>
  <c r="AK230" i="42290"/>
  <c r="AK251" i="42290"/>
  <c r="AK241" i="42290"/>
  <c r="AK240" i="42290"/>
  <c r="K33" i="42454"/>
  <c r="F33" i="42454"/>
  <c r="L25" i="42452"/>
  <c r="G25" i="42452"/>
  <c r="K25" i="42452"/>
  <c r="F25" i="42452"/>
  <c r="G21" i="42451"/>
  <c r="F21" i="42451"/>
  <c r="G28" i="42443"/>
  <c r="F28" i="42443"/>
  <c r="K22" i="42440"/>
  <c r="L22" i="42440"/>
  <c r="F22" i="42440"/>
  <c r="F30" i="42437"/>
  <c r="G30" i="42437"/>
  <c r="L19" i="42428"/>
  <c r="F19" i="42428"/>
  <c r="G19" i="42428"/>
  <c r="AV1155" i="6"/>
  <c r="CY1155" i="6" s="1"/>
  <c r="L13" i="42464"/>
  <c r="G12" i="42459"/>
  <c r="Q18" i="42473"/>
  <c r="F18" i="42473"/>
  <c r="L22" i="42432"/>
  <c r="L27" i="42440"/>
  <c r="G30" i="42464"/>
  <c r="F43" i="42474"/>
  <c r="K22" i="42432"/>
  <c r="P269" i="42290"/>
  <c r="BK269" i="42290"/>
  <c r="BA1152" i="6"/>
  <c r="CZ1152" i="6" s="1"/>
  <c r="K36" i="42474"/>
  <c r="G36" i="42474"/>
  <c r="G17" i="42455"/>
  <c r="BL138" i="42425"/>
  <c r="G28" i="42428"/>
  <c r="L11" i="42441"/>
  <c r="Z28" i="42457"/>
  <c r="AG1155" i="6"/>
  <c r="CV1155" i="6" s="1"/>
  <c r="BA1157" i="6"/>
  <c r="CZ1157" i="6" s="1"/>
  <c r="AB1156" i="6"/>
  <c r="CU1156" i="6" s="1"/>
  <c r="BF1157" i="6"/>
  <c r="DA1157" i="6" s="1"/>
  <c r="D14" i="42455"/>
  <c r="G31" i="42474"/>
  <c r="CL263" i="42425"/>
  <c r="L25" i="42457"/>
  <c r="H25" i="42457"/>
  <c r="BZ263" i="42425"/>
  <c r="BV217" i="42425"/>
  <c r="BA1156" i="6"/>
  <c r="CZ1156" i="6" s="1"/>
  <c r="AB1153" i="6"/>
  <c r="CU1153" i="6" s="1"/>
  <c r="AB1154" i="6"/>
  <c r="CU1154" i="6" s="1"/>
  <c r="AV1156" i="6"/>
  <c r="CY1156" i="6" s="1"/>
  <c r="D14" i="42454"/>
  <c r="BF1158" i="6"/>
  <c r="DA1158" i="6" s="1"/>
  <c r="CH217" i="42425"/>
  <c r="G10" i="42464"/>
  <c r="AU1170" i="6"/>
  <c r="AU1172" i="6" s="1"/>
  <c r="AU1271" i="6" s="1"/>
  <c r="AU1275" i="6" s="1"/>
  <c r="C54" i="42454"/>
  <c r="L54" i="42454" s="1"/>
  <c r="Z25" i="42457"/>
  <c r="AB1155" i="6"/>
  <c r="CU1155" i="6" s="1"/>
  <c r="BF1156" i="6"/>
  <c r="DA1156" i="6" s="1"/>
  <c r="D12" i="42428"/>
  <c r="H1149" i="6"/>
  <c r="CQ1149" i="6" s="1"/>
  <c r="C22" i="42461"/>
  <c r="C24" i="42461" s="1"/>
  <c r="AZ11" i="42446"/>
  <c r="BB11" i="42446" s="1"/>
  <c r="BT1119" i="6"/>
  <c r="BU1143" i="6"/>
  <c r="DD1143" i="6" s="1"/>
  <c r="F34" i="42457"/>
  <c r="BP1139" i="6"/>
  <c r="DC1139" i="6" s="1"/>
  <c r="AO1140" i="6"/>
  <c r="AV1139" i="6"/>
  <c r="CY1139" i="6" s="1"/>
  <c r="X1139" i="6"/>
  <c r="AB1139" i="6" s="1"/>
  <c r="CU1139" i="6" s="1"/>
  <c r="BQ24" i="42290"/>
  <c r="EO595" i="42458"/>
  <c r="CB1203" i="6"/>
  <c r="BP24" i="42290"/>
  <c r="EN595" i="42458"/>
  <c r="BS124" i="42290"/>
  <c r="EQ593" i="42458"/>
  <c r="BU1339" i="6"/>
  <c r="BQ124" i="42290"/>
  <c r="EO593" i="42458"/>
  <c r="BP124" i="42290"/>
  <c r="EN593" i="42458"/>
  <c r="G22" i="42475"/>
  <c r="BP1343" i="6"/>
  <c r="DC87" i="6"/>
  <c r="BC821" i="6"/>
  <c r="BK787" i="6"/>
  <c r="BK812" i="6" s="1"/>
  <c r="DB812" i="6" s="1"/>
  <c r="BN774" i="6"/>
  <c r="BO776" i="6"/>
  <c r="BJ776" i="6"/>
  <c r="H50" i="6"/>
  <c r="R50" i="6"/>
  <c r="AG50" i="6"/>
  <c r="AQ50" i="6"/>
  <c r="BQ859" i="6"/>
  <c r="BQ865" i="6" s="1"/>
  <c r="BG799" i="6"/>
  <c r="BG913" i="6" s="1"/>
  <c r="BG914" i="6" s="1"/>
  <c r="BJ774" i="6"/>
  <c r="BN785" i="6"/>
  <c r="BN788" i="6"/>
  <c r="BJ777" i="6"/>
  <c r="BJ847" i="6" s="1"/>
  <c r="BK847" i="6" s="1"/>
  <c r="CB818" i="6"/>
  <c r="BC796" i="6"/>
  <c r="BJ812" i="6"/>
  <c r="BJ813" i="6" s="1"/>
  <c r="BJ809" i="6" s="1"/>
  <c r="BJ800" i="6" s="1"/>
  <c r="BE812" i="6"/>
  <c r="BE813" i="6" s="1"/>
  <c r="BJ793" i="6"/>
  <c r="BJ796" i="6" s="1"/>
  <c r="BT859" i="6"/>
  <c r="BT865" i="6" s="1"/>
  <c r="BC820" i="6"/>
  <c r="BT828" i="6"/>
  <c r="BC840" i="6"/>
  <c r="BC867" i="6" s="1"/>
  <c r="BI774" i="6"/>
  <c r="BK791" i="6"/>
  <c r="DB791" i="6" s="1"/>
  <c r="CA828" i="6"/>
  <c r="BO777" i="6"/>
  <c r="BO847" i="6" s="1"/>
  <c r="BF787" i="6"/>
  <c r="BF782" i="6" s="1"/>
  <c r="BC799" i="6"/>
  <c r="BC913" i="6" s="1"/>
  <c r="BC914" i="6" s="1"/>
  <c r="BE776" i="6"/>
  <c r="BE774" i="6"/>
  <c r="BE799" i="6"/>
  <c r="BE913" i="6" s="1"/>
  <c r="BE914" i="6" s="1"/>
  <c r="BB820" i="6"/>
  <c r="BE788" i="6"/>
  <c r="DE828" i="6"/>
  <c r="BE777" i="6"/>
  <c r="L22" i="42474"/>
  <c r="F22" i="42475"/>
  <c r="K22" i="42475"/>
  <c r="F22" i="42474"/>
  <c r="R47" i="42446"/>
  <c r="D45" i="42446"/>
  <c r="BS63" i="42290"/>
  <c r="BS67" i="42290" s="1"/>
  <c r="BS70" i="42290" s="1"/>
  <c r="EQ597" i="42458"/>
  <c r="BO24" i="42290"/>
  <c r="BO33" i="42290" s="1"/>
  <c r="BM33" i="42290" s="1"/>
  <c r="EM595" i="42458"/>
  <c r="F10" i="42459"/>
  <c r="K10" i="42464"/>
  <c r="C53" i="42459"/>
  <c r="L53" i="42459" s="1"/>
  <c r="P10" i="42475"/>
  <c r="L10" i="42475"/>
  <c r="L10" i="42461"/>
  <c r="K10" i="42461"/>
  <c r="P10" i="42461"/>
  <c r="Q10" i="42459"/>
  <c r="Z52" i="6"/>
  <c r="AL21" i="6"/>
  <c r="CW21" i="6" s="1"/>
  <c r="F10" i="42461"/>
  <c r="F10" i="42475"/>
  <c r="G10" i="42459"/>
  <c r="F10" i="42467"/>
  <c r="P10" i="42459"/>
  <c r="Q10" i="42467"/>
  <c r="P10" i="42467"/>
  <c r="K10" i="42467"/>
  <c r="Q10" i="42464"/>
  <c r="S22" i="6"/>
  <c r="D34" i="6"/>
  <c r="G10" i="42467"/>
  <c r="AK170" i="6"/>
  <c r="AL170" i="6" s="1"/>
  <c r="G10" i="42461"/>
  <c r="L10" i="42459"/>
  <c r="Z22" i="6"/>
  <c r="D53" i="42473"/>
  <c r="F18" i="42443"/>
  <c r="W51" i="6"/>
  <c r="I56" i="6"/>
  <c r="AV44" i="6"/>
  <c r="H84" i="42434" s="1"/>
  <c r="I58" i="6"/>
  <c r="L89" i="42434"/>
  <c r="CI505" i="42458"/>
  <c r="E35" i="42446"/>
  <c r="E34" i="42446"/>
  <c r="B52" i="42446"/>
  <c r="D49" i="42446"/>
  <c r="S12" i="42446"/>
  <c r="S11" i="42446"/>
  <c r="EQ594" i="42458"/>
  <c r="BO50" i="42290"/>
  <c r="BO54" i="42290" s="1"/>
  <c r="BO57" i="42290" s="1"/>
  <c r="EM594" i="42458"/>
  <c r="S35" i="42446"/>
  <c r="Q54" i="42446"/>
  <c r="D54" i="42446"/>
  <c r="Q45" i="42446"/>
  <c r="D60" i="42446"/>
  <c r="E29" i="42446"/>
  <c r="S27" i="42446"/>
  <c r="S46" i="42446" s="1"/>
  <c r="R46" i="42446"/>
  <c r="Q60" i="42446"/>
  <c r="S30" i="42446"/>
  <c r="B47" i="42446"/>
  <c r="P61" i="42446"/>
  <c r="S16" i="42446"/>
  <c r="D52" i="42446"/>
  <c r="D20" i="42446"/>
  <c r="C50" i="42446"/>
  <c r="B49" i="42446"/>
  <c r="C48" i="42446"/>
  <c r="E11" i="42446"/>
  <c r="B46" i="42446"/>
  <c r="H85" i="42458"/>
  <c r="DL552" i="42458"/>
  <c r="CK490" i="42458"/>
  <c r="DJ542" i="42458"/>
  <c r="BN446" i="42458"/>
  <c r="BN450" i="42458" s="1"/>
  <c r="BM450" i="42458" s="1"/>
  <c r="AG358" i="42458"/>
  <c r="AG359" i="42458" s="1"/>
  <c r="AK363" i="42458" s="1"/>
  <c r="AG328" i="42458"/>
  <c r="AG329" i="42458" s="1"/>
  <c r="AK361" i="42458" s="1"/>
  <c r="H74" i="42458"/>
  <c r="DL558" i="42458"/>
  <c r="DI542" i="42458"/>
  <c r="I51" i="42458"/>
  <c r="B4" i="42458"/>
  <c r="I68" i="42458"/>
  <c r="BO312" i="6"/>
  <c r="AG343" i="42458"/>
  <c r="AG344" i="42458" s="1"/>
  <c r="AK365" i="42458" s="1"/>
  <c r="DL555" i="42458"/>
  <c r="BQ419" i="42458"/>
  <c r="BQ423" i="42458" s="1"/>
  <c r="Q61" i="42446"/>
  <c r="D51" i="42446"/>
  <c r="E10" i="42446"/>
  <c r="S18" i="42446"/>
  <c r="S54" i="42446" s="1"/>
  <c r="S9" i="42446"/>
  <c r="E28" i="42446"/>
  <c r="F11" i="42446" s="1"/>
  <c r="BN80" i="42290"/>
  <c r="BN84" i="42290" s="1"/>
  <c r="BN87" i="42290" s="1"/>
  <c r="BY434" i="6"/>
  <c r="CN434" i="6" s="1"/>
  <c r="CO434" i="6" s="1"/>
  <c r="EL596" i="42458"/>
  <c r="DC434" i="6"/>
  <c r="EM596" i="42458"/>
  <c r="J51" i="42458"/>
  <c r="J85" i="42458" s="1"/>
  <c r="EL589" i="42458"/>
  <c r="L20" i="42461"/>
  <c r="L20" i="42455"/>
  <c r="Q20" i="42455"/>
  <c r="K20" i="42461"/>
  <c r="BS50" i="42290"/>
  <c r="BS54" i="42290" s="1"/>
  <c r="BS57" i="42290" s="1"/>
  <c r="BN63" i="42290"/>
  <c r="BN67" i="42290" s="1"/>
  <c r="BN70" i="42290" s="1"/>
  <c r="BP435" i="6"/>
  <c r="EM597" i="42458" s="1"/>
  <c r="BO80" i="42290"/>
  <c r="BO84" i="42290" s="1"/>
  <c r="BO87" i="42290" s="1"/>
  <c r="BP455" i="6"/>
  <c r="DC455" i="6" s="1"/>
  <c r="E13" i="42446"/>
  <c r="P46" i="42446"/>
  <c r="P50" i="42446"/>
  <c r="S14" i="42446"/>
  <c r="S34" i="42446"/>
  <c r="S33" i="42446"/>
  <c r="S52" i="42446" s="1"/>
  <c r="P48" i="42446"/>
  <c r="S17" i="42446"/>
  <c r="R61" i="42446"/>
  <c r="C60" i="42446"/>
  <c r="E27" i="42446"/>
  <c r="AS1285" i="6"/>
  <c r="AS1176" i="6"/>
  <c r="AS1178" i="6" s="1"/>
  <c r="AS1141" i="6"/>
  <c r="AS1266" i="6"/>
  <c r="AS1268" i="6" s="1"/>
  <c r="AT1041" i="6"/>
  <c r="AS1042" i="6"/>
  <c r="K331" i="6"/>
  <c r="K336" i="6" s="1"/>
  <c r="BB291" i="6"/>
  <c r="BB292" i="6" s="1"/>
  <c r="BA753" i="6"/>
  <c r="CZ753" i="6" s="1"/>
  <c r="CZ291" i="6"/>
  <c r="L34" i="42459"/>
  <c r="K34" i="42459"/>
  <c r="CY1077" i="6"/>
  <c r="AV1079" i="6"/>
  <c r="CY1079" i="6" s="1"/>
  <c r="BI1022" i="6"/>
  <c r="BJ1022" i="6" s="1"/>
  <c r="BK1022" i="6" s="1"/>
  <c r="DB1022" i="6" s="1"/>
  <c r="BH145" i="6"/>
  <c r="P1022" i="6"/>
  <c r="Q1022" i="6" s="1"/>
  <c r="O145" i="6"/>
  <c r="AG330" i="6"/>
  <c r="CV330" i="6" s="1"/>
  <c r="AF331" i="6"/>
  <c r="AF336" i="6" s="1"/>
  <c r="CS328" i="6"/>
  <c r="R749" i="6"/>
  <c r="CS749" i="6" s="1"/>
  <c r="F1027" i="6"/>
  <c r="G1027" i="6" s="1"/>
  <c r="CQ329" i="6"/>
  <c r="F31" i="42432"/>
  <c r="G31" i="42432"/>
  <c r="M19" i="42453"/>
  <c r="DA1116" i="6"/>
  <c r="I19" i="42453"/>
  <c r="CW1116" i="6"/>
  <c r="F19" i="42453"/>
  <c r="CT1116" i="6"/>
  <c r="CQ1077" i="6"/>
  <c r="H1079" i="6"/>
  <c r="CQ1079" i="6" s="1"/>
  <c r="P1027" i="6"/>
  <c r="Q1027" i="6" s="1"/>
  <c r="K37" i="42475"/>
  <c r="G37" i="42475"/>
  <c r="L37" i="42475"/>
  <c r="L32" i="42452"/>
  <c r="F32" i="42452"/>
  <c r="K32" i="42452"/>
  <c r="AX711" i="6"/>
  <c r="AX713" i="6" s="1"/>
  <c r="BS347" i="6"/>
  <c r="AT329" i="6"/>
  <c r="AT330" i="6" s="1"/>
  <c r="AI889" i="6"/>
  <c r="G1079" i="6"/>
  <c r="BQ850" i="6"/>
  <c r="BJ1038" i="6"/>
  <c r="AL904" i="6"/>
  <c r="CW904" i="6" s="1"/>
  <c r="AK1313" i="6"/>
  <c r="AK1316" i="6" s="1"/>
  <c r="AU1079" i="6"/>
  <c r="F126" i="6"/>
  <c r="AJ1309" i="6"/>
  <c r="AR649" i="6"/>
  <c r="P330" i="6"/>
  <c r="Q331" i="6" s="1"/>
  <c r="Q336" i="6" s="1"/>
  <c r="H278" i="6"/>
  <c r="CQ278" i="6" s="1"/>
  <c r="F12" i="42455"/>
  <c r="BY266" i="42290"/>
  <c r="BY269" i="42290" s="1"/>
  <c r="F37" i="42475"/>
  <c r="BS1340" i="6"/>
  <c r="G24" i="42437"/>
  <c r="AT1312" i="6"/>
  <c r="AV1312" i="6" s="1"/>
  <c r="CY1312" i="6" s="1"/>
  <c r="AN1309" i="6"/>
  <c r="BF940" i="6"/>
  <c r="DA940" i="6" s="1"/>
  <c r="T511" i="6"/>
  <c r="O511" i="6"/>
  <c r="AC330" i="6"/>
  <c r="T330" i="6"/>
  <c r="O330" i="6"/>
  <c r="K252" i="6"/>
  <c r="W54" i="6"/>
  <c r="BB538" i="6"/>
  <c r="BG538" i="6" s="1"/>
  <c r="AW540" i="6"/>
  <c r="AW542" i="6" s="1"/>
  <c r="AQ629" i="6"/>
  <c r="AP693" i="6"/>
  <c r="AP749" i="6" s="1"/>
  <c r="AX565" i="6"/>
  <c r="W1190" i="6"/>
  <c r="CT1190" i="6" s="1"/>
  <c r="W1188" i="6"/>
  <c r="CT1188" i="6" s="1"/>
  <c r="R45" i="42446"/>
  <c r="P60" i="42446"/>
  <c r="R37" i="42446"/>
  <c r="P45" i="42446"/>
  <c r="R50" i="42446"/>
  <c r="Q51" i="42446"/>
  <c r="E32" i="42446"/>
  <c r="S31" i="42446"/>
  <c r="S28" i="42446"/>
  <c r="E26" i="42446"/>
  <c r="R60" i="42446"/>
  <c r="S26" i="42446"/>
  <c r="E9" i="42446"/>
  <c r="C37" i="42446"/>
  <c r="C54" i="42446"/>
  <c r="P52" i="42446"/>
  <c r="C52" i="42446"/>
  <c r="P20" i="42446"/>
  <c r="C51" i="42446"/>
  <c r="B48" i="42446"/>
  <c r="BZ266" i="42290"/>
  <c r="BZ273" i="42290" s="1"/>
  <c r="CE894" i="6"/>
  <c r="CE903" i="6"/>
  <c r="BD538" i="6"/>
  <c r="AY540" i="6"/>
  <c r="AY542" i="6" s="1"/>
  <c r="BA538" i="6"/>
  <c r="AY702" i="6"/>
  <c r="AY711" i="6" s="1"/>
  <c r="AY713" i="6" s="1"/>
  <c r="AY728" i="6" s="1"/>
  <c r="F360" i="6"/>
  <c r="F492" i="6" s="1"/>
  <c r="S334" i="6"/>
  <c r="Q1021" i="6"/>
  <c r="R1021" i="6" s="1"/>
  <c r="CS1021" i="6" s="1"/>
  <c r="R127" i="6"/>
  <c r="CS127" i="6" s="1"/>
  <c r="AS531" i="6"/>
  <c r="BF1145" i="6"/>
  <c r="BK1139" i="6"/>
  <c r="DB1139" i="6" s="1"/>
  <c r="AL1136" i="6"/>
  <c r="CI1152" i="6" s="1"/>
  <c r="CI1153" i="6" s="1"/>
  <c r="AH1139" i="6"/>
  <c r="AL1139" i="6" s="1"/>
  <c r="CW1139" i="6" s="1"/>
  <c r="AB1136" i="6"/>
  <c r="CU1136" i="6" s="1"/>
  <c r="R1136" i="6"/>
  <c r="CS1136" i="6" s="1"/>
  <c r="AZ749" i="6"/>
  <c r="AP615" i="6"/>
  <c r="AQ615" i="6" s="1"/>
  <c r="AQ538" i="6"/>
  <c r="AK473" i="6"/>
  <c r="Q473" i="6"/>
  <c r="E473" i="6"/>
  <c r="F107" i="6"/>
  <c r="F110" i="6" s="1"/>
  <c r="CF891" i="6"/>
  <c r="CF900" i="6" s="1"/>
  <c r="BA1161" i="6"/>
  <c r="CZ1161" i="6" s="1"/>
  <c r="AP1021" i="6"/>
  <c r="AP145" i="6" s="1"/>
  <c r="AQ145" i="6" s="1"/>
  <c r="CX145" i="6" s="1"/>
  <c r="X283" i="42290"/>
  <c r="X282" i="42290" s="1"/>
  <c r="X288" i="42290" s="1"/>
  <c r="CA1142" i="6"/>
  <c r="DF1142" i="6" s="1"/>
  <c r="E476" i="6"/>
  <c r="AK475" i="6"/>
  <c r="E475" i="6"/>
  <c r="BE473" i="6"/>
  <c r="BM576" i="6"/>
  <c r="H360" i="6"/>
  <c r="H492" i="6" s="1"/>
  <c r="CQ492" i="6" s="1"/>
  <c r="BB574" i="6"/>
  <c r="AM1199" i="6"/>
  <c r="BM476" i="6"/>
  <c r="BE474" i="6"/>
  <c r="Q430" i="6"/>
  <c r="E430" i="6"/>
  <c r="AN127" i="6"/>
  <c r="AI127" i="6"/>
  <c r="AD127" i="6"/>
  <c r="O127" i="6"/>
  <c r="P126" i="6"/>
  <c r="K126" i="6"/>
  <c r="G33" i="42473"/>
  <c r="G28" i="42473"/>
  <c r="G41" i="42464"/>
  <c r="W1106" i="6"/>
  <c r="CT1106" i="6" s="1"/>
  <c r="V1161" i="6"/>
  <c r="W1161" i="6" s="1"/>
  <c r="CT1161" i="6" s="1"/>
  <c r="CZ1305" i="6"/>
  <c r="BF1313" i="6"/>
  <c r="CX1305" i="6"/>
  <c r="BK1313" i="6"/>
  <c r="DB1313" i="6" s="1"/>
  <c r="BP1313" i="6"/>
  <c r="AY1316" i="6"/>
  <c r="BA1313" i="6"/>
  <c r="CZ1313" i="6" s="1"/>
  <c r="AU1316" i="6"/>
  <c r="BP1336" i="6"/>
  <c r="W888" i="6"/>
  <c r="CT888" i="6" s="1"/>
  <c r="M252" i="6"/>
  <c r="CR252" i="6" s="1"/>
  <c r="AN1316" i="6"/>
  <c r="F288" i="6"/>
  <c r="AY328" i="6"/>
  <c r="AY330" i="6" s="1"/>
  <c r="AZ331" i="6" s="1"/>
  <c r="AZ336" i="6" s="1"/>
  <c r="D751" i="6"/>
  <c r="U1151" i="6"/>
  <c r="AQ119" i="6"/>
  <c r="CX119" i="6" s="1"/>
  <c r="L143" i="6"/>
  <c r="AS387" i="6"/>
  <c r="AR405" i="6"/>
  <c r="AY1309" i="6"/>
  <c r="AK1309" i="6"/>
  <c r="V139" i="6"/>
  <c r="BQ1341" i="6"/>
  <c r="BA888" i="6"/>
  <c r="AV127" i="6"/>
  <c r="CY127" i="6" s="1"/>
  <c r="BJ429" i="6"/>
  <c r="BN127" i="6"/>
  <c r="BN107" i="6"/>
  <c r="BN110" i="6" s="1"/>
  <c r="AM405" i="6"/>
  <c r="AL1077" i="6"/>
  <c r="AK1079" i="6"/>
  <c r="AB1077" i="6"/>
  <c r="AA1079" i="6"/>
  <c r="AS331" i="6"/>
  <c r="AS336" i="6" s="1"/>
  <c r="AO942" i="6"/>
  <c r="AX411" i="6"/>
  <c r="AX474" i="6" s="1"/>
  <c r="I753" i="6"/>
  <c r="BF136" i="6"/>
  <c r="DA136" i="6" s="1"/>
  <c r="BP1198" i="6"/>
  <c r="DC1198" i="6" s="1"/>
  <c r="AL1189" i="6"/>
  <c r="CW1189" i="6" s="1"/>
  <c r="BK1164" i="6"/>
  <c r="AQ1157" i="6"/>
  <c r="CX1157" i="6" s="1"/>
  <c r="AL1156" i="6"/>
  <c r="CW1156" i="6" s="1"/>
  <c r="BD904" i="6"/>
  <c r="BF904" i="6" s="1"/>
  <c r="DA904" i="6" s="1"/>
  <c r="BE565" i="6"/>
  <c r="AZ426" i="6"/>
  <c r="BA405" i="6"/>
  <c r="CZ405" i="6" s="1"/>
  <c r="AV384" i="6"/>
  <c r="CY384" i="6" s="1"/>
  <c r="L330" i="6"/>
  <c r="X291" i="6"/>
  <c r="AA288" i="6"/>
  <c r="AB288" i="6" s="1"/>
  <c r="I252" i="6"/>
  <c r="AV73" i="6"/>
  <c r="CD481" i="6"/>
  <c r="CD480" i="6"/>
  <c r="CD482" i="6"/>
  <c r="CD479" i="6"/>
  <c r="CD478" i="6"/>
  <c r="BD1161" i="6"/>
  <c r="BF1161" i="6" s="1"/>
  <c r="DA1161" i="6" s="1"/>
  <c r="AV1087" i="6"/>
  <c r="AF1079" i="6"/>
  <c r="R1077" i="6"/>
  <c r="BB1007" i="6"/>
  <c r="AQ940" i="6"/>
  <c r="CX940" i="6" s="1"/>
  <c r="AI925" i="6"/>
  <c r="AY904" i="6"/>
  <c r="AM904" i="6"/>
  <c r="L904" i="6"/>
  <c r="BF903" i="6"/>
  <c r="AL903" i="6"/>
  <c r="AL891" i="6"/>
  <c r="AG891" i="6"/>
  <c r="CV891" i="6" s="1"/>
  <c r="Y892" i="6"/>
  <c r="BF699" i="6"/>
  <c r="BF710" i="6" s="1"/>
  <c r="BK676" i="6"/>
  <c r="BK677" i="6" s="1"/>
  <c r="BA646" i="6"/>
  <c r="BA647" i="6" s="1"/>
  <c r="AQ646" i="6"/>
  <c r="AQ647" i="6" s="1"/>
  <c r="BF612" i="6"/>
  <c r="BF613" i="6" s="1"/>
  <c r="BA612" i="6"/>
  <c r="BA613" i="6" s="1"/>
  <c r="BC429" i="6"/>
  <c r="DZ591" i="42458" s="1"/>
  <c r="AU426" i="6"/>
  <c r="AW387" i="6"/>
  <c r="AV405" i="6"/>
  <c r="CY405" i="6" s="1"/>
  <c r="AQ384" i="6"/>
  <c r="H222" i="6"/>
  <c r="CQ222" i="6" s="1"/>
  <c r="BF87" i="6"/>
  <c r="M78" i="6"/>
  <c r="CG481" i="6"/>
  <c r="CG480" i="6"/>
  <c r="CG482" i="6"/>
  <c r="CG479" i="6"/>
  <c r="CC481" i="6"/>
  <c r="CC482" i="6"/>
  <c r="CC480" i="6"/>
  <c r="CC479" i="6"/>
  <c r="CC478" i="6"/>
  <c r="AC1042" i="6"/>
  <c r="AZ1007" i="6"/>
  <c r="AY1005" i="6"/>
  <c r="AQ968" i="6"/>
  <c r="CX968" i="6" s="1"/>
  <c r="H968" i="6"/>
  <c r="CQ968" i="6" s="1"/>
  <c r="AZ942" i="6"/>
  <c r="AM927" i="6"/>
  <c r="AO1005" i="6" s="1"/>
  <c r="AW904" i="6"/>
  <c r="AP904" i="6"/>
  <c r="X904" i="6"/>
  <c r="AQ658" i="6"/>
  <c r="AP649" i="6"/>
  <c r="AR615" i="6"/>
  <c r="BB429" i="6"/>
  <c r="DY591" i="42458" s="1"/>
  <c r="AQ408" i="6"/>
  <c r="AP426" i="6"/>
  <c r="CX387" i="6"/>
  <c r="AQ405" i="6"/>
  <c r="CX405" i="6" s="1"/>
  <c r="AQ73" i="6"/>
  <c r="BI127" i="6"/>
  <c r="AO127" i="6"/>
  <c r="AE127" i="6"/>
  <c r="Z127" i="6"/>
  <c r="U127" i="6"/>
  <c r="CF480" i="6"/>
  <c r="CF481" i="6"/>
  <c r="CF482" i="6"/>
  <c r="CF479" i="6"/>
  <c r="V21" i="42454"/>
  <c r="BS774" i="6"/>
  <c r="BN168" i="6"/>
  <c r="BC172" i="6"/>
  <c r="L172" i="6"/>
  <c r="AN1114" i="6"/>
  <c r="AN1127" i="6" s="1"/>
  <c r="BJ1000" i="6"/>
  <c r="BE1000" i="6"/>
  <c r="AA940" i="6"/>
  <c r="AI927" i="6"/>
  <c r="AN929" i="6" s="1"/>
  <c r="CG254" i="42425" s="1"/>
  <c r="AT904" i="6"/>
  <c r="AV904" i="6" s="1"/>
  <c r="CY904" i="6" s="1"/>
  <c r="AA904" i="6"/>
  <c r="P904" i="6"/>
  <c r="AQ510" i="6"/>
  <c r="CX510" i="6" s="1"/>
  <c r="BD429" i="6"/>
  <c r="EA591" i="42458" s="1"/>
  <c r="AV429" i="6"/>
  <c r="BA384" i="6"/>
  <c r="CZ384" i="6" s="1"/>
  <c r="U330" i="6"/>
  <c r="W81" i="6"/>
  <c r="CT81" i="6" s="1"/>
  <c r="M81" i="6"/>
  <c r="CR81" i="6" s="1"/>
  <c r="H81" i="6"/>
  <c r="CQ81" i="6" s="1"/>
  <c r="W78" i="6"/>
  <c r="AG73" i="6"/>
  <c r="CV73" i="6" s="1"/>
  <c r="AB54" i="6"/>
  <c r="F10" i="42473"/>
  <c r="CE480" i="6"/>
  <c r="CE481" i="6"/>
  <c r="CE482" i="6"/>
  <c r="CE479" i="6"/>
  <c r="G28" i="42454"/>
  <c r="CE478" i="6"/>
  <c r="AM505" i="6"/>
  <c r="AR505" i="6"/>
  <c r="AR521" i="6"/>
  <c r="AQ503" i="6"/>
  <c r="CX503" i="6" s="1"/>
  <c r="BJ51" i="6"/>
  <c r="X143" i="6"/>
  <c r="X1198" i="6"/>
  <c r="X147" i="6" s="1"/>
  <c r="AJ22" i="6"/>
  <c r="AJ170" i="6"/>
  <c r="C12" i="42440"/>
  <c r="L12" i="42440" s="1"/>
  <c r="Z1198" i="6"/>
  <c r="Z147" i="6" s="1"/>
  <c r="AC170" i="6"/>
  <c r="T22" i="6"/>
  <c r="G10" i="42448"/>
  <c r="Q10" i="42471"/>
  <c r="CL217" i="42425"/>
  <c r="AU170" i="6"/>
  <c r="AV170" i="6" s="1"/>
  <c r="AC22" i="6"/>
  <c r="Z170" i="6"/>
  <c r="X170" i="6"/>
  <c r="AK34" i="6"/>
  <c r="P10" i="42468"/>
  <c r="Q10" i="42468"/>
  <c r="AK22" i="6"/>
  <c r="P10" i="42473"/>
  <c r="D13" i="42447"/>
  <c r="G13" i="42447" s="1"/>
  <c r="CJ263" i="42425"/>
  <c r="Q10" i="42473"/>
  <c r="CH263" i="42425"/>
  <c r="AE22" i="6"/>
  <c r="J170" i="6"/>
  <c r="W21" i="6"/>
  <c r="CT21" i="6" s="1"/>
  <c r="C51" i="42452"/>
  <c r="L51" i="42452" s="1"/>
  <c r="K10" i="42473"/>
  <c r="K10" i="42471"/>
  <c r="C14" i="42452"/>
  <c r="L14" i="42452" s="1"/>
  <c r="L10" i="42471"/>
  <c r="BX263" i="42425"/>
  <c r="AI170" i="6"/>
  <c r="L10" i="42473"/>
  <c r="G10" i="42447"/>
  <c r="Q22" i="6"/>
  <c r="G10" i="42475"/>
  <c r="H430" i="6"/>
  <c r="CQ430" i="6" s="1"/>
  <c r="AF468" i="6"/>
  <c r="G16" i="42425"/>
  <c r="BF414" i="6"/>
  <c r="DA414" i="6" s="1"/>
  <c r="BK413" i="6"/>
  <c r="AF426" i="6"/>
  <c r="AF489" i="6" s="1"/>
  <c r="BK411" i="6"/>
  <c r="DB411" i="6" s="1"/>
  <c r="G32" i="42452"/>
  <c r="G34" i="42475"/>
  <c r="F28" i="42464"/>
  <c r="G11" i="42441"/>
  <c r="F27" i="42440"/>
  <c r="G22" i="42440"/>
  <c r="G11" i="42440"/>
  <c r="G27" i="42432"/>
  <c r="G7" i="42425"/>
  <c r="DC102" i="6"/>
  <c r="AK132" i="42290"/>
  <c r="AI132" i="42290" s="1"/>
  <c r="CU78" i="6"/>
  <c r="Q8" i="42474"/>
  <c r="G8" i="42474"/>
  <c r="BY217" i="42425"/>
  <c r="CY11" i="6"/>
  <c r="D52" i="42468"/>
  <c r="IV878" i="42425"/>
  <c r="IV879" i="42425" s="1"/>
  <c r="W17" i="42474"/>
  <c r="AL1341" i="6"/>
  <c r="L451" i="6"/>
  <c r="E48" i="42434"/>
  <c r="AD127" i="42434" s="1"/>
  <c r="IV887" i="42425"/>
  <c r="F10" i="42464"/>
  <c r="T49" i="42425"/>
  <c r="T51" i="42425" s="1"/>
  <c r="T52" i="42425" s="1"/>
  <c r="S49" i="42425"/>
  <c r="S51" i="42425" s="1"/>
  <c r="S52" i="42425" s="1"/>
  <c r="F447" i="6"/>
  <c r="E96" i="42290"/>
  <c r="E98" i="42290" s="1"/>
  <c r="E100" i="42290" s="1"/>
  <c r="G10" i="42428"/>
  <c r="K10" i="42428"/>
  <c r="F10" i="42428"/>
  <c r="AU131" i="42290"/>
  <c r="AU132" i="42290"/>
  <c r="AR132" i="42290" s="1"/>
  <c r="AU130" i="42290"/>
  <c r="AU202" i="42290"/>
  <c r="AU204" i="42290"/>
  <c r="AR204" i="42290" s="1"/>
  <c r="BJ63" i="42290"/>
  <c r="BJ67" i="42290" s="1"/>
  <c r="BJ70" i="42290" s="1"/>
  <c r="DB435" i="6"/>
  <c r="BK456" i="6"/>
  <c r="DB456" i="6" s="1"/>
  <c r="AP63" i="42290"/>
  <c r="AP67" i="42290" s="1"/>
  <c r="AP70" i="42290" s="1"/>
  <c r="AV456" i="6"/>
  <c r="CY456" i="6" s="1"/>
  <c r="AQ456" i="6"/>
  <c r="CX456" i="6" s="1"/>
  <c r="V63" i="42290"/>
  <c r="V67" i="42290" s="1"/>
  <c r="V70" i="42290" s="1"/>
  <c r="CT435" i="6"/>
  <c r="E11" i="42425"/>
  <c r="G11" i="42425" s="1"/>
  <c r="W456" i="6"/>
  <c r="CT456" i="6" s="1"/>
  <c r="BE80" i="42290"/>
  <c r="BE84" i="42290" s="1"/>
  <c r="BE87" i="42290" s="1"/>
  <c r="DA434" i="6"/>
  <c r="BK455" i="6"/>
  <c r="DB455" i="6" s="1"/>
  <c r="BF455" i="6"/>
  <c r="DA455" i="6" s="1"/>
  <c r="AK80" i="42290"/>
  <c r="AK84" i="42290" s="1"/>
  <c r="AK87" i="42290" s="1"/>
  <c r="CW434" i="6"/>
  <c r="AQ455" i="6"/>
  <c r="CX455" i="6" s="1"/>
  <c r="CS434" i="6"/>
  <c r="W455" i="6"/>
  <c r="CT455" i="6" s="1"/>
  <c r="AZ24" i="42290"/>
  <c r="AZ32" i="42290" s="1"/>
  <c r="CZ433" i="6"/>
  <c r="AF24" i="42290"/>
  <c r="AF33" i="42290" s="1"/>
  <c r="AD33" i="42290" s="1"/>
  <c r="F9" i="42425"/>
  <c r="G9" i="42425" s="1"/>
  <c r="CV433" i="6"/>
  <c r="L24" i="42290"/>
  <c r="L32" i="42290" s="1"/>
  <c r="K32" i="42290" s="1"/>
  <c r="M454" i="6"/>
  <c r="CR454" i="6" s="1"/>
  <c r="CR433" i="6"/>
  <c r="AU50" i="42290"/>
  <c r="AU54" i="42290" s="1"/>
  <c r="AU57" i="42290" s="1"/>
  <c r="CY432" i="6"/>
  <c r="AA50" i="42290"/>
  <c r="AA54" i="42290" s="1"/>
  <c r="AA57" i="42290" s="1"/>
  <c r="AG453" i="6"/>
  <c r="CV453" i="6" s="1"/>
  <c r="CU432" i="6"/>
  <c r="AB453" i="6"/>
  <c r="CU453" i="6" s="1"/>
  <c r="G50" i="42290"/>
  <c r="G54" i="42290" s="1"/>
  <c r="G57" i="42290" s="1"/>
  <c r="CQ432" i="6"/>
  <c r="BJ124" i="42290"/>
  <c r="BJ129" i="42290" s="1"/>
  <c r="BG129" i="42290" s="1"/>
  <c r="DB431" i="6"/>
  <c r="AP124" i="42290"/>
  <c r="CX431" i="6"/>
  <c r="AV452" i="6"/>
  <c r="CY452" i="6" s="1"/>
  <c r="AQ452" i="6"/>
  <c r="CX452" i="6" s="1"/>
  <c r="CT431" i="6"/>
  <c r="V124" i="42290"/>
  <c r="V132" i="42290" s="1"/>
  <c r="T132" i="42290" s="1"/>
  <c r="BC476" i="6"/>
  <c r="BF413" i="6"/>
  <c r="DA413" i="6" s="1"/>
  <c r="BJ475" i="6"/>
  <c r="BK412" i="6"/>
  <c r="DB412" i="6" s="1"/>
  <c r="BE475" i="6"/>
  <c r="BF412" i="6"/>
  <c r="DA412" i="6" s="1"/>
  <c r="D475" i="6"/>
  <c r="D426" i="6"/>
  <c r="D489" i="6" s="1"/>
  <c r="BI473" i="6"/>
  <c r="BK410" i="6"/>
  <c r="DB410" i="6" s="1"/>
  <c r="G473" i="6"/>
  <c r="H410" i="6"/>
  <c r="H473" i="6" s="1"/>
  <c r="CQ473" i="6" s="1"/>
  <c r="AK430" i="6"/>
  <c r="AK426" i="6"/>
  <c r="AU471" i="6"/>
  <c r="CV370" i="6"/>
  <c r="AH370" i="6"/>
  <c r="AI370" i="6" s="1"/>
  <c r="AJ370" i="6" s="1"/>
  <c r="CR370" i="6"/>
  <c r="N370" i="6"/>
  <c r="O370" i="6" s="1"/>
  <c r="P370" i="6" s="1"/>
  <c r="CW367" i="6"/>
  <c r="AM367" i="6"/>
  <c r="CS367" i="6"/>
  <c r="S367" i="6"/>
  <c r="T367" i="6" s="1"/>
  <c r="U367" i="6" s="1"/>
  <c r="BS392" i="6"/>
  <c r="BT392" i="6" s="1"/>
  <c r="BU392" i="6" s="1"/>
  <c r="BV392" i="6" s="1"/>
  <c r="BW392" i="6" s="1"/>
  <c r="BX392" i="6" s="1"/>
  <c r="BY392" i="6" s="1"/>
  <c r="BZ392" i="6" s="1"/>
  <c r="BO413" i="6"/>
  <c r="F15" i="42441"/>
  <c r="D47" i="42441"/>
  <c r="G16" i="42442"/>
  <c r="D48" i="42442"/>
  <c r="G48" i="42442" s="1"/>
  <c r="K9" i="42440"/>
  <c r="L9" i="42440"/>
  <c r="CD263" i="42425"/>
  <c r="CD217" i="42425"/>
  <c r="L36" i="42474"/>
  <c r="F36" i="42474"/>
  <c r="F9" i="42454"/>
  <c r="G9" i="42454"/>
  <c r="F8" i="42455"/>
  <c r="Y18" i="42473"/>
  <c r="K17" i="42454"/>
  <c r="K22" i="42454" s="1"/>
  <c r="F17" i="42454"/>
  <c r="C50" i="42454"/>
  <c r="L50" i="42454" s="1"/>
  <c r="T17" i="42454"/>
  <c r="G22" i="42437"/>
  <c r="F28" i="42448"/>
  <c r="L38" i="42473"/>
  <c r="F27" i="42437"/>
  <c r="K34" i="42441"/>
  <c r="G38" i="42468"/>
  <c r="G33" i="42464"/>
  <c r="K38" i="42468"/>
  <c r="F34" i="42475"/>
  <c r="I131" i="42290"/>
  <c r="I132" i="42290"/>
  <c r="K48" i="42468"/>
  <c r="F28" i="42441"/>
  <c r="G33" i="42451"/>
  <c r="F37" i="42437"/>
  <c r="F12" i="42467"/>
  <c r="Q12" i="42467"/>
  <c r="F33" i="42428"/>
  <c r="F35" i="42471"/>
  <c r="L33" i="42464"/>
  <c r="K33" i="42471"/>
  <c r="F34" i="42441"/>
  <c r="G33" i="42471"/>
  <c r="L35" i="42471"/>
  <c r="I134" i="42290"/>
  <c r="I133" i="42290"/>
  <c r="F33" i="42471"/>
  <c r="P12" i="42467"/>
  <c r="P9" i="42468"/>
  <c r="K24" i="42467"/>
  <c r="K12" i="42455"/>
  <c r="G38" i="42473"/>
  <c r="BR269" i="42290"/>
  <c r="Y25" i="42457"/>
  <c r="BR277" i="42290"/>
  <c r="C273" i="42290"/>
  <c r="BP410" i="6"/>
  <c r="BP473" i="6" s="1"/>
  <c r="DC473" i="6" s="1"/>
  <c r="F28" i="42471"/>
  <c r="F29" i="42467"/>
  <c r="G35" i="42452"/>
  <c r="I135" i="42290"/>
  <c r="P12" i="42475"/>
  <c r="L22" i="42437"/>
  <c r="K27" i="42437"/>
  <c r="AK130" i="42290"/>
  <c r="AG130" i="42290" s="1"/>
  <c r="AK135" i="42290"/>
  <c r="AI135" i="42290" s="1"/>
  <c r="V40" i="42425"/>
  <c r="V42" i="42425" s="1"/>
  <c r="V43" i="42425" s="1"/>
  <c r="Y19" i="42461"/>
  <c r="AO202" i="42290"/>
  <c r="L30" i="42468"/>
  <c r="C52" i="42467"/>
  <c r="L52" i="42467" s="1"/>
  <c r="K18" i="42440"/>
  <c r="G29" i="42437"/>
  <c r="F29" i="42437"/>
  <c r="AA489" i="6"/>
  <c r="K30" i="42473"/>
  <c r="AP204" i="42290"/>
  <c r="BZ217" i="42425"/>
  <c r="BZ218" i="42425" s="1"/>
  <c r="AA468" i="6"/>
  <c r="AK134" i="42290"/>
  <c r="AJ134" i="42290" s="1"/>
  <c r="AM202" i="42290"/>
  <c r="AK129" i="42290"/>
  <c r="R37" i="42425"/>
  <c r="G9" i="42475"/>
  <c r="K9" i="42475"/>
  <c r="K9" i="42467"/>
  <c r="F30" i="42473"/>
  <c r="L9" i="42467"/>
  <c r="F30" i="42468"/>
  <c r="W18" i="42467"/>
  <c r="Q9" i="42467"/>
  <c r="G30" i="42468"/>
  <c r="F25" i="42443"/>
  <c r="AK131" i="42290"/>
  <c r="AI131" i="42290" s="1"/>
  <c r="S40" i="42425"/>
  <c r="S42" i="42425" s="1"/>
  <c r="S43" i="42425" s="1"/>
  <c r="F9" i="42475"/>
  <c r="P9" i="42475"/>
  <c r="G25" i="42451"/>
  <c r="CF478" i="6"/>
  <c r="CG415" i="6"/>
  <c r="AN695" i="6"/>
  <c r="AN632" i="6"/>
  <c r="AS633" i="6" s="1"/>
  <c r="L489" i="6"/>
  <c r="D29" i="42290"/>
  <c r="E29" i="42290"/>
  <c r="F29" i="42290"/>
  <c r="AQ1024" i="6"/>
  <c r="CX1024" i="6" s="1"/>
  <c r="AP1317" i="6"/>
  <c r="AP137" i="6"/>
  <c r="AQ137" i="6" s="1"/>
  <c r="CX137" i="6" s="1"/>
  <c r="AD334" i="6"/>
  <c r="CU1033" i="6"/>
  <c r="BT1335" i="6"/>
  <c r="BT1336" i="6" s="1"/>
  <c r="T753" i="6"/>
  <c r="V290" i="42290"/>
  <c r="U290" i="42290" s="1"/>
  <c r="U292" i="42290" s="1"/>
  <c r="AN938" i="6"/>
  <c r="CQ256" i="6"/>
  <c r="Z145" i="6"/>
  <c r="AA1022" i="6"/>
  <c r="AA145" i="6" s="1"/>
  <c r="CR253" i="6"/>
  <c r="BB477" i="6"/>
  <c r="BB530" i="6"/>
  <c r="BB598" i="6"/>
  <c r="BG599" i="6" s="1"/>
  <c r="AO1153" i="6"/>
  <c r="AP1097" i="6"/>
  <c r="AP1153" i="6" s="1"/>
  <c r="L945" i="6"/>
  <c r="L944" i="6"/>
  <c r="AW946" i="6"/>
  <c r="BP1339" i="6"/>
  <c r="DC65" i="6"/>
  <c r="S172" i="6"/>
  <c r="R172" i="6"/>
  <c r="AQ114" i="6"/>
  <c r="CX114" i="6" s="1"/>
  <c r="AO632" i="6"/>
  <c r="AT633" i="6" s="1"/>
  <c r="AO695" i="6"/>
  <c r="AO696" i="6" s="1"/>
  <c r="BT191" i="42290"/>
  <c r="BT197" i="42290" s="1"/>
  <c r="BU780" i="6"/>
  <c r="DD780" i="6" s="1"/>
  <c r="CV54" i="6"/>
  <c r="AG108" i="6"/>
  <c r="CV108" i="6" s="1"/>
  <c r="R897" i="6"/>
  <c r="CS897" i="6" s="1"/>
  <c r="CS903" i="6"/>
  <c r="DB780" i="6"/>
  <c r="F289" i="6"/>
  <c r="F294" i="6" s="1"/>
  <c r="F749" i="6"/>
  <c r="F751" i="6" s="1"/>
  <c r="G903" i="6"/>
  <c r="G904" i="6" s="1"/>
  <c r="E897" i="6"/>
  <c r="AZ135" i="42290"/>
  <c r="AV135" i="42290" s="1"/>
  <c r="AZ129" i="42290"/>
  <c r="AY129" i="42290" s="1"/>
  <c r="AY393" i="6"/>
  <c r="AX414" i="6"/>
  <c r="AX477" i="6" s="1"/>
  <c r="K1063" i="6"/>
  <c r="J1064" i="6"/>
  <c r="J1066" i="6" s="1"/>
  <c r="AT22" i="6"/>
  <c r="AO170" i="6"/>
  <c r="AO22" i="6"/>
  <c r="CS39" i="6"/>
  <c r="R128" i="6"/>
  <c r="CS128" i="6" s="1"/>
  <c r="BC286" i="6"/>
  <c r="BD286" i="6" s="1"/>
  <c r="E28" i="42458"/>
  <c r="CY1143" i="6"/>
  <c r="BO119" i="6"/>
  <c r="BP119" i="6" s="1"/>
  <c r="DC119" i="6" s="1"/>
  <c r="BP114" i="6"/>
  <c r="DC114" i="6" s="1"/>
  <c r="AF1022" i="6"/>
  <c r="AG1022" i="6" s="1"/>
  <c r="CV1022" i="6" s="1"/>
  <c r="AE145" i="6"/>
  <c r="BO124" i="42290"/>
  <c r="BO129" i="42290" s="1"/>
  <c r="BM129" i="42290" s="1"/>
  <c r="BP452" i="6"/>
  <c r="DC452" i="6" s="1"/>
  <c r="AO371" i="6"/>
  <c r="AO413" i="6" s="1"/>
  <c r="AN413" i="6"/>
  <c r="AN476" i="6" s="1"/>
  <c r="J35" i="42453"/>
  <c r="AQ1335" i="6"/>
  <c r="AQ1336" i="6" s="1"/>
  <c r="CX87" i="6"/>
  <c r="L749" i="6"/>
  <c r="M286" i="6"/>
  <c r="G224" i="6"/>
  <c r="G229" i="6" s="1"/>
  <c r="H224" i="6"/>
  <c r="F224" i="6"/>
  <c r="F229" i="6" s="1"/>
  <c r="CY330" i="6"/>
  <c r="AW331" i="6"/>
  <c r="AW336" i="6" s="1"/>
  <c r="BB287" i="6"/>
  <c r="BC287" i="6" s="1"/>
  <c r="BD287" i="6" s="1"/>
  <c r="BE287" i="6" s="1"/>
  <c r="BF287" i="6" s="1"/>
  <c r="BG287" i="6" s="1"/>
  <c r="BH287" i="6" s="1"/>
  <c r="BI287" i="6" s="1"/>
  <c r="BJ287" i="6" s="1"/>
  <c r="BK287" i="6" s="1"/>
  <c r="BL287" i="6" s="1"/>
  <c r="BM287" i="6" s="1"/>
  <c r="BN287" i="6" s="1"/>
  <c r="BO287" i="6" s="1"/>
  <c r="BP287" i="6" s="1"/>
  <c r="BQ287" i="6" s="1"/>
  <c r="BR287" i="6" s="1"/>
  <c r="BS287" i="6" s="1"/>
  <c r="BT287" i="6" s="1"/>
  <c r="BU287" i="6" s="1"/>
  <c r="BV287" i="6" s="1"/>
  <c r="BA288" i="6"/>
  <c r="BF929" i="6"/>
  <c r="DA929" i="6" s="1"/>
  <c r="CZ927" i="6"/>
  <c r="BA958" i="6"/>
  <c r="CZ958" i="6" s="1"/>
  <c r="BA937" i="6"/>
  <c r="BA1007" i="6"/>
  <c r="CZ1007" i="6" s="1"/>
  <c r="BA1005" i="6"/>
  <c r="CZ1005" i="6" s="1"/>
  <c r="BA1006" i="6"/>
  <c r="CZ1006" i="6" s="1"/>
  <c r="AN928" i="6"/>
  <c r="CK258" i="42425"/>
  <c r="CK259" i="42425" s="1"/>
  <c r="D19" i="42450"/>
  <c r="F19" i="42450" s="1"/>
  <c r="AN958" i="6"/>
  <c r="AN965" i="6" s="1"/>
  <c r="AR1007" i="6"/>
  <c r="AS929" i="6"/>
  <c r="AR1005" i="6"/>
  <c r="AN45" i="6"/>
  <c r="AN999" i="6"/>
  <c r="AR1006" i="6"/>
  <c r="AB897" i="6"/>
  <c r="CU897" i="6" s="1"/>
  <c r="CU903" i="6"/>
  <c r="L21" i="42455"/>
  <c r="G21" i="42455"/>
  <c r="Q21" i="42455"/>
  <c r="K21" i="42455"/>
  <c r="C54" i="42455"/>
  <c r="L54" i="42455" s="1"/>
  <c r="P21" i="42455"/>
  <c r="C22" i="42455"/>
  <c r="U17" i="42455" s="1"/>
  <c r="AE990" i="6"/>
  <c r="AD961" i="6"/>
  <c r="AD965" i="6" s="1"/>
  <c r="AD967" i="6"/>
  <c r="T145" i="6"/>
  <c r="U1022" i="6"/>
  <c r="AR1316" i="6"/>
  <c r="AV1313" i="6"/>
  <c r="CQ1034" i="6"/>
  <c r="AR595" i="6"/>
  <c r="AP597" i="6"/>
  <c r="AQ595" i="6"/>
  <c r="AQ597" i="6" s="1"/>
  <c r="T170" i="6"/>
  <c r="Q170" i="6"/>
  <c r="R170" i="6" s="1"/>
  <c r="S170" i="6"/>
  <c r="CS190" i="6"/>
  <c r="R191" i="6"/>
  <c r="AZ542" i="6"/>
  <c r="AV540" i="6"/>
  <c r="AG21" i="6"/>
  <c r="AD22" i="6"/>
  <c r="AE170" i="6"/>
  <c r="AD34" i="6"/>
  <c r="AI22" i="6"/>
  <c r="AG26" i="6"/>
  <c r="AG33" i="6" s="1"/>
  <c r="AE33" i="6"/>
  <c r="AQ26" i="6"/>
  <c r="CX26" i="6" s="1"/>
  <c r="AM33" i="6"/>
  <c r="AM34" i="6" s="1"/>
  <c r="CS311" i="6"/>
  <c r="AQ72" i="42425"/>
  <c r="BI840" i="6"/>
  <c r="BI867" i="6" s="1"/>
  <c r="BJ828" i="6"/>
  <c r="BJ840" i="6" s="1"/>
  <c r="BI831" i="6"/>
  <c r="M172" i="6"/>
  <c r="AW1175" i="6"/>
  <c r="AX1175" i="6" s="1"/>
  <c r="BK1336" i="6"/>
  <c r="G34" i="42457"/>
  <c r="BF1034" i="6"/>
  <c r="DA1034" i="6" s="1"/>
  <c r="BE1035" i="6"/>
  <c r="AQ1312" i="6"/>
  <c r="CX1312" i="6" s="1"/>
  <c r="H127" i="6"/>
  <c r="CQ127" i="6" s="1"/>
  <c r="CQ10" i="6"/>
  <c r="AD1156" i="6"/>
  <c r="AE1156" i="6"/>
  <c r="BR1341" i="6"/>
  <c r="BR114" i="6"/>
  <c r="D21" i="42467"/>
  <c r="F21" i="42467" s="1"/>
  <c r="AR119" i="42467"/>
  <c r="AR118" i="42461"/>
  <c r="BJ944" i="6"/>
  <c r="V942" i="6"/>
  <c r="W940" i="6"/>
  <c r="CT940" i="6" s="1"/>
  <c r="BA1312" i="6"/>
  <c r="BG684" i="6"/>
  <c r="BG680" i="6"/>
  <c r="K334" i="6"/>
  <c r="M334" i="6"/>
  <c r="CR334" i="6" s="1"/>
  <c r="AY644" i="6"/>
  <c r="AV1032" i="6"/>
  <c r="AU1035" i="6"/>
  <c r="DD759" i="6"/>
  <c r="BR347" i="6"/>
  <c r="BR39" i="6"/>
  <c r="BR128" i="6" s="1"/>
  <c r="I1198" i="6"/>
  <c r="I147" i="6" s="1"/>
  <c r="DD54" i="6"/>
  <c r="BU108" i="6"/>
  <c r="DD108" i="6" s="1"/>
  <c r="DC1076" i="6"/>
  <c r="AK121" i="6"/>
  <c r="AK51" i="6"/>
  <c r="AK55" i="6" s="1"/>
  <c r="AK130" i="6"/>
  <c r="G19" i="42447"/>
  <c r="BX146" i="42425"/>
  <c r="BP148" i="42425"/>
  <c r="BR171" i="42290"/>
  <c r="BT171" i="42290" s="1"/>
  <c r="BT183" i="42290" s="1"/>
  <c r="CE777" i="6"/>
  <c r="CF761" i="6"/>
  <c r="AV979" i="6"/>
  <c r="AU1005" i="6"/>
  <c r="BH981" i="6"/>
  <c r="BI981" i="6" s="1"/>
  <c r="BG983" i="6"/>
  <c r="BG986" i="6" s="1"/>
  <c r="Q1015" i="6"/>
  <c r="Q140" i="6" s="1"/>
  <c r="P140" i="6"/>
  <c r="AJ140" i="6"/>
  <c r="AK1015" i="6"/>
  <c r="AK140" i="6" s="1"/>
  <c r="AT146" i="6"/>
  <c r="AU1023" i="6"/>
  <c r="AU146" i="6" s="1"/>
  <c r="AK1024" i="6"/>
  <c r="AL1024" i="6" s="1"/>
  <c r="CW1024" i="6" s="1"/>
  <c r="AJ137" i="6"/>
  <c r="BA1097" i="6"/>
  <c r="AZ1153" i="6"/>
  <c r="BA1153" i="6" s="1"/>
  <c r="CZ1153" i="6" s="1"/>
  <c r="CB1135" i="6"/>
  <c r="CB1164" i="6" s="1"/>
  <c r="DF1135" i="6"/>
  <c r="O1199" i="6"/>
  <c r="O1198" i="6" s="1"/>
  <c r="O147" i="6" s="1"/>
  <c r="O22" i="6"/>
  <c r="M17" i="42453"/>
  <c r="DA1124" i="6"/>
  <c r="AZ1041" i="6"/>
  <c r="AY1042" i="6"/>
  <c r="BM633" i="6"/>
  <c r="BH640" i="6"/>
  <c r="BH642" i="6" s="1"/>
  <c r="BH644" i="6" s="1"/>
  <c r="AZ1188" i="6"/>
  <c r="DE851" i="6"/>
  <c r="CA851" i="6"/>
  <c r="CB851" i="6" s="1"/>
  <c r="DG851" i="6" s="1"/>
  <c r="AZ100" i="42425"/>
  <c r="BB100" i="42425" s="1"/>
  <c r="IP887" i="42425"/>
  <c r="CV1124" i="6"/>
  <c r="L968" i="6"/>
  <c r="M968" i="6" s="1"/>
  <c r="CR968" i="6" s="1"/>
  <c r="M1016" i="6"/>
  <c r="CR1016" i="6" s="1"/>
  <c r="AQ1177" i="6"/>
  <c r="CX1177" i="6" s="1"/>
  <c r="AV1177" i="6"/>
  <c r="AV1178" i="6" s="1"/>
  <c r="CY1178" i="6" s="1"/>
  <c r="BF1040" i="6"/>
  <c r="BE149" i="6"/>
  <c r="BF149" i="6" s="1"/>
  <c r="DA149" i="6" s="1"/>
  <c r="O1333" i="6"/>
  <c r="O1042" i="6"/>
  <c r="P1040" i="6"/>
  <c r="Q148" i="6"/>
  <c r="R148" i="6" s="1"/>
  <c r="CS148" i="6" s="1"/>
  <c r="R1033" i="6"/>
  <c r="CS1033" i="6" s="1"/>
  <c r="BI1032" i="6"/>
  <c r="BH1199" i="6"/>
  <c r="AN1207" i="6"/>
  <c r="AN1199" i="6" s="1"/>
  <c r="AO1032" i="6"/>
  <c r="U1032" i="6"/>
  <c r="T1207" i="6"/>
  <c r="AD150" i="6"/>
  <c r="AE1031" i="6"/>
  <c r="M884" i="6"/>
  <c r="CR884" i="6" s="1"/>
  <c r="K884" i="6"/>
  <c r="K894" i="6" s="1"/>
  <c r="K895" i="6" s="1"/>
  <c r="X877" i="6"/>
  <c r="CT877" i="6"/>
  <c r="AS684" i="6"/>
  <c r="AS679" i="6"/>
  <c r="BD683" i="6"/>
  <c r="BF683" i="6" s="1"/>
  <c r="BF676" i="6"/>
  <c r="BF677" i="6" s="1"/>
  <c r="AY683" i="6"/>
  <c r="BA676" i="6"/>
  <c r="BA677" i="6" s="1"/>
  <c r="AR154" i="6"/>
  <c r="B12" i="42458"/>
  <c r="AI1198" i="6"/>
  <c r="AI147" i="6" s="1"/>
  <c r="AI993" i="6"/>
  <c r="AI1200" i="6" s="1"/>
  <c r="CC903" i="6"/>
  <c r="N965" i="6"/>
  <c r="D1170" i="6"/>
  <c r="D1172" i="6" s="1"/>
  <c r="F1153" i="6"/>
  <c r="H1153" i="6" s="1"/>
  <c r="F1035" i="6"/>
  <c r="AK1114" i="6"/>
  <c r="AL1114" i="6" s="1"/>
  <c r="CY1016" i="6"/>
  <c r="G18" i="42467"/>
  <c r="V891" i="6"/>
  <c r="U266" i="42290"/>
  <c r="U269" i="42290" s="1"/>
  <c r="AM1083" i="6"/>
  <c r="AM1082" i="6" s="1"/>
  <c r="BD172" i="6"/>
  <c r="AR729" i="6"/>
  <c r="AR654" i="6"/>
  <c r="AO993" i="6"/>
  <c r="AO961" i="6"/>
  <c r="AF1139" i="6"/>
  <c r="AS143" i="6"/>
  <c r="AL990" i="6"/>
  <c r="BF150" i="6"/>
  <c r="DA150" i="6" s="1"/>
  <c r="S43" i="42457"/>
  <c r="BH172" i="6"/>
  <c r="CV1116" i="6"/>
  <c r="H19" i="42453"/>
  <c r="C19" i="42453"/>
  <c r="CQ1116" i="6"/>
  <c r="E1161" i="6"/>
  <c r="E1170" i="6" s="1"/>
  <c r="E1172" i="6" s="1"/>
  <c r="F1106" i="6"/>
  <c r="F1161" i="6" s="1"/>
  <c r="CR1095" i="6"/>
  <c r="N1151" i="6"/>
  <c r="R1151" i="6" s="1"/>
  <c r="CS1151" i="6" s="1"/>
  <c r="CR1094" i="6"/>
  <c r="N1150" i="6"/>
  <c r="R1150" i="6" s="1"/>
  <c r="CS1150" i="6" s="1"/>
  <c r="BD1176" i="6"/>
  <c r="BD1266" i="6"/>
  <c r="BD1268" i="6" s="1"/>
  <c r="AY1141" i="6"/>
  <c r="AY1285" i="6"/>
  <c r="DB991" i="6"/>
  <c r="BK962" i="6"/>
  <c r="DB962" i="6" s="1"/>
  <c r="V34" i="6"/>
  <c r="Y170" i="6"/>
  <c r="P333" i="6"/>
  <c r="P334" i="6" s="1"/>
  <c r="W1025" i="6"/>
  <c r="CT1025" i="6" s="1"/>
  <c r="BA1098" i="6"/>
  <c r="Q1156" i="6"/>
  <c r="Q884" i="6"/>
  <c r="Q894" i="6" s="1"/>
  <c r="V895" i="6" s="1"/>
  <c r="AB129" i="6"/>
  <c r="CU129" i="6" s="1"/>
  <c r="AI1093" i="6"/>
  <c r="AJ1093" i="6" s="1"/>
  <c r="AK1093" i="6" s="1"/>
  <c r="AK1149" i="6" s="1"/>
  <c r="AK929" i="6"/>
  <c r="CE254" i="42425" s="1"/>
  <c r="U1351" i="6"/>
  <c r="AA170" i="6"/>
  <c r="AB170" i="6" s="1"/>
  <c r="BK127" i="6"/>
  <c r="DB127" i="6" s="1"/>
  <c r="AN33" i="6"/>
  <c r="AN34" i="6" s="1"/>
  <c r="AG880" i="6"/>
  <c r="CV880" i="6" s="1"/>
  <c r="CT114" i="6"/>
  <c r="AI1094" i="6"/>
  <c r="AP1084" i="6"/>
  <c r="AP680" i="6"/>
  <c r="AH1178" i="6"/>
  <c r="AW888" i="6"/>
  <c r="AL343" i="6"/>
  <c r="CW343" i="6" s="1"/>
  <c r="AH878" i="6"/>
  <c r="AH888" i="6" s="1"/>
  <c r="CT900" i="6"/>
  <c r="BM1000" i="6"/>
  <c r="BE1333" i="6"/>
  <c r="T968" i="6"/>
  <c r="T141" i="6"/>
  <c r="T140" i="6"/>
  <c r="U1015" i="6"/>
  <c r="BG867" i="6"/>
  <c r="DA759" i="6"/>
  <c r="BF774" i="6"/>
  <c r="AS615" i="6"/>
  <c r="AX574" i="6"/>
  <c r="AL511" i="6"/>
  <c r="CW511" i="6" s="1"/>
  <c r="F477" i="6"/>
  <c r="AZ475" i="6"/>
  <c r="AF475" i="6"/>
  <c r="L475" i="6"/>
  <c r="BM137" i="6"/>
  <c r="BP137" i="6" s="1"/>
  <c r="DC137" i="6" s="1"/>
  <c r="BM136" i="6"/>
  <c r="AT107" i="6"/>
  <c r="AT110" i="6" s="1"/>
  <c r="G34" i="42432"/>
  <c r="AT130" i="6"/>
  <c r="AK128" i="6"/>
  <c r="Q128" i="6"/>
  <c r="L128" i="6"/>
  <c r="G128" i="6"/>
  <c r="BA148" i="6"/>
  <c r="CZ148" i="6" s="1"/>
  <c r="AF477" i="6"/>
  <c r="L477" i="6"/>
  <c r="AZ476" i="6"/>
  <c r="AF476" i="6"/>
  <c r="F476" i="6"/>
  <c r="BH475" i="6"/>
  <c r="F475" i="6"/>
  <c r="BH136" i="6"/>
  <c r="BK136" i="6" s="1"/>
  <c r="DB136" i="6" s="1"/>
  <c r="AD136" i="6"/>
  <c r="AD129" i="6"/>
  <c r="Y129" i="6"/>
  <c r="AG503" i="6"/>
  <c r="CV503" i="6" s="1"/>
  <c r="AV149" i="6"/>
  <c r="CY149" i="6" s="1"/>
  <c r="BK150" i="6"/>
  <c r="DB150" i="6" s="1"/>
  <c r="G753" i="6"/>
  <c r="AF749" i="6"/>
  <c r="AZ750" i="6"/>
  <c r="AZ530" i="6"/>
  <c r="AZ531" i="6" s="1"/>
  <c r="AZ474" i="6"/>
  <c r="AF474" i="6"/>
  <c r="AZ473" i="6"/>
  <c r="AF473" i="6"/>
  <c r="L473" i="6"/>
  <c r="D51" i="6"/>
  <c r="D55" i="6" s="1"/>
  <c r="D56" i="6" s="1"/>
  <c r="AN136" i="6"/>
  <c r="AQ136" i="6" s="1"/>
  <c r="CX136" i="6" s="1"/>
  <c r="BD129" i="6"/>
  <c r="AT128" i="6"/>
  <c r="BI640" i="6"/>
  <c r="BI642" i="6" s="1"/>
  <c r="BD642" i="6"/>
  <c r="BP340" i="6"/>
  <c r="DC340" i="6" s="1"/>
  <c r="DC339" i="6"/>
  <c r="BN831" i="6"/>
  <c r="BN840" i="6"/>
  <c r="BP840" i="6" s="1"/>
  <c r="AQ1038" i="6"/>
  <c r="AP1042" i="6"/>
  <c r="CU38" i="6"/>
  <c r="HJ822" i="42425" s="1"/>
  <c r="AB107" i="6"/>
  <c r="W127" i="6"/>
  <c r="CT127" i="6" s="1"/>
  <c r="CT10" i="6"/>
  <c r="DA67" i="6"/>
  <c r="M125" i="42458"/>
  <c r="M101" i="42458" s="1"/>
  <c r="BJ685" i="6"/>
  <c r="BJ1333" i="6"/>
  <c r="BJ149" i="6"/>
  <c r="BK149" i="6" s="1"/>
  <c r="DB149" i="6" s="1"/>
  <c r="L43" i="42457"/>
  <c r="CZ1124" i="6"/>
  <c r="BF172" i="6"/>
  <c r="BA172" i="6"/>
  <c r="L17" i="42453"/>
  <c r="AO1139" i="6"/>
  <c r="AO1285" i="6"/>
  <c r="AO1266" i="6"/>
  <c r="AO1268" i="6" s="1"/>
  <c r="AO1176" i="6"/>
  <c r="AO1178" i="6" s="1"/>
  <c r="AO1114" i="6"/>
  <c r="AO1127" i="6" s="1"/>
  <c r="BQ333" i="6"/>
  <c r="BQ334" i="6" s="1"/>
  <c r="DC333" i="6"/>
  <c r="E14" i="42425"/>
  <c r="G14" i="42425" s="1"/>
  <c r="BL333" i="6"/>
  <c r="DB333" i="6"/>
  <c r="R1034" i="6"/>
  <c r="CS1034" i="6" s="1"/>
  <c r="AI363" i="6"/>
  <c r="AJ362" i="6"/>
  <c r="K21" i="6"/>
  <c r="K127" i="6"/>
  <c r="BF877" i="6"/>
  <c r="BF878" i="6" s="1"/>
  <c r="DA878" i="6" s="1"/>
  <c r="BD834" i="6"/>
  <c r="BD837" i="6" s="1"/>
  <c r="AW565" i="6"/>
  <c r="CF759" i="6"/>
  <c r="CE774" i="6"/>
  <c r="AM170" i="6"/>
  <c r="P170" i="6"/>
  <c r="P1199" i="6"/>
  <c r="R21" i="6"/>
  <c r="S1100" i="6"/>
  <c r="CS1100" i="6"/>
  <c r="BL946" i="6"/>
  <c r="BD1001" i="6"/>
  <c r="BE1001" i="6" s="1"/>
  <c r="BC1002" i="6"/>
  <c r="BK1034" i="6"/>
  <c r="DB1034" i="6" s="1"/>
  <c r="CZ1094" i="6"/>
  <c r="BB1094" i="6"/>
  <c r="T1199" i="6"/>
  <c r="T143" i="6" s="1"/>
  <c r="Y22" i="6"/>
  <c r="U170" i="6"/>
  <c r="BJ667" i="6"/>
  <c r="AX1316" i="6"/>
  <c r="CF760" i="6"/>
  <c r="X22" i="6"/>
  <c r="BG530" i="6"/>
  <c r="BG531" i="6" s="1"/>
  <c r="BD137" i="6"/>
  <c r="BF137" i="6" s="1"/>
  <c r="DA137" i="6" s="1"/>
  <c r="V973" i="6"/>
  <c r="P1156" i="6"/>
  <c r="BA1201" i="6"/>
  <c r="CZ1201" i="6" s="1"/>
  <c r="BA962" i="6"/>
  <c r="CZ962" i="6" s="1"/>
  <c r="AZ962" i="6"/>
  <c r="AZ1201" i="6"/>
  <c r="M1023" i="6"/>
  <c r="CR1023" i="6" s="1"/>
  <c r="L146" i="6"/>
  <c r="AF34" i="6"/>
  <c r="AF1199" i="6"/>
  <c r="BG473" i="6"/>
  <c r="BG474" i="6"/>
  <c r="BG632" i="6"/>
  <c r="AU1025" i="6"/>
  <c r="AT138" i="6"/>
  <c r="I308" i="6"/>
  <c r="G26" i="6"/>
  <c r="H306" i="6"/>
  <c r="J107" i="6"/>
  <c r="J110" i="6" s="1"/>
  <c r="J127" i="6"/>
  <c r="BD572" i="6"/>
  <c r="BI572" i="6" s="1"/>
  <c r="BI574" i="6" s="1"/>
  <c r="BA572" i="6"/>
  <c r="V1040" i="6"/>
  <c r="V1333" i="6" s="1"/>
  <c r="U149" i="6"/>
  <c r="AP958" i="6"/>
  <c r="AP999" i="6"/>
  <c r="AS1007" i="6"/>
  <c r="H50" i="42457"/>
  <c r="AW1351" i="6"/>
  <c r="BA1166" i="6"/>
  <c r="AW1273" i="6"/>
  <c r="AY371" i="6"/>
  <c r="AY413" i="6" s="1"/>
  <c r="P1351" i="6"/>
  <c r="P154" i="6"/>
  <c r="AZ1095" i="6"/>
  <c r="AY1224" i="6"/>
  <c r="AY1347" i="6" s="1"/>
  <c r="BE959" i="6"/>
  <c r="BE965" i="6" s="1"/>
  <c r="BI1007" i="6"/>
  <c r="BE1007" i="6"/>
  <c r="BF941" i="6"/>
  <c r="BH1007" i="6"/>
  <c r="I170" i="6"/>
  <c r="AB21" i="6"/>
  <c r="BH963" i="6"/>
  <c r="T34" i="6"/>
  <c r="X884" i="6"/>
  <c r="X894" i="6" s="1"/>
  <c r="AU929" i="6"/>
  <c r="CB1019" i="6"/>
  <c r="U291" i="6"/>
  <c r="BK1025" i="6"/>
  <c r="DB1025" i="6" s="1"/>
  <c r="AT990" i="6"/>
  <c r="AS993" i="6"/>
  <c r="BA1141" i="6"/>
  <c r="CZ1141" i="6" s="1"/>
  <c r="DE1158" i="6"/>
  <c r="CA1102" i="6"/>
  <c r="F938" i="6"/>
  <c r="F970" i="6"/>
  <c r="F942" i="6"/>
  <c r="CD962" i="6"/>
  <c r="CD993" i="6"/>
  <c r="BL606" i="6"/>
  <c r="BG608" i="6"/>
  <c r="M141" i="6"/>
  <c r="CR141" i="6" s="1"/>
  <c r="AQ30" i="6"/>
  <c r="CX30" i="6" s="1"/>
  <c r="Z149" i="6"/>
  <c r="AZ1266" i="6"/>
  <c r="AZ1268" i="6" s="1"/>
  <c r="BE1199" i="6"/>
  <c r="W308" i="6"/>
  <c r="CT308" i="6" s="1"/>
  <c r="L18" i="42464"/>
  <c r="AZ990" i="6"/>
  <c r="Z138" i="6"/>
  <c r="AB138" i="6" s="1"/>
  <c r="CU138" i="6" s="1"/>
  <c r="C9" i="42419"/>
  <c r="BG1084" i="6"/>
  <c r="V1016" i="6"/>
  <c r="W1016" i="6" s="1"/>
  <c r="CT1016" i="6" s="1"/>
  <c r="BA1099" i="6"/>
  <c r="BB1155" i="6" s="1"/>
  <c r="BF1155" i="6" s="1"/>
  <c r="DA1155" i="6" s="1"/>
  <c r="BF343" i="6"/>
  <c r="DA343" i="6" s="1"/>
  <c r="AB50" i="6"/>
  <c r="AV50" i="6"/>
  <c r="BH834" i="6"/>
  <c r="BH837" i="6" s="1"/>
  <c r="AQ343" i="6"/>
  <c r="CX343" i="6" s="1"/>
  <c r="W148" i="6"/>
  <c r="CT148" i="6" s="1"/>
  <c r="BL685" i="6"/>
  <c r="BK49" i="6"/>
  <c r="AZ610" i="6"/>
  <c r="AV303" i="6"/>
  <c r="AV304" i="6" s="1"/>
  <c r="CY304" i="6" s="1"/>
  <c r="AF1016" i="6"/>
  <c r="BB608" i="6"/>
  <c r="CW342" i="6"/>
  <c r="BF1033" i="6"/>
  <c r="DA1033" i="6" s="1"/>
  <c r="CW503" i="6"/>
  <c r="AX102" i="42425"/>
  <c r="BA308" i="6"/>
  <c r="CZ308" i="6" s="1"/>
  <c r="AE1027" i="6"/>
  <c r="AF1027" i="6" s="1"/>
  <c r="AG1027" i="6" s="1"/>
  <c r="CV1027" i="6" s="1"/>
  <c r="AO649" i="6"/>
  <c r="K965" i="6"/>
  <c r="M30" i="6"/>
  <c r="CR30" i="6" s="1"/>
  <c r="AY993" i="6"/>
  <c r="K9" i="42428"/>
  <c r="V965" i="6"/>
  <c r="K1207" i="6"/>
  <c r="BA1158" i="6"/>
  <c r="CZ1158" i="6" s="1"/>
  <c r="AQ1155" i="6"/>
  <c r="CX1155" i="6" s="1"/>
  <c r="AS649" i="6"/>
  <c r="AN649" i="6"/>
  <c r="B60" i="42446"/>
  <c r="B51" i="42446"/>
  <c r="Q20" i="42446"/>
  <c r="P37" i="42446"/>
  <c r="Q50" i="42446"/>
  <c r="D61" i="42446"/>
  <c r="B37" i="42446"/>
  <c r="E16" i="42446"/>
  <c r="D46" i="42446"/>
  <c r="C49" i="42446"/>
  <c r="E31" i="42446"/>
  <c r="S15" i="42446"/>
  <c r="Q37" i="42446"/>
  <c r="R20" i="42446"/>
  <c r="C20" i="42446"/>
  <c r="D37" i="42446"/>
  <c r="P47" i="42446"/>
  <c r="P51" i="42446"/>
  <c r="P54" i="42446"/>
  <c r="S13" i="42446"/>
  <c r="B20" i="42446"/>
  <c r="E15" i="42446"/>
  <c r="AA22" i="6"/>
  <c r="AC33" i="6"/>
  <c r="AC34" i="6" s="1"/>
  <c r="S33" i="6"/>
  <c r="Q33" i="6"/>
  <c r="V35" i="6" s="1"/>
  <c r="BV192" i="42290"/>
  <c r="BV204" i="42290" s="1"/>
  <c r="CF903" i="6"/>
  <c r="CF894" i="6"/>
  <c r="CA266" i="42290"/>
  <c r="CA277" i="42290" s="1"/>
  <c r="BV170" i="42290"/>
  <c r="BV175" i="42290" s="1"/>
  <c r="BU192" i="42290"/>
  <c r="BU202" i="42290" s="1"/>
  <c r="CD903" i="6"/>
  <c r="BC946" i="6"/>
  <c r="BA331" i="6"/>
  <c r="DC75" i="6"/>
  <c r="BP1341" i="6"/>
  <c r="BJ1021" i="6"/>
  <c r="BK1021" i="6" s="1"/>
  <c r="DB1021" i="6" s="1"/>
  <c r="BJ1024" i="6"/>
  <c r="BM55" i="6"/>
  <c r="H904" i="6"/>
  <c r="CQ904" i="6" s="1"/>
  <c r="DA38" i="6"/>
  <c r="HP822" i="42425" s="1"/>
  <c r="BF127" i="6"/>
  <c r="DA127" i="6" s="1"/>
  <c r="DC453" i="6"/>
  <c r="BB564" i="6"/>
  <c r="BB479" i="6"/>
  <c r="BB478" i="6"/>
  <c r="BB480" i="6"/>
  <c r="BB481" i="6"/>
  <c r="BB482" i="6"/>
  <c r="BD820" i="6"/>
  <c r="AV321" i="6"/>
  <c r="BI799" i="6"/>
  <c r="BI913" i="6" s="1"/>
  <c r="BI914" i="6" s="1"/>
  <c r="F10" i="42419"/>
  <c r="BR346" i="6"/>
  <c r="CF991" i="6"/>
  <c r="AK35" i="6"/>
  <c r="CB1020" i="6"/>
  <c r="AK942" i="6"/>
  <c r="AS33" i="6"/>
  <c r="R107" i="6"/>
  <c r="CS107" i="6" s="1"/>
  <c r="S884" i="6"/>
  <c r="S894" i="6" s="1"/>
  <c r="CS880" i="6"/>
  <c r="AT680" i="6"/>
  <c r="AY681" i="6"/>
  <c r="AU1230" i="6"/>
  <c r="AU1006" i="6"/>
  <c r="BA1230" i="6"/>
  <c r="CZ1230" i="6" s="1"/>
  <c r="CZ979" i="6"/>
  <c r="Z140" i="6"/>
  <c r="AA1015" i="6"/>
  <c r="F146" i="6"/>
  <c r="G1023" i="6"/>
  <c r="G146" i="6" s="1"/>
  <c r="AA1023" i="6"/>
  <c r="Z146" i="6"/>
  <c r="AK1023" i="6"/>
  <c r="AJ146" i="6"/>
  <c r="BE1023" i="6"/>
  <c r="BD146" i="6"/>
  <c r="AE138" i="6"/>
  <c r="AF1025" i="6"/>
  <c r="BD138" i="6"/>
  <c r="AT929" i="6"/>
  <c r="AO928" i="6"/>
  <c r="DC5" i="6"/>
  <c r="BP481" i="6"/>
  <c r="BP479" i="6"/>
  <c r="BP480" i="6"/>
  <c r="BP478" i="6"/>
  <c r="BQ479" i="6"/>
  <c r="BQ480" i="6"/>
  <c r="BQ481" i="6"/>
  <c r="BQ478" i="6"/>
  <c r="BP108" i="6"/>
  <c r="DC108" i="6" s="1"/>
  <c r="DC54" i="6"/>
  <c r="BB831" i="6"/>
  <c r="BB840" i="6"/>
  <c r="R961" i="6"/>
  <c r="CS961" i="6" s="1"/>
  <c r="CS990" i="6"/>
  <c r="R1200" i="6"/>
  <c r="CS1200" i="6" s="1"/>
  <c r="CT311" i="6"/>
  <c r="AR72" i="42425"/>
  <c r="AR74" i="42425" s="1"/>
  <c r="BN787" i="6"/>
  <c r="BO782" i="6"/>
  <c r="BO787" i="6" s="1"/>
  <c r="AV892" i="6"/>
  <c r="CY892" i="6" s="1"/>
  <c r="BK892" i="6"/>
  <c r="DB892" i="6" s="1"/>
  <c r="AT1006" i="6"/>
  <c r="AP45" i="6"/>
  <c r="AP929" i="6"/>
  <c r="AT1007" i="6"/>
  <c r="D21" i="42452"/>
  <c r="AS1005" i="6"/>
  <c r="AP937" i="6"/>
  <c r="AS1006" i="6"/>
  <c r="BD952" i="6"/>
  <c r="DE1198" i="6"/>
  <c r="AV478" i="6"/>
  <c r="AV481" i="6"/>
  <c r="AV482" i="6"/>
  <c r="AV479" i="6"/>
  <c r="AV480" i="6"/>
  <c r="BI1099" i="6"/>
  <c r="BH1155" i="6"/>
  <c r="BA481" i="6"/>
  <c r="BA482" i="6"/>
  <c r="BA480" i="6"/>
  <c r="BA479" i="6"/>
  <c r="BA478" i="6"/>
  <c r="CZ5" i="6"/>
  <c r="BA343" i="6"/>
  <c r="CZ343" i="6" s="1"/>
  <c r="AV343" i="6"/>
  <c r="CY343" i="6" s="1"/>
  <c r="K172" i="6"/>
  <c r="BL892" i="6"/>
  <c r="AJ892" i="6"/>
  <c r="CC902" i="6"/>
  <c r="AR679" i="6"/>
  <c r="X33" i="6"/>
  <c r="AY127" i="6"/>
  <c r="AM127" i="6"/>
  <c r="AH127" i="6"/>
  <c r="AC127" i="6"/>
  <c r="X127" i="6"/>
  <c r="S127" i="6"/>
  <c r="BW290" i="42290"/>
  <c r="BW292" i="42290" s="1"/>
  <c r="CB480" i="6"/>
  <c r="CB481" i="6"/>
  <c r="CB479" i="6"/>
  <c r="CB478" i="6"/>
  <c r="BU290" i="42290"/>
  <c r="BU292" i="42290" s="1"/>
  <c r="BN478" i="6"/>
  <c r="BN480" i="6"/>
  <c r="BN481" i="6"/>
  <c r="BN482" i="6"/>
  <c r="BN479" i="6"/>
  <c r="BJ478" i="6"/>
  <c r="BJ479" i="6"/>
  <c r="BJ480" i="6"/>
  <c r="BJ481" i="6"/>
  <c r="BJ482" i="6"/>
  <c r="BH478" i="6"/>
  <c r="BH479" i="6"/>
  <c r="BH480" i="6"/>
  <c r="BH481" i="6"/>
  <c r="BH482" i="6"/>
  <c r="BD478" i="6"/>
  <c r="BD480" i="6"/>
  <c r="BD481" i="6"/>
  <c r="BD482" i="6"/>
  <c r="BD479" i="6"/>
  <c r="AZ478" i="6"/>
  <c r="AZ479" i="6"/>
  <c r="AZ480" i="6"/>
  <c r="AZ481" i="6"/>
  <c r="AZ482" i="6"/>
  <c r="AX479" i="6"/>
  <c r="AX480" i="6"/>
  <c r="AX481" i="6"/>
  <c r="AX482" i="6"/>
  <c r="AX478" i="6"/>
  <c r="AT480" i="6"/>
  <c r="AT481" i="6"/>
  <c r="AT482" i="6"/>
  <c r="AT478" i="6"/>
  <c r="AT479" i="6"/>
  <c r="AP479" i="6"/>
  <c r="AP480" i="6"/>
  <c r="AP481" i="6"/>
  <c r="AP482" i="6"/>
  <c r="AP478" i="6"/>
  <c r="AN478" i="6"/>
  <c r="AN479" i="6"/>
  <c r="AN480" i="6"/>
  <c r="AN481" i="6"/>
  <c r="BS479" i="6"/>
  <c r="BS480" i="6"/>
  <c r="BS481" i="6"/>
  <c r="BS478" i="6"/>
  <c r="BU68" i="6"/>
  <c r="BK949" i="6"/>
  <c r="J33" i="6"/>
  <c r="J34" i="6" s="1"/>
  <c r="AF170" i="6"/>
  <c r="AG170" i="6" s="1"/>
  <c r="U938" i="6"/>
  <c r="BD944" i="6"/>
  <c r="AD974" i="6"/>
  <c r="AM696" i="6"/>
  <c r="AM478" i="6"/>
  <c r="AM480" i="6"/>
  <c r="AM481" i="6"/>
  <c r="AM479" i="6"/>
  <c r="BG480" i="6"/>
  <c r="BG481" i="6"/>
  <c r="BG479" i="6"/>
  <c r="BG478" i="6"/>
  <c r="BG482" i="6"/>
  <c r="BT290" i="42290"/>
  <c r="BT292" i="42290" s="1"/>
  <c r="BU480" i="6"/>
  <c r="BU481" i="6"/>
  <c r="BU479" i="6"/>
  <c r="BU478" i="6"/>
  <c r="AA33" i="6"/>
  <c r="AA34" i="6" s="1"/>
  <c r="AV28" i="6"/>
  <c r="CY28" i="6" s="1"/>
  <c r="J201" i="6"/>
  <c r="BC785" i="6"/>
  <c r="X965" i="6"/>
  <c r="AH965" i="6"/>
  <c r="AZ290" i="42290"/>
  <c r="AZ292" i="42290" s="1"/>
  <c r="AR478" i="6"/>
  <c r="AR479" i="6"/>
  <c r="AR480" i="6"/>
  <c r="AR481" i="6"/>
  <c r="AR482" i="6"/>
  <c r="BL477" i="6"/>
  <c r="BL479" i="6"/>
  <c r="BL478" i="6"/>
  <c r="BL480" i="6"/>
  <c r="BL481" i="6"/>
  <c r="BL482" i="6"/>
  <c r="W27" i="6"/>
  <c r="CT27" i="6" s="1"/>
  <c r="BF793" i="6"/>
  <c r="AE942" i="6"/>
  <c r="BP10" i="6"/>
  <c r="AW480" i="6"/>
  <c r="AW478" i="6"/>
  <c r="AW479" i="6"/>
  <c r="AW481" i="6"/>
  <c r="AW482" i="6"/>
  <c r="G10" i="42473"/>
  <c r="C52" i="42459"/>
  <c r="L52" i="42459" s="1"/>
  <c r="F29" i="42461"/>
  <c r="P128" i="6"/>
  <c r="K128" i="6"/>
  <c r="F128" i="6"/>
  <c r="BV290" i="42290"/>
  <c r="BV292" i="42290" s="1"/>
  <c r="CA480" i="6"/>
  <c r="CA481" i="6"/>
  <c r="CA479" i="6"/>
  <c r="CA478" i="6"/>
  <c r="BO479" i="6"/>
  <c r="BO480" i="6"/>
  <c r="BO481" i="6"/>
  <c r="BO478" i="6"/>
  <c r="BM478" i="6"/>
  <c r="BM479" i="6"/>
  <c r="BM480" i="6"/>
  <c r="BM481" i="6"/>
  <c r="BM482" i="6"/>
  <c r="BI479" i="6"/>
  <c r="BI481" i="6"/>
  <c r="BI482" i="6"/>
  <c r="BI478" i="6"/>
  <c r="BI480" i="6"/>
  <c r="BE478" i="6"/>
  <c r="BE479" i="6"/>
  <c r="BE480" i="6"/>
  <c r="BE481" i="6"/>
  <c r="BE482" i="6"/>
  <c r="BC478" i="6"/>
  <c r="BC479" i="6"/>
  <c r="BC480" i="6"/>
  <c r="BC481" i="6"/>
  <c r="BC482" i="6"/>
  <c r="AY479" i="6"/>
  <c r="AY481" i="6"/>
  <c r="AY482" i="6"/>
  <c r="AY480" i="6"/>
  <c r="AY478" i="6"/>
  <c r="AU479" i="6"/>
  <c r="AU480" i="6"/>
  <c r="AU481" i="6"/>
  <c r="AU482" i="6"/>
  <c r="AU478" i="6"/>
  <c r="AS478" i="6"/>
  <c r="AS479" i="6"/>
  <c r="AS480" i="6"/>
  <c r="AS481" i="6"/>
  <c r="AS482" i="6"/>
  <c r="AO479" i="6"/>
  <c r="AO481" i="6"/>
  <c r="AO478" i="6"/>
  <c r="AO480" i="6"/>
  <c r="BR479" i="6"/>
  <c r="BR480" i="6"/>
  <c r="BR481" i="6"/>
  <c r="BR478" i="6"/>
  <c r="BT479" i="6"/>
  <c r="BT480" i="6"/>
  <c r="BT481" i="6"/>
  <c r="BT478" i="6"/>
  <c r="BU454" i="6"/>
  <c r="DD454" i="6" s="1"/>
  <c r="F35" i="42473"/>
  <c r="BT204" i="42290"/>
  <c r="BP454" i="6"/>
  <c r="DC454" i="6" s="1"/>
  <c r="G30" i="42428"/>
  <c r="F35" i="42467"/>
  <c r="BQ149" i="6"/>
  <c r="AJ30" i="42290"/>
  <c r="AS196" i="42290"/>
  <c r="M30" i="42290"/>
  <c r="DC433" i="6"/>
  <c r="H476" i="6"/>
  <c r="CQ476" i="6" s="1"/>
  <c r="BC195" i="42290"/>
  <c r="F31" i="42437"/>
  <c r="CY78" i="6"/>
  <c r="M750" i="6"/>
  <c r="CR750" i="6" s="1"/>
  <c r="N287" i="6"/>
  <c r="O287" i="6" s="1"/>
  <c r="BU176" i="42290"/>
  <c r="S288" i="6"/>
  <c r="S289" i="6" s="1"/>
  <c r="S294" i="6" s="1"/>
  <c r="AI30" i="42290"/>
  <c r="L288" i="6"/>
  <c r="M288" i="6" s="1"/>
  <c r="K31" i="42437"/>
  <c r="G53" i="42440"/>
  <c r="BB195" i="42290"/>
  <c r="BA195" i="42290"/>
  <c r="AF131" i="42290"/>
  <c r="AE131" i="42290" s="1"/>
  <c r="CV329" i="6"/>
  <c r="G30" i="42447"/>
  <c r="F23" i="42428"/>
  <c r="AC130" i="42290"/>
  <c r="AD130" i="42290"/>
  <c r="AB130" i="42290"/>
  <c r="AF134" i="42290"/>
  <c r="AB134" i="42290" s="1"/>
  <c r="DC431" i="6"/>
  <c r="G35" i="42471"/>
  <c r="AG750" i="6"/>
  <c r="CV750" i="6" s="1"/>
  <c r="AA145" i="42434"/>
  <c r="AF135" i="42290"/>
  <c r="AD135" i="42290" s="1"/>
  <c r="J411" i="6"/>
  <c r="J474" i="6" s="1"/>
  <c r="AF129" i="42290"/>
  <c r="AG129" i="42290" s="1"/>
  <c r="BO204" i="42290"/>
  <c r="BN204" i="42290" s="1"/>
  <c r="BO170" i="42290"/>
  <c r="F9" i="42471"/>
  <c r="BR149" i="6"/>
  <c r="AQ133" i="42290"/>
  <c r="D54" i="42459"/>
  <c r="G29" i="42454"/>
  <c r="J25" i="42457"/>
  <c r="F36" i="42475"/>
  <c r="D13" i="42451"/>
  <c r="G13" i="42451" s="1"/>
  <c r="G23" i="42441"/>
  <c r="G34" i="42440"/>
  <c r="F28" i="42440"/>
  <c r="G23" i="42440"/>
  <c r="F28" i="42432"/>
  <c r="G23" i="42432"/>
  <c r="G29" i="42428"/>
  <c r="F17" i="42428"/>
  <c r="Z283" i="42290"/>
  <c r="Z282" i="42290" s="1"/>
  <c r="Z288" i="42290" s="1"/>
  <c r="F23" i="42461"/>
  <c r="J11" i="42446"/>
  <c r="G27" i="42437"/>
  <c r="F22" i="42437"/>
  <c r="BU174" i="42290"/>
  <c r="BO171" i="42290"/>
  <c r="BO182" i="42290" s="1"/>
  <c r="BQ182" i="42290" s="1"/>
  <c r="G132" i="42290"/>
  <c r="C132" i="42290" s="1"/>
  <c r="D14" i="42461"/>
  <c r="Y17" i="42474"/>
  <c r="F24" i="42471"/>
  <c r="X17" i="42446"/>
  <c r="AZ12" i="42446"/>
  <c r="AL10" i="42446"/>
  <c r="K10" i="42432"/>
  <c r="C12" i="42432"/>
  <c r="L12" i="42432" s="1"/>
  <c r="L10" i="42474"/>
  <c r="Q10" i="42474"/>
  <c r="P10" i="42474"/>
  <c r="F29" i="42459"/>
  <c r="G29" i="42459"/>
  <c r="F9" i="42441"/>
  <c r="G9" i="42441"/>
  <c r="F9" i="42443"/>
  <c r="D47" i="42443"/>
  <c r="G47" i="42443" s="1"/>
  <c r="P30" i="42290"/>
  <c r="I411" i="6"/>
  <c r="I474" i="6" s="1"/>
  <c r="BP140" i="42425"/>
  <c r="AS368" i="6"/>
  <c r="CQ410" i="6"/>
  <c r="Y19" i="42471"/>
  <c r="F10" i="42471"/>
  <c r="BX273" i="42290"/>
  <c r="BX269" i="42290"/>
  <c r="O30" i="42290"/>
  <c r="H475" i="6"/>
  <c r="CQ475" i="6" s="1"/>
  <c r="K36" i="42475"/>
  <c r="D13" i="42443"/>
  <c r="G13" i="42443" s="1"/>
  <c r="K10" i="42474"/>
  <c r="G9" i="42443"/>
  <c r="G10" i="42471"/>
  <c r="BX277" i="42290"/>
  <c r="AA133" i="42434"/>
  <c r="E54" i="42434"/>
  <c r="AD133" i="42434" s="1"/>
  <c r="G18" i="42468"/>
  <c r="P18" i="42468"/>
  <c r="F18" i="42468"/>
  <c r="K18" i="42468"/>
  <c r="Q18" i="42468"/>
  <c r="L18" i="42468"/>
  <c r="S411" i="6"/>
  <c r="S474" i="6" s="1"/>
  <c r="T369" i="6"/>
  <c r="CX75" i="6"/>
  <c r="AQ1341" i="6"/>
  <c r="AD390" i="6"/>
  <c r="AD411" i="6" s="1"/>
  <c r="AC411" i="6"/>
  <c r="BO195" i="42290"/>
  <c r="BP195" i="42290" s="1"/>
  <c r="BO197" i="42290"/>
  <c r="F10" i="42440"/>
  <c r="D12" i="42440"/>
  <c r="K8" i="42474"/>
  <c r="L8" i="42474"/>
  <c r="AR98" i="42416"/>
  <c r="D284" i="42290"/>
  <c r="D277" i="42290"/>
  <c r="D269" i="42290"/>
  <c r="D273" i="42290"/>
  <c r="P9" i="42461"/>
  <c r="Q9" i="42461"/>
  <c r="K9" i="42461"/>
  <c r="G9" i="42461"/>
  <c r="F9" i="42461"/>
  <c r="L9" i="42461"/>
  <c r="P21" i="42468"/>
  <c r="L21" i="42468"/>
  <c r="Q21" i="42468"/>
  <c r="BG195" i="42290"/>
  <c r="BH195" i="42290"/>
  <c r="Y391" i="6"/>
  <c r="X412" i="6"/>
  <c r="X475" i="6" s="1"/>
  <c r="X372" i="6"/>
  <c r="CT372" i="6"/>
  <c r="X369" i="6"/>
  <c r="Y369" i="6" s="1"/>
  <c r="Z369" i="6" s="1"/>
  <c r="CT369" i="6"/>
  <c r="AH328" i="6"/>
  <c r="AI328" i="6" s="1"/>
  <c r="AJ328" i="6" s="1"/>
  <c r="CV328" i="6"/>
  <c r="CK217" i="42425"/>
  <c r="CK263" i="42425"/>
  <c r="D52" i="42467"/>
  <c r="Y18" i="42467"/>
  <c r="G9" i="42467"/>
  <c r="F9" i="42467"/>
  <c r="F10" i="42452"/>
  <c r="G10" i="42452"/>
  <c r="D14" i="42452"/>
  <c r="AR1341" i="6"/>
  <c r="AR114" i="6"/>
  <c r="AR119" i="6" s="1"/>
  <c r="AV75" i="6"/>
  <c r="AV1341" i="6" s="1"/>
  <c r="BO473" i="6"/>
  <c r="F10" i="42451"/>
  <c r="K29" i="42454"/>
  <c r="AP197" i="42290"/>
  <c r="AL197" i="42290" s="1"/>
  <c r="AP196" i="42290"/>
  <c r="AP195" i="42290"/>
  <c r="G8" i="42450"/>
  <c r="D46" i="42450"/>
  <c r="G46" i="42450" s="1"/>
  <c r="F8" i="42450"/>
  <c r="F13" i="42450" s="1"/>
  <c r="Y17" i="42471"/>
  <c r="D51" i="42471"/>
  <c r="K15" i="42428"/>
  <c r="F15" i="42428"/>
  <c r="P17" i="42464"/>
  <c r="Q17" i="42464"/>
  <c r="K17" i="42464"/>
  <c r="C51" i="42464"/>
  <c r="Q18" i="42461"/>
  <c r="P18" i="42461"/>
  <c r="W18" i="42461"/>
  <c r="F18" i="42461"/>
  <c r="D51" i="42464"/>
  <c r="F8" i="42464"/>
  <c r="Q8" i="42471"/>
  <c r="F8" i="42471"/>
  <c r="D53" i="42468"/>
  <c r="D54" i="42468"/>
  <c r="F15" i="42432"/>
  <c r="K15" i="42432"/>
  <c r="K19" i="42432" s="1"/>
  <c r="F18" i="42454"/>
  <c r="L18" i="42454"/>
  <c r="P21" i="42459"/>
  <c r="F21" i="42459"/>
  <c r="G21" i="42459"/>
  <c r="Q21" i="42459"/>
  <c r="L21" i="42459"/>
  <c r="D48" i="42443"/>
  <c r="G48" i="42443" s="1"/>
  <c r="F10" i="42443"/>
  <c r="G15" i="42437"/>
  <c r="F15" i="42437"/>
  <c r="C47" i="42437"/>
  <c r="L47" i="42437" s="1"/>
  <c r="K16" i="42428"/>
  <c r="L16" i="42428"/>
  <c r="F16" i="42428"/>
  <c r="Q18" i="42455"/>
  <c r="W18" i="42455"/>
  <c r="G18" i="42455"/>
  <c r="K18" i="42455"/>
  <c r="G8" i="42437"/>
  <c r="F8" i="42437"/>
  <c r="D47" i="42437"/>
  <c r="D12" i="42437"/>
  <c r="L9" i="42459"/>
  <c r="K9" i="42459"/>
  <c r="G9" i="42459"/>
  <c r="Q9" i="42459"/>
  <c r="C51" i="42459"/>
  <c r="L51" i="42459" s="1"/>
  <c r="P9" i="42459"/>
  <c r="F9" i="42459"/>
  <c r="L10" i="42454"/>
  <c r="F10" i="42454"/>
  <c r="R10" i="42454"/>
  <c r="D51" i="42461"/>
  <c r="G51" i="42461" s="1"/>
  <c r="G18" i="42461"/>
  <c r="Y18" i="42461"/>
  <c r="G18" i="42474"/>
  <c r="Y18" i="42474"/>
  <c r="F18" i="42474"/>
  <c r="F30" i="42442"/>
  <c r="G30" i="42442"/>
  <c r="G25" i="42447"/>
  <c r="F25" i="42447"/>
  <c r="F30" i="42471"/>
  <c r="CW77" i="6"/>
  <c r="AL1342" i="6"/>
  <c r="CU299" i="42425"/>
  <c r="DG298" i="42425"/>
  <c r="DG299" i="42425" s="1"/>
  <c r="G10" i="42454"/>
  <c r="F16" i="42432"/>
  <c r="D54" i="42474"/>
  <c r="F29" i="42455"/>
  <c r="G24" i="42432"/>
  <c r="D50" i="42452"/>
  <c r="D49" i="42452"/>
  <c r="CE263" i="42425"/>
  <c r="AG749" i="6"/>
  <c r="CV749" i="6" s="1"/>
  <c r="F33" i="42459"/>
  <c r="CH10" i="42446"/>
  <c r="J10" i="42446"/>
  <c r="Y21" i="42455"/>
  <c r="CE262" i="42425"/>
  <c r="G50" i="42475"/>
  <c r="F40" i="42474"/>
  <c r="F28" i="42474"/>
  <c r="G38" i="42464"/>
  <c r="G27" i="42461"/>
  <c r="F28" i="42455"/>
  <c r="AL22" i="42446"/>
  <c r="X13" i="42446"/>
  <c r="AL12" i="42446"/>
  <c r="CH11" i="42446"/>
  <c r="AL11" i="42446"/>
  <c r="K135" i="42290"/>
  <c r="J135" i="42290"/>
  <c r="J388" i="6"/>
  <c r="I409" i="6"/>
  <c r="I430" i="6" s="1"/>
  <c r="I447" i="6" s="1"/>
  <c r="AT287" i="6"/>
  <c r="AH414" i="6"/>
  <c r="AH477" i="6" s="1"/>
  <c r="BQ196" i="42290"/>
  <c r="BP196" i="42290"/>
  <c r="BR196" i="42290"/>
  <c r="BS196" i="42290"/>
  <c r="BL196" i="42290"/>
  <c r="BN196" i="42290"/>
  <c r="X286" i="6"/>
  <c r="W749" i="6"/>
  <c r="CT749" i="6" s="1"/>
  <c r="L35" i="42468"/>
  <c r="K35" i="42468"/>
  <c r="G30" i="42451"/>
  <c r="F30" i="42451"/>
  <c r="P19" i="42475"/>
  <c r="K19" i="42475"/>
  <c r="W19" i="42475"/>
  <c r="Q19" i="42475"/>
  <c r="BN154" i="42425"/>
  <c r="BN169" i="42425"/>
  <c r="BN171" i="42425" s="1"/>
  <c r="BN156" i="42425"/>
  <c r="BQ146" i="42425"/>
  <c r="BQ169" i="42425"/>
  <c r="BQ171" i="42425" s="1"/>
  <c r="BQ138" i="42425"/>
  <c r="BO132" i="42425"/>
  <c r="BO130" i="42425"/>
  <c r="F23" i="42450"/>
  <c r="G23" i="42450"/>
  <c r="G36" i="42447"/>
  <c r="F36" i="42447"/>
  <c r="F20" i="42441"/>
  <c r="G20" i="42441"/>
  <c r="L11" i="42437"/>
  <c r="C12" i="42437"/>
  <c r="L20" i="42432"/>
  <c r="K20" i="42432"/>
  <c r="DT570" i="42458"/>
  <c r="DS570" i="42458"/>
  <c r="BP273" i="42290"/>
  <c r="BP277" i="42290"/>
  <c r="L51" i="42461"/>
  <c r="F24" i="42432"/>
  <c r="BP269" i="42290"/>
  <c r="F30" i="42428"/>
  <c r="IU867" i="42425"/>
  <c r="AZ131" i="42290"/>
  <c r="AX131" i="42290" s="1"/>
  <c r="AZ132" i="42290"/>
  <c r="AW132" i="42290" s="1"/>
  <c r="AZ133" i="42290"/>
  <c r="AY133" i="42290" s="1"/>
  <c r="AZ130" i="42290"/>
  <c r="AV130" i="42290" s="1"/>
  <c r="BS372" i="6"/>
  <c r="CD259" i="42425"/>
  <c r="CD262" i="42425"/>
  <c r="BO411" i="6"/>
  <c r="BO474" i="6" s="1"/>
  <c r="BP369" i="6"/>
  <c r="DC369" i="6" s="1"/>
  <c r="AV195" i="42290"/>
  <c r="AY195" i="42290"/>
  <c r="AX195" i="42290"/>
  <c r="AW195" i="42290"/>
  <c r="V32" i="42290"/>
  <c r="V31" i="42290"/>
  <c r="V33" i="42290"/>
  <c r="V30" i="42290"/>
  <c r="X390" i="6"/>
  <c r="Y390" i="6" s="1"/>
  <c r="CT390" i="6"/>
  <c r="K34" i="42461"/>
  <c r="G34" i="42461"/>
  <c r="L34" i="42461"/>
  <c r="G34" i="42459"/>
  <c r="F34" i="42459"/>
  <c r="F28" i="42450"/>
  <c r="G28" i="42450"/>
  <c r="F25" i="42450"/>
  <c r="G25" i="42450"/>
  <c r="Q18" i="42475"/>
  <c r="P18" i="42475"/>
  <c r="K18" i="42475"/>
  <c r="W18" i="42475"/>
  <c r="L18" i="42475"/>
  <c r="C54" i="42475"/>
  <c r="L54" i="42475" s="1"/>
  <c r="F18" i="42475"/>
  <c r="CY14" i="6"/>
  <c r="AV16" i="6"/>
  <c r="AV21" i="6" s="1"/>
  <c r="U76" i="42447" s="1"/>
  <c r="Y76" i="42447" s="1"/>
  <c r="F9" i="42432"/>
  <c r="G9" i="42432"/>
  <c r="D48" i="42432"/>
  <c r="BX160" i="42425"/>
  <c r="BL164" i="42425"/>
  <c r="BX164" i="42425" s="1"/>
  <c r="BL169" i="42425"/>
  <c r="BL171" i="42425" s="1"/>
  <c r="G28" i="42451"/>
  <c r="F28" i="42451"/>
  <c r="F24" i="42448"/>
  <c r="G24" i="42448"/>
  <c r="F28" i="42447"/>
  <c r="G28" i="42447"/>
  <c r="G23" i="42447"/>
  <c r="F23" i="42447"/>
  <c r="F36" i="42443"/>
  <c r="G36" i="42443"/>
  <c r="F29" i="42443"/>
  <c r="G29" i="42443"/>
  <c r="F21" i="42443"/>
  <c r="G21" i="42443"/>
  <c r="G37" i="42442"/>
  <c r="F37" i="42442"/>
  <c r="F27" i="42442"/>
  <c r="G27" i="42442"/>
  <c r="G20" i="42442"/>
  <c r="F20" i="42442"/>
  <c r="F30" i="42440"/>
  <c r="G30" i="42440"/>
  <c r="F34" i="42437"/>
  <c r="G34" i="42437"/>
  <c r="K34" i="42437"/>
  <c r="L23" i="42437"/>
  <c r="K23" i="42437"/>
  <c r="G23" i="42437"/>
  <c r="F23" i="42437"/>
  <c r="K22" i="42428"/>
  <c r="F22" i="42428"/>
  <c r="F28" i="42437"/>
  <c r="BL156" i="42425"/>
  <c r="BX156" i="42425" s="1"/>
  <c r="AC370" i="6"/>
  <c r="G18" i="42452"/>
  <c r="IQ872" i="42425"/>
  <c r="IQ878" i="42425" s="1"/>
  <c r="IQ879" i="42425" s="1"/>
  <c r="IQ866" i="42425"/>
  <c r="L10" i="42453"/>
  <c r="CZ78" i="6"/>
  <c r="H10" i="42453"/>
  <c r="CV78" i="6"/>
  <c r="F31" i="42442"/>
  <c r="G31" i="42442"/>
  <c r="BA1335" i="6"/>
  <c r="BA1336" i="6" s="1"/>
  <c r="CZ87" i="6"/>
  <c r="L35" i="42453"/>
  <c r="IV867" i="42425"/>
  <c r="IV866" i="42425"/>
  <c r="G28" i="42440"/>
  <c r="W17" i="42475"/>
  <c r="C53" i="42475"/>
  <c r="L53" i="42475" s="1"/>
  <c r="L8" i="42475"/>
  <c r="K8" i="42475"/>
  <c r="F8" i="42475"/>
  <c r="G17" i="42459"/>
  <c r="F17" i="42459"/>
  <c r="D50" i="42459"/>
  <c r="DC302" i="42425"/>
  <c r="DC303" i="42425" s="1"/>
  <c r="CQ303" i="42425"/>
  <c r="G33" i="42428"/>
  <c r="K30" i="42474"/>
  <c r="K30" i="42471"/>
  <c r="L30" i="42471"/>
  <c r="G30" i="42471"/>
  <c r="G30" i="42467"/>
  <c r="F30" i="42467"/>
  <c r="U29" i="42290"/>
  <c r="T29" i="42290"/>
  <c r="R29" i="42290"/>
  <c r="AP29" i="42290"/>
  <c r="AP31" i="42290"/>
  <c r="AP32" i="42290"/>
  <c r="AP33" i="42290"/>
  <c r="AN33" i="42290" s="1"/>
  <c r="AP30" i="42290"/>
  <c r="AO30" i="42290" s="1"/>
  <c r="L131" i="42290"/>
  <c r="L129" i="42290"/>
  <c r="K129" i="42290" s="1"/>
  <c r="L134" i="42290"/>
  <c r="J134" i="42290" s="1"/>
  <c r="L133" i="42290"/>
  <c r="L130" i="42290"/>
  <c r="BS393" i="6"/>
  <c r="BT393" i="6" s="1"/>
  <c r="BU393" i="6" s="1"/>
  <c r="BV393" i="6" s="1"/>
  <c r="BW393" i="6" s="1"/>
  <c r="BX393" i="6" s="1"/>
  <c r="BY393" i="6" s="1"/>
  <c r="BZ393" i="6" s="1"/>
  <c r="BO414" i="6"/>
  <c r="AC393" i="6"/>
  <c r="CU393" i="6"/>
  <c r="I393" i="6"/>
  <c r="CQ393" i="6"/>
  <c r="AH392" i="6"/>
  <c r="CV392" i="6"/>
  <c r="CV391" i="6"/>
  <c r="AH391" i="6"/>
  <c r="AI391" i="6" s="1"/>
  <c r="AJ391" i="6" s="1"/>
  <c r="N391" i="6"/>
  <c r="CR391" i="6"/>
  <c r="CV389" i="6"/>
  <c r="AH389" i="6"/>
  <c r="CR389" i="6"/>
  <c r="N389" i="6"/>
  <c r="CY388" i="6"/>
  <c r="AW388" i="6"/>
  <c r="AW357" i="6" s="1"/>
  <c r="CU388" i="6"/>
  <c r="AB405" i="6"/>
  <c r="CU405" i="6" s="1"/>
  <c r="AC388" i="6"/>
  <c r="CQ388" i="6"/>
  <c r="H405" i="6"/>
  <c r="CQ405" i="6" s="1"/>
  <c r="CR372" i="6"/>
  <c r="N372" i="6"/>
  <c r="AR371" i="6"/>
  <c r="CX371" i="6"/>
  <c r="CT371" i="6"/>
  <c r="X371" i="6"/>
  <c r="CQ370" i="6"/>
  <c r="I370" i="6"/>
  <c r="AH369" i="6"/>
  <c r="AI369" i="6" s="1"/>
  <c r="AJ369" i="6" s="1"/>
  <c r="CV369" i="6"/>
  <c r="N369" i="6"/>
  <c r="O369" i="6" s="1"/>
  <c r="P369" i="6" s="1"/>
  <c r="CR369" i="6"/>
  <c r="AM368" i="6"/>
  <c r="CW368" i="6"/>
  <c r="CS368" i="6"/>
  <c r="S368" i="6"/>
  <c r="BD367" i="6"/>
  <c r="AH367" i="6"/>
  <c r="AG384" i="6"/>
  <c r="CV384" i="6" s="1"/>
  <c r="CV367" i="6"/>
  <c r="N367" i="6"/>
  <c r="CR367" i="6"/>
  <c r="AW366" i="6"/>
  <c r="CY366" i="6"/>
  <c r="CX298" i="42425"/>
  <c r="DI298" i="42425" s="1"/>
  <c r="DI299" i="42425" s="1"/>
  <c r="CT298" i="42425"/>
  <c r="DF298" i="42425" s="1"/>
  <c r="DF299" i="42425" s="1"/>
  <c r="CP298" i="42425"/>
  <c r="DB298" i="42425" s="1"/>
  <c r="DB299" i="42425" s="1"/>
  <c r="AR286" i="6"/>
  <c r="AQ288" i="6"/>
  <c r="K37" i="42474"/>
  <c r="L37" i="42474"/>
  <c r="G37" i="42474"/>
  <c r="F16" i="42440"/>
  <c r="G16" i="42440"/>
  <c r="CW302" i="42425"/>
  <c r="DI302" i="42425" s="1"/>
  <c r="DI303" i="42425" s="1"/>
  <c r="DA302" i="42425"/>
  <c r="DA303" i="42425" s="1"/>
  <c r="CO302" i="42425"/>
  <c r="CO303" i="42425" s="1"/>
  <c r="CS302" i="42425"/>
  <c r="DE302" i="42425" s="1"/>
  <c r="DE303" i="42425" s="1"/>
  <c r="CA217" i="42425"/>
  <c r="CA263" i="42425"/>
  <c r="BY144" i="42425"/>
  <c r="BQ148" i="42425" s="1"/>
  <c r="BM148" i="42425"/>
  <c r="BY148" i="42425" s="1"/>
  <c r="BM169" i="42425"/>
  <c r="BY136" i="42425"/>
  <c r="BQ140" i="42425" s="1"/>
  <c r="BM138" i="42425"/>
  <c r="BY138" i="42425" s="1"/>
  <c r="BM140" i="42425"/>
  <c r="BY140" i="42425" s="1"/>
  <c r="G20" i="42440"/>
  <c r="F20" i="42440"/>
  <c r="F37" i="42432"/>
  <c r="K37" i="42432"/>
  <c r="DS568" i="42458"/>
  <c r="DQ574" i="42458"/>
  <c r="BS288" i="42290"/>
  <c r="BT288" i="42290" s="1"/>
  <c r="BT282" i="42290"/>
  <c r="BK196" i="42290"/>
  <c r="F37" i="42474"/>
  <c r="S29" i="42290"/>
  <c r="L132" i="42290"/>
  <c r="F34" i="42440"/>
  <c r="G35" i="42468"/>
  <c r="BP393" i="6"/>
  <c r="DC393" i="6" s="1"/>
  <c r="F23" i="42443"/>
  <c r="L22" i="42428"/>
  <c r="CZ367" i="6"/>
  <c r="F35" i="42468"/>
  <c r="G30" i="42474"/>
  <c r="AU114" i="6"/>
  <c r="AU1341" i="6"/>
  <c r="L40" i="42454"/>
  <c r="K40" i="42454"/>
  <c r="F40" i="42454"/>
  <c r="L32" i="42454"/>
  <c r="F32" i="42454"/>
  <c r="K32" i="42454"/>
  <c r="L27" i="42454"/>
  <c r="G27" i="42454"/>
  <c r="K23" i="42454"/>
  <c r="L23" i="42454"/>
  <c r="F23" i="42454"/>
  <c r="G23" i="42454"/>
  <c r="K31" i="42452"/>
  <c r="F31" i="42452"/>
  <c r="BW217" i="42425"/>
  <c r="D48" i="42440"/>
  <c r="IS872" i="42425"/>
  <c r="IS878" i="42425" s="1"/>
  <c r="IS879" i="42425" s="1"/>
  <c r="IS866" i="42425"/>
  <c r="W283" i="42290"/>
  <c r="R282" i="42290"/>
  <c r="R288" i="42290" s="1"/>
  <c r="F34" i="42461"/>
  <c r="BM273" i="42290"/>
  <c r="BM269" i="42290"/>
  <c r="Q21" i="42464"/>
  <c r="K21" i="42464"/>
  <c r="P21" i="42464"/>
  <c r="BX128" i="42425"/>
  <c r="BX130" i="42425" s="1"/>
  <c r="BL132" i="42425"/>
  <c r="BX132" i="42425" s="1"/>
  <c r="K29" i="42475"/>
  <c r="L29" i="42475"/>
  <c r="F29" i="42475"/>
  <c r="K24" i="42475"/>
  <c r="L24" i="42475"/>
  <c r="K41" i="42473"/>
  <c r="F41" i="42473"/>
  <c r="G34" i="42473"/>
  <c r="F34" i="42473"/>
  <c r="P13" i="42473"/>
  <c r="K13" i="42473"/>
  <c r="K48" i="42471"/>
  <c r="L48" i="42471"/>
  <c r="K29" i="42471"/>
  <c r="L29" i="42471"/>
  <c r="K41" i="42468"/>
  <c r="F41" i="42468"/>
  <c r="G12" i="42468"/>
  <c r="F12" i="42468"/>
  <c r="L33" i="42467"/>
  <c r="K33" i="42467"/>
  <c r="F33" i="42467"/>
  <c r="G33" i="42467"/>
  <c r="F28" i="42467"/>
  <c r="G28" i="42467"/>
  <c r="K28" i="42467"/>
  <c r="L28" i="42467"/>
  <c r="K34" i="42464"/>
  <c r="F34" i="42464"/>
  <c r="L29" i="42464"/>
  <c r="G29" i="42464"/>
  <c r="K29" i="42464"/>
  <c r="F29" i="42464"/>
  <c r="K24" i="42464"/>
  <c r="L24" i="42464"/>
  <c r="K37" i="42461"/>
  <c r="L37" i="42461"/>
  <c r="F37" i="42461"/>
  <c r="F12" i="42461"/>
  <c r="P12" i="42461"/>
  <c r="K12" i="42461"/>
  <c r="Q12" i="42461"/>
  <c r="F32" i="42459"/>
  <c r="K32" i="42459"/>
  <c r="L32" i="42459"/>
  <c r="K27" i="42459"/>
  <c r="L27" i="42459"/>
  <c r="K40" i="42455"/>
  <c r="L40" i="42455"/>
  <c r="G40" i="42455"/>
  <c r="F23" i="42455"/>
  <c r="G23" i="42455"/>
  <c r="CH9" i="42446"/>
  <c r="CF15" i="42446"/>
  <c r="G18" i="42475"/>
  <c r="F29" i="42473"/>
  <c r="F23" i="42441"/>
  <c r="CE217" i="42425"/>
  <c r="G9" i="42471"/>
  <c r="Y18" i="42464"/>
  <c r="G29" i="42455"/>
  <c r="O25" i="42457"/>
  <c r="G25" i="42457"/>
  <c r="AI388" i="6"/>
  <c r="AR29" i="42290"/>
  <c r="BP368" i="6"/>
  <c r="DC368" i="6" s="1"/>
  <c r="F9" i="42448"/>
  <c r="G9" i="42448"/>
  <c r="D13" i="42448"/>
  <c r="G13" i="42448" s="1"/>
  <c r="G10" i="42441"/>
  <c r="L10" i="42441"/>
  <c r="C12" i="42441"/>
  <c r="F10" i="42441"/>
  <c r="AI329" i="6"/>
  <c r="BR202" i="42290"/>
  <c r="BA114" i="6"/>
  <c r="CZ114" i="6" s="1"/>
  <c r="AZ119" i="6"/>
  <c r="BA119" i="6" s="1"/>
  <c r="CZ119" i="6" s="1"/>
  <c r="M10" i="42453"/>
  <c r="DA78" i="6"/>
  <c r="BM202" i="42290"/>
  <c r="AH286" i="6"/>
  <c r="AH288" i="6" s="1"/>
  <c r="AH289" i="6" s="1"/>
  <c r="AH294" i="6" s="1"/>
  <c r="BO475" i="6"/>
  <c r="BP412" i="6"/>
  <c r="BF195" i="42290"/>
  <c r="BI195" i="42290"/>
  <c r="L10" i="42440"/>
  <c r="G10" i="42440"/>
  <c r="C50" i="42455"/>
  <c r="W17" i="42455"/>
  <c r="P17" i="42473"/>
  <c r="F18" i="42440"/>
  <c r="C14" i="42440"/>
  <c r="G18" i="42440"/>
  <c r="AS366" i="6"/>
  <c r="AR408" i="6"/>
  <c r="CG217" i="42425"/>
  <c r="CG263" i="42425"/>
  <c r="F11" i="42428"/>
  <c r="G11" i="42428"/>
  <c r="F10" i="42432"/>
  <c r="G10" i="42432"/>
  <c r="L10" i="42432"/>
  <c r="C52" i="42455"/>
  <c r="L52" i="42455" s="1"/>
  <c r="L10" i="42455"/>
  <c r="Q10" i="42455"/>
  <c r="F10" i="42455"/>
  <c r="P10" i="42455"/>
  <c r="G10" i="42455"/>
  <c r="K10" i="42455"/>
  <c r="G10" i="42474"/>
  <c r="F10" i="42474"/>
  <c r="L23" i="42428"/>
  <c r="K23" i="42428"/>
  <c r="G23" i="42428"/>
  <c r="L29" i="42454"/>
  <c r="F29" i="42454"/>
  <c r="K29" i="42459"/>
  <c r="L29" i="42459"/>
  <c r="L36" i="42475"/>
  <c r="G36" i="42475"/>
  <c r="GS646" i="42425"/>
  <c r="GU646" i="42425"/>
  <c r="GT682" i="42425"/>
  <c r="C48" i="42437"/>
  <c r="L16" i="42437"/>
  <c r="F16" i="42437"/>
  <c r="D52" i="42471"/>
  <c r="Y18" i="42471"/>
  <c r="F18" i="42448"/>
  <c r="D48" i="42448"/>
  <c r="G48" i="42448" s="1"/>
  <c r="D43" i="42428"/>
  <c r="G9" i="42428"/>
  <c r="K8" i="42440"/>
  <c r="F8" i="42440"/>
  <c r="L8" i="42440"/>
  <c r="D50" i="42455"/>
  <c r="Y17" i="42455"/>
  <c r="Y17" i="42475"/>
  <c r="D53" i="42475"/>
  <c r="L9" i="42454"/>
  <c r="T18" i="42454"/>
  <c r="R9" i="42454"/>
  <c r="K9" i="42454"/>
  <c r="C51" i="42454"/>
  <c r="L51" i="42454" s="1"/>
  <c r="F17" i="42461"/>
  <c r="D50" i="42461"/>
  <c r="Y17" i="42461"/>
  <c r="D53" i="42474"/>
  <c r="G17" i="42474"/>
  <c r="F8" i="42432"/>
  <c r="D12" i="42432"/>
  <c r="D47" i="42432"/>
  <c r="F16" i="42441"/>
  <c r="D48" i="42441"/>
  <c r="D52" i="42473"/>
  <c r="G8" i="42448"/>
  <c r="F8" i="42448"/>
  <c r="L8" i="42452"/>
  <c r="K8" i="42452"/>
  <c r="K8" i="42467"/>
  <c r="Q8" i="42467"/>
  <c r="L8" i="42467"/>
  <c r="G16" i="42447"/>
  <c r="D46" i="42447"/>
  <c r="G46" i="42447" s="1"/>
  <c r="F16" i="42447"/>
  <c r="Q17" i="42471"/>
  <c r="P17" i="42471"/>
  <c r="C51" i="42471"/>
  <c r="G17" i="42471"/>
  <c r="K17" i="42471"/>
  <c r="W17" i="42471"/>
  <c r="F17" i="42471"/>
  <c r="G17" i="42448"/>
  <c r="D47" i="42448"/>
  <c r="G47" i="42448" s="1"/>
  <c r="F18" i="42452"/>
  <c r="L18" i="42452"/>
  <c r="K18" i="42452"/>
  <c r="C49" i="42452"/>
  <c r="L49" i="42452" s="1"/>
  <c r="K18" i="42467"/>
  <c r="L18" i="42467"/>
  <c r="Q18" i="42467"/>
  <c r="L27" i="42452"/>
  <c r="F27" i="42452"/>
  <c r="K27" i="42452"/>
  <c r="G27" i="42452"/>
  <c r="G30" i="42432"/>
  <c r="F30" i="42432"/>
  <c r="L284" i="42290"/>
  <c r="L269" i="42290"/>
  <c r="BJ197" i="42290"/>
  <c r="BJ196" i="42290"/>
  <c r="BJ202" i="42290"/>
  <c r="BH202" i="42290" s="1"/>
  <c r="BJ204" i="42290"/>
  <c r="CS393" i="6"/>
  <c r="S393" i="6"/>
  <c r="CR392" i="6"/>
  <c r="N392" i="6"/>
  <c r="O392" i="6" s="1"/>
  <c r="P392" i="6" s="1"/>
  <c r="Q392" i="6" s="1"/>
  <c r="Q413" i="6" s="1"/>
  <c r="BB390" i="6"/>
  <c r="BB411" i="6" s="1"/>
  <c r="CZ390" i="6"/>
  <c r="AH390" i="6"/>
  <c r="AG405" i="6"/>
  <c r="CV405" i="6" s="1"/>
  <c r="N390" i="6"/>
  <c r="CR390" i="6"/>
  <c r="M405" i="6"/>
  <c r="CR405" i="6" s="1"/>
  <c r="X389" i="6"/>
  <c r="CT389" i="6"/>
  <c r="S388" i="6"/>
  <c r="CS388" i="6"/>
  <c r="CZ387" i="6"/>
  <c r="AR372" i="6"/>
  <c r="AS372" i="6" s="1"/>
  <c r="CX372" i="6"/>
  <c r="N371" i="6"/>
  <c r="M384" i="6"/>
  <c r="CR384" i="6" s="1"/>
  <c r="CZ370" i="6"/>
  <c r="AM370" i="6"/>
  <c r="AL384" i="6"/>
  <c r="CW384" i="6" s="1"/>
  <c r="S370" i="6"/>
  <c r="CS370" i="6"/>
  <c r="R384" i="6"/>
  <c r="CS384" i="6" s="1"/>
  <c r="AR369" i="6"/>
  <c r="CX369" i="6"/>
  <c r="CU368" i="6"/>
  <c r="AC368" i="6"/>
  <c r="AB384" i="6"/>
  <c r="CU384" i="6" s="1"/>
  <c r="I368" i="6"/>
  <c r="CQ368" i="6"/>
  <c r="H384" i="6"/>
  <c r="CQ384" i="6" s="1"/>
  <c r="AR367" i="6"/>
  <c r="CX384" i="6"/>
  <c r="CX367" i="6"/>
  <c r="W384" i="6"/>
  <c r="CT384" i="6" s="1"/>
  <c r="CR298" i="42425"/>
  <c r="DD298" i="42425" s="1"/>
  <c r="DD299" i="42425" s="1"/>
  <c r="CV298" i="42425"/>
  <c r="DH298" i="42425" s="1"/>
  <c r="DH299" i="42425" s="1"/>
  <c r="CZ298" i="42425"/>
  <c r="I221" i="6"/>
  <c r="CQ221" i="6"/>
  <c r="Q8" i="42475"/>
  <c r="P8" i="42475"/>
  <c r="AZ204" i="42290"/>
  <c r="AZ202" i="42290"/>
  <c r="BE75" i="6"/>
  <c r="BE114" i="6" s="1"/>
  <c r="BF114" i="6" s="1"/>
  <c r="DA114" i="6" s="1"/>
  <c r="BA75" i="6"/>
  <c r="AZ1341" i="6"/>
  <c r="F10" i="42442"/>
  <c r="F12" i="42442" s="1"/>
  <c r="D12" i="42442"/>
  <c r="G12" i="42442" s="1"/>
  <c r="BA204" i="42290"/>
  <c r="BC204" i="42290"/>
  <c r="BD204" i="42290"/>
  <c r="BB204" i="42290"/>
  <c r="L10" i="42437"/>
  <c r="F10" i="42437"/>
  <c r="K10" i="42437"/>
  <c r="G10" i="42437"/>
  <c r="BS391" i="6"/>
  <c r="BT391" i="6" s="1"/>
  <c r="BU391" i="6" s="1"/>
  <c r="BV391" i="6" s="1"/>
  <c r="BW391" i="6" s="1"/>
  <c r="BX391" i="6" s="1"/>
  <c r="BY391" i="6" s="1"/>
  <c r="BZ391" i="6" s="1"/>
  <c r="BP391" i="6"/>
  <c r="DC391" i="6" s="1"/>
  <c r="U372" i="6"/>
  <c r="S132" i="42290"/>
  <c r="K21" i="42467"/>
  <c r="Q21" i="42467"/>
  <c r="P21" i="42467"/>
  <c r="BC387" i="6"/>
  <c r="K411" i="6"/>
  <c r="BP202" i="42290"/>
  <c r="BN202" i="42290"/>
  <c r="BL202" i="42290"/>
  <c r="BS202" i="42290"/>
  <c r="AL9" i="42446"/>
  <c r="BQ202" i="42290"/>
  <c r="AH133" i="42290"/>
  <c r="AG133" i="42290"/>
  <c r="Y131" i="42290"/>
  <c r="Z131" i="42290"/>
  <c r="AI31" i="42290"/>
  <c r="AG31" i="42290"/>
  <c r="C31" i="42290"/>
  <c r="BE182" i="42290"/>
  <c r="BB182" i="42290" s="1"/>
  <c r="AW134" i="42290"/>
  <c r="AV134" i="42290"/>
  <c r="BE129" i="42290"/>
  <c r="BE131" i="42290"/>
  <c r="BC131" i="42290" s="1"/>
  <c r="BE130" i="42290"/>
  <c r="BC133" i="42290"/>
  <c r="AY134" i="42290"/>
  <c r="BE135" i="42290"/>
  <c r="BB135" i="42290" s="1"/>
  <c r="AH31" i="42290"/>
  <c r="BE134" i="42290"/>
  <c r="BA134" i="42290" s="1"/>
  <c r="BE132" i="42290"/>
  <c r="AA27" i="42457"/>
  <c r="AA28" i="42457" s="1"/>
  <c r="DC103" i="6"/>
  <c r="AZ176" i="42290"/>
  <c r="AW176" i="42290" s="1"/>
  <c r="BB133" i="42290"/>
  <c r="BD133" i="42290"/>
  <c r="AI133" i="42290"/>
  <c r="AJ31" i="42290"/>
  <c r="IU866" i="42425"/>
  <c r="AQ196" i="42290"/>
  <c r="AR196" i="42290"/>
  <c r="AS133" i="42290"/>
  <c r="AR133" i="42290"/>
  <c r="Y21" i="42459"/>
  <c r="F27" i="42455"/>
  <c r="G40" i="42454"/>
  <c r="G29" i="42467"/>
  <c r="O282" i="42290"/>
  <c r="G35" i="42464"/>
  <c r="D51" i="42459"/>
  <c r="F43" i="42475"/>
  <c r="G24" i="42471"/>
  <c r="F29" i="42428"/>
  <c r="IR872" i="42425"/>
  <c r="IR878" i="42425" s="1"/>
  <c r="IR879" i="42425" s="1"/>
  <c r="IR867" i="42425"/>
  <c r="G10" i="42468"/>
  <c r="Y19" i="42468"/>
  <c r="K18" i="42459"/>
  <c r="P18" i="42459"/>
  <c r="F41" i="42467"/>
  <c r="K41" i="42467"/>
  <c r="L41" i="42467"/>
  <c r="G34" i="42467"/>
  <c r="F34" i="42467"/>
  <c r="G24" i="42467"/>
  <c r="F24" i="42467"/>
  <c r="K28" i="42464"/>
  <c r="G28" i="42464"/>
  <c r="L28" i="42464"/>
  <c r="F28" i="42461"/>
  <c r="G28" i="42461"/>
  <c r="F37" i="42459"/>
  <c r="G37" i="42459"/>
  <c r="L28" i="42459"/>
  <c r="K28" i="42459"/>
  <c r="F28" i="42459"/>
  <c r="L23" i="42459"/>
  <c r="G23" i="42459"/>
  <c r="K23" i="42459"/>
  <c r="F23" i="42459"/>
  <c r="F37" i="42455"/>
  <c r="K37" i="42455"/>
  <c r="P12" i="42455"/>
  <c r="G12" i="42455"/>
  <c r="Q12" i="42455"/>
  <c r="L12" i="42455"/>
  <c r="AJ20" i="42446"/>
  <c r="AL15" i="42446"/>
  <c r="BW277" i="42290"/>
  <c r="BW269" i="42290"/>
  <c r="BW273" i="42290"/>
  <c r="BN269" i="42290"/>
  <c r="BN273" i="42290"/>
  <c r="BH277" i="42290"/>
  <c r="BH273" i="42290"/>
  <c r="BH269" i="42290"/>
  <c r="BC269" i="42290"/>
  <c r="BC277" i="42290"/>
  <c r="BC273" i="42290"/>
  <c r="AX277" i="42290"/>
  <c r="AX269" i="42290"/>
  <c r="AS277" i="42290"/>
  <c r="AS269" i="42290"/>
  <c r="AN273" i="42290"/>
  <c r="AN269" i="42290"/>
  <c r="AI269" i="42290"/>
  <c r="AI273" i="42290"/>
  <c r="AI277" i="42290"/>
  <c r="AD273" i="42290"/>
  <c r="AD269" i="42290"/>
  <c r="AD277" i="42290"/>
  <c r="Y277" i="42290"/>
  <c r="Y269" i="42290"/>
  <c r="S277" i="42290"/>
  <c r="S273" i="42290"/>
  <c r="S269" i="42290"/>
  <c r="N269" i="42290"/>
  <c r="N273" i="42290"/>
  <c r="I277" i="42290"/>
  <c r="I269" i="42290"/>
  <c r="I273" i="42290"/>
  <c r="C284" i="42290"/>
  <c r="C277" i="42290"/>
  <c r="AC371" i="6"/>
  <c r="CU371" i="6"/>
  <c r="I371" i="6"/>
  <c r="CQ371" i="6"/>
  <c r="AM369" i="6"/>
  <c r="CW369" i="6"/>
  <c r="CZ366" i="6"/>
  <c r="BB366" i="6"/>
  <c r="CW329" i="6"/>
  <c r="AL750" i="6"/>
  <c r="CW750" i="6" s="1"/>
  <c r="AM329" i="6"/>
  <c r="AM750" i="6" s="1"/>
  <c r="CY298" i="42425"/>
  <c r="CQ298" i="42425"/>
  <c r="K34" i="42455"/>
  <c r="L34" i="42455"/>
  <c r="F31" i="42441"/>
  <c r="K31" i="42441"/>
  <c r="F31" i="42440"/>
  <c r="G31" i="42440"/>
  <c r="AV77" i="6"/>
  <c r="AU1342" i="6"/>
  <c r="CU77" i="6"/>
  <c r="AB1342" i="6"/>
  <c r="CQ77" i="6"/>
  <c r="H1342" i="6"/>
  <c r="CU75" i="6"/>
  <c r="AB1341" i="6"/>
  <c r="CQ75" i="6"/>
  <c r="H1341" i="6"/>
  <c r="CX74" i="6"/>
  <c r="B60" i="42434"/>
  <c r="E60" i="42434" s="1"/>
  <c r="J9" i="42453"/>
  <c r="L26" i="42428"/>
  <c r="K26" i="42428"/>
  <c r="G26" i="42428"/>
  <c r="L31" i="42475"/>
  <c r="F31" i="42475"/>
  <c r="K31" i="42475"/>
  <c r="F20" i="42432"/>
  <c r="G20" i="42432"/>
  <c r="G18" i="42454"/>
  <c r="D51" i="42454"/>
  <c r="CT302" i="42425"/>
  <c r="CX302" i="42425"/>
  <c r="CP302" i="42425"/>
  <c r="BM164" i="42425"/>
  <c r="BU162" i="42425"/>
  <c r="BU169" i="42425"/>
  <c r="BN162" i="42425"/>
  <c r="BN164" i="42425"/>
  <c r="BO154" i="42425"/>
  <c r="BO169" i="42425"/>
  <c r="BT146" i="42425"/>
  <c r="BT169" i="42425"/>
  <c r="BL148" i="42425"/>
  <c r="BX148" i="42425" s="1"/>
  <c r="BP130" i="42425"/>
  <c r="BP169" i="42425"/>
  <c r="G24" i="42475"/>
  <c r="F24" i="42475"/>
  <c r="K50" i="42474"/>
  <c r="F50" i="42474"/>
  <c r="G50" i="42474"/>
  <c r="F29" i="42474"/>
  <c r="G29" i="42474"/>
  <c r="K29" i="42474"/>
  <c r="L24" i="42474"/>
  <c r="F24" i="42474"/>
  <c r="G24" i="42474"/>
  <c r="K24" i="42474"/>
  <c r="F28" i="42473"/>
  <c r="L28" i="42473"/>
  <c r="G48" i="42471"/>
  <c r="F48" i="42471"/>
  <c r="K41" i="42471"/>
  <c r="F41" i="42471"/>
  <c r="K13" i="42471"/>
  <c r="F13" i="42471"/>
  <c r="P13" i="42471"/>
  <c r="K12" i="42471"/>
  <c r="P12" i="42471"/>
  <c r="L33" i="42468"/>
  <c r="K33" i="42468"/>
  <c r="K28" i="42468"/>
  <c r="L28" i="42468"/>
  <c r="P13" i="42468"/>
  <c r="K13" i="42468"/>
  <c r="Q13" i="42468"/>
  <c r="G48" i="42467"/>
  <c r="L48" i="42467"/>
  <c r="F48" i="42467"/>
  <c r="T21" i="42454"/>
  <c r="G21" i="42454"/>
  <c r="L21" i="42454"/>
  <c r="L11" i="42452"/>
  <c r="F11" i="42452"/>
  <c r="F33" i="42450"/>
  <c r="G33" i="42450"/>
  <c r="G29" i="42450"/>
  <c r="F29" i="42450"/>
  <c r="F21" i="42450"/>
  <c r="G21" i="42450"/>
  <c r="F21" i="42448"/>
  <c r="G21" i="42448"/>
  <c r="G21" i="42447"/>
  <c r="F21" i="42447"/>
  <c r="F24" i="42443"/>
  <c r="G24" i="42443"/>
  <c r="F22" i="42442"/>
  <c r="G22" i="42442"/>
  <c r="F37" i="42441"/>
  <c r="G37" i="42441"/>
  <c r="L37" i="42441"/>
  <c r="K20" i="42441"/>
  <c r="L20" i="42441"/>
  <c r="K23" i="42440"/>
  <c r="F23" i="42440"/>
  <c r="L23" i="42440"/>
  <c r="L20" i="42440"/>
  <c r="K20" i="42440"/>
  <c r="K23" i="42432"/>
  <c r="F23" i="42432"/>
  <c r="G27" i="42428"/>
  <c r="F27" i="42428"/>
  <c r="K11" i="42428"/>
  <c r="L11" i="42428"/>
  <c r="BQ273" i="42290"/>
  <c r="BQ277" i="42290"/>
  <c r="BE33" i="42290"/>
  <c r="V130" i="42290"/>
  <c r="V134" i="42290"/>
  <c r="G28" i="42459"/>
  <c r="T282" i="42290"/>
  <c r="T288" i="42290" s="1"/>
  <c r="AM101" i="42467"/>
  <c r="BP1040" i="6"/>
  <c r="BO149" i="6"/>
  <c r="BP149" i="6" s="1"/>
  <c r="DC149" i="6" s="1"/>
  <c r="BO1333" i="6"/>
  <c r="U43" i="42425"/>
  <c r="G35" i="42467"/>
  <c r="E18" i="42446"/>
  <c r="E14" i="42446"/>
  <c r="IU888" i="42425"/>
  <c r="IU887" i="42425"/>
  <c r="CB1287" i="6"/>
  <c r="DF1287" i="6"/>
  <c r="CB141" i="6"/>
  <c r="DG141" i="6" s="1"/>
  <c r="CC1016" i="6"/>
  <c r="DG1016" i="6"/>
  <c r="BA1095" i="6"/>
  <c r="AZ1224" i="6"/>
  <c r="AZ1347" i="6" s="1"/>
  <c r="AZ1151" i="6"/>
  <c r="BA1151" i="6" s="1"/>
  <c r="CZ1151" i="6" s="1"/>
  <c r="BW170" i="42290"/>
  <c r="M972" i="6"/>
  <c r="CR972" i="6" s="1"/>
  <c r="BB1153" i="6"/>
  <c r="CZ1097" i="6"/>
  <c r="CX1034" i="6"/>
  <c r="DB980" i="6"/>
  <c r="BL980" i="6"/>
  <c r="BM980" i="6" s="1"/>
  <c r="BN980" i="6" s="1"/>
  <c r="BQ410" i="6"/>
  <c r="BQ473" i="6" s="1"/>
  <c r="BO788" i="6"/>
  <c r="AZ1114" i="6"/>
  <c r="AZ1127" i="6" s="1"/>
  <c r="AG172" i="6"/>
  <c r="BF892" i="6"/>
  <c r="DA892" i="6" s="1"/>
  <c r="BQ413" i="6"/>
  <c r="BQ476" i="6" s="1"/>
  <c r="BF107" i="6"/>
  <c r="E17" i="42453"/>
  <c r="AY878" i="6"/>
  <c r="AY888" i="6" s="1"/>
  <c r="BD889" i="6" s="1"/>
  <c r="BL811" i="6"/>
  <c r="BI853" i="6"/>
  <c r="BI856" i="6" s="1"/>
  <c r="L22" i="6"/>
  <c r="G1199" i="6"/>
  <c r="G143" i="6" s="1"/>
  <c r="P34" i="6"/>
  <c r="BH853" i="6"/>
  <c r="BH856" i="6" s="1"/>
  <c r="AA970" i="6"/>
  <c r="BK673" i="6"/>
  <c r="BA637" i="6"/>
  <c r="E749" i="6"/>
  <c r="AY321" i="6"/>
  <c r="K317" i="6"/>
  <c r="Z308" i="6"/>
  <c r="CT73" i="6"/>
  <c r="BE127" i="6"/>
  <c r="BE107" i="6"/>
  <c r="BE110" i="6" s="1"/>
  <c r="AZ127" i="6"/>
  <c r="AZ107" i="6"/>
  <c r="AZ110" i="6" s="1"/>
  <c r="D17" i="42452"/>
  <c r="D22" i="42452" s="1"/>
  <c r="AP107" i="6"/>
  <c r="AP110" i="6" s="1"/>
  <c r="AA127" i="6"/>
  <c r="AA107" i="6"/>
  <c r="AA110" i="6" s="1"/>
  <c r="V127" i="6"/>
  <c r="V107" i="6"/>
  <c r="V110" i="6" s="1"/>
  <c r="C8" i="42468"/>
  <c r="BD127" i="6"/>
  <c r="IL866" i="42425"/>
  <c r="AR127" i="6"/>
  <c r="G40" i="42474"/>
  <c r="G31" i="42475"/>
  <c r="BN146" i="42425"/>
  <c r="BN148" i="42425"/>
  <c r="D44" i="42428"/>
  <c r="K25" i="42457"/>
  <c r="BP146" i="42425"/>
  <c r="G24" i="42473"/>
  <c r="G38" i="42471"/>
  <c r="F27" i="42461"/>
  <c r="C45" i="42428"/>
  <c r="L45" i="42428" s="1"/>
  <c r="BX170" i="42290"/>
  <c r="BS170" i="42290"/>
  <c r="BT170" i="42290" s="1"/>
  <c r="BT175" i="42290" s="1"/>
  <c r="BN129" i="6"/>
  <c r="AO390" i="6"/>
  <c r="CY1191" i="6"/>
  <c r="BR1333" i="6"/>
  <c r="AN967" i="6"/>
  <c r="AQ1097" i="6"/>
  <c r="BN136" i="6"/>
  <c r="T288" i="6"/>
  <c r="U286" i="6"/>
  <c r="DB328" i="6"/>
  <c r="BL328" i="6"/>
  <c r="BM328" i="6" s="1"/>
  <c r="BN328" i="6" s="1"/>
  <c r="BO328" i="6" s="1"/>
  <c r="BP328" i="6" s="1"/>
  <c r="DC328" i="6" s="1"/>
  <c r="AO286" i="6"/>
  <c r="AN944" i="6"/>
  <c r="W1095" i="6"/>
  <c r="V1151" i="6"/>
  <c r="W1151" i="6" s="1"/>
  <c r="CT1151" i="6" s="1"/>
  <c r="AQ631" i="6"/>
  <c r="AE130" i="42290"/>
  <c r="AM288" i="6"/>
  <c r="BL687" i="6"/>
  <c r="AD283" i="42290"/>
  <c r="AB5" i="6"/>
  <c r="BQ1101" i="6"/>
  <c r="BR1101" i="6" s="1"/>
  <c r="BC823" i="6"/>
  <c r="I1099" i="6"/>
  <c r="I1155" i="6" s="1"/>
  <c r="AX331" i="6"/>
  <c r="AX336" i="6" s="1"/>
  <c r="AX337" i="6" s="1"/>
  <c r="CE993" i="6"/>
  <c r="BC834" i="6"/>
  <c r="BC837" i="6" s="1"/>
  <c r="BA323" i="6"/>
  <c r="BA321" i="6"/>
  <c r="AV991" i="6"/>
  <c r="CY991" i="6" s="1"/>
  <c r="AS1201" i="6"/>
  <c r="AR617" i="6"/>
  <c r="AM616" i="6"/>
  <c r="BH667" i="6"/>
  <c r="BM667" i="6"/>
  <c r="BB859" i="6"/>
  <c r="BB853" i="6" s="1"/>
  <c r="BB856" i="6" s="1"/>
  <c r="G107" i="6"/>
  <c r="G110" i="6" s="1"/>
  <c r="G51" i="6"/>
  <c r="G55" i="6" s="1"/>
  <c r="G70" i="6" s="1"/>
  <c r="G71" i="6" s="1"/>
  <c r="H140" i="6"/>
  <c r="CQ140" i="6" s="1"/>
  <c r="AJ1098" i="6"/>
  <c r="AJ1154" i="6" s="1"/>
  <c r="U1333" i="6"/>
  <c r="AW702" i="6"/>
  <c r="BF141" i="6"/>
  <c r="DA141" i="6" s="1"/>
  <c r="AA1024" i="6"/>
  <c r="R972" i="6"/>
  <c r="CS972" i="6" s="1"/>
  <c r="P146" i="6"/>
  <c r="R146" i="6" s="1"/>
  <c r="CS146" i="6" s="1"/>
  <c r="H993" i="6"/>
  <c r="CQ993" i="6" s="1"/>
  <c r="AB993" i="6"/>
  <c r="CU993" i="6" s="1"/>
  <c r="M505" i="6"/>
  <c r="CR505" i="6" s="1"/>
  <c r="AB1025" i="6"/>
  <c r="CU1025" i="6" s="1"/>
  <c r="AV1014" i="6"/>
  <c r="CY1014" i="6" s="1"/>
  <c r="G30" i="42473"/>
  <c r="CC894" i="6"/>
  <c r="AO45" i="6"/>
  <c r="AO958" i="6"/>
  <c r="E942" i="6"/>
  <c r="AH52" i="6"/>
  <c r="CZ1099" i="6"/>
  <c r="B43" i="42434"/>
  <c r="BT259" i="42425"/>
  <c r="AC1139" i="6"/>
  <c r="AU892" i="6"/>
  <c r="T884" i="6"/>
  <c r="T894" i="6" s="1"/>
  <c r="T895" i="6" s="1"/>
  <c r="BC847" i="6"/>
  <c r="BL774" i="6"/>
  <c r="AR684" i="6"/>
  <c r="AX684" i="6"/>
  <c r="BF637" i="6"/>
  <c r="AN693" i="6"/>
  <c r="M514" i="6"/>
  <c r="CR514" i="6" s="1"/>
  <c r="Q505" i="6"/>
  <c r="N28" i="42457"/>
  <c r="G24" i="42468"/>
  <c r="F27" i="42459"/>
  <c r="C84" i="42290"/>
  <c r="C87" i="42290" s="1"/>
  <c r="G22" i="42428"/>
  <c r="BM146" i="6"/>
  <c r="BP146" i="6" s="1"/>
  <c r="DC146" i="6" s="1"/>
  <c r="BP1161" i="6"/>
  <c r="DC1161" i="6" s="1"/>
  <c r="BT1167" i="6"/>
  <c r="BQ1099" i="6"/>
  <c r="BR1167" i="6"/>
  <c r="BP1106" i="6"/>
  <c r="DC1106" i="6" s="1"/>
  <c r="BQ1167" i="6"/>
  <c r="BQ1159" i="6"/>
  <c r="DD1055" i="6"/>
  <c r="DD1069" i="6"/>
  <c r="BT1057" i="6"/>
  <c r="BU1057" i="6" s="1"/>
  <c r="BV1057" i="6" s="1"/>
  <c r="BW1057" i="6" s="1"/>
  <c r="BX1057" i="6" s="1"/>
  <c r="BY1057" i="6" s="1"/>
  <c r="DC1057" i="6"/>
  <c r="BP1157" i="6"/>
  <c r="DC1157" i="6" s="1"/>
  <c r="DC1068" i="6"/>
  <c r="BT1068" i="6"/>
  <c r="AH1293" i="6"/>
  <c r="AI1293" i="6" s="1"/>
  <c r="AJ1293" i="6" s="1"/>
  <c r="AK1293" i="6" s="1"/>
  <c r="AL1293" i="6" s="1"/>
  <c r="CW1293" i="6" s="1"/>
  <c r="CV1293" i="6"/>
  <c r="AN1351" i="6"/>
  <c r="AN154" i="6"/>
  <c r="BS371" i="6"/>
  <c r="BR413" i="6"/>
  <c r="BU389" i="6"/>
  <c r="BV389" i="6" s="1"/>
  <c r="BW389" i="6" s="1"/>
  <c r="BX389" i="6" s="1"/>
  <c r="BY389" i="6" s="1"/>
  <c r="BZ389" i="6" s="1"/>
  <c r="BN30" i="6"/>
  <c r="BN33" i="6" s="1"/>
  <c r="BN34" i="6" s="1"/>
  <c r="CY1176" i="6"/>
  <c r="G489" i="6"/>
  <c r="L468" i="6"/>
  <c r="G495" i="6"/>
  <c r="AB1039" i="6"/>
  <c r="BL800" i="6"/>
  <c r="BD853" i="6"/>
  <c r="BD856" i="6" s="1"/>
  <c r="BM853" i="6"/>
  <c r="BM856" i="6" s="1"/>
  <c r="DD77" i="6"/>
  <c r="CE776" i="6"/>
  <c r="BF917" i="6"/>
  <c r="BF918" i="6" s="1"/>
  <c r="P99" i="42458"/>
  <c r="AG1041" i="6"/>
  <c r="CV1041" i="6" s="1"/>
  <c r="BP1155" i="6"/>
  <c r="DC1155" i="6" s="1"/>
  <c r="H1200" i="6"/>
  <c r="CQ1200" i="6" s="1"/>
  <c r="M129" i="6"/>
  <c r="CR129" i="6" s="1"/>
  <c r="Y154" i="6"/>
  <c r="Y1351" i="6"/>
  <c r="BN859" i="6"/>
  <c r="BN865" i="6" s="1"/>
  <c r="BN850" i="6"/>
  <c r="G139" i="6"/>
  <c r="H1026" i="6"/>
  <c r="CQ1026" i="6" s="1"/>
  <c r="J1153" i="6"/>
  <c r="BR831" i="6"/>
  <c r="BR834" i="6" s="1"/>
  <c r="BR837" i="6" s="1"/>
  <c r="AY414" i="6"/>
  <c r="AY477" i="6" s="1"/>
  <c r="H107" i="6"/>
  <c r="D53" i="42461"/>
  <c r="CI259" i="42425"/>
  <c r="W19" i="42464"/>
  <c r="S34" i="6"/>
  <c r="R1188" i="6"/>
  <c r="H1188" i="6"/>
  <c r="AW304" i="6"/>
  <c r="BK138" i="6"/>
  <c r="DB138" i="6" s="1"/>
  <c r="AQ28" i="6"/>
  <c r="CX28" i="6" s="1"/>
  <c r="BA136" i="6"/>
  <c r="CZ136" i="6" s="1"/>
  <c r="I71" i="6"/>
  <c r="T889" i="6"/>
  <c r="AN362" i="6"/>
  <c r="I970" i="6"/>
  <c r="I974" i="6" s="1"/>
  <c r="AE56" i="6"/>
  <c r="F30" i="42474"/>
  <c r="H126" i="6"/>
  <c r="CQ126" i="6" s="1"/>
  <c r="AZ102" i="42425"/>
  <c r="BA307" i="6"/>
  <c r="CZ307" i="6" s="1"/>
  <c r="D53" i="42471"/>
  <c r="C53" i="42454"/>
  <c r="L53" i="42454" s="1"/>
  <c r="CB262" i="42425"/>
  <c r="Y19" i="42473"/>
  <c r="AW530" i="6"/>
  <c r="AW531" i="6" s="1"/>
  <c r="J1042" i="6"/>
  <c r="AH974" i="6"/>
  <c r="AL974" i="6" s="1"/>
  <c r="CW974" i="6" s="1"/>
  <c r="L892" i="6"/>
  <c r="BC670" i="6"/>
  <c r="AV636" i="6"/>
  <c r="BP1167" i="6"/>
  <c r="AL970" i="6"/>
  <c r="CW970" i="6" s="1"/>
  <c r="BF45" i="6"/>
  <c r="DA45" i="6" s="1"/>
  <c r="HP826" i="42425" s="1"/>
  <c r="BH696" i="6"/>
  <c r="BN299" i="6"/>
  <c r="BP299" i="6" s="1"/>
  <c r="BN321" i="6"/>
  <c r="BN323" i="6"/>
  <c r="D49" i="42437"/>
  <c r="AW107" i="6"/>
  <c r="AW110" i="6" s="1"/>
  <c r="D53" i="42459"/>
  <c r="D52" i="42454"/>
  <c r="Y18" i="42459"/>
  <c r="AK110" i="6"/>
  <c r="Y110" i="6"/>
  <c r="Q110" i="6"/>
  <c r="W19" i="42474"/>
  <c r="D51" i="42452"/>
  <c r="G28" i="42474"/>
  <c r="F29" i="42468"/>
  <c r="G40" i="42459"/>
  <c r="BG84" i="42290"/>
  <c r="BG87" i="42290" s="1"/>
  <c r="D52" i="42461"/>
  <c r="L17" i="42428"/>
  <c r="C49" i="42432"/>
  <c r="L17" i="42432"/>
  <c r="F20" i="42455"/>
  <c r="CB259" i="42425"/>
  <c r="AX99" i="42425"/>
  <c r="C22" i="42454"/>
  <c r="L22" i="42454" s="1"/>
  <c r="G19" i="42452"/>
  <c r="F19" i="42461"/>
  <c r="W129" i="6"/>
  <c r="CT129" i="6" s="1"/>
  <c r="AM97" i="42471"/>
  <c r="AM100" i="42471" s="1"/>
  <c r="C18" i="42428"/>
  <c r="K17" i="42428"/>
  <c r="D55" i="42474"/>
  <c r="AH55" i="6"/>
  <c r="AH167" i="6" s="1"/>
  <c r="AH33" i="6"/>
  <c r="AH28" i="6" s="1"/>
  <c r="AL28" i="6" s="1"/>
  <c r="CW28" i="6" s="1"/>
  <c r="W107" i="6"/>
  <c r="CT107" i="6" s="1"/>
  <c r="Q20" i="42473"/>
  <c r="W33" i="6"/>
  <c r="W34" i="6" s="1"/>
  <c r="CT34" i="6" s="1"/>
  <c r="AD52" i="6"/>
  <c r="AN35" i="6"/>
  <c r="N35" i="6"/>
  <c r="N70" i="6"/>
  <c r="N80" i="6" s="1"/>
  <c r="N82" i="6" s="1"/>
  <c r="S35" i="6"/>
  <c r="AI35" i="6"/>
  <c r="N34" i="6"/>
  <c r="N58" i="6"/>
  <c r="AI34" i="6"/>
  <c r="I35" i="6"/>
  <c r="N57" i="6"/>
  <c r="R33" i="6"/>
  <c r="CS33" i="6" s="1"/>
  <c r="Y34" i="6"/>
  <c r="AF52" i="6"/>
  <c r="BT1343" i="6"/>
  <c r="AZ51" i="6"/>
  <c r="K8" i="42457" s="1"/>
  <c r="K46" i="42457" s="1"/>
  <c r="BR12" i="42446"/>
  <c r="BQ38" i="42446"/>
  <c r="AH9" i="42446"/>
  <c r="AG45" i="42446"/>
  <c r="E12" i="42446"/>
  <c r="AG29" i="42446"/>
  <c r="BQ21" i="42446"/>
  <c r="T22" i="42446"/>
  <c r="BQ22" i="42446"/>
  <c r="CC11" i="42446"/>
  <c r="CC15" i="42446" s="1"/>
  <c r="AG11" i="42446"/>
  <c r="BR11" i="42446"/>
  <c r="S32" i="42446"/>
  <c r="E30" i="42446"/>
  <c r="S29" i="42446"/>
  <c r="AT1259" i="6"/>
  <c r="AT1261" i="6" s="1"/>
  <c r="AT52" i="6"/>
  <c r="T52" i="6"/>
  <c r="T55" i="6"/>
  <c r="CZ41" i="6"/>
  <c r="HO824" i="42425" s="1"/>
  <c r="BA129" i="6"/>
  <c r="CZ129" i="6" s="1"/>
  <c r="L19" i="42474"/>
  <c r="P19" i="42474"/>
  <c r="Q19" i="42474"/>
  <c r="F19" i="42474"/>
  <c r="K19" i="42474"/>
  <c r="AU51" i="6"/>
  <c r="AU52" i="6" s="1"/>
  <c r="AU53" i="6"/>
  <c r="F17" i="42432"/>
  <c r="D49" i="42432"/>
  <c r="D19" i="42432"/>
  <c r="G17" i="42432"/>
  <c r="AV29" i="6"/>
  <c r="AF58" i="6"/>
  <c r="AF56" i="6"/>
  <c r="G20" i="42473"/>
  <c r="AY51" i="6"/>
  <c r="AQ107" i="6"/>
  <c r="AQ129" i="6"/>
  <c r="CX129" i="6" s="1"/>
  <c r="CX41" i="6"/>
  <c r="HM824" i="42425" s="1"/>
  <c r="B44" i="42434"/>
  <c r="D23" i="42464"/>
  <c r="D25" i="42464" s="1"/>
  <c r="D32" i="42464" s="1"/>
  <c r="D37" i="42464" s="1"/>
  <c r="D40" i="42464" s="1"/>
  <c r="D43" i="42464" s="1"/>
  <c r="D53" i="42464"/>
  <c r="D54" i="42464"/>
  <c r="K20" i="42459"/>
  <c r="Q20" i="42459"/>
  <c r="P20" i="42473"/>
  <c r="F20" i="42473"/>
  <c r="L20" i="42473"/>
  <c r="W19" i="42468"/>
  <c r="L19" i="42468"/>
  <c r="F19" i="42468"/>
  <c r="C53" i="42468"/>
  <c r="Q19" i="42468"/>
  <c r="C54" i="42468"/>
  <c r="K19" i="42468"/>
  <c r="P19" i="42468"/>
  <c r="G19" i="42454"/>
  <c r="D53" i="42454"/>
  <c r="V19" i="42454"/>
  <c r="D19" i="42440"/>
  <c r="D49" i="42440"/>
  <c r="G19" i="42468"/>
  <c r="C55" i="42474"/>
  <c r="I84" i="6"/>
  <c r="I1013" i="6" s="1"/>
  <c r="I1028" i="6" s="1"/>
  <c r="I1046" i="6" s="1"/>
  <c r="AF80" i="6"/>
  <c r="AF1220" i="6" s="1"/>
  <c r="AF71" i="6"/>
  <c r="Y19" i="42464"/>
  <c r="L19" i="42459"/>
  <c r="W19" i="42459"/>
  <c r="C22" i="42459"/>
  <c r="K19" i="42459"/>
  <c r="P19" i="42459"/>
  <c r="Q19" i="42459"/>
  <c r="DB41" i="6"/>
  <c r="HQ824" i="42425" s="1"/>
  <c r="BK129" i="6"/>
  <c r="DB129" i="6" s="1"/>
  <c r="W19" i="42461"/>
  <c r="Q19" i="42461"/>
  <c r="K19" i="42461"/>
  <c r="C52" i="42461"/>
  <c r="L52" i="42461" s="1"/>
  <c r="C53" i="42461"/>
  <c r="G19" i="42461"/>
  <c r="P19" i="42461"/>
  <c r="L19" i="42461"/>
  <c r="AW51" i="6"/>
  <c r="Y55" i="6"/>
  <c r="Y52" i="6"/>
  <c r="K20" i="42464"/>
  <c r="L20" i="42464"/>
  <c r="F20" i="42464"/>
  <c r="L19" i="42455"/>
  <c r="Q19" i="42455"/>
  <c r="K19" i="42455"/>
  <c r="C53" i="42455"/>
  <c r="L53" i="42455" s="1"/>
  <c r="DA41" i="6"/>
  <c r="HP824" i="42425" s="1"/>
  <c r="BF129" i="6"/>
  <c r="DA129" i="6" s="1"/>
  <c r="AM97" i="42473"/>
  <c r="AM100" i="42473" s="1"/>
  <c r="AE70" i="6"/>
  <c r="AE71" i="6" s="1"/>
  <c r="L19" i="42454"/>
  <c r="C52" i="42454"/>
  <c r="C55" i="42475"/>
  <c r="L55" i="42475" s="1"/>
  <c r="BF44" i="6"/>
  <c r="P20" i="42464"/>
  <c r="Q20" i="42464"/>
  <c r="I113" i="6"/>
  <c r="I116" i="6" s="1"/>
  <c r="I118" i="6" s="1"/>
  <c r="I123" i="6" s="1"/>
  <c r="Q52" i="6"/>
  <c r="AC52" i="6"/>
  <c r="I52" i="6"/>
  <c r="O55" i="6"/>
  <c r="O70" i="6" s="1"/>
  <c r="L19" i="42452"/>
  <c r="C50" i="42452"/>
  <c r="L50" i="42452" s="1"/>
  <c r="K19" i="42452"/>
  <c r="D48" i="42447"/>
  <c r="G48" i="42447" s="1"/>
  <c r="CW41" i="6"/>
  <c r="HL824" i="42425" s="1"/>
  <c r="AL107" i="6"/>
  <c r="CW107" i="6" s="1"/>
  <c r="F20" i="42452"/>
  <c r="G19" i="42474"/>
  <c r="T19" i="42454"/>
  <c r="F19" i="42454"/>
  <c r="F19" i="42452"/>
  <c r="L19" i="42475"/>
  <c r="L20" i="42454"/>
  <c r="G20" i="42464"/>
  <c r="R51" i="6"/>
  <c r="R129" i="6"/>
  <c r="CS129" i="6" s="1"/>
  <c r="BU435" i="6"/>
  <c r="ER597" i="42458" s="1"/>
  <c r="DD339" i="6"/>
  <c r="BT11" i="6"/>
  <c r="B11" i="42417"/>
  <c r="D23" i="42473"/>
  <c r="D25" i="42473" s="1"/>
  <c r="D32" i="42473" s="1"/>
  <c r="D37" i="42473" s="1"/>
  <c r="D40" i="42473" s="1"/>
  <c r="D43" i="42473" s="1"/>
  <c r="AT71" i="6"/>
  <c r="AT80" i="6"/>
  <c r="AT113" i="6"/>
  <c r="AT116" i="6" s="1"/>
  <c r="AT118" i="6" s="1"/>
  <c r="AT123" i="6" s="1"/>
  <c r="E12" i="42457"/>
  <c r="E16" i="42457" s="1"/>
  <c r="AT56" i="6"/>
  <c r="D22" i="42454"/>
  <c r="U52" i="6"/>
  <c r="N18" i="42450"/>
  <c r="F18" i="42450"/>
  <c r="D48" i="42450"/>
  <c r="G48" i="42450" s="1"/>
  <c r="CC259" i="42425"/>
  <c r="CC262" i="42425"/>
  <c r="CC264" i="42425" s="1"/>
  <c r="Y19" i="42467"/>
  <c r="D53" i="42467"/>
  <c r="W52" i="6"/>
  <c r="CT52" i="6" s="1"/>
  <c r="CT51" i="6"/>
  <c r="V55" i="6"/>
  <c r="V57" i="6" s="1"/>
  <c r="V52" i="6"/>
  <c r="P20" i="42467"/>
  <c r="Q20" i="42467"/>
  <c r="P20" i="42474"/>
  <c r="Q20" i="42474"/>
  <c r="L20" i="42474"/>
  <c r="P19" i="42473"/>
  <c r="C53" i="42473"/>
  <c r="L53" i="42473" s="1"/>
  <c r="K19" i="42473"/>
  <c r="L19" i="42473"/>
  <c r="W19" i="42473"/>
  <c r="F19" i="42473"/>
  <c r="N48" i="42451"/>
  <c r="N49" i="42451" s="1"/>
  <c r="N50" i="42451" s="1"/>
  <c r="D48" i="42451"/>
  <c r="G48" i="42451" s="1"/>
  <c r="G18" i="42451"/>
  <c r="F20" i="42459"/>
  <c r="G20" i="42459"/>
  <c r="E46" i="42457"/>
  <c r="AB51" i="6"/>
  <c r="Q19" i="42473"/>
  <c r="AA52" i="6"/>
  <c r="AA55" i="6"/>
  <c r="AE167" i="6" s="1"/>
  <c r="AR55" i="6"/>
  <c r="AR52" i="6"/>
  <c r="C8" i="42457"/>
  <c r="C46" i="42457" s="1"/>
  <c r="K19" i="42467"/>
  <c r="L19" i="42467"/>
  <c r="F20" i="42467"/>
  <c r="G20" i="42467"/>
  <c r="Q19" i="42471"/>
  <c r="F19" i="42471"/>
  <c r="P19" i="42471"/>
  <c r="G19" i="42471"/>
  <c r="C53" i="42471"/>
  <c r="L19" i="42471"/>
  <c r="G20" i="42471"/>
  <c r="D23" i="42471"/>
  <c r="F20" i="42471"/>
  <c r="G19" i="42459"/>
  <c r="F19" i="42459"/>
  <c r="Y19" i="42459"/>
  <c r="D22" i="42459"/>
  <c r="D52" i="42459"/>
  <c r="D45" i="42428"/>
  <c r="G17" i="42428"/>
  <c r="D18" i="42428"/>
  <c r="D54" i="42467"/>
  <c r="G18" i="42450"/>
  <c r="W19" i="42471"/>
  <c r="BB51" i="6"/>
  <c r="I1220" i="6"/>
  <c r="I1211" i="6"/>
  <c r="K20" i="42474"/>
  <c r="G20" i="42461"/>
  <c r="BA107" i="6"/>
  <c r="CZ107" i="6" s="1"/>
  <c r="D19" i="42437"/>
  <c r="G19" i="42473"/>
  <c r="DD29" i="6"/>
  <c r="F20" i="42461"/>
  <c r="Q20" i="42475"/>
  <c r="P20" i="42475"/>
  <c r="L20" i="42475"/>
  <c r="G20" i="42475"/>
  <c r="K20" i="42475"/>
  <c r="F20" i="42475"/>
  <c r="G17" i="42442"/>
  <c r="F17" i="42442"/>
  <c r="D49" i="42442"/>
  <c r="G49" i="42442" s="1"/>
  <c r="G19" i="42464"/>
  <c r="Q19" i="42464"/>
  <c r="F19" i="42464"/>
  <c r="C53" i="42464"/>
  <c r="C23" i="42464"/>
  <c r="U19" i="42464" s="1"/>
  <c r="L19" i="42464"/>
  <c r="C54" i="42464"/>
  <c r="L54" i="42464" s="1"/>
  <c r="K19" i="42464"/>
  <c r="P19" i="42464"/>
  <c r="L20" i="42468"/>
  <c r="F20" i="42468"/>
  <c r="Q20" i="42468"/>
  <c r="C23" i="42468"/>
  <c r="U20" i="42468" s="1"/>
  <c r="P20" i="42468"/>
  <c r="G20" i="42468"/>
  <c r="G19" i="42455"/>
  <c r="D22" i="42455"/>
  <c r="D52" i="42455"/>
  <c r="Y19" i="42455"/>
  <c r="F19" i="42455"/>
  <c r="K20" i="42468"/>
  <c r="F55" i="6"/>
  <c r="F52" i="6"/>
  <c r="CY41" i="6"/>
  <c r="HN824" i="42425" s="1"/>
  <c r="AV129" i="6"/>
  <c r="CY129" i="6" s="1"/>
  <c r="AZ99" i="42425"/>
  <c r="E58" i="6"/>
  <c r="E70" i="6"/>
  <c r="E56" i="6"/>
  <c r="S55" i="6"/>
  <c r="S70" i="6" s="1"/>
  <c r="S52" i="6"/>
  <c r="AS52" i="6"/>
  <c r="AS55" i="6"/>
  <c r="G17" i="42440"/>
  <c r="F17" i="42440"/>
  <c r="K17" i="42440"/>
  <c r="C49" i="42440"/>
  <c r="L17" i="42440"/>
  <c r="Y19" i="42475"/>
  <c r="F19" i="42475"/>
  <c r="G19" i="42475"/>
  <c r="D55" i="42475"/>
  <c r="G20" i="42474"/>
  <c r="F20" i="42474"/>
  <c r="CL262" i="42425"/>
  <c r="G17" i="42441"/>
  <c r="K17" i="42441"/>
  <c r="C49" i="42441"/>
  <c r="L17" i="42441"/>
  <c r="F17" i="42441"/>
  <c r="G19" i="42467"/>
  <c r="F19" i="42467"/>
  <c r="C53" i="42467"/>
  <c r="Q19" i="42467"/>
  <c r="C54" i="42467"/>
  <c r="L54" i="42467" s="1"/>
  <c r="W19" i="42467"/>
  <c r="CZ42" i="6"/>
  <c r="HO825" i="42425" s="1"/>
  <c r="BA44" i="6"/>
  <c r="F17" i="42437"/>
  <c r="L17" i="42437"/>
  <c r="C49" i="42437"/>
  <c r="K17" i="42437"/>
  <c r="K19" i="42437" s="1"/>
  <c r="G17" i="42437"/>
  <c r="F20" i="42454"/>
  <c r="G20" i="42454"/>
  <c r="K20" i="42452"/>
  <c r="L20" i="42452"/>
  <c r="CR41" i="6"/>
  <c r="M107" i="6"/>
  <c r="X55" i="6"/>
  <c r="X52" i="6"/>
  <c r="AM97" i="42455"/>
  <c r="AM100" i="42455" s="1"/>
  <c r="AM99" i="42474"/>
  <c r="AM102" i="42474" s="1"/>
  <c r="AM98" i="42464"/>
  <c r="AM101" i="42464" s="1"/>
  <c r="AM99" i="42475"/>
  <c r="AM102" i="42475" s="1"/>
  <c r="AM97" i="42461"/>
  <c r="AM100" i="42461" s="1"/>
  <c r="AM97" i="42459"/>
  <c r="AM100" i="42459" s="1"/>
  <c r="DB42" i="6"/>
  <c r="HQ825" i="42425" s="1"/>
  <c r="BK44" i="6"/>
  <c r="AY99" i="42425"/>
  <c r="AG107" i="6"/>
  <c r="CV41" i="6"/>
  <c r="HK824" i="42425" s="1"/>
  <c r="AG51" i="6"/>
  <c r="D12" i="42425" s="1"/>
  <c r="AG129" i="6"/>
  <c r="CV129" i="6" s="1"/>
  <c r="BK107" i="6"/>
  <c r="BK110" i="6" s="1"/>
  <c r="DB110" i="6" s="1"/>
  <c r="D53" i="42455"/>
  <c r="Q58" i="6"/>
  <c r="Q56" i="6"/>
  <c r="Q113" i="6"/>
  <c r="Q116" i="6" s="1"/>
  <c r="Q118" i="6" s="1"/>
  <c r="Q123" i="6" s="1"/>
  <c r="Q70" i="6"/>
  <c r="U113" i="6"/>
  <c r="U116" i="6" s="1"/>
  <c r="U70" i="6"/>
  <c r="U56" i="6"/>
  <c r="U58" i="6"/>
  <c r="AC58" i="6"/>
  <c r="AC70" i="6"/>
  <c r="AF167" i="6"/>
  <c r="AG167" i="6" s="1"/>
  <c r="DA167" i="6" s="1"/>
  <c r="AC113" i="6"/>
  <c r="AC116" i="6" s="1"/>
  <c r="AC118" i="6" s="1"/>
  <c r="AC123" i="6" s="1"/>
  <c r="AC56" i="6"/>
  <c r="D22" i="42461"/>
  <c r="S1198" i="6"/>
  <c r="S147" i="6" s="1"/>
  <c r="S143" i="6"/>
  <c r="AK143" i="6"/>
  <c r="Z143" i="6"/>
  <c r="BN53" i="6"/>
  <c r="AF118" i="6"/>
  <c r="AF123" i="6" s="1"/>
  <c r="AT331" i="6"/>
  <c r="AT336" i="6" s="1"/>
  <c r="AU331" i="6"/>
  <c r="AU336" i="6" s="1"/>
  <c r="K33" i="6"/>
  <c r="AV331" i="6"/>
  <c r="BQ1333" i="6"/>
  <c r="BB1190" i="6"/>
  <c r="BG1187" i="6"/>
  <c r="AN130" i="6"/>
  <c r="AU1038" i="6"/>
  <c r="BK104" i="6"/>
  <c r="AZ1022" i="6"/>
  <c r="I50" i="42457"/>
  <c r="AX1351" i="6"/>
  <c r="K337" i="6"/>
  <c r="BL1141" i="6"/>
  <c r="BM1084" i="6"/>
  <c r="BN1084" i="6" s="1"/>
  <c r="BL1285" i="6"/>
  <c r="BL1176" i="6"/>
  <c r="BL850" i="6"/>
  <c r="BP847" i="6"/>
  <c r="BL859" i="6"/>
  <c r="BL853" i="6" s="1"/>
  <c r="BG1001" i="6"/>
  <c r="BE286" i="6"/>
  <c r="U895" i="6"/>
  <c r="AY476" i="6"/>
  <c r="CA1166" i="6"/>
  <c r="CB1109" i="6"/>
  <c r="BC330" i="6"/>
  <c r="BD329" i="6"/>
  <c r="BN834" i="6"/>
  <c r="BN837" i="6" s="1"/>
  <c r="U967" i="6"/>
  <c r="CS884" i="6"/>
  <c r="R894" i="6"/>
  <c r="BA1025" i="6"/>
  <c r="CZ1025" i="6" s="1"/>
  <c r="AZ138" i="6"/>
  <c r="P21" i="42475"/>
  <c r="Q21" i="42475"/>
  <c r="C23" i="42475"/>
  <c r="U21" i="42475" s="1"/>
  <c r="K21" i="42475"/>
  <c r="L21" i="42475"/>
  <c r="J1198" i="6"/>
  <c r="J143" i="6"/>
  <c r="L227" i="6"/>
  <c r="AZ289" i="6"/>
  <c r="AZ294" i="6" s="1"/>
  <c r="BA289" i="6"/>
  <c r="BA294" i="6" s="1"/>
  <c r="AY289" i="6"/>
  <c r="AY294" i="6" s="1"/>
  <c r="AQ1042" i="6"/>
  <c r="CX1042" i="6" s="1"/>
  <c r="CX1038" i="6"/>
  <c r="DD1177" i="6"/>
  <c r="DD1116" i="6"/>
  <c r="K154" i="6"/>
  <c r="K1351" i="6"/>
  <c r="Z113" i="6"/>
  <c r="Z70" i="6"/>
  <c r="Z56" i="6"/>
  <c r="Z57" i="6"/>
  <c r="Z58" i="6"/>
  <c r="AE57" i="6"/>
  <c r="BA1204" i="6"/>
  <c r="CJ1177" i="6" s="1"/>
  <c r="CW1034" i="6"/>
  <c r="BB800" i="6"/>
  <c r="BB802" i="6" s="1"/>
  <c r="BB811" i="6"/>
  <c r="BB821" i="6"/>
  <c r="DD1058" i="6"/>
  <c r="DC1100" i="6"/>
  <c r="BQ1100" i="6"/>
  <c r="BQ1156" i="6" s="1"/>
  <c r="CY1199" i="6"/>
  <c r="BA1114" i="6"/>
  <c r="T967" i="6"/>
  <c r="T946" i="6"/>
  <c r="BQ105" i="6"/>
  <c r="BR105" i="6" s="1"/>
  <c r="BS105" i="6" s="1"/>
  <c r="BT105" i="6" s="1"/>
  <c r="BU105" i="6" s="1"/>
  <c r="BV105" i="6" s="1"/>
  <c r="BW105" i="6" s="1"/>
  <c r="BX105" i="6" s="1"/>
  <c r="BY105" i="6" s="1"/>
  <c r="BZ105" i="6" s="1"/>
  <c r="DC105" i="6"/>
  <c r="E1198" i="6"/>
  <c r="E147" i="6" s="1"/>
  <c r="E143" i="6"/>
  <c r="D1198" i="6"/>
  <c r="BN1165" i="6"/>
  <c r="BO1108" i="6"/>
  <c r="CC1135" i="6"/>
  <c r="CY26" i="6"/>
  <c r="BI1168" i="6"/>
  <c r="BJ1168" i="6" s="1"/>
  <c r="BK1168" i="6" s="1"/>
  <c r="BT390" i="6"/>
  <c r="G897" i="6"/>
  <c r="H903" i="6"/>
  <c r="BB1093" i="6"/>
  <c r="CZ1093" i="6"/>
  <c r="W138" i="6"/>
  <c r="CT138" i="6" s="1"/>
  <c r="CV26" i="6"/>
  <c r="DD1125" i="6"/>
  <c r="AD113" i="6"/>
  <c r="AD56" i="6"/>
  <c r="AD70" i="6"/>
  <c r="AD58" i="6"/>
  <c r="Y143" i="6"/>
  <c r="Y1198" i="6"/>
  <c r="AB1199" i="6"/>
  <c r="O154" i="6"/>
  <c r="O1351" i="6"/>
  <c r="G33" i="6"/>
  <c r="R475" i="6"/>
  <c r="CS475" i="6" s="1"/>
  <c r="Q290" i="42290"/>
  <c r="CS5" i="6"/>
  <c r="R888" i="6"/>
  <c r="DD1293" i="6"/>
  <c r="G970" i="6"/>
  <c r="BO831" i="6"/>
  <c r="BO834" i="6" s="1"/>
  <c r="BO837" i="6" s="1"/>
  <c r="DA328" i="6"/>
  <c r="CC27" i="42446"/>
  <c r="CC46" i="42446" s="1"/>
  <c r="BB531" i="6"/>
  <c r="BB473" i="6"/>
  <c r="BF5" i="6"/>
  <c r="BU66" i="6"/>
  <c r="AY703" i="6"/>
  <c r="BL796" i="6"/>
  <c r="E34" i="6"/>
  <c r="BA1096" i="6"/>
  <c r="G1022" i="6"/>
  <c r="H1022" i="6" s="1"/>
  <c r="CQ1022" i="6" s="1"/>
  <c r="DB1084" i="6"/>
  <c r="BP828" i="6"/>
  <c r="BQ37" i="42446"/>
  <c r="AU38" i="42446"/>
  <c r="BD918" i="6"/>
  <c r="AH170" i="6"/>
  <c r="I22" i="6"/>
  <c r="N52" i="6"/>
  <c r="N22" i="6"/>
  <c r="AJ1199" i="6"/>
  <c r="N1199" i="6"/>
  <c r="BB330" i="6"/>
  <c r="BH865" i="6"/>
  <c r="AK1096" i="6"/>
  <c r="H21" i="6"/>
  <c r="J291" i="6"/>
  <c r="BD1002" i="6"/>
  <c r="AK944" i="6"/>
  <c r="U1150" i="6"/>
  <c r="BK1304" i="6"/>
  <c r="AT1200" i="6"/>
  <c r="AT143" i="6" s="1"/>
  <c r="DF1015" i="6"/>
  <c r="CA1140" i="6"/>
  <c r="DF1140" i="6" s="1"/>
  <c r="H1098" i="6"/>
  <c r="CQ1032" i="6"/>
  <c r="AZ1149" i="6"/>
  <c r="AD1199" i="6"/>
  <c r="U944" i="6"/>
  <c r="AB172" i="6"/>
  <c r="AV107" i="6"/>
  <c r="BA127" i="6"/>
  <c r="CZ127" i="6" s="1"/>
  <c r="Q1199" i="6"/>
  <c r="H129" i="6"/>
  <c r="CQ129" i="6" s="1"/>
  <c r="K17" i="42453"/>
  <c r="AS617" i="6"/>
  <c r="AB308" i="6"/>
  <c r="CU308" i="6" s="1"/>
  <c r="BK172" i="6"/>
  <c r="AY138" i="6"/>
  <c r="AM632" i="6"/>
  <c r="AR633" i="6" s="1"/>
  <c r="AQ5" i="6"/>
  <c r="F11" i="42419"/>
  <c r="BK530" i="6"/>
  <c r="V1199" i="6"/>
  <c r="CR38" i="6"/>
  <c r="G307" i="6"/>
  <c r="AD170" i="6"/>
  <c r="AA1200" i="6"/>
  <c r="AA143" i="6" s="1"/>
  <c r="CQ41" i="6"/>
  <c r="CT13" i="6"/>
  <c r="BL476" i="6"/>
  <c r="BL632" i="6"/>
  <c r="BL564" i="6"/>
  <c r="BL565" i="6" s="1"/>
  <c r="BL666" i="6"/>
  <c r="T154" i="6"/>
  <c r="BL530" i="6"/>
  <c r="CA1198" i="6"/>
  <c r="AL37" i="42290"/>
  <c r="DE143" i="6"/>
  <c r="AC73" i="42457"/>
  <c r="CK491" i="42458"/>
  <c r="CJ491" i="42458"/>
  <c r="AS37" i="42290"/>
  <c r="AX25" i="42290"/>
  <c r="AQ37" i="42290"/>
  <c r="AV25" i="42290"/>
  <c r="AS125" i="42290"/>
  <c r="AN142" i="42290"/>
  <c r="AP963" i="6"/>
  <c r="AR878" i="6"/>
  <c r="AR888" i="6" s="1"/>
  <c r="AS877" i="6"/>
  <c r="D154" i="6"/>
  <c r="D1351" i="6"/>
  <c r="M5" i="6"/>
  <c r="AI1042" i="6"/>
  <c r="AJ1038" i="6"/>
  <c r="F1038" i="6"/>
  <c r="E1042" i="6"/>
  <c r="G1020" i="6"/>
  <c r="Q1019" i="6"/>
  <c r="Q145" i="6" s="1"/>
  <c r="AK973" i="6"/>
  <c r="AL973" i="6" s="1"/>
  <c r="CW973" i="6" s="1"/>
  <c r="DA936" i="6"/>
  <c r="BF937" i="6"/>
  <c r="G884" i="6"/>
  <c r="G894" i="6" s="1"/>
  <c r="L895" i="6" s="1"/>
  <c r="H884" i="6"/>
  <c r="CF878" i="6"/>
  <c r="H878" i="6"/>
  <c r="G878" i="6"/>
  <c r="G888" i="6" s="1"/>
  <c r="F878" i="6"/>
  <c r="F888" i="6" s="1"/>
  <c r="BH788" i="6"/>
  <c r="BH812" i="6"/>
  <c r="BH813" i="6" s="1"/>
  <c r="BH793" i="6"/>
  <c r="AZ574" i="6"/>
  <c r="BE572" i="6"/>
  <c r="AZ196" i="42290"/>
  <c r="AZ197" i="42290"/>
  <c r="BB666" i="6"/>
  <c r="BB476" i="6"/>
  <c r="E52" i="6"/>
  <c r="J22" i="6"/>
  <c r="N56" i="6"/>
  <c r="AP302" i="6"/>
  <c r="AT961" i="6"/>
  <c r="AT965" i="6" s="1"/>
  <c r="CA1164" i="6"/>
  <c r="BC362" i="6"/>
  <c r="M51" i="6"/>
  <c r="AE37" i="42290"/>
  <c r="AJ25" i="42290"/>
  <c r="AF25" i="42290"/>
  <c r="CQ990" i="6"/>
  <c r="H961" i="6"/>
  <c r="CQ961" i="6" s="1"/>
  <c r="L970" i="6"/>
  <c r="M971" i="6"/>
  <c r="CR971" i="6" s="1"/>
  <c r="BB475" i="6"/>
  <c r="BB632" i="6"/>
  <c r="J51" i="6"/>
  <c r="BL473" i="6"/>
  <c r="AK126" i="42290"/>
  <c r="AR25" i="42290"/>
  <c r="AX1127" i="6"/>
  <c r="I34" i="42457"/>
  <c r="AU702" i="6"/>
  <c r="AV702" i="6" s="1"/>
  <c r="AV640" i="6"/>
  <c r="AX685" i="6"/>
  <c r="CZ1116" i="6"/>
  <c r="L19" i="42453"/>
  <c r="U1038" i="6"/>
  <c r="T1042" i="6"/>
  <c r="AY1034" i="6"/>
  <c r="AX1035" i="6"/>
  <c r="AP140" i="6"/>
  <c r="AQ140" i="6" s="1"/>
  <c r="CX140" i="6" s="1"/>
  <c r="AQ1015" i="6"/>
  <c r="CX1015" i="6" s="1"/>
  <c r="BF776" i="6"/>
  <c r="DA776" i="6" s="1"/>
  <c r="DA758" i="6"/>
  <c r="BF777" i="6"/>
  <c r="BA562" i="6"/>
  <c r="N19" i="42453"/>
  <c r="DB1116" i="6"/>
  <c r="AW1176" i="6"/>
  <c r="AW1178" i="6" s="1"/>
  <c r="AW1266" i="6"/>
  <c r="AW1285" i="6"/>
  <c r="AW1114" i="6"/>
  <c r="AW664" i="6"/>
  <c r="AT665" i="6"/>
  <c r="AV664" i="6"/>
  <c r="AV665" i="6" s="1"/>
  <c r="AV666" i="6" s="1"/>
  <c r="AT694" i="6"/>
  <c r="BJ540" i="6"/>
  <c r="BL538" i="6"/>
  <c r="AY528" i="6"/>
  <c r="AX529" i="6"/>
  <c r="AH15" i="42446"/>
  <c r="V28" i="42457"/>
  <c r="AF1020" i="6"/>
  <c r="CE886" i="6"/>
  <c r="CF886" i="6" s="1"/>
  <c r="CG886" i="6" s="1"/>
  <c r="BY290" i="42290"/>
  <c r="BY292" i="42290" s="1"/>
  <c r="Y877" i="6"/>
  <c r="X878" i="6"/>
  <c r="X888" i="6" s="1"/>
  <c r="BD685" i="6"/>
  <c r="AZ687" i="6"/>
  <c r="BE685" i="6"/>
  <c r="BF530" i="6"/>
  <c r="AL1305" i="6"/>
  <c r="CW1305" i="6" s="1"/>
  <c r="AE1038" i="6"/>
  <c r="CS979" i="6"/>
  <c r="AU700" i="6"/>
  <c r="BF410" i="6"/>
  <c r="BC473" i="6"/>
  <c r="GD585" i="42425"/>
  <c r="GD596" i="42425"/>
  <c r="GD601" i="42425" s="1"/>
  <c r="AU42" i="42416"/>
  <c r="AU35" i="42416"/>
  <c r="AU24" i="42416"/>
  <c r="K27" i="42448"/>
  <c r="L27" i="42448"/>
  <c r="C32" i="42448"/>
  <c r="AS1024" i="6"/>
  <c r="AH897" i="6"/>
  <c r="C35" i="42450"/>
  <c r="C38" i="42450" s="1"/>
  <c r="C40" i="42450" s="1"/>
  <c r="P25" i="42416"/>
  <c r="P26" i="42416"/>
  <c r="AS69" i="42416"/>
  <c r="AV20" i="42416"/>
  <c r="AR69" i="42416" s="1"/>
  <c r="K26" i="42442"/>
  <c r="L26" i="42442"/>
  <c r="C33" i="42442"/>
  <c r="IC854" i="42425"/>
  <c r="I27" i="42450"/>
  <c r="L27" i="42450" s="1"/>
  <c r="L22" i="42450"/>
  <c r="I52" i="42450"/>
  <c r="AU49" i="42416"/>
  <c r="AT74" i="42416"/>
  <c r="W108" i="6"/>
  <c r="CT108" i="6" s="1"/>
  <c r="CT54" i="6"/>
  <c r="V18" i="42454"/>
  <c r="IH854" i="42425"/>
  <c r="GC585" i="42425"/>
  <c r="GC596" i="42425"/>
  <c r="GC601" i="42425" s="1"/>
  <c r="FU519" i="42425"/>
  <c r="CR12" i="42446"/>
  <c r="CQ15" i="42446"/>
  <c r="CQ38" i="42446"/>
  <c r="AR17" i="42416"/>
  <c r="AR18" i="42416"/>
  <c r="V107" i="42434"/>
  <c r="U116" i="42434"/>
  <c r="U123" i="42434" s="1"/>
  <c r="I27" i="42447"/>
  <c r="I32" i="42447" s="1"/>
  <c r="I35" i="42447" s="1"/>
  <c r="I38" i="42447" s="1"/>
  <c r="I40" i="42447" s="1"/>
  <c r="I42" i="42447" s="1"/>
  <c r="I52" i="42447"/>
  <c r="Z26" i="6"/>
  <c r="AP288" i="6"/>
  <c r="AB286" i="6"/>
  <c r="BM168" i="6"/>
  <c r="X108" i="6"/>
  <c r="X110" i="6" s="1"/>
  <c r="U108" i="6"/>
  <c r="U110" i="6" s="1"/>
  <c r="GJ563" i="42425"/>
  <c r="GK563" i="42425" s="1"/>
  <c r="FU488" i="42425"/>
  <c r="CU11" i="42446"/>
  <c r="C52" i="42451"/>
  <c r="I45" i="42451"/>
  <c r="L22" i="42451"/>
  <c r="L30" i="42450"/>
  <c r="E42" i="42416"/>
  <c r="E43" i="42416" s="1"/>
  <c r="D41" i="42416"/>
  <c r="D43" i="42416" s="1"/>
  <c r="Q33" i="42416"/>
  <c r="M33" i="42416"/>
  <c r="I33" i="42416"/>
  <c r="E33" i="42416"/>
  <c r="AQ73" i="42425" s="1"/>
  <c r="P31" i="42416"/>
  <c r="Q26" i="42416"/>
  <c r="M26" i="42416"/>
  <c r="E26" i="42416"/>
  <c r="AS7" i="42416"/>
  <c r="B18" i="42434"/>
  <c r="B19" i="42434" s="1"/>
  <c r="I45" i="42447"/>
  <c r="K27" i="42443"/>
  <c r="C46" i="42442"/>
  <c r="L19" i="42442"/>
  <c r="L21" i="42442" s="1"/>
  <c r="BL168" i="6"/>
  <c r="I87" i="6"/>
  <c r="GE573" i="42425"/>
  <c r="GE579" i="42425" s="1"/>
  <c r="GE596" i="42425" s="1"/>
  <c r="GE601" i="42425" s="1"/>
  <c r="FU500" i="42425"/>
  <c r="C45" i="42451"/>
  <c r="I27" i="42451"/>
  <c r="I32" i="42451" s="1"/>
  <c r="I35" i="42451" s="1"/>
  <c r="I38" i="42451" s="1"/>
  <c r="I40" i="42451" s="1"/>
  <c r="I42" i="42451" s="1"/>
  <c r="C45" i="42450"/>
  <c r="AU74" i="42416"/>
  <c r="AT69" i="42416"/>
  <c r="H33" i="42416"/>
  <c r="D33" i="42416"/>
  <c r="AP73" i="42425" s="1"/>
  <c r="K32" i="42416"/>
  <c r="H26" i="42416"/>
  <c r="D26" i="42416"/>
  <c r="R23" i="42416"/>
  <c r="E23" i="42416"/>
  <c r="U8" i="42416"/>
  <c r="U9" i="42416" s="1"/>
  <c r="E19" i="42434"/>
  <c r="E18" i="42434"/>
  <c r="K23" i="42441"/>
  <c r="BM904" i="6"/>
  <c r="G286" i="6"/>
  <c r="AF136" i="6"/>
  <c r="AG136" i="6" s="1"/>
  <c r="CV136" i="6" s="1"/>
  <c r="AL87" i="6"/>
  <c r="T87" i="6"/>
  <c r="E87" i="6"/>
  <c r="DO548" i="42458"/>
  <c r="DO554" i="42458"/>
  <c r="C32" i="42451"/>
  <c r="F42" i="42416"/>
  <c r="F43" i="42416" s="1"/>
  <c r="R33" i="42416"/>
  <c r="F26" i="42416"/>
  <c r="R25" i="42416"/>
  <c r="M25" i="42416"/>
  <c r="C19" i="42434"/>
  <c r="C52" i="42448"/>
  <c r="C32" i="42443"/>
  <c r="BP1070" i="6"/>
  <c r="DC1070" i="6" s="1"/>
  <c r="Y46" i="42457"/>
  <c r="BN52" i="6"/>
  <c r="BN55" i="6"/>
  <c r="BB642" i="6"/>
  <c r="BB702" i="6"/>
  <c r="BB703" i="6" s="1"/>
  <c r="BG640" i="6"/>
  <c r="AN728" i="6"/>
  <c r="AM728" i="6"/>
  <c r="AR714" i="6"/>
  <c r="AX714" i="6"/>
  <c r="AX728" i="6"/>
  <c r="AY14" i="6"/>
  <c r="AY714" i="6"/>
  <c r="BI606" i="6"/>
  <c r="BD608" i="6"/>
  <c r="AS714" i="6"/>
  <c r="AS728" i="6"/>
  <c r="BH608" i="6"/>
  <c r="BM606" i="6"/>
  <c r="AO728" i="6"/>
  <c r="AT714" i="6"/>
  <c r="AV610" i="6"/>
  <c r="BL608" i="6"/>
  <c r="AR728" i="6"/>
  <c r="BA606" i="6"/>
  <c r="AU610" i="6"/>
  <c r="AY608" i="6"/>
  <c r="BC610" i="6"/>
  <c r="BR1035" i="6"/>
  <c r="DD1032" i="6"/>
  <c r="DD1207" i="6"/>
  <c r="G12" i="42419"/>
  <c r="BQ1035" i="6"/>
  <c r="DD1199" i="6"/>
  <c r="CB1199" i="6" l="1"/>
  <c r="CA143" i="6"/>
  <c r="CA1207" i="6"/>
  <c r="S50" i="42446"/>
  <c r="D55" i="42446"/>
  <c r="B62" i="42446"/>
  <c r="BK482" i="6"/>
  <c r="BK564" i="6"/>
  <c r="AR531" i="6"/>
  <c r="BD633" i="6"/>
  <c r="V889" i="6"/>
  <c r="HQ732" i="42458"/>
  <c r="AC474" i="6"/>
  <c r="DB5" i="6"/>
  <c r="BK696" i="6"/>
  <c r="AR565" i="6"/>
  <c r="HK718" i="42458"/>
  <c r="HJ721" i="42458"/>
  <c r="HO721" i="42458"/>
  <c r="BY466" i="6" s="1"/>
  <c r="BK480" i="6"/>
  <c r="AH889" i="6"/>
  <c r="CE895" i="6"/>
  <c r="HK723" i="42458"/>
  <c r="HK732" i="42458"/>
  <c r="HK733" i="42458" s="1"/>
  <c r="HK719" i="42458"/>
  <c r="HP719" i="42458"/>
  <c r="DA299" i="42425"/>
  <c r="Y409" i="6"/>
  <c r="Y430" i="6" s="1"/>
  <c r="X96" i="42290" s="1"/>
  <c r="X98" i="42290" s="1"/>
  <c r="X100" i="42290" s="1"/>
  <c r="DD433" i="6"/>
  <c r="AQ414" i="6"/>
  <c r="CX414" i="6" s="1"/>
  <c r="X409" i="6"/>
  <c r="X430" i="6" s="1"/>
  <c r="X447" i="6" s="1"/>
  <c r="X495" i="6" s="1"/>
  <c r="X496" i="6" s="1"/>
  <c r="X497" i="6" s="1"/>
  <c r="H474" i="6"/>
  <c r="CQ474" i="6" s="1"/>
  <c r="G284" i="42290"/>
  <c r="CQ78" i="6"/>
  <c r="I222" i="6"/>
  <c r="J222" i="6" s="1"/>
  <c r="G12" i="42440"/>
  <c r="DK302" i="42425"/>
  <c r="DK303" i="42425" s="1"/>
  <c r="AR135" i="42290"/>
  <c r="M33" i="42290"/>
  <c r="G43" i="42428"/>
  <c r="O33" i="42290"/>
  <c r="B14" i="42458"/>
  <c r="B16" i="42458" s="1"/>
  <c r="AA134" i="42290"/>
  <c r="C22" i="42452"/>
  <c r="CA269" i="42290"/>
  <c r="AA135" i="42290"/>
  <c r="Y135" i="42290" s="1"/>
  <c r="BR1157" i="6"/>
  <c r="G8" i="42473"/>
  <c r="J35" i="6"/>
  <c r="HN829" i="42425"/>
  <c r="AA35" i="6"/>
  <c r="F53" i="42440"/>
  <c r="P135" i="42290"/>
  <c r="F9" i="42473"/>
  <c r="U35" i="6"/>
  <c r="AF35" i="6"/>
  <c r="BA411" i="6"/>
  <c r="L53" i="42440"/>
  <c r="BE199" i="42290"/>
  <c r="W139" i="6"/>
  <c r="CT139" i="6" s="1"/>
  <c r="J50" i="42457"/>
  <c r="AY1351" i="6"/>
  <c r="AY154" i="6"/>
  <c r="C21" i="42473"/>
  <c r="P21" i="42473" s="1"/>
  <c r="BG51" i="6"/>
  <c r="R8" i="42457" s="1"/>
  <c r="R46" i="42457" s="1"/>
  <c r="U331" i="6"/>
  <c r="U336" i="6" s="1"/>
  <c r="J895" i="6"/>
  <c r="BK473" i="6"/>
  <c r="DB473" i="6" s="1"/>
  <c r="F974" i="6"/>
  <c r="BK782" i="6"/>
  <c r="DB782" i="6" s="1"/>
  <c r="O133" i="42290"/>
  <c r="N133" i="42290"/>
  <c r="AG973" i="6"/>
  <c r="CV973" i="6" s="1"/>
  <c r="CR190" i="6"/>
  <c r="BA906" i="6"/>
  <c r="AW413" i="6"/>
  <c r="D19" i="42443"/>
  <c r="F19" i="42443" s="1"/>
  <c r="F20" i="42443" s="1"/>
  <c r="F22" i="42443" s="1"/>
  <c r="F27" i="42443" s="1"/>
  <c r="AJ45" i="6"/>
  <c r="AJ130" i="6" s="1"/>
  <c r="W172" i="6"/>
  <c r="G973" i="6"/>
  <c r="CW1124" i="6"/>
  <c r="Z1042" i="6"/>
  <c r="M1015" i="6"/>
  <c r="CR1015" i="6" s="1"/>
  <c r="AE968" i="6"/>
  <c r="AE141" i="6"/>
  <c r="BB944" i="6"/>
  <c r="BB945" i="6"/>
  <c r="AZ145" i="6"/>
  <c r="BA145" i="6" s="1"/>
  <c r="BE1002" i="6"/>
  <c r="E279" i="42290"/>
  <c r="H191" i="6"/>
  <c r="CQ190" i="6"/>
  <c r="BA897" i="6"/>
  <c r="CZ897" i="6" s="1"/>
  <c r="AJ937" i="6"/>
  <c r="AJ942" i="6" s="1"/>
  <c r="O944" i="6"/>
  <c r="BB889" i="6"/>
  <c r="E1351" i="6"/>
  <c r="X279" i="42290"/>
  <c r="AH279" i="42290"/>
  <c r="BG952" i="6"/>
  <c r="DA104" i="6"/>
  <c r="X944" i="6"/>
  <c r="BC143" i="6"/>
  <c r="BA892" i="6"/>
  <c r="CZ892" i="6" s="1"/>
  <c r="AE137" i="6"/>
  <c r="AF1024" i="6"/>
  <c r="L751" i="6"/>
  <c r="M236" i="6"/>
  <c r="CR236" i="6" s="1"/>
  <c r="AA895" i="6"/>
  <c r="S889" i="6"/>
  <c r="AP1316" i="6"/>
  <c r="CU303" i="42425"/>
  <c r="H287" i="6"/>
  <c r="H750" i="6" s="1"/>
  <c r="CQ750" i="6" s="1"/>
  <c r="G750" i="6"/>
  <c r="P50" i="42457"/>
  <c r="BE1351" i="6"/>
  <c r="AB1195" i="6"/>
  <c r="CU1195" i="6" s="1"/>
  <c r="CU1190" i="6"/>
  <c r="BN1035" i="6"/>
  <c r="BF606" i="6"/>
  <c r="CB1142" i="6"/>
  <c r="DG1142" i="6" s="1"/>
  <c r="BJ859" i="6"/>
  <c r="K227" i="6"/>
  <c r="BJ145" i="6"/>
  <c r="AX51" i="6"/>
  <c r="BR333" i="6"/>
  <c r="AQ1021" i="6"/>
  <c r="CX1021" i="6" s="1"/>
  <c r="BH983" i="6"/>
  <c r="V133" i="42290"/>
  <c r="V131" i="42290"/>
  <c r="AH130" i="42290"/>
  <c r="N942" i="6"/>
  <c r="N945" i="6" s="1"/>
  <c r="N946" i="6" s="1"/>
  <c r="BB540" i="6"/>
  <c r="BB542" i="6" s="1"/>
  <c r="AF490" i="6"/>
  <c r="U333" i="6"/>
  <c r="R1190" i="6"/>
  <c r="CS1190" i="6" s="1"/>
  <c r="Z974" i="6"/>
  <c r="AA133" i="42290"/>
  <c r="X133" i="42290" s="1"/>
  <c r="U753" i="6"/>
  <c r="BJ606" i="6"/>
  <c r="BF608" i="6"/>
  <c r="DG1135" i="6"/>
  <c r="M227" i="6"/>
  <c r="CR227" i="6" s="1"/>
  <c r="BC288" i="6"/>
  <c r="AZ174" i="42290"/>
  <c r="V129" i="42290"/>
  <c r="U129" i="42290" s="1"/>
  <c r="R132" i="42290"/>
  <c r="AQ129" i="42290"/>
  <c r="N938" i="6"/>
  <c r="BU776" i="6"/>
  <c r="DD776" i="6" s="1"/>
  <c r="CC1279" i="6"/>
  <c r="CD1279" i="6" s="1"/>
  <c r="CE1279" i="6" s="1"/>
  <c r="CF1279" i="6" s="1"/>
  <c r="CG1279" i="6" s="1"/>
  <c r="H1023" i="6"/>
  <c r="CQ1023" i="6" s="1"/>
  <c r="CB1140" i="6"/>
  <c r="DG1140" i="6" s="1"/>
  <c r="V135" i="42290"/>
  <c r="R135" i="42290" s="1"/>
  <c r="P132" i="42290"/>
  <c r="U132" i="42290"/>
  <c r="AZ183" i="42290"/>
  <c r="AV183" i="42290" s="1"/>
  <c r="AL993" i="6"/>
  <c r="CW993" i="6" s="1"/>
  <c r="AE333" i="6"/>
  <c r="AE753" i="6" s="1"/>
  <c r="R62" i="42446"/>
  <c r="H426" i="6"/>
  <c r="CQ426" i="6" s="1"/>
  <c r="H32" i="42290"/>
  <c r="BB102" i="42425"/>
  <c r="AI130" i="42290"/>
  <c r="F129" i="42290"/>
  <c r="CA262" i="42425"/>
  <c r="CA264" i="42425" s="1"/>
  <c r="DA77" i="6"/>
  <c r="DC410" i="6"/>
  <c r="AS31" i="42290"/>
  <c r="CI217" i="42425"/>
  <c r="CI218" i="42425" s="1"/>
  <c r="Q8" i="42473"/>
  <c r="G17" i="42467"/>
  <c r="G131" i="42290"/>
  <c r="D131" i="42290" s="1"/>
  <c r="G134" i="42290"/>
  <c r="E134" i="42290" s="1"/>
  <c r="AA132" i="42290"/>
  <c r="X132" i="42290" s="1"/>
  <c r="AA130" i="42290"/>
  <c r="Z130" i="42290" s="1"/>
  <c r="H477" i="6"/>
  <c r="CQ477" i="6" s="1"/>
  <c r="BE175" i="42290"/>
  <c r="BD175" i="42290" s="1"/>
  <c r="Q273" i="42290"/>
  <c r="F30" i="42290"/>
  <c r="BY259" i="42425"/>
  <c r="D129" i="42290"/>
  <c r="AA277" i="42290"/>
  <c r="W131" i="42290"/>
  <c r="AJ130" i="42290"/>
  <c r="AQ31" i="42290"/>
  <c r="E129" i="42290"/>
  <c r="K8" i="42473"/>
  <c r="K17" i="42452"/>
  <c r="G133" i="42290"/>
  <c r="F133" i="42290" s="1"/>
  <c r="G130" i="42290"/>
  <c r="C130" i="42290" s="1"/>
  <c r="G135" i="42290"/>
  <c r="D135" i="42290" s="1"/>
  <c r="BK477" i="6"/>
  <c r="DB477" i="6" s="1"/>
  <c r="AI32" i="42290"/>
  <c r="G47" i="42441"/>
  <c r="AQ32" i="42290"/>
  <c r="AA129" i="42290"/>
  <c r="R126" i="6"/>
  <c r="CS126" i="6" s="1"/>
  <c r="J279" i="42290"/>
  <c r="AC279" i="42290"/>
  <c r="AM279" i="42290"/>
  <c r="M892" i="6"/>
  <c r="CR892" i="6" s="1"/>
  <c r="W1139" i="6"/>
  <c r="CT1139" i="6" s="1"/>
  <c r="BF962" i="6"/>
  <c r="DA962" i="6" s="1"/>
  <c r="DA991" i="6"/>
  <c r="AB145" i="6"/>
  <c r="CU145" i="6" s="1"/>
  <c r="AQ694" i="6"/>
  <c r="AQ750" i="6" s="1"/>
  <c r="CX750" i="6" s="1"/>
  <c r="BI809" i="6"/>
  <c r="BI811" i="6" s="1"/>
  <c r="BE1042" i="6"/>
  <c r="Y331" i="6"/>
  <c r="Y336" i="6" s="1"/>
  <c r="P201" i="6"/>
  <c r="E34" i="42457"/>
  <c r="AT1127" i="6"/>
  <c r="E1064" i="6"/>
  <c r="E1066" i="6" s="1"/>
  <c r="BB753" i="6"/>
  <c r="G1198" i="6"/>
  <c r="G147" i="6" s="1"/>
  <c r="AM289" i="6"/>
  <c r="AM294" i="6" s="1"/>
  <c r="AN289" i="6"/>
  <c r="AN294" i="6" s="1"/>
  <c r="AU1041" i="6"/>
  <c r="AV1041" i="6" s="1"/>
  <c r="CY1041" i="6" s="1"/>
  <c r="AT1042" i="6"/>
  <c r="AT370" i="6"/>
  <c r="AT412" i="6" s="1"/>
  <c r="AT475" i="6" s="1"/>
  <c r="AS412" i="6"/>
  <c r="AS475" i="6" s="1"/>
  <c r="R505" i="6"/>
  <c r="CS505" i="6" s="1"/>
  <c r="CS503" i="6"/>
  <c r="BJ33" i="42290"/>
  <c r="BI33" i="42290" s="1"/>
  <c r="BJ29" i="42290"/>
  <c r="BH29" i="42290" s="1"/>
  <c r="BJ31" i="42290"/>
  <c r="BG31" i="42290" s="1"/>
  <c r="AD132" i="42290"/>
  <c r="AB132" i="42290"/>
  <c r="AW473" i="6"/>
  <c r="BA410" i="6"/>
  <c r="BA473" i="6" s="1"/>
  <c r="CZ473" i="6" s="1"/>
  <c r="K1097" i="6"/>
  <c r="L1097" i="6" s="1"/>
  <c r="M1097" i="6" s="1"/>
  <c r="BM917" i="6"/>
  <c r="BM918" i="6" s="1"/>
  <c r="BM799" i="6"/>
  <c r="BM913" i="6" s="1"/>
  <c r="BM914" i="6" s="1"/>
  <c r="AZ363" i="6"/>
  <c r="AY363" i="6"/>
  <c r="P32" i="42290"/>
  <c r="M32" i="42290"/>
  <c r="W30" i="42290"/>
  <c r="Z30" i="42290"/>
  <c r="AT29" i="42290"/>
  <c r="AS29" i="42290"/>
  <c r="AR170" i="6"/>
  <c r="AU23" i="6"/>
  <c r="AS170" i="6"/>
  <c r="AP22" i="6"/>
  <c r="AP34" i="6"/>
  <c r="AU22" i="6"/>
  <c r="AP170" i="6"/>
  <c r="AQ170" i="6" s="1"/>
  <c r="AT170" i="6"/>
  <c r="AQ21" i="6"/>
  <c r="H277" i="6"/>
  <c r="CQ277" i="6" s="1"/>
  <c r="G279" i="6"/>
  <c r="BH633" i="6"/>
  <c r="BC633" i="6"/>
  <c r="AE1035" i="6"/>
  <c r="AZ140" i="6"/>
  <c r="BA140" i="6" s="1"/>
  <c r="CZ140" i="6" s="1"/>
  <c r="BA1015" i="6"/>
  <c r="CZ1015" i="6" s="1"/>
  <c r="BH944" i="6"/>
  <c r="BK942" i="6"/>
  <c r="BK945" i="6" s="1"/>
  <c r="BH945" i="6"/>
  <c r="H267" i="6"/>
  <c r="CQ267" i="6" s="1"/>
  <c r="CQ266" i="6"/>
  <c r="H270" i="6"/>
  <c r="H275" i="6"/>
  <c r="CQ275" i="6" s="1"/>
  <c r="DG826" i="6"/>
  <c r="CB828" i="6"/>
  <c r="CB840" i="6" s="1"/>
  <c r="CC826" i="6"/>
  <c r="CR10" i="6"/>
  <c r="M127" i="6"/>
  <c r="CR127" i="6" s="1"/>
  <c r="AH1151" i="6"/>
  <c r="AI1095" i="6"/>
  <c r="AH1224" i="6"/>
  <c r="AH1347" i="6" s="1"/>
  <c r="AN357" i="6"/>
  <c r="AN405" i="6"/>
  <c r="AO388" i="6"/>
  <c r="AO357" i="6" s="1"/>
  <c r="AH409" i="6"/>
  <c r="AH430" i="6" s="1"/>
  <c r="AH356" i="6"/>
  <c r="AH749" i="6" s="1"/>
  <c r="N286" i="6"/>
  <c r="N288" i="6" s="1"/>
  <c r="N289" i="6" s="1"/>
  <c r="N294" i="6" s="1"/>
  <c r="M749" i="6"/>
  <c r="CR749" i="6" s="1"/>
  <c r="W505" i="6"/>
  <c r="CT505" i="6" s="1"/>
  <c r="B59" i="42434"/>
  <c r="AA138" i="42434" s="1"/>
  <c r="CX73" i="6"/>
  <c r="B45" i="42457"/>
  <c r="AO945" i="6"/>
  <c r="AT946" i="6" s="1"/>
  <c r="AO944" i="6"/>
  <c r="AX499" i="6"/>
  <c r="AX14" i="6"/>
  <c r="AX16" i="6" s="1"/>
  <c r="DG818" i="6"/>
  <c r="CC818" i="6"/>
  <c r="CD818" i="6" s="1"/>
  <c r="CE818" i="6" s="1"/>
  <c r="CF818" i="6" s="1"/>
  <c r="CG818" i="6" s="1"/>
  <c r="DD75" i="6"/>
  <c r="BU1341" i="6"/>
  <c r="L55" i="6"/>
  <c r="Q57" i="6" s="1"/>
  <c r="L52" i="6"/>
  <c r="BE145" i="6"/>
  <c r="BF145" i="6" s="1"/>
  <c r="BF1022" i="6"/>
  <c r="DA1022" i="6" s="1"/>
  <c r="AE148" i="6"/>
  <c r="AF1033" i="6"/>
  <c r="AH333" i="6"/>
  <c r="AH753" i="6" s="1"/>
  <c r="AL333" i="6"/>
  <c r="AL753" i="6" s="1"/>
  <c r="CW753" i="6" s="1"/>
  <c r="AG753" i="6"/>
  <c r="CV753" i="6" s="1"/>
  <c r="CV333" i="6"/>
  <c r="AH334" i="6"/>
  <c r="AE974" i="6"/>
  <c r="AG972" i="6"/>
  <c r="CV972" i="6" s="1"/>
  <c r="AY1186" i="6"/>
  <c r="BD1186" i="6" s="1"/>
  <c r="BI1186" i="6" s="1"/>
  <c r="BN1186" i="6" s="1"/>
  <c r="BS1186" i="6" s="1"/>
  <c r="BX1186" i="6" s="1"/>
  <c r="AU1186" i="6"/>
  <c r="CU503" i="6"/>
  <c r="AB505" i="6"/>
  <c r="CU505" i="6" s="1"/>
  <c r="CF259" i="42425"/>
  <c r="CF260" i="42425" s="1"/>
  <c r="CF262" i="42425"/>
  <c r="CF264" i="42425" s="1"/>
  <c r="BZ259" i="42425"/>
  <c r="BZ260" i="42425" s="1"/>
  <c r="BZ262" i="42425"/>
  <c r="AC938" i="6"/>
  <c r="AC942" i="6"/>
  <c r="AC970" i="6"/>
  <c r="I944" i="6"/>
  <c r="I945" i="6"/>
  <c r="BQ840" i="6"/>
  <c r="BQ831" i="6"/>
  <c r="BQ834" i="6" s="1"/>
  <c r="BQ837" i="6" s="1"/>
  <c r="DB1312" i="6"/>
  <c r="BK1316" i="6"/>
  <c r="DB1316" i="6" s="1"/>
  <c r="AA1042" i="6"/>
  <c r="AA149" i="6"/>
  <c r="AB149" i="6" s="1"/>
  <c r="CU149" i="6" s="1"/>
  <c r="AB1040" i="6"/>
  <c r="AA1333" i="6"/>
  <c r="AZ302" i="6"/>
  <c r="AY301" i="6"/>
  <c r="AY303" i="6" s="1"/>
  <c r="AY304" i="6" s="1"/>
  <c r="CD979" i="6"/>
  <c r="CE980" i="6"/>
  <c r="CF980" i="6" s="1"/>
  <c r="CD986" i="6"/>
  <c r="C17" i="42453"/>
  <c r="I172" i="6"/>
  <c r="CQ1124" i="6"/>
  <c r="AT362" i="6"/>
  <c r="AS363" i="6"/>
  <c r="AW289" i="6"/>
  <c r="AW294" i="6" s="1"/>
  <c r="AX289" i="6"/>
  <c r="AX294" i="6" s="1"/>
  <c r="CY1114" i="6"/>
  <c r="K16" i="42453"/>
  <c r="K21" i="42453" s="1"/>
  <c r="AV1127" i="6"/>
  <c r="CY1127" i="6" s="1"/>
  <c r="D25" i="42458"/>
  <c r="D30" i="42458" s="1"/>
  <c r="E25" i="42458"/>
  <c r="E30" i="42458" s="1"/>
  <c r="E32" i="42458" s="1"/>
  <c r="AG884" i="6"/>
  <c r="AF884" i="6"/>
  <c r="AF894" i="6" s="1"/>
  <c r="AF895" i="6" s="1"/>
  <c r="G1040" i="6"/>
  <c r="H1040" i="6" s="1"/>
  <c r="F1333" i="6"/>
  <c r="F149" i="6"/>
  <c r="N17" i="42453"/>
  <c r="BL172" i="6"/>
  <c r="DB1124" i="6"/>
  <c r="BD48" i="6"/>
  <c r="BD51" i="6" s="1"/>
  <c r="BF949" i="6"/>
  <c r="N31" i="42425"/>
  <c r="AL172" i="6"/>
  <c r="AC172" i="6"/>
  <c r="M31" i="42425"/>
  <c r="M1190" i="6"/>
  <c r="CR1190" i="6" s="1"/>
  <c r="CZ924" i="6"/>
  <c r="BA925" i="6"/>
  <c r="CZ925" i="6" s="1"/>
  <c r="AY1317" i="6"/>
  <c r="AZ1024" i="6"/>
  <c r="AY137" i="6"/>
  <c r="AY945" i="6"/>
  <c r="AY944" i="6"/>
  <c r="AJ1207" i="6"/>
  <c r="AK1032" i="6"/>
  <c r="AK1035" i="6" s="1"/>
  <c r="AJ1035" i="6"/>
  <c r="BA640" i="6"/>
  <c r="AZ642" i="6"/>
  <c r="CU1032" i="6"/>
  <c r="AB1035" i="6"/>
  <c r="CU1035" i="6" s="1"/>
  <c r="AB1207" i="6"/>
  <c r="CU1207" i="6" s="1"/>
  <c r="BA563" i="6"/>
  <c r="BA564" i="6" s="1"/>
  <c r="AY564" i="6"/>
  <c r="AY565" i="6" s="1"/>
  <c r="CW356" i="6"/>
  <c r="AL749" i="6"/>
  <c r="CW749" i="6" s="1"/>
  <c r="BM70" i="6"/>
  <c r="BM80" i="6" s="1"/>
  <c r="BM1211" i="6" s="1"/>
  <c r="BM113" i="6"/>
  <c r="BM116" i="6" s="1"/>
  <c r="BM118" i="6" s="1"/>
  <c r="BM123" i="6" s="1"/>
  <c r="AM204" i="42290"/>
  <c r="AN204" i="42290"/>
  <c r="BJ183" i="42290"/>
  <c r="BI183" i="42290" s="1"/>
  <c r="BJ182" i="42290"/>
  <c r="BG182" i="42290" s="1"/>
  <c r="BA1342" i="6"/>
  <c r="CZ77" i="6"/>
  <c r="CQ891" i="6"/>
  <c r="AR356" i="6"/>
  <c r="BM950" i="6"/>
  <c r="BM949" i="6" s="1"/>
  <c r="BM952" i="6" s="1"/>
  <c r="BM934" i="6"/>
  <c r="AC1351" i="6"/>
  <c r="F48" i="42428"/>
  <c r="L48" i="42428"/>
  <c r="AS135" i="42290"/>
  <c r="AQ135" i="42290"/>
  <c r="AY1127" i="6"/>
  <c r="J34" i="42457"/>
  <c r="AX1207" i="6"/>
  <c r="AX143" i="6"/>
  <c r="AD35" i="6"/>
  <c r="Y35" i="6"/>
  <c r="DF1017" i="6"/>
  <c r="CB1017" i="6"/>
  <c r="AB961" i="6"/>
  <c r="CU961" i="6" s="1"/>
  <c r="CU990" i="6"/>
  <c r="CQ54" i="6"/>
  <c r="H108" i="6"/>
  <c r="CQ108" i="6" s="1"/>
  <c r="BM685" i="6"/>
  <c r="BK683" i="6"/>
  <c r="BK685" i="6" s="1"/>
  <c r="BH685" i="6"/>
  <c r="AG1190" i="6"/>
  <c r="V150" i="6"/>
  <c r="W150" i="6" s="1"/>
  <c r="CT150" i="6" s="1"/>
  <c r="W1031" i="6"/>
  <c r="CT1031" i="6" s="1"/>
  <c r="G48" i="42441"/>
  <c r="AW384" i="6"/>
  <c r="AW356" i="6"/>
  <c r="FZ532" i="42425"/>
  <c r="FZ540" i="42425" s="1"/>
  <c r="AS1000" i="6"/>
  <c r="AS1002" i="6" s="1"/>
  <c r="R1156" i="6"/>
  <c r="CS1156" i="6" s="1"/>
  <c r="BA450" i="6"/>
  <c r="CZ450" i="6" s="1"/>
  <c r="M904" i="6"/>
  <c r="CR904" i="6" s="1"/>
  <c r="EG591" i="42458"/>
  <c r="AR651" i="6"/>
  <c r="BF788" i="6"/>
  <c r="E289" i="6"/>
  <c r="E294" i="6" s="1"/>
  <c r="BI667" i="6"/>
  <c r="BP1156" i="6"/>
  <c r="DC1156" i="6" s="1"/>
  <c r="L490" i="6"/>
  <c r="BD869" i="6"/>
  <c r="M146" i="6"/>
  <c r="CR146" i="6" s="1"/>
  <c r="AF751" i="6"/>
  <c r="AM356" i="6"/>
  <c r="V334" i="6"/>
  <c r="AD895" i="6"/>
  <c r="BC388" i="6"/>
  <c r="BC405" i="6" s="1"/>
  <c r="BB357" i="6"/>
  <c r="BB750" i="6" s="1"/>
  <c r="CB264" i="42425"/>
  <c r="H139" i="6"/>
  <c r="CQ139" i="6" s="1"/>
  <c r="BB384" i="6"/>
  <c r="BB356" i="6"/>
  <c r="AJ388" i="6"/>
  <c r="CF895" i="6"/>
  <c r="R904" i="6"/>
  <c r="CS904" i="6" s="1"/>
  <c r="AQ711" i="6"/>
  <c r="AQ713" i="6" s="1"/>
  <c r="AQ728" i="6" s="1"/>
  <c r="AU1127" i="6"/>
  <c r="BJ1042" i="6"/>
  <c r="ER595" i="42458"/>
  <c r="BZ448" i="6"/>
  <c r="W904" i="6"/>
  <c r="CT904" i="6" s="1"/>
  <c r="AA751" i="6"/>
  <c r="AH357" i="6"/>
  <c r="AS388" i="6"/>
  <c r="AS405" i="6" s="1"/>
  <c r="AR357" i="6"/>
  <c r="AR750" i="6" s="1"/>
  <c r="F17" i="42455"/>
  <c r="F22" i="42455" s="1"/>
  <c r="F24" i="42455" s="1"/>
  <c r="F31" i="42455" s="1"/>
  <c r="CY29" i="6"/>
  <c r="H87" i="42434"/>
  <c r="L87" i="42434" s="1"/>
  <c r="BU847" i="6"/>
  <c r="DD847" i="6" s="1"/>
  <c r="BO40" i="42446"/>
  <c r="AG46" i="42446"/>
  <c r="BA292" i="6"/>
  <c r="CZ292" i="6" s="1"/>
  <c r="I1153" i="6"/>
  <c r="BF993" i="6"/>
  <c r="DA993" i="6" s="1"/>
  <c r="DA990" i="6"/>
  <c r="BF961" i="6"/>
  <c r="DA961" i="6" s="1"/>
  <c r="AV906" i="6"/>
  <c r="AV897" i="6"/>
  <c r="CY897" i="6" s="1"/>
  <c r="CY903" i="6"/>
  <c r="BE942" i="6"/>
  <c r="AM125" i="42290"/>
  <c r="AH142" i="42290"/>
  <c r="AK142" i="42290" s="1"/>
  <c r="IF856" i="42425"/>
  <c r="AU1178" i="6"/>
  <c r="CE953" i="6"/>
  <c r="CE68" i="6" s="1"/>
  <c r="CF936" i="6"/>
  <c r="M1041" i="6"/>
  <c r="BH1042" i="6"/>
  <c r="AG140" i="6"/>
  <c r="CV140" i="6" s="1"/>
  <c r="C18" i="42437"/>
  <c r="AJ929" i="6"/>
  <c r="CD254" i="42425" s="1"/>
  <c r="AJ958" i="6"/>
  <c r="AJ965" i="6" s="1"/>
  <c r="AV363" i="6"/>
  <c r="CY363" i="6" s="1"/>
  <c r="T1093" i="6"/>
  <c r="U1093" i="6" s="1"/>
  <c r="S1149" i="6"/>
  <c r="K938" i="6"/>
  <c r="K942" i="6"/>
  <c r="T137" i="6"/>
  <c r="U1024" i="6"/>
  <c r="BW171" i="42425"/>
  <c r="BK175" i="42425"/>
  <c r="V970" i="6"/>
  <c r="V938" i="6"/>
  <c r="BG154" i="6"/>
  <c r="R50" i="42457"/>
  <c r="IH849" i="42425"/>
  <c r="IC849" i="42425"/>
  <c r="BL934" i="6"/>
  <c r="BL950" i="6"/>
  <c r="AI142" i="6"/>
  <c r="AJ1162" i="6"/>
  <c r="BI48" i="6"/>
  <c r="BI51" i="6" s="1"/>
  <c r="BI952" i="6"/>
  <c r="CR1040" i="6"/>
  <c r="M1333" i="6"/>
  <c r="CR1333" i="6" s="1"/>
  <c r="CV903" i="6"/>
  <c r="AG897" i="6"/>
  <c r="CV897" i="6" s="1"/>
  <c r="AQ897" i="6"/>
  <c r="CX897" i="6" s="1"/>
  <c r="CX903" i="6"/>
  <c r="X1160" i="6"/>
  <c r="Y1104" i="6"/>
  <c r="L1020" i="6"/>
  <c r="L145" i="6" s="1"/>
  <c r="K145" i="6"/>
  <c r="AU644" i="6"/>
  <c r="AV642" i="6"/>
  <c r="AO929" i="6"/>
  <c r="CH254" i="42425" s="1"/>
  <c r="AC129" i="42290"/>
  <c r="P62" i="42446"/>
  <c r="L1032" i="6"/>
  <c r="L1207" i="6" s="1"/>
  <c r="L1198" i="6" s="1"/>
  <c r="L147" i="6" s="1"/>
  <c r="E1114" i="6"/>
  <c r="E1127" i="6" s="1"/>
  <c r="E1224" i="6"/>
  <c r="E1347" i="6" s="1"/>
  <c r="BK906" i="6"/>
  <c r="BK897" i="6"/>
  <c r="DB897" i="6" s="1"/>
  <c r="G149" i="6"/>
  <c r="H149" i="6" s="1"/>
  <c r="CQ149" i="6" s="1"/>
  <c r="G1333" i="6"/>
  <c r="H17" i="42453"/>
  <c r="AH172" i="6"/>
  <c r="BL572" i="6"/>
  <c r="BL574" i="6" s="1"/>
  <c r="BG574" i="6"/>
  <c r="H880" i="6"/>
  <c r="CQ882" i="6"/>
  <c r="L1333" i="6"/>
  <c r="L149" i="6"/>
  <c r="M149" i="6" s="1"/>
  <c r="CR149" i="6" s="1"/>
  <c r="AY615" i="6"/>
  <c r="AT616" i="6"/>
  <c r="BE640" i="6"/>
  <c r="AZ702" i="6"/>
  <c r="BA702" i="6" s="1"/>
  <c r="AT617" i="6"/>
  <c r="P70" i="6"/>
  <c r="AV51" i="6"/>
  <c r="P58" i="6"/>
  <c r="U57" i="6"/>
  <c r="P113" i="6"/>
  <c r="P116" i="6" s="1"/>
  <c r="P118" i="6" s="1"/>
  <c r="P123" i="6" s="1"/>
  <c r="P52" i="6"/>
  <c r="CA1059" i="6"/>
  <c r="DF1059" i="6" s="1"/>
  <c r="CF990" i="6"/>
  <c r="AE279" i="42290"/>
  <c r="BD565" i="6"/>
  <c r="H9" i="42453"/>
  <c r="E132" i="42290"/>
  <c r="BA904" i="6"/>
  <c r="CZ904" i="6" s="1"/>
  <c r="AL141" i="6"/>
  <c r="CW141" i="6" s="1"/>
  <c r="R55" i="42446"/>
  <c r="D62" i="42446"/>
  <c r="C62" i="42446"/>
  <c r="BQ1157" i="6"/>
  <c r="BZ1057" i="6"/>
  <c r="CN1057" i="6"/>
  <c r="CO1057" i="6" s="1"/>
  <c r="BZ333" i="6"/>
  <c r="CN339" i="6"/>
  <c r="CO339" i="6" s="1"/>
  <c r="BZ339" i="6"/>
  <c r="BW137" i="6"/>
  <c r="BZ1055" i="6"/>
  <c r="CA1055" i="6" s="1"/>
  <c r="CB1055" i="6" s="1"/>
  <c r="CN1055" i="6"/>
  <c r="CO1055" i="6" s="1"/>
  <c r="BZ75" i="6"/>
  <c r="CN75" i="6"/>
  <c r="CO75" i="6" s="1"/>
  <c r="BZ434" i="6"/>
  <c r="CG891" i="6"/>
  <c r="CG900" i="6" s="1"/>
  <c r="P17" i="42455"/>
  <c r="AF974" i="6"/>
  <c r="BX218" i="42425"/>
  <c r="M279" i="42290"/>
  <c r="BZ1054" i="6"/>
  <c r="CN1054" i="6"/>
  <c r="CO1054" i="6" s="1"/>
  <c r="CJ1166" i="6"/>
  <c r="CJ1175" i="6" s="1"/>
  <c r="R1023" i="6"/>
  <c r="CS1023" i="6" s="1"/>
  <c r="BD1042" i="6"/>
  <c r="BZ1343" i="6"/>
  <c r="BZ1335" i="6"/>
  <c r="BZ1336" i="6" s="1"/>
  <c r="BZ452" i="6"/>
  <c r="DE452" i="6" s="1"/>
  <c r="BZ454" i="6"/>
  <c r="DE454" i="6" s="1"/>
  <c r="BZ456" i="6"/>
  <c r="DE456" i="6" s="1"/>
  <c r="DF143" i="6"/>
  <c r="AD73" i="42457"/>
  <c r="CC851" i="6"/>
  <c r="O279" i="42290"/>
  <c r="BO31" i="42290"/>
  <c r="BN31" i="42290" s="1"/>
  <c r="AJ131" i="42290"/>
  <c r="AJ132" i="42290"/>
  <c r="BY264" i="42425"/>
  <c r="CA260" i="42425"/>
  <c r="C23" i="42467"/>
  <c r="P23" i="42467" s="1"/>
  <c r="C19" i="42440"/>
  <c r="C46" i="42440" s="1"/>
  <c r="D20" i="42447"/>
  <c r="D45" i="42447" s="1"/>
  <c r="G45" i="42447" s="1"/>
  <c r="AZ181" i="42290"/>
  <c r="AX129" i="42290"/>
  <c r="BE32" i="42290"/>
  <c r="BA32" i="42290" s="1"/>
  <c r="AL20" i="42446"/>
  <c r="BJ174" i="42290"/>
  <c r="BF174" i="42290" s="1"/>
  <c r="K12" i="42437"/>
  <c r="F20" i="42447"/>
  <c r="F22" i="42447" s="1"/>
  <c r="F27" i="42447" s="1"/>
  <c r="C51" i="42473"/>
  <c r="L51" i="42473" s="1"/>
  <c r="AR31" i="42290"/>
  <c r="BJ32" i="42290"/>
  <c r="BG32" i="42290" s="1"/>
  <c r="W17" i="42473"/>
  <c r="AE132" i="42290"/>
  <c r="G51" i="42455"/>
  <c r="BD196" i="42290"/>
  <c r="D49" i="42447"/>
  <c r="G49" i="42447" s="1"/>
  <c r="L9" i="42473"/>
  <c r="P9" i="42473"/>
  <c r="CS299" i="42425"/>
  <c r="CB218" i="42425"/>
  <c r="Z279" i="42290"/>
  <c r="F291" i="6"/>
  <c r="H291" i="6"/>
  <c r="CS508" i="6"/>
  <c r="R510" i="6"/>
  <c r="CS510" i="6" s="1"/>
  <c r="AR331" i="6"/>
  <c r="AR336" i="6" s="1"/>
  <c r="AW337" i="6" s="1"/>
  <c r="M1149" i="6"/>
  <c r="CR1149" i="6" s="1"/>
  <c r="M126" i="6"/>
  <c r="CR126" i="6" s="1"/>
  <c r="L201" i="6"/>
  <c r="R279" i="42290"/>
  <c r="AP277" i="42290"/>
  <c r="BG279" i="42290"/>
  <c r="BU279" i="42290"/>
  <c r="BU294" i="42290" s="1"/>
  <c r="BF1141" i="6"/>
  <c r="DA1141" i="6" s="1"/>
  <c r="AB331" i="6"/>
  <c r="CU331" i="6" s="1"/>
  <c r="AS945" i="6"/>
  <c r="AS944" i="6"/>
  <c r="AV942" i="6"/>
  <c r="W961" i="6"/>
  <c r="CT961" i="6" s="1"/>
  <c r="CT990" i="6"/>
  <c r="AQ1313" i="6"/>
  <c r="AO1316" i="6"/>
  <c r="BF1038" i="6"/>
  <c r="DA1038" i="6" s="1"/>
  <c r="K34" i="42457"/>
  <c r="Z331" i="6"/>
  <c r="Z336" i="6" s="1"/>
  <c r="AE337" i="6" s="1"/>
  <c r="AA331" i="6"/>
  <c r="AA336" i="6" s="1"/>
  <c r="AF337" i="6" s="1"/>
  <c r="Y944" i="6"/>
  <c r="Y945" i="6"/>
  <c r="P145" i="6"/>
  <c r="R145" i="6" s="1"/>
  <c r="CS145" i="6" s="1"/>
  <c r="J20" i="42446"/>
  <c r="BW1091" i="6"/>
  <c r="BV1147" i="6"/>
  <c r="Q201" i="6"/>
  <c r="BX11" i="6"/>
  <c r="BX345" i="6"/>
  <c r="O895" i="6"/>
  <c r="CV878" i="6"/>
  <c r="AG888" i="6"/>
  <c r="CV888" i="6" s="1"/>
  <c r="AN877" i="6"/>
  <c r="AM878" i="6"/>
  <c r="AM888" i="6" s="1"/>
  <c r="AE1207" i="6"/>
  <c r="AE1198" i="6" s="1"/>
  <c r="AE147" i="6" s="1"/>
  <c r="AF1032" i="6"/>
  <c r="AG1032" i="6" s="1"/>
  <c r="CV1032" i="6" s="1"/>
  <c r="Q1016" i="6"/>
  <c r="R1016" i="6" s="1"/>
  <c r="CS1016" i="6" s="1"/>
  <c r="P968" i="6"/>
  <c r="P141" i="6"/>
  <c r="CU880" i="6"/>
  <c r="AC884" i="6"/>
  <c r="AC894" i="6" s="1"/>
  <c r="AC895" i="6" s="1"/>
  <c r="CB817" i="6"/>
  <c r="DF817" i="6"/>
  <c r="Q970" i="6"/>
  <c r="Q974" i="6" s="1"/>
  <c r="Q938" i="6"/>
  <c r="Q942" i="6"/>
  <c r="BG794" i="6"/>
  <c r="BG796" i="6" s="1"/>
  <c r="I1200" i="6"/>
  <c r="M993" i="6"/>
  <c r="CR993" i="6" s="1"/>
  <c r="AF938" i="6"/>
  <c r="AF942" i="6"/>
  <c r="W1096" i="6"/>
  <c r="V1152" i="6"/>
  <c r="BW119" i="6"/>
  <c r="AS1198" i="6"/>
  <c r="AR1207" i="6"/>
  <c r="CX1122" i="6"/>
  <c r="AQ1124" i="6"/>
  <c r="BK1191" i="6"/>
  <c r="DB1191" i="6" s="1"/>
  <c r="BP1192" i="6"/>
  <c r="DC1192" i="6" s="1"/>
  <c r="BY11" i="6"/>
  <c r="BG809" i="6"/>
  <c r="BY1341" i="6"/>
  <c r="BY114" i="6"/>
  <c r="BY119" i="6" s="1"/>
  <c r="BF1097" i="6"/>
  <c r="BE1153" i="6"/>
  <c r="BF1153" i="6" s="1"/>
  <c r="DA1153" i="6" s="1"/>
  <c r="CY5" i="6"/>
  <c r="AV530" i="6"/>
  <c r="AV564" i="6"/>
  <c r="BA565" i="6" s="1"/>
  <c r="AU290" i="42290"/>
  <c r="AU292" i="42290" s="1"/>
  <c r="BJ633" i="6"/>
  <c r="BV1341" i="6"/>
  <c r="BV114" i="6"/>
  <c r="BW287" i="6"/>
  <c r="DD1077" i="6"/>
  <c r="BV1077" i="6"/>
  <c r="BW1077" i="6" s="1"/>
  <c r="BX1077" i="6" s="1"/>
  <c r="BY1077" i="6" s="1"/>
  <c r="BW1075" i="6"/>
  <c r="DD1122" i="6"/>
  <c r="BV1122" i="6"/>
  <c r="BW1122" i="6" s="1"/>
  <c r="BX1122" i="6" s="1"/>
  <c r="BY1122" i="6" s="1"/>
  <c r="BV333" i="6"/>
  <c r="BV334" i="6" s="1"/>
  <c r="BV1110" i="6"/>
  <c r="BV1167" i="6" s="1"/>
  <c r="BY1139" i="6"/>
  <c r="CN1139" i="6" s="1"/>
  <c r="CO1139" i="6" s="1"/>
  <c r="BY1142" i="6"/>
  <c r="CN1142" i="6" s="1"/>
  <c r="CO1142" i="6" s="1"/>
  <c r="BY1164" i="6"/>
  <c r="CN1164" i="6" s="1"/>
  <c r="CO1164" i="6" s="1"/>
  <c r="BY1140" i="6"/>
  <c r="CN1140" i="6" s="1"/>
  <c r="CO1140" i="6" s="1"/>
  <c r="BY1148" i="6"/>
  <c r="CN1148" i="6" s="1"/>
  <c r="CO1148" i="6" s="1"/>
  <c r="BY1146" i="6"/>
  <c r="CN1146" i="6" s="1"/>
  <c r="CO1146" i="6" s="1"/>
  <c r="CT330" i="6"/>
  <c r="X331" i="6"/>
  <c r="X336" i="6" s="1"/>
  <c r="H330" i="6"/>
  <c r="CQ330" i="6" s="1"/>
  <c r="G331" i="6"/>
  <c r="G336" i="6" s="1"/>
  <c r="AP1025" i="6"/>
  <c r="AP138" i="6" s="1"/>
  <c r="AO138" i="6"/>
  <c r="M961" i="6"/>
  <c r="CR961" i="6" s="1"/>
  <c r="CR990" i="6"/>
  <c r="H334" i="6"/>
  <c r="CQ334" i="6" s="1"/>
  <c r="F334" i="6"/>
  <c r="G334" i="6"/>
  <c r="AB343" i="6"/>
  <c r="CU343" i="6" s="1"/>
  <c r="AG343" i="6"/>
  <c r="CV343" i="6" s="1"/>
  <c r="CU342" i="6"/>
  <c r="Z968" i="6"/>
  <c r="Z141" i="6"/>
  <c r="AA1016" i="6"/>
  <c r="AB1016" i="6" s="1"/>
  <c r="CU1016" i="6" s="1"/>
  <c r="K139" i="6"/>
  <c r="L1026" i="6"/>
  <c r="L139" i="6" s="1"/>
  <c r="BE952" i="6"/>
  <c r="BE48" i="6"/>
  <c r="G1033" i="6"/>
  <c r="G148" i="6" s="1"/>
  <c r="F148" i="6"/>
  <c r="BC952" i="6"/>
  <c r="BC48" i="6"/>
  <c r="I878" i="6"/>
  <c r="I888" i="6" s="1"/>
  <c r="J877" i="6"/>
  <c r="E970" i="6"/>
  <c r="E974" i="6" s="1"/>
  <c r="E938" i="6"/>
  <c r="L154" i="6"/>
  <c r="L1351" i="6"/>
  <c r="BH48" i="6"/>
  <c r="BH952" i="6"/>
  <c r="BK952" i="6" s="1"/>
  <c r="AG1333" i="6"/>
  <c r="CV1333" i="6" s="1"/>
  <c r="CV1040" i="6"/>
  <c r="AF290" i="42290"/>
  <c r="BA1016" i="6"/>
  <c r="AZ141" i="6"/>
  <c r="BA141" i="6" s="1"/>
  <c r="CZ141" i="6" s="1"/>
  <c r="AY1154" i="6"/>
  <c r="BA1154" i="6" s="1"/>
  <c r="CZ1154" i="6" s="1"/>
  <c r="BX1024" i="6"/>
  <c r="BX137" i="6" s="1"/>
  <c r="BT1024" i="6"/>
  <c r="BS137" i="6"/>
  <c r="X172" i="6"/>
  <c r="F17" i="42453"/>
  <c r="CT1124" i="6"/>
  <c r="BR1192" i="6"/>
  <c r="BV1192" i="6"/>
  <c r="AY1207" i="6"/>
  <c r="AY143" i="6"/>
  <c r="M343" i="6"/>
  <c r="CR343" i="6" s="1"/>
  <c r="BM944" i="6"/>
  <c r="BM945" i="6"/>
  <c r="BM946" i="6" s="1"/>
  <c r="BD649" i="6"/>
  <c r="BD650" i="6" s="1"/>
  <c r="AY653" i="6"/>
  <c r="BD279" i="42290"/>
  <c r="AH131" i="42290"/>
  <c r="CL264" i="42425"/>
  <c r="G51" i="42452"/>
  <c r="AJ29" i="42290"/>
  <c r="BO134" i="42290"/>
  <c r="BK134" i="42290" s="1"/>
  <c r="BO133" i="42290"/>
  <c r="BQ133" i="42290" s="1"/>
  <c r="C30" i="42290"/>
  <c r="AZ273" i="42290"/>
  <c r="AF30" i="42290"/>
  <c r="AB30" i="42290" s="1"/>
  <c r="G9" i="42473"/>
  <c r="G47" i="42432"/>
  <c r="G53" i="42474"/>
  <c r="CG218" i="42425"/>
  <c r="C13" i="42440"/>
  <c r="G12" i="42428"/>
  <c r="G50" i="42459"/>
  <c r="BC197" i="42290"/>
  <c r="P8" i="42473"/>
  <c r="F8" i="42473"/>
  <c r="G54" i="42474"/>
  <c r="AH29" i="42290"/>
  <c r="AW129" i="42290"/>
  <c r="AG29" i="42290"/>
  <c r="BO130" i="42290"/>
  <c r="BL130" i="42290" s="1"/>
  <c r="N13" i="42450"/>
  <c r="Q9" i="42473"/>
  <c r="IT872" i="42425"/>
  <c r="IT878" i="42425" s="1"/>
  <c r="IT879" i="42425" s="1"/>
  <c r="AP133" i="42290"/>
  <c r="AO133" i="42290" s="1"/>
  <c r="AP129" i="42290"/>
  <c r="AP130" i="42290"/>
  <c r="AM130" i="42290" s="1"/>
  <c r="AP135" i="42290"/>
  <c r="AO135" i="42290" s="1"/>
  <c r="AS130" i="42290"/>
  <c r="AQ130" i="42290"/>
  <c r="F279" i="42290"/>
  <c r="AU174" i="42290"/>
  <c r="AS174" i="42290" s="1"/>
  <c r="AU175" i="42290"/>
  <c r="AS175" i="42290" s="1"/>
  <c r="BD176" i="42290"/>
  <c r="BA176" i="42290"/>
  <c r="AQ181" i="42290"/>
  <c r="AS181" i="42290"/>
  <c r="BE181" i="42290"/>
  <c r="BB181" i="42290" s="1"/>
  <c r="BE183" i="42290"/>
  <c r="BA183" i="42290" s="1"/>
  <c r="AB133" i="42290"/>
  <c r="AD133" i="42290"/>
  <c r="AA139" i="42434"/>
  <c r="E61" i="42434"/>
  <c r="AD139" i="42434" s="1"/>
  <c r="Q17" i="42467"/>
  <c r="W17" i="42467"/>
  <c r="K17" i="42467"/>
  <c r="K23" i="42467" s="1"/>
  <c r="K25" i="42467" s="1"/>
  <c r="L17" i="42467"/>
  <c r="AT134" i="42290"/>
  <c r="AR134" i="42290"/>
  <c r="CH262" i="42425"/>
  <c r="CH264" i="42425" s="1"/>
  <c r="CH259" i="42425"/>
  <c r="CH260" i="42425" s="1"/>
  <c r="AT195" i="42290"/>
  <c r="AT199" i="42290" s="1"/>
  <c r="AQ195" i="42290"/>
  <c r="AS195" i="42290"/>
  <c r="AS199" i="42290" s="1"/>
  <c r="AR195" i="42290"/>
  <c r="AR199" i="42290" s="1"/>
  <c r="AP183" i="42290"/>
  <c r="AP182" i="42290"/>
  <c r="AL182" i="42290" s="1"/>
  <c r="C32" i="42290"/>
  <c r="D32" i="42290"/>
  <c r="E32" i="42290"/>
  <c r="AG32" i="42290"/>
  <c r="AH32" i="42290"/>
  <c r="Z135" i="42290"/>
  <c r="H137" i="42290"/>
  <c r="H144" i="42290" s="1"/>
  <c r="M135" i="42290"/>
  <c r="N135" i="42290"/>
  <c r="P29" i="42290"/>
  <c r="N29" i="42290"/>
  <c r="O29" i="42290"/>
  <c r="Z32" i="42290"/>
  <c r="X32" i="42290"/>
  <c r="W32" i="42290"/>
  <c r="AQ33" i="42290"/>
  <c r="AT33" i="42290"/>
  <c r="CF218" i="42425"/>
  <c r="CJ218" i="42425"/>
  <c r="F32" i="42290"/>
  <c r="G44" i="42428"/>
  <c r="M29" i="42290"/>
  <c r="X135" i="42290"/>
  <c r="AP131" i="42290"/>
  <c r="AL131" i="42290" s="1"/>
  <c r="G48" i="42440"/>
  <c r="F17" i="42467"/>
  <c r="F23" i="42467" s="1"/>
  <c r="F25" i="42467" s="1"/>
  <c r="F32" i="42467" s="1"/>
  <c r="P17" i="42467"/>
  <c r="AP181" i="42290"/>
  <c r="AL181" i="42290" s="1"/>
  <c r="D21" i="42441"/>
  <c r="AQ134" i="42290"/>
  <c r="BY277" i="42290"/>
  <c r="BY273" i="42290"/>
  <c r="BO32" i="42290"/>
  <c r="BK32" i="42290" s="1"/>
  <c r="BO30" i="42290"/>
  <c r="BQ30" i="42290" s="1"/>
  <c r="BO29" i="42290"/>
  <c r="BM29" i="42290" s="1"/>
  <c r="L24" i="42461"/>
  <c r="N25" i="42461"/>
  <c r="P279" i="42290"/>
  <c r="AR33" i="42290"/>
  <c r="F33" i="42290"/>
  <c r="D33" i="42290"/>
  <c r="W33" i="42290"/>
  <c r="Z33" i="42290"/>
  <c r="AO279" i="42290"/>
  <c r="AQ74" i="42425"/>
  <c r="K12" i="42428"/>
  <c r="L277" i="42290"/>
  <c r="AF277" i="42290"/>
  <c r="AK273" i="42290"/>
  <c r="G52" i="42471"/>
  <c r="K12" i="42432"/>
  <c r="CC218" i="42425"/>
  <c r="AZ15" i="42446"/>
  <c r="AA273" i="42290"/>
  <c r="X20" i="42446"/>
  <c r="Q277" i="42290"/>
  <c r="AJ279" i="42290"/>
  <c r="T279" i="42290"/>
  <c r="BX264" i="42425"/>
  <c r="AR279" i="42290"/>
  <c r="AU273" i="42290"/>
  <c r="AW279" i="42290"/>
  <c r="BL279" i="42290"/>
  <c r="N31" i="42290"/>
  <c r="O31" i="42290"/>
  <c r="M31" i="42290"/>
  <c r="P31" i="42290"/>
  <c r="BE174" i="42290"/>
  <c r="BC174" i="42290" s="1"/>
  <c r="D20" i="42451"/>
  <c r="G20" i="42451" s="1"/>
  <c r="D20" i="42450"/>
  <c r="N20" i="42450" s="1"/>
  <c r="C24" i="42455"/>
  <c r="Q24" i="42455" s="1"/>
  <c r="BX259" i="42425"/>
  <c r="BX260" i="42425" s="1"/>
  <c r="K22" i="42455"/>
  <c r="K24" i="42455" s="1"/>
  <c r="CK262" i="42425"/>
  <c r="CK264" i="42425" s="1"/>
  <c r="BY218" i="42425"/>
  <c r="AH132" i="42290"/>
  <c r="AK277" i="42290"/>
  <c r="AP273" i="42290"/>
  <c r="AU277" i="42290"/>
  <c r="AB135" i="42290"/>
  <c r="N32" i="42290"/>
  <c r="N132" i="42290"/>
  <c r="O132" i="42290"/>
  <c r="BO135" i="42290"/>
  <c r="BK135" i="42290" s="1"/>
  <c r="AG131" i="42290"/>
  <c r="D30" i="42290"/>
  <c r="T290" i="42290"/>
  <c r="T292" i="42290" s="1"/>
  <c r="O32" i="42290"/>
  <c r="AP134" i="42290"/>
  <c r="AM134" i="42290" s="1"/>
  <c r="AP132" i="42290"/>
  <c r="AN132" i="42290" s="1"/>
  <c r="AF32" i="42290"/>
  <c r="AB32" i="42290" s="1"/>
  <c r="G50" i="42461"/>
  <c r="L17" i="42455"/>
  <c r="Q17" i="42455"/>
  <c r="AR129" i="42290"/>
  <c r="AS129" i="42290"/>
  <c r="AG132" i="42290"/>
  <c r="AU35" i="42290"/>
  <c r="AQ29" i="42290"/>
  <c r="G48" i="42432"/>
  <c r="AR130" i="42290"/>
  <c r="AT130" i="42290"/>
  <c r="N33" i="42290"/>
  <c r="AC283" i="42290"/>
  <c r="AH283" i="42290" s="1"/>
  <c r="AH282" i="42290" s="1"/>
  <c r="AH288" i="42290" s="1"/>
  <c r="AT279" i="42290"/>
  <c r="C48" i="42452"/>
  <c r="L48" i="42452" s="1"/>
  <c r="F13" i="42451"/>
  <c r="C52" i="42468"/>
  <c r="CE260" i="42425"/>
  <c r="BO132" i="42290"/>
  <c r="BS132" i="42290" s="1"/>
  <c r="AG30" i="42290"/>
  <c r="G48" i="42428"/>
  <c r="BB176" i="42290"/>
  <c r="Z129" i="42290"/>
  <c r="AV129" i="42290"/>
  <c r="Y129" i="42290"/>
  <c r="K48" i="42428"/>
  <c r="P133" i="42290"/>
  <c r="L9" i="42468"/>
  <c r="O134" i="42290"/>
  <c r="N134" i="42290"/>
  <c r="M134" i="42290"/>
  <c r="BI279" i="42290"/>
  <c r="BP156" i="42425"/>
  <c r="Y30" i="42290"/>
  <c r="BB279" i="42290"/>
  <c r="H279" i="42290"/>
  <c r="M131" i="42290"/>
  <c r="P131" i="42290"/>
  <c r="O131" i="42290"/>
  <c r="AI33" i="42290"/>
  <c r="AH33" i="42290"/>
  <c r="AG33" i="42290"/>
  <c r="AJ33" i="42290"/>
  <c r="Y134" i="42290"/>
  <c r="W134" i="42290"/>
  <c r="Z134" i="42290"/>
  <c r="X134" i="42290"/>
  <c r="CC35" i="42446"/>
  <c r="G154" i="6"/>
  <c r="G1351" i="6"/>
  <c r="S154" i="6"/>
  <c r="S1351" i="6"/>
  <c r="AW412" i="6"/>
  <c r="AW475" i="6" s="1"/>
  <c r="AX370" i="6"/>
  <c r="F15" i="42440"/>
  <c r="F19" i="42440" s="1"/>
  <c r="F21" i="42440" s="1"/>
  <c r="F26" i="42440" s="1"/>
  <c r="L15" i="42440"/>
  <c r="K15" i="42440"/>
  <c r="K19" i="42440" s="1"/>
  <c r="K21" i="42440" s="1"/>
  <c r="S970" i="6"/>
  <c r="S974" i="6" s="1"/>
  <c r="S942" i="6"/>
  <c r="CV883" i="6"/>
  <c r="AH883" i="6"/>
  <c r="P942" i="6"/>
  <c r="P970" i="6"/>
  <c r="G938" i="6"/>
  <c r="G942" i="6"/>
  <c r="AA154" i="6"/>
  <c r="AA1351" i="6"/>
  <c r="D50" i="42457"/>
  <c r="AS1351" i="6"/>
  <c r="AS154" i="6"/>
  <c r="AK878" i="6"/>
  <c r="AK888" i="6" s="1"/>
  <c r="AJ878" i="6"/>
  <c r="AJ888" i="6" s="1"/>
  <c r="AE884" i="6"/>
  <c r="AE894" i="6" s="1"/>
  <c r="AE895" i="6" s="1"/>
  <c r="G15" i="42440"/>
  <c r="AM129" i="42290"/>
  <c r="BO131" i="42290"/>
  <c r="BS131" i="42290" s="1"/>
  <c r="BG979" i="6"/>
  <c r="D11" i="42467"/>
  <c r="D14" i="42467" s="1"/>
  <c r="AR111" i="42464"/>
  <c r="CQ360" i="6"/>
  <c r="G47" i="42440"/>
  <c r="C52" i="42473"/>
  <c r="L52" i="42473" s="1"/>
  <c r="K9" i="42473"/>
  <c r="IT867" i="42425"/>
  <c r="G9" i="42468"/>
  <c r="M191" i="6"/>
  <c r="CR191" i="6" s="1"/>
  <c r="BH1100" i="6"/>
  <c r="BH1156" i="6" s="1"/>
  <c r="BG1156" i="6"/>
  <c r="BL799" i="6"/>
  <c r="BL913" i="6" s="1"/>
  <c r="BL914" i="6" s="1"/>
  <c r="BL917" i="6"/>
  <c r="BL918" i="6" s="1"/>
  <c r="BD794" i="6"/>
  <c r="BD809" i="6"/>
  <c r="F19" i="42451"/>
  <c r="F20" i="42451" s="1"/>
  <c r="F22" i="42451" s="1"/>
  <c r="F27" i="42451" s="1"/>
  <c r="G19" i="42451"/>
  <c r="AN22" i="6"/>
  <c r="Z154" i="6"/>
  <c r="Z1351" i="6"/>
  <c r="AK1351" i="6"/>
  <c r="AK154" i="6"/>
  <c r="Q154" i="6"/>
  <c r="Q1351" i="6"/>
  <c r="BR1168" i="6"/>
  <c r="BS1168" i="6" s="1"/>
  <c r="BT1168" i="6" s="1"/>
  <c r="AN170" i="6"/>
  <c r="AL878" i="6"/>
  <c r="Z967" i="6"/>
  <c r="Z946" i="6"/>
  <c r="BA363" i="6"/>
  <c r="CZ363" i="6" s="1"/>
  <c r="BF695" i="6"/>
  <c r="BF696" i="6" s="1"/>
  <c r="H1190" i="6"/>
  <c r="CQ1190" i="6" s="1"/>
  <c r="BJ1023" i="6"/>
  <c r="BJ146" i="6" s="1"/>
  <c r="BI146" i="6"/>
  <c r="AK1207" i="6"/>
  <c r="AL1032" i="6"/>
  <c r="R1027" i="6"/>
  <c r="CS1027" i="6" s="1"/>
  <c r="BC869" i="6"/>
  <c r="CL218" i="42425"/>
  <c r="AV279" i="42290"/>
  <c r="BV15" i="42446"/>
  <c r="K279" i="42290"/>
  <c r="AB279" i="42290"/>
  <c r="AH944" i="6"/>
  <c r="AH945" i="6"/>
  <c r="AH967" i="6" s="1"/>
  <c r="L1033" i="6"/>
  <c r="K148" i="6"/>
  <c r="Q139" i="6"/>
  <c r="R139" i="6" s="1"/>
  <c r="CS139" i="6" s="1"/>
  <c r="R1026" i="6"/>
  <c r="CS1026" i="6" s="1"/>
  <c r="BB689" i="6"/>
  <c r="BB688" i="6"/>
  <c r="Q1032" i="6"/>
  <c r="R1032" i="6" s="1"/>
  <c r="R1035" i="6" s="1"/>
  <c r="CS1035" i="6" s="1"/>
  <c r="P1207" i="6"/>
  <c r="V1023" i="6"/>
  <c r="V146" i="6" s="1"/>
  <c r="U146" i="6"/>
  <c r="AY292" i="6"/>
  <c r="AI333" i="6"/>
  <c r="AH1114" i="6"/>
  <c r="AH1127" i="6" s="1"/>
  <c r="AQ413" i="6"/>
  <c r="CX413" i="6" s="1"/>
  <c r="DD333" i="6"/>
  <c r="AP1023" i="6"/>
  <c r="AP146" i="6" s="1"/>
  <c r="AO146" i="6"/>
  <c r="CA1056" i="6"/>
  <c r="DE1056" i="6"/>
  <c r="H1027" i="6"/>
  <c r="CQ1027" i="6" s="1"/>
  <c r="BG334" i="6"/>
  <c r="BH333" i="6"/>
  <c r="G1096" i="6"/>
  <c r="G1224" i="6" s="1"/>
  <c r="F1152" i="6"/>
  <c r="Q137" i="6"/>
  <c r="R137" i="6" s="1"/>
  <c r="CS137" i="6" s="1"/>
  <c r="R1024" i="6"/>
  <c r="CS1024" i="6" s="1"/>
  <c r="X334" i="6"/>
  <c r="Y333" i="6"/>
  <c r="Y334" i="6" s="1"/>
  <c r="BM811" i="6"/>
  <c r="BM821" i="6"/>
  <c r="BM870" i="6" s="1"/>
  <c r="CC1015" i="6"/>
  <c r="DG1015" i="6"/>
  <c r="CB140" i="6"/>
  <c r="DG140" i="6" s="1"/>
  <c r="BF820" i="6"/>
  <c r="DA820" i="6" s="1"/>
  <c r="BU1068" i="6"/>
  <c r="G1161" i="6"/>
  <c r="H1161" i="6" s="1"/>
  <c r="CQ1161" i="6" s="1"/>
  <c r="V292" i="42290"/>
  <c r="G49" i="42452"/>
  <c r="AO476" i="6"/>
  <c r="N27" i="42425"/>
  <c r="BJ134" i="42290"/>
  <c r="BH134" i="42290" s="1"/>
  <c r="BK479" i="6"/>
  <c r="BK478" i="6"/>
  <c r="AM1005" i="6"/>
  <c r="X1106" i="6"/>
  <c r="X1161" i="6" s="1"/>
  <c r="BK632" i="6"/>
  <c r="BD334" i="6"/>
  <c r="BM790" i="6"/>
  <c r="AN1006" i="6"/>
  <c r="DB787" i="6"/>
  <c r="H317" i="6"/>
  <c r="CQ317" i="6" s="1"/>
  <c r="Q138" i="6"/>
  <c r="R138" i="6" s="1"/>
  <c r="CS138" i="6" s="1"/>
  <c r="R1025" i="6"/>
  <c r="CS1025" i="6" s="1"/>
  <c r="DA1306" i="6"/>
  <c r="BK1306" i="6"/>
  <c r="Z889" i="6"/>
  <c r="U889" i="6"/>
  <c r="N291" i="6"/>
  <c r="CR291" i="6"/>
  <c r="AV1186" i="6"/>
  <c r="CY1186" i="6" s="1"/>
  <c r="AZ1186" i="6"/>
  <c r="BA414" i="6"/>
  <c r="BA477" i="6" s="1"/>
  <c r="CZ477" i="6" s="1"/>
  <c r="N1211" i="6"/>
  <c r="BM82" i="6"/>
  <c r="BM84" i="6" s="1"/>
  <c r="BM86" i="6" s="1"/>
  <c r="BM1332" i="6" s="1"/>
  <c r="AO965" i="6"/>
  <c r="Q895" i="6"/>
  <c r="G51" i="42454"/>
  <c r="BU204" i="42290"/>
  <c r="R290" i="42290"/>
  <c r="R292" i="42290" s="1"/>
  <c r="BJ133" i="42290"/>
  <c r="BF133" i="42290" s="1"/>
  <c r="S290" i="42290"/>
  <c r="S292" i="42290" s="1"/>
  <c r="AU183" i="42290"/>
  <c r="AQ183" i="42290" s="1"/>
  <c r="Q137" i="42290"/>
  <c r="Q144" i="42290" s="1"/>
  <c r="T331" i="6"/>
  <c r="T336" i="6" s="1"/>
  <c r="Y337" i="6" s="1"/>
  <c r="AL1176" i="6"/>
  <c r="CW1176" i="6" s="1"/>
  <c r="CA140" i="6"/>
  <c r="DF140" i="6" s="1"/>
  <c r="AP1006" i="6"/>
  <c r="AN1007" i="6"/>
  <c r="J1351" i="6"/>
  <c r="J154" i="6"/>
  <c r="AS1190" i="6"/>
  <c r="AT1187" i="6"/>
  <c r="AX1187" i="6"/>
  <c r="BB711" i="6"/>
  <c r="BB713" i="6" s="1"/>
  <c r="BB499" i="6" s="1"/>
  <c r="BK481" i="6"/>
  <c r="BE334" i="6"/>
  <c r="K52" i="6"/>
  <c r="DB1040" i="6"/>
  <c r="BM794" i="6"/>
  <c r="BM800" i="6" s="1"/>
  <c r="BF129" i="42290"/>
  <c r="BK474" i="6"/>
  <c r="DB474" i="6" s="1"/>
  <c r="BU828" i="6"/>
  <c r="W55" i="6"/>
  <c r="BU1119" i="6"/>
  <c r="BV1119" i="6" s="1"/>
  <c r="BW1119" i="6" s="1"/>
  <c r="BX1119" i="6" s="1"/>
  <c r="BY1119" i="6" s="1"/>
  <c r="DD1075" i="6"/>
  <c r="H1031" i="6"/>
  <c r="G1035" i="6"/>
  <c r="G150" i="6"/>
  <c r="H150" i="6" s="1"/>
  <c r="CQ150" i="6" s="1"/>
  <c r="BK666" i="6"/>
  <c r="O946" i="6"/>
  <c r="J967" i="6"/>
  <c r="AZ281" i="42290"/>
  <c r="CZ906" i="6"/>
  <c r="BA928" i="6"/>
  <c r="CZ928" i="6" s="1"/>
  <c r="BU1089" i="6"/>
  <c r="BT1145" i="6"/>
  <c r="AK1021" i="6"/>
  <c r="AJ145" i="6"/>
  <c r="Q308" i="6"/>
  <c r="L307" i="6"/>
  <c r="L308" i="6"/>
  <c r="M275" i="6"/>
  <c r="CR275" i="6" s="1"/>
  <c r="M267" i="6"/>
  <c r="CR267" i="6" s="1"/>
  <c r="M268" i="6"/>
  <c r="CR268" i="6" s="1"/>
  <c r="CR266" i="6"/>
  <c r="O143" i="6"/>
  <c r="O35" i="6"/>
  <c r="T35" i="6"/>
  <c r="AP751" i="6"/>
  <c r="K201" i="6"/>
  <c r="E751" i="6"/>
  <c r="M270" i="6"/>
  <c r="M207" i="6"/>
  <c r="CR207" i="6" s="1"/>
  <c r="M208" i="6"/>
  <c r="CR208" i="6" s="1"/>
  <c r="CR206" i="6"/>
  <c r="H200" i="6"/>
  <c r="CQ200" i="6" s="1"/>
  <c r="CQ191" i="6"/>
  <c r="R194" i="6"/>
  <c r="CS194" i="6" s="1"/>
  <c r="CS193" i="6"/>
  <c r="R753" i="6"/>
  <c r="CS753" i="6" s="1"/>
  <c r="M306" i="6"/>
  <c r="AZ751" i="6"/>
  <c r="L26" i="6"/>
  <c r="L33" i="6" s="1"/>
  <c r="L34" i="6" s="1"/>
  <c r="R298" i="6"/>
  <c r="M298" i="6"/>
  <c r="F26" i="6"/>
  <c r="F33" i="6" s="1"/>
  <c r="F34" i="6" s="1"/>
  <c r="F307" i="6"/>
  <c r="CQ247" i="6"/>
  <c r="M245" i="6"/>
  <c r="I245" i="6"/>
  <c r="I247" i="6" s="1"/>
  <c r="J245" i="6" s="1"/>
  <c r="J247" i="6" s="1"/>
  <c r="K245" i="6" s="1"/>
  <c r="K247" i="6" s="1"/>
  <c r="L245" i="6" s="1"/>
  <c r="L247" i="6" s="1"/>
  <c r="BS39" i="6"/>
  <c r="BS128" i="6" s="1"/>
  <c r="BT132" i="42290"/>
  <c r="BT131" i="42290"/>
  <c r="BT133" i="42290"/>
  <c r="BU452" i="6"/>
  <c r="DD452" i="6" s="1"/>
  <c r="ES593" i="42458"/>
  <c r="ER593" i="42458"/>
  <c r="DD431" i="6"/>
  <c r="BU1105" i="6"/>
  <c r="AU36" i="42446"/>
  <c r="AV10" i="42446"/>
  <c r="E60" i="42446"/>
  <c r="CD9" i="42446"/>
  <c r="AU15" i="42446"/>
  <c r="CC36" i="42446"/>
  <c r="AH10" i="42446"/>
  <c r="T18" i="42446"/>
  <c r="BN40" i="42446"/>
  <c r="AD55" i="42446"/>
  <c r="E57" i="42446"/>
  <c r="F22" i="42446"/>
  <c r="CD17" i="42446"/>
  <c r="CA40" i="42446"/>
  <c r="BT134" i="42290"/>
  <c r="C33" i="42290"/>
  <c r="D31" i="42290"/>
  <c r="F12" i="42428"/>
  <c r="AH134" i="42290"/>
  <c r="L31" i="42290"/>
  <c r="I31" i="42290" s="1"/>
  <c r="AU176" i="42290"/>
  <c r="AQ176" i="42290" s="1"/>
  <c r="AU182" i="42290"/>
  <c r="AS182" i="42290" s="1"/>
  <c r="BT129" i="42290"/>
  <c r="AT32" i="42290"/>
  <c r="AR32" i="42290"/>
  <c r="X33" i="42290"/>
  <c r="Y33" i="42290"/>
  <c r="AM197" i="42290"/>
  <c r="AT181" i="42290"/>
  <c r="BT135" i="42290"/>
  <c r="BT130" i="42290"/>
  <c r="AX176" i="42290"/>
  <c r="AR181" i="42290"/>
  <c r="AY135" i="42290"/>
  <c r="BB197" i="42290"/>
  <c r="BB199" i="42290" s="1"/>
  <c r="BZ277" i="42290"/>
  <c r="M129" i="42290"/>
  <c r="O129" i="42290"/>
  <c r="G54" i="42455"/>
  <c r="Y31" i="42290"/>
  <c r="W31" i="42290"/>
  <c r="Z31" i="42290"/>
  <c r="AL204" i="42290"/>
  <c r="AU203" i="42290"/>
  <c r="AT203" i="42290" s="1"/>
  <c r="AX135" i="42290"/>
  <c r="F31" i="42290"/>
  <c r="CD264" i="42425"/>
  <c r="BD197" i="42290"/>
  <c r="E33" i="42290"/>
  <c r="P129" i="42290"/>
  <c r="BF279" i="42290"/>
  <c r="AS30" i="42290"/>
  <c r="AT30" i="42290"/>
  <c r="AQ30" i="42290"/>
  <c r="AR30" i="42290"/>
  <c r="M130" i="42290"/>
  <c r="P130" i="42290"/>
  <c r="N130" i="42290"/>
  <c r="O130" i="42290"/>
  <c r="BC196" i="42290"/>
  <c r="BA196" i="42290"/>
  <c r="BA199" i="42290" s="1"/>
  <c r="AH18" i="42446"/>
  <c r="W970" i="6"/>
  <c r="CT970" i="6" s="1"/>
  <c r="I10" i="42453"/>
  <c r="CW78" i="6"/>
  <c r="BO1019" i="6"/>
  <c r="BP1019" i="6" s="1"/>
  <c r="DC1019" i="6" s="1"/>
  <c r="BU777" i="6"/>
  <c r="DD761" i="6"/>
  <c r="AT125" i="42290"/>
  <c r="AO142" i="42290"/>
  <c r="BS840" i="6"/>
  <c r="BS831" i="6"/>
  <c r="BS834" i="6" s="1"/>
  <c r="BS837" i="6" s="1"/>
  <c r="AU257" i="42290"/>
  <c r="AZ254" i="42290"/>
  <c r="BP323" i="6"/>
  <c r="BP321" i="6"/>
  <c r="I137" i="42290"/>
  <c r="I144" i="42290" s="1"/>
  <c r="AQ279" i="42290"/>
  <c r="H331" i="6"/>
  <c r="D331" i="6"/>
  <c r="D336" i="6" s="1"/>
  <c r="E331" i="6"/>
  <c r="E336" i="6" s="1"/>
  <c r="J337" i="6" s="1"/>
  <c r="BO1032" i="6"/>
  <c r="C27" i="42447"/>
  <c r="C32" i="42447" s="1"/>
  <c r="C52" i="42447"/>
  <c r="Q22" i="42447"/>
  <c r="BN1022" i="6"/>
  <c r="BN145" i="6" s="1"/>
  <c r="BM145" i="6"/>
  <c r="BP1041" i="6"/>
  <c r="DC1041" i="6" s="1"/>
  <c r="BN1038" i="6"/>
  <c r="BO1038" i="6" s="1"/>
  <c r="BM1042" i="6"/>
  <c r="BO1191" i="6"/>
  <c r="BQ1191" i="6" s="1"/>
  <c r="BS850" i="6"/>
  <c r="BS859" i="6"/>
  <c r="BS865" i="6" s="1"/>
  <c r="BY297" i="6"/>
  <c r="BX297" i="6"/>
  <c r="AU137" i="42290"/>
  <c r="AZ277" i="42290"/>
  <c r="EM590" i="42458"/>
  <c r="EM610" i="42458" s="1"/>
  <c r="DC11" i="6"/>
  <c r="AN111" i="42447"/>
  <c r="AN117" i="42447"/>
  <c r="CC39" i="42446"/>
  <c r="CD13" i="42446"/>
  <c r="DO552" i="42458"/>
  <c r="BO314" i="6" s="1"/>
  <c r="AP115" i="42443"/>
  <c r="AP116" i="42443" s="1"/>
  <c r="AP123" i="42443" s="1"/>
  <c r="AP121" i="42443"/>
  <c r="K9" i="42468"/>
  <c r="F9" i="42468"/>
  <c r="Q9" i="42468"/>
  <c r="D19" i="42434"/>
  <c r="D59" i="42434" s="1"/>
  <c r="AQ125" i="42290"/>
  <c r="AL142" i="42290"/>
  <c r="F1082" i="6"/>
  <c r="G1138" i="6" s="1"/>
  <c r="CB1139" i="6"/>
  <c r="DG1139" i="6" s="1"/>
  <c r="CB1148" i="6"/>
  <c r="BP1020" i="6"/>
  <c r="DC1020" i="6" s="1"/>
  <c r="AU27" i="42446"/>
  <c r="AU35" i="42446"/>
  <c r="AV9" i="42446"/>
  <c r="BB9" i="42446" s="1"/>
  <c r="AH22" i="42446"/>
  <c r="AG57" i="42446"/>
  <c r="AT1022" i="6"/>
  <c r="AU1022" i="6" s="1"/>
  <c r="AU145" i="6" s="1"/>
  <c r="AS145" i="6"/>
  <c r="BP1025" i="6"/>
  <c r="DC1025" i="6" s="1"/>
  <c r="BN138" i="6"/>
  <c r="BP138" i="6" s="1"/>
  <c r="DC138" i="6" s="1"/>
  <c r="BI1042" i="6"/>
  <c r="I9" i="42453"/>
  <c r="CW73" i="6"/>
  <c r="BR859" i="6"/>
  <c r="BR850" i="6"/>
  <c r="AS291" i="6"/>
  <c r="AS292" i="6" s="1"/>
  <c r="T10" i="42446"/>
  <c r="T9" i="42446"/>
  <c r="S61" i="42446"/>
  <c r="S45" i="42446"/>
  <c r="DL561" i="42458"/>
  <c r="DL563" i="42458" s="1"/>
  <c r="AV32" i="42290"/>
  <c r="AY32" i="42290"/>
  <c r="AW32" i="42290"/>
  <c r="AX32" i="42290"/>
  <c r="G52" i="42459"/>
  <c r="AJ135" i="42290"/>
  <c r="BJ176" i="42290"/>
  <c r="BF176" i="42290" s="1"/>
  <c r="BJ132" i="42290"/>
  <c r="BG132" i="42290" s="1"/>
  <c r="BJ135" i="42290"/>
  <c r="BG135" i="42290" s="1"/>
  <c r="AZ29" i="42290"/>
  <c r="AW29" i="42290" s="1"/>
  <c r="AE133" i="42290"/>
  <c r="AG134" i="42290"/>
  <c r="BI129" i="42290"/>
  <c r="AO175" i="42290"/>
  <c r="U21" i="42455"/>
  <c r="AP176" i="42290"/>
  <c r="AM176" i="42290" s="1"/>
  <c r="AI134" i="42290"/>
  <c r="BE277" i="42290"/>
  <c r="BJ277" i="42290"/>
  <c r="AO204" i="42290"/>
  <c r="BJ131" i="42290"/>
  <c r="BF131" i="42290" s="1"/>
  <c r="K12" i="42440"/>
  <c r="AC133" i="42290"/>
  <c r="AP174" i="42290"/>
  <c r="AN174" i="42290" s="1"/>
  <c r="BH129" i="42290"/>
  <c r="BD202" i="42290"/>
  <c r="AL175" i="42290"/>
  <c r="BJ181" i="42290"/>
  <c r="L273" i="42290"/>
  <c r="AF273" i="42290"/>
  <c r="BJ130" i="42290"/>
  <c r="BG130" i="42290" s="1"/>
  <c r="CH15" i="42446"/>
  <c r="G273" i="42290"/>
  <c r="AN175" i="42290"/>
  <c r="BA279" i="42290"/>
  <c r="CQ107" i="6"/>
  <c r="U17" i="42461"/>
  <c r="AK52" i="6"/>
  <c r="U19" i="42461"/>
  <c r="P24" i="42461"/>
  <c r="Q22" i="42461"/>
  <c r="P22" i="42461"/>
  <c r="U18" i="42461"/>
  <c r="C31" i="42461"/>
  <c r="C36" i="42461" s="1"/>
  <c r="U24" i="42461"/>
  <c r="U20" i="42461"/>
  <c r="Q24" i="42461"/>
  <c r="K22" i="42461"/>
  <c r="K24" i="42461" s="1"/>
  <c r="L22" i="42461"/>
  <c r="G53" i="42459"/>
  <c r="U21" i="42461"/>
  <c r="AS92" i="42416"/>
  <c r="AS93" i="42416" s="1"/>
  <c r="AS99" i="42416" s="1"/>
  <c r="AT91" i="42416"/>
  <c r="BC802" i="6"/>
  <c r="BF1006" i="6"/>
  <c r="DA1006" i="6" s="1"/>
  <c r="DA979" i="6"/>
  <c r="V1094" i="6"/>
  <c r="W1094" i="6" s="1"/>
  <c r="BT1147" i="6"/>
  <c r="BU1147" i="6" s="1"/>
  <c r="AR1176" i="6"/>
  <c r="AR1178" i="6" s="1"/>
  <c r="AR1141" i="6"/>
  <c r="AV1141" i="6" s="1"/>
  <c r="CY1141" i="6" s="1"/>
  <c r="AR1266" i="6"/>
  <c r="AR1268" i="6" s="1"/>
  <c r="AR1285" i="6"/>
  <c r="CZ303" i="42425"/>
  <c r="BE30" i="42290"/>
  <c r="BE31" i="42290"/>
  <c r="CH218" i="42425"/>
  <c r="AK257" i="42290"/>
  <c r="AG279" i="42290"/>
  <c r="BK279" i="42290"/>
  <c r="AL279" i="42290"/>
  <c r="CF961" i="6"/>
  <c r="CG990" i="6"/>
  <c r="CG961" i="6" s="1"/>
  <c r="BK820" i="6"/>
  <c r="DB820" i="6" s="1"/>
  <c r="BM817" i="6"/>
  <c r="BL820" i="6"/>
  <c r="AI1149" i="6"/>
  <c r="AJ1149" i="6"/>
  <c r="BR195" i="42290"/>
  <c r="Q22" i="42455"/>
  <c r="U18" i="42455"/>
  <c r="BZ264" i="42425"/>
  <c r="BE273" i="42290"/>
  <c r="BJ273" i="42290"/>
  <c r="G19" i="42450"/>
  <c r="K14" i="42452"/>
  <c r="CD218" i="42425"/>
  <c r="L30" i="42290"/>
  <c r="AT132" i="42290"/>
  <c r="U20" i="42455"/>
  <c r="P22" i="42455"/>
  <c r="K22" i="42452"/>
  <c r="K24" i="42452" s="1"/>
  <c r="BT176" i="42290"/>
  <c r="D49" i="42450"/>
  <c r="G49" i="42450" s="1"/>
  <c r="G54" i="42454"/>
  <c r="BO277" i="42290"/>
  <c r="G52" i="42467"/>
  <c r="L29" i="42290"/>
  <c r="J29" i="42290" s="1"/>
  <c r="J32" i="42290"/>
  <c r="BZ269" i="42290"/>
  <c r="I32" i="42290"/>
  <c r="AS132" i="42290"/>
  <c r="AQ132" i="42290"/>
  <c r="AH1170" i="6"/>
  <c r="AH1172" i="6" s="1"/>
  <c r="AH1271" i="6" s="1"/>
  <c r="AH1275" i="6" s="1"/>
  <c r="BV279" i="42290"/>
  <c r="BV294" i="42290" s="1"/>
  <c r="BB202" i="42290"/>
  <c r="BA202" i="42290"/>
  <c r="L22" i="42455"/>
  <c r="U19" i="42455"/>
  <c r="K21" i="42437"/>
  <c r="K19" i="42441"/>
  <c r="K21" i="42441" s="1"/>
  <c r="G22" i="42455"/>
  <c r="CI260" i="42425"/>
  <c r="L33" i="42290"/>
  <c r="K33" i="42290" s="1"/>
  <c r="W279" i="42290"/>
  <c r="CR303" i="42425"/>
  <c r="DD302" i="42425"/>
  <c r="DD303" i="42425" s="1"/>
  <c r="CV303" i="42425"/>
  <c r="AK1127" i="6"/>
  <c r="AM1140" i="6"/>
  <c r="AQ1140" i="6" s="1"/>
  <c r="CX1140" i="6" s="1"/>
  <c r="CB1059" i="6"/>
  <c r="CC1203" i="6"/>
  <c r="BU124" i="42290"/>
  <c r="BU133" i="42290" s="1"/>
  <c r="BA540" i="6"/>
  <c r="BF913" i="6"/>
  <c r="DA788" i="6"/>
  <c r="BF783" i="6"/>
  <c r="DA783" i="6" s="1"/>
  <c r="BO785" i="6"/>
  <c r="BJ831" i="6"/>
  <c r="BK831" i="6" s="1"/>
  <c r="DB831" i="6" s="1"/>
  <c r="BO850" i="6"/>
  <c r="BP850" i="6" s="1"/>
  <c r="DC850" i="6" s="1"/>
  <c r="BO859" i="6"/>
  <c r="BO865" i="6" s="1"/>
  <c r="DG828" i="6"/>
  <c r="CB829" i="6"/>
  <c r="DG829" i="6" s="1"/>
  <c r="CB831" i="6"/>
  <c r="DG831" i="6" s="1"/>
  <c r="CA840" i="6"/>
  <c r="CB842" i="6" s="1"/>
  <c r="DG842" i="6" s="1"/>
  <c r="CA829" i="6"/>
  <c r="DF829" i="6" s="1"/>
  <c r="DF828" i="6"/>
  <c r="CA831" i="6"/>
  <c r="DF831" i="6" s="1"/>
  <c r="BJ821" i="6"/>
  <c r="BJ823" i="6" s="1"/>
  <c r="BJ811" i="6"/>
  <c r="BJ850" i="6"/>
  <c r="BK850" i="6" s="1"/>
  <c r="DB850" i="6" s="1"/>
  <c r="BT840" i="6"/>
  <c r="BT831" i="6"/>
  <c r="BT834" i="6" s="1"/>
  <c r="BT837" i="6" s="1"/>
  <c r="BN794" i="6"/>
  <c r="BN809" i="6"/>
  <c r="BN821" i="6" s="1"/>
  <c r="BN870" i="6" s="1"/>
  <c r="BT853" i="6"/>
  <c r="BT856" i="6" s="1"/>
  <c r="BE794" i="6"/>
  <c r="BE809" i="6"/>
  <c r="BK828" i="6"/>
  <c r="BK826" i="6" s="1"/>
  <c r="DB826" i="6" s="1"/>
  <c r="BE847" i="6"/>
  <c r="BE828" i="6"/>
  <c r="BF812" i="6"/>
  <c r="DA812" i="6" s="1"/>
  <c r="DA787" i="6"/>
  <c r="BJ799" i="6"/>
  <c r="BJ913" i="6" s="1"/>
  <c r="BJ914" i="6" s="1"/>
  <c r="BJ917" i="6"/>
  <c r="BJ918" i="6" s="1"/>
  <c r="BU11" i="6"/>
  <c r="ER590" i="42458" s="1"/>
  <c r="ER610" i="42458" s="1"/>
  <c r="EQ590" i="42458"/>
  <c r="EQ610" i="42458" s="1"/>
  <c r="S20" i="42446"/>
  <c r="BP310" i="6"/>
  <c r="BP311" i="6" s="1"/>
  <c r="DC311" i="6" s="1"/>
  <c r="BS33" i="42290"/>
  <c r="CA433" i="6"/>
  <c r="CB433" i="6" s="1"/>
  <c r="CC433" i="6" s="1"/>
  <c r="BX24" i="42290" s="1"/>
  <c r="BU24" i="42290"/>
  <c r="BU33" i="42290" s="1"/>
  <c r="DE433" i="6"/>
  <c r="CT33" i="6"/>
  <c r="AL33" i="6"/>
  <c r="CW33" i="6" s="1"/>
  <c r="H1199" i="6"/>
  <c r="G14" i="42452"/>
  <c r="AR35" i="6"/>
  <c r="S51" i="42446"/>
  <c r="S47" i="42446"/>
  <c r="F9" i="42446"/>
  <c r="Q62" i="42446"/>
  <c r="E46" i="42446"/>
  <c r="T14" i="42446"/>
  <c r="T13" i="42446"/>
  <c r="S49" i="42446"/>
  <c r="T16" i="42446"/>
  <c r="E47" i="42446"/>
  <c r="F10" i="42446"/>
  <c r="E45" i="42446"/>
  <c r="F15" i="42446"/>
  <c r="I85" i="42458"/>
  <c r="BP306" i="6"/>
  <c r="BO26" i="6"/>
  <c r="BP26" i="6" s="1"/>
  <c r="DC26" i="6" s="1"/>
  <c r="BQ421" i="42458"/>
  <c r="BO311" i="6"/>
  <c r="BO38" i="6"/>
  <c r="BO307" i="6"/>
  <c r="EM589" i="42458"/>
  <c r="EM609" i="42458" s="1"/>
  <c r="EL609" i="42458"/>
  <c r="E61" i="42446"/>
  <c r="E51" i="42446"/>
  <c r="C55" i="42446"/>
  <c r="P55" i="42446"/>
  <c r="EQ596" i="42458"/>
  <c r="BU434" i="6"/>
  <c r="BS80" i="42290"/>
  <c r="BS84" i="42290" s="1"/>
  <c r="BS87" i="42290" s="1"/>
  <c r="DC10" i="6"/>
  <c r="DS574" i="42458"/>
  <c r="D52" i="6"/>
  <c r="DC435" i="6"/>
  <c r="BP456" i="6"/>
  <c r="DC456" i="6" s="1"/>
  <c r="BO63" i="42290"/>
  <c r="BO67" i="42290" s="1"/>
  <c r="BO70" i="42290" s="1"/>
  <c r="W56" i="6"/>
  <c r="CT56" i="6" s="1"/>
  <c r="CT55" i="6"/>
  <c r="W58" i="6"/>
  <c r="AO197" i="42290"/>
  <c r="CI264" i="42425"/>
  <c r="AX133" i="42290"/>
  <c r="CY75" i="6"/>
  <c r="I287" i="6"/>
  <c r="BB834" i="6"/>
  <c r="BG610" i="6"/>
  <c r="AT1316" i="6"/>
  <c r="BI145" i="6"/>
  <c r="BK145" i="6" s="1"/>
  <c r="AD131" i="42290"/>
  <c r="AG331" i="6"/>
  <c r="AC331" i="6"/>
  <c r="AC336" i="6" s="1"/>
  <c r="AD331" i="6"/>
  <c r="AD336" i="6" s="1"/>
  <c r="BQ853" i="6"/>
  <c r="BQ856" i="6" s="1"/>
  <c r="AN197" i="42290"/>
  <c r="AV133" i="42290"/>
  <c r="BE1341" i="6"/>
  <c r="L256" i="6"/>
  <c r="L260" i="6" s="1"/>
  <c r="L261" i="6" s="1"/>
  <c r="K256" i="6"/>
  <c r="K260" i="6" s="1"/>
  <c r="K261" i="6" s="1"/>
  <c r="BC291" i="6"/>
  <c r="BC292" i="6" s="1"/>
  <c r="K134" i="42290"/>
  <c r="AW133" i="42290"/>
  <c r="F13" i="42448"/>
  <c r="AY499" i="6"/>
  <c r="AY503" i="6" s="1"/>
  <c r="R331" i="6"/>
  <c r="P331" i="6"/>
  <c r="P336" i="6" s="1"/>
  <c r="P337" i="6" s="1"/>
  <c r="O331" i="6"/>
  <c r="O336" i="6" s="1"/>
  <c r="BK1038" i="6"/>
  <c r="AW649" i="6"/>
  <c r="AR650" i="6"/>
  <c r="R1022" i="6"/>
  <c r="CS1022" i="6" s="1"/>
  <c r="X12" i="42457"/>
  <c r="X16" i="42457" s="1"/>
  <c r="BM1220" i="6"/>
  <c r="BV176" i="42290"/>
  <c r="W1195" i="6"/>
  <c r="CT1195" i="6" s="1"/>
  <c r="AV711" i="6"/>
  <c r="AV713" i="6" s="1"/>
  <c r="BM60" i="6"/>
  <c r="BV174" i="42290"/>
  <c r="BG55" i="6"/>
  <c r="R12" i="42457" s="1"/>
  <c r="BM1259" i="6"/>
  <c r="BM1261" i="6" s="1"/>
  <c r="AQ693" i="6"/>
  <c r="AQ749" i="6" s="1"/>
  <c r="CX749" i="6" s="1"/>
  <c r="T11" i="42446"/>
  <c r="S60" i="42446"/>
  <c r="Q55" i="42446"/>
  <c r="P96" i="42290"/>
  <c r="P98" i="42290" s="1"/>
  <c r="P100" i="42290" s="1"/>
  <c r="Q451" i="6"/>
  <c r="Q447" i="6"/>
  <c r="V451" i="6"/>
  <c r="BB576" i="6"/>
  <c r="BG576" i="6"/>
  <c r="AP616" i="6"/>
  <c r="AU615" i="6"/>
  <c r="AV615" i="6" s="1"/>
  <c r="AV616" i="6" s="1"/>
  <c r="BD540" i="6"/>
  <c r="BF538" i="6"/>
  <c r="AR384" i="6"/>
  <c r="BR204" i="42290"/>
  <c r="AB1022" i="6"/>
  <c r="CU1022" i="6" s="1"/>
  <c r="AG505" i="6"/>
  <c r="CV505" i="6" s="1"/>
  <c r="AO1007" i="6"/>
  <c r="CW1136" i="6"/>
  <c r="DD828" i="6"/>
  <c r="DE829" i="6"/>
  <c r="N1220" i="6"/>
  <c r="AF1211" i="6"/>
  <c r="BU178" i="42290"/>
  <c r="G50" i="42454"/>
  <c r="AM1006" i="6"/>
  <c r="AY331" i="6"/>
  <c r="AY336" i="6" s="1"/>
  <c r="AY337" i="6" s="1"/>
  <c r="U277" i="42290"/>
  <c r="BK475" i="6"/>
  <c r="DB475" i="6" s="1"/>
  <c r="AT204" i="42290"/>
  <c r="AW135" i="42290"/>
  <c r="AQ505" i="6"/>
  <c r="CX505" i="6" s="1"/>
  <c r="U273" i="42290"/>
  <c r="V273" i="42290" s="1"/>
  <c r="AN1005" i="6"/>
  <c r="E447" i="6"/>
  <c r="D96" i="42290"/>
  <c r="AM143" i="6"/>
  <c r="EV451" i="42425"/>
  <c r="AQ1153" i="6"/>
  <c r="CX1153" i="6" s="1"/>
  <c r="AM384" i="6"/>
  <c r="AB940" i="6"/>
  <c r="CU940" i="6" s="1"/>
  <c r="AA942" i="6"/>
  <c r="BG429" i="6"/>
  <c r="BF429" i="6"/>
  <c r="AB904" i="6"/>
  <c r="CU904" i="6" s="1"/>
  <c r="AZ944" i="6"/>
  <c r="AZ945" i="6"/>
  <c r="BA942" i="6"/>
  <c r="M35" i="42453"/>
  <c r="BF1335" i="6"/>
  <c r="BF1336" i="6" s="1"/>
  <c r="DA87" i="6"/>
  <c r="BF1343" i="6"/>
  <c r="AX387" i="6"/>
  <c r="AW405" i="6"/>
  <c r="CW891" i="6"/>
  <c r="AL892" i="6"/>
  <c r="CW892" i="6" s="1"/>
  <c r="AQ904" i="6"/>
  <c r="CX904" i="6" s="1"/>
  <c r="CW1077" i="6"/>
  <c r="AL1079" i="6"/>
  <c r="AQ892" i="6"/>
  <c r="CX892" i="6" s="1"/>
  <c r="BD288" i="6"/>
  <c r="AB108" i="6"/>
  <c r="CU108" i="6" s="1"/>
  <c r="CU54" i="6"/>
  <c r="CY429" i="6"/>
  <c r="AW615" i="6"/>
  <c r="AR616" i="6"/>
  <c r="CW903" i="6"/>
  <c r="AL897" i="6"/>
  <c r="CW897" i="6" s="1"/>
  <c r="CS1077" i="6"/>
  <c r="R1079" i="6"/>
  <c r="CS1079" i="6" s="1"/>
  <c r="Y291" i="6"/>
  <c r="Y292" i="6" s="1"/>
  <c r="X753" i="6"/>
  <c r="X292" i="6"/>
  <c r="BB405" i="6"/>
  <c r="AX503" i="6"/>
  <c r="AX510" i="6"/>
  <c r="AX501" i="6"/>
  <c r="AL1015" i="6"/>
  <c r="CW1015" i="6" s="1"/>
  <c r="M26" i="6"/>
  <c r="CR26" i="6" s="1"/>
  <c r="BI834" i="6"/>
  <c r="BI837" i="6" s="1"/>
  <c r="BI429" i="6"/>
  <c r="CX408" i="6"/>
  <c r="AP650" i="6"/>
  <c r="AU649" i="6"/>
  <c r="BF897" i="6"/>
  <c r="DA897" i="6" s="1"/>
  <c r="DA903" i="6"/>
  <c r="BF906" i="6"/>
  <c r="CY73" i="6"/>
  <c r="G45" i="42457"/>
  <c r="K9" i="42453"/>
  <c r="M330" i="6"/>
  <c r="M331" i="6"/>
  <c r="CR331" i="6" s="1"/>
  <c r="L331" i="6"/>
  <c r="L336" i="6" s="1"/>
  <c r="CU1077" i="6"/>
  <c r="AB1079" i="6"/>
  <c r="CU1079" i="6" s="1"/>
  <c r="BO429" i="6"/>
  <c r="DA1313" i="6"/>
  <c r="BF1316" i="6"/>
  <c r="DA1316" i="6" s="1"/>
  <c r="BB503" i="6"/>
  <c r="BB510" i="6"/>
  <c r="AL505" i="6"/>
  <c r="CW505" i="6" s="1"/>
  <c r="F10" i="42453"/>
  <c r="CT78" i="6"/>
  <c r="W331" i="6"/>
  <c r="V331" i="6"/>
  <c r="V336" i="6" s="1"/>
  <c r="AI937" i="6"/>
  <c r="CG258" i="42425"/>
  <c r="AI1006" i="6"/>
  <c r="AK1006" i="6"/>
  <c r="AJ1007" i="6"/>
  <c r="AI45" i="6"/>
  <c r="AI928" i="6"/>
  <c r="AK1007" i="6"/>
  <c r="AL1007" i="6" s="1"/>
  <c r="CW1007" i="6" s="1"/>
  <c r="C18" i="42432"/>
  <c r="AI120" i="6"/>
  <c r="AL120" i="6" s="1"/>
  <c r="CW120" i="6" s="1"/>
  <c r="AI929" i="6"/>
  <c r="CC254" i="42425" s="1"/>
  <c r="D18" i="42442"/>
  <c r="AI1007" i="6"/>
  <c r="AI958" i="6"/>
  <c r="AI965" i="6" s="1"/>
  <c r="AJ1006" i="6"/>
  <c r="D19" i="42448"/>
  <c r="AM958" i="6"/>
  <c r="AM965" i="6" s="1"/>
  <c r="C18" i="42441"/>
  <c r="AO1006" i="6"/>
  <c r="AM929" i="6"/>
  <c r="CF254" i="42425" s="1"/>
  <c r="AM999" i="6"/>
  <c r="AP1000" i="6" s="1"/>
  <c r="AP1002" i="6" s="1"/>
  <c r="CJ258" i="42425"/>
  <c r="AP1007" i="6"/>
  <c r="AQ1007" i="6" s="1"/>
  <c r="CX1007" i="6" s="1"/>
  <c r="AM928" i="6"/>
  <c r="AM45" i="6"/>
  <c r="AQ45" i="6" s="1"/>
  <c r="AP1005" i="6"/>
  <c r="AM937" i="6"/>
  <c r="AR929" i="6"/>
  <c r="AM1007" i="6"/>
  <c r="D10" i="42453"/>
  <c r="CR78" i="6"/>
  <c r="BH429" i="6"/>
  <c r="CY1087" i="6"/>
  <c r="AV1224" i="6"/>
  <c r="I256" i="6"/>
  <c r="I260" i="6" s="1"/>
  <c r="I261" i="6" s="1"/>
  <c r="J256" i="6"/>
  <c r="J260" i="6" s="1"/>
  <c r="J261" i="6" s="1"/>
  <c r="M256" i="6"/>
  <c r="CR256" i="6" s="1"/>
  <c r="AO967" i="6"/>
  <c r="CZ888" i="6"/>
  <c r="BA889" i="6"/>
  <c r="CZ889" i="6" s="1"/>
  <c r="AY501" i="6"/>
  <c r="AT387" i="6"/>
  <c r="AG892" i="6"/>
  <c r="CV892" i="6" s="1"/>
  <c r="DC1313" i="6"/>
  <c r="BP1316" i="6"/>
  <c r="DC1316" i="6" s="1"/>
  <c r="BF1305" i="6"/>
  <c r="AQ33" i="6"/>
  <c r="CX33" i="6" s="1"/>
  <c r="BA51" i="6"/>
  <c r="L8" i="42457" s="1"/>
  <c r="AH34" i="6"/>
  <c r="F8" i="42457"/>
  <c r="F46" i="42457" s="1"/>
  <c r="U8" i="42457"/>
  <c r="U46" i="42457" s="1"/>
  <c r="BJ55" i="6"/>
  <c r="T1198" i="6"/>
  <c r="O170" i="6"/>
  <c r="BK476" i="6"/>
  <c r="DB476" i="6" s="1"/>
  <c r="DB413" i="6"/>
  <c r="BO476" i="6"/>
  <c r="BP413" i="6"/>
  <c r="AS202" i="42290"/>
  <c r="AR202" i="42290"/>
  <c r="AQ202" i="42290"/>
  <c r="AT202" i="42290"/>
  <c r="F489" i="6"/>
  <c r="F495" i="6"/>
  <c r="F496" i="6" s="1"/>
  <c r="F497" i="6" s="1"/>
  <c r="BR279" i="42290"/>
  <c r="DD392" i="6"/>
  <c r="AF29" i="42290"/>
  <c r="AF31" i="42290"/>
  <c r="K24" i="42454"/>
  <c r="AN367" i="6"/>
  <c r="AM409" i="6"/>
  <c r="AK447" i="6"/>
  <c r="AK489" i="6" s="1"/>
  <c r="AK490" i="6" s="1"/>
  <c r="AP430" i="6"/>
  <c r="AP447" i="6" s="1"/>
  <c r="AP495" i="6" s="1"/>
  <c r="AJ96" i="42290"/>
  <c r="AJ98" i="42290" s="1"/>
  <c r="AJ100" i="42290" s="1"/>
  <c r="AK451" i="6"/>
  <c r="AZ31" i="42290"/>
  <c r="AZ30" i="42290"/>
  <c r="AZ33" i="42290"/>
  <c r="AS204" i="42290"/>
  <c r="AQ204" i="42290"/>
  <c r="AQ131" i="42290"/>
  <c r="AS131" i="42290"/>
  <c r="AR131" i="42290"/>
  <c r="AT131" i="42290"/>
  <c r="AG135" i="42290"/>
  <c r="AH135" i="42290"/>
  <c r="CG478" i="6"/>
  <c r="BH143" i="6"/>
  <c r="CZ937" i="6"/>
  <c r="BA938" i="6"/>
  <c r="CZ938" i="6" s="1"/>
  <c r="AQ22" i="6"/>
  <c r="W76" i="42440"/>
  <c r="Y76" i="42440" s="1"/>
  <c r="W75" i="42443"/>
  <c r="Y75" i="42443" s="1"/>
  <c r="W76" i="42441"/>
  <c r="Y76" i="42441" s="1"/>
  <c r="B39" i="42434"/>
  <c r="CX21" i="6"/>
  <c r="W75" i="42442"/>
  <c r="Y75" i="42442" s="1"/>
  <c r="K1064" i="6"/>
  <c r="K1066" i="6" s="1"/>
  <c r="L1063" i="6"/>
  <c r="BK840" i="6"/>
  <c r="DB840" i="6" s="1"/>
  <c r="AM889" i="6"/>
  <c r="DF851" i="6"/>
  <c r="BE978" i="6"/>
  <c r="P895" i="6"/>
  <c r="AH35" i="6"/>
  <c r="D23" i="42467"/>
  <c r="DE54" i="6"/>
  <c r="BA1024" i="6"/>
  <c r="CZ1024" i="6" s="1"/>
  <c r="AG1139" i="6"/>
  <c r="CV1139" i="6" s="1"/>
  <c r="BM640" i="6"/>
  <c r="BM642" i="6" s="1"/>
  <c r="Q333" i="6"/>
  <c r="R334" i="6" s="1"/>
  <c r="CS334" i="6" s="1"/>
  <c r="DA1041" i="6"/>
  <c r="AQ199" i="42290"/>
  <c r="BM204" i="42290"/>
  <c r="BQ204" i="42290"/>
  <c r="CE218" i="42425"/>
  <c r="BV202" i="42290"/>
  <c r="AR1000" i="6"/>
  <c r="AR1002" i="6" s="1"/>
  <c r="AI143" i="6"/>
  <c r="AL1200" i="6"/>
  <c r="CW1200" i="6" s="1"/>
  <c r="AN143" i="6"/>
  <c r="AK1317" i="6"/>
  <c r="AK137" i="6"/>
  <c r="AL137" i="6" s="1"/>
  <c r="CW137" i="6" s="1"/>
  <c r="AL140" i="6"/>
  <c r="CW140" i="6" s="1"/>
  <c r="R140" i="6"/>
  <c r="CS140" i="6" s="1"/>
  <c r="V945" i="6"/>
  <c r="V944" i="6"/>
  <c r="W942" i="6"/>
  <c r="BR119" i="6"/>
  <c r="BU119" i="6" s="1"/>
  <c r="DD119" i="6" s="1"/>
  <c r="BU114" i="6"/>
  <c r="DD114" i="6" s="1"/>
  <c r="BJ867" i="6"/>
  <c r="BJ869" i="6"/>
  <c r="AL22" i="6"/>
  <c r="CW22" i="6" s="1"/>
  <c r="CV21" i="6"/>
  <c r="R200" i="6"/>
  <c r="CS200" i="6" s="1"/>
  <c r="CS191" i="6"/>
  <c r="U145" i="6"/>
  <c r="V1022" i="6"/>
  <c r="AD154" i="6"/>
  <c r="AD1351" i="6"/>
  <c r="AN51" i="6"/>
  <c r="AN121" i="6"/>
  <c r="BB288" i="6"/>
  <c r="BB289" i="6" s="1"/>
  <c r="BB294" i="6" s="1"/>
  <c r="BB295" i="6" s="1"/>
  <c r="AS680" i="6"/>
  <c r="AX681" i="6"/>
  <c r="DA1040" i="6"/>
  <c r="BF1333" i="6"/>
  <c r="DA1333" i="6" s="1"/>
  <c r="DB942" i="6"/>
  <c r="BD574" i="6"/>
  <c r="BI576" i="6" s="1"/>
  <c r="BE154" i="6"/>
  <c r="DW568" i="42458"/>
  <c r="AB131" i="42290"/>
  <c r="F13" i="42443"/>
  <c r="BT195" i="42290"/>
  <c r="G21" i="42467"/>
  <c r="AS616" i="6"/>
  <c r="AX615" i="6"/>
  <c r="U140" i="6"/>
  <c r="V1015" i="6"/>
  <c r="V140" i="6" s="1"/>
  <c r="AP1285" i="6"/>
  <c r="AP1141" i="6"/>
  <c r="AQ1141" i="6" s="1"/>
  <c r="CX1141" i="6" s="1"/>
  <c r="AQ1084" i="6"/>
  <c r="CX1084" i="6" s="1"/>
  <c r="AP1176" i="6"/>
  <c r="AP1266" i="6"/>
  <c r="AP1268" i="6" s="1"/>
  <c r="F1114" i="6"/>
  <c r="F1127" i="6" s="1"/>
  <c r="DG840" i="6"/>
  <c r="CW1114" i="6"/>
  <c r="I16" i="42453"/>
  <c r="I21" i="42453" s="1"/>
  <c r="N1351" i="6"/>
  <c r="N154" i="6"/>
  <c r="AY687" i="6"/>
  <c r="BA687" i="6" s="1"/>
  <c r="AY685" i="6"/>
  <c r="AY684" i="6"/>
  <c r="BA683" i="6"/>
  <c r="BA684" i="6" s="1"/>
  <c r="U1207" i="6"/>
  <c r="U1198" i="6" s="1"/>
  <c r="U147" i="6" s="1"/>
  <c r="V1032" i="6"/>
  <c r="W1032" i="6" s="1"/>
  <c r="U1035" i="6"/>
  <c r="BI1035" i="6"/>
  <c r="BI1199" i="6"/>
  <c r="BJ1032" i="6"/>
  <c r="BK1032" i="6" s="1"/>
  <c r="BA1177" i="6"/>
  <c r="CY1177" i="6"/>
  <c r="BI869" i="6"/>
  <c r="BI685" i="6"/>
  <c r="AV1023" i="6"/>
  <c r="CY1023" i="6" s="1"/>
  <c r="CF777" i="6"/>
  <c r="CG761" i="6"/>
  <c r="CG777" i="6" s="1"/>
  <c r="CZ1312" i="6"/>
  <c r="BA1316" i="6"/>
  <c r="CZ1316" i="6" s="1"/>
  <c r="AX1178" i="6"/>
  <c r="AY1175" i="6"/>
  <c r="AJ35" i="6"/>
  <c r="AE34" i="6"/>
  <c r="AP598" i="6"/>
  <c r="AP695" i="6"/>
  <c r="AP696" i="6" s="1"/>
  <c r="CY1313" i="6"/>
  <c r="AV1316" i="6"/>
  <c r="CY1316" i="6" s="1"/>
  <c r="CQ224" i="6"/>
  <c r="H229" i="6"/>
  <c r="CQ229" i="6" s="1"/>
  <c r="BU191" i="42290"/>
  <c r="L967" i="6"/>
  <c r="DA782" i="6"/>
  <c r="AN696" i="6"/>
  <c r="AX576" i="6"/>
  <c r="BC576" i="6"/>
  <c r="W891" i="6"/>
  <c r="V892" i="6"/>
  <c r="AA892" i="6"/>
  <c r="P149" i="6"/>
  <c r="Q1040" i="6"/>
  <c r="P1042" i="6"/>
  <c r="P1333" i="6"/>
  <c r="BE1188" i="6"/>
  <c r="BA1041" i="6"/>
  <c r="AZ1042" i="6"/>
  <c r="CY979" i="6"/>
  <c r="AV1230" i="6"/>
  <c r="CY1230" i="6" s="1"/>
  <c r="AV1006" i="6"/>
  <c r="CY1006" i="6" s="1"/>
  <c r="AV1005" i="6"/>
  <c r="CY1005" i="6" s="1"/>
  <c r="AE961" i="6"/>
  <c r="AE965" i="6" s="1"/>
  <c r="AF990" i="6"/>
  <c r="AG990" i="6" s="1"/>
  <c r="AE993" i="6"/>
  <c r="BU1035" i="6"/>
  <c r="DD1035" i="6" s="1"/>
  <c r="BE531" i="6"/>
  <c r="BF531" i="6" s="1"/>
  <c r="BA138" i="6"/>
  <c r="CZ138" i="6" s="1"/>
  <c r="AM1293" i="6"/>
  <c r="AN1293" i="6" s="1"/>
  <c r="DE108" i="6"/>
  <c r="G52" i="6"/>
  <c r="BM182" i="42290"/>
  <c r="W96" i="42290"/>
  <c r="W98" i="42290" s="1"/>
  <c r="W100" i="42290" s="1"/>
  <c r="CA273" i="42290"/>
  <c r="BT196" i="42290"/>
  <c r="AI1150" i="6"/>
  <c r="AJ1094" i="6"/>
  <c r="CZ1098" i="6"/>
  <c r="BB1098" i="6"/>
  <c r="BC1098" i="6" s="1"/>
  <c r="CA65" i="6"/>
  <c r="DE65" i="6"/>
  <c r="BA1188" i="6"/>
  <c r="CZ1188" i="6" s="1"/>
  <c r="CW990" i="6"/>
  <c r="AL961" i="6"/>
  <c r="CW961" i="6" s="1"/>
  <c r="AO1200" i="6"/>
  <c r="AQ1200" i="6" s="1"/>
  <c r="CX1200" i="6" s="1"/>
  <c r="AQ993" i="6"/>
  <c r="CX993" i="6" s="1"/>
  <c r="AM1176" i="6"/>
  <c r="AM1178" i="6" s="1"/>
  <c r="AM1114" i="6"/>
  <c r="AM1127" i="6" s="1"/>
  <c r="AM1266" i="6"/>
  <c r="AM1268" i="6" s="1"/>
  <c r="AM1285" i="6"/>
  <c r="AM1139" i="6"/>
  <c r="AQ1139" i="6" s="1"/>
  <c r="CX1139" i="6" s="1"/>
  <c r="AF1031" i="6"/>
  <c r="AE150" i="6"/>
  <c r="AP1032" i="6"/>
  <c r="AO1035" i="6"/>
  <c r="AO1207" i="6"/>
  <c r="BM796" i="6"/>
  <c r="AV146" i="6"/>
  <c r="CY146" i="6" s="1"/>
  <c r="R1015" i="6"/>
  <c r="CS1015" i="6" s="1"/>
  <c r="CY1032" i="6"/>
  <c r="AV1035" i="6"/>
  <c r="CY1035" i="6" s="1"/>
  <c r="AG1156" i="6"/>
  <c r="CV1156" i="6" s="1"/>
  <c r="AV542" i="6"/>
  <c r="BA542" i="6"/>
  <c r="AR693" i="6"/>
  <c r="AR597" i="6"/>
  <c r="AS595" i="6"/>
  <c r="AG334" i="6"/>
  <c r="CV334" i="6" s="1"/>
  <c r="AF334" i="6"/>
  <c r="AZ55" i="6"/>
  <c r="K12" i="42457" s="1"/>
  <c r="K16" i="42457" s="1"/>
  <c r="V154" i="6"/>
  <c r="V1351" i="6"/>
  <c r="AF148" i="6"/>
  <c r="AG148" i="6" s="1"/>
  <c r="CV148" i="6" s="1"/>
  <c r="AG1033" i="6"/>
  <c r="CV1033" i="6" s="1"/>
  <c r="V968" i="6"/>
  <c r="W968" i="6" s="1"/>
  <c r="CT968" i="6" s="1"/>
  <c r="V141" i="6"/>
  <c r="W141" i="6" s="1"/>
  <c r="CT141" i="6" s="1"/>
  <c r="BF1199" i="6"/>
  <c r="BE143" i="6"/>
  <c r="F944" i="6"/>
  <c r="F945" i="6"/>
  <c r="DG1019" i="6"/>
  <c r="CC1019" i="6"/>
  <c r="CD1019" i="6" s="1"/>
  <c r="CE1019" i="6" s="1"/>
  <c r="CF1019" i="6" s="1"/>
  <c r="CG1019" i="6" s="1"/>
  <c r="BI963" i="6"/>
  <c r="CU21" i="6"/>
  <c r="AB22" i="6"/>
  <c r="CU22" i="6" s="1"/>
  <c r="AG22" i="6"/>
  <c r="CV22" i="6" s="1"/>
  <c r="AT1000" i="6"/>
  <c r="AT1002" i="6" s="1"/>
  <c r="AC944" i="6"/>
  <c r="AC945" i="6"/>
  <c r="K1199" i="6"/>
  <c r="K1198" i="6" s="1"/>
  <c r="K147" i="6" s="1"/>
  <c r="K22" i="6"/>
  <c r="M21" i="6"/>
  <c r="CR21" i="6" s="1"/>
  <c r="K170" i="6"/>
  <c r="N170" i="6"/>
  <c r="P22" i="6"/>
  <c r="L170" i="6"/>
  <c r="M170" i="6" s="1"/>
  <c r="N201" i="6"/>
  <c r="BL334" i="6"/>
  <c r="BM333" i="6"/>
  <c r="BN333" i="6" s="1"/>
  <c r="BI644" i="6"/>
  <c r="BH965" i="6"/>
  <c r="AD129" i="42290"/>
  <c r="H146" i="6"/>
  <c r="CQ146" i="6" s="1"/>
  <c r="BY342" i="6"/>
  <c r="BO27" i="6"/>
  <c r="BP27" i="6" s="1"/>
  <c r="DC27" i="6" s="1"/>
  <c r="BP342" i="6"/>
  <c r="FW640" i="42458" s="1"/>
  <c r="AG1016" i="6"/>
  <c r="CV1016" i="6" s="1"/>
  <c r="AF968" i="6"/>
  <c r="AG968" i="6" s="1"/>
  <c r="CV968" i="6" s="1"/>
  <c r="AF141" i="6"/>
  <c r="AG141" i="6" s="1"/>
  <c r="CV141" i="6" s="1"/>
  <c r="BG1176" i="6"/>
  <c r="BG1141" i="6"/>
  <c r="BH1084" i="6"/>
  <c r="BG1285" i="6"/>
  <c r="AZ993" i="6"/>
  <c r="AZ1200" i="6"/>
  <c r="AZ1199" i="6" s="1"/>
  <c r="BA1199" i="6" s="1"/>
  <c r="AZ961" i="6"/>
  <c r="AZ965" i="6" s="1"/>
  <c r="BA990" i="6"/>
  <c r="AU990" i="6"/>
  <c r="AT993" i="6"/>
  <c r="BF959" i="6"/>
  <c r="DA941" i="6"/>
  <c r="BF1007" i="6"/>
  <c r="DA1007" i="6" s="1"/>
  <c r="BG540" i="6"/>
  <c r="BG542" i="6" s="1"/>
  <c r="BK538" i="6"/>
  <c r="BK540" i="6" s="1"/>
  <c r="R308" i="6"/>
  <c r="CS308" i="6" s="1"/>
  <c r="M310" i="6"/>
  <c r="M308" i="6"/>
  <c r="CR308" i="6" s="1"/>
  <c r="M307" i="6"/>
  <c r="CR307" i="6" s="1"/>
  <c r="BB1150" i="6"/>
  <c r="BC1094" i="6"/>
  <c r="BC1150" i="6" s="1"/>
  <c r="T1100" i="6"/>
  <c r="S1156" i="6"/>
  <c r="AB110" i="6"/>
  <c r="CU110" i="6" s="1"/>
  <c r="CU107" i="6"/>
  <c r="AN650" i="6"/>
  <c r="AQ649" i="6"/>
  <c r="AQ650" i="6" s="1"/>
  <c r="AO650" i="6"/>
  <c r="AT651" i="6"/>
  <c r="AO34" i="6"/>
  <c r="AT35" i="6"/>
  <c r="AO35" i="6"/>
  <c r="R942" i="6"/>
  <c r="H310" i="6"/>
  <c r="H307" i="6"/>
  <c r="CQ307" i="6" s="1"/>
  <c r="V972" i="6"/>
  <c r="W973" i="6"/>
  <c r="CT973" i="6" s="1"/>
  <c r="W22" i="6"/>
  <c r="CT22" i="6" s="1"/>
  <c r="CS21" i="6"/>
  <c r="CG759" i="6"/>
  <c r="CF774" i="6"/>
  <c r="BG877" i="6"/>
  <c r="DA877" i="6"/>
  <c r="AJ363" i="6"/>
  <c r="AK363" i="6"/>
  <c r="AL363" i="6"/>
  <c r="CW363" i="6" s="1"/>
  <c r="Q34" i="6"/>
  <c r="AS651" i="6"/>
  <c r="AV649" i="6"/>
  <c r="AX649" i="6"/>
  <c r="AS650" i="6"/>
  <c r="BB610" i="6"/>
  <c r="DF1102" i="6"/>
  <c r="CA1158" i="6"/>
  <c r="DF1158" i="6" s="1"/>
  <c r="CB1102" i="6"/>
  <c r="CB1158" i="6" s="1"/>
  <c r="DG1158" i="6" s="1"/>
  <c r="U292" i="6"/>
  <c r="V292" i="6"/>
  <c r="W292" i="6"/>
  <c r="CT292" i="6" s="1"/>
  <c r="V149" i="6"/>
  <c r="W149" i="6" s="1"/>
  <c r="CT149" i="6" s="1"/>
  <c r="W1040" i="6"/>
  <c r="AV1025" i="6"/>
  <c r="CY1025" i="6" s="1"/>
  <c r="AU138" i="6"/>
  <c r="AV138" i="6" s="1"/>
  <c r="CY138" i="6" s="1"/>
  <c r="CF780" i="6"/>
  <c r="CG760" i="6"/>
  <c r="CF776" i="6"/>
  <c r="P143" i="6"/>
  <c r="P1198" i="6"/>
  <c r="P147" i="6" s="1"/>
  <c r="M33" i="6"/>
  <c r="R35" i="6" s="1"/>
  <c r="CS35" i="6" s="1"/>
  <c r="BD644" i="6"/>
  <c r="BF1035" i="6"/>
  <c r="DA1035" i="6" s="1"/>
  <c r="B55" i="42446"/>
  <c r="E52" i="42446"/>
  <c r="F16" i="42446"/>
  <c r="BA110" i="6"/>
  <c r="CZ110" i="6" s="1"/>
  <c r="N71" i="6"/>
  <c r="G56" i="6"/>
  <c r="G58" i="6"/>
  <c r="BL856" i="6"/>
  <c r="G145" i="6"/>
  <c r="H145" i="6" s="1"/>
  <c r="CQ145" i="6" s="1"/>
  <c r="BF478" i="6"/>
  <c r="BF481" i="6"/>
  <c r="BF482" i="6"/>
  <c r="BF479" i="6"/>
  <c r="BF480" i="6"/>
  <c r="BA1022" i="6"/>
  <c r="CZ1022" i="6" s="1"/>
  <c r="H51" i="6"/>
  <c r="CQ51" i="6" s="1"/>
  <c r="AM35" i="6"/>
  <c r="G113" i="6"/>
  <c r="G116" i="6" s="1"/>
  <c r="G118" i="6" s="1"/>
  <c r="G123" i="6" s="1"/>
  <c r="AE945" i="6"/>
  <c r="AE944" i="6"/>
  <c r="AH154" i="6"/>
  <c r="AH1351" i="6"/>
  <c r="X35" i="6"/>
  <c r="X34" i="6"/>
  <c r="AP942" i="6"/>
  <c r="AP938" i="6"/>
  <c r="G21" i="42452"/>
  <c r="D52" i="42452"/>
  <c r="G52" i="42452" s="1"/>
  <c r="F21" i="42452"/>
  <c r="BN901" i="6"/>
  <c r="BN793" i="6"/>
  <c r="BN808" i="6"/>
  <c r="BN790" i="6"/>
  <c r="BP787" i="6"/>
  <c r="BB867" i="6"/>
  <c r="BB869" i="6"/>
  <c r="AC35" i="6"/>
  <c r="BF1025" i="6"/>
  <c r="DA1025" i="6" s="1"/>
  <c r="BE138" i="6"/>
  <c r="BF138" i="6" s="1"/>
  <c r="DA138" i="6" s="1"/>
  <c r="AG1025" i="6"/>
  <c r="CV1025" i="6" s="1"/>
  <c r="AF138" i="6"/>
  <c r="AG138" i="6" s="1"/>
  <c r="CV138" i="6" s="1"/>
  <c r="AA140" i="6"/>
  <c r="AB140" i="6" s="1"/>
  <c r="CU140" i="6" s="1"/>
  <c r="AB1015" i="6"/>
  <c r="CU1015" i="6" s="1"/>
  <c r="S895" i="6"/>
  <c r="X895" i="6"/>
  <c r="AS35" i="6"/>
  <c r="AS34" i="6"/>
  <c r="BG1006" i="6"/>
  <c r="BG1005" i="6"/>
  <c r="DG1020" i="6"/>
  <c r="CC1020" i="6"/>
  <c r="CD1020" i="6" s="1"/>
  <c r="CE1020" i="6" s="1"/>
  <c r="CF1020" i="6" s="1"/>
  <c r="CG1020" i="6" s="1"/>
  <c r="CF993" i="6"/>
  <c r="CG991" i="6"/>
  <c r="CF962" i="6"/>
  <c r="BB565" i="6"/>
  <c r="BG565" i="6"/>
  <c r="R110" i="6"/>
  <c r="CS110" i="6" s="1"/>
  <c r="M1195" i="6"/>
  <c r="CR1195" i="6" s="1"/>
  <c r="CZ331" i="6"/>
  <c r="BA336" i="6"/>
  <c r="CZ336" i="6" s="1"/>
  <c r="BW192" i="42290"/>
  <c r="AQ632" i="6"/>
  <c r="AV633" i="6" s="1"/>
  <c r="AQ478" i="6"/>
  <c r="AQ481" i="6"/>
  <c r="AQ482" i="6"/>
  <c r="AQ480" i="6"/>
  <c r="AQ479" i="6"/>
  <c r="DA793" i="6"/>
  <c r="BF799" i="6"/>
  <c r="DA799" i="6" s="1"/>
  <c r="X1351" i="6"/>
  <c r="X154" i="6"/>
  <c r="AR680" i="6"/>
  <c r="AW681" i="6"/>
  <c r="BJ1155" i="6"/>
  <c r="BI1155" i="6"/>
  <c r="DE1207" i="6"/>
  <c r="AM99" i="42443"/>
  <c r="AP121" i="6"/>
  <c r="AP51" i="6"/>
  <c r="AP130" i="6"/>
  <c r="BO808" i="6"/>
  <c r="BO793" i="6"/>
  <c r="BH946" i="6"/>
  <c r="BE146" i="6"/>
  <c r="BF146" i="6" s="1"/>
  <c r="DA146" i="6" s="1"/>
  <c r="BF1023" i="6"/>
  <c r="DA1023" i="6" s="1"/>
  <c r="AK146" i="6"/>
  <c r="AL146" i="6" s="1"/>
  <c r="CW146" i="6" s="1"/>
  <c r="AL1023" i="6"/>
  <c r="CW1023" i="6" s="1"/>
  <c r="AA146" i="6"/>
  <c r="AB146" i="6" s="1"/>
  <c r="CU146" i="6" s="1"/>
  <c r="AB1023" i="6"/>
  <c r="CU1023" i="6" s="1"/>
  <c r="AK945" i="6"/>
  <c r="BK1024" i="6"/>
  <c r="DB1024" i="6" s="1"/>
  <c r="BJ137" i="6"/>
  <c r="BK137" i="6" s="1"/>
  <c r="DB137" i="6" s="1"/>
  <c r="Y1106" i="6"/>
  <c r="Z1106" i="6" s="1"/>
  <c r="BT174" i="42290"/>
  <c r="BT178" i="42290" s="1"/>
  <c r="BQ412" i="6"/>
  <c r="BQ475" i="6" s="1"/>
  <c r="AI286" i="6"/>
  <c r="AI288" i="6" s="1"/>
  <c r="G52" i="42455"/>
  <c r="T289" i="6"/>
  <c r="T294" i="6" s="1"/>
  <c r="AL30" i="42290"/>
  <c r="F19" i="42441"/>
  <c r="F21" i="42441" s="1"/>
  <c r="F26" i="42441" s="1"/>
  <c r="AR414" i="6"/>
  <c r="AR477" i="6" s="1"/>
  <c r="AL129" i="42290"/>
  <c r="BF33" i="42290"/>
  <c r="BH33" i="42290"/>
  <c r="BR33" i="42290"/>
  <c r="AY131" i="42290"/>
  <c r="AI414" i="6"/>
  <c r="AI477" i="6" s="1"/>
  <c r="CE264" i="42425"/>
  <c r="BK33" i="42290"/>
  <c r="CA431" i="6"/>
  <c r="BV124" i="42290" s="1"/>
  <c r="BV132" i="42290" s="1"/>
  <c r="J129" i="42290"/>
  <c r="AX183" i="42290"/>
  <c r="AC131" i="42290"/>
  <c r="BK204" i="42290"/>
  <c r="BL33" i="42290"/>
  <c r="AE390" i="6"/>
  <c r="AE411" i="6" s="1"/>
  <c r="AE474" i="6" s="1"/>
  <c r="BP33" i="42290"/>
  <c r="BG33" i="42290"/>
  <c r="AV22" i="6"/>
  <c r="CY22" i="6" s="1"/>
  <c r="BT1040" i="6"/>
  <c r="BN33" i="42290"/>
  <c r="BQ33" i="42290"/>
  <c r="F12" i="42440"/>
  <c r="BP204" i="42290"/>
  <c r="BL204" i="42290"/>
  <c r="BS204" i="42290"/>
  <c r="DE431" i="6"/>
  <c r="AV176" i="42290"/>
  <c r="F131" i="42290"/>
  <c r="AC134" i="42290"/>
  <c r="BT32" i="42290"/>
  <c r="AG751" i="6"/>
  <c r="CV751" i="6" s="1"/>
  <c r="AO129" i="42290"/>
  <c r="AE134" i="42290"/>
  <c r="AY176" i="42290"/>
  <c r="AD134" i="42290"/>
  <c r="BT30" i="42290"/>
  <c r="AE129" i="42290"/>
  <c r="BT33" i="42290"/>
  <c r="AB129" i="42290"/>
  <c r="AN129" i="42290"/>
  <c r="AH129" i="42290"/>
  <c r="AI129" i="42290"/>
  <c r="BL195" i="42290"/>
  <c r="G45" i="42428"/>
  <c r="K18" i="42428"/>
  <c r="K20" i="42428" s="1"/>
  <c r="BT29" i="42290"/>
  <c r="AJ129" i="42290"/>
  <c r="F20" i="42450"/>
  <c r="F22" i="42450" s="1"/>
  <c r="F27" i="42450" s="1"/>
  <c r="F12" i="42432"/>
  <c r="CK218" i="42425"/>
  <c r="BS129" i="42290"/>
  <c r="BK129" i="42290"/>
  <c r="BS195" i="42290"/>
  <c r="BM195" i="42290"/>
  <c r="BT181" i="42290"/>
  <c r="BT203" i="42290" s="1"/>
  <c r="BT206" i="42290" s="1"/>
  <c r="R21" i="42454"/>
  <c r="BL129" i="42290"/>
  <c r="BP129" i="42290"/>
  <c r="BQ129" i="42290"/>
  <c r="BR129" i="42290"/>
  <c r="BO174" i="42290"/>
  <c r="BO176" i="42290"/>
  <c r="BO175" i="42290"/>
  <c r="BN130" i="42290"/>
  <c r="BN195" i="42290"/>
  <c r="BQ195" i="42290"/>
  <c r="BT182" i="42290"/>
  <c r="G54" i="42468"/>
  <c r="BT273" i="42290"/>
  <c r="G51" i="42467"/>
  <c r="BN173" i="42425"/>
  <c r="X411" i="6"/>
  <c r="X474" i="6" s="1"/>
  <c r="BP182" i="42290"/>
  <c r="G47" i="42437"/>
  <c r="F18" i="42428"/>
  <c r="F20" i="42428" s="1"/>
  <c r="F25" i="42428" s="1"/>
  <c r="BN129" i="42290"/>
  <c r="BK195" i="42290"/>
  <c r="G51" i="42459"/>
  <c r="BP132" i="42425"/>
  <c r="G54" i="42475"/>
  <c r="BN175" i="42425"/>
  <c r="AE283" i="42290"/>
  <c r="AE282" i="42290" s="1"/>
  <c r="AE288" i="42290" s="1"/>
  <c r="AE135" i="42290"/>
  <c r="AC135" i="42290"/>
  <c r="Y447" i="6"/>
  <c r="Y495" i="6" s="1"/>
  <c r="F19" i="42437"/>
  <c r="F21" i="42437" s="1"/>
  <c r="F26" i="42437" s="1"/>
  <c r="AI412" i="6"/>
  <c r="AI475" i="6" s="1"/>
  <c r="V282" i="42290"/>
  <c r="BR182" i="42290"/>
  <c r="BL182" i="42290"/>
  <c r="AY183" i="42290"/>
  <c r="D279" i="42290"/>
  <c r="AB409" i="6"/>
  <c r="CU409" i="6" s="1"/>
  <c r="V288" i="42290"/>
  <c r="V286" i="42290" s="1"/>
  <c r="F14" i="42452"/>
  <c r="AB33" i="42290"/>
  <c r="BO183" i="42290"/>
  <c r="BM183" i="42290" s="1"/>
  <c r="CP299" i="42425"/>
  <c r="BS182" i="42290"/>
  <c r="HO829" i="42425"/>
  <c r="L54" i="42468"/>
  <c r="I29" i="42290"/>
  <c r="AH330" i="6"/>
  <c r="AH331" i="6" s="1"/>
  <c r="AH336" i="6" s="1"/>
  <c r="AH337" i="6" s="1"/>
  <c r="AW183" i="42290"/>
  <c r="BO181" i="42290"/>
  <c r="BO203" i="42290" s="1"/>
  <c r="BP203" i="42290" s="1"/>
  <c r="C135" i="42290"/>
  <c r="F132" i="42290"/>
  <c r="D132" i="42290"/>
  <c r="BO199" i="42290"/>
  <c r="C131" i="42290"/>
  <c r="E131" i="42290"/>
  <c r="CX299" i="42425"/>
  <c r="BX279" i="42290"/>
  <c r="BN182" i="42290"/>
  <c r="BK182" i="42290"/>
  <c r="Q405" i="6"/>
  <c r="BQ328" i="6"/>
  <c r="BR328" i="6" s="1"/>
  <c r="BS328" i="6" s="1"/>
  <c r="BT328" i="6" s="1"/>
  <c r="BU328" i="6" s="1"/>
  <c r="BV328" i="6" s="1"/>
  <c r="BW328" i="6" s="1"/>
  <c r="BX328" i="6" s="1"/>
  <c r="BY328" i="6" s="1"/>
  <c r="BZ328" i="6" s="1"/>
  <c r="R19" i="42454"/>
  <c r="R18" i="42454"/>
  <c r="F19" i="42432"/>
  <c r="F21" i="42432" s="1"/>
  <c r="F26" i="42432" s="1"/>
  <c r="AV182" i="42290"/>
  <c r="AX182" i="42290"/>
  <c r="U76" i="42451"/>
  <c r="Y76" i="42451" s="1"/>
  <c r="F12" i="42437"/>
  <c r="AM196" i="42290"/>
  <c r="AO196" i="42290"/>
  <c r="AN196" i="42290"/>
  <c r="AL196" i="42290"/>
  <c r="Z391" i="6"/>
  <c r="Z412" i="6" s="1"/>
  <c r="Z475" i="6" s="1"/>
  <c r="Y412" i="6"/>
  <c r="Y475" i="6" s="1"/>
  <c r="AL195" i="42290"/>
  <c r="AM195" i="42290"/>
  <c r="AO195" i="42290"/>
  <c r="AN195" i="42290"/>
  <c r="AS410" i="6"/>
  <c r="AT368" i="6"/>
  <c r="AT410" i="6" s="1"/>
  <c r="AT473" i="6" s="1"/>
  <c r="AP199" i="42290"/>
  <c r="R20" i="42454"/>
  <c r="G53" i="42454"/>
  <c r="R17" i="42454"/>
  <c r="AW182" i="42290"/>
  <c r="AZ137" i="42290"/>
  <c r="AY132" i="42290"/>
  <c r="G12" i="42432"/>
  <c r="CW303" i="42425"/>
  <c r="AL133" i="42290"/>
  <c r="U369" i="6"/>
  <c r="U411" i="6" s="1"/>
  <c r="U474" i="6" s="1"/>
  <c r="T411" i="6"/>
  <c r="BQ197" i="42290"/>
  <c r="BN197" i="42290"/>
  <c r="BK197" i="42290"/>
  <c r="BR197" i="42290"/>
  <c r="BS197" i="42290"/>
  <c r="BL197" i="42290"/>
  <c r="BP197" i="42290"/>
  <c r="BP199" i="42290" s="1"/>
  <c r="BM197" i="42290"/>
  <c r="W80" i="42443"/>
  <c r="Y80" i="42443" s="1"/>
  <c r="G22" i="42454"/>
  <c r="C24" i="42454"/>
  <c r="L24" i="42454" s="1"/>
  <c r="K21" i="42432"/>
  <c r="BT277" i="42290"/>
  <c r="N357" i="6"/>
  <c r="N750" i="6" s="1"/>
  <c r="F12" i="42441"/>
  <c r="L51" i="42464"/>
  <c r="G51" i="42464"/>
  <c r="Y372" i="6"/>
  <c r="X414" i="6"/>
  <c r="AS98" i="42416"/>
  <c r="AT97" i="42416"/>
  <c r="AT98" i="42416" s="1"/>
  <c r="BB474" i="6"/>
  <c r="BF411" i="6"/>
  <c r="DA411" i="6" s="1"/>
  <c r="J132" i="42290"/>
  <c r="K132" i="42290"/>
  <c r="Q357" i="6"/>
  <c r="Q358" i="6" s="1"/>
  <c r="W80" i="42442"/>
  <c r="Y80" i="42442" s="1"/>
  <c r="U79" i="42452"/>
  <c r="Y79" i="42452" s="1"/>
  <c r="H96" i="42290"/>
  <c r="H98" i="42290" s="1"/>
  <c r="H100" i="42290" s="1"/>
  <c r="AJ412" i="6"/>
  <c r="AJ475" i="6" s="1"/>
  <c r="AV131" i="42290"/>
  <c r="AY175" i="42290"/>
  <c r="W81" i="42441"/>
  <c r="Y81" i="42441" s="1"/>
  <c r="AC384" i="6"/>
  <c r="BO273" i="42290"/>
  <c r="L137" i="42290"/>
  <c r="L144" i="42290" s="1"/>
  <c r="BE137" i="42290"/>
  <c r="CR299" i="42425"/>
  <c r="BP411" i="6"/>
  <c r="BP474" i="6" s="1"/>
  <c r="DC474" i="6" s="1"/>
  <c r="BR414" i="6"/>
  <c r="BR477" i="6" s="1"/>
  <c r="BE367" i="6"/>
  <c r="AN368" i="6"/>
  <c r="AM410" i="6"/>
  <c r="J393" i="6"/>
  <c r="J357" i="6" s="1"/>
  <c r="I414" i="6"/>
  <c r="I477" i="6" s="1"/>
  <c r="DD393" i="6"/>
  <c r="AN32" i="42290"/>
  <c r="AM32" i="42290"/>
  <c r="AO32" i="42290"/>
  <c r="AL32" i="42290"/>
  <c r="AD370" i="6"/>
  <c r="AC412" i="6"/>
  <c r="AC475" i="6" s="1"/>
  <c r="U31" i="42290"/>
  <c r="S31" i="42290"/>
  <c r="T31" i="42290"/>
  <c r="R31" i="42290"/>
  <c r="BQ411" i="6"/>
  <c r="BQ474" i="6" s="1"/>
  <c r="BQ414" i="6"/>
  <c r="BQ477" i="6" s="1"/>
  <c r="AY130" i="42290"/>
  <c r="AW130" i="42290"/>
  <c r="AX130" i="42290"/>
  <c r="CT299" i="42425"/>
  <c r="K388" i="6"/>
  <c r="J409" i="6"/>
  <c r="J430" i="6" s="1"/>
  <c r="Y371" i="6"/>
  <c r="X384" i="6"/>
  <c r="AH410" i="6"/>
  <c r="AI389" i="6"/>
  <c r="AL33" i="42290"/>
  <c r="AM33" i="42290"/>
  <c r="BX162" i="42425"/>
  <c r="BP164" i="42425"/>
  <c r="R392" i="6"/>
  <c r="R405" i="6" s="1"/>
  <c r="CS405" i="6" s="1"/>
  <c r="AV23" i="6"/>
  <c r="U76" i="42450"/>
  <c r="Y76" i="42450" s="1"/>
  <c r="I451" i="6"/>
  <c r="AZ178" i="42290"/>
  <c r="AW131" i="42290"/>
  <c r="BD134" i="42290"/>
  <c r="CY21" i="6"/>
  <c r="G53" i="42475"/>
  <c r="X356" i="6"/>
  <c r="X749" i="6" s="1"/>
  <c r="AW408" i="6"/>
  <c r="AX366" i="6"/>
  <c r="T368" i="6"/>
  <c r="S410" i="6"/>
  <c r="J370" i="6"/>
  <c r="I412" i="6"/>
  <c r="I475" i="6" s="1"/>
  <c r="O389" i="6"/>
  <c r="N410" i="6"/>
  <c r="J130" i="42290"/>
  <c r="K130" i="42290"/>
  <c r="J131" i="42290"/>
  <c r="K131" i="42290"/>
  <c r="AM31" i="42290"/>
  <c r="AO31" i="42290"/>
  <c r="AL31" i="42290"/>
  <c r="AN31" i="42290"/>
  <c r="Z390" i="6"/>
  <c r="Z411" i="6" s="1"/>
  <c r="Z474" i="6" s="1"/>
  <c r="Y411" i="6"/>
  <c r="Y474" i="6" s="1"/>
  <c r="R32" i="42290"/>
  <c r="S32" i="42290"/>
  <c r="U32" i="42290"/>
  <c r="T32" i="42290"/>
  <c r="BF30" i="42290"/>
  <c r="BH30" i="42290"/>
  <c r="BG30" i="42290"/>
  <c r="BI30" i="42290"/>
  <c r="BP279" i="42290"/>
  <c r="G12" i="42437"/>
  <c r="L12" i="42437"/>
  <c r="CS303" i="42425"/>
  <c r="I357" i="6"/>
  <c r="AB283" i="42290"/>
  <c r="W282" i="42290"/>
  <c r="AU119" i="6"/>
  <c r="AV119" i="6" s="1"/>
  <c r="CY119" i="6" s="1"/>
  <c r="AV114" i="6"/>
  <c r="CY114" i="6" s="1"/>
  <c r="AS286" i="6"/>
  <c r="AR288" i="6"/>
  <c r="N409" i="6"/>
  <c r="O367" i="6"/>
  <c r="O372" i="6"/>
  <c r="N414" i="6"/>
  <c r="N477" i="6" s="1"/>
  <c r="AD388" i="6"/>
  <c r="AC409" i="6"/>
  <c r="AC430" i="6" s="1"/>
  <c r="AH451" i="6" s="1"/>
  <c r="AC357" i="6"/>
  <c r="AC750" i="6" s="1"/>
  <c r="AC405" i="6"/>
  <c r="AW409" i="6"/>
  <c r="AX388" i="6"/>
  <c r="AX357" i="6" s="1"/>
  <c r="BP414" i="6"/>
  <c r="BO477" i="6"/>
  <c r="T33" i="42290"/>
  <c r="U33" i="42290"/>
  <c r="S33" i="42290"/>
  <c r="R33" i="42290"/>
  <c r="AH412" i="6"/>
  <c r="U76" i="42448"/>
  <c r="Y76" i="42448" s="1"/>
  <c r="AV53" i="6"/>
  <c r="W81" i="42440"/>
  <c r="Y81" i="42440" s="1"/>
  <c r="AO33" i="42290"/>
  <c r="BX169" i="42425"/>
  <c r="BX171" i="42425" s="1"/>
  <c r="BM279" i="42290"/>
  <c r="BM171" i="42425"/>
  <c r="BY171" i="42425" s="1"/>
  <c r="BQ175" i="42425" s="1"/>
  <c r="BY169" i="42425"/>
  <c r="BQ173" i="42425" s="1"/>
  <c r="CA218" i="42425"/>
  <c r="AI367" i="6"/>
  <c r="AI356" i="6" s="1"/>
  <c r="AH384" i="6"/>
  <c r="AS371" i="6"/>
  <c r="AR413" i="6"/>
  <c r="O391" i="6"/>
  <c r="N412" i="6"/>
  <c r="AI392" i="6"/>
  <c r="AH413" i="6"/>
  <c r="AD393" i="6"/>
  <c r="AC414" i="6"/>
  <c r="J133" i="42290"/>
  <c r="K133" i="42290"/>
  <c r="AN30" i="42290"/>
  <c r="AM30" i="42290"/>
  <c r="AL29" i="42290"/>
  <c r="AM29" i="42290"/>
  <c r="AN29" i="42290"/>
  <c r="AO29" i="42290"/>
  <c r="U30" i="42290"/>
  <c r="S30" i="42290"/>
  <c r="T30" i="42290"/>
  <c r="R30" i="42290"/>
  <c r="AX132" i="42290"/>
  <c r="AV132" i="42290"/>
  <c r="DV570" i="42458"/>
  <c r="DT574" i="42458"/>
  <c r="DT575" i="42458" s="1"/>
  <c r="X288" i="6"/>
  <c r="X289" i="6" s="1"/>
  <c r="X294" i="6" s="1"/>
  <c r="X295" i="6" s="1"/>
  <c r="Y286" i="6"/>
  <c r="I405" i="6"/>
  <c r="BF75" i="6"/>
  <c r="DA75" i="6" s="1"/>
  <c r="AX202" i="42290"/>
  <c r="AV202" i="42290"/>
  <c r="AY202" i="42290"/>
  <c r="AW202" i="42290"/>
  <c r="I286" i="6"/>
  <c r="J221" i="6"/>
  <c r="J223" i="6" s="1"/>
  <c r="J368" i="6"/>
  <c r="I410" i="6"/>
  <c r="S384" i="6"/>
  <c r="S356" i="6"/>
  <c r="S749" i="6" s="1"/>
  <c r="S412" i="6"/>
  <c r="T370" i="6"/>
  <c r="AT372" i="6"/>
  <c r="AT414" i="6" s="1"/>
  <c r="AT477" i="6" s="1"/>
  <c r="AS414" i="6"/>
  <c r="T388" i="6"/>
  <c r="S409" i="6"/>
  <c r="S414" i="6"/>
  <c r="T393" i="6"/>
  <c r="BG196" i="42290"/>
  <c r="BI196" i="42290"/>
  <c r="BH196" i="42290"/>
  <c r="BJ199" i="42290"/>
  <c r="BF196" i="42290"/>
  <c r="I223" i="6"/>
  <c r="I224" i="6" s="1"/>
  <c r="I229" i="6" s="1"/>
  <c r="I230" i="6" s="1"/>
  <c r="L48" i="42437"/>
  <c r="G48" i="42437"/>
  <c r="AS408" i="6"/>
  <c r="AT366" i="6"/>
  <c r="M751" i="6"/>
  <c r="CR751" i="6" s="1"/>
  <c r="BD387" i="6"/>
  <c r="BG202" i="42290"/>
  <c r="BF202" i="42290"/>
  <c r="BI202" i="42290"/>
  <c r="HP832" i="42425"/>
  <c r="BA130" i="42290"/>
  <c r="BE119" i="6"/>
  <c r="BF119" i="6" s="1"/>
  <c r="DA119" i="6" s="1"/>
  <c r="Y279" i="42290"/>
  <c r="AN279" i="42290"/>
  <c r="AX279" i="42290"/>
  <c r="BJ75" i="6"/>
  <c r="BJ114" i="6" s="1"/>
  <c r="K474" i="6"/>
  <c r="M411" i="6"/>
  <c r="CR411" i="6" s="1"/>
  <c r="AX204" i="42290"/>
  <c r="AW204" i="42290"/>
  <c r="AV204" i="42290"/>
  <c r="AY204" i="42290"/>
  <c r="CZ299" i="42425"/>
  <c r="DK298" i="42425"/>
  <c r="DK299" i="42425" s="1"/>
  <c r="CV299" i="42425"/>
  <c r="AR409" i="6"/>
  <c r="AS367" i="6"/>
  <c r="AS369" i="6"/>
  <c r="AR411" i="6"/>
  <c r="AR474" i="6" s="1"/>
  <c r="O390" i="6"/>
  <c r="N405" i="6"/>
  <c r="N411" i="6"/>
  <c r="AC33" i="42290"/>
  <c r="AE33" i="42290"/>
  <c r="BI197" i="42290"/>
  <c r="BG197" i="42290"/>
  <c r="BH197" i="42290"/>
  <c r="BF197" i="42290"/>
  <c r="J287" i="6"/>
  <c r="K222" i="6"/>
  <c r="DC412" i="6"/>
  <c r="BP475" i="6"/>
  <c r="DC475" i="6" s="1"/>
  <c r="G12" i="42441"/>
  <c r="L12" i="42441"/>
  <c r="AG96" i="42290"/>
  <c r="AG98" i="42290" s="1"/>
  <c r="AG100" i="42290" s="1"/>
  <c r="AH447" i="6"/>
  <c r="AM430" i="6"/>
  <c r="AM447" i="6" s="1"/>
  <c r="AM495" i="6" s="1"/>
  <c r="BT372" i="6"/>
  <c r="BS414" i="6"/>
  <c r="BS477" i="6" s="1"/>
  <c r="AI390" i="6"/>
  <c r="AH411" i="6"/>
  <c r="GS652" i="42425"/>
  <c r="GS682" i="42425"/>
  <c r="GS688" i="42425" s="1"/>
  <c r="AR471" i="6"/>
  <c r="AH405" i="6"/>
  <c r="F22" i="42461"/>
  <c r="F24" i="42461" s="1"/>
  <c r="F31" i="42461" s="1"/>
  <c r="DD391" i="6"/>
  <c r="BA1341" i="6"/>
  <c r="CZ75" i="6"/>
  <c r="AC410" i="6"/>
  <c r="AC473" i="6" s="1"/>
  <c r="AD368" i="6"/>
  <c r="AN370" i="6"/>
  <c r="AM412" i="6"/>
  <c r="O371" i="6"/>
  <c r="N356" i="6"/>
  <c r="N413" i="6"/>
  <c r="N384" i="6"/>
  <c r="Y389" i="6"/>
  <c r="X410" i="6"/>
  <c r="BF204" i="42290"/>
  <c r="BI204" i="42290"/>
  <c r="BG204" i="42290"/>
  <c r="BH204" i="42290"/>
  <c r="L51" i="42471"/>
  <c r="G51" i="42471"/>
  <c r="GU682" i="42425"/>
  <c r="GU688" i="42425" s="1"/>
  <c r="GU652" i="42425"/>
  <c r="L50" i="42455"/>
  <c r="G50" i="42455"/>
  <c r="AI330" i="6"/>
  <c r="AJ329" i="6"/>
  <c r="AJ330" i="6" s="1"/>
  <c r="AK331" i="6" s="1"/>
  <c r="AK336" i="6" s="1"/>
  <c r="AK337" i="6" s="1"/>
  <c r="BB130" i="42290"/>
  <c r="BC130" i="42290"/>
  <c r="BD130" i="42290"/>
  <c r="AI279" i="42290"/>
  <c r="AW175" i="42290"/>
  <c r="AX175" i="42290"/>
  <c r="BB134" i="42290"/>
  <c r="BC134" i="42290"/>
  <c r="BD135" i="42290"/>
  <c r="BC135" i="42290"/>
  <c r="BA135" i="42290"/>
  <c r="BD131" i="42290"/>
  <c r="BB131" i="42290"/>
  <c r="BA131" i="42290"/>
  <c r="BA132" i="42290"/>
  <c r="BD132" i="42290"/>
  <c r="BB132" i="42290"/>
  <c r="BC132" i="42290"/>
  <c r="BG175" i="42290"/>
  <c r="BI175" i="42290"/>
  <c r="BH175" i="42290"/>
  <c r="BF175" i="42290"/>
  <c r="BB129" i="42290"/>
  <c r="BD129" i="42290"/>
  <c r="BC129" i="42290"/>
  <c r="BA129" i="42290"/>
  <c r="BC182" i="42290"/>
  <c r="BA182" i="42290"/>
  <c r="BD182" i="42290"/>
  <c r="O288" i="42290"/>
  <c r="Q282" i="42290"/>
  <c r="Q288" i="42290" s="1"/>
  <c r="N279" i="42290"/>
  <c r="BC279" i="42290"/>
  <c r="BC29" i="42290"/>
  <c r="BD29" i="42290"/>
  <c r="BA29" i="42290"/>
  <c r="BB29" i="42290"/>
  <c r="BT171" i="42425"/>
  <c r="BL175" i="42425" s="1"/>
  <c r="BL173" i="42425"/>
  <c r="BX173" i="42425" s="1"/>
  <c r="CY77" i="6"/>
  <c r="AV1342" i="6"/>
  <c r="CY299" i="42425"/>
  <c r="DJ298" i="42425"/>
  <c r="DJ299" i="42425" s="1"/>
  <c r="BC366" i="6"/>
  <c r="BB408" i="6"/>
  <c r="BB426" i="6" s="1"/>
  <c r="C279" i="42290"/>
  <c r="G277" i="42290"/>
  <c r="AS279" i="42290"/>
  <c r="BP171" i="42425"/>
  <c r="DB302" i="42425"/>
  <c r="DB303" i="42425" s="1"/>
  <c r="CP303" i="42425"/>
  <c r="AN329" i="6"/>
  <c r="AN750" i="6" s="1"/>
  <c r="AM330" i="6"/>
  <c r="J371" i="6"/>
  <c r="I384" i="6"/>
  <c r="I413" i="6"/>
  <c r="AD279" i="42290"/>
  <c r="BW279" i="42290"/>
  <c r="BW294" i="42290" s="1"/>
  <c r="AL751" i="6"/>
  <c r="CW751" i="6" s="1"/>
  <c r="T134" i="42290"/>
  <c r="U134" i="42290"/>
  <c r="S134" i="42290"/>
  <c r="R134" i="42290"/>
  <c r="R130" i="42290"/>
  <c r="U130" i="42290"/>
  <c r="S130" i="42290"/>
  <c r="T130" i="42290"/>
  <c r="BO173" i="42425"/>
  <c r="BO171" i="42425"/>
  <c r="BU171" i="42425"/>
  <c r="BM173" i="42425"/>
  <c r="BY173" i="42425" s="1"/>
  <c r="DJ302" i="42425"/>
  <c r="DJ303" i="42425" s="1"/>
  <c r="CX303" i="42425"/>
  <c r="I356" i="6"/>
  <c r="T133" i="42290"/>
  <c r="S133" i="42290"/>
  <c r="U133" i="42290"/>
  <c r="R133" i="42290"/>
  <c r="S131" i="42290"/>
  <c r="U131" i="42290"/>
  <c r="R131" i="42290"/>
  <c r="T131" i="42290"/>
  <c r="BA33" i="42290"/>
  <c r="BD33" i="42290"/>
  <c r="BB33" i="42290"/>
  <c r="BC33" i="42290"/>
  <c r="BQ279" i="42290"/>
  <c r="DF302" i="42425"/>
  <c r="DF303" i="42425" s="1"/>
  <c r="CT303" i="42425"/>
  <c r="CQ299" i="42425"/>
  <c r="DC298" i="42425"/>
  <c r="DC299" i="42425" s="1"/>
  <c r="AN369" i="6"/>
  <c r="AM411" i="6"/>
  <c r="AD371" i="6"/>
  <c r="AC356" i="6"/>
  <c r="AC413" i="6"/>
  <c r="I279" i="42290"/>
  <c r="S279" i="42290"/>
  <c r="BH279" i="42290"/>
  <c r="BN279" i="42290"/>
  <c r="BR412" i="6"/>
  <c r="BS370" i="6"/>
  <c r="G55" i="42475"/>
  <c r="K23" i="42468"/>
  <c r="K25" i="42468" s="1"/>
  <c r="F23" i="42468"/>
  <c r="F25" i="42468" s="1"/>
  <c r="F32" i="42468" s="1"/>
  <c r="DC1040" i="6"/>
  <c r="BP1333" i="6"/>
  <c r="DC1333" i="6" s="1"/>
  <c r="E54" i="42446"/>
  <c r="F18" i="42446"/>
  <c r="E50" i="42446"/>
  <c r="F14" i="42446"/>
  <c r="T15" i="42446"/>
  <c r="K8" i="42468"/>
  <c r="P8" i="42468"/>
  <c r="L8" i="42468"/>
  <c r="Q8" i="42468"/>
  <c r="W17" i="42468"/>
  <c r="G8" i="42468"/>
  <c r="F8" i="42468"/>
  <c r="F17" i="42452"/>
  <c r="G17" i="42452"/>
  <c r="D48" i="42452"/>
  <c r="BI983" i="6"/>
  <c r="BJ983" i="6" s="1"/>
  <c r="BK983" i="6" s="1"/>
  <c r="BL983" i="6" s="1"/>
  <c r="BM983" i="6" s="1"/>
  <c r="BN983" i="6" s="1"/>
  <c r="BH979" i="6"/>
  <c r="BH986" i="6"/>
  <c r="Q334" i="6"/>
  <c r="CV1190" i="6"/>
  <c r="AG1195" i="6"/>
  <c r="CV1195" i="6" s="1"/>
  <c r="BR410" i="6"/>
  <c r="BR473" i="6" s="1"/>
  <c r="BS368" i="6"/>
  <c r="CC1287" i="6"/>
  <c r="CD1287" i="6" s="1"/>
  <c r="CE1287" i="6" s="1"/>
  <c r="CF1287" i="6" s="1"/>
  <c r="CG1287" i="6" s="1"/>
  <c r="DG1287" i="6"/>
  <c r="AA974" i="6"/>
  <c r="AB974" i="6" s="1"/>
  <c r="CU974" i="6" s="1"/>
  <c r="AB970" i="6"/>
  <c r="CU970" i="6" s="1"/>
  <c r="BF110" i="6"/>
  <c r="DA110" i="6" s="1"/>
  <c r="DA107" i="6"/>
  <c r="C51" i="42468"/>
  <c r="BO794" i="6"/>
  <c r="BO809" i="6"/>
  <c r="BP788" i="6"/>
  <c r="BO790" i="6"/>
  <c r="BW174" i="42290"/>
  <c r="BW175" i="42290"/>
  <c r="BW176" i="42290"/>
  <c r="BB1095" i="6"/>
  <c r="CZ1095" i="6"/>
  <c r="CC141" i="6"/>
  <c r="CD1016" i="6"/>
  <c r="BN853" i="6"/>
  <c r="BN856" i="6" s="1"/>
  <c r="BC859" i="6"/>
  <c r="BC865" i="6" s="1"/>
  <c r="BC870" i="6" s="1"/>
  <c r="BC850" i="6"/>
  <c r="AB1333" i="6"/>
  <c r="CU1333" i="6" s="1"/>
  <c r="CU1040" i="6"/>
  <c r="E944" i="6"/>
  <c r="E945" i="6"/>
  <c r="AO51" i="6"/>
  <c r="AO121" i="6"/>
  <c r="AO130" i="6"/>
  <c r="AA137" i="6"/>
  <c r="AB137" i="6" s="1"/>
  <c r="CU137" i="6" s="1"/>
  <c r="AB1024" i="6"/>
  <c r="CU1024" i="6" s="1"/>
  <c r="AW703" i="6"/>
  <c r="AW711" i="6"/>
  <c r="AW713" i="6" s="1"/>
  <c r="AW499" i="6" s="1"/>
  <c r="BB865" i="6"/>
  <c r="BB870" i="6" s="1"/>
  <c r="AV1201" i="6"/>
  <c r="CY1201" i="6" s="1"/>
  <c r="AV962" i="6"/>
  <c r="CY962" i="6" s="1"/>
  <c r="AM333" i="6"/>
  <c r="AM334" i="6" s="1"/>
  <c r="CW333" i="6"/>
  <c r="AQ333" i="6"/>
  <c r="I967" i="6"/>
  <c r="I946" i="6"/>
  <c r="CU5" i="6"/>
  <c r="AB894" i="6"/>
  <c r="DB945" i="6"/>
  <c r="BL688" i="6"/>
  <c r="BL689" i="6"/>
  <c r="AM295" i="6"/>
  <c r="BA474" i="6"/>
  <c r="CZ474" i="6" s="1"/>
  <c r="CZ411" i="6"/>
  <c r="AO288" i="6"/>
  <c r="AO289" i="6" s="1"/>
  <c r="AO294" i="6" s="1"/>
  <c r="AI1151" i="6"/>
  <c r="AI1170" i="6" s="1"/>
  <c r="AJ1095" i="6"/>
  <c r="AJ1151" i="6" s="1"/>
  <c r="AI1224" i="6"/>
  <c r="AI1347" i="6" s="1"/>
  <c r="AI1114" i="6"/>
  <c r="AI1127" i="6" s="1"/>
  <c r="BY170" i="42290"/>
  <c r="Y895" i="6"/>
  <c r="CC895" i="6"/>
  <c r="CD895" i="6"/>
  <c r="AK1098" i="6"/>
  <c r="AL1098" i="6" s="1"/>
  <c r="BF847" i="6"/>
  <c r="BF845" i="6" s="1"/>
  <c r="DA845" i="6" s="1"/>
  <c r="AG894" i="6"/>
  <c r="CV884" i="6"/>
  <c r="BR334" i="6"/>
  <c r="BS333" i="6"/>
  <c r="J1099" i="6"/>
  <c r="J1155" i="6" s="1"/>
  <c r="AY174" i="42290"/>
  <c r="AV174" i="42290"/>
  <c r="AW174" i="42290"/>
  <c r="AX174" i="42290"/>
  <c r="AD282" i="42290"/>
  <c r="AI283" i="42290"/>
  <c r="CT1095" i="6"/>
  <c r="X1095" i="6"/>
  <c r="Y1095" i="6" s="1"/>
  <c r="U288" i="6"/>
  <c r="AR1153" i="6"/>
  <c r="AV1153" i="6" s="1"/>
  <c r="CY1153" i="6" s="1"/>
  <c r="CX1097" i="6"/>
  <c r="BX175" i="42290"/>
  <c r="BX174" i="42290"/>
  <c r="BX176" i="42290"/>
  <c r="BQ1161" i="6"/>
  <c r="BU1167" i="6"/>
  <c r="BQ1155" i="6"/>
  <c r="BR1099" i="6"/>
  <c r="BR1161" i="6"/>
  <c r="BR1159" i="6"/>
  <c r="BS1159" i="6"/>
  <c r="BU1158" i="6" s="1"/>
  <c r="DD1158" i="6" s="1"/>
  <c r="DD1057" i="6"/>
  <c r="CA1069" i="6"/>
  <c r="DE1069" i="6"/>
  <c r="G49" i="42432"/>
  <c r="AO362" i="6"/>
  <c r="AO363" i="6" s="1"/>
  <c r="AN363" i="6"/>
  <c r="CQ1188" i="6"/>
  <c r="H1195" i="6"/>
  <c r="CQ1195" i="6" s="1"/>
  <c r="AD337" i="6"/>
  <c r="AI1351" i="6"/>
  <c r="AI154" i="6"/>
  <c r="AB1042" i="6"/>
  <c r="CU1042" i="6" s="1"/>
  <c r="CU1039" i="6"/>
  <c r="BS413" i="6"/>
  <c r="BS476" i="6" s="1"/>
  <c r="BT371" i="6"/>
  <c r="BH670" i="6"/>
  <c r="BD670" i="6"/>
  <c r="BC672" i="6"/>
  <c r="BC702" i="6"/>
  <c r="BC703" i="6" s="1"/>
  <c r="CQ1153" i="6"/>
  <c r="AC974" i="6"/>
  <c r="AG970" i="6"/>
  <c r="CV970" i="6" s="1"/>
  <c r="CS1188" i="6"/>
  <c r="R1195" i="6"/>
  <c r="CS1195" i="6" s="1"/>
  <c r="DC840" i="6"/>
  <c r="AC337" i="6"/>
  <c r="X337" i="6"/>
  <c r="D13" i="42419"/>
  <c r="DA145" i="6"/>
  <c r="G496" i="6"/>
  <c r="DD389" i="6"/>
  <c r="BR476" i="6"/>
  <c r="K23" i="42475"/>
  <c r="K25" i="42475" s="1"/>
  <c r="K33" i="42475" s="1"/>
  <c r="BB99" i="42425"/>
  <c r="K23" i="42464"/>
  <c r="K25" i="42464" s="1"/>
  <c r="L49" i="42432"/>
  <c r="L18" i="42428"/>
  <c r="L20" i="42428" s="1"/>
  <c r="C20" i="42428"/>
  <c r="C42" i="42428"/>
  <c r="L42" i="42428" s="1"/>
  <c r="AH56" i="6"/>
  <c r="K22" i="42459"/>
  <c r="K24" i="42459" s="1"/>
  <c r="AH1259" i="6"/>
  <c r="AH57" i="6"/>
  <c r="L56" i="6"/>
  <c r="AH113" i="6"/>
  <c r="AH116" i="6" s="1"/>
  <c r="AH118" i="6" s="1"/>
  <c r="AH123" i="6" s="1"/>
  <c r="AH70" i="6"/>
  <c r="AH71" i="6" s="1"/>
  <c r="O113" i="6"/>
  <c r="R113" i="6" s="1"/>
  <c r="CS113" i="6" s="1"/>
  <c r="S113" i="6"/>
  <c r="S116" i="6" s="1"/>
  <c r="S118" i="6" s="1"/>
  <c r="S123" i="6" s="1"/>
  <c r="V70" i="6"/>
  <c r="V71" i="6" s="1"/>
  <c r="AD167" i="6"/>
  <c r="G80" i="6"/>
  <c r="G1211" i="6" s="1"/>
  <c r="V56" i="6"/>
  <c r="D24" i="42454"/>
  <c r="D25" i="42454" s="1"/>
  <c r="V58" i="6"/>
  <c r="I86" i="6"/>
  <c r="HQ831" i="42425"/>
  <c r="D49" i="42454"/>
  <c r="Y167" i="6"/>
  <c r="X167" i="6"/>
  <c r="V113" i="6"/>
  <c r="P167" i="6"/>
  <c r="AD57" i="6"/>
  <c r="Q167" i="6"/>
  <c r="R167" i="6" s="1"/>
  <c r="L70" i="6"/>
  <c r="L71" i="6" s="1"/>
  <c r="AF82" i="6"/>
  <c r="AF103" i="6" s="1"/>
  <c r="R34" i="6"/>
  <c r="CS34" i="6" s="1"/>
  <c r="O58" i="6"/>
  <c r="O56" i="6"/>
  <c r="W35" i="6"/>
  <c r="CT35" i="6" s="1"/>
  <c r="DE78" i="6"/>
  <c r="CA78" i="6"/>
  <c r="HQ832" i="42425"/>
  <c r="G52" i="42461"/>
  <c r="T57" i="6"/>
  <c r="CC37" i="42446"/>
  <c r="CD11" i="42446"/>
  <c r="BR9" i="42446"/>
  <c r="BQ35" i="42446"/>
  <c r="BQ27" i="42446"/>
  <c r="F12" i="42446"/>
  <c r="E48" i="42446"/>
  <c r="T12" i="42446"/>
  <c r="S48" i="42446"/>
  <c r="BQ36" i="42446"/>
  <c r="BR10" i="42446"/>
  <c r="AG48" i="42446"/>
  <c r="AH12" i="42446"/>
  <c r="AG37" i="42446"/>
  <c r="F13" i="42446"/>
  <c r="E49" i="42446"/>
  <c r="S37" i="42446"/>
  <c r="E37" i="42446"/>
  <c r="AH11" i="42446"/>
  <c r="AG47" i="42446"/>
  <c r="AG20" i="42446"/>
  <c r="E20" i="42446"/>
  <c r="DB107" i="6"/>
  <c r="U167" i="6"/>
  <c r="O167" i="6"/>
  <c r="S58" i="6"/>
  <c r="L52" i="42454"/>
  <c r="G52" i="42454"/>
  <c r="Y56" i="6"/>
  <c r="Y58" i="6"/>
  <c r="Y70" i="6"/>
  <c r="Y113" i="6"/>
  <c r="Y116" i="6" s="1"/>
  <c r="Y118" i="6" s="1"/>
  <c r="Y123" i="6" s="1"/>
  <c r="Y57" i="6"/>
  <c r="L53" i="42461"/>
  <c r="G53" i="42461"/>
  <c r="Q22" i="42459"/>
  <c r="P22" i="42459"/>
  <c r="C24" i="42459"/>
  <c r="U21" i="42459"/>
  <c r="U18" i="42459"/>
  <c r="U19" i="42459"/>
  <c r="U17" i="42459"/>
  <c r="L22" i="42459"/>
  <c r="AL110" i="6"/>
  <c r="CW110" i="6" s="1"/>
  <c r="AC167" i="6"/>
  <c r="L57" i="6"/>
  <c r="L113" i="6"/>
  <c r="L116" i="6" s="1"/>
  <c r="L118" i="6" s="1"/>
  <c r="L123" i="6" s="1"/>
  <c r="S56" i="6"/>
  <c r="G53" i="42455"/>
  <c r="AE80" i="6"/>
  <c r="AE82" i="6" s="1"/>
  <c r="AU55" i="6"/>
  <c r="F12" i="42457" s="1"/>
  <c r="CS51" i="6"/>
  <c r="R55" i="6"/>
  <c r="R52" i="6"/>
  <c r="CS52" i="6" s="1"/>
  <c r="D47" i="42452"/>
  <c r="D24" i="42452"/>
  <c r="G50" i="42452"/>
  <c r="L55" i="42474"/>
  <c r="G55" i="42474"/>
  <c r="U20" i="42459"/>
  <c r="D21" i="42440"/>
  <c r="D46" i="42440"/>
  <c r="K70" i="6"/>
  <c r="K113" i="6"/>
  <c r="K116" i="6" s="1"/>
  <c r="K118" i="6" s="1"/>
  <c r="K123" i="6" s="1"/>
  <c r="P57" i="6"/>
  <c r="K56" i="6"/>
  <c r="I1332" i="6"/>
  <c r="I91" i="6"/>
  <c r="I90" i="6"/>
  <c r="G53" i="42468"/>
  <c r="L53" i="42468"/>
  <c r="AQ110" i="6"/>
  <c r="CX110" i="6" s="1"/>
  <c r="CX107" i="6"/>
  <c r="D21" i="42432"/>
  <c r="D46" i="42432"/>
  <c r="T70" i="6"/>
  <c r="T56" i="6"/>
  <c r="T113" i="6"/>
  <c r="T116" i="6" s="1"/>
  <c r="T118" i="6" s="1"/>
  <c r="T123" i="6" s="1"/>
  <c r="T58" i="6"/>
  <c r="V167" i="6"/>
  <c r="W167" i="6" s="1"/>
  <c r="S167" i="6"/>
  <c r="L58" i="6"/>
  <c r="T167" i="6"/>
  <c r="F22" i="42454"/>
  <c r="F24" i="42454" s="1"/>
  <c r="F31" i="42454" s="1"/>
  <c r="F23" i="42464"/>
  <c r="F25" i="42464" s="1"/>
  <c r="F32" i="42464" s="1"/>
  <c r="H8" i="42457"/>
  <c r="AW55" i="6"/>
  <c r="AY55" i="6"/>
  <c r="J8" i="42457"/>
  <c r="DD435" i="6"/>
  <c r="ES597" i="42458"/>
  <c r="BT63" i="42290"/>
  <c r="BT67" i="42290" s="1"/>
  <c r="BT70" i="42290" s="1"/>
  <c r="BU456" i="6"/>
  <c r="DD456" i="6" s="1"/>
  <c r="DE339" i="6"/>
  <c r="DD11" i="6"/>
  <c r="CB54" i="6"/>
  <c r="CA108" i="6"/>
  <c r="DF108" i="6" s="1"/>
  <c r="DF54" i="6"/>
  <c r="G54" i="42464"/>
  <c r="G54" i="42467"/>
  <c r="AT82" i="6"/>
  <c r="AT1220" i="6"/>
  <c r="AT1211" i="6"/>
  <c r="D20" i="42428"/>
  <c r="G18" i="42428"/>
  <c r="G20" i="42428" s="1"/>
  <c r="D42" i="42428"/>
  <c r="AL34" i="6"/>
  <c r="CW34" i="6" s="1"/>
  <c r="HO831" i="42425"/>
  <c r="G53" i="42473"/>
  <c r="D25" i="42471"/>
  <c r="L53" i="42471"/>
  <c r="G53" i="42471"/>
  <c r="AR70" i="6"/>
  <c r="AR1259" i="6"/>
  <c r="AR1261" i="6" s="1"/>
  <c r="C12" i="42457"/>
  <c r="AR56" i="6"/>
  <c r="AR113" i="6"/>
  <c r="AR116" i="6" s="1"/>
  <c r="AR118" i="6" s="1"/>
  <c r="AR123" i="6" s="1"/>
  <c r="D46" i="42437"/>
  <c r="D21" i="42437"/>
  <c r="BB55" i="6"/>
  <c r="M8" i="42457"/>
  <c r="D49" i="42459"/>
  <c r="D24" i="42459"/>
  <c r="G22" i="42459"/>
  <c r="HO832" i="42425"/>
  <c r="I8" i="42457"/>
  <c r="AX55" i="6"/>
  <c r="AX57" i="6" s="1"/>
  <c r="F22" i="42459"/>
  <c r="F24" i="42459" s="1"/>
  <c r="F31" i="42459" s="1"/>
  <c r="AF57" i="6"/>
  <c r="AA58" i="6"/>
  <c r="AA57" i="6"/>
  <c r="AA113" i="6"/>
  <c r="AA116" i="6" s="1"/>
  <c r="AA118" i="6" s="1"/>
  <c r="AA123" i="6" s="1"/>
  <c r="AA70" i="6"/>
  <c r="AA56" i="6"/>
  <c r="AB52" i="6"/>
  <c r="CU52" i="6" s="1"/>
  <c r="AB55" i="6"/>
  <c r="CU51" i="6"/>
  <c r="BI55" i="6"/>
  <c r="BN57" i="6" s="1"/>
  <c r="T8" i="42457"/>
  <c r="X113" i="6"/>
  <c r="X116" i="6" s="1"/>
  <c r="X118" i="6" s="1"/>
  <c r="X123" i="6" s="1"/>
  <c r="X70" i="6"/>
  <c r="X58" i="6"/>
  <c r="X56" i="6"/>
  <c r="AA167" i="6"/>
  <c r="AB167" i="6" s="1"/>
  <c r="CZ167" i="6" s="1"/>
  <c r="L22" i="42452"/>
  <c r="C47" i="42452"/>
  <c r="G22" i="42452"/>
  <c r="C24" i="42452"/>
  <c r="L49" i="42437"/>
  <c r="G49" i="42437"/>
  <c r="Z167" i="6"/>
  <c r="S57" i="6"/>
  <c r="CV107" i="6"/>
  <c r="AG110" i="6"/>
  <c r="CV110" i="6" s="1"/>
  <c r="L49" i="42441"/>
  <c r="G49" i="42441"/>
  <c r="U80" i="42452"/>
  <c r="Y80" i="42452" s="1"/>
  <c r="U77" i="42448"/>
  <c r="Y77" i="42448" s="1"/>
  <c r="W82" i="42441"/>
  <c r="Y82" i="42441" s="1"/>
  <c r="CY51" i="6"/>
  <c r="W81" i="42442"/>
  <c r="Y81" i="42442" s="1"/>
  <c r="W82" i="42440"/>
  <c r="Y82" i="42440" s="1"/>
  <c r="U77" i="42447"/>
  <c r="Y77" i="42447" s="1"/>
  <c r="G8" i="42457"/>
  <c r="AV55" i="6"/>
  <c r="U77" i="42451"/>
  <c r="Y77" i="42451" s="1"/>
  <c r="AV52" i="6"/>
  <c r="CY52" i="6" s="1"/>
  <c r="W81" i="42443"/>
  <c r="Y81" i="42443" s="1"/>
  <c r="U77" i="42450"/>
  <c r="Y77" i="42450" s="1"/>
  <c r="P23" i="42468"/>
  <c r="U19" i="42468"/>
  <c r="G23" i="42468"/>
  <c r="U21" i="42468"/>
  <c r="U18" i="42468"/>
  <c r="Q23" i="42468"/>
  <c r="C25" i="42468"/>
  <c r="U17" i="42468"/>
  <c r="L23" i="42468"/>
  <c r="L23" i="42464"/>
  <c r="C25" i="42464"/>
  <c r="U18" i="42464"/>
  <c r="U20" i="42464"/>
  <c r="Q23" i="42464"/>
  <c r="G23" i="42464"/>
  <c r="P23" i="42464"/>
  <c r="U17" i="42464"/>
  <c r="U21" i="42464"/>
  <c r="P80" i="6"/>
  <c r="P71" i="6"/>
  <c r="L53" i="42464"/>
  <c r="G53" i="42464"/>
  <c r="AC57" i="6"/>
  <c r="X57" i="6"/>
  <c r="D16" i="42425"/>
  <c r="AG55" i="6"/>
  <c r="D18" i="42425"/>
  <c r="CV51" i="6"/>
  <c r="AG52" i="6"/>
  <c r="CV52" i="6" s="1"/>
  <c r="D14" i="42425"/>
  <c r="CC260" i="42425"/>
  <c r="BY260" i="42425"/>
  <c r="CR107" i="6"/>
  <c r="M110" i="6"/>
  <c r="CR110" i="6" s="1"/>
  <c r="L23" i="42467"/>
  <c r="L53" i="42467"/>
  <c r="G53" i="42467"/>
  <c r="L49" i="42440"/>
  <c r="G49" i="42440"/>
  <c r="E80" i="6"/>
  <c r="E71" i="6"/>
  <c r="F70" i="6"/>
  <c r="F113" i="6"/>
  <c r="F116" i="6" s="1"/>
  <c r="K57" i="6"/>
  <c r="F58" i="6"/>
  <c r="I167" i="6"/>
  <c r="F56" i="6"/>
  <c r="D58" i="6"/>
  <c r="D70" i="6"/>
  <c r="I57" i="6"/>
  <c r="D113" i="6"/>
  <c r="H55" i="6"/>
  <c r="H56" i="6" s="1"/>
  <c r="CQ56" i="6" s="1"/>
  <c r="AK113" i="6"/>
  <c r="AK116" i="6" s="1"/>
  <c r="AK118" i="6" s="1"/>
  <c r="AK123" i="6" s="1"/>
  <c r="AK1259" i="6"/>
  <c r="AK56" i="6"/>
  <c r="AK57" i="6"/>
  <c r="AK70" i="6"/>
  <c r="AZ103" i="42425"/>
  <c r="HP831" i="42425"/>
  <c r="L19" i="42440"/>
  <c r="L21" i="42440" s="1"/>
  <c r="AS113" i="6"/>
  <c r="AS1259" i="6"/>
  <c r="AS1261" i="6" s="1"/>
  <c r="AS56" i="6"/>
  <c r="AS70" i="6"/>
  <c r="D12" i="42457"/>
  <c r="D24" i="42455"/>
  <c r="D49" i="42455"/>
  <c r="AC80" i="6"/>
  <c r="AC71" i="6"/>
  <c r="S80" i="6"/>
  <c r="S71" i="6"/>
  <c r="BM90" i="6"/>
  <c r="U80" i="6"/>
  <c r="U71" i="6"/>
  <c r="D37" i="42468"/>
  <c r="D40" i="42468" s="1"/>
  <c r="D43" i="42468" s="1"/>
  <c r="D24" i="42461"/>
  <c r="G22" i="42461"/>
  <c r="D49" i="42461"/>
  <c r="U118" i="6"/>
  <c r="U123" i="6" s="1"/>
  <c r="Q71" i="6"/>
  <c r="Q80" i="6"/>
  <c r="C13" i="42419"/>
  <c r="CZ145" i="6"/>
  <c r="BT10" i="6"/>
  <c r="DO557" i="42458"/>
  <c r="BR314" i="6" s="1"/>
  <c r="DO555" i="42458"/>
  <c r="W87" i="6"/>
  <c r="T1343" i="6"/>
  <c r="T1335" i="6"/>
  <c r="T1336" i="6" s="1"/>
  <c r="L45" i="42451"/>
  <c r="AC286" i="6"/>
  <c r="AB749" i="6"/>
  <c r="K27" i="42447"/>
  <c r="GE585" i="42425"/>
  <c r="AP117" i="42443"/>
  <c r="K32" i="42448"/>
  <c r="K35" i="42448" s="1"/>
  <c r="K38" i="42448" s="1"/>
  <c r="L32" i="42448"/>
  <c r="L35" i="42448" s="1"/>
  <c r="L38" i="42448" s="1"/>
  <c r="C35" i="42448"/>
  <c r="C38" i="42448" s="1"/>
  <c r="C40" i="42448" s="1"/>
  <c r="AV24" i="42416"/>
  <c r="AF1038" i="6"/>
  <c r="AF1042" i="6" s="1"/>
  <c r="AE1042" i="6"/>
  <c r="Y878" i="6"/>
  <c r="Y888" i="6" s="1"/>
  <c r="AB878" i="6"/>
  <c r="AF145" i="6"/>
  <c r="AG145" i="6" s="1"/>
  <c r="CV145" i="6" s="1"/>
  <c r="AX530" i="6"/>
  <c r="AV694" i="6"/>
  <c r="AV750" i="6" s="1"/>
  <c r="H34" i="42457"/>
  <c r="AW1127" i="6"/>
  <c r="DA777" i="6"/>
  <c r="V1038" i="6"/>
  <c r="V1042" i="6" s="1"/>
  <c r="U1042" i="6"/>
  <c r="AU711" i="6"/>
  <c r="AU713" i="6" s="1"/>
  <c r="AU499" i="6" s="1"/>
  <c r="AU703" i="6"/>
  <c r="AW25" i="42290"/>
  <c r="AR37" i="42290"/>
  <c r="J55" i="6"/>
  <c r="J52" i="6"/>
  <c r="AJ37" i="42290"/>
  <c r="AO25" i="42290"/>
  <c r="BD576" i="6"/>
  <c r="BJ572" i="6"/>
  <c r="BE574" i="6"/>
  <c r="BF572" i="6"/>
  <c r="BH809" i="6"/>
  <c r="BK788" i="6"/>
  <c r="BH794" i="6"/>
  <c r="CG878" i="6"/>
  <c r="CF902" i="6"/>
  <c r="CA290" i="42290"/>
  <c r="CA292" i="42290" s="1"/>
  <c r="DA937" i="6"/>
  <c r="BF938" i="6"/>
  <c r="DA938" i="6" s="1"/>
  <c r="R1019" i="6"/>
  <c r="CS1019" i="6" s="1"/>
  <c r="AT877" i="6"/>
  <c r="AU878" i="6" s="1"/>
  <c r="AU888" i="6" s="1"/>
  <c r="AO1351" i="6"/>
  <c r="AO154" i="6"/>
  <c r="AV37" i="42290"/>
  <c r="BA25" i="42290"/>
  <c r="BL531" i="6"/>
  <c r="BL633" i="6"/>
  <c r="V143" i="6"/>
  <c r="BP1304" i="6"/>
  <c r="DB1304" i="6"/>
  <c r="M22" i="6"/>
  <c r="CR22" i="6" s="1"/>
  <c r="CQ21" i="6"/>
  <c r="BC331" i="6"/>
  <c r="BC336" i="6" s="1"/>
  <c r="BC337" i="6" s="1"/>
  <c r="BB331" i="6"/>
  <c r="BB336" i="6" s="1"/>
  <c r="BB337" i="6" s="1"/>
  <c r="DC828" i="6"/>
  <c r="DE1293" i="6"/>
  <c r="CA1293" i="6"/>
  <c r="M290" i="42290"/>
  <c r="M292" i="42290" s="1"/>
  <c r="M294" i="42290" s="1"/>
  <c r="Q292" i="42290"/>
  <c r="P290" i="42290"/>
  <c r="P292" i="42290" s="1"/>
  <c r="N290" i="42290"/>
  <c r="N292" i="42290" s="1"/>
  <c r="O290" i="42290"/>
  <c r="O292" i="42290" s="1"/>
  <c r="BE1005" i="6"/>
  <c r="BF978" i="6"/>
  <c r="AD474" i="6"/>
  <c r="CC1140" i="6"/>
  <c r="CC1139" i="6"/>
  <c r="CC941" i="6"/>
  <c r="CC1142" i="6"/>
  <c r="CD1135" i="6"/>
  <c r="CC1164" i="6"/>
  <c r="DD105" i="6"/>
  <c r="BK845" i="6"/>
  <c r="DB845" i="6" s="1"/>
  <c r="DB847" i="6"/>
  <c r="BA1127" i="6"/>
  <c r="CZ1127" i="6" s="1"/>
  <c r="CZ1114" i="6"/>
  <c r="L34" i="42457"/>
  <c r="L16" i="42453"/>
  <c r="L21" i="42453" s="1"/>
  <c r="BS1188" i="6"/>
  <c r="BX1188" i="6" s="1"/>
  <c r="BR1100" i="6"/>
  <c r="BR1156" i="6" s="1"/>
  <c r="BB823" i="6"/>
  <c r="FZ542" i="42425"/>
  <c r="Z116" i="6"/>
  <c r="DE1177" i="6"/>
  <c r="CA1177" i="6"/>
  <c r="BF286" i="6"/>
  <c r="BE288" i="6"/>
  <c r="BE289" i="6" s="1"/>
  <c r="BE294" i="6" s="1"/>
  <c r="BE295" i="6" s="1"/>
  <c r="BG1002" i="6"/>
  <c r="BH1001" i="6"/>
  <c r="CR1097" i="6"/>
  <c r="N1097" i="6"/>
  <c r="N1153" i="6" s="1"/>
  <c r="Z447" i="6"/>
  <c r="Y96" i="42290"/>
  <c r="Y98" i="42290" s="1"/>
  <c r="Y100" i="42290" s="1"/>
  <c r="AB430" i="6"/>
  <c r="I468" i="6"/>
  <c r="I495" i="6"/>
  <c r="K32" i="42443"/>
  <c r="K35" i="42443" s="1"/>
  <c r="K38" i="42443" s="1"/>
  <c r="L32" i="42443"/>
  <c r="L35" i="42443" s="1"/>
  <c r="L38" i="42443" s="1"/>
  <c r="C35" i="42443"/>
  <c r="C38" i="42443" s="1"/>
  <c r="C40" i="42443" s="1"/>
  <c r="I35" i="42453"/>
  <c r="AL1335" i="6"/>
  <c r="AL1336" i="6" s="1"/>
  <c r="AL1343" i="6"/>
  <c r="CW87" i="6"/>
  <c r="AR22" i="42416"/>
  <c r="AV22" i="42416"/>
  <c r="AV37" i="42416" s="1"/>
  <c r="AS22" i="42416"/>
  <c r="AT22" i="42416"/>
  <c r="AR28" i="42416"/>
  <c r="AU22" i="42416"/>
  <c r="AU37" i="42416" s="1"/>
  <c r="CR15" i="42446"/>
  <c r="CQ40" i="42446"/>
  <c r="L33" i="42442"/>
  <c r="L36" i="42442" s="1"/>
  <c r="L39" i="42442" s="1"/>
  <c r="C36" i="42442"/>
  <c r="C39" i="42442" s="1"/>
  <c r="C41" i="42442" s="1"/>
  <c r="K33" i="42442"/>
  <c r="K36" i="42442" s="1"/>
  <c r="K39" i="42442" s="1"/>
  <c r="C42" i="42450"/>
  <c r="DA410" i="6"/>
  <c r="BF473" i="6"/>
  <c r="DA473" i="6" s="1"/>
  <c r="AZ688" i="6"/>
  <c r="BA528" i="6"/>
  <c r="AY529" i="6"/>
  <c r="AY530" i="6" s="1"/>
  <c r="E50" i="42457"/>
  <c r="AT154" i="6"/>
  <c r="AT1351" i="6"/>
  <c r="BG667" i="6"/>
  <c r="BA574" i="6"/>
  <c r="BA576" i="6" s="1"/>
  <c r="AZ576" i="6"/>
  <c r="BZ290" i="42290"/>
  <c r="BZ292" i="42290" s="1"/>
  <c r="G1038" i="6"/>
  <c r="G1042" i="6" s="1"/>
  <c r="F1042" i="6"/>
  <c r="AW889" i="6"/>
  <c r="AR889" i="6"/>
  <c r="Q143" i="6"/>
  <c r="CQ1098" i="6"/>
  <c r="I1098" i="6"/>
  <c r="I1154" i="6" s="1"/>
  <c r="AL1096" i="6"/>
  <c r="AK1152" i="6"/>
  <c r="AL1152" i="6" s="1"/>
  <c r="CW1152" i="6" s="1"/>
  <c r="N1198" i="6"/>
  <c r="N143" i="6"/>
  <c r="R1199" i="6"/>
  <c r="DD66" i="6"/>
  <c r="G11" i="42419"/>
  <c r="BU1340" i="6"/>
  <c r="P103" i="42458"/>
  <c r="H970" i="6"/>
  <c r="CQ970" i="6" s="1"/>
  <c r="G34" i="6"/>
  <c r="W1199" i="6"/>
  <c r="W110" i="6"/>
  <c r="CT110" i="6" s="1"/>
  <c r="AL1093" i="6"/>
  <c r="BP1108" i="6"/>
  <c r="BQ1108" i="6" s="1"/>
  <c r="BO1165" i="6"/>
  <c r="BO1273" i="6" s="1"/>
  <c r="AB1200" i="6"/>
  <c r="CU1200" i="6" s="1"/>
  <c r="CC140" i="6"/>
  <c r="CD1015" i="6"/>
  <c r="K753" i="6"/>
  <c r="L292" i="6"/>
  <c r="BT1101" i="6"/>
  <c r="BU1101" i="6" s="1"/>
  <c r="BS1157" i="6"/>
  <c r="BP831" i="6"/>
  <c r="DC831" i="6" s="1"/>
  <c r="CC1109" i="6"/>
  <c r="CC1166" i="6" s="1"/>
  <c r="CY331" i="6"/>
  <c r="AV336" i="6"/>
  <c r="P287" i="6"/>
  <c r="L45" i="42450"/>
  <c r="L46" i="42442"/>
  <c r="P32" i="42416"/>
  <c r="P33" i="42416"/>
  <c r="AT73" i="42425" s="1"/>
  <c r="AT74" i="42425" s="1"/>
  <c r="Z33" i="6"/>
  <c r="AB26" i="6"/>
  <c r="L27" i="42447"/>
  <c r="K27" i="42450"/>
  <c r="I32" i="42450"/>
  <c r="AV35" i="42416"/>
  <c r="BL540" i="6"/>
  <c r="BM538" i="6"/>
  <c r="AT666" i="6"/>
  <c r="AW1268" i="6"/>
  <c r="AY1035" i="6"/>
  <c r="AZ1034" i="6"/>
  <c r="AZ1035" i="6" s="1"/>
  <c r="M970" i="6"/>
  <c r="CR970" i="6" s="1"/>
  <c r="L974" i="6"/>
  <c r="M974" i="6" s="1"/>
  <c r="CR974" i="6" s="1"/>
  <c r="M52" i="6"/>
  <c r="CR52" i="6" s="1"/>
  <c r="CR51" i="6"/>
  <c r="M55" i="6"/>
  <c r="AO302" i="6"/>
  <c r="AP301" i="6"/>
  <c r="AP303" i="6" s="1"/>
  <c r="AX197" i="42290"/>
  <c r="AV197" i="42290"/>
  <c r="AY197" i="42290"/>
  <c r="AW197" i="42290"/>
  <c r="BH799" i="6"/>
  <c r="BK793" i="6"/>
  <c r="BH917" i="6"/>
  <c r="CQ884" i="6"/>
  <c r="H894" i="6"/>
  <c r="CQ894" i="6" s="1"/>
  <c r="H1020" i="6"/>
  <c r="CQ1020" i="6" s="1"/>
  <c r="AK1038" i="6"/>
  <c r="AK1042" i="6" s="1"/>
  <c r="AJ1042" i="6"/>
  <c r="CR5" i="6"/>
  <c r="M894" i="6"/>
  <c r="R895" i="6" s="1"/>
  <c r="CS895" i="6" s="1"/>
  <c r="M200" i="6"/>
  <c r="AS878" i="6"/>
  <c r="AS888" i="6" s="1"/>
  <c r="BC25" i="42290"/>
  <c r="AX37" i="42290"/>
  <c r="BL667" i="6"/>
  <c r="AQ471" i="6"/>
  <c r="CX471" i="6" s="1"/>
  <c r="AQ530" i="6"/>
  <c r="AV531" i="6" s="1"/>
  <c r="AQ564" i="6"/>
  <c r="AV565" i="6" s="1"/>
  <c r="CX5" i="6"/>
  <c r="AQ616" i="6"/>
  <c r="BA1149" i="6"/>
  <c r="AJ1198" i="6"/>
  <c r="AL1199" i="6"/>
  <c r="AJ143" i="6"/>
  <c r="DG1059" i="6"/>
  <c r="CC1059" i="6"/>
  <c r="CD1059" i="6" s="1"/>
  <c r="CE1059" i="6" s="1"/>
  <c r="CF1059" i="6" s="1"/>
  <c r="CG1059" i="6" s="1"/>
  <c r="BB1096" i="6"/>
  <c r="CZ1096" i="6"/>
  <c r="BF476" i="6"/>
  <c r="DA476" i="6" s="1"/>
  <c r="BF564" i="6"/>
  <c r="BF666" i="6"/>
  <c r="DA5" i="6"/>
  <c r="BE290" i="42290"/>
  <c r="BE292" i="42290" s="1"/>
  <c r="BF477" i="6"/>
  <c r="DA477" i="6" s="1"/>
  <c r="BF598" i="6"/>
  <c r="BF632" i="6"/>
  <c r="BF888" i="6"/>
  <c r="BF475" i="6"/>
  <c r="DA475" i="6" s="1"/>
  <c r="CS888" i="6"/>
  <c r="W889" i="6"/>
  <c r="CT889" i="6" s="1"/>
  <c r="CU1199" i="6"/>
  <c r="AD71" i="6"/>
  <c r="AD80" i="6"/>
  <c r="AD116" i="6"/>
  <c r="AG113" i="6"/>
  <c r="CV113" i="6" s="1"/>
  <c r="CV33" i="6"/>
  <c r="AG34" i="6"/>
  <c r="CV34" i="6" s="1"/>
  <c r="BC1093" i="6"/>
  <c r="BC1149" i="6" s="1"/>
  <c r="BB1149" i="6"/>
  <c r="CD851" i="6"/>
  <c r="CQ903" i="6"/>
  <c r="H897" i="6"/>
  <c r="CQ897" i="6" s="1"/>
  <c r="BN1273" i="6"/>
  <c r="D147" i="6"/>
  <c r="H1198" i="6"/>
  <c r="BJ865" i="6"/>
  <c r="BK859" i="6"/>
  <c r="N88" i="6"/>
  <c r="N103" i="6"/>
  <c r="N84" i="6"/>
  <c r="BB837" i="6"/>
  <c r="CA1116" i="6"/>
  <c r="DE1116" i="6"/>
  <c r="CZ294" i="6"/>
  <c r="CS894" i="6"/>
  <c r="W895" i="6"/>
  <c r="CT895" i="6" s="1"/>
  <c r="CB1166" i="6"/>
  <c r="BL865" i="6"/>
  <c r="DB104" i="6"/>
  <c r="BL104" i="6"/>
  <c r="BC289" i="6"/>
  <c r="BC294" i="6" s="1"/>
  <c r="BC295" i="6" s="1"/>
  <c r="BD289" i="6"/>
  <c r="BD294" i="6" s="1"/>
  <c r="BD295" i="6" s="1"/>
  <c r="CZ51" i="6"/>
  <c r="P35" i="6"/>
  <c r="K35" i="6"/>
  <c r="K34" i="6"/>
  <c r="C35" i="42451"/>
  <c r="C38" i="42451" s="1"/>
  <c r="C40" i="42451" s="1"/>
  <c r="K32" i="42451"/>
  <c r="K35" i="42451" s="1"/>
  <c r="K38" i="42451" s="1"/>
  <c r="L32" i="42451"/>
  <c r="L35" i="42451" s="1"/>
  <c r="L38" i="42451" s="1"/>
  <c r="E1343" i="6"/>
  <c r="H87" i="6"/>
  <c r="E1335" i="6"/>
  <c r="E1336" i="6" s="1"/>
  <c r="H286" i="6"/>
  <c r="H749" i="6" s="1"/>
  <c r="G288" i="6"/>
  <c r="G749" i="6"/>
  <c r="G751" i="6" s="1"/>
  <c r="I1335" i="6"/>
  <c r="I1336" i="6" s="1"/>
  <c r="I1343" i="6"/>
  <c r="M87" i="6"/>
  <c r="I88" i="6"/>
  <c r="K27" i="42451"/>
  <c r="FU496" i="42425"/>
  <c r="V116" i="42434"/>
  <c r="V123" i="42434" s="1"/>
  <c r="W107" i="42434"/>
  <c r="L27" i="42451"/>
  <c r="K32" i="42447"/>
  <c r="K35" i="42447" s="1"/>
  <c r="K38" i="42447" s="1"/>
  <c r="L32" i="42447"/>
  <c r="L35" i="42447" s="1"/>
  <c r="L38" i="42447" s="1"/>
  <c r="C35" i="42447"/>
  <c r="C38" i="42447" s="1"/>
  <c r="C40" i="42447" s="1"/>
  <c r="AS74" i="42416"/>
  <c r="AV49" i="42416"/>
  <c r="FU489" i="42425"/>
  <c r="FU497" i="42425" s="1"/>
  <c r="AT1024" i="6"/>
  <c r="AU1024" i="6" s="1"/>
  <c r="AV1024" i="6" s="1"/>
  <c r="CY1024" i="6" s="1"/>
  <c r="AS137" i="6"/>
  <c r="AS1317" i="6"/>
  <c r="AV42" i="42416"/>
  <c r="AC889" i="6"/>
  <c r="X889" i="6"/>
  <c r="AG1020" i="6"/>
  <c r="CV1020" i="6" s="1"/>
  <c r="BJ542" i="6"/>
  <c r="AX664" i="6"/>
  <c r="AW694" i="6"/>
  <c r="AW665" i="6"/>
  <c r="AL1309" i="6"/>
  <c r="CW1309" i="6" s="1"/>
  <c r="BB633" i="6"/>
  <c r="BG633" i="6"/>
  <c r="AF26" i="42290"/>
  <c r="AF37" i="42290"/>
  <c r="AK25" i="42290"/>
  <c r="BD362" i="6"/>
  <c r="BD363" i="6" s="1"/>
  <c r="BC363" i="6"/>
  <c r="BC753" i="6"/>
  <c r="AW196" i="42290"/>
  <c r="AY196" i="42290"/>
  <c r="AV196" i="42290"/>
  <c r="AZ199" i="42290"/>
  <c r="AX196" i="42290"/>
  <c r="CQ878" i="6"/>
  <c r="H888" i="6"/>
  <c r="CQ888" i="6" s="1"/>
  <c r="G290" i="42290"/>
  <c r="I889" i="6"/>
  <c r="N889" i="6"/>
  <c r="AQ963" i="6"/>
  <c r="CX963" i="6" s="1"/>
  <c r="AP965" i="6"/>
  <c r="AX125" i="42290"/>
  <c r="AS142" i="42290"/>
  <c r="CB1198" i="6"/>
  <c r="DF1198" i="6"/>
  <c r="BJ981" i="6"/>
  <c r="BI984" i="6"/>
  <c r="BI986" i="6" s="1"/>
  <c r="AV110" i="6"/>
  <c r="CY110" i="6" s="1"/>
  <c r="CY107" i="6"/>
  <c r="AD1198" i="6"/>
  <c r="AG1199" i="6"/>
  <c r="AD143" i="6"/>
  <c r="M292" i="6"/>
  <c r="CR292" i="6" s="1"/>
  <c r="J292" i="6"/>
  <c r="K292" i="6"/>
  <c r="J753" i="6"/>
  <c r="CC45" i="42446"/>
  <c r="CC47" i="42446" s="1"/>
  <c r="CC40" i="42446"/>
  <c r="CD15" i="42446"/>
  <c r="Y147" i="6"/>
  <c r="AB1198" i="6"/>
  <c r="T147" i="6"/>
  <c r="CA1125" i="6"/>
  <c r="DE1125" i="6"/>
  <c r="BA1224" i="6"/>
  <c r="BU390" i="6"/>
  <c r="BV390" i="6" s="1"/>
  <c r="BW390" i="6" s="1"/>
  <c r="BX390" i="6" s="1"/>
  <c r="BY390" i="6" s="1"/>
  <c r="BZ390" i="6" s="1"/>
  <c r="R70" i="6"/>
  <c r="O71" i="6"/>
  <c r="O80" i="6"/>
  <c r="H143" i="6"/>
  <c r="CQ143" i="6" s="1"/>
  <c r="CQ1199" i="6"/>
  <c r="CA1058" i="6"/>
  <c r="DE1058" i="6"/>
  <c r="BB803" i="6"/>
  <c r="BB805" i="6"/>
  <c r="BB806" i="6" s="1"/>
  <c r="Z71" i="6"/>
  <c r="Z80" i="6"/>
  <c r="Q426" i="6"/>
  <c r="Q476" i="6"/>
  <c r="J147" i="6"/>
  <c r="U20" i="42475"/>
  <c r="U17" i="42475"/>
  <c r="U19" i="42475"/>
  <c r="U18" i="42475"/>
  <c r="L23" i="42475"/>
  <c r="Q23" i="42475"/>
  <c r="C25" i="42475"/>
  <c r="P23" i="42475"/>
  <c r="BE329" i="6"/>
  <c r="BD330" i="6"/>
  <c r="DC847" i="6"/>
  <c r="BP845" i="6"/>
  <c r="DC845" i="6" s="1"/>
  <c r="L1153" i="6"/>
  <c r="BM1285" i="6"/>
  <c r="BM1176" i="6"/>
  <c r="BM1141" i="6"/>
  <c r="AU1042" i="6"/>
  <c r="AV1038" i="6"/>
  <c r="BG1190" i="6"/>
  <c r="BL1187" i="6"/>
  <c r="AZ337" i="6"/>
  <c r="AQ598" i="6"/>
  <c r="BN70" i="6"/>
  <c r="BN60" i="6"/>
  <c r="Y12" i="42457"/>
  <c r="BN113" i="6"/>
  <c r="BN116" i="6" s="1"/>
  <c r="BN118" i="6" s="1"/>
  <c r="BN123" i="6" s="1"/>
  <c r="BN56" i="6"/>
  <c r="BG642" i="6"/>
  <c r="BG702" i="6"/>
  <c r="BG711" i="6" s="1"/>
  <c r="BG713" i="6" s="1"/>
  <c r="BG499" i="6" s="1"/>
  <c r="BL640" i="6"/>
  <c r="BB644" i="6"/>
  <c r="BJ608" i="6"/>
  <c r="AY610" i="6"/>
  <c r="AY616" i="6"/>
  <c r="BK606" i="6"/>
  <c r="BH610" i="6"/>
  <c r="BI608" i="6"/>
  <c r="AV714" i="6"/>
  <c r="BL610" i="6"/>
  <c r="BB714" i="6"/>
  <c r="BB728" i="6"/>
  <c r="BB14" i="6"/>
  <c r="BA608" i="6"/>
  <c r="BF610" i="6" s="1"/>
  <c r="AY22" i="6"/>
  <c r="AY16" i="6"/>
  <c r="AY29" i="6"/>
  <c r="D11" i="42468"/>
  <c r="C11" i="42459"/>
  <c r="BM608" i="6"/>
  <c r="BD610" i="6"/>
  <c r="DD143" i="6"/>
  <c r="AB73" i="42457"/>
  <c r="BT314" i="6" l="1"/>
  <c r="DG1199" i="6"/>
  <c r="CB143" i="6"/>
  <c r="AE73" i="42457" s="1"/>
  <c r="CB1207" i="6"/>
  <c r="AZ185" i="42290"/>
  <c r="AZ187" i="42290" s="1"/>
  <c r="AY510" i="6"/>
  <c r="BA711" i="6"/>
  <c r="BA713" i="6" s="1"/>
  <c r="BA714" i="6" s="1"/>
  <c r="HK721" i="42458"/>
  <c r="HK727" i="42458"/>
  <c r="HK725" i="42458" s="1"/>
  <c r="HP721" i="42458"/>
  <c r="HR732" i="42458"/>
  <c r="HR715" i="42458" s="1"/>
  <c r="HQ715" i="42458"/>
  <c r="HP733" i="42458"/>
  <c r="Z337" i="6"/>
  <c r="B15" i="42458"/>
  <c r="AQ477" i="6"/>
  <c r="CX477" i="6" s="1"/>
  <c r="BM31" i="42290"/>
  <c r="CD260" i="42425"/>
  <c r="AX181" i="42290"/>
  <c r="AX185" i="42290" s="1"/>
  <c r="E135" i="42290"/>
  <c r="BS29" i="42290"/>
  <c r="X130" i="42290"/>
  <c r="W135" i="42290"/>
  <c r="F135" i="42290"/>
  <c r="H29" i="42290"/>
  <c r="K31" i="42461"/>
  <c r="BR132" i="42290"/>
  <c r="L31" i="42461"/>
  <c r="CA279" i="42290"/>
  <c r="BP859" i="6"/>
  <c r="BC175" i="42290"/>
  <c r="BC178" i="42290" s="1"/>
  <c r="BN133" i="42290"/>
  <c r="BM802" i="6"/>
  <c r="O137" i="42290"/>
  <c r="O144" i="42290" s="1"/>
  <c r="BP29" i="42290"/>
  <c r="C133" i="42290"/>
  <c r="AL1149" i="6"/>
  <c r="DE1055" i="6"/>
  <c r="BN29" i="42290"/>
  <c r="BB175" i="42290"/>
  <c r="BK794" i="6"/>
  <c r="DB794" i="6" s="1"/>
  <c r="U135" i="42290"/>
  <c r="S129" i="42290"/>
  <c r="AM132" i="42290"/>
  <c r="CE979" i="6"/>
  <c r="Q489" i="6"/>
  <c r="Q490" i="6" s="1"/>
  <c r="BA175" i="42290"/>
  <c r="AG974" i="6"/>
  <c r="CV974" i="6" s="1"/>
  <c r="AO132" i="42290"/>
  <c r="BH131" i="42290"/>
  <c r="BF29" i="42290"/>
  <c r="BF134" i="42290"/>
  <c r="HO830" i="42425"/>
  <c r="K29" i="42290"/>
  <c r="BM30" i="42290"/>
  <c r="F134" i="42290"/>
  <c r="CE986" i="6"/>
  <c r="AL35" i="6"/>
  <c r="CW35" i="6" s="1"/>
  <c r="BJ853" i="6"/>
  <c r="BJ856" i="6" s="1"/>
  <c r="BG60" i="6"/>
  <c r="P294" i="42290"/>
  <c r="Q921" i="6" s="1"/>
  <c r="G48" i="42452"/>
  <c r="BG134" i="42290"/>
  <c r="D134" i="42290"/>
  <c r="C134" i="42290"/>
  <c r="C137" i="42290" s="1"/>
  <c r="C144" i="42290" s="1"/>
  <c r="BH183" i="42290"/>
  <c r="AR358" i="6"/>
  <c r="AR360" i="6" s="1"/>
  <c r="AR492" i="6" s="1"/>
  <c r="BS31" i="42290"/>
  <c r="CZ414" i="6"/>
  <c r="BI176" i="42290"/>
  <c r="BH133" i="42290"/>
  <c r="BH174" i="42290"/>
  <c r="G19" i="42443"/>
  <c r="AQ476" i="6"/>
  <c r="CX476" i="6" s="1"/>
  <c r="CZ410" i="6"/>
  <c r="BH176" i="42290"/>
  <c r="BN135" i="42290"/>
  <c r="AE30" i="42290"/>
  <c r="BG174" i="42290"/>
  <c r="G137" i="42290"/>
  <c r="G144" i="42290" s="1"/>
  <c r="AN182" i="42290"/>
  <c r="R9" i="42457"/>
  <c r="BR134" i="42290"/>
  <c r="N749" i="6"/>
  <c r="BF31" i="42290"/>
  <c r="BP134" i="42290"/>
  <c r="BK130" i="42290"/>
  <c r="W132" i="42290"/>
  <c r="R294" i="42290"/>
  <c r="R295" i="42290" s="1"/>
  <c r="AP279" i="42290"/>
  <c r="O35" i="42290"/>
  <c r="O39" i="42290" s="1"/>
  <c r="AA279" i="42290"/>
  <c r="BL31" i="42290"/>
  <c r="BK31" i="42290"/>
  <c r="L35" i="6"/>
  <c r="C21" i="42440"/>
  <c r="BB32" i="42290"/>
  <c r="T135" i="42290"/>
  <c r="T129" i="42290"/>
  <c r="BH31" i="42290"/>
  <c r="D130" i="42290"/>
  <c r="D137" i="42290" s="1"/>
  <c r="D144" i="42290" s="1"/>
  <c r="Q35" i="6"/>
  <c r="BH182" i="42290"/>
  <c r="F21" i="42473"/>
  <c r="F23" i="42473" s="1"/>
  <c r="F25" i="42473" s="1"/>
  <c r="F32" i="42473" s="1"/>
  <c r="L21" i="42473"/>
  <c r="BQ31" i="42290"/>
  <c r="BP31" i="42290"/>
  <c r="G19" i="42440"/>
  <c r="S294" i="42290"/>
  <c r="S295" i="42290" s="1"/>
  <c r="BC32" i="42290"/>
  <c r="S135" i="42290"/>
  <c r="R129" i="42290"/>
  <c r="BC183" i="42290"/>
  <c r="O286" i="6"/>
  <c r="P286" i="6" s="1"/>
  <c r="P288" i="6" s="1"/>
  <c r="BI31" i="42290"/>
  <c r="BI135" i="42290"/>
  <c r="BI182" i="42290"/>
  <c r="K21" i="42473"/>
  <c r="K23" i="42473" s="1"/>
  <c r="K25" i="42473" s="1"/>
  <c r="C23" i="42473"/>
  <c r="BR31" i="42290"/>
  <c r="AO176" i="42290"/>
  <c r="AN130" i="42290"/>
  <c r="F130" i="42290"/>
  <c r="BP32" i="42290"/>
  <c r="BF182" i="42290"/>
  <c r="E130" i="42290"/>
  <c r="BD199" i="42290"/>
  <c r="BM32" i="42290"/>
  <c r="AX53" i="6"/>
  <c r="AX21" i="6"/>
  <c r="AX52" i="6" s="1"/>
  <c r="AZ1207" i="6"/>
  <c r="BM88" i="6"/>
  <c r="BP133" i="42290"/>
  <c r="BM135" i="42290"/>
  <c r="AR203" i="42290"/>
  <c r="AR206" i="42290" s="1"/>
  <c r="AR208" i="42290" s="1"/>
  <c r="AS578" i="6" s="1"/>
  <c r="I750" i="6"/>
  <c r="AS176" i="42290"/>
  <c r="AS178" i="42290" s="1"/>
  <c r="BM1013" i="6"/>
  <c r="F1224" i="6"/>
  <c r="F1347" i="6" s="1"/>
  <c r="BK944" i="6"/>
  <c r="DB944" i="6" s="1"/>
  <c r="BJ834" i="6"/>
  <c r="BJ837" i="6" s="1"/>
  <c r="AJ938" i="6"/>
  <c r="AJ121" i="6"/>
  <c r="AR111" i="42468"/>
  <c r="M145" i="6"/>
  <c r="CR145" i="6" s="1"/>
  <c r="H110" i="6"/>
  <c r="CQ110" i="6" s="1"/>
  <c r="Y133" i="42290"/>
  <c r="BG946" i="6"/>
  <c r="BB946" i="6"/>
  <c r="AG1024" i="6"/>
  <c r="CV1024" i="6" s="1"/>
  <c r="AF137" i="6"/>
  <c r="AG137" i="6" s="1"/>
  <c r="CV137" i="6" s="1"/>
  <c r="AM1296" i="6"/>
  <c r="BM91" i="6"/>
  <c r="BD32" i="42290"/>
  <c r="BL133" i="42290"/>
  <c r="BC181" i="42290"/>
  <c r="BQ135" i="42290"/>
  <c r="N944" i="6"/>
  <c r="F1138" i="6"/>
  <c r="AO405" i="6"/>
  <c r="BF1042" i="6"/>
  <c r="DA1042" i="6" s="1"/>
  <c r="H279" i="6"/>
  <c r="AJ51" i="6"/>
  <c r="AX22" i="6"/>
  <c r="AR110" i="42461"/>
  <c r="D49" i="42443"/>
  <c r="D20" i="42443"/>
  <c r="AB336" i="6"/>
  <c r="BR133" i="42290"/>
  <c r="BE203" i="42290"/>
  <c r="BB203" i="42290" s="1"/>
  <c r="BB206" i="42290" s="1"/>
  <c r="BB208" i="42290" s="1"/>
  <c r="BC578" i="6" s="1"/>
  <c r="BC579" i="6" s="1"/>
  <c r="BS135" i="42290"/>
  <c r="AJ286" i="6"/>
  <c r="AJ288" i="6" s="1"/>
  <c r="AK289" i="6" s="1"/>
  <c r="AK294" i="6" s="1"/>
  <c r="AN131" i="42290"/>
  <c r="AP203" i="42290"/>
  <c r="AO203" i="42290" s="1"/>
  <c r="AO206" i="42290" s="1"/>
  <c r="AR110" i="42473"/>
  <c r="G972" i="6"/>
  <c r="H973" i="6"/>
  <c r="CQ973" i="6" s="1"/>
  <c r="AW476" i="6"/>
  <c r="BA413" i="6"/>
  <c r="G21" i="42473"/>
  <c r="Q21" i="42473"/>
  <c r="AE334" i="6"/>
  <c r="U334" i="6"/>
  <c r="W334" i="6"/>
  <c r="CT334" i="6" s="1"/>
  <c r="Z133" i="42290"/>
  <c r="W133" i="42290"/>
  <c r="BS32" i="42290"/>
  <c r="AS35" i="42290"/>
  <c r="AS39" i="42290" s="1"/>
  <c r="AI35" i="42290"/>
  <c r="AI39" i="42290" s="1"/>
  <c r="S62" i="42446"/>
  <c r="AB447" i="6"/>
  <c r="CU447" i="6" s="1"/>
  <c r="AW181" i="42290"/>
  <c r="AW185" i="42290" s="1"/>
  <c r="G279" i="42290"/>
  <c r="AL135" i="42290"/>
  <c r="BI133" i="42290"/>
  <c r="AM131" i="42290"/>
  <c r="BI29" i="42290"/>
  <c r="E133" i="42290"/>
  <c r="E137" i="42290" s="1"/>
  <c r="E144" i="42290" s="1"/>
  <c r="BQ29" i="42290"/>
  <c r="AQ174" i="42290"/>
  <c r="Q279" i="42290"/>
  <c r="W130" i="42290"/>
  <c r="Y130" i="42290"/>
  <c r="AG411" i="6"/>
  <c r="CV411" i="6" s="1"/>
  <c r="P24" i="42455"/>
  <c r="AY181" i="42290"/>
  <c r="AY185" i="42290" s="1"/>
  <c r="AZ203" i="42290"/>
  <c r="AY203" i="42290" s="1"/>
  <c r="AY206" i="42290" s="1"/>
  <c r="BJ178" i="42290"/>
  <c r="BG29" i="42290"/>
  <c r="BG35" i="42290" s="1"/>
  <c r="BI174" i="42290"/>
  <c r="BI178" i="42290" s="1"/>
  <c r="BK29" i="42290"/>
  <c r="AU178" i="42290"/>
  <c r="D133" i="42290"/>
  <c r="AV412" i="6"/>
  <c r="Z132" i="42290"/>
  <c r="X129" i="42290"/>
  <c r="W129" i="42290"/>
  <c r="AV181" i="42290"/>
  <c r="AV185" i="42290" s="1"/>
  <c r="AN135" i="42290"/>
  <c r="AU185" i="42290"/>
  <c r="AU187" i="42290" s="1"/>
  <c r="G52" i="42473"/>
  <c r="BJ185" i="42290"/>
  <c r="Y132" i="42290"/>
  <c r="AI357" i="6"/>
  <c r="AI750" i="6" s="1"/>
  <c r="K1153" i="6"/>
  <c r="M1153" i="6" s="1"/>
  <c r="CR1153" i="6" s="1"/>
  <c r="BI800" i="6"/>
  <c r="BI802" i="6" s="1"/>
  <c r="BI803" i="6" s="1"/>
  <c r="BI821" i="6"/>
  <c r="AS356" i="6"/>
  <c r="AN356" i="6"/>
  <c r="EE591" i="42458"/>
  <c r="EF591" i="42458"/>
  <c r="EC591" i="42458"/>
  <c r="DG1017" i="6"/>
  <c r="CC1017" i="6"/>
  <c r="CD1017" i="6" s="1"/>
  <c r="CE1017" i="6" s="1"/>
  <c r="CF1017" i="6" s="1"/>
  <c r="CG1017" i="6" s="1"/>
  <c r="BG183" i="42290"/>
  <c r="BF183" i="42290"/>
  <c r="BA642" i="6"/>
  <c r="BA644" i="6" s="1"/>
  <c r="AZ644" i="6"/>
  <c r="AZ137" i="6"/>
  <c r="BA137" i="6" s="1"/>
  <c r="CZ137" i="6" s="1"/>
  <c r="AZ1317" i="6"/>
  <c r="D32" i="42458"/>
  <c r="D31" i="42458"/>
  <c r="AX384" i="6"/>
  <c r="AX356" i="6"/>
  <c r="EL591" i="42458"/>
  <c r="ED591" i="42458"/>
  <c r="M1032" i="6"/>
  <c r="T1149" i="6"/>
  <c r="BC384" i="6"/>
  <c r="BC356" i="6"/>
  <c r="AT388" i="6"/>
  <c r="AT357" i="6" s="1"/>
  <c r="AS357" i="6"/>
  <c r="AS750" i="6" s="1"/>
  <c r="BD388" i="6"/>
  <c r="BD405" i="6" s="1"/>
  <c r="BC357" i="6"/>
  <c r="BC750" i="6" s="1"/>
  <c r="BC409" i="6"/>
  <c r="BD946" i="6"/>
  <c r="AY946" i="6"/>
  <c r="AR110" i="42471"/>
  <c r="AR111" i="42467"/>
  <c r="C11" i="42455"/>
  <c r="AR112" i="42475"/>
  <c r="AR112" i="42474"/>
  <c r="AR110" i="42459"/>
  <c r="AR110" i="42455"/>
  <c r="AO110" i="42454"/>
  <c r="AX29" i="6"/>
  <c r="CD826" i="6"/>
  <c r="CC828" i="6"/>
  <c r="CQ270" i="6"/>
  <c r="H271" i="6"/>
  <c r="CQ271" i="6" s="1"/>
  <c r="AQ146" i="6"/>
  <c r="CX146" i="6" s="1"/>
  <c r="AU363" i="6"/>
  <c r="AT363" i="6"/>
  <c r="BA302" i="6"/>
  <c r="AZ301" i="6"/>
  <c r="AZ303" i="6" s="1"/>
  <c r="AZ304" i="6" s="1"/>
  <c r="BA55" i="6"/>
  <c r="BA60" i="6" s="1"/>
  <c r="BE185" i="42290"/>
  <c r="BE178" i="42290"/>
  <c r="BL576" i="6"/>
  <c r="H88" i="42434"/>
  <c r="H91" i="42434" s="1"/>
  <c r="CN1341" i="6"/>
  <c r="CO1341" i="6" s="1"/>
  <c r="BE642" i="6"/>
  <c r="BJ640" i="6"/>
  <c r="BF640" i="6"/>
  <c r="Z1104" i="6"/>
  <c r="Z1160" i="6" s="1"/>
  <c r="Y1160" i="6"/>
  <c r="BL49" i="6"/>
  <c r="BP49" i="6" s="1"/>
  <c r="BL949" i="6"/>
  <c r="AM142" i="42290"/>
  <c r="AP142" i="42290" s="1"/>
  <c r="AR125" i="42290"/>
  <c r="AP125" i="42290"/>
  <c r="AV907" i="6"/>
  <c r="CY907" i="6" s="1"/>
  <c r="AV925" i="6"/>
  <c r="CY925" i="6" s="1"/>
  <c r="AV938" i="6"/>
  <c r="CY938" i="6" s="1"/>
  <c r="AV928" i="6"/>
  <c r="CY928" i="6" s="1"/>
  <c r="AU281" i="42290"/>
  <c r="BA907" i="6"/>
  <c r="CZ907" i="6" s="1"/>
  <c r="CY906" i="6"/>
  <c r="CQ1040" i="6"/>
  <c r="H1333" i="6"/>
  <c r="CQ1333" i="6" s="1"/>
  <c r="U137" i="6"/>
  <c r="V1024" i="6"/>
  <c r="AJ154" i="6"/>
  <c r="AJ1351" i="6"/>
  <c r="BE945" i="6"/>
  <c r="BJ946" i="6" s="1"/>
  <c r="BE944" i="6"/>
  <c r="BF942" i="6"/>
  <c r="BD615" i="6"/>
  <c r="AY619" i="6"/>
  <c r="I884" i="6"/>
  <c r="I894" i="6" s="1"/>
  <c r="CQ880" i="6"/>
  <c r="CR1032" i="6"/>
  <c r="M1207" i="6"/>
  <c r="CR1207" i="6" s="1"/>
  <c r="AV644" i="6"/>
  <c r="AJ142" i="6"/>
  <c r="AK1162" i="6"/>
  <c r="AL1162" i="6" s="1"/>
  <c r="CW1162" i="6" s="1"/>
  <c r="M1042" i="6"/>
  <c r="CR1042" i="6" s="1"/>
  <c r="CR1041" i="6"/>
  <c r="BE279" i="42290"/>
  <c r="AZ703" i="6"/>
  <c r="AZ711" i="6"/>
  <c r="AZ713" i="6" s="1"/>
  <c r="BJ281" i="42290"/>
  <c r="DB906" i="6"/>
  <c r="BK927" i="6"/>
  <c r="BK925" i="6"/>
  <c r="DB925" i="6" s="1"/>
  <c r="K945" i="6"/>
  <c r="K967" i="6" s="1"/>
  <c r="K944" i="6"/>
  <c r="U1149" i="6"/>
  <c r="V1093" i="6"/>
  <c r="K18" i="42437"/>
  <c r="L18" i="42437"/>
  <c r="C19" i="42437"/>
  <c r="C50" i="42437"/>
  <c r="L50" i="42437" s="1"/>
  <c r="C53" i="42437"/>
  <c r="CF953" i="6"/>
  <c r="CF68" i="6" s="1"/>
  <c r="CG936" i="6"/>
  <c r="CG953" i="6" s="1"/>
  <c r="CG68" i="6" s="1"/>
  <c r="M1020" i="6"/>
  <c r="CR1020" i="6" s="1"/>
  <c r="E62" i="42446"/>
  <c r="U18" i="42467"/>
  <c r="U21" i="42467"/>
  <c r="CL260" i="42425"/>
  <c r="CD433" i="6"/>
  <c r="CE433" i="6" s="1"/>
  <c r="BU831" i="6"/>
  <c r="BU1040" i="6"/>
  <c r="BU1333" i="6" s="1"/>
  <c r="DD1333" i="6" s="1"/>
  <c r="DD1119" i="6"/>
  <c r="AU279" i="42290"/>
  <c r="BS1333" i="6"/>
  <c r="BU1039" i="6"/>
  <c r="DD1039" i="6" s="1"/>
  <c r="BK1023" i="6"/>
  <c r="DB1023" i="6" s="1"/>
  <c r="AQ138" i="6"/>
  <c r="CX138" i="6" s="1"/>
  <c r="AQ1025" i="6"/>
  <c r="CX1025" i="6" s="1"/>
  <c r="BC872" i="6"/>
  <c r="BZ1119" i="6"/>
  <c r="DE1119" i="6" s="1"/>
  <c r="CN1119" i="6"/>
  <c r="CO1119" i="6" s="1"/>
  <c r="BZ1077" i="6"/>
  <c r="DE1077" i="6" s="1"/>
  <c r="CN1077" i="6"/>
  <c r="CO1077" i="6" s="1"/>
  <c r="BZ114" i="6"/>
  <c r="CN114" i="6"/>
  <c r="CO114" i="6" s="1"/>
  <c r="BZ1139" i="6"/>
  <c r="BZ1148" i="6"/>
  <c r="BZ455" i="6"/>
  <c r="DE455" i="6" s="1"/>
  <c r="BZ1142" i="6"/>
  <c r="DE1142" i="6" s="1"/>
  <c r="BY27" i="6"/>
  <c r="BZ342" i="6"/>
  <c r="CN342" i="6"/>
  <c r="CO342" i="6" s="1"/>
  <c r="CN297" i="6"/>
  <c r="CO297" i="6" s="1"/>
  <c r="BZ297" i="6"/>
  <c r="BZ1122" i="6"/>
  <c r="CN1122" i="6"/>
  <c r="CO1122" i="6" s="1"/>
  <c r="CN11" i="6"/>
  <c r="CO11" i="6" s="1"/>
  <c r="BZ11" i="6"/>
  <c r="ES590" i="42458" s="1"/>
  <c r="ES610" i="42458" s="1"/>
  <c r="CA1054" i="6"/>
  <c r="DE1054" i="6"/>
  <c r="BZ1140" i="6"/>
  <c r="DE1140" i="6" s="1"/>
  <c r="CB266" i="42290"/>
  <c r="CG903" i="6"/>
  <c r="CG894" i="6"/>
  <c r="CG895" i="6" s="1"/>
  <c r="BZ1341" i="6"/>
  <c r="DE75" i="6"/>
  <c r="CA75" i="6"/>
  <c r="BZ340" i="6"/>
  <c r="DE340" i="6" s="1"/>
  <c r="CA339" i="6"/>
  <c r="BZ1164" i="6"/>
  <c r="BZ1146" i="6"/>
  <c r="BV178" i="42290"/>
  <c r="M35" i="42290"/>
  <c r="M39" i="42290" s="1"/>
  <c r="BO35" i="42290"/>
  <c r="U17" i="42467"/>
  <c r="U20" i="42467"/>
  <c r="D45" i="42451"/>
  <c r="G45" i="42451" s="1"/>
  <c r="C31" i="42455"/>
  <c r="K31" i="42455" s="1"/>
  <c r="G20" i="42447"/>
  <c r="BQ134" i="42290"/>
  <c r="BD183" i="42290"/>
  <c r="AO130" i="42290"/>
  <c r="AN134" i="42290"/>
  <c r="AD30" i="42290"/>
  <c r="BN30" i="42290"/>
  <c r="AY29" i="42290"/>
  <c r="BI134" i="42290"/>
  <c r="BP30" i="42290"/>
  <c r="BR130" i="42290"/>
  <c r="BM130" i="42290"/>
  <c r="BL134" i="42290"/>
  <c r="AT183" i="42290"/>
  <c r="AN181" i="42290"/>
  <c r="BH32" i="42290"/>
  <c r="BH35" i="42290" s="1"/>
  <c r="BF32" i="42290"/>
  <c r="F35" i="42290"/>
  <c r="F39" i="42290" s="1"/>
  <c r="W35" i="42290"/>
  <c r="W39" i="42290" s="1"/>
  <c r="C35" i="42290"/>
  <c r="C39" i="42290" s="1"/>
  <c r="BY279" i="42290"/>
  <c r="AQ35" i="42290"/>
  <c r="AQ39" i="42290" s="1"/>
  <c r="AG35" i="42290"/>
  <c r="AG39" i="42290" s="1"/>
  <c r="BC199" i="42290"/>
  <c r="AJ35" i="42290"/>
  <c r="AJ39" i="42290" s="1"/>
  <c r="BU296" i="42290"/>
  <c r="BU295" i="42290"/>
  <c r="BB174" i="42290"/>
  <c r="BB178" i="42290" s="1"/>
  <c r="BA174" i="42290"/>
  <c r="BT298" i="6"/>
  <c r="Q23" i="42467"/>
  <c r="U19" i="42467"/>
  <c r="C25" i="42467"/>
  <c r="U25" i="42467" s="1"/>
  <c r="D22" i="42450"/>
  <c r="G22" i="42450" s="1"/>
  <c r="G20" i="42450"/>
  <c r="D22" i="42447"/>
  <c r="D52" i="42447" s="1"/>
  <c r="F52" i="42447" s="1"/>
  <c r="BG176" i="42290"/>
  <c r="BM133" i="42290"/>
  <c r="BS133" i="42290"/>
  <c r="BK133" i="42290"/>
  <c r="BD181" i="42290"/>
  <c r="BA181" i="42290"/>
  <c r="BA185" i="42290" s="1"/>
  <c r="BL135" i="42290"/>
  <c r="BR135" i="42290"/>
  <c r="BP135" i="42290"/>
  <c r="AM135" i="42290"/>
  <c r="BG133" i="42290"/>
  <c r="AL132" i="42290"/>
  <c r="AO131" i="42290"/>
  <c r="BR29" i="42290"/>
  <c r="G51" i="42473"/>
  <c r="BF135" i="42290"/>
  <c r="AT176" i="42290"/>
  <c r="AR176" i="42290"/>
  <c r="BJ35" i="42290"/>
  <c r="BN32" i="42290"/>
  <c r="BL29" i="42290"/>
  <c r="BR32" i="42290"/>
  <c r="BQ32" i="42290"/>
  <c r="BQ35" i="42290" s="1"/>
  <c r="D50" i="42467"/>
  <c r="BL32" i="42290"/>
  <c r="BI32" i="42290"/>
  <c r="L279" i="42290"/>
  <c r="AZ279" i="42290"/>
  <c r="X35" i="42290"/>
  <c r="X39" i="42290" s="1"/>
  <c r="D35" i="42290"/>
  <c r="D39" i="42290" s="1"/>
  <c r="AH35" i="42290"/>
  <c r="AH39" i="42290" s="1"/>
  <c r="T294" i="42290"/>
  <c r="U921" i="6" s="1"/>
  <c r="U909" i="6" s="1"/>
  <c r="U910" i="6" s="1"/>
  <c r="AK279" i="42290"/>
  <c r="P35" i="42290"/>
  <c r="P39" i="42290" s="1"/>
  <c r="H753" i="6"/>
  <c r="CQ753" i="6" s="1"/>
  <c r="CQ291" i="6"/>
  <c r="I292" i="6"/>
  <c r="BU1168" i="6"/>
  <c r="BV1168" i="6" s="1"/>
  <c r="X137" i="42290"/>
  <c r="X144" i="42290" s="1"/>
  <c r="H148" i="6"/>
  <c r="CQ148" i="6" s="1"/>
  <c r="G292" i="6"/>
  <c r="F753" i="6"/>
  <c r="F292" i="6"/>
  <c r="H292" i="6"/>
  <c r="CQ292" i="6" s="1"/>
  <c r="DB145" i="6"/>
  <c r="E13" i="42419"/>
  <c r="H1224" i="6"/>
  <c r="H1347" i="6" s="1"/>
  <c r="G1347" i="6"/>
  <c r="AQ1023" i="6"/>
  <c r="CX1023" i="6" s="1"/>
  <c r="BF952" i="6"/>
  <c r="H1033" i="6"/>
  <c r="CQ1033" i="6" s="1"/>
  <c r="AQ1316" i="6"/>
  <c r="CX1316" i="6" s="1"/>
  <c r="CX1313" i="6"/>
  <c r="AU56" i="6"/>
  <c r="Y967" i="6"/>
  <c r="AD946" i="6"/>
  <c r="Y946" i="6"/>
  <c r="AV945" i="6"/>
  <c r="CY945" i="6" s="1"/>
  <c r="AV944" i="6"/>
  <c r="CY944" i="6" s="1"/>
  <c r="CY942" i="6"/>
  <c r="AX946" i="6"/>
  <c r="AS946" i="6"/>
  <c r="BV1101" i="6"/>
  <c r="BV1157" i="6" s="1"/>
  <c r="BV1089" i="6"/>
  <c r="W146" i="6"/>
  <c r="CT146" i="6" s="1"/>
  <c r="N35" i="42290"/>
  <c r="N39" i="42290" s="1"/>
  <c r="N137" i="42290"/>
  <c r="N144" i="42290" s="1"/>
  <c r="E35" i="42290"/>
  <c r="E39" i="42290" s="1"/>
  <c r="AY655" i="6"/>
  <c r="AY654" i="6"/>
  <c r="AY657" i="6"/>
  <c r="BT137" i="6"/>
  <c r="BU137" i="6" s="1"/>
  <c r="DD137" i="6" s="1"/>
  <c r="BY1024" i="6"/>
  <c r="BY137" i="6" s="1"/>
  <c r="BZ137" i="6" s="1"/>
  <c r="BU1024" i="6"/>
  <c r="BA968" i="6"/>
  <c r="CZ968" i="6" s="1"/>
  <c r="CZ1016" i="6"/>
  <c r="J878" i="6"/>
  <c r="J888" i="6" s="1"/>
  <c r="K877" i="6"/>
  <c r="D21" i="42474"/>
  <c r="BC51" i="6"/>
  <c r="M1026" i="6"/>
  <c r="CR1026" i="6" s="1"/>
  <c r="AA968" i="6"/>
  <c r="AB968" i="6" s="1"/>
  <c r="CU968" i="6" s="1"/>
  <c r="AA141" i="6"/>
  <c r="AB141" i="6" s="1"/>
  <c r="CU141" i="6" s="1"/>
  <c r="BW1110" i="6"/>
  <c r="BW1167" i="6" s="1"/>
  <c r="BV119" i="6"/>
  <c r="DA1097" i="6"/>
  <c r="BG1097" i="6"/>
  <c r="BG1153" i="6" s="1"/>
  <c r="BY345" i="6"/>
  <c r="BZ345" i="6" s="1"/>
  <c r="C45" i="42421" s="1"/>
  <c r="AT1198" i="6"/>
  <c r="AU1198" i="6" s="1"/>
  <c r="AS1207" i="6"/>
  <c r="X1096" i="6"/>
  <c r="X1152" i="6" s="1"/>
  <c r="CT1096" i="6"/>
  <c r="I143" i="6"/>
  <c r="M1200" i="6"/>
  <c r="CR1200" i="6" s="1"/>
  <c r="BX39" i="6"/>
  <c r="BX347" i="6"/>
  <c r="BX346" i="6"/>
  <c r="I331" i="6"/>
  <c r="I336" i="6" s="1"/>
  <c r="I337" i="6" s="1"/>
  <c r="BW1147" i="6"/>
  <c r="BX1091" i="6"/>
  <c r="BU840" i="6"/>
  <c r="DD840" i="6" s="1"/>
  <c r="BZ279" i="42290"/>
  <c r="BR1191" i="6"/>
  <c r="BV1191" i="6"/>
  <c r="P137" i="42290"/>
  <c r="P144" i="42290" s="1"/>
  <c r="AT35" i="42290"/>
  <c r="BV1105" i="6"/>
  <c r="BW1105" i="6" s="1"/>
  <c r="BX1105" i="6" s="1"/>
  <c r="BY1105" i="6" s="1"/>
  <c r="DD1068" i="6"/>
  <c r="BV1068" i="6"/>
  <c r="BW1068" i="6" s="1"/>
  <c r="BX1068" i="6" s="1"/>
  <c r="BY1068" i="6" s="1"/>
  <c r="W1023" i="6"/>
  <c r="CT1023" i="6" s="1"/>
  <c r="BK146" i="6"/>
  <c r="DB146" i="6" s="1"/>
  <c r="BD653" i="6"/>
  <c r="BI649" i="6"/>
  <c r="BS1192" i="6"/>
  <c r="BW1192" i="6"/>
  <c r="AE290" i="42290"/>
  <c r="AE292" i="42290" s="1"/>
  <c r="AE294" i="42290" s="1"/>
  <c r="AD290" i="42290"/>
  <c r="AD292" i="42290" s="1"/>
  <c r="AB290" i="42290"/>
  <c r="AB292" i="42290" s="1"/>
  <c r="AC290" i="42290"/>
  <c r="AC292" i="42290" s="1"/>
  <c r="AF292" i="42290"/>
  <c r="C21" i="42474"/>
  <c r="BK48" i="6"/>
  <c r="BH51" i="6"/>
  <c r="D21" i="42475"/>
  <c r="BE51" i="6"/>
  <c r="C21" i="42471"/>
  <c r="M139" i="6"/>
  <c r="CR139" i="6" s="1"/>
  <c r="BW333" i="6"/>
  <c r="BW334" i="6" s="1"/>
  <c r="BX1075" i="6"/>
  <c r="BX287" i="6"/>
  <c r="BG811" i="6"/>
  <c r="BG821" i="6"/>
  <c r="CX1124" i="6"/>
  <c r="AR172" i="6"/>
  <c r="AQ172" i="6"/>
  <c r="J17" i="42453"/>
  <c r="AV172" i="6"/>
  <c r="B43" i="42457"/>
  <c r="AF944" i="6"/>
  <c r="AG942" i="6"/>
  <c r="AF945" i="6"/>
  <c r="AF967" i="6" s="1"/>
  <c r="BG800" i="6"/>
  <c r="BG802" i="6" s="1"/>
  <c r="Q944" i="6"/>
  <c r="Q945" i="6"/>
  <c r="DG817" i="6"/>
  <c r="CC817" i="6"/>
  <c r="CD817" i="6" s="1"/>
  <c r="CE817" i="6" s="1"/>
  <c r="CF817" i="6" s="1"/>
  <c r="CG817" i="6" s="1"/>
  <c r="Q968" i="6"/>
  <c r="R968" i="6" s="1"/>
  <c r="CS968" i="6" s="1"/>
  <c r="Q141" i="6"/>
  <c r="R141" i="6" s="1"/>
  <c r="CS141" i="6" s="1"/>
  <c r="AO877" i="6"/>
  <c r="AP878" i="6" s="1"/>
  <c r="AP888" i="6" s="1"/>
  <c r="AP889" i="6" s="1"/>
  <c r="AN878" i="6"/>
  <c r="AN888" i="6" s="1"/>
  <c r="AN889" i="6" s="1"/>
  <c r="BF48" i="6"/>
  <c r="D22" i="42451"/>
  <c r="D27" i="42451" s="1"/>
  <c r="U24" i="42455"/>
  <c r="L24" i="42455"/>
  <c r="BM134" i="42290"/>
  <c r="BN134" i="42290"/>
  <c r="BB183" i="42290"/>
  <c r="BB185" i="42290" s="1"/>
  <c r="BF132" i="42290"/>
  <c r="AL130" i="42290"/>
  <c r="AO134" i="42290"/>
  <c r="AC30" i="42290"/>
  <c r="BS30" i="42290"/>
  <c r="BR30" i="42290"/>
  <c r="BO279" i="42290"/>
  <c r="AV29" i="42290"/>
  <c r="AN133" i="42290"/>
  <c r="BL30" i="42290"/>
  <c r="BS134" i="42290"/>
  <c r="BP132" i="42290"/>
  <c r="AP185" i="42290"/>
  <c r="BS130" i="42290"/>
  <c r="BQ130" i="42290"/>
  <c r="BP130" i="42290"/>
  <c r="AM182" i="42290"/>
  <c r="AH137" i="42290"/>
  <c r="AH144" i="42290" s="1"/>
  <c r="AM181" i="42290"/>
  <c r="AO181" i="42290"/>
  <c r="BQ131" i="42290"/>
  <c r="AR175" i="42290"/>
  <c r="BK30" i="42290"/>
  <c r="AT175" i="42290"/>
  <c r="AO182" i="42290"/>
  <c r="BK131" i="42290"/>
  <c r="AQ175" i="42290"/>
  <c r="AR137" i="42290"/>
  <c r="AU206" i="42290"/>
  <c r="AU208" i="42290" s="1"/>
  <c r="AF279" i="42290"/>
  <c r="Z35" i="42290"/>
  <c r="Z39" i="42290" s="1"/>
  <c r="AM133" i="42290"/>
  <c r="AS137" i="42290"/>
  <c r="AS144" i="42290" s="1"/>
  <c r="D26" i="42441"/>
  <c r="D33" i="42441" s="1"/>
  <c r="D36" i="42441" s="1"/>
  <c r="D39" i="42441" s="1"/>
  <c r="D41" i="42441" s="1"/>
  <c r="D52" i="42441"/>
  <c r="D55" i="42441" s="1"/>
  <c r="AL183" i="42290"/>
  <c r="AL185" i="42290" s="1"/>
  <c r="AO183" i="42290"/>
  <c r="AM183" i="42290"/>
  <c r="AN183" i="42290"/>
  <c r="AT174" i="42290"/>
  <c r="AR174" i="42290"/>
  <c r="AR35" i="42290"/>
  <c r="AR39" i="42290" s="1"/>
  <c r="BT137" i="42290"/>
  <c r="BX301" i="6"/>
  <c r="BX298" i="6"/>
  <c r="BX10" i="6"/>
  <c r="BL132" i="42290"/>
  <c r="BN132" i="42290"/>
  <c r="BM132" i="42290"/>
  <c r="BD174" i="42290"/>
  <c r="BD178" i="42290" s="1"/>
  <c r="D45" i="42450"/>
  <c r="G45" i="42450" s="1"/>
  <c r="CB260" i="42425"/>
  <c r="BI181" i="42290"/>
  <c r="BO137" i="42290"/>
  <c r="AQ203" i="42290"/>
  <c r="AQ206" i="42290" s="1"/>
  <c r="AQ208" i="42290" s="1"/>
  <c r="AR578" i="6" s="1"/>
  <c r="AR581" i="6" s="1"/>
  <c r="AS203" i="42290"/>
  <c r="AS206" i="42290" s="1"/>
  <c r="AS208" i="42290" s="1"/>
  <c r="AT578" i="6" s="1"/>
  <c r="AT581" i="6" s="1"/>
  <c r="AC32" i="42290"/>
  <c r="AL134" i="42290"/>
  <c r="AD32" i="42290"/>
  <c r="AX29" i="42290"/>
  <c r="BR199" i="42290"/>
  <c r="K31" i="42290"/>
  <c r="AC282" i="42290"/>
  <c r="AC288" i="42290" s="1"/>
  <c r="AM283" i="42290"/>
  <c r="AM282" i="42290" s="1"/>
  <c r="BK132" i="42290"/>
  <c r="AO174" i="42290"/>
  <c r="BP131" i="42290"/>
  <c r="BM131" i="42290"/>
  <c r="BR131" i="42290"/>
  <c r="AL174" i="42290"/>
  <c r="BL131" i="42290"/>
  <c r="BN131" i="42290"/>
  <c r="AQ182" i="42290"/>
  <c r="AQ185" i="42290" s="1"/>
  <c r="AE32" i="42290"/>
  <c r="BY298" i="6"/>
  <c r="BY10" i="6"/>
  <c r="BY301" i="6"/>
  <c r="BQ132" i="42290"/>
  <c r="G52" i="42468"/>
  <c r="L52" i="42468"/>
  <c r="BK199" i="42290"/>
  <c r="AJ55" i="6"/>
  <c r="AJ52" i="6"/>
  <c r="BD796" i="6"/>
  <c r="BD800" i="6"/>
  <c r="BD802" i="6" s="1"/>
  <c r="AK889" i="6"/>
  <c r="G945" i="6"/>
  <c r="G944" i="6"/>
  <c r="P974" i="6"/>
  <c r="R974" i="6" s="1"/>
  <c r="CS974" i="6" s="1"/>
  <c r="R970" i="6"/>
  <c r="CS970" i="6" s="1"/>
  <c r="AI883" i="6"/>
  <c r="AH880" i="6"/>
  <c r="S944" i="6"/>
  <c r="S945" i="6"/>
  <c r="BL802" i="6"/>
  <c r="BH796" i="6"/>
  <c r="BJ279" i="42290"/>
  <c r="BS853" i="6"/>
  <c r="BS856" i="6" s="1"/>
  <c r="CW878" i="6"/>
  <c r="AK290" i="42290"/>
  <c r="AL888" i="6"/>
  <c r="BD811" i="6"/>
  <c r="BD821" i="6"/>
  <c r="BI1100" i="6"/>
  <c r="BJ1156" i="6" s="1"/>
  <c r="AJ889" i="6"/>
  <c r="P944" i="6"/>
  <c r="P945" i="6"/>
  <c r="AY370" i="6"/>
  <c r="AY412" i="6" s="1"/>
  <c r="AY475" i="6" s="1"/>
  <c r="AX412" i="6"/>
  <c r="BU850" i="6"/>
  <c r="Z333" i="6"/>
  <c r="AA334" i="6" s="1"/>
  <c r="Y35" i="42290"/>
  <c r="Y39" i="42290" s="1"/>
  <c r="BI333" i="6"/>
  <c r="BJ333" i="6" s="1"/>
  <c r="BJ334" i="6" s="1"/>
  <c r="BH334" i="6"/>
  <c r="CB1056" i="6"/>
  <c r="DF1056" i="6"/>
  <c r="CA333" i="6"/>
  <c r="DE333" i="6"/>
  <c r="AI753" i="6"/>
  <c r="AJ333" i="6"/>
  <c r="AJ334" i="6" s="1"/>
  <c r="Q1207" i="6"/>
  <c r="Q1198" i="6" s="1"/>
  <c r="Q147" i="6" s="1"/>
  <c r="Q1035" i="6"/>
  <c r="CW1032" i="6"/>
  <c r="AL1035" i="6"/>
  <c r="CW1035" i="6" s="1"/>
  <c r="AJ945" i="6"/>
  <c r="AJ944" i="6"/>
  <c r="AI334" i="6"/>
  <c r="AL1207" i="6"/>
  <c r="CW1207" i="6" s="1"/>
  <c r="AK1198" i="6"/>
  <c r="AK147" i="6" s="1"/>
  <c r="G1152" i="6"/>
  <c r="H1152" i="6" s="1"/>
  <c r="CQ1152" i="6" s="1"/>
  <c r="H1096" i="6"/>
  <c r="G1114" i="6"/>
  <c r="R1207" i="6"/>
  <c r="CS1207" i="6" s="1"/>
  <c r="CS1032" i="6"/>
  <c r="L148" i="6"/>
  <c r="M148" i="6" s="1"/>
  <c r="CR148" i="6" s="1"/>
  <c r="M1033" i="6"/>
  <c r="L1035" i="6"/>
  <c r="BE35" i="42290"/>
  <c r="BR853" i="6"/>
  <c r="BR856" i="6" s="1"/>
  <c r="BE1186" i="6"/>
  <c r="BA1186" i="6"/>
  <c r="CZ1186" i="6" s="1"/>
  <c r="DB1306" i="6"/>
  <c r="BP1306" i="6"/>
  <c r="DC1306" i="6" s="1"/>
  <c r="AX1190" i="6"/>
  <c r="BC1187" i="6"/>
  <c r="P291" i="6"/>
  <c r="N753" i="6"/>
  <c r="O291" i="6"/>
  <c r="O292" i="6" s="1"/>
  <c r="N292" i="6"/>
  <c r="CQ1031" i="6"/>
  <c r="H1035" i="6"/>
  <c r="CQ1035" i="6" s="1"/>
  <c r="AU1187" i="6"/>
  <c r="AV1187" i="6" s="1"/>
  <c r="CY1187" i="6" s="1"/>
  <c r="AY1187" i="6"/>
  <c r="AT1190" i="6"/>
  <c r="M137" i="42290"/>
  <c r="M144" i="42290" s="1"/>
  <c r="AK145" i="6"/>
  <c r="AL145" i="6" s="1"/>
  <c r="CW145" i="6" s="1"/>
  <c r="AL1021" i="6"/>
  <c r="CW1021" i="6" s="1"/>
  <c r="AR183" i="42290"/>
  <c r="AS183" i="42290"/>
  <c r="AS185" i="42290" s="1"/>
  <c r="H26" i="6"/>
  <c r="CR245" i="6"/>
  <c r="M247" i="6"/>
  <c r="CR247" i="6" s="1"/>
  <c r="CR270" i="6"/>
  <c r="M271" i="6"/>
  <c r="CR271" i="6" s="1"/>
  <c r="M272" i="6"/>
  <c r="CR272" i="6" s="1"/>
  <c r="DD1105" i="6"/>
  <c r="G46" i="42457"/>
  <c r="AL176" i="42290"/>
  <c r="BI132" i="42290"/>
  <c r="J33" i="42290"/>
  <c r="J31" i="42290"/>
  <c r="AT182" i="42290"/>
  <c r="AR182" i="42290"/>
  <c r="AN176" i="42290"/>
  <c r="AN178" i="42290" s="1"/>
  <c r="BH132" i="42290"/>
  <c r="I33" i="42290"/>
  <c r="H31" i="42290"/>
  <c r="H33" i="42290"/>
  <c r="AG137" i="42290"/>
  <c r="AG144" i="42290" s="1"/>
  <c r="AQ137" i="42290"/>
  <c r="DD850" i="6"/>
  <c r="FU490" i="42425"/>
  <c r="DO549" i="42458"/>
  <c r="BY306" i="6" s="1"/>
  <c r="DO561" i="42458"/>
  <c r="DO563" i="42458" s="1"/>
  <c r="AY125" i="42290"/>
  <c r="AT142" i="42290"/>
  <c r="BX306" i="6"/>
  <c r="U337" i="6"/>
  <c r="AT145" i="6"/>
  <c r="AV145" i="6" s="1"/>
  <c r="AV1022" i="6"/>
  <c r="CY1022" i="6" s="1"/>
  <c r="AV125" i="42290"/>
  <c r="AQ142" i="42290"/>
  <c r="DE114" i="6"/>
  <c r="AN120" i="42447"/>
  <c r="AN121" i="42447" s="1"/>
  <c r="BS314" i="6"/>
  <c r="BS313" i="6" s="1"/>
  <c r="CQ331" i="6"/>
  <c r="H336" i="6"/>
  <c r="CQ336" i="6" s="1"/>
  <c r="BO1022" i="6"/>
  <c r="BP1022" i="6" s="1"/>
  <c r="DC1022" i="6" s="1"/>
  <c r="AS384" i="6"/>
  <c r="BE800" i="6"/>
  <c r="BE802" i="6" s="1"/>
  <c r="AU40" i="42446"/>
  <c r="AV15" i="42446"/>
  <c r="D63" i="42434"/>
  <c r="E59" i="42434"/>
  <c r="N95" i="42434"/>
  <c r="L95" i="42434" s="1"/>
  <c r="AC138" i="42434"/>
  <c r="AP124" i="42443"/>
  <c r="AP125" i="42443" s="1"/>
  <c r="AN112" i="42447"/>
  <c r="AN119" i="42447" s="1"/>
  <c r="AN113" i="42447"/>
  <c r="BO1199" i="6"/>
  <c r="BP1032" i="6"/>
  <c r="BO1035" i="6"/>
  <c r="BE254" i="42290"/>
  <c r="AZ257" i="42290"/>
  <c r="BP1191" i="6"/>
  <c r="DC1191" i="6" s="1"/>
  <c r="GT640" i="42425"/>
  <c r="DD777" i="6"/>
  <c r="BU845" i="6"/>
  <c r="BV845" i="6" s="1"/>
  <c r="BP1165" i="6"/>
  <c r="CB834" i="6"/>
  <c r="AT291" i="6"/>
  <c r="BR865" i="6"/>
  <c r="BU859" i="6"/>
  <c r="BQ314" i="6"/>
  <c r="BJ203" i="42290"/>
  <c r="BI203" i="42290" s="1"/>
  <c r="BI206" i="42290" s="1"/>
  <c r="BI130" i="42290"/>
  <c r="BI131" i="42290"/>
  <c r="BH135" i="42290"/>
  <c r="BF181" i="42290"/>
  <c r="BG181" i="42290"/>
  <c r="BH130" i="42290"/>
  <c r="BG131" i="42290"/>
  <c r="I288" i="6"/>
  <c r="AS100" i="42416"/>
  <c r="AS101" i="42416" s="1"/>
  <c r="AQ751" i="6"/>
  <c r="CX751" i="6" s="1"/>
  <c r="AM174" i="42290"/>
  <c r="AM178" i="42290" s="1"/>
  <c r="AP178" i="42290"/>
  <c r="BH181" i="42290"/>
  <c r="BF130" i="42290"/>
  <c r="BJ137" i="42290"/>
  <c r="AJ137" i="42290"/>
  <c r="AJ144" i="42290" s="1"/>
  <c r="AI137" i="42290"/>
  <c r="AI144" i="42290" s="1"/>
  <c r="DF433" i="6"/>
  <c r="BV24" i="42290"/>
  <c r="BV31" i="42290" s="1"/>
  <c r="V1150" i="6"/>
  <c r="W1150" i="6" s="1"/>
  <c r="CT1150" i="6" s="1"/>
  <c r="BC803" i="6"/>
  <c r="BC805" i="6"/>
  <c r="BC806" i="6" s="1"/>
  <c r="AZ35" i="42290"/>
  <c r="X1094" i="6"/>
  <c r="CT1094" i="6"/>
  <c r="BM820" i="6"/>
  <c r="BN817" i="6"/>
  <c r="BO817" i="6" s="1"/>
  <c r="BB31" i="42290"/>
  <c r="BD31" i="42290"/>
  <c r="BC31" i="42290"/>
  <c r="BA31" i="42290"/>
  <c r="BN800" i="6"/>
  <c r="BD30" i="42290"/>
  <c r="BC30" i="42290"/>
  <c r="BC35" i="42290" s="1"/>
  <c r="BA30" i="42290"/>
  <c r="BA35" i="42290" s="1"/>
  <c r="BB30" i="42290"/>
  <c r="BL869" i="6"/>
  <c r="BL823" i="6"/>
  <c r="BL203" i="42290"/>
  <c r="BL206" i="42290" s="1"/>
  <c r="BU129" i="42290"/>
  <c r="AT137" i="42290"/>
  <c r="AT144" i="42290" s="1"/>
  <c r="BV296" i="42290"/>
  <c r="BV295" i="42290"/>
  <c r="J30" i="42290"/>
  <c r="K30" i="42290"/>
  <c r="H30" i="42290"/>
  <c r="I30" i="42290"/>
  <c r="BW296" i="42290"/>
  <c r="BW295" i="42290"/>
  <c r="BS181" i="42290"/>
  <c r="BQ203" i="42290"/>
  <c r="BQ206" i="42290" s="1"/>
  <c r="BU135" i="42290"/>
  <c r="BU132" i="42290"/>
  <c r="BM181" i="42290"/>
  <c r="BM185" i="42290" s="1"/>
  <c r="AB137" i="42290"/>
  <c r="AB144" i="42290" s="1"/>
  <c r="BU131" i="42290"/>
  <c r="BP1273" i="6"/>
  <c r="BU30" i="42290"/>
  <c r="BU32" i="42290"/>
  <c r="DG433" i="6"/>
  <c r="CD1203" i="6"/>
  <c r="CC143" i="6"/>
  <c r="DG143" i="6"/>
  <c r="BW24" i="42290"/>
  <c r="BW29" i="42290" s="1"/>
  <c r="BU134" i="42290"/>
  <c r="BU130" i="42290"/>
  <c r="BT199" i="42290"/>
  <c r="BE803" i="6"/>
  <c r="DE840" i="6"/>
  <c r="DE842" i="6"/>
  <c r="DB828" i="6"/>
  <c r="CA834" i="6"/>
  <c r="BO853" i="6"/>
  <c r="BO856" i="6" s="1"/>
  <c r="BB872" i="6"/>
  <c r="BF785" i="6"/>
  <c r="DA785" i="6" s="1"/>
  <c r="BE840" i="6"/>
  <c r="BF828" i="6"/>
  <c r="BE831" i="6"/>
  <c r="BF831" i="6" s="1"/>
  <c r="DA831" i="6" s="1"/>
  <c r="BE811" i="6"/>
  <c r="BF809" i="6"/>
  <c r="BE821" i="6"/>
  <c r="DF840" i="6"/>
  <c r="CA842" i="6"/>
  <c r="DF842" i="6" s="1"/>
  <c r="DE831" i="6"/>
  <c r="CB837" i="6"/>
  <c r="CB835" i="6"/>
  <c r="DG835" i="6" s="1"/>
  <c r="DG834" i="6"/>
  <c r="BE859" i="6"/>
  <c r="BE865" i="6" s="1"/>
  <c r="BE850" i="6"/>
  <c r="BF850" i="6" s="1"/>
  <c r="DA850" i="6" s="1"/>
  <c r="BE796" i="6"/>
  <c r="BE805" i="6" s="1"/>
  <c r="BE806" i="6" s="1"/>
  <c r="BF794" i="6"/>
  <c r="BJ802" i="6"/>
  <c r="AQ35" i="6"/>
  <c r="CX35" i="6" s="1"/>
  <c r="BP313" i="6"/>
  <c r="DC310" i="6"/>
  <c r="BP312" i="6"/>
  <c r="DC312" i="6" s="1"/>
  <c r="BU31" i="42290"/>
  <c r="BU29" i="42290"/>
  <c r="K9" i="42457"/>
  <c r="F20" i="42446"/>
  <c r="BO127" i="6"/>
  <c r="BP38" i="6"/>
  <c r="BP307" i="6"/>
  <c r="DC307" i="6" s="1"/>
  <c r="BP308" i="6"/>
  <c r="ER596" i="42458"/>
  <c r="BT80" i="42290"/>
  <c r="BT84" i="42290" s="1"/>
  <c r="BT87" i="42290" s="1"/>
  <c r="DD434" i="6"/>
  <c r="BU455" i="6"/>
  <c r="DD455" i="6" s="1"/>
  <c r="ES596" i="42458"/>
  <c r="EQ589" i="42458"/>
  <c r="EQ609" i="42458" s="1"/>
  <c r="O116" i="6"/>
  <c r="R116" i="6" s="1"/>
  <c r="G1220" i="6"/>
  <c r="M260" i="6"/>
  <c r="BG70" i="6"/>
  <c r="BG80" i="6" s="1"/>
  <c r="BG1259" i="6"/>
  <c r="BG1261" i="6" s="1"/>
  <c r="BG57" i="6"/>
  <c r="M967" i="6"/>
  <c r="CR967" i="6" s="1"/>
  <c r="AW653" i="6"/>
  <c r="BB649" i="6"/>
  <c r="AW650" i="6"/>
  <c r="R336" i="6"/>
  <c r="CS336" i="6" s="1"/>
  <c r="CS331" i="6"/>
  <c r="CV331" i="6"/>
  <c r="AG336" i="6"/>
  <c r="CV336" i="6" s="1"/>
  <c r="BG113" i="6"/>
  <c r="BG116" i="6" s="1"/>
  <c r="BM175" i="42425"/>
  <c r="AR749" i="6"/>
  <c r="AR751" i="6" s="1"/>
  <c r="BK1042" i="6"/>
  <c r="DB1042" i="6" s="1"/>
  <c r="DB1038" i="6"/>
  <c r="BD291" i="6"/>
  <c r="BF1341" i="6"/>
  <c r="BB1154" i="6"/>
  <c r="U279" i="42290"/>
  <c r="U294" i="42290" s="1"/>
  <c r="U295" i="42290" s="1"/>
  <c r="T337" i="6"/>
  <c r="O337" i="6"/>
  <c r="AT206" i="42290"/>
  <c r="AT208" i="42290" s="1"/>
  <c r="AU578" i="6" s="1"/>
  <c r="AU579" i="6" s="1"/>
  <c r="D98" i="42290"/>
  <c r="D100" i="42290" s="1"/>
  <c r="G96" i="42290"/>
  <c r="G98" i="42290" s="1"/>
  <c r="G100" i="42290" s="1"/>
  <c r="BD542" i="6"/>
  <c r="BI542" i="6"/>
  <c r="AZ714" i="6"/>
  <c r="BK867" i="6"/>
  <c r="Q753" i="6"/>
  <c r="AW426" i="6"/>
  <c r="R22" i="6"/>
  <c r="CS22" i="6" s="1"/>
  <c r="AQ34" i="6"/>
  <c r="CX34" i="6" s="1"/>
  <c r="BF574" i="6"/>
  <c r="AR426" i="6"/>
  <c r="AD137" i="42290"/>
  <c r="AD144" i="42290" s="1"/>
  <c r="W1015" i="6"/>
  <c r="CT1015" i="6" s="1"/>
  <c r="E495" i="6"/>
  <c r="E489" i="6"/>
  <c r="H447" i="6"/>
  <c r="V277" i="42290"/>
  <c r="V279" i="42290" s="1"/>
  <c r="V294" i="42290" s="1"/>
  <c r="V296" i="42290" s="1"/>
  <c r="AZ615" i="6"/>
  <c r="AU619" i="6"/>
  <c r="AU616" i="6"/>
  <c r="BF540" i="6"/>
  <c r="BF542" i="6" s="1"/>
  <c r="M336" i="6"/>
  <c r="BS149" i="6"/>
  <c r="BU148" i="6" s="1"/>
  <c r="DD148" i="6" s="1"/>
  <c r="W140" i="6"/>
  <c r="CT140" i="6" s="1"/>
  <c r="Q495" i="6"/>
  <c r="Q496" i="6" s="1"/>
  <c r="Q497" i="6" s="1"/>
  <c r="V468" i="6"/>
  <c r="Q468" i="6"/>
  <c r="BG503" i="6"/>
  <c r="BG510" i="6"/>
  <c r="BG501" i="6"/>
  <c r="AT750" i="6"/>
  <c r="CJ262" i="42425"/>
  <c r="CJ264" i="42425" s="1"/>
  <c r="CJ259" i="42425"/>
  <c r="CJ260" i="42425" s="1"/>
  <c r="C53" i="42441"/>
  <c r="L18" i="42441"/>
  <c r="K18" i="42441"/>
  <c r="C50" i="42441"/>
  <c r="L50" i="42441" s="1"/>
  <c r="G18" i="42441"/>
  <c r="C19" i="42441"/>
  <c r="F18" i="42441"/>
  <c r="AI121" i="6"/>
  <c r="AL121" i="6" s="1"/>
  <c r="CW121" i="6" s="1"/>
  <c r="AI51" i="6"/>
  <c r="AI130" i="6"/>
  <c r="AL45" i="6"/>
  <c r="CG262" i="42425"/>
  <c r="CG264" i="42425" s="1"/>
  <c r="CG259" i="42425"/>
  <c r="BB30" i="6"/>
  <c r="BT429" i="6"/>
  <c r="AZ649" i="6"/>
  <c r="BA649" i="6" s="1"/>
  <c r="AU650" i="6"/>
  <c r="AU653" i="6"/>
  <c r="BA945" i="6"/>
  <c r="CZ942" i="6"/>
  <c r="BA944" i="6"/>
  <c r="CZ944" i="6" s="1"/>
  <c r="BF450" i="6"/>
  <c r="DA450" i="6" s="1"/>
  <c r="DA429" i="6"/>
  <c r="AU510" i="6"/>
  <c r="AU501" i="6"/>
  <c r="AU503" i="6"/>
  <c r="AW503" i="6"/>
  <c r="BB505" i="6" s="1"/>
  <c r="AW510" i="6"/>
  <c r="AW501" i="6"/>
  <c r="AM426" i="6"/>
  <c r="BM429" i="6"/>
  <c r="AM130" i="6"/>
  <c r="AM121" i="6"/>
  <c r="AQ121" i="6" s="1"/>
  <c r="CX121" i="6" s="1"/>
  <c r="AM51" i="6"/>
  <c r="AM1351" i="6"/>
  <c r="AM154" i="6"/>
  <c r="C53" i="42432"/>
  <c r="K18" i="42432"/>
  <c r="C50" i="42432"/>
  <c r="L50" i="42432" s="1"/>
  <c r="C19" i="42432"/>
  <c r="L18" i="42432"/>
  <c r="AI942" i="6"/>
  <c r="AI938" i="6"/>
  <c r="CR330" i="6"/>
  <c r="N331" i="6"/>
  <c r="N336" i="6" s="1"/>
  <c r="BF907" i="6"/>
  <c r="DA907" i="6" s="1"/>
  <c r="BF928" i="6"/>
  <c r="DA928" i="6" s="1"/>
  <c r="BK907" i="6"/>
  <c r="DB907" i="6" s="1"/>
  <c r="BF925" i="6"/>
  <c r="DA925" i="6" s="1"/>
  <c r="DA906" i="6"/>
  <c r="BF914" i="6"/>
  <c r="BE281" i="42290"/>
  <c r="BN429" i="6"/>
  <c r="BI805" i="6"/>
  <c r="BI806" i="6" s="1"/>
  <c r="Z291" i="6"/>
  <c r="Z292" i="6" s="1"/>
  <c r="Y753" i="6"/>
  <c r="AL1127" i="6"/>
  <c r="CW1127" i="6" s="1"/>
  <c r="CW1079" i="6"/>
  <c r="BE946" i="6"/>
  <c r="AZ946" i="6"/>
  <c r="BL429" i="6"/>
  <c r="BK429" i="6"/>
  <c r="AN384" i="6"/>
  <c r="AY505" i="6"/>
  <c r="AY30" i="6"/>
  <c r="D49" i="42448"/>
  <c r="G49" i="42448" s="1"/>
  <c r="G19" i="42448"/>
  <c r="D20" i="42448"/>
  <c r="F19" i="42448"/>
  <c r="F20" i="42448" s="1"/>
  <c r="F22" i="42448" s="1"/>
  <c r="F27" i="42448" s="1"/>
  <c r="F18" i="42442"/>
  <c r="F19" i="42442" s="1"/>
  <c r="F21" i="42442" s="1"/>
  <c r="F26" i="42442" s="1"/>
  <c r="D50" i="42442"/>
  <c r="G18" i="42442"/>
  <c r="D19" i="42442"/>
  <c r="V337" i="6"/>
  <c r="AA337" i="6"/>
  <c r="BB501" i="6"/>
  <c r="AX30" i="6"/>
  <c r="AX505" i="6"/>
  <c r="BK1305" i="6"/>
  <c r="DA1305" i="6"/>
  <c r="BF1309" i="6"/>
  <c r="DA1309" i="6" s="1"/>
  <c r="CY1224" i="6"/>
  <c r="AV1347" i="6"/>
  <c r="AM938" i="6"/>
  <c r="AM942" i="6"/>
  <c r="CT331" i="6"/>
  <c r="W336" i="6"/>
  <c r="L337" i="6"/>
  <c r="Q337" i="6"/>
  <c r="BB615" i="6"/>
  <c r="AW616" i="6"/>
  <c r="AW619" i="6"/>
  <c r="AX405" i="6"/>
  <c r="AY387" i="6"/>
  <c r="AA944" i="6"/>
  <c r="AA945" i="6"/>
  <c r="AB942" i="6"/>
  <c r="H52" i="6"/>
  <c r="CQ52" i="6" s="1"/>
  <c r="D25" i="42467"/>
  <c r="D32" i="42467" s="1"/>
  <c r="D37" i="42467" s="1"/>
  <c r="C31" i="42454"/>
  <c r="L31" i="42454" s="1"/>
  <c r="G23" i="42467"/>
  <c r="AE1220" i="6"/>
  <c r="BJ70" i="6"/>
  <c r="BJ80" i="6" s="1"/>
  <c r="U12" i="42457"/>
  <c r="U16" i="42457" s="1"/>
  <c r="BJ113" i="6"/>
  <c r="BJ116" i="6" s="1"/>
  <c r="BJ118" i="6" s="1"/>
  <c r="BJ60" i="6"/>
  <c r="M1198" i="6"/>
  <c r="AV30" i="42290"/>
  <c r="AW30" i="42290"/>
  <c r="AY30" i="42290"/>
  <c r="AX30" i="42290"/>
  <c r="AU430" i="6"/>
  <c r="AU447" i="6" s="1"/>
  <c r="AO96" i="42290"/>
  <c r="AO98" i="42290" s="1"/>
  <c r="AO100" i="42290" s="1"/>
  <c r="AP472" i="6"/>
  <c r="AD29" i="42290"/>
  <c r="AE29" i="42290"/>
  <c r="AB29" i="42290"/>
  <c r="AC29" i="42290"/>
  <c r="AV31" i="42290"/>
  <c r="AX31" i="42290"/>
  <c r="AW31" i="42290"/>
  <c r="AY31" i="42290"/>
  <c r="AK495" i="6"/>
  <c r="AK496" i="6" s="1"/>
  <c r="AK468" i="6"/>
  <c r="AO367" i="6"/>
  <c r="AN409" i="6"/>
  <c r="BP476" i="6"/>
  <c r="DC476" i="6" s="1"/>
  <c r="DC413" i="6"/>
  <c r="CA392" i="6"/>
  <c r="DE392" i="6"/>
  <c r="AY33" i="42290"/>
  <c r="AW33" i="42290"/>
  <c r="AX33" i="42290"/>
  <c r="AV33" i="42290"/>
  <c r="AC31" i="42290"/>
  <c r="AE31" i="42290"/>
  <c r="AD31" i="42290"/>
  <c r="AB31" i="42290"/>
  <c r="DB1032" i="6"/>
  <c r="BK1035" i="6"/>
  <c r="DB1035" i="6" s="1"/>
  <c r="AR695" i="6"/>
  <c r="AR696" i="6" s="1"/>
  <c r="AR598" i="6"/>
  <c r="AR599" i="6" s="1"/>
  <c r="BM805" i="6"/>
  <c r="BM806" i="6" s="1"/>
  <c r="BM803" i="6"/>
  <c r="AE1200" i="6"/>
  <c r="CZ1041" i="6"/>
  <c r="BA1042" i="6"/>
  <c r="CZ1042" i="6" s="1"/>
  <c r="V1035" i="6"/>
  <c r="V1207" i="6"/>
  <c r="V1198" i="6" s="1"/>
  <c r="V147" i="6" s="1"/>
  <c r="F1170" i="6"/>
  <c r="F1172" i="6" s="1"/>
  <c r="H1138" i="6"/>
  <c r="AN52" i="6"/>
  <c r="AN55" i="6"/>
  <c r="E39" i="42434"/>
  <c r="AD122" i="42434" s="1"/>
  <c r="AA122" i="42434"/>
  <c r="B40" i="42434"/>
  <c r="CX22" i="6"/>
  <c r="AV617" i="6"/>
  <c r="AZ143" i="6"/>
  <c r="BT1106" i="6"/>
  <c r="BU1106" i="6" s="1"/>
  <c r="BK869" i="6"/>
  <c r="AZ113" i="6"/>
  <c r="AZ116" i="6" s="1"/>
  <c r="AZ118" i="6" s="1"/>
  <c r="AZ123" i="6" s="1"/>
  <c r="AZ1259" i="6"/>
  <c r="AZ1261" i="6" s="1"/>
  <c r="BP790" i="6"/>
  <c r="BK1155" i="6"/>
  <c r="DB1155" i="6" s="1"/>
  <c r="AO1199" i="6"/>
  <c r="AQ1207" i="6"/>
  <c r="CX1207" i="6" s="1"/>
  <c r="AG1031" i="6"/>
  <c r="AF150" i="6"/>
  <c r="AG150" i="6" s="1"/>
  <c r="CV150" i="6" s="1"/>
  <c r="AF1035" i="6"/>
  <c r="BC1154" i="6"/>
  <c r="BD1098" i="6"/>
  <c r="AJ1150" i="6"/>
  <c r="AJ1170" i="6" s="1"/>
  <c r="AJ1172" i="6" s="1"/>
  <c r="AJ1271" i="6" s="1"/>
  <c r="AJ1275" i="6" s="1"/>
  <c r="AK1094" i="6"/>
  <c r="AL1094" i="6" s="1"/>
  <c r="AF961" i="6"/>
  <c r="AF965" i="6" s="1"/>
  <c r="AF993" i="6"/>
  <c r="AF1200" i="6" s="1"/>
  <c r="AF143" i="6" s="1"/>
  <c r="Q1042" i="6"/>
  <c r="R1040" i="6"/>
  <c r="Q149" i="6"/>
  <c r="R149" i="6" s="1"/>
  <c r="CS149" i="6" s="1"/>
  <c r="Q1333" i="6"/>
  <c r="W892" i="6"/>
  <c r="CT892" i="6" s="1"/>
  <c r="CT891" i="6"/>
  <c r="AB892" i="6"/>
  <c r="CU892" i="6" s="1"/>
  <c r="AQ695" i="6"/>
  <c r="AQ696" i="6" s="1"/>
  <c r="BU196" i="42290"/>
  <c r="BU197" i="42290"/>
  <c r="BU195" i="42290"/>
  <c r="BF1177" i="6"/>
  <c r="CZ1177" i="6"/>
  <c r="AY689" i="6"/>
  <c r="AY688" i="6"/>
  <c r="AP1178" i="6"/>
  <c r="AQ1178" i="6" s="1"/>
  <c r="CX1178" i="6" s="1"/>
  <c r="AQ1176" i="6"/>
  <c r="CX1176" i="6" s="1"/>
  <c r="AX619" i="6"/>
  <c r="BC615" i="6"/>
  <c r="BA615" i="6"/>
  <c r="BA617" i="6" s="1"/>
  <c r="AX616" i="6"/>
  <c r="W945" i="6"/>
  <c r="CT945" i="6" s="1"/>
  <c r="CT942" i="6"/>
  <c r="W944" i="6"/>
  <c r="CT944" i="6" s="1"/>
  <c r="BU171" i="42290"/>
  <c r="DE138" i="6"/>
  <c r="DE1025" i="6"/>
  <c r="AE1351" i="6"/>
  <c r="AE154" i="6"/>
  <c r="BJ1188" i="6"/>
  <c r="BF1188" i="6"/>
  <c r="DA1188" i="6" s="1"/>
  <c r="BV191" i="42290"/>
  <c r="BJ1199" i="6"/>
  <c r="BJ1035" i="6"/>
  <c r="CT1032" i="6"/>
  <c r="W1207" i="6"/>
  <c r="CT1207" i="6" s="1"/>
  <c r="W1035" i="6"/>
  <c r="CT1035" i="6" s="1"/>
  <c r="AG961" i="6"/>
  <c r="CV961" i="6" s="1"/>
  <c r="CV990" i="6"/>
  <c r="H1038" i="6"/>
  <c r="AU167" i="6"/>
  <c r="AV167" i="6" s="1"/>
  <c r="DD167" i="6" s="1"/>
  <c r="AZ57" i="6"/>
  <c r="G82" i="6"/>
  <c r="G103" i="6" s="1"/>
  <c r="AZ70" i="6"/>
  <c r="AZ80" i="6" s="1"/>
  <c r="AZ1220" i="6" s="1"/>
  <c r="F22" i="42452"/>
  <c r="F24" i="42452" s="1"/>
  <c r="F29" i="42452" s="1"/>
  <c r="CG774" i="6"/>
  <c r="AS693" i="6"/>
  <c r="AS597" i="6"/>
  <c r="AT595" i="6"/>
  <c r="AQ1032" i="6"/>
  <c r="AP1035" i="6"/>
  <c r="CB65" i="6"/>
  <c r="DF65" i="6"/>
  <c r="CA1339" i="6"/>
  <c r="CA1025" i="6"/>
  <c r="AY1178" i="6"/>
  <c r="AZ1175" i="6"/>
  <c r="BI143" i="6"/>
  <c r="V145" i="6"/>
  <c r="W145" i="6" s="1"/>
  <c r="CT145" i="6" s="1"/>
  <c r="W1022" i="6"/>
  <c r="CT1022" i="6" s="1"/>
  <c r="AA946" i="6"/>
  <c r="V967" i="6"/>
  <c r="V946" i="6"/>
  <c r="BF685" i="6"/>
  <c r="L1064" i="6"/>
  <c r="M1064" i="6" s="1"/>
  <c r="CR1064" i="6" s="1"/>
  <c r="M1063" i="6"/>
  <c r="BK834" i="6"/>
  <c r="AQ363" i="6"/>
  <c r="CX363" i="6" s="1"/>
  <c r="CC1102" i="6"/>
  <c r="CC1158" i="6" s="1"/>
  <c r="DG1102" i="6"/>
  <c r="AV651" i="6"/>
  <c r="AV650" i="6"/>
  <c r="V974" i="6"/>
  <c r="W974" i="6" s="1"/>
  <c r="CT974" i="6" s="1"/>
  <c r="W972" i="6"/>
  <c r="CT972" i="6" s="1"/>
  <c r="BD1094" i="6"/>
  <c r="BD1150" i="6" s="1"/>
  <c r="DA959" i="6"/>
  <c r="BF965" i="6"/>
  <c r="AZ1351" i="6"/>
  <c r="AZ154" i="6"/>
  <c r="K50" i="42457"/>
  <c r="BI1084" i="6"/>
  <c r="BH1141" i="6"/>
  <c r="BH1176" i="6"/>
  <c r="BH1285" i="6"/>
  <c r="BO346" i="6"/>
  <c r="BP345" i="6"/>
  <c r="BO347" i="6"/>
  <c r="BO39" i="6"/>
  <c r="BM334" i="6"/>
  <c r="AC967" i="6"/>
  <c r="AH946" i="6"/>
  <c r="AC946" i="6"/>
  <c r="BJ963" i="6"/>
  <c r="BI965" i="6"/>
  <c r="CR33" i="6"/>
  <c r="M34" i="6"/>
  <c r="CR34" i="6" s="1"/>
  <c r="CG780" i="6"/>
  <c r="CG776" i="6"/>
  <c r="W1333" i="6"/>
  <c r="CT1333" i="6" s="1"/>
  <c r="CT1040" i="6"/>
  <c r="BG878" i="6"/>
  <c r="BG888" i="6" s="1"/>
  <c r="BG889" i="6" s="1"/>
  <c r="BH877" i="6"/>
  <c r="R945" i="6"/>
  <c r="R944" i="6"/>
  <c r="CS944" i="6" s="1"/>
  <c r="CS942" i="6"/>
  <c r="BF143" i="6"/>
  <c r="DA1199" i="6"/>
  <c r="CQ310" i="6"/>
  <c r="H311" i="6"/>
  <c r="U1100" i="6"/>
  <c r="T1156" i="6"/>
  <c r="BO482" i="6"/>
  <c r="AU1200" i="6"/>
  <c r="AU961" i="6"/>
  <c r="AU965" i="6" s="1"/>
  <c r="AU993" i="6"/>
  <c r="AV990" i="6"/>
  <c r="BT27" i="6"/>
  <c r="BU342" i="6"/>
  <c r="FX640" i="42458" s="1"/>
  <c r="BH154" i="6"/>
  <c r="BH1351" i="6"/>
  <c r="S50" i="42457"/>
  <c r="BC649" i="6"/>
  <c r="AX653" i="6"/>
  <c r="AX650" i="6"/>
  <c r="N967" i="6"/>
  <c r="S946" i="6"/>
  <c r="M311" i="6"/>
  <c r="CR310" i="6"/>
  <c r="R312" i="6"/>
  <c r="CS312" i="6" s="1"/>
  <c r="M312" i="6"/>
  <c r="CR312" i="6" s="1"/>
  <c r="CG980" i="6"/>
  <c r="CF986" i="6"/>
  <c r="CF979" i="6"/>
  <c r="BA993" i="6"/>
  <c r="CZ993" i="6" s="1"/>
  <c r="BA961" i="6"/>
  <c r="BA1200" i="6"/>
  <c r="CZ1200" i="6" s="1"/>
  <c r="CZ990" i="6"/>
  <c r="BA967" i="6"/>
  <c r="CZ967" i="6" s="1"/>
  <c r="DC342" i="6"/>
  <c r="BP343" i="6"/>
  <c r="DC343" i="6" s="1"/>
  <c r="BN334" i="6"/>
  <c r="BO333" i="6"/>
  <c r="BP334" i="6" s="1"/>
  <c r="DC334" i="6" s="1"/>
  <c r="K143" i="6"/>
  <c r="M1199" i="6"/>
  <c r="F967" i="6"/>
  <c r="K946" i="6"/>
  <c r="AX23" i="6"/>
  <c r="Y1161" i="6"/>
  <c r="BO867" i="6"/>
  <c r="BO820" i="6"/>
  <c r="BO869" i="6" s="1"/>
  <c r="AP52" i="6"/>
  <c r="AP55" i="6"/>
  <c r="DE1035" i="6"/>
  <c r="DE1032" i="6"/>
  <c r="BW204" i="42290"/>
  <c r="BW202" i="42290"/>
  <c r="BN796" i="6"/>
  <c r="BN917" i="6"/>
  <c r="BN918" i="6" s="1"/>
  <c r="AQ942" i="6"/>
  <c r="AP945" i="6"/>
  <c r="AP944" i="6"/>
  <c r="Z1161" i="6"/>
  <c r="AA1106" i="6"/>
  <c r="AB1106" i="6" s="1"/>
  <c r="AK967" i="6"/>
  <c r="AK946" i="6"/>
  <c r="AK987" i="6"/>
  <c r="AL987" i="6" s="1"/>
  <c r="BP793" i="6"/>
  <c r="DC793" i="6" s="1"/>
  <c r="BO799" i="6"/>
  <c r="BX192" i="42290"/>
  <c r="BD55" i="6"/>
  <c r="O8" i="42457"/>
  <c r="O46" i="42457" s="1"/>
  <c r="CG962" i="6"/>
  <c r="CG993" i="6"/>
  <c r="DC787" i="6"/>
  <c r="BP782" i="6"/>
  <c r="BN799" i="6"/>
  <c r="BN932" i="6"/>
  <c r="BN950" i="6" s="1"/>
  <c r="BP808" i="6"/>
  <c r="BN811" i="6"/>
  <c r="BN820" i="6"/>
  <c r="BN867" i="6"/>
  <c r="AE967" i="6"/>
  <c r="AE946" i="6"/>
  <c r="AJ946" i="6"/>
  <c r="CS392" i="6"/>
  <c r="BV133" i="42290"/>
  <c r="DD1040" i="6"/>
  <c r="S392" i="6"/>
  <c r="T392" i="6" s="1"/>
  <c r="DD328" i="6"/>
  <c r="BV130" i="42290"/>
  <c r="BT1333" i="6"/>
  <c r="BQ183" i="42290"/>
  <c r="CB431" i="6"/>
  <c r="BW124" i="42290" s="1"/>
  <c r="BV134" i="42290"/>
  <c r="AP206" i="42290"/>
  <c r="AP208" i="42290" s="1"/>
  <c r="BM199" i="42290"/>
  <c r="BU102" i="6"/>
  <c r="DD102" i="6" s="1"/>
  <c r="AO199" i="42290"/>
  <c r="BT279" i="42290"/>
  <c r="BT294" i="42290" s="1"/>
  <c r="R357" i="6"/>
  <c r="CS357" i="6" s="1"/>
  <c r="BV135" i="42290"/>
  <c r="BV129" i="42290"/>
  <c r="AJ283" i="42290"/>
  <c r="AO283" i="42290" s="1"/>
  <c r="BP206" i="42290"/>
  <c r="BP208" i="42290" s="1"/>
  <c r="DF431" i="6"/>
  <c r="BV131" i="42290"/>
  <c r="BT149" i="6"/>
  <c r="AC358" i="6"/>
  <c r="AC360" i="6" s="1"/>
  <c r="AC492" i="6" s="1"/>
  <c r="AC137" i="42290"/>
  <c r="AC144" i="42290" s="1"/>
  <c r="AE137" i="42290"/>
  <c r="AE144" i="42290" s="1"/>
  <c r="BT35" i="42290"/>
  <c r="AX199" i="42290"/>
  <c r="AW137" i="42290"/>
  <c r="AL414" i="6"/>
  <c r="BL199" i="42290"/>
  <c r="AM199" i="42290"/>
  <c r="BT208" i="42290"/>
  <c r="BS199" i="42290"/>
  <c r="BT185" i="42290"/>
  <c r="BT187" i="42290" s="1"/>
  <c r="Q294" i="42290"/>
  <c r="Q295" i="42290" s="1"/>
  <c r="BN199" i="42290"/>
  <c r="AV178" i="42290"/>
  <c r="AB412" i="6"/>
  <c r="CU412" i="6" s="1"/>
  <c r="AN199" i="42290"/>
  <c r="BS174" i="42290"/>
  <c r="BN174" i="42290"/>
  <c r="BP174" i="42290"/>
  <c r="BM174" i="42290"/>
  <c r="BO178" i="42290"/>
  <c r="BK174" i="42290"/>
  <c r="BQ174" i="42290"/>
  <c r="BR174" i="42290"/>
  <c r="BL174" i="42290"/>
  <c r="BF474" i="6"/>
  <c r="DA474" i="6" s="1"/>
  <c r="R24" i="42454"/>
  <c r="BP173" i="42425"/>
  <c r="BP181" i="42290"/>
  <c r="BR181" i="42290"/>
  <c r="BN203" i="42290"/>
  <c r="BN206" i="42290" s="1"/>
  <c r="BK203" i="42290"/>
  <c r="BK206" i="42290" s="1"/>
  <c r="AB411" i="6"/>
  <c r="CU411" i="6" s="1"/>
  <c r="BQ199" i="42290"/>
  <c r="BP175" i="42425"/>
  <c r="BQ181" i="42290"/>
  <c r="BN181" i="42290"/>
  <c r="BR203" i="42290"/>
  <c r="BR206" i="42290" s="1"/>
  <c r="BM203" i="42290"/>
  <c r="BM206" i="42290" s="1"/>
  <c r="BX31" i="42290"/>
  <c r="BX30" i="42290"/>
  <c r="BX29" i="42290"/>
  <c r="BX32" i="42290"/>
  <c r="BX33" i="42290"/>
  <c r="BK175" i="42290"/>
  <c r="BR175" i="42290"/>
  <c r="BP175" i="42290"/>
  <c r="BS175" i="42290"/>
  <c r="BM175" i="42290"/>
  <c r="BQ175" i="42290"/>
  <c r="BN175" i="42290"/>
  <c r="BL175" i="42290"/>
  <c r="BK181" i="42290"/>
  <c r="BL181" i="42290"/>
  <c r="BS203" i="42290"/>
  <c r="BS206" i="42290" s="1"/>
  <c r="BO206" i="42290"/>
  <c r="BO208" i="42290" s="1"/>
  <c r="BO185" i="42290"/>
  <c r="BS176" i="42290"/>
  <c r="BL176" i="42290"/>
  <c r="BK176" i="42290"/>
  <c r="BR176" i="42290"/>
  <c r="BP176" i="42290"/>
  <c r="BN176" i="42290"/>
  <c r="BM176" i="42290"/>
  <c r="BQ176" i="42290"/>
  <c r="Q750" i="6"/>
  <c r="Q751" i="6" s="1"/>
  <c r="BN183" i="42290"/>
  <c r="BR183" i="42290"/>
  <c r="AV199" i="42290"/>
  <c r="G24" i="42454"/>
  <c r="BL183" i="42290"/>
  <c r="BP183" i="42290"/>
  <c r="AO35" i="42290"/>
  <c r="BS183" i="42290"/>
  <c r="BK183" i="42290"/>
  <c r="BJ1341" i="6"/>
  <c r="AL199" i="42290"/>
  <c r="AX137" i="42290"/>
  <c r="AH358" i="6"/>
  <c r="AH360" i="6" s="1"/>
  <c r="AH492" i="6" s="1"/>
  <c r="N358" i="6"/>
  <c r="N360" i="6" s="1"/>
  <c r="N492" i="6" s="1"/>
  <c r="J405" i="6"/>
  <c r="Y414" i="6"/>
  <c r="Y477" i="6" s="1"/>
  <c r="Z372" i="6"/>
  <c r="Z414" i="6" s="1"/>
  <c r="Z477" i="6" s="1"/>
  <c r="AP289" i="6"/>
  <c r="AP294" i="6" s="1"/>
  <c r="M474" i="6"/>
  <c r="CR474" i="6" s="1"/>
  <c r="J750" i="6"/>
  <c r="AN35" i="42290"/>
  <c r="AN39" i="42290" s="1"/>
  <c r="K137" i="42290"/>
  <c r="K144" i="42290" s="1"/>
  <c r="X477" i="6"/>
  <c r="AS473" i="6"/>
  <c r="AV410" i="6"/>
  <c r="BK75" i="6"/>
  <c r="DB75" i="6" s="1"/>
  <c r="J224" i="6"/>
  <c r="J229" i="6" s="1"/>
  <c r="J230" i="6" s="1"/>
  <c r="AH750" i="6"/>
  <c r="AH751" i="6" s="1"/>
  <c r="T474" i="6"/>
  <c r="W411" i="6"/>
  <c r="AW178" i="42290"/>
  <c r="R35" i="42290"/>
  <c r="R39" i="42290" s="1"/>
  <c r="AW358" i="6"/>
  <c r="AW360" i="6" s="1"/>
  <c r="AW492" i="6" s="1"/>
  <c r="AW493" i="6" s="1"/>
  <c r="AY137" i="42290"/>
  <c r="AC477" i="6"/>
  <c r="N473" i="6"/>
  <c r="Z371" i="6"/>
  <c r="Y356" i="6"/>
  <c r="Y749" i="6" s="1"/>
  <c r="Y384" i="6"/>
  <c r="AO368" i="6"/>
  <c r="AO410" i="6" s="1"/>
  <c r="AO473" i="6" s="1"/>
  <c r="AN410" i="6"/>
  <c r="AN473" i="6" s="1"/>
  <c r="O294" i="42290"/>
  <c r="P921" i="6" s="1"/>
  <c r="AY178" i="42290"/>
  <c r="BC137" i="42290"/>
  <c r="AJ331" i="6"/>
  <c r="AJ336" i="6" s="1"/>
  <c r="AJ337" i="6" s="1"/>
  <c r="BH199" i="42290"/>
  <c r="DW570" i="42458"/>
  <c r="DW574" i="42458" s="1"/>
  <c r="DV574" i="42458"/>
  <c r="AE393" i="6"/>
  <c r="AE414" i="6" s="1"/>
  <c r="AE477" i="6" s="1"/>
  <c r="AD414" i="6"/>
  <c r="AD477" i="6" s="1"/>
  <c r="P391" i="6"/>
  <c r="P412" i="6" s="1"/>
  <c r="P475" i="6" s="1"/>
  <c r="O412" i="6"/>
  <c r="O475" i="6" s="1"/>
  <c r="AR289" i="6"/>
  <c r="AR294" i="6" s="1"/>
  <c r="W288" i="42290"/>
  <c r="AA288" i="42290" s="1"/>
  <c r="AA286" i="42290" s="1"/>
  <c r="AA282" i="42290"/>
  <c r="P389" i="6"/>
  <c r="P410" i="6" s="1"/>
  <c r="P473" i="6" s="1"/>
  <c r="O410" i="6"/>
  <c r="O473" i="6" s="1"/>
  <c r="U368" i="6"/>
  <c r="U410" i="6" s="1"/>
  <c r="U473" i="6" s="1"/>
  <c r="T410" i="6"/>
  <c r="T473" i="6" s="1"/>
  <c r="AW471" i="6"/>
  <c r="AI410" i="6"/>
  <c r="AI473" i="6" s="1"/>
  <c r="AJ389" i="6"/>
  <c r="AJ410" i="6" s="1"/>
  <c r="AJ473" i="6" s="1"/>
  <c r="J447" i="6"/>
  <c r="J451" i="6"/>
  <c r="I96" i="42290"/>
  <c r="T35" i="42290"/>
  <c r="T39" i="42290" s="1"/>
  <c r="AV137" i="42290"/>
  <c r="DC414" i="6"/>
  <c r="BP477" i="6"/>
  <c r="DC477" i="6" s="1"/>
  <c r="AD409" i="6"/>
  <c r="AD430" i="6" s="1"/>
  <c r="AE388" i="6"/>
  <c r="AD405" i="6"/>
  <c r="AD357" i="6"/>
  <c r="AD750" i="6" s="1"/>
  <c r="S473" i="6"/>
  <c r="K409" i="6"/>
  <c r="K430" i="6" s="1"/>
  <c r="M430" i="6" s="1"/>
  <c r="DC411" i="6"/>
  <c r="N751" i="6"/>
  <c r="BI199" i="42290"/>
  <c r="Z286" i="6"/>
  <c r="Z288" i="6" s="1"/>
  <c r="AA289" i="6" s="1"/>
  <c r="AA294" i="6" s="1"/>
  <c r="Y288" i="6"/>
  <c r="S35" i="42290"/>
  <c r="S39" i="42290" s="1"/>
  <c r="AM35" i="42290"/>
  <c r="AM39" i="42290" s="1"/>
  <c r="AH476" i="6"/>
  <c r="AR476" i="6"/>
  <c r="AJ367" i="6"/>
  <c r="AJ356" i="6" s="1"/>
  <c r="AI384" i="6"/>
  <c r="AI409" i="6"/>
  <c r="AI430" i="6" s="1"/>
  <c r="AI447" i="6" s="1"/>
  <c r="AH475" i="6"/>
  <c r="AL412" i="6"/>
  <c r="AX409" i="6"/>
  <c r="AY388" i="6"/>
  <c r="AY357" i="6" s="1"/>
  <c r="P372" i="6"/>
  <c r="P414" i="6" s="1"/>
  <c r="P477" i="6" s="1"/>
  <c r="O414" i="6"/>
  <c r="O477" i="6" s="1"/>
  <c r="AT286" i="6"/>
  <c r="AT288" i="6" s="1"/>
  <c r="AU289" i="6" s="1"/>
  <c r="AU294" i="6" s="1"/>
  <c r="AZ295" i="6" s="1"/>
  <c r="AS288" i="6"/>
  <c r="AB282" i="42290"/>
  <c r="AB288" i="42290" s="1"/>
  <c r="AG283" i="42290"/>
  <c r="AY366" i="6"/>
  <c r="AX408" i="6"/>
  <c r="AH473" i="6"/>
  <c r="AD412" i="6"/>
  <c r="AD475" i="6" s="1"/>
  <c r="AE370" i="6"/>
  <c r="AE412" i="6" s="1"/>
  <c r="AE475" i="6" s="1"/>
  <c r="K393" i="6"/>
  <c r="K414" i="6" s="1"/>
  <c r="K477" i="6" s="1"/>
  <c r="J414" i="6"/>
  <c r="J477" i="6" s="1"/>
  <c r="BF367" i="6"/>
  <c r="N430" i="6"/>
  <c r="U35" i="42290"/>
  <c r="U39" i="42290" s="1"/>
  <c r="AL35" i="42290"/>
  <c r="AJ392" i="6"/>
  <c r="AJ413" i="6" s="1"/>
  <c r="AJ476" i="6" s="1"/>
  <c r="AI413" i="6"/>
  <c r="AI476" i="6" s="1"/>
  <c r="AT371" i="6"/>
  <c r="AT413" i="6" s="1"/>
  <c r="AT476" i="6" s="1"/>
  <c r="AS413" i="6"/>
  <c r="AS476" i="6" s="1"/>
  <c r="AC447" i="6"/>
  <c r="AH468" i="6" s="1"/>
  <c r="AB96" i="42290"/>
  <c r="AB98" i="42290" s="1"/>
  <c r="AB100" i="42290" s="1"/>
  <c r="AC451" i="6"/>
  <c r="O409" i="6"/>
  <c r="O430" i="6" s="1"/>
  <c r="P367" i="6"/>
  <c r="P409" i="6" s="1"/>
  <c r="P430" i="6" s="1"/>
  <c r="J137" i="42290"/>
  <c r="J144" i="42290" s="1"/>
  <c r="K370" i="6"/>
  <c r="K412" i="6" s="1"/>
  <c r="K475" i="6" s="1"/>
  <c r="J412" i="6"/>
  <c r="BS369" i="6"/>
  <c r="BR411" i="6"/>
  <c r="DE393" i="6"/>
  <c r="CA393" i="6"/>
  <c r="AM473" i="6"/>
  <c r="AM475" i="6"/>
  <c r="AT408" i="6"/>
  <c r="N476" i="6"/>
  <c r="AO370" i="6"/>
  <c r="AO412" i="6" s="1"/>
  <c r="AO475" i="6" s="1"/>
  <c r="AN412" i="6"/>
  <c r="AN475" i="6" s="1"/>
  <c r="CA391" i="6"/>
  <c r="DE391" i="6"/>
  <c r="K287" i="6"/>
  <c r="N474" i="6"/>
  <c r="N426" i="6"/>
  <c r="AT369" i="6"/>
  <c r="AT411" i="6" s="1"/>
  <c r="AT474" i="6" s="1"/>
  <c r="AS411" i="6"/>
  <c r="AS474" i="6" s="1"/>
  <c r="S430" i="6"/>
  <c r="U370" i="6"/>
  <c r="T412" i="6"/>
  <c r="T475" i="6" s="1"/>
  <c r="T356" i="6"/>
  <c r="T749" i="6" s="1"/>
  <c r="T384" i="6"/>
  <c r="I473" i="6"/>
  <c r="AL331" i="6"/>
  <c r="S477" i="6"/>
  <c r="X473" i="6"/>
  <c r="AD410" i="6"/>
  <c r="AD473" i="6" s="1"/>
  <c r="AE368" i="6"/>
  <c r="AE410" i="6" s="1"/>
  <c r="AH474" i="6"/>
  <c r="AH426" i="6"/>
  <c r="AH489" i="6" s="1"/>
  <c r="AH495" i="6"/>
  <c r="AH496" i="6" s="1"/>
  <c r="AH497" i="6" s="1"/>
  <c r="AS471" i="6"/>
  <c r="BF199" i="42290"/>
  <c r="BG199" i="42290"/>
  <c r="U388" i="6"/>
  <c r="U409" i="6" s="1"/>
  <c r="U430" i="6" s="1"/>
  <c r="T409" i="6"/>
  <c r="T430" i="6" s="1"/>
  <c r="S475" i="6"/>
  <c r="J410" i="6"/>
  <c r="J473" i="6" s="1"/>
  <c r="K368" i="6"/>
  <c r="K410" i="6" s="1"/>
  <c r="K473" i="6" s="1"/>
  <c r="AI331" i="6"/>
  <c r="AI336" i="6" s="1"/>
  <c r="AI337" i="6" s="1"/>
  <c r="AL96" i="42290"/>
  <c r="AL98" i="42290" s="1"/>
  <c r="AL100" i="42290" s="1"/>
  <c r="AR430" i="6"/>
  <c r="AR447" i="6" s="1"/>
  <c r="AM472" i="6"/>
  <c r="BE387" i="6"/>
  <c r="BD137" i="42290"/>
  <c r="BF178" i="42290"/>
  <c r="BB137" i="42290"/>
  <c r="Z389" i="6"/>
  <c r="Z410" i="6" s="1"/>
  <c r="Z473" i="6" s="1"/>
  <c r="Y410" i="6"/>
  <c r="Y473" i="6" s="1"/>
  <c r="O413" i="6"/>
  <c r="O476" i="6" s="1"/>
  <c r="P371" i="6"/>
  <c r="O356" i="6"/>
  <c r="O384" i="6"/>
  <c r="AJ390" i="6"/>
  <c r="AI411" i="6"/>
  <c r="AI405" i="6"/>
  <c r="BT414" i="6"/>
  <c r="BT477" i="6" s="1"/>
  <c r="BU372" i="6"/>
  <c r="BV372" i="6" s="1"/>
  <c r="P390" i="6"/>
  <c r="O405" i="6"/>
  <c r="O411" i="6"/>
  <c r="O357" i="6"/>
  <c r="O750" i="6" s="1"/>
  <c r="AT367" i="6"/>
  <c r="AS409" i="6"/>
  <c r="BJ1259" i="6"/>
  <c r="BJ1261" i="6" s="1"/>
  <c r="U393" i="6"/>
  <c r="U414" i="6" s="1"/>
  <c r="U477" i="6" s="1"/>
  <c r="T414" i="6"/>
  <c r="T477" i="6" s="1"/>
  <c r="AS477" i="6"/>
  <c r="AV414" i="6"/>
  <c r="K221" i="6"/>
  <c r="K286" i="6" s="1"/>
  <c r="J286" i="6"/>
  <c r="J288" i="6" s="1"/>
  <c r="BA137" i="42290"/>
  <c r="BH178" i="42290"/>
  <c r="AY199" i="42290"/>
  <c r="N294" i="42290"/>
  <c r="N295" i="42290" s="1"/>
  <c r="D31" i="42454"/>
  <c r="D36" i="42454" s="1"/>
  <c r="BA203" i="42290"/>
  <c r="BA206" i="42290" s="1"/>
  <c r="BA208" i="42290" s="1"/>
  <c r="BB578" i="6" s="1"/>
  <c r="G42" i="42428"/>
  <c r="AX178" i="42290"/>
  <c r="BK114" i="6"/>
  <c r="DB114" i="6" s="1"/>
  <c r="BJ119" i="6"/>
  <c r="BK119" i="6" s="1"/>
  <c r="DB119" i="6" s="1"/>
  <c r="AI289" i="6"/>
  <c r="AI294" i="6" s="1"/>
  <c r="AN295" i="6" s="1"/>
  <c r="AJ289" i="6"/>
  <c r="AJ294" i="6" s="1"/>
  <c r="AO295" i="6" s="1"/>
  <c r="AL289" i="6"/>
  <c r="AL294" i="6" s="1"/>
  <c r="CW294" i="6" s="1"/>
  <c r="AE371" i="6"/>
  <c r="AD413" i="6"/>
  <c r="AD384" i="6"/>
  <c r="AD356" i="6"/>
  <c r="BO175" i="42425"/>
  <c r="BO177" i="42425"/>
  <c r="K371" i="6"/>
  <c r="J413" i="6"/>
  <c r="J384" i="6"/>
  <c r="J356" i="6"/>
  <c r="BD366" i="6"/>
  <c r="BC408" i="6"/>
  <c r="AM358" i="6"/>
  <c r="AM360" i="6" s="1"/>
  <c r="AM492" i="6" s="1"/>
  <c r="AM749" i="6"/>
  <c r="AM751" i="6" s="1"/>
  <c r="AM331" i="6"/>
  <c r="AM336" i="6" s="1"/>
  <c r="BB471" i="6"/>
  <c r="R137" i="42290"/>
  <c r="AC476" i="6"/>
  <c r="AC426" i="6"/>
  <c r="AM474" i="6"/>
  <c r="I476" i="6"/>
  <c r="I426" i="6"/>
  <c r="I489" i="6" s="1"/>
  <c r="I490" i="6" s="1"/>
  <c r="AO329" i="6"/>
  <c r="AO330" i="6" s="1"/>
  <c r="AP331" i="6" s="1"/>
  <c r="AP336" i="6" s="1"/>
  <c r="AN330" i="6"/>
  <c r="U137" i="42290"/>
  <c r="U144" i="42290" s="1"/>
  <c r="AN411" i="6"/>
  <c r="AO369" i="6"/>
  <c r="I749" i="6"/>
  <c r="I751" i="6" s="1"/>
  <c r="I358" i="6"/>
  <c r="I360" i="6" s="1"/>
  <c r="I492" i="6" s="1"/>
  <c r="BB358" i="6"/>
  <c r="BB749" i="6"/>
  <c r="BB751" i="6" s="1"/>
  <c r="BR475" i="6"/>
  <c r="BS412" i="6"/>
  <c r="BS475" i="6" s="1"/>
  <c r="BT370" i="6"/>
  <c r="BC853" i="6"/>
  <c r="BC856" i="6" s="1"/>
  <c r="BB1151" i="6"/>
  <c r="BC1095" i="6"/>
  <c r="BP791" i="6"/>
  <c r="DC791" i="6" s="1"/>
  <c r="DC790" i="6"/>
  <c r="BP809" i="6"/>
  <c r="BO811" i="6"/>
  <c r="BO821" i="6"/>
  <c r="BH1005" i="6"/>
  <c r="BH1006" i="6"/>
  <c r="CE1016" i="6"/>
  <c r="CD141" i="6"/>
  <c r="BW178" i="42290"/>
  <c r="DC788" i="6"/>
  <c r="BP783" i="6"/>
  <c r="BP794" i="6"/>
  <c r="BO800" i="6"/>
  <c r="BO802" i="6" s="1"/>
  <c r="BO796" i="6"/>
  <c r="L51" i="42468"/>
  <c r="G51" i="42468"/>
  <c r="BT368" i="6"/>
  <c r="BS410" i="6"/>
  <c r="AB143" i="6"/>
  <c r="CU143" i="6" s="1"/>
  <c r="AU70" i="6"/>
  <c r="AU71" i="6" s="1"/>
  <c r="AU113" i="6"/>
  <c r="AU116" i="6" s="1"/>
  <c r="AU118" i="6" s="1"/>
  <c r="AU123" i="6" s="1"/>
  <c r="AU1259" i="6"/>
  <c r="AU1261" i="6" s="1"/>
  <c r="AH80" i="6"/>
  <c r="AH82" i="6" s="1"/>
  <c r="AH103" i="6" s="1"/>
  <c r="BX178" i="42290"/>
  <c r="X1151" i="6"/>
  <c r="AN283" i="42290"/>
  <c r="AI282" i="42290"/>
  <c r="K1099" i="6"/>
  <c r="K1155" i="6" s="1"/>
  <c r="BT333" i="6"/>
  <c r="AK1154" i="6"/>
  <c r="AL1154" i="6" s="1"/>
  <c r="CW1154" i="6" s="1"/>
  <c r="BZ170" i="42290"/>
  <c r="BF859" i="6"/>
  <c r="AO52" i="6"/>
  <c r="AO55" i="6"/>
  <c r="AQ51" i="6"/>
  <c r="BF576" i="6"/>
  <c r="AM288" i="42290"/>
  <c r="V289" i="6"/>
  <c r="V294" i="6" s="1"/>
  <c r="W289" i="6"/>
  <c r="W294" i="6" s="1"/>
  <c r="U289" i="6"/>
  <c r="U294" i="6" s="1"/>
  <c r="Y1151" i="6"/>
  <c r="Z1095" i="6"/>
  <c r="Z1151" i="6" s="1"/>
  <c r="AD288" i="42290"/>
  <c r="CV894" i="6"/>
  <c r="AG895" i="6"/>
  <c r="CV895" i="6" s="1"/>
  <c r="DA847" i="6"/>
  <c r="CW1098" i="6"/>
  <c r="AM1098" i="6"/>
  <c r="BY176" i="42290"/>
  <c r="BY175" i="42290"/>
  <c r="BY174" i="42290"/>
  <c r="AJ1114" i="6"/>
  <c r="AJ1127" i="6" s="1"/>
  <c r="AK1095" i="6"/>
  <c r="AJ1224" i="6"/>
  <c r="AJ1347" i="6" s="1"/>
  <c r="AG337" i="6"/>
  <c r="CV337" i="6" s="1"/>
  <c r="CU336" i="6"/>
  <c r="AB337" i="6"/>
  <c r="CU337" i="6" s="1"/>
  <c r="CU894" i="6"/>
  <c r="AB895" i="6"/>
  <c r="CU895" i="6" s="1"/>
  <c r="CX333" i="6"/>
  <c r="AV333" i="6"/>
  <c r="AR333" i="6"/>
  <c r="AQ753" i="6"/>
  <c r="CX753" i="6" s="1"/>
  <c r="AN333" i="6"/>
  <c r="AM753" i="6"/>
  <c r="AW14" i="6"/>
  <c r="AW728" i="6"/>
  <c r="AW714" i="6"/>
  <c r="CX45" i="6"/>
  <c r="HM826" i="42425" s="1"/>
  <c r="AQ130" i="6"/>
  <c r="CX130" i="6" s="1"/>
  <c r="B45" i="42434"/>
  <c r="E967" i="6"/>
  <c r="J946" i="6"/>
  <c r="AQ289" i="6"/>
  <c r="AQ294" i="6" s="1"/>
  <c r="BR1155" i="6"/>
  <c r="BT1103" i="6"/>
  <c r="BU1103" i="6" s="1"/>
  <c r="DG1056" i="6"/>
  <c r="CC1056" i="6"/>
  <c r="CD1056" i="6" s="1"/>
  <c r="CE1056" i="6" s="1"/>
  <c r="CF1056" i="6" s="1"/>
  <c r="CG1056" i="6" s="1"/>
  <c r="BT1076" i="6"/>
  <c r="BU1076" i="6" s="1"/>
  <c r="BS1079" i="6"/>
  <c r="DF1055" i="6"/>
  <c r="DE1057" i="6"/>
  <c r="CA1057" i="6"/>
  <c r="DF1069" i="6"/>
  <c r="CB1069" i="6"/>
  <c r="BH800" i="6"/>
  <c r="BH802" i="6" s="1"/>
  <c r="BC711" i="6"/>
  <c r="BC713" i="6" s="1"/>
  <c r="BC499" i="6" s="1"/>
  <c r="BC687" i="6"/>
  <c r="BC680" i="6"/>
  <c r="BC684" i="6"/>
  <c r="BC674" i="6"/>
  <c r="BM670" i="6"/>
  <c r="BH672" i="6"/>
  <c r="BH702" i="6"/>
  <c r="BH711" i="6" s="1"/>
  <c r="BH713" i="6" s="1"/>
  <c r="BH499" i="6" s="1"/>
  <c r="DD831" i="6"/>
  <c r="BU834" i="6"/>
  <c r="AP363" i="6"/>
  <c r="AT878" i="6"/>
  <c r="AT888" i="6" s="1"/>
  <c r="CA389" i="6"/>
  <c r="DE389" i="6"/>
  <c r="G497" i="6"/>
  <c r="BD672" i="6"/>
  <c r="BI670" i="6"/>
  <c r="BE670" i="6"/>
  <c r="BD702" i="6"/>
  <c r="BT413" i="6"/>
  <c r="BU371" i="6"/>
  <c r="BV371" i="6" s="1"/>
  <c r="C47" i="42428"/>
  <c r="C25" i="42428"/>
  <c r="V80" i="6"/>
  <c r="V1220" i="6" s="1"/>
  <c r="AE1211" i="6"/>
  <c r="W113" i="6"/>
  <c r="CT113" i="6" s="1"/>
  <c r="T1262" i="6"/>
  <c r="U1262" i="6"/>
  <c r="W70" i="6"/>
  <c r="W80" i="6" s="1"/>
  <c r="W1211" i="6" s="1"/>
  <c r="CT1211" i="6" s="1"/>
  <c r="V116" i="6"/>
  <c r="V118" i="6" s="1"/>
  <c r="V123" i="6" s="1"/>
  <c r="AF84" i="6"/>
  <c r="AF1332" i="6" s="1"/>
  <c r="L80" i="6"/>
  <c r="L1211" i="6" s="1"/>
  <c r="DE87" i="6"/>
  <c r="CA87" i="6"/>
  <c r="CB78" i="6"/>
  <c r="DF78" i="6"/>
  <c r="T1263" i="6"/>
  <c r="E55" i="42446"/>
  <c r="AH20" i="42446"/>
  <c r="AG55" i="42446"/>
  <c r="T20" i="42446"/>
  <c r="S55" i="42446"/>
  <c r="BR15" i="42446"/>
  <c r="BQ40" i="42446"/>
  <c r="J46" i="42457"/>
  <c r="J9" i="42457"/>
  <c r="AW70" i="6"/>
  <c r="AW80" i="6" s="1"/>
  <c r="H12" i="42457"/>
  <c r="H16" i="42457" s="1"/>
  <c r="AW57" i="6"/>
  <c r="AW1259" i="6"/>
  <c r="AW1261" i="6" s="1"/>
  <c r="AW113" i="6"/>
  <c r="AW116" i="6" s="1"/>
  <c r="AW118" i="6" s="1"/>
  <c r="AW167" i="6"/>
  <c r="T71" i="6"/>
  <c r="T80" i="6"/>
  <c r="D52" i="42440"/>
  <c r="D55" i="42440" s="1"/>
  <c r="D26" i="42440"/>
  <c r="D33" i="42440" s="1"/>
  <c r="D36" i="42440" s="1"/>
  <c r="D39" i="42440" s="1"/>
  <c r="U24" i="42459"/>
  <c r="P24" i="42459"/>
  <c r="Q24" i="42459"/>
  <c r="C31" i="42459"/>
  <c r="L24" i="42459"/>
  <c r="Y80" i="6"/>
  <c r="Y71" i="6"/>
  <c r="AB113" i="6"/>
  <c r="CU113" i="6" s="1"/>
  <c r="AY1259" i="6"/>
  <c r="AY1261" i="6" s="1"/>
  <c r="AY70" i="6"/>
  <c r="AY80" i="6" s="1"/>
  <c r="AY113" i="6"/>
  <c r="AY116" i="6" s="1"/>
  <c r="AY118" i="6" s="1"/>
  <c r="AY123" i="6" s="1"/>
  <c r="AY57" i="6"/>
  <c r="J12" i="42457"/>
  <c r="H46" i="42457"/>
  <c r="H9" i="42457"/>
  <c r="W57" i="6"/>
  <c r="CT57" i="6" s="1"/>
  <c r="CS55" i="6"/>
  <c r="R58" i="6"/>
  <c r="R56" i="6"/>
  <c r="CS56" i="6" s="1"/>
  <c r="G22" i="42447"/>
  <c r="K80" i="6"/>
  <c r="K71" i="6"/>
  <c r="D29" i="42452"/>
  <c r="D34" i="42452" s="1"/>
  <c r="D37" i="42452" s="1"/>
  <c r="D40" i="42452" s="1"/>
  <c r="D55" i="42452"/>
  <c r="D26" i="42432"/>
  <c r="D52" i="42432"/>
  <c r="DE435" i="6"/>
  <c r="CA435" i="6"/>
  <c r="BU63" i="42290"/>
  <c r="BU67" i="42290" s="1"/>
  <c r="BU70" i="42290" s="1"/>
  <c r="CB108" i="6"/>
  <c r="DG108" i="6" s="1"/>
  <c r="CC54" i="6"/>
  <c r="DG54" i="6"/>
  <c r="AB70" i="6"/>
  <c r="CU70" i="6" s="1"/>
  <c r="AT84" i="6"/>
  <c r="AT103" i="6"/>
  <c r="T46" i="42457"/>
  <c r="Y9" i="42457"/>
  <c r="I9" i="42457"/>
  <c r="I46" i="42457"/>
  <c r="D31" i="42459"/>
  <c r="D25" i="42459"/>
  <c r="G24" i="42459"/>
  <c r="D52" i="42437"/>
  <c r="D55" i="42437" s="1"/>
  <c r="D26" i="42437"/>
  <c r="D33" i="42437" s="1"/>
  <c r="D36" i="42437" s="1"/>
  <c r="D39" i="42437" s="1"/>
  <c r="D25" i="42428"/>
  <c r="D47" i="42428"/>
  <c r="AA80" i="6"/>
  <c r="AA71" i="6"/>
  <c r="F16" i="42457"/>
  <c r="K17" i="42457" s="1"/>
  <c r="K13" i="42457"/>
  <c r="I12" i="42457"/>
  <c r="I16" i="42457" s="1"/>
  <c r="AX70" i="6"/>
  <c r="AY167" i="6"/>
  <c r="AX113" i="6"/>
  <c r="AX1259" i="6"/>
  <c r="AX1261" i="6" s="1"/>
  <c r="AX56" i="6"/>
  <c r="AX167" i="6"/>
  <c r="AZ167" i="6"/>
  <c r="BA167" i="6" s="1"/>
  <c r="DE167" i="6" s="1"/>
  <c r="M46" i="42457"/>
  <c r="M9" i="42457"/>
  <c r="D32" i="42471"/>
  <c r="BI60" i="6"/>
  <c r="BI1259" i="6"/>
  <c r="BI1261" i="6" s="1"/>
  <c r="T12" i="42457"/>
  <c r="T16" i="42457" s="1"/>
  <c r="BI70" i="6"/>
  <c r="BI80" i="6" s="1"/>
  <c r="BI113" i="6"/>
  <c r="BI116" i="6" s="1"/>
  <c r="BI118" i="6" s="1"/>
  <c r="BI123" i="6" s="1"/>
  <c r="C16" i="42457"/>
  <c r="AB58" i="6"/>
  <c r="AB56" i="6"/>
  <c r="CU56" i="6" s="1"/>
  <c r="AB57" i="6"/>
  <c r="CU57" i="6" s="1"/>
  <c r="CU55" i="6"/>
  <c r="BB113" i="6"/>
  <c r="BB116" i="6" s="1"/>
  <c r="BB118" i="6" s="1"/>
  <c r="BB123" i="6" s="1"/>
  <c r="BB70" i="6"/>
  <c r="BB80" i="6" s="1"/>
  <c r="M12" i="42457"/>
  <c r="R13" i="42457" s="1"/>
  <c r="BB1259" i="6"/>
  <c r="BB1261" i="6" s="1"/>
  <c r="BB167" i="6"/>
  <c r="BB57" i="6"/>
  <c r="AR80" i="6"/>
  <c r="AR71" i="6"/>
  <c r="D16" i="42457"/>
  <c r="L47" i="42452"/>
  <c r="G47" i="42452"/>
  <c r="C26" i="42440"/>
  <c r="C52" i="42440"/>
  <c r="G21" i="42440"/>
  <c r="D116" i="6"/>
  <c r="H113" i="6"/>
  <c r="CQ113" i="6" s="1"/>
  <c r="F118" i="6"/>
  <c r="F123" i="6" s="1"/>
  <c r="I1262" i="6"/>
  <c r="AV70" i="6"/>
  <c r="CY55" i="6"/>
  <c r="G12" i="42457"/>
  <c r="G16" i="42457" s="1"/>
  <c r="AV60" i="6"/>
  <c r="AV56" i="6"/>
  <c r="CY56" i="6" s="1"/>
  <c r="AS116" i="6"/>
  <c r="F71" i="6"/>
  <c r="F80" i="6"/>
  <c r="D44" i="42440"/>
  <c r="AF87" i="6"/>
  <c r="D25" i="42455"/>
  <c r="D31" i="42455"/>
  <c r="G24" i="42455"/>
  <c r="AS71" i="6"/>
  <c r="AS80" i="6"/>
  <c r="L46" i="42440"/>
  <c r="G46" i="42440"/>
  <c r="D71" i="6"/>
  <c r="D80" i="6"/>
  <c r="H70" i="6"/>
  <c r="P1211" i="6"/>
  <c r="P1220" i="6"/>
  <c r="P82" i="6"/>
  <c r="X80" i="6"/>
  <c r="X71" i="6"/>
  <c r="U1263" i="6"/>
  <c r="AK71" i="6"/>
  <c r="AK80" i="6"/>
  <c r="AE103" i="6"/>
  <c r="D44" i="42437" s="1"/>
  <c r="AE84" i="6"/>
  <c r="AE88" i="6"/>
  <c r="H58" i="6"/>
  <c r="CQ55" i="6"/>
  <c r="E1220" i="6"/>
  <c r="E1211" i="6"/>
  <c r="E82" i="6"/>
  <c r="AG70" i="6"/>
  <c r="CV55" i="6"/>
  <c r="AG56" i="6"/>
  <c r="CV56" i="6" s="1"/>
  <c r="AG57" i="6"/>
  <c r="CV57" i="6" s="1"/>
  <c r="AG58" i="6"/>
  <c r="P25" i="42464"/>
  <c r="Q25" i="42464"/>
  <c r="C32" i="42464"/>
  <c r="N26" i="42464"/>
  <c r="G25" i="42464"/>
  <c r="U25" i="42464"/>
  <c r="L25" i="42464"/>
  <c r="C32" i="42468"/>
  <c r="Q25" i="42468"/>
  <c r="L25" i="42468"/>
  <c r="P25" i="42468"/>
  <c r="U25" i="42468"/>
  <c r="N26" i="42468"/>
  <c r="G25" i="42468"/>
  <c r="L36" i="42461"/>
  <c r="L39" i="42461" s="1"/>
  <c r="L42" i="42461" s="1"/>
  <c r="C39" i="42461"/>
  <c r="C42" i="42461" s="1"/>
  <c r="K36" i="42461"/>
  <c r="K39" i="42461" s="1"/>
  <c r="K42" i="42461" s="1"/>
  <c r="L24" i="42452"/>
  <c r="C55" i="42452"/>
  <c r="G24" i="42452"/>
  <c r="C29" i="42452"/>
  <c r="Q1220" i="6"/>
  <c r="Q1211" i="6"/>
  <c r="Q82" i="6"/>
  <c r="U1220" i="6"/>
  <c r="U1211" i="6"/>
  <c r="U82" i="6"/>
  <c r="BM95" i="6"/>
  <c r="BM94" i="6"/>
  <c r="BM135" i="6"/>
  <c r="D25" i="42461"/>
  <c r="D31" i="42461"/>
  <c r="G24" i="42461"/>
  <c r="AC1220" i="6"/>
  <c r="AC1211" i="6"/>
  <c r="AC82" i="6"/>
  <c r="S1211" i="6"/>
  <c r="S1220" i="6"/>
  <c r="S82" i="6"/>
  <c r="BF329" i="6"/>
  <c r="BE330" i="6"/>
  <c r="BF330" i="6" s="1"/>
  <c r="AB147" i="6"/>
  <c r="CU147" i="6" s="1"/>
  <c r="CU1198" i="6"/>
  <c r="AD147" i="6"/>
  <c r="AF1198" i="6"/>
  <c r="AG1198" i="6" s="1"/>
  <c r="C42" i="42447"/>
  <c r="K40" i="42447"/>
  <c r="L40" i="42447"/>
  <c r="O82" i="6"/>
  <c r="O1220" i="6"/>
  <c r="O1211" i="6"/>
  <c r="W116" i="42434"/>
  <c r="W123" i="42434" s="1"/>
  <c r="X107" i="42434"/>
  <c r="CW1149" i="6"/>
  <c r="AU304" i="6"/>
  <c r="DD1101" i="6"/>
  <c r="R358" i="6"/>
  <c r="CQ1038" i="6"/>
  <c r="H1042" i="6"/>
  <c r="CQ1042" i="6" s="1"/>
  <c r="DC1304" i="6"/>
  <c r="K40" i="42448"/>
  <c r="L40" i="42448"/>
  <c r="C42" i="42448"/>
  <c r="Z1220" i="6"/>
  <c r="Z82" i="6"/>
  <c r="Z1211" i="6"/>
  <c r="BI979" i="6"/>
  <c r="CA1032" i="6"/>
  <c r="DF1207" i="6"/>
  <c r="AP1351" i="6"/>
  <c r="AP154" i="6"/>
  <c r="AX694" i="6"/>
  <c r="AX665" i="6"/>
  <c r="AY664" i="6"/>
  <c r="AR74" i="42416"/>
  <c r="L12" i="42457"/>
  <c r="BA70" i="6"/>
  <c r="BL870" i="6"/>
  <c r="BL872" i="6"/>
  <c r="H147" i="6"/>
  <c r="CQ147" i="6" s="1"/>
  <c r="CQ1198" i="6"/>
  <c r="CE851" i="6"/>
  <c r="AD118" i="6"/>
  <c r="AD123" i="6" s="1"/>
  <c r="AG116" i="6"/>
  <c r="AD1262" i="6"/>
  <c r="AE1262" i="6"/>
  <c r="AF1262" i="6"/>
  <c r="AH1262" i="6"/>
  <c r="BK633" i="6"/>
  <c r="BF633" i="6"/>
  <c r="DB793" i="6"/>
  <c r="BK799" i="6"/>
  <c r="BK796" i="6"/>
  <c r="AN302" i="6"/>
  <c r="AO301" i="6"/>
  <c r="AO303" i="6" s="1"/>
  <c r="BA1034" i="6"/>
  <c r="BM540" i="6"/>
  <c r="AB33" i="6"/>
  <c r="CU26" i="6"/>
  <c r="CY336" i="6"/>
  <c r="BA337" i="6"/>
  <c r="CZ337" i="6" s="1"/>
  <c r="CD1109" i="6"/>
  <c r="BT1157" i="6"/>
  <c r="BU1157" i="6" s="1"/>
  <c r="DD1157" i="6" s="1"/>
  <c r="AM1093" i="6"/>
  <c r="AM1149" i="6" s="1"/>
  <c r="CW1093" i="6"/>
  <c r="CT1199" i="6"/>
  <c r="W143" i="6"/>
  <c r="CT143" i="6" s="1"/>
  <c r="CA66" i="6"/>
  <c r="DE66" i="6"/>
  <c r="J1098" i="6"/>
  <c r="AY531" i="6"/>
  <c r="BD531" i="6"/>
  <c r="AT37" i="42416"/>
  <c r="AR59" i="42416"/>
  <c r="AS59" i="42416"/>
  <c r="AT26" i="42416"/>
  <c r="L40" i="42443"/>
  <c r="C42" i="42443"/>
  <c r="K40" i="42443"/>
  <c r="BD331" i="6"/>
  <c r="BD336" i="6" s="1"/>
  <c r="BD337" i="6" s="1"/>
  <c r="P295" i="42290"/>
  <c r="DF1293" i="6"/>
  <c r="CB1293" i="6"/>
  <c r="CA1296" i="6"/>
  <c r="DF1296" i="6" s="1"/>
  <c r="BF25" i="42290"/>
  <c r="BA37" i="42290"/>
  <c r="AU889" i="6"/>
  <c r="AZ889" i="6"/>
  <c r="J56" i="6"/>
  <c r="J167" i="6"/>
  <c r="L167" i="6"/>
  <c r="J57" i="6"/>
  <c r="J113" i="6"/>
  <c r="J70" i="6"/>
  <c r="N167" i="6"/>
  <c r="J58" i="6"/>
  <c r="K167" i="6"/>
  <c r="O57" i="6"/>
  <c r="AU728" i="6"/>
  <c r="AU714" i="6"/>
  <c r="BA529" i="6"/>
  <c r="BA530" i="6" s="1"/>
  <c r="BA531" i="6" s="1"/>
  <c r="Y889" i="6"/>
  <c r="AD889" i="6"/>
  <c r="AV26" i="42416"/>
  <c r="BR10" i="6"/>
  <c r="BR298" i="6"/>
  <c r="BC125" i="42290"/>
  <c r="AX142" i="42290"/>
  <c r="AW750" i="6"/>
  <c r="H751" i="6"/>
  <c r="CQ751" i="6" s="1"/>
  <c r="CQ749" i="6"/>
  <c r="L9" i="42457"/>
  <c r="L46" i="42457"/>
  <c r="BM104" i="6"/>
  <c r="BN104" i="6" s="1"/>
  <c r="BO104" i="6" s="1"/>
  <c r="BF889" i="6"/>
  <c r="DA889" i="6" s="1"/>
  <c r="DA888" i="6"/>
  <c r="BC1096" i="6"/>
  <c r="BC1152" i="6" s="1"/>
  <c r="AO1293" i="6"/>
  <c r="AN1296" i="6"/>
  <c r="AV70" i="42416"/>
  <c r="AV71" i="42416" s="1"/>
  <c r="AR43" i="42416"/>
  <c r="AS28" i="42416"/>
  <c r="AR36" i="42416"/>
  <c r="AR50" i="42416"/>
  <c r="CD1142" i="6"/>
  <c r="CD1140" i="6"/>
  <c r="CE1135" i="6"/>
  <c r="CD941" i="6"/>
  <c r="CD1139" i="6"/>
  <c r="CD1164" i="6"/>
  <c r="BJ574" i="6"/>
  <c r="BK572" i="6"/>
  <c r="BC531" i="6"/>
  <c r="AX531" i="6"/>
  <c r="BQ298" i="6"/>
  <c r="BQ10" i="6"/>
  <c r="BL1190" i="6"/>
  <c r="BQ1187" i="6"/>
  <c r="BV1187" i="6" s="1"/>
  <c r="C33" i="42475"/>
  <c r="N26" i="42475"/>
  <c r="P25" i="42475"/>
  <c r="L25" i="42475"/>
  <c r="U25" i="42475"/>
  <c r="Q25" i="42475"/>
  <c r="M147" i="6"/>
  <c r="CR147" i="6" s="1"/>
  <c r="CR1198" i="6"/>
  <c r="CS70" i="6"/>
  <c r="R80" i="6"/>
  <c r="R71" i="6"/>
  <c r="CS71" i="6" s="1"/>
  <c r="CZ1224" i="6"/>
  <c r="BA1347" i="6"/>
  <c r="W1198" i="6"/>
  <c r="BK981" i="6"/>
  <c r="BJ984" i="6"/>
  <c r="BK984" i="6" s="1"/>
  <c r="CC1198" i="6"/>
  <c r="DG1198" i="6"/>
  <c r="AW199" i="42290"/>
  <c r="BE362" i="6"/>
  <c r="BE363" i="6" s="1"/>
  <c r="BD753" i="6"/>
  <c r="AW666" i="6"/>
  <c r="AU1317" i="6"/>
  <c r="AU137" i="6"/>
  <c r="AT1317" i="6"/>
  <c r="AT137" i="6"/>
  <c r="I95" i="6"/>
  <c r="I100" i="6" s="1"/>
  <c r="I94" i="6"/>
  <c r="I135" i="6"/>
  <c r="N94" i="6"/>
  <c r="N135" i="6"/>
  <c r="N95" i="6"/>
  <c r="N100" i="6" s="1"/>
  <c r="BB1114" i="6"/>
  <c r="BD1093" i="6"/>
  <c r="BD1149" i="6" s="1"/>
  <c r="AD82" i="6"/>
  <c r="AD1220" i="6"/>
  <c r="AD1211" i="6"/>
  <c r="AG80" i="6"/>
  <c r="BK599" i="6"/>
  <c r="BB1152" i="6"/>
  <c r="CW1199" i="6"/>
  <c r="AL143" i="6"/>
  <c r="CW143" i="6" s="1"/>
  <c r="AI1172" i="6"/>
  <c r="AI1271" i="6" s="1"/>
  <c r="AI1275" i="6" s="1"/>
  <c r="CR200" i="6"/>
  <c r="M201" i="6"/>
  <c r="CR201" i="6" s="1"/>
  <c r="R201" i="6"/>
  <c r="CS201" i="6" s="1"/>
  <c r="BH913" i="6"/>
  <c r="CR55" i="6"/>
  <c r="M58" i="6"/>
  <c r="M56" i="6"/>
  <c r="CR56" i="6" s="1"/>
  <c r="R57" i="6"/>
  <c r="CS57" i="6" s="1"/>
  <c r="M57" i="6"/>
  <c r="CR57" i="6" s="1"/>
  <c r="I35" i="42450"/>
  <c r="I38" i="42450" s="1"/>
  <c r="I40" i="42450" s="1"/>
  <c r="K32" i="42450"/>
  <c r="K35" i="42450" s="1"/>
  <c r="K38" i="42450" s="1"/>
  <c r="L32" i="42450"/>
  <c r="L35" i="42450" s="1"/>
  <c r="L38" i="42450" s="1"/>
  <c r="Z35" i="6"/>
  <c r="AE35" i="6"/>
  <c r="Z34" i="6"/>
  <c r="Y496" i="6"/>
  <c r="BA143" i="6"/>
  <c r="CZ1199" i="6"/>
  <c r="BA1207" i="6"/>
  <c r="BA688" i="6"/>
  <c r="CY167" i="6"/>
  <c r="N147" i="6"/>
  <c r="R1198" i="6"/>
  <c r="AS37" i="42416"/>
  <c r="AS26" i="42416"/>
  <c r="AA96" i="42290"/>
  <c r="AA98" i="42290" s="1"/>
  <c r="AA100" i="42290" s="1"/>
  <c r="CU430" i="6"/>
  <c r="Z495" i="6"/>
  <c r="Z496" i="6" s="1"/>
  <c r="Z497" i="6" s="1"/>
  <c r="BI1001" i="6"/>
  <c r="BH1002" i="6"/>
  <c r="BG286" i="6"/>
  <c r="BF288" i="6"/>
  <c r="DE105" i="6"/>
  <c r="CA105" i="6"/>
  <c r="CC954" i="6"/>
  <c r="CC77" i="6" s="1"/>
  <c r="CC1342" i="6" s="1"/>
  <c r="CC959" i="6"/>
  <c r="CX167" i="6"/>
  <c r="BK783" i="6"/>
  <c r="DB788" i="6"/>
  <c r="AO37" i="42290"/>
  <c r="AT25" i="42290"/>
  <c r="AU26" i="42416"/>
  <c r="AB751" i="6"/>
  <c r="CU751" i="6" s="1"/>
  <c r="CU749" i="6"/>
  <c r="BO1084" i="6"/>
  <c r="BN1176" i="6"/>
  <c r="BN1141" i="6"/>
  <c r="BN1285" i="6"/>
  <c r="C42" i="42451"/>
  <c r="K40" i="42451"/>
  <c r="L40" i="42451"/>
  <c r="S295" i="6"/>
  <c r="DC859" i="6"/>
  <c r="BP865" i="6"/>
  <c r="N86" i="6"/>
  <c r="N1332" i="6"/>
  <c r="N90" i="6"/>
  <c r="N1013" i="6"/>
  <c r="N1028" i="6" s="1"/>
  <c r="N1046" i="6" s="1"/>
  <c r="N91" i="6"/>
  <c r="BJ870" i="6"/>
  <c r="BJ872" i="6"/>
  <c r="BF565" i="6"/>
  <c r="BK565" i="6"/>
  <c r="BC37" i="42290"/>
  <c r="BH25" i="42290"/>
  <c r="M337" i="6"/>
  <c r="CR337" i="6" s="1"/>
  <c r="CR336" i="6"/>
  <c r="R337" i="6"/>
  <c r="CS337" i="6" s="1"/>
  <c r="BK917" i="6"/>
  <c r="BK918" i="6" s="1"/>
  <c r="BH918" i="6"/>
  <c r="CE1015" i="6"/>
  <c r="CD140" i="6"/>
  <c r="O118" i="6"/>
  <c r="O123" i="6" s="1"/>
  <c r="P1262" i="6"/>
  <c r="S1262" i="6"/>
  <c r="R143" i="6"/>
  <c r="CS143" i="6" s="1"/>
  <c r="CS1199" i="6"/>
  <c r="CW1096" i="6"/>
  <c r="AM1096" i="6"/>
  <c r="AM1152" i="6" s="1"/>
  <c r="AR37" i="42416"/>
  <c r="AR26" i="42416"/>
  <c r="I496" i="6"/>
  <c r="BG1211" i="6"/>
  <c r="BG82" i="6"/>
  <c r="BG1220" i="6"/>
  <c r="AA290" i="42290"/>
  <c r="CU878" i="6"/>
  <c r="AB888" i="6"/>
  <c r="AV1042" i="6"/>
  <c r="CY1042" i="6" s="1"/>
  <c r="CY1038" i="6"/>
  <c r="BP853" i="6"/>
  <c r="DF1058" i="6"/>
  <c r="CB1058" i="6"/>
  <c r="DD390" i="6"/>
  <c r="CB1125" i="6"/>
  <c r="DF1125" i="6"/>
  <c r="CV1199" i="6"/>
  <c r="G292" i="42290"/>
  <c r="AK37" i="42290"/>
  <c r="AP25" i="42290"/>
  <c r="FU499" i="42425"/>
  <c r="FU501" i="42425" s="1"/>
  <c r="M1343" i="6"/>
  <c r="CR87" i="6"/>
  <c r="M1335" i="6"/>
  <c r="M1336" i="6" s="1"/>
  <c r="D35" i="42453"/>
  <c r="H288" i="6"/>
  <c r="H289" i="6"/>
  <c r="H294" i="6" s="1"/>
  <c r="CQ294" i="6" s="1"/>
  <c r="G289" i="6"/>
  <c r="G294" i="6" s="1"/>
  <c r="CQ87" i="6"/>
  <c r="C35" i="42453"/>
  <c r="C37" i="42453" s="1"/>
  <c r="H1343" i="6"/>
  <c r="H1335" i="6"/>
  <c r="H1336" i="6" s="1"/>
  <c r="AP295" i="6"/>
  <c r="BF289" i="6"/>
  <c r="BF294" i="6" s="1"/>
  <c r="CB1116" i="6"/>
  <c r="DF1116" i="6"/>
  <c r="DB859" i="6"/>
  <c r="BK865" i="6"/>
  <c r="BB1224" i="6"/>
  <c r="BB1347" i="6" s="1"/>
  <c r="BK667" i="6"/>
  <c r="AL1198" i="6"/>
  <c r="AJ147" i="6"/>
  <c r="CZ1149" i="6"/>
  <c r="AS889" i="6"/>
  <c r="AX889" i="6"/>
  <c r="M261" i="6"/>
  <c r="CR261" i="6" s="1"/>
  <c r="CR260" i="6"/>
  <c r="M895" i="6"/>
  <c r="CR895" i="6" s="1"/>
  <c r="CR894" i="6"/>
  <c r="AL1038" i="6"/>
  <c r="BL542" i="6"/>
  <c r="DC1108" i="6"/>
  <c r="K41" i="42442"/>
  <c r="L41" i="42442"/>
  <c r="C43" i="42442"/>
  <c r="AU44" i="42416"/>
  <c r="AU51" i="42416" s="1"/>
  <c r="AS77" i="42416"/>
  <c r="AR77" i="42416"/>
  <c r="AV44" i="42416"/>
  <c r="AV51" i="42416" s="1"/>
  <c r="DE328" i="6"/>
  <c r="CA328" i="6"/>
  <c r="R16" i="42457"/>
  <c r="O1097" i="6"/>
  <c r="O1153" i="6" s="1"/>
  <c r="DF1177" i="6"/>
  <c r="CB1177" i="6"/>
  <c r="Z118" i="6"/>
  <c r="Z123" i="6" s="1"/>
  <c r="AB116" i="6"/>
  <c r="AA1262" i="6"/>
  <c r="AC1262" i="6"/>
  <c r="BS1156" i="6"/>
  <c r="BK853" i="6"/>
  <c r="DA978" i="6"/>
  <c r="BF1005" i="6"/>
  <c r="DA1005" i="6" s="1"/>
  <c r="M295" i="42290"/>
  <c r="M296" i="42290"/>
  <c r="N921" i="6"/>
  <c r="BP834" i="6"/>
  <c r="CB290" i="42290"/>
  <c r="CB292" i="42290" s="1"/>
  <c r="CG902" i="6"/>
  <c r="BH821" i="6"/>
  <c r="BH811" i="6"/>
  <c r="BK809" i="6"/>
  <c r="BE576" i="6"/>
  <c r="AW37" i="42290"/>
  <c r="BB25" i="42290"/>
  <c r="W1038" i="6"/>
  <c r="CY750" i="6"/>
  <c r="AG1038" i="6"/>
  <c r="AD286" i="6"/>
  <c r="AC288" i="6"/>
  <c r="AC749" i="6"/>
  <c r="AC751" i="6" s="1"/>
  <c r="W1343" i="6"/>
  <c r="F35" i="42453"/>
  <c r="CT87" i="6"/>
  <c r="W1335" i="6"/>
  <c r="W1336" i="6" s="1"/>
  <c r="BS298" i="6"/>
  <c r="BU297" i="6" s="1"/>
  <c r="BS10" i="6"/>
  <c r="Y16" i="42457"/>
  <c r="BN71" i="6"/>
  <c r="BN80" i="6"/>
  <c r="BN1220" i="6" s="1"/>
  <c r="BG728" i="6"/>
  <c r="BG14" i="6"/>
  <c r="BG714" i="6"/>
  <c r="BL702" i="6"/>
  <c r="BL711" i="6" s="1"/>
  <c r="BL713" i="6" s="1"/>
  <c r="BL499" i="6" s="1"/>
  <c r="BL642" i="6"/>
  <c r="BG644" i="6"/>
  <c r="AY33" i="6"/>
  <c r="BI610" i="6"/>
  <c r="BK608" i="6"/>
  <c r="AY21" i="6"/>
  <c r="BA610" i="6"/>
  <c r="BB29" i="6"/>
  <c r="BB16" i="6"/>
  <c r="D11" i="42473"/>
  <c r="C11" i="42464"/>
  <c r="BJ610" i="6"/>
  <c r="BM610" i="6"/>
  <c r="F11" i="42459"/>
  <c r="F14" i="42459" s="1"/>
  <c r="Q11" i="42459"/>
  <c r="P11" i="42459"/>
  <c r="W20" i="42459"/>
  <c r="C14" i="42459"/>
  <c r="K11" i="42459"/>
  <c r="K14" i="42459" s="1"/>
  <c r="L11" i="42459"/>
  <c r="D14" i="42468"/>
  <c r="AY53" i="6"/>
  <c r="BP1063" i="6"/>
  <c r="BQ313" i="6" l="1"/>
  <c r="BU314" i="6"/>
  <c r="CA1119" i="6"/>
  <c r="CA1077" i="6"/>
  <c r="BG178" i="42290"/>
  <c r="AX33" i="6"/>
  <c r="AX35" i="6" s="1"/>
  <c r="BC185" i="42290"/>
  <c r="BC187" i="42290" s="1"/>
  <c r="BD544" i="6" s="1"/>
  <c r="BD545" i="6" s="1"/>
  <c r="AX203" i="42290"/>
  <c r="AX206" i="42290" s="1"/>
  <c r="HR723" i="42458"/>
  <c r="HR719" i="42458"/>
  <c r="HR718" i="42458"/>
  <c r="HQ723" i="42458"/>
  <c r="HQ719" i="42458"/>
  <c r="HQ718" i="42458"/>
  <c r="S921" i="6"/>
  <c r="S909" i="6" s="1"/>
  <c r="S910" i="6" s="1"/>
  <c r="P296" i="42290"/>
  <c r="T295" i="42290"/>
  <c r="BB35" i="42290"/>
  <c r="BF185" i="42290"/>
  <c r="BI185" i="42290"/>
  <c r="D27" i="42447"/>
  <c r="S296" i="42290"/>
  <c r="R296" i="42290"/>
  <c r="F137" i="42290"/>
  <c r="F144" i="42290" s="1"/>
  <c r="P261" i="42290"/>
  <c r="BN35" i="42290"/>
  <c r="BM35" i="42290"/>
  <c r="BF35" i="42290"/>
  <c r="I289" i="6"/>
  <c r="I294" i="6" s="1"/>
  <c r="I295" i="6" s="1"/>
  <c r="G294" i="42290"/>
  <c r="L96" i="42458"/>
  <c r="BA57" i="6"/>
  <c r="CZ57" i="6" s="1"/>
  <c r="T921" i="6"/>
  <c r="BA178" i="42290"/>
  <c r="CZ55" i="6"/>
  <c r="V921" i="6"/>
  <c r="V922" i="6" s="1"/>
  <c r="BY24" i="42290"/>
  <c r="BY33" i="42290" s="1"/>
  <c r="AX34" i="6"/>
  <c r="S137" i="42290"/>
  <c r="S144" i="42290" s="1"/>
  <c r="AO178" i="42290"/>
  <c r="BR35" i="42290"/>
  <c r="C36" i="42455"/>
  <c r="BE206" i="42290"/>
  <c r="BE208" i="42290" s="1"/>
  <c r="BC203" i="42290"/>
  <c r="BC206" i="42290" s="1"/>
  <c r="BC208" i="42290" s="1"/>
  <c r="BD578" i="6" s="1"/>
  <c r="BD579" i="6" s="1"/>
  <c r="AL203" i="42290"/>
  <c r="AL206" i="42290" s="1"/>
  <c r="AL208" i="42290" s="1"/>
  <c r="AM578" i="6" s="1"/>
  <c r="AM579" i="6" s="1"/>
  <c r="CQ1224" i="6"/>
  <c r="S357" i="6"/>
  <c r="BD203" i="42290"/>
  <c r="BD206" i="42290" s="1"/>
  <c r="BD208" i="42290" s="1"/>
  <c r="BE578" i="6" s="1"/>
  <c r="BE579" i="6" s="1"/>
  <c r="AN203" i="42290"/>
  <c r="AN206" i="42290" s="1"/>
  <c r="AN208" i="42290" s="1"/>
  <c r="AO578" i="6" s="1"/>
  <c r="AM203" i="42290"/>
  <c r="AM206" i="42290" s="1"/>
  <c r="O288" i="6"/>
  <c r="O289" i="6" s="1"/>
  <c r="O294" i="6" s="1"/>
  <c r="T295" i="6" s="1"/>
  <c r="BD35" i="42290"/>
  <c r="AR178" i="42290"/>
  <c r="BI35" i="42290"/>
  <c r="T137" i="42290"/>
  <c r="T144" i="42290" s="1"/>
  <c r="AZ206" i="42290"/>
  <c r="AZ208" i="42290" s="1"/>
  <c r="K35" i="42290"/>
  <c r="K39" i="42290" s="1"/>
  <c r="K261" i="42290" s="1"/>
  <c r="BH185" i="42290"/>
  <c r="BH187" i="42290" s="1"/>
  <c r="BI544" i="6" s="1"/>
  <c r="BI545" i="6" s="1"/>
  <c r="BR137" i="42290"/>
  <c r="BK137" i="42290"/>
  <c r="AN137" i="42290"/>
  <c r="AN144" i="42290" s="1"/>
  <c r="BS35" i="42290"/>
  <c r="R750" i="6"/>
  <c r="AV203" i="42290"/>
  <c r="AV206" i="42290" s="1"/>
  <c r="AW203" i="42290"/>
  <c r="AW206" i="42290" s="1"/>
  <c r="AW208" i="42290" s="1"/>
  <c r="AX578" i="6" s="1"/>
  <c r="AX579" i="6" s="1"/>
  <c r="BG185" i="42290"/>
  <c r="BP35" i="42290"/>
  <c r="P23" i="42473"/>
  <c r="C25" i="42473"/>
  <c r="L23" i="42473"/>
  <c r="Q23" i="42473"/>
  <c r="U20" i="42473"/>
  <c r="U17" i="42473"/>
  <c r="U18" i="42473"/>
  <c r="U19" i="42473"/>
  <c r="G23" i="42473"/>
  <c r="BK35" i="42290"/>
  <c r="U21" i="42473"/>
  <c r="G974" i="6"/>
  <c r="H974" i="6" s="1"/>
  <c r="CQ974" i="6" s="1"/>
  <c r="H972" i="6"/>
  <c r="CQ972" i="6" s="1"/>
  <c r="BA476" i="6"/>
  <c r="CZ476" i="6" s="1"/>
  <c r="CZ413" i="6"/>
  <c r="D22" i="42443"/>
  <c r="G20" i="42443"/>
  <c r="D45" i="42443"/>
  <c r="G45" i="42443" s="1"/>
  <c r="CQ279" i="6"/>
  <c r="M277" i="6"/>
  <c r="I277" i="6"/>
  <c r="I279" i="6" s="1"/>
  <c r="J277" i="6" s="1"/>
  <c r="J279" i="6" s="1"/>
  <c r="K277" i="6" s="1"/>
  <c r="K279" i="6" s="1"/>
  <c r="L277" i="6" s="1"/>
  <c r="L279" i="6" s="1"/>
  <c r="Z137" i="42290"/>
  <c r="Z144" i="42290" s="1"/>
  <c r="Z261" i="42290" s="1"/>
  <c r="W137" i="42290"/>
  <c r="W144" i="42290" s="1"/>
  <c r="W261" i="42290" s="1"/>
  <c r="BL35" i="42290"/>
  <c r="AS579" i="6"/>
  <c r="AS581" i="6"/>
  <c r="AS582" i="6" s="1"/>
  <c r="AN430" i="6"/>
  <c r="AN447" i="6" s="1"/>
  <c r="C32" i="42467"/>
  <c r="K32" i="42467" s="1"/>
  <c r="D52" i="42451"/>
  <c r="D56" i="42451" s="1"/>
  <c r="AZ1211" i="6"/>
  <c r="F261" i="42290"/>
  <c r="G35" i="42290"/>
  <c r="G39" i="42290" s="1"/>
  <c r="G261" i="42290" s="1"/>
  <c r="AS187" i="42290"/>
  <c r="AT544" i="6" s="1"/>
  <c r="AT716" i="6" s="1"/>
  <c r="AT717" i="6" s="1"/>
  <c r="Q25" i="42467"/>
  <c r="L31" i="42455"/>
  <c r="L25" i="42467"/>
  <c r="G22" i="42451"/>
  <c r="AV187" i="42290"/>
  <c r="AW544" i="6" s="1"/>
  <c r="AW545" i="6" s="1"/>
  <c r="AT185" i="42290"/>
  <c r="X261" i="42290"/>
  <c r="BG137" i="42290"/>
  <c r="BI137" i="42290"/>
  <c r="BJ187" i="42290"/>
  <c r="AM137" i="42290"/>
  <c r="AM144" i="42290" s="1"/>
  <c r="S413" i="6"/>
  <c r="S426" i="6" s="1"/>
  <c r="AG474" i="6"/>
  <c r="CV474" i="6" s="1"/>
  <c r="C261" i="42290"/>
  <c r="AP187" i="42290"/>
  <c r="AG261" i="42290"/>
  <c r="S405" i="6"/>
  <c r="Q296" i="42290"/>
  <c r="BC426" i="6"/>
  <c r="AT409" i="6"/>
  <c r="AV409" i="6" s="1"/>
  <c r="CY409" i="6" s="1"/>
  <c r="AT405" i="6"/>
  <c r="Y137" i="42290"/>
  <c r="Y144" i="42290" s="1"/>
  <c r="Y261" i="42290" s="1"/>
  <c r="BK208" i="42290"/>
  <c r="BL578" i="6" s="1"/>
  <c r="BL579" i="6" s="1"/>
  <c r="AQ178" i="42290"/>
  <c r="AQ187" i="42290" s="1"/>
  <c r="AR544" i="6" s="1"/>
  <c r="AR547" i="6" s="1"/>
  <c r="AV475" i="6"/>
  <c r="CY475" i="6" s="1"/>
  <c r="CY412" i="6"/>
  <c r="BI870" i="6"/>
  <c r="BI823" i="6"/>
  <c r="BI872" i="6" s="1"/>
  <c r="BD384" i="6"/>
  <c r="BD356" i="6"/>
  <c r="CE826" i="6"/>
  <c r="CD828" i="6"/>
  <c r="EH591" i="42458"/>
  <c r="EJ591" i="42458"/>
  <c r="BY429" i="6"/>
  <c r="BE187" i="42290"/>
  <c r="BA301" i="6"/>
  <c r="BA303" i="6" s="1"/>
  <c r="BA304" i="6" s="1"/>
  <c r="CZ304" i="6" s="1"/>
  <c r="BB302" i="6"/>
  <c r="AO356" i="6"/>
  <c r="EI591" i="42458"/>
  <c r="BE388" i="6"/>
  <c r="BE405" i="6" s="1"/>
  <c r="BD357" i="6"/>
  <c r="BD750" i="6" s="1"/>
  <c r="BD409" i="6"/>
  <c r="AY384" i="6"/>
  <c r="AY356" i="6"/>
  <c r="EK591" i="42458"/>
  <c r="CC831" i="6"/>
  <c r="CC834" i="6" s="1"/>
  <c r="CC840" i="6"/>
  <c r="CC829" i="6"/>
  <c r="CC19" i="6"/>
  <c r="L11" i="42455"/>
  <c r="Q11" i="42455"/>
  <c r="W20" i="42455"/>
  <c r="C14" i="42455"/>
  <c r="F11" i="42455"/>
  <c r="F14" i="42455" s="1"/>
  <c r="P11" i="42455"/>
  <c r="K11" i="42455"/>
  <c r="K14" i="42455" s="1"/>
  <c r="AJ357" i="6"/>
  <c r="AT356" i="6"/>
  <c r="AO208" i="42290"/>
  <c r="AP578" i="6" s="1"/>
  <c r="AP579" i="6" s="1"/>
  <c r="AC294" i="42290"/>
  <c r="AC296" i="42290" s="1"/>
  <c r="AQ144" i="42290"/>
  <c r="G19" i="42437"/>
  <c r="G21" i="42437" s="1"/>
  <c r="C46" i="42437"/>
  <c r="C21" i="42437"/>
  <c r="L19" i="42437"/>
  <c r="L21" i="42437" s="1"/>
  <c r="DB927" i="6"/>
  <c r="BK937" i="6"/>
  <c r="BK928" i="6"/>
  <c r="DB928" i="6" s="1"/>
  <c r="BK1007" i="6"/>
  <c r="DB1007" i="6" s="1"/>
  <c r="BK929" i="6"/>
  <c r="DB929" i="6" s="1"/>
  <c r="BK958" i="6"/>
  <c r="DB958" i="6" s="1"/>
  <c r="N895" i="6"/>
  <c r="I895" i="6"/>
  <c r="W1024" i="6"/>
  <c r="CT1024" i="6" s="1"/>
  <c r="V137" i="6"/>
  <c r="W137" i="6" s="1"/>
  <c r="CT137" i="6" s="1"/>
  <c r="AR142" i="42290"/>
  <c r="AR144" i="42290" s="1"/>
  <c r="AW125" i="42290"/>
  <c r="AK142" i="6"/>
  <c r="AL142" i="6" s="1"/>
  <c r="CW142" i="6" s="1"/>
  <c r="AM1162" i="6"/>
  <c r="AY621" i="6"/>
  <c r="AY620" i="6"/>
  <c r="AY623" i="6"/>
  <c r="BJ642" i="6"/>
  <c r="BJ644" i="6" s="1"/>
  <c r="BK640" i="6"/>
  <c r="BK642" i="6" s="1"/>
  <c r="G53" i="42437"/>
  <c r="K53" i="42437"/>
  <c r="F53" i="42437"/>
  <c r="BD619" i="6"/>
  <c r="BD616" i="6"/>
  <c r="BI615" i="6"/>
  <c r="BL952" i="6"/>
  <c r="BL48" i="6"/>
  <c r="AA1104" i="6"/>
  <c r="AB1104" i="6" s="1"/>
  <c r="BE644" i="6"/>
  <c r="BF642" i="6"/>
  <c r="BF644" i="6" s="1"/>
  <c r="V1149" i="6"/>
  <c r="W1149" i="6" s="1"/>
  <c r="CT1149" i="6" s="1"/>
  <c r="V1224" i="6"/>
  <c r="W1093" i="6"/>
  <c r="V1114" i="6"/>
  <c r="AZ499" i="6"/>
  <c r="AZ14" i="6"/>
  <c r="AZ728" i="6"/>
  <c r="DA942" i="6"/>
  <c r="BF945" i="6"/>
  <c r="BF944" i="6"/>
  <c r="DA944" i="6" s="1"/>
  <c r="AU125" i="42290"/>
  <c r="AP126" i="42290"/>
  <c r="DO558" i="42458"/>
  <c r="D27" i="42450"/>
  <c r="G27" i="42450" s="1"/>
  <c r="DE11" i="6"/>
  <c r="AL178" i="42290"/>
  <c r="AL187" i="42290" s="1"/>
  <c r="AM544" i="6" s="1"/>
  <c r="AO878" i="6"/>
  <c r="AO888" i="6" s="1"/>
  <c r="AO889" i="6" s="1"/>
  <c r="AQ878" i="6"/>
  <c r="BZ346" i="6"/>
  <c r="BU27" i="6"/>
  <c r="DD27" i="6" s="1"/>
  <c r="CN10" i="6"/>
  <c r="CO10" i="6" s="1"/>
  <c r="BZ10" i="6"/>
  <c r="CN301" i="6"/>
  <c r="CO301" i="6" s="1"/>
  <c r="BZ1068" i="6"/>
  <c r="CN1068" i="6"/>
  <c r="CO1068" i="6" s="1"/>
  <c r="BZ1105" i="6"/>
  <c r="CA1105" i="6" s="1"/>
  <c r="CN1105" i="6"/>
  <c r="CO1105" i="6" s="1"/>
  <c r="BX128" i="6"/>
  <c r="DF75" i="6"/>
  <c r="CB75" i="6"/>
  <c r="CA1341" i="6"/>
  <c r="CA114" i="6"/>
  <c r="DF1054" i="6"/>
  <c r="CB1054" i="6"/>
  <c r="BZ301" i="6"/>
  <c r="BZ298" i="6"/>
  <c r="CN27" i="6"/>
  <c r="CO27" i="6" s="1"/>
  <c r="BZ27" i="6"/>
  <c r="CN137" i="6"/>
  <c r="CO137" i="6" s="1"/>
  <c r="CN345" i="6"/>
  <c r="CO345" i="6" s="1"/>
  <c r="O295" i="42290"/>
  <c r="AH96" i="42290"/>
  <c r="AH98" i="42290" s="1"/>
  <c r="AH100" i="42290" s="1"/>
  <c r="AH261" i="42290" s="1"/>
  <c r="BZ119" i="6"/>
  <c r="DE119" i="6" s="1"/>
  <c r="CN119" i="6"/>
  <c r="CO119" i="6" s="1"/>
  <c r="BW1168" i="6"/>
  <c r="BX1168" i="6" s="1"/>
  <c r="BY1168" i="6" s="1"/>
  <c r="DF339" i="6"/>
  <c r="CA11" i="6"/>
  <c r="CB339" i="6"/>
  <c r="CN1024" i="6"/>
  <c r="CO1024" i="6" s="1"/>
  <c r="CB277" i="42290"/>
  <c r="CB269" i="42290"/>
  <c r="CB273" i="42290"/>
  <c r="DE1122" i="6"/>
  <c r="CA1122" i="6"/>
  <c r="BZ343" i="6"/>
  <c r="DE343" i="6" s="1"/>
  <c r="BZ1024" i="6"/>
  <c r="DE1139" i="6"/>
  <c r="BM137" i="42290"/>
  <c r="BF137" i="42290"/>
  <c r="BA187" i="42290"/>
  <c r="BB544" i="6" s="1"/>
  <c r="BB716" i="6" s="1"/>
  <c r="BB717" i="6" s="1"/>
  <c r="AN185" i="42290"/>
  <c r="AN187" i="42290" s="1"/>
  <c r="AO544" i="6" s="1"/>
  <c r="AO545" i="6" s="1"/>
  <c r="AO137" i="42290"/>
  <c r="AO144" i="42290" s="1"/>
  <c r="H35" i="42290"/>
  <c r="H39" i="42290" s="1"/>
  <c r="H261" i="42290" s="1"/>
  <c r="G25" i="42467"/>
  <c r="D52" i="42450"/>
  <c r="D56" i="42450" s="1"/>
  <c r="BH203" i="42290"/>
  <c r="BH206" i="42290" s="1"/>
  <c r="U922" i="6"/>
  <c r="Q35" i="42290"/>
  <c r="Q39" i="42290" s="1"/>
  <c r="E261" i="42290"/>
  <c r="T296" i="42290"/>
  <c r="D261" i="42290"/>
  <c r="BR208" i="42290"/>
  <c r="I35" i="42290"/>
  <c r="I39" i="42290" s="1"/>
  <c r="BH137" i="42290"/>
  <c r="AL137" i="42290"/>
  <c r="AL144" i="42290" s="1"/>
  <c r="AO185" i="42290"/>
  <c r="AM185" i="42290"/>
  <c r="AM187" i="42290" s="1"/>
  <c r="AN544" i="6" s="1"/>
  <c r="BQ137" i="42290"/>
  <c r="AT178" i="42290"/>
  <c r="AT187" i="42290" s="1"/>
  <c r="AU544" i="6" s="1"/>
  <c r="BP137" i="42290"/>
  <c r="BD185" i="42290"/>
  <c r="BD187" i="42290" s="1"/>
  <c r="BE544" i="6" s="1"/>
  <c r="BS137" i="42290"/>
  <c r="AT582" i="6"/>
  <c r="AY581" i="6"/>
  <c r="AY582" i="6" s="1"/>
  <c r="P25" i="42467"/>
  <c r="N26" i="42467"/>
  <c r="N45" i="42451"/>
  <c r="N46" i="42451" s="1"/>
  <c r="O46" i="42451" s="1"/>
  <c r="V295" i="42290"/>
  <c r="AJ282" i="42290"/>
  <c r="AJ288" i="42290" s="1"/>
  <c r="AB294" i="42290"/>
  <c r="AB296" i="42290" s="1"/>
  <c r="AR283" i="42290"/>
  <c r="AR282" i="42290" s="1"/>
  <c r="AR288" i="42290" s="1"/>
  <c r="AJ261" i="42290"/>
  <c r="AA35" i="42290"/>
  <c r="AA39" i="42290" s="1"/>
  <c r="AK35" i="42290"/>
  <c r="AK39" i="42290" s="1"/>
  <c r="BL137" i="42290"/>
  <c r="AB475" i="6"/>
  <c r="CU475" i="6" s="1"/>
  <c r="AE295" i="42290"/>
  <c r="AF921" i="6"/>
  <c r="AF922" i="6" s="1"/>
  <c r="AE296" i="42290"/>
  <c r="AV1198" i="6"/>
  <c r="CY1198" i="6" s="1"/>
  <c r="AU147" i="6"/>
  <c r="BU1079" i="6"/>
  <c r="BV1076" i="6"/>
  <c r="AB24" i="42457"/>
  <c r="AB25" i="42457" s="1"/>
  <c r="BV1106" i="6"/>
  <c r="BV1161" i="6" s="1"/>
  <c r="BK334" i="6"/>
  <c r="DB334" i="6" s="1"/>
  <c r="BI334" i="6"/>
  <c r="BI1156" i="6"/>
  <c r="BK1156" i="6" s="1"/>
  <c r="DB1156" i="6" s="1"/>
  <c r="BY287" i="6"/>
  <c r="BZ287" i="6" s="1"/>
  <c r="BX333" i="6"/>
  <c r="BX334" i="6" s="1"/>
  <c r="K21" i="42471"/>
  <c r="K23" i="42471" s="1"/>
  <c r="K25" i="42471" s="1"/>
  <c r="G21" i="42471"/>
  <c r="C23" i="42471"/>
  <c r="U21" i="42471" s="1"/>
  <c r="Q21" i="42471"/>
  <c r="F21" i="42471"/>
  <c r="F23" i="42471" s="1"/>
  <c r="F25" i="42471" s="1"/>
  <c r="F32" i="42471" s="1"/>
  <c r="L21" i="42471"/>
  <c r="P21" i="42471"/>
  <c r="G21" i="42475"/>
  <c r="D23" i="42475"/>
  <c r="F21" i="42475"/>
  <c r="F23" i="42475" s="1"/>
  <c r="F25" i="42475" s="1"/>
  <c r="F33" i="42475" s="1"/>
  <c r="N99" i="42458"/>
  <c r="BK51" i="6"/>
  <c r="BI653" i="6"/>
  <c r="BI650" i="6"/>
  <c r="BY1091" i="6"/>
  <c r="BX1147" i="6"/>
  <c r="Y1096" i="6"/>
  <c r="Z1096" i="6" s="1"/>
  <c r="BY39" i="6"/>
  <c r="BY128" i="6" s="1"/>
  <c r="BY346" i="6"/>
  <c r="BY347" i="6"/>
  <c r="BH1097" i="6"/>
  <c r="BH1153" i="6" s="1"/>
  <c r="BX1110" i="6"/>
  <c r="BX1167" i="6" s="1"/>
  <c r="N8" i="42457"/>
  <c r="BC55" i="6"/>
  <c r="K878" i="6"/>
  <c r="K888" i="6" s="1"/>
  <c r="L877" i="6"/>
  <c r="DD1024" i="6"/>
  <c r="BW1089" i="6"/>
  <c r="BV1145" i="6"/>
  <c r="BW1101" i="6"/>
  <c r="BW1157" i="6" s="1"/>
  <c r="BV413" i="6"/>
  <c r="BW371" i="6"/>
  <c r="BV1103" i="6"/>
  <c r="BV1159" i="6" s="1"/>
  <c r="BV414" i="6"/>
  <c r="BW372" i="6"/>
  <c r="BV847" i="6"/>
  <c r="BW845" i="6"/>
  <c r="M99" i="42458"/>
  <c r="BF51" i="6"/>
  <c r="AQ888" i="6"/>
  <c r="CX878" i="6"/>
  <c r="AP290" i="42290"/>
  <c r="Q967" i="6"/>
  <c r="Q946" i="6"/>
  <c r="BG803" i="6"/>
  <c r="BG805" i="6"/>
  <c r="BG806" i="6" s="1"/>
  <c r="CV942" i="6"/>
  <c r="AG944" i="6"/>
  <c r="CV944" i="6" s="1"/>
  <c r="AG945" i="6"/>
  <c r="CV945" i="6" s="1"/>
  <c r="BG870" i="6"/>
  <c r="BG823" i="6"/>
  <c r="BG872" i="6" s="1"/>
  <c r="BY1075" i="6"/>
  <c r="BE55" i="6"/>
  <c r="P8" i="42457"/>
  <c r="S8" i="42457"/>
  <c r="BH55" i="6"/>
  <c r="Q21" i="42474"/>
  <c r="L21" i="42474"/>
  <c r="K21" i="42474"/>
  <c r="K23" i="42474" s="1"/>
  <c r="K25" i="42474" s="1"/>
  <c r="K33" i="42474" s="1"/>
  <c r="F21" i="42474"/>
  <c r="F23" i="42474" s="1"/>
  <c r="F25" i="42474" s="1"/>
  <c r="F33" i="42474" s="1"/>
  <c r="C23" i="42474"/>
  <c r="U21" i="42474" s="1"/>
  <c r="P21" i="42474"/>
  <c r="BT1192" i="6"/>
  <c r="BY1192" i="6" s="1"/>
  <c r="BX1192" i="6"/>
  <c r="BD655" i="6"/>
  <c r="BD654" i="6"/>
  <c r="BD657" i="6"/>
  <c r="BS1191" i="6"/>
  <c r="BW1191" i="6"/>
  <c r="AT147" i="6"/>
  <c r="AT1207" i="6"/>
  <c r="G21" i="42474"/>
  <c r="D23" i="42474"/>
  <c r="O889" i="6"/>
  <c r="J889" i="6"/>
  <c r="AY659" i="6"/>
  <c r="AY658" i="6"/>
  <c r="BN137" i="42290"/>
  <c r="BX307" i="6"/>
  <c r="BX26" i="6"/>
  <c r="BX303" i="6"/>
  <c r="BY26" i="6"/>
  <c r="BY303" i="6"/>
  <c r="BY307" i="6"/>
  <c r="BY310" i="6"/>
  <c r="BX310" i="6"/>
  <c r="T9" i="42457"/>
  <c r="BG203" i="42290"/>
  <c r="BG206" i="42290" s="1"/>
  <c r="BG208" i="42290" s="1"/>
  <c r="BH578" i="6" s="1"/>
  <c r="BQ1190" i="6"/>
  <c r="AX475" i="6"/>
  <c r="BA412" i="6"/>
  <c r="P967" i="6"/>
  <c r="P946" i="6"/>
  <c r="U946" i="6"/>
  <c r="BD870" i="6"/>
  <c r="BD823" i="6"/>
  <c r="BD872" i="6" s="1"/>
  <c r="AL889" i="6"/>
  <c r="CW889" i="6" s="1"/>
  <c r="CW888" i="6"/>
  <c r="X946" i="6"/>
  <c r="S967" i="6"/>
  <c r="AH884" i="6"/>
  <c r="AH894" i="6" s="1"/>
  <c r="AH895" i="6" s="1"/>
  <c r="BD805" i="6"/>
  <c r="BD806" i="6" s="1"/>
  <c r="BD803" i="6"/>
  <c r="W967" i="6"/>
  <c r="CT967" i="6" s="1"/>
  <c r="EQ591" i="42458"/>
  <c r="AG290" i="42290"/>
  <c r="AG292" i="42290" s="1"/>
  <c r="AI290" i="42290"/>
  <c r="AI292" i="42290" s="1"/>
  <c r="AJ290" i="42290"/>
  <c r="AJ292" i="42290" s="1"/>
  <c r="AJ294" i="42290" s="1"/>
  <c r="AK292" i="42290"/>
  <c r="AH290" i="42290"/>
  <c r="AH292" i="42290" s="1"/>
  <c r="AH294" i="42290" s="1"/>
  <c r="BL803" i="6"/>
  <c r="BL805" i="6"/>
  <c r="BL806" i="6" s="1"/>
  <c r="AI880" i="6"/>
  <c r="AI884" i="6" s="1"/>
  <c r="AI894" i="6" s="1"/>
  <c r="AI895" i="6" s="1"/>
  <c r="AJ883" i="6"/>
  <c r="G967" i="6"/>
  <c r="H967" i="6" s="1"/>
  <c r="CQ967" i="6" s="1"/>
  <c r="L946" i="6"/>
  <c r="AJ70" i="6"/>
  <c r="AJ1259" i="6"/>
  <c r="AJ57" i="6"/>
  <c r="AJ113" i="6"/>
  <c r="AJ116" i="6" s="1"/>
  <c r="AJ118" i="6" s="1"/>
  <c r="AJ123" i="6" s="1"/>
  <c r="AJ56" i="6"/>
  <c r="CR1033" i="6"/>
  <c r="M1035" i="6"/>
  <c r="CR1035" i="6" s="1"/>
  <c r="G1127" i="6"/>
  <c r="H1114" i="6"/>
  <c r="AJ967" i="6"/>
  <c r="AO946" i="6"/>
  <c r="Z334" i="6"/>
  <c r="I1096" i="6"/>
  <c r="I1152" i="6" s="1"/>
  <c r="CQ1096" i="6"/>
  <c r="G1170" i="6"/>
  <c r="G1172" i="6" s="1"/>
  <c r="AB334" i="6"/>
  <c r="CU334" i="6" s="1"/>
  <c r="DF333" i="6"/>
  <c r="CB333" i="6"/>
  <c r="AK334" i="6"/>
  <c r="AJ753" i="6"/>
  <c r="AL334" i="6"/>
  <c r="CW334" i="6" s="1"/>
  <c r="AR185" i="42290"/>
  <c r="AZ1187" i="6"/>
  <c r="AU1190" i="6"/>
  <c r="AV1190" i="6" s="1"/>
  <c r="CY1190" i="6" s="1"/>
  <c r="Q292" i="6"/>
  <c r="P753" i="6"/>
  <c r="BJ1186" i="6"/>
  <c r="BF1186" i="6"/>
  <c r="DA1186" i="6" s="1"/>
  <c r="AY1190" i="6"/>
  <c r="BD1187" i="6"/>
  <c r="BA1187" i="6"/>
  <c r="CZ1187" i="6" s="1"/>
  <c r="BH1187" i="6"/>
  <c r="BC1190" i="6"/>
  <c r="O753" i="6"/>
  <c r="P292" i="6"/>
  <c r="R292" i="6"/>
  <c r="CS292" i="6" s="1"/>
  <c r="CB1077" i="6"/>
  <c r="DF1077" i="6"/>
  <c r="CQ26" i="6"/>
  <c r="H33" i="6"/>
  <c r="CC431" i="6"/>
  <c r="BX124" i="42290" s="1"/>
  <c r="BF203" i="42290"/>
  <c r="BF206" i="42290" s="1"/>
  <c r="BF208" i="42290" s="1"/>
  <c r="BG578" i="6" s="1"/>
  <c r="BG579" i="6" s="1"/>
  <c r="AK137" i="42290"/>
  <c r="AK144" i="42290" s="1"/>
  <c r="N296" i="42290"/>
  <c r="BJ206" i="42290"/>
  <c r="BJ208" i="42290" s="1"/>
  <c r="J35" i="42290"/>
  <c r="J39" i="42290" s="1"/>
  <c r="AX187" i="42290"/>
  <c r="AY544" i="6" s="1"/>
  <c r="AY545" i="6" s="1"/>
  <c r="BS185" i="42290"/>
  <c r="AB35" i="42290"/>
  <c r="AB39" i="42290" s="1"/>
  <c r="AB261" i="42290" s="1"/>
  <c r="B13" i="42419"/>
  <c r="CY145" i="6"/>
  <c r="BV33" i="42290"/>
  <c r="BO145" i="6"/>
  <c r="BP145" i="6" s="1"/>
  <c r="GT652" i="42425"/>
  <c r="GP652" i="42425" s="1"/>
  <c r="GT688" i="42425"/>
  <c r="D77" i="42434"/>
  <c r="AC154" i="42434" s="1"/>
  <c r="AD138" i="42434"/>
  <c r="AU292" i="6"/>
  <c r="AV292" i="6"/>
  <c r="CY292" i="6" s="1"/>
  <c r="BP1035" i="6"/>
  <c r="DC1035" i="6" s="1"/>
  <c r="DC1032" i="6"/>
  <c r="D64" i="42434"/>
  <c r="AC141" i="42434"/>
  <c r="D65" i="42434"/>
  <c r="BD125" i="42290"/>
  <c r="AY142" i="42290"/>
  <c r="AY144" i="42290" s="1"/>
  <c r="AT292" i="6"/>
  <c r="GT647" i="42425"/>
  <c r="DD845" i="6"/>
  <c r="BP1199" i="6"/>
  <c r="L1066" i="6"/>
  <c r="M1066" i="6" s="1"/>
  <c r="CR1066" i="6" s="1"/>
  <c r="BU865" i="6"/>
  <c r="DD865" i="6" s="1"/>
  <c r="DD859" i="6"/>
  <c r="BE257" i="42290"/>
  <c r="BJ254" i="42290"/>
  <c r="AV142" i="42290"/>
  <c r="AV144" i="42290" s="1"/>
  <c r="BA125" i="42290"/>
  <c r="BU853" i="6"/>
  <c r="BV29" i="42290"/>
  <c r="BV30" i="42290"/>
  <c r="U296" i="42290"/>
  <c r="BG187" i="42290"/>
  <c r="BH544" i="6" s="1"/>
  <c r="BH545" i="6" s="1"/>
  <c r="BU149" i="6"/>
  <c r="DD149" i="6" s="1"/>
  <c r="AY187" i="42290"/>
  <c r="AZ544" i="6" s="1"/>
  <c r="AZ545" i="6" s="1"/>
  <c r="BV32" i="42290"/>
  <c r="DG431" i="6"/>
  <c r="BW30" i="42290"/>
  <c r="G84" i="6"/>
  <c r="G90" i="6" s="1"/>
  <c r="X1150" i="6"/>
  <c r="Y1094" i="6"/>
  <c r="AD35" i="42290"/>
  <c r="AD39" i="42290" s="1"/>
  <c r="AS426" i="6"/>
  <c r="AC35" i="42290"/>
  <c r="AC39" i="42290" s="1"/>
  <c r="AE35" i="42290"/>
  <c r="AE39" i="42290" s="1"/>
  <c r="AE261" i="42290" s="1"/>
  <c r="BU137" i="42290"/>
  <c r="BM869" i="6"/>
  <c r="BM823" i="6"/>
  <c r="BM872" i="6" s="1"/>
  <c r="AR579" i="6"/>
  <c r="BT296" i="42290"/>
  <c r="BT295" i="42290"/>
  <c r="BA39" i="42290"/>
  <c r="D26" i="42467"/>
  <c r="S922" i="6"/>
  <c r="BQ208" i="42290"/>
  <c r="BS1161" i="6"/>
  <c r="BU1160" i="6" s="1"/>
  <c r="DD1160" i="6" s="1"/>
  <c r="BU35" i="42290"/>
  <c r="CD143" i="6"/>
  <c r="CE1203" i="6"/>
  <c r="BW32" i="42290"/>
  <c r="BW31" i="42290"/>
  <c r="BW33" i="42290"/>
  <c r="BA616" i="6"/>
  <c r="AT579" i="6"/>
  <c r="AV578" i="6"/>
  <c r="AV579" i="6" s="1"/>
  <c r="BF187" i="42290"/>
  <c r="BG544" i="6" s="1"/>
  <c r="BG545" i="6" s="1"/>
  <c r="BF853" i="6"/>
  <c r="BE834" i="6"/>
  <c r="BE837" i="6" s="1"/>
  <c r="BF796" i="6"/>
  <c r="BF800" i="6"/>
  <c r="DA794" i="6"/>
  <c r="BE870" i="6"/>
  <c r="BE823" i="6"/>
  <c r="BE872" i="6" s="1"/>
  <c r="BF821" i="6"/>
  <c r="DA828" i="6"/>
  <c r="BF826" i="6"/>
  <c r="DA826" i="6" s="1"/>
  <c r="BE853" i="6"/>
  <c r="BE856" i="6" s="1"/>
  <c r="BE869" i="6"/>
  <c r="BE867" i="6"/>
  <c r="BF840" i="6"/>
  <c r="CA835" i="6"/>
  <c r="DF835" i="6" s="1"/>
  <c r="CA837" i="6"/>
  <c r="DF834" i="6"/>
  <c r="DE834" i="6"/>
  <c r="DE835" i="6"/>
  <c r="DA809" i="6"/>
  <c r="BF813" i="6"/>
  <c r="DA813" i="6" s="1"/>
  <c r="BF811" i="6"/>
  <c r="DA811" i="6" s="1"/>
  <c r="BJ803" i="6"/>
  <c r="BJ805" i="6"/>
  <c r="BJ806" i="6" s="1"/>
  <c r="CB838" i="6"/>
  <c r="DG838" i="6" s="1"/>
  <c r="DG837" i="6"/>
  <c r="AZ82" i="6"/>
  <c r="AZ1215" i="6" s="1"/>
  <c r="BB53" i="6"/>
  <c r="DY611" i="42458"/>
  <c r="DY613" i="42458" s="1"/>
  <c r="O1262" i="6"/>
  <c r="C36" i="42454"/>
  <c r="L36" i="42454" s="1"/>
  <c r="L39" i="42454" s="1"/>
  <c r="L42" i="42454" s="1"/>
  <c r="Q1262" i="6"/>
  <c r="AV113" i="6"/>
  <c r="CY113" i="6" s="1"/>
  <c r="AH84" i="6"/>
  <c r="AH1013" i="6" s="1"/>
  <c r="AH1028" i="6" s="1"/>
  <c r="AH1046" i="6" s="1"/>
  <c r="DC308" i="6"/>
  <c r="FW639" i="42458"/>
  <c r="DC38" i="6"/>
  <c r="BP127" i="6"/>
  <c r="DC127" i="6" s="1"/>
  <c r="BU80" i="42290"/>
  <c r="BU84" i="42290" s="1"/>
  <c r="BU87" i="42290" s="1"/>
  <c r="CA434" i="6"/>
  <c r="DE434" i="6"/>
  <c r="EO589" i="42458"/>
  <c r="EN589" i="42458"/>
  <c r="EP589" i="42458"/>
  <c r="BG649" i="6"/>
  <c r="BB653" i="6"/>
  <c r="BB650" i="6"/>
  <c r="BD292" i="6"/>
  <c r="BE291" i="6"/>
  <c r="BF291" i="6" s="1"/>
  <c r="AW655" i="6"/>
  <c r="AW654" i="6"/>
  <c r="AW657" i="6"/>
  <c r="BK542" i="6"/>
  <c r="AX35" i="42290"/>
  <c r="AX39" i="42290" s="1"/>
  <c r="H489" i="6"/>
  <c r="CQ489" i="6" s="1"/>
  <c r="CQ447" i="6"/>
  <c r="AU621" i="6"/>
  <c r="AU620" i="6"/>
  <c r="AU623" i="6"/>
  <c r="AV619" i="6"/>
  <c r="AZ616" i="6"/>
  <c r="AZ619" i="6"/>
  <c r="BA619" i="6" s="1"/>
  <c r="BE615" i="6"/>
  <c r="BF615" i="6" s="1"/>
  <c r="E496" i="6"/>
  <c r="H495" i="6"/>
  <c r="CQ495" i="6" s="1"/>
  <c r="BC503" i="6"/>
  <c r="BC510" i="6"/>
  <c r="BC501" i="6"/>
  <c r="AC489" i="6"/>
  <c r="AH490" i="6" s="1"/>
  <c r="M409" i="6"/>
  <c r="CR409" i="6" s="1"/>
  <c r="AO409" i="6"/>
  <c r="AQ409" i="6" s="1"/>
  <c r="AO384" i="6"/>
  <c r="AY405" i="6"/>
  <c r="BG615" i="6"/>
  <c r="BB619" i="6"/>
  <c r="BB616" i="6"/>
  <c r="AT384" i="6"/>
  <c r="BQ429" i="6"/>
  <c r="BP429" i="6"/>
  <c r="C21" i="42432"/>
  <c r="C46" i="42432"/>
  <c r="G19" i="42432"/>
  <c r="G21" i="42432" s="1"/>
  <c r="L19" i="42432"/>
  <c r="L21" i="42432" s="1"/>
  <c r="AV653" i="6"/>
  <c r="AU657" i="6"/>
  <c r="AU655" i="6"/>
  <c r="AU654" i="6"/>
  <c r="CG260" i="42425"/>
  <c r="CK260" i="42425"/>
  <c r="AI55" i="6"/>
  <c r="AN57" i="6" s="1"/>
  <c r="AL51" i="6"/>
  <c r="AI52" i="6"/>
  <c r="G53" i="42441"/>
  <c r="K53" i="42441"/>
  <c r="F53" i="42441"/>
  <c r="L53" i="42441"/>
  <c r="BH503" i="6"/>
  <c r="BH510" i="6"/>
  <c r="BH501" i="6"/>
  <c r="CU942" i="6"/>
  <c r="AB945" i="6"/>
  <c r="AB944" i="6"/>
  <c r="CU944" i="6" s="1"/>
  <c r="AM944" i="6"/>
  <c r="AM945" i="6"/>
  <c r="G19" i="42442"/>
  <c r="D21" i="42442"/>
  <c r="D46" i="42442"/>
  <c r="G46" i="42442" s="1"/>
  <c r="BL503" i="6"/>
  <c r="BQ505" i="6" s="1"/>
  <c r="BL510" i="6"/>
  <c r="BL501" i="6"/>
  <c r="AV408" i="6"/>
  <c r="CY408" i="6" s="1"/>
  <c r="AV35" i="42290"/>
  <c r="AV39" i="42290" s="1"/>
  <c r="AA967" i="6"/>
  <c r="AB967" i="6" s="1"/>
  <c r="CU967" i="6" s="1"/>
  <c r="AF946" i="6"/>
  <c r="AW623" i="6"/>
  <c r="AW620" i="6"/>
  <c r="AW621" i="6"/>
  <c r="G20" i="42448"/>
  <c r="D45" i="42448"/>
  <c r="G45" i="42448" s="1"/>
  <c r="D22" i="42448"/>
  <c r="DB429" i="6"/>
  <c r="BK450" i="6"/>
  <c r="DB450" i="6" s="1"/>
  <c r="AI945" i="6"/>
  <c r="AI944" i="6"/>
  <c r="AL942" i="6"/>
  <c r="AM55" i="6"/>
  <c r="AN167" i="6" s="1"/>
  <c r="AM52" i="6"/>
  <c r="BR429" i="6"/>
  <c r="AW505" i="6"/>
  <c r="AW30" i="6"/>
  <c r="BE649" i="6"/>
  <c r="BF649" i="6" s="1"/>
  <c r="AZ653" i="6"/>
  <c r="AZ650" i="6"/>
  <c r="CW45" i="6"/>
  <c r="HL826" i="42425" s="1"/>
  <c r="HL829" i="42425" s="1"/>
  <c r="AL130" i="6"/>
  <c r="CW130" i="6" s="1"/>
  <c r="BG505" i="6"/>
  <c r="BG30" i="6"/>
  <c r="AX426" i="6"/>
  <c r="AN426" i="6"/>
  <c r="CT336" i="6"/>
  <c r="W337" i="6"/>
  <c r="CT337" i="6" s="1"/>
  <c r="DB1305" i="6"/>
  <c r="BP1305" i="6"/>
  <c r="BK1309" i="6"/>
  <c r="DB1309" i="6" s="1"/>
  <c r="AA292" i="6"/>
  <c r="Z753" i="6"/>
  <c r="BS429" i="6"/>
  <c r="S337" i="6"/>
  <c r="N337" i="6"/>
  <c r="L53" i="42432"/>
  <c r="K53" i="42432"/>
  <c r="G53" i="42432"/>
  <c r="F53" i="42432"/>
  <c r="AU30" i="6"/>
  <c r="AV503" i="6"/>
  <c r="FS641" i="42458" s="1"/>
  <c r="FS643" i="42458" s="1"/>
  <c r="AU505" i="6"/>
  <c r="CZ945" i="6"/>
  <c r="BA946" i="6"/>
  <c r="CZ946" i="6" s="1"/>
  <c r="BF946" i="6"/>
  <c r="DA946" i="6" s="1"/>
  <c r="G19" i="42441"/>
  <c r="C46" i="42441"/>
  <c r="L19" i="42441"/>
  <c r="L21" i="42441" s="1"/>
  <c r="C21" i="42441"/>
  <c r="AB292" i="6"/>
  <c r="CU292" i="6" s="1"/>
  <c r="BM208" i="42290"/>
  <c r="K31" i="42454"/>
  <c r="AU80" i="6"/>
  <c r="AU82" i="6" s="1"/>
  <c r="BD167" i="6"/>
  <c r="AW1262" i="6"/>
  <c r="AW1281" i="6" s="1"/>
  <c r="AW1282" i="6" s="1"/>
  <c r="AH1220" i="6"/>
  <c r="AU1262" i="6"/>
  <c r="AU1286" i="6" s="1"/>
  <c r="AU1289" i="6" s="1"/>
  <c r="AU1290" i="6" s="1"/>
  <c r="L82" i="6"/>
  <c r="L103" i="6" s="1"/>
  <c r="AY35" i="42290"/>
  <c r="AW35" i="42290"/>
  <c r="AW39" i="42290" s="1"/>
  <c r="BO187" i="42290"/>
  <c r="AK497" i="6"/>
  <c r="AK513" i="6"/>
  <c r="AK1188" i="6" s="1"/>
  <c r="AK1190" i="6" s="1"/>
  <c r="CB392" i="6"/>
  <c r="DF392" i="6"/>
  <c r="AT96" i="42290"/>
  <c r="AT98" i="42290" s="1"/>
  <c r="AT100" i="42290" s="1"/>
  <c r="AZ430" i="6"/>
  <c r="AZ447" i="6" s="1"/>
  <c r="AU472" i="6"/>
  <c r="AP489" i="6"/>
  <c r="AP490" i="6" s="1"/>
  <c r="AP468" i="6"/>
  <c r="AP496" i="6"/>
  <c r="AP497" i="6" s="1"/>
  <c r="BU199" i="42290"/>
  <c r="DB834" i="6"/>
  <c r="BK837" i="6"/>
  <c r="DB837" i="6" s="1"/>
  <c r="DF1025" i="6"/>
  <c r="CA138" i="6"/>
  <c r="DF138" i="6" s="1"/>
  <c r="AS598" i="6"/>
  <c r="AS599" i="6" s="1"/>
  <c r="AS695" i="6"/>
  <c r="BV171" i="42290"/>
  <c r="DA1177" i="6"/>
  <c r="BK1177" i="6"/>
  <c r="DB1177" i="6" s="1"/>
  <c r="CQ1138" i="6"/>
  <c r="H1170" i="6"/>
  <c r="CQ1170" i="6" s="1"/>
  <c r="AE143" i="6"/>
  <c r="AG1200" i="6"/>
  <c r="AY889" i="6"/>
  <c r="G88" i="6"/>
  <c r="G94" i="6" s="1"/>
  <c r="Z1262" i="6"/>
  <c r="AV137" i="6"/>
  <c r="CY137" i="6" s="1"/>
  <c r="V1211" i="6"/>
  <c r="CT70" i="6"/>
  <c r="BP185" i="42290"/>
  <c r="AG967" i="6"/>
  <c r="CV967" i="6" s="1"/>
  <c r="BO334" i="6"/>
  <c r="BB1175" i="6"/>
  <c r="AZ1178" i="6"/>
  <c r="BA1175" i="6"/>
  <c r="BV195" i="42290"/>
  <c r="BV196" i="42290"/>
  <c r="BV197" i="42290"/>
  <c r="AX621" i="6"/>
  <c r="AX623" i="6"/>
  <c r="AX620" i="6"/>
  <c r="R1333" i="6"/>
  <c r="CS1333" i="6" s="1"/>
  <c r="CS1040" i="6"/>
  <c r="R1042" i="6"/>
  <c r="CS1042" i="6" s="1"/>
  <c r="AK1150" i="6"/>
  <c r="AL1150" i="6" s="1"/>
  <c r="CW1150" i="6" s="1"/>
  <c r="AB474" i="6"/>
  <c r="CU474" i="6" s="1"/>
  <c r="DG65" i="6"/>
  <c r="CB1025" i="6"/>
  <c r="CB1339" i="6"/>
  <c r="CC65" i="6"/>
  <c r="AU595" i="6"/>
  <c r="AT693" i="6"/>
  <c r="AT597" i="6"/>
  <c r="BJ143" i="6"/>
  <c r="BO1188" i="6"/>
  <c r="BK1188" i="6"/>
  <c r="DB1188" i="6" s="1"/>
  <c r="AM1094" i="6"/>
  <c r="CW1094" i="6"/>
  <c r="EX451" i="42425"/>
  <c r="EX454" i="42425" s="1"/>
  <c r="AO143" i="6"/>
  <c r="AQ1199" i="6"/>
  <c r="AG993" i="6"/>
  <c r="CV993" i="6" s="1"/>
  <c r="BK1199" i="6"/>
  <c r="N1063" i="6"/>
  <c r="CR1063" i="6"/>
  <c r="CX1032" i="6"/>
  <c r="AQ1035" i="6"/>
  <c r="CX1035" i="6" s="1"/>
  <c r="BW191" i="42290"/>
  <c r="BU181" i="42290"/>
  <c r="BU203" i="42290" s="1"/>
  <c r="BU206" i="42290" s="1"/>
  <c r="BU182" i="42290"/>
  <c r="BU183" i="42290"/>
  <c r="BC619" i="6"/>
  <c r="BC616" i="6"/>
  <c r="BH615" i="6"/>
  <c r="AF1351" i="6"/>
  <c r="AF154" i="6"/>
  <c r="BD1154" i="6"/>
  <c r="BE1098" i="6"/>
  <c r="BF1098" i="6" s="1"/>
  <c r="CV1031" i="6"/>
  <c r="AG1035" i="6"/>
  <c r="CV1035" i="6" s="1"/>
  <c r="AN113" i="6"/>
  <c r="AN116" i="6" s="1"/>
  <c r="AN118" i="6" s="1"/>
  <c r="AN70" i="6"/>
  <c r="AN1259" i="6"/>
  <c r="AS57" i="6"/>
  <c r="AN56" i="6"/>
  <c r="BP799" i="6"/>
  <c r="DC799" i="6" s="1"/>
  <c r="AX655" i="6"/>
  <c r="BA653" i="6"/>
  <c r="AX657" i="6"/>
  <c r="AX654" i="6"/>
  <c r="DD342" i="6"/>
  <c r="FY640" i="42458"/>
  <c r="BU343" i="6"/>
  <c r="DD343" i="6" s="1"/>
  <c r="BP461" i="6"/>
  <c r="BP482" i="6"/>
  <c r="CQ311" i="6"/>
  <c r="AO72" i="42425"/>
  <c r="AO74" i="42425" s="1"/>
  <c r="Q73" i="42457"/>
  <c r="DA143" i="6"/>
  <c r="CS945" i="6"/>
  <c r="W946" i="6"/>
  <c r="CT946" i="6" s="1"/>
  <c r="BI1351" i="6"/>
  <c r="BI154" i="6"/>
  <c r="T50" i="42457"/>
  <c r="DC345" i="6"/>
  <c r="BP346" i="6"/>
  <c r="DC346" i="6" s="1"/>
  <c r="BP347" i="6"/>
  <c r="DC347" i="6" s="1"/>
  <c r="CD1102" i="6"/>
  <c r="CE1102" i="6" s="1"/>
  <c r="AH1211" i="6"/>
  <c r="CR1199" i="6"/>
  <c r="M143" i="6"/>
  <c r="CR143" i="6" s="1"/>
  <c r="BA650" i="6"/>
  <c r="BA651" i="6"/>
  <c r="BT346" i="6"/>
  <c r="BU345" i="6"/>
  <c r="BT347" i="6"/>
  <c r="BT39" i="6"/>
  <c r="BU39" i="6" s="1"/>
  <c r="AU154" i="6"/>
  <c r="AU1351" i="6"/>
  <c r="F50" i="42457"/>
  <c r="D12" i="42419"/>
  <c r="DA1207" i="6"/>
  <c r="BI877" i="6"/>
  <c r="BH878" i="6"/>
  <c r="BH888" i="6" s="1"/>
  <c r="BH889" i="6" s="1"/>
  <c r="BL963" i="6"/>
  <c r="BJ965" i="6"/>
  <c r="BK963" i="6"/>
  <c r="BE1094" i="6"/>
  <c r="BF1094" i="6" s="1"/>
  <c r="AA1161" i="6"/>
  <c r="AB1161" i="6" s="1"/>
  <c r="CU1161" i="6" s="1"/>
  <c r="BH649" i="6"/>
  <c r="BC653" i="6"/>
  <c r="BC650" i="6"/>
  <c r="AU143" i="6"/>
  <c r="AU1207" i="6"/>
  <c r="BO128" i="6"/>
  <c r="BP39" i="6"/>
  <c r="BI1285" i="6"/>
  <c r="BI1176" i="6"/>
  <c r="BI1141" i="6"/>
  <c r="BK1141" i="6" s="1"/>
  <c r="DB1141" i="6" s="1"/>
  <c r="Q50" i="42457"/>
  <c r="DA965" i="6"/>
  <c r="BF1351" i="6"/>
  <c r="BF154" i="6"/>
  <c r="DA154" i="6" s="1"/>
  <c r="CZ961" i="6"/>
  <c r="BA965" i="6"/>
  <c r="CG979" i="6"/>
  <c r="CG986" i="6"/>
  <c r="AP72" i="42425"/>
  <c r="AP74" i="42425" s="1"/>
  <c r="CR311" i="6"/>
  <c r="BQ482" i="6"/>
  <c r="CY990" i="6"/>
  <c r="AV967" i="6"/>
  <c r="CY967" i="6" s="1"/>
  <c r="AV993" i="6"/>
  <c r="CY993" i="6" s="1"/>
  <c r="AV1200" i="6"/>
  <c r="AV1008" i="6"/>
  <c r="AV961" i="6"/>
  <c r="V1156" i="6"/>
  <c r="U1156" i="6"/>
  <c r="BD70" i="6"/>
  <c r="BD80" i="6" s="1"/>
  <c r="O12" i="42457"/>
  <c r="O16" i="42457" s="1"/>
  <c r="T17" i="42457" s="1"/>
  <c r="BD57" i="6"/>
  <c r="BD113" i="6"/>
  <c r="BD116" i="6" s="1"/>
  <c r="BD118" i="6" s="1"/>
  <c r="BD123" i="6" s="1"/>
  <c r="BD1259" i="6"/>
  <c r="BD1261" i="6" s="1"/>
  <c r="BX202" i="42290"/>
  <c r="BX204" i="42290"/>
  <c r="CW987" i="6"/>
  <c r="AM987" i="6"/>
  <c r="AN987" i="6" s="1"/>
  <c r="AO987" i="6" s="1"/>
  <c r="AP987" i="6" s="1"/>
  <c r="AQ987" i="6" s="1"/>
  <c r="CX987" i="6" s="1"/>
  <c r="CU1106" i="6"/>
  <c r="AC1106" i="6"/>
  <c r="O9" i="42457"/>
  <c r="AP946" i="6"/>
  <c r="AU946" i="6"/>
  <c r="AP967" i="6"/>
  <c r="BQ185" i="42290"/>
  <c r="BN869" i="6"/>
  <c r="BN823" i="6"/>
  <c r="BN872" i="6" s="1"/>
  <c r="BP820" i="6"/>
  <c r="DC808" i="6"/>
  <c r="BP812" i="6"/>
  <c r="DC812" i="6" s="1"/>
  <c r="BP867" i="6"/>
  <c r="BN913" i="6"/>
  <c r="BN802" i="6"/>
  <c r="DC782" i="6"/>
  <c r="BQ782" i="6"/>
  <c r="BY192" i="42290"/>
  <c r="BI57" i="6"/>
  <c r="AQ945" i="6"/>
  <c r="AQ944" i="6"/>
  <c r="CX944" i="6" s="1"/>
  <c r="CX942" i="6"/>
  <c r="AP56" i="6"/>
  <c r="AP113" i="6"/>
  <c r="AP116" i="6" s="1"/>
  <c r="AP118" i="6" s="1"/>
  <c r="AP123" i="6" s="1"/>
  <c r="AT167" i="6"/>
  <c r="AP70" i="6"/>
  <c r="AP1259" i="6"/>
  <c r="AP1261" i="6" s="1"/>
  <c r="AT1262" i="6" s="1"/>
  <c r="AT1281" i="6" s="1"/>
  <c r="AT1282" i="6" s="1"/>
  <c r="AU57" i="6"/>
  <c r="AP57" i="6"/>
  <c r="AV208" i="42290"/>
  <c r="AW578" i="6" s="1"/>
  <c r="AW579" i="6" s="1"/>
  <c r="BI187" i="42290"/>
  <c r="BJ544" i="6" s="1"/>
  <c r="BJ545" i="6" s="1"/>
  <c r="BK185" i="42290"/>
  <c r="AM208" i="42290"/>
  <c r="AN578" i="6" s="1"/>
  <c r="AN581" i="6" s="1"/>
  <c r="BN208" i="42290"/>
  <c r="AH493" i="6"/>
  <c r="BS208" i="42290"/>
  <c r="BV137" i="42290"/>
  <c r="BK1341" i="6"/>
  <c r="AX144" i="42290"/>
  <c r="AF282" i="42290"/>
  <c r="K288" i="6"/>
  <c r="L289" i="6" s="1"/>
  <c r="L294" i="6" s="1"/>
  <c r="L295" i="6" s="1"/>
  <c r="BL185" i="42290"/>
  <c r="BL208" i="42290"/>
  <c r="BM578" i="6" s="1"/>
  <c r="BM579" i="6" s="1"/>
  <c r="AT545" i="6"/>
  <c r="CW414" i="6"/>
  <c r="AL477" i="6"/>
  <c r="CW477" i="6" s="1"/>
  <c r="AO39" i="42290"/>
  <c r="AF137" i="42290"/>
  <c r="AF144" i="42290" s="1"/>
  <c r="AX208" i="42290"/>
  <c r="AY578" i="6" s="1"/>
  <c r="BN185" i="42290"/>
  <c r="AM489" i="6"/>
  <c r="AM490" i="6" s="1"/>
  <c r="BN178" i="42290"/>
  <c r="BR185" i="42290"/>
  <c r="BQ178" i="42290"/>
  <c r="BY30" i="42290"/>
  <c r="BL178" i="42290"/>
  <c r="BR178" i="42290"/>
  <c r="BM178" i="42290"/>
  <c r="BM187" i="42290" s="1"/>
  <c r="CF433" i="6"/>
  <c r="BZ24" i="42290"/>
  <c r="BP178" i="42290"/>
  <c r="AW187" i="42290"/>
  <c r="AX544" i="6" s="1"/>
  <c r="AX545" i="6" s="1"/>
  <c r="BX35" i="42290"/>
  <c r="BK178" i="42290"/>
  <c r="BS178" i="42290"/>
  <c r="AG412" i="6"/>
  <c r="AG475" i="6" s="1"/>
  <c r="CV475" i="6" s="1"/>
  <c r="AA295" i="6"/>
  <c r="AB414" i="6"/>
  <c r="CU414" i="6" s="1"/>
  <c r="AV411" i="6"/>
  <c r="AV473" i="6"/>
  <c r="CY473" i="6" s="1"/>
  <c r="CY410" i="6"/>
  <c r="BB187" i="42290"/>
  <c r="BC544" i="6" s="1"/>
  <c r="BC716" i="6" s="1"/>
  <c r="K357" i="6"/>
  <c r="K750" i="6" s="1"/>
  <c r="AQ410" i="6"/>
  <c r="AQ473" i="6" s="1"/>
  <c r="CX473" i="6" s="1"/>
  <c r="CT411" i="6"/>
  <c r="W474" i="6"/>
  <c r="CT474" i="6" s="1"/>
  <c r="O921" i="6"/>
  <c r="R921" i="6" s="1"/>
  <c r="AX750" i="6"/>
  <c r="O296" i="42290"/>
  <c r="AU295" i="6"/>
  <c r="AD358" i="6"/>
  <c r="AD360" i="6" s="1"/>
  <c r="AD492" i="6" s="1"/>
  <c r="AQ412" i="6"/>
  <c r="CX412" i="6" s="1"/>
  <c r="AX358" i="6"/>
  <c r="AX360" i="6" s="1"/>
  <c r="AX492" i="6" s="1"/>
  <c r="AT289" i="6"/>
  <c r="AT294" i="6" s="1"/>
  <c r="AY295" i="6" s="1"/>
  <c r="R414" i="6"/>
  <c r="R477" i="6" s="1"/>
  <c r="CS477" i="6" s="1"/>
  <c r="BU414" i="6"/>
  <c r="BT369" i="6"/>
  <c r="BS411" i="6"/>
  <c r="BS474" i="6" s="1"/>
  <c r="P447" i="6"/>
  <c r="P451" i="6"/>
  <c r="O96" i="42290"/>
  <c r="O98" i="42290" s="1"/>
  <c r="O100" i="42290" s="1"/>
  <c r="O261" i="42290" s="1"/>
  <c r="AC495" i="6"/>
  <c r="AC496" i="6" s="1"/>
  <c r="AC468" i="6"/>
  <c r="R409" i="6"/>
  <c r="CS409" i="6" s="1"/>
  <c r="BG367" i="6"/>
  <c r="DA367" i="6"/>
  <c r="AY408" i="6"/>
  <c r="K447" i="6"/>
  <c r="J96" i="42290"/>
  <c r="J98" i="42290" s="1"/>
  <c r="J100" i="42290" s="1"/>
  <c r="K451" i="6"/>
  <c r="I98" i="42290"/>
  <c r="I100" i="42290" s="1"/>
  <c r="I261" i="42290" s="1"/>
  <c r="AS289" i="6"/>
  <c r="AS294" i="6" s="1"/>
  <c r="R410" i="6"/>
  <c r="AO282" i="42290"/>
  <c r="AO288" i="42290" s="1"/>
  <c r="AT283" i="42290"/>
  <c r="AX471" i="6"/>
  <c r="AL283" i="42290"/>
  <c r="AG282" i="42290"/>
  <c r="AG288" i="42290" s="1"/>
  <c r="AY409" i="6"/>
  <c r="BA409" i="6" s="1"/>
  <c r="CZ409" i="6" s="1"/>
  <c r="AV413" i="6"/>
  <c r="CR430" i="6"/>
  <c r="M451" i="6"/>
  <c r="CR451" i="6" s="1"/>
  <c r="Z356" i="6"/>
  <c r="Z749" i="6" s="1"/>
  <c r="Z384" i="6"/>
  <c r="AI451" i="6"/>
  <c r="BI208" i="42290"/>
  <c r="BJ578" i="6" s="1"/>
  <c r="U261" i="42290"/>
  <c r="M410" i="6"/>
  <c r="CR410" i="6" s="1"/>
  <c r="CB393" i="6"/>
  <c r="DF393" i="6"/>
  <c r="M412" i="6"/>
  <c r="J475" i="6"/>
  <c r="N96" i="42290"/>
  <c r="N98" i="42290" s="1"/>
  <c r="N100" i="42290" s="1"/>
  <c r="N261" i="42290" s="1"/>
  <c r="O447" i="6"/>
  <c r="O451" i="6"/>
  <c r="N447" i="6"/>
  <c r="N451" i="6"/>
  <c r="M96" i="42290"/>
  <c r="M98" i="42290" s="1"/>
  <c r="M100" i="42290" s="1"/>
  <c r="M261" i="42290" s="1"/>
  <c r="R430" i="6"/>
  <c r="AL410" i="6"/>
  <c r="CW412" i="6"/>
  <c r="AL475" i="6"/>
  <c r="CW475" i="6" s="1"/>
  <c r="AI358" i="6"/>
  <c r="AI360" i="6" s="1"/>
  <c r="AI492" i="6" s="1"/>
  <c r="AI749" i="6"/>
  <c r="AI751" i="6" s="1"/>
  <c r="AL413" i="6"/>
  <c r="Y289" i="6"/>
  <c r="Y294" i="6" s="1"/>
  <c r="Y295" i="6" s="1"/>
  <c r="AB289" i="6"/>
  <c r="AB294" i="6" s="1"/>
  <c r="CU294" i="6" s="1"/>
  <c r="Z289" i="6"/>
  <c r="Z294" i="6" s="1"/>
  <c r="Z295" i="6" s="1"/>
  <c r="W410" i="6"/>
  <c r="AE409" i="6"/>
  <c r="AE357" i="6"/>
  <c r="AE750" i="6" s="1"/>
  <c r="AE405" i="6"/>
  <c r="AV289" i="6"/>
  <c r="AV294" i="6" s="1"/>
  <c r="AV295" i="6" s="1"/>
  <c r="CY295" i="6" s="1"/>
  <c r="V35" i="42290"/>
  <c r="V39" i="42290" s="1"/>
  <c r="BH208" i="42290"/>
  <c r="BI578" i="6" s="1"/>
  <c r="BI579" i="6" s="1"/>
  <c r="AP35" i="42290"/>
  <c r="AL39" i="42290"/>
  <c r="M414" i="6"/>
  <c r="AJ384" i="6"/>
  <c r="AJ409" i="6"/>
  <c r="AJ749" i="6"/>
  <c r="K405" i="6"/>
  <c r="AC96" i="42290"/>
  <c r="AC98" i="42290" s="1"/>
  <c r="AC100" i="42290" s="1"/>
  <c r="AD451" i="6"/>
  <c r="AD447" i="6"/>
  <c r="AI468" i="6" s="1"/>
  <c r="J468" i="6"/>
  <c r="J495" i="6"/>
  <c r="AW295" i="6"/>
  <c r="AR295" i="6"/>
  <c r="AG414" i="6"/>
  <c r="BJ1211" i="6"/>
  <c r="BJ1220" i="6"/>
  <c r="BJ82" i="6"/>
  <c r="BJ84" i="6" s="1"/>
  <c r="AI474" i="6"/>
  <c r="AI426" i="6"/>
  <c r="AI489" i="6" s="1"/>
  <c r="AB410" i="6"/>
  <c r="AS358" i="6"/>
  <c r="AS749" i="6"/>
  <c r="AS751" i="6" s="1"/>
  <c r="O474" i="6"/>
  <c r="O426" i="6"/>
  <c r="DD372" i="6"/>
  <c r="AJ411" i="6"/>
  <c r="AL411" i="6" s="1"/>
  <c r="AJ405" i="6"/>
  <c r="O358" i="6"/>
  <c r="O749" i="6"/>
  <c r="O751" i="6" s="1"/>
  <c r="U412" i="6"/>
  <c r="U356" i="6"/>
  <c r="U749" i="6" s="1"/>
  <c r="U384" i="6"/>
  <c r="K223" i="6"/>
  <c r="DF391" i="6"/>
  <c r="CB391" i="6"/>
  <c r="AY208" i="42290"/>
  <c r="AZ578" i="6" s="1"/>
  <c r="CY414" i="6"/>
  <c r="AV477" i="6"/>
  <c r="CY477" i="6" s="1"/>
  <c r="P413" i="6"/>
  <c r="P356" i="6"/>
  <c r="P749" i="6" s="1"/>
  <c r="P384" i="6"/>
  <c r="J289" i="6"/>
  <c r="J294" i="6" s="1"/>
  <c r="BF387" i="6"/>
  <c r="AM496" i="6"/>
  <c r="AM497" i="6" s="1"/>
  <c r="AM468" i="6"/>
  <c r="T447" i="6"/>
  <c r="S96" i="42290"/>
  <c r="S98" i="42290" s="1"/>
  <c r="S100" i="42290" s="1"/>
  <c r="S261" i="42290" s="1"/>
  <c r="T451" i="6"/>
  <c r="Y451" i="6"/>
  <c r="AG410" i="6"/>
  <c r="AE473" i="6"/>
  <c r="W409" i="6"/>
  <c r="CT409" i="6" s="1"/>
  <c r="P357" i="6"/>
  <c r="P411" i="6"/>
  <c r="P405" i="6"/>
  <c r="AR472" i="6"/>
  <c r="AQ96" i="42290"/>
  <c r="AQ98" i="42290" s="1"/>
  <c r="AQ100" i="42290" s="1"/>
  <c r="AW430" i="6"/>
  <c r="AW447" i="6" s="1"/>
  <c r="U451" i="6"/>
  <c r="U447" i="6"/>
  <c r="Z451" i="6"/>
  <c r="T96" i="42290"/>
  <c r="T98" i="42290" s="1"/>
  <c r="T100" i="42290" s="1"/>
  <c r="T261" i="42290" s="1"/>
  <c r="W414" i="6"/>
  <c r="AL336" i="6"/>
  <c r="CW331" i="6"/>
  <c r="S451" i="6"/>
  <c r="R96" i="42290"/>
  <c r="R98" i="42290" s="1"/>
  <c r="R100" i="42290" s="1"/>
  <c r="S447" i="6"/>
  <c r="X451" i="6"/>
  <c r="W430" i="6"/>
  <c r="AT471" i="6"/>
  <c r="AO750" i="6"/>
  <c r="BJ123" i="6"/>
  <c r="BC39" i="42290"/>
  <c r="G31" i="42454"/>
  <c r="BB579" i="6"/>
  <c r="AW581" i="6"/>
  <c r="AR582" i="6"/>
  <c r="AQ331" i="6"/>
  <c r="AQ336" i="6" s="1"/>
  <c r="AO331" i="6"/>
  <c r="AO336" i="6" s="1"/>
  <c r="AO337" i="6" s="1"/>
  <c r="AN331" i="6"/>
  <c r="AN336" i="6" s="1"/>
  <c r="AN337" i="6" s="1"/>
  <c r="AO411" i="6"/>
  <c r="AR337" i="6"/>
  <c r="AM337" i="6"/>
  <c r="BC471" i="6"/>
  <c r="T922" i="6"/>
  <c r="T909" i="6"/>
  <c r="T910" i="6" s="1"/>
  <c r="BB360" i="6"/>
  <c r="BB492" i="6" s="1"/>
  <c r="BB493" i="6" s="1"/>
  <c r="AN474" i="6"/>
  <c r="AP337" i="6"/>
  <c r="AU337" i="6"/>
  <c r="BC749" i="6"/>
  <c r="BC751" i="6" s="1"/>
  <c r="BC358" i="6"/>
  <c r="BC360" i="6" s="1"/>
  <c r="BC492" i="6" s="1"/>
  <c r="J476" i="6"/>
  <c r="J426" i="6"/>
  <c r="J489" i="6" s="1"/>
  <c r="AD476" i="6"/>
  <c r="AD426" i="6"/>
  <c r="I493" i="6"/>
  <c r="N493" i="6"/>
  <c r="AN749" i="6"/>
  <c r="AN751" i="6" s="1"/>
  <c r="AN358" i="6"/>
  <c r="AN360" i="6" s="1"/>
  <c r="AN492" i="6" s="1"/>
  <c r="R144" i="42290"/>
  <c r="V137" i="42290"/>
  <c r="V144" i="42290" s="1"/>
  <c r="AR493" i="6"/>
  <c r="AM493" i="6"/>
  <c r="BE366" i="6"/>
  <c r="BD408" i="6"/>
  <c r="BD426" i="6" s="1"/>
  <c r="K413" i="6"/>
  <c r="K384" i="6"/>
  <c r="K356" i="6"/>
  <c r="AE413" i="6"/>
  <c r="AE384" i="6"/>
  <c r="AE356" i="6"/>
  <c r="J749" i="6"/>
  <c r="J751" i="6" s="1"/>
  <c r="J358" i="6"/>
  <c r="BU370" i="6"/>
  <c r="BT412" i="6"/>
  <c r="BT475" i="6" s="1"/>
  <c r="BE331" i="6"/>
  <c r="BE336" i="6" s="1"/>
  <c r="BE337" i="6" s="1"/>
  <c r="BC1224" i="6"/>
  <c r="BC1347" i="6" s="1"/>
  <c r="CT80" i="6"/>
  <c r="BY178" i="42290"/>
  <c r="BU368" i="6"/>
  <c r="BT410" i="6"/>
  <c r="BT473" i="6" s="1"/>
  <c r="DC794" i="6"/>
  <c r="BP796" i="6"/>
  <c r="BP800" i="6"/>
  <c r="CE141" i="6"/>
  <c r="CF1016" i="6"/>
  <c r="BS473" i="6"/>
  <c r="BO803" i="6"/>
  <c r="BO805" i="6"/>
  <c r="BO806" i="6" s="1"/>
  <c r="BQ783" i="6"/>
  <c r="BP785" i="6"/>
  <c r="DC785" i="6" s="1"/>
  <c r="DC783" i="6"/>
  <c r="BP821" i="6"/>
  <c r="BP870" i="6" s="1"/>
  <c r="BO870" i="6"/>
  <c r="BO823" i="6"/>
  <c r="BO872" i="6" s="1"/>
  <c r="BP813" i="6"/>
  <c r="DC813" i="6" s="1"/>
  <c r="BP811" i="6"/>
  <c r="DC811" i="6" s="1"/>
  <c r="DC809" i="6"/>
  <c r="BD1095" i="6"/>
  <c r="BC1151" i="6"/>
  <c r="BF856" i="6"/>
  <c r="DA856" i="6" s="1"/>
  <c r="DA853" i="6"/>
  <c r="CX294" i="6"/>
  <c r="AQ295" i="6"/>
  <c r="CX295" i="6" s="1"/>
  <c r="D11" i="42464"/>
  <c r="D14" i="42464" s="1"/>
  <c r="AW29" i="6"/>
  <c r="AW16" i="6"/>
  <c r="AW22" i="6"/>
  <c r="C11" i="42454"/>
  <c r="AN334" i="6"/>
  <c r="AO333" i="6"/>
  <c r="AQ334" i="6" s="1"/>
  <c r="CX334" i="6" s="1"/>
  <c r="AN753" i="6"/>
  <c r="AR334" i="6"/>
  <c r="AS333" i="6"/>
  <c r="AS334" i="6" s="1"/>
  <c r="AR753" i="6"/>
  <c r="AN1098" i="6"/>
  <c r="AM1154" i="6"/>
  <c r="W76" i="42442"/>
  <c r="Y76" i="42442" s="1"/>
  <c r="CX51" i="6"/>
  <c r="B46" i="42434"/>
  <c r="W77" i="42440"/>
  <c r="Y77" i="42440" s="1"/>
  <c r="W76" i="42443"/>
  <c r="Y76" i="42443" s="1"/>
  <c r="W77" i="42441"/>
  <c r="Y77" i="42441" s="1"/>
  <c r="B8" i="42457"/>
  <c r="AQ55" i="6"/>
  <c r="AQ52" i="6"/>
  <c r="AI288" i="42290"/>
  <c r="Y13" i="42457"/>
  <c r="BC1114" i="6"/>
  <c r="BC1127" i="6" s="1"/>
  <c r="W1220" i="6"/>
  <c r="V82" i="6"/>
  <c r="V103" i="6" s="1"/>
  <c r="AF1013" i="6"/>
  <c r="AF1028" i="6" s="1"/>
  <c r="AF1046" i="6" s="1"/>
  <c r="HM829" i="42425"/>
  <c r="HN831" i="42425"/>
  <c r="HN832" i="42425"/>
  <c r="AW333" i="6"/>
  <c r="CY333" i="6"/>
  <c r="AV753" i="6"/>
  <c r="CY753" i="6" s="1"/>
  <c r="AK1151" i="6"/>
  <c r="AL1095" i="6"/>
  <c r="AK1224" i="6"/>
  <c r="AF288" i="42290"/>
  <c r="AD294" i="42290"/>
  <c r="AA1095" i="6"/>
  <c r="AB1095" i="6" s="1"/>
  <c r="CT294" i="6"/>
  <c r="AO70" i="6"/>
  <c r="AO57" i="6"/>
  <c r="AO113" i="6"/>
  <c r="AO56" i="6"/>
  <c r="AT57" i="6"/>
  <c r="AO1259" i="6"/>
  <c r="AS167" i="6"/>
  <c r="AR167" i="6"/>
  <c r="BF865" i="6"/>
  <c r="DA859" i="6"/>
  <c r="CA170" i="42290"/>
  <c r="BZ175" i="42290"/>
  <c r="BZ176" i="42290"/>
  <c r="BZ174" i="42290"/>
  <c r="L1099" i="6"/>
  <c r="M1099" i="6" s="1"/>
  <c r="AN282" i="42290"/>
  <c r="AS283" i="42290"/>
  <c r="BS1155" i="6"/>
  <c r="BT1099" i="6"/>
  <c r="BU1099" i="6" s="1"/>
  <c r="BT1159" i="6"/>
  <c r="BU1159" i="6" s="1"/>
  <c r="DG1069" i="6"/>
  <c r="CC1069" i="6"/>
  <c r="CD1069" i="6" s="1"/>
  <c r="CE1069" i="6" s="1"/>
  <c r="CF1069" i="6" s="1"/>
  <c r="CG1069" i="6" s="1"/>
  <c r="DF1057" i="6"/>
  <c r="CB1057" i="6"/>
  <c r="BT1161" i="6"/>
  <c r="CC1055" i="6"/>
  <c r="CD1055" i="6" s="1"/>
  <c r="CE1055" i="6" s="1"/>
  <c r="CF1055" i="6" s="1"/>
  <c r="CG1055" i="6" s="1"/>
  <c r="DG1055" i="6"/>
  <c r="BT1079" i="6"/>
  <c r="D37" i="42453"/>
  <c r="E37" i="42453" s="1"/>
  <c r="W82" i="6"/>
  <c r="W103" i="6" s="1"/>
  <c r="CT103" i="6" s="1"/>
  <c r="AF86" i="6"/>
  <c r="AF90" i="6"/>
  <c r="DD371" i="6"/>
  <c r="BJ670" i="6"/>
  <c r="BK670" i="6" s="1"/>
  <c r="BE672" i="6"/>
  <c r="BF672" i="6" s="1"/>
  <c r="BF670" i="6"/>
  <c r="BE702" i="6"/>
  <c r="BE711" i="6" s="1"/>
  <c r="BE713" i="6" s="1"/>
  <c r="BE499" i="6" s="1"/>
  <c r="BD687" i="6"/>
  <c r="BD680" i="6"/>
  <c r="BD684" i="6"/>
  <c r="BD674" i="6"/>
  <c r="DF389" i="6"/>
  <c r="CB389" i="6"/>
  <c r="BH674" i="6"/>
  <c r="BH680" i="6"/>
  <c r="BH687" i="6"/>
  <c r="BH684" i="6"/>
  <c r="BC689" i="6"/>
  <c r="BC688" i="6"/>
  <c r="BT476" i="6"/>
  <c r="BU413" i="6"/>
  <c r="BD711" i="6"/>
  <c r="BD713" i="6" s="1"/>
  <c r="BD499" i="6" s="1"/>
  <c r="BD703" i="6"/>
  <c r="BI672" i="6"/>
  <c r="BI702" i="6"/>
  <c r="BU837" i="6"/>
  <c r="DD837" i="6" s="1"/>
  <c r="DD834" i="6"/>
  <c r="BH728" i="6"/>
  <c r="BH14" i="6"/>
  <c r="BH714" i="6"/>
  <c r="BM672" i="6"/>
  <c r="BM702" i="6"/>
  <c r="BM711" i="6" s="1"/>
  <c r="BM713" i="6" s="1"/>
  <c r="BC14" i="6"/>
  <c r="BC728" i="6"/>
  <c r="BC714" i="6"/>
  <c r="X1262" i="6"/>
  <c r="W71" i="6"/>
  <c r="CT71" i="6" s="1"/>
  <c r="L47" i="42428"/>
  <c r="C50" i="42428"/>
  <c r="K47" i="42428"/>
  <c r="C32" i="42428"/>
  <c r="L25" i="42428"/>
  <c r="K25" i="42428"/>
  <c r="V1262" i="6"/>
  <c r="L1220" i="6"/>
  <c r="AF91" i="6"/>
  <c r="W116" i="6"/>
  <c r="CT116" i="6" s="1"/>
  <c r="Y1262" i="6"/>
  <c r="AB71" i="6"/>
  <c r="CU71" i="6" s="1"/>
  <c r="CA1343" i="6"/>
  <c r="DF87" i="6"/>
  <c r="CA1335" i="6"/>
  <c r="CA1336" i="6" s="1"/>
  <c r="CC78" i="6"/>
  <c r="CB87" i="6"/>
  <c r="DG78" i="6"/>
  <c r="H17" i="42457"/>
  <c r="AB80" i="6"/>
  <c r="AB1211" i="6" s="1"/>
  <c r="CU1211" i="6" s="1"/>
  <c r="D33" i="42432"/>
  <c r="AY82" i="6"/>
  <c r="AY1220" i="6"/>
  <c r="AY1211" i="6"/>
  <c r="K31" i="42459"/>
  <c r="C36" i="42459"/>
  <c r="L31" i="42459"/>
  <c r="AW1211" i="6"/>
  <c r="AW1220" i="6"/>
  <c r="AW82" i="6"/>
  <c r="J16" i="42457"/>
  <c r="J17" i="42457" s="1"/>
  <c r="J13" i="42457"/>
  <c r="T1220" i="6"/>
  <c r="T82" i="6"/>
  <c r="T1211" i="6"/>
  <c r="Y17" i="42457"/>
  <c r="H13" i="42457"/>
  <c r="D55" i="42432"/>
  <c r="K1220" i="6"/>
  <c r="K1211" i="6"/>
  <c r="K82" i="6"/>
  <c r="G27" i="42447"/>
  <c r="D32" i="42447"/>
  <c r="Y1220" i="6"/>
  <c r="Y82" i="6"/>
  <c r="Y1211" i="6"/>
  <c r="BW130" i="42290"/>
  <c r="BW131" i="42290"/>
  <c r="BW135" i="42290"/>
  <c r="BW133" i="42290"/>
  <c r="BW132" i="42290"/>
  <c r="BW129" i="42290"/>
  <c r="BW134" i="42290"/>
  <c r="DF435" i="6"/>
  <c r="BV63" i="42290"/>
  <c r="BV67" i="42290" s="1"/>
  <c r="BV70" i="42290" s="1"/>
  <c r="CB435" i="6"/>
  <c r="CC108" i="6"/>
  <c r="CD54" i="6"/>
  <c r="I17" i="42457"/>
  <c r="I13" i="42457"/>
  <c r="BB1262" i="6"/>
  <c r="BB1281" i="6" s="1"/>
  <c r="BB1282" i="6" s="1"/>
  <c r="D47" i="42459"/>
  <c r="E27" i="42457"/>
  <c r="AT86" i="6"/>
  <c r="AT1013" i="6"/>
  <c r="L36" i="42455"/>
  <c r="L39" i="42455" s="1"/>
  <c r="L42" i="42455" s="1"/>
  <c r="K36" i="42455"/>
  <c r="K39" i="42455" s="1"/>
  <c r="K42" i="42455" s="1"/>
  <c r="C39" i="42455"/>
  <c r="C42" i="42455" s="1"/>
  <c r="BB82" i="6"/>
  <c r="BB1211" i="6"/>
  <c r="BB1220" i="6"/>
  <c r="D37" i="42471"/>
  <c r="F47" i="42428"/>
  <c r="D50" i="42428"/>
  <c r="G47" i="42428"/>
  <c r="D32" i="42451"/>
  <c r="G27" i="42451"/>
  <c r="AX80" i="6"/>
  <c r="AX71" i="6"/>
  <c r="G86" i="6"/>
  <c r="AY1262" i="6"/>
  <c r="AZ1262" i="6"/>
  <c r="AX1262" i="6"/>
  <c r="AA1211" i="6"/>
  <c r="AA82" i="6"/>
  <c r="AA1220" i="6"/>
  <c r="D36" i="42459"/>
  <c r="G31" i="42459"/>
  <c r="AR1211" i="6"/>
  <c r="AR82" i="6"/>
  <c r="AR1220" i="6"/>
  <c r="BI82" i="6"/>
  <c r="BI84" i="6" s="1"/>
  <c r="BI1220" i="6"/>
  <c r="BI1211" i="6"/>
  <c r="D32" i="42428"/>
  <c r="G25" i="42428"/>
  <c r="M16" i="42457"/>
  <c r="M17" i="42457" s="1"/>
  <c r="M13" i="42457"/>
  <c r="AX116" i="6"/>
  <c r="BA113" i="6"/>
  <c r="CZ113" i="6" s="1"/>
  <c r="C34" i="42452"/>
  <c r="L29" i="42452"/>
  <c r="K29" i="42452"/>
  <c r="G29" i="42452"/>
  <c r="AE94" i="6"/>
  <c r="AE95" i="6"/>
  <c r="AE135" i="6"/>
  <c r="D41" i="42437"/>
  <c r="D118" i="6"/>
  <c r="D123" i="6" s="1"/>
  <c r="H116" i="6"/>
  <c r="L32" i="42468"/>
  <c r="K32" i="42468"/>
  <c r="C37" i="42468"/>
  <c r="G32" i="42468"/>
  <c r="E103" i="6"/>
  <c r="E84" i="6"/>
  <c r="E88" i="6"/>
  <c r="AK82" i="6"/>
  <c r="AK1211" i="6"/>
  <c r="AK1220" i="6"/>
  <c r="CQ70" i="6"/>
  <c r="H71" i="6"/>
  <c r="CQ71" i="6" s="1"/>
  <c r="AF88" i="6"/>
  <c r="AF1335" i="6"/>
  <c r="AF1336" i="6" s="1"/>
  <c r="AF1343" i="6"/>
  <c r="AG87" i="6"/>
  <c r="F1220" i="6"/>
  <c r="F82" i="6"/>
  <c r="F1211" i="6"/>
  <c r="K52" i="42440"/>
  <c r="L52" i="42440"/>
  <c r="G52" i="42440"/>
  <c r="C55" i="42440"/>
  <c r="F52" i="42440"/>
  <c r="C37" i="42464"/>
  <c r="G32" i="42464"/>
  <c r="L32" i="42464"/>
  <c r="K32" i="42464"/>
  <c r="D82" i="6"/>
  <c r="H80" i="6"/>
  <c r="D1220" i="6"/>
  <c r="D1211" i="6"/>
  <c r="AS118" i="6"/>
  <c r="AV116" i="6"/>
  <c r="CY116" i="6" s="1"/>
  <c r="D39" i="42454"/>
  <c r="D42" i="42454" s="1"/>
  <c r="AE90" i="6"/>
  <c r="AE1013" i="6"/>
  <c r="AE1028" i="6" s="1"/>
  <c r="AE1046" i="6" s="1"/>
  <c r="AE1332" i="6"/>
  <c r="AE91" i="6"/>
  <c r="AE86" i="6"/>
  <c r="X1211" i="6"/>
  <c r="X1220" i="6"/>
  <c r="X82" i="6"/>
  <c r="P84" i="6"/>
  <c r="P103" i="6"/>
  <c r="P88" i="6"/>
  <c r="D36" i="42455"/>
  <c r="G31" i="42455"/>
  <c r="AV71" i="6"/>
  <c r="CY71" i="6" s="1"/>
  <c r="CY70" i="6"/>
  <c r="B7" i="42419"/>
  <c r="K26" i="42440"/>
  <c r="L26" i="42440"/>
  <c r="G26" i="42440"/>
  <c r="C33" i="42440"/>
  <c r="F55" i="42452"/>
  <c r="D59" i="42452"/>
  <c r="CV70" i="6"/>
  <c r="AG71" i="6"/>
  <c r="CV71" i="6" s="1"/>
  <c r="AS82" i="6"/>
  <c r="AS1220" i="6"/>
  <c r="C40" i="42428"/>
  <c r="D44" i="42441"/>
  <c r="D43" i="42441" s="1"/>
  <c r="AC88" i="6"/>
  <c r="AC103" i="6"/>
  <c r="D40" i="42428" s="1"/>
  <c r="AC84" i="6"/>
  <c r="BM100" i="6"/>
  <c r="X20" i="42457"/>
  <c r="Q84" i="6"/>
  <c r="Q88" i="6"/>
  <c r="Q103" i="6"/>
  <c r="S88" i="6"/>
  <c r="S84" i="6"/>
  <c r="S103" i="6"/>
  <c r="D36" i="42461"/>
  <c r="G31" i="42461"/>
  <c r="U103" i="6"/>
  <c r="U84" i="6"/>
  <c r="U88" i="6"/>
  <c r="BQ38" i="6"/>
  <c r="BQ312" i="6"/>
  <c r="BQ311" i="6"/>
  <c r="BH823" i="6"/>
  <c r="BH872" i="6" s="1"/>
  <c r="BK821" i="6"/>
  <c r="BK870" i="6" s="1"/>
  <c r="BH870" i="6"/>
  <c r="P922" i="6"/>
  <c r="P909" i="6"/>
  <c r="L43" i="42442"/>
  <c r="K43" i="42442"/>
  <c r="D40" i="42467"/>
  <c r="D43" i="42467" s="1"/>
  <c r="DD1106" i="6"/>
  <c r="CB105" i="6"/>
  <c r="DF105" i="6"/>
  <c r="BI1002" i="6"/>
  <c r="BJ1001" i="6"/>
  <c r="CC1207" i="6"/>
  <c r="CC1032" i="6" s="1"/>
  <c r="CC1035" i="6" s="1"/>
  <c r="CD1198" i="6"/>
  <c r="BJ986" i="6"/>
  <c r="CS80" i="6"/>
  <c r="R1220" i="6"/>
  <c r="R1211" i="6"/>
  <c r="CS1211" i="6" s="1"/>
  <c r="R82" i="6"/>
  <c r="BU298" i="6"/>
  <c r="CE1164" i="6"/>
  <c r="CF1135" i="6"/>
  <c r="CE941" i="6"/>
  <c r="CE1140" i="6"/>
  <c r="CE1142" i="6"/>
  <c r="CE1139" i="6"/>
  <c r="AI495" i="6"/>
  <c r="AT28" i="42416"/>
  <c r="AU70" i="42416"/>
  <c r="AU71" i="42416" s="1"/>
  <c r="AS43" i="42416"/>
  <c r="AS50" i="42416"/>
  <c r="AS36" i="42416"/>
  <c r="AS38" i="42416" s="1"/>
  <c r="AS39" i="42416" s="1"/>
  <c r="BH125" i="42290"/>
  <c r="BC142" i="42290"/>
  <c r="BC144" i="42290" s="1"/>
  <c r="J116" i="6"/>
  <c r="M113" i="6"/>
  <c r="CR113" i="6" s="1"/>
  <c r="BK25" i="42290"/>
  <c r="BF37" i="42290"/>
  <c r="BF39" i="42290" s="1"/>
  <c r="Q922" i="6"/>
  <c r="Q909" i="6"/>
  <c r="AB34" i="6"/>
  <c r="CU34" i="6" s="1"/>
  <c r="CU33" i="6"/>
  <c r="AB35" i="6"/>
  <c r="CU35" i="6" s="1"/>
  <c r="AG35" i="6"/>
  <c r="CV35" i="6" s="1"/>
  <c r="CZ1034" i="6"/>
  <c r="BA1035" i="6"/>
  <c r="CZ1035" i="6" s="1"/>
  <c r="DB799" i="6"/>
  <c r="C7" i="42419"/>
  <c r="CZ70" i="6"/>
  <c r="L16" i="42457"/>
  <c r="L13" i="42457"/>
  <c r="L72" i="42457"/>
  <c r="AX666" i="6"/>
  <c r="CA1035" i="6"/>
  <c r="DF1035" i="6" s="1"/>
  <c r="DF1032" i="6"/>
  <c r="O88" i="6"/>
  <c r="O84" i="6"/>
  <c r="O103" i="6"/>
  <c r="K42" i="42447"/>
  <c r="L42" i="42447"/>
  <c r="BG329" i="6"/>
  <c r="DA329" i="6"/>
  <c r="AC289" i="6"/>
  <c r="AC294" i="6" s="1"/>
  <c r="BK856" i="6"/>
  <c r="DB856" i="6" s="1"/>
  <c r="DB853" i="6"/>
  <c r="CU116" i="6"/>
  <c r="AB118" i="6"/>
  <c r="AB1262" i="6"/>
  <c r="CU1262" i="6" s="1"/>
  <c r="DG1177" i="6"/>
  <c r="CC1177" i="6"/>
  <c r="CD1177" i="6" s="1"/>
  <c r="CE1177" i="6" s="1"/>
  <c r="CF1177" i="6" s="1"/>
  <c r="CG1177" i="6" s="1"/>
  <c r="P1097" i="6"/>
  <c r="P1153" i="6" s="1"/>
  <c r="CB328" i="6"/>
  <c r="DF328" i="6"/>
  <c r="AL1042" i="6"/>
  <c r="CW1042" i="6" s="1"/>
  <c r="CW1038" i="6"/>
  <c r="DB865" i="6"/>
  <c r="T413" i="6"/>
  <c r="T357" i="6"/>
  <c r="U392" i="6"/>
  <c r="T405" i="6"/>
  <c r="G296" i="42290"/>
  <c r="G295" i="42290"/>
  <c r="DG1125" i="6"/>
  <c r="CC1125" i="6"/>
  <c r="CD1125" i="6" s="1"/>
  <c r="CE1125" i="6" s="1"/>
  <c r="CF1125" i="6" s="1"/>
  <c r="CG1125" i="6" s="1"/>
  <c r="Z290" i="42290"/>
  <c r="Z292" i="42290" s="1"/>
  <c r="Z294" i="42290" s="1"/>
  <c r="X290" i="42290"/>
  <c r="X292" i="42290" s="1"/>
  <c r="X294" i="42290" s="1"/>
  <c r="AA292" i="42290"/>
  <c r="AA294" i="42290" s="1"/>
  <c r="Y290" i="42290"/>
  <c r="Y292" i="42290" s="1"/>
  <c r="Y294" i="42290" s="1"/>
  <c r="W290" i="42290"/>
  <c r="W292" i="42290" s="1"/>
  <c r="W294" i="42290" s="1"/>
  <c r="AV77" i="42416"/>
  <c r="AR44" i="42416"/>
  <c r="AR51" i="42416" s="1"/>
  <c r="P1263" i="6"/>
  <c r="O1263" i="6"/>
  <c r="S1263" i="6"/>
  <c r="Q1263" i="6"/>
  <c r="CE140" i="6"/>
  <c r="CF1015" i="6"/>
  <c r="BO1141" i="6"/>
  <c r="BP1141" i="6" s="1"/>
  <c r="BP1084" i="6"/>
  <c r="BO1285" i="6"/>
  <c r="BP1285" i="6" s="1"/>
  <c r="DC1285" i="6" s="1"/>
  <c r="BO1176" i="6"/>
  <c r="BP1176" i="6" s="1"/>
  <c r="DC1176" i="6" s="1"/>
  <c r="AT37" i="42290"/>
  <c r="AT39" i="42290" s="1"/>
  <c r="AY25" i="42290"/>
  <c r="BK785" i="6"/>
  <c r="DB785" i="6" s="1"/>
  <c r="DB783" i="6"/>
  <c r="AS44" i="42416"/>
  <c r="AS51" i="42416" s="1"/>
  <c r="AU77" i="42416"/>
  <c r="L73" i="42457"/>
  <c r="CZ143" i="6"/>
  <c r="BH914" i="6"/>
  <c r="BK913" i="6"/>
  <c r="BK914" i="6" s="1"/>
  <c r="AD103" i="6"/>
  <c r="D44" i="42432" s="1"/>
  <c r="AD88" i="6"/>
  <c r="AD84" i="6"/>
  <c r="BE1093" i="6"/>
  <c r="BE1149" i="6" s="1"/>
  <c r="N144" i="6"/>
  <c r="I144" i="6"/>
  <c r="C39" i="42475"/>
  <c r="L33" i="42475"/>
  <c r="AS430" i="6"/>
  <c r="AS447" i="6" s="1"/>
  <c r="AR45" i="42416"/>
  <c r="AR46" i="42416" s="1"/>
  <c r="CC1293" i="6"/>
  <c r="DG1293" i="6"/>
  <c r="CB1296" i="6"/>
  <c r="DG1296" i="6" s="1"/>
  <c r="AT77" i="42416"/>
  <c r="AT44" i="42416"/>
  <c r="AT51" i="42416" s="1"/>
  <c r="K1098" i="6"/>
  <c r="K1154" i="6" s="1"/>
  <c r="CE1109" i="6"/>
  <c r="CE1166" i="6" s="1"/>
  <c r="AT304" i="6"/>
  <c r="AG118" i="6"/>
  <c r="AG1262" i="6"/>
  <c r="CV1262" i="6" s="1"/>
  <c r="CV116" i="6"/>
  <c r="L97" i="42458"/>
  <c r="L116" i="42458" s="1"/>
  <c r="L120" i="42458" s="1"/>
  <c r="BI1005" i="6"/>
  <c r="BI1006" i="6"/>
  <c r="AE286" i="6"/>
  <c r="AD288" i="6"/>
  <c r="AD289" i="6" s="1"/>
  <c r="AD294" i="6" s="1"/>
  <c r="AD749" i="6"/>
  <c r="AD751" i="6" s="1"/>
  <c r="CT1038" i="6"/>
  <c r="W1042" i="6"/>
  <c r="CT1042" i="6" s="1"/>
  <c r="DB809" i="6"/>
  <c r="BK811" i="6"/>
  <c r="DB811" i="6" s="1"/>
  <c r="BK813" i="6"/>
  <c r="DB813" i="6" s="1"/>
  <c r="BP837" i="6"/>
  <c r="DC837" i="6" s="1"/>
  <c r="DC834" i="6"/>
  <c r="Z1263" i="6"/>
  <c r="AC1263" i="6"/>
  <c r="AA1263" i="6"/>
  <c r="BQ1165" i="6"/>
  <c r="CW1198" i="6"/>
  <c r="AL147" i="6"/>
  <c r="CW147" i="6" s="1"/>
  <c r="S476" i="6"/>
  <c r="DG1058" i="6"/>
  <c r="CC1058" i="6"/>
  <c r="CD1058" i="6" s="1"/>
  <c r="CE1058" i="6" s="1"/>
  <c r="CF1058" i="6" s="1"/>
  <c r="CG1058" i="6" s="1"/>
  <c r="BP856" i="6"/>
  <c r="DC856" i="6" s="1"/>
  <c r="DC853" i="6"/>
  <c r="I497" i="6"/>
  <c r="R1262" i="6"/>
  <c r="CS1262" i="6" s="1"/>
  <c r="CS116" i="6"/>
  <c r="R118" i="6"/>
  <c r="BH37" i="42290"/>
  <c r="BH39" i="42290" s="1"/>
  <c r="BM25" i="42290"/>
  <c r="DC865" i="6"/>
  <c r="N295" i="6"/>
  <c r="BT26" i="6"/>
  <c r="BT307" i="6"/>
  <c r="BT313" i="6"/>
  <c r="BS26" i="6"/>
  <c r="BS307" i="6"/>
  <c r="BH286" i="6"/>
  <c r="BG288" i="6"/>
  <c r="BG289" i="6" s="1"/>
  <c r="BG294" i="6" s="1"/>
  <c r="BG295" i="6" s="1"/>
  <c r="R147" i="6"/>
  <c r="CS147" i="6" s="1"/>
  <c r="CS1198" i="6"/>
  <c r="CS750" i="6"/>
  <c r="R751" i="6"/>
  <c r="CS751" i="6" s="1"/>
  <c r="AB495" i="6"/>
  <c r="CU495" i="6" s="1"/>
  <c r="Q289" i="6"/>
  <c r="Q294" i="6" s="1"/>
  <c r="P289" i="6"/>
  <c r="P294" i="6" s="1"/>
  <c r="R289" i="6"/>
  <c r="R294" i="6" s="1"/>
  <c r="I42" i="42450"/>
  <c r="K40" i="42450"/>
  <c r="L40" i="42450"/>
  <c r="BH803" i="6"/>
  <c r="BH805" i="6"/>
  <c r="BH806" i="6" s="1"/>
  <c r="CV80" i="6"/>
  <c r="AG1211" i="6"/>
  <c r="CV1211" i="6" s="1"/>
  <c r="AG1220" i="6"/>
  <c r="AG82" i="6"/>
  <c r="BB1127" i="6"/>
  <c r="M34" i="42457"/>
  <c r="N96" i="6"/>
  <c r="DG1207" i="6"/>
  <c r="CB1032" i="6"/>
  <c r="BJ979" i="6"/>
  <c r="BJ576" i="6"/>
  <c r="BK574" i="6"/>
  <c r="BK576" i="6" s="1"/>
  <c r="AV75" i="42416"/>
  <c r="AV76" i="42416" s="1"/>
  <c r="AR52" i="42416"/>
  <c r="AR53" i="42416" s="1"/>
  <c r="BD1096" i="6"/>
  <c r="BP104" i="6"/>
  <c r="M167" i="6"/>
  <c r="K42" i="42443"/>
  <c r="L42" i="42443"/>
  <c r="J1154" i="6"/>
  <c r="CD1166" i="6"/>
  <c r="BM542" i="6"/>
  <c r="AM302" i="6"/>
  <c r="AN301" i="6"/>
  <c r="AN303" i="6" s="1"/>
  <c r="AE1263" i="6"/>
  <c r="AD1263" i="6"/>
  <c r="AF1263" i="6"/>
  <c r="AH1263" i="6"/>
  <c r="AH1252" i="6" s="1"/>
  <c r="BD581" i="6"/>
  <c r="V84" i="6"/>
  <c r="BG118" i="6"/>
  <c r="CV1198" i="6"/>
  <c r="AG147" i="6"/>
  <c r="CV147" i="6" s="1"/>
  <c r="BS312" i="6"/>
  <c r="BS38" i="6"/>
  <c r="BS311" i="6"/>
  <c r="CV1038" i="6"/>
  <c r="AG1042" i="6"/>
  <c r="CV1042" i="6" s="1"/>
  <c r="BB37" i="42290"/>
  <c r="BB39" i="42290" s="1"/>
  <c r="BG25" i="42290"/>
  <c r="N909" i="6"/>
  <c r="N922" i="6"/>
  <c r="BT1100" i="6"/>
  <c r="S358" i="6"/>
  <c r="S360" i="6" s="1"/>
  <c r="S492" i="6" s="1"/>
  <c r="S493" i="6" s="1"/>
  <c r="S750" i="6"/>
  <c r="S751" i="6" s="1"/>
  <c r="DG1116" i="6"/>
  <c r="CC1116" i="6"/>
  <c r="CD1116" i="6" s="1"/>
  <c r="CE1116" i="6" s="1"/>
  <c r="CF1116" i="6" s="1"/>
  <c r="CG1116" i="6" s="1"/>
  <c r="BF295" i="6"/>
  <c r="DA295" i="6" s="1"/>
  <c r="DA294" i="6"/>
  <c r="AP37" i="42290"/>
  <c r="AU25" i="42290"/>
  <c r="CA390" i="6"/>
  <c r="DE390" i="6"/>
  <c r="CU888" i="6"/>
  <c r="AG889" i="6"/>
  <c r="CV889" i="6" s="1"/>
  <c r="AB889" i="6"/>
  <c r="CU889" i="6" s="1"/>
  <c r="BG84" i="6"/>
  <c r="AN1096" i="6"/>
  <c r="AN1152" i="6" s="1"/>
  <c r="N92" i="6"/>
  <c r="K42" i="42451"/>
  <c r="L42" i="42451"/>
  <c r="BQ26" i="6"/>
  <c r="BQ307" i="6"/>
  <c r="BK800" i="6"/>
  <c r="DB800" i="6" s="1"/>
  <c r="C12" i="42419"/>
  <c r="CZ1207" i="6"/>
  <c r="Y497" i="6"/>
  <c r="AB496" i="6"/>
  <c r="V1263" i="6"/>
  <c r="Y1263" i="6"/>
  <c r="X1263" i="6"/>
  <c r="AW667" i="6"/>
  <c r="BB667" i="6"/>
  <c r="BF362" i="6"/>
  <c r="BE753" i="6"/>
  <c r="BL981" i="6"/>
  <c r="BK979" i="6"/>
  <c r="DB981" i="6"/>
  <c r="BK986" i="6"/>
  <c r="DB986" i="6" s="1"/>
  <c r="CT1198" i="6"/>
  <c r="W147" i="6"/>
  <c r="CT147" i="6" s="1"/>
  <c r="BU10" i="6"/>
  <c r="CD959" i="6"/>
  <c r="CD954" i="6"/>
  <c r="CD77" i="6" s="1"/>
  <c r="CD1342" i="6" s="1"/>
  <c r="AR38" i="42416"/>
  <c r="AR39" i="42416" s="1"/>
  <c r="AO1296" i="6"/>
  <c r="AP1293" i="6"/>
  <c r="J71" i="6"/>
  <c r="J80" i="6"/>
  <c r="M70" i="6"/>
  <c r="DF66" i="6"/>
  <c r="CB66" i="6"/>
  <c r="CA1340" i="6"/>
  <c r="AN1093" i="6"/>
  <c r="AN1149" i="6" s="1"/>
  <c r="BK797" i="6"/>
  <c r="DB797" i="6" s="1"/>
  <c r="DB796" i="6"/>
  <c r="CF851" i="6"/>
  <c r="AW123" i="6"/>
  <c r="AY665" i="6"/>
  <c r="AY694" i="6"/>
  <c r="BA664" i="6"/>
  <c r="BA665" i="6" s="1"/>
  <c r="BA666" i="6" s="1"/>
  <c r="Z88" i="6"/>
  <c r="Z84" i="6"/>
  <c r="Z103" i="6"/>
  <c r="K42" i="42448"/>
  <c r="L42" i="42448"/>
  <c r="CS358" i="6"/>
  <c r="AF1207" i="6"/>
  <c r="AG1207" i="6" s="1"/>
  <c r="CV1207" i="6" s="1"/>
  <c r="AF147" i="6"/>
  <c r="DA330" i="6"/>
  <c r="BF331" i="6"/>
  <c r="BN1211" i="6"/>
  <c r="BN82" i="6"/>
  <c r="BN84" i="6" s="1"/>
  <c r="BL728" i="6"/>
  <c r="BL714" i="6"/>
  <c r="BL14" i="6"/>
  <c r="BG16" i="6"/>
  <c r="BG29" i="6"/>
  <c r="C11" i="42473"/>
  <c r="N15" i="42459"/>
  <c r="U14" i="42459"/>
  <c r="P14" i="42459"/>
  <c r="Q14" i="42459"/>
  <c r="G14" i="42459"/>
  <c r="C49" i="42459"/>
  <c r="L14" i="42459"/>
  <c r="C25" i="42459"/>
  <c r="BB21" i="6"/>
  <c r="D26" i="42468"/>
  <c r="D50" i="42468"/>
  <c r="BB33" i="6"/>
  <c r="Q11" i="42464"/>
  <c r="W20" i="42464"/>
  <c r="L11" i="42464"/>
  <c r="C14" i="42464"/>
  <c r="K11" i="42464"/>
  <c r="K14" i="42464" s="1"/>
  <c r="P11" i="42464"/>
  <c r="AY56" i="6"/>
  <c r="AY23" i="6"/>
  <c r="AY52" i="6"/>
  <c r="AY71" i="6"/>
  <c r="BK610" i="6"/>
  <c r="D14" i="42473"/>
  <c r="D54" i="42473"/>
  <c r="AY35" i="6"/>
  <c r="AY34" i="6"/>
  <c r="DC1063" i="6"/>
  <c r="CB1119" i="6" l="1"/>
  <c r="DF1119" i="6"/>
  <c r="AY716" i="6"/>
  <c r="AY717" i="6" s="1"/>
  <c r="AR187" i="42290"/>
  <c r="AS544" i="6" s="1"/>
  <c r="BY31" i="42290"/>
  <c r="BY29" i="42290"/>
  <c r="BY32" i="42290"/>
  <c r="CB445" i="6"/>
  <c r="CB487" i="6" s="1"/>
  <c r="HR721" i="42458"/>
  <c r="CB466" i="6" s="1"/>
  <c r="HQ727" i="42458"/>
  <c r="HQ721" i="42458"/>
  <c r="CA466" i="6" s="1"/>
  <c r="CA445" i="6"/>
  <c r="CA487" i="6" s="1"/>
  <c r="V909" i="6"/>
  <c r="AO579" i="6"/>
  <c r="AO581" i="6"/>
  <c r="AT583" i="6" s="1"/>
  <c r="F52" i="42451"/>
  <c r="W921" i="6"/>
  <c r="W922" i="6" s="1"/>
  <c r="CT922" i="6" s="1"/>
  <c r="AQ261" i="42290"/>
  <c r="AP581" i="6"/>
  <c r="AP582" i="6" s="1"/>
  <c r="AO261" i="42290"/>
  <c r="AT547" i="6"/>
  <c r="AT719" i="6" s="1"/>
  <c r="AT426" i="6"/>
  <c r="V1252" i="6"/>
  <c r="AO187" i="42290"/>
  <c r="AP544" i="6" s="1"/>
  <c r="AP545" i="6" s="1"/>
  <c r="D32" i="42450"/>
  <c r="F32" i="42450" s="1"/>
  <c r="F35" i="42450" s="1"/>
  <c r="F38" i="42450" s="1"/>
  <c r="DE1105" i="6"/>
  <c r="AW33" i="6"/>
  <c r="AW35" i="6" s="1"/>
  <c r="BF578" i="6"/>
  <c r="BF579" i="6" s="1"/>
  <c r="BE716" i="6"/>
  <c r="BE717" i="6" s="1"/>
  <c r="AS583" i="6"/>
  <c r="AX581" i="6"/>
  <c r="AX582" i="6" s="1"/>
  <c r="BG167" i="6"/>
  <c r="P25" i="42473"/>
  <c r="N26" i="42473"/>
  <c r="Q25" i="42473"/>
  <c r="U25" i="42473"/>
  <c r="G25" i="42473"/>
  <c r="C32" i="42473"/>
  <c r="L25" i="42473"/>
  <c r="AN472" i="6"/>
  <c r="L84" i="6"/>
  <c r="AA137" i="42290"/>
  <c r="AA144" i="42290" s="1"/>
  <c r="AA261" i="42290" s="1"/>
  <c r="AM96" i="42290"/>
  <c r="AM98" i="42290" s="1"/>
  <c r="AM100" i="42290" s="1"/>
  <c r="AM261" i="42290" s="1"/>
  <c r="AH86" i="6"/>
  <c r="CR277" i="6"/>
  <c r="M279" i="6"/>
  <c r="CR279" i="6" s="1"/>
  <c r="G22" i="42443"/>
  <c r="D27" i="42443"/>
  <c r="L32" i="42467"/>
  <c r="BB545" i="6"/>
  <c r="G32" i="42467"/>
  <c r="C37" i="42467"/>
  <c r="G37" i="42467" s="1"/>
  <c r="G40" i="42467" s="1"/>
  <c r="G43" i="42467" s="1"/>
  <c r="CD431" i="6"/>
  <c r="CE431" i="6" s="1"/>
  <c r="AC921" i="6"/>
  <c r="AC909" i="6" s="1"/>
  <c r="AC910" i="6" s="1"/>
  <c r="AR545" i="6"/>
  <c r="BE384" i="6"/>
  <c r="BE356" i="6"/>
  <c r="BX429" i="6"/>
  <c r="Q14" i="42455"/>
  <c r="G14" i="42455"/>
  <c r="C49" i="42455"/>
  <c r="P14" i="42455"/>
  <c r="N15" i="42455"/>
  <c r="C25" i="42455"/>
  <c r="L14" i="42455"/>
  <c r="U14" i="42455"/>
  <c r="CD831" i="6"/>
  <c r="CD834" i="6" s="1"/>
  <c r="CD829" i="6"/>
  <c r="CD840" i="6"/>
  <c r="CD19" i="6"/>
  <c r="EM591" i="42458"/>
  <c r="CF826" i="6"/>
  <c r="CE828" i="6"/>
  <c r="BV429" i="6"/>
  <c r="CC50" i="6"/>
  <c r="CC842" i="6"/>
  <c r="BW429" i="6"/>
  <c r="CC835" i="6"/>
  <c r="CC837" i="6"/>
  <c r="BF388" i="6"/>
  <c r="BF405" i="6" s="1"/>
  <c r="DA405" i="6" s="1"/>
  <c r="BE357" i="6"/>
  <c r="BE409" i="6"/>
  <c r="BF409" i="6" s="1"/>
  <c r="DA409" i="6" s="1"/>
  <c r="BB301" i="6"/>
  <c r="BB303" i="6" s="1"/>
  <c r="BB304" i="6" s="1"/>
  <c r="BC302" i="6"/>
  <c r="AC295" i="42290"/>
  <c r="AD921" i="6"/>
  <c r="AM547" i="6"/>
  <c r="AM548" i="6" s="1"/>
  <c r="AM545" i="6"/>
  <c r="DA945" i="6"/>
  <c r="BK946" i="6"/>
  <c r="DB946" i="6" s="1"/>
  <c r="BF967" i="6"/>
  <c r="DA967" i="6" s="1"/>
  <c r="CT1093" i="6"/>
  <c r="X1093" i="6"/>
  <c r="AZ22" i="6"/>
  <c r="AZ29" i="6"/>
  <c r="BA29" i="6" s="1"/>
  <c r="CZ29" i="6" s="1"/>
  <c r="AZ16" i="6"/>
  <c r="D11" i="42471"/>
  <c r="C11" i="42461"/>
  <c r="W1224" i="6"/>
  <c r="V1347" i="6"/>
  <c r="AA1160" i="6"/>
  <c r="AB1160" i="6" s="1"/>
  <c r="CU1160" i="6" s="1"/>
  <c r="BD621" i="6"/>
  <c r="BD620" i="6"/>
  <c r="BD623" i="6"/>
  <c r="AM142" i="6"/>
  <c r="AN1162" i="6"/>
  <c r="AM147" i="6"/>
  <c r="BB125" i="42290"/>
  <c r="AW142" i="42290"/>
  <c r="AW144" i="42290" s="1"/>
  <c r="AZ125" i="42290"/>
  <c r="AU142" i="42290"/>
  <c r="AU144" i="42290" s="1"/>
  <c r="AZ510" i="6"/>
  <c r="AZ503" i="6"/>
  <c r="AZ501" i="6"/>
  <c r="CU1104" i="6"/>
  <c r="AC1104" i="6"/>
  <c r="AY624" i="6"/>
  <c r="AY625" i="6"/>
  <c r="C26" i="42437"/>
  <c r="C52" i="42437"/>
  <c r="V1127" i="6"/>
  <c r="W1114" i="6"/>
  <c r="BL51" i="6"/>
  <c r="BP48" i="6"/>
  <c r="O99" i="42458" s="1"/>
  <c r="BI619" i="6"/>
  <c r="BI616" i="6"/>
  <c r="BK644" i="6"/>
  <c r="DB937" i="6"/>
  <c r="BK938" i="6"/>
  <c r="DB938" i="6" s="1"/>
  <c r="L46" i="42437"/>
  <c r="G46" i="42437"/>
  <c r="BA14" i="6"/>
  <c r="AT889" i="6"/>
  <c r="CN1168" i="6"/>
  <c r="CO1168" i="6" s="1"/>
  <c r="BU1192" i="6"/>
  <c r="DD1192" i="6" s="1"/>
  <c r="BZ1192" i="6"/>
  <c r="BH167" i="6"/>
  <c r="CB279" i="42290"/>
  <c r="DF11" i="6"/>
  <c r="C42" i="42421"/>
  <c r="BZ39" i="6"/>
  <c r="AP547" i="6"/>
  <c r="AU547" i="6" s="1"/>
  <c r="AZ547" i="6" s="1"/>
  <c r="BY1147" i="6"/>
  <c r="BZ1147" i="6" s="1"/>
  <c r="BZ1091" i="6"/>
  <c r="CA1091" i="6" s="1"/>
  <c r="CN1091" i="6"/>
  <c r="CO1091" i="6" s="1"/>
  <c r="CB1122" i="6"/>
  <c r="DF1122" i="6"/>
  <c r="CN1192" i="6"/>
  <c r="CO1192" i="6" s="1"/>
  <c r="BG33" i="6"/>
  <c r="V88" i="6"/>
  <c r="V135" i="6" s="1"/>
  <c r="F52" i="42450"/>
  <c r="AP167" i="6"/>
  <c r="AQ167" i="6" s="1"/>
  <c r="DC167" i="6" s="1"/>
  <c r="AV471" i="6"/>
  <c r="CY471" i="6" s="1"/>
  <c r="AB295" i="42290"/>
  <c r="R967" i="6"/>
  <c r="CS967" i="6" s="1"/>
  <c r="BZ1075" i="6"/>
  <c r="CN1075" i="6"/>
  <c r="CO1075" i="6" s="1"/>
  <c r="CC339" i="6"/>
  <c r="CB11" i="6"/>
  <c r="DG11" i="6" s="1"/>
  <c r="DG339" i="6"/>
  <c r="BZ1168" i="6"/>
  <c r="CA1168" i="6" s="1"/>
  <c r="CB1168" i="6" s="1"/>
  <c r="CC1168" i="6" s="1"/>
  <c r="CD1168" i="6" s="1"/>
  <c r="CE1168" i="6" s="1"/>
  <c r="CF1168" i="6" s="1"/>
  <c r="CG1168" i="6" s="1"/>
  <c r="DG1054" i="6"/>
  <c r="CC1054" i="6"/>
  <c r="CD1054" i="6" s="1"/>
  <c r="CE1054" i="6" s="1"/>
  <c r="CF1054" i="6" s="1"/>
  <c r="CG1054" i="6" s="1"/>
  <c r="CA119" i="6"/>
  <c r="DF119" i="6" s="1"/>
  <c r="DF114" i="6"/>
  <c r="CC75" i="6"/>
  <c r="CB114" i="6"/>
  <c r="DG75" i="6"/>
  <c r="CB1341" i="6"/>
  <c r="CN39" i="6"/>
  <c r="CO39" i="6" s="1"/>
  <c r="CA1068" i="6"/>
  <c r="DE1068" i="6"/>
  <c r="BZ347" i="6"/>
  <c r="AQ544" i="6"/>
  <c r="AQ545" i="6" s="1"/>
  <c r="AU716" i="6"/>
  <c r="AU717" i="6" s="1"/>
  <c r="AU545" i="6"/>
  <c r="AV544" i="6"/>
  <c r="AV545" i="6" s="1"/>
  <c r="AL261" i="42290"/>
  <c r="AP137" i="42290"/>
  <c r="AP144" i="42290" s="1"/>
  <c r="AF909" i="6"/>
  <c r="AF910" i="6" s="1"/>
  <c r="AO716" i="6"/>
  <c r="AO717" i="6" s="1"/>
  <c r="AW283" i="42290"/>
  <c r="BB283" i="42290" s="1"/>
  <c r="BB282" i="42290" s="1"/>
  <c r="AO547" i="6"/>
  <c r="AO548" i="6" s="1"/>
  <c r="AW547" i="6"/>
  <c r="AR719" i="6"/>
  <c r="AR720" i="6" s="1"/>
  <c r="O922" i="6"/>
  <c r="AG294" i="42290"/>
  <c r="AG296" i="42290" s="1"/>
  <c r="BS187" i="42290"/>
  <c r="AR716" i="6"/>
  <c r="AR717" i="6" s="1"/>
  <c r="Y1152" i="6"/>
  <c r="BV368" i="6"/>
  <c r="BV370" i="6"/>
  <c r="BT1191" i="6"/>
  <c r="BY1191" i="6" s="1"/>
  <c r="BX1191" i="6"/>
  <c r="DF1105" i="6"/>
  <c r="CB1105" i="6"/>
  <c r="BJ167" i="6"/>
  <c r="BK167" i="6" s="1"/>
  <c r="DG167" i="6" s="1"/>
  <c r="BH70" i="6"/>
  <c r="BH80" i="6" s="1"/>
  <c r="BH113" i="6"/>
  <c r="BM57" i="6"/>
  <c r="BH57" i="6"/>
  <c r="BI167" i="6"/>
  <c r="BH1259" i="6"/>
  <c r="BH1261" i="6" s="1"/>
  <c r="BH60" i="6"/>
  <c r="S12" i="42457"/>
  <c r="P46" i="42457"/>
  <c r="U9" i="42457"/>
  <c r="P9" i="42457"/>
  <c r="Q8" i="42457"/>
  <c r="DA51" i="6"/>
  <c r="BF55" i="6"/>
  <c r="BV859" i="6"/>
  <c r="BV850" i="6"/>
  <c r="BX372" i="6"/>
  <c r="BW414" i="6"/>
  <c r="BW477" i="6" s="1"/>
  <c r="BW1103" i="6"/>
  <c r="BW1159" i="6" s="1"/>
  <c r="BX371" i="6"/>
  <c r="BW413" i="6"/>
  <c r="BW476" i="6" s="1"/>
  <c r="BW1145" i="6"/>
  <c r="BX1089" i="6"/>
  <c r="CA1024" i="6"/>
  <c r="DE137" i="6"/>
  <c r="DE1024" i="6"/>
  <c r="P889" i="6"/>
  <c r="K889" i="6"/>
  <c r="N9" i="42457"/>
  <c r="N46" i="42457"/>
  <c r="BY1110" i="6"/>
  <c r="BI1097" i="6"/>
  <c r="BI1153" i="6" s="1"/>
  <c r="Z1152" i="6"/>
  <c r="AA1096" i="6"/>
  <c r="AB1096" i="6" s="1"/>
  <c r="V8" i="42457"/>
  <c r="DB51" i="6"/>
  <c r="BK55" i="6"/>
  <c r="U19" i="42471"/>
  <c r="L23" i="42471"/>
  <c r="P23" i="42471"/>
  <c r="U20" i="42471"/>
  <c r="G23" i="42471"/>
  <c r="C25" i="42471"/>
  <c r="U18" i="42471"/>
  <c r="Q23" i="42471"/>
  <c r="U17" i="42471"/>
  <c r="BV1040" i="6"/>
  <c r="BW1076" i="6"/>
  <c r="BV1079" i="6"/>
  <c r="BV1099" i="6"/>
  <c r="BV1155" i="6" s="1"/>
  <c r="D25" i="42474"/>
  <c r="G23" i="42474"/>
  <c r="BD659" i="6"/>
  <c r="BD658" i="6"/>
  <c r="L23" i="42474"/>
  <c r="U18" i="42474"/>
  <c r="U20" i="42474"/>
  <c r="U17" i="42474"/>
  <c r="C25" i="42474"/>
  <c r="U19" i="42474"/>
  <c r="Q23" i="42474"/>
  <c r="P23" i="42474"/>
  <c r="X9" i="42457"/>
  <c r="S46" i="42457"/>
  <c r="S9" i="42457"/>
  <c r="BF63" i="6"/>
  <c r="P12" i="42457"/>
  <c r="BE1259" i="6"/>
  <c r="BE1261" i="6" s="1"/>
  <c r="BE57" i="6"/>
  <c r="BE60" i="6"/>
  <c r="BF60" i="6" s="1"/>
  <c r="BE113" i="6"/>
  <c r="BE116" i="6" s="1"/>
  <c r="BE118" i="6" s="1"/>
  <c r="BE123" i="6" s="1"/>
  <c r="BE70" i="6"/>
  <c r="BE80" i="6" s="1"/>
  <c r="BJ57" i="6"/>
  <c r="BI290" i="42290"/>
  <c r="BI292" i="42290" s="1"/>
  <c r="BI294" i="42290" s="1"/>
  <c r="AT290" i="42290"/>
  <c r="AT292" i="42290" s="1"/>
  <c r="BM290" i="42290"/>
  <c r="BM292" i="42290" s="1"/>
  <c r="BC290" i="42290"/>
  <c r="BC292" i="42290" s="1"/>
  <c r="BL290" i="42290"/>
  <c r="BL292" i="42290" s="1"/>
  <c r="BL294" i="42290" s="1"/>
  <c r="BN290" i="42290"/>
  <c r="BN292" i="42290" s="1"/>
  <c r="BN294" i="42290" s="1"/>
  <c r="AX290" i="42290"/>
  <c r="AX292" i="42290" s="1"/>
  <c r="BQ290" i="42290"/>
  <c r="BQ292" i="42290" s="1"/>
  <c r="BQ294" i="42290" s="1"/>
  <c r="AW290" i="42290"/>
  <c r="AW292" i="42290" s="1"/>
  <c r="BK290" i="42290"/>
  <c r="BK292" i="42290" s="1"/>
  <c r="BK294" i="42290" s="1"/>
  <c r="BF290" i="42290"/>
  <c r="BF292" i="42290" s="1"/>
  <c r="BF294" i="42290" s="1"/>
  <c r="BP290" i="42290"/>
  <c r="BP292" i="42290" s="1"/>
  <c r="BP294" i="42290" s="1"/>
  <c r="BD290" i="42290"/>
  <c r="BD292" i="42290" s="1"/>
  <c r="AY290" i="42290"/>
  <c r="AY292" i="42290" s="1"/>
  <c r="BB290" i="42290"/>
  <c r="BB292" i="42290" s="1"/>
  <c r="BH290" i="42290"/>
  <c r="BH292" i="42290" s="1"/>
  <c r="BH294" i="42290" s="1"/>
  <c r="AO290" i="42290"/>
  <c r="AO292" i="42290" s="1"/>
  <c r="AO294" i="42290" s="1"/>
  <c r="AP292" i="42290"/>
  <c r="AS290" i="42290"/>
  <c r="AS292" i="42290" s="1"/>
  <c r="AR290" i="42290"/>
  <c r="AR292" i="42290" s="1"/>
  <c r="AR294" i="42290" s="1"/>
  <c r="AQ290" i="42290"/>
  <c r="AQ292" i="42290" s="1"/>
  <c r="AM290" i="42290"/>
  <c r="AM292" i="42290" s="1"/>
  <c r="AM294" i="42290" s="1"/>
  <c r="AM295" i="42290" s="1"/>
  <c r="AV290" i="42290"/>
  <c r="AV292" i="42290" s="1"/>
  <c r="BR290" i="42290"/>
  <c r="BR292" i="42290" s="1"/>
  <c r="BR294" i="42290" s="1"/>
  <c r="AN290" i="42290"/>
  <c r="AN292" i="42290" s="1"/>
  <c r="BA290" i="42290"/>
  <c r="BA292" i="42290" s="1"/>
  <c r="AL290" i="42290"/>
  <c r="AL292" i="42290" s="1"/>
  <c r="BS290" i="42290"/>
  <c r="BS292" i="42290" s="1"/>
  <c r="BS294" i="42290" s="1"/>
  <c r="BG290" i="42290"/>
  <c r="BG292" i="42290" s="1"/>
  <c r="BG294" i="42290" s="1"/>
  <c r="AQ889" i="6"/>
  <c r="CX889" i="6" s="1"/>
  <c r="CX888" i="6"/>
  <c r="AV889" i="6"/>
  <c r="CY889" i="6" s="1"/>
  <c r="BX845" i="6"/>
  <c r="BW847" i="6"/>
  <c r="BE167" i="6"/>
  <c r="BF167" i="6" s="1"/>
  <c r="DF167" i="6" s="1"/>
  <c r="BV477" i="6"/>
  <c r="BV476" i="6"/>
  <c r="BX1101" i="6"/>
  <c r="BX1157" i="6" s="1"/>
  <c r="L878" i="6"/>
  <c r="L888" i="6" s="1"/>
  <c r="M877" i="6"/>
  <c r="CR877" i="6" s="1"/>
  <c r="M878" i="6"/>
  <c r="N12" i="42457"/>
  <c r="BC113" i="6"/>
  <c r="BC116" i="6" s="1"/>
  <c r="BC57" i="6"/>
  <c r="BC167" i="6"/>
  <c r="BC1259" i="6"/>
  <c r="BC1261" i="6" s="1"/>
  <c r="BC1262" i="6" s="1"/>
  <c r="BC1281" i="6" s="1"/>
  <c r="BC1282" i="6" s="1"/>
  <c r="BC70" i="6"/>
  <c r="BC80" i="6" s="1"/>
  <c r="BI655" i="6"/>
  <c r="BI654" i="6"/>
  <c r="BI657" i="6"/>
  <c r="D25" i="42475"/>
  <c r="G23" i="42475"/>
  <c r="BY333" i="6"/>
  <c r="BY334" i="6" s="1"/>
  <c r="BW1106" i="6"/>
  <c r="BW1161" i="6" s="1"/>
  <c r="BX38" i="6"/>
  <c r="BX312" i="6"/>
  <c r="BX313" i="6"/>
  <c r="BX311" i="6"/>
  <c r="HM832" i="42425"/>
  <c r="AR548" i="6"/>
  <c r="BY38" i="6"/>
  <c r="BY313" i="6"/>
  <c r="BY312" i="6"/>
  <c r="BY311" i="6"/>
  <c r="AJ295" i="42290"/>
  <c r="AK921" i="6"/>
  <c r="AK909" i="6" s="1"/>
  <c r="AJ296" i="42290"/>
  <c r="AJ880" i="6"/>
  <c r="AK883" i="6"/>
  <c r="CZ412" i="6"/>
  <c r="BA475" i="6"/>
  <c r="CZ475" i="6" s="1"/>
  <c r="EP591" i="42458"/>
  <c r="EO591" i="42458"/>
  <c r="EN591" i="42458"/>
  <c r="AJ80" i="6"/>
  <c r="AJ71" i="6"/>
  <c r="AH296" i="42290"/>
  <c r="AI921" i="6"/>
  <c r="AH295" i="42290"/>
  <c r="L88" i="6"/>
  <c r="AO167" i="6"/>
  <c r="AF35" i="42290"/>
  <c r="AF39" i="42290" s="1"/>
  <c r="J1096" i="6"/>
  <c r="I1106" i="6"/>
  <c r="CQ1114" i="6"/>
  <c r="C16" i="42453"/>
  <c r="C21" i="42453" s="1"/>
  <c r="H1127" i="6"/>
  <c r="CQ1127" i="6" s="1"/>
  <c r="DG333" i="6"/>
  <c r="CC333" i="6"/>
  <c r="CD333" i="6" s="1"/>
  <c r="CE333" i="6" s="1"/>
  <c r="CF333" i="6" s="1"/>
  <c r="CG333" i="6" s="1"/>
  <c r="J261" i="42290"/>
  <c r="L35" i="42290"/>
  <c r="L39" i="42290" s="1"/>
  <c r="HM831" i="42425"/>
  <c r="AN545" i="6"/>
  <c r="BH716" i="6"/>
  <c r="BH717" i="6" s="1"/>
  <c r="BE292" i="6"/>
  <c r="BE1187" i="6"/>
  <c r="BF1187" i="6" s="1"/>
  <c r="DA1187" i="6" s="1"/>
  <c r="AZ1190" i="6"/>
  <c r="BA1190" i="6" s="1"/>
  <c r="CZ1190" i="6" s="1"/>
  <c r="DG1077" i="6"/>
  <c r="CC1077" i="6"/>
  <c r="CD1077" i="6" s="1"/>
  <c r="CE1077" i="6" s="1"/>
  <c r="CF1077" i="6" s="1"/>
  <c r="CG1077" i="6" s="1"/>
  <c r="BH1190" i="6"/>
  <c r="BM1187" i="6"/>
  <c r="BT1156" i="6"/>
  <c r="BU1156" i="6" s="1"/>
  <c r="DD1156" i="6" s="1"/>
  <c r="BU1100" i="6"/>
  <c r="CT82" i="6"/>
  <c r="AV80" i="6"/>
  <c r="CY80" i="6" s="1"/>
  <c r="AW1286" i="6"/>
  <c r="AW1289" i="6" s="1"/>
  <c r="AW1290" i="6" s="1"/>
  <c r="G135" i="6"/>
  <c r="G144" i="6" s="1"/>
  <c r="G151" i="6" s="1"/>
  <c r="G91" i="6"/>
  <c r="K36" i="42454"/>
  <c r="K39" i="42454" s="1"/>
  <c r="K42" i="42454" s="1"/>
  <c r="AP716" i="6"/>
  <c r="AP717" i="6" s="1"/>
  <c r="BK1186" i="6"/>
  <c r="DB1186" i="6" s="1"/>
  <c r="BO1186" i="6"/>
  <c r="BI1187" i="6"/>
  <c r="BD1190" i="6"/>
  <c r="G1013" i="6"/>
  <c r="G1028" i="6" s="1"/>
  <c r="G1046" i="6" s="1"/>
  <c r="G1332" i="6"/>
  <c r="H34" i="6"/>
  <c r="CQ34" i="6" s="1"/>
  <c r="CQ33" i="6"/>
  <c r="M35" i="6"/>
  <c r="CR35" i="6" s="1"/>
  <c r="G36" i="42454"/>
  <c r="G39" i="42454" s="1"/>
  <c r="G42" i="42454" s="1"/>
  <c r="AN716" i="6"/>
  <c r="AN717" i="6" s="1"/>
  <c r="BV35" i="42290"/>
  <c r="AN547" i="6"/>
  <c r="AN548" i="6" s="1"/>
  <c r="AZ716" i="6"/>
  <c r="AZ717" i="6" s="1"/>
  <c r="AS545" i="6"/>
  <c r="AS547" i="6"/>
  <c r="AS548" i="6" s="1"/>
  <c r="AS716" i="6"/>
  <c r="AS717" i="6" s="1"/>
  <c r="BF834" i="6"/>
  <c r="BF837" i="6" s="1"/>
  <c r="DA837" i="6" s="1"/>
  <c r="BF125" i="42290"/>
  <c r="BA142" i="42290"/>
  <c r="BA144" i="42290" s="1"/>
  <c r="E64" i="42434"/>
  <c r="AD142" i="42434" s="1"/>
  <c r="AC142" i="42434"/>
  <c r="DC1199" i="6"/>
  <c r="BD142" i="42290"/>
  <c r="BD144" i="42290" s="1"/>
  <c r="BI125" i="42290"/>
  <c r="BO254" i="42290"/>
  <c r="BJ257" i="42290"/>
  <c r="GU647" i="42425"/>
  <c r="GS647" i="42425"/>
  <c r="GT653" i="42425"/>
  <c r="GP653" i="42425" s="1"/>
  <c r="GT683" i="42425"/>
  <c r="GT689" i="42425" s="1"/>
  <c r="AC144" i="42434"/>
  <c r="D67" i="42434"/>
  <c r="AC147" i="42434" s="1"/>
  <c r="BU856" i="6"/>
  <c r="DD856" i="6" s="1"/>
  <c r="DD853" i="6"/>
  <c r="DC145" i="6"/>
  <c r="F13" i="42419"/>
  <c r="O909" i="6"/>
  <c r="O910" i="6" s="1"/>
  <c r="AU1220" i="6"/>
  <c r="AW716" i="6"/>
  <c r="AW705" i="6" s="1"/>
  <c r="AW706" i="6" s="1"/>
  <c r="M289" i="6"/>
  <c r="M294" i="6" s="1"/>
  <c r="CR294" i="6" s="1"/>
  <c r="AU1281" i="6"/>
  <c r="AU1282" i="6" s="1"/>
  <c r="AW585" i="6"/>
  <c r="AW586" i="6" s="1"/>
  <c r="AC261" i="42290"/>
  <c r="Y1150" i="6"/>
  <c r="Z1094" i="6"/>
  <c r="Z1150" i="6" s="1"/>
  <c r="C39" i="42454"/>
  <c r="C42" i="42454" s="1"/>
  <c r="G32" i="42450"/>
  <c r="G35" i="42450" s="1"/>
  <c r="G38" i="42450" s="1"/>
  <c r="BG716" i="6"/>
  <c r="BG717" i="6" s="1"/>
  <c r="AT261" i="42290"/>
  <c r="F36" i="42454"/>
  <c r="F39" i="42454" s="1"/>
  <c r="F42" i="42454" s="1"/>
  <c r="BK544" i="6"/>
  <c r="BK545" i="6" s="1"/>
  <c r="BW35" i="42290"/>
  <c r="CE143" i="6"/>
  <c r="CF1203" i="6"/>
  <c r="AN579" i="6"/>
  <c r="AZ84" i="6"/>
  <c r="AZ86" i="6" s="1"/>
  <c r="AZ1332" i="6" s="1"/>
  <c r="DE837" i="6"/>
  <c r="DE838" i="6"/>
  <c r="DF837" i="6"/>
  <c r="CA838" i="6"/>
  <c r="DF838" i="6" s="1"/>
  <c r="BF823" i="6"/>
  <c r="DA823" i="6" s="1"/>
  <c r="DA821" i="6"/>
  <c r="BF802" i="6"/>
  <c r="DA800" i="6"/>
  <c r="BF869" i="6"/>
  <c r="DA840" i="6"/>
  <c r="BF867" i="6"/>
  <c r="BF797" i="6"/>
  <c r="DA797" i="6" s="1"/>
  <c r="DA796" i="6"/>
  <c r="AE144" i="6"/>
  <c r="AE151" i="6" s="1"/>
  <c r="ED611" i="42458"/>
  <c r="ED613" i="42458" s="1"/>
  <c r="ED614" i="42458" s="1"/>
  <c r="ER589" i="42458"/>
  <c r="EN609" i="42458"/>
  <c r="EO609" i="42458"/>
  <c r="EP609" i="42458"/>
  <c r="BV80" i="42290"/>
  <c r="BV84" i="42290" s="1"/>
  <c r="BV87" i="42290" s="1"/>
  <c r="DF434" i="6"/>
  <c r="CB434" i="6"/>
  <c r="AU1211" i="6"/>
  <c r="AT1286" i="6"/>
  <c r="AT1289" i="6" s="1"/>
  <c r="AT1290" i="6" s="1"/>
  <c r="W84" i="6"/>
  <c r="W1013" i="6" s="1"/>
  <c r="BB654" i="6"/>
  <c r="BB657" i="6"/>
  <c r="BB655" i="6"/>
  <c r="AW658" i="6"/>
  <c r="AW659" i="6"/>
  <c r="BG291" i="6"/>
  <c r="BH291" i="6" s="1"/>
  <c r="DA291" i="6"/>
  <c r="BL649" i="6"/>
  <c r="BG653" i="6"/>
  <c r="BG650" i="6"/>
  <c r="BF292" i="6"/>
  <c r="DA292" i="6" s="1"/>
  <c r="BQ187" i="42290"/>
  <c r="E497" i="6"/>
  <c r="H496" i="6"/>
  <c r="AV621" i="6"/>
  <c r="AV620" i="6"/>
  <c r="BJ615" i="6"/>
  <c r="BE616" i="6"/>
  <c r="BE619" i="6"/>
  <c r="AU625" i="6"/>
  <c r="AU624" i="6"/>
  <c r="AV623" i="6"/>
  <c r="AZ620" i="6"/>
  <c r="AZ623" i="6"/>
  <c r="BA623" i="6" s="1"/>
  <c r="AZ621" i="6"/>
  <c r="BM728" i="6"/>
  <c r="BM499" i="6"/>
  <c r="BF702" i="6"/>
  <c r="BF711" i="6" s="1"/>
  <c r="BF713" i="6" s="1"/>
  <c r="BF714" i="6" s="1"/>
  <c r="D47" i="42421" s="1"/>
  <c r="BE545" i="6"/>
  <c r="C52" i="42441"/>
  <c r="G21" i="42441"/>
  <c r="C26" i="42441"/>
  <c r="AI946" i="6"/>
  <c r="AI967" i="6"/>
  <c r="AL967" i="6" s="1"/>
  <c r="CW967" i="6" s="1"/>
  <c r="AN946" i="6"/>
  <c r="D52" i="42448"/>
  <c r="F52" i="42448" s="1"/>
  <c r="G22" i="42448"/>
  <c r="D27" i="42448"/>
  <c r="G21" i="42442"/>
  <c r="D26" i="42442"/>
  <c r="AI56" i="6"/>
  <c r="AL55" i="6"/>
  <c r="AQ57" i="6" s="1"/>
  <c r="CX57" i="6" s="1"/>
  <c r="AI1259" i="6"/>
  <c r="AJ167" i="6"/>
  <c r="AI70" i="6"/>
  <c r="AI113" i="6"/>
  <c r="AK167" i="6"/>
  <c r="AL167" i="6" s="1"/>
  <c r="DB167" i="6" s="1"/>
  <c r="AI57" i="6"/>
  <c r="AI167" i="6"/>
  <c r="BB620" i="6"/>
  <c r="BB621" i="6"/>
  <c r="BB623" i="6"/>
  <c r="AO426" i="6"/>
  <c r="BD501" i="6"/>
  <c r="BD503" i="6"/>
  <c r="BD510" i="6"/>
  <c r="BE510" i="6"/>
  <c r="BE501" i="6"/>
  <c r="BE503" i="6"/>
  <c r="AZ655" i="6"/>
  <c r="AZ654" i="6"/>
  <c r="AZ657" i="6"/>
  <c r="BA657" i="6" s="1"/>
  <c r="AM70" i="6"/>
  <c r="AQ70" i="6" s="1"/>
  <c r="AM113" i="6"/>
  <c r="AM116" i="6" s="1"/>
  <c r="AM118" i="6" s="1"/>
  <c r="AM123" i="6" s="1"/>
  <c r="AM1259" i="6"/>
  <c r="AN1262" i="6" s="1"/>
  <c r="AM56" i="6"/>
  <c r="AR57" i="6"/>
  <c r="AM167" i="6"/>
  <c r="AM57" i="6"/>
  <c r="AW624" i="6"/>
  <c r="AW625" i="6"/>
  <c r="CU945" i="6"/>
  <c r="AB946" i="6"/>
  <c r="CU946" i="6" s="1"/>
  <c r="AG946" i="6"/>
  <c r="CV946" i="6" s="1"/>
  <c r="BH505" i="6"/>
  <c r="BH30" i="6"/>
  <c r="AU658" i="6"/>
  <c r="AU659" i="6"/>
  <c r="AV657" i="6"/>
  <c r="L46" i="42432"/>
  <c r="G46" i="42432"/>
  <c r="BG616" i="6"/>
  <c r="BL615" i="6"/>
  <c r="BG619" i="6"/>
  <c r="BA408" i="6"/>
  <c r="BA426" i="6" s="1"/>
  <c r="CZ426" i="6" s="1"/>
  <c r="AY426" i="6"/>
  <c r="G46" i="42441"/>
  <c r="L46" i="42441"/>
  <c r="AV505" i="6"/>
  <c r="CY505" i="6" s="1"/>
  <c r="CY503" i="6"/>
  <c r="BJ649" i="6"/>
  <c r="BK649" i="6" s="1"/>
  <c r="BE650" i="6"/>
  <c r="BE653" i="6"/>
  <c r="BF653" i="6" s="1"/>
  <c r="AL945" i="6"/>
  <c r="AQ946" i="6" s="1"/>
  <c r="CX946" i="6" s="1"/>
  <c r="AL944" i="6"/>
  <c r="CW944" i="6" s="1"/>
  <c r="CW942" i="6"/>
  <c r="BL505" i="6"/>
  <c r="BL30" i="6"/>
  <c r="AM967" i="6"/>
  <c r="AQ967" i="6" s="1"/>
  <c r="CX967" i="6" s="1"/>
  <c r="AR946" i="6"/>
  <c r="AM946" i="6"/>
  <c r="AV655" i="6"/>
  <c r="AV654" i="6"/>
  <c r="C52" i="42432"/>
  <c r="C26" i="42432"/>
  <c r="BC505" i="6"/>
  <c r="BC30" i="6"/>
  <c r="CX409" i="6"/>
  <c r="AV30" i="6"/>
  <c r="AU33" i="6"/>
  <c r="DC1305" i="6"/>
  <c r="BP1309" i="6"/>
  <c r="DC1309" i="6" s="1"/>
  <c r="AV426" i="6"/>
  <c r="CY426" i="6" s="1"/>
  <c r="AL52" i="6"/>
  <c r="CW52" i="6" s="1"/>
  <c r="CW51" i="6"/>
  <c r="DC429" i="6"/>
  <c r="BP450" i="6"/>
  <c r="DC450" i="6" s="1"/>
  <c r="AZ579" i="6"/>
  <c r="BJ716" i="6"/>
  <c r="BJ717" i="6" s="1"/>
  <c r="BV199" i="42290"/>
  <c r="CC392" i="6"/>
  <c r="CD392" i="6" s="1"/>
  <c r="CE392" i="6" s="1"/>
  <c r="CF392" i="6" s="1"/>
  <c r="CG392" i="6" s="1"/>
  <c r="DG392" i="6"/>
  <c r="H1172" i="6"/>
  <c r="CQ1172" i="6" s="1"/>
  <c r="BE430" i="6"/>
  <c r="AZ472" i="6"/>
  <c r="AY96" i="42290"/>
  <c r="AY98" i="42290" s="1"/>
  <c r="AY100" i="42290" s="1"/>
  <c r="AU489" i="6"/>
  <c r="AU490" i="6" s="1"/>
  <c r="AU468" i="6"/>
  <c r="AU495" i="6"/>
  <c r="AU496" i="6" s="1"/>
  <c r="AU497" i="6" s="1"/>
  <c r="BU208" i="42290"/>
  <c r="BH616" i="6"/>
  <c r="BH619" i="6"/>
  <c r="BM615" i="6"/>
  <c r="BC1175" i="6"/>
  <c r="BB1178" i="6"/>
  <c r="BV181" i="42290"/>
  <c r="BV203" i="42290" s="1"/>
  <c r="BV206" i="42290" s="1"/>
  <c r="BV182" i="42290"/>
  <c r="BV183" i="42290"/>
  <c r="AY585" i="6"/>
  <c r="AY589" i="6" s="1"/>
  <c r="N34" i="42457"/>
  <c r="AY579" i="6"/>
  <c r="BA544" i="6"/>
  <c r="BA545" i="6" s="1"/>
  <c r="AN1261" i="6"/>
  <c r="BF619" i="6"/>
  <c r="BC620" i="6"/>
  <c r="BC621" i="6"/>
  <c r="BC623" i="6"/>
  <c r="BX191" i="42290"/>
  <c r="O1063" i="6"/>
  <c r="N1064" i="6"/>
  <c r="N1066" i="6" s="1"/>
  <c r="BT1188" i="6"/>
  <c r="BY1188" i="6" s="1"/>
  <c r="BP1188" i="6"/>
  <c r="DC1188" i="6" s="1"/>
  <c r="DG1025" i="6"/>
  <c r="CB138" i="6"/>
  <c r="DG138" i="6" s="1"/>
  <c r="CZ1175" i="6"/>
  <c r="BA1178" i="6"/>
  <c r="CZ1178" i="6" s="1"/>
  <c r="CV1200" i="6"/>
  <c r="AG143" i="6"/>
  <c r="CV143" i="6" s="1"/>
  <c r="BG1098" i="6"/>
  <c r="DA1098" i="6"/>
  <c r="BM714" i="6"/>
  <c r="AX716" i="6"/>
  <c r="AX717" i="6" s="1"/>
  <c r="G95" i="6"/>
  <c r="G100" i="6" s="1"/>
  <c r="W1156" i="6"/>
  <c r="CT1156" i="6" s="1"/>
  <c r="AN71" i="6"/>
  <c r="AN80" i="6"/>
  <c r="BE1154" i="6"/>
  <c r="BF1154" i="6" s="1"/>
  <c r="DA1154" i="6" s="1"/>
  <c r="BF617" i="6"/>
  <c r="BF616" i="6"/>
  <c r="BU185" i="42290"/>
  <c r="BU187" i="42290" s="1"/>
  <c r="BW196" i="42290"/>
  <c r="BW195" i="42290"/>
  <c r="BW197" i="42290"/>
  <c r="CX1199" i="6"/>
  <c r="AQ143" i="6"/>
  <c r="CX143" i="6" s="1"/>
  <c r="AM1150" i="6"/>
  <c r="AN1094" i="6"/>
  <c r="AU693" i="6"/>
  <c r="AU597" i="6"/>
  <c r="AW595" i="6"/>
  <c r="BA621" i="6"/>
  <c r="BA620" i="6"/>
  <c r="AS696" i="6"/>
  <c r="O17" i="42457"/>
  <c r="CD65" i="6"/>
  <c r="CC1339" i="6"/>
  <c r="CC1025" i="6"/>
  <c r="CC138" i="6" s="1"/>
  <c r="AS337" i="6"/>
  <c r="BP187" i="42290"/>
  <c r="DB1199" i="6"/>
  <c r="BK143" i="6"/>
  <c r="AT598" i="6"/>
  <c r="AT599" i="6" s="1"/>
  <c r="AT695" i="6"/>
  <c r="AT696" i="6" s="1"/>
  <c r="AX625" i="6"/>
  <c r="AX624" i="6"/>
  <c r="BW171" i="42290"/>
  <c r="AV595" i="6"/>
  <c r="AV597" i="6" s="1"/>
  <c r="AV598" i="6" s="1"/>
  <c r="AV599" i="6" s="1"/>
  <c r="W118" i="6"/>
  <c r="CT118" i="6" s="1"/>
  <c r="AM581" i="6"/>
  <c r="AM716" i="6"/>
  <c r="AM717" i="6" s="1"/>
  <c r="BM649" i="6"/>
  <c r="BH653" i="6"/>
  <c r="BH650" i="6"/>
  <c r="BE1150" i="6"/>
  <c r="BF1150" i="6" s="1"/>
  <c r="DA1150" i="6" s="1"/>
  <c r="BM963" i="6"/>
  <c r="BL965" i="6"/>
  <c r="BT128" i="6"/>
  <c r="CE1158" i="6"/>
  <c r="CF1102" i="6"/>
  <c r="AU74" i="42425"/>
  <c r="AX659" i="6"/>
  <c r="AX658" i="6"/>
  <c r="AV965" i="6"/>
  <c r="CY961" i="6"/>
  <c r="BP128" i="6"/>
  <c r="DC128" i="6" s="1"/>
  <c r="DC39" i="6"/>
  <c r="BG1094" i="6"/>
  <c r="DA1094" i="6"/>
  <c r="DE342" i="6"/>
  <c r="DE27" i="6"/>
  <c r="CA342" i="6"/>
  <c r="W1262" i="6"/>
  <c r="CT1262" i="6" s="1"/>
  <c r="T13" i="42457"/>
  <c r="BA1008" i="6"/>
  <c r="CY1008" i="6"/>
  <c r="BA1351" i="6"/>
  <c r="L50" i="42457"/>
  <c r="BA154" i="6"/>
  <c r="CZ154" i="6" s="1"/>
  <c r="CZ965" i="6"/>
  <c r="BF651" i="6"/>
  <c r="BF650" i="6"/>
  <c r="DB963" i="6"/>
  <c r="BK965" i="6"/>
  <c r="BI878" i="6"/>
  <c r="BI888" i="6" s="1"/>
  <c r="BJ877" i="6"/>
  <c r="DD345" i="6"/>
  <c r="BU346" i="6"/>
  <c r="DD346" i="6" s="1"/>
  <c r="BU347" i="6"/>
  <c r="DD347" i="6" s="1"/>
  <c r="AB477" i="6"/>
  <c r="CU477" i="6" s="1"/>
  <c r="BA655" i="6"/>
  <c r="BA654" i="6"/>
  <c r="BM14" i="6"/>
  <c r="BM29" i="6" s="1"/>
  <c r="BD1224" i="6"/>
  <c r="BD1347" i="6" s="1"/>
  <c r="O13" i="42457"/>
  <c r="AV1207" i="6"/>
  <c r="CY1200" i="6"/>
  <c r="AV143" i="6"/>
  <c r="CY143" i="6" s="1"/>
  <c r="BC655" i="6"/>
  <c r="BC654" i="6"/>
  <c r="BC657" i="6"/>
  <c r="BJ154" i="6"/>
  <c r="U50" i="42457"/>
  <c r="BJ1351" i="6"/>
  <c r="BR482" i="6"/>
  <c r="CD1158" i="6"/>
  <c r="BY204" i="42290"/>
  <c r="BY202" i="42290"/>
  <c r="BP869" i="6"/>
  <c r="DC820" i="6"/>
  <c r="AP80" i="6"/>
  <c r="AP71" i="6"/>
  <c r="CX945" i="6"/>
  <c r="AV946" i="6"/>
  <c r="CY946" i="6" s="1"/>
  <c r="BZ192" i="42290"/>
  <c r="BR782" i="6"/>
  <c r="BQ787" i="6"/>
  <c r="BN803" i="6"/>
  <c r="BN805" i="6"/>
  <c r="BN806" i="6" s="1"/>
  <c r="AC1161" i="6"/>
  <c r="AD1106" i="6"/>
  <c r="AD1161" i="6" s="1"/>
  <c r="BD1220" i="6"/>
  <c r="BD1211" i="6"/>
  <c r="BD82" i="6"/>
  <c r="M473" i="6"/>
  <c r="CR473" i="6" s="1"/>
  <c r="BK187" i="42290"/>
  <c r="BL544" i="6" s="1"/>
  <c r="BL545" i="6" s="1"/>
  <c r="BL187" i="42290"/>
  <c r="BM544" i="6" s="1"/>
  <c r="BM716" i="6" s="1"/>
  <c r="BM717" i="6" s="1"/>
  <c r="AN582" i="6"/>
  <c r="AQ578" i="6"/>
  <c r="AQ579" i="6" s="1"/>
  <c r="BN187" i="42290"/>
  <c r="CS414" i="6"/>
  <c r="BI716" i="6"/>
  <c r="BI717" i="6" s="1"/>
  <c r="AO582" i="6"/>
  <c r="AI493" i="6"/>
  <c r="K289" i="6"/>
  <c r="K294" i="6" s="1"/>
  <c r="K295" i="6" s="1"/>
  <c r="AD489" i="6"/>
  <c r="AI490" i="6" s="1"/>
  <c r="AQ475" i="6"/>
  <c r="CX475" i="6" s="1"/>
  <c r="AT548" i="6"/>
  <c r="AY547" i="6"/>
  <c r="AY705" i="6" s="1"/>
  <c r="AY706" i="6" s="1"/>
  <c r="CV412" i="6"/>
  <c r="O489" i="6"/>
  <c r="O490" i="6" s="1"/>
  <c r="DD414" i="6"/>
  <c r="BB547" i="6"/>
  <c r="AW548" i="6"/>
  <c r="AW551" i="6"/>
  <c r="BJ579" i="6"/>
  <c r="CX410" i="6"/>
  <c r="BC545" i="6"/>
  <c r="BR187" i="42290"/>
  <c r="BU477" i="6"/>
  <c r="DD477" i="6" s="1"/>
  <c r="BZ31" i="42290"/>
  <c r="BZ33" i="42290"/>
  <c r="BZ29" i="42290"/>
  <c r="BZ32" i="42290"/>
  <c r="BZ30" i="42290"/>
  <c r="CA24" i="42290"/>
  <c r="CG433" i="6"/>
  <c r="CB24" i="42290" s="1"/>
  <c r="S489" i="6"/>
  <c r="AT295" i="6"/>
  <c r="CY411" i="6"/>
  <c r="AV474" i="6"/>
  <c r="CY474" i="6" s="1"/>
  <c r="BC493" i="6"/>
  <c r="BD716" i="6"/>
  <c r="BD717" i="6" s="1"/>
  <c r="BK578" i="6"/>
  <c r="BK579" i="6" s="1"/>
  <c r="L96" i="42290"/>
  <c r="L98" i="42290" s="1"/>
  <c r="L100" i="42290" s="1"/>
  <c r="BA578" i="6"/>
  <c r="BA579" i="6" s="1"/>
  <c r="AK282" i="42290"/>
  <c r="BF544" i="6"/>
  <c r="BF545" i="6" s="1"/>
  <c r="AG477" i="6"/>
  <c r="CV477" i="6" s="1"/>
  <c r="CV414" i="6"/>
  <c r="CC393" i="6"/>
  <c r="CD393" i="6" s="1"/>
  <c r="CE393" i="6" s="1"/>
  <c r="CF393" i="6" s="1"/>
  <c r="CG393" i="6" s="1"/>
  <c r="DG393" i="6"/>
  <c r="AV476" i="6"/>
  <c r="CY476" i="6" s="1"/>
  <c r="CY413" i="6"/>
  <c r="AP39" i="42290"/>
  <c r="BH579" i="6"/>
  <c r="AG409" i="6"/>
  <c r="CV409" i="6" s="1"/>
  <c r="AE430" i="6"/>
  <c r="AL473" i="6"/>
  <c r="CW473" i="6" s="1"/>
  <c r="CW410" i="6"/>
  <c r="N495" i="6"/>
  <c r="N468" i="6"/>
  <c r="R447" i="6"/>
  <c r="AL282" i="42290"/>
  <c r="AL288" i="42290" s="1"/>
  <c r="AQ283" i="42290"/>
  <c r="AT282" i="42290"/>
  <c r="AT288" i="42290" s="1"/>
  <c r="AY283" i="42290"/>
  <c r="R473" i="6"/>
  <c r="CS473" i="6" s="1"/>
  <c r="CS410" i="6"/>
  <c r="BH367" i="6"/>
  <c r="BU369" i="6"/>
  <c r="BT411" i="6"/>
  <c r="BT474" i="6" s="1"/>
  <c r="J496" i="6"/>
  <c r="K495" i="6"/>
  <c r="K496" i="6" s="1"/>
  <c r="K497" i="6" s="1"/>
  <c r="K468" i="6"/>
  <c r="D38" i="42453"/>
  <c r="AE358" i="6"/>
  <c r="AE360" i="6" s="1"/>
  <c r="AE492" i="6" s="1"/>
  <c r="AD468" i="6"/>
  <c r="AD495" i="6"/>
  <c r="AD496" i="6" s="1"/>
  <c r="AD497" i="6" s="1"/>
  <c r="CT410" i="6"/>
  <c r="W473" i="6"/>
  <c r="CT473" i="6" s="1"/>
  <c r="AL476" i="6"/>
  <c r="CW476" i="6" s="1"/>
  <c r="CW413" i="6"/>
  <c r="Q96" i="42290"/>
  <c r="Q98" i="42290" s="1"/>
  <c r="Q100" i="42290" s="1"/>
  <c r="Q261" i="42290" s="1"/>
  <c r="CS430" i="6"/>
  <c r="R451" i="6"/>
  <c r="CS451" i="6" s="1"/>
  <c r="CR412" i="6"/>
  <c r="M475" i="6"/>
  <c r="CR475" i="6" s="1"/>
  <c r="N475" i="6"/>
  <c r="AY358" i="6"/>
  <c r="N489" i="6"/>
  <c r="N490" i="6" s="1"/>
  <c r="AY471" i="6"/>
  <c r="AC497" i="6"/>
  <c r="AH513" i="6"/>
  <c r="AH1188" i="6" s="1"/>
  <c r="AH1190" i="6" s="1"/>
  <c r="AB295" i="6"/>
  <c r="CU295" i="6" s="1"/>
  <c r="M447" i="6"/>
  <c r="AJ430" i="6"/>
  <c r="AL409" i="6"/>
  <c r="M477" i="6"/>
  <c r="CR477" i="6" s="1"/>
  <c r="CR414" i="6"/>
  <c r="CY294" i="6"/>
  <c r="BA295" i="6"/>
  <c r="CZ295" i="6" s="1"/>
  <c r="O468" i="6"/>
  <c r="O495" i="6"/>
  <c r="O496" i="6" s="1"/>
  <c r="O497" i="6" s="1"/>
  <c r="CZ408" i="6"/>
  <c r="AX295" i="6"/>
  <c r="AS295" i="6"/>
  <c r="P495" i="6"/>
  <c r="P496" i="6" s="1"/>
  <c r="P497" i="6" s="1"/>
  <c r="P468" i="6"/>
  <c r="AW589" i="6"/>
  <c r="AG473" i="6"/>
  <c r="CV473" i="6" s="1"/>
  <c r="CV410" i="6"/>
  <c r="J295" i="6"/>
  <c r="O295" i="6"/>
  <c r="U475" i="6"/>
  <c r="W412" i="6"/>
  <c r="CU410" i="6"/>
  <c r="AB473" i="6"/>
  <c r="CU473" i="6" s="1"/>
  <c r="R261" i="42290"/>
  <c r="V96" i="42290"/>
  <c r="V98" i="42290" s="1"/>
  <c r="V100" i="42290" s="1"/>
  <c r="V261" i="42290" s="1"/>
  <c r="E6" i="42425"/>
  <c r="AB451" i="6"/>
  <c r="CU451" i="6" s="1"/>
  <c r="CT430" i="6"/>
  <c r="W451" i="6"/>
  <c r="CT451" i="6" s="1"/>
  <c r="AR489" i="6"/>
  <c r="AR490" i="6" s="1"/>
  <c r="AR495" i="6"/>
  <c r="AR496" i="6" s="1"/>
  <c r="AR497" i="6" s="1"/>
  <c r="AR468" i="6"/>
  <c r="P474" i="6"/>
  <c r="P426" i="6"/>
  <c r="P489" i="6" s="1"/>
  <c r="R411" i="6"/>
  <c r="AT749" i="6"/>
  <c r="AT751" i="6" s="1"/>
  <c r="AT358" i="6"/>
  <c r="AU360" i="6" s="1"/>
  <c r="AU492" i="6" s="1"/>
  <c r="AM513" i="6"/>
  <c r="AM1188" i="6" s="1"/>
  <c r="AM1190" i="6" s="1"/>
  <c r="M224" i="6"/>
  <c r="L224" i="6"/>
  <c r="L229" i="6" s="1"/>
  <c r="L230" i="6" s="1"/>
  <c r="K224" i="6"/>
  <c r="K229" i="6" s="1"/>
  <c r="K230" i="6" s="1"/>
  <c r="AJ474" i="6"/>
  <c r="AJ426" i="6"/>
  <c r="BJ86" i="6"/>
  <c r="BJ1013" i="6"/>
  <c r="F11" i="42464"/>
  <c r="F14" i="42464" s="1"/>
  <c r="BB430" i="6"/>
  <c r="AW472" i="6"/>
  <c r="AV96" i="42290"/>
  <c r="AV98" i="42290" s="1"/>
  <c r="AV100" i="42290" s="1"/>
  <c r="AV261" i="42290" s="1"/>
  <c r="P358" i="6"/>
  <c r="R360" i="6" s="1"/>
  <c r="P750" i="6"/>
  <c r="P751" i="6" s="1"/>
  <c r="T495" i="6"/>
  <c r="T496" i="6" s="1"/>
  <c r="T497" i="6" s="1"/>
  <c r="T468" i="6"/>
  <c r="Y468" i="6"/>
  <c r="DA387" i="6"/>
  <c r="BG387" i="6"/>
  <c r="O360" i="6"/>
  <c r="O492" i="6" s="1"/>
  <c r="CT414" i="6"/>
  <c r="W477" i="6"/>
  <c r="CT477" i="6" s="1"/>
  <c r="CW411" i="6"/>
  <c r="AL474" i="6"/>
  <c r="CW474" i="6" s="1"/>
  <c r="S468" i="6"/>
  <c r="S495" i="6"/>
  <c r="X468" i="6"/>
  <c r="W447" i="6"/>
  <c r="CW336" i="6"/>
  <c r="AL337" i="6"/>
  <c r="CW337" i="6" s="1"/>
  <c r="Z468" i="6"/>
  <c r="U468" i="6"/>
  <c r="U495" i="6"/>
  <c r="U496" i="6" s="1"/>
  <c r="U497" i="6" s="1"/>
  <c r="BE750" i="6"/>
  <c r="P476" i="6"/>
  <c r="R413" i="6"/>
  <c r="CC391" i="6"/>
  <c r="CD391" i="6" s="1"/>
  <c r="CE391" i="6" s="1"/>
  <c r="CF391" i="6" s="1"/>
  <c r="CG391" i="6" s="1"/>
  <c r="DG391" i="6"/>
  <c r="AJ358" i="6"/>
  <c r="AJ750" i="6"/>
  <c r="AJ751" i="6" s="1"/>
  <c r="AS360" i="6"/>
  <c r="AS492" i="6" s="1"/>
  <c r="AX493" i="6" s="1"/>
  <c r="CX331" i="6"/>
  <c r="AW582" i="6"/>
  <c r="BB581" i="6"/>
  <c r="AT337" i="6"/>
  <c r="BU412" i="6"/>
  <c r="K476" i="6"/>
  <c r="M413" i="6"/>
  <c r="K426" i="6"/>
  <c r="K489" i="6" s="1"/>
  <c r="BF366" i="6"/>
  <c r="BE408" i="6"/>
  <c r="J490" i="6"/>
  <c r="AN493" i="6"/>
  <c r="BU410" i="6"/>
  <c r="DD410" i="6" s="1"/>
  <c r="AE476" i="6"/>
  <c r="AE426" i="6"/>
  <c r="AG413" i="6"/>
  <c r="BD358" i="6"/>
  <c r="BD360" i="6" s="1"/>
  <c r="BD492" i="6" s="1"/>
  <c r="BD749" i="6"/>
  <c r="BD751" i="6" s="1"/>
  <c r="AQ411" i="6"/>
  <c r="AQ426" i="6" s="1"/>
  <c r="AO474" i="6"/>
  <c r="K358" i="6"/>
  <c r="L360" i="6" s="1"/>
  <c r="L492" i="6" s="1"/>
  <c r="K749" i="6"/>
  <c r="K751" i="6" s="1"/>
  <c r="BD471" i="6"/>
  <c r="J360" i="6"/>
  <c r="J492" i="6" s="1"/>
  <c r="CX336" i="6"/>
  <c r="AQ337" i="6"/>
  <c r="CX337" i="6" s="1"/>
  <c r="AV337" i="6"/>
  <c r="CY337" i="6" s="1"/>
  <c r="AO749" i="6"/>
  <c r="AO751" i="6" s="1"/>
  <c r="AO358" i="6"/>
  <c r="DD370" i="6"/>
  <c r="G11" i="42464"/>
  <c r="AA1151" i="6"/>
  <c r="AB1151" i="6" s="1"/>
  <c r="CU1151" i="6" s="1"/>
  <c r="DC821" i="6"/>
  <c r="BP823" i="6"/>
  <c r="DC796" i="6"/>
  <c r="BP797" i="6"/>
  <c r="DC797" i="6" s="1"/>
  <c r="BD1151" i="6"/>
  <c r="BE1095" i="6"/>
  <c r="BQ788" i="6"/>
  <c r="BQ785" i="6"/>
  <c r="BR783" i="6"/>
  <c r="CG1016" i="6"/>
  <c r="CG141" i="6" s="1"/>
  <c r="CF141" i="6"/>
  <c r="DC800" i="6"/>
  <c r="BP802" i="6"/>
  <c r="DD368" i="6"/>
  <c r="BT1155" i="6"/>
  <c r="BU1155" i="6" s="1"/>
  <c r="DD1155" i="6" s="1"/>
  <c r="AS282" i="42290"/>
  <c r="AX283" i="42290"/>
  <c r="L1155" i="6"/>
  <c r="M1155" i="6" s="1"/>
  <c r="CR1155" i="6" s="1"/>
  <c r="BZ178" i="42290"/>
  <c r="AO1261" i="6"/>
  <c r="AC1095" i="6"/>
  <c r="AD1151" i="6" s="1"/>
  <c r="CU1095" i="6"/>
  <c r="AF286" i="42290"/>
  <c r="AF294" i="42290"/>
  <c r="AK1347" i="6"/>
  <c r="AL1224" i="6"/>
  <c r="AK1170" i="6"/>
  <c r="AL1151" i="6"/>
  <c r="AW334" i="6"/>
  <c r="AW753" i="6"/>
  <c r="AX333" i="6"/>
  <c r="AX334" i="6" s="1"/>
  <c r="HN830" i="42425"/>
  <c r="HM830" i="42425"/>
  <c r="AI294" i="42290"/>
  <c r="AK288" i="42290"/>
  <c r="AK294" i="42290" s="1"/>
  <c r="V910" i="6"/>
  <c r="W909" i="6"/>
  <c r="CX52" i="6"/>
  <c r="B47" i="42434"/>
  <c r="AA125" i="42434" s="1"/>
  <c r="G9" i="42457"/>
  <c r="B46" i="42457"/>
  <c r="AA124" i="42434"/>
  <c r="E46" i="42434"/>
  <c r="AD124" i="42434" s="1"/>
  <c r="AD125" i="42434" s="1"/>
  <c r="AN1154" i="6"/>
  <c r="AO1098" i="6"/>
  <c r="AS753" i="6"/>
  <c r="AT333" i="6"/>
  <c r="AT334" i="6" s="1"/>
  <c r="AP334" i="6"/>
  <c r="AO753" i="6"/>
  <c r="F11" i="42454"/>
  <c r="F14" i="42454" s="1"/>
  <c r="C14" i="42454"/>
  <c r="L11" i="42454"/>
  <c r="K11" i="42454"/>
  <c r="K14" i="42454" s="1"/>
  <c r="T20" i="42454"/>
  <c r="R11" i="42454"/>
  <c r="AW21" i="6"/>
  <c r="BB23" i="6" s="1"/>
  <c r="AW53" i="6"/>
  <c r="D26" i="42464"/>
  <c r="D50" i="42464"/>
  <c r="AN288" i="42290"/>
  <c r="CR1099" i="6"/>
  <c r="N1099" i="6"/>
  <c r="CB170" i="42290"/>
  <c r="CA176" i="42290"/>
  <c r="CA175" i="42290"/>
  <c r="CA174" i="42290"/>
  <c r="DA865" i="6"/>
  <c r="BF870" i="6"/>
  <c r="AO116" i="6"/>
  <c r="AO80" i="6"/>
  <c r="AO71" i="6"/>
  <c r="AE921" i="6"/>
  <c r="AD295" i="42290"/>
  <c r="AD296" i="42290"/>
  <c r="CW1095" i="6"/>
  <c r="AM1095" i="6"/>
  <c r="BB288" i="42290"/>
  <c r="CT921" i="6"/>
  <c r="CX55" i="6"/>
  <c r="B49" i="42434"/>
  <c r="B12" i="42457"/>
  <c r="AQ56" i="6"/>
  <c r="AV57" i="6"/>
  <c r="CY57" i="6" s="1"/>
  <c r="AO334" i="6"/>
  <c r="DD1099" i="6"/>
  <c r="DG1057" i="6"/>
  <c r="CC1057" i="6"/>
  <c r="CD1057" i="6" s="1"/>
  <c r="CE1057" i="6" s="1"/>
  <c r="CF1057" i="6" s="1"/>
  <c r="CG1057" i="6" s="1"/>
  <c r="DD1076" i="6"/>
  <c r="DD1079" i="6"/>
  <c r="BE14" i="6"/>
  <c r="BE728" i="6"/>
  <c r="BE714" i="6"/>
  <c r="BM680" i="6"/>
  <c r="BM674" i="6"/>
  <c r="BM684" i="6"/>
  <c r="BM687" i="6"/>
  <c r="BH16" i="6"/>
  <c r="EE611" i="42458" s="1"/>
  <c r="EE613" i="42458" s="1"/>
  <c r="BH29" i="6"/>
  <c r="BH33" i="6" s="1"/>
  <c r="C11" i="42474"/>
  <c r="BI711" i="6"/>
  <c r="BI713" i="6" s="1"/>
  <c r="BI499" i="6" s="1"/>
  <c r="BD728" i="6"/>
  <c r="BD14" i="6"/>
  <c r="BD714" i="6"/>
  <c r="DD413" i="6"/>
  <c r="BU476" i="6"/>
  <c r="DD476" i="6" s="1"/>
  <c r="BH689" i="6"/>
  <c r="BH688" i="6"/>
  <c r="BD688" i="6"/>
  <c r="BD689" i="6"/>
  <c r="BE684" i="6"/>
  <c r="BE687" i="6"/>
  <c r="BE680" i="6"/>
  <c r="BE674" i="6"/>
  <c r="BC29" i="6"/>
  <c r="BC16" i="6"/>
  <c r="DZ611" i="42458" s="1"/>
  <c r="DZ613" i="42458" s="1"/>
  <c r="C11" i="42467"/>
  <c r="D11" i="42474"/>
  <c r="BI684" i="6"/>
  <c r="BI687" i="6"/>
  <c r="BI680" i="6"/>
  <c r="BI674" i="6"/>
  <c r="BF680" i="6"/>
  <c r="BF684" i="6"/>
  <c r="BF674" i="6"/>
  <c r="CC389" i="6"/>
  <c r="CD389" i="6" s="1"/>
  <c r="CE389" i="6" s="1"/>
  <c r="CF389" i="6" s="1"/>
  <c r="CG389" i="6" s="1"/>
  <c r="DG389" i="6"/>
  <c r="BJ672" i="6"/>
  <c r="BJ702" i="6"/>
  <c r="BJ711" i="6" s="1"/>
  <c r="BJ713" i="6" s="1"/>
  <c r="BJ499" i="6" s="1"/>
  <c r="L50" i="42428"/>
  <c r="K50" i="42428"/>
  <c r="L32" i="42428"/>
  <c r="L35" i="42428" s="1"/>
  <c r="C35" i="42428"/>
  <c r="K32" i="42428"/>
  <c r="K35" i="42428" s="1"/>
  <c r="CD78" i="6"/>
  <c r="CC87" i="6"/>
  <c r="DG87" i="6"/>
  <c r="CB1335" i="6"/>
  <c r="CB1336" i="6" s="1"/>
  <c r="CB1343" i="6"/>
  <c r="CU80" i="6"/>
  <c r="AB1220" i="6"/>
  <c r="Y84" i="6"/>
  <c r="Y88" i="6"/>
  <c r="Y103" i="6"/>
  <c r="K88" i="6"/>
  <c r="K84" i="6"/>
  <c r="K103" i="6"/>
  <c r="R17" i="42457"/>
  <c r="T103" i="6"/>
  <c r="T84" i="6"/>
  <c r="T88" i="6"/>
  <c r="G32" i="42447"/>
  <c r="G35" i="42447" s="1"/>
  <c r="G38" i="42447" s="1"/>
  <c r="F32" i="42447"/>
  <c r="F35" i="42447" s="1"/>
  <c r="F38" i="42447" s="1"/>
  <c r="D35" i="42447"/>
  <c r="D38" i="42447" s="1"/>
  <c r="AW103" i="6"/>
  <c r="AW1215" i="6"/>
  <c r="AW1218" i="6" s="1"/>
  <c r="AX1214" i="6" s="1"/>
  <c r="AX1216" i="6" s="1"/>
  <c r="AW84" i="6"/>
  <c r="C39" i="42459"/>
  <c r="C42" i="42459" s="1"/>
  <c r="K36" i="42459"/>
  <c r="K39" i="42459" s="1"/>
  <c r="K42" i="42459" s="1"/>
  <c r="L36" i="42459"/>
  <c r="L39" i="42459" s="1"/>
  <c r="L42" i="42459" s="1"/>
  <c r="AY84" i="6"/>
  <c r="AY1215" i="6"/>
  <c r="AY103" i="6"/>
  <c r="D36" i="42432"/>
  <c r="D39" i="42432" s="1"/>
  <c r="BW137" i="42290"/>
  <c r="BX132" i="42290"/>
  <c r="BX129" i="42290"/>
  <c r="BX134" i="42290"/>
  <c r="BX133" i="42290"/>
  <c r="BX131" i="42290"/>
  <c r="BX130" i="42290"/>
  <c r="BX135" i="42290"/>
  <c r="BY124" i="42290"/>
  <c r="BW63" i="42290"/>
  <c r="BW67" i="42290" s="1"/>
  <c r="BW70" i="42290" s="1"/>
  <c r="DG435" i="6"/>
  <c r="CC435" i="6"/>
  <c r="CD108" i="6"/>
  <c r="CE54" i="6"/>
  <c r="BB1286" i="6"/>
  <c r="BB1289" i="6" s="1"/>
  <c r="BB1290" i="6" s="1"/>
  <c r="AT90" i="6"/>
  <c r="AT91" i="6"/>
  <c r="AT88" i="6"/>
  <c r="AT1332" i="6"/>
  <c r="BG35" i="6"/>
  <c r="L100" i="42458"/>
  <c r="AX118" i="6"/>
  <c r="BA116" i="6"/>
  <c r="CZ116" i="6" s="1"/>
  <c r="AR84" i="6"/>
  <c r="AR103" i="6"/>
  <c r="AA84" i="6"/>
  <c r="AA103" i="6"/>
  <c r="AA87" i="6" s="1"/>
  <c r="AY1286" i="6"/>
  <c r="AY1289" i="6" s="1"/>
  <c r="AY1290" i="6" s="1"/>
  <c r="AY1281" i="6"/>
  <c r="AY1282" i="6" s="1"/>
  <c r="D35" i="42451"/>
  <c r="D38" i="42451" s="1"/>
  <c r="G32" i="42451"/>
  <c r="G35" i="42451" s="1"/>
  <c r="G38" i="42451" s="1"/>
  <c r="F32" i="42451"/>
  <c r="F35" i="42451" s="1"/>
  <c r="F38" i="42451" s="1"/>
  <c r="BB84" i="6"/>
  <c r="BB1215" i="6"/>
  <c r="AX1211" i="6"/>
  <c r="AX1220" i="6"/>
  <c r="AX82" i="6"/>
  <c r="BA80" i="6"/>
  <c r="D40" i="42471"/>
  <c r="D43" i="42471" s="1"/>
  <c r="BI86" i="6"/>
  <c r="BI1013" i="6"/>
  <c r="AX1286" i="6"/>
  <c r="AX1289" i="6" s="1"/>
  <c r="AX1290" i="6" s="1"/>
  <c r="AX1281" i="6"/>
  <c r="AX1282" i="6" s="1"/>
  <c r="F50" i="42428"/>
  <c r="G50" i="42428"/>
  <c r="D35" i="42428"/>
  <c r="F32" i="42428"/>
  <c r="F35" i="42428" s="1"/>
  <c r="G32" i="42428"/>
  <c r="G35" i="42428" s="1"/>
  <c r="AU84" i="6"/>
  <c r="AU103" i="6"/>
  <c r="D39" i="42459"/>
  <c r="D42" i="42459" s="1"/>
  <c r="F36" i="42459"/>
  <c r="F39" i="42459" s="1"/>
  <c r="F42" i="42459" s="1"/>
  <c r="G36" i="42459"/>
  <c r="G39" i="42459" s="1"/>
  <c r="G42" i="42459" s="1"/>
  <c r="AZ1286" i="6"/>
  <c r="AZ1289" i="6" s="1"/>
  <c r="AZ1290" i="6" s="1"/>
  <c r="AZ1281" i="6"/>
  <c r="AZ1282" i="6" s="1"/>
  <c r="AS103" i="6"/>
  <c r="AS84" i="6"/>
  <c r="AV82" i="6"/>
  <c r="K33" i="42440"/>
  <c r="K36" i="42440" s="1"/>
  <c r="K39" i="42440" s="1"/>
  <c r="G33" i="42440"/>
  <c r="G36" i="42440" s="1"/>
  <c r="G39" i="42440" s="1"/>
  <c r="F33" i="42440"/>
  <c r="F36" i="42440" s="1"/>
  <c r="F39" i="42440" s="1"/>
  <c r="C36" i="42440"/>
  <c r="C39" i="42440" s="1"/>
  <c r="L33" i="42440"/>
  <c r="L36" i="42440" s="1"/>
  <c r="L39" i="42440" s="1"/>
  <c r="P86" i="6"/>
  <c r="P90" i="6"/>
  <c r="P91" i="6"/>
  <c r="P1013" i="6"/>
  <c r="P1028" i="6" s="1"/>
  <c r="P1046" i="6" s="1"/>
  <c r="P1332" i="6"/>
  <c r="AS123" i="6"/>
  <c r="AW1263" i="6" s="1"/>
  <c r="AV118" i="6"/>
  <c r="CY118" i="6" s="1"/>
  <c r="D103" i="6"/>
  <c r="D88" i="6"/>
  <c r="D84" i="6"/>
  <c r="H82" i="6"/>
  <c r="L37" i="42464"/>
  <c r="L40" i="42464" s="1"/>
  <c r="L43" i="42464" s="1"/>
  <c r="C40" i="42464"/>
  <c r="C43" i="42464" s="1"/>
  <c r="G37" i="42464"/>
  <c r="G40" i="42464" s="1"/>
  <c r="G43" i="42464" s="1"/>
  <c r="F37" i="42464"/>
  <c r="F40" i="42464" s="1"/>
  <c r="F43" i="42464" s="1"/>
  <c r="K37" i="42464"/>
  <c r="K40" i="42464" s="1"/>
  <c r="K43" i="42464" s="1"/>
  <c r="F55" i="42440"/>
  <c r="K55" i="42440"/>
  <c r="G55" i="42440"/>
  <c r="L55" i="42440"/>
  <c r="K37" i="42467"/>
  <c r="K40" i="42467" s="1"/>
  <c r="K43" i="42467" s="1"/>
  <c r="C40" i="42467"/>
  <c r="C43" i="42467" s="1"/>
  <c r="L37" i="42467"/>
  <c r="L40" i="42467" s="1"/>
  <c r="L43" i="42467" s="1"/>
  <c r="AK84" i="6"/>
  <c r="AK103" i="6"/>
  <c r="L40" i="42428"/>
  <c r="K40" i="42428"/>
  <c r="D39" i="42455"/>
  <c r="D42" i="42455" s="1"/>
  <c r="G36" i="42455"/>
  <c r="G39" i="42455" s="1"/>
  <c r="G42" i="42455" s="1"/>
  <c r="F36" i="42455"/>
  <c r="F39" i="42455" s="1"/>
  <c r="F42" i="42455" s="1"/>
  <c r="X88" i="6"/>
  <c r="X84" i="6"/>
  <c r="X103" i="6"/>
  <c r="F88" i="6"/>
  <c r="F103" i="6"/>
  <c r="F84" i="6"/>
  <c r="AF94" i="6"/>
  <c r="AF135" i="6"/>
  <c r="AF144" i="6" s="1"/>
  <c r="AF160" i="6" s="1"/>
  <c r="AF161" i="6" s="1"/>
  <c r="D41" i="42440"/>
  <c r="AF95" i="6"/>
  <c r="E135" i="6"/>
  <c r="E144" i="6" s="1"/>
  <c r="E151" i="6" s="1"/>
  <c r="E95" i="6"/>
  <c r="E100" i="6" s="1"/>
  <c r="E94" i="6"/>
  <c r="L37" i="42468"/>
  <c r="L40" i="42468" s="1"/>
  <c r="L43" i="42468" s="1"/>
  <c r="G37" i="42468"/>
  <c r="G40" i="42468" s="1"/>
  <c r="G43" i="42468" s="1"/>
  <c r="C40" i="42468"/>
  <c r="C43" i="42468" s="1"/>
  <c r="K37" i="42468"/>
  <c r="K40" i="42468" s="1"/>
  <c r="K43" i="42468" s="1"/>
  <c r="F37" i="42468"/>
  <c r="F40" i="42468" s="1"/>
  <c r="F43" i="42468" s="1"/>
  <c r="CQ116" i="6"/>
  <c r="H1262" i="6"/>
  <c r="CQ1262" i="6" s="1"/>
  <c r="H118" i="6"/>
  <c r="CQ118" i="6" s="1"/>
  <c r="F37" i="42467"/>
  <c r="F40" i="42467" s="1"/>
  <c r="F43" i="42467" s="1"/>
  <c r="AH90" i="6"/>
  <c r="AH91" i="6"/>
  <c r="AH88" i="6"/>
  <c r="AH1332" i="6"/>
  <c r="P94" i="6"/>
  <c r="P135" i="6"/>
  <c r="P144" i="6" s="1"/>
  <c r="P95" i="6"/>
  <c r="P100" i="6" s="1"/>
  <c r="CV87" i="6"/>
  <c r="AG1343" i="6"/>
  <c r="H35" i="42453"/>
  <c r="AG1335" i="6"/>
  <c r="AG1336" i="6" s="1"/>
  <c r="E90" i="6"/>
  <c r="E91" i="6"/>
  <c r="E1332" i="6"/>
  <c r="E86" i="6"/>
  <c r="E1013" i="6"/>
  <c r="E1028" i="6" s="1"/>
  <c r="E1046" i="6" s="1"/>
  <c r="AE100" i="6"/>
  <c r="D43" i="42437"/>
  <c r="AB82" i="6"/>
  <c r="CU82" i="6" s="1"/>
  <c r="H1211" i="6"/>
  <c r="CQ1211" i="6" s="1"/>
  <c r="CQ80" i="6"/>
  <c r="H1220" i="6"/>
  <c r="C37" i="42452"/>
  <c r="C40" i="42452" s="1"/>
  <c r="K34" i="42452"/>
  <c r="K37" i="42452" s="1"/>
  <c r="K40" i="42452" s="1"/>
  <c r="G34" i="42452"/>
  <c r="G37" i="42452" s="1"/>
  <c r="G40" i="42452" s="1"/>
  <c r="L34" i="42452"/>
  <c r="L37" i="42452" s="1"/>
  <c r="L40" i="42452" s="1"/>
  <c r="F34" i="42452"/>
  <c r="F37" i="42452" s="1"/>
  <c r="F40" i="42452" s="1"/>
  <c r="S135" i="6"/>
  <c r="S144" i="6" s="1"/>
  <c r="S94" i="6"/>
  <c r="S96" i="6" s="1"/>
  <c r="S95" i="6"/>
  <c r="S100" i="6" s="1"/>
  <c r="D37" i="42428"/>
  <c r="AC94" i="6"/>
  <c r="AC135" i="6"/>
  <c r="AC144" i="6" s="1"/>
  <c r="AC95" i="6"/>
  <c r="U95" i="6"/>
  <c r="U100" i="6" s="1"/>
  <c r="U94" i="6"/>
  <c r="U135" i="6"/>
  <c r="U144" i="6" s="1"/>
  <c r="D39" i="42461"/>
  <c r="D42" i="42461" s="1"/>
  <c r="G36" i="42461"/>
  <c r="G39" i="42461" s="1"/>
  <c r="G42" i="42461" s="1"/>
  <c r="F36" i="42461"/>
  <c r="F39" i="42461" s="1"/>
  <c r="F42" i="42461" s="1"/>
  <c r="U1013" i="6"/>
  <c r="U1028" i="6" s="1"/>
  <c r="U1332" i="6"/>
  <c r="U91" i="6"/>
  <c r="U86" i="6"/>
  <c r="U90" i="6"/>
  <c r="Q95" i="6"/>
  <c r="Q100" i="6" s="1"/>
  <c r="Q94" i="6"/>
  <c r="Q135" i="6"/>
  <c r="Q144" i="6" s="1"/>
  <c r="AC90" i="6"/>
  <c r="AC86" i="6"/>
  <c r="AC91" i="6"/>
  <c r="AC1013" i="6"/>
  <c r="AC1028" i="6" s="1"/>
  <c r="AC1046" i="6" s="1"/>
  <c r="AC1332" i="6"/>
  <c r="L91" i="6"/>
  <c r="L1332" i="6"/>
  <c r="L86" i="6"/>
  <c r="L1013" i="6"/>
  <c r="L1028" i="6" s="1"/>
  <c r="L1046" i="6" s="1"/>
  <c r="L90" i="6"/>
  <c r="L92" i="6" s="1"/>
  <c r="S86" i="6"/>
  <c r="S90" i="6"/>
  <c r="S92" i="6" s="1"/>
  <c r="S1332" i="6"/>
  <c r="S1013" i="6"/>
  <c r="S91" i="6"/>
  <c r="Q86" i="6"/>
  <c r="Q90" i="6"/>
  <c r="Q1013" i="6"/>
  <c r="Q1028" i="6" s="1"/>
  <c r="Q1046" i="6" s="1"/>
  <c r="Q1332" i="6"/>
  <c r="Q91" i="6"/>
  <c r="L94" i="6"/>
  <c r="L96" i="6" s="1"/>
  <c r="L95" i="6"/>
  <c r="L100" i="6" s="1"/>
  <c r="L135" i="6"/>
  <c r="L144" i="6" s="1"/>
  <c r="F40" i="42428"/>
  <c r="G40" i="42428"/>
  <c r="BF1149" i="6"/>
  <c r="AD295" i="6"/>
  <c r="AI295" i="6"/>
  <c r="AY750" i="6"/>
  <c r="BA694" i="6"/>
  <c r="BA750" i="6" s="1"/>
  <c r="CG851" i="6"/>
  <c r="M80" i="6"/>
  <c r="CR70" i="6"/>
  <c r="M71" i="6"/>
  <c r="CR71" i="6" s="1"/>
  <c r="DD10" i="6"/>
  <c r="R922" i="6"/>
  <c r="CS922" i="6" s="1"/>
  <c r="CS921" i="6"/>
  <c r="BS127" i="6"/>
  <c r="AL302" i="6"/>
  <c r="AM301" i="6"/>
  <c r="AM303" i="6" s="1"/>
  <c r="CW167" i="6"/>
  <c r="CB1035" i="6"/>
  <c r="DG1035" i="6" s="1"/>
  <c r="DG1032" i="6"/>
  <c r="BI286" i="6"/>
  <c r="BH288" i="6"/>
  <c r="BH289" i="6" s="1"/>
  <c r="BH294" i="6" s="1"/>
  <c r="BH295" i="6" s="1"/>
  <c r="BT38" i="6"/>
  <c r="BT311" i="6"/>
  <c r="BT312" i="6"/>
  <c r="BR1165" i="6"/>
  <c r="BR1273" i="6" s="1"/>
  <c r="AE288" i="6"/>
  <c r="AF289" i="6" s="1"/>
  <c r="AF294" i="6" s="1"/>
  <c r="AE749" i="6"/>
  <c r="AE751" i="6" s="1"/>
  <c r="AR96" i="42290"/>
  <c r="AR98" i="42290" s="1"/>
  <c r="AR100" i="42290" s="1"/>
  <c r="AR261" i="42290" s="1"/>
  <c r="AS472" i="6"/>
  <c r="AX430" i="6"/>
  <c r="AX447" i="6" s="1"/>
  <c r="CF140" i="6"/>
  <c r="CG1015" i="6"/>
  <c r="CG140" i="6" s="1"/>
  <c r="W295" i="42290"/>
  <c r="W296" i="42290"/>
  <c r="X921" i="6"/>
  <c r="Z296" i="42290"/>
  <c r="Z295" i="42290"/>
  <c r="AA921" i="6"/>
  <c r="T476" i="6"/>
  <c r="T426" i="6"/>
  <c r="T489" i="6" s="1"/>
  <c r="Q1097" i="6"/>
  <c r="R1097" i="6" s="1"/>
  <c r="O94" i="6"/>
  <c r="O135" i="6"/>
  <c r="O95" i="6"/>
  <c r="O100" i="6" s="1"/>
  <c r="P169" i="6"/>
  <c r="P175" i="6" s="1"/>
  <c r="S169" i="6"/>
  <c r="S175" i="6" s="1"/>
  <c r="Q169" i="6"/>
  <c r="R88" i="6"/>
  <c r="BC667" i="6"/>
  <c r="AX667" i="6"/>
  <c r="L17" i="42457"/>
  <c r="Q910" i="6"/>
  <c r="V911" i="6"/>
  <c r="W1332" i="6"/>
  <c r="CT1332" i="6" s="1"/>
  <c r="BH142" i="42290"/>
  <c r="BH144" i="42290" s="1"/>
  <c r="BM125" i="42290"/>
  <c r="AS45" i="42416"/>
  <c r="AS46" i="42416" s="1"/>
  <c r="CF1164" i="6"/>
  <c r="CF941" i="6"/>
  <c r="CF1140" i="6"/>
  <c r="CF1142" i="6"/>
  <c r="CF1139" i="6"/>
  <c r="CG1135" i="6"/>
  <c r="CE1198" i="6"/>
  <c r="CD1207" i="6"/>
  <c r="CD1032" i="6" s="1"/>
  <c r="CD1035" i="6" s="1"/>
  <c r="P910" i="6"/>
  <c r="U911" i="6"/>
  <c r="AY666" i="6"/>
  <c r="J1220" i="6"/>
  <c r="J1211" i="6"/>
  <c r="J82" i="6"/>
  <c r="BK1006" i="6"/>
  <c r="DB1006" i="6" s="1"/>
  <c r="DB979" i="6"/>
  <c r="BK967" i="6"/>
  <c r="DB967" i="6" s="1"/>
  <c r="DA362" i="6"/>
  <c r="BG362" i="6"/>
  <c r="BK362" i="6"/>
  <c r="BK363" i="6" s="1"/>
  <c r="DB363" i="6" s="1"/>
  <c r="BF753" i="6"/>
  <c r="DA753" i="6" s="1"/>
  <c r="BG86" i="6"/>
  <c r="BG1013" i="6"/>
  <c r="E38" i="42453"/>
  <c r="F37" i="42453"/>
  <c r="BG123" i="6"/>
  <c r="V94" i="6"/>
  <c r="BI581" i="6"/>
  <c r="BD585" i="6"/>
  <c r="BD582" i="6"/>
  <c r="BQ104" i="6"/>
  <c r="DC104" i="6"/>
  <c r="CS294" i="6"/>
  <c r="W295" i="6"/>
  <c r="CT295" i="6" s="1"/>
  <c r="CS118" i="6"/>
  <c r="BQ1273" i="6"/>
  <c r="L1098" i="6"/>
  <c r="L1154" i="6" s="1"/>
  <c r="AN495" i="6"/>
  <c r="AN468" i="6"/>
  <c r="AN489" i="6"/>
  <c r="AN490" i="6" s="1"/>
  <c r="I151" i="6"/>
  <c r="I160" i="6"/>
  <c r="I161" i="6" s="1"/>
  <c r="N160" i="6"/>
  <c r="N161" i="6" s="1"/>
  <c r="N151" i="6"/>
  <c r="BF1093" i="6"/>
  <c r="Y295" i="42290"/>
  <c r="Y296" i="42290"/>
  <c r="Z921" i="6"/>
  <c r="CU118" i="6"/>
  <c r="BG330" i="6"/>
  <c r="BH329" i="6"/>
  <c r="BK802" i="6"/>
  <c r="J118" i="6"/>
  <c r="J123" i="6" s="1"/>
  <c r="N1263" i="6" s="1"/>
  <c r="J1262" i="6"/>
  <c r="M116" i="6"/>
  <c r="L1262" i="6"/>
  <c r="N1262" i="6"/>
  <c r="K1262" i="6"/>
  <c r="CA297" i="6"/>
  <c r="CS82" i="6"/>
  <c r="R84" i="6"/>
  <c r="R103" i="6"/>
  <c r="CS103" i="6" s="1"/>
  <c r="BL1001" i="6"/>
  <c r="BJ1002" i="6"/>
  <c r="Z91" i="6"/>
  <c r="Z1013" i="6"/>
  <c r="Z1028" i="6" s="1"/>
  <c r="Z1046" i="6" s="1"/>
  <c r="Z90" i="6"/>
  <c r="Z86" i="6"/>
  <c r="Z1332" i="6"/>
  <c r="CC66" i="6"/>
  <c r="DG66" i="6"/>
  <c r="CB1340" i="6"/>
  <c r="DC1141" i="6"/>
  <c r="BM981" i="6"/>
  <c r="BL984" i="6"/>
  <c r="BL986" i="6" s="1"/>
  <c r="CU496" i="6"/>
  <c r="AB497" i="6"/>
  <c r="AO1096" i="6"/>
  <c r="AO1152" i="6" s="1"/>
  <c r="N910" i="6"/>
  <c r="S911" i="6"/>
  <c r="V86" i="6"/>
  <c r="V91" i="6"/>
  <c r="V1332" i="6"/>
  <c r="V90" i="6"/>
  <c r="V1013" i="6"/>
  <c r="V1028" i="6" s="1"/>
  <c r="BD1152" i="6"/>
  <c r="BC717" i="6"/>
  <c r="CV82" i="6"/>
  <c r="AG84" i="6"/>
  <c r="AG103" i="6"/>
  <c r="CV103" i="6" s="1"/>
  <c r="K42" i="42450"/>
  <c r="L42" i="42450"/>
  <c r="U295" i="6"/>
  <c r="AD86" i="6"/>
  <c r="AD1332" i="6"/>
  <c r="AD91" i="6"/>
  <c r="AD1013" i="6"/>
  <c r="AD90" i="6"/>
  <c r="AY37" i="42290"/>
  <c r="AY39" i="42290" s="1"/>
  <c r="BD25" i="42290"/>
  <c r="DC1084" i="6"/>
  <c r="BQ1084" i="6"/>
  <c r="AA295" i="42290"/>
  <c r="AA296" i="42290"/>
  <c r="U357" i="6"/>
  <c r="V392" i="6"/>
  <c r="U413" i="6"/>
  <c r="U405" i="6"/>
  <c r="DG328" i="6"/>
  <c r="CC328" i="6"/>
  <c r="CD328" i="6" s="1"/>
  <c r="CE328" i="6" s="1"/>
  <c r="CF328" i="6" s="1"/>
  <c r="CG328" i="6" s="1"/>
  <c r="AC295" i="6"/>
  <c r="AH295" i="6"/>
  <c r="L75" i="42457"/>
  <c r="C15" i="42419"/>
  <c r="AR58" i="42416"/>
  <c r="AU28" i="42416"/>
  <c r="AT70" i="42416"/>
  <c r="AT71" i="42416" s="1"/>
  <c r="AT50" i="42416"/>
  <c r="AT36" i="42416"/>
  <c r="AT38" i="42416" s="1"/>
  <c r="AT39" i="42416" s="1"/>
  <c r="AT43" i="42416"/>
  <c r="AT45" i="42416" s="1"/>
  <c r="AT46" i="42416" s="1"/>
  <c r="CC105" i="6"/>
  <c r="CD105" i="6" s="1"/>
  <c r="CE105" i="6" s="1"/>
  <c r="CF105" i="6" s="1"/>
  <c r="CG105" i="6" s="1"/>
  <c r="DG105" i="6"/>
  <c r="DA331" i="6"/>
  <c r="BF336" i="6"/>
  <c r="Z94" i="6"/>
  <c r="Z135" i="6"/>
  <c r="Z95" i="6"/>
  <c r="Z100" i="6" s="1"/>
  <c r="BA667" i="6"/>
  <c r="BF667" i="6"/>
  <c r="AO1093" i="6"/>
  <c r="BF363" i="6"/>
  <c r="DA363" i="6" s="1"/>
  <c r="CB390" i="6"/>
  <c r="DF390" i="6"/>
  <c r="AU37" i="42290"/>
  <c r="AU39" i="42290" s="1"/>
  <c r="AZ25" i="42290"/>
  <c r="BL25" i="42290"/>
  <c r="BG37" i="42290"/>
  <c r="BG39" i="42290" s="1"/>
  <c r="AS304" i="6"/>
  <c r="BE1096" i="6"/>
  <c r="BF1096" i="6" s="1"/>
  <c r="BJ1005" i="6"/>
  <c r="BJ1006" i="6"/>
  <c r="V295" i="6"/>
  <c r="Q295" i="6"/>
  <c r="BR25" i="42290"/>
  <c r="BR37" i="42290" s="1"/>
  <c r="BR39" i="42290" s="1"/>
  <c r="BM37" i="42290"/>
  <c r="BM39" i="42290" s="1"/>
  <c r="AN123" i="6"/>
  <c r="CV118" i="6"/>
  <c r="CF1109" i="6"/>
  <c r="CC1296" i="6"/>
  <c r="CD1293" i="6"/>
  <c r="K39" i="42475"/>
  <c r="K42" i="42475" s="1"/>
  <c r="K45" i="42475" s="1"/>
  <c r="L39" i="42475"/>
  <c r="L42" i="42475" s="1"/>
  <c r="C42" i="42475"/>
  <c r="C45" i="42475" s="1"/>
  <c r="BD1114" i="6"/>
  <c r="AD94" i="6"/>
  <c r="AD95" i="6"/>
  <c r="D41" i="42432"/>
  <c r="AD135" i="6"/>
  <c r="AG88" i="6"/>
  <c r="AF169" i="6"/>
  <c r="AV78" i="42416"/>
  <c r="AV79" i="42416" s="1"/>
  <c r="X295" i="42290"/>
  <c r="Y921" i="6"/>
  <c r="X296" i="42290"/>
  <c r="T750" i="6"/>
  <c r="T751" i="6" s="1"/>
  <c r="T358" i="6"/>
  <c r="O1013" i="6"/>
  <c r="O1028" i="6" s="1"/>
  <c r="O1046" i="6" s="1"/>
  <c r="O86" i="6"/>
  <c r="O1332" i="6"/>
  <c r="O90" i="6"/>
  <c r="O91" i="6"/>
  <c r="BP25" i="42290"/>
  <c r="BP37" i="42290" s="1"/>
  <c r="BP39" i="42290" s="1"/>
  <c r="BK37" i="42290"/>
  <c r="BK39" i="42290" s="1"/>
  <c r="AS52" i="42416"/>
  <c r="AS53" i="42416" s="1"/>
  <c r="AU75" i="42416"/>
  <c r="AU76" i="42416" s="1"/>
  <c r="AU78" i="42416" s="1"/>
  <c r="AU79" i="42416" s="1"/>
  <c r="AI496" i="6"/>
  <c r="CE954" i="6"/>
  <c r="CE77" i="6" s="1"/>
  <c r="CE1342" i="6" s="1"/>
  <c r="CE959" i="6"/>
  <c r="DB821" i="6"/>
  <c r="BK823" i="6"/>
  <c r="BQ127" i="6"/>
  <c r="BN86" i="6"/>
  <c r="F11" i="42473"/>
  <c r="F14" i="42473" s="1"/>
  <c r="L11" i="42473"/>
  <c r="W20" i="42473"/>
  <c r="K11" i="42473"/>
  <c r="K14" i="42473" s="1"/>
  <c r="C14" i="42473"/>
  <c r="G14" i="42473" s="1"/>
  <c r="P11" i="42473"/>
  <c r="C54" i="42473"/>
  <c r="L54" i="42473" s="1"/>
  <c r="Q11" i="42473"/>
  <c r="G11" i="42473"/>
  <c r="BG53" i="6"/>
  <c r="BG21" i="6"/>
  <c r="BG22" i="6" s="1"/>
  <c r="BL16" i="6"/>
  <c r="EI611" i="42458" s="1"/>
  <c r="EI613" i="42458" s="1"/>
  <c r="BL29" i="6"/>
  <c r="BB56" i="6"/>
  <c r="BB52" i="6"/>
  <c r="BB71" i="6"/>
  <c r="D50" i="42473"/>
  <c r="D26" i="42473"/>
  <c r="P14" i="42464"/>
  <c r="N15" i="42464"/>
  <c r="C26" i="42464"/>
  <c r="U14" i="42464"/>
  <c r="C50" i="42464"/>
  <c r="Q14" i="42464"/>
  <c r="L14" i="42464"/>
  <c r="G14" i="42464"/>
  <c r="G25" i="42459"/>
  <c r="L25" i="42459"/>
  <c r="BB35" i="6"/>
  <c r="BB34" i="6"/>
  <c r="BM16" i="6"/>
  <c r="G49" i="42459"/>
  <c r="L49" i="42459"/>
  <c r="DG1119" i="6" l="1"/>
  <c r="CC1119" i="6"/>
  <c r="CD1119" i="6" s="1"/>
  <c r="CE1119" i="6" s="1"/>
  <c r="CF1119" i="6" s="1"/>
  <c r="CG1119" i="6" s="1"/>
  <c r="BY35" i="42290"/>
  <c r="HR727" i="42458"/>
  <c r="HO727" i="42458"/>
  <c r="HN727" i="42458"/>
  <c r="HQ725" i="42458"/>
  <c r="AR549" i="6"/>
  <c r="AM719" i="6"/>
  <c r="AM720" i="6" s="1"/>
  <c r="D35" i="42450"/>
  <c r="D38" i="42450" s="1"/>
  <c r="AP719" i="6"/>
  <c r="AU551" i="6"/>
  <c r="AV551" i="6" s="1"/>
  <c r="AU581" i="6"/>
  <c r="AX585" i="6"/>
  <c r="AX587" i="6" s="1"/>
  <c r="BC581" i="6"/>
  <c r="AU548" i="6"/>
  <c r="AP548" i="6"/>
  <c r="AK922" i="6"/>
  <c r="R295" i="6"/>
  <c r="CS295" i="6" s="1"/>
  <c r="AW282" i="42290"/>
  <c r="AW288" i="42290" s="1"/>
  <c r="AL294" i="42290"/>
  <c r="K32" i="42473"/>
  <c r="G32" i="42473"/>
  <c r="L32" i="42473"/>
  <c r="C37" i="42473"/>
  <c r="G160" i="6"/>
  <c r="G161" i="6" s="1"/>
  <c r="AC922" i="6"/>
  <c r="D32" i="42443"/>
  <c r="G27" i="42443"/>
  <c r="AV716" i="6"/>
  <c r="AV717" i="6" s="1"/>
  <c r="BF116" i="6"/>
  <c r="DA116" i="6" s="1"/>
  <c r="CN429" i="6"/>
  <c r="CO429" i="6" s="1"/>
  <c r="BC1286" i="6"/>
  <c r="BC1289" i="6" s="1"/>
  <c r="BC1290" i="6" s="1"/>
  <c r="AT294" i="42290"/>
  <c r="AT295" i="42290" s="1"/>
  <c r="L261" i="42290"/>
  <c r="AV1220" i="6"/>
  <c r="P295" i="6"/>
  <c r="AE289" i="6"/>
  <c r="AE294" i="6" s="1"/>
  <c r="AE295" i="6" s="1"/>
  <c r="AV1211" i="6"/>
  <c r="CY1211" i="6" s="1"/>
  <c r="BZ429" i="6"/>
  <c r="ES591" i="42458" s="1"/>
  <c r="AZ88" i="6"/>
  <c r="AO719" i="6"/>
  <c r="AO720" i="6" s="1"/>
  <c r="T490" i="6"/>
  <c r="AZ91" i="6"/>
  <c r="CG826" i="6"/>
  <c r="CG828" i="6" s="1"/>
  <c r="CF828" i="6"/>
  <c r="CD50" i="6"/>
  <c r="CD842" i="6"/>
  <c r="L49" i="42455"/>
  <c r="G49" i="42455"/>
  <c r="BD302" i="6"/>
  <c r="BC301" i="6"/>
  <c r="BC303" i="6" s="1"/>
  <c r="BC304" i="6" s="1"/>
  <c r="BG388" i="6"/>
  <c r="BG405" i="6" s="1"/>
  <c r="BF357" i="6"/>
  <c r="DA357" i="6" s="1"/>
  <c r="DA388" i="6"/>
  <c r="L25" i="42455"/>
  <c r="G25" i="42455"/>
  <c r="BF356" i="6"/>
  <c r="BF384" i="6"/>
  <c r="DA384" i="6" s="1"/>
  <c r="CC838" i="6"/>
  <c r="CC31" i="6"/>
  <c r="CE19" i="6"/>
  <c r="CE831" i="6"/>
  <c r="CE834" i="6" s="1"/>
  <c r="CE829" i="6"/>
  <c r="CE840" i="6"/>
  <c r="CD835" i="6"/>
  <c r="CD837" i="6"/>
  <c r="BD1262" i="6"/>
  <c r="BD1281" i="6" s="1"/>
  <c r="BD1282" i="6" s="1"/>
  <c r="DD412" i="6"/>
  <c r="BU475" i="6"/>
  <c r="DD475" i="6" s="1"/>
  <c r="AD922" i="6"/>
  <c r="AD909" i="6"/>
  <c r="AD910" i="6" s="1"/>
  <c r="BI621" i="6"/>
  <c r="BI620" i="6"/>
  <c r="BI623" i="6"/>
  <c r="K52" i="42437"/>
  <c r="G52" i="42437"/>
  <c r="L52" i="42437"/>
  <c r="C55" i="42437"/>
  <c r="F52" i="42437"/>
  <c r="AZ142" i="42290"/>
  <c r="AZ144" i="42290" s="1"/>
  <c r="BE125" i="42290"/>
  <c r="CT1224" i="6"/>
  <c r="W1347" i="6"/>
  <c r="K26" i="42437"/>
  <c r="G26" i="42437"/>
  <c r="L26" i="42437"/>
  <c r="C33" i="42437"/>
  <c r="AZ30" i="6"/>
  <c r="BA30" i="6" s="1"/>
  <c r="BA503" i="6"/>
  <c r="AZ505" i="6"/>
  <c r="AO1162" i="6"/>
  <c r="AN147" i="6"/>
  <c r="AN142" i="6"/>
  <c r="P11" i="42461"/>
  <c r="Q11" i="42461"/>
  <c r="K11" i="42461"/>
  <c r="K14" i="42461" s="1"/>
  <c r="W20" i="42461"/>
  <c r="F11" i="42461"/>
  <c r="F14" i="42461" s="1"/>
  <c r="L11" i="42461"/>
  <c r="C14" i="42461"/>
  <c r="G11" i="42461"/>
  <c r="X1149" i="6"/>
  <c r="X1170" i="6" s="1"/>
  <c r="X1172" i="6" s="1"/>
  <c r="Y1093" i="6"/>
  <c r="X1114" i="6"/>
  <c r="X1127" i="6" s="1"/>
  <c r="X1224" i="6"/>
  <c r="W8" i="42457"/>
  <c r="BL55" i="6"/>
  <c r="AC1160" i="6"/>
  <c r="AD1104" i="6"/>
  <c r="D14" i="42471"/>
  <c r="D54" i="42471"/>
  <c r="BH1262" i="6"/>
  <c r="BH1286" i="6" s="1"/>
  <c r="BH1289" i="6" s="1"/>
  <c r="BH1290" i="6" s="1"/>
  <c r="BA22" i="6"/>
  <c r="CZ22" i="6" s="1"/>
  <c r="BA16" i="6"/>
  <c r="CZ14" i="6"/>
  <c r="W1127" i="6"/>
  <c r="CT1127" i="6" s="1"/>
  <c r="CT1114" i="6"/>
  <c r="F16" i="42453"/>
  <c r="F21" i="42453" s="1"/>
  <c r="BB142" i="42290"/>
  <c r="BB144" i="42290" s="1"/>
  <c r="BG125" i="42290"/>
  <c r="BD625" i="6"/>
  <c r="BD624" i="6"/>
  <c r="AZ21" i="6"/>
  <c r="AZ170" i="6" s="1"/>
  <c r="BA170" i="6" s="1"/>
  <c r="AZ53" i="6"/>
  <c r="BC118" i="6"/>
  <c r="V95" i="6"/>
  <c r="V100" i="6" s="1"/>
  <c r="BE1262" i="6"/>
  <c r="V169" i="6"/>
  <c r="V175" i="6" s="1"/>
  <c r="BU1191" i="6"/>
  <c r="DD1191" i="6" s="1"/>
  <c r="CN1191" i="6"/>
  <c r="CO1191" i="6" s="1"/>
  <c r="CN1147" i="6"/>
  <c r="CO1147" i="6" s="1"/>
  <c r="C59" i="42421"/>
  <c r="E42" i="42421"/>
  <c r="D42" i="42421"/>
  <c r="C15" i="42421"/>
  <c r="BZ128" i="6"/>
  <c r="BZ1188" i="6"/>
  <c r="CN1188" i="6"/>
  <c r="CO1188" i="6" s="1"/>
  <c r="DF1068" i="6"/>
  <c r="CB1068" i="6"/>
  <c r="CB119" i="6"/>
  <c r="DG119" i="6" s="1"/>
  <c r="DG114" i="6"/>
  <c r="CC11" i="6"/>
  <c r="CD339" i="6"/>
  <c r="DE1075" i="6"/>
  <c r="CA1075" i="6"/>
  <c r="CC1122" i="6"/>
  <c r="CD1122" i="6" s="1"/>
  <c r="CE1122" i="6" s="1"/>
  <c r="CF1122" i="6" s="1"/>
  <c r="CG1122" i="6" s="1"/>
  <c r="DG1122" i="6"/>
  <c r="CA1147" i="6"/>
  <c r="CB1091" i="6"/>
  <c r="BV67" i="6"/>
  <c r="BF113" i="6"/>
  <c r="DA113" i="6" s="1"/>
  <c r="BY1167" i="6"/>
  <c r="BZ1110" i="6"/>
  <c r="CN1110" i="6"/>
  <c r="CO1110" i="6" s="1"/>
  <c r="BV865" i="6"/>
  <c r="CC1341" i="6"/>
  <c r="CD75" i="6"/>
  <c r="CC114" i="6"/>
  <c r="CC119" i="6" s="1"/>
  <c r="BZ1191" i="6"/>
  <c r="BZ334" i="6"/>
  <c r="AR723" i="6"/>
  <c r="AR724" i="6" s="1"/>
  <c r="T911" i="6"/>
  <c r="AV547" i="6"/>
  <c r="AV548" i="6" s="1"/>
  <c r="AH921" i="6"/>
  <c r="AH909" i="6" s="1"/>
  <c r="AQ547" i="6"/>
  <c r="AQ548" i="6" s="1"/>
  <c r="AT549" i="6"/>
  <c r="AY586" i="6"/>
  <c r="R909" i="6"/>
  <c r="R924" i="6" s="1"/>
  <c r="AG295" i="42290"/>
  <c r="AX547" i="6"/>
  <c r="AX551" i="6" s="1"/>
  <c r="AX555" i="6" s="1"/>
  <c r="AX556" i="6" s="1"/>
  <c r="BV853" i="6"/>
  <c r="BG1262" i="6"/>
  <c r="BG1286" i="6" s="1"/>
  <c r="BG1289" i="6" s="1"/>
  <c r="BG1290" i="6" s="1"/>
  <c r="AO296" i="42290"/>
  <c r="AP921" i="6"/>
  <c r="AP922" i="6" s="1"/>
  <c r="AO295" i="42290"/>
  <c r="DE347" i="6"/>
  <c r="BV1100" i="6"/>
  <c r="BV1156" i="6" s="1"/>
  <c r="D33" i="42475"/>
  <c r="G25" i="42475"/>
  <c r="BC1220" i="6"/>
  <c r="BC82" i="6"/>
  <c r="M888" i="6"/>
  <c r="CR878" i="6"/>
  <c r="L290" i="42290"/>
  <c r="Q889" i="6"/>
  <c r="L889" i="6"/>
  <c r="BY1101" i="6"/>
  <c r="BW859" i="6"/>
  <c r="BW865" i="6" s="1"/>
  <c r="BW850" i="6"/>
  <c r="BS295" i="42290"/>
  <c r="BS296" i="42290"/>
  <c r="BR295" i="42290"/>
  <c r="BR296" i="42290"/>
  <c r="AM296" i="42290"/>
  <c r="AN921" i="6"/>
  <c r="BH296" i="42290"/>
  <c r="BI921" i="6"/>
  <c r="BH295" i="42290"/>
  <c r="BP296" i="42290"/>
  <c r="BP295" i="42290"/>
  <c r="BL921" i="6"/>
  <c r="BK296" i="42290"/>
  <c r="BK295" i="42290"/>
  <c r="BQ296" i="42290"/>
  <c r="BQ295" i="42290"/>
  <c r="BN296" i="42290"/>
  <c r="BN295" i="42290"/>
  <c r="P13" i="42457"/>
  <c r="P16" i="42457"/>
  <c r="U13" i="42457"/>
  <c r="C33" i="42474"/>
  <c r="L25" i="42474"/>
  <c r="N26" i="42474"/>
  <c r="U25" i="42474"/>
  <c r="P25" i="42474"/>
  <c r="Q25" i="42474"/>
  <c r="D33" i="42474"/>
  <c r="G25" i="42474"/>
  <c r="BW1099" i="6"/>
  <c r="BW1155" i="6" s="1"/>
  <c r="BW1040" i="6"/>
  <c r="AA1152" i="6"/>
  <c r="AB1152" i="6" s="1"/>
  <c r="CU1152" i="6" s="1"/>
  <c r="BJ1097" i="6"/>
  <c r="BK1097" i="6" s="1"/>
  <c r="BY1089" i="6"/>
  <c r="BX1145" i="6"/>
  <c r="BX1103" i="6"/>
  <c r="BX1159" i="6" s="1"/>
  <c r="BK80" i="6"/>
  <c r="BH1220" i="6"/>
  <c r="BH82" i="6"/>
  <c r="CA1192" i="6"/>
  <c r="DE1192" i="6"/>
  <c r="DG1105" i="6"/>
  <c r="CC1105" i="6"/>
  <c r="CD1105" i="6" s="1"/>
  <c r="CE1105" i="6" s="1"/>
  <c r="CF1105" i="6" s="1"/>
  <c r="CG1105" i="6" s="1"/>
  <c r="BV412" i="6"/>
  <c r="BW370" i="6"/>
  <c r="BV410" i="6"/>
  <c r="BW368" i="6"/>
  <c r="BV369" i="6"/>
  <c r="BX1106" i="6"/>
  <c r="BX1161" i="6" s="1"/>
  <c r="BI659" i="6"/>
  <c r="BI658" i="6"/>
  <c r="N13" i="42457"/>
  <c r="N16" i="42457"/>
  <c r="N17" i="42457" s="1"/>
  <c r="BY845" i="6"/>
  <c r="BY847" i="6" s="1"/>
  <c r="BX847" i="6"/>
  <c r="BH921" i="6"/>
  <c r="BG295" i="42290"/>
  <c r="BG296" i="42290"/>
  <c r="BF296" i="42290"/>
  <c r="BG921" i="6"/>
  <c r="BF295" i="42290"/>
  <c r="BL295" i="42290"/>
  <c r="BL296" i="42290"/>
  <c r="BM921" i="6"/>
  <c r="BI296" i="42290"/>
  <c r="BI295" i="42290"/>
  <c r="BJ921" i="6"/>
  <c r="BE1211" i="6"/>
  <c r="BE82" i="6"/>
  <c r="BE1220" i="6"/>
  <c r="BF80" i="6"/>
  <c r="BX1076" i="6"/>
  <c r="BW1079" i="6"/>
  <c r="BV149" i="6"/>
  <c r="BV1333" i="6"/>
  <c r="CA287" i="6"/>
  <c r="CB287" i="6" s="1"/>
  <c r="CC287" i="6" s="1"/>
  <c r="CD287" i="6" s="1"/>
  <c r="CE287" i="6" s="1"/>
  <c r="CF287" i="6" s="1"/>
  <c r="CG287" i="6" s="1"/>
  <c r="C32" i="42471"/>
  <c r="P25" i="42471"/>
  <c r="N26" i="42471"/>
  <c r="G25" i="42471"/>
  <c r="U25" i="42471"/>
  <c r="L25" i="42471"/>
  <c r="Q25" i="42471"/>
  <c r="BK70" i="6"/>
  <c r="N96" i="42458"/>
  <c r="N97" i="42458" s="1"/>
  <c r="N116" i="42458" s="1"/>
  <c r="N120" i="42458" s="1"/>
  <c r="BK57" i="6"/>
  <c r="DB57" i="6" s="1"/>
  <c r="DB55" i="6"/>
  <c r="V12" i="42457"/>
  <c r="BK60" i="6"/>
  <c r="V46" i="42457"/>
  <c r="V9" i="42457"/>
  <c r="CU1096" i="6"/>
  <c r="AC1096" i="6"/>
  <c r="AD1152" i="6" s="1"/>
  <c r="DF1024" i="6"/>
  <c r="CB1024" i="6"/>
  <c r="CA137" i="6"/>
  <c r="DF137" i="6" s="1"/>
  <c r="BY371" i="6"/>
  <c r="BX413" i="6"/>
  <c r="BY372" i="6"/>
  <c r="BX414" i="6"/>
  <c r="BF70" i="6"/>
  <c r="Q12" i="42457"/>
  <c r="DA55" i="6"/>
  <c r="M96" i="42458"/>
  <c r="BF57" i="6"/>
  <c r="DA57" i="6" s="1"/>
  <c r="CH495" i="42458"/>
  <c r="Q46" i="42457"/>
  <c r="Q9" i="42457"/>
  <c r="S16" i="42457"/>
  <c r="X13" i="42457"/>
  <c r="S13" i="42457"/>
  <c r="BI1262" i="6"/>
  <c r="BI1286" i="6" s="1"/>
  <c r="BI1289" i="6" s="1"/>
  <c r="BI1290" i="6" s="1"/>
  <c r="BJ1262" i="6"/>
  <c r="BJ1286" i="6" s="1"/>
  <c r="BJ1289" i="6" s="1"/>
  <c r="BJ1290" i="6" s="1"/>
  <c r="BH116" i="6"/>
  <c r="BK113" i="6"/>
  <c r="DB113" i="6" s="1"/>
  <c r="BY127" i="6"/>
  <c r="BX127" i="6"/>
  <c r="EI614" i="42458"/>
  <c r="AQ716" i="6"/>
  <c r="AQ717" i="6" s="1"/>
  <c r="AW587" i="6"/>
  <c r="BU1188" i="6"/>
  <c r="DD1188" i="6" s="1"/>
  <c r="DA834" i="6"/>
  <c r="AI922" i="6"/>
  <c r="AI909" i="6"/>
  <c r="AJ884" i="6"/>
  <c r="AJ894" i="6" s="1"/>
  <c r="AJ895" i="6" s="1"/>
  <c r="AJ1220" i="6"/>
  <c r="AJ1211" i="6"/>
  <c r="AJ82" i="6"/>
  <c r="AL883" i="6"/>
  <c r="AK880" i="6"/>
  <c r="AL884" i="6" s="1"/>
  <c r="J1152" i="6"/>
  <c r="K1096" i="6"/>
  <c r="AY261" i="42290"/>
  <c r="AE160" i="6"/>
  <c r="AE161" i="6" s="1"/>
  <c r="AZ90" i="6"/>
  <c r="AN719" i="6"/>
  <c r="AN723" i="6" s="1"/>
  <c r="AS719" i="6"/>
  <c r="W88" i="6"/>
  <c r="W94" i="6" s="1"/>
  <c r="AS549" i="6"/>
  <c r="AO1262" i="6"/>
  <c r="AO1286" i="6" s="1"/>
  <c r="AO1289" i="6" s="1"/>
  <c r="AW717" i="6"/>
  <c r="M295" i="6"/>
  <c r="CR295" i="6" s="1"/>
  <c r="I1224" i="6"/>
  <c r="I1347" i="6" s="1"/>
  <c r="I1114" i="6"/>
  <c r="I1127" i="6" s="1"/>
  <c r="I1161" i="6"/>
  <c r="I1170" i="6" s="1"/>
  <c r="I1172" i="6" s="1"/>
  <c r="J1106" i="6"/>
  <c r="BI1190" i="6"/>
  <c r="BN1187" i="6"/>
  <c r="BP1186" i="6"/>
  <c r="DC1186" i="6" s="1"/>
  <c r="BT1186" i="6"/>
  <c r="BY1186" i="6" s="1"/>
  <c r="BR1187" i="6"/>
  <c r="BW1187" i="6" s="1"/>
  <c r="BM1190" i="6"/>
  <c r="BJ1187" i="6"/>
  <c r="BK1187" i="6" s="1"/>
  <c r="DB1187" i="6" s="1"/>
  <c r="BE1190" i="6"/>
  <c r="BF1190" i="6" s="1"/>
  <c r="DA1190" i="6" s="1"/>
  <c r="GU683" i="42425"/>
  <c r="GU689" i="42425" s="1"/>
  <c r="GU653" i="42425"/>
  <c r="DC1207" i="6"/>
  <c r="F12" i="42419"/>
  <c r="BG292" i="6"/>
  <c r="AZ1013" i="6"/>
  <c r="BT254" i="42290"/>
  <c r="BO257" i="42290"/>
  <c r="BI142" i="42290"/>
  <c r="BI144" i="42290" s="1"/>
  <c r="BN125" i="42290"/>
  <c r="DE848" i="6"/>
  <c r="BF142" i="42290"/>
  <c r="BF144" i="42290" s="1"/>
  <c r="BK125" i="42290"/>
  <c r="GS653" i="42425"/>
  <c r="GS683" i="42425"/>
  <c r="GS689" i="42425" s="1"/>
  <c r="DC143" i="6"/>
  <c r="AA73" i="42457"/>
  <c r="AA1094" i="6"/>
  <c r="AB1094" i="6" s="1"/>
  <c r="BB447" i="6"/>
  <c r="DY592" i="42458"/>
  <c r="DY604" i="42458" s="1"/>
  <c r="BE447" i="6"/>
  <c r="EB592" i="42458"/>
  <c r="EB604" i="42458" s="1"/>
  <c r="CG1203" i="6"/>
  <c r="CG143" i="6" s="1"/>
  <c r="CF143" i="6"/>
  <c r="AR721" i="6"/>
  <c r="BC33" i="6"/>
  <c r="BH35" i="6" s="1"/>
  <c r="BF503" i="6"/>
  <c r="FU641" i="42458" s="1"/>
  <c r="FU643" i="42458" s="1"/>
  <c r="BF872" i="6"/>
  <c r="DA872" i="6" s="1"/>
  <c r="HP827" i="42425" s="1"/>
  <c r="HP829" i="42425" s="1"/>
  <c r="HP830" i="42425" s="1"/>
  <c r="BF803" i="6"/>
  <c r="DA803" i="6" s="1"/>
  <c r="BF805" i="6"/>
  <c r="DA802" i="6"/>
  <c r="ER609" i="42458"/>
  <c r="ES589" i="42458"/>
  <c r="BM53" i="6"/>
  <c r="EJ611" i="42458"/>
  <c r="EJ613" i="42458" s="1"/>
  <c r="EJ614" i="42458" s="1"/>
  <c r="EE614" i="42458"/>
  <c r="BW80" i="42290"/>
  <c r="BW84" i="42290" s="1"/>
  <c r="BW87" i="42290" s="1"/>
  <c r="DG434" i="6"/>
  <c r="CC434" i="6"/>
  <c r="W90" i="6"/>
  <c r="CT90" i="6" s="1"/>
  <c r="W91" i="6"/>
  <c r="CT91" i="6" s="1"/>
  <c r="CT84" i="6"/>
  <c r="BL716" i="6"/>
  <c r="BL717" i="6" s="1"/>
  <c r="BG654" i="6"/>
  <c r="BG655" i="6"/>
  <c r="BG657" i="6"/>
  <c r="BH292" i="6"/>
  <c r="BI291" i="6"/>
  <c r="BJ291" i="6" s="1"/>
  <c r="BK292" i="6" s="1"/>
  <c r="DB292" i="6" s="1"/>
  <c r="BB658" i="6"/>
  <c r="BB659" i="6"/>
  <c r="BL653" i="6"/>
  <c r="BL650" i="6"/>
  <c r="BE623" i="6"/>
  <c r="BF623" i="6" s="1"/>
  <c r="BE620" i="6"/>
  <c r="BE621" i="6"/>
  <c r="BL33" i="6"/>
  <c r="BL35" i="6" s="1"/>
  <c r="AY587" i="6"/>
  <c r="AF151" i="6"/>
  <c r="AF162" i="6" s="1"/>
  <c r="AF163" i="6" s="1"/>
  <c r="AQ113" i="6"/>
  <c r="CX113" i="6" s="1"/>
  <c r="BA471" i="6"/>
  <c r="CZ471" i="6" s="1"/>
  <c r="AV625" i="6"/>
  <c r="AV624" i="6"/>
  <c r="H497" i="6"/>
  <c r="CQ496" i="6"/>
  <c r="BJ619" i="6"/>
  <c r="BK619" i="6" s="1"/>
  <c r="BJ616" i="6"/>
  <c r="BB22" i="6"/>
  <c r="X169" i="6"/>
  <c r="X175" i="6" s="1"/>
  <c r="BK615" i="6"/>
  <c r="BK617" i="6" s="1"/>
  <c r="AZ624" i="6"/>
  <c r="AZ625" i="6"/>
  <c r="BN501" i="6"/>
  <c r="BI501" i="6"/>
  <c r="BI503" i="6"/>
  <c r="BI510" i="6"/>
  <c r="BE655" i="6"/>
  <c r="BE654" i="6"/>
  <c r="BE657" i="6"/>
  <c r="BF657" i="6" s="1"/>
  <c r="BG621" i="6"/>
  <c r="BG620" i="6"/>
  <c r="BG623" i="6"/>
  <c r="AZ659" i="6"/>
  <c r="AZ658" i="6"/>
  <c r="AI116" i="6"/>
  <c r="AL113" i="6"/>
  <c r="CW113" i="6" s="1"/>
  <c r="AL56" i="6"/>
  <c r="CW56" i="6" s="1"/>
  <c r="CW55" i="6"/>
  <c r="AL57" i="6"/>
  <c r="CW57" i="6" s="1"/>
  <c r="D32" i="42448"/>
  <c r="G27" i="42448"/>
  <c r="L52" i="42441"/>
  <c r="K52" i="42441"/>
  <c r="G52" i="42441"/>
  <c r="C55" i="42441"/>
  <c r="F52" i="42441"/>
  <c r="BM503" i="6"/>
  <c r="BM501" i="6"/>
  <c r="BM510" i="6"/>
  <c r="AU34" i="6"/>
  <c r="AU35" i="6"/>
  <c r="K26" i="42432"/>
  <c r="G26" i="42432"/>
  <c r="C33" i="42432"/>
  <c r="L26" i="42432"/>
  <c r="BL616" i="6"/>
  <c r="BL619" i="6"/>
  <c r="AM1261" i="6"/>
  <c r="AP1262" i="6" s="1"/>
  <c r="AM1262" i="6"/>
  <c r="AI80" i="6"/>
  <c r="AI71" i="6"/>
  <c r="AL70" i="6"/>
  <c r="BF408" i="6"/>
  <c r="BF471" i="6" s="1"/>
  <c r="DA471" i="6" s="1"/>
  <c r="BE426" i="6"/>
  <c r="CY30" i="6"/>
  <c r="AV33" i="6"/>
  <c r="C55" i="42432"/>
  <c r="F52" i="42432"/>
  <c r="K52" i="42432"/>
  <c r="G52" i="42432"/>
  <c r="L52" i="42432"/>
  <c r="CW945" i="6"/>
  <c r="AL946" i="6"/>
  <c r="CW946" i="6" s="1"/>
  <c r="BJ653" i="6"/>
  <c r="BK653" i="6" s="1"/>
  <c r="BJ650" i="6"/>
  <c r="BB624" i="6"/>
  <c r="BB625" i="6"/>
  <c r="D33" i="42442"/>
  <c r="G26" i="42442"/>
  <c r="L26" i="42441"/>
  <c r="G26" i="42441"/>
  <c r="C33" i="42441"/>
  <c r="K26" i="42441"/>
  <c r="BJ510" i="6"/>
  <c r="BJ501" i="6"/>
  <c r="BJ503" i="6"/>
  <c r="BO505" i="6" s="1"/>
  <c r="AV659" i="6"/>
  <c r="AV658" i="6"/>
  <c r="AM80" i="6"/>
  <c r="AQ80" i="6" s="1"/>
  <c r="AM71" i="6"/>
  <c r="BE505" i="6"/>
  <c r="BE30" i="6"/>
  <c r="BD505" i="6"/>
  <c r="BD30" i="6"/>
  <c r="AK1262" i="6"/>
  <c r="AJ1262" i="6"/>
  <c r="AI1262" i="6"/>
  <c r="BM545" i="6"/>
  <c r="BV208" i="42290"/>
  <c r="AZ489" i="6"/>
  <c r="AZ490" i="6" s="1"/>
  <c r="AZ495" i="6"/>
  <c r="AZ468" i="6"/>
  <c r="BJ430" i="6"/>
  <c r="BJ447" i="6" s="1"/>
  <c r="BD96" i="42290"/>
  <c r="BD98" i="42290" s="1"/>
  <c r="BD100" i="42290" s="1"/>
  <c r="BE472" i="6"/>
  <c r="BW182" i="42290"/>
  <c r="BW181" i="42290"/>
  <c r="BW183" i="42290"/>
  <c r="V73" i="42457"/>
  <c r="DB143" i="6"/>
  <c r="AO1094" i="6"/>
  <c r="AN1150" i="6"/>
  <c r="BY191" i="42290"/>
  <c r="BF621" i="6"/>
  <c r="BF620" i="6"/>
  <c r="AP282" i="42290"/>
  <c r="BX171" i="42290"/>
  <c r="BA624" i="6"/>
  <c r="BA625" i="6"/>
  <c r="E12" i="42419"/>
  <c r="DB1207" i="6"/>
  <c r="AW597" i="6"/>
  <c r="AW693" i="6"/>
  <c r="AX595" i="6"/>
  <c r="BW199" i="42290"/>
  <c r="BG1154" i="6"/>
  <c r="BH1098" i="6"/>
  <c r="BH1154" i="6" s="1"/>
  <c r="BC625" i="6"/>
  <c r="BC624" i="6"/>
  <c r="BD1175" i="6"/>
  <c r="BC1178" i="6"/>
  <c r="BM616" i="6"/>
  <c r="BM619" i="6"/>
  <c r="BK291" i="6"/>
  <c r="BK753" i="6" s="1"/>
  <c r="DB753" i="6" s="1"/>
  <c r="CD1025" i="6"/>
  <c r="CD138" i="6" s="1"/>
  <c r="CE65" i="6"/>
  <c r="CD1339" i="6"/>
  <c r="AU695" i="6"/>
  <c r="AU696" i="6" s="1"/>
  <c r="AU598" i="6"/>
  <c r="AN1281" i="6"/>
  <c r="AO1136" i="6" s="1"/>
  <c r="AN1286" i="6"/>
  <c r="AN1289" i="6" s="1"/>
  <c r="BH623" i="6"/>
  <c r="BH621" i="6"/>
  <c r="BH620" i="6"/>
  <c r="AM723" i="6"/>
  <c r="AM724" i="6" s="1"/>
  <c r="AU749" i="6"/>
  <c r="AU751" i="6" s="1"/>
  <c r="AV693" i="6"/>
  <c r="AV749" i="6" s="1"/>
  <c r="AN82" i="6"/>
  <c r="AN1220" i="6"/>
  <c r="O1064" i="6"/>
  <c r="O1066" i="6" s="1"/>
  <c r="P1063" i="6"/>
  <c r="BX195" i="42290"/>
  <c r="BX197" i="42290"/>
  <c r="BX196" i="42290"/>
  <c r="BV185" i="42290"/>
  <c r="BV187" i="42290" s="1"/>
  <c r="BH655" i="6"/>
  <c r="BH657" i="6"/>
  <c r="BH654" i="6"/>
  <c r="AQ581" i="6"/>
  <c r="AQ582" i="6" s="1"/>
  <c r="AR583" i="6"/>
  <c r="BN888" i="6"/>
  <c r="BI889" i="6"/>
  <c r="BF1008" i="6"/>
  <c r="CZ1008" i="6"/>
  <c r="CY965" i="6"/>
  <c r="G50" i="42457"/>
  <c r="AV1351" i="6"/>
  <c r="AV154" i="6"/>
  <c r="CY154" i="6" s="1"/>
  <c r="W50" i="42457"/>
  <c r="BL1351" i="6"/>
  <c r="BL154" i="6"/>
  <c r="BF655" i="6"/>
  <c r="BF654" i="6"/>
  <c r="V50" i="42457"/>
  <c r="BK1351" i="6"/>
  <c r="BK154" i="6"/>
  <c r="DB154" i="6" s="1"/>
  <c r="DB965" i="6"/>
  <c r="BK978" i="6"/>
  <c r="BS482" i="6"/>
  <c r="CF1158" i="6"/>
  <c r="CG1102" i="6"/>
  <c r="CG1158" i="6" s="1"/>
  <c r="BN963" i="6"/>
  <c r="BM965" i="6"/>
  <c r="BC658" i="6"/>
  <c r="BC659" i="6"/>
  <c r="DE345" i="6"/>
  <c r="BA658" i="6"/>
  <c r="BA659" i="6"/>
  <c r="BM653" i="6"/>
  <c r="BM650" i="6"/>
  <c r="BF14" i="6"/>
  <c r="BF16" i="6" s="1"/>
  <c r="EC611" i="42458" s="1"/>
  <c r="EC613" i="42458" s="1"/>
  <c r="AC1151" i="6"/>
  <c r="AG1151" i="6" s="1"/>
  <c r="CV1151" i="6" s="1"/>
  <c r="AM582" i="6"/>
  <c r="B12" i="42419"/>
  <c r="B15" i="42419" s="1"/>
  <c r="CY1207" i="6"/>
  <c r="BJ878" i="6"/>
  <c r="BJ888" i="6" s="1"/>
  <c r="BJ889" i="6" s="1"/>
  <c r="BK877" i="6"/>
  <c r="DF342" i="6"/>
  <c r="CB342" i="6"/>
  <c r="CA27" i="6"/>
  <c r="DF27" i="6" s="1"/>
  <c r="CA345" i="6"/>
  <c r="C44" i="42421" s="1"/>
  <c r="G44" i="42421" s="1"/>
  <c r="BG1150" i="6"/>
  <c r="BH1094" i="6"/>
  <c r="DD39" i="6"/>
  <c r="BU128" i="6"/>
  <c r="DD128" i="6" s="1"/>
  <c r="BK651" i="6"/>
  <c r="BK650" i="6"/>
  <c r="BD84" i="6"/>
  <c r="BD1215" i="6"/>
  <c r="BR787" i="6"/>
  <c r="BS782" i="6"/>
  <c r="BZ202" i="42290"/>
  <c r="BZ204" i="42290"/>
  <c r="AE1106" i="6"/>
  <c r="AD1114" i="6"/>
  <c r="AD1127" i="6" s="1"/>
  <c r="AD1224" i="6"/>
  <c r="BQ808" i="6"/>
  <c r="BQ793" i="6"/>
  <c r="CA192" i="42290"/>
  <c r="CB192" i="42290"/>
  <c r="AP82" i="6"/>
  <c r="AP1211" i="6"/>
  <c r="AP1220" i="6"/>
  <c r="AB103" i="6"/>
  <c r="CU103" i="6" s="1"/>
  <c r="AT720" i="6"/>
  <c r="AT723" i="6"/>
  <c r="AY548" i="6"/>
  <c r="AY551" i="6"/>
  <c r="BD547" i="6"/>
  <c r="BD705" i="6" s="1"/>
  <c r="BB551" i="6"/>
  <c r="BB548" i="6"/>
  <c r="BG547" i="6"/>
  <c r="AW591" i="6"/>
  <c r="AW719" i="6"/>
  <c r="AW721" i="6" s="1"/>
  <c r="AW555" i="6"/>
  <c r="AW708" i="6" s="1"/>
  <c r="AW553" i="6"/>
  <c r="AW552" i="6"/>
  <c r="BZ35" i="42290"/>
  <c r="AW590" i="6"/>
  <c r="CB32" i="42290"/>
  <c r="CB31" i="42290"/>
  <c r="CB33" i="42290"/>
  <c r="CB30" i="42290"/>
  <c r="CB29" i="42290"/>
  <c r="CA31" i="42290"/>
  <c r="CA29" i="42290"/>
  <c r="CA32" i="42290"/>
  <c r="CA30" i="42290"/>
  <c r="CA33" i="42290"/>
  <c r="BK716" i="6"/>
  <c r="BK717" i="6" s="1"/>
  <c r="BF716" i="6"/>
  <c r="BF717" i="6" s="1"/>
  <c r="BU473" i="6"/>
  <c r="DD473" i="6" s="1"/>
  <c r="BA716" i="6"/>
  <c r="BA717" i="6" s="1"/>
  <c r="AU582" i="6"/>
  <c r="AV581" i="6"/>
  <c r="AZ581" i="6"/>
  <c r="AZ705" i="6" s="1"/>
  <c r="AZ706" i="6" s="1"/>
  <c r="AU585" i="6"/>
  <c r="AP720" i="6"/>
  <c r="AP723" i="6"/>
  <c r="AP724" i="6" s="1"/>
  <c r="BU411" i="6"/>
  <c r="DD411" i="6" s="1"/>
  <c r="DD369" i="6"/>
  <c r="AL295" i="42290"/>
  <c r="AM921" i="6"/>
  <c r="AL296" i="42290"/>
  <c r="AV360" i="6"/>
  <c r="CY360" i="6" s="1"/>
  <c r="AL430" i="6"/>
  <c r="AJ447" i="6"/>
  <c r="AJ451" i="6"/>
  <c r="AO430" i="6"/>
  <c r="AO447" i="6" s="1"/>
  <c r="AI96" i="42290"/>
  <c r="AI98" i="42290" s="1"/>
  <c r="AI100" i="42290" s="1"/>
  <c r="AI261" i="42290" s="1"/>
  <c r="AV283" i="42290"/>
  <c r="AQ282" i="42290"/>
  <c r="AQ288" i="42290" s="1"/>
  <c r="AQ294" i="42290" s="1"/>
  <c r="N496" i="6"/>
  <c r="R495" i="6"/>
  <c r="CS495" i="6" s="1"/>
  <c r="AK910" i="6"/>
  <c r="AK911" i="6"/>
  <c r="AY719" i="6"/>
  <c r="AY721" i="6" s="1"/>
  <c r="S490" i="6"/>
  <c r="M495" i="6"/>
  <c r="CR495" i="6" s="1"/>
  <c r="AY282" i="42290"/>
  <c r="AY288" i="42290" s="1"/>
  <c r="AY294" i="42290" s="1"/>
  <c r="BD283" i="42290"/>
  <c r="BD282" i="42290" s="1"/>
  <c r="BD288" i="42290" s="1"/>
  <c r="BD294" i="42290" s="1"/>
  <c r="CS447" i="6"/>
  <c r="R468" i="6"/>
  <c r="CS468" i="6" s="1"/>
  <c r="M468" i="6"/>
  <c r="CR468" i="6" s="1"/>
  <c r="CR447" i="6"/>
  <c r="BA360" i="6"/>
  <c r="CZ360" i="6" s="1"/>
  <c r="AY360" i="6"/>
  <c r="AY492" i="6" s="1"/>
  <c r="BD493" i="6" s="1"/>
  <c r="AZ360" i="6"/>
  <c r="AZ492" i="6" s="1"/>
  <c r="AZ493" i="6" s="1"/>
  <c r="AG360" i="6"/>
  <c r="AF360" i="6"/>
  <c r="AF492" i="6" s="1"/>
  <c r="AT360" i="6"/>
  <c r="AT492" i="6" s="1"/>
  <c r="AL426" i="6"/>
  <c r="CW426" i="6" s="1"/>
  <c r="CW409" i="6"/>
  <c r="J497" i="6"/>
  <c r="M496" i="6"/>
  <c r="BI367" i="6"/>
  <c r="AU921" i="6"/>
  <c r="AG430" i="6"/>
  <c r="AE451" i="6"/>
  <c r="AD96" i="42290"/>
  <c r="AD98" i="42290" s="1"/>
  <c r="AD100" i="42290" s="1"/>
  <c r="AD261" i="42290" s="1"/>
  <c r="AE447" i="6"/>
  <c r="AE489" i="6" s="1"/>
  <c r="CS360" i="6"/>
  <c r="R492" i="6"/>
  <c r="CS492" i="6" s="1"/>
  <c r="P360" i="6"/>
  <c r="P492" i="6" s="1"/>
  <c r="Q360" i="6"/>
  <c r="Q492" i="6" s="1"/>
  <c r="Q493" i="6" s="1"/>
  <c r="BG430" i="6"/>
  <c r="BG447" i="6" s="1"/>
  <c r="BA96" i="42290"/>
  <c r="BA98" i="42290" s="1"/>
  <c r="BA100" i="42290" s="1"/>
  <c r="BA261" i="42290" s="1"/>
  <c r="BB472" i="6"/>
  <c r="E12" i="42425"/>
  <c r="AJ360" i="6"/>
  <c r="AJ492" i="6" s="1"/>
  <c r="AJ493" i="6" s="1"/>
  <c r="AL360" i="6"/>
  <c r="AK360" i="6"/>
  <c r="AK492" i="6" s="1"/>
  <c r="CT447" i="6"/>
  <c r="W468" i="6"/>
  <c r="CT468" i="6" s="1"/>
  <c r="AB468" i="6"/>
  <c r="CU468" i="6" s="1"/>
  <c r="CR224" i="6"/>
  <c r="M229" i="6"/>
  <c r="S496" i="6"/>
  <c r="W495" i="6"/>
  <c r="CT495" i="6" s="1"/>
  <c r="BH387" i="6"/>
  <c r="AW489" i="6"/>
  <c r="AW490" i="6" s="1"/>
  <c r="AW495" i="6"/>
  <c r="AW468" i="6"/>
  <c r="BJ1332" i="6"/>
  <c r="BJ90" i="6"/>
  <c r="BJ88" i="6"/>
  <c r="BJ91" i="6"/>
  <c r="CT412" i="6"/>
  <c r="W475" i="6"/>
  <c r="CT475" i="6" s="1"/>
  <c r="R474" i="6"/>
  <c r="CS474" i="6" s="1"/>
  <c r="CS411" i="6"/>
  <c r="R426" i="6"/>
  <c r="R476" i="6"/>
  <c r="CS476" i="6" s="1"/>
  <c r="CS413" i="6"/>
  <c r="AS493" i="6"/>
  <c r="BG581" i="6"/>
  <c r="BB585" i="6"/>
  <c r="BB705" i="6"/>
  <c r="BB582" i="6"/>
  <c r="M360" i="6"/>
  <c r="M492" i="6" s="1"/>
  <c r="K360" i="6"/>
  <c r="K492" i="6" s="1"/>
  <c r="BE358" i="6"/>
  <c r="BE360" i="6" s="1"/>
  <c r="BE492" i="6" s="1"/>
  <c r="BE749" i="6"/>
  <c r="BE751" i="6" s="1"/>
  <c r="AQ360" i="6"/>
  <c r="AO360" i="6"/>
  <c r="AO492" i="6" s="1"/>
  <c r="AP360" i="6"/>
  <c r="AP492" i="6" s="1"/>
  <c r="CX411" i="6"/>
  <c r="CX426" i="6"/>
  <c r="AQ474" i="6"/>
  <c r="CX474" i="6" s="1"/>
  <c r="CV413" i="6"/>
  <c r="AG476" i="6"/>
  <c r="CV476" i="6" s="1"/>
  <c r="AG426" i="6"/>
  <c r="BE471" i="6"/>
  <c r="K490" i="6"/>
  <c r="P490" i="6"/>
  <c r="J493" i="6"/>
  <c r="O493" i="6"/>
  <c r="L493" i="6"/>
  <c r="BG366" i="6"/>
  <c r="DA366" i="6"/>
  <c r="M476" i="6"/>
  <c r="CR476" i="6" s="1"/>
  <c r="CR413" i="6"/>
  <c r="M426" i="6"/>
  <c r="CA178" i="42290"/>
  <c r="DE10" i="6"/>
  <c r="AV334" i="6"/>
  <c r="CY334" i="6" s="1"/>
  <c r="DC802" i="6"/>
  <c r="BP805" i="6"/>
  <c r="BP803" i="6"/>
  <c r="DC803" i="6" s="1"/>
  <c r="BF1095" i="6"/>
  <c r="BE1151" i="6"/>
  <c r="BF1151" i="6" s="1"/>
  <c r="DA1151" i="6" s="1"/>
  <c r="DC823" i="6"/>
  <c r="BP872" i="6"/>
  <c r="DC872" i="6" s="1"/>
  <c r="BL979" i="6"/>
  <c r="BL1006" i="6" s="1"/>
  <c r="BR788" i="6"/>
  <c r="BR785" i="6"/>
  <c r="BS783" i="6"/>
  <c r="BQ809" i="6"/>
  <c r="BQ790" i="6"/>
  <c r="BQ794" i="6"/>
  <c r="Q1153" i="6"/>
  <c r="R1153" i="6" s="1"/>
  <c r="CS1153" i="6" s="1"/>
  <c r="B50" i="42434"/>
  <c r="AA129" i="42434" s="1"/>
  <c r="CX56" i="6"/>
  <c r="AA128" i="42434"/>
  <c r="E49" i="42434"/>
  <c r="AD128" i="42434" s="1"/>
  <c r="AD129" i="42434" s="1"/>
  <c r="BB294" i="42290"/>
  <c r="AM1151" i="6"/>
  <c r="AM1170" i="6" s="1"/>
  <c r="AM1172" i="6" s="1"/>
  <c r="AM1271" i="6" s="1"/>
  <c r="AM1275" i="6" s="1"/>
  <c r="AN1095" i="6"/>
  <c r="AN1151" i="6" s="1"/>
  <c r="AM1224" i="6"/>
  <c r="AM1347" i="6" s="1"/>
  <c r="AG921" i="6"/>
  <c r="AE909" i="6"/>
  <c r="AE922" i="6"/>
  <c r="CB176" i="42290"/>
  <c r="CB175" i="42290"/>
  <c r="CB174" i="42290"/>
  <c r="O1099" i="6"/>
  <c r="O1155" i="6" s="1"/>
  <c r="N1155" i="6"/>
  <c r="AP288" i="42290"/>
  <c r="AP294" i="42290" s="1"/>
  <c r="AN294" i="42290"/>
  <c r="AW34" i="6"/>
  <c r="AW56" i="6"/>
  <c r="AW71" i="6"/>
  <c r="AW52" i="6"/>
  <c r="AW23" i="6"/>
  <c r="AX170" i="6"/>
  <c r="AW170" i="6"/>
  <c r="AY170" i="6"/>
  <c r="W924" i="6"/>
  <c r="W910" i="6"/>
  <c r="CT910" i="6" s="1"/>
  <c r="CT909" i="6"/>
  <c r="AL921" i="6"/>
  <c r="AK295" i="42290"/>
  <c r="AK296" i="42290"/>
  <c r="CW1151" i="6"/>
  <c r="AL1347" i="6"/>
  <c r="CW1224" i="6"/>
  <c r="AF295" i="42290"/>
  <c r="AF296" i="42290"/>
  <c r="AS1262" i="6"/>
  <c r="AR1262" i="6"/>
  <c r="AS288" i="42290"/>
  <c r="AU552" i="6"/>
  <c r="AZ548" i="6"/>
  <c r="BE547" i="6"/>
  <c r="AZ551" i="6"/>
  <c r="G13" i="42457"/>
  <c r="B16" i="42457"/>
  <c r="G17" i="42457" s="1"/>
  <c r="AS921" i="6"/>
  <c r="AR296" i="42290"/>
  <c r="AR295" i="42290"/>
  <c r="AQ71" i="6"/>
  <c r="CX70" i="6"/>
  <c r="B56" i="42434"/>
  <c r="AO1211" i="6"/>
  <c r="AO1220" i="6"/>
  <c r="AO82" i="6"/>
  <c r="AO118" i="6"/>
  <c r="AQ116" i="6"/>
  <c r="CX116" i="6" s="1"/>
  <c r="R14" i="42454"/>
  <c r="C25" i="42454"/>
  <c r="N15" i="42454"/>
  <c r="C49" i="42454"/>
  <c r="L14" i="42454"/>
  <c r="G14" i="42454"/>
  <c r="AT753" i="6"/>
  <c r="AU334" i="6"/>
  <c r="AO1154" i="6"/>
  <c r="AP1098" i="6"/>
  <c r="AJ921" i="6"/>
  <c r="AI295" i="42290"/>
  <c r="AI296" i="42290"/>
  <c r="AW294" i="42290"/>
  <c r="AX753" i="6"/>
  <c r="AY333" i="6"/>
  <c r="AY334" i="6" s="1"/>
  <c r="AK1172" i="6"/>
  <c r="AK1271" i="6" s="1"/>
  <c r="AK1275" i="6" s="1"/>
  <c r="AK1276" i="6" s="1"/>
  <c r="AL1170" i="6"/>
  <c r="CW1170" i="6" s="1"/>
  <c r="AX282" i="42290"/>
  <c r="BC283" i="42290"/>
  <c r="BC282" i="42290" s="1"/>
  <c r="BJ14" i="6"/>
  <c r="BJ714" i="6"/>
  <c r="BJ728" i="6"/>
  <c r="BJ687" i="6"/>
  <c r="BJ680" i="6"/>
  <c r="BJ674" i="6"/>
  <c r="BJ684" i="6"/>
  <c r="D56" i="42474"/>
  <c r="D14" i="42474"/>
  <c r="G11" i="42474"/>
  <c r="BC53" i="6"/>
  <c r="BC21" i="6"/>
  <c r="BD16" i="6"/>
  <c r="EA611" i="42458" s="1"/>
  <c r="EA613" i="42458" s="1"/>
  <c r="C11" i="42468"/>
  <c r="BD29" i="6"/>
  <c r="BI728" i="6"/>
  <c r="BI714" i="6"/>
  <c r="BI14" i="6"/>
  <c r="W20" i="42474"/>
  <c r="P11" i="42474"/>
  <c r="F11" i="42474"/>
  <c r="F14" i="42474" s="1"/>
  <c r="K11" i="42474"/>
  <c r="K14" i="42474" s="1"/>
  <c r="L11" i="42474"/>
  <c r="C56" i="42474"/>
  <c r="Q11" i="42474"/>
  <c r="C14" i="42474"/>
  <c r="BH53" i="6"/>
  <c r="BH21" i="6"/>
  <c r="BM688" i="6"/>
  <c r="BM689" i="6"/>
  <c r="BK672" i="6"/>
  <c r="BI689" i="6"/>
  <c r="BI688" i="6"/>
  <c r="DA14" i="6"/>
  <c r="Q11" i="42467"/>
  <c r="C14" i="42467"/>
  <c r="K11" i="42467"/>
  <c r="K14" i="42467" s="1"/>
  <c r="F11" i="42467"/>
  <c r="F14" i="42467" s="1"/>
  <c r="L11" i="42467"/>
  <c r="P11" i="42467"/>
  <c r="W20" i="42467"/>
  <c r="G11" i="42467"/>
  <c r="BE688" i="6"/>
  <c r="BE689" i="6"/>
  <c r="BF687" i="6"/>
  <c r="BK702" i="6"/>
  <c r="BK711" i="6" s="1"/>
  <c r="BK713" i="6" s="1"/>
  <c r="BK714" i="6" s="1"/>
  <c r="C11" i="42471"/>
  <c r="BE29" i="6"/>
  <c r="BE16" i="6"/>
  <c r="EB611" i="42458" s="1"/>
  <c r="EB613" i="42458" s="1"/>
  <c r="D11" i="42475"/>
  <c r="CC1335" i="6"/>
  <c r="CC1336" i="6" s="1"/>
  <c r="CC1343" i="6"/>
  <c r="CD87" i="6"/>
  <c r="CE78" i="6"/>
  <c r="C47" i="42459"/>
  <c r="J27" i="42457"/>
  <c r="D48" i="42468"/>
  <c r="H27" i="42457"/>
  <c r="M28" i="42457" s="1"/>
  <c r="C47" i="42455"/>
  <c r="C47" i="42454"/>
  <c r="D48" i="42464"/>
  <c r="T135" i="6"/>
  <c r="T144" i="6" s="1"/>
  <c r="T94" i="6"/>
  <c r="T96" i="6" s="1"/>
  <c r="T95" i="6"/>
  <c r="T100" i="6" s="1"/>
  <c r="K135" i="6"/>
  <c r="K144" i="6" s="1"/>
  <c r="K95" i="6"/>
  <c r="K100" i="6" s="1"/>
  <c r="K94" i="6"/>
  <c r="P96" i="6" s="1"/>
  <c r="T169" i="6"/>
  <c r="T175" i="6" s="1"/>
  <c r="T1332" i="6"/>
  <c r="T86" i="6"/>
  <c r="W86" i="6" s="1"/>
  <c r="CT86" i="6" s="1"/>
  <c r="T1013" i="6"/>
  <c r="T1028" i="6" s="1"/>
  <c r="T90" i="6"/>
  <c r="T92" i="6" s="1"/>
  <c r="T91" i="6"/>
  <c r="E160" i="6"/>
  <c r="E161" i="6" s="1"/>
  <c r="Z169" i="6"/>
  <c r="Z175" i="6" s="1"/>
  <c r="AY1013" i="6"/>
  <c r="AY86" i="6"/>
  <c r="AW1013" i="6"/>
  <c r="AW1027" i="6" s="1"/>
  <c r="AW1028" i="6" s="1"/>
  <c r="AW1046" i="6" s="1"/>
  <c r="AW86" i="6"/>
  <c r="Y94" i="6"/>
  <c r="Y95" i="6"/>
  <c r="Y100" i="6" s="1"/>
  <c r="Y135" i="6"/>
  <c r="Y144" i="6" s="1"/>
  <c r="V92" i="6"/>
  <c r="Y169" i="6"/>
  <c r="Y175" i="6" s="1"/>
  <c r="O169" i="6"/>
  <c r="O175" i="6" s="1"/>
  <c r="U169" i="6"/>
  <c r="U175" i="6" s="1"/>
  <c r="K86" i="6"/>
  <c r="K91" i="6"/>
  <c r="K90" i="6"/>
  <c r="P92" i="6" s="1"/>
  <c r="K1013" i="6"/>
  <c r="K1028" i="6" s="1"/>
  <c r="K1046" i="6" s="1"/>
  <c r="K1332" i="6"/>
  <c r="Y86" i="6"/>
  <c r="Y1013" i="6"/>
  <c r="Y1028" i="6" s="1"/>
  <c r="Y1046" i="6" s="1"/>
  <c r="Y1332" i="6"/>
  <c r="Y91" i="6"/>
  <c r="Y90" i="6"/>
  <c r="BX137" i="42290"/>
  <c r="CF431" i="6"/>
  <c r="BZ124" i="42290"/>
  <c r="BY134" i="42290"/>
  <c r="BY129" i="42290"/>
  <c r="BY132" i="42290"/>
  <c r="BY131" i="42290"/>
  <c r="BY130" i="42290"/>
  <c r="BY133" i="42290"/>
  <c r="BY135" i="42290"/>
  <c r="BX63" i="42290"/>
  <c r="BX67" i="42290" s="1"/>
  <c r="BX70" i="42290" s="1"/>
  <c r="CD435" i="6"/>
  <c r="CF54" i="6"/>
  <c r="CE108" i="6"/>
  <c r="AT135" i="6"/>
  <c r="AT144" i="6" s="1"/>
  <c r="D44" i="42459"/>
  <c r="D46" i="42459" s="1"/>
  <c r="AT95" i="6"/>
  <c r="AT94" i="6"/>
  <c r="AA1332" i="6"/>
  <c r="AA1013" i="6"/>
  <c r="AA1028" i="6" s="1"/>
  <c r="AA1046" i="6" s="1"/>
  <c r="AA90" i="6"/>
  <c r="AA91" i="6"/>
  <c r="AA86" i="6"/>
  <c r="AX123" i="6"/>
  <c r="BA118" i="6"/>
  <c r="CZ118" i="6" s="1"/>
  <c r="FU521" i="42425"/>
  <c r="D47" i="42461"/>
  <c r="C45" i="42452"/>
  <c r="F27" i="42457"/>
  <c r="K28" i="42457" s="1"/>
  <c r="FU491" i="42425"/>
  <c r="BI90" i="6"/>
  <c r="BI1332" i="6"/>
  <c r="BI91" i="6"/>
  <c r="BI88" i="6"/>
  <c r="BB1013" i="6"/>
  <c r="BB1027" i="6" s="1"/>
  <c r="BB1028" i="6" s="1"/>
  <c r="BB1046" i="6" s="1"/>
  <c r="BB86" i="6"/>
  <c r="D47" i="42454"/>
  <c r="C27" i="42457"/>
  <c r="AU86" i="6"/>
  <c r="AU1013" i="6"/>
  <c r="BA1220" i="6"/>
  <c r="L77" i="42457" s="1"/>
  <c r="L76" i="42457" s="1"/>
  <c r="L79" i="42457" s="1"/>
  <c r="L82" i="42457" s="1"/>
  <c r="CZ80" i="6"/>
  <c r="BA1211" i="6"/>
  <c r="CZ1211" i="6" s="1"/>
  <c r="AZ94" i="6"/>
  <c r="C44" i="42461"/>
  <c r="AZ135" i="6"/>
  <c r="AZ95" i="6"/>
  <c r="D45" i="42471"/>
  <c r="AR86" i="6"/>
  <c r="AR1013" i="6"/>
  <c r="AR1027" i="6" s="1"/>
  <c r="AR1028" i="6" s="1"/>
  <c r="AR1046" i="6" s="1"/>
  <c r="V96" i="6"/>
  <c r="U96" i="6"/>
  <c r="AX84" i="6"/>
  <c r="AX1215" i="6"/>
  <c r="BA82" i="6"/>
  <c r="G153" i="6"/>
  <c r="G155" i="6" s="1"/>
  <c r="G157" i="6" s="1"/>
  <c r="G1345" i="6"/>
  <c r="G162" i="6"/>
  <c r="G163" i="6" s="1"/>
  <c r="AB87" i="6"/>
  <c r="AA88" i="6"/>
  <c r="AA1335" i="6"/>
  <c r="AA1336" i="6" s="1"/>
  <c r="AA1343" i="6"/>
  <c r="D43" i="42440"/>
  <c r="AF100" i="6"/>
  <c r="F135" i="6"/>
  <c r="F144" i="6" s="1"/>
  <c r="F94" i="6"/>
  <c r="I169" i="6"/>
  <c r="I175" i="6" s="1"/>
  <c r="D47" i="42455"/>
  <c r="D27" i="42457"/>
  <c r="I28" i="42457" s="1"/>
  <c r="AH95" i="6"/>
  <c r="AH135" i="6"/>
  <c r="AH144" i="6" s="1"/>
  <c r="AH160" i="6" s="1"/>
  <c r="AH161" i="6" s="1"/>
  <c r="AH169" i="6"/>
  <c r="AH175" i="6" s="1"/>
  <c r="C37" i="42428"/>
  <c r="AH94" i="6"/>
  <c r="AH96" i="6" s="1"/>
  <c r="R86" i="6"/>
  <c r="CS86" i="6" s="1"/>
  <c r="AB84" i="6"/>
  <c r="CU84" i="6" s="1"/>
  <c r="U92" i="6"/>
  <c r="P151" i="6"/>
  <c r="P160" i="6"/>
  <c r="P161" i="6" s="1"/>
  <c r="F1013" i="6"/>
  <c r="F1028" i="6" s="1"/>
  <c r="F1046" i="6" s="1"/>
  <c r="F1332" i="6"/>
  <c r="H1332" i="6" s="1"/>
  <c r="CQ1332" i="6" s="1"/>
  <c r="F86" i="6"/>
  <c r="F90" i="6"/>
  <c r="F91" i="6"/>
  <c r="X91" i="6"/>
  <c r="X1332" i="6"/>
  <c r="X86" i="6"/>
  <c r="X1013" i="6"/>
  <c r="X1028" i="6" s="1"/>
  <c r="X1046" i="6" s="1"/>
  <c r="X90" i="6"/>
  <c r="CY82" i="6"/>
  <c r="AV103" i="6"/>
  <c r="AE153" i="6"/>
  <c r="AE155" i="6" s="1"/>
  <c r="AE157" i="6" s="1"/>
  <c r="AE1345" i="6"/>
  <c r="AE162" i="6"/>
  <c r="AE163" i="6" s="1"/>
  <c r="AK1013" i="6"/>
  <c r="AK86" i="6"/>
  <c r="D91" i="6"/>
  <c r="D90" i="6"/>
  <c r="I92" i="6" s="1"/>
  <c r="D1013" i="6"/>
  <c r="D1028" i="6" s="1"/>
  <c r="D86" i="6"/>
  <c r="H84" i="6"/>
  <c r="AT1263" i="6"/>
  <c r="AV123" i="6"/>
  <c r="CY123" i="6" s="1"/>
  <c r="AU1263" i="6"/>
  <c r="AG86" i="6"/>
  <c r="CV86" i="6" s="1"/>
  <c r="D135" i="6"/>
  <c r="D94" i="6"/>
  <c r="I96" i="6" s="1"/>
  <c r="D95" i="6"/>
  <c r="D100" i="6" s="1"/>
  <c r="H88" i="6"/>
  <c r="Q96" i="6"/>
  <c r="F95" i="6"/>
  <c r="F100" i="6" s="1"/>
  <c r="X94" i="6"/>
  <c r="X95" i="6"/>
  <c r="X100" i="6" s="1"/>
  <c r="X135" i="6"/>
  <c r="X144" i="6" s="1"/>
  <c r="C44" i="42440"/>
  <c r="D43" i="42447"/>
  <c r="CQ82" i="6"/>
  <c r="H103" i="6"/>
  <c r="CQ103" i="6" s="1"/>
  <c r="AS1013" i="6"/>
  <c r="AS86" i="6"/>
  <c r="AV84" i="6"/>
  <c r="S1044" i="6"/>
  <c r="S1028" i="6"/>
  <c r="Q92" i="6"/>
  <c r="Q160" i="6"/>
  <c r="Q161" i="6" s="1"/>
  <c r="Q151" i="6"/>
  <c r="U160" i="6"/>
  <c r="U161" i="6" s="1"/>
  <c r="U151" i="6"/>
  <c r="D39" i="42428"/>
  <c r="AC100" i="6"/>
  <c r="AC151" i="6"/>
  <c r="AC160" i="6"/>
  <c r="AC161" i="6" s="1"/>
  <c r="L160" i="6"/>
  <c r="L161" i="6" s="1"/>
  <c r="L151" i="6"/>
  <c r="S151" i="6"/>
  <c r="S160" i="6"/>
  <c r="S161" i="6" s="1"/>
  <c r="BN981" i="6"/>
  <c r="BM984" i="6"/>
  <c r="BM979" i="6" s="1"/>
  <c r="BM1001" i="6"/>
  <c r="BL1002" i="6"/>
  <c r="CB297" i="6"/>
  <c r="CA10" i="6"/>
  <c r="C37" i="42421" s="1"/>
  <c r="C11" i="42421" s="1"/>
  <c r="CA298" i="6"/>
  <c r="BI329" i="6"/>
  <c r="BH330" i="6"/>
  <c r="BH331" i="6" s="1"/>
  <c r="BH336" i="6" s="1"/>
  <c r="BH337" i="6" s="1"/>
  <c r="L1106" i="6"/>
  <c r="M1106" i="6" s="1"/>
  <c r="M1098" i="6"/>
  <c r="M1154" i="6"/>
  <c r="CR1154" i="6" s="1"/>
  <c r="BD586" i="6"/>
  <c r="BD587" i="6"/>
  <c r="BD589" i="6"/>
  <c r="BG1332" i="6"/>
  <c r="BG90" i="6"/>
  <c r="BG88" i="6"/>
  <c r="BG91" i="6"/>
  <c r="CS88" i="6"/>
  <c r="R95" i="6"/>
  <c r="R94" i="6"/>
  <c r="E8" i="42453"/>
  <c r="E13" i="42453" s="1"/>
  <c r="AG289" i="6"/>
  <c r="AG294" i="6" s="1"/>
  <c r="X909" i="6"/>
  <c r="X922" i="6"/>
  <c r="AB921" i="6"/>
  <c r="AW96" i="42290"/>
  <c r="AW98" i="42290" s="1"/>
  <c r="AW100" i="42290" s="1"/>
  <c r="AW261" i="42290" s="1"/>
  <c r="BC430" i="6"/>
  <c r="AX472" i="6"/>
  <c r="BS1165" i="6"/>
  <c r="BU1164" i="6" s="1"/>
  <c r="BT1108" i="6"/>
  <c r="BU1108" i="6" s="1"/>
  <c r="BV1108" i="6" s="1"/>
  <c r="AR304" i="6"/>
  <c r="CG1109" i="6"/>
  <c r="CG1166" i="6" s="1"/>
  <c r="DB823" i="6"/>
  <c r="BK872" i="6"/>
  <c r="DB872" i="6" s="1"/>
  <c r="HQ827" i="42425" s="1"/>
  <c r="HQ829" i="42425" s="1"/>
  <c r="AF175" i="6"/>
  <c r="AG169" i="6"/>
  <c r="AG175" i="6" s="1"/>
  <c r="AD144" i="6"/>
  <c r="AG135" i="6"/>
  <c r="CV135" i="6" s="1"/>
  <c r="AG95" i="6"/>
  <c r="N26" i="42425"/>
  <c r="N28" i="42425" s="1"/>
  <c r="AG94" i="6"/>
  <c r="CV94" i="6" s="1"/>
  <c r="H8" i="42453"/>
  <c r="H13" i="42453" s="1"/>
  <c r="CV88" i="6"/>
  <c r="AN1263" i="6"/>
  <c r="BE1152" i="6"/>
  <c r="DG390" i="6"/>
  <c r="CC390" i="6"/>
  <c r="CD390" i="6" s="1"/>
  <c r="CE390" i="6" s="1"/>
  <c r="CF390" i="6" s="1"/>
  <c r="CG390" i="6" s="1"/>
  <c r="E153" i="6"/>
  <c r="E155" i="6" s="1"/>
  <c r="E157" i="6" s="1"/>
  <c r="E1345" i="6"/>
  <c r="E162" i="6"/>
  <c r="E163" i="6" s="1"/>
  <c r="Z144" i="6"/>
  <c r="DA336" i="6"/>
  <c r="BF337" i="6"/>
  <c r="DA337" i="6" s="1"/>
  <c r="AR60" i="42416"/>
  <c r="AR62" i="42416" s="1"/>
  <c r="AR63" i="42416" s="1"/>
  <c r="AS58" i="42416"/>
  <c r="U750" i="6"/>
  <c r="U751" i="6" s="1"/>
  <c r="U358" i="6"/>
  <c r="U360" i="6" s="1"/>
  <c r="U492" i="6" s="1"/>
  <c r="BQ1176" i="6"/>
  <c r="BQ1285" i="6"/>
  <c r="BQ1141" i="6"/>
  <c r="BR1084" i="6"/>
  <c r="AD1028" i="6"/>
  <c r="AD1046" i="6" s="1"/>
  <c r="AG1013" i="6"/>
  <c r="CD66" i="6"/>
  <c r="CC1340" i="6"/>
  <c r="M118" i="6"/>
  <c r="CR116" i="6"/>
  <c r="M1262" i="6"/>
  <c r="CR1262" i="6" s="1"/>
  <c r="BE1114" i="6"/>
  <c r="BE1224" i="6" s="1"/>
  <c r="N162" i="6"/>
  <c r="N163" i="6" s="1"/>
  <c r="N153" i="6"/>
  <c r="N155" i="6" s="1"/>
  <c r="N157" i="6" s="1"/>
  <c r="N1345" i="6"/>
  <c r="I162" i="6"/>
  <c r="I163" i="6" s="1"/>
  <c r="I1345" i="6"/>
  <c r="I153" i="6"/>
  <c r="I155" i="6" s="1"/>
  <c r="I157" i="6" s="1"/>
  <c r="BI585" i="6"/>
  <c r="BI582" i="6"/>
  <c r="V144" i="6"/>
  <c r="F38" i="42453"/>
  <c r="BH362" i="6"/>
  <c r="BH363" i="6" s="1"/>
  <c r="BG753" i="6"/>
  <c r="CG1140" i="6"/>
  <c r="CG1139" i="6"/>
  <c r="CG941" i="6"/>
  <c r="CG1164" i="6"/>
  <c r="CG1142" i="6"/>
  <c r="CF959" i="6"/>
  <c r="CF954" i="6"/>
  <c r="CF77" i="6" s="1"/>
  <c r="CF1342" i="6" s="1"/>
  <c r="BR125" i="42290"/>
  <c r="BR142" i="42290" s="1"/>
  <c r="BR144" i="42290" s="1"/>
  <c r="BM142" i="42290"/>
  <c r="BM144" i="42290" s="1"/>
  <c r="R169" i="6"/>
  <c r="R175" i="6" s="1"/>
  <c r="Q175" i="6"/>
  <c r="S1097" i="6"/>
  <c r="S1153" i="6" s="1"/>
  <c r="CS1097" i="6"/>
  <c r="AA922" i="6"/>
  <c r="AA909" i="6"/>
  <c r="AK302" i="6"/>
  <c r="AL301" i="6"/>
  <c r="AL303" i="6" s="1"/>
  <c r="CZ750" i="6"/>
  <c r="CD1296" i="6"/>
  <c r="CE1293" i="6"/>
  <c r="BE25" i="42290"/>
  <c r="AZ37" i="42290"/>
  <c r="AZ39" i="42290" s="1"/>
  <c r="AP1093" i="6"/>
  <c r="AP1149" i="6" s="1"/>
  <c r="U476" i="6"/>
  <c r="U426" i="6"/>
  <c r="U489" i="6" s="1"/>
  <c r="U490" i="6" s="1"/>
  <c r="AI497" i="6"/>
  <c r="AI513" i="6"/>
  <c r="AI1188" i="6" s="1"/>
  <c r="Y922" i="6"/>
  <c r="Y909" i="6"/>
  <c r="BD1127" i="6"/>
  <c r="O34" i="42457"/>
  <c r="DA1096" i="6"/>
  <c r="BG1096" i="6"/>
  <c r="BG1152" i="6" s="1"/>
  <c r="AY591" i="6"/>
  <c r="AY590" i="6"/>
  <c r="AO1149" i="6"/>
  <c r="AV28" i="42416"/>
  <c r="AS70" i="42416"/>
  <c r="AS71" i="42416" s="1"/>
  <c r="AU36" i="42416"/>
  <c r="AU38" i="42416" s="1"/>
  <c r="AU39" i="42416" s="1"/>
  <c r="AU50" i="42416"/>
  <c r="AU43" i="42416"/>
  <c r="AU45" i="42416" s="1"/>
  <c r="AU46" i="42416" s="1"/>
  <c r="V357" i="6"/>
  <c r="V413" i="6"/>
  <c r="W413" i="6" s="1"/>
  <c r="W392" i="6"/>
  <c r="V405" i="6"/>
  <c r="G54" i="42473"/>
  <c r="BC123" i="6"/>
  <c r="BG1263" i="6" s="1"/>
  <c r="BF118" i="6"/>
  <c r="DA118" i="6" s="1"/>
  <c r="D43" i="42432"/>
  <c r="AD100" i="6"/>
  <c r="CF1166" i="6"/>
  <c r="BQ25" i="42290"/>
  <c r="BQ37" i="42290" s="1"/>
  <c r="BQ39" i="42290" s="1"/>
  <c r="BL37" i="42290"/>
  <c r="BL39" i="42290" s="1"/>
  <c r="AT75" i="42416"/>
  <c r="AT76" i="42416" s="1"/>
  <c r="AT78" i="42416" s="1"/>
  <c r="AT79" i="42416" s="1"/>
  <c r="AT52" i="42416"/>
  <c r="AT53" i="42416" s="1"/>
  <c r="AT55" i="42416" s="1"/>
  <c r="BD37" i="42290"/>
  <c r="BD39" i="42290" s="1"/>
  <c r="BI25" i="42290"/>
  <c r="AG90" i="6"/>
  <c r="AG1332" i="6"/>
  <c r="CV1332" i="6" s="1"/>
  <c r="AG91" i="6"/>
  <c r="CV91" i="6" s="1"/>
  <c r="CV84" i="6"/>
  <c r="R90" i="6"/>
  <c r="R91" i="6"/>
  <c r="CS91" i="6" s="1"/>
  <c r="CS84" i="6"/>
  <c r="R1332" i="6"/>
  <c r="CS1332" i="6" s="1"/>
  <c r="R1013" i="6"/>
  <c r="BK805" i="6"/>
  <c r="BK803" i="6"/>
  <c r="DB803" i="6" s="1"/>
  <c r="DB802" i="6"/>
  <c r="BG331" i="6"/>
  <c r="BG336" i="6" s="1"/>
  <c r="BG337" i="6" s="1"/>
  <c r="Z922" i="6"/>
  <c r="Z909" i="6"/>
  <c r="BE1347" i="6"/>
  <c r="CT88" i="6"/>
  <c r="W95" i="6"/>
  <c r="BG363" i="6"/>
  <c r="BD667" i="6"/>
  <c r="AY667" i="6"/>
  <c r="CF1198" i="6"/>
  <c r="CE1207" i="6"/>
  <c r="CE1032" i="6" s="1"/>
  <c r="CE1035" i="6" s="1"/>
  <c r="W1028" i="6"/>
  <c r="CT1013" i="6"/>
  <c r="O144" i="6"/>
  <c r="R135" i="6"/>
  <c r="CS135" i="6" s="1"/>
  <c r="BT127" i="6"/>
  <c r="BJ286" i="6"/>
  <c r="BI288" i="6"/>
  <c r="BI289" i="6" s="1"/>
  <c r="BI294" i="6" s="1"/>
  <c r="BI295" i="6" s="1"/>
  <c r="DA1149" i="6"/>
  <c r="AP1096" i="6"/>
  <c r="AQ1096" i="6" s="1"/>
  <c r="BG1093" i="6"/>
  <c r="DA1093" i="6"/>
  <c r="AN496" i="6"/>
  <c r="BR104" i="6"/>
  <c r="BS104" i="6" s="1"/>
  <c r="DD1100" i="6"/>
  <c r="T360" i="6"/>
  <c r="T492" i="6" s="1"/>
  <c r="T493" i="6" s="1"/>
  <c r="BG1027" i="6"/>
  <c r="BG1028" i="6" s="1"/>
  <c r="DB362" i="6"/>
  <c r="BP362" i="6"/>
  <c r="BP363" i="6" s="1"/>
  <c r="DC363" i="6" s="1"/>
  <c r="BL362" i="6"/>
  <c r="J88" i="6"/>
  <c r="J103" i="6"/>
  <c r="J84" i="6"/>
  <c r="AS489" i="6"/>
  <c r="AS490" i="6" s="1"/>
  <c r="AS468" i="6"/>
  <c r="AS495" i="6"/>
  <c r="AF295" i="6"/>
  <c r="AK295" i="6"/>
  <c r="CR80" i="6"/>
  <c r="M1220" i="6"/>
  <c r="M1211" i="6"/>
  <c r="CR1211" i="6" s="1"/>
  <c r="M82" i="6"/>
  <c r="BN90" i="6"/>
  <c r="BN88" i="6"/>
  <c r="BN91" i="6"/>
  <c r="BL53" i="6"/>
  <c r="BL21" i="6"/>
  <c r="BG52" i="6"/>
  <c r="BG71" i="6"/>
  <c r="BG34" i="6"/>
  <c r="BG56" i="6"/>
  <c r="BG23" i="6"/>
  <c r="P14" i="42473"/>
  <c r="N15" i="42473"/>
  <c r="L14" i="42473"/>
  <c r="C50" i="42473"/>
  <c r="C26" i="42473"/>
  <c r="Q14" i="42473"/>
  <c r="U14" i="42473"/>
  <c r="BM21" i="6"/>
  <c r="L50" i="42464"/>
  <c r="G50" i="42464"/>
  <c r="L26" i="42464"/>
  <c r="G26" i="42464"/>
  <c r="BP29" i="6"/>
  <c r="AU555" i="6" l="1"/>
  <c r="AU553" i="6"/>
  <c r="HN725" i="42458"/>
  <c r="HP727" i="42458"/>
  <c r="BX503" i="6"/>
  <c r="HN729" i="42458"/>
  <c r="HO725" i="42458"/>
  <c r="HO729" i="42458"/>
  <c r="HR729" i="42458"/>
  <c r="HR725" i="42458"/>
  <c r="DA408" i="6"/>
  <c r="AX586" i="6"/>
  <c r="AX589" i="6"/>
  <c r="AX708" i="6" s="1"/>
  <c r="BC582" i="6"/>
  <c r="BH581" i="6"/>
  <c r="BC585" i="6"/>
  <c r="BD1286" i="6"/>
  <c r="BD1289" i="6" s="1"/>
  <c r="BD1290" i="6" s="1"/>
  <c r="K37" i="42473"/>
  <c r="K40" i="42473" s="1"/>
  <c r="K43" i="42473" s="1"/>
  <c r="L37" i="42473"/>
  <c r="L40" i="42473" s="1"/>
  <c r="F37" i="42473"/>
  <c r="F40" i="42473" s="1"/>
  <c r="F43" i="42473" s="1"/>
  <c r="G37" i="42473"/>
  <c r="G40" i="42473" s="1"/>
  <c r="G43" i="42473" s="1"/>
  <c r="C40" i="42473"/>
  <c r="C43" i="42473" s="1"/>
  <c r="D35" i="42443"/>
  <c r="D38" i="42443" s="1"/>
  <c r="F32" i="42443"/>
  <c r="F35" i="42443" s="1"/>
  <c r="F38" i="42443" s="1"/>
  <c r="G32" i="42443"/>
  <c r="G35" i="42443" s="1"/>
  <c r="G38" i="42443" s="1"/>
  <c r="W169" i="6"/>
  <c r="W175" i="6" s="1"/>
  <c r="BJ292" i="6"/>
  <c r="BE489" i="6"/>
  <c r="BE490" i="6" s="1"/>
  <c r="AJ295" i="6"/>
  <c r="BF750" i="6"/>
  <c r="DA750" i="6" s="1"/>
  <c r="AT296" i="42290"/>
  <c r="AP909" i="6"/>
  <c r="AP911" i="6" s="1"/>
  <c r="BA547" i="6"/>
  <c r="AT721" i="6"/>
  <c r="AO723" i="6"/>
  <c r="AO724" i="6" s="1"/>
  <c r="BC35" i="6"/>
  <c r="AV549" i="6"/>
  <c r="AO1281" i="6"/>
  <c r="AP1136" i="6" s="1"/>
  <c r="BG384" i="6"/>
  <c r="BG356" i="6"/>
  <c r="AH922" i="6"/>
  <c r="CD31" i="6"/>
  <c r="CD838" i="6"/>
  <c r="CE837" i="6"/>
  <c r="CE835" i="6"/>
  <c r="BG357" i="6"/>
  <c r="BG750" i="6" s="1"/>
  <c r="BH388" i="6"/>
  <c r="BH405" i="6" s="1"/>
  <c r="BG409" i="6"/>
  <c r="BG472" i="6" s="1"/>
  <c r="CE842" i="6"/>
  <c r="CE50" i="6"/>
  <c r="CF831" i="6"/>
  <c r="CF834" i="6" s="1"/>
  <c r="CF840" i="6"/>
  <c r="CF829" i="6"/>
  <c r="CF19" i="6"/>
  <c r="CS909" i="6"/>
  <c r="BC34" i="6"/>
  <c r="BF426" i="6"/>
  <c r="DA426" i="6" s="1"/>
  <c r="BD301" i="6"/>
  <c r="BD303" i="6" s="1"/>
  <c r="BD304" i="6" s="1"/>
  <c r="BE302" i="6"/>
  <c r="CG831" i="6"/>
  <c r="CG834" i="6" s="1"/>
  <c r="CG19" i="6"/>
  <c r="CG829" i="6"/>
  <c r="CG840" i="6"/>
  <c r="AZ23" i="6"/>
  <c r="AZ71" i="6"/>
  <c r="AZ56" i="6"/>
  <c r="BB170" i="6"/>
  <c r="AZ52" i="6"/>
  <c r="D26" i="42471"/>
  <c r="D50" i="42471"/>
  <c r="W46" i="42457"/>
  <c r="W9" i="42457"/>
  <c r="BA21" i="6"/>
  <c r="BA53" i="6"/>
  <c r="AD1160" i="6"/>
  <c r="AE1104" i="6"/>
  <c r="AF1104" i="6" s="1"/>
  <c r="X1347" i="6"/>
  <c r="X1252" i="6"/>
  <c r="FT641" i="42458"/>
  <c r="FT643" i="42458" s="1"/>
  <c r="FT644" i="42458" s="1"/>
  <c r="FT646" i="42458" s="1"/>
  <c r="CZ503" i="6"/>
  <c r="BA505" i="6"/>
  <c r="CZ505" i="6" s="1"/>
  <c r="K33" i="42437"/>
  <c r="K36" i="42437" s="1"/>
  <c r="K39" i="42437" s="1"/>
  <c r="L33" i="42437"/>
  <c r="L36" i="42437" s="1"/>
  <c r="G33" i="42437"/>
  <c r="G36" i="42437" s="1"/>
  <c r="G39" i="42437" s="1"/>
  <c r="C36" i="42437"/>
  <c r="C39" i="42437" s="1"/>
  <c r="F33" i="42437"/>
  <c r="F36" i="42437" s="1"/>
  <c r="F39" i="42437" s="1"/>
  <c r="K55" i="42437"/>
  <c r="L55" i="42437"/>
  <c r="G55" i="42437"/>
  <c r="F55" i="42437"/>
  <c r="BI625" i="6"/>
  <c r="BI624" i="6"/>
  <c r="C25" i="42461"/>
  <c r="L14" i="42461"/>
  <c r="Q14" i="42461"/>
  <c r="C49" i="42461"/>
  <c r="G14" i="42461"/>
  <c r="U14" i="42461"/>
  <c r="P14" i="42461"/>
  <c r="N15" i="42461"/>
  <c r="CZ30" i="6"/>
  <c r="BA33" i="6"/>
  <c r="BE142" i="42290"/>
  <c r="BE144" i="42290" s="1"/>
  <c r="BJ125" i="42290"/>
  <c r="BG142" i="42290"/>
  <c r="BG144" i="42290" s="1"/>
  <c r="BL125" i="42290"/>
  <c r="BL70" i="6"/>
  <c r="BL80" i="6" s="1"/>
  <c r="BO62" i="6"/>
  <c r="BL113" i="6"/>
  <c r="BL116" i="6" s="1"/>
  <c r="BL118" i="6" s="1"/>
  <c r="BL123" i="6" s="1"/>
  <c r="BL1259" i="6"/>
  <c r="BL1261" i="6" s="1"/>
  <c r="BL60" i="6"/>
  <c r="W12" i="42457"/>
  <c r="BN167" i="6"/>
  <c r="BL57" i="6"/>
  <c r="BM167" i="6"/>
  <c r="BL167" i="6"/>
  <c r="Y1114" i="6"/>
  <c r="Y1127" i="6" s="1"/>
  <c r="Z1093" i="6"/>
  <c r="Y1224" i="6"/>
  <c r="Y1149" i="6"/>
  <c r="Y1170" i="6" s="1"/>
  <c r="Y1172" i="6" s="1"/>
  <c r="AO142" i="6"/>
  <c r="AO147" i="6"/>
  <c r="AP1162" i="6"/>
  <c r="AQ1162" i="6" s="1"/>
  <c r="AZ33" i="6"/>
  <c r="AZ35" i="6" s="1"/>
  <c r="BE1281" i="6"/>
  <c r="BE1282" i="6" s="1"/>
  <c r="BE1286" i="6"/>
  <c r="BE1289" i="6" s="1"/>
  <c r="BE1290" i="6" s="1"/>
  <c r="F8" i="42453"/>
  <c r="F13" i="42453" s="1"/>
  <c r="AS721" i="6"/>
  <c r="CN847" i="6"/>
  <c r="CO847" i="6" s="1"/>
  <c r="BT104" i="6"/>
  <c r="BU104" i="6" s="1"/>
  <c r="BV104" i="6" s="1"/>
  <c r="BU103" i="6"/>
  <c r="AN1170" i="6"/>
  <c r="AN1172" i="6" s="1"/>
  <c r="AN1271" i="6" s="1"/>
  <c r="AN1275" i="6" s="1"/>
  <c r="BC547" i="6"/>
  <c r="Z208" i="42458"/>
  <c r="Z210" i="42458" s="1"/>
  <c r="Z247" i="42458" s="1"/>
  <c r="Z249" i="42458" s="1"/>
  <c r="AX552" i="6"/>
  <c r="D15" i="42421"/>
  <c r="I15" i="42421"/>
  <c r="E15" i="42421"/>
  <c r="I59" i="42421"/>
  <c r="E59" i="42421"/>
  <c r="D59" i="42421"/>
  <c r="C55" i="42421"/>
  <c r="I55" i="42421" s="1"/>
  <c r="BY414" i="6"/>
  <c r="BY477" i="6" s="1"/>
  <c r="BZ372" i="6"/>
  <c r="BY413" i="6"/>
  <c r="BY476" i="6" s="1"/>
  <c r="BZ371" i="6"/>
  <c r="BY1145" i="6"/>
  <c r="BZ1145" i="6" s="1"/>
  <c r="BZ1089" i="6"/>
  <c r="CA1089" i="6" s="1"/>
  <c r="CN1089" i="6"/>
  <c r="CO1089" i="6" s="1"/>
  <c r="BZ1101" i="6"/>
  <c r="CN1101" i="6"/>
  <c r="CO1101" i="6" s="1"/>
  <c r="CE75" i="6"/>
  <c r="CD1341" i="6"/>
  <c r="CD114" i="6"/>
  <c r="CD119" i="6" s="1"/>
  <c r="CA1110" i="6"/>
  <c r="DF1075" i="6"/>
  <c r="CB1075" i="6"/>
  <c r="BZ847" i="6"/>
  <c r="CN1186" i="6"/>
  <c r="CO1186" i="6" s="1"/>
  <c r="BZ1186" i="6"/>
  <c r="BW853" i="6"/>
  <c r="BW856" i="6" s="1"/>
  <c r="BY1157" i="6"/>
  <c r="BV856" i="6"/>
  <c r="BZ1167" i="6"/>
  <c r="CN1167" i="6"/>
  <c r="CO1167" i="6" s="1"/>
  <c r="BV136" i="6"/>
  <c r="BV1014" i="6"/>
  <c r="CB1147" i="6"/>
  <c r="CC1091" i="6"/>
  <c r="CD1091" i="6" s="1"/>
  <c r="CE1091" i="6" s="1"/>
  <c r="CF1091" i="6" s="1"/>
  <c r="CG1091" i="6" s="1"/>
  <c r="CE339" i="6"/>
  <c r="CD11" i="6"/>
  <c r="DG1068" i="6"/>
  <c r="CC1068" i="6"/>
  <c r="CD1068" i="6" s="1"/>
  <c r="CE1068" i="6" s="1"/>
  <c r="CF1068" i="6" s="1"/>
  <c r="CG1068" i="6" s="1"/>
  <c r="DF10" i="6"/>
  <c r="R910" i="6"/>
  <c r="CS910" i="6" s="1"/>
  <c r="Y208" i="42458"/>
  <c r="Y216" i="42458" s="1"/>
  <c r="Y229" i="42458" s="1"/>
  <c r="Y240" i="42458" s="1"/>
  <c r="Y242" i="42458" s="1"/>
  <c r="Y244" i="42458" s="1"/>
  <c r="N100" i="42458"/>
  <c r="AA255" i="42458" s="1"/>
  <c r="AA258" i="42458" s="1"/>
  <c r="AN720" i="6"/>
  <c r="AX548" i="6"/>
  <c r="AX705" i="6"/>
  <c r="AX706" i="6" s="1"/>
  <c r="W911" i="6"/>
  <c r="CT911" i="6" s="1"/>
  <c r="BD261" i="42290"/>
  <c r="AA208" i="42458"/>
  <c r="AA216" i="42458" s="1"/>
  <c r="AA229" i="42458" s="1"/>
  <c r="AA240" i="42458" s="1"/>
  <c r="AA242" i="42458" s="1"/>
  <c r="AA244" i="42458" s="1"/>
  <c r="AX553" i="6"/>
  <c r="AX557" i="6"/>
  <c r="BH118" i="6"/>
  <c r="BK116" i="6"/>
  <c r="DB116" i="6" s="1"/>
  <c r="X17" i="42457"/>
  <c r="S17" i="42457"/>
  <c r="DA70" i="6"/>
  <c r="D7" i="42419"/>
  <c r="D15" i="42419" s="1"/>
  <c r="D17" i="42419" s="1"/>
  <c r="CB137" i="6"/>
  <c r="DG137" i="6" s="1"/>
  <c r="DG1024" i="6"/>
  <c r="CC1024" i="6"/>
  <c r="AC1152" i="6"/>
  <c r="AG1152" i="6" s="1"/>
  <c r="CV1152" i="6" s="1"/>
  <c r="V16" i="42457"/>
  <c r="V72" i="42457"/>
  <c r="V75" i="42457" s="1"/>
  <c r="V76" i="42457" s="1"/>
  <c r="V79" i="42457" s="1"/>
  <c r="V82" i="42457" s="1"/>
  <c r="V13" i="42457"/>
  <c r="DB70" i="6"/>
  <c r="E7" i="42419"/>
  <c r="E15" i="42419" s="1"/>
  <c r="E17" i="42419" s="1"/>
  <c r="BM909" i="6"/>
  <c r="BM922" i="6"/>
  <c r="BG909" i="6"/>
  <c r="BG922" i="6"/>
  <c r="BH909" i="6"/>
  <c r="BH910" i="6" s="1"/>
  <c r="BH922" i="6"/>
  <c r="BY859" i="6"/>
  <c r="BY865" i="6" s="1"/>
  <c r="BY850" i="6"/>
  <c r="BY1106" i="6"/>
  <c r="BV473" i="6"/>
  <c r="BV475" i="6"/>
  <c r="CA1191" i="6"/>
  <c r="DE1191" i="6"/>
  <c r="DF1192" i="6"/>
  <c r="CB1192" i="6"/>
  <c r="BJ1153" i="6"/>
  <c r="BK1153" i="6" s="1"/>
  <c r="DB1153" i="6" s="1"/>
  <c r="BW149" i="6"/>
  <c r="BW1333" i="6"/>
  <c r="D39" i="42474"/>
  <c r="G33" i="42474"/>
  <c r="L33" i="42474"/>
  <c r="C39" i="42474"/>
  <c r="P17" i="42457"/>
  <c r="U17" i="42457"/>
  <c r="BL909" i="6"/>
  <c r="BL922" i="6"/>
  <c r="BI909" i="6"/>
  <c r="BI922" i="6"/>
  <c r="AN909" i="6"/>
  <c r="AN922" i="6"/>
  <c r="BC1215" i="6"/>
  <c r="BC84" i="6"/>
  <c r="CA334" i="6"/>
  <c r="DE334" i="6"/>
  <c r="BW1100" i="6"/>
  <c r="BW1156" i="6" s="1"/>
  <c r="BF82" i="6"/>
  <c r="DA82" i="6" s="1"/>
  <c r="BW1108" i="6"/>
  <c r="BV1165" i="6"/>
  <c r="CI496" i="42458"/>
  <c r="CH500" i="42458"/>
  <c r="CI501" i="42458" s="1"/>
  <c r="M97" i="42458"/>
  <c r="M116" i="42458" s="1"/>
  <c r="M120" i="42458" s="1"/>
  <c r="Q16" i="42457"/>
  <c r="Q17" i="42457" s="1"/>
  <c r="Q72" i="42457"/>
  <c r="Q75" i="42457" s="1"/>
  <c r="Q76" i="42457" s="1"/>
  <c r="Q79" i="42457" s="1"/>
  <c r="Q82" i="42457" s="1"/>
  <c r="Q13" i="42457"/>
  <c r="BX477" i="6"/>
  <c r="BX476" i="6"/>
  <c r="L32" i="42471"/>
  <c r="G32" i="42471"/>
  <c r="K32" i="42471"/>
  <c r="C37" i="42471"/>
  <c r="BY1076" i="6"/>
  <c r="BX1079" i="6"/>
  <c r="BF1211" i="6"/>
  <c r="DA1211" i="6" s="1"/>
  <c r="DA80" i="6"/>
  <c r="BE1215" i="6"/>
  <c r="BE84" i="6"/>
  <c r="BJ922" i="6"/>
  <c r="BJ909" i="6"/>
  <c r="BJ910" i="6" s="1"/>
  <c r="BX859" i="6"/>
  <c r="BX865" i="6" s="1"/>
  <c r="BX850" i="6"/>
  <c r="BZ850" i="6" s="1"/>
  <c r="BV411" i="6"/>
  <c r="BW369" i="6"/>
  <c r="BW410" i="6"/>
  <c r="BW473" i="6" s="1"/>
  <c r="BX368" i="6"/>
  <c r="BX370" i="6"/>
  <c r="BW412" i="6"/>
  <c r="BW475" i="6" s="1"/>
  <c r="BH84" i="6"/>
  <c r="BK82" i="6"/>
  <c r="BK1211" i="6"/>
  <c r="DB1211" i="6" s="1"/>
  <c r="DB80" i="6"/>
  <c r="BY1103" i="6"/>
  <c r="DB1097" i="6"/>
  <c r="BL1097" i="6"/>
  <c r="BX1040" i="6"/>
  <c r="BY1040" i="6"/>
  <c r="BX1099" i="6"/>
  <c r="BX1155" i="6" s="1"/>
  <c r="H290" i="42290"/>
  <c r="I290" i="42290"/>
  <c r="I292" i="42290" s="1"/>
  <c r="I294" i="42290" s="1"/>
  <c r="J290" i="42290"/>
  <c r="J292" i="42290" s="1"/>
  <c r="J294" i="42290" s="1"/>
  <c r="K290" i="42290"/>
  <c r="K292" i="42290" s="1"/>
  <c r="K294" i="42290" s="1"/>
  <c r="L292" i="42290"/>
  <c r="L294" i="42290" s="1"/>
  <c r="M889" i="6"/>
  <c r="CR889" i="6" s="1"/>
  <c r="R889" i="6"/>
  <c r="CS889" i="6" s="1"/>
  <c r="CR888" i="6"/>
  <c r="D39" i="42475"/>
  <c r="G33" i="42475"/>
  <c r="BR1190" i="6"/>
  <c r="AL894" i="6"/>
  <c r="CW884" i="6"/>
  <c r="AJ103" i="6"/>
  <c r="AJ84" i="6"/>
  <c r="AI910" i="6"/>
  <c r="AI911" i="6"/>
  <c r="AM883" i="6"/>
  <c r="AL880" i="6"/>
  <c r="CW880" i="6" s="1"/>
  <c r="CW883" i="6"/>
  <c r="AK884" i="6"/>
  <c r="AK894" i="6" s="1"/>
  <c r="AK895" i="6" s="1"/>
  <c r="J1082" i="6"/>
  <c r="J1161" i="6"/>
  <c r="K1152" i="6"/>
  <c r="L1096" i="6"/>
  <c r="M1096" i="6" s="1"/>
  <c r="K1106" i="6"/>
  <c r="BK616" i="6"/>
  <c r="AS723" i="6"/>
  <c r="AS724" i="6" s="1"/>
  <c r="AS720" i="6"/>
  <c r="BO1187" i="6"/>
  <c r="BJ1190" i="6"/>
  <c r="BS1187" i="6"/>
  <c r="BN1190" i="6"/>
  <c r="BP1187" i="6"/>
  <c r="DC1187" i="6" s="1"/>
  <c r="BK1190" i="6"/>
  <c r="DB1190" i="6" s="1"/>
  <c r="BS125" i="42290"/>
  <c r="BS142" i="42290" s="1"/>
  <c r="BS144" i="42290" s="1"/>
  <c r="BN142" i="42290"/>
  <c r="BN144" i="42290" s="1"/>
  <c r="BI292" i="6"/>
  <c r="DE861" i="6"/>
  <c r="BP125" i="42290"/>
  <c r="BP142" i="42290" s="1"/>
  <c r="BP144" i="42290" s="1"/>
  <c r="BK142" i="42290"/>
  <c r="BK144" i="42290" s="1"/>
  <c r="BU254" i="42290"/>
  <c r="BT257" i="42290"/>
  <c r="BG1149" i="6"/>
  <c r="W92" i="6"/>
  <c r="CT92" i="6" s="1"/>
  <c r="HQ830" i="42425"/>
  <c r="AA1150" i="6"/>
  <c r="AB1150" i="6" s="1"/>
  <c r="CU1150" i="6" s="1"/>
  <c r="AC1094" i="6"/>
  <c r="AD1150" i="6" s="1"/>
  <c r="CU1094" i="6"/>
  <c r="EG592" i="42458"/>
  <c r="EG604" i="42458" s="1"/>
  <c r="EG605" i="42458" s="1"/>
  <c r="BC447" i="6"/>
  <c r="DZ592" i="42458"/>
  <c r="DZ604" i="42458" s="1"/>
  <c r="ED592" i="42458"/>
  <c r="ED604" i="42458" s="1"/>
  <c r="ED605" i="42458" s="1"/>
  <c r="DA503" i="6"/>
  <c r="BF505" i="6"/>
  <c r="DA505" i="6" s="1"/>
  <c r="DA805" i="6"/>
  <c r="BF806" i="6"/>
  <c r="DA806" i="6" s="1"/>
  <c r="ES609" i="42458"/>
  <c r="AF153" i="6"/>
  <c r="AF155" i="6" s="1"/>
  <c r="AF157" i="6" s="1"/>
  <c r="CD434" i="6"/>
  <c r="BX80" i="42290"/>
  <c r="BX84" i="42290" s="1"/>
  <c r="BX87" i="42290" s="1"/>
  <c r="AF1345" i="6"/>
  <c r="BL655" i="6"/>
  <c r="BL657" i="6"/>
  <c r="BL654" i="6"/>
  <c r="BG658" i="6"/>
  <c r="BG659" i="6"/>
  <c r="BE33" i="6"/>
  <c r="BF30" i="6"/>
  <c r="DA30" i="6" s="1"/>
  <c r="BL34" i="6"/>
  <c r="AW720" i="6"/>
  <c r="BQ800" i="6"/>
  <c r="BJ621" i="6"/>
  <c r="BJ623" i="6"/>
  <c r="BK623" i="6" s="1"/>
  <c r="BJ620" i="6"/>
  <c r="BE624" i="6"/>
  <c r="BE625" i="6"/>
  <c r="AM82" i="6"/>
  <c r="AQ82" i="6" s="1"/>
  <c r="AM1220" i="6"/>
  <c r="AM1211" i="6"/>
  <c r="DE429" i="6"/>
  <c r="CA429" i="6"/>
  <c r="AV34" i="6"/>
  <c r="CY34" i="6" s="1"/>
  <c r="CY33" i="6"/>
  <c r="AV35" i="6"/>
  <c r="CY35" i="6" s="1"/>
  <c r="CW70" i="6"/>
  <c r="AL71" i="6"/>
  <c r="CW71" i="6" s="1"/>
  <c r="F33" i="42432"/>
  <c r="F36" i="42432" s="1"/>
  <c r="F39" i="42432" s="1"/>
  <c r="C36" i="42432"/>
  <c r="C39" i="42432" s="1"/>
  <c r="L33" i="42432"/>
  <c r="L36" i="42432" s="1"/>
  <c r="L39" i="42432" s="1"/>
  <c r="K33" i="42432"/>
  <c r="K36" i="42432" s="1"/>
  <c r="K39" i="42432" s="1"/>
  <c r="G33" i="42432"/>
  <c r="G36" i="42432" s="1"/>
  <c r="G39" i="42432" s="1"/>
  <c r="BJ30" i="6"/>
  <c r="BJ505" i="6"/>
  <c r="L55" i="42432"/>
  <c r="K55" i="42432"/>
  <c r="G55" i="42432"/>
  <c r="F55" i="42432"/>
  <c r="BL621" i="6"/>
  <c r="BL623" i="6"/>
  <c r="BL620" i="6"/>
  <c r="K55" i="42441"/>
  <c r="G55" i="42441"/>
  <c r="F55" i="42441"/>
  <c r="L55" i="42441"/>
  <c r="BE658" i="6"/>
  <c r="BE659" i="6"/>
  <c r="BI505" i="6"/>
  <c r="BI30" i="6"/>
  <c r="BN505" i="6"/>
  <c r="BK503" i="6"/>
  <c r="FV641" i="42458" s="1"/>
  <c r="FV643" i="42458" s="1"/>
  <c r="FV644" i="42458" s="1"/>
  <c r="FV646" i="42458" s="1"/>
  <c r="BQ799" i="6"/>
  <c r="F33" i="42441"/>
  <c r="F36" i="42441" s="1"/>
  <c r="F39" i="42441" s="1"/>
  <c r="L33" i="42441"/>
  <c r="L36" i="42441" s="1"/>
  <c r="L39" i="42441" s="1"/>
  <c r="G33" i="42441"/>
  <c r="G36" i="42441" s="1"/>
  <c r="G39" i="42441" s="1"/>
  <c r="K33" i="42441"/>
  <c r="K36" i="42441" s="1"/>
  <c r="K39" i="42441" s="1"/>
  <c r="C36" i="42441"/>
  <c r="C39" i="42441" s="1"/>
  <c r="F33" i="42442"/>
  <c r="F36" i="42442" s="1"/>
  <c r="F39" i="42442" s="1"/>
  <c r="G33" i="42442"/>
  <c r="G36" i="42442" s="1"/>
  <c r="G39" i="42442" s="1"/>
  <c r="D36" i="42442"/>
  <c r="D39" i="42442" s="1"/>
  <c r="BJ655" i="6"/>
  <c r="BJ654" i="6"/>
  <c r="BJ657" i="6"/>
  <c r="BK657" i="6" s="1"/>
  <c r="AI1220" i="6"/>
  <c r="AI82" i="6"/>
  <c r="AI1211" i="6"/>
  <c r="AL80" i="6"/>
  <c r="G32" i="42448"/>
  <c r="G35" i="42448" s="1"/>
  <c r="G38" i="42448" s="1"/>
  <c r="D35" i="42448"/>
  <c r="D38" i="42448" s="1"/>
  <c r="F32" i="42448"/>
  <c r="F35" i="42448" s="1"/>
  <c r="F38" i="42448" s="1"/>
  <c r="BG624" i="6"/>
  <c r="BG625" i="6"/>
  <c r="AM1281" i="6"/>
  <c r="AN1136" i="6" s="1"/>
  <c r="AQ1136" i="6" s="1"/>
  <c r="CJ1152" i="6" s="1"/>
  <c r="CJ1153" i="6" s="1"/>
  <c r="AM1286" i="6"/>
  <c r="AM1289" i="6" s="1"/>
  <c r="BM30" i="6"/>
  <c r="BM33" i="6" s="1"/>
  <c r="BM35" i="6" s="1"/>
  <c r="BM505" i="6"/>
  <c r="BP503" i="6"/>
  <c r="FW641" i="42458" s="1"/>
  <c r="FW643" i="42458" s="1"/>
  <c r="AI118" i="6"/>
  <c r="AL116" i="6"/>
  <c r="CW116" i="6" s="1"/>
  <c r="AR725" i="6"/>
  <c r="AQ719" i="6"/>
  <c r="AQ720" i="6" s="1"/>
  <c r="BX199" i="42290"/>
  <c r="BI96" i="42290"/>
  <c r="BI98" i="42290" s="1"/>
  <c r="BI100" i="42290" s="1"/>
  <c r="BO430" i="6"/>
  <c r="BO447" i="6" s="1"/>
  <c r="AZ496" i="6"/>
  <c r="AZ497" i="6" s="1"/>
  <c r="BE468" i="6"/>
  <c r="BE495" i="6"/>
  <c r="BK621" i="6"/>
  <c r="BK620" i="6"/>
  <c r="BE1175" i="6"/>
  <c r="BD1178" i="6"/>
  <c r="AW749" i="6"/>
  <c r="AW751" i="6" s="1"/>
  <c r="BX182" i="42290"/>
  <c r="BX183" i="42290"/>
  <c r="BX181" i="42290"/>
  <c r="BZ191" i="42290"/>
  <c r="AO1150" i="6"/>
  <c r="AP1094" i="6"/>
  <c r="AQ1094" i="6" s="1"/>
  <c r="BL1005" i="6"/>
  <c r="Q1063" i="6"/>
  <c r="P1064" i="6"/>
  <c r="P1066" i="6" s="1"/>
  <c r="BM620" i="6"/>
  <c r="BM623" i="6"/>
  <c r="BM621" i="6"/>
  <c r="AW598" i="6"/>
  <c r="AW695" i="6"/>
  <c r="CY749" i="6"/>
  <c r="AV751" i="6"/>
  <c r="CY751" i="6" s="1"/>
  <c r="AZ599" i="6"/>
  <c r="AU599" i="6"/>
  <c r="CE1025" i="6"/>
  <c r="CE138" i="6" s="1"/>
  <c r="CF65" i="6"/>
  <c r="CE1339" i="6"/>
  <c r="DE1188" i="6"/>
  <c r="CA1188" i="6"/>
  <c r="BQ796" i="6"/>
  <c r="BH624" i="6"/>
  <c r="BH625" i="6"/>
  <c r="AV695" i="6"/>
  <c r="AV696" i="6" s="1"/>
  <c r="BW185" i="42290"/>
  <c r="BW187" i="42290" s="1"/>
  <c r="BW203" i="42290"/>
  <c r="BW206" i="42290" s="1"/>
  <c r="BW208" i="42290" s="1"/>
  <c r="AN103" i="6"/>
  <c r="D43" i="42450" s="1"/>
  <c r="AN84" i="6"/>
  <c r="BL291" i="6"/>
  <c r="BL753" i="6" s="1"/>
  <c r="DB291" i="6"/>
  <c r="BF624" i="6"/>
  <c r="BF625" i="6"/>
  <c r="BI1098" i="6"/>
  <c r="BI1154" i="6" s="1"/>
  <c r="AX693" i="6"/>
  <c r="AX749" i="6" s="1"/>
  <c r="AX751" i="6" s="1"/>
  <c r="AY595" i="6"/>
  <c r="AX597" i="6"/>
  <c r="BY171" i="42290"/>
  <c r="BY195" i="42290"/>
  <c r="BY196" i="42290"/>
  <c r="BY197" i="42290"/>
  <c r="BT482" i="6"/>
  <c r="BM655" i="6"/>
  <c r="BM654" i="6"/>
  <c r="BM657" i="6"/>
  <c r="DE39" i="6"/>
  <c r="DE128" i="6"/>
  <c r="BF658" i="6"/>
  <c r="BF659" i="6"/>
  <c r="BM154" i="6"/>
  <c r="BM1351" i="6"/>
  <c r="X50" i="42457"/>
  <c r="BK655" i="6"/>
  <c r="BK654" i="6"/>
  <c r="BH1150" i="6"/>
  <c r="BI1094" i="6"/>
  <c r="CC342" i="6"/>
  <c r="DG342" i="6"/>
  <c r="CB27" i="6"/>
  <c r="DG27" i="6" s="1"/>
  <c r="CB345" i="6"/>
  <c r="BK878" i="6"/>
  <c r="DB877" i="6"/>
  <c r="BL877" i="6"/>
  <c r="DE346" i="6"/>
  <c r="DA1008" i="6"/>
  <c r="BK1008" i="6"/>
  <c r="DB1008" i="6" s="1"/>
  <c r="BH659" i="6"/>
  <c r="BH658" i="6"/>
  <c r="CA39" i="6"/>
  <c r="B9" i="42417" s="1"/>
  <c r="F9" i="42417" s="1"/>
  <c r="DF345" i="6"/>
  <c r="CA346" i="6"/>
  <c r="CA347" i="6"/>
  <c r="DF347" i="6" s="1"/>
  <c r="D44" i="42421"/>
  <c r="E44" i="42421"/>
  <c r="DB978" i="6"/>
  <c r="BK1005" i="6"/>
  <c r="DB1005" i="6" s="1"/>
  <c r="CB204" i="42290"/>
  <c r="CB202" i="42290"/>
  <c r="BR808" i="6"/>
  <c r="BR793" i="6"/>
  <c r="BA334" i="6"/>
  <c r="CZ334" i="6" s="1"/>
  <c r="AP84" i="6"/>
  <c r="AP86" i="6" s="1"/>
  <c r="AP103" i="6"/>
  <c r="D45" i="42452" s="1"/>
  <c r="F45" i="42452" s="1"/>
  <c r="CA202" i="42290"/>
  <c r="CA204" i="42290"/>
  <c r="BQ867" i="6"/>
  <c r="BQ820" i="6"/>
  <c r="AD1347" i="6"/>
  <c r="AD1252" i="6"/>
  <c r="AE1161" i="6"/>
  <c r="AE1224" i="6"/>
  <c r="AE1114" i="6"/>
  <c r="AE1127" i="6" s="1"/>
  <c r="BT782" i="6"/>
  <c r="BT787" i="6" s="1"/>
  <c r="BS787" i="6"/>
  <c r="BD86" i="6"/>
  <c r="BD1013" i="6"/>
  <c r="AK493" i="6"/>
  <c r="AW723" i="6"/>
  <c r="AW725" i="6" s="1"/>
  <c r="U493" i="6"/>
  <c r="BD706" i="6"/>
  <c r="BD719" i="6"/>
  <c r="BD721" i="6" s="1"/>
  <c r="AT724" i="6"/>
  <c r="AT725" i="6"/>
  <c r="BI547" i="6"/>
  <c r="BD551" i="6"/>
  <c r="BD548" i="6"/>
  <c r="AY552" i="6"/>
  <c r="AY553" i="6"/>
  <c r="AY555" i="6"/>
  <c r="AW557" i="6"/>
  <c r="AW556" i="6"/>
  <c r="BG551" i="6"/>
  <c r="BL547" i="6"/>
  <c r="BG548" i="6"/>
  <c r="BB553" i="6"/>
  <c r="BB552" i="6"/>
  <c r="BB555" i="6"/>
  <c r="CB35" i="42290"/>
  <c r="CA35" i="42290"/>
  <c r="CR360" i="6"/>
  <c r="AY720" i="6"/>
  <c r="D37" i="42421"/>
  <c r="AY723" i="6"/>
  <c r="AY724" i="6" s="1"/>
  <c r="AU586" i="6"/>
  <c r="AU587" i="6"/>
  <c r="AU589" i="6"/>
  <c r="AV585" i="6"/>
  <c r="BE493" i="6"/>
  <c r="AZ582" i="6"/>
  <c r="BE581" i="6"/>
  <c r="AZ585" i="6"/>
  <c r="BA581" i="6"/>
  <c r="AV582" i="6"/>
  <c r="AV583" i="6"/>
  <c r="BE921" i="6"/>
  <c r="BD295" i="42290"/>
  <c r="BD296" i="42290"/>
  <c r="CR496" i="6"/>
  <c r="M497" i="6"/>
  <c r="AY493" i="6"/>
  <c r="N497" i="6"/>
  <c r="R496" i="6"/>
  <c r="AH910" i="6"/>
  <c r="AH911" i="6"/>
  <c r="AN96" i="42290"/>
  <c r="AN98" i="42290" s="1"/>
  <c r="AN100" i="42290" s="1"/>
  <c r="AN261" i="42290" s="1"/>
  <c r="AQ430" i="6"/>
  <c r="AQ447" i="6" s="1"/>
  <c r="AO472" i="6"/>
  <c r="AT430" i="6"/>
  <c r="AT447" i="6" s="1"/>
  <c r="AQ295" i="42290"/>
  <c r="AQ296" i="42290"/>
  <c r="AR921" i="6"/>
  <c r="AF96" i="42290"/>
  <c r="AF98" i="42290" s="1"/>
  <c r="AF100" i="42290" s="1"/>
  <c r="AF261" i="42290" s="1"/>
  <c r="F6" i="42425"/>
  <c r="CV430" i="6"/>
  <c r="AG451" i="6"/>
  <c r="CV451" i="6" s="1"/>
  <c r="AZ921" i="6"/>
  <c r="AY296" i="42290"/>
  <c r="AY295" i="42290"/>
  <c r="AV282" i="42290"/>
  <c r="AV288" i="42290" s="1"/>
  <c r="AV294" i="42290" s="1"/>
  <c r="BA283" i="42290"/>
  <c r="BA282" i="42290" s="1"/>
  <c r="BA288" i="42290" s="1"/>
  <c r="BA294" i="42290" s="1"/>
  <c r="AL447" i="6"/>
  <c r="AJ495" i="6"/>
  <c r="AJ468" i="6"/>
  <c r="AJ489" i="6"/>
  <c r="AJ490" i="6" s="1"/>
  <c r="AM909" i="6"/>
  <c r="AM922" i="6"/>
  <c r="AU282" i="42290"/>
  <c r="AE495" i="6"/>
  <c r="AE468" i="6"/>
  <c r="AG447" i="6"/>
  <c r="C6" i="42424" s="1"/>
  <c r="AU909" i="6"/>
  <c r="AU922" i="6"/>
  <c r="BJ367" i="6"/>
  <c r="AG492" i="6"/>
  <c r="CV492" i="6" s="1"/>
  <c r="CV360" i="6"/>
  <c r="AL472" i="6"/>
  <c r="CW472" i="6" s="1"/>
  <c r="AK96" i="42290"/>
  <c r="AK98" i="42290" s="1"/>
  <c r="AK100" i="42290" s="1"/>
  <c r="AK261" i="42290" s="1"/>
  <c r="AL451" i="6"/>
  <c r="CW451" i="6" s="1"/>
  <c r="CW430" i="6"/>
  <c r="AZ719" i="6"/>
  <c r="CS426" i="6"/>
  <c r="R489" i="6"/>
  <c r="CS489" i="6" s="1"/>
  <c r="CW360" i="6"/>
  <c r="AL492" i="6"/>
  <c r="BJ94" i="6"/>
  <c r="C47" i="42475"/>
  <c r="BJ95" i="6"/>
  <c r="BJ135" i="6"/>
  <c r="AW496" i="6"/>
  <c r="AW497" i="6" s="1"/>
  <c r="BI387" i="6"/>
  <c r="BB495" i="6"/>
  <c r="BB468" i="6"/>
  <c r="BB489" i="6"/>
  <c r="BB490" i="6" s="1"/>
  <c r="S497" i="6"/>
  <c r="W496" i="6"/>
  <c r="M230" i="6"/>
  <c r="CR230" i="6" s="1"/>
  <c r="CR229" i="6"/>
  <c r="BL430" i="6"/>
  <c r="BL447" i="6" s="1"/>
  <c r="BF96" i="42290"/>
  <c r="BF98" i="42290" s="1"/>
  <c r="BF100" i="42290" s="1"/>
  <c r="BF261" i="42290" s="1"/>
  <c r="BB719" i="6"/>
  <c r="BB706" i="6"/>
  <c r="BB587" i="6"/>
  <c r="BB589" i="6"/>
  <c r="BB586" i="6"/>
  <c r="BG585" i="6"/>
  <c r="BG705" i="6"/>
  <c r="BG719" i="6" s="1"/>
  <c r="BL581" i="6"/>
  <c r="BG582" i="6"/>
  <c r="E37" i="42421"/>
  <c r="H28" i="42457"/>
  <c r="CV426" i="6"/>
  <c r="CX360" i="6"/>
  <c r="AQ492" i="6"/>
  <c r="AT493" i="6"/>
  <c r="AO493" i="6"/>
  <c r="D11" i="42421"/>
  <c r="CR492" i="6"/>
  <c r="R493" i="6"/>
  <c r="CS493" i="6" s="1"/>
  <c r="M493" i="6"/>
  <c r="CR493" i="6" s="1"/>
  <c r="K493" i="6"/>
  <c r="P493" i="6"/>
  <c r="CR426" i="6"/>
  <c r="M489" i="6"/>
  <c r="BH366" i="6"/>
  <c r="BG408" i="6"/>
  <c r="DA356" i="6"/>
  <c r="BF749" i="6"/>
  <c r="AU493" i="6"/>
  <c r="AP493" i="6"/>
  <c r="BF358" i="6"/>
  <c r="BF360" i="6"/>
  <c r="DA360" i="6" s="1"/>
  <c r="CB178" i="42290"/>
  <c r="AN1276" i="6"/>
  <c r="AN1295" i="6" s="1"/>
  <c r="BQ821" i="6"/>
  <c r="BQ811" i="6"/>
  <c r="BG1095" i="6"/>
  <c r="BG1266" i="6" s="1"/>
  <c r="DA1095" i="6"/>
  <c r="BS788" i="6"/>
  <c r="BT783" i="6"/>
  <c r="BS785" i="6"/>
  <c r="BR809" i="6"/>
  <c r="BR790" i="6"/>
  <c r="BR794" i="6"/>
  <c r="BP806" i="6"/>
  <c r="DC806" i="6" s="1"/>
  <c r="DC805" i="6"/>
  <c r="BC288" i="42290"/>
  <c r="AY753" i="6"/>
  <c r="AZ334" i="6"/>
  <c r="AJ922" i="6"/>
  <c r="AJ909" i="6"/>
  <c r="AO123" i="6"/>
  <c r="AQ118" i="6"/>
  <c r="CX118" i="6" s="1"/>
  <c r="AO84" i="6"/>
  <c r="AO103" i="6"/>
  <c r="D43" i="42451" s="1"/>
  <c r="AS922" i="6"/>
  <c r="AS909" i="6"/>
  <c r="AN724" i="6"/>
  <c r="BA548" i="6"/>
  <c r="BA549" i="6"/>
  <c r="BE548" i="6"/>
  <c r="BJ547" i="6"/>
  <c r="BE551" i="6"/>
  <c r="AU557" i="6"/>
  <c r="AV555" i="6"/>
  <c r="AU556" i="6"/>
  <c r="AV553" i="6"/>
  <c r="AV552" i="6"/>
  <c r="AR1286" i="6"/>
  <c r="AR1289" i="6" s="1"/>
  <c r="AR1290" i="6" s="1"/>
  <c r="AR1281" i="6"/>
  <c r="AR1282" i="6" s="1"/>
  <c r="AS1281" i="6"/>
  <c r="AS1282" i="6" s="1"/>
  <c r="AS1286" i="6"/>
  <c r="AS1289" i="6" s="1"/>
  <c r="AS1290" i="6" s="1"/>
  <c r="AO921" i="6"/>
  <c r="AN296" i="42290"/>
  <c r="AN295" i="42290"/>
  <c r="CV921" i="6"/>
  <c r="AG922" i="6"/>
  <c r="CV922" i="6" s="1"/>
  <c r="AM1276" i="6"/>
  <c r="AM1295" i="6" s="1"/>
  <c r="BB295" i="42290"/>
  <c r="BB296" i="42290"/>
  <c r="BC921" i="6"/>
  <c r="AX288" i="42290"/>
  <c r="AX921" i="6"/>
  <c r="AW295" i="42290"/>
  <c r="AW296" i="42290"/>
  <c r="AQ1098" i="6"/>
  <c r="AP1154" i="6"/>
  <c r="AQ1154" i="6" s="1"/>
  <c r="CX1154" i="6" s="1"/>
  <c r="L49" i="42454"/>
  <c r="G49" i="42454"/>
  <c r="G25" i="42454"/>
  <c r="L25" i="42454"/>
  <c r="CX80" i="6"/>
  <c r="B63" i="42434"/>
  <c r="AA141" i="42434" s="1"/>
  <c r="AQ1220" i="6"/>
  <c r="AA135" i="42434"/>
  <c r="E56" i="42434"/>
  <c r="B57" i="42434"/>
  <c r="AA136" i="42434" s="1"/>
  <c r="CX71" i="6"/>
  <c r="AZ555" i="6"/>
  <c r="AZ553" i="6"/>
  <c r="AZ552" i="6"/>
  <c r="BA551" i="6"/>
  <c r="AS294" i="42290"/>
  <c r="AU288" i="42290"/>
  <c r="AU294" i="42290" s="1"/>
  <c r="AP1286" i="6"/>
  <c r="AP1289" i="6" s="1"/>
  <c r="AP1290" i="6" s="1"/>
  <c r="AP1281" i="6"/>
  <c r="AP1282" i="6" s="1"/>
  <c r="AL1172" i="6"/>
  <c r="CW1172" i="6" s="1"/>
  <c r="AL922" i="6"/>
  <c r="CW922" i="6" s="1"/>
  <c r="CW921" i="6"/>
  <c r="W925" i="6"/>
  <c r="CT925" i="6" s="1"/>
  <c r="CT924" i="6"/>
  <c r="W927" i="6"/>
  <c r="AQ921" i="6"/>
  <c r="AP295" i="42290"/>
  <c r="AP296" i="42290"/>
  <c r="P1099" i="6"/>
  <c r="P1155" i="6" s="1"/>
  <c r="AG909" i="6"/>
  <c r="AE910" i="6"/>
  <c r="AO1095" i="6"/>
  <c r="AN1224" i="6"/>
  <c r="AN1347" i="6" s="1"/>
  <c r="D14" i="42475"/>
  <c r="D56" i="42475"/>
  <c r="G11" i="42468"/>
  <c r="P11" i="42468"/>
  <c r="L11" i="42468"/>
  <c r="Q11" i="42468"/>
  <c r="F11" i="42468"/>
  <c r="F14" i="42468" s="1"/>
  <c r="W20" i="42468"/>
  <c r="C14" i="42468"/>
  <c r="K11" i="42468"/>
  <c r="K14" i="42468" s="1"/>
  <c r="BJ29" i="6"/>
  <c r="BJ16" i="6"/>
  <c r="EG611" i="42458" s="1"/>
  <c r="EG613" i="42458" s="1"/>
  <c r="EG614" i="42458" s="1"/>
  <c r="C11" i="42475"/>
  <c r="BE53" i="6"/>
  <c r="BE21" i="6"/>
  <c r="G11" i="42471"/>
  <c r="W20" i="42471"/>
  <c r="L11" i="42471"/>
  <c r="C54" i="42471"/>
  <c r="P11" i="42471"/>
  <c r="F11" i="42471"/>
  <c r="F14" i="42471" s="1"/>
  <c r="Q11" i="42471"/>
  <c r="C14" i="42471"/>
  <c r="K11" i="42471"/>
  <c r="K14" i="42471" s="1"/>
  <c r="BF688" i="6"/>
  <c r="BF689" i="6"/>
  <c r="Q14" i="42467"/>
  <c r="L14" i="42467"/>
  <c r="U14" i="42467"/>
  <c r="N15" i="42467"/>
  <c r="C26" i="42467"/>
  <c r="G14" i="42467"/>
  <c r="C50" i="42467"/>
  <c r="P14" i="42467"/>
  <c r="BF53" i="6"/>
  <c r="BF21" i="6"/>
  <c r="BK684" i="6"/>
  <c r="BK674" i="6"/>
  <c r="BK680" i="6"/>
  <c r="BH34" i="6"/>
  <c r="BH56" i="6"/>
  <c r="BH52" i="6"/>
  <c r="BH71" i="6"/>
  <c r="BH22" i="6"/>
  <c r="BH23" i="6"/>
  <c r="G14" i="42474"/>
  <c r="Q14" i="42474"/>
  <c r="N15" i="42474"/>
  <c r="L14" i="42474"/>
  <c r="C52" i="42474"/>
  <c r="C26" i="42474"/>
  <c r="U14" i="42474"/>
  <c r="P14" i="42474"/>
  <c r="L56" i="42474"/>
  <c r="G56" i="42474"/>
  <c r="BI16" i="6"/>
  <c r="BK14" i="6"/>
  <c r="BI29" i="6"/>
  <c r="BD33" i="6"/>
  <c r="BD35" i="6" s="1"/>
  <c r="BF29" i="6"/>
  <c r="BD53" i="6"/>
  <c r="BD21" i="6"/>
  <c r="BC56" i="6"/>
  <c r="BC52" i="6"/>
  <c r="BC23" i="6"/>
  <c r="BC22" i="6"/>
  <c r="BC71" i="6"/>
  <c r="BC170" i="6"/>
  <c r="D52" i="42474"/>
  <c r="D26" i="42474"/>
  <c r="BK687" i="6"/>
  <c r="BJ689" i="6"/>
  <c r="BJ688" i="6"/>
  <c r="AB91" i="6"/>
  <c r="CU91" i="6" s="1"/>
  <c r="CF78" i="6"/>
  <c r="CE87" i="6"/>
  <c r="CD1335" i="6"/>
  <c r="CD1336" i="6" s="1"/>
  <c r="CD1343" i="6"/>
  <c r="AW90" i="6"/>
  <c r="AW88" i="6"/>
  <c r="AW1332" i="6"/>
  <c r="AW91" i="6"/>
  <c r="K47" i="42454"/>
  <c r="L47" i="42454"/>
  <c r="O28" i="42457"/>
  <c r="J28" i="42457"/>
  <c r="AB1013" i="6"/>
  <c r="CU1013" i="6" s="1"/>
  <c r="AB90" i="6"/>
  <c r="CU90" i="6" s="1"/>
  <c r="K92" i="6"/>
  <c r="K47" i="42455"/>
  <c r="L47" i="42455"/>
  <c r="L47" i="42459"/>
  <c r="K47" i="42459"/>
  <c r="F47" i="42459"/>
  <c r="G47" i="42459"/>
  <c r="AB1332" i="6"/>
  <c r="CU1332" i="6" s="1"/>
  <c r="T1044" i="6"/>
  <c r="T1046" i="6" s="1"/>
  <c r="AY1332" i="6"/>
  <c r="AY90" i="6"/>
  <c r="AY92" i="6" s="1"/>
  <c r="AY91" i="6"/>
  <c r="AY88" i="6"/>
  <c r="T160" i="6"/>
  <c r="T161" i="6" s="1"/>
  <c r="T151" i="6"/>
  <c r="W135" i="6"/>
  <c r="CT135" i="6" s="1"/>
  <c r="H86" i="6"/>
  <c r="CQ86" i="6" s="1"/>
  <c r="K96" i="6"/>
  <c r="Y160" i="6"/>
  <c r="Y161" i="6" s="1"/>
  <c r="Y151" i="6"/>
  <c r="K151" i="6"/>
  <c r="K160" i="6"/>
  <c r="K161" i="6" s="1"/>
  <c r="F48" i="42464"/>
  <c r="G48" i="42464"/>
  <c r="G48" i="42468"/>
  <c r="F48" i="42468"/>
  <c r="BZ130" i="42290"/>
  <c r="BZ133" i="42290"/>
  <c r="BZ131" i="42290"/>
  <c r="BZ134" i="42290"/>
  <c r="BZ135" i="42290"/>
  <c r="BZ129" i="42290"/>
  <c r="BZ132" i="42290"/>
  <c r="CA124" i="42290"/>
  <c r="CG431" i="6"/>
  <c r="CB124" i="42290" s="1"/>
  <c r="BY137" i="42290"/>
  <c r="BY63" i="42290"/>
  <c r="BY67" i="42290" s="1"/>
  <c r="BY70" i="42290" s="1"/>
  <c r="CE435" i="6"/>
  <c r="CG54" i="6"/>
  <c r="CG108" i="6" s="1"/>
  <c r="CF108" i="6"/>
  <c r="BN92" i="6"/>
  <c r="AT151" i="6"/>
  <c r="AT160" i="6"/>
  <c r="AT161" i="6" s="1"/>
  <c r="S1046" i="6"/>
  <c r="E20" i="42457"/>
  <c r="AT100" i="6"/>
  <c r="AB1335" i="6"/>
  <c r="AB1336" i="6" s="1"/>
  <c r="G35" i="42453"/>
  <c r="G37" i="42453" s="1"/>
  <c r="G38" i="42453" s="1"/>
  <c r="AB1343" i="6"/>
  <c r="CU87" i="6"/>
  <c r="AH151" i="6"/>
  <c r="AH162" i="6" s="1"/>
  <c r="AH163" i="6" s="1"/>
  <c r="AB86" i="6"/>
  <c r="CU86" i="6" s="1"/>
  <c r="AA95" i="6"/>
  <c r="AA100" i="6" s="1"/>
  <c r="AA94" i="6"/>
  <c r="AA135" i="6"/>
  <c r="AA144" i="6" s="1"/>
  <c r="AB144" i="6" s="1"/>
  <c r="AC169" i="6"/>
  <c r="AC175" i="6" s="1"/>
  <c r="AB88" i="6"/>
  <c r="AA169" i="6"/>
  <c r="AD169" i="6"/>
  <c r="AD175" i="6" s="1"/>
  <c r="AE169" i="6"/>
  <c r="AE175" i="6" s="1"/>
  <c r="AZ100" i="6"/>
  <c r="K20" i="42457"/>
  <c r="AU91" i="6"/>
  <c r="AU88" i="6"/>
  <c r="AU90" i="6"/>
  <c r="AZ92" i="6" s="1"/>
  <c r="AU1332" i="6"/>
  <c r="F47" i="42461"/>
  <c r="G47" i="42461"/>
  <c r="BB1263" i="6"/>
  <c r="AY1263" i="6"/>
  <c r="BA123" i="6"/>
  <c r="CZ123" i="6" s="1"/>
  <c r="AZ1263" i="6"/>
  <c r="AX1263" i="6"/>
  <c r="BA103" i="6"/>
  <c r="CZ82" i="6"/>
  <c r="BI135" i="6"/>
  <c r="BI95" i="6"/>
  <c r="BI94" i="6"/>
  <c r="FV521" i="42425"/>
  <c r="FV522" i="42425" s="1"/>
  <c r="FV523" i="42425" s="1"/>
  <c r="FU522" i="42425"/>
  <c r="FU523" i="42425" s="1"/>
  <c r="AS1027" i="6"/>
  <c r="AS1028" i="6" s="1"/>
  <c r="BA1215" i="6"/>
  <c r="AX1218" i="6"/>
  <c r="AY1214" i="6" s="1"/>
  <c r="AY1216" i="6" s="1"/>
  <c r="AY1218" i="6" s="1"/>
  <c r="AZ1214" i="6" s="1"/>
  <c r="AZ1216" i="6" s="1"/>
  <c r="BA1216" i="6" s="1"/>
  <c r="AR91" i="6"/>
  <c r="AR88" i="6"/>
  <c r="AR1332" i="6"/>
  <c r="AR90" i="6"/>
  <c r="L44" i="42461"/>
  <c r="K44" i="42461"/>
  <c r="C46" i="42461"/>
  <c r="G47" i="42454"/>
  <c r="F47" i="42454"/>
  <c r="AX86" i="6"/>
  <c r="AX1013" i="6"/>
  <c r="AX1027" i="6" s="1"/>
  <c r="AX1028" i="6" s="1"/>
  <c r="BA84" i="6"/>
  <c r="D47" i="42471"/>
  <c r="BB90" i="6"/>
  <c r="BB88" i="6"/>
  <c r="BB1332" i="6"/>
  <c r="BB91" i="6"/>
  <c r="L45" i="42452"/>
  <c r="K45" i="42452"/>
  <c r="AV1013" i="6"/>
  <c r="CY1013" i="6" s="1"/>
  <c r="CY84" i="6"/>
  <c r="K44" i="42440"/>
  <c r="L44" i="42440"/>
  <c r="F44" i="42440"/>
  <c r="G44" i="42440"/>
  <c r="CQ88" i="6"/>
  <c r="H95" i="6"/>
  <c r="C8" i="42453"/>
  <c r="C13" i="42453" s="1"/>
  <c r="C23" i="42453" s="1"/>
  <c r="C27" i="42453" s="1"/>
  <c r="H94" i="6"/>
  <c r="CQ94" i="6" s="1"/>
  <c r="P1345" i="6"/>
  <c r="P153" i="6"/>
  <c r="P155" i="6" s="1"/>
  <c r="P157" i="6" s="1"/>
  <c r="P162" i="6"/>
  <c r="P163" i="6" s="1"/>
  <c r="C39" i="42428"/>
  <c r="AH100" i="6"/>
  <c r="AS88" i="6"/>
  <c r="AS90" i="6"/>
  <c r="AS91" i="6"/>
  <c r="AS1332" i="6"/>
  <c r="AV86" i="6"/>
  <c r="X160" i="6"/>
  <c r="X161" i="6" s="1"/>
  <c r="X151" i="6"/>
  <c r="H1013" i="6"/>
  <c r="CQ1013" i="6" s="1"/>
  <c r="H90" i="6"/>
  <c r="CQ90" i="6" s="1"/>
  <c r="CQ84" i="6"/>
  <c r="H91" i="6"/>
  <c r="CQ91" i="6" s="1"/>
  <c r="L37" i="42428"/>
  <c r="F37" i="42428"/>
  <c r="K37" i="42428"/>
  <c r="AK1332" i="6"/>
  <c r="AK90" i="6"/>
  <c r="AK91" i="6"/>
  <c r="AK88" i="6"/>
  <c r="G43" i="42447"/>
  <c r="F43" i="42447"/>
  <c r="D144" i="6"/>
  <c r="H135" i="6"/>
  <c r="CQ135" i="6" s="1"/>
  <c r="D1046" i="6"/>
  <c r="D1048" i="6" s="1"/>
  <c r="D1053" i="6" s="1"/>
  <c r="H1028" i="6"/>
  <c r="G27" i="42457"/>
  <c r="CY103" i="6"/>
  <c r="F47" i="42455"/>
  <c r="G47" i="42455"/>
  <c r="F151" i="6"/>
  <c r="F160" i="6"/>
  <c r="F161" i="6" s="1"/>
  <c r="G37" i="42428"/>
  <c r="S153" i="6"/>
  <c r="S155" i="6" s="1"/>
  <c r="S157" i="6" s="1"/>
  <c r="S1345" i="6"/>
  <c r="S162" i="6"/>
  <c r="S163" i="6" s="1"/>
  <c r="U1345" i="6"/>
  <c r="U153" i="6"/>
  <c r="U155" i="6" s="1"/>
  <c r="U157" i="6" s="1"/>
  <c r="U162" i="6"/>
  <c r="U163" i="6" s="1"/>
  <c r="AC1345" i="6"/>
  <c r="AC153" i="6"/>
  <c r="AC155" i="6" s="1"/>
  <c r="AC157" i="6" s="1"/>
  <c r="AC162" i="6"/>
  <c r="AC163" i="6" s="1"/>
  <c r="Q153" i="6"/>
  <c r="Q155" i="6" s="1"/>
  <c r="Q157" i="6" s="1"/>
  <c r="Q1345" i="6"/>
  <c r="Q162" i="6"/>
  <c r="Q163" i="6" s="1"/>
  <c r="L153" i="6"/>
  <c r="L155" i="6" s="1"/>
  <c r="L157" i="6" s="1"/>
  <c r="L1345" i="6"/>
  <c r="L162" i="6"/>
  <c r="L163" i="6" s="1"/>
  <c r="CT413" i="6"/>
  <c r="W476" i="6"/>
  <c r="CT476" i="6" s="1"/>
  <c r="W426" i="6"/>
  <c r="BM1005" i="6"/>
  <c r="BM1006" i="6"/>
  <c r="CR82" i="6"/>
  <c r="M103" i="6"/>
  <c r="CR103" i="6" s="1"/>
  <c r="M84" i="6"/>
  <c r="AN497" i="6"/>
  <c r="AN513" i="6"/>
  <c r="AN1188" i="6" s="1"/>
  <c r="AP1152" i="6"/>
  <c r="AQ1152" i="6" s="1"/>
  <c r="CX1152" i="6" s="1"/>
  <c r="CT95" i="6"/>
  <c r="W100" i="6"/>
  <c r="CT100" i="6" s="1"/>
  <c r="Z911" i="6"/>
  <c r="Z910" i="6"/>
  <c r="AE911" i="6"/>
  <c r="V358" i="6"/>
  <c r="W358" i="6" s="1"/>
  <c r="W357" i="6"/>
  <c r="V750" i="6"/>
  <c r="V751" i="6" s="1"/>
  <c r="AI1190" i="6"/>
  <c r="AQ1093" i="6"/>
  <c r="CE1296" i="6"/>
  <c r="CF1293" i="6"/>
  <c r="CG954" i="6"/>
  <c r="CG77" i="6" s="1"/>
  <c r="CG1342" i="6" s="1"/>
  <c r="CG959" i="6"/>
  <c r="AS60" i="42416"/>
  <c r="AS62" i="42416" s="1"/>
  <c r="AS63" i="42416" s="1"/>
  <c r="X910" i="6"/>
  <c r="AB909" i="6"/>
  <c r="X911" i="6"/>
  <c r="AC911" i="6"/>
  <c r="BG95" i="6"/>
  <c r="C45" i="42473"/>
  <c r="BG94" i="6"/>
  <c r="BG135" i="6"/>
  <c r="BM1002" i="6"/>
  <c r="BN1001" i="6"/>
  <c r="J91" i="6"/>
  <c r="J86" i="6"/>
  <c r="M86" i="6" s="1"/>
  <c r="CR86" i="6" s="1"/>
  <c r="J1332" i="6"/>
  <c r="J1013" i="6"/>
  <c r="J1028" i="6" s="1"/>
  <c r="J1046" i="6" s="1"/>
  <c r="J90" i="6"/>
  <c r="BM362" i="6"/>
  <c r="BM363" i="6" s="1"/>
  <c r="BL363" i="6"/>
  <c r="CX1096" i="6"/>
  <c r="AR1096" i="6"/>
  <c r="AR1152" i="6" s="1"/>
  <c r="R927" i="6"/>
  <c r="R925" i="6"/>
  <c r="CS925" i="6" s="1"/>
  <c r="CS924" i="6"/>
  <c r="BK286" i="6"/>
  <c r="BJ288" i="6"/>
  <c r="BK289" i="6" s="1"/>
  <c r="BK294" i="6" s="1"/>
  <c r="CS1013" i="6"/>
  <c r="R1028" i="6"/>
  <c r="CS90" i="6"/>
  <c r="CV90" i="6"/>
  <c r="AR70" i="42416"/>
  <c r="AR71" i="42416" s="1"/>
  <c r="AV50" i="42416"/>
  <c r="AV36" i="42416"/>
  <c r="AV38" i="42416" s="1"/>
  <c r="AV39" i="42416" s="1"/>
  <c r="AV43" i="42416"/>
  <c r="AV45" i="42416" s="1"/>
  <c r="AV46" i="42416" s="1"/>
  <c r="AQ304" i="6"/>
  <c r="CX304" i="6" s="1"/>
  <c r="AA911" i="6"/>
  <c r="AA910" i="6"/>
  <c r="AF911" i="6"/>
  <c r="V160" i="6"/>
  <c r="V161" i="6" s="1"/>
  <c r="V151" i="6"/>
  <c r="W144" i="6"/>
  <c r="CD1340" i="6"/>
  <c r="CE66" i="6"/>
  <c r="Z151" i="6"/>
  <c r="Z160" i="6"/>
  <c r="Z161" i="6" s="1"/>
  <c r="CV95" i="6"/>
  <c r="AG100" i="6"/>
  <c r="CV100" i="6" s="1"/>
  <c r="AX468" i="6"/>
  <c r="AX489" i="6"/>
  <c r="AX490" i="6" s="1"/>
  <c r="AX495" i="6"/>
  <c r="BD591" i="6"/>
  <c r="BD590" i="6"/>
  <c r="N1098" i="6"/>
  <c r="N1154" i="6" s="1"/>
  <c r="CR1098" i="6"/>
  <c r="BN984" i="6"/>
  <c r="BN941" i="6" s="1"/>
  <c r="BN959" i="6" s="1"/>
  <c r="BU362" i="6"/>
  <c r="BZ362" i="6" s="1"/>
  <c r="BZ363" i="6" s="1"/>
  <c r="DC362" i="6"/>
  <c r="BQ362" i="6"/>
  <c r="BG1046" i="6"/>
  <c r="BH1093" i="6"/>
  <c r="CG1198" i="6"/>
  <c r="CF1207" i="6"/>
  <c r="CF1032" i="6" s="1"/>
  <c r="CF1035" i="6" s="1"/>
  <c r="BI37" i="42290"/>
  <c r="BI39" i="42290" s="1"/>
  <c r="BN25" i="42290"/>
  <c r="BC1263" i="6"/>
  <c r="BD1263" i="6"/>
  <c r="BE1263" i="6"/>
  <c r="BF123" i="6"/>
  <c r="DA123" i="6" s="1"/>
  <c r="W405" i="6"/>
  <c r="CT405" i="6" s="1"/>
  <c r="CT392" i="6"/>
  <c r="X392" i="6"/>
  <c r="AU52" i="42416"/>
  <c r="AU53" i="42416" s="1"/>
  <c r="AS75" i="42416"/>
  <c r="AS76" i="42416" s="1"/>
  <c r="AS78" i="42416" s="1"/>
  <c r="AS79" i="42416" s="1"/>
  <c r="BH1096" i="6"/>
  <c r="AK301" i="6"/>
  <c r="AK303" i="6" s="1"/>
  <c r="AJ302" i="6"/>
  <c r="BI589" i="6"/>
  <c r="BI587" i="6"/>
  <c r="BI586" i="6"/>
  <c r="BR1176" i="6"/>
  <c r="BR1285" i="6"/>
  <c r="BR1141" i="6"/>
  <c r="AD151" i="6"/>
  <c r="AD160" i="6"/>
  <c r="AD161" i="6" s="1"/>
  <c r="AG144" i="6"/>
  <c r="BT1165" i="6"/>
  <c r="BT1273" i="6" s="1"/>
  <c r="CU921" i="6"/>
  <c r="AB922" i="6"/>
  <c r="CU922" i="6" s="1"/>
  <c r="CV294" i="6"/>
  <c r="AG295" i="6"/>
  <c r="CV295" i="6" s="1"/>
  <c r="AL295" i="6"/>
  <c r="CW295" i="6" s="1"/>
  <c r="CS94" i="6"/>
  <c r="CR1106" i="6"/>
  <c r="BJ329" i="6"/>
  <c r="BI330" i="6"/>
  <c r="AS496" i="6"/>
  <c r="J95" i="6"/>
  <c r="J100" i="6" s="1"/>
  <c r="J135" i="6"/>
  <c r="J94" i="6"/>
  <c r="J169" i="6"/>
  <c r="J175" i="6" s="1"/>
  <c r="M88" i="6"/>
  <c r="N169" i="6"/>
  <c r="N175" i="6" s="1"/>
  <c r="K169" i="6"/>
  <c r="K175" i="6" s="1"/>
  <c r="L169" i="6"/>
  <c r="O151" i="6"/>
  <c r="O160" i="6"/>
  <c r="O161" i="6" s="1"/>
  <c r="R144" i="6"/>
  <c r="CT1028" i="6"/>
  <c r="CT94" i="6"/>
  <c r="W96" i="6"/>
  <c r="CT96" i="6" s="1"/>
  <c r="BK806" i="6"/>
  <c r="DB806" i="6" s="1"/>
  <c r="DB805" i="6"/>
  <c r="V426" i="6"/>
  <c r="V489" i="6" s="1"/>
  <c r="V476" i="6"/>
  <c r="AQ1149" i="6"/>
  <c r="Y910" i="6"/>
  <c r="Y911" i="6"/>
  <c r="AD911" i="6"/>
  <c r="BJ25" i="42290"/>
  <c r="BE37" i="42290"/>
  <c r="BE39" i="42290" s="1"/>
  <c r="T1097" i="6"/>
  <c r="BH753" i="6"/>
  <c r="BI362" i="6"/>
  <c r="BF1114" i="6"/>
  <c r="BF1224" i="6" s="1"/>
  <c r="B20" i="42419" s="1"/>
  <c r="BE1127" i="6"/>
  <c r="P34" i="42457"/>
  <c r="CR118" i="6"/>
  <c r="CV1013" i="6"/>
  <c r="AG1028" i="6"/>
  <c r="BS1273" i="6"/>
  <c r="BB96" i="42290"/>
  <c r="BB98" i="42290" s="1"/>
  <c r="BB100" i="42290" s="1"/>
  <c r="BB261" i="42290" s="1"/>
  <c r="BC472" i="6"/>
  <c r="BH430" i="6"/>
  <c r="BH447" i="6" s="1"/>
  <c r="CS95" i="6"/>
  <c r="R100" i="6"/>
  <c r="CS100" i="6" s="1"/>
  <c r="CB10" i="6"/>
  <c r="DG10" i="6" s="1"/>
  <c r="CB298" i="6"/>
  <c r="CC297" i="6"/>
  <c r="BM986" i="6"/>
  <c r="BF1152" i="6"/>
  <c r="BN135" i="6"/>
  <c r="BN95" i="6"/>
  <c r="BN94" i="6"/>
  <c r="L26" i="42473"/>
  <c r="G26" i="42473"/>
  <c r="L50" i="42473"/>
  <c r="G50" i="42473"/>
  <c r="BL52" i="6"/>
  <c r="BL56" i="6"/>
  <c r="BL23" i="6"/>
  <c r="BL22" i="6"/>
  <c r="BM23" i="6"/>
  <c r="BM71" i="6"/>
  <c r="BM52" i="6"/>
  <c r="BM56" i="6"/>
  <c r="BM22" i="6"/>
  <c r="DC29" i="6"/>
  <c r="BT1063" i="6"/>
  <c r="BU1063" i="6" s="1"/>
  <c r="BV1063" i="6" s="1"/>
  <c r="BW1063" i="6" s="1"/>
  <c r="BX1063" i="6" s="1"/>
  <c r="BY1063" i="6" s="1"/>
  <c r="BE35" i="6" l="1"/>
  <c r="HP729" i="42458"/>
  <c r="HP725" i="42458"/>
  <c r="AX591" i="6"/>
  <c r="AX590" i="6"/>
  <c r="BC587" i="6"/>
  <c r="BC589" i="6"/>
  <c r="BC586" i="6"/>
  <c r="BH582" i="6"/>
  <c r="BH585" i="6"/>
  <c r="BM581" i="6"/>
  <c r="BF1347" i="6"/>
  <c r="DA1224" i="6"/>
  <c r="L1114" i="6"/>
  <c r="D55" i="42421"/>
  <c r="L1224" i="6"/>
  <c r="M1224" i="6" s="1"/>
  <c r="BG1114" i="6"/>
  <c r="BG1224" i="6" s="1"/>
  <c r="BG1347" i="6" s="1"/>
  <c r="Z216" i="42458"/>
  <c r="Z229" i="42458" s="1"/>
  <c r="Z240" i="42458" s="1"/>
  <c r="Z242" i="42458" s="1"/>
  <c r="Z244" i="42458" s="1"/>
  <c r="Z251" i="42458" s="1"/>
  <c r="BG426" i="6"/>
  <c r="BG489" i="6" s="1"/>
  <c r="BG490" i="6" s="1"/>
  <c r="BR796" i="6"/>
  <c r="AP910" i="6"/>
  <c r="Y210" i="42458"/>
  <c r="Y247" i="42458" s="1"/>
  <c r="Y249" i="42458" s="1"/>
  <c r="Y251" i="42458" s="1"/>
  <c r="Y213" i="42458"/>
  <c r="Y217" i="42458" s="1"/>
  <c r="Y219" i="42458" s="1"/>
  <c r="AA210" i="42458"/>
  <c r="AA247" i="42458" s="1"/>
  <c r="AA249" i="42458" s="1"/>
  <c r="AA251" i="42458" s="1"/>
  <c r="AY725" i="6"/>
  <c r="AW724" i="6"/>
  <c r="BL71" i="6"/>
  <c r="BJ33" i="6"/>
  <c r="CG837" i="6"/>
  <c r="CG835" i="6"/>
  <c r="BH356" i="6"/>
  <c r="BH384" i="6"/>
  <c r="CG842" i="6"/>
  <c r="CG50" i="6"/>
  <c r="BF302" i="6"/>
  <c r="BE301" i="6"/>
  <c r="BE303" i="6" s="1"/>
  <c r="BE304" i="6" s="1"/>
  <c r="CF50" i="6"/>
  <c r="CF842" i="6"/>
  <c r="CF837" i="6"/>
  <c r="CF835" i="6"/>
  <c r="CE31" i="6"/>
  <c r="CE838" i="6"/>
  <c r="BH357" i="6"/>
  <c r="BH750" i="6" s="1"/>
  <c r="BI388" i="6"/>
  <c r="BI405" i="6" s="1"/>
  <c r="BH409" i="6"/>
  <c r="BH472" i="6" s="1"/>
  <c r="BB92" i="6"/>
  <c r="AQ147" i="6"/>
  <c r="CX147" i="6" s="1"/>
  <c r="AR1162" i="6"/>
  <c r="CX1162" i="6"/>
  <c r="W16" i="42457"/>
  <c r="W17" i="42457" s="1"/>
  <c r="W13" i="42457"/>
  <c r="FU644" i="42458"/>
  <c r="FU646" i="42458" s="1"/>
  <c r="AP142" i="6"/>
  <c r="AQ142" i="6" s="1"/>
  <c r="CX142" i="6" s="1"/>
  <c r="AP147" i="6"/>
  <c r="Y1347" i="6"/>
  <c r="Y1252" i="6"/>
  <c r="BL1211" i="6"/>
  <c r="BL82" i="6"/>
  <c r="BL84" i="6" s="1"/>
  <c r="BL1220" i="6"/>
  <c r="BO125" i="42290"/>
  <c r="BJ142" i="42290"/>
  <c r="BJ144" i="42290" s="1"/>
  <c r="CZ33" i="6"/>
  <c r="BA34" i="6"/>
  <c r="CZ34" i="6" s="1"/>
  <c r="AE1160" i="6"/>
  <c r="BA52" i="6"/>
  <c r="CZ52" i="6" s="1"/>
  <c r="L94" i="42458"/>
  <c r="BA56" i="6"/>
  <c r="CZ56" i="6" s="1"/>
  <c r="CZ21" i="6"/>
  <c r="BA71" i="6"/>
  <c r="CZ71" i="6" s="1"/>
  <c r="BA23" i="6"/>
  <c r="Z1224" i="6"/>
  <c r="Z1149" i="6"/>
  <c r="Z1170" i="6" s="1"/>
  <c r="Z1172" i="6" s="1"/>
  <c r="AA1093" i="6"/>
  <c r="Z1114" i="6"/>
  <c r="Z1127" i="6" s="1"/>
  <c r="BM1262" i="6"/>
  <c r="BM1286" i="6" s="1"/>
  <c r="BM1289" i="6" s="1"/>
  <c r="BM1290" i="6" s="1"/>
  <c r="BL1262" i="6"/>
  <c r="BL1286" i="6" s="1"/>
  <c r="BL1289" i="6" s="1"/>
  <c r="BL1290" i="6" s="1"/>
  <c r="BQ125" i="42290"/>
  <c r="BQ142" i="42290" s="1"/>
  <c r="BQ144" i="42290" s="1"/>
  <c r="BL142" i="42290"/>
  <c r="BL144" i="42290" s="1"/>
  <c r="G25" i="42461"/>
  <c r="L25" i="42461"/>
  <c r="AF1160" i="6"/>
  <c r="AF1170" i="6" s="1"/>
  <c r="AF1172" i="6" s="1"/>
  <c r="AF1114" i="6"/>
  <c r="AF1224" i="6"/>
  <c r="AG1104" i="6"/>
  <c r="CV1104" i="6" s="1"/>
  <c r="BA35" i="6"/>
  <c r="CZ35" i="6" s="1"/>
  <c r="BM1263" i="6"/>
  <c r="BN1263" i="6"/>
  <c r="G49" i="42461"/>
  <c r="L49" i="42461"/>
  <c r="AZ34" i="6"/>
  <c r="E55" i="42421"/>
  <c r="Z213" i="42458"/>
  <c r="Z221" i="42458"/>
  <c r="Z223" i="42458" s="1"/>
  <c r="AA266" i="42458"/>
  <c r="AA261" i="42458"/>
  <c r="AA278" i="42458" s="1"/>
  <c r="AA289" i="42458" s="1"/>
  <c r="AA291" i="42458" s="1"/>
  <c r="Y255" i="42458"/>
  <c r="Y266" i="42458" s="1"/>
  <c r="Z255" i="42458"/>
  <c r="Z266" i="42458" s="1"/>
  <c r="CN476" i="6"/>
  <c r="BZ1040" i="6"/>
  <c r="BZ1333" i="6" s="1"/>
  <c r="DE1333" i="6" s="1"/>
  <c r="BH547" i="6"/>
  <c r="BK547" i="6" s="1"/>
  <c r="BC548" i="6"/>
  <c r="AA221" i="42458"/>
  <c r="AA223" i="42458" s="1"/>
  <c r="BF547" i="6"/>
  <c r="BF548" i="6" s="1"/>
  <c r="CN865" i="6"/>
  <c r="CO865" i="6" s="1"/>
  <c r="AA213" i="42458"/>
  <c r="AF210" i="42458" s="1"/>
  <c r="BX1187" i="6"/>
  <c r="BS1190" i="6"/>
  <c r="BU1186" i="6"/>
  <c r="DD1186" i="6" s="1"/>
  <c r="BC551" i="6"/>
  <c r="AB27" i="42457"/>
  <c r="AB28" i="42457" s="1"/>
  <c r="DD103" i="6"/>
  <c r="H292" i="42290"/>
  <c r="H294" i="42290" s="1"/>
  <c r="H296" i="42290" s="1"/>
  <c r="E290" i="42290"/>
  <c r="E292" i="42290" s="1"/>
  <c r="E294" i="42290" s="1"/>
  <c r="D290" i="42290"/>
  <c r="D292" i="42290" s="1"/>
  <c r="D294" i="42290" s="1"/>
  <c r="C290" i="42290"/>
  <c r="C292" i="42290" s="1"/>
  <c r="C294" i="42290" s="1"/>
  <c r="F290" i="42290"/>
  <c r="F292" i="42290" s="1"/>
  <c r="F294" i="42290" s="1"/>
  <c r="BC705" i="6"/>
  <c r="BC719" i="6" s="1"/>
  <c r="BC720" i="6" s="1"/>
  <c r="DF346" i="6"/>
  <c r="C43" i="42421"/>
  <c r="D43" i="42421" s="1"/>
  <c r="CN477" i="6"/>
  <c r="CN1145" i="6"/>
  <c r="CO1145" i="6" s="1"/>
  <c r="DE850" i="6"/>
  <c r="BY1159" i="6"/>
  <c r="BZ1103" i="6"/>
  <c r="CA1103" i="6" s="1"/>
  <c r="CN1103" i="6"/>
  <c r="CO1103" i="6" s="1"/>
  <c r="BY1079" i="6"/>
  <c r="CN1079" i="6" s="1"/>
  <c r="CO1079" i="6" s="1"/>
  <c r="BZ1076" i="6"/>
  <c r="CN1076" i="6"/>
  <c r="CO1076" i="6" s="1"/>
  <c r="BV1273" i="6"/>
  <c r="BZ1157" i="6"/>
  <c r="DE1157" i="6" s="1"/>
  <c r="CN1157" i="6"/>
  <c r="CO1157" i="6" s="1"/>
  <c r="CC1075" i="6"/>
  <c r="CD1075" i="6" s="1"/>
  <c r="CE1075" i="6" s="1"/>
  <c r="CF1075" i="6" s="1"/>
  <c r="CG1075" i="6" s="1"/>
  <c r="DG1075" i="6"/>
  <c r="CN1040" i="6"/>
  <c r="CO1040" i="6" s="1"/>
  <c r="CB1110" i="6"/>
  <c r="CC1110" i="6" s="1"/>
  <c r="CD1110" i="6" s="1"/>
  <c r="CE1110" i="6" s="1"/>
  <c r="CF1110" i="6" s="1"/>
  <c r="CG1110" i="6" s="1"/>
  <c r="CN859" i="6"/>
  <c r="CO859" i="6" s="1"/>
  <c r="BZ102" i="6"/>
  <c r="CA102" i="6" s="1"/>
  <c r="CB102" i="6" s="1"/>
  <c r="BZ413" i="6"/>
  <c r="BZ476" i="6" s="1"/>
  <c r="DE476" i="6" s="1"/>
  <c r="BW104" i="6"/>
  <c r="BX104" i="6" s="1"/>
  <c r="BY104" i="6" s="1"/>
  <c r="BX853" i="6"/>
  <c r="BZ1106" i="6"/>
  <c r="CN1106" i="6"/>
  <c r="CO1106" i="6" s="1"/>
  <c r="CN850" i="6"/>
  <c r="CO850" i="6" s="1"/>
  <c r="CF339" i="6"/>
  <c r="CE11" i="6"/>
  <c r="BZ859" i="6"/>
  <c r="BZ845" i="6"/>
  <c r="DE847" i="6"/>
  <c r="CA1167" i="6"/>
  <c r="CE114" i="6"/>
  <c r="CE119" i="6" s="1"/>
  <c r="CE1341" i="6"/>
  <c r="CF75" i="6"/>
  <c r="DE1101" i="6"/>
  <c r="CA1101" i="6"/>
  <c r="CB1089" i="6"/>
  <c r="CA1145" i="6"/>
  <c r="CA371" i="6"/>
  <c r="DE371" i="6"/>
  <c r="DE372" i="6"/>
  <c r="CA372" i="6"/>
  <c r="BZ414" i="6"/>
  <c r="BZ477" i="6" s="1"/>
  <c r="DE477" i="6" s="1"/>
  <c r="Y221" i="42458"/>
  <c r="Y223" i="42458" s="1"/>
  <c r="BA705" i="6"/>
  <c r="BA719" i="6" s="1"/>
  <c r="BA723" i="6" s="1"/>
  <c r="BA724" i="6" s="1"/>
  <c r="AX719" i="6"/>
  <c r="AS725" i="6"/>
  <c r="M100" i="42458"/>
  <c r="BF1215" i="6"/>
  <c r="BY1161" i="6"/>
  <c r="BY853" i="6"/>
  <c r="BY856" i="6" s="1"/>
  <c r="BV362" i="6"/>
  <c r="BV363" i="6" s="1"/>
  <c r="L921" i="6"/>
  <c r="K296" i="42290"/>
  <c r="K295" i="42290"/>
  <c r="I295" i="42290"/>
  <c r="J921" i="6"/>
  <c r="I296" i="42290"/>
  <c r="BY1099" i="6"/>
  <c r="BY149" i="6"/>
  <c r="BY1333" i="6"/>
  <c r="BL1153" i="6"/>
  <c r="BM1097" i="6"/>
  <c r="BM1153" i="6" s="1"/>
  <c r="BH1013" i="6"/>
  <c r="BH1027" i="6" s="1"/>
  <c r="BH1028" i="6" s="1"/>
  <c r="BH1046" i="6" s="1"/>
  <c r="BH86" i="6"/>
  <c r="BY370" i="6"/>
  <c r="BX412" i="6"/>
  <c r="BX475" i="6" s="1"/>
  <c r="BV474" i="6"/>
  <c r="BE86" i="6"/>
  <c r="BE1013" i="6"/>
  <c r="K37" i="42471"/>
  <c r="K40" i="42471" s="1"/>
  <c r="K43" i="42471" s="1"/>
  <c r="C40" i="42471"/>
  <c r="C43" i="42471" s="1"/>
  <c r="G37" i="42471"/>
  <c r="G40" i="42471" s="1"/>
  <c r="G43" i="42471" s="1"/>
  <c r="F37" i="42471"/>
  <c r="F40" i="42471" s="1"/>
  <c r="F43" i="42471" s="1"/>
  <c r="L37" i="42471"/>
  <c r="L40" i="42471" s="1"/>
  <c r="BW1165" i="6"/>
  <c r="BX1108" i="6"/>
  <c r="BC1013" i="6"/>
  <c r="BC1027" i="6" s="1"/>
  <c r="BC1028" i="6" s="1"/>
  <c r="BC1046" i="6" s="1"/>
  <c r="BF84" i="6"/>
  <c r="BC86" i="6"/>
  <c r="L39" i="42474"/>
  <c r="L42" i="42474" s="1"/>
  <c r="F39" i="42474"/>
  <c r="F42" i="42474" s="1"/>
  <c r="F45" i="42474" s="1"/>
  <c r="K39" i="42474"/>
  <c r="K42" i="42474" s="1"/>
  <c r="K45" i="42474" s="1"/>
  <c r="C42" i="42474"/>
  <c r="C45" i="42474" s="1"/>
  <c r="DF1191" i="6"/>
  <c r="CB1191" i="6"/>
  <c r="V17" i="42457"/>
  <c r="CC137" i="6"/>
  <c r="CD1024" i="6"/>
  <c r="BH123" i="6"/>
  <c r="BK118" i="6"/>
  <c r="DB118" i="6" s="1"/>
  <c r="D42" i="42475"/>
  <c r="D45" i="42475" s="1"/>
  <c r="F39" i="42475"/>
  <c r="F42" i="42475" s="1"/>
  <c r="F45" i="42475" s="1"/>
  <c r="G39" i="42475"/>
  <c r="G42" i="42475" s="1"/>
  <c r="G45" i="42475" s="1"/>
  <c r="L296" i="42290"/>
  <c r="L295" i="42290"/>
  <c r="J296" i="42290"/>
  <c r="K921" i="6"/>
  <c r="J295" i="42290"/>
  <c r="BX1333" i="6"/>
  <c r="BX149" i="6"/>
  <c r="DB82" i="6"/>
  <c r="BK84" i="6"/>
  <c r="BY368" i="6"/>
  <c r="BX410" i="6"/>
  <c r="BX473" i="6" s="1"/>
  <c r="BX369" i="6"/>
  <c r="BW411" i="6"/>
  <c r="BW474" i="6" s="1"/>
  <c r="BX1100" i="6"/>
  <c r="CB334" i="6"/>
  <c r="DF334" i="6"/>
  <c r="AN910" i="6"/>
  <c r="AN911" i="6"/>
  <c r="BN909" i="6"/>
  <c r="BI910" i="6"/>
  <c r="BL910" i="6"/>
  <c r="BL911" i="6"/>
  <c r="D42" i="42474"/>
  <c r="D45" i="42474" s="1"/>
  <c r="G39" i="42474"/>
  <c r="G42" i="42474" s="1"/>
  <c r="G45" i="42474" s="1"/>
  <c r="CC1192" i="6"/>
  <c r="CD1192" i="6" s="1"/>
  <c r="CE1192" i="6" s="1"/>
  <c r="CF1192" i="6" s="1"/>
  <c r="CG1192" i="6" s="1"/>
  <c r="DG1192" i="6"/>
  <c r="BK909" i="6"/>
  <c r="BG910" i="6"/>
  <c r="BM910" i="6"/>
  <c r="BM911" i="6"/>
  <c r="BI261" i="42290"/>
  <c r="D43" i="42443"/>
  <c r="C44" i="42437"/>
  <c r="BU363" i="6"/>
  <c r="DD363" i="6" s="1"/>
  <c r="AM880" i="6"/>
  <c r="AN883" i="6"/>
  <c r="AJ1013" i="6"/>
  <c r="AJ86" i="6"/>
  <c r="CW894" i="6"/>
  <c r="AL895" i="6"/>
  <c r="CW895" i="6" s="1"/>
  <c r="CR1096" i="6"/>
  <c r="N1096" i="6"/>
  <c r="N1082" i="6" s="1"/>
  <c r="K1114" i="6"/>
  <c r="K1127" i="6" s="1"/>
  <c r="K1161" i="6"/>
  <c r="L1161" i="6"/>
  <c r="K1224" i="6"/>
  <c r="K1347" i="6" s="1"/>
  <c r="L1152" i="6"/>
  <c r="J1138" i="6"/>
  <c r="K1138" i="6"/>
  <c r="J1114" i="6"/>
  <c r="J1127" i="6" s="1"/>
  <c r="J1224" i="6"/>
  <c r="J1347" i="6" s="1"/>
  <c r="BT1187" i="6"/>
  <c r="BY1187" i="6" s="1"/>
  <c r="BZ1187" i="6" s="1"/>
  <c r="BO1190" i="6"/>
  <c r="BP1190" i="6" s="1"/>
  <c r="DC1190" i="6" s="1"/>
  <c r="DE1186" i="6"/>
  <c r="CA1186" i="6"/>
  <c r="BV254" i="42290"/>
  <c r="BU257" i="42290"/>
  <c r="DE854" i="6"/>
  <c r="BG1268" i="6"/>
  <c r="BG1281" i="6"/>
  <c r="BG1282" i="6" s="1"/>
  <c r="BH1149" i="6"/>
  <c r="AC1150" i="6"/>
  <c r="AG1150" i="6" s="1"/>
  <c r="CV1150" i="6" s="1"/>
  <c r="EE592" i="42458"/>
  <c r="EE604" i="42458" s="1"/>
  <c r="EE605" i="42458" s="1"/>
  <c r="EI592" i="42458"/>
  <c r="EI604" i="42458" s="1"/>
  <c r="EI605" i="42458" s="1"/>
  <c r="BQ802" i="6"/>
  <c r="BQ803" i="6" s="1"/>
  <c r="FW644" i="42458"/>
  <c r="FW646" i="42458" s="1"/>
  <c r="EL592" i="42458"/>
  <c r="EL604" i="42458" s="1"/>
  <c r="EL605" i="42458" s="1"/>
  <c r="BI53" i="6"/>
  <c r="EF611" i="42458"/>
  <c r="EF613" i="42458" s="1"/>
  <c r="CE434" i="6"/>
  <c r="BY80" i="42290"/>
  <c r="BY84" i="42290" s="1"/>
  <c r="BY87" i="42290" s="1"/>
  <c r="CX1136" i="6"/>
  <c r="BM34" i="6"/>
  <c r="BL659" i="6"/>
  <c r="BL658" i="6"/>
  <c r="BD723" i="6"/>
  <c r="BD724" i="6" s="1"/>
  <c r="BD720" i="6"/>
  <c r="BK30" i="6"/>
  <c r="DB30" i="6" s="1"/>
  <c r="BJ625" i="6"/>
  <c r="BJ624" i="6"/>
  <c r="BN986" i="6"/>
  <c r="AQ723" i="6"/>
  <c r="AQ724" i="6" s="1"/>
  <c r="AI103" i="6"/>
  <c r="AI84" i="6"/>
  <c r="AL82" i="6"/>
  <c r="BP505" i="6"/>
  <c r="DC505" i="6" s="1"/>
  <c r="DC503" i="6"/>
  <c r="DB503" i="6"/>
  <c r="BK505" i="6"/>
  <c r="DB505" i="6" s="1"/>
  <c r="G45" i="42452"/>
  <c r="AP1150" i="6"/>
  <c r="AQ1150" i="6" s="1"/>
  <c r="CX1150" i="6" s="1"/>
  <c r="DF429" i="6"/>
  <c r="CB429" i="6"/>
  <c r="AL118" i="6"/>
  <c r="CW118" i="6" s="1"/>
  <c r="AI123" i="6"/>
  <c r="AL1220" i="6"/>
  <c r="CW80" i="6"/>
  <c r="AL1211" i="6"/>
  <c r="CW1211" i="6" s="1"/>
  <c r="BJ658" i="6"/>
  <c r="BJ659" i="6"/>
  <c r="BL624" i="6"/>
  <c r="BL625" i="6"/>
  <c r="AM103" i="6"/>
  <c r="AM84" i="6"/>
  <c r="BE496" i="6"/>
  <c r="BE497" i="6" s="1"/>
  <c r="BN96" i="42290"/>
  <c r="BN98" i="42290" s="1"/>
  <c r="BN100" i="42290" s="1"/>
  <c r="BT430" i="6"/>
  <c r="BJ495" i="6"/>
  <c r="BJ468" i="6"/>
  <c r="BY199" i="42290"/>
  <c r="BK625" i="6"/>
  <c r="BK624" i="6"/>
  <c r="CF1025" i="6"/>
  <c r="CF138" i="6" s="1"/>
  <c r="CF1339" i="6"/>
  <c r="CG65" i="6"/>
  <c r="AW599" i="6"/>
  <c r="BB599" i="6"/>
  <c r="CA191" i="42290"/>
  <c r="BZ171" i="42290"/>
  <c r="BL292" i="6"/>
  <c r="BM291" i="6"/>
  <c r="CB1188" i="6"/>
  <c r="DF1188" i="6"/>
  <c r="R1063" i="6"/>
  <c r="Q1064" i="6"/>
  <c r="R1064" i="6" s="1"/>
  <c r="CS1064" i="6" s="1"/>
  <c r="BF1175" i="6"/>
  <c r="BE1178" i="6"/>
  <c r="BG1175" i="6"/>
  <c r="BR799" i="6"/>
  <c r="AX598" i="6"/>
  <c r="AX695" i="6"/>
  <c r="AX696" i="6" s="1"/>
  <c r="BJ1098" i="6"/>
  <c r="BK1098" i="6" s="1"/>
  <c r="AN86" i="6"/>
  <c r="AN1013" i="6"/>
  <c r="CX1094" i="6"/>
  <c r="AR1094" i="6"/>
  <c r="BZ195" i="42290"/>
  <c r="BZ196" i="42290"/>
  <c r="BZ197" i="42290"/>
  <c r="BY183" i="42290"/>
  <c r="BY181" i="42290"/>
  <c r="BY182" i="42290"/>
  <c r="AY597" i="6"/>
  <c r="AY693" i="6"/>
  <c r="AY749" i="6" s="1"/>
  <c r="AY751" i="6" s="1"/>
  <c r="BA595" i="6"/>
  <c r="BA597" i="6" s="1"/>
  <c r="BA598" i="6" s="1"/>
  <c r="F43" i="42450"/>
  <c r="G43" i="42450"/>
  <c r="AW696" i="6"/>
  <c r="BM625" i="6"/>
  <c r="BM624" i="6"/>
  <c r="BX185" i="42290"/>
  <c r="BX187" i="42290" s="1"/>
  <c r="BX203" i="42290"/>
  <c r="BX206" i="42290" s="1"/>
  <c r="BX208" i="42290" s="1"/>
  <c r="CB347" i="6"/>
  <c r="DG347" i="6" s="1"/>
  <c r="CB346" i="6"/>
  <c r="DG346" i="6" s="1"/>
  <c r="DG345" i="6"/>
  <c r="CB39" i="6"/>
  <c r="BI1150" i="6"/>
  <c r="BJ1094" i="6"/>
  <c r="BK1094" i="6" s="1"/>
  <c r="BL878" i="6"/>
  <c r="BL888" i="6" s="1"/>
  <c r="BL889" i="6" s="1"/>
  <c r="BM877" i="6"/>
  <c r="BU461" i="6"/>
  <c r="BU482" i="6"/>
  <c r="L86" i="42434"/>
  <c r="CA128" i="6"/>
  <c r="DF128" i="6" s="1"/>
  <c r="DF39" i="6"/>
  <c r="BM658" i="6"/>
  <c r="BM659" i="6"/>
  <c r="BK659" i="6"/>
  <c r="BK658" i="6"/>
  <c r="BJ290" i="42290"/>
  <c r="BJ292" i="42290" s="1"/>
  <c r="BJ294" i="42290" s="1"/>
  <c r="DB878" i="6"/>
  <c r="BK888" i="6"/>
  <c r="CC27" i="6"/>
  <c r="CD342" i="6"/>
  <c r="CC345" i="6"/>
  <c r="W360" i="6"/>
  <c r="CT360" i="6" s="1"/>
  <c r="BJ289" i="6"/>
  <c r="BJ294" i="6" s="1"/>
  <c r="BJ295" i="6" s="1"/>
  <c r="BD1332" i="6"/>
  <c r="BD90" i="6"/>
  <c r="BD91" i="6"/>
  <c r="BD88" i="6"/>
  <c r="BT808" i="6"/>
  <c r="BT793" i="6"/>
  <c r="AE1347" i="6"/>
  <c r="AE1252" i="6"/>
  <c r="BQ869" i="6"/>
  <c r="AP1332" i="6"/>
  <c r="AP91" i="6"/>
  <c r="AP88" i="6"/>
  <c r="AT169" i="6" s="1"/>
  <c r="AT175" i="6" s="1"/>
  <c r="AP90" i="6"/>
  <c r="AP92" i="6" s="1"/>
  <c r="BR820" i="6"/>
  <c r="BR869" i="6" s="1"/>
  <c r="BR867" i="6"/>
  <c r="BS793" i="6"/>
  <c r="BS808" i="6"/>
  <c r="BU787" i="6"/>
  <c r="AG1161" i="6"/>
  <c r="CV1161" i="6" s="1"/>
  <c r="AY557" i="6"/>
  <c r="AY556" i="6"/>
  <c r="AY708" i="6"/>
  <c r="BD553" i="6"/>
  <c r="BD552" i="6"/>
  <c r="BD555" i="6"/>
  <c r="BI705" i="6"/>
  <c r="BI719" i="6" s="1"/>
  <c r="BI548" i="6"/>
  <c r="BI551" i="6"/>
  <c r="BG552" i="6"/>
  <c r="BG555" i="6"/>
  <c r="BG553" i="6"/>
  <c r="BB557" i="6"/>
  <c r="BB556" i="6"/>
  <c r="BL551" i="6"/>
  <c r="BL548" i="6"/>
  <c r="AG489" i="6"/>
  <c r="CV489" i="6" s="1"/>
  <c r="V360" i="6"/>
  <c r="V492" i="6" s="1"/>
  <c r="V493" i="6" s="1"/>
  <c r="AZ282" i="42290"/>
  <c r="AU591" i="6"/>
  <c r="AU590" i="6"/>
  <c r="AV589" i="6"/>
  <c r="E11" i="42421"/>
  <c r="BF581" i="6"/>
  <c r="BJ581" i="6"/>
  <c r="BE585" i="6"/>
  <c r="BE582" i="6"/>
  <c r="BE705" i="6"/>
  <c r="I11" i="42421"/>
  <c r="BE282" i="42290"/>
  <c r="BA582" i="6"/>
  <c r="BA583" i="6"/>
  <c r="AZ586" i="6"/>
  <c r="AZ587" i="6"/>
  <c r="BA585" i="6"/>
  <c r="AZ589" i="6"/>
  <c r="AZ708" i="6" s="1"/>
  <c r="AV586" i="6"/>
  <c r="AV587" i="6"/>
  <c r="AU679" i="6"/>
  <c r="AE496" i="6"/>
  <c r="AG495" i="6"/>
  <c r="CV495" i="6" s="1"/>
  <c r="AV295" i="42290"/>
  <c r="AW921" i="6"/>
  <c r="AV296" i="42290"/>
  <c r="DD104" i="6"/>
  <c r="AZ720" i="6"/>
  <c r="AZ723" i="6"/>
  <c r="AZ724" i="6" s="1"/>
  <c r="BK367" i="6"/>
  <c r="AM911" i="6"/>
  <c r="AM910" i="6"/>
  <c r="BA295" i="42290"/>
  <c r="BB921" i="6"/>
  <c r="BA296" i="42290"/>
  <c r="AZ922" i="6"/>
  <c r="AZ909" i="6"/>
  <c r="F12" i="42425"/>
  <c r="G12" i="42425" s="1"/>
  <c r="G6" i="42425"/>
  <c r="AR922" i="6"/>
  <c r="AR909" i="6"/>
  <c r="AQ472" i="6"/>
  <c r="CX472" i="6" s="1"/>
  <c r="AQ451" i="6"/>
  <c r="CX451" i="6" s="1"/>
  <c r="CX430" i="6"/>
  <c r="AP96" i="42290"/>
  <c r="AP98" i="42290" s="1"/>
  <c r="AP100" i="42290" s="1"/>
  <c r="AP261" i="42290" s="1"/>
  <c r="AU911" i="6"/>
  <c r="AU910" i="6"/>
  <c r="AJ496" i="6"/>
  <c r="AL495" i="6"/>
  <c r="CW495" i="6" s="1"/>
  <c r="AO468" i="6"/>
  <c r="AO489" i="6"/>
  <c r="AO490" i="6" s="1"/>
  <c r="AO495" i="6"/>
  <c r="CS496" i="6"/>
  <c r="R497" i="6"/>
  <c r="C14" i="42424"/>
  <c r="AG468" i="6"/>
  <c r="CV468" i="6" s="1"/>
  <c r="C26" i="42424"/>
  <c r="C22" i="42424"/>
  <c r="C10" i="42424"/>
  <c r="C18" i="42424"/>
  <c r="CV447" i="6"/>
  <c r="CW447" i="6"/>
  <c r="AL468" i="6"/>
  <c r="CW468" i="6" s="1"/>
  <c r="AL489" i="6"/>
  <c r="CW489" i="6" s="1"/>
  <c r="AV430" i="6"/>
  <c r="AV447" i="6" s="1"/>
  <c r="AT472" i="6"/>
  <c r="AY430" i="6"/>
  <c r="AY447" i="6" s="1"/>
  <c r="AS96" i="42290"/>
  <c r="AS98" i="42290" s="1"/>
  <c r="AS100" i="42290" s="1"/>
  <c r="AS261" i="42290" s="1"/>
  <c r="BE909" i="6"/>
  <c r="BE922" i="6"/>
  <c r="BG468" i="6"/>
  <c r="BG495" i="6"/>
  <c r="BK96" i="42290"/>
  <c r="BK98" i="42290" s="1"/>
  <c r="BK100" i="42290" s="1"/>
  <c r="BK261" i="42290" s="1"/>
  <c r="BQ430" i="6"/>
  <c r="BJ387" i="6"/>
  <c r="U20" i="42457"/>
  <c r="BJ100" i="6"/>
  <c r="W497" i="6"/>
  <c r="CT496" i="6"/>
  <c r="BB496" i="6"/>
  <c r="BB497" i="6" s="1"/>
  <c r="K47" i="42475"/>
  <c r="C49" i="42475"/>
  <c r="L47" i="42475"/>
  <c r="CW492" i="6"/>
  <c r="AL493" i="6"/>
  <c r="CW493" i="6" s="1"/>
  <c r="BG589" i="6"/>
  <c r="BG586" i="6"/>
  <c r="BG587" i="6"/>
  <c r="BL585" i="6"/>
  <c r="BL705" i="6"/>
  <c r="BL582" i="6"/>
  <c r="BB590" i="6"/>
  <c r="BB708" i="6"/>
  <c r="BB591" i="6"/>
  <c r="BB723" i="6"/>
  <c r="BB720" i="6"/>
  <c r="BB721" i="6"/>
  <c r="BG721" i="6"/>
  <c r="BG723" i="6"/>
  <c r="BG720" i="6"/>
  <c r="BI366" i="6"/>
  <c r="BH408" i="6"/>
  <c r="AB1028" i="6"/>
  <c r="CU1028" i="6" s="1"/>
  <c r="BG358" i="6"/>
  <c r="BG360" i="6" s="1"/>
  <c r="BG492" i="6" s="1"/>
  <c r="BG493" i="6" s="1"/>
  <c r="BG749" i="6"/>
  <c r="BG751" i="6" s="1"/>
  <c r="M490" i="6"/>
  <c r="CR490" i="6" s="1"/>
  <c r="CR489" i="6"/>
  <c r="R490" i="6"/>
  <c r="CS490" i="6" s="1"/>
  <c r="DA358" i="6"/>
  <c r="DA749" i="6"/>
  <c r="BF751" i="6"/>
  <c r="DA751" i="6" s="1"/>
  <c r="CX492" i="6"/>
  <c r="AQ493" i="6"/>
  <c r="CX493" i="6" s="1"/>
  <c r="BG471" i="6"/>
  <c r="BU1165" i="6"/>
  <c r="BN979" i="6"/>
  <c r="BR800" i="6"/>
  <c r="BS794" i="6"/>
  <c r="BS809" i="6"/>
  <c r="BS790" i="6"/>
  <c r="BR821" i="6"/>
  <c r="BR811" i="6"/>
  <c r="BT788" i="6"/>
  <c r="BU788" i="6" s="1"/>
  <c r="BT785" i="6"/>
  <c r="BG1151" i="6"/>
  <c r="BH1095" i="6"/>
  <c r="BH1114" i="6" s="1"/>
  <c r="BH1224" i="6" s="1"/>
  <c r="BQ870" i="6"/>
  <c r="BQ823" i="6"/>
  <c r="BQ872" i="6" s="1"/>
  <c r="AO1151" i="6"/>
  <c r="AP1095" i="6"/>
  <c r="AP1151" i="6" s="1"/>
  <c r="AO1224" i="6"/>
  <c r="AG924" i="6"/>
  <c r="AG910" i="6"/>
  <c r="CV910" i="6" s="1"/>
  <c r="CV909" i="6"/>
  <c r="W958" i="6"/>
  <c r="AX101" i="42425"/>
  <c r="W928" i="6"/>
  <c r="CT928" i="6" s="1"/>
  <c r="CT927" i="6"/>
  <c r="W937" i="6"/>
  <c r="W120" i="6"/>
  <c r="W1006" i="6"/>
  <c r="CT1006" i="6" s="1"/>
  <c r="AV921" i="6"/>
  <c r="AU295" i="42290"/>
  <c r="AU296" i="42290"/>
  <c r="BA553" i="6"/>
  <c r="BA552" i="6"/>
  <c r="AD135" i="42434"/>
  <c r="E63" i="42434"/>
  <c r="CX1098" i="6"/>
  <c r="AR1098" i="6"/>
  <c r="AN1252" i="6"/>
  <c r="BE555" i="6"/>
  <c r="BE552" i="6"/>
  <c r="BE553" i="6"/>
  <c r="BF551" i="6"/>
  <c r="F43" i="42451"/>
  <c r="G43" i="42451"/>
  <c r="AJ910" i="6"/>
  <c r="AJ911" i="6"/>
  <c r="AL909" i="6"/>
  <c r="Q1099" i="6"/>
  <c r="R1099" i="6" s="1"/>
  <c r="CX921" i="6"/>
  <c r="AQ922" i="6"/>
  <c r="CX922" i="6" s="1"/>
  <c r="AS296" i="42290"/>
  <c r="AS295" i="42290"/>
  <c r="AT921" i="6"/>
  <c r="AZ556" i="6"/>
  <c r="AZ557" i="6"/>
  <c r="BA555" i="6"/>
  <c r="AX922" i="6"/>
  <c r="AX909" i="6"/>
  <c r="AX294" i="42290"/>
  <c r="AZ288" i="42290"/>
  <c r="AZ294" i="42290" s="1"/>
  <c r="BC922" i="6"/>
  <c r="BC909" i="6"/>
  <c r="AO909" i="6"/>
  <c r="AO922" i="6"/>
  <c r="AV557" i="6"/>
  <c r="AV556" i="6"/>
  <c r="BJ548" i="6"/>
  <c r="BJ551" i="6"/>
  <c r="AS911" i="6"/>
  <c r="AS910" i="6"/>
  <c r="CX82" i="6"/>
  <c r="B65" i="42434"/>
  <c r="AA144" i="42434" s="1"/>
  <c r="AQ103" i="6"/>
  <c r="AO1013" i="6"/>
  <c r="AO86" i="6"/>
  <c r="AQ84" i="6"/>
  <c r="CX84" i="6" s="1"/>
  <c r="AO1263" i="6"/>
  <c r="AP1263" i="6"/>
  <c r="AS1263" i="6"/>
  <c r="AQ123" i="6"/>
  <c r="CX123" i="6" s="1"/>
  <c r="AR1263" i="6"/>
  <c r="BC294" i="42290"/>
  <c r="BE288" i="42290"/>
  <c r="BE294" i="42290" s="1"/>
  <c r="BU1273" i="6"/>
  <c r="BK689" i="6"/>
  <c r="BK688" i="6"/>
  <c r="BK29" i="6"/>
  <c r="BI33" i="6"/>
  <c r="BI21" i="6"/>
  <c r="G52" i="42474"/>
  <c r="L52" i="42474"/>
  <c r="DA21" i="6"/>
  <c r="BF71" i="6"/>
  <c r="DA71" i="6" s="1"/>
  <c r="BF52" i="6"/>
  <c r="DA52" i="6" s="1"/>
  <c r="BF22" i="6"/>
  <c r="DA22" i="6" s="1"/>
  <c r="CH482" i="42458"/>
  <c r="BF23" i="6"/>
  <c r="BF56" i="6"/>
  <c r="DA56" i="6" s="1"/>
  <c r="M94" i="42458"/>
  <c r="BE170" i="6"/>
  <c r="BF170" i="6" s="1"/>
  <c r="BE56" i="6"/>
  <c r="BE62" i="6" s="1"/>
  <c r="BE71" i="6"/>
  <c r="BE52" i="6"/>
  <c r="BE22" i="6"/>
  <c r="BE23" i="6"/>
  <c r="BG170" i="6"/>
  <c r="BE34" i="6"/>
  <c r="BH170" i="6"/>
  <c r="W20" i="42475"/>
  <c r="L11" i="42475"/>
  <c r="P11" i="42475"/>
  <c r="Q11" i="42475"/>
  <c r="C14" i="42475"/>
  <c r="G14" i="42475" s="1"/>
  <c r="K11" i="42475"/>
  <c r="K14" i="42475" s="1"/>
  <c r="F11" i="42475"/>
  <c r="F14" i="42475" s="1"/>
  <c r="C56" i="42475"/>
  <c r="BJ35" i="6"/>
  <c r="G14" i="42468"/>
  <c r="U14" i="42468"/>
  <c r="N15" i="42468"/>
  <c r="C26" i="42468"/>
  <c r="P14" i="42468"/>
  <c r="L14" i="42468"/>
  <c r="C50" i="42468"/>
  <c r="Q14" i="42468"/>
  <c r="BD34" i="6"/>
  <c r="BD56" i="6"/>
  <c r="BD22" i="6"/>
  <c r="BD170" i="6"/>
  <c r="BD52" i="6"/>
  <c r="BD71" i="6"/>
  <c r="BD23" i="6"/>
  <c r="DA29" i="6"/>
  <c r="BF33" i="6"/>
  <c r="DB14" i="6"/>
  <c r="BK16" i="6"/>
  <c r="EH611" i="42458" s="1"/>
  <c r="EH613" i="42458" s="1"/>
  <c r="EH614" i="42458" s="1"/>
  <c r="L26" i="42474"/>
  <c r="G26" i="42474"/>
  <c r="L50" i="42467"/>
  <c r="G50" i="42467"/>
  <c r="L26" i="42467"/>
  <c r="G26" i="42467"/>
  <c r="G14" i="42471"/>
  <c r="C50" i="42471"/>
  <c r="P14" i="42471"/>
  <c r="C26" i="42471"/>
  <c r="Q14" i="42471"/>
  <c r="U14" i="42471"/>
  <c r="L14" i="42471"/>
  <c r="N15" i="42471"/>
  <c r="L54" i="42471"/>
  <c r="G54" i="42471"/>
  <c r="BJ53" i="6"/>
  <c r="BJ21" i="6"/>
  <c r="G11" i="42475"/>
  <c r="D26" i="42475"/>
  <c r="D52" i="42475"/>
  <c r="AH1345" i="6"/>
  <c r="AH153" i="6"/>
  <c r="AH155" i="6" s="1"/>
  <c r="AH157" i="6" s="1"/>
  <c r="U1044" i="6"/>
  <c r="V1044" i="6" s="1"/>
  <c r="AB135" i="6"/>
  <c r="CU135" i="6" s="1"/>
  <c r="CE1343" i="6"/>
  <c r="CE1335" i="6"/>
  <c r="CE1336" i="6" s="1"/>
  <c r="CG78" i="6"/>
  <c r="CG87" i="6" s="1"/>
  <c r="CF87" i="6"/>
  <c r="AM102" i="42461"/>
  <c r="AM104" i="42474"/>
  <c r="AM103" i="42464"/>
  <c r="AM102" i="42473"/>
  <c r="AM102" i="42459"/>
  <c r="AM104" i="42475"/>
  <c r="AM103" i="42467"/>
  <c r="AM102" i="42455"/>
  <c r="AM102" i="42471"/>
  <c r="AM103" i="42468"/>
  <c r="T1345" i="6"/>
  <c r="T162" i="6"/>
  <c r="T163" i="6" s="1"/>
  <c r="T153" i="6"/>
  <c r="T155" i="6" s="1"/>
  <c r="T157" i="6" s="1"/>
  <c r="AV1332" i="6"/>
  <c r="CY1332" i="6" s="1"/>
  <c r="K162" i="6"/>
  <c r="K163" i="6" s="1"/>
  <c r="K153" i="6"/>
  <c r="K155" i="6" s="1"/>
  <c r="K157" i="6" s="1"/>
  <c r="K1345" i="6"/>
  <c r="C44" i="42454"/>
  <c r="AW95" i="6"/>
  <c r="D45" i="42464"/>
  <c r="D47" i="42464" s="1"/>
  <c r="AW94" i="6"/>
  <c r="AW135" i="6"/>
  <c r="BN96" i="6"/>
  <c r="BG92" i="6"/>
  <c r="Y162" i="6"/>
  <c r="Y163" i="6" s="1"/>
  <c r="Y1345" i="6"/>
  <c r="Y153" i="6"/>
  <c r="Y155" i="6" s="1"/>
  <c r="Y157" i="6" s="1"/>
  <c r="AY95" i="6"/>
  <c r="AY135" i="6"/>
  <c r="C44" i="42459"/>
  <c r="AY94" i="6"/>
  <c r="AY96" i="6" s="1"/>
  <c r="D45" i="42468"/>
  <c r="D47" i="42468" s="1"/>
  <c r="CA132" i="42290"/>
  <c r="CA131" i="42290"/>
  <c r="CA129" i="42290"/>
  <c r="CA134" i="42290"/>
  <c r="CA130" i="42290"/>
  <c r="CA133" i="42290"/>
  <c r="CA135" i="42290"/>
  <c r="BZ137" i="42290"/>
  <c r="CB132" i="42290"/>
  <c r="CB129" i="42290"/>
  <c r="CB134" i="42290"/>
  <c r="CB131" i="42290"/>
  <c r="CB133" i="42290"/>
  <c r="CB135" i="42290"/>
  <c r="CB130" i="42290"/>
  <c r="CF435" i="6"/>
  <c r="BZ63" i="42290"/>
  <c r="BZ67" i="42290" s="1"/>
  <c r="BZ70" i="42290" s="1"/>
  <c r="BA1218" i="6"/>
  <c r="AT1345" i="6"/>
  <c r="AT153" i="6"/>
  <c r="AT155" i="6" s="1"/>
  <c r="AT157" i="6" s="1"/>
  <c r="E49" i="42457"/>
  <c r="E51" i="42457" s="1"/>
  <c r="AT162" i="6"/>
  <c r="AT163" i="6" s="1"/>
  <c r="BB95" i="6"/>
  <c r="D45" i="42473"/>
  <c r="D47" i="42473" s="1"/>
  <c r="C45" i="42464"/>
  <c r="BB135" i="6"/>
  <c r="BB94" i="6"/>
  <c r="AZ1218" i="6"/>
  <c r="CZ84" i="6"/>
  <c r="BA1013" i="6"/>
  <c r="CZ1013" i="6" s="1"/>
  <c r="AR135" i="6"/>
  <c r="AR95" i="6"/>
  <c r="AR94" i="6"/>
  <c r="D44" i="42454"/>
  <c r="AT1027" i="6"/>
  <c r="AT1028" i="6" s="1"/>
  <c r="AS1046" i="6"/>
  <c r="L27" i="42457"/>
  <c r="Q28" i="42457" s="1"/>
  <c r="FZ558" i="42425"/>
  <c r="GA558" i="42425" s="1"/>
  <c r="CZ103" i="6"/>
  <c r="AA175" i="6"/>
  <c r="AB169" i="6"/>
  <c r="AB175" i="6" s="1"/>
  <c r="AX1046" i="6"/>
  <c r="AY1027" i="6"/>
  <c r="AY1028" i="6" s="1"/>
  <c r="AY1046" i="6" s="1"/>
  <c r="BI100" i="6"/>
  <c r="T20" i="42457"/>
  <c r="AB95" i="6"/>
  <c r="CU88" i="6"/>
  <c r="G8" i="42453"/>
  <c r="G13" i="42453" s="1"/>
  <c r="AB94" i="6"/>
  <c r="CU94" i="6" s="1"/>
  <c r="AX90" i="6"/>
  <c r="AX92" i="6" s="1"/>
  <c r="AX91" i="6"/>
  <c r="AX1332" i="6"/>
  <c r="BA1332" i="6" s="1"/>
  <c r="CZ1332" i="6" s="1"/>
  <c r="AX88" i="6"/>
  <c r="BB169" i="6" s="1"/>
  <c r="BB175" i="6" s="1"/>
  <c r="BA86" i="6"/>
  <c r="AW92" i="6"/>
  <c r="AU94" i="6"/>
  <c r="AU135" i="6"/>
  <c r="AU144" i="6" s="1"/>
  <c r="D44" i="42461"/>
  <c r="AU95" i="6"/>
  <c r="C42" i="42452"/>
  <c r="L46" i="42461"/>
  <c r="K46" i="42461"/>
  <c r="AA151" i="6"/>
  <c r="AB151" i="6" s="1"/>
  <c r="AA160" i="6"/>
  <c r="AA161" i="6" s="1"/>
  <c r="D160" i="6"/>
  <c r="D161" i="6" s="1"/>
  <c r="D151" i="6"/>
  <c r="H144" i="6"/>
  <c r="AV90" i="6"/>
  <c r="AV91" i="6"/>
  <c r="CY91" i="6" s="1"/>
  <c r="CY86" i="6"/>
  <c r="D44" i="42455"/>
  <c r="AS135" i="6"/>
  <c r="AS95" i="6"/>
  <c r="AS94" i="6"/>
  <c r="AW169" i="6"/>
  <c r="AW175" i="6" s="1"/>
  <c r="AU169" i="6"/>
  <c r="AV88" i="6"/>
  <c r="H100" i="6"/>
  <c r="CQ100" i="6" s="1"/>
  <c r="CQ95" i="6"/>
  <c r="AK135" i="6"/>
  <c r="AK144" i="6" s="1"/>
  <c r="C41" i="42440"/>
  <c r="AK94" i="6"/>
  <c r="AK95" i="6"/>
  <c r="D40" i="42447"/>
  <c r="F1345" i="6"/>
  <c r="F162" i="6"/>
  <c r="F163" i="6" s="1"/>
  <c r="F153" i="6"/>
  <c r="F155" i="6" s="1"/>
  <c r="F157" i="6" s="1"/>
  <c r="H1046" i="6"/>
  <c r="CQ1028" i="6"/>
  <c r="X162" i="6"/>
  <c r="X163" i="6" s="1"/>
  <c r="X153" i="6"/>
  <c r="X155" i="6" s="1"/>
  <c r="X157" i="6" s="1"/>
  <c r="X1345" i="6"/>
  <c r="F39" i="42428"/>
  <c r="G39" i="42428"/>
  <c r="K39" i="42428"/>
  <c r="L39" i="42428"/>
  <c r="E1047" i="6"/>
  <c r="E1048" i="6" s="1"/>
  <c r="E1053" i="6" s="1"/>
  <c r="D1225" i="6"/>
  <c r="D1061" i="6"/>
  <c r="D1072" i="6" s="1"/>
  <c r="D1129" i="6" s="1"/>
  <c r="AK92" i="6"/>
  <c r="CC10" i="6"/>
  <c r="CD297" i="6"/>
  <c r="BC489" i="6"/>
  <c r="BC490" i="6" s="1"/>
  <c r="BC495" i="6"/>
  <c r="BC468" i="6"/>
  <c r="BI753" i="6"/>
  <c r="BJ362" i="6"/>
  <c r="BJ753" i="6" s="1"/>
  <c r="U1097" i="6"/>
  <c r="R160" i="6"/>
  <c r="R161" i="6" s="1"/>
  <c r="CS144" i="6"/>
  <c r="BT1084" i="6"/>
  <c r="BU1084" i="6" s="1"/>
  <c r="BV1084" i="6" s="1"/>
  <c r="BS1285" i="6"/>
  <c r="BS1141" i="6"/>
  <c r="BU1140" i="6" s="1"/>
  <c r="DD1140" i="6" s="1"/>
  <c r="BS1176" i="6"/>
  <c r="BS25" i="42290"/>
  <c r="BS37" i="42290" s="1"/>
  <c r="BS39" i="42290" s="1"/>
  <c r="BN37" i="42290"/>
  <c r="BN39" i="42290" s="1"/>
  <c r="O1345" i="6"/>
  <c r="O153" i="6"/>
  <c r="O155" i="6" s="1"/>
  <c r="O157" i="6" s="1"/>
  <c r="O162" i="6"/>
  <c r="O163" i="6" s="1"/>
  <c r="R151" i="6"/>
  <c r="J96" i="6"/>
  <c r="O96" i="6"/>
  <c r="DD1108" i="6"/>
  <c r="CV144" i="6"/>
  <c r="AG160" i="6"/>
  <c r="AG161" i="6" s="1"/>
  <c r="X413" i="6"/>
  <c r="X357" i="6"/>
  <c r="X405" i="6"/>
  <c r="Y392" i="6"/>
  <c r="DD362" i="6"/>
  <c r="Z153" i="6"/>
  <c r="Z155" i="6" s="1"/>
  <c r="Z157" i="6" s="1"/>
  <c r="Z162" i="6"/>
  <c r="Z163" i="6" s="1"/>
  <c r="Z1345" i="6"/>
  <c r="V162" i="6"/>
  <c r="V163" i="6" s="1"/>
  <c r="V153" i="6"/>
  <c r="V155" i="6" s="1"/>
  <c r="V157" i="6" s="1"/>
  <c r="V1345" i="6"/>
  <c r="W151" i="6"/>
  <c r="BN362" i="6"/>
  <c r="BN363" i="6" s="1"/>
  <c r="BM753" i="6"/>
  <c r="L1347" i="6"/>
  <c r="CF1296" i="6"/>
  <c r="CG1293" i="6"/>
  <c r="CG1296" i="6" s="1"/>
  <c r="CT357" i="6"/>
  <c r="W750" i="6"/>
  <c r="AN1190" i="6"/>
  <c r="AQ1190" i="6" s="1"/>
  <c r="CX1190" i="6" s="1"/>
  <c r="AQ1188" i="6"/>
  <c r="M1013" i="6"/>
  <c r="M90" i="6"/>
  <c r="M1332" i="6"/>
  <c r="CR1332" i="6" s="1"/>
  <c r="CR84" i="6"/>
  <c r="M91" i="6"/>
  <c r="CR91" i="6" s="1"/>
  <c r="BO25" i="42290"/>
  <c r="BJ37" i="42290"/>
  <c r="BJ39" i="42290" s="1"/>
  <c r="CX1149" i="6"/>
  <c r="AS497" i="6"/>
  <c r="BR362" i="6"/>
  <c r="BR363" i="6" s="1"/>
  <c r="AB160" i="6"/>
  <c r="AB161" i="6" s="1"/>
  <c r="CU144" i="6"/>
  <c r="R1046" i="6"/>
  <c r="CS1046" i="6" s="1"/>
  <c r="CS1028" i="6"/>
  <c r="AB924" i="6"/>
  <c r="AB911" i="6"/>
  <c r="CU911" i="6" s="1"/>
  <c r="CU909" i="6"/>
  <c r="AB910" i="6"/>
  <c r="CU910" i="6" s="1"/>
  <c r="AG911" i="6"/>
  <c r="CV911" i="6" s="1"/>
  <c r="BG96" i="42290"/>
  <c r="BG98" i="42290" s="1"/>
  <c r="BG100" i="42290" s="1"/>
  <c r="BG261" i="42290" s="1"/>
  <c r="BM430" i="6"/>
  <c r="BM447" i="6" s="1"/>
  <c r="CV1028" i="6"/>
  <c r="AG1046" i="6"/>
  <c r="CV1046" i="6" s="1"/>
  <c r="DA1114" i="6"/>
  <c r="Q34" i="42457"/>
  <c r="M16" i="42453"/>
  <c r="M21" i="42453" s="1"/>
  <c r="BF1127" i="6"/>
  <c r="DA1127" i="6" s="1"/>
  <c r="T1153" i="6"/>
  <c r="V490" i="6"/>
  <c r="AA490" i="6"/>
  <c r="BK295" i="6"/>
  <c r="DB295" i="6" s="1"/>
  <c r="DB294" i="6"/>
  <c r="J144" i="6"/>
  <c r="M135" i="6"/>
  <c r="CR135" i="6" s="1"/>
  <c r="AI302" i="6"/>
  <c r="AJ301" i="6"/>
  <c r="AJ303" i="6" s="1"/>
  <c r="BQ363" i="6"/>
  <c r="AX496" i="6"/>
  <c r="AR75" i="42416"/>
  <c r="AR76" i="42416" s="1"/>
  <c r="AR78" i="42416" s="1"/>
  <c r="AR79" i="42416" s="1"/>
  <c r="AV52" i="42416"/>
  <c r="AV53" i="42416" s="1"/>
  <c r="BL286" i="6"/>
  <c r="BK288" i="6"/>
  <c r="R937" i="6"/>
  <c r="R1006" i="6"/>
  <c r="CS1006" i="6" s="1"/>
  <c r="R958" i="6"/>
  <c r="R120" i="6"/>
  <c r="CS927" i="6"/>
  <c r="R928" i="6"/>
  <c r="CS928" i="6" s="1"/>
  <c r="W929" i="6"/>
  <c r="CT929" i="6" s="1"/>
  <c r="J92" i="6"/>
  <c r="O92" i="6"/>
  <c r="BG100" i="6"/>
  <c r="R20" i="42457"/>
  <c r="CT358" i="6"/>
  <c r="D8" i="42453"/>
  <c r="D13" i="42453" s="1"/>
  <c r="CR88" i="6"/>
  <c r="M95" i="6"/>
  <c r="M94" i="6"/>
  <c r="BK329" i="6"/>
  <c r="BJ330" i="6"/>
  <c r="BK330" i="6" s="1"/>
  <c r="AD1345" i="6"/>
  <c r="AD162" i="6"/>
  <c r="AD163" i="6" s="1"/>
  <c r="AD153" i="6"/>
  <c r="AD155" i="6" s="1"/>
  <c r="AD157" i="6" s="1"/>
  <c r="AG151" i="6"/>
  <c r="AP304" i="6"/>
  <c r="BI1096" i="6"/>
  <c r="CE1340" i="6"/>
  <c r="CF66" i="6"/>
  <c r="CX1093" i="6"/>
  <c r="AR1093" i="6"/>
  <c r="AR1149" i="6" s="1"/>
  <c r="DA1152" i="6"/>
  <c r="L1127" i="6"/>
  <c r="M1114" i="6"/>
  <c r="BI363" i="6"/>
  <c r="L175" i="6"/>
  <c r="M169" i="6"/>
  <c r="M175" i="6" s="1"/>
  <c r="BI590" i="6"/>
  <c r="BI591" i="6"/>
  <c r="BH1152" i="6"/>
  <c r="CG1207" i="6"/>
  <c r="CG1032" i="6" s="1"/>
  <c r="CG1035" i="6" s="1"/>
  <c r="BI1093" i="6"/>
  <c r="O1098" i="6"/>
  <c r="W160" i="6"/>
  <c r="W161" i="6" s="1"/>
  <c r="CT144" i="6"/>
  <c r="BP1195" i="6"/>
  <c r="DC1195" i="6" s="1"/>
  <c r="BO67" i="6"/>
  <c r="AS1096" i="6"/>
  <c r="AT1152" i="6" s="1"/>
  <c r="BI331" i="6"/>
  <c r="BI336" i="6" s="1"/>
  <c r="BI337" i="6" s="1"/>
  <c r="C47" i="42473"/>
  <c r="K45" i="42473"/>
  <c r="L45" i="42473"/>
  <c r="CT426" i="6"/>
  <c r="W489" i="6"/>
  <c r="BN100" i="6"/>
  <c r="Y20" i="42457"/>
  <c r="BM582" i="6" l="1"/>
  <c r="BM585" i="6"/>
  <c r="BC590" i="6"/>
  <c r="BC591" i="6"/>
  <c r="BH587" i="6"/>
  <c r="BH589" i="6"/>
  <c r="BH586" i="6"/>
  <c r="R34" i="42457"/>
  <c r="BF549" i="6"/>
  <c r="BH426" i="6"/>
  <c r="BI1027" i="6"/>
  <c r="BI1028" i="6" s="1"/>
  <c r="BI1046" i="6" s="1"/>
  <c r="BG1127" i="6"/>
  <c r="AG1160" i="6"/>
  <c r="CV1160" i="6" s="1"/>
  <c r="AA217" i="42458"/>
  <c r="AA219" i="42458" s="1"/>
  <c r="BF86" i="6"/>
  <c r="BF91" i="6" s="1"/>
  <c r="DA91" i="6" s="1"/>
  <c r="BD725" i="6"/>
  <c r="Z217" i="42458"/>
  <c r="Z219" i="42458" s="1"/>
  <c r="BD1027" i="6"/>
  <c r="BD1028" i="6" s="1"/>
  <c r="BN261" i="42290"/>
  <c r="AE1170" i="6"/>
  <c r="AE1172" i="6" s="1"/>
  <c r="CA413" i="6"/>
  <c r="CA476" i="6" s="1"/>
  <c r="DF476" i="6" s="1"/>
  <c r="Z261" i="42458"/>
  <c r="Z278" i="42458" s="1"/>
  <c r="Z289" i="42458" s="1"/>
  <c r="Z291" i="42458" s="1"/>
  <c r="Z258" i="42458"/>
  <c r="AE210" i="42458" s="1"/>
  <c r="AA262" i="42458"/>
  <c r="AA264" i="42458" s="1"/>
  <c r="FW647" i="42458"/>
  <c r="Y258" i="42458"/>
  <c r="AD210" i="42458" s="1"/>
  <c r="Y261" i="42458"/>
  <c r="Y278" i="42458" s="1"/>
  <c r="Y289" i="42458" s="1"/>
  <c r="Y291" i="42458" s="1"/>
  <c r="I921" i="6"/>
  <c r="I909" i="6" s="1"/>
  <c r="BI356" i="6"/>
  <c r="BI384" i="6"/>
  <c r="BV430" i="6"/>
  <c r="BV447" i="6" s="1"/>
  <c r="BQ447" i="6"/>
  <c r="BY430" i="6"/>
  <c r="BY447" i="6" s="1"/>
  <c r="BT447" i="6"/>
  <c r="BF301" i="6"/>
  <c r="BF303" i="6" s="1"/>
  <c r="BF304" i="6" s="1"/>
  <c r="DA304" i="6" s="1"/>
  <c r="BG302" i="6"/>
  <c r="BI357" i="6"/>
  <c r="BI750" i="6" s="1"/>
  <c r="BJ388" i="6"/>
  <c r="BJ405" i="6" s="1"/>
  <c r="BI409" i="6"/>
  <c r="CF31" i="6"/>
  <c r="CF838" i="6"/>
  <c r="CG31" i="6"/>
  <c r="CG838" i="6"/>
  <c r="H295" i="42290"/>
  <c r="BC706" i="6"/>
  <c r="Z1252" i="6"/>
  <c r="Z1347" i="6"/>
  <c r="BT125" i="42290"/>
  <c r="BO142" i="42290"/>
  <c r="BO144" i="42290" s="1"/>
  <c r="AG1224" i="6"/>
  <c r="AF1347" i="6"/>
  <c r="AF1252" i="6"/>
  <c r="AA1224" i="6"/>
  <c r="AB1093" i="6"/>
  <c r="AA1114" i="6"/>
  <c r="AA1149" i="6"/>
  <c r="BL86" i="6"/>
  <c r="BL1013" i="6"/>
  <c r="AR147" i="6"/>
  <c r="AR142" i="6"/>
  <c r="AR144" i="6" s="1"/>
  <c r="AS1162" i="6"/>
  <c r="BC721" i="6"/>
  <c r="BC723" i="6"/>
  <c r="BC724" i="6" s="1"/>
  <c r="AG1114" i="6"/>
  <c r="AF1127" i="6"/>
  <c r="CA414" i="6"/>
  <c r="DF414" i="6" s="1"/>
  <c r="E43" i="42421"/>
  <c r="DE1040" i="6"/>
  <c r="DE413" i="6"/>
  <c r="DE414" i="6"/>
  <c r="BZ149" i="6"/>
  <c r="DE149" i="6" s="1"/>
  <c r="CB1167" i="6"/>
  <c r="E295" i="42290"/>
  <c r="F921" i="6"/>
  <c r="E296" i="42290"/>
  <c r="F295" i="42290"/>
  <c r="G921" i="6"/>
  <c r="F296" i="42290"/>
  <c r="C295" i="42290"/>
  <c r="D921" i="6"/>
  <c r="C296" i="42290"/>
  <c r="F15" i="42417"/>
  <c r="BC555" i="6"/>
  <c r="BF555" i="6" s="1"/>
  <c r="BC553" i="6"/>
  <c r="BC552" i="6"/>
  <c r="D296" i="42290"/>
  <c r="E921" i="6"/>
  <c r="D295" i="42290"/>
  <c r="BM547" i="6"/>
  <c r="BH548" i="6"/>
  <c r="BH551" i="6"/>
  <c r="BK551" i="6" s="1"/>
  <c r="BH705" i="6"/>
  <c r="BH719" i="6" s="1"/>
  <c r="C60" i="42421"/>
  <c r="F60" i="42421" s="1"/>
  <c r="C16" i="42421"/>
  <c r="C17" i="42421" s="1"/>
  <c r="CB371" i="6"/>
  <c r="DF371" i="6"/>
  <c r="CB1145" i="6"/>
  <c r="CC1089" i="6"/>
  <c r="BZ865" i="6"/>
  <c r="DE859" i="6"/>
  <c r="CG339" i="6"/>
  <c r="CG11" i="6" s="1"/>
  <c r="CF11" i="6"/>
  <c r="BX856" i="6"/>
  <c r="CN856" i="6" s="1"/>
  <c r="CO856" i="6" s="1"/>
  <c r="CN853" i="6"/>
  <c r="CO853" i="6" s="1"/>
  <c r="DE102" i="6"/>
  <c r="AC24" i="42457"/>
  <c r="AC25" i="42457" s="1"/>
  <c r="BZ1159" i="6"/>
  <c r="CN1159" i="6"/>
  <c r="CO1159" i="6" s="1"/>
  <c r="CN149" i="6"/>
  <c r="CO149" i="6" s="1"/>
  <c r="BY410" i="6"/>
  <c r="BY473" i="6" s="1"/>
  <c r="CN473" i="6" s="1"/>
  <c r="BZ368" i="6"/>
  <c r="BY412" i="6"/>
  <c r="BY475" i="6" s="1"/>
  <c r="CN475" i="6" s="1"/>
  <c r="BZ370" i="6"/>
  <c r="BY1155" i="6"/>
  <c r="BZ1099" i="6"/>
  <c r="CN1099" i="6"/>
  <c r="CO1099" i="6" s="1"/>
  <c r="CN1161" i="6"/>
  <c r="CO1161" i="6" s="1"/>
  <c r="BZ1161" i="6"/>
  <c r="DE1161" i="6" s="1"/>
  <c r="DF372" i="6"/>
  <c r="CB372" i="6"/>
  <c r="CA1157" i="6"/>
  <c r="DF1157" i="6" s="1"/>
  <c r="CB1101" i="6"/>
  <c r="DF1101" i="6"/>
  <c r="CG75" i="6"/>
  <c r="CF1341" i="6"/>
  <c r="CF114" i="6"/>
  <c r="CF119" i="6" s="1"/>
  <c r="DE845" i="6"/>
  <c r="CA845" i="6"/>
  <c r="DE1106" i="6"/>
  <c r="CA1106" i="6"/>
  <c r="BZ104" i="6"/>
  <c r="CN1187" i="6"/>
  <c r="CO1187" i="6" s="1"/>
  <c r="BZ1079" i="6"/>
  <c r="DE1079" i="6" s="1"/>
  <c r="CA1076" i="6"/>
  <c r="DE1076" i="6"/>
  <c r="CA1159" i="6"/>
  <c r="CB1103" i="6"/>
  <c r="BW67" i="6"/>
  <c r="BZ853" i="6"/>
  <c r="BW1273" i="6"/>
  <c r="AX720" i="6"/>
  <c r="AX723" i="6"/>
  <c r="AX721" i="6"/>
  <c r="DB909" i="6"/>
  <c r="BK910" i="6"/>
  <c r="DB910" i="6" s="1"/>
  <c r="CC334" i="6"/>
  <c r="CD334" i="6" s="1"/>
  <c r="CE334" i="6" s="1"/>
  <c r="CF334" i="6" s="1"/>
  <c r="CG334" i="6" s="1"/>
  <c r="DG334" i="6"/>
  <c r="BY1100" i="6"/>
  <c r="BY369" i="6"/>
  <c r="BX411" i="6"/>
  <c r="BX474" i="6" s="1"/>
  <c r="CE1024" i="6"/>
  <c r="CD137" i="6"/>
  <c r="DA84" i="6"/>
  <c r="BF1013" i="6"/>
  <c r="DA1013" i="6" s="1"/>
  <c r="BY1108" i="6"/>
  <c r="BX1165" i="6"/>
  <c r="BX1273" i="6" s="1"/>
  <c r="BE1332" i="6"/>
  <c r="BE90" i="6"/>
  <c r="BE91" i="6"/>
  <c r="BE88" i="6"/>
  <c r="BN1097" i="6"/>
  <c r="BN1153" i="6" s="1"/>
  <c r="BW362" i="6"/>
  <c r="BW1084" i="6"/>
  <c r="BV1141" i="6"/>
  <c r="BV1285" i="6"/>
  <c r="BV1176" i="6"/>
  <c r="BX1156" i="6"/>
  <c r="BK1013" i="6"/>
  <c r="DB1013" i="6" s="1"/>
  <c r="DB84" i="6"/>
  <c r="K909" i="6"/>
  <c r="K922" i="6"/>
  <c r="BL1263" i="6"/>
  <c r="BH1263" i="6"/>
  <c r="BK123" i="6"/>
  <c r="DB123" i="6" s="1"/>
  <c r="BJ1263" i="6"/>
  <c r="BI1263" i="6"/>
  <c r="CC1191" i="6"/>
  <c r="CD1191" i="6" s="1"/>
  <c r="CE1191" i="6" s="1"/>
  <c r="CF1191" i="6" s="1"/>
  <c r="CG1191" i="6" s="1"/>
  <c r="DG1191" i="6"/>
  <c r="BC90" i="6"/>
  <c r="BC92" i="6" s="1"/>
  <c r="BC1332" i="6"/>
  <c r="BC91" i="6"/>
  <c r="BC88" i="6"/>
  <c r="BH91" i="6"/>
  <c r="BH88" i="6"/>
  <c r="BK86" i="6"/>
  <c r="BH1332" i="6"/>
  <c r="BK1332" i="6" s="1"/>
  <c r="DB1332" i="6" s="1"/>
  <c r="BH90" i="6"/>
  <c r="J909" i="6"/>
  <c r="J922" i="6"/>
  <c r="L909" i="6"/>
  <c r="L922" i="6"/>
  <c r="BU1187" i="6"/>
  <c r="DD1187" i="6" s="1"/>
  <c r="AJ90" i="6"/>
  <c r="AJ92" i="6" s="1"/>
  <c r="AJ1332" i="6"/>
  <c r="AJ88" i="6"/>
  <c r="AJ91" i="6"/>
  <c r="AN880" i="6"/>
  <c r="AN884" i="6" s="1"/>
  <c r="AN894" i="6" s="1"/>
  <c r="AN895" i="6" s="1"/>
  <c r="AO883" i="6"/>
  <c r="G43" i="42443"/>
  <c r="F43" i="42443"/>
  <c r="L1170" i="6"/>
  <c r="L1172" i="6" s="1"/>
  <c r="AM884" i="6"/>
  <c r="AM894" i="6" s="1"/>
  <c r="AM895" i="6" s="1"/>
  <c r="G44" i="42437"/>
  <c r="L44" i="42437"/>
  <c r="K44" i="42437"/>
  <c r="F44" i="42437"/>
  <c r="N1152" i="6"/>
  <c r="O1096" i="6"/>
  <c r="O1152" i="6" s="1"/>
  <c r="M1138" i="6"/>
  <c r="J1170" i="6"/>
  <c r="J1172" i="6" s="1"/>
  <c r="K1170" i="6"/>
  <c r="K1172" i="6" s="1"/>
  <c r="M1161" i="6"/>
  <c r="CR1161" i="6" s="1"/>
  <c r="M1152" i="6"/>
  <c r="CR1152" i="6" s="1"/>
  <c r="DF1186" i="6"/>
  <c r="CB1186" i="6"/>
  <c r="DE857" i="6"/>
  <c r="BV257" i="42290"/>
  <c r="BW254" i="42290"/>
  <c r="BH1266" i="6"/>
  <c r="BI1149" i="6"/>
  <c r="BQ805" i="6"/>
  <c r="BQ806" i="6" s="1"/>
  <c r="EJ592" i="42458"/>
  <c r="EJ604" i="42458" s="1"/>
  <c r="EJ605" i="42458" s="1"/>
  <c r="EN592" i="42458"/>
  <c r="EN604" i="42458" s="1"/>
  <c r="EN605" i="42458" s="1"/>
  <c r="BH1347" i="6"/>
  <c r="BR802" i="6"/>
  <c r="BR803" i="6" s="1"/>
  <c r="BU793" i="6"/>
  <c r="DD793" i="6" s="1"/>
  <c r="EQ592" i="42458"/>
  <c r="EQ604" i="42458" s="1"/>
  <c r="EQ605" i="42458" s="1"/>
  <c r="EK614" i="42458"/>
  <c r="EF614" i="42458"/>
  <c r="U1046" i="6"/>
  <c r="CF434" i="6"/>
  <c r="BZ80" i="42290"/>
  <c r="BZ84" i="42290" s="1"/>
  <c r="BZ87" i="42290" s="1"/>
  <c r="BT799" i="6"/>
  <c r="BJ1150" i="6"/>
  <c r="BK1150" i="6" s="1"/>
  <c r="DB1150" i="6" s="1"/>
  <c r="BJ1154" i="6"/>
  <c r="BK1154" i="6" s="1"/>
  <c r="DB1154" i="6" s="1"/>
  <c r="CC429" i="6"/>
  <c r="DG429" i="6"/>
  <c r="CW82" i="6"/>
  <c r="AL103" i="6"/>
  <c r="AM86" i="6"/>
  <c r="AQ86" i="6" s="1"/>
  <c r="AM1013" i="6"/>
  <c r="AM1028" i="6" s="1"/>
  <c r="AM1046" i="6" s="1"/>
  <c r="AI86" i="6"/>
  <c r="AI1013" i="6"/>
  <c r="AL84" i="6"/>
  <c r="CW84" i="6" s="1"/>
  <c r="C44" i="42441"/>
  <c r="D43" i="42448"/>
  <c r="AI1263" i="6"/>
  <c r="AI1252" i="6" s="1"/>
  <c r="AJ1263" i="6"/>
  <c r="AJ1252" i="6" s="1"/>
  <c r="AL123" i="6"/>
  <c r="CW123" i="6" s="1"/>
  <c r="AM1263" i="6"/>
  <c r="AM1252" i="6" s="1"/>
  <c r="AK1263" i="6"/>
  <c r="AK1252" i="6" s="1"/>
  <c r="D44" i="42442"/>
  <c r="C44" i="42432"/>
  <c r="AB1046" i="6"/>
  <c r="CU1046" i="6" s="1"/>
  <c r="BO468" i="6"/>
  <c r="BO495" i="6"/>
  <c r="BO496" i="6" s="1"/>
  <c r="BJ496" i="6"/>
  <c r="BJ497" i="6" s="1"/>
  <c r="BS96" i="42290"/>
  <c r="BS98" i="42290" s="1"/>
  <c r="BS100" i="42290" s="1"/>
  <c r="BS261" i="42290" s="1"/>
  <c r="BH1175" i="6"/>
  <c r="BG1178" i="6"/>
  <c r="BZ182" i="42290"/>
  <c r="BZ181" i="42290"/>
  <c r="BZ183" i="42290"/>
  <c r="BY185" i="42290"/>
  <c r="BY187" i="42290" s="1"/>
  <c r="BY203" i="42290"/>
  <c r="BY206" i="42290" s="1"/>
  <c r="BY208" i="42290" s="1"/>
  <c r="BC599" i="6"/>
  <c r="AX599" i="6"/>
  <c r="S1063" i="6"/>
  <c r="CS1063" i="6"/>
  <c r="CC1188" i="6"/>
  <c r="CD1188" i="6" s="1"/>
  <c r="CE1188" i="6" s="1"/>
  <c r="CF1188" i="6" s="1"/>
  <c r="CG1188" i="6" s="1"/>
  <c r="DG1188" i="6"/>
  <c r="BM292" i="6"/>
  <c r="BN291" i="6"/>
  <c r="CA171" i="42290"/>
  <c r="CB191" i="42290"/>
  <c r="CG1025" i="6"/>
  <c r="CG138" i="6" s="1"/>
  <c r="CG1339" i="6"/>
  <c r="BA599" i="6"/>
  <c r="BF599" i="6"/>
  <c r="AN88" i="6"/>
  <c r="AN90" i="6"/>
  <c r="AN91" i="6"/>
  <c r="AN1332" i="6"/>
  <c r="W492" i="6"/>
  <c r="W493" i="6" s="1"/>
  <c r="CT493" i="6" s="1"/>
  <c r="BZ199" i="42290"/>
  <c r="DA1175" i="6"/>
  <c r="BF1178" i="6"/>
  <c r="DA1178" i="6" s="1"/>
  <c r="CA195" i="42290"/>
  <c r="CA197" i="42290"/>
  <c r="CA196" i="42290"/>
  <c r="AY598" i="6"/>
  <c r="AY695" i="6"/>
  <c r="AY696" i="6" s="1"/>
  <c r="BA693" i="6"/>
  <c r="BA749" i="6" s="1"/>
  <c r="AR1150" i="6"/>
  <c r="AS1094" i="6"/>
  <c r="DB1098" i="6"/>
  <c r="BL1098" i="6"/>
  <c r="Q1066" i="6"/>
  <c r="R1066" i="6" s="1"/>
  <c r="CS1066" i="6" s="1"/>
  <c r="BJ296" i="42290"/>
  <c r="BK921" i="6"/>
  <c r="BJ295" i="42290"/>
  <c r="BD169" i="6"/>
  <c r="BD175" i="6" s="1"/>
  <c r="BS796" i="6"/>
  <c r="CC39" i="6"/>
  <c r="CC128" i="6" s="1"/>
  <c r="CC347" i="6"/>
  <c r="CC346" i="6"/>
  <c r="DB1094" i="6"/>
  <c r="BL1094" i="6"/>
  <c r="BM1094" i="6" s="1"/>
  <c r="CD27" i="6"/>
  <c r="CE342" i="6"/>
  <c r="CD345" i="6"/>
  <c r="BM878" i="6"/>
  <c r="BM888" i="6" s="1"/>
  <c r="BM889" i="6" s="1"/>
  <c r="BN877" i="6"/>
  <c r="BN878" i="6" s="1"/>
  <c r="BN902" i="6" s="1"/>
  <c r="CB128" i="6"/>
  <c r="DG128" i="6" s="1"/>
  <c r="DG39" i="6"/>
  <c r="BS799" i="6"/>
  <c r="DB888" i="6"/>
  <c r="BK889" i="6"/>
  <c r="DB889" i="6" s="1"/>
  <c r="BU782" i="6"/>
  <c r="BV782" i="6" s="1"/>
  <c r="DD787" i="6"/>
  <c r="BS820" i="6"/>
  <c r="BS869" i="6" s="1"/>
  <c r="BS867" i="6"/>
  <c r="BU808" i="6"/>
  <c r="BD94" i="6"/>
  <c r="BD135" i="6"/>
  <c r="C45" i="42468"/>
  <c r="F45" i="42468" s="1"/>
  <c r="BD95" i="6"/>
  <c r="BI92" i="6"/>
  <c r="BD92" i="6"/>
  <c r="AP95" i="6"/>
  <c r="AP100" i="6" s="1"/>
  <c r="AP135" i="6"/>
  <c r="D42" i="42452"/>
  <c r="D44" i="42452" s="1"/>
  <c r="AP94" i="6"/>
  <c r="AM101" i="42443" s="1"/>
  <c r="BT820" i="6"/>
  <c r="BT869" i="6" s="1"/>
  <c r="BT867" i="6"/>
  <c r="BA708" i="6"/>
  <c r="BI723" i="6"/>
  <c r="BI720" i="6"/>
  <c r="BI721" i="6"/>
  <c r="BI553" i="6"/>
  <c r="BI552" i="6"/>
  <c r="BI555" i="6"/>
  <c r="BD557" i="6"/>
  <c r="BD708" i="6"/>
  <c r="BD556" i="6"/>
  <c r="BL553" i="6"/>
  <c r="BL552" i="6"/>
  <c r="BL555" i="6"/>
  <c r="BG557" i="6"/>
  <c r="BG556" i="6"/>
  <c r="BA720" i="6"/>
  <c r="AL490" i="6"/>
  <c r="CW490" i="6" s="1"/>
  <c r="AV591" i="6"/>
  <c r="AV590" i="6"/>
  <c r="AZ681" i="6"/>
  <c r="AU680" i="6"/>
  <c r="AV679" i="6"/>
  <c r="AU683" i="6"/>
  <c r="AU681" i="6"/>
  <c r="AU705" i="6"/>
  <c r="BE586" i="6"/>
  <c r="BE589" i="6"/>
  <c r="BF585" i="6"/>
  <c r="BE587" i="6"/>
  <c r="BE719" i="6"/>
  <c r="BF705" i="6"/>
  <c r="BF719" i="6" s="1"/>
  <c r="BF582" i="6"/>
  <c r="BF583" i="6"/>
  <c r="BA587" i="6"/>
  <c r="BA586" i="6"/>
  <c r="BK581" i="6"/>
  <c r="BJ582" i="6"/>
  <c r="BJ585" i="6"/>
  <c r="AZ591" i="6"/>
  <c r="BA589" i="6"/>
  <c r="AZ590" i="6"/>
  <c r="BJ705" i="6"/>
  <c r="AU96" i="42290"/>
  <c r="AU98" i="42290" s="1"/>
  <c r="AU100" i="42290" s="1"/>
  <c r="AU261" i="42290" s="1"/>
  <c r="CY430" i="6"/>
  <c r="AV472" i="6"/>
  <c r="CY472" i="6" s="1"/>
  <c r="HA804" i="42425"/>
  <c r="AV451" i="6"/>
  <c r="CY451" i="6" s="1"/>
  <c r="AW922" i="6"/>
  <c r="AW909" i="6"/>
  <c r="AQ468" i="6"/>
  <c r="CX468" i="6" s="1"/>
  <c r="AQ489" i="6"/>
  <c r="CX447" i="6"/>
  <c r="AT495" i="6"/>
  <c r="AT489" i="6"/>
  <c r="AT490" i="6" s="1"/>
  <c r="AT468" i="6"/>
  <c r="AO496" i="6"/>
  <c r="AQ495" i="6"/>
  <c r="CX495" i="6" s="1"/>
  <c r="BB909" i="6"/>
  <c r="BB922" i="6"/>
  <c r="BA430" i="6"/>
  <c r="BA447" i="6" s="1"/>
  <c r="AY472" i="6"/>
  <c r="AX96" i="42290"/>
  <c r="AX98" i="42290" s="1"/>
  <c r="AX100" i="42290" s="1"/>
  <c r="AX261" i="42290" s="1"/>
  <c r="BD430" i="6"/>
  <c r="BE910" i="6"/>
  <c r="BE911" i="6"/>
  <c r="BJ911" i="6"/>
  <c r="AL496" i="6"/>
  <c r="AJ497" i="6"/>
  <c r="AJ513" i="6"/>
  <c r="AJ1188" i="6" s="1"/>
  <c r="AR910" i="6"/>
  <c r="AR911" i="6"/>
  <c r="AZ911" i="6"/>
  <c r="AZ910" i="6"/>
  <c r="BL367" i="6"/>
  <c r="DB367" i="6"/>
  <c r="AE497" i="6"/>
  <c r="AG496" i="6"/>
  <c r="BL468" i="6"/>
  <c r="BL495" i="6"/>
  <c r="BK387" i="6"/>
  <c r="BP96" i="42290"/>
  <c r="BP98" i="42290" s="1"/>
  <c r="BP100" i="42290" s="1"/>
  <c r="BP261" i="42290" s="1"/>
  <c r="BG496" i="6"/>
  <c r="BG497" i="6" s="1"/>
  <c r="K49" i="42475"/>
  <c r="L49" i="42475"/>
  <c r="BL719" i="6"/>
  <c r="BG724" i="6"/>
  <c r="BG725" i="6"/>
  <c r="BB724" i="6"/>
  <c r="BB725" i="6"/>
  <c r="BL586" i="6"/>
  <c r="BL589" i="6"/>
  <c r="BL587" i="6"/>
  <c r="BG590" i="6"/>
  <c r="BG591" i="6"/>
  <c r="BG708" i="6"/>
  <c r="BH471" i="6"/>
  <c r="BH489" i="6"/>
  <c r="BH490" i="6" s="1"/>
  <c r="BH358" i="6"/>
  <c r="BH749" i="6"/>
  <c r="BH751" i="6" s="1"/>
  <c r="BJ366" i="6"/>
  <c r="BI408" i="6"/>
  <c r="AS1152" i="6"/>
  <c r="AV1152" i="6" s="1"/>
  <c r="CY1152" i="6" s="1"/>
  <c r="BT790" i="6"/>
  <c r="BU790" i="6" s="1"/>
  <c r="BT809" i="6"/>
  <c r="BT794" i="6"/>
  <c r="BR870" i="6"/>
  <c r="BR823" i="6"/>
  <c r="BR872" i="6" s="1"/>
  <c r="BS800" i="6"/>
  <c r="BS821" i="6"/>
  <c r="BS811" i="6"/>
  <c r="BU783" i="6"/>
  <c r="BV783" i="6" s="1"/>
  <c r="DD788" i="6"/>
  <c r="BH1151" i="6"/>
  <c r="BI1095" i="6"/>
  <c r="AP1170" i="6"/>
  <c r="AP1172" i="6" s="1"/>
  <c r="AP1271" i="6" s="1"/>
  <c r="AP1275" i="6" s="1"/>
  <c r="BJ34" i="6"/>
  <c r="BN170" i="6"/>
  <c r="BE295" i="42290"/>
  <c r="BF921" i="6"/>
  <c r="BE296" i="42290"/>
  <c r="AO1332" i="6"/>
  <c r="AO91" i="6"/>
  <c r="AO90" i="6"/>
  <c r="AO88" i="6"/>
  <c r="CX103" i="6"/>
  <c r="B27" i="42457"/>
  <c r="G28" i="42457" s="1"/>
  <c r="BK548" i="6"/>
  <c r="BK549" i="6"/>
  <c r="BH911" i="6"/>
  <c r="BC910" i="6"/>
  <c r="BC911" i="6"/>
  <c r="AZ296" i="42290"/>
  <c r="AZ295" i="42290"/>
  <c r="BA921" i="6"/>
  <c r="AX911" i="6"/>
  <c r="AX910" i="6"/>
  <c r="BA557" i="6"/>
  <c r="BA556" i="6"/>
  <c r="AT909" i="6"/>
  <c r="AT922" i="6"/>
  <c r="Q1155" i="6"/>
  <c r="R1155" i="6" s="1"/>
  <c r="CS1155" i="6" s="1"/>
  <c r="BF553" i="6"/>
  <c r="BF552" i="6"/>
  <c r="E65" i="42434"/>
  <c r="AD141" i="42434"/>
  <c r="CY921" i="6"/>
  <c r="AV909" i="6"/>
  <c r="AV922" i="6"/>
  <c r="CY922" i="6" s="1"/>
  <c r="CT120" i="6"/>
  <c r="W123" i="6"/>
  <c r="AX103" i="42425"/>
  <c r="BB103" i="42425" s="1"/>
  <c r="BB101" i="42425"/>
  <c r="AO1252" i="6"/>
  <c r="AO1347" i="6"/>
  <c r="BC296" i="42290"/>
  <c r="BC295" i="42290"/>
  <c r="BD921" i="6"/>
  <c r="BJ555" i="6"/>
  <c r="BJ552" i="6"/>
  <c r="BJ553" i="6"/>
  <c r="AQ909" i="6"/>
  <c r="AO911" i="6"/>
  <c r="AO910" i="6"/>
  <c r="AX295" i="42290"/>
  <c r="AY921" i="6"/>
  <c r="AX296" i="42290"/>
  <c r="CS1099" i="6"/>
  <c r="S1099" i="6"/>
  <c r="S1155" i="6" s="1"/>
  <c r="CW909" i="6"/>
  <c r="AL911" i="6"/>
  <c r="CW911" i="6" s="1"/>
  <c r="AL924" i="6"/>
  <c r="AL910" i="6"/>
  <c r="CW910" i="6" s="1"/>
  <c r="BE556" i="6"/>
  <c r="BE557" i="6"/>
  <c r="AS1098" i="6"/>
  <c r="AT1154" i="6" s="1"/>
  <c r="AR1154" i="6"/>
  <c r="W938" i="6"/>
  <c r="CT938" i="6" s="1"/>
  <c r="CT937" i="6"/>
  <c r="W965" i="6"/>
  <c r="CT958" i="6"/>
  <c r="AG927" i="6"/>
  <c r="CV924" i="6"/>
  <c r="AG925" i="6"/>
  <c r="CV925" i="6" s="1"/>
  <c r="AQ1095" i="6"/>
  <c r="AP1114" i="6"/>
  <c r="AP1224" i="6"/>
  <c r="AQ1151" i="6"/>
  <c r="CX1151" i="6" s="1"/>
  <c r="AO1170" i="6"/>
  <c r="AO1172" i="6" s="1"/>
  <c r="AO1271" i="6" s="1"/>
  <c r="AO1275" i="6" s="1"/>
  <c r="AO1276" i="6" s="1"/>
  <c r="AO1295" i="6" s="1"/>
  <c r="BK21" i="6"/>
  <c r="BK53" i="6"/>
  <c r="L26" i="42468"/>
  <c r="G26" i="42468"/>
  <c r="L56" i="42475"/>
  <c r="G56" i="42475"/>
  <c r="BI35" i="6"/>
  <c r="BI34" i="6"/>
  <c r="BN35" i="6"/>
  <c r="BJ56" i="6"/>
  <c r="BJ23" i="6"/>
  <c r="BJ71" i="6"/>
  <c r="BJ22" i="6"/>
  <c r="BJ52" i="6"/>
  <c r="BL170" i="6"/>
  <c r="BM170" i="6"/>
  <c r="BJ170" i="6"/>
  <c r="L26" i="42471"/>
  <c r="G26" i="42471"/>
  <c r="L50" i="42471"/>
  <c r="G50" i="42471"/>
  <c r="BF34" i="6"/>
  <c r="DA34" i="6" s="1"/>
  <c r="DA33" i="6"/>
  <c r="BF35" i="6"/>
  <c r="DA35" i="6" s="1"/>
  <c r="L50" i="42468"/>
  <c r="G50" i="42468"/>
  <c r="C26" i="42475"/>
  <c r="N15" i="42475"/>
  <c r="Q14" i="42475"/>
  <c r="L14" i="42475"/>
  <c r="U14" i="42475"/>
  <c r="P14" i="42475"/>
  <c r="C52" i="42475"/>
  <c r="CI483" i="42458"/>
  <c r="CI504" i="42458"/>
  <c r="CH487" i="42458"/>
  <c r="BI52" i="6"/>
  <c r="BI56" i="6"/>
  <c r="BI23" i="6"/>
  <c r="BI170" i="6"/>
  <c r="BI22" i="6"/>
  <c r="BI71" i="6"/>
  <c r="BN22" i="6"/>
  <c r="BN23" i="6"/>
  <c r="BK33" i="6"/>
  <c r="DB29" i="6"/>
  <c r="BB96" i="6"/>
  <c r="BG96" i="6"/>
  <c r="CG1335" i="6"/>
  <c r="CG1336" i="6" s="1"/>
  <c r="CG1343" i="6"/>
  <c r="CF1343" i="6"/>
  <c r="CF1335" i="6"/>
  <c r="CF1336" i="6" s="1"/>
  <c r="C46" i="42459"/>
  <c r="F44" i="42459"/>
  <c r="L44" i="42459"/>
  <c r="K44" i="42459"/>
  <c r="G44" i="42459"/>
  <c r="AW100" i="6"/>
  <c r="H20" i="42457"/>
  <c r="AZ1027" i="6"/>
  <c r="BA1027" i="6" s="1"/>
  <c r="CZ1027" i="6" s="1"/>
  <c r="J20" i="42457"/>
  <c r="AY100" i="6"/>
  <c r="K44" i="42454"/>
  <c r="L44" i="42454"/>
  <c r="C46" i="42454"/>
  <c r="CB137" i="42290"/>
  <c r="CA137" i="42290"/>
  <c r="CA63" i="42290"/>
  <c r="CA67" i="42290" s="1"/>
  <c r="CA70" i="42290" s="1"/>
  <c r="CG435" i="6"/>
  <c r="BF1214" i="6"/>
  <c r="BB1214" i="6"/>
  <c r="BB1216" i="6" s="1"/>
  <c r="G45" i="42473"/>
  <c r="F45" i="42473"/>
  <c r="CU95" i="6"/>
  <c r="AB100" i="6"/>
  <c r="CU100" i="6" s="1"/>
  <c r="K45" i="42464"/>
  <c r="C47" i="42464"/>
  <c r="L45" i="42464"/>
  <c r="F45" i="42464"/>
  <c r="G45" i="42464"/>
  <c r="AU160" i="6"/>
  <c r="AU161" i="6" s="1"/>
  <c r="AU151" i="6"/>
  <c r="L28" i="42457"/>
  <c r="D46" i="42454"/>
  <c r="F44" i="42454"/>
  <c r="G44" i="42454"/>
  <c r="AZ96" i="6"/>
  <c r="AW96" i="6"/>
  <c r="AA1345" i="6"/>
  <c r="AA153" i="6"/>
  <c r="AA155" i="6" s="1"/>
  <c r="AA157" i="6" s="1"/>
  <c r="AA162" i="6"/>
  <c r="AA163" i="6" s="1"/>
  <c r="AU100" i="6"/>
  <c r="F20" i="42457"/>
  <c r="BA90" i="6"/>
  <c r="CZ90" i="6" s="1"/>
  <c r="BA91" i="6"/>
  <c r="CZ91" i="6" s="1"/>
  <c r="CZ86" i="6"/>
  <c r="BA88" i="6"/>
  <c r="AK97" i="42448"/>
  <c r="AK97" i="42447"/>
  <c r="AR100" i="6"/>
  <c r="AK97" i="42450"/>
  <c r="AK100" i="42452"/>
  <c r="AK97" i="42451"/>
  <c r="C20" i="42457"/>
  <c r="L42" i="42452"/>
  <c r="K42" i="42452"/>
  <c r="C44" i="42452"/>
  <c r="D46" i="42461"/>
  <c r="G44" i="42461"/>
  <c r="F44" i="42461"/>
  <c r="C44" i="42455"/>
  <c r="F44" i="42455" s="1"/>
  <c r="AX135" i="6"/>
  <c r="AX94" i="6"/>
  <c r="AX96" i="6" s="1"/>
  <c r="AX95" i="6"/>
  <c r="D45" i="42467"/>
  <c r="D47" i="42467" s="1"/>
  <c r="AX169" i="6"/>
  <c r="AX175" i="6" s="1"/>
  <c r="AY169" i="6"/>
  <c r="AY175" i="6" s="1"/>
  <c r="AZ169" i="6"/>
  <c r="AU1027" i="6"/>
  <c r="AT1046" i="6"/>
  <c r="M20" i="42457"/>
  <c r="BB100" i="6"/>
  <c r="D1348" i="6"/>
  <c r="D1227" i="6"/>
  <c r="D1229" i="6" s="1"/>
  <c r="D1232" i="6" s="1"/>
  <c r="D1350" i="6" s="1"/>
  <c r="AU175" i="6"/>
  <c r="AV169" i="6"/>
  <c r="AV175" i="6" s="1"/>
  <c r="AV135" i="6"/>
  <c r="CY90" i="6"/>
  <c r="CQ144" i="6"/>
  <c r="H160" i="6"/>
  <c r="H161" i="6" s="1"/>
  <c r="E1061" i="6"/>
  <c r="E1072" i="6" s="1"/>
  <c r="E1129" i="6" s="1"/>
  <c r="F1047" i="6"/>
  <c r="F1048" i="6" s="1"/>
  <c r="F1053" i="6" s="1"/>
  <c r="E1225" i="6"/>
  <c r="H1048" i="6"/>
  <c r="CQ1046" i="6"/>
  <c r="K41" i="42440"/>
  <c r="F41" i="42440"/>
  <c r="L41" i="42440"/>
  <c r="G41" i="42440"/>
  <c r="AV94" i="6"/>
  <c r="AV95" i="6"/>
  <c r="CY88" i="6"/>
  <c r="K8" i="42453"/>
  <c r="K13" i="42453" s="1"/>
  <c r="D46" i="42455"/>
  <c r="D1345" i="6"/>
  <c r="D162" i="6"/>
  <c r="D163" i="6" s="1"/>
  <c r="D153" i="6"/>
  <c r="D155" i="6" s="1"/>
  <c r="D157" i="6" s="1"/>
  <c r="H151" i="6"/>
  <c r="E1209" i="6"/>
  <c r="D42" i="42447"/>
  <c r="G40" i="42447"/>
  <c r="F40" i="42447"/>
  <c r="AK151" i="6"/>
  <c r="AK160" i="6"/>
  <c r="AK161" i="6" s="1"/>
  <c r="AK100" i="6"/>
  <c r="C43" i="42440"/>
  <c r="AS100" i="6"/>
  <c r="AP110" i="42448"/>
  <c r="AP110" i="42450"/>
  <c r="AP110" i="42451"/>
  <c r="AP113" i="42452"/>
  <c r="D20" i="42457"/>
  <c r="W1044" i="6"/>
  <c r="V1046" i="6"/>
  <c r="W490" i="6"/>
  <c r="CT490" i="6" s="1"/>
  <c r="CT489" i="6"/>
  <c r="P1098" i="6"/>
  <c r="P1154" i="6" s="1"/>
  <c r="BE1027" i="6"/>
  <c r="BE1028" i="6" s="1"/>
  <c r="BE1046" i="6" s="1"/>
  <c r="BD1046" i="6"/>
  <c r="BJ1096" i="6"/>
  <c r="BK1096" i="6" s="1"/>
  <c r="DB330" i="6"/>
  <c r="CS120" i="6"/>
  <c r="R123" i="6"/>
  <c r="AX497" i="6"/>
  <c r="J151" i="6"/>
  <c r="J160" i="6"/>
  <c r="J161" i="6" s="1"/>
  <c r="M144" i="6"/>
  <c r="CU160" i="6"/>
  <c r="M92" i="6"/>
  <c r="CR92" i="6" s="1"/>
  <c r="CR90" i="6"/>
  <c r="R92" i="6"/>
  <c r="CS92" i="6" s="1"/>
  <c r="W1345" i="6"/>
  <c r="CT151" i="6"/>
  <c r="W162" i="6"/>
  <c r="W163" i="6" s="1"/>
  <c r="W153" i="6"/>
  <c r="CU151" i="6"/>
  <c r="AB1345" i="6"/>
  <c r="AB162" i="6"/>
  <c r="AB163" i="6" s="1"/>
  <c r="AB153" i="6"/>
  <c r="CA363" i="6"/>
  <c r="DE363" i="6"/>
  <c r="BJ331" i="6"/>
  <c r="BJ336" i="6" s="1"/>
  <c r="BJ337" i="6" s="1"/>
  <c r="CS160" i="6"/>
  <c r="V1153" i="6"/>
  <c r="CS958" i="6"/>
  <c r="R965" i="6"/>
  <c r="AO304" i="6"/>
  <c r="BH468" i="6"/>
  <c r="BH495" i="6"/>
  <c r="BQ67" i="6"/>
  <c r="X750" i="6"/>
  <c r="X751" i="6" s="1"/>
  <c r="X358" i="6"/>
  <c r="CD10" i="6"/>
  <c r="CE297" i="6"/>
  <c r="N1138" i="6"/>
  <c r="N1106" i="6"/>
  <c r="N1224" i="6" s="1"/>
  <c r="D16" i="42453"/>
  <c r="D21" i="42453" s="1"/>
  <c r="D23" i="42453" s="1"/>
  <c r="D27" i="42453" s="1"/>
  <c r="M1127" i="6"/>
  <c r="CR1127" i="6" s="1"/>
  <c r="CR1114" i="6"/>
  <c r="CF1340" i="6"/>
  <c r="CG66" i="6"/>
  <c r="CG1340" i="6" s="1"/>
  <c r="CR94" i="6"/>
  <c r="M96" i="6"/>
  <c r="CR96" i="6" s="1"/>
  <c r="R96" i="6"/>
  <c r="CS96" i="6" s="1"/>
  <c r="AH302" i="6"/>
  <c r="AI301" i="6"/>
  <c r="AI303" i="6" s="1"/>
  <c r="BR430" i="6"/>
  <c r="BL96" i="42290"/>
  <c r="BL98" i="42290" s="1"/>
  <c r="BL100" i="42290" s="1"/>
  <c r="BL261" i="42290" s="1"/>
  <c r="CX1188" i="6"/>
  <c r="AQ1195" i="6"/>
  <c r="CX1195" i="6" s="1"/>
  <c r="DE362" i="6"/>
  <c r="CA362" i="6"/>
  <c r="X426" i="6"/>
  <c r="X489" i="6" s="1"/>
  <c r="X476" i="6"/>
  <c r="U1153" i="6"/>
  <c r="BJ363" i="6"/>
  <c r="AS1093" i="6"/>
  <c r="AS1149" i="6" s="1"/>
  <c r="DB329" i="6"/>
  <c r="BL329" i="6"/>
  <c r="BS362" i="6"/>
  <c r="CR1013" i="6"/>
  <c r="M1028" i="6"/>
  <c r="BO362" i="6"/>
  <c r="BN753" i="6"/>
  <c r="R153" i="6"/>
  <c r="R1345" i="6"/>
  <c r="R162" i="6"/>
  <c r="R163" i="6" s="1"/>
  <c r="CS151" i="6"/>
  <c r="CT160" i="6"/>
  <c r="S34" i="42457"/>
  <c r="BH1127" i="6"/>
  <c r="F47" i="42473"/>
  <c r="L47" i="42473"/>
  <c r="K47" i="42473"/>
  <c r="G47" i="42473"/>
  <c r="BP67" i="6"/>
  <c r="BO1014" i="6"/>
  <c r="BP1014" i="6" s="1"/>
  <c r="DC1014" i="6" s="1"/>
  <c r="BO136" i="6"/>
  <c r="BP136" i="6" s="1"/>
  <c r="DC136" i="6" s="1"/>
  <c r="O1154" i="6"/>
  <c r="BJ1093" i="6"/>
  <c r="BI1152" i="6"/>
  <c r="AG162" i="6"/>
  <c r="AG163" i="6" s="1"/>
  <c r="AG153" i="6"/>
  <c r="CV151" i="6"/>
  <c r="AG1345" i="6"/>
  <c r="M100" i="6"/>
  <c r="CR100" i="6" s="1"/>
  <c r="CR95" i="6"/>
  <c r="R938" i="6"/>
  <c r="CS938" i="6" s="1"/>
  <c r="CS937" i="6"/>
  <c r="BM286" i="6"/>
  <c r="BL288" i="6"/>
  <c r="CU924" i="6"/>
  <c r="AB925" i="6"/>
  <c r="CU925" i="6" s="1"/>
  <c r="AB927" i="6"/>
  <c r="BT25" i="42290"/>
  <c r="BO37" i="42290"/>
  <c r="BO39" i="42290" s="1"/>
  <c r="W751" i="6"/>
  <c r="CT751" i="6" s="1"/>
  <c r="CT750" i="6"/>
  <c r="CR1224" i="6"/>
  <c r="M1347" i="6"/>
  <c r="BR67" i="6"/>
  <c r="Y405" i="6"/>
  <c r="Z392" i="6"/>
  <c r="Y357" i="6"/>
  <c r="Y413" i="6"/>
  <c r="CV160" i="6"/>
  <c r="BK331" i="6"/>
  <c r="BT1141" i="6"/>
  <c r="BT1176" i="6"/>
  <c r="BU1176" i="6" s="1"/>
  <c r="DD1176" i="6" s="1"/>
  <c r="BT1285" i="6"/>
  <c r="BU1285" i="6" s="1"/>
  <c r="DD1285" i="6" s="1"/>
  <c r="BC496" i="6"/>
  <c r="DD1063" i="6"/>
  <c r="BH590" i="6" l="1"/>
  <c r="BH591" i="6"/>
  <c r="BM587" i="6"/>
  <c r="BM586" i="6"/>
  <c r="BM589" i="6"/>
  <c r="CB413" i="6"/>
  <c r="BF90" i="6"/>
  <c r="DA90" i="6" s="1"/>
  <c r="BR805" i="6"/>
  <c r="BR806" i="6" s="1"/>
  <c r="BJ1027" i="6"/>
  <c r="BJ1028" i="6" s="1"/>
  <c r="BJ1046" i="6" s="1"/>
  <c r="BF88" i="6"/>
  <c r="BF95" i="6" s="1"/>
  <c r="BF100" i="6" s="1"/>
  <c r="DA100" i="6" s="1"/>
  <c r="DA86" i="6"/>
  <c r="Z262" i="42458"/>
  <c r="Z264" i="42458" s="1"/>
  <c r="BI1114" i="6"/>
  <c r="BI1224" i="6" s="1"/>
  <c r="BI1347" i="6" s="1"/>
  <c r="O1082" i="6"/>
  <c r="O1138" i="6" s="1"/>
  <c r="DF413" i="6"/>
  <c r="BH169" i="6"/>
  <c r="BH175" i="6" s="1"/>
  <c r="BW363" i="6"/>
  <c r="BX363" i="6"/>
  <c r="M921" i="6"/>
  <c r="M922" i="6" s="1"/>
  <c r="CR922" i="6" s="1"/>
  <c r="Y262" i="42458"/>
  <c r="Y264" i="42458" s="1"/>
  <c r="CA477" i="6"/>
  <c r="DF477" i="6" s="1"/>
  <c r="BI426" i="6"/>
  <c r="CB414" i="6"/>
  <c r="CB477" i="6" s="1"/>
  <c r="DG477" i="6" s="1"/>
  <c r="I922" i="6"/>
  <c r="E60" i="42421"/>
  <c r="BF94" i="6"/>
  <c r="DA94" i="6" s="1"/>
  <c r="D60" i="42421"/>
  <c r="BF1332" i="6"/>
  <c r="DA1332" i="6" s="1"/>
  <c r="BH302" i="6"/>
  <c r="BG301" i="6"/>
  <c r="BG303" i="6" s="1"/>
  <c r="BG304" i="6" s="1"/>
  <c r="BJ357" i="6"/>
  <c r="BJ750" i="6" s="1"/>
  <c r="BK388" i="6"/>
  <c r="BK405" i="6" s="1"/>
  <c r="DB405" i="6" s="1"/>
  <c r="BJ409" i="6"/>
  <c r="BW430" i="6"/>
  <c r="BW447" i="6" s="1"/>
  <c r="BR447" i="6"/>
  <c r="BJ356" i="6"/>
  <c r="BJ384" i="6"/>
  <c r="BG169" i="6"/>
  <c r="BG175" i="6" s="1"/>
  <c r="AR151" i="6"/>
  <c r="AR160" i="6"/>
  <c r="AR161" i="6" s="1"/>
  <c r="B39" i="42417"/>
  <c r="B40" i="42417" s="1"/>
  <c r="BQ424" i="42458"/>
  <c r="BQ425" i="42458" s="1"/>
  <c r="AA1347" i="6"/>
  <c r="AA1252" i="6"/>
  <c r="AB1224" i="6"/>
  <c r="BL1027" i="6"/>
  <c r="BN1013" i="6"/>
  <c r="AA1170" i="6"/>
  <c r="AA1172" i="6" s="1"/>
  <c r="AB1149" i="6"/>
  <c r="BT142" i="42290"/>
  <c r="BT144" i="42290" s="1"/>
  <c r="BU125" i="42290"/>
  <c r="AV1162" i="6"/>
  <c r="AS147" i="6"/>
  <c r="AS142" i="6"/>
  <c r="BL90" i="6"/>
  <c r="BL92" i="6" s="1"/>
  <c r="BL88" i="6"/>
  <c r="BL169" i="6" s="1"/>
  <c r="BL175" i="6" s="1"/>
  <c r="BL1332" i="6"/>
  <c r="BL91" i="6"/>
  <c r="AA1127" i="6"/>
  <c r="AB1114" i="6"/>
  <c r="H16" i="42453"/>
  <c r="H21" i="42453" s="1"/>
  <c r="CV1114" i="6"/>
  <c r="AG1127" i="6"/>
  <c r="CV1127" i="6" s="1"/>
  <c r="N30" i="42425"/>
  <c r="N32" i="42425" s="1"/>
  <c r="CU1093" i="6"/>
  <c r="AC1093" i="6"/>
  <c r="AG1347" i="6"/>
  <c r="CV1224" i="6"/>
  <c r="F16" i="42421"/>
  <c r="C61" i="42421"/>
  <c r="E61" i="42421" s="1"/>
  <c r="E16" i="42421"/>
  <c r="D16" i="42421"/>
  <c r="BS802" i="6"/>
  <c r="BS803" i="6" s="1"/>
  <c r="BZ103" i="6"/>
  <c r="GT674" i="42425"/>
  <c r="GC588" i="42425"/>
  <c r="GC590" i="42425" s="1"/>
  <c r="J52" i="42458"/>
  <c r="GS674" i="42425"/>
  <c r="S182" i="42458"/>
  <c r="I52" i="42458"/>
  <c r="GE588" i="42425"/>
  <c r="GE590" i="42425" s="1"/>
  <c r="S166" i="42458"/>
  <c r="H52" i="42458"/>
  <c r="GU674" i="42425"/>
  <c r="GD588" i="42425"/>
  <c r="GD590" i="42425" s="1"/>
  <c r="S149" i="42458"/>
  <c r="L30" i="42421"/>
  <c r="F922" i="6"/>
  <c r="F909" i="6"/>
  <c r="F910" i="6" s="1"/>
  <c r="BM705" i="6"/>
  <c r="BM719" i="6" s="1"/>
  <c r="BM548" i="6"/>
  <c r="BM551" i="6"/>
  <c r="G922" i="6"/>
  <c r="G909" i="6"/>
  <c r="G910" i="6" s="1"/>
  <c r="BH720" i="6"/>
  <c r="BH721" i="6"/>
  <c r="BH723" i="6"/>
  <c r="E922" i="6"/>
  <c r="E909" i="6"/>
  <c r="E910" i="6" s="1"/>
  <c r="BC556" i="6"/>
  <c r="BC708" i="6"/>
  <c r="BC557" i="6"/>
  <c r="D922" i="6"/>
  <c r="D909" i="6"/>
  <c r="I911" i="6" s="1"/>
  <c r="H921" i="6"/>
  <c r="BH553" i="6"/>
  <c r="BH555" i="6"/>
  <c r="BK555" i="6" s="1"/>
  <c r="BH552" i="6"/>
  <c r="BY1156" i="6"/>
  <c r="BZ1156" i="6" s="1"/>
  <c r="DE1156" i="6" s="1"/>
  <c r="BZ1100" i="6"/>
  <c r="CN1100" i="6"/>
  <c r="CO1100" i="6" s="1"/>
  <c r="BW1014" i="6"/>
  <c r="BW136" i="6"/>
  <c r="CA1161" i="6"/>
  <c r="DF1161" i="6" s="1"/>
  <c r="DF1106" i="6"/>
  <c r="CB1106" i="6"/>
  <c r="CB845" i="6"/>
  <c r="CA847" i="6"/>
  <c r="DF845" i="6"/>
  <c r="CG1341" i="6"/>
  <c r="CG114" i="6"/>
  <c r="CG119" i="6" s="1"/>
  <c r="CB1157" i="6"/>
  <c r="DG1157" i="6" s="1"/>
  <c r="DG1101" i="6"/>
  <c r="CC1101" i="6"/>
  <c r="CC372" i="6"/>
  <c r="CD372" i="6" s="1"/>
  <c r="CE372" i="6" s="1"/>
  <c r="CF372" i="6" s="1"/>
  <c r="CG372" i="6" s="1"/>
  <c r="DG372" i="6"/>
  <c r="CN1155" i="6"/>
  <c r="CO1155" i="6" s="1"/>
  <c r="BZ1155" i="6"/>
  <c r="DE1155" i="6" s="1"/>
  <c r="CA368" i="6"/>
  <c r="DE368" i="6"/>
  <c r="BZ412" i="6"/>
  <c r="BZ410" i="6"/>
  <c r="BZ473" i="6" s="1"/>
  <c r="DE473" i="6" s="1"/>
  <c r="DG371" i="6"/>
  <c r="CC371" i="6"/>
  <c r="CD371" i="6" s="1"/>
  <c r="CE371" i="6" s="1"/>
  <c r="CF371" i="6" s="1"/>
  <c r="CG371" i="6" s="1"/>
  <c r="BZ1063" i="6"/>
  <c r="CA1063" i="6" s="1"/>
  <c r="CB1063" i="6" s="1"/>
  <c r="CN1063" i="6"/>
  <c r="CO1063" i="6" s="1"/>
  <c r="BY1165" i="6"/>
  <c r="BY1273" i="6" s="1"/>
  <c r="BZ1273" i="6" s="1"/>
  <c r="BZ1108" i="6"/>
  <c r="CN1108" i="6"/>
  <c r="CO1108" i="6" s="1"/>
  <c r="BY411" i="6"/>
  <c r="BY474" i="6" s="1"/>
  <c r="CN474" i="6" s="1"/>
  <c r="BZ369" i="6"/>
  <c r="BZ856" i="6"/>
  <c r="DE856" i="6" s="1"/>
  <c r="DE853" i="6"/>
  <c r="CB1159" i="6"/>
  <c r="CC1103" i="6"/>
  <c r="CD1103" i="6" s="1"/>
  <c r="CB1076" i="6"/>
  <c r="CA1079" i="6"/>
  <c r="DF1079" i="6" s="1"/>
  <c r="DF1076" i="6"/>
  <c r="DE104" i="6"/>
  <c r="CA104" i="6"/>
  <c r="CA1099" i="6"/>
  <c r="CA1155" i="6" s="1"/>
  <c r="DF1155" i="6" s="1"/>
  <c r="DE1099" i="6"/>
  <c r="DE370" i="6"/>
  <c r="CA370" i="6"/>
  <c r="AD24" i="42457"/>
  <c r="AD25" i="42457" s="1"/>
  <c r="DF102" i="6"/>
  <c r="CA1040" i="6"/>
  <c r="DE865" i="6"/>
  <c r="CC1145" i="6"/>
  <c r="CD1089" i="6"/>
  <c r="AX725" i="6"/>
  <c r="AX724" i="6"/>
  <c r="BC725" i="6"/>
  <c r="BM92" i="6"/>
  <c r="BH92" i="6"/>
  <c r="DB86" i="6"/>
  <c r="BK91" i="6"/>
  <c r="DB91" i="6" s="1"/>
  <c r="BK90" i="6"/>
  <c r="BK88" i="6"/>
  <c r="DG413" i="6"/>
  <c r="CB476" i="6"/>
  <c r="DG476" i="6" s="1"/>
  <c r="CC413" i="6"/>
  <c r="P911" i="6"/>
  <c r="K910" i="6"/>
  <c r="BW1176" i="6"/>
  <c r="BW1141" i="6"/>
  <c r="BW1285" i="6"/>
  <c r="BX1084" i="6"/>
  <c r="CE137" i="6"/>
  <c r="CF1024" i="6"/>
  <c r="BW783" i="6"/>
  <c r="BV788" i="6"/>
  <c r="BV787" i="6"/>
  <c r="BV785" i="6"/>
  <c r="BW782" i="6"/>
  <c r="L910" i="6"/>
  <c r="Q911" i="6"/>
  <c r="J910" i="6"/>
  <c r="O911" i="6"/>
  <c r="BH135" i="6"/>
  <c r="BK135" i="6" s="1"/>
  <c r="DB135" i="6" s="1"/>
  <c r="BH94" i="6"/>
  <c r="BH95" i="6"/>
  <c r="C47" i="42474"/>
  <c r="BJ169" i="6"/>
  <c r="BK169" i="6" s="1"/>
  <c r="BC94" i="6"/>
  <c r="BC96" i="6" s="1"/>
  <c r="BC135" i="6"/>
  <c r="BC169" i="6"/>
  <c r="BC175" i="6" s="1"/>
  <c r="D47" i="42474"/>
  <c r="BC95" i="6"/>
  <c r="C45" i="42467"/>
  <c r="G45" i="42467" s="1"/>
  <c r="N911" i="6"/>
  <c r="M909" i="6"/>
  <c r="I910" i="6"/>
  <c r="BV495" i="6"/>
  <c r="BV468" i="6"/>
  <c r="BY495" i="6"/>
  <c r="BY468" i="6"/>
  <c r="BO1097" i="6"/>
  <c r="BP1097" i="6" s="1"/>
  <c r="BI169" i="6"/>
  <c r="BI175" i="6" s="1"/>
  <c r="BE94" i="6"/>
  <c r="D47" i="42475"/>
  <c r="BE95" i="6"/>
  <c r="C45" i="42471"/>
  <c r="BE135" i="6"/>
  <c r="BJ92" i="6"/>
  <c r="BE92" i="6"/>
  <c r="BE169" i="6"/>
  <c r="G42" i="42452"/>
  <c r="AJ95" i="6"/>
  <c r="AJ135" i="6"/>
  <c r="AJ144" i="6" s="1"/>
  <c r="C41" i="42437"/>
  <c r="D40" i="42443"/>
  <c r="AJ94" i="6"/>
  <c r="AJ96" i="6" s="1"/>
  <c r="AP883" i="6"/>
  <c r="AO880" i="6"/>
  <c r="P1096" i="6"/>
  <c r="Q1096" i="6" s="1"/>
  <c r="CR1138" i="6"/>
  <c r="M1170" i="6"/>
  <c r="DG1186" i="6"/>
  <c r="CC1186" i="6"/>
  <c r="CD1186" i="6" s="1"/>
  <c r="CE1186" i="6" s="1"/>
  <c r="CF1186" i="6" s="1"/>
  <c r="CG1186" i="6" s="1"/>
  <c r="CA1187" i="6"/>
  <c r="DE1187" i="6"/>
  <c r="AU96" i="6"/>
  <c r="BW257" i="42290"/>
  <c r="BX254" i="42290"/>
  <c r="BJ1149" i="6"/>
  <c r="BK1149" i="6" s="1"/>
  <c r="BI1266" i="6"/>
  <c r="BH1268" i="6"/>
  <c r="BH1281" i="6"/>
  <c r="BH1282" i="6" s="1"/>
  <c r="EO592" i="42458"/>
  <c r="BD447" i="6"/>
  <c r="EA592" i="42458"/>
  <c r="EA604" i="42458" s="1"/>
  <c r="BU799" i="6"/>
  <c r="DD799" i="6" s="1"/>
  <c r="AZ1028" i="6"/>
  <c r="BA1028" i="6" s="1"/>
  <c r="G45" i="42468"/>
  <c r="CG434" i="6"/>
  <c r="CB80" i="42290" s="1"/>
  <c r="CB84" i="42290" s="1"/>
  <c r="CB87" i="42290" s="1"/>
  <c r="CA80" i="42290"/>
  <c r="CA84" i="42290" s="1"/>
  <c r="CA87" i="42290" s="1"/>
  <c r="F44" i="42442"/>
  <c r="G44" i="42442"/>
  <c r="AI1027" i="6"/>
  <c r="AL1013" i="6"/>
  <c r="CW1013" i="6" s="1"/>
  <c r="AN1027" i="6"/>
  <c r="AN1028" i="6" s="1"/>
  <c r="AI90" i="6"/>
  <c r="AI92" i="6" s="1"/>
  <c r="AI88" i="6"/>
  <c r="AI91" i="6"/>
  <c r="AI1332" i="6"/>
  <c r="AL1332" i="6" s="1"/>
  <c r="CW1332" i="6" s="1"/>
  <c r="AL86" i="6"/>
  <c r="AP1013" i="6"/>
  <c r="AQ1013" i="6" s="1"/>
  <c r="CX1013" i="6" s="1"/>
  <c r="CD429" i="6"/>
  <c r="G43" i="42448"/>
  <c r="F43" i="42448"/>
  <c r="B72" i="42434"/>
  <c r="CW103" i="6"/>
  <c r="G44" i="42432"/>
  <c r="K44" i="42432"/>
  <c r="F44" i="42432"/>
  <c r="L44" i="42432"/>
  <c r="K44" i="42441"/>
  <c r="F44" i="42441"/>
  <c r="G44" i="42441"/>
  <c r="L44" i="42441"/>
  <c r="AM91" i="6"/>
  <c r="AM88" i="6"/>
  <c r="AN169" i="6" s="1"/>
  <c r="AN175" i="6" s="1"/>
  <c r="AM1332" i="6"/>
  <c r="AQ1332" i="6" s="1"/>
  <c r="CX1332" i="6" s="1"/>
  <c r="AM90" i="6"/>
  <c r="BO497" i="6"/>
  <c r="BT495" i="6"/>
  <c r="BT496" i="6" s="1"/>
  <c r="BY496" i="6" s="1"/>
  <c r="BT468" i="6"/>
  <c r="G44" i="42455"/>
  <c r="AN95" i="6"/>
  <c r="AN100" i="6" s="1"/>
  <c r="D40" i="42450"/>
  <c r="AN135" i="6"/>
  <c r="AN144" i="6" s="1"/>
  <c r="AN151" i="6" s="1"/>
  <c r="AN94" i="6"/>
  <c r="CA182" i="42290"/>
  <c r="CA183" i="42290"/>
  <c r="CA181" i="42290"/>
  <c r="BN292" i="6"/>
  <c r="BO291" i="6"/>
  <c r="BP291" i="6" s="1"/>
  <c r="BI1175" i="6"/>
  <c r="BH1178" i="6"/>
  <c r="CT492" i="6"/>
  <c r="BL1150" i="6"/>
  <c r="AT1150" i="6"/>
  <c r="AS1150" i="6"/>
  <c r="BD599" i="6"/>
  <c r="AY599" i="6"/>
  <c r="AS92" i="6"/>
  <c r="CB171" i="42290"/>
  <c r="BZ185" i="42290"/>
  <c r="BZ187" i="42290" s="1"/>
  <c r="BZ203" i="42290"/>
  <c r="BZ206" i="42290" s="1"/>
  <c r="BZ208" i="42290" s="1"/>
  <c r="BA92" i="6"/>
  <c r="CZ92" i="6" s="1"/>
  <c r="BT800" i="6"/>
  <c r="BT802" i="6" s="1"/>
  <c r="BT803" i="6" s="1"/>
  <c r="BL1154" i="6"/>
  <c r="BM1098" i="6"/>
  <c r="BM1154" i="6" s="1"/>
  <c r="CZ749" i="6"/>
  <c r="BA751" i="6"/>
  <c r="CZ751" i="6" s="1"/>
  <c r="BA695" i="6"/>
  <c r="BA696" i="6" s="1"/>
  <c r="CB195" i="42290"/>
  <c r="CB196" i="42290"/>
  <c r="CB197" i="42290"/>
  <c r="S1064" i="6"/>
  <c r="S1066" i="6" s="1"/>
  <c r="T1063" i="6"/>
  <c r="CA199" i="42290"/>
  <c r="BN904" i="6"/>
  <c r="BN906" i="6"/>
  <c r="BO363" i="6"/>
  <c r="F42" i="42452"/>
  <c r="CA482" i="6"/>
  <c r="CD346" i="6"/>
  <c r="CD39" i="6"/>
  <c r="CD128" i="6" s="1"/>
  <c r="CD347" i="6"/>
  <c r="BM1150" i="6"/>
  <c r="BN1094" i="6"/>
  <c r="DB921" i="6"/>
  <c r="BK922" i="6"/>
  <c r="DB922" i="6" s="1"/>
  <c r="CB482" i="6"/>
  <c r="CF342" i="6"/>
  <c r="CE27" i="6"/>
  <c r="CE345" i="6"/>
  <c r="D17" i="42421"/>
  <c r="F17" i="42421"/>
  <c r="J15" i="42421"/>
  <c r="C18" i="42421" s="1"/>
  <c r="E17" i="42421"/>
  <c r="W1153" i="6"/>
  <c r="CT1153" i="6" s="1"/>
  <c r="AP1276" i="6"/>
  <c r="AP1295" i="6" s="1"/>
  <c r="AP1296" i="6" s="1"/>
  <c r="BU820" i="6"/>
  <c r="K45" i="42468"/>
  <c r="L45" i="42468"/>
  <c r="C47" i="42468"/>
  <c r="BD96" i="6"/>
  <c r="BI96" i="6"/>
  <c r="GT644" i="42425"/>
  <c r="DD782" i="6"/>
  <c r="EY441" i="42425"/>
  <c r="EY448" i="42425" s="1"/>
  <c r="EY457" i="42425" s="1"/>
  <c r="AP144" i="6"/>
  <c r="O20" i="42457"/>
  <c r="BD100" i="6"/>
  <c r="DD808" i="6"/>
  <c r="BU812" i="6"/>
  <c r="BV812" i="6" s="1"/>
  <c r="BU867" i="6"/>
  <c r="AP96" i="6"/>
  <c r="BA727" i="6"/>
  <c r="BI556" i="6"/>
  <c r="BI557" i="6"/>
  <c r="BI708" i="6"/>
  <c r="BI724" i="6"/>
  <c r="BI725" i="6"/>
  <c r="BL557" i="6"/>
  <c r="BL556" i="6"/>
  <c r="BJ719" i="6"/>
  <c r="BK705" i="6"/>
  <c r="BK719" i="6" s="1"/>
  <c r="BK720" i="6" s="1"/>
  <c r="BK583" i="6"/>
  <c r="BK582" i="6"/>
  <c r="BF586" i="6"/>
  <c r="BF587" i="6"/>
  <c r="AV681" i="6"/>
  <c r="BA681" i="6"/>
  <c r="AV680" i="6"/>
  <c r="AU684" i="6"/>
  <c r="AU687" i="6"/>
  <c r="AU685" i="6"/>
  <c r="AV683" i="6"/>
  <c r="AZ685" i="6"/>
  <c r="BK585" i="6"/>
  <c r="BJ587" i="6"/>
  <c r="BJ586" i="6"/>
  <c r="BJ589" i="6"/>
  <c r="BF720" i="6"/>
  <c r="BF721" i="6"/>
  <c r="BF723" i="6"/>
  <c r="BF589" i="6"/>
  <c r="BE591" i="6"/>
  <c r="BE590" i="6"/>
  <c r="AV705" i="6"/>
  <c r="AV719" i="6" s="1"/>
  <c r="AU706" i="6"/>
  <c r="AU719" i="6"/>
  <c r="BA590" i="6"/>
  <c r="BA591" i="6"/>
  <c r="BE723" i="6"/>
  <c r="BE720" i="6"/>
  <c r="BE721" i="6"/>
  <c r="BE708" i="6"/>
  <c r="AL497" i="6"/>
  <c r="CW496" i="6"/>
  <c r="BC96" i="42290"/>
  <c r="BC98" i="42290" s="1"/>
  <c r="BC100" i="42290" s="1"/>
  <c r="BC261" i="42290" s="1"/>
  <c r="BI430" i="6"/>
  <c r="BI447" i="6" s="1"/>
  <c r="BF430" i="6"/>
  <c r="BF447" i="6" s="1"/>
  <c r="BD472" i="6"/>
  <c r="AZ96" i="42290"/>
  <c r="AZ98" i="42290" s="1"/>
  <c r="AZ100" i="42290" s="1"/>
  <c r="AZ261" i="42290" s="1"/>
  <c r="BA451" i="6"/>
  <c r="CZ451" i="6" s="1"/>
  <c r="CZ430" i="6"/>
  <c r="BA472" i="6"/>
  <c r="CZ472" i="6" s="1"/>
  <c r="BB910" i="6"/>
  <c r="BB911" i="6"/>
  <c r="BG911" i="6"/>
  <c r="CX489" i="6"/>
  <c r="AQ490" i="6"/>
  <c r="CX490" i="6" s="1"/>
  <c r="AW910" i="6"/>
  <c r="AW911" i="6"/>
  <c r="AT496" i="6"/>
  <c r="AV495" i="6"/>
  <c r="CY495" i="6" s="1"/>
  <c r="CV496" i="6"/>
  <c r="AG497" i="6"/>
  <c r="AJ1190" i="6"/>
  <c r="AL1190" i="6" s="1"/>
  <c r="CW1190" i="6" s="1"/>
  <c r="AL1188" i="6"/>
  <c r="AO497" i="6"/>
  <c r="AQ496" i="6"/>
  <c r="AV468" i="6"/>
  <c r="CY468" i="6" s="1"/>
  <c r="CY447" i="6"/>
  <c r="AV489" i="6"/>
  <c r="BM367" i="6"/>
  <c r="AY468" i="6"/>
  <c r="AY495" i="6"/>
  <c r="AY489" i="6"/>
  <c r="AY490" i="6" s="1"/>
  <c r="HC804" i="42425"/>
  <c r="HA807" i="42425"/>
  <c r="HA810" i="42425"/>
  <c r="BL496" i="6"/>
  <c r="BQ495" i="6"/>
  <c r="BQ496" i="6" s="1"/>
  <c r="BV496" i="6" s="1"/>
  <c r="BQ468" i="6"/>
  <c r="DB387" i="6"/>
  <c r="BL387" i="6"/>
  <c r="BL708" i="6"/>
  <c r="BL590" i="6"/>
  <c r="BL591" i="6"/>
  <c r="BL720" i="6"/>
  <c r="BL721" i="6"/>
  <c r="BL723" i="6"/>
  <c r="BK366" i="6"/>
  <c r="BJ408" i="6"/>
  <c r="BI358" i="6"/>
  <c r="BI360" i="6" s="1"/>
  <c r="BI492" i="6" s="1"/>
  <c r="BI493" i="6" s="1"/>
  <c r="BI749" i="6"/>
  <c r="BI751" i="6" s="1"/>
  <c r="BI471" i="6"/>
  <c r="BH360" i="6"/>
  <c r="BH492" i="6" s="1"/>
  <c r="BH493" i="6" s="1"/>
  <c r="BI1151" i="6"/>
  <c r="BJ1095" i="6"/>
  <c r="BK1095" i="6" s="1"/>
  <c r="BS870" i="6"/>
  <c r="BS823" i="6"/>
  <c r="BS872" i="6" s="1"/>
  <c r="BT821" i="6"/>
  <c r="BU821" i="6" s="1"/>
  <c r="BT811" i="6"/>
  <c r="BU809" i="6"/>
  <c r="GT645" i="42425"/>
  <c r="BU785" i="6"/>
  <c r="DD785" i="6" s="1"/>
  <c r="DD783" i="6"/>
  <c r="BU794" i="6"/>
  <c r="BT796" i="6"/>
  <c r="DD790" i="6"/>
  <c r="BU791" i="6"/>
  <c r="DD791" i="6" s="1"/>
  <c r="AQ1224" i="6"/>
  <c r="AP1252" i="6"/>
  <c r="AP1347" i="6"/>
  <c r="AR1095" i="6"/>
  <c r="CX1095" i="6"/>
  <c r="AS1154" i="6"/>
  <c r="AV1154" i="6" s="1"/>
  <c r="CY1154" i="6" s="1"/>
  <c r="BK552" i="6"/>
  <c r="BK553" i="6"/>
  <c r="W1263" i="6"/>
  <c r="CT123" i="6"/>
  <c r="E67" i="42434"/>
  <c r="AD144" i="42434"/>
  <c r="AT910" i="6"/>
  <c r="AT911" i="6"/>
  <c r="AQ90" i="6"/>
  <c r="CX86" i="6"/>
  <c r="AQ91" i="6"/>
  <c r="CX91" i="6" s="1"/>
  <c r="AT92" i="6"/>
  <c r="AO92" i="6"/>
  <c r="DA921" i="6"/>
  <c r="BF922" i="6"/>
  <c r="DA922" i="6" s="1"/>
  <c r="AQ1170" i="6"/>
  <c r="AP1127" i="6"/>
  <c r="AQ1114" i="6"/>
  <c r="AG120" i="6"/>
  <c r="CV927" i="6"/>
  <c r="HK826" i="42425" s="1"/>
  <c r="Y59" i="42425"/>
  <c r="Y57" i="42425"/>
  <c r="AG958" i="6"/>
  <c r="Y60" i="42425"/>
  <c r="AG1006" i="6"/>
  <c r="CV1006" i="6" s="1"/>
  <c r="Y58" i="42425"/>
  <c r="AG928" i="6"/>
  <c r="CV928" i="6" s="1"/>
  <c r="AY101" i="42425"/>
  <c r="AY103" i="42425" s="1"/>
  <c r="AG937" i="6"/>
  <c r="W154" i="6"/>
  <c r="CT154" i="6" s="1"/>
  <c r="CT965" i="6"/>
  <c r="W1351" i="6"/>
  <c r="BF556" i="6"/>
  <c r="BF557" i="6"/>
  <c r="AL927" i="6"/>
  <c r="CW924" i="6"/>
  <c r="AL925" i="6"/>
  <c r="CW925" i="6" s="1"/>
  <c r="T1099" i="6"/>
  <c r="T1155" i="6" s="1"/>
  <c r="T1170" i="6" s="1"/>
  <c r="T1172" i="6" s="1"/>
  <c r="AY922" i="6"/>
  <c r="AY909" i="6"/>
  <c r="CX909" i="6"/>
  <c r="AQ910" i="6"/>
  <c r="CX910" i="6" s="1"/>
  <c r="AQ924" i="6"/>
  <c r="AQ911" i="6"/>
  <c r="CX911" i="6" s="1"/>
  <c r="BJ556" i="6"/>
  <c r="BJ557" i="6"/>
  <c r="BD909" i="6"/>
  <c r="BD922" i="6"/>
  <c r="AV910" i="6"/>
  <c r="CY910" i="6" s="1"/>
  <c r="CY909" i="6"/>
  <c r="AV911" i="6"/>
  <c r="CY911" i="6" s="1"/>
  <c r="BA909" i="6"/>
  <c r="CZ921" i="6"/>
  <c r="BA922" i="6"/>
  <c r="CZ922" i="6" s="1"/>
  <c r="AO94" i="6"/>
  <c r="AO135" i="6"/>
  <c r="D40" i="42451"/>
  <c r="AO95" i="6"/>
  <c r="AO100" i="6" s="1"/>
  <c r="AS169" i="6"/>
  <c r="AS175" i="6" s="1"/>
  <c r="AR169" i="6"/>
  <c r="AR175" i="6" s="1"/>
  <c r="BK34" i="6"/>
  <c r="DB34" i="6" s="1"/>
  <c r="BK35" i="6"/>
  <c r="DB35" i="6" s="1"/>
  <c r="DB33" i="6"/>
  <c r="N1114" i="6"/>
  <c r="N1127" i="6" s="1"/>
  <c r="CI488" i="42458"/>
  <c r="CI507" i="42458"/>
  <c r="CH490" i="42458"/>
  <c r="CI491" i="42458" s="1"/>
  <c r="L52" i="42475"/>
  <c r="G52" i="42475"/>
  <c r="L26" i="42475"/>
  <c r="G26" i="42475"/>
  <c r="BK170" i="6"/>
  <c r="N94" i="42458"/>
  <c r="DB21" i="6"/>
  <c r="BK22" i="6"/>
  <c r="DB22" i="6" s="1"/>
  <c r="BK23" i="6"/>
  <c r="BK52" i="6"/>
  <c r="DB52" i="6" s="1"/>
  <c r="BK56" i="6"/>
  <c r="DB56" i="6" s="1"/>
  <c r="BK71" i="6"/>
  <c r="DB71" i="6" s="1"/>
  <c r="BF1027" i="6"/>
  <c r="DA1027" i="6" s="1"/>
  <c r="L46" i="42454"/>
  <c r="K46" i="42454"/>
  <c r="F46" i="42459"/>
  <c r="K46" i="42459"/>
  <c r="G46" i="42459"/>
  <c r="L46" i="42459"/>
  <c r="CB63" i="42290"/>
  <c r="CB67" i="42290" s="1"/>
  <c r="CB70" i="42290" s="1"/>
  <c r="BB1218" i="6"/>
  <c r="BC1214" i="6" s="1"/>
  <c r="BC1216" i="6" s="1"/>
  <c r="BC1218" i="6" s="1"/>
  <c r="BD1214" i="6" s="1"/>
  <c r="BA135" i="6"/>
  <c r="CZ135" i="6" s="1"/>
  <c r="K44" i="42452"/>
  <c r="L44" i="42452"/>
  <c r="F44" i="42452"/>
  <c r="G44" i="42452"/>
  <c r="F46" i="42454"/>
  <c r="G46" i="42454"/>
  <c r="K47" i="42464"/>
  <c r="L47" i="42464"/>
  <c r="G47" i="42464"/>
  <c r="F47" i="42464"/>
  <c r="F46" i="42461"/>
  <c r="G46" i="42461"/>
  <c r="AV1027" i="6"/>
  <c r="CY1027" i="6" s="1"/>
  <c r="AU1028" i="6"/>
  <c r="K44" i="42455"/>
  <c r="L44" i="42455"/>
  <c r="C46" i="42455"/>
  <c r="F46" i="42455" s="1"/>
  <c r="F49" i="42457"/>
  <c r="F51" i="42457" s="1"/>
  <c r="AU153" i="6"/>
  <c r="AU155" i="6" s="1"/>
  <c r="AU157" i="6" s="1"/>
  <c r="AU1345" i="6"/>
  <c r="AU162" i="6"/>
  <c r="AU163" i="6" s="1"/>
  <c r="L8" i="42453"/>
  <c r="L13" i="42453" s="1"/>
  <c r="L23" i="42453" s="1"/>
  <c r="L27" i="42453" s="1"/>
  <c r="CZ88" i="6"/>
  <c r="BA94" i="6"/>
  <c r="CZ94" i="6" s="1"/>
  <c r="BA95" i="6"/>
  <c r="BA169" i="6"/>
  <c r="BA175" i="6" s="1"/>
  <c r="AZ175" i="6"/>
  <c r="I20" i="42457"/>
  <c r="AX100" i="6"/>
  <c r="F1209" i="6"/>
  <c r="F1061" i="6"/>
  <c r="F1072" i="6" s="1"/>
  <c r="F1129" i="6" s="1"/>
  <c r="F1225" i="6"/>
  <c r="G1047" i="6"/>
  <c r="G1048" i="6" s="1"/>
  <c r="G1053" i="6" s="1"/>
  <c r="G1209" i="6" s="1"/>
  <c r="L43" i="42440"/>
  <c r="K43" i="42440"/>
  <c r="F43" i="42440"/>
  <c r="G43" i="42440"/>
  <c r="G42" i="42447"/>
  <c r="F42" i="42447"/>
  <c r="AK153" i="6"/>
  <c r="AK155" i="6" s="1"/>
  <c r="AK157" i="6" s="1"/>
  <c r="AK162" i="6"/>
  <c r="AK163" i="6" s="1"/>
  <c r="AK1345" i="6"/>
  <c r="H1053" i="6"/>
  <c r="CQ1048" i="6"/>
  <c r="CQ160" i="6"/>
  <c r="CY135" i="6"/>
  <c r="EZ441" i="42425"/>
  <c r="EZ448" i="42425" s="1"/>
  <c r="EZ457" i="42425" s="1"/>
  <c r="CY94" i="6"/>
  <c r="H162" i="6"/>
  <c r="H163" i="6" s="1"/>
  <c r="H153" i="6"/>
  <c r="CQ153" i="6" s="1"/>
  <c r="CQ151" i="6"/>
  <c r="H1345" i="6"/>
  <c r="W83" i="42440"/>
  <c r="Y83" i="42440" s="1"/>
  <c r="W82" i="42442"/>
  <c r="Y82" i="42442" s="1"/>
  <c r="G20" i="42457"/>
  <c r="AS64" i="42416"/>
  <c r="AV100" i="6"/>
  <c r="CY100" i="6" s="1"/>
  <c r="U78" i="42447"/>
  <c r="Y78" i="42447" s="1"/>
  <c r="W82" i="42443"/>
  <c r="Y82" i="42443" s="1"/>
  <c r="W83" i="42441"/>
  <c r="Y83" i="42441" s="1"/>
  <c r="U78" i="42450"/>
  <c r="Y78" i="42450" s="1"/>
  <c r="CY95" i="6"/>
  <c r="U78" i="42448"/>
  <c r="Y78" i="42448" s="1"/>
  <c r="U78" i="42451"/>
  <c r="Y78" i="42451" s="1"/>
  <c r="U81" i="42452"/>
  <c r="Y81" i="42452" s="1"/>
  <c r="E1227" i="6"/>
  <c r="E1229" i="6" s="1"/>
  <c r="E1232" i="6" s="1"/>
  <c r="E1350" i="6" s="1"/>
  <c r="E1348" i="6"/>
  <c r="CT1044" i="6"/>
  <c r="W1046" i="6"/>
  <c r="CT1046" i="6" s="1"/>
  <c r="BF1028" i="6"/>
  <c r="BF1046" i="6" s="1"/>
  <c r="N1347" i="6"/>
  <c r="N1252" i="6"/>
  <c r="BN286" i="6"/>
  <c r="BO286" i="6" s="1"/>
  <c r="BM288" i="6"/>
  <c r="BM289" i="6" s="1"/>
  <c r="BM294" i="6" s="1"/>
  <c r="BM295" i="6" s="1"/>
  <c r="BP1064" i="6"/>
  <c r="BO1066" i="6"/>
  <c r="BP1066" i="6" s="1"/>
  <c r="DC1066" i="6" s="1"/>
  <c r="AB958" i="6"/>
  <c r="AB120" i="6"/>
  <c r="AB928" i="6"/>
  <c r="CU928" i="6" s="1"/>
  <c r="CU927" i="6"/>
  <c r="HJ826" i="42425" s="1"/>
  <c r="AB1006" i="6"/>
  <c r="CU1006" i="6" s="1"/>
  <c r="AB937" i="6"/>
  <c r="AB929" i="6"/>
  <c r="CU929" i="6" s="1"/>
  <c r="AG929" i="6"/>
  <c r="CV929" i="6" s="1"/>
  <c r="BC497" i="6"/>
  <c r="DD1084" i="6"/>
  <c r="BK336" i="6"/>
  <c r="DB331" i="6"/>
  <c r="Z357" i="6"/>
  <c r="Z405" i="6"/>
  <c r="Z413" i="6"/>
  <c r="BT37" i="42290"/>
  <c r="BT39" i="42290" s="1"/>
  <c r="BU25" i="42290"/>
  <c r="CV153" i="6"/>
  <c r="BU1141" i="6"/>
  <c r="CS153" i="6"/>
  <c r="BT362" i="6"/>
  <c r="X490" i="6"/>
  <c r="AC490" i="6"/>
  <c r="BM495" i="6"/>
  <c r="BM468" i="6"/>
  <c r="BQ96" i="42290"/>
  <c r="BQ98" i="42290" s="1"/>
  <c r="BQ100" i="42290" s="1"/>
  <c r="AG302" i="6"/>
  <c r="AH301" i="6"/>
  <c r="AH303" i="6" s="1"/>
  <c r="X360" i="6"/>
  <c r="X492" i="6" s="1"/>
  <c r="M160" i="6"/>
  <c r="M161" i="6" s="1"/>
  <c r="CR144" i="6"/>
  <c r="BJ1152" i="6"/>
  <c r="BK1152" i="6" s="1"/>
  <c r="DB1152" i="6" s="1"/>
  <c r="Y476" i="6"/>
  <c r="Y426" i="6"/>
  <c r="Y489" i="6" s="1"/>
  <c r="CV162" i="6"/>
  <c r="BK1093" i="6"/>
  <c r="BK1114" i="6" s="1"/>
  <c r="BK1224" i="6" s="1"/>
  <c r="CR1028" i="6"/>
  <c r="M1046" i="6"/>
  <c r="CR1046" i="6" s="1"/>
  <c r="BL330" i="6"/>
  <c r="BM329" i="6"/>
  <c r="N1161" i="6"/>
  <c r="N1170" i="6" s="1"/>
  <c r="N1172" i="6" s="1"/>
  <c r="CE10" i="6"/>
  <c r="CF297" i="6"/>
  <c r="CB363" i="6"/>
  <c r="DF363" i="6"/>
  <c r="CU153" i="6"/>
  <c r="CT153" i="6"/>
  <c r="CS123" i="6"/>
  <c r="R1263" i="6"/>
  <c r="CS1263" i="6" s="1"/>
  <c r="BL1096" i="6"/>
  <c r="BL1152" i="6" s="1"/>
  <c r="DB1096" i="6"/>
  <c r="BQ136" i="6"/>
  <c r="BQ1014" i="6"/>
  <c r="BH496" i="6"/>
  <c r="BL289" i="6"/>
  <c r="BL294" i="6" s="1"/>
  <c r="BL295" i="6" s="1"/>
  <c r="CU162" i="6"/>
  <c r="CT162" i="6"/>
  <c r="J153" i="6"/>
  <c r="J155" i="6" s="1"/>
  <c r="J157" i="6" s="1"/>
  <c r="J1345" i="6"/>
  <c r="J162" i="6"/>
  <c r="J163" i="6" s="1"/>
  <c r="M151" i="6"/>
  <c r="BR136" i="6"/>
  <c r="BR1014" i="6"/>
  <c r="CS162" i="6"/>
  <c r="Y750" i="6"/>
  <c r="Y751" i="6" s="1"/>
  <c r="Y358" i="6"/>
  <c r="BS67" i="6"/>
  <c r="DC67" i="6"/>
  <c r="F9" i="42419"/>
  <c r="O125" i="42458"/>
  <c r="O101" i="42458" s="1"/>
  <c r="AT1149" i="6"/>
  <c r="AV1149" i="6" s="1"/>
  <c r="DF362" i="6"/>
  <c r="CB362" i="6"/>
  <c r="AN304" i="6"/>
  <c r="R154" i="6"/>
  <c r="CS154" i="6" s="1"/>
  <c r="R1351" i="6"/>
  <c r="CS965" i="6"/>
  <c r="Q1154" i="6"/>
  <c r="R1154" i="6" s="1"/>
  <c r="CS1154" i="6" s="1"/>
  <c r="P1082" i="6"/>
  <c r="Q20" i="42457" l="1"/>
  <c r="BK1028" i="6"/>
  <c r="DB1028" i="6" s="1"/>
  <c r="DA88" i="6"/>
  <c r="F45" i="42467"/>
  <c r="DA95" i="6"/>
  <c r="M8" i="42453"/>
  <c r="M13" i="42453" s="1"/>
  <c r="M23" i="42453" s="1"/>
  <c r="M27" i="42453" s="1"/>
  <c r="BM590" i="6"/>
  <c r="BM591" i="6"/>
  <c r="BK1027" i="6"/>
  <c r="DB1027" i="6" s="1"/>
  <c r="BF92" i="6"/>
  <c r="DA92" i="6" s="1"/>
  <c r="DG414" i="6"/>
  <c r="T34" i="42457"/>
  <c r="O1106" i="6"/>
  <c r="O1161" i="6" s="1"/>
  <c r="O1170" i="6" s="1"/>
  <c r="O1172" i="6" s="1"/>
  <c r="P1138" i="6"/>
  <c r="BJ1114" i="6"/>
  <c r="BJ1224" i="6" s="1"/>
  <c r="CR921" i="6"/>
  <c r="DE1063" i="6"/>
  <c r="CC414" i="6"/>
  <c r="CC477" i="6" s="1"/>
  <c r="BJ426" i="6"/>
  <c r="BK1046" i="6"/>
  <c r="DB1046" i="6" s="1"/>
  <c r="BK175" i="6"/>
  <c r="CN1156" i="6"/>
  <c r="CO1156" i="6" s="1"/>
  <c r="BJ175" i="6"/>
  <c r="AO169" i="6"/>
  <c r="AO175" i="6" s="1"/>
  <c r="BS805" i="6"/>
  <c r="BS806" i="6" s="1"/>
  <c r="D61" i="42421"/>
  <c r="BF708" i="6"/>
  <c r="BF727" i="6" s="1"/>
  <c r="BF729" i="6" s="1"/>
  <c r="J59" i="42421"/>
  <c r="C62" i="42421" s="1"/>
  <c r="K911" i="6"/>
  <c r="BK357" i="6"/>
  <c r="DB357" i="6" s="1"/>
  <c r="BL388" i="6"/>
  <c r="BL405" i="6" s="1"/>
  <c r="DB388" i="6"/>
  <c r="J911" i="6"/>
  <c r="BK384" i="6"/>
  <c r="DB384" i="6" s="1"/>
  <c r="BK356" i="6"/>
  <c r="BK409" i="6"/>
  <c r="DB409" i="6" s="1"/>
  <c r="BJ472" i="6"/>
  <c r="BH301" i="6"/>
  <c r="BH303" i="6" s="1"/>
  <c r="BH304" i="6" s="1"/>
  <c r="BI302" i="6"/>
  <c r="L911" i="6"/>
  <c r="AV142" i="6"/>
  <c r="CY142" i="6" s="1"/>
  <c r="AS144" i="6"/>
  <c r="AC27" i="42457"/>
  <c r="AC28" i="42457" s="1"/>
  <c r="CA103" i="6"/>
  <c r="CB103" i="6" s="1"/>
  <c r="AC1224" i="6"/>
  <c r="AC1149" i="6"/>
  <c r="AD1149" i="6"/>
  <c r="AD1170" i="6" s="1"/>
  <c r="AD1172" i="6" s="1"/>
  <c r="AC1114" i="6"/>
  <c r="AC1127" i="6" s="1"/>
  <c r="BV125" i="42290"/>
  <c r="BU142" i="42290"/>
  <c r="BU144" i="42290" s="1"/>
  <c r="CU1114" i="6"/>
  <c r="G16" i="42453"/>
  <c r="G21" i="42453" s="1"/>
  <c r="AB1127" i="6"/>
  <c r="CU1127" i="6" s="1"/>
  <c r="BL135" i="6"/>
  <c r="BL95" i="6"/>
  <c r="BL94" i="6"/>
  <c r="BL96" i="6" s="1"/>
  <c r="BM169" i="6"/>
  <c r="BM175" i="6" s="1"/>
  <c r="BN169" i="6"/>
  <c r="BN175" i="6" s="1"/>
  <c r="AW1162" i="6"/>
  <c r="AV147" i="6"/>
  <c r="CY147" i="6" s="1"/>
  <c r="CY1162" i="6"/>
  <c r="BL1028" i="6"/>
  <c r="CU1149" i="6"/>
  <c r="AB1170" i="6"/>
  <c r="AB1347" i="6"/>
  <c r="M30" i="42425"/>
  <c r="M32" i="42425" s="1"/>
  <c r="N34" i="42425" s="1"/>
  <c r="CU1224" i="6"/>
  <c r="AR1345" i="6"/>
  <c r="AR153" i="6"/>
  <c r="AR155" i="6" s="1"/>
  <c r="AR157" i="6" s="1"/>
  <c r="C49" i="42457"/>
  <c r="C51" i="42457" s="1"/>
  <c r="AR162" i="6"/>
  <c r="AR163" i="6" s="1"/>
  <c r="DE103" i="6"/>
  <c r="F61" i="42421"/>
  <c r="DE410" i="6"/>
  <c r="CN1165" i="6"/>
  <c r="CO1165" i="6" s="1"/>
  <c r="BY497" i="6"/>
  <c r="BH557" i="6"/>
  <c r="BH708" i="6"/>
  <c r="BH556" i="6"/>
  <c r="J53" i="42458"/>
  <c r="J69" i="42458"/>
  <c r="BM723" i="6"/>
  <c r="BM721" i="6"/>
  <c r="BM720" i="6"/>
  <c r="I69" i="42458"/>
  <c r="I53" i="42458"/>
  <c r="CQ921" i="6"/>
  <c r="H922" i="6"/>
  <c r="CQ922" i="6" s="1"/>
  <c r="BH724" i="6"/>
  <c r="BH725" i="6"/>
  <c r="H69" i="42458"/>
  <c r="H53" i="42458"/>
  <c r="S197" i="42458"/>
  <c r="R182" i="42458"/>
  <c r="R197" i="42458" s="1"/>
  <c r="T182" i="42458"/>
  <c r="T197" i="42458" s="1"/>
  <c r="D910" i="6"/>
  <c r="H909" i="6"/>
  <c r="M911" i="6" s="1"/>
  <c r="CR911" i="6" s="1"/>
  <c r="BM553" i="6"/>
  <c r="BM555" i="6"/>
  <c r="BM552" i="6"/>
  <c r="T149" i="42458"/>
  <c r="R149" i="42458"/>
  <c r="R166" i="42458"/>
  <c r="T166" i="42458"/>
  <c r="CA410" i="6"/>
  <c r="CA473" i="6" s="1"/>
  <c r="DF473" i="6" s="1"/>
  <c r="BZ411" i="6"/>
  <c r="BZ474" i="6" s="1"/>
  <c r="BZ1165" i="6"/>
  <c r="BV499" i="6"/>
  <c r="BV16" i="6" s="1"/>
  <c r="BA728" i="6"/>
  <c r="CJ1164" i="6"/>
  <c r="CA149" i="6"/>
  <c r="DF149" i="6" s="1"/>
  <c r="DF1040" i="6"/>
  <c r="CA1333" i="6"/>
  <c r="DF1333" i="6" s="1"/>
  <c r="DF370" i="6"/>
  <c r="CB370" i="6"/>
  <c r="CB1099" i="6"/>
  <c r="DF1099" i="6"/>
  <c r="CD1159" i="6"/>
  <c r="CE1103" i="6"/>
  <c r="DE369" i="6"/>
  <c r="CA369" i="6"/>
  <c r="BX67" i="6"/>
  <c r="BZ475" i="6"/>
  <c r="DE475" i="6" s="1"/>
  <c r="DE412" i="6"/>
  <c r="CA412" i="6"/>
  <c r="CC1157" i="6"/>
  <c r="CD1101" i="6"/>
  <c r="DF847" i="6"/>
  <c r="CA848" i="6"/>
  <c r="DF848" i="6" s="1"/>
  <c r="CA859" i="6"/>
  <c r="CA850" i="6"/>
  <c r="DF850" i="6" s="1"/>
  <c r="CB1161" i="6"/>
  <c r="DG1161" i="6" s="1"/>
  <c r="DG1106" i="6"/>
  <c r="CC1106" i="6"/>
  <c r="DE1100" i="6"/>
  <c r="CA1100" i="6"/>
  <c r="CD1145" i="6"/>
  <c r="CE1089" i="6"/>
  <c r="CB1040" i="6"/>
  <c r="AE24" i="42457"/>
  <c r="AE25" i="42457" s="1"/>
  <c r="DG102" i="6"/>
  <c r="CC102" i="6"/>
  <c r="DF104" i="6"/>
  <c r="CB104" i="6"/>
  <c r="DG1076" i="6"/>
  <c r="CC1076" i="6"/>
  <c r="CB1079" i="6"/>
  <c r="DG1079" i="6" s="1"/>
  <c r="CC1159" i="6"/>
  <c r="CA1108" i="6"/>
  <c r="DE1108" i="6"/>
  <c r="CB368" i="6"/>
  <c r="DF368" i="6"/>
  <c r="CB847" i="6"/>
  <c r="CC845" i="6"/>
  <c r="DG845" i="6"/>
  <c r="BO1153" i="6"/>
  <c r="BP1153" i="6" s="1"/>
  <c r="DC1153" i="6" s="1"/>
  <c r="BT67" i="6"/>
  <c r="BY1195" i="6"/>
  <c r="BW812" i="6"/>
  <c r="BV813" i="6"/>
  <c r="BV809" i="6" s="1"/>
  <c r="BF169" i="6"/>
  <c r="BF175" i="6" s="1"/>
  <c r="BE175" i="6"/>
  <c r="K45" i="42471"/>
  <c r="F45" i="42471"/>
  <c r="L45" i="42471"/>
  <c r="C47" i="42471"/>
  <c r="G45" i="42471"/>
  <c r="F47" i="42475"/>
  <c r="G47" i="42475"/>
  <c r="D49" i="42475"/>
  <c r="BQ1097" i="6"/>
  <c r="DC1097" i="6"/>
  <c r="M910" i="6"/>
  <c r="CR910" i="6" s="1"/>
  <c r="M924" i="6"/>
  <c r="R911" i="6"/>
  <c r="CS911" i="6" s="1"/>
  <c r="CR909" i="6"/>
  <c r="BC100" i="6"/>
  <c r="N20" i="42457"/>
  <c r="BH100" i="6"/>
  <c r="S20" i="42457"/>
  <c r="BV794" i="6"/>
  <c r="CC476" i="6"/>
  <c r="CD413" i="6"/>
  <c r="DB90" i="6"/>
  <c r="BK92" i="6"/>
  <c r="DB92" i="6" s="1"/>
  <c r="BY499" i="6"/>
  <c r="BW495" i="6"/>
  <c r="P20" i="42457"/>
  <c r="BE100" i="6"/>
  <c r="BJ96" i="6"/>
  <c r="BE96" i="6"/>
  <c r="BV497" i="6"/>
  <c r="L45" i="42467"/>
  <c r="K45" i="42467"/>
  <c r="C47" i="42467"/>
  <c r="G47" i="42474"/>
  <c r="D49" i="42474"/>
  <c r="BF135" i="6"/>
  <c r="DA135" i="6" s="1"/>
  <c r="K47" i="42474"/>
  <c r="L47" i="42474"/>
  <c r="C49" i="42474"/>
  <c r="F47" i="42474"/>
  <c r="BM96" i="6"/>
  <c r="BH96" i="6"/>
  <c r="BW787" i="6"/>
  <c r="BW785" i="6"/>
  <c r="BX782" i="6"/>
  <c r="BV790" i="6"/>
  <c r="BV808" i="6"/>
  <c r="BV793" i="6"/>
  <c r="BW788" i="6"/>
  <c r="BX783" i="6"/>
  <c r="CG1024" i="6"/>
  <c r="CG137" i="6" s="1"/>
  <c r="CF137" i="6"/>
  <c r="BY362" i="6"/>
  <c r="BY363" i="6" s="1"/>
  <c r="BX1141" i="6"/>
  <c r="BX1176" i="6"/>
  <c r="BY1084" i="6"/>
  <c r="BX1285" i="6"/>
  <c r="BK94" i="6"/>
  <c r="DB88" i="6"/>
  <c r="N8" i="42453"/>
  <c r="N13" i="42453" s="1"/>
  <c r="BK95" i="6"/>
  <c r="AQ883" i="6"/>
  <c r="AP880" i="6"/>
  <c r="AP884" i="6" s="1"/>
  <c r="AP894" i="6" s="1"/>
  <c r="AP895" i="6" s="1"/>
  <c r="G40" i="42443"/>
  <c r="D42" i="42443"/>
  <c r="F40" i="42443"/>
  <c r="AJ160" i="6"/>
  <c r="AJ161" i="6" s="1"/>
  <c r="AJ151" i="6"/>
  <c r="AO884" i="6"/>
  <c r="AO894" i="6" s="1"/>
  <c r="AO895" i="6" s="1"/>
  <c r="F41" i="42437"/>
  <c r="L41" i="42437"/>
  <c r="K41" i="42437"/>
  <c r="G41" i="42437"/>
  <c r="AJ100" i="6"/>
  <c r="C43" i="42437"/>
  <c r="P1152" i="6"/>
  <c r="CR1170" i="6"/>
  <c r="M1172" i="6"/>
  <c r="CR1172" i="6" s="1"/>
  <c r="Q1152" i="6"/>
  <c r="Q1114" i="6"/>
  <c r="R1096" i="6"/>
  <c r="Q1224" i="6"/>
  <c r="CB1187" i="6"/>
  <c r="DF1187" i="6"/>
  <c r="BY254" i="42290"/>
  <c r="BX257" i="42290"/>
  <c r="BI1268" i="6"/>
  <c r="BI1281" i="6"/>
  <c r="BI1282" i="6" s="1"/>
  <c r="BJ1266" i="6"/>
  <c r="AZ1046" i="6"/>
  <c r="FZ530" i="42425"/>
  <c r="U34" i="42457"/>
  <c r="EC592" i="42458"/>
  <c r="EC604" i="42458" s="1"/>
  <c r="EF592" i="42458"/>
  <c r="EF604" i="42458" s="1"/>
  <c r="EF605" i="42458" s="1"/>
  <c r="BJ1347" i="6"/>
  <c r="BI1127" i="6"/>
  <c r="AN160" i="6"/>
  <c r="AN161" i="6" s="1"/>
  <c r="AQ88" i="6"/>
  <c r="AQ94" i="6" s="1"/>
  <c r="AP169" i="6"/>
  <c r="AQ169" i="6" s="1"/>
  <c r="AQ175" i="6" s="1"/>
  <c r="BO753" i="6"/>
  <c r="AN92" i="6"/>
  <c r="BP292" i="6"/>
  <c r="DC292" i="6" s="1"/>
  <c r="BO501" i="6"/>
  <c r="BO16" i="6"/>
  <c r="EL611" i="42458" s="1"/>
  <c r="EL613" i="42458" s="1"/>
  <c r="EL614" i="42458" s="1"/>
  <c r="AI94" i="6"/>
  <c r="AI96" i="6" s="1"/>
  <c r="AJ169" i="6"/>
  <c r="AJ175" i="6" s="1"/>
  <c r="AI95" i="6"/>
  <c r="C41" i="42432"/>
  <c r="AI169" i="6"/>
  <c r="AI175" i="6" s="1"/>
  <c r="AI135" i="6"/>
  <c r="D41" i="42442"/>
  <c r="AL88" i="6"/>
  <c r="AK169" i="6"/>
  <c r="AI1028" i="6"/>
  <c r="C41" i="42441"/>
  <c r="AM95" i="6"/>
  <c r="AM94" i="6"/>
  <c r="AM135" i="6"/>
  <c r="AM144" i="6" s="1"/>
  <c r="D40" i="42448"/>
  <c r="AM169" i="6"/>
  <c r="AM175" i="6" s="1"/>
  <c r="E72" i="42434"/>
  <c r="E69" i="42434" s="1"/>
  <c r="AD149" i="42434" s="1"/>
  <c r="AA152" i="42434"/>
  <c r="CW86" i="6"/>
  <c r="AL90" i="6"/>
  <c r="AQ92" i="6" s="1"/>
  <c r="CX92" i="6" s="1"/>
  <c r="AL91" i="6"/>
  <c r="CW91" i="6" s="1"/>
  <c r="CE429" i="6"/>
  <c r="AN1046" i="6"/>
  <c r="AO1027" i="6"/>
  <c r="AM92" i="6"/>
  <c r="AR92" i="6"/>
  <c r="BT16" i="6"/>
  <c r="BT497" i="6"/>
  <c r="BO44" i="6"/>
  <c r="BO107" i="6" s="1"/>
  <c r="BO110" i="6" s="1"/>
  <c r="CB181" i="42290"/>
  <c r="CB183" i="42290"/>
  <c r="CB182" i="42290"/>
  <c r="BJ1175" i="6"/>
  <c r="BI1178" i="6"/>
  <c r="W155" i="6"/>
  <c r="W157" i="6" s="1"/>
  <c r="CT157" i="6" s="1"/>
  <c r="BP753" i="6"/>
  <c r="DC753" i="6" s="1"/>
  <c r="BQ291" i="6"/>
  <c r="BQ292" i="6" s="1"/>
  <c r="DC291" i="6"/>
  <c r="CA185" i="42290"/>
  <c r="CA187" i="42290" s="1"/>
  <c r="CA203" i="42290"/>
  <c r="CA206" i="42290" s="1"/>
  <c r="CA208" i="42290" s="1"/>
  <c r="BT805" i="6"/>
  <c r="BT806" i="6" s="1"/>
  <c r="T1064" i="6"/>
  <c r="T1066" i="6" s="1"/>
  <c r="U1063" i="6"/>
  <c r="CB199" i="42290"/>
  <c r="AS96" i="6"/>
  <c r="BN1098" i="6"/>
  <c r="BN1154" i="6" s="1"/>
  <c r="AV1150" i="6"/>
  <c r="CY1150" i="6" s="1"/>
  <c r="BO292" i="6"/>
  <c r="G40" i="42450"/>
  <c r="D42" i="42450"/>
  <c r="F40" i="42450"/>
  <c r="BU1190" i="6"/>
  <c r="CE346" i="6"/>
  <c r="CE347" i="6"/>
  <c r="CE39" i="6"/>
  <c r="CE128" i="6" s="1"/>
  <c r="BN1150" i="6"/>
  <c r="BO1094" i="6"/>
  <c r="BP1094" i="6" s="1"/>
  <c r="K15" i="42421"/>
  <c r="L15" i="42421" s="1"/>
  <c r="CF27" i="6"/>
  <c r="CG342" i="6"/>
  <c r="CF345" i="6"/>
  <c r="BN907" i="6"/>
  <c r="BN914" i="6"/>
  <c r="BM281" i="42290"/>
  <c r="BM282" i="42290" s="1"/>
  <c r="BN910" i="6"/>
  <c r="DD812" i="6"/>
  <c r="GT655" i="42425"/>
  <c r="AP160" i="6"/>
  <c r="AP161" i="6" s="1"/>
  <c r="AP151" i="6"/>
  <c r="K47" i="42468"/>
  <c r="G47" i="42468"/>
  <c r="L47" i="42468"/>
  <c r="F47" i="42468"/>
  <c r="GU644" i="42425"/>
  <c r="GS644" i="42425"/>
  <c r="GT680" i="42425"/>
  <c r="GT686" i="42425" s="1"/>
  <c r="GT650" i="42425"/>
  <c r="DD820" i="6"/>
  <c r="BU869" i="6"/>
  <c r="BJ708" i="6"/>
  <c r="BK723" i="6"/>
  <c r="BK725" i="6" s="1"/>
  <c r="BK721" i="6"/>
  <c r="AU723" i="6"/>
  <c r="AU721" i="6"/>
  <c r="AU720" i="6"/>
  <c r="AZ721" i="6"/>
  <c r="BE725" i="6"/>
  <c r="BE724" i="6"/>
  <c r="AV720" i="6"/>
  <c r="AV723" i="6"/>
  <c r="AV721" i="6"/>
  <c r="BA721" i="6"/>
  <c r="BF590" i="6"/>
  <c r="BF591" i="6"/>
  <c r="BJ590" i="6"/>
  <c r="BK589" i="6"/>
  <c r="BJ591" i="6"/>
  <c r="BK587" i="6"/>
  <c r="BK586" i="6"/>
  <c r="AV685" i="6"/>
  <c r="AV684" i="6"/>
  <c r="BA685" i="6"/>
  <c r="BJ723" i="6"/>
  <c r="BJ721" i="6"/>
  <c r="BJ720" i="6"/>
  <c r="AZ689" i="6"/>
  <c r="AU688" i="6"/>
  <c r="AV687" i="6"/>
  <c r="BF725" i="6"/>
  <c r="BF724" i="6"/>
  <c r="HC807" i="42425"/>
  <c r="HA808" i="42425"/>
  <c r="HC808" i="42425" s="1"/>
  <c r="AL1195" i="6"/>
  <c r="CW1195" i="6" s="1"/>
  <c r="CW1188" i="6"/>
  <c r="BK430" i="6"/>
  <c r="BK447" i="6" s="1"/>
  <c r="BH96" i="42290"/>
  <c r="BH98" i="42290" s="1"/>
  <c r="BH100" i="42290" s="1"/>
  <c r="BH261" i="42290" s="1"/>
  <c r="BN430" i="6"/>
  <c r="BN447" i="6" s="1"/>
  <c r="BI472" i="6"/>
  <c r="BN367" i="6"/>
  <c r="AQ497" i="6"/>
  <c r="CX496" i="6"/>
  <c r="AT497" i="6"/>
  <c r="AV496" i="6"/>
  <c r="BD489" i="6"/>
  <c r="BD490" i="6" s="1"/>
  <c r="BD468" i="6"/>
  <c r="BD495" i="6"/>
  <c r="BA468" i="6"/>
  <c r="CZ468" i="6" s="1"/>
  <c r="CZ447" i="6"/>
  <c r="BA489" i="6"/>
  <c r="HA811" i="42425"/>
  <c r="HC811" i="42425" s="1"/>
  <c r="HC810" i="42425"/>
  <c r="BA495" i="6"/>
  <c r="AY496" i="6"/>
  <c r="CY489" i="6"/>
  <c r="AV490" i="6"/>
  <c r="CY490" i="6" s="1"/>
  <c r="DA430" i="6"/>
  <c r="BE96" i="42290"/>
  <c r="BE98" i="42290" s="1"/>
  <c r="BE100" i="42290" s="1"/>
  <c r="BE261" i="42290" s="1"/>
  <c r="BF472" i="6"/>
  <c r="DA472" i="6" s="1"/>
  <c r="BF451" i="6"/>
  <c r="DA451" i="6" s="1"/>
  <c r="BL497" i="6"/>
  <c r="BM387" i="6"/>
  <c r="BK750" i="6"/>
  <c r="DB750" i="6" s="1"/>
  <c r="BL724" i="6"/>
  <c r="BL725" i="6"/>
  <c r="DB366" i="6"/>
  <c r="BL366" i="6"/>
  <c r="BJ358" i="6"/>
  <c r="BJ360" i="6" s="1"/>
  <c r="BJ492" i="6" s="1"/>
  <c r="BJ493" i="6" s="1"/>
  <c r="BJ749" i="6"/>
  <c r="BJ751" i="6" s="1"/>
  <c r="BJ489" i="6"/>
  <c r="BJ490" i="6" s="1"/>
  <c r="BJ471" i="6"/>
  <c r="BK408" i="6"/>
  <c r="BK426" i="6" s="1"/>
  <c r="BU823" i="6"/>
  <c r="BU870" i="6"/>
  <c r="DD821" i="6"/>
  <c r="BJ1151" i="6"/>
  <c r="BK1151" i="6" s="1"/>
  <c r="DB1151" i="6" s="1"/>
  <c r="DD794" i="6"/>
  <c r="BU796" i="6"/>
  <c r="GT651" i="42425"/>
  <c r="GS645" i="42425"/>
  <c r="GT681" i="42425"/>
  <c r="GT687" i="42425" s="1"/>
  <c r="GU645" i="42425"/>
  <c r="BU800" i="6"/>
  <c r="DD809" i="6"/>
  <c r="BU811" i="6"/>
  <c r="BU813" i="6"/>
  <c r="BT870" i="6"/>
  <c r="BT823" i="6"/>
  <c r="BT872" i="6" s="1"/>
  <c r="BL1095" i="6"/>
  <c r="DB1095" i="6"/>
  <c r="EX441" i="42425"/>
  <c r="EX448" i="42425" s="1"/>
  <c r="EX457" i="42425" s="1"/>
  <c r="AO144" i="6"/>
  <c r="BA910" i="6"/>
  <c r="CZ910" i="6" s="1"/>
  <c r="BA911" i="6"/>
  <c r="CZ911" i="6" s="1"/>
  <c r="CZ909" i="6"/>
  <c r="BD911" i="6"/>
  <c r="BI911" i="6"/>
  <c r="BD910" i="6"/>
  <c r="BF909" i="6"/>
  <c r="AQ925" i="6"/>
  <c r="CX925" i="6" s="1"/>
  <c r="CX924" i="6"/>
  <c r="AQ927" i="6"/>
  <c r="U1099" i="6"/>
  <c r="U1155" i="6" s="1"/>
  <c r="T1114" i="6"/>
  <c r="T1127" i="6" s="1"/>
  <c r="T1224" i="6"/>
  <c r="AG938" i="6"/>
  <c r="CV938" i="6" s="1"/>
  <c r="CV937" i="6"/>
  <c r="AG965" i="6"/>
  <c r="CV958" i="6"/>
  <c r="CV120" i="6"/>
  <c r="AG123" i="6"/>
  <c r="CX90" i="6"/>
  <c r="AV92" i="6"/>
  <c r="CY92" i="6" s="1"/>
  <c r="AD147" i="42434"/>
  <c r="CT1263" i="6"/>
  <c r="W1252" i="6"/>
  <c r="CT1252" i="6" s="1"/>
  <c r="AQ1347" i="6"/>
  <c r="CX1224" i="6"/>
  <c r="D42" i="42451"/>
  <c r="G40" i="42451"/>
  <c r="F40" i="42451"/>
  <c r="AT96" i="6"/>
  <c r="AO96" i="6"/>
  <c r="BK556" i="6"/>
  <c r="BK557" i="6"/>
  <c r="AY911" i="6"/>
  <c r="AY910" i="6"/>
  <c r="AL937" i="6"/>
  <c r="CW927" i="6"/>
  <c r="AL928" i="6"/>
  <c r="CW928" i="6" s="1"/>
  <c r="AL929" i="6"/>
  <c r="CW929" i="6" s="1"/>
  <c r="AR89" i="42416"/>
  <c r="AS89" i="42416" s="1"/>
  <c r="AL958" i="6"/>
  <c r="AL1006" i="6"/>
  <c r="CW1006" i="6" s="1"/>
  <c r="HL832" i="42425"/>
  <c r="HK829" i="42425"/>
  <c r="HL830" i="42425" s="1"/>
  <c r="HL831" i="42425"/>
  <c r="J16" i="42453"/>
  <c r="J21" i="42453" s="1"/>
  <c r="K23" i="42453" s="1"/>
  <c r="K27" i="42453" s="1"/>
  <c r="B34" i="42457"/>
  <c r="CX1114" i="6"/>
  <c r="AQ1127" i="6"/>
  <c r="CX1127" i="6" s="1"/>
  <c r="CX1170" i="6"/>
  <c r="AQ1172" i="6"/>
  <c r="CX1172" i="6" s="1"/>
  <c r="AR1151" i="6"/>
  <c r="AS1095" i="6"/>
  <c r="AR1114" i="6"/>
  <c r="AR1224" i="6"/>
  <c r="AR1347" i="6" s="1"/>
  <c r="Y268" i="42458"/>
  <c r="Y270" i="42458" s="1"/>
  <c r="Z268" i="42458"/>
  <c r="Z270" i="42458" s="1"/>
  <c r="AA268" i="42458"/>
  <c r="AA270" i="42458" s="1"/>
  <c r="BA96" i="6"/>
  <c r="CZ96" i="6" s="1"/>
  <c r="L20" i="42457"/>
  <c r="BA100" i="6"/>
  <c r="CZ100" i="6" s="1"/>
  <c r="CZ95" i="6"/>
  <c r="AU1046" i="6"/>
  <c r="AV1028" i="6"/>
  <c r="DA1028" i="6"/>
  <c r="K46" i="42455"/>
  <c r="L46" i="42455"/>
  <c r="BF96" i="6"/>
  <c r="DA96" i="6" s="1"/>
  <c r="G46" i="42455"/>
  <c r="F1348" i="6"/>
  <c r="F1227" i="6"/>
  <c r="F1229" i="6" s="1"/>
  <c r="F1232" i="6" s="1"/>
  <c r="F1350" i="6" s="1"/>
  <c r="CQ1053" i="6"/>
  <c r="H1061" i="6"/>
  <c r="H1225" i="6"/>
  <c r="I1047" i="6"/>
  <c r="I1048" i="6" s="1"/>
  <c r="I1053" i="6" s="1"/>
  <c r="I1209" i="6" s="1"/>
  <c r="M1047" i="6"/>
  <c r="CR1047" i="6" s="1"/>
  <c r="CQ162" i="6"/>
  <c r="G1061" i="6"/>
  <c r="G1072" i="6" s="1"/>
  <c r="G1129" i="6" s="1"/>
  <c r="G1225" i="6"/>
  <c r="H1209" i="6"/>
  <c r="CQ1209" i="6" s="1"/>
  <c r="CY1149" i="6"/>
  <c r="BD1216" i="6"/>
  <c r="BD1218" i="6" s="1"/>
  <c r="BE1214" i="6" s="1"/>
  <c r="BA1046" i="6"/>
  <c r="CZ1028" i="6"/>
  <c r="BM1096" i="6"/>
  <c r="BM330" i="6"/>
  <c r="BM331" i="6" s="1"/>
  <c r="BM336" i="6" s="1"/>
  <c r="BM337" i="6" s="1"/>
  <c r="BN329" i="6"/>
  <c r="BU37" i="42290"/>
  <c r="BU39" i="42290" s="1"/>
  <c r="BV25" i="42290"/>
  <c r="Z358" i="6"/>
  <c r="AA360" i="6" s="1"/>
  <c r="AA492" i="6" s="1"/>
  <c r="Z750" i="6"/>
  <c r="Z751" i="6" s="1"/>
  <c r="AB938" i="6"/>
  <c r="CU938" i="6" s="1"/>
  <c r="CU937" i="6"/>
  <c r="CU120" i="6"/>
  <c r="AB123" i="6"/>
  <c r="DB1149" i="6"/>
  <c r="CC362" i="6"/>
  <c r="CD362" i="6" s="1"/>
  <c r="CE362" i="6" s="1"/>
  <c r="CF362" i="6" s="1"/>
  <c r="CG362" i="6" s="1"/>
  <c r="DG362" i="6"/>
  <c r="BH497" i="6"/>
  <c r="BL331" i="6"/>
  <c r="BL336" i="6" s="1"/>
  <c r="BL337" i="6" s="1"/>
  <c r="AN162" i="6"/>
  <c r="AN163" i="6" s="1"/>
  <c r="AN153" i="6"/>
  <c r="AN155" i="6" s="1"/>
  <c r="AN157" i="6" s="1"/>
  <c r="AN1345" i="6"/>
  <c r="CR160" i="6"/>
  <c r="Y360" i="6"/>
  <c r="Y492" i="6" s="1"/>
  <c r="R155" i="6"/>
  <c r="AB965" i="6"/>
  <c r="CU958" i="6"/>
  <c r="BN288" i="6"/>
  <c r="BS136" i="6"/>
  <c r="M1345" i="6"/>
  <c r="M162" i="6"/>
  <c r="M163" i="6" s="1"/>
  <c r="M153" i="6"/>
  <c r="CR151" i="6"/>
  <c r="CF10" i="6"/>
  <c r="CG297" i="6"/>
  <c r="Y490" i="6"/>
  <c r="AD490" i="6"/>
  <c r="AM304" i="6"/>
  <c r="BM496" i="6"/>
  <c r="Z476" i="6"/>
  <c r="Z426" i="6"/>
  <c r="Z489" i="6" s="1"/>
  <c r="DB336" i="6"/>
  <c r="BK337" i="6"/>
  <c r="DB337" i="6" s="1"/>
  <c r="HJ829" i="42425"/>
  <c r="HK832" i="42425"/>
  <c r="HK831" i="42425"/>
  <c r="DC1064" i="6"/>
  <c r="P1106" i="6"/>
  <c r="Q1161" i="6" s="1"/>
  <c r="Q1138" i="6"/>
  <c r="BT136" i="6"/>
  <c r="BT1014" i="6"/>
  <c r="BU67" i="6"/>
  <c r="DG363" i="6"/>
  <c r="CC363" i="6"/>
  <c r="CD363" i="6" s="1"/>
  <c r="CE363" i="6" s="1"/>
  <c r="CF363" i="6" s="1"/>
  <c r="CG363" i="6" s="1"/>
  <c r="BL1093" i="6"/>
  <c r="BL1114" i="6" s="1"/>
  <c r="BL1224" i="6" s="1"/>
  <c r="DB1093" i="6"/>
  <c r="X493" i="6"/>
  <c r="AC493" i="6"/>
  <c r="AF302" i="6"/>
  <c r="AG301" i="6"/>
  <c r="AG303" i="6" s="1"/>
  <c r="DD1141" i="6"/>
  <c r="DA1046" i="6"/>
  <c r="AB413" i="6"/>
  <c r="DF1063" i="6"/>
  <c r="DD1190" i="6" l="1"/>
  <c r="BU1195" i="6"/>
  <c r="CD414" i="6"/>
  <c r="K59" i="42421"/>
  <c r="L59" i="42421" s="1"/>
  <c r="O1114" i="6"/>
  <c r="O1127" i="6" s="1"/>
  <c r="O1224" i="6"/>
  <c r="O1252" i="6" s="1"/>
  <c r="BK708" i="6"/>
  <c r="BK727" i="6" s="1"/>
  <c r="BK729" i="6" s="1"/>
  <c r="DF103" i="6"/>
  <c r="AD27" i="42457"/>
  <c r="AD28" i="42457" s="1"/>
  <c r="BI301" i="6"/>
  <c r="BI303" i="6" s="1"/>
  <c r="BI304" i="6" s="1"/>
  <c r="BJ302" i="6"/>
  <c r="BL356" i="6"/>
  <c r="BL384" i="6"/>
  <c r="CB410" i="6"/>
  <c r="DG410" i="6" s="1"/>
  <c r="BL357" i="6"/>
  <c r="BL750" i="6" s="1"/>
  <c r="BM388" i="6"/>
  <c r="BM405" i="6" s="1"/>
  <c r="BL409" i="6"/>
  <c r="BL472" i="6" s="1"/>
  <c r="W20" i="42457"/>
  <c r="BL100" i="6"/>
  <c r="BL1046" i="6"/>
  <c r="BM1027" i="6"/>
  <c r="AC1252" i="6"/>
  <c r="AC1347" i="6"/>
  <c r="AB1172" i="6"/>
  <c r="CU1172" i="6" s="1"/>
  <c r="CU1170" i="6"/>
  <c r="BV142" i="42290"/>
  <c r="BV144" i="42290" s="1"/>
  <c r="BW125" i="42290"/>
  <c r="AV144" i="6"/>
  <c r="AS151" i="6"/>
  <c r="AS160" i="6"/>
  <c r="AS161" i="6" s="1"/>
  <c r="AX1162" i="6"/>
  <c r="AW147" i="6"/>
  <c r="AW1170" i="6"/>
  <c r="AW1172" i="6" s="1"/>
  <c r="AW1271" i="6" s="1"/>
  <c r="AW1275" i="6" s="1"/>
  <c r="AW142" i="6"/>
  <c r="AW144" i="6" s="1"/>
  <c r="AC1170" i="6"/>
  <c r="AC1172" i="6" s="1"/>
  <c r="AG1149" i="6"/>
  <c r="G23" i="42453"/>
  <c r="G27" i="42453" s="1"/>
  <c r="H23" i="42453"/>
  <c r="H27" i="42453" s="1"/>
  <c r="B67" i="42434"/>
  <c r="AA147" i="42434" s="1"/>
  <c r="DG103" i="6"/>
  <c r="BJ1127" i="6"/>
  <c r="H924" i="6"/>
  <c r="CQ909" i="6"/>
  <c r="H910" i="6"/>
  <c r="CQ910" i="6" s="1"/>
  <c r="N108" i="42458"/>
  <c r="O127" i="42458"/>
  <c r="O108" i="42458"/>
  <c r="N127" i="42458"/>
  <c r="M108" i="42458"/>
  <c r="L127" i="42458"/>
  <c r="P127" i="42458"/>
  <c r="P108" i="42458"/>
  <c r="M127" i="42458"/>
  <c r="L108" i="42458"/>
  <c r="I70" i="42458"/>
  <c r="I72" i="42458" s="1"/>
  <c r="I75" i="42458"/>
  <c r="CA411" i="6"/>
  <c r="DF411" i="6" s="1"/>
  <c r="BM556" i="6"/>
  <c r="BM708" i="6"/>
  <c r="BM557" i="6"/>
  <c r="H75" i="42458"/>
  <c r="H70" i="42458"/>
  <c r="H72" i="42458" s="1"/>
  <c r="BM725" i="6"/>
  <c r="BM724" i="6"/>
  <c r="J70" i="42458"/>
  <c r="J72" i="42458" s="1"/>
  <c r="F18" i="42417" s="1"/>
  <c r="J75" i="42458"/>
  <c r="DF410" i="6"/>
  <c r="DE411" i="6"/>
  <c r="BV501" i="6"/>
  <c r="BV508" i="6"/>
  <c r="BZ1084" i="6"/>
  <c r="CN1084" i="6"/>
  <c r="CO1084" i="6" s="1"/>
  <c r="BV796" i="6"/>
  <c r="CN1190" i="6"/>
  <c r="CO1190" i="6" s="1"/>
  <c r="BZ1190" i="6"/>
  <c r="CB859" i="6"/>
  <c r="DG847" i="6"/>
  <c r="CB850" i="6"/>
  <c r="DG850" i="6" s="1"/>
  <c r="CB848" i="6"/>
  <c r="DG848" i="6" s="1"/>
  <c r="DG368" i="6"/>
  <c r="CC368" i="6"/>
  <c r="CD368" i="6" s="1"/>
  <c r="CE368" i="6" s="1"/>
  <c r="CF368" i="6" s="1"/>
  <c r="CG368" i="6" s="1"/>
  <c r="DF1108" i="6"/>
  <c r="CA1165" i="6"/>
  <c r="CA1273" i="6" s="1"/>
  <c r="CB1108" i="6"/>
  <c r="CB1333" i="6"/>
  <c r="DG1333" i="6" s="1"/>
  <c r="CB149" i="6"/>
  <c r="DG149" i="6" s="1"/>
  <c r="DG1040" i="6"/>
  <c r="CB1100" i="6"/>
  <c r="DF1100" i="6"/>
  <c r="CC1161" i="6"/>
  <c r="CD1106" i="6"/>
  <c r="CD1157" i="6"/>
  <c r="CE1101" i="6"/>
  <c r="CB412" i="6"/>
  <c r="CA475" i="6"/>
  <c r="DF475" i="6" s="1"/>
  <c r="DF412" i="6"/>
  <c r="DF369" i="6"/>
  <c r="CB369" i="6"/>
  <c r="CE1159" i="6"/>
  <c r="CF1103" i="6"/>
  <c r="DG370" i="6"/>
  <c r="CC370" i="6"/>
  <c r="CD370" i="6" s="1"/>
  <c r="CE370" i="6" s="1"/>
  <c r="CF370" i="6" s="1"/>
  <c r="CG370" i="6" s="1"/>
  <c r="BV800" i="6"/>
  <c r="BV821" i="6"/>
  <c r="BV870" i="6" s="1"/>
  <c r="CC847" i="6"/>
  <c r="CD845" i="6"/>
  <c r="CC1079" i="6"/>
  <c r="CD1076" i="6"/>
  <c r="CC104" i="6"/>
  <c r="CD104" i="6" s="1"/>
  <c r="CE104" i="6" s="1"/>
  <c r="CF104" i="6" s="1"/>
  <c r="CG104" i="6" s="1"/>
  <c r="DG104" i="6"/>
  <c r="CD102" i="6"/>
  <c r="CC1040" i="6"/>
  <c r="CF1089" i="6"/>
  <c r="CE1145" i="6"/>
  <c r="CA1156" i="6"/>
  <c r="DF1156" i="6" s="1"/>
  <c r="CA853" i="6"/>
  <c r="CA865" i="6"/>
  <c r="DF865" i="6" s="1"/>
  <c r="DF859" i="6"/>
  <c r="CA861" i="6"/>
  <c r="DF861" i="6" s="1"/>
  <c r="BX136" i="6"/>
  <c r="BX1014" i="6"/>
  <c r="CB1155" i="6"/>
  <c r="DG1155" i="6" s="1"/>
  <c r="DG1099" i="6"/>
  <c r="CC1099" i="6"/>
  <c r="CC1155" i="6" s="1"/>
  <c r="CJ1174" i="6"/>
  <c r="CK1168" i="6"/>
  <c r="AQ884" i="6"/>
  <c r="CX884" i="6" s="1"/>
  <c r="R1152" i="6"/>
  <c r="CS1152" i="6" s="1"/>
  <c r="V20" i="42457"/>
  <c r="BK100" i="6"/>
  <c r="DB100" i="6" s="1"/>
  <c r="DB95" i="6"/>
  <c r="BY1176" i="6"/>
  <c r="BZ1176" i="6" s="1"/>
  <c r="DE1176" i="6" s="1"/>
  <c r="BY1141" i="6"/>
  <c r="CN1141" i="6" s="1"/>
  <c r="CO1141" i="6" s="1"/>
  <c r="BY1285" i="6"/>
  <c r="BZ1285" i="6" s="1"/>
  <c r="DE1285" i="6" s="1"/>
  <c r="BY783" i="6"/>
  <c r="BY788" i="6" s="1"/>
  <c r="BX788" i="6"/>
  <c r="CE413" i="6"/>
  <c r="CD476" i="6"/>
  <c r="CR924" i="6"/>
  <c r="M927" i="6"/>
  <c r="M925" i="6"/>
  <c r="CR925" i="6" s="1"/>
  <c r="G49" i="42475"/>
  <c r="F49" i="42475"/>
  <c r="L47" i="42471"/>
  <c r="F47" i="42471"/>
  <c r="K47" i="42471"/>
  <c r="G47" i="42471"/>
  <c r="BV21" i="6"/>
  <c r="EQ611" i="42458"/>
  <c r="EQ613" i="42458" s="1"/>
  <c r="EQ614" i="42458" s="1"/>
  <c r="BT21" i="6"/>
  <c r="DB94" i="6"/>
  <c r="BK96" i="6"/>
  <c r="DB96" i="6" s="1"/>
  <c r="CE414" i="6"/>
  <c r="CD477" i="6"/>
  <c r="BW794" i="6"/>
  <c r="BV799" i="6"/>
  <c r="BV867" i="6"/>
  <c r="BV811" i="6"/>
  <c r="BV820" i="6"/>
  <c r="BX787" i="6"/>
  <c r="BX785" i="6"/>
  <c r="BY782" i="6"/>
  <c r="BW790" i="6"/>
  <c r="BW793" i="6"/>
  <c r="BW808" i="6"/>
  <c r="L49" i="42474"/>
  <c r="K49" i="42474"/>
  <c r="F49" i="42474"/>
  <c r="G49" i="42474"/>
  <c r="L47" i="42467"/>
  <c r="K47" i="42467"/>
  <c r="F47" i="42467"/>
  <c r="G47" i="42467"/>
  <c r="BY16" i="6"/>
  <c r="BY501" i="6"/>
  <c r="BQ1153" i="6"/>
  <c r="BR1097" i="6"/>
  <c r="BX812" i="6"/>
  <c r="BW813" i="6"/>
  <c r="BW809" i="6" s="1"/>
  <c r="BW821" i="6" s="1"/>
  <c r="BW870" i="6" s="1"/>
  <c r="AJ162" i="6"/>
  <c r="AJ163" i="6" s="1"/>
  <c r="AJ153" i="6"/>
  <c r="AJ155" i="6" s="1"/>
  <c r="AJ157" i="6" s="1"/>
  <c r="AJ1345" i="6"/>
  <c r="K43" i="42437"/>
  <c r="F43" i="42437"/>
  <c r="G43" i="42437"/>
  <c r="L43" i="42437"/>
  <c r="F42" i="42443"/>
  <c r="G42" i="42443"/>
  <c r="AQ880" i="6"/>
  <c r="CX880" i="6" s="1"/>
  <c r="AR883" i="6"/>
  <c r="CX883" i="6"/>
  <c r="Q1252" i="6"/>
  <c r="R1224" i="6"/>
  <c r="Q1347" i="6"/>
  <c r="CS1096" i="6"/>
  <c r="S1096" i="6"/>
  <c r="Q1127" i="6"/>
  <c r="R1114" i="6"/>
  <c r="BK1127" i="6"/>
  <c r="DB1127" i="6" s="1"/>
  <c r="DG1187" i="6"/>
  <c r="CC1187" i="6"/>
  <c r="CD1187" i="6" s="1"/>
  <c r="CE1187" i="6" s="1"/>
  <c r="CF1187" i="6" s="1"/>
  <c r="CG1187" i="6" s="1"/>
  <c r="O1347" i="6"/>
  <c r="BY257" i="42290"/>
  <c r="BZ254" i="42290"/>
  <c r="BL1149" i="6"/>
  <c r="BL1266" i="6"/>
  <c r="BJ1268" i="6"/>
  <c r="BJ1281" i="6"/>
  <c r="BJ1282" i="6" s="1"/>
  <c r="AQ135" i="6"/>
  <c r="CX135" i="6" s="1"/>
  <c r="AQ95" i="6"/>
  <c r="W78" i="42441" s="1"/>
  <c r="Y78" i="42441" s="1"/>
  <c r="EH592" i="42458"/>
  <c r="EH604" i="42458" s="1"/>
  <c r="EH605" i="42458" s="1"/>
  <c r="EK592" i="42458"/>
  <c r="EK604" i="42458" s="1"/>
  <c r="EK605" i="42458" s="1"/>
  <c r="FZ539" i="42425"/>
  <c r="FZ533" i="42425"/>
  <c r="FZ546" i="42425"/>
  <c r="FZ548" i="42425"/>
  <c r="FZ552" i="42425"/>
  <c r="J8" i="42453"/>
  <c r="J13" i="42453" s="1"/>
  <c r="J23" i="42453" s="1"/>
  <c r="J27" i="42453" s="1"/>
  <c r="CX88" i="6"/>
  <c r="BU1014" i="6"/>
  <c r="DD1014" i="6" s="1"/>
  <c r="AP175" i="6"/>
  <c r="AN96" i="6"/>
  <c r="CW90" i="6"/>
  <c r="AL92" i="6"/>
  <c r="CW92" i="6" s="1"/>
  <c r="AM100" i="6"/>
  <c r="C43" i="42441"/>
  <c r="G41" i="42442"/>
  <c r="F41" i="42442"/>
  <c r="D43" i="42442"/>
  <c r="AI100" i="6"/>
  <c r="C43" i="42432"/>
  <c r="CF429" i="6"/>
  <c r="F40" i="42448"/>
  <c r="D42" i="42448"/>
  <c r="G40" i="42448"/>
  <c r="K41" i="42441"/>
  <c r="G41" i="42441"/>
  <c r="F41" i="42441"/>
  <c r="L41" i="42441"/>
  <c r="AJ1027" i="6"/>
  <c r="AI1046" i="6"/>
  <c r="AI144" i="6"/>
  <c r="AL135" i="6"/>
  <c r="CW135" i="6" s="1"/>
  <c r="AM151" i="6"/>
  <c r="AM160" i="6"/>
  <c r="AM161" i="6" s="1"/>
  <c r="AL169" i="6"/>
  <c r="AL175" i="6" s="1"/>
  <c r="AK175" i="6"/>
  <c r="AO1028" i="6"/>
  <c r="L98" i="42434"/>
  <c r="AD152" i="42434"/>
  <c r="AM96" i="6"/>
  <c r="AR96" i="6"/>
  <c r="I8" i="42453"/>
  <c r="I13" i="42453" s="1"/>
  <c r="I23" i="42453" s="1"/>
  <c r="I27" i="42453" s="1"/>
  <c r="AL95" i="6"/>
  <c r="CW88" i="6"/>
  <c r="AL94" i="6"/>
  <c r="AQ96" i="6" s="1"/>
  <c r="CX96" i="6" s="1"/>
  <c r="L41" i="42432"/>
  <c r="F41" i="42432"/>
  <c r="G41" i="42432"/>
  <c r="K41" i="42432"/>
  <c r="BO511" i="6"/>
  <c r="BO510" i="6"/>
  <c r="BO21" i="6"/>
  <c r="BP16" i="6"/>
  <c r="BT501" i="6"/>
  <c r="CT155" i="6"/>
  <c r="BK1175" i="6"/>
  <c r="BJ1178" i="6"/>
  <c r="BO1150" i="6"/>
  <c r="BP1150" i="6" s="1"/>
  <c r="DC1150" i="6" s="1"/>
  <c r="V1063" i="6"/>
  <c r="U1064" i="6"/>
  <c r="U1066" i="6" s="1"/>
  <c r="P1114" i="6"/>
  <c r="P1127" i="6" s="1"/>
  <c r="BO1098" i="6"/>
  <c r="BP1098" i="6" s="1"/>
  <c r="F42" i="42450"/>
  <c r="G42" i="42450"/>
  <c r="BQ753" i="6"/>
  <c r="BR291" i="6"/>
  <c r="CB185" i="42290"/>
  <c r="CB187" i="42290" s="1"/>
  <c r="CB203" i="42290"/>
  <c r="CB206" i="42290" s="1"/>
  <c r="CB208" i="42290" s="1"/>
  <c r="DC1094" i="6"/>
  <c r="BQ1094" i="6"/>
  <c r="BQ1150" i="6" s="1"/>
  <c r="CF347" i="6"/>
  <c r="CF346" i="6"/>
  <c r="CF39" i="6"/>
  <c r="CF128" i="6" s="1"/>
  <c r="BM288" i="42290"/>
  <c r="BO282" i="42290"/>
  <c r="CG27" i="6"/>
  <c r="CG345" i="6"/>
  <c r="GP650" i="42425"/>
  <c r="GT659" i="42425"/>
  <c r="GS680" i="42425"/>
  <c r="GS686" i="42425" s="1"/>
  <c r="GS650" i="42425"/>
  <c r="GT691" i="42425"/>
  <c r="GS655" i="42425"/>
  <c r="GS661" i="42425" s="1"/>
  <c r="GU655" i="42425"/>
  <c r="GU661" i="42425" s="1"/>
  <c r="GT661" i="42425"/>
  <c r="GT695" i="42425"/>
  <c r="GU680" i="42425"/>
  <c r="GU686" i="42425" s="1"/>
  <c r="GU650" i="42425"/>
  <c r="GU659" i="42425" s="1"/>
  <c r="AP1345" i="6"/>
  <c r="AP153" i="6"/>
  <c r="AP155" i="6" s="1"/>
  <c r="AP157" i="6" s="1"/>
  <c r="AP162" i="6"/>
  <c r="AP163" i="6" s="1"/>
  <c r="BK724" i="6"/>
  <c r="BF728" i="6"/>
  <c r="BK590" i="6"/>
  <c r="BK591" i="6"/>
  <c r="AU725" i="6"/>
  <c r="AZ725" i="6"/>
  <c r="AU724" i="6"/>
  <c r="AV688" i="6"/>
  <c r="AV727" i="6"/>
  <c r="BA689" i="6"/>
  <c r="BJ725" i="6"/>
  <c r="BJ724" i="6"/>
  <c r="AV725" i="6"/>
  <c r="AV724" i="6"/>
  <c r="BA725" i="6"/>
  <c r="AV497" i="6"/>
  <c r="CY496" i="6"/>
  <c r="AV499" i="6"/>
  <c r="BF495" i="6"/>
  <c r="BD496" i="6"/>
  <c r="BO367" i="6"/>
  <c r="BM96" i="42290"/>
  <c r="BM98" i="42290" s="1"/>
  <c r="BM100" i="42290" s="1"/>
  <c r="BM261" i="42290" s="1"/>
  <c r="BP430" i="6"/>
  <c r="BP447" i="6" s="1"/>
  <c r="BS430" i="6"/>
  <c r="BS447" i="6" s="1"/>
  <c r="BF468" i="6"/>
  <c r="DA468" i="6" s="1"/>
  <c r="DA447" i="6"/>
  <c r="BF489" i="6"/>
  <c r="BI468" i="6"/>
  <c r="BI489" i="6"/>
  <c r="BI490" i="6" s="1"/>
  <c r="BI495" i="6"/>
  <c r="AY497" i="6"/>
  <c r="BA496" i="6"/>
  <c r="BA490" i="6"/>
  <c r="CZ490" i="6" s="1"/>
  <c r="CZ489" i="6"/>
  <c r="CZ495" i="6"/>
  <c r="BK451" i="6"/>
  <c r="DB451" i="6" s="1"/>
  <c r="BJ96" i="42290"/>
  <c r="BJ98" i="42290" s="1"/>
  <c r="BJ100" i="42290" s="1"/>
  <c r="BJ261" i="42290" s="1"/>
  <c r="DB430" i="6"/>
  <c r="BK472" i="6"/>
  <c r="DB472" i="6" s="1"/>
  <c r="BQ497" i="6"/>
  <c r="BQ16" i="6"/>
  <c r="BN387" i="6"/>
  <c r="HK830" i="42425"/>
  <c r="BM366" i="6"/>
  <c r="BL408" i="6"/>
  <c r="BL426" i="6" s="1"/>
  <c r="BK471" i="6"/>
  <c r="DB471" i="6" s="1"/>
  <c r="DB408" i="6"/>
  <c r="BK358" i="6"/>
  <c r="BK360" i="6"/>
  <c r="DB360" i="6" s="1"/>
  <c r="DB356" i="6"/>
  <c r="BK749" i="6"/>
  <c r="BL1151" i="6"/>
  <c r="BM1095" i="6"/>
  <c r="BM1151" i="6" s="1"/>
  <c r="DD813" i="6"/>
  <c r="GT656" i="42425"/>
  <c r="GT660" i="42425" s="1"/>
  <c r="GT685" i="42425"/>
  <c r="GT679" i="42425" s="1"/>
  <c r="GP651" i="42425"/>
  <c r="GT649" i="42425"/>
  <c r="GT643" i="42425" s="1"/>
  <c r="DD811" i="6"/>
  <c r="BU814" i="6"/>
  <c r="DD814" i="6" s="1"/>
  <c r="DD800" i="6"/>
  <c r="BU802" i="6"/>
  <c r="GU681" i="42425"/>
  <c r="GU687" i="42425" s="1"/>
  <c r="GU651" i="42425"/>
  <c r="GS651" i="42425"/>
  <c r="GS681" i="42425"/>
  <c r="GS687" i="42425" s="1"/>
  <c r="BU797" i="6"/>
  <c r="DD797" i="6" s="1"/>
  <c r="DD796" i="6"/>
  <c r="BU872" i="6"/>
  <c r="DD823" i="6"/>
  <c r="U1170" i="6"/>
  <c r="U1172" i="6" s="1"/>
  <c r="BM1152" i="6"/>
  <c r="BN1096" i="6"/>
  <c r="AR1127" i="6"/>
  <c r="C34" i="42457"/>
  <c r="AR1170" i="6"/>
  <c r="AR1172" i="6" s="1"/>
  <c r="AR1271" i="6" s="1"/>
  <c r="AR1275" i="6" s="1"/>
  <c r="AR1276" i="6" s="1"/>
  <c r="AR1295" i="6" s="1"/>
  <c r="AR1296" i="6" s="1"/>
  <c r="AS88" i="42416"/>
  <c r="AT89" i="42416"/>
  <c r="AL938" i="6"/>
  <c r="CW938" i="6" s="1"/>
  <c r="CW937" i="6"/>
  <c r="CV123" i="6"/>
  <c r="AG1263" i="6"/>
  <c r="T1252" i="6"/>
  <c r="T1347" i="6"/>
  <c r="AQ929" i="6"/>
  <c r="CX929" i="6" s="1"/>
  <c r="AQ928" i="6"/>
  <c r="CX928" i="6" s="1"/>
  <c r="AQ958" i="6"/>
  <c r="AV929" i="6"/>
  <c r="CY929" i="6" s="1"/>
  <c r="AQ1006" i="6"/>
  <c r="CX1006" i="6" s="1"/>
  <c r="AQ937" i="6"/>
  <c r="CX927" i="6"/>
  <c r="AO151" i="6"/>
  <c r="AO160" i="6"/>
  <c r="AO161" i="6" s="1"/>
  <c r="AQ144" i="6"/>
  <c r="AS1151" i="6"/>
  <c r="AT1151" i="6"/>
  <c r="AT1170" i="6" s="1"/>
  <c r="AS1224" i="6"/>
  <c r="AS1347" i="6" s="1"/>
  <c r="AS1114" i="6"/>
  <c r="CW958" i="6"/>
  <c r="AL965" i="6"/>
  <c r="G42" i="42451"/>
  <c r="F42" i="42451"/>
  <c r="AG1351" i="6"/>
  <c r="CV965" i="6"/>
  <c r="AG154" i="6"/>
  <c r="V1155" i="6"/>
  <c r="V1170" i="6" s="1"/>
  <c r="V1172" i="6" s="1"/>
  <c r="U1224" i="6"/>
  <c r="U1114" i="6"/>
  <c r="U1127" i="6" s="1"/>
  <c r="BK911" i="6"/>
  <c r="DB911" i="6" s="1"/>
  <c r="BF911" i="6"/>
  <c r="DA911" i="6" s="1"/>
  <c r="DA909" i="6"/>
  <c r="BF910" i="6"/>
  <c r="DA910" i="6" s="1"/>
  <c r="CX94" i="6"/>
  <c r="AV96" i="6"/>
  <c r="CY96" i="6" s="1"/>
  <c r="AB360" i="6"/>
  <c r="CU360" i="6" s="1"/>
  <c r="AA272" i="42458"/>
  <c r="AA276" i="42458" s="1"/>
  <c r="AA294" i="42458"/>
  <c r="AA296" i="42458" s="1"/>
  <c r="AA298" i="42458" s="1"/>
  <c r="Y272" i="42458"/>
  <c r="Y276" i="42458" s="1"/>
  <c r="Y294" i="42458"/>
  <c r="Y296" i="42458" s="1"/>
  <c r="Y298" i="42458" s="1"/>
  <c r="BU136" i="6"/>
  <c r="DD136" i="6" s="1"/>
  <c r="Z294" i="42458"/>
  <c r="Z296" i="42458" s="1"/>
  <c r="Z298" i="42458" s="1"/>
  <c r="Z272" i="42458"/>
  <c r="Z276" i="42458" s="1"/>
  <c r="AV1046" i="6"/>
  <c r="CY1046" i="6" s="1"/>
  <c r="CY1028" i="6"/>
  <c r="G1227" i="6"/>
  <c r="G1229" i="6" s="1"/>
  <c r="G1232" i="6" s="1"/>
  <c r="G1350" i="6" s="1"/>
  <c r="G1348" i="6"/>
  <c r="I1061" i="6"/>
  <c r="I1072" i="6" s="1"/>
  <c r="J1047" i="6"/>
  <c r="J1048" i="6" s="1"/>
  <c r="J1053" i="6" s="1"/>
  <c r="I1225" i="6"/>
  <c r="H1227" i="6"/>
  <c r="CQ1225" i="6"/>
  <c r="H1348" i="6"/>
  <c r="CQ1061" i="6"/>
  <c r="H1072" i="6"/>
  <c r="AL304" i="6"/>
  <c r="CW304" i="6" s="1"/>
  <c r="AE302" i="6"/>
  <c r="AF301" i="6"/>
  <c r="AF303" i="6" s="1"/>
  <c r="Q1170" i="6"/>
  <c r="Q1172" i="6" s="1"/>
  <c r="BM497" i="6"/>
  <c r="CG10" i="6"/>
  <c r="Y493" i="6"/>
  <c r="AD493" i="6"/>
  <c r="AA493" i="6"/>
  <c r="AF493" i="6"/>
  <c r="BK1347" i="6"/>
  <c r="DB1224" i="6"/>
  <c r="BV37" i="42290"/>
  <c r="BV39" i="42290" s="1"/>
  <c r="BW25" i="42290"/>
  <c r="BO329" i="6"/>
  <c r="BN330" i="6"/>
  <c r="BN331" i="6" s="1"/>
  <c r="BN336" i="6" s="1"/>
  <c r="BN337" i="6" s="1"/>
  <c r="DD1195" i="6"/>
  <c r="R1138" i="6"/>
  <c r="P1224" i="6"/>
  <c r="BQ1066" i="6"/>
  <c r="Z490" i="6"/>
  <c r="AE490" i="6"/>
  <c r="CR153" i="6"/>
  <c r="AB1263" i="6"/>
  <c r="CU123" i="6"/>
  <c r="CZ1046" i="6"/>
  <c r="AB476" i="6"/>
  <c r="CU476" i="6" s="1"/>
  <c r="CU413" i="6"/>
  <c r="AB426" i="6"/>
  <c r="BM1093" i="6"/>
  <c r="BL1347" i="6"/>
  <c r="DD67" i="6"/>
  <c r="P125" i="42458"/>
  <c r="P101" i="42458" s="1"/>
  <c r="G9" i="42419"/>
  <c r="CR162" i="6"/>
  <c r="BP286" i="6"/>
  <c r="BQ286" i="6" s="1"/>
  <c r="BO288" i="6"/>
  <c r="BO289" i="6" s="1"/>
  <c r="BO294" i="6" s="1"/>
  <c r="BO295" i="6" s="1"/>
  <c r="CU965" i="6"/>
  <c r="AB154" i="6"/>
  <c r="AB1351" i="6"/>
  <c r="CS155" i="6"/>
  <c r="R157" i="6"/>
  <c r="CS157" i="6" s="1"/>
  <c r="CA1190" i="6"/>
  <c r="CA1195" i="6" s="1"/>
  <c r="BN289" i="6"/>
  <c r="BN294" i="6" s="1"/>
  <c r="BN295" i="6" s="1"/>
  <c r="P1161" i="6"/>
  <c r="Z360" i="6"/>
  <c r="Z492" i="6" s="1"/>
  <c r="BE1216" i="6"/>
  <c r="BF1216" i="6" s="1"/>
  <c r="BF1218" i="6" s="1"/>
  <c r="CC1063" i="6"/>
  <c r="DG1063" i="6"/>
  <c r="BV511" i="6" l="1"/>
  <c r="BV512" i="6"/>
  <c r="BV63" i="6" s="1"/>
  <c r="DE1190" i="6"/>
  <c r="BZ1195" i="6"/>
  <c r="BT44" i="6"/>
  <c r="BT107" i="6" s="1"/>
  <c r="BT110" i="6" s="1"/>
  <c r="BT512" i="6"/>
  <c r="BM1114" i="6"/>
  <c r="BM1224" i="6" s="1"/>
  <c r="AQ100" i="6"/>
  <c r="CX100" i="6" s="1"/>
  <c r="CB473" i="6"/>
  <c r="DG473" i="6" s="1"/>
  <c r="CC410" i="6"/>
  <c r="CD410" i="6" s="1"/>
  <c r="BM357" i="6"/>
  <c r="BM750" i="6" s="1"/>
  <c r="BN388" i="6"/>
  <c r="BN405" i="6" s="1"/>
  <c r="BM409" i="6"/>
  <c r="BM472" i="6" s="1"/>
  <c r="BK302" i="6"/>
  <c r="BJ301" i="6"/>
  <c r="BJ303" i="6" s="1"/>
  <c r="BJ304" i="6" s="1"/>
  <c r="BM356" i="6"/>
  <c r="BM384" i="6"/>
  <c r="AQ894" i="6"/>
  <c r="AW160" i="6"/>
  <c r="AW161" i="6" s="1"/>
  <c r="AW151" i="6"/>
  <c r="BM1028" i="6"/>
  <c r="BM1046" i="6" s="1"/>
  <c r="BN1027" i="6"/>
  <c r="BN1028" i="6" s="1"/>
  <c r="AS153" i="6"/>
  <c r="AS155" i="6" s="1"/>
  <c r="AS157" i="6" s="1"/>
  <c r="D49" i="42457"/>
  <c r="D51" i="42457" s="1"/>
  <c r="AV151" i="6"/>
  <c r="AS162" i="6"/>
  <c r="AS163" i="6" s="1"/>
  <c r="AS1345" i="6"/>
  <c r="AG1170" i="6"/>
  <c r="CV1149" i="6"/>
  <c r="CY144" i="6"/>
  <c r="AV160" i="6"/>
  <c r="AX142" i="6"/>
  <c r="AX144" i="6" s="1"/>
  <c r="AY1162" i="6"/>
  <c r="AX1170" i="6"/>
  <c r="AX1172" i="6" s="1"/>
  <c r="AX1271" i="6" s="1"/>
  <c r="AX1275" i="6" s="1"/>
  <c r="AX147" i="6"/>
  <c r="BX125" i="42290"/>
  <c r="BW142" i="42290"/>
  <c r="BW144" i="42290" s="1"/>
  <c r="AE27" i="42457"/>
  <c r="AE28" i="42457" s="1"/>
  <c r="CC103" i="6"/>
  <c r="CD103" i="6" s="1"/>
  <c r="CE103" i="6" s="1"/>
  <c r="CF103" i="6" s="1"/>
  <c r="CG103" i="6" s="1"/>
  <c r="B20" i="42457"/>
  <c r="B69" i="42434"/>
  <c r="AA149" i="42434" s="1"/>
  <c r="BV802" i="6"/>
  <c r="W77" i="42442"/>
  <c r="Y77" i="42442" s="1"/>
  <c r="W78" i="42440"/>
  <c r="Y78" i="42440" s="1"/>
  <c r="CB411" i="6"/>
  <c r="CC411" i="6" s="1"/>
  <c r="CD411" i="6" s="1"/>
  <c r="CE411" i="6" s="1"/>
  <c r="CF411" i="6" s="1"/>
  <c r="CG411" i="6" s="1"/>
  <c r="CB853" i="6"/>
  <c r="CB854" i="6" s="1"/>
  <c r="DG854" i="6" s="1"/>
  <c r="N16" i="42453"/>
  <c r="N21" i="42453" s="1"/>
  <c r="N23" i="42453" s="1"/>
  <c r="N27" i="42453" s="1"/>
  <c r="W77" i="42443"/>
  <c r="J79" i="42458"/>
  <c r="J80" i="42458" s="1"/>
  <c r="J76" i="42458"/>
  <c r="V34" i="42457"/>
  <c r="H76" i="42458"/>
  <c r="H79" i="42458"/>
  <c r="H80" i="42458" s="1"/>
  <c r="I76" i="42458"/>
  <c r="I79" i="42458"/>
  <c r="I80" i="42458" s="1"/>
  <c r="DB1114" i="6"/>
  <c r="BX430" i="6"/>
  <c r="BU429" i="6"/>
  <c r="CN788" i="6"/>
  <c r="CO788" i="6" s="1"/>
  <c r="H925" i="6"/>
  <c r="CQ925" i="6" s="1"/>
  <c r="CQ924" i="6"/>
  <c r="H927" i="6"/>
  <c r="M929" i="6" s="1"/>
  <c r="CR929" i="6" s="1"/>
  <c r="BV44" i="6"/>
  <c r="BV129" i="6" s="1"/>
  <c r="BV510" i="6"/>
  <c r="CJ1168" i="6"/>
  <c r="CJ1172" i="6" s="1"/>
  <c r="CG1089" i="6"/>
  <c r="CG1145" i="6" s="1"/>
  <c r="CF1145" i="6"/>
  <c r="CE102" i="6"/>
  <c r="CD1040" i="6"/>
  <c r="CC848" i="6"/>
  <c r="CC859" i="6"/>
  <c r="CC850" i="6"/>
  <c r="BZ788" i="6"/>
  <c r="CE1157" i="6"/>
  <c r="CF1101" i="6"/>
  <c r="CD1161" i="6"/>
  <c r="CE1106" i="6"/>
  <c r="CC1108" i="6"/>
  <c r="CB1165" i="6"/>
  <c r="CB1273" i="6" s="1"/>
  <c r="DG1108" i="6"/>
  <c r="BY67" i="6"/>
  <c r="CN1195" i="6"/>
  <c r="CO1195" i="6" s="1"/>
  <c r="BW796" i="6"/>
  <c r="CD1099" i="6"/>
  <c r="CA854" i="6"/>
  <c r="DF854" i="6" s="1"/>
  <c r="DF853" i="6"/>
  <c r="CA856" i="6"/>
  <c r="CC1333" i="6"/>
  <c r="CC149" i="6"/>
  <c r="CD1079" i="6"/>
  <c r="CE1076" i="6"/>
  <c r="CE845" i="6"/>
  <c r="CD847" i="6"/>
  <c r="CG1103" i="6"/>
  <c r="CG1159" i="6" s="1"/>
  <c r="CF1159" i="6"/>
  <c r="DG369" i="6"/>
  <c r="CC369" i="6"/>
  <c r="CD369" i="6" s="1"/>
  <c r="CE369" i="6" s="1"/>
  <c r="CF369" i="6" s="1"/>
  <c r="CG369" i="6" s="1"/>
  <c r="DG412" i="6"/>
  <c r="CC412" i="6"/>
  <c r="CB475" i="6"/>
  <c r="DG475" i="6" s="1"/>
  <c r="CB1156" i="6"/>
  <c r="DG1156" i="6" s="1"/>
  <c r="DG1100" i="6"/>
  <c r="CC1100" i="6"/>
  <c r="CB865" i="6"/>
  <c r="DG865" i="6" s="1"/>
  <c r="CB861" i="6"/>
  <c r="DG861" i="6" s="1"/>
  <c r="DG859" i="6"/>
  <c r="CA1084" i="6"/>
  <c r="DE1084" i="6"/>
  <c r="BZ1141" i="6"/>
  <c r="BK728" i="6"/>
  <c r="BW800" i="6"/>
  <c r="EN611" i="42458"/>
  <c r="EN613" i="42458" s="1"/>
  <c r="EN614" i="42458" s="1"/>
  <c r="BQ21" i="6"/>
  <c r="BV22" i="6" s="1"/>
  <c r="BR1153" i="6"/>
  <c r="BV803" i="6"/>
  <c r="BV805" i="6"/>
  <c r="BY21" i="6"/>
  <c r="BW799" i="6"/>
  <c r="BW867" i="6"/>
  <c r="BW811" i="6"/>
  <c r="BW820" i="6"/>
  <c r="BV823" i="6"/>
  <c r="BV869" i="6"/>
  <c r="CE477" i="6"/>
  <c r="CF414" i="6"/>
  <c r="CE476" i="6"/>
  <c r="CF413" i="6"/>
  <c r="BY794" i="6"/>
  <c r="BX808" i="6"/>
  <c r="BY812" i="6"/>
  <c r="BY813" i="6" s="1"/>
  <c r="BY809" i="6" s="1"/>
  <c r="BY821" i="6" s="1"/>
  <c r="BY870" i="6" s="1"/>
  <c r="BX813" i="6"/>
  <c r="BX809" i="6" s="1"/>
  <c r="BY787" i="6"/>
  <c r="CN787" i="6" s="1"/>
  <c r="CO787" i="6" s="1"/>
  <c r="BY785" i="6"/>
  <c r="BX790" i="6"/>
  <c r="BX793" i="6"/>
  <c r="R929" i="6"/>
  <c r="CS929" i="6" s="1"/>
  <c r="CR927" i="6"/>
  <c r="M928" i="6"/>
  <c r="CR928" i="6" s="1"/>
  <c r="M958" i="6"/>
  <c r="M120" i="6"/>
  <c r="M1006" i="6"/>
  <c r="CR1006" i="6" s="1"/>
  <c r="M937" i="6"/>
  <c r="BX794" i="6"/>
  <c r="AS883" i="6"/>
  <c r="AR880" i="6"/>
  <c r="AR884" i="6" s="1"/>
  <c r="AR894" i="6" s="1"/>
  <c r="AR895" i="6" s="1"/>
  <c r="CX894" i="6"/>
  <c r="AQ895" i="6"/>
  <c r="CX895" i="6" s="1"/>
  <c r="R1127" i="6"/>
  <c r="CS1127" i="6" s="1"/>
  <c r="CS1114" i="6"/>
  <c r="E16" i="42453"/>
  <c r="E21" i="42453" s="1"/>
  <c r="CX95" i="6"/>
  <c r="R1347" i="6"/>
  <c r="R1252" i="6"/>
  <c r="CS1252" i="6" s="1"/>
  <c r="CS1224" i="6"/>
  <c r="S1082" i="6"/>
  <c r="S1152" i="6"/>
  <c r="W1152" i="6" s="1"/>
  <c r="CT1152" i="6" s="1"/>
  <c r="CA254" i="42290"/>
  <c r="BZ257" i="42290"/>
  <c r="BN1093" i="6"/>
  <c r="BM1266" i="6"/>
  <c r="BL1268" i="6"/>
  <c r="BL1281" i="6"/>
  <c r="BL1282" i="6" s="1"/>
  <c r="EP592" i="42458"/>
  <c r="EP604" i="42458" s="1"/>
  <c r="EP605" i="42458" s="1"/>
  <c r="FZ541" i="42425"/>
  <c r="FZ543" i="42425" s="1"/>
  <c r="FZ545" i="42425" s="1"/>
  <c r="FZ534" i="42425"/>
  <c r="FZ535" i="42425" s="1"/>
  <c r="FZ554" i="42425"/>
  <c r="FZ556" i="42425" s="1"/>
  <c r="FZ559" i="42425" s="1"/>
  <c r="FZ560" i="42425" s="1"/>
  <c r="GA552" i="42425"/>
  <c r="GA554" i="42425" s="1"/>
  <c r="GA556" i="42425" s="1"/>
  <c r="GA559" i="42425" s="1"/>
  <c r="GA560" i="42425" s="1"/>
  <c r="EM592" i="42458"/>
  <c r="EM604" i="42458" s="1"/>
  <c r="EM605" i="42458" s="1"/>
  <c r="BP21" i="6"/>
  <c r="CZ531" i="42458" s="1"/>
  <c r="EM611" i="42458"/>
  <c r="EM613" i="42458" s="1"/>
  <c r="EM614" i="42458" s="1"/>
  <c r="AT1172" i="6"/>
  <c r="AT1271" i="6" s="1"/>
  <c r="AT1275" i="6" s="1"/>
  <c r="AX1276" i="6" s="1"/>
  <c r="AX1295" i="6" s="1"/>
  <c r="AX1296" i="6" s="1"/>
  <c r="CW95" i="6"/>
  <c r="AL100" i="6"/>
  <c r="CW100" i="6" s="1"/>
  <c r="AR64" i="42416"/>
  <c r="AI160" i="6"/>
  <c r="AI161" i="6" s="1"/>
  <c r="AI151" i="6"/>
  <c r="AL144" i="6"/>
  <c r="G42" i="42448"/>
  <c r="F42" i="42448"/>
  <c r="K43" i="42432"/>
  <c r="G43" i="42432"/>
  <c r="F43" i="42432"/>
  <c r="L43" i="42432"/>
  <c r="AL96" i="6"/>
  <c r="CW96" i="6" s="1"/>
  <c r="CW94" i="6"/>
  <c r="L43" i="42441"/>
  <c r="K43" i="42441"/>
  <c r="F43" i="42441"/>
  <c r="G43" i="42441"/>
  <c r="AP1027" i="6"/>
  <c r="AO1046" i="6"/>
  <c r="AM153" i="6"/>
  <c r="AM155" i="6" s="1"/>
  <c r="AM157" i="6" s="1"/>
  <c r="AM1345" i="6"/>
  <c r="AM162" i="6"/>
  <c r="AM163" i="6" s="1"/>
  <c r="AJ1028" i="6"/>
  <c r="CG429" i="6"/>
  <c r="F43" i="42442"/>
  <c r="G43" i="42442"/>
  <c r="BT511" i="6"/>
  <c r="BT510" i="6"/>
  <c r="BT23" i="6"/>
  <c r="BT22" i="6"/>
  <c r="BO22" i="6"/>
  <c r="BO23" i="6"/>
  <c r="BO170" i="6"/>
  <c r="BP170" i="6" s="1"/>
  <c r="DC1098" i="6"/>
  <c r="BQ1098" i="6"/>
  <c r="BR292" i="6"/>
  <c r="BR753" i="6"/>
  <c r="BS291" i="6"/>
  <c r="BL1175" i="6"/>
  <c r="DB1175" i="6"/>
  <c r="BK1178" i="6"/>
  <c r="DB1178" i="6" s="1"/>
  <c r="BO1154" i="6"/>
  <c r="BP1154" i="6" s="1"/>
  <c r="DC1154" i="6" s="1"/>
  <c r="W1063" i="6"/>
  <c r="V1064" i="6"/>
  <c r="W1064" i="6" s="1"/>
  <c r="CT1064" i="6" s="1"/>
  <c r="BO288" i="42290"/>
  <c r="BO294" i="42290" s="1"/>
  <c r="BM294" i="42290"/>
  <c r="BR1094" i="6"/>
  <c r="BR1150" i="6" s="1"/>
  <c r="CG39" i="6"/>
  <c r="CG128" i="6" s="1"/>
  <c r="CG347" i="6"/>
  <c r="CG346" i="6"/>
  <c r="GS659" i="42425"/>
  <c r="GT697" i="42425"/>
  <c r="GU691" i="42425"/>
  <c r="GU697" i="42425" s="1"/>
  <c r="GS691" i="42425"/>
  <c r="GS697" i="42425" s="1"/>
  <c r="AB492" i="6"/>
  <c r="CU492" i="6" s="1"/>
  <c r="BA729" i="6"/>
  <c r="AV729" i="6"/>
  <c r="AV728" i="6"/>
  <c r="DB447" i="6"/>
  <c r="BK468" i="6"/>
  <c r="DB468" i="6" s="1"/>
  <c r="BD497" i="6"/>
  <c r="BF496" i="6"/>
  <c r="CZ496" i="6"/>
  <c r="BA497" i="6"/>
  <c r="BA499" i="6"/>
  <c r="BU430" i="6"/>
  <c r="BR96" i="42290"/>
  <c r="BR98" i="42290" s="1"/>
  <c r="BR100" i="42290" s="1"/>
  <c r="BR261" i="42290" s="1"/>
  <c r="AV508" i="6"/>
  <c r="CY499" i="6"/>
  <c r="AV501" i="6"/>
  <c r="CY501" i="6" s="1"/>
  <c r="AV492" i="6"/>
  <c r="BF490" i="6"/>
  <c r="DA490" i="6" s="1"/>
  <c r="DA489" i="6"/>
  <c r="DA495" i="6"/>
  <c r="BN468" i="6"/>
  <c r="BN495" i="6"/>
  <c r="BN496" i="6" s="1"/>
  <c r="BK495" i="6"/>
  <c r="BI496" i="6"/>
  <c r="BP451" i="6"/>
  <c r="DC451" i="6" s="1"/>
  <c r="BO96" i="42290"/>
  <c r="BO98" i="42290" s="1"/>
  <c r="BO100" i="42290" s="1"/>
  <c r="BO261" i="42290" s="1"/>
  <c r="DC430" i="6"/>
  <c r="BP367" i="6"/>
  <c r="BO387" i="6"/>
  <c r="BQ44" i="6"/>
  <c r="BQ501" i="6"/>
  <c r="BL489" i="6"/>
  <c r="BL490" i="6" s="1"/>
  <c r="BL471" i="6"/>
  <c r="BN366" i="6"/>
  <c r="BM408" i="6"/>
  <c r="DB749" i="6"/>
  <c r="BK751" i="6"/>
  <c r="DB751" i="6" s="1"/>
  <c r="DB426" i="6"/>
  <c r="BK489" i="6"/>
  <c r="DB358" i="6"/>
  <c r="BL358" i="6"/>
  <c r="BL360" i="6" s="1"/>
  <c r="BL492" i="6" s="1"/>
  <c r="BL493" i="6" s="1"/>
  <c r="BL749" i="6"/>
  <c r="BL751" i="6" s="1"/>
  <c r="GS649" i="42425"/>
  <c r="GS643" i="42425" s="1"/>
  <c r="GU685" i="42425"/>
  <c r="GU679" i="42425" s="1"/>
  <c r="GT773" i="42425"/>
  <c r="GT774" i="42425" s="1"/>
  <c r="GT759" i="42425"/>
  <c r="GT760" i="42425" s="1"/>
  <c r="GT731" i="42425"/>
  <c r="GT732" i="42425" s="1"/>
  <c r="GT745" i="42425"/>
  <c r="GT746" i="42425" s="1"/>
  <c r="GT717" i="42425"/>
  <c r="GT718" i="42425" s="1"/>
  <c r="GU656" i="42425"/>
  <c r="GU662" i="42425" s="1"/>
  <c r="GS656" i="42425"/>
  <c r="GS662" i="42425" s="1"/>
  <c r="GT692" i="42425"/>
  <c r="GT662" i="42425"/>
  <c r="GP671" i="42425" s="1"/>
  <c r="BM1149" i="6"/>
  <c r="DD872" i="6"/>
  <c r="BU873" i="6"/>
  <c r="DD873" i="6" s="1"/>
  <c r="GS685" i="42425"/>
  <c r="GS679" i="42425" s="1"/>
  <c r="GU649" i="42425"/>
  <c r="GU643" i="42425" s="1"/>
  <c r="BU805" i="6"/>
  <c r="DD802" i="6"/>
  <c r="BU803" i="6"/>
  <c r="DD803" i="6" s="1"/>
  <c r="BN1095" i="6"/>
  <c r="BN1151" i="6" s="1"/>
  <c r="U1347" i="6"/>
  <c r="U1252" i="6"/>
  <c r="CV154" i="6"/>
  <c r="AG155" i="6"/>
  <c r="AS1170" i="6"/>
  <c r="AS1172" i="6" s="1"/>
  <c r="AS1271" i="6" s="1"/>
  <c r="AS1275" i="6" s="1"/>
  <c r="E70" i="42434"/>
  <c r="AD150" i="42434" s="1"/>
  <c r="AQ965" i="6"/>
  <c r="CX958" i="6"/>
  <c r="AR88" i="42416"/>
  <c r="AR90" i="42416" s="1"/>
  <c r="AR92" i="42416" s="1"/>
  <c r="AR93" i="42416" s="1"/>
  <c r="AR99" i="42416" s="1"/>
  <c r="AR100" i="42416" s="1"/>
  <c r="AR101" i="42416" s="1"/>
  <c r="AT88" i="42416"/>
  <c r="AT90" i="42416" s="1"/>
  <c r="AT92" i="42416" s="1"/>
  <c r="AT93" i="42416" s="1"/>
  <c r="AT99" i="42416" s="1"/>
  <c r="AT100" i="42416" s="1"/>
  <c r="AT101" i="42416" s="1"/>
  <c r="AV1151" i="6"/>
  <c r="AL154" i="6"/>
  <c r="AL1351" i="6"/>
  <c r="CW965" i="6"/>
  <c r="AS1127" i="6"/>
  <c r="D34" i="42457"/>
  <c r="CX144" i="6"/>
  <c r="AQ160" i="6"/>
  <c r="AQ161" i="6" s="1"/>
  <c r="AO1345" i="6"/>
  <c r="AO153" i="6"/>
  <c r="AO155" i="6" s="1"/>
  <c r="AO157" i="6" s="1"/>
  <c r="AO162" i="6"/>
  <c r="AO163" i="6" s="1"/>
  <c r="AQ151" i="6"/>
  <c r="CX937" i="6"/>
  <c r="AQ938" i="6"/>
  <c r="CX938" i="6" s="1"/>
  <c r="AG1252" i="6"/>
  <c r="CV1252" i="6" s="1"/>
  <c r="CV1263" i="6"/>
  <c r="W1155" i="6"/>
  <c r="CT1155" i="6" s="1"/>
  <c r="K1047" i="6"/>
  <c r="K1048" i="6" s="1"/>
  <c r="K1053" i="6" s="1"/>
  <c r="K1209" i="6" s="1"/>
  <c r="J1225" i="6"/>
  <c r="J1061" i="6"/>
  <c r="J1072" i="6" s="1"/>
  <c r="J171" i="6" s="1"/>
  <c r="I1129" i="6"/>
  <c r="J1209" i="6"/>
  <c r="CQ1072" i="6"/>
  <c r="H1129" i="6"/>
  <c r="CQ1129" i="6" s="1"/>
  <c r="I171" i="6"/>
  <c r="CQ1227" i="6"/>
  <c r="H1229" i="6"/>
  <c r="I1227" i="6"/>
  <c r="I1229" i="6" s="1"/>
  <c r="I1232" i="6" s="1"/>
  <c r="I1350" i="6" s="1"/>
  <c r="I1348" i="6"/>
  <c r="P1170" i="6"/>
  <c r="P1172" i="6" s="1"/>
  <c r="R1161" i="6"/>
  <c r="CS1161" i="6" s="1"/>
  <c r="CU154" i="6"/>
  <c r="AB155" i="6"/>
  <c r="BP288" i="6"/>
  <c r="CU426" i="6"/>
  <c r="AB489" i="6"/>
  <c r="CU1263" i="6"/>
  <c r="AB1252" i="6"/>
  <c r="CU1252" i="6" s="1"/>
  <c r="P1347" i="6"/>
  <c r="P1252" i="6"/>
  <c r="CS1138" i="6"/>
  <c r="AD302" i="6"/>
  <c r="AE301" i="6"/>
  <c r="AE303" i="6" s="1"/>
  <c r="BO1096" i="6"/>
  <c r="BP1096" i="6" s="1"/>
  <c r="CB1190" i="6"/>
  <c r="CB1195" i="6" s="1"/>
  <c r="DF1190" i="6"/>
  <c r="W34" i="42457"/>
  <c r="BL1127" i="6"/>
  <c r="BP289" i="6"/>
  <c r="BP294" i="6" s="1"/>
  <c r="BE1218" i="6"/>
  <c r="BN1152" i="6"/>
  <c r="BP329" i="6"/>
  <c r="BO330" i="6"/>
  <c r="BP330" i="6" s="1"/>
  <c r="BX25" i="42290"/>
  <c r="BW37" i="42290"/>
  <c r="BW39" i="42290" s="1"/>
  <c r="BK1214" i="6"/>
  <c r="BG1214" i="6"/>
  <c r="Z493" i="6"/>
  <c r="AE493" i="6"/>
  <c r="BM1347" i="6"/>
  <c r="AK304" i="6"/>
  <c r="CD1063" i="6"/>
  <c r="BN1149" i="6" l="1"/>
  <c r="BN1114" i="6"/>
  <c r="BN1224" i="6" s="1"/>
  <c r="CB856" i="6"/>
  <c r="DG856" i="6" s="1"/>
  <c r="BM426" i="6"/>
  <c r="CC473" i="6"/>
  <c r="DG411" i="6"/>
  <c r="BN357" i="6"/>
  <c r="BN750" i="6" s="1"/>
  <c r="BO388" i="6"/>
  <c r="BO405" i="6" s="1"/>
  <c r="BN409" i="6"/>
  <c r="BN472" i="6" s="1"/>
  <c r="BZ430" i="6"/>
  <c r="BZ447" i="6" s="1"/>
  <c r="BX447" i="6"/>
  <c r="CN447" i="6" s="1"/>
  <c r="CO447" i="6" s="1"/>
  <c r="BN356" i="6"/>
  <c r="BN384" i="6"/>
  <c r="BK301" i="6"/>
  <c r="BK303" i="6" s="1"/>
  <c r="BK304" i="6" s="1"/>
  <c r="DB304" i="6" s="1"/>
  <c r="BL302" i="6"/>
  <c r="CJ1176" i="6"/>
  <c r="CJ1178" i="6" s="1"/>
  <c r="CJ1183" i="6" s="1"/>
  <c r="BV23" i="6"/>
  <c r="AY142" i="6"/>
  <c r="AZ1162" i="6"/>
  <c r="BA1162" i="6" s="1"/>
  <c r="AY1170" i="6"/>
  <c r="AY1172" i="6" s="1"/>
  <c r="AY1271" i="6" s="1"/>
  <c r="AY1275" i="6" s="1"/>
  <c r="AY1276" i="6" s="1"/>
  <c r="AY1295" i="6" s="1"/>
  <c r="AY1296" i="6" s="1"/>
  <c r="AY147" i="6"/>
  <c r="AV161" i="6"/>
  <c r="CY160" i="6"/>
  <c r="BY125" i="42290"/>
  <c r="BX142" i="42290"/>
  <c r="BX144" i="42290" s="1"/>
  <c r="AX160" i="6"/>
  <c r="AX161" i="6" s="1"/>
  <c r="AX151" i="6"/>
  <c r="AW162" i="6"/>
  <c r="AW163" i="6" s="1"/>
  <c r="H49" i="42457"/>
  <c r="H51" i="42457" s="1"/>
  <c r="AW1345" i="6"/>
  <c r="AW153" i="6"/>
  <c r="AW155" i="6" s="1"/>
  <c r="AW157" i="6" s="1"/>
  <c r="AV153" i="6"/>
  <c r="AV1345" i="6"/>
  <c r="AV162" i="6"/>
  <c r="CY151" i="6"/>
  <c r="G49" i="42457"/>
  <c r="G51" i="42457" s="1"/>
  <c r="CV1170" i="6"/>
  <c r="AG1172" i="6"/>
  <c r="CV1172" i="6" s="1"/>
  <c r="CN430" i="6"/>
  <c r="CO430" i="6" s="1"/>
  <c r="BZ794" i="6"/>
  <c r="DE794" i="6" s="1"/>
  <c r="DG853" i="6"/>
  <c r="DE1195" i="6"/>
  <c r="H1006" i="6"/>
  <c r="CQ1006" i="6" s="1"/>
  <c r="H928" i="6"/>
  <c r="CQ928" i="6" s="1"/>
  <c r="H958" i="6"/>
  <c r="H937" i="6"/>
  <c r="CQ927" i="6"/>
  <c r="H120" i="6"/>
  <c r="ER591" i="42458"/>
  <c r="BZ450" i="6"/>
  <c r="DE450" i="6" s="1"/>
  <c r="BU450" i="6"/>
  <c r="DD450" i="6" s="1"/>
  <c r="DD429" i="6"/>
  <c r="CC853" i="6"/>
  <c r="CC854" i="6" s="1"/>
  <c r="BV30" i="6"/>
  <c r="BV33" i="6" s="1"/>
  <c r="BV34" i="6" s="1"/>
  <c r="BS495" i="6"/>
  <c r="BS496" i="6" s="1"/>
  <c r="BS468" i="6"/>
  <c r="BV51" i="6"/>
  <c r="BV55" i="6" s="1"/>
  <c r="BV107" i="6"/>
  <c r="BV110" i="6" s="1"/>
  <c r="BV53" i="6"/>
  <c r="BQ107" i="6"/>
  <c r="BQ110" i="6" s="1"/>
  <c r="BX799" i="6"/>
  <c r="BX821" i="6"/>
  <c r="CN809" i="6"/>
  <c r="CO809" i="6" s="1"/>
  <c r="BV806" i="6"/>
  <c r="DE1141" i="6"/>
  <c r="DF1084" i="6"/>
  <c r="CA1176" i="6"/>
  <c r="DF1176" i="6" s="1"/>
  <c r="CA1285" i="6"/>
  <c r="DF1285" i="6" s="1"/>
  <c r="CB1084" i="6"/>
  <c r="CA1141" i="6"/>
  <c r="DF1141" i="6" s="1"/>
  <c r="CC1156" i="6"/>
  <c r="CD1100" i="6"/>
  <c r="CD412" i="6"/>
  <c r="CC475" i="6"/>
  <c r="CD848" i="6"/>
  <c r="CD859" i="6"/>
  <c r="CD850" i="6"/>
  <c r="CF1076" i="6"/>
  <c r="CE1079" i="6"/>
  <c r="DF856" i="6"/>
  <c r="CA857" i="6"/>
  <c r="DF857" i="6" s="1"/>
  <c r="CE1099" i="6"/>
  <c r="BZ787" i="6"/>
  <c r="BZ67" i="6"/>
  <c r="DE67" i="6" s="1"/>
  <c r="CN67" i="6"/>
  <c r="CO67" i="6" s="1"/>
  <c r="BY136" i="6"/>
  <c r="BY1014" i="6"/>
  <c r="CE1161" i="6"/>
  <c r="CF1106" i="6"/>
  <c r="CF1157" i="6"/>
  <c r="CG1101" i="6"/>
  <c r="CG1157" i="6" s="1"/>
  <c r="BZ783" i="6"/>
  <c r="DE788" i="6"/>
  <c r="CF102" i="6"/>
  <c r="CE1040" i="6"/>
  <c r="BX800" i="6"/>
  <c r="BV872" i="6"/>
  <c r="BZ809" i="6"/>
  <c r="BZ800" i="6" s="1"/>
  <c r="DE800" i="6" s="1"/>
  <c r="CE847" i="6"/>
  <c r="CF845" i="6"/>
  <c r="CD1155" i="6"/>
  <c r="CC1165" i="6"/>
  <c r="CC1273" i="6" s="1"/>
  <c r="CD1108" i="6"/>
  <c r="CC865" i="6"/>
  <c r="CC861" i="6"/>
  <c r="CD149" i="6"/>
  <c r="CD1333" i="6"/>
  <c r="CN794" i="6"/>
  <c r="CO794" i="6" s="1"/>
  <c r="BY800" i="6"/>
  <c r="BW802" i="6"/>
  <c r="CR958" i="6"/>
  <c r="M965" i="6"/>
  <c r="BX796" i="6"/>
  <c r="BX867" i="6"/>
  <c r="BX820" i="6"/>
  <c r="BX811" i="6"/>
  <c r="CG413" i="6"/>
  <c r="CG476" i="6" s="1"/>
  <c r="CF476" i="6"/>
  <c r="CF477" i="6"/>
  <c r="CG414" i="6"/>
  <c r="CG477" i="6" s="1"/>
  <c r="BW805" i="6"/>
  <c r="BW806" i="6" s="1"/>
  <c r="BT1097" i="6"/>
  <c r="BU1097" i="6" s="1"/>
  <c r="M942" i="6"/>
  <c r="CR937" i="6"/>
  <c r="M938" i="6"/>
  <c r="CR938" i="6" s="1"/>
  <c r="M123" i="6"/>
  <c r="CR120" i="6"/>
  <c r="BY790" i="6"/>
  <c r="BZ790" i="6" s="1"/>
  <c r="BY808" i="6"/>
  <c r="BZ808" i="6" s="1"/>
  <c r="BY793" i="6"/>
  <c r="BY796" i="6" s="1"/>
  <c r="CD473" i="6"/>
  <c r="CE410" i="6"/>
  <c r="BW823" i="6"/>
  <c r="BW872" i="6" s="1"/>
  <c r="BW869" i="6"/>
  <c r="BY23" i="6"/>
  <c r="BY22" i="6"/>
  <c r="AT883" i="6"/>
  <c r="AS880" i="6"/>
  <c r="AS884" i="6" s="1"/>
  <c r="AS894" i="6" s="1"/>
  <c r="AS895" i="6" s="1"/>
  <c r="E23" i="42453"/>
  <c r="E27" i="42453" s="1"/>
  <c r="F23" i="42453"/>
  <c r="F27" i="42453" s="1"/>
  <c r="S1114" i="6"/>
  <c r="S1127" i="6" s="1"/>
  <c r="S1224" i="6"/>
  <c r="S1138" i="6"/>
  <c r="CB254" i="42290"/>
  <c r="CB257" i="42290" s="1"/>
  <c r="CA257" i="42290"/>
  <c r="BM1268" i="6"/>
  <c r="BM1281" i="6"/>
  <c r="BM1282" i="6" s="1"/>
  <c r="BN1266" i="6"/>
  <c r="BO295" i="42290"/>
  <c r="BO296" i="42290"/>
  <c r="GS695" i="42425"/>
  <c r="ER592" i="42458"/>
  <c r="DC21" i="6"/>
  <c r="BP23" i="6"/>
  <c r="O94" i="42458"/>
  <c r="BP22" i="6"/>
  <c r="DC22" i="6" s="1"/>
  <c r="R1170" i="6"/>
  <c r="CS1170" i="6" s="1"/>
  <c r="AK1027" i="6"/>
  <c r="AJ1046" i="6"/>
  <c r="CW144" i="6"/>
  <c r="AL160" i="6"/>
  <c r="AL161" i="6" s="1"/>
  <c r="AV1170" i="6"/>
  <c r="CY1170" i="6" s="1"/>
  <c r="AP1028" i="6"/>
  <c r="AP1046" i="6" s="1"/>
  <c r="AQ1027" i="6"/>
  <c r="AI162" i="6"/>
  <c r="AI163" i="6" s="1"/>
  <c r="AI1345" i="6"/>
  <c r="AI153" i="6"/>
  <c r="AI155" i="6" s="1"/>
  <c r="AI157" i="6" s="1"/>
  <c r="AL151" i="6"/>
  <c r="AB493" i="6"/>
  <c r="CU493" i="6" s="1"/>
  <c r="BP496" i="6"/>
  <c r="DC496" i="6" s="1"/>
  <c r="V1066" i="6"/>
  <c r="W1066" i="6" s="1"/>
  <c r="CT1066" i="6" s="1"/>
  <c r="BL1178" i="6"/>
  <c r="BM1175" i="6"/>
  <c r="BQ1154" i="6"/>
  <c r="BR1098" i="6"/>
  <c r="BR1154" i="6" s="1"/>
  <c r="X1063" i="6"/>
  <c r="CT1063" i="6"/>
  <c r="BS753" i="6"/>
  <c r="BT291" i="6"/>
  <c r="BM295" i="42290"/>
  <c r="BN921" i="6"/>
  <c r="BM296" i="42290"/>
  <c r="GU695" i="42425"/>
  <c r="AG493" i="6"/>
  <c r="CV493" i="6" s="1"/>
  <c r="BT96" i="42290"/>
  <c r="BT98" i="42290" s="1"/>
  <c r="BT100" i="42290" s="1"/>
  <c r="BU451" i="6"/>
  <c r="DD451" i="6" s="1"/>
  <c r="DD430" i="6"/>
  <c r="DC367" i="6"/>
  <c r="BQ367" i="6"/>
  <c r="DC447" i="6"/>
  <c r="BP468" i="6"/>
  <c r="DC468" i="6" s="1"/>
  <c r="DB495" i="6"/>
  <c r="AV511" i="6"/>
  <c r="CY511" i="6" s="1"/>
  <c r="AV510" i="6"/>
  <c r="CY510" i="6" s="1"/>
  <c r="CY508" i="6"/>
  <c r="BA492" i="6"/>
  <c r="CZ499" i="6"/>
  <c r="BA508" i="6"/>
  <c r="BA501" i="6"/>
  <c r="CZ501" i="6" s="1"/>
  <c r="BF499" i="6"/>
  <c r="DA496" i="6"/>
  <c r="BF497" i="6"/>
  <c r="BP495" i="6"/>
  <c r="BN497" i="6"/>
  <c r="CY492" i="6"/>
  <c r="AV493" i="6"/>
  <c r="CY493" i="6" s="1"/>
  <c r="BI497" i="6"/>
  <c r="BK496" i="6"/>
  <c r="BP387" i="6"/>
  <c r="BQ510" i="6"/>
  <c r="BQ511" i="6"/>
  <c r="BQ22" i="6"/>
  <c r="BQ23" i="6"/>
  <c r="BQ170" i="6"/>
  <c r="GT671" i="42425"/>
  <c r="GT676" i="42425" s="1"/>
  <c r="GT677" i="42425" s="1"/>
  <c r="GX787" i="42425" s="1"/>
  <c r="GU660" i="42425"/>
  <c r="GU671" i="42425" s="1"/>
  <c r="BM471" i="6"/>
  <c r="BM489" i="6"/>
  <c r="BM490" i="6" s="1"/>
  <c r="GT658" i="42425"/>
  <c r="GP658" i="42425" s="1"/>
  <c r="GT761" i="42425" s="1"/>
  <c r="BM358" i="6"/>
  <c r="BM360" i="6" s="1"/>
  <c r="BM492" i="6" s="1"/>
  <c r="BM493" i="6" s="1"/>
  <c r="BM749" i="6"/>
  <c r="BM751" i="6" s="1"/>
  <c r="BK490" i="6"/>
  <c r="DB490" i="6" s="1"/>
  <c r="DB489" i="6"/>
  <c r="BO366" i="6"/>
  <c r="BN408" i="6"/>
  <c r="BO1095" i="6"/>
  <c r="BP1095" i="6" s="1"/>
  <c r="BU806" i="6"/>
  <c r="DD806" i="6" s="1"/>
  <c r="DD805" i="6"/>
  <c r="GU717" i="42425"/>
  <c r="GU718" i="42425" s="1"/>
  <c r="GU745" i="42425"/>
  <c r="GU746" i="42425" s="1"/>
  <c r="GU759" i="42425"/>
  <c r="GU760" i="42425" s="1"/>
  <c r="GU731" i="42425"/>
  <c r="GU732" i="42425" s="1"/>
  <c r="GU773" i="42425"/>
  <c r="GU774" i="42425" s="1"/>
  <c r="GS717" i="42425"/>
  <c r="GS718" i="42425" s="1"/>
  <c r="GS745" i="42425"/>
  <c r="GS746" i="42425" s="1"/>
  <c r="GS759" i="42425"/>
  <c r="GS760" i="42425" s="1"/>
  <c r="GS731" i="42425"/>
  <c r="GS732" i="42425" s="1"/>
  <c r="GS773" i="42425"/>
  <c r="GS774" i="42425" s="1"/>
  <c r="GU692" i="42425"/>
  <c r="GS692" i="42425"/>
  <c r="GT698" i="42425"/>
  <c r="GT696" i="42425"/>
  <c r="GS660" i="42425"/>
  <c r="BN1127" i="6"/>
  <c r="AS1276" i="6"/>
  <c r="AS1295" i="6" s="1"/>
  <c r="AS1296" i="6" s="1"/>
  <c r="AT1276" i="6"/>
  <c r="AT1295" i="6" s="1"/>
  <c r="AT1296" i="6" s="1"/>
  <c r="AW1276" i="6"/>
  <c r="AW1295" i="6" s="1"/>
  <c r="AW1296" i="6" s="1"/>
  <c r="AU1276" i="6"/>
  <c r="AU1295" i="6" s="1"/>
  <c r="AU1296" i="6" s="1"/>
  <c r="B49" i="42457"/>
  <c r="CX151" i="6"/>
  <c r="B77" i="42434"/>
  <c r="AQ153" i="6"/>
  <c r="AQ1345" i="6"/>
  <c r="AQ162" i="6"/>
  <c r="AQ163" i="6" s="1"/>
  <c r="CX160" i="6"/>
  <c r="CV155" i="6"/>
  <c r="AG157" i="6"/>
  <c r="CV157" i="6" s="1"/>
  <c r="CW154" i="6"/>
  <c r="CY1151" i="6"/>
  <c r="B50" i="42457"/>
  <c r="CX965" i="6"/>
  <c r="AQ1351" i="6"/>
  <c r="AQ154" i="6"/>
  <c r="CX154" i="6" s="1"/>
  <c r="BO331" i="6"/>
  <c r="BO336" i="6" s="1"/>
  <c r="BO337" i="6" s="1"/>
  <c r="BP331" i="6"/>
  <c r="DC331" i="6" s="1"/>
  <c r="CQ1229" i="6"/>
  <c r="H1232" i="6"/>
  <c r="J182" i="6"/>
  <c r="J177" i="6"/>
  <c r="J176" i="6"/>
  <c r="J1129" i="6"/>
  <c r="I177" i="6"/>
  <c r="I182" i="6"/>
  <c r="I176" i="6"/>
  <c r="J1348" i="6"/>
  <c r="J1227" i="6"/>
  <c r="J1229" i="6" s="1"/>
  <c r="J1232" i="6" s="1"/>
  <c r="J1350" i="6" s="1"/>
  <c r="K1225" i="6"/>
  <c r="L1047" i="6"/>
  <c r="L1048" i="6" s="1"/>
  <c r="K1061" i="6"/>
  <c r="K1072" i="6" s="1"/>
  <c r="K1129" i="6" s="1"/>
  <c r="BO1093" i="6"/>
  <c r="DC330" i="6"/>
  <c r="DC294" i="6"/>
  <c r="BP295" i="6"/>
  <c r="DC295" i="6" s="1"/>
  <c r="BO1152" i="6"/>
  <c r="BP1152" i="6" s="1"/>
  <c r="DC1152" i="6" s="1"/>
  <c r="AC302" i="6"/>
  <c r="AD301" i="6"/>
  <c r="AD303" i="6" s="1"/>
  <c r="BQ329" i="6"/>
  <c r="DC329" i="6"/>
  <c r="CU489" i="6"/>
  <c r="AB490" i="6"/>
  <c r="CU490" i="6" s="1"/>
  <c r="AG490" i="6"/>
  <c r="CV490" i="6" s="1"/>
  <c r="BR286" i="6"/>
  <c r="BQ288" i="6"/>
  <c r="BQ289" i="6" s="1"/>
  <c r="BQ294" i="6" s="1"/>
  <c r="BQ295" i="6" s="1"/>
  <c r="BT1064" i="6"/>
  <c r="BU1064" i="6" s="1"/>
  <c r="BV1064" i="6" s="1"/>
  <c r="BS1066" i="6"/>
  <c r="X34" i="42457"/>
  <c r="BM1127" i="6"/>
  <c r="CC1190" i="6"/>
  <c r="CD1190" i="6" s="1"/>
  <c r="CE1190" i="6" s="1"/>
  <c r="CF1190" i="6" s="1"/>
  <c r="CG1190" i="6" s="1"/>
  <c r="DG1190" i="6"/>
  <c r="CU155" i="6"/>
  <c r="AB157" i="6"/>
  <c r="CU157" i="6" s="1"/>
  <c r="BG1216" i="6"/>
  <c r="BG1218" i="6" s="1"/>
  <c r="BH1214" i="6" s="1"/>
  <c r="BY25" i="42290"/>
  <c r="BX37" i="42290"/>
  <c r="BX39" i="42290" s="1"/>
  <c r="DF1195" i="6"/>
  <c r="CA67" i="6"/>
  <c r="BQ1096" i="6"/>
  <c r="BQ1152" i="6" s="1"/>
  <c r="DC1096" i="6"/>
  <c r="AJ304" i="6"/>
  <c r="CE1063" i="6"/>
  <c r="CB857" i="6" l="1"/>
  <c r="DG857" i="6" s="1"/>
  <c r="BO1114" i="6"/>
  <c r="BO1224" i="6" s="1"/>
  <c r="BN426" i="6"/>
  <c r="BZ451" i="6"/>
  <c r="DE451" i="6" s="1"/>
  <c r="BO357" i="6"/>
  <c r="BO750" i="6" s="1"/>
  <c r="BP388" i="6"/>
  <c r="BP405" i="6" s="1"/>
  <c r="DC405" i="6" s="1"/>
  <c r="BO409" i="6"/>
  <c r="BO384" i="6"/>
  <c r="BO356" i="6"/>
  <c r="BL301" i="6"/>
  <c r="BL303" i="6" s="1"/>
  <c r="BL304" i="6" s="1"/>
  <c r="BM302" i="6"/>
  <c r="AV163" i="6"/>
  <c r="CY162" i="6"/>
  <c r="BZ125" i="42290"/>
  <c r="BY142" i="42290"/>
  <c r="BY144" i="42290" s="1"/>
  <c r="I49" i="42457"/>
  <c r="I51" i="42457" s="1"/>
  <c r="AX153" i="6"/>
  <c r="AX155" i="6" s="1"/>
  <c r="AX157" i="6" s="1"/>
  <c r="AX1345" i="6"/>
  <c r="AX162" i="6"/>
  <c r="AX163" i="6" s="1"/>
  <c r="AZ142" i="6"/>
  <c r="AZ144" i="6" s="1"/>
  <c r="AZ1170" i="6"/>
  <c r="BA1170" i="6" s="1"/>
  <c r="CZ1170" i="6" s="1"/>
  <c r="AZ147" i="6"/>
  <c r="CY153" i="6"/>
  <c r="AV155" i="6"/>
  <c r="BA147" i="6"/>
  <c r="CZ147" i="6" s="1"/>
  <c r="CZ1162" i="6"/>
  <c r="BB1162" i="6"/>
  <c r="AY144" i="6"/>
  <c r="CN800" i="6"/>
  <c r="CO800" i="6" s="1"/>
  <c r="CC856" i="6"/>
  <c r="CC857" i="6" s="1"/>
  <c r="BX495" i="6"/>
  <c r="BZ495" i="6" s="1"/>
  <c r="BV52" i="6"/>
  <c r="H123" i="6"/>
  <c r="CQ123" i="6" s="1"/>
  <c r="CQ120" i="6"/>
  <c r="BO1266" i="6"/>
  <c r="BX468" i="6"/>
  <c r="H942" i="6"/>
  <c r="CQ937" i="6"/>
  <c r="H938" i="6"/>
  <c r="CQ938" i="6" s="1"/>
  <c r="CD853" i="6"/>
  <c r="CD854" i="6" s="1"/>
  <c r="H965" i="6"/>
  <c r="CQ958" i="6"/>
  <c r="BZ791" i="6"/>
  <c r="DE791" i="6" s="1"/>
  <c r="DE790" i="6"/>
  <c r="BZ812" i="6"/>
  <c r="BZ867" i="6"/>
  <c r="BZ811" i="6"/>
  <c r="DE808" i="6"/>
  <c r="CD1165" i="6"/>
  <c r="CD1273" i="6" s="1"/>
  <c r="CE1108" i="6"/>
  <c r="CE850" i="6"/>
  <c r="CE848" i="6"/>
  <c r="CE859" i="6"/>
  <c r="CN793" i="6"/>
  <c r="CO793" i="6" s="1"/>
  <c r="CN790" i="6"/>
  <c r="CO790" i="6" s="1"/>
  <c r="CE1333" i="6"/>
  <c r="CE149" i="6"/>
  <c r="CF1161" i="6"/>
  <c r="CG1106" i="6"/>
  <c r="CG1161" i="6" s="1"/>
  <c r="BZ1014" i="6"/>
  <c r="DE1014" i="6" s="1"/>
  <c r="CN1014" i="6"/>
  <c r="CO1014" i="6" s="1"/>
  <c r="BZ782" i="6"/>
  <c r="DE787" i="6"/>
  <c r="CF1099" i="6"/>
  <c r="CG1099" i="6" s="1"/>
  <c r="CG1155" i="6" s="1"/>
  <c r="CF1079" i="6"/>
  <c r="CG1076" i="6"/>
  <c r="CG1079" i="6" s="1"/>
  <c r="CD475" i="6"/>
  <c r="CE412" i="6"/>
  <c r="CB1141" i="6"/>
  <c r="DG1141" i="6" s="1"/>
  <c r="CB1176" i="6"/>
  <c r="DG1176" i="6" s="1"/>
  <c r="CC1084" i="6"/>
  <c r="DG1084" i="6"/>
  <c r="CB1285" i="6"/>
  <c r="DG1285" i="6" s="1"/>
  <c r="BX870" i="6"/>
  <c r="CN870" i="6" s="1"/>
  <c r="BZ821" i="6"/>
  <c r="CN821" i="6"/>
  <c r="CO821" i="6" s="1"/>
  <c r="CN808" i="6"/>
  <c r="CO808" i="6" s="1"/>
  <c r="BX802" i="6"/>
  <c r="BX805" i="6" s="1"/>
  <c r="BX806" i="6" s="1"/>
  <c r="CN495" i="6"/>
  <c r="BW803" i="6"/>
  <c r="CN796" i="6"/>
  <c r="CO796" i="6" s="1"/>
  <c r="CG845" i="6"/>
  <c r="CG847" i="6" s="1"/>
  <c r="CF847" i="6"/>
  <c r="BZ813" i="6"/>
  <c r="DE813" i="6" s="1"/>
  <c r="DE809" i="6"/>
  <c r="CG102" i="6"/>
  <c r="CG1040" i="6" s="1"/>
  <c r="CF1040" i="6"/>
  <c r="DE783" i="6"/>
  <c r="CA783" i="6"/>
  <c r="BZ136" i="6"/>
  <c r="DE136" i="6" s="1"/>
  <c r="CN136" i="6"/>
  <c r="CO136" i="6" s="1"/>
  <c r="CE1155" i="6"/>
  <c r="CD861" i="6"/>
  <c r="CD865" i="6"/>
  <c r="CD1156" i="6"/>
  <c r="CE1100" i="6"/>
  <c r="CF1100" i="6" s="1"/>
  <c r="BZ793" i="6"/>
  <c r="BV1066" i="6"/>
  <c r="BW1064" i="6"/>
  <c r="BY799" i="6"/>
  <c r="BY802" i="6" s="1"/>
  <c r="BY867" i="6"/>
  <c r="CN867" i="6" s="1"/>
  <c r="CO867" i="6" s="1"/>
  <c r="BY820" i="6"/>
  <c r="BZ820" i="6" s="1"/>
  <c r="BY811" i="6"/>
  <c r="CN811" i="6" s="1"/>
  <c r="CO811" i="6" s="1"/>
  <c r="BX803" i="6"/>
  <c r="CR123" i="6"/>
  <c r="M1263" i="6"/>
  <c r="BV1097" i="6"/>
  <c r="BV1153" i="6" s="1"/>
  <c r="DD1097" i="6"/>
  <c r="CR965" i="6"/>
  <c r="M154" i="6"/>
  <c r="M1351" i="6"/>
  <c r="BV113" i="6"/>
  <c r="BV56" i="6"/>
  <c r="BV1259" i="6"/>
  <c r="BV60" i="6"/>
  <c r="BV70" i="6"/>
  <c r="CE473" i="6"/>
  <c r="CF410" i="6"/>
  <c r="M945" i="6"/>
  <c r="M944" i="6"/>
  <c r="CR944" i="6" s="1"/>
  <c r="CR942" i="6"/>
  <c r="BX869" i="6"/>
  <c r="BX823" i="6"/>
  <c r="AU883" i="6"/>
  <c r="AT880" i="6"/>
  <c r="AT884" i="6" s="1"/>
  <c r="AT894" i="6" s="1"/>
  <c r="AT895" i="6" s="1"/>
  <c r="S1347" i="6"/>
  <c r="S1252" i="6"/>
  <c r="W1138" i="6"/>
  <c r="S1170" i="6"/>
  <c r="S1172" i="6" s="1"/>
  <c r="R1172" i="6"/>
  <c r="CS1172" i="6" s="1"/>
  <c r="BO1151" i="6"/>
  <c r="BP1151" i="6" s="1"/>
  <c r="DC1151" i="6" s="1"/>
  <c r="AV1172" i="6"/>
  <c r="CY1172" i="6" s="1"/>
  <c r="ES592" i="42458"/>
  <c r="AL1345" i="6"/>
  <c r="CW151" i="6"/>
  <c r="AL162" i="6"/>
  <c r="AL163" i="6" s="1"/>
  <c r="AL153" i="6"/>
  <c r="CX1027" i="6"/>
  <c r="AQ1028" i="6"/>
  <c r="CW160" i="6"/>
  <c r="AK1028" i="6"/>
  <c r="AK1046" i="6" s="1"/>
  <c r="AL1027" i="6"/>
  <c r="BU291" i="6"/>
  <c r="BV291" i="6" s="1"/>
  <c r="BT753" i="6"/>
  <c r="BS1153" i="6"/>
  <c r="BN1175" i="6"/>
  <c r="BM1178" i="6"/>
  <c r="X1064" i="6"/>
  <c r="X1066" i="6" s="1"/>
  <c r="Y1063" i="6"/>
  <c r="BT1094" i="6"/>
  <c r="BU1094" i="6" s="1"/>
  <c r="BN922" i="6"/>
  <c r="BN924" i="6"/>
  <c r="GU658" i="42425"/>
  <c r="GU669" i="42425" s="1"/>
  <c r="GT669" i="42425"/>
  <c r="BO30" i="6"/>
  <c r="BP44" i="6"/>
  <c r="BP107" i="6" s="1"/>
  <c r="BO51" i="6"/>
  <c r="BO129" i="6"/>
  <c r="BO53" i="6"/>
  <c r="GT747" i="42425"/>
  <c r="GU747" i="42425" s="1"/>
  <c r="GU748" i="42425" s="1"/>
  <c r="GU751" i="42425" s="1"/>
  <c r="GU755" i="42425" s="1"/>
  <c r="GU756" i="42425" s="1"/>
  <c r="GY792" i="42425" s="1"/>
  <c r="DA499" i="6"/>
  <c r="BF501" i="6"/>
  <c r="DA501" i="6" s="1"/>
  <c r="BF492" i="6"/>
  <c r="BF508" i="6"/>
  <c r="DC495" i="6"/>
  <c r="BP499" i="6"/>
  <c r="BP497" i="6"/>
  <c r="CZ492" i="6"/>
  <c r="BA493" i="6"/>
  <c r="CZ493" i="6" s="1"/>
  <c r="BR367" i="6"/>
  <c r="BU96" i="42290"/>
  <c r="BU98" i="42290" s="1"/>
  <c r="BU100" i="42290" s="1"/>
  <c r="DE430" i="6"/>
  <c r="CA430" i="6"/>
  <c r="BK499" i="6"/>
  <c r="DB496" i="6"/>
  <c r="BK497" i="6"/>
  <c r="BA511" i="6"/>
  <c r="CZ511" i="6" s="1"/>
  <c r="BA510" i="6"/>
  <c r="CZ510" i="6" s="1"/>
  <c r="CZ508" i="6"/>
  <c r="DC387" i="6"/>
  <c r="BQ387" i="6"/>
  <c r="BQ30" i="6"/>
  <c r="BQ53" i="6"/>
  <c r="BQ51" i="6"/>
  <c r="BQ129" i="6"/>
  <c r="GT719" i="42425"/>
  <c r="GS719" i="42425" s="1"/>
  <c r="GS720" i="42425" s="1"/>
  <c r="GS723" i="42425" s="1"/>
  <c r="GS727" i="42425" s="1"/>
  <c r="GS728" i="42425" s="1"/>
  <c r="GW790" i="42425" s="1"/>
  <c r="GT775" i="42425"/>
  <c r="GS775" i="42425" s="1"/>
  <c r="GS776" i="42425" s="1"/>
  <c r="GS779" i="42425" s="1"/>
  <c r="GS783" i="42425" s="1"/>
  <c r="GS784" i="42425" s="1"/>
  <c r="GW788" i="42425" s="1"/>
  <c r="GT733" i="42425"/>
  <c r="GT734" i="42425" s="1"/>
  <c r="GT737" i="42425" s="1"/>
  <c r="GT741" i="42425" s="1"/>
  <c r="GT742" i="42425" s="1"/>
  <c r="GX793" i="42425" s="1"/>
  <c r="BN489" i="6"/>
  <c r="BN490" i="6" s="1"/>
  <c r="BN471" i="6"/>
  <c r="BP366" i="6"/>
  <c r="BO408" i="6"/>
  <c r="BN358" i="6"/>
  <c r="BN749" i="6"/>
  <c r="BN751" i="6" s="1"/>
  <c r="BP336" i="6"/>
  <c r="BP337" i="6" s="1"/>
  <c r="DC337" i="6" s="1"/>
  <c r="GS658" i="42425"/>
  <c r="GS671" i="42425"/>
  <c r="GU698" i="42425"/>
  <c r="GU696" i="42425"/>
  <c r="GU761" i="42425"/>
  <c r="GU762" i="42425" s="1"/>
  <c r="GU765" i="42425" s="1"/>
  <c r="GU769" i="42425" s="1"/>
  <c r="GU770" i="42425" s="1"/>
  <c r="GY789" i="42425" s="1"/>
  <c r="GS761" i="42425"/>
  <c r="GS762" i="42425" s="1"/>
  <c r="GS765" i="42425" s="1"/>
  <c r="GS769" i="42425" s="1"/>
  <c r="GS770" i="42425" s="1"/>
  <c r="GW789" i="42425" s="1"/>
  <c r="GT762" i="42425"/>
  <c r="GT765" i="42425" s="1"/>
  <c r="GT769" i="42425" s="1"/>
  <c r="GT770" i="42425" s="1"/>
  <c r="GX789" i="42425" s="1"/>
  <c r="BQ1095" i="6"/>
  <c r="DC1095" i="6"/>
  <c r="GT707" i="42425"/>
  <c r="GT694" i="42425"/>
  <c r="GS698" i="42425"/>
  <c r="GS696" i="42425"/>
  <c r="GU676" i="42425"/>
  <c r="GU677" i="42425" s="1"/>
  <c r="GY787" i="42425" s="1"/>
  <c r="BP1093" i="6"/>
  <c r="CX162" i="6"/>
  <c r="CX153" i="6"/>
  <c r="AQ155" i="6"/>
  <c r="AA154" i="42434"/>
  <c r="AA155" i="42434" s="1"/>
  <c r="E77" i="42434"/>
  <c r="AD154" i="42434" s="1"/>
  <c r="AD155" i="42434" s="1"/>
  <c r="B51" i="42457"/>
  <c r="K171" i="6"/>
  <c r="K182" i="6" s="1"/>
  <c r="M1048" i="6"/>
  <c r="L1053" i="6"/>
  <c r="K1348" i="6"/>
  <c r="K1227" i="6"/>
  <c r="K1229" i="6" s="1"/>
  <c r="K1232" i="6" s="1"/>
  <c r="K1350" i="6" s="1"/>
  <c r="I179" i="6"/>
  <c r="I181" i="6"/>
  <c r="H1350" i="6"/>
  <c r="CQ1232" i="6"/>
  <c r="J181" i="6"/>
  <c r="J179" i="6"/>
  <c r="BY37" i="42290"/>
  <c r="BY39" i="42290" s="1"/>
  <c r="BZ25" i="42290"/>
  <c r="BR329" i="6"/>
  <c r="BQ330" i="6"/>
  <c r="BN1146" i="6"/>
  <c r="BN1347" i="6"/>
  <c r="BR1096" i="6"/>
  <c r="BR1152" i="6" s="1"/>
  <c r="CB67" i="6"/>
  <c r="DG1195" i="6"/>
  <c r="CC1195" i="6"/>
  <c r="BO1149" i="6"/>
  <c r="BP1149" i="6" s="1"/>
  <c r="DC1149" i="6" s="1"/>
  <c r="CA1014" i="6"/>
  <c r="DF1014" i="6" s="1"/>
  <c r="DF67" i="6"/>
  <c r="CA136" i="6"/>
  <c r="DF136" i="6" s="1"/>
  <c r="BH1216" i="6"/>
  <c r="BH1218" i="6" s="1"/>
  <c r="BI1214" i="6" s="1"/>
  <c r="AI304" i="6"/>
  <c r="BT1066" i="6"/>
  <c r="BS286" i="6"/>
  <c r="BR288" i="6"/>
  <c r="BR289" i="6" s="1"/>
  <c r="BR294" i="6" s="1"/>
  <c r="BR295" i="6" s="1"/>
  <c r="AC301" i="6"/>
  <c r="AC303" i="6" s="1"/>
  <c r="AB302" i="6"/>
  <c r="CF1063" i="6"/>
  <c r="BO426" i="6" l="1"/>
  <c r="DC1093" i="6"/>
  <c r="BP1114" i="6"/>
  <c r="BP1224" i="6" s="1"/>
  <c r="BA142" i="6"/>
  <c r="CZ142" i="6" s="1"/>
  <c r="BN302" i="6"/>
  <c r="BM301" i="6"/>
  <c r="BM303" i="6" s="1"/>
  <c r="BM304" i="6" s="1"/>
  <c r="BP409" i="6"/>
  <c r="BO472" i="6"/>
  <c r="BP357" i="6"/>
  <c r="BP750" i="6" s="1"/>
  <c r="DC750" i="6" s="1"/>
  <c r="DC388" i="6"/>
  <c r="BQ388" i="6"/>
  <c r="BQ405" i="6" s="1"/>
  <c r="BP356" i="6"/>
  <c r="BP384" i="6"/>
  <c r="DC384" i="6" s="1"/>
  <c r="CD856" i="6"/>
  <c r="CD857" i="6" s="1"/>
  <c r="BA1172" i="6"/>
  <c r="CZ1172" i="6" s="1"/>
  <c r="BZ142" i="42290"/>
  <c r="BZ144" i="42290" s="1"/>
  <c r="CA125" i="42290"/>
  <c r="AY151" i="6"/>
  <c r="AY160" i="6"/>
  <c r="AY161" i="6" s="1"/>
  <c r="BA144" i="6"/>
  <c r="AZ151" i="6"/>
  <c r="AZ160" i="6"/>
  <c r="AZ161" i="6" s="1"/>
  <c r="BB147" i="6"/>
  <c r="BC1162" i="6"/>
  <c r="BB142" i="6"/>
  <c r="BB144" i="6" s="1"/>
  <c r="BB160" i="6" s="1"/>
  <c r="BB161" i="6" s="1"/>
  <c r="BB1170" i="6"/>
  <c r="BB1172" i="6" s="1"/>
  <c r="BB1271" i="6" s="1"/>
  <c r="BB1275" i="6" s="1"/>
  <c r="AV157" i="6"/>
  <c r="CY157" i="6" s="1"/>
  <c r="CY155" i="6"/>
  <c r="AZ1172" i="6"/>
  <c r="AZ1271" i="6" s="1"/>
  <c r="AZ1275" i="6" s="1"/>
  <c r="AZ1276" i="6" s="1"/>
  <c r="AZ1295" i="6" s="1"/>
  <c r="AZ1296" i="6" s="1"/>
  <c r="CE853" i="6"/>
  <c r="CE856" i="6" s="1"/>
  <c r="CE857" i="6" s="1"/>
  <c r="BT1153" i="6"/>
  <c r="H1351" i="6"/>
  <c r="H154" i="6"/>
  <c r="CQ965" i="6"/>
  <c r="CQ942" i="6"/>
  <c r="H944" i="6"/>
  <c r="CQ944" i="6" s="1"/>
  <c r="H945" i="6"/>
  <c r="CQ945" i="6" s="1"/>
  <c r="CN802" i="6"/>
  <c r="CO802" i="6" s="1"/>
  <c r="BZ823" i="6"/>
  <c r="BZ872" i="6" s="1"/>
  <c r="BZ873" i="6" s="1"/>
  <c r="BZ869" i="6"/>
  <c r="BZ799" i="6"/>
  <c r="BZ796" i="6"/>
  <c r="DE793" i="6"/>
  <c r="CF1156" i="6"/>
  <c r="CG1100" i="6"/>
  <c r="CG1156" i="6" s="1"/>
  <c r="CG149" i="6"/>
  <c r="CG1333" i="6"/>
  <c r="CG848" i="6"/>
  <c r="CG859" i="6"/>
  <c r="CG850" i="6"/>
  <c r="BZ870" i="6"/>
  <c r="DE821" i="6"/>
  <c r="CD1084" i="6"/>
  <c r="CC1141" i="6"/>
  <c r="CC1285" i="6"/>
  <c r="CC1176" i="6"/>
  <c r="BZ785" i="6"/>
  <c r="DE785" i="6" s="1"/>
  <c r="DE782" i="6"/>
  <c r="CA782" i="6"/>
  <c r="CE865" i="6"/>
  <c r="CE861" i="6"/>
  <c r="BZ814" i="6"/>
  <c r="DE814" i="6" s="1"/>
  <c r="DE811" i="6"/>
  <c r="CA812" i="6"/>
  <c r="DE812" i="6"/>
  <c r="CN820" i="6"/>
  <c r="CO820" i="6" s="1"/>
  <c r="BX872" i="6"/>
  <c r="BQ33" i="6"/>
  <c r="BV35" i="6" s="1"/>
  <c r="BV71" i="6"/>
  <c r="BV1261" i="6"/>
  <c r="BV116" i="6"/>
  <c r="CE1156" i="6"/>
  <c r="CA788" i="6"/>
  <c r="CB783" i="6"/>
  <c r="DF783" i="6"/>
  <c r="CF149" i="6"/>
  <c r="CF1333" i="6"/>
  <c r="CF850" i="6"/>
  <c r="CF859" i="6"/>
  <c r="CF848" i="6"/>
  <c r="CF412" i="6"/>
  <c r="CE475" i="6"/>
  <c r="CF1155" i="6"/>
  <c r="CE1165" i="6"/>
  <c r="CE1273" i="6" s="1"/>
  <c r="CF1108" i="6"/>
  <c r="CN799" i="6"/>
  <c r="CO799" i="6" s="1"/>
  <c r="BV753" i="6"/>
  <c r="BW291" i="6"/>
  <c r="BW292" i="6" s="1"/>
  <c r="DE820" i="6"/>
  <c r="CF473" i="6"/>
  <c r="CG410" i="6"/>
  <c r="CG473" i="6" s="1"/>
  <c r="CR154" i="6"/>
  <c r="M155" i="6"/>
  <c r="BW1097" i="6"/>
  <c r="BW1153" i="6" s="1"/>
  <c r="CR1263" i="6"/>
  <c r="M1252" i="6"/>
  <c r="CR1252" i="6" s="1"/>
  <c r="BX1064" i="6"/>
  <c r="BW1066" i="6"/>
  <c r="BV1094" i="6"/>
  <c r="BV1150" i="6" s="1"/>
  <c r="R946" i="6"/>
  <c r="CS946" i="6" s="1"/>
  <c r="CR945" i="6"/>
  <c r="BY823" i="6"/>
  <c r="BY872" i="6" s="1"/>
  <c r="BY869" i="6"/>
  <c r="CN869" i="6" s="1"/>
  <c r="CO869" i="6" s="1"/>
  <c r="BY803" i="6"/>
  <c r="BY805" i="6"/>
  <c r="BY806" i="6" s="1"/>
  <c r="AV883" i="6"/>
  <c r="AU880" i="6"/>
  <c r="AU884" i="6" s="1"/>
  <c r="AU894" i="6" s="1"/>
  <c r="AU895" i="6" s="1"/>
  <c r="CT1138" i="6"/>
  <c r="W1170" i="6"/>
  <c r="BU1066" i="6"/>
  <c r="DD1066" i="6" s="1"/>
  <c r="BQ1093" i="6"/>
  <c r="BQ1114" i="6" s="1"/>
  <c r="BQ1224" i="6" s="1"/>
  <c r="GT720" i="42425"/>
  <c r="GT723" i="42425" s="1"/>
  <c r="GT727" i="42425" s="1"/>
  <c r="GT728" i="42425" s="1"/>
  <c r="GX790" i="42425" s="1"/>
  <c r="CW153" i="6"/>
  <c r="AL155" i="6"/>
  <c r="CW162" i="6"/>
  <c r="BP110" i="6"/>
  <c r="DC110" i="6" s="1"/>
  <c r="DC107" i="6"/>
  <c r="CW1027" i="6"/>
  <c r="AL1028" i="6"/>
  <c r="AQ1046" i="6"/>
  <c r="CX1046" i="6" s="1"/>
  <c r="CX1028" i="6"/>
  <c r="BT1098" i="6"/>
  <c r="BU1098" i="6" s="1"/>
  <c r="Y1064" i="6"/>
  <c r="Y1066" i="6" s="1"/>
  <c r="Z1063" i="6"/>
  <c r="BO1175" i="6"/>
  <c r="BN1178" i="6"/>
  <c r="BU753" i="6"/>
  <c r="DD753" i="6" s="1"/>
  <c r="DD291" i="6"/>
  <c r="BS1154" i="6"/>
  <c r="BN925" i="6"/>
  <c r="BN927" i="6"/>
  <c r="DD1094" i="6"/>
  <c r="DC336" i="6"/>
  <c r="GU775" i="42425"/>
  <c r="GU776" i="42425" s="1"/>
  <c r="GU779" i="42425" s="1"/>
  <c r="GU783" i="42425" s="1"/>
  <c r="GU784" i="42425" s="1"/>
  <c r="GY788" i="42425" s="1"/>
  <c r="GT748" i="42425"/>
  <c r="GT751" i="42425" s="1"/>
  <c r="GT755" i="42425" s="1"/>
  <c r="GT756" i="42425" s="1"/>
  <c r="GX792" i="42425" s="1"/>
  <c r="GS747" i="42425"/>
  <c r="GS748" i="42425" s="1"/>
  <c r="GS751" i="42425" s="1"/>
  <c r="GS755" i="42425" s="1"/>
  <c r="GS756" i="42425" s="1"/>
  <c r="GW792" i="42425" s="1"/>
  <c r="GU719" i="42425"/>
  <c r="GU720" i="42425" s="1"/>
  <c r="GU723" i="42425" s="1"/>
  <c r="GU727" i="42425" s="1"/>
  <c r="GU728" i="42425" s="1"/>
  <c r="GY790" i="42425" s="1"/>
  <c r="GU733" i="42425"/>
  <c r="GU734" i="42425" s="1"/>
  <c r="GU737" i="42425" s="1"/>
  <c r="GU741" i="42425" s="1"/>
  <c r="GU742" i="42425" s="1"/>
  <c r="GY793" i="42425" s="1"/>
  <c r="GS733" i="42425"/>
  <c r="GS734" i="42425" s="1"/>
  <c r="GS737" i="42425" s="1"/>
  <c r="GS741" i="42425" s="1"/>
  <c r="GS742" i="42425" s="1"/>
  <c r="GW793" i="42425" s="1"/>
  <c r="BO52" i="6"/>
  <c r="Z8" i="42457"/>
  <c r="Z9" i="42457" s="1"/>
  <c r="BO55" i="6"/>
  <c r="BP53" i="6"/>
  <c r="BP51" i="6"/>
  <c r="BP129" i="6"/>
  <c r="DC129" i="6" s="1"/>
  <c r="BT30" i="6"/>
  <c r="BT33" i="6" s="1"/>
  <c r="BT51" i="6"/>
  <c r="BT53" i="6"/>
  <c r="BT129" i="6"/>
  <c r="BP30" i="6"/>
  <c r="BO33" i="6"/>
  <c r="DC499" i="6"/>
  <c r="BP508" i="6"/>
  <c r="BP501" i="6"/>
  <c r="DC501" i="6" s="1"/>
  <c r="GT776" i="42425"/>
  <c r="GT779" i="42425" s="1"/>
  <c r="GT783" i="42425" s="1"/>
  <c r="GT784" i="42425" s="1"/>
  <c r="GX788" i="42425" s="1"/>
  <c r="BF493" i="6"/>
  <c r="DA493" i="6" s="1"/>
  <c r="DA492" i="6"/>
  <c r="BF510" i="6"/>
  <c r="DA510" i="6" s="1"/>
  <c r="DA508" i="6"/>
  <c r="BF511" i="6"/>
  <c r="DA511" i="6" s="1"/>
  <c r="BN511" i="6"/>
  <c r="BN510" i="6"/>
  <c r="DB499" i="6"/>
  <c r="BK492" i="6"/>
  <c r="BK508" i="6"/>
  <c r="BK501" i="6"/>
  <c r="DB501" i="6" s="1"/>
  <c r="BS367" i="6"/>
  <c r="DF430" i="6"/>
  <c r="BV96" i="42290"/>
  <c r="BV98" i="42290" s="1"/>
  <c r="BV100" i="42290" s="1"/>
  <c r="CB430" i="6"/>
  <c r="BQ55" i="6"/>
  <c r="BV57" i="6" s="1"/>
  <c r="BQ52" i="6"/>
  <c r="BR387" i="6"/>
  <c r="BQ35" i="6"/>
  <c r="BO489" i="6"/>
  <c r="BO490" i="6" s="1"/>
  <c r="BO471" i="6"/>
  <c r="BP408" i="6"/>
  <c r="BP426" i="6" s="1"/>
  <c r="DC366" i="6"/>
  <c r="BQ366" i="6"/>
  <c r="BO358" i="6"/>
  <c r="BP358" i="6" s="1"/>
  <c r="BO749" i="6"/>
  <c r="BO751" i="6" s="1"/>
  <c r="BN360" i="6"/>
  <c r="BN492" i="6" s="1"/>
  <c r="BN493" i="6" s="1"/>
  <c r="GS694" i="42425"/>
  <c r="GS707" i="42425"/>
  <c r="BQ1151" i="6"/>
  <c r="BR1095" i="6"/>
  <c r="GU707" i="42425"/>
  <c r="GU694" i="42425"/>
  <c r="GT712" i="42425"/>
  <c r="GT713" i="42425" s="1"/>
  <c r="GX791" i="42425" s="1"/>
  <c r="GT705" i="42425"/>
  <c r="GS669" i="42425"/>
  <c r="GS676" i="42425"/>
  <c r="GS677" i="42425" s="1"/>
  <c r="GW787" i="42425" s="1"/>
  <c r="AQ157" i="6"/>
  <c r="CX157" i="6" s="1"/>
  <c r="CX155" i="6"/>
  <c r="K177" i="6"/>
  <c r="K176" i="6"/>
  <c r="K181" i="6" s="1"/>
  <c r="L1061" i="6"/>
  <c r="L1072" i="6" s="1"/>
  <c r="L1225" i="6"/>
  <c r="L1209" i="6"/>
  <c r="CR1048" i="6"/>
  <c r="M1053" i="6"/>
  <c r="BI1216" i="6"/>
  <c r="BI1218" i="6" s="1"/>
  <c r="BJ1214" i="6" s="1"/>
  <c r="AH304" i="6"/>
  <c r="DD1064" i="6"/>
  <c r="CD1195" i="6"/>
  <c r="CC67" i="6"/>
  <c r="BS1152" i="6"/>
  <c r="Y34" i="42457"/>
  <c r="CA25" i="42290"/>
  <c r="BZ37" i="42290"/>
  <c r="BZ39" i="42290" s="1"/>
  <c r="BN1042" i="6"/>
  <c r="BP1090" i="6"/>
  <c r="BQ1146" i="6" s="1"/>
  <c r="BO1146" i="6"/>
  <c r="BO1042" i="6"/>
  <c r="BO1347" i="6"/>
  <c r="BQ331" i="6"/>
  <c r="BQ336" i="6" s="1"/>
  <c r="BQ337" i="6" s="1"/>
  <c r="BT286" i="6"/>
  <c r="BS288" i="6"/>
  <c r="CB136" i="6"/>
  <c r="DG136" i="6" s="1"/>
  <c r="DG67" i="6"/>
  <c r="CB1014" i="6"/>
  <c r="DG1014" i="6" s="1"/>
  <c r="AA302" i="6"/>
  <c r="AB301" i="6"/>
  <c r="AB303" i="6" s="1"/>
  <c r="BN1268" i="6"/>
  <c r="BR330" i="6"/>
  <c r="BS329" i="6"/>
  <c r="CG1063" i="6"/>
  <c r="BB151" i="6" l="1"/>
  <c r="DC357" i="6"/>
  <c r="BR1093" i="6"/>
  <c r="M946" i="6"/>
  <c r="CR946" i="6" s="1"/>
  <c r="BQ356" i="6"/>
  <c r="BQ384" i="6"/>
  <c r="DC409" i="6"/>
  <c r="BP472" i="6"/>
  <c r="DC472" i="6" s="1"/>
  <c r="BO302" i="6"/>
  <c r="BN301" i="6"/>
  <c r="BN303" i="6" s="1"/>
  <c r="BN304" i="6" s="1"/>
  <c r="BQ357" i="6"/>
  <c r="BQ750" i="6" s="1"/>
  <c r="BR388" i="6"/>
  <c r="BR405" i="6" s="1"/>
  <c r="BQ409" i="6"/>
  <c r="BQ472" i="6" s="1"/>
  <c r="BD1162" i="6"/>
  <c r="BC142" i="6"/>
  <c r="BC144" i="6" s="1"/>
  <c r="BC147" i="6"/>
  <c r="BC1170" i="6"/>
  <c r="BC1172" i="6" s="1"/>
  <c r="BC1271" i="6" s="1"/>
  <c r="BC1275" i="6" s="1"/>
  <c r="BC1276" i="6" s="1"/>
  <c r="BC1295" i="6" s="1"/>
  <c r="BC1296" i="6" s="1"/>
  <c r="AY1345" i="6"/>
  <c r="J49" i="42457"/>
  <c r="J51" i="42457" s="1"/>
  <c r="BA151" i="6"/>
  <c r="AY153" i="6"/>
  <c r="AY155" i="6" s="1"/>
  <c r="AY157" i="6" s="1"/>
  <c r="AY162" i="6"/>
  <c r="AY163" i="6" s="1"/>
  <c r="K49" i="42457"/>
  <c r="K51" i="42457" s="1"/>
  <c r="AZ1345" i="6"/>
  <c r="AZ153" i="6"/>
  <c r="AZ155" i="6" s="1"/>
  <c r="AZ157" i="6" s="1"/>
  <c r="AZ162" i="6"/>
  <c r="AZ163" i="6" s="1"/>
  <c r="CA142" i="42290"/>
  <c r="CA144" i="42290" s="1"/>
  <c r="CB125" i="42290"/>
  <c r="CB142" i="42290" s="1"/>
  <c r="CB144" i="42290" s="1"/>
  <c r="BB1276" i="6"/>
  <c r="BB1295" i="6" s="1"/>
  <c r="BB1296" i="6" s="1"/>
  <c r="CZ144" i="6"/>
  <c r="BA160" i="6"/>
  <c r="BQ34" i="6"/>
  <c r="CE854" i="6"/>
  <c r="CF853" i="6"/>
  <c r="CF854" i="6" s="1"/>
  <c r="CG853" i="6"/>
  <c r="CG856" i="6" s="1"/>
  <c r="CG857" i="6" s="1"/>
  <c r="CQ154" i="6"/>
  <c r="H155" i="6"/>
  <c r="CN872" i="6"/>
  <c r="CO872" i="6" s="1"/>
  <c r="BU1153" i="6"/>
  <c r="DD1153" i="6" s="1"/>
  <c r="CN805" i="6"/>
  <c r="CO805" i="6" s="1"/>
  <c r="CB788" i="6"/>
  <c r="CC783" i="6"/>
  <c r="DG783" i="6"/>
  <c r="CB782" i="6"/>
  <c r="CA785" i="6"/>
  <c r="DF785" i="6" s="1"/>
  <c r="DF782" i="6"/>
  <c r="CA787" i="6"/>
  <c r="CD1176" i="6"/>
  <c r="CD1141" i="6"/>
  <c r="CD1285" i="6"/>
  <c r="CE1084" i="6"/>
  <c r="BZ797" i="6"/>
  <c r="DE797" i="6" s="1"/>
  <c r="DE796" i="6"/>
  <c r="CG1108" i="6"/>
  <c r="CG1165" i="6" s="1"/>
  <c r="CG1273" i="6" s="1"/>
  <c r="CF1165" i="6"/>
  <c r="CF1273" i="6" s="1"/>
  <c r="CF475" i="6"/>
  <c r="CG412" i="6"/>
  <c r="CG475" i="6" s="1"/>
  <c r="CF865" i="6"/>
  <c r="CF861" i="6"/>
  <c r="CA794" i="6"/>
  <c r="DF794" i="6" s="1"/>
  <c r="DF788" i="6"/>
  <c r="BV118" i="6"/>
  <c r="CN823" i="6"/>
  <c r="CO823" i="6" s="1"/>
  <c r="DF812" i="6"/>
  <c r="CB812" i="6"/>
  <c r="CA813" i="6"/>
  <c r="DF813" i="6" s="1"/>
  <c r="CG861" i="6"/>
  <c r="CG865" i="6"/>
  <c r="BZ802" i="6"/>
  <c r="DE799" i="6"/>
  <c r="BV1098" i="6"/>
  <c r="BV1154" i="6" s="1"/>
  <c r="BW1094" i="6"/>
  <c r="BW1150" i="6" s="1"/>
  <c r="BX1097" i="6"/>
  <c r="BX1153" i="6" s="1"/>
  <c r="BX291" i="6"/>
  <c r="BX292" i="6" s="1"/>
  <c r="BW753" i="6"/>
  <c r="BY1064" i="6"/>
  <c r="BX1066" i="6"/>
  <c r="M157" i="6"/>
  <c r="CR157" i="6" s="1"/>
  <c r="CR155" i="6"/>
  <c r="DE823" i="6"/>
  <c r="CY883" i="6"/>
  <c r="AV880" i="6"/>
  <c r="AW883" i="6"/>
  <c r="BQ1266" i="6"/>
  <c r="CT1170" i="6"/>
  <c r="W1172" i="6"/>
  <c r="CT1172" i="6" s="1"/>
  <c r="BQ1149" i="6"/>
  <c r="BP1146" i="6"/>
  <c r="CW1028" i="6"/>
  <c r="AL1046" i="6"/>
  <c r="CW1046" i="6" s="1"/>
  <c r="BT1154" i="6"/>
  <c r="BU1154" i="6" s="1"/>
  <c r="DD1154" i="6" s="1"/>
  <c r="AL157" i="6"/>
  <c r="CW157" i="6" s="1"/>
  <c r="CW155" i="6"/>
  <c r="BP1175" i="6"/>
  <c r="BO1178" i="6"/>
  <c r="M49" i="42457"/>
  <c r="M51" i="42457" s="1"/>
  <c r="BB153" i="6"/>
  <c r="BB155" i="6" s="1"/>
  <c r="BB157" i="6" s="1"/>
  <c r="BB162" i="6"/>
  <c r="BB163" i="6" s="1"/>
  <c r="BB1345" i="6"/>
  <c r="Z1064" i="6"/>
  <c r="Z1066" i="6" s="1"/>
  <c r="AA1063" i="6"/>
  <c r="DD1098" i="6"/>
  <c r="BN1006" i="6"/>
  <c r="BN958" i="6"/>
  <c r="BN1007" i="6"/>
  <c r="BN928" i="6"/>
  <c r="BN949" i="6"/>
  <c r="BN952" i="6" s="1"/>
  <c r="BN937" i="6"/>
  <c r="BN999" i="6"/>
  <c r="BN1000" i="6" s="1"/>
  <c r="BN1002" i="6" s="1"/>
  <c r="BN934" i="6"/>
  <c r="BO35" i="6"/>
  <c r="BO34" i="6"/>
  <c r="BT52" i="6"/>
  <c r="BT55" i="6"/>
  <c r="DC51" i="6"/>
  <c r="AA8" i="42457"/>
  <c r="BP55" i="6"/>
  <c r="BP52" i="6"/>
  <c r="DC52" i="6" s="1"/>
  <c r="BO70" i="6"/>
  <c r="BO71" i="6" s="1"/>
  <c r="Z12" i="42457"/>
  <c r="BO60" i="6"/>
  <c r="BO56" i="6"/>
  <c r="BO57" i="6"/>
  <c r="BO1259" i="6"/>
  <c r="BO1261" i="6" s="1"/>
  <c r="BO113" i="6"/>
  <c r="BO167" i="6"/>
  <c r="BP167" i="6" s="1"/>
  <c r="DH167" i="6" s="1"/>
  <c r="DC30" i="6"/>
  <c r="BP33" i="6"/>
  <c r="BT35" i="6"/>
  <c r="BT34" i="6"/>
  <c r="BK510" i="6"/>
  <c r="DB510" i="6" s="1"/>
  <c r="DB508" i="6"/>
  <c r="BK511" i="6"/>
  <c r="DB511" i="6" s="1"/>
  <c r="BT367" i="6"/>
  <c r="DB492" i="6"/>
  <c r="BK493" i="6"/>
  <c r="DB493" i="6" s="1"/>
  <c r="CC430" i="6"/>
  <c r="BW96" i="42290"/>
  <c r="BW98" i="42290" s="1"/>
  <c r="BW100" i="42290" s="1"/>
  <c r="DG430" i="6"/>
  <c r="BP511" i="6"/>
  <c r="DC511" i="6" s="1"/>
  <c r="BP510" i="6"/>
  <c r="DC510" i="6" s="1"/>
  <c r="DC508" i="6"/>
  <c r="BS387" i="6"/>
  <c r="BQ113" i="6"/>
  <c r="BQ116" i="6" s="1"/>
  <c r="BQ118" i="6" s="1"/>
  <c r="BQ123" i="6" s="1"/>
  <c r="BQ1259" i="6"/>
  <c r="BQ1261" i="6" s="1"/>
  <c r="BQ56" i="6"/>
  <c r="BQ57" i="6"/>
  <c r="BQ70" i="6"/>
  <c r="BQ71" i="6" s="1"/>
  <c r="BQ60" i="6"/>
  <c r="BQ167" i="6"/>
  <c r="BR366" i="6"/>
  <c r="BQ408" i="6"/>
  <c r="DC408" i="6"/>
  <c r="BP471" i="6"/>
  <c r="DC471" i="6" s="1"/>
  <c r="DC358" i="6"/>
  <c r="BO360" i="6"/>
  <c r="BO492" i="6" s="1"/>
  <c r="BO493" i="6" s="1"/>
  <c r="DC356" i="6"/>
  <c r="BP749" i="6"/>
  <c r="BP360" i="6"/>
  <c r="GU705" i="42425"/>
  <c r="GU712" i="42425"/>
  <c r="GU713" i="42425" s="1"/>
  <c r="GY791" i="42425" s="1"/>
  <c r="BR1151" i="6"/>
  <c r="GS712" i="42425"/>
  <c r="GS713" i="42425" s="1"/>
  <c r="GW791" i="42425" s="1"/>
  <c r="GS705" i="42425"/>
  <c r="BP1038" i="6"/>
  <c r="DC1038" i="6" s="1"/>
  <c r="K179" i="6"/>
  <c r="M1209" i="6"/>
  <c r="CR1209" i="6" s="1"/>
  <c r="M1061" i="6"/>
  <c r="M1225" i="6"/>
  <c r="R1047" i="6"/>
  <c r="CS1047" i="6" s="1"/>
  <c r="CR1053" i="6"/>
  <c r="N1047" i="6"/>
  <c r="N1048" i="6" s="1"/>
  <c r="N1053" i="6" s="1"/>
  <c r="L1227" i="6"/>
  <c r="L1229" i="6" s="1"/>
  <c r="L1232" i="6" s="1"/>
  <c r="L1350" i="6" s="1"/>
  <c r="L1348" i="6"/>
  <c r="L1129" i="6"/>
  <c r="L171" i="6"/>
  <c r="BJ1216" i="6"/>
  <c r="BJ1218" i="6" s="1"/>
  <c r="Z34" i="42457"/>
  <c r="BT1096" i="6"/>
  <c r="BU1096" i="6" s="1"/>
  <c r="BT329" i="6"/>
  <c r="BS330" i="6"/>
  <c r="CA37" i="42290"/>
  <c r="CA39" i="42290" s="1"/>
  <c r="CB25" i="42290"/>
  <c r="CB37" i="42290" s="1"/>
  <c r="CB39" i="42290" s="1"/>
  <c r="AG304" i="6"/>
  <c r="CV304" i="6" s="1"/>
  <c r="BP1266" i="6"/>
  <c r="DC1266" i="6" s="1"/>
  <c r="BO1268" i="6"/>
  <c r="BP1268" i="6" s="1"/>
  <c r="DC1268" i="6" s="1"/>
  <c r="CC1014" i="6"/>
  <c r="CC136" i="6"/>
  <c r="Z302" i="6"/>
  <c r="AA301" i="6"/>
  <c r="AA303" i="6" s="1"/>
  <c r="BU286" i="6"/>
  <c r="BV286" i="6" s="1"/>
  <c r="BT288" i="6"/>
  <c r="BR331" i="6"/>
  <c r="BR336" i="6" s="1"/>
  <c r="BR337" i="6" s="1"/>
  <c r="CD67" i="6"/>
  <c r="CE1195" i="6"/>
  <c r="BR1149" i="6" l="1"/>
  <c r="BR1114" i="6"/>
  <c r="BR1224" i="6" s="1"/>
  <c r="BQ426" i="6"/>
  <c r="BQ489" i="6" s="1"/>
  <c r="BQ490" i="6" s="1"/>
  <c r="BR356" i="6"/>
  <c r="BR384" i="6"/>
  <c r="CF856" i="6"/>
  <c r="CF857" i="6" s="1"/>
  <c r="BP302" i="6"/>
  <c r="BO301" i="6"/>
  <c r="BO303" i="6" s="1"/>
  <c r="BO304" i="6" s="1"/>
  <c r="BR357" i="6"/>
  <c r="BR750" i="6" s="1"/>
  <c r="BS388" i="6"/>
  <c r="BR409" i="6"/>
  <c r="BR472" i="6" s="1"/>
  <c r="CZ151" i="6"/>
  <c r="BA1345" i="6"/>
  <c r="BA153" i="6"/>
  <c r="BA162" i="6"/>
  <c r="L49" i="42457"/>
  <c r="L51" i="42457" s="1"/>
  <c r="BC151" i="6"/>
  <c r="BC160" i="6"/>
  <c r="BC161" i="6" s="1"/>
  <c r="BD1170" i="6"/>
  <c r="BD1172" i="6" s="1"/>
  <c r="BD1271" i="6" s="1"/>
  <c r="BD1275" i="6" s="1"/>
  <c r="BD1276" i="6" s="1"/>
  <c r="BD1295" i="6" s="1"/>
  <c r="BD1296" i="6" s="1"/>
  <c r="BE1162" i="6"/>
  <c r="BD142" i="6"/>
  <c r="BD144" i="6" s="1"/>
  <c r="BD160" i="6" s="1"/>
  <c r="BD161" i="6" s="1"/>
  <c r="BD147" i="6"/>
  <c r="BA161" i="6"/>
  <c r="CZ160" i="6"/>
  <c r="CG854" i="6"/>
  <c r="BS1150" i="6"/>
  <c r="BT1150" i="6"/>
  <c r="H157" i="6"/>
  <c r="CQ157" i="6" s="1"/>
  <c r="CQ155" i="6"/>
  <c r="BY1066" i="6"/>
  <c r="BZ1064" i="6"/>
  <c r="CN1064" i="6"/>
  <c r="CO1064" i="6" s="1"/>
  <c r="CA809" i="6"/>
  <c r="CE1141" i="6"/>
  <c r="CE1176" i="6"/>
  <c r="CF1084" i="6"/>
  <c r="CE1285" i="6"/>
  <c r="DF787" i="6"/>
  <c r="CA790" i="6"/>
  <c r="CA793" i="6"/>
  <c r="CA808" i="6"/>
  <c r="CD783" i="6"/>
  <c r="CC788" i="6"/>
  <c r="BZ805" i="6"/>
  <c r="BZ803" i="6"/>
  <c r="DE803" i="6" s="1"/>
  <c r="DE802" i="6"/>
  <c r="CB813" i="6"/>
  <c r="DG813" i="6" s="1"/>
  <c r="CC812" i="6"/>
  <c r="DG812" i="6"/>
  <c r="BV123" i="6"/>
  <c r="CC782" i="6"/>
  <c r="CB787" i="6"/>
  <c r="CB785" i="6"/>
  <c r="DG785" i="6" s="1"/>
  <c r="DG782" i="6"/>
  <c r="DG788" i="6"/>
  <c r="CB794" i="6"/>
  <c r="DG794" i="6" s="1"/>
  <c r="BW286" i="6"/>
  <c r="BV288" i="6"/>
  <c r="BV1096" i="6"/>
  <c r="BV1152" i="6" s="1"/>
  <c r="BR1266" i="6"/>
  <c r="BX753" i="6"/>
  <c r="BY291" i="6"/>
  <c r="BY1097" i="6"/>
  <c r="BY1153" i="6" s="1"/>
  <c r="CN1153" i="6" s="1"/>
  <c r="CO1153" i="6" s="1"/>
  <c r="BX1094" i="6"/>
  <c r="BX1150" i="6" s="1"/>
  <c r="DE873" i="6"/>
  <c r="DE872" i="6"/>
  <c r="BW1098" i="6"/>
  <c r="BW1154" i="6" s="1"/>
  <c r="AV884" i="6"/>
  <c r="CY880" i="6"/>
  <c r="AW880" i="6"/>
  <c r="AW884" i="6" s="1"/>
  <c r="AW894" i="6" s="1"/>
  <c r="AW895" i="6" s="1"/>
  <c r="AX883" i="6"/>
  <c r="BS1149" i="6"/>
  <c r="BU1148" i="6" s="1"/>
  <c r="AB1063" i="6"/>
  <c r="AA1064" i="6"/>
  <c r="AB1064" i="6" s="1"/>
  <c r="CU1064" i="6" s="1"/>
  <c r="DC1175" i="6"/>
  <c r="BP1178" i="6"/>
  <c r="DC1178" i="6" s="1"/>
  <c r="BQ1175" i="6"/>
  <c r="BN1259" i="6"/>
  <c r="BN1261" i="6" s="1"/>
  <c r="BQ1262" i="6" s="1"/>
  <c r="BN938" i="6"/>
  <c r="BN942" i="6"/>
  <c r="BN943" i="6" s="1"/>
  <c r="BN960" i="6" s="1"/>
  <c r="BN965" i="6" s="1"/>
  <c r="BN1351" i="6" s="1"/>
  <c r="BT56" i="6"/>
  <c r="BT113" i="6"/>
  <c r="BT116" i="6" s="1"/>
  <c r="BT118" i="6" s="1"/>
  <c r="BT123" i="6" s="1"/>
  <c r="BT57" i="6"/>
  <c r="BT60" i="6"/>
  <c r="BT1259" i="6"/>
  <c r="BT1261" i="6" s="1"/>
  <c r="BT70" i="6"/>
  <c r="BT71" i="6" s="1"/>
  <c r="BP113" i="6"/>
  <c r="DC113" i="6" s="1"/>
  <c r="BO116" i="6"/>
  <c r="O96" i="42458"/>
  <c r="O97" i="42458" s="1"/>
  <c r="O116" i="42458" s="1"/>
  <c r="O120" i="42458" s="1"/>
  <c r="DC55" i="6"/>
  <c r="AA12" i="42457"/>
  <c r="BP61" i="6"/>
  <c r="BP70" i="6"/>
  <c r="BP60" i="6"/>
  <c r="BP56" i="6"/>
  <c r="DC56" i="6" s="1"/>
  <c r="CZ532" i="42458"/>
  <c r="BP57" i="6"/>
  <c r="DC57" i="6" s="1"/>
  <c r="BP35" i="6"/>
  <c r="DC35" i="6" s="1"/>
  <c r="DC33" i="6"/>
  <c r="BP34" i="6"/>
  <c r="DC34" i="6" s="1"/>
  <c r="Z13" i="42457"/>
  <c r="Z16" i="42457"/>
  <c r="Z17" i="42457" s="1"/>
  <c r="AA9" i="42457"/>
  <c r="AA10" i="42457"/>
  <c r="BU367" i="6"/>
  <c r="BV367" i="6" s="1"/>
  <c r="CD430" i="6"/>
  <c r="BX96" i="42290"/>
  <c r="BX98" i="42290" s="1"/>
  <c r="BX100" i="42290" s="1"/>
  <c r="BT387" i="6"/>
  <c r="DC360" i="6"/>
  <c r="BP492" i="6"/>
  <c r="BS366" i="6"/>
  <c r="BR408" i="6"/>
  <c r="DC749" i="6"/>
  <c r="BP751" i="6"/>
  <c r="DC751" i="6" s="1"/>
  <c r="DC426" i="6"/>
  <c r="BP489" i="6"/>
  <c r="BQ358" i="6"/>
  <c r="BQ749" i="6"/>
  <c r="BQ751" i="6" s="1"/>
  <c r="BQ471" i="6"/>
  <c r="BS1151" i="6"/>
  <c r="BT1095" i="6"/>
  <c r="BU1095" i="6" s="1"/>
  <c r="BP1042" i="6"/>
  <c r="DC1042" i="6" s="1"/>
  <c r="BK1216" i="6"/>
  <c r="BK1218" i="6" s="1"/>
  <c r="BL1214" i="6" s="1"/>
  <c r="BL1218" i="6" s="1"/>
  <c r="BM1214" i="6" s="1"/>
  <c r="BM1218" i="6" s="1"/>
  <c r="BN1214" i="6" s="1"/>
  <c r="BN1218" i="6" s="1"/>
  <c r="BO1214" i="6" s="1"/>
  <c r="BO1218" i="6" s="1"/>
  <c r="CR1225" i="6"/>
  <c r="M1348" i="6"/>
  <c r="M1227" i="6"/>
  <c r="L177" i="6"/>
  <c r="L176" i="6"/>
  <c r="L182" i="6"/>
  <c r="N1209" i="6"/>
  <c r="O1047" i="6"/>
  <c r="O1048" i="6" s="1"/>
  <c r="O1053" i="6" s="1"/>
  <c r="N1225" i="6"/>
  <c r="N1061" i="6"/>
  <c r="N1072" i="6" s="1"/>
  <c r="N1129" i="6" s="1"/>
  <c r="M1072" i="6"/>
  <c r="CR1061" i="6"/>
  <c r="BT330" i="6"/>
  <c r="BU329" i="6"/>
  <c r="BV329" i="6" s="1"/>
  <c r="DD1096" i="6"/>
  <c r="AF304" i="6"/>
  <c r="BT1152" i="6"/>
  <c r="BU1152" i="6" s="1"/>
  <c r="DD1152" i="6" s="1"/>
  <c r="BP1347" i="6"/>
  <c r="DC1224" i="6"/>
  <c r="AA34" i="42457"/>
  <c r="DC1114" i="6"/>
  <c r="BT1093" i="6"/>
  <c r="BU1093" i="6" s="1"/>
  <c r="CE67" i="6"/>
  <c r="CF1195" i="6"/>
  <c r="Z301" i="6"/>
  <c r="Z303" i="6" s="1"/>
  <c r="Y302" i="6"/>
  <c r="BQ1347" i="6"/>
  <c r="BU288" i="6"/>
  <c r="CD136" i="6"/>
  <c r="CD1014" i="6"/>
  <c r="BS1114" i="6" l="1"/>
  <c r="BS1224" i="6" s="1"/>
  <c r="BR426" i="6"/>
  <c r="BD151" i="6"/>
  <c r="BD162" i="6" s="1"/>
  <c r="BD163" i="6" s="1"/>
  <c r="BS1266" i="6"/>
  <c r="BS357" i="6"/>
  <c r="BS750" i="6" s="1"/>
  <c r="BT388" i="6"/>
  <c r="BT405" i="6" s="1"/>
  <c r="BS409" i="6"/>
  <c r="BS472" i="6" s="1"/>
  <c r="BS405" i="6"/>
  <c r="BS384" i="6"/>
  <c r="BS356" i="6"/>
  <c r="BQ302" i="6"/>
  <c r="BP301" i="6"/>
  <c r="BP303" i="6" s="1"/>
  <c r="BP304" i="6" s="1"/>
  <c r="DC304" i="6" s="1"/>
  <c r="BA155" i="6"/>
  <c r="CZ153" i="6"/>
  <c r="BE147" i="6"/>
  <c r="BE142" i="6"/>
  <c r="BF1162" i="6"/>
  <c r="BE1170" i="6"/>
  <c r="N49" i="42457"/>
  <c r="N51" i="42457" s="1"/>
  <c r="BC1345" i="6"/>
  <c r="BC162" i="6"/>
  <c r="BC163" i="6" s="1"/>
  <c r="BC153" i="6"/>
  <c r="BC155" i="6" s="1"/>
  <c r="BC157" i="6" s="1"/>
  <c r="BA163" i="6"/>
  <c r="CZ162" i="6"/>
  <c r="CB809" i="6"/>
  <c r="DG809" i="6" s="1"/>
  <c r="BU1150" i="6"/>
  <c r="DD1150" i="6" s="1"/>
  <c r="BY292" i="6"/>
  <c r="BZ291" i="6"/>
  <c r="BZ753" i="6" s="1"/>
  <c r="BZ292" i="6"/>
  <c r="CC787" i="6"/>
  <c r="CD782" i="6"/>
  <c r="CC785" i="6"/>
  <c r="CC813" i="6"/>
  <c r="CC809" i="6" s="1"/>
  <c r="CC821" i="6" s="1"/>
  <c r="CC870" i="6" s="1"/>
  <c r="CC76" i="6" s="1"/>
  <c r="CD812" i="6"/>
  <c r="BZ806" i="6"/>
  <c r="DE806" i="6" s="1"/>
  <c r="DE805" i="6"/>
  <c r="CE783" i="6"/>
  <c r="CD788" i="6"/>
  <c r="DF808" i="6"/>
  <c r="CA820" i="6"/>
  <c r="CA867" i="6"/>
  <c r="CA811" i="6"/>
  <c r="DF790" i="6"/>
  <c r="CA791" i="6"/>
  <c r="DF791" i="6" s="1"/>
  <c r="CA800" i="6"/>
  <c r="DF800" i="6" s="1"/>
  <c r="CA821" i="6"/>
  <c r="DF809" i="6"/>
  <c r="CA1064" i="6"/>
  <c r="DE1064" i="6"/>
  <c r="BZ1153" i="6"/>
  <c r="DE1153" i="6" s="1"/>
  <c r="BZ1097" i="6"/>
  <c r="CN1097" i="6"/>
  <c r="CO1097" i="6" s="1"/>
  <c r="CB808" i="6"/>
  <c r="CB793" i="6"/>
  <c r="CB790" i="6"/>
  <c r="DG787" i="6"/>
  <c r="CC794" i="6"/>
  <c r="CA799" i="6"/>
  <c r="DF793" i="6"/>
  <c r="CA796" i="6"/>
  <c r="DF796" i="6" s="1"/>
  <c r="CF1141" i="6"/>
  <c r="CF1285" i="6"/>
  <c r="CG1084" i="6"/>
  <c r="CF1176" i="6"/>
  <c r="BZ1066" i="6"/>
  <c r="DE1066" i="6" s="1"/>
  <c r="CN1066" i="6"/>
  <c r="CO1066" i="6" s="1"/>
  <c r="BV1093" i="6"/>
  <c r="BV1149" i="6" s="1"/>
  <c r="BV1095" i="6"/>
  <c r="BV1151" i="6" s="1"/>
  <c r="BX1098" i="6"/>
  <c r="BX1154" i="6" s="1"/>
  <c r="BY1094" i="6"/>
  <c r="BY1150" i="6" s="1"/>
  <c r="BZ1150" i="6" s="1"/>
  <c r="DE1150" i="6" s="1"/>
  <c r="BW1096" i="6"/>
  <c r="BW1152" i="6" s="1"/>
  <c r="BX286" i="6"/>
  <c r="BW288" i="6"/>
  <c r="BW329" i="6"/>
  <c r="BW367" i="6"/>
  <c r="CA292" i="6"/>
  <c r="DE292" i="6"/>
  <c r="BY753" i="6"/>
  <c r="BV289" i="6"/>
  <c r="BV294" i="6" s="1"/>
  <c r="CY884" i="6"/>
  <c r="AV894" i="6"/>
  <c r="AY883" i="6"/>
  <c r="AX880" i="6"/>
  <c r="BT1266" i="6"/>
  <c r="BN978" i="6"/>
  <c r="BN1005" i="6" s="1"/>
  <c r="BN945" i="6"/>
  <c r="BN946" i="6" s="1"/>
  <c r="BO1262" i="6"/>
  <c r="BO1281" i="6" s="1"/>
  <c r="AA1066" i="6"/>
  <c r="AB1066" i="6" s="1"/>
  <c r="CU1066" i="6" s="1"/>
  <c r="Y50" i="42457"/>
  <c r="BN154" i="6"/>
  <c r="BP1261" i="6"/>
  <c r="DC1261" i="6" s="1"/>
  <c r="BN1262" i="6"/>
  <c r="BN1281" i="6" s="1"/>
  <c r="BN1282" i="6" s="1"/>
  <c r="BP1259" i="6"/>
  <c r="DC1259" i="6" s="1"/>
  <c r="O100" i="42458"/>
  <c r="BD1345" i="6"/>
  <c r="BR1175" i="6"/>
  <c r="BQ1178" i="6"/>
  <c r="AC1063" i="6"/>
  <c r="CU1063" i="6"/>
  <c r="CC29" i="6"/>
  <c r="AA13" i="42457"/>
  <c r="AA72" i="42457"/>
  <c r="AA75" i="42457" s="1"/>
  <c r="AA76" i="42457" s="1"/>
  <c r="AA79" i="42457" s="1"/>
  <c r="AA14" i="42457"/>
  <c r="AA16" i="42457"/>
  <c r="DC70" i="6"/>
  <c r="BP71" i="6"/>
  <c r="DC71" i="6" s="1"/>
  <c r="F7" i="42419"/>
  <c r="BP116" i="6"/>
  <c r="DC116" i="6" s="1"/>
  <c r="BO118" i="6"/>
  <c r="BY96" i="42290"/>
  <c r="BY98" i="42290" s="1"/>
  <c r="BY100" i="42290" s="1"/>
  <c r="CE430" i="6"/>
  <c r="DD367" i="6"/>
  <c r="BU387" i="6"/>
  <c r="BQ360" i="6"/>
  <c r="BQ492" i="6" s="1"/>
  <c r="BQ493" i="6" s="1"/>
  <c r="BR358" i="6"/>
  <c r="BR360" i="6" s="1"/>
  <c r="BR749" i="6"/>
  <c r="BR751" i="6" s="1"/>
  <c r="BT366" i="6"/>
  <c r="BS408" i="6"/>
  <c r="BP490" i="6"/>
  <c r="DC490" i="6" s="1"/>
  <c r="DC489" i="6"/>
  <c r="BR471" i="6"/>
  <c r="BP493" i="6"/>
  <c r="DC493" i="6" s="1"/>
  <c r="DC492" i="6"/>
  <c r="BT1151" i="6"/>
  <c r="BU1151" i="6" s="1"/>
  <c r="DD1151" i="6" s="1"/>
  <c r="DD1095" i="6"/>
  <c r="CD29" i="6"/>
  <c r="BT1149" i="6"/>
  <c r="BU1149" i="6" s="1"/>
  <c r="DD1149" i="6" s="1"/>
  <c r="BP1214" i="6"/>
  <c r="BP1218" i="6" s="1"/>
  <c r="BU1214" i="6" s="1"/>
  <c r="O1209" i="6"/>
  <c r="O1061" i="6"/>
  <c r="O1072" i="6" s="1"/>
  <c r="P1047" i="6"/>
  <c r="P1048" i="6" s="1"/>
  <c r="P1053" i="6" s="1"/>
  <c r="P1209" i="6" s="1"/>
  <c r="O1225" i="6"/>
  <c r="M171" i="6"/>
  <c r="N171" i="6"/>
  <c r="M1129" i="6"/>
  <c r="CR1129" i="6" s="1"/>
  <c r="CR1072" i="6"/>
  <c r="M1229" i="6"/>
  <c r="M1253" i="6"/>
  <c r="CR1253" i="6" s="1"/>
  <c r="CR1227" i="6"/>
  <c r="N1348" i="6"/>
  <c r="N1227" i="6"/>
  <c r="L179" i="6"/>
  <c r="L181" i="6"/>
  <c r="BQ1268" i="6"/>
  <c r="BQ1281" i="6"/>
  <c r="BQ1282" i="6" s="1"/>
  <c r="AE304" i="6"/>
  <c r="CE1014" i="6"/>
  <c r="CE136" i="6"/>
  <c r="BQ1042" i="6"/>
  <c r="BR1127" i="6"/>
  <c r="BR1347" i="6"/>
  <c r="DD1093" i="6"/>
  <c r="DD329" i="6"/>
  <c r="BQ1286" i="6"/>
  <c r="BQ1289" i="6" s="1"/>
  <c r="BQ1290" i="6" s="1"/>
  <c r="X302" i="6"/>
  <c r="Y301" i="6"/>
  <c r="Y303" i="6" s="1"/>
  <c r="CG1195" i="6"/>
  <c r="CG67" i="6" s="1"/>
  <c r="CF67" i="6"/>
  <c r="BU330" i="6"/>
  <c r="BV330" i="6" s="1"/>
  <c r="O49" i="42457" l="1"/>
  <c r="O51" i="42457" s="1"/>
  <c r="BD153" i="6"/>
  <c r="BD155" i="6" s="1"/>
  <c r="BD157" i="6" s="1"/>
  <c r="BU1088" i="6"/>
  <c r="BT1114" i="6"/>
  <c r="BT1224" i="6" s="1"/>
  <c r="BS426" i="6"/>
  <c r="BS489" i="6" s="1"/>
  <c r="BS490" i="6" s="1"/>
  <c r="BR302" i="6"/>
  <c r="BQ301" i="6"/>
  <c r="BQ303" i="6" s="1"/>
  <c r="BT356" i="6"/>
  <c r="BT384" i="6"/>
  <c r="BV387" i="6"/>
  <c r="BW387" i="6" s="1"/>
  <c r="BT357" i="6"/>
  <c r="BT750" i="6" s="1"/>
  <c r="BU388" i="6"/>
  <c r="BU405" i="6" s="1"/>
  <c r="DD405" i="6" s="1"/>
  <c r="BT409" i="6"/>
  <c r="BE144" i="6"/>
  <c r="BF142" i="6"/>
  <c r="DA142" i="6" s="1"/>
  <c r="BF1170" i="6"/>
  <c r="DA1170" i="6" s="1"/>
  <c r="BE1172" i="6"/>
  <c r="BE1271" i="6" s="1"/>
  <c r="BE1275" i="6" s="1"/>
  <c r="BE1276" i="6" s="1"/>
  <c r="BE1295" i="6" s="1"/>
  <c r="BE1296" i="6" s="1"/>
  <c r="DA1162" i="6"/>
  <c r="BG1162" i="6"/>
  <c r="BF1172" i="6"/>
  <c r="DA1172" i="6" s="1"/>
  <c r="BF147" i="6"/>
  <c r="DA147" i="6" s="1"/>
  <c r="CZ155" i="6"/>
  <c r="BA157" i="6"/>
  <c r="CZ157" i="6" s="1"/>
  <c r="CB821" i="6"/>
  <c r="CB870" i="6" s="1"/>
  <c r="CC800" i="6"/>
  <c r="CB800" i="6"/>
  <c r="DG800" i="6" s="1"/>
  <c r="CN1150" i="6"/>
  <c r="CO1150" i="6" s="1"/>
  <c r="DF799" i="6"/>
  <c r="CA802" i="6"/>
  <c r="DG793" i="6"/>
  <c r="CB796" i="6"/>
  <c r="DG796" i="6" s="1"/>
  <c r="DF1064" i="6"/>
  <c r="CB1064" i="6"/>
  <c r="CA1066" i="6"/>
  <c r="DF1066" i="6" s="1"/>
  <c r="CA870" i="6"/>
  <c r="DF821" i="6"/>
  <c r="DF811" i="6"/>
  <c r="CA814" i="6"/>
  <c r="DF814" i="6" s="1"/>
  <c r="CA869" i="6"/>
  <c r="CA823" i="6"/>
  <c r="DF820" i="6"/>
  <c r="CD794" i="6"/>
  <c r="CE812" i="6"/>
  <c r="CD813" i="6"/>
  <c r="CD809" i="6" s="1"/>
  <c r="CD821" i="6" s="1"/>
  <c r="CD870" i="6" s="1"/>
  <c r="CD76" i="6" s="1"/>
  <c r="CC901" i="6"/>
  <c r="CC906" i="6" s="1"/>
  <c r="CC790" i="6"/>
  <c r="CC791" i="6" s="1"/>
  <c r="CC808" i="6"/>
  <c r="CC793" i="6"/>
  <c r="BW330" i="6"/>
  <c r="BX330" i="6" s="1"/>
  <c r="BY330" i="6" s="1"/>
  <c r="BZ330" i="6" s="1"/>
  <c r="BO1286" i="6"/>
  <c r="BO1289" i="6" s="1"/>
  <c r="BV295" i="6"/>
  <c r="BZ1094" i="6"/>
  <c r="CN1094" i="6"/>
  <c r="CO1094" i="6" s="1"/>
  <c r="CG1141" i="6"/>
  <c r="CG1176" i="6"/>
  <c r="CG1285" i="6"/>
  <c r="CB799" i="6"/>
  <c r="DG790" i="6"/>
  <c r="CB791" i="6"/>
  <c r="DG791" i="6" s="1"/>
  <c r="DG808" i="6"/>
  <c r="CB867" i="6"/>
  <c r="CB820" i="6"/>
  <c r="CB811" i="6"/>
  <c r="DE1097" i="6"/>
  <c r="CA1097" i="6"/>
  <c r="CE788" i="6"/>
  <c r="CF783" i="6"/>
  <c r="CE782" i="6"/>
  <c r="CD787" i="6"/>
  <c r="CD785" i="6"/>
  <c r="BX367" i="6"/>
  <c r="BW289" i="6"/>
  <c r="BW294" i="6" s="1"/>
  <c r="BW295" i="6" s="1"/>
  <c r="BY286" i="6"/>
  <c r="BZ286" i="6" s="1"/>
  <c r="BX288" i="6"/>
  <c r="BX289" i="6" s="1"/>
  <c r="BX294" i="6" s="1"/>
  <c r="BX1096" i="6"/>
  <c r="BX1152" i="6" s="1"/>
  <c r="BW1095" i="6"/>
  <c r="BW1151" i="6" s="1"/>
  <c r="BW1093" i="6"/>
  <c r="BW1149" i="6" s="1"/>
  <c r="DE753" i="6"/>
  <c r="DE291" i="6"/>
  <c r="CA291" i="6"/>
  <c r="CB292" i="6"/>
  <c r="DF292" i="6"/>
  <c r="BX329" i="6"/>
  <c r="BY1088" i="6"/>
  <c r="BY1098" i="6"/>
  <c r="AX884" i="6"/>
  <c r="AX894" i="6" s="1"/>
  <c r="AX895" i="6" s="1"/>
  <c r="AY880" i="6"/>
  <c r="AY884" i="6" s="1"/>
  <c r="AY894" i="6" s="1"/>
  <c r="AY895" i="6" s="1"/>
  <c r="AZ883" i="6"/>
  <c r="AV895" i="6"/>
  <c r="CY895" i="6" s="1"/>
  <c r="CY894" i="6"/>
  <c r="BP1262" i="6"/>
  <c r="DC1262" i="6" s="1"/>
  <c r="BN1286" i="6"/>
  <c r="BN1289" i="6" s="1"/>
  <c r="BN1290" i="6" s="1"/>
  <c r="AD1063" i="6"/>
  <c r="AC1064" i="6"/>
  <c r="AC1066" i="6" s="1"/>
  <c r="BS1175" i="6"/>
  <c r="BR1178" i="6"/>
  <c r="AA17" i="42457"/>
  <c r="AA18" i="42457"/>
  <c r="BO123" i="6"/>
  <c r="BP118" i="6"/>
  <c r="DC118" i="6" s="1"/>
  <c r="CF430" i="6"/>
  <c r="BZ96" i="42290"/>
  <c r="BZ98" i="42290" s="1"/>
  <c r="BZ100" i="42290" s="1"/>
  <c r="DD387" i="6"/>
  <c r="BQ1214" i="6"/>
  <c r="BS358" i="6"/>
  <c r="BS360" i="6" s="1"/>
  <c r="BS749" i="6"/>
  <c r="BS751" i="6" s="1"/>
  <c r="BS471" i="6"/>
  <c r="BU366" i="6"/>
  <c r="BT408" i="6"/>
  <c r="CE29" i="6"/>
  <c r="O1348" i="6"/>
  <c r="O1227" i="6"/>
  <c r="N177" i="6"/>
  <c r="N176" i="6"/>
  <c r="N182" i="6"/>
  <c r="P1061" i="6"/>
  <c r="P1072" i="6" s="1"/>
  <c r="P1225" i="6"/>
  <c r="Q1047" i="6"/>
  <c r="Q1048" i="6" s="1"/>
  <c r="N1229" i="6"/>
  <c r="N1232" i="6" s="1"/>
  <c r="N1253" i="6"/>
  <c r="M1232" i="6"/>
  <c r="CR1229" i="6"/>
  <c r="M182" i="6"/>
  <c r="M177" i="6"/>
  <c r="M176" i="6"/>
  <c r="O171" i="6"/>
  <c r="O1129" i="6"/>
  <c r="DD330" i="6"/>
  <c r="CG1014" i="6"/>
  <c r="CG136" i="6"/>
  <c r="BS1146" i="6"/>
  <c r="BU1145" i="6" s="1"/>
  <c r="BS1347" i="6"/>
  <c r="BS1268" i="6"/>
  <c r="AD304" i="6"/>
  <c r="BR1268" i="6"/>
  <c r="W302" i="6"/>
  <c r="X301" i="6"/>
  <c r="X303" i="6" s="1"/>
  <c r="BP1281" i="6"/>
  <c r="DC1281" i="6" s="1"/>
  <c r="BO1282" i="6"/>
  <c r="BP1282" i="6" s="1"/>
  <c r="DC1282" i="6" s="1"/>
  <c r="CF136" i="6"/>
  <c r="CF1014" i="6"/>
  <c r="CC799" i="6" l="1"/>
  <c r="CC913" i="6" s="1"/>
  <c r="BV1088" i="6"/>
  <c r="BU1114" i="6"/>
  <c r="BU1224" i="6" s="1"/>
  <c r="BP1286" i="6"/>
  <c r="DC1286" i="6" s="1"/>
  <c r="BT426" i="6"/>
  <c r="BT489" i="6" s="1"/>
  <c r="BT490" i="6" s="1"/>
  <c r="BV388" i="6"/>
  <c r="BV405" i="6" s="1"/>
  <c r="BU357" i="6"/>
  <c r="DD357" i="6" s="1"/>
  <c r="DD388" i="6"/>
  <c r="BV366" i="6"/>
  <c r="BW366" i="6" s="1"/>
  <c r="BU356" i="6"/>
  <c r="BU384" i="6"/>
  <c r="DD384" i="6" s="1"/>
  <c r="BQ304" i="6"/>
  <c r="BV304" i="6"/>
  <c r="BT472" i="6"/>
  <c r="BU409" i="6"/>
  <c r="BS302" i="6"/>
  <c r="BR301" i="6"/>
  <c r="BG1170" i="6"/>
  <c r="BG1172" i="6" s="1"/>
  <c r="BG1271" i="6" s="1"/>
  <c r="BG1275" i="6" s="1"/>
  <c r="BG1276" i="6" s="1"/>
  <c r="BG1295" i="6" s="1"/>
  <c r="BG1296" i="6" s="1"/>
  <c r="BG147" i="6"/>
  <c r="BG142" i="6"/>
  <c r="BG144" i="6" s="1"/>
  <c r="BH1162" i="6"/>
  <c r="BF144" i="6"/>
  <c r="BE151" i="6"/>
  <c r="BE160" i="6"/>
  <c r="BE161" i="6" s="1"/>
  <c r="DG821" i="6"/>
  <c r="BZ331" i="6"/>
  <c r="BZ336" i="6" s="1"/>
  <c r="BY1154" i="6"/>
  <c r="BZ1098" i="6"/>
  <c r="CN1098" i="6"/>
  <c r="CO1098" i="6" s="1"/>
  <c r="BZ288" i="6"/>
  <c r="CF782" i="6"/>
  <c r="CE785" i="6"/>
  <c r="CE787" i="6"/>
  <c r="CE794" i="6"/>
  <c r="CB869" i="6"/>
  <c r="CB823" i="6"/>
  <c r="DG820" i="6"/>
  <c r="CC867" i="6"/>
  <c r="CC811" i="6"/>
  <c r="CC814" i="6" s="1"/>
  <c r="CC932" i="6"/>
  <c r="CC950" i="6" s="1"/>
  <c r="CC49" i="6" s="1"/>
  <c r="CC820" i="6"/>
  <c r="CC907" i="6"/>
  <c r="BX281" i="42290"/>
  <c r="BX282" i="42290" s="1"/>
  <c r="BX288" i="42290" s="1"/>
  <c r="BX294" i="42290" s="1"/>
  <c r="CC910" i="6"/>
  <c r="CE813" i="6"/>
  <c r="CE809" i="6" s="1"/>
  <c r="CF812" i="6"/>
  <c r="CA872" i="6"/>
  <c r="DF823" i="6"/>
  <c r="BZ1088" i="6"/>
  <c r="CN1088" i="6"/>
  <c r="CO1088" i="6" s="1"/>
  <c r="CD808" i="6"/>
  <c r="CD901" i="6"/>
  <c r="CD906" i="6" s="1"/>
  <c r="CD790" i="6"/>
  <c r="CD791" i="6" s="1"/>
  <c r="CD793" i="6"/>
  <c r="CF788" i="6"/>
  <c r="CG783" i="6"/>
  <c r="CG788" i="6" s="1"/>
  <c r="CA1153" i="6"/>
  <c r="DF1153" i="6" s="1"/>
  <c r="DF1097" i="6"/>
  <c r="CB1097" i="6"/>
  <c r="DG811" i="6"/>
  <c r="CB814" i="6"/>
  <c r="DG814" i="6" s="1"/>
  <c r="DG799" i="6"/>
  <c r="CB802" i="6"/>
  <c r="CA1094" i="6"/>
  <c r="DE1094" i="6"/>
  <c r="CC917" i="6"/>
  <c r="CC796" i="6"/>
  <c r="CD800" i="6"/>
  <c r="DG1064" i="6"/>
  <c r="CB1066" i="6"/>
  <c r="DG1066" i="6" s="1"/>
  <c r="CC1064" i="6"/>
  <c r="DF802" i="6"/>
  <c r="CA803" i="6"/>
  <c r="DF803" i="6" s="1"/>
  <c r="CA805" i="6"/>
  <c r="CB291" i="6"/>
  <c r="DF291" i="6"/>
  <c r="CA753" i="6"/>
  <c r="DF753" i="6" s="1"/>
  <c r="BY1096" i="6"/>
  <c r="BY288" i="6"/>
  <c r="BZ289" i="6" s="1"/>
  <c r="BZ294" i="6" s="1"/>
  <c r="BY329" i="6"/>
  <c r="BZ329" i="6" s="1"/>
  <c r="DG292" i="6"/>
  <c r="CC292" i="6"/>
  <c r="CD292" i="6" s="1"/>
  <c r="CE292" i="6" s="1"/>
  <c r="CF292" i="6" s="1"/>
  <c r="CG292" i="6" s="1"/>
  <c r="BX387" i="6"/>
  <c r="BX1093" i="6"/>
  <c r="BX1095" i="6"/>
  <c r="BX1151" i="6" s="1"/>
  <c r="BY367" i="6"/>
  <c r="BZ367" i="6" s="1"/>
  <c r="BA883" i="6"/>
  <c r="AZ880" i="6"/>
  <c r="AZ884" i="6" s="1"/>
  <c r="AZ894" i="6" s="1"/>
  <c r="AZ895" i="6" s="1"/>
  <c r="BT1175" i="6"/>
  <c r="BS1178" i="6"/>
  <c r="AD1064" i="6"/>
  <c r="AD1066" i="6" s="1"/>
  <c r="AE1063" i="6"/>
  <c r="AE1064" i="6" s="1"/>
  <c r="AE1066" i="6" s="1"/>
  <c r="BQ1263" i="6"/>
  <c r="BO1263" i="6"/>
  <c r="BP1263" i="6" s="1"/>
  <c r="DC1263" i="6" s="1"/>
  <c r="BP123" i="6"/>
  <c r="DC123" i="6" s="1"/>
  <c r="CG430" i="6"/>
  <c r="CA96" i="42290"/>
  <c r="CA98" i="42290" s="1"/>
  <c r="CA100" i="42290" s="1"/>
  <c r="DD366" i="6"/>
  <c r="BT471" i="6"/>
  <c r="BU408" i="6"/>
  <c r="BT358" i="6"/>
  <c r="BU358" i="6" s="1"/>
  <c r="BT749" i="6"/>
  <c r="BT751" i="6" s="1"/>
  <c r="CF29" i="6"/>
  <c r="O182" i="6"/>
  <c r="O177" i="6"/>
  <c r="O176" i="6"/>
  <c r="N181" i="6"/>
  <c r="N179" i="6"/>
  <c r="M181" i="6"/>
  <c r="M179" i="6"/>
  <c r="M1254" i="6"/>
  <c r="CR1254" i="6" s="1"/>
  <c r="M1350" i="6"/>
  <c r="CR1232" i="6"/>
  <c r="P1227" i="6"/>
  <c r="P1348" i="6"/>
  <c r="R1048" i="6"/>
  <c r="Q1053" i="6"/>
  <c r="P171" i="6"/>
  <c r="P1129" i="6"/>
  <c r="O1253" i="6"/>
  <c r="O1229" i="6"/>
  <c r="O1232" i="6" s="1"/>
  <c r="N1350" i="6"/>
  <c r="N1254" i="6"/>
  <c r="DE330" i="6"/>
  <c r="CA330" i="6"/>
  <c r="BP1289" i="6"/>
  <c r="DC1289" i="6" s="1"/>
  <c r="BO1290" i="6"/>
  <c r="BP1290" i="6" s="1"/>
  <c r="DC1290" i="6" s="1"/>
  <c r="AC304" i="6"/>
  <c r="BT1146" i="6"/>
  <c r="BU1146" i="6" s="1"/>
  <c r="BT1347" i="6"/>
  <c r="BT1038" i="6"/>
  <c r="BT1042" i="6" s="1"/>
  <c r="BT1027" i="6" s="1"/>
  <c r="W301" i="6"/>
  <c r="W303" i="6" s="1"/>
  <c r="V302" i="6"/>
  <c r="BS1042" i="6"/>
  <c r="BV408" i="6" l="1"/>
  <c r="BX1149" i="6"/>
  <c r="BX1114" i="6"/>
  <c r="BX1224" i="6" s="1"/>
  <c r="CA1088" i="6"/>
  <c r="CC802" i="6"/>
  <c r="CC805" i="6" s="1"/>
  <c r="CC806" i="6" s="1"/>
  <c r="BV1144" i="6"/>
  <c r="BV1114" i="6"/>
  <c r="BV1224" i="6" s="1"/>
  <c r="BV1347" i="6" s="1"/>
  <c r="BW1088" i="6"/>
  <c r="BX1038" i="6" s="1"/>
  <c r="BX1042" i="6" s="1"/>
  <c r="BV1038" i="6"/>
  <c r="BV1042" i="6" s="1"/>
  <c r="BV1266" i="6"/>
  <c r="BV1268" i="6" s="1"/>
  <c r="CA331" i="6"/>
  <c r="CA336" i="6" s="1"/>
  <c r="DE331" i="6"/>
  <c r="BU426" i="6"/>
  <c r="BU750" i="6"/>
  <c r="DD750" i="6" s="1"/>
  <c r="BV356" i="6"/>
  <c r="BV749" i="6" s="1"/>
  <c r="BV384" i="6"/>
  <c r="DD409" i="6"/>
  <c r="BU472" i="6"/>
  <c r="DD472" i="6" s="1"/>
  <c r="BW384" i="6"/>
  <c r="BW356" i="6"/>
  <c r="BW749" i="6" s="1"/>
  <c r="BS301" i="6"/>
  <c r="BS303" i="6" s="1"/>
  <c r="BT302" i="6"/>
  <c r="BW388" i="6"/>
  <c r="BV357" i="6"/>
  <c r="BV750" i="6" s="1"/>
  <c r="BV409" i="6"/>
  <c r="BV472" i="6" s="1"/>
  <c r="DA144" i="6"/>
  <c r="BF160" i="6"/>
  <c r="BH147" i="6"/>
  <c r="BH142" i="6"/>
  <c r="BH144" i="6" s="1"/>
  <c r="BH160" i="6" s="1"/>
  <c r="BH161" i="6" s="1"/>
  <c r="BI1162" i="6"/>
  <c r="BH1170" i="6"/>
  <c r="BH1172" i="6" s="1"/>
  <c r="BH1271" i="6" s="1"/>
  <c r="BH1275" i="6" s="1"/>
  <c r="BH1276" i="6" s="1"/>
  <c r="BH1295" i="6" s="1"/>
  <c r="BH1296" i="6" s="1"/>
  <c r="BG160" i="6"/>
  <c r="BG161" i="6" s="1"/>
  <c r="BG151" i="6"/>
  <c r="BF151" i="6"/>
  <c r="BE162" i="6"/>
  <c r="BE163" i="6" s="1"/>
  <c r="BE1345" i="6"/>
  <c r="BE153" i="6"/>
  <c r="BE155" i="6" s="1"/>
  <c r="BE157" i="6" s="1"/>
  <c r="P49" i="42457"/>
  <c r="P51" i="42457" s="1"/>
  <c r="BU1041" i="6"/>
  <c r="DD1041" i="6" s="1"/>
  <c r="BY289" i="6"/>
  <c r="BY294" i="6" s="1"/>
  <c r="CN294" i="6" s="1"/>
  <c r="CE821" i="6"/>
  <c r="CE870" i="6" s="1"/>
  <c r="CE76" i="6" s="1"/>
  <c r="CE800" i="6"/>
  <c r="DE329" i="6"/>
  <c r="CA329" i="6"/>
  <c r="BY1152" i="6"/>
  <c r="BZ1096" i="6"/>
  <c r="CN1096" i="6"/>
  <c r="CO1096" i="6" s="1"/>
  <c r="DF805" i="6"/>
  <c r="CA806" i="6"/>
  <c r="DF806" i="6" s="1"/>
  <c r="CC918" i="6"/>
  <c r="CC919" i="6"/>
  <c r="DG802" i="6"/>
  <c r="CB805" i="6"/>
  <c r="CB803" i="6"/>
  <c r="DG803" i="6" s="1"/>
  <c r="CB1153" i="6"/>
  <c r="DG1153" i="6" s="1"/>
  <c r="CC1097" i="6"/>
  <c r="CC1153" i="6" s="1"/>
  <c r="DG1097" i="6"/>
  <c r="CF794" i="6"/>
  <c r="CD917" i="6"/>
  <c r="CD796" i="6"/>
  <c r="CD907" i="6"/>
  <c r="BY281" i="42290"/>
  <c r="BY282" i="42290" s="1"/>
  <c r="BY288" i="42290" s="1"/>
  <c r="BY294" i="42290" s="1"/>
  <c r="CD910" i="6"/>
  <c r="DF872" i="6"/>
  <c r="CA873" i="6"/>
  <c r="DF873" i="6" s="1"/>
  <c r="CE808" i="6"/>
  <c r="CE793" i="6"/>
  <c r="CE901" i="6"/>
  <c r="CE906" i="6" s="1"/>
  <c r="CE790" i="6"/>
  <c r="CE791" i="6" s="1"/>
  <c r="CF787" i="6"/>
  <c r="CF785" i="6"/>
  <c r="CG782" i="6"/>
  <c r="BZ1154" i="6"/>
  <c r="DE1154" i="6" s="1"/>
  <c r="CN1154" i="6"/>
  <c r="CO1154" i="6" s="1"/>
  <c r="CC914" i="6"/>
  <c r="CC915" i="6"/>
  <c r="CD1064" i="6"/>
  <c r="CC1066" i="6"/>
  <c r="CA1150" i="6"/>
  <c r="DF1150" i="6" s="1"/>
  <c r="DF1094" i="6"/>
  <c r="CB1094" i="6"/>
  <c r="CG794" i="6"/>
  <c r="CD799" i="6"/>
  <c r="CD932" i="6"/>
  <c r="CD950" i="6" s="1"/>
  <c r="CD49" i="6" s="1"/>
  <c r="CD811" i="6"/>
  <c r="CD814" i="6" s="1"/>
  <c r="CD820" i="6"/>
  <c r="CD867" i="6"/>
  <c r="CG812" i="6"/>
  <c r="CG813" i="6" s="1"/>
  <c r="CG809" i="6" s="1"/>
  <c r="CF813" i="6"/>
  <c r="CF809" i="6" s="1"/>
  <c r="CF821" i="6" s="1"/>
  <c r="CF870" i="6" s="1"/>
  <c r="CF76" i="6" s="1"/>
  <c r="BX296" i="42290"/>
  <c r="BX295" i="42290"/>
  <c r="CC921" i="6"/>
  <c r="CC869" i="6"/>
  <c r="CC823" i="6"/>
  <c r="CC872" i="6" s="1"/>
  <c r="DG823" i="6"/>
  <c r="CB872" i="6"/>
  <c r="DE1098" i="6"/>
  <c r="CA1098" i="6"/>
  <c r="CC803" i="6"/>
  <c r="BY1095" i="6"/>
  <c r="BV471" i="6"/>
  <c r="CC291" i="6"/>
  <c r="CB753" i="6"/>
  <c r="DG753" i="6" s="1"/>
  <c r="DG291" i="6"/>
  <c r="BY1093" i="6"/>
  <c r="BX1347" i="6"/>
  <c r="BX1266" i="6"/>
  <c r="BY387" i="6"/>
  <c r="BX366" i="6"/>
  <c r="BW408" i="6"/>
  <c r="CA288" i="6"/>
  <c r="CA286" i="6"/>
  <c r="CB286" i="6" s="1"/>
  <c r="CC286" i="6" s="1"/>
  <c r="CD286" i="6" s="1"/>
  <c r="DE294" i="6"/>
  <c r="BB883" i="6"/>
  <c r="BA880" i="6"/>
  <c r="CZ883" i="6"/>
  <c r="BU1175" i="6"/>
  <c r="BV1175" i="6" s="1"/>
  <c r="BT1178" i="6"/>
  <c r="CB96" i="42290"/>
  <c r="CB98" i="42290" s="1"/>
  <c r="CB100" i="42290" s="1"/>
  <c r="DD356" i="6"/>
  <c r="BU749" i="6"/>
  <c r="BU360" i="6"/>
  <c r="BT360" i="6"/>
  <c r="BT492" i="6" s="1"/>
  <c r="BT493" i="6" s="1"/>
  <c r="DD408" i="6"/>
  <c r="BU471" i="6"/>
  <c r="DD471" i="6" s="1"/>
  <c r="DD358" i="6"/>
  <c r="CG29" i="6"/>
  <c r="BU1038" i="6"/>
  <c r="P176" i="6"/>
  <c r="P182" i="6"/>
  <c r="P177" i="6"/>
  <c r="P1229" i="6"/>
  <c r="P1232" i="6" s="1"/>
  <c r="P1253" i="6"/>
  <c r="O179" i="6"/>
  <c r="O181" i="6"/>
  <c r="O1350" i="6"/>
  <c r="O1254" i="6"/>
  <c r="Q1225" i="6"/>
  <c r="Q1209" i="6"/>
  <c r="Q1061" i="6"/>
  <c r="Q1072" i="6" s="1"/>
  <c r="R1053" i="6"/>
  <c r="CS1048" i="6"/>
  <c r="DE336" i="6"/>
  <c r="V301" i="6"/>
  <c r="V303" i="6" s="1"/>
  <c r="U302" i="6"/>
  <c r="DD1114" i="6"/>
  <c r="AB34" i="42457"/>
  <c r="DF331" i="6"/>
  <c r="AB304" i="6"/>
  <c r="CU304" i="6" s="1"/>
  <c r="CA302" i="6"/>
  <c r="BU1266" i="6"/>
  <c r="DD1266" i="6" s="1"/>
  <c r="BT1268" i="6"/>
  <c r="BU1268" i="6" s="1"/>
  <c r="DD1268" i="6" s="1"/>
  <c r="DF330" i="6"/>
  <c r="CB330" i="6"/>
  <c r="CB331" i="6" l="1"/>
  <c r="BY1114" i="6"/>
  <c r="BY1224" i="6" s="1"/>
  <c r="BW1114" i="6"/>
  <c r="BW1224" i="6" s="1"/>
  <c r="BW1347" i="6" s="1"/>
  <c r="BW1266" i="6"/>
  <c r="BW1268" i="6" s="1"/>
  <c r="BW1038" i="6"/>
  <c r="BW1042" i="6" s="1"/>
  <c r="BW1144" i="6"/>
  <c r="BX1144" i="6" s="1"/>
  <c r="BY1144" i="6" s="1"/>
  <c r="CN1144" i="6" s="1"/>
  <c r="CO1144" i="6" s="1"/>
  <c r="BH151" i="6"/>
  <c r="BH153" i="6" s="1"/>
  <c r="BH155" i="6" s="1"/>
  <c r="BH157" i="6" s="1"/>
  <c r="BV358" i="6"/>
  <c r="BV360" i="6" s="1"/>
  <c r="BV492" i="6" s="1"/>
  <c r="BV493" i="6" s="1"/>
  <c r="BU1042" i="6"/>
  <c r="DD1042" i="6" s="1"/>
  <c r="BV751" i="6"/>
  <c r="BZ387" i="6"/>
  <c r="DE387" i="6" s="1"/>
  <c r="BX388" i="6"/>
  <c r="BW357" i="6"/>
  <c r="BW750" i="6" s="1"/>
  <c r="BW751" i="6" s="1"/>
  <c r="BW409" i="6"/>
  <c r="BW472" i="6" s="1"/>
  <c r="BW405" i="6"/>
  <c r="BV426" i="6"/>
  <c r="BV489" i="6" s="1"/>
  <c r="BV490" i="6" s="1"/>
  <c r="BU302" i="6"/>
  <c r="BU301" i="6" s="1"/>
  <c r="BT301" i="6"/>
  <c r="BT303" i="6" s="1"/>
  <c r="BX356" i="6"/>
  <c r="BX749" i="6" s="1"/>
  <c r="BX384" i="6"/>
  <c r="BS304" i="6"/>
  <c r="BX304" i="6"/>
  <c r="DA151" i="6"/>
  <c r="BF1345" i="6"/>
  <c r="Q49" i="42457"/>
  <c r="Q51" i="42457" s="1"/>
  <c r="BF162" i="6"/>
  <c r="BF153" i="6"/>
  <c r="BG162" i="6"/>
  <c r="BG163" i="6" s="1"/>
  <c r="R49" i="42457"/>
  <c r="R51" i="42457" s="1"/>
  <c r="BG153" i="6"/>
  <c r="BG155" i="6" s="1"/>
  <c r="BG157" i="6" s="1"/>
  <c r="BG1345" i="6"/>
  <c r="BF161" i="6"/>
  <c r="DA160" i="6"/>
  <c r="BI1170" i="6"/>
  <c r="BI1172" i="6" s="1"/>
  <c r="BI1271" i="6" s="1"/>
  <c r="BI1275" i="6" s="1"/>
  <c r="BI1276" i="6" s="1"/>
  <c r="BI1295" i="6" s="1"/>
  <c r="BI1296" i="6" s="1"/>
  <c r="BI147" i="6"/>
  <c r="BJ1162" i="6"/>
  <c r="BI142" i="6"/>
  <c r="BI144" i="6" s="1"/>
  <c r="CF800" i="6"/>
  <c r="CE799" i="6"/>
  <c r="CE802" i="6" s="1"/>
  <c r="CC873" i="6"/>
  <c r="CG821" i="6"/>
  <c r="CG870" i="6" s="1"/>
  <c r="CG76" i="6" s="1"/>
  <c r="CG800" i="6"/>
  <c r="BY1149" i="6"/>
  <c r="BZ1093" i="6"/>
  <c r="CN1093" i="6"/>
  <c r="CO1093" i="6" s="1"/>
  <c r="BY1151" i="6"/>
  <c r="BZ1095" i="6"/>
  <c r="CN1095" i="6"/>
  <c r="CO1095" i="6" s="1"/>
  <c r="CA1154" i="6"/>
  <c r="DF1154" i="6" s="1"/>
  <c r="CB1098" i="6"/>
  <c r="CB1154" i="6" s="1"/>
  <c r="DG1154" i="6" s="1"/>
  <c r="DF1098" i="6"/>
  <c r="CB873" i="6"/>
  <c r="DG873" i="6" s="1"/>
  <c r="I88" i="42458"/>
  <c r="I87" i="42458" s="1"/>
  <c r="DG872" i="6"/>
  <c r="CB1088" i="6"/>
  <c r="CA1144" i="6"/>
  <c r="CD913" i="6"/>
  <c r="CD802" i="6"/>
  <c r="CB1150" i="6"/>
  <c r="DG1150" i="6" s="1"/>
  <c r="DG1094" i="6"/>
  <c r="CC1094" i="6"/>
  <c r="CE1064" i="6"/>
  <c r="CD1066" i="6"/>
  <c r="CE910" i="6"/>
  <c r="CE907" i="6"/>
  <c r="BZ281" i="42290"/>
  <c r="BZ282" i="42290" s="1"/>
  <c r="BZ288" i="42290" s="1"/>
  <c r="BZ294" i="42290" s="1"/>
  <c r="CE867" i="6"/>
  <c r="CE811" i="6"/>
  <c r="CE814" i="6" s="1"/>
  <c r="CE820" i="6"/>
  <c r="CE932" i="6"/>
  <c r="CE950" i="6" s="1"/>
  <c r="CE49" i="6" s="1"/>
  <c r="CD919" i="6"/>
  <c r="CD918" i="6"/>
  <c r="CB806" i="6"/>
  <c r="DG806" i="6" s="1"/>
  <c r="DG805" i="6"/>
  <c r="BZ1152" i="6"/>
  <c r="DE1152" i="6" s="1"/>
  <c r="CN1152" i="6"/>
  <c r="CO1152" i="6" s="1"/>
  <c r="DF329" i="6"/>
  <c r="CB329" i="6"/>
  <c r="CC924" i="6"/>
  <c r="CC922" i="6"/>
  <c r="CD869" i="6"/>
  <c r="CD823" i="6"/>
  <c r="CD872" i="6" s="1"/>
  <c r="CD873" i="6" s="1"/>
  <c r="CG787" i="6"/>
  <c r="CG785" i="6"/>
  <c r="CF793" i="6"/>
  <c r="CF901" i="6"/>
  <c r="CF906" i="6" s="1"/>
  <c r="CF808" i="6"/>
  <c r="CF790" i="6"/>
  <c r="CF791" i="6" s="1"/>
  <c r="CE917" i="6"/>
  <c r="CE796" i="6"/>
  <c r="BY296" i="42290"/>
  <c r="CD921" i="6"/>
  <c r="BY295" i="42290"/>
  <c r="CD1097" i="6"/>
  <c r="CD1153" i="6" s="1"/>
  <c r="CA1096" i="6"/>
  <c r="DE1096" i="6"/>
  <c r="BV1178" i="6"/>
  <c r="BW1175" i="6"/>
  <c r="CA289" i="6"/>
  <c r="CA294" i="6" s="1"/>
  <c r="CB288" i="6"/>
  <c r="BY366" i="6"/>
  <c r="BX408" i="6"/>
  <c r="CD291" i="6"/>
  <c r="CC753" i="6"/>
  <c r="CA367" i="6"/>
  <c r="DE367" i="6"/>
  <c r="BW471" i="6"/>
  <c r="BX1268" i="6"/>
  <c r="BY1266" i="6"/>
  <c r="BZ1266" i="6" s="1"/>
  <c r="BY1038" i="6"/>
  <c r="BY1042" i="6" s="1"/>
  <c r="BY1347" i="6"/>
  <c r="CZ880" i="6"/>
  <c r="BA884" i="6"/>
  <c r="BB880" i="6"/>
  <c r="BB884" i="6" s="1"/>
  <c r="BB894" i="6" s="1"/>
  <c r="BB895" i="6" s="1"/>
  <c r="BC883" i="6"/>
  <c r="BH162" i="6"/>
  <c r="BH163" i="6" s="1"/>
  <c r="BH1345" i="6"/>
  <c r="S49" i="42457"/>
  <c r="S51" i="42457" s="1"/>
  <c r="DD1175" i="6"/>
  <c r="BU1178" i="6"/>
  <c r="DD1178" i="6" s="1"/>
  <c r="DD1038" i="6"/>
  <c r="DD426" i="6"/>
  <c r="DD360" i="6"/>
  <c r="DD749" i="6"/>
  <c r="BU751" i="6"/>
  <c r="DD751" i="6" s="1"/>
  <c r="Q171" i="6"/>
  <c r="Q1129" i="6"/>
  <c r="P1254" i="6"/>
  <c r="P1350" i="6"/>
  <c r="Q1348" i="6"/>
  <c r="Q1227" i="6"/>
  <c r="R1209" i="6"/>
  <c r="CS1209" i="6" s="1"/>
  <c r="R1061" i="6"/>
  <c r="W1047" i="6"/>
  <c r="CT1047" i="6" s="1"/>
  <c r="CS1053" i="6"/>
  <c r="S1047" i="6"/>
  <c r="S1048" i="6" s="1"/>
  <c r="S1053" i="6" s="1"/>
  <c r="S1209" i="6" s="1"/>
  <c r="R1225" i="6"/>
  <c r="P181" i="6"/>
  <c r="P179" i="6"/>
  <c r="BU1347" i="6"/>
  <c r="DD1224" i="6"/>
  <c r="DG331" i="6"/>
  <c r="CC331" i="6"/>
  <c r="CB336" i="6"/>
  <c r="CE286" i="6"/>
  <c r="CC330" i="6"/>
  <c r="CD330" i="6" s="1"/>
  <c r="CE330" i="6" s="1"/>
  <c r="CF330" i="6" s="1"/>
  <c r="CG330" i="6" s="1"/>
  <c r="DG330" i="6"/>
  <c r="CA1146" i="6"/>
  <c r="CA337" i="6"/>
  <c r="DF337" i="6" s="1"/>
  <c r="DF336" i="6"/>
  <c r="U301" i="6"/>
  <c r="U303" i="6" s="1"/>
  <c r="T302" i="6"/>
  <c r="AA304" i="6"/>
  <c r="CB302" i="6"/>
  <c r="CA301" i="6"/>
  <c r="CN1042" i="6" l="1"/>
  <c r="CO1042" i="6" s="1"/>
  <c r="CN1347" i="6"/>
  <c r="BZ1144" i="6"/>
  <c r="BZ1114" i="6"/>
  <c r="CA387" i="6"/>
  <c r="DF387" i="6" s="1"/>
  <c r="BW358" i="6"/>
  <c r="BW360" i="6" s="1"/>
  <c r="BW426" i="6"/>
  <c r="BW489" i="6" s="1"/>
  <c r="BY388" i="6"/>
  <c r="BX357" i="6"/>
  <c r="BX750" i="6" s="1"/>
  <c r="BX751" i="6" s="1"/>
  <c r="BX409" i="6"/>
  <c r="BX405" i="6"/>
  <c r="BT304" i="6"/>
  <c r="BY304" i="6"/>
  <c r="BX426" i="6"/>
  <c r="BX489" i="6" s="1"/>
  <c r="BX490" i="6" s="1"/>
  <c r="BZ366" i="6"/>
  <c r="BY356" i="6"/>
  <c r="BY384" i="6"/>
  <c r="DA153" i="6"/>
  <c r="BF155" i="6"/>
  <c r="BI160" i="6"/>
  <c r="BI161" i="6" s="1"/>
  <c r="BI151" i="6"/>
  <c r="BF163" i="6"/>
  <c r="DA162" i="6"/>
  <c r="BJ147" i="6"/>
  <c r="BJ1170" i="6"/>
  <c r="BK1162" i="6"/>
  <c r="BJ142" i="6"/>
  <c r="CF799" i="6"/>
  <c r="CF802" i="6" s="1"/>
  <c r="CE913" i="6"/>
  <c r="CE914" i="6" s="1"/>
  <c r="CE869" i="6"/>
  <c r="CE823" i="6"/>
  <c r="CE872" i="6" s="1"/>
  <c r="CE873" i="6" s="1"/>
  <c r="BZ296" i="42290"/>
  <c r="CE921" i="6"/>
  <c r="BZ295" i="42290"/>
  <c r="CC1150" i="6"/>
  <c r="CD1094" i="6"/>
  <c r="CD805" i="6"/>
  <c r="CD806" i="6" s="1"/>
  <c r="CD803" i="6"/>
  <c r="CC1088" i="6"/>
  <c r="CB1144" i="6"/>
  <c r="J87" i="42458"/>
  <c r="J88" i="42458" s="1"/>
  <c r="H87" i="42458"/>
  <c r="H88" i="42458" s="1"/>
  <c r="CC1098" i="6"/>
  <c r="CC1154" i="6" s="1"/>
  <c r="DG1098" i="6"/>
  <c r="BZ1151" i="6"/>
  <c r="DE1151" i="6" s="1"/>
  <c r="CN1151" i="6"/>
  <c r="CO1151" i="6" s="1"/>
  <c r="DE1093" i="6"/>
  <c r="CA1093" i="6"/>
  <c r="CE918" i="6"/>
  <c r="CE919" i="6"/>
  <c r="CA281" i="42290"/>
  <c r="CA282" i="42290" s="1"/>
  <c r="CA288" i="42290" s="1"/>
  <c r="CA294" i="42290" s="1"/>
  <c r="CF910" i="6"/>
  <c r="CF907" i="6"/>
  <c r="CN1038" i="6"/>
  <c r="CO1038" i="6" s="1"/>
  <c r="CN1114" i="6"/>
  <c r="CO1114" i="6" s="1"/>
  <c r="CA1152" i="6"/>
  <c r="DF1152" i="6" s="1"/>
  <c r="DF1096" i="6"/>
  <c r="CB1096" i="6"/>
  <c r="CE1097" i="6"/>
  <c r="CE1153" i="6" s="1"/>
  <c r="CD922" i="6"/>
  <c r="CD924" i="6"/>
  <c r="CF867" i="6"/>
  <c r="CF820" i="6"/>
  <c r="CF932" i="6"/>
  <c r="CF950" i="6" s="1"/>
  <c r="CF49" i="6" s="1"/>
  <c r="CF811" i="6"/>
  <c r="CF814" i="6" s="1"/>
  <c r="CF917" i="6"/>
  <c r="CF796" i="6"/>
  <c r="CG793" i="6"/>
  <c r="CG901" i="6"/>
  <c r="CG906" i="6" s="1"/>
  <c r="CG808" i="6"/>
  <c r="CG790" i="6"/>
  <c r="CG791" i="6" s="1"/>
  <c r="CC925" i="6"/>
  <c r="CC927" i="6"/>
  <c r="CC329" i="6"/>
  <c r="CD329" i="6" s="1"/>
  <c r="CE329" i="6" s="1"/>
  <c r="DG329" i="6"/>
  <c r="BZ1038" i="6"/>
  <c r="BZ1042" i="6" s="1"/>
  <c r="DE1042" i="6" s="1"/>
  <c r="CE1066" i="6"/>
  <c r="CF1064" i="6"/>
  <c r="CD914" i="6"/>
  <c r="CD915" i="6"/>
  <c r="DE1095" i="6"/>
  <c r="CA1095" i="6"/>
  <c r="BZ1149" i="6"/>
  <c r="CN1149" i="6"/>
  <c r="CO1149" i="6" s="1"/>
  <c r="CE803" i="6"/>
  <c r="CE805" i="6"/>
  <c r="CE806" i="6" s="1"/>
  <c r="DF367" i="6"/>
  <c r="CB367" i="6"/>
  <c r="BY408" i="6"/>
  <c r="DF294" i="6"/>
  <c r="CA295" i="6"/>
  <c r="DF295" i="6" s="1"/>
  <c r="BW1178" i="6"/>
  <c r="BX1175" i="6"/>
  <c r="BY1268" i="6"/>
  <c r="BZ1268" i="6" s="1"/>
  <c r="DE1268" i="6" s="1"/>
  <c r="CD753" i="6"/>
  <c r="CE291" i="6"/>
  <c r="BX471" i="6"/>
  <c r="CC288" i="6"/>
  <c r="CD288" i="6" s="1"/>
  <c r="CE288" i="6" s="1"/>
  <c r="CF288" i="6" s="1"/>
  <c r="CG288" i="6" s="1"/>
  <c r="CB289" i="6"/>
  <c r="BD883" i="6"/>
  <c r="BC880" i="6"/>
  <c r="BC884" i="6" s="1"/>
  <c r="BC894" i="6" s="1"/>
  <c r="BC895" i="6" s="1"/>
  <c r="BA894" i="6"/>
  <c r="CZ884" i="6"/>
  <c r="CS1225" i="6"/>
  <c r="R1227" i="6"/>
  <c r="R1348" i="6"/>
  <c r="R1072" i="6"/>
  <c r="CS1061" i="6"/>
  <c r="S1225" i="6"/>
  <c r="S1061" i="6"/>
  <c r="S1072" i="6" s="1"/>
  <c r="T1047" i="6"/>
  <c r="T1048" i="6" s="1"/>
  <c r="T1053" i="6" s="1"/>
  <c r="T1209" i="6" s="1"/>
  <c r="Q1253" i="6"/>
  <c r="Q1229" i="6"/>
  <c r="Q1232" i="6" s="1"/>
  <c r="Q182" i="6"/>
  <c r="Q177" i="6"/>
  <c r="Q176" i="6"/>
  <c r="DE1266" i="6"/>
  <c r="CF286" i="6"/>
  <c r="CD331" i="6"/>
  <c r="CC336" i="6"/>
  <c r="CC337" i="6" s="1"/>
  <c r="CC302" i="6"/>
  <c r="CB301" i="6"/>
  <c r="S302" i="6"/>
  <c r="T301" i="6"/>
  <c r="T303" i="6" s="1"/>
  <c r="CB1146" i="6"/>
  <c r="Z304" i="6"/>
  <c r="CB337" i="6"/>
  <c r="DG337" i="6" s="1"/>
  <c r="DG336" i="6"/>
  <c r="DE1114" i="6" l="1"/>
  <c r="BZ1224" i="6"/>
  <c r="BZ1347" i="6" s="1"/>
  <c r="CA1114" i="6"/>
  <c r="CB387" i="6"/>
  <c r="CC387" i="6" s="1"/>
  <c r="BX358" i="6"/>
  <c r="BX360" i="6" s="1"/>
  <c r="CE915" i="6"/>
  <c r="BZ408" i="6"/>
  <c r="BZ471" i="6" s="1"/>
  <c r="BX472" i="6"/>
  <c r="CF913" i="6"/>
  <c r="BZ356" i="6"/>
  <c r="BZ749" i="6" s="1"/>
  <c r="BZ384" i="6"/>
  <c r="DE384" i="6" s="1"/>
  <c r="BZ388" i="6"/>
  <c r="BY357" i="6"/>
  <c r="BY750" i="6" s="1"/>
  <c r="BY409" i="6"/>
  <c r="BY472" i="6" s="1"/>
  <c r="BY405" i="6"/>
  <c r="BK147" i="6"/>
  <c r="DB147" i="6" s="1"/>
  <c r="DB1162" i="6"/>
  <c r="BL1162" i="6"/>
  <c r="BK1170" i="6"/>
  <c r="DB1170" i="6" s="1"/>
  <c r="BJ1172" i="6"/>
  <c r="BJ1271" i="6" s="1"/>
  <c r="BJ1275" i="6" s="1"/>
  <c r="BJ1276" i="6" s="1"/>
  <c r="BJ1295" i="6" s="1"/>
  <c r="BJ1296" i="6" s="1"/>
  <c r="BI1345" i="6"/>
  <c r="T49" i="42457"/>
  <c r="T51" i="42457" s="1"/>
  <c r="BI162" i="6"/>
  <c r="BI163" i="6" s="1"/>
  <c r="BI153" i="6"/>
  <c r="BI155" i="6" s="1"/>
  <c r="BI157" i="6" s="1"/>
  <c r="BJ144" i="6"/>
  <c r="BK142" i="6"/>
  <c r="DB142" i="6" s="1"/>
  <c r="BF157" i="6"/>
  <c r="DA157" i="6" s="1"/>
  <c r="DA155" i="6"/>
  <c r="CA1038" i="6"/>
  <c r="CA1042" i="6" s="1"/>
  <c r="DF1042" i="6" s="1"/>
  <c r="CG799" i="6"/>
  <c r="CG913" i="6" s="1"/>
  <c r="DE1038" i="6"/>
  <c r="AC34" i="42457"/>
  <c r="CB281" i="42290"/>
  <c r="CB282" i="42290" s="1"/>
  <c r="CB288" i="42290" s="1"/>
  <c r="CB294" i="42290" s="1"/>
  <c r="CG910" i="6"/>
  <c r="CG907" i="6"/>
  <c r="CF869" i="6"/>
  <c r="CF823" i="6"/>
  <c r="CF872" i="6" s="1"/>
  <c r="CF873" i="6" s="1"/>
  <c r="CF805" i="6"/>
  <c r="CF806" i="6" s="1"/>
  <c r="CF803" i="6"/>
  <c r="CD925" i="6"/>
  <c r="CD927" i="6"/>
  <c r="CB1152" i="6"/>
  <c r="DG1152" i="6" s="1"/>
  <c r="CC1096" i="6"/>
  <c r="DG1096" i="6"/>
  <c r="CB1093" i="6"/>
  <c r="DF1093" i="6"/>
  <c r="CA1266" i="6"/>
  <c r="DF1266" i="6" s="1"/>
  <c r="CD1098" i="6"/>
  <c r="CD1150" i="6"/>
  <c r="CE1094" i="6"/>
  <c r="DE1149" i="6"/>
  <c r="CA1151" i="6"/>
  <c r="DF1151" i="6" s="1"/>
  <c r="DF1095" i="6"/>
  <c r="CB1095" i="6"/>
  <c r="CG1064" i="6"/>
  <c r="CG1066" i="6" s="1"/>
  <c r="CF1066" i="6"/>
  <c r="CC1007" i="6"/>
  <c r="CC928" i="6"/>
  <c r="CC1006" i="6"/>
  <c r="CC929" i="6"/>
  <c r="CC937" i="6"/>
  <c r="CC1000" i="6"/>
  <c r="CC1002" i="6" s="1"/>
  <c r="CC934" i="6"/>
  <c r="CC949" i="6"/>
  <c r="CC958" i="6"/>
  <c r="CG820" i="6"/>
  <c r="CG932" i="6"/>
  <c r="CG950" i="6" s="1"/>
  <c r="CG49" i="6" s="1"/>
  <c r="CG867" i="6"/>
  <c r="CG811" i="6"/>
  <c r="CG814" i="6" s="1"/>
  <c r="CG917" i="6"/>
  <c r="CG796" i="6"/>
  <c r="CF918" i="6"/>
  <c r="CF919" i="6"/>
  <c r="CF914" i="6"/>
  <c r="CF915" i="6"/>
  <c r="CF1097" i="6"/>
  <c r="CG1097" i="6" s="1"/>
  <c r="CG1153" i="6" s="1"/>
  <c r="CA296" i="42290"/>
  <c r="CF921" i="6"/>
  <c r="CA295" i="42290"/>
  <c r="CA1149" i="6"/>
  <c r="DF1149" i="6" s="1"/>
  <c r="CC1144" i="6"/>
  <c r="CD1088" i="6"/>
  <c r="CE924" i="6"/>
  <c r="CE922" i="6"/>
  <c r="BX1178" i="6"/>
  <c r="BY1175" i="6"/>
  <c r="BY471" i="6"/>
  <c r="CN471" i="6" s="1"/>
  <c r="CC289" i="6"/>
  <c r="CB294" i="6"/>
  <c r="CF291" i="6"/>
  <c r="CE753" i="6"/>
  <c r="DE366" i="6"/>
  <c r="CA366" i="6"/>
  <c r="BY749" i="6"/>
  <c r="CC367" i="6"/>
  <c r="CD367" i="6" s="1"/>
  <c r="CE367" i="6" s="1"/>
  <c r="CF367" i="6" s="1"/>
  <c r="CG367" i="6" s="1"/>
  <c r="DG367" i="6"/>
  <c r="BY358" i="6"/>
  <c r="CZ894" i="6"/>
  <c r="BA895" i="6"/>
  <c r="CZ895" i="6" s="1"/>
  <c r="BE883" i="6"/>
  <c r="BD880" i="6"/>
  <c r="BD884" i="6" s="1"/>
  <c r="BD894" i="6" s="1"/>
  <c r="BD895" i="6" s="1"/>
  <c r="T1061" i="6"/>
  <c r="T1072" i="6" s="1"/>
  <c r="T1129" i="6" s="1"/>
  <c r="U1047" i="6"/>
  <c r="U1048" i="6" s="1"/>
  <c r="U1053" i="6" s="1"/>
  <c r="U1209" i="6" s="1"/>
  <c r="T1225" i="6"/>
  <c r="S171" i="6"/>
  <c r="CS1072" i="6"/>
  <c r="R1129" i="6"/>
  <c r="CS1129" i="6" s="1"/>
  <c r="R171" i="6"/>
  <c r="Q1254" i="6"/>
  <c r="Q1350" i="6"/>
  <c r="S1129" i="6"/>
  <c r="Q181" i="6"/>
  <c r="Q179" i="6"/>
  <c r="S1348" i="6"/>
  <c r="S1227" i="6"/>
  <c r="CS1227" i="6"/>
  <c r="R1229" i="6"/>
  <c r="R1253" i="6"/>
  <c r="CS1253" i="6" s="1"/>
  <c r="CC1090" i="6"/>
  <c r="CF329" i="6"/>
  <c r="CG286" i="6"/>
  <c r="Y304" i="6"/>
  <c r="CD302" i="6"/>
  <c r="CC301" i="6"/>
  <c r="CD336" i="6"/>
  <c r="CD337" i="6" s="1"/>
  <c r="CE331" i="6"/>
  <c r="R302" i="6"/>
  <c r="S301" i="6"/>
  <c r="S303" i="6" s="1"/>
  <c r="DE1224" i="6" l="1"/>
  <c r="AD34" i="42457"/>
  <c r="CA1224" i="6"/>
  <c r="CA1347" i="6" s="1"/>
  <c r="CB1149" i="6"/>
  <c r="DG1149" i="6" s="1"/>
  <c r="CB1114" i="6"/>
  <c r="CB1224" i="6" s="1"/>
  <c r="DG1224" i="6" s="1"/>
  <c r="DF1038" i="6"/>
  <c r="DG387" i="6"/>
  <c r="BY751" i="6"/>
  <c r="BZ409" i="6"/>
  <c r="BZ426" i="6" s="1"/>
  <c r="BZ489" i="6" s="1"/>
  <c r="CN472" i="6"/>
  <c r="CA384" i="6"/>
  <c r="DF384" i="6" s="1"/>
  <c r="CA356" i="6"/>
  <c r="BY426" i="6"/>
  <c r="BY489" i="6" s="1"/>
  <c r="BY490" i="6" s="1"/>
  <c r="BZ357" i="6"/>
  <c r="CA388" i="6"/>
  <c r="DE388" i="6"/>
  <c r="BZ405" i="6"/>
  <c r="DE405" i="6" s="1"/>
  <c r="BK144" i="6"/>
  <c r="BJ160" i="6"/>
  <c r="BJ161" i="6" s="1"/>
  <c r="BJ151" i="6"/>
  <c r="BL147" i="6"/>
  <c r="BL142" i="6"/>
  <c r="BL144" i="6" s="1"/>
  <c r="BM1162" i="6"/>
  <c r="BL1170" i="6"/>
  <c r="BL1172" i="6" s="1"/>
  <c r="BL1271" i="6" s="1"/>
  <c r="BL1275" i="6" s="1"/>
  <c r="BL1276" i="6" s="1"/>
  <c r="BL1295" i="6" s="1"/>
  <c r="BL1296" i="6" s="1"/>
  <c r="BK1172" i="6"/>
  <c r="DB1172" i="6" s="1"/>
  <c r="CG802" i="6"/>
  <c r="CG803" i="6" s="1"/>
  <c r="CA1268" i="6"/>
  <c r="DF1268" i="6" s="1"/>
  <c r="DF1114" i="6"/>
  <c r="BY1178" i="6"/>
  <c r="BZ1175" i="6"/>
  <c r="CE925" i="6"/>
  <c r="CE927" i="6"/>
  <c r="CG918" i="6"/>
  <c r="CG919" i="6"/>
  <c r="CG869" i="6"/>
  <c r="CG823" i="6"/>
  <c r="CG872" i="6" s="1"/>
  <c r="CG873" i="6" s="1"/>
  <c r="CG915" i="6"/>
  <c r="CG914" i="6"/>
  <c r="CC952" i="6"/>
  <c r="CC48" i="6"/>
  <c r="CD387" i="6"/>
  <c r="DG1095" i="6"/>
  <c r="CC1095" i="6"/>
  <c r="CE1098" i="6"/>
  <c r="CE1154" i="6" s="1"/>
  <c r="CC1093" i="6"/>
  <c r="DG1093" i="6"/>
  <c r="CB1266" i="6"/>
  <c r="CB1268" i="6" s="1"/>
  <c r="DG1268" i="6" s="1"/>
  <c r="CB296" i="42290"/>
  <c r="CB295" i="42290"/>
  <c r="CG921" i="6"/>
  <c r="CB1038" i="6"/>
  <c r="DG1038" i="6" s="1"/>
  <c r="BZ358" i="6"/>
  <c r="BZ360" i="6"/>
  <c r="CD1144" i="6"/>
  <c r="CE1088" i="6"/>
  <c r="CF924" i="6"/>
  <c r="CF922" i="6"/>
  <c r="CF1153" i="6"/>
  <c r="CC938" i="6"/>
  <c r="CC942" i="6"/>
  <c r="CB1151" i="6"/>
  <c r="DG1151" i="6" s="1"/>
  <c r="CE1150" i="6"/>
  <c r="CF1094" i="6"/>
  <c r="CG1094" i="6" s="1"/>
  <c r="CG1150" i="6" s="1"/>
  <c r="CD1154" i="6"/>
  <c r="CC1152" i="6"/>
  <c r="CD1096" i="6"/>
  <c r="CE1096" i="6" s="1"/>
  <c r="CD1006" i="6"/>
  <c r="CD934" i="6"/>
  <c r="CD928" i="6"/>
  <c r="CD1007" i="6"/>
  <c r="CD929" i="6"/>
  <c r="CD1000" i="6"/>
  <c r="CD1002" i="6" s="1"/>
  <c r="CD958" i="6"/>
  <c r="CD949" i="6"/>
  <c r="CD937" i="6"/>
  <c r="CB366" i="6"/>
  <c r="DF366" i="6"/>
  <c r="CG291" i="6"/>
  <c r="CG753" i="6" s="1"/>
  <c r="CF753" i="6"/>
  <c r="CD289" i="6"/>
  <c r="CC294" i="6"/>
  <c r="CC295" i="6" s="1"/>
  <c r="BY360" i="6"/>
  <c r="BY492" i="6" s="1"/>
  <c r="BY493" i="6" s="1"/>
  <c r="DE356" i="6"/>
  <c r="DG294" i="6"/>
  <c r="CB295" i="6"/>
  <c r="DG295" i="6" s="1"/>
  <c r="DE471" i="6"/>
  <c r="DE408" i="6"/>
  <c r="CA408" i="6"/>
  <c r="BE880" i="6"/>
  <c r="BE884" i="6" s="1"/>
  <c r="BE894" i="6" s="1"/>
  <c r="BE895" i="6" s="1"/>
  <c r="BF883" i="6"/>
  <c r="S182" i="6"/>
  <c r="S176" i="6"/>
  <c r="S177" i="6"/>
  <c r="S1253" i="6"/>
  <c r="S1229" i="6"/>
  <c r="S1232" i="6" s="1"/>
  <c r="T171" i="6"/>
  <c r="R176" i="6"/>
  <c r="R177" i="6"/>
  <c r="R182" i="6"/>
  <c r="T1348" i="6"/>
  <c r="T1227" i="6"/>
  <c r="CS1229" i="6"/>
  <c r="R1232" i="6"/>
  <c r="V1047" i="6"/>
  <c r="V1048" i="6" s="1"/>
  <c r="U1225" i="6"/>
  <c r="U1061" i="6"/>
  <c r="U1072" i="6" s="1"/>
  <c r="Q302" i="6"/>
  <c r="R301" i="6"/>
  <c r="R303" i="6" s="1"/>
  <c r="CE302" i="6"/>
  <c r="CD301" i="6"/>
  <c r="X304" i="6"/>
  <c r="CE336" i="6"/>
  <c r="CE337" i="6" s="1"/>
  <c r="CF331" i="6"/>
  <c r="CG329" i="6"/>
  <c r="CD1090" i="6"/>
  <c r="CC1146" i="6"/>
  <c r="CC1266" i="6"/>
  <c r="AE34" i="42457" l="1"/>
  <c r="DF1224" i="6"/>
  <c r="CB1347" i="6"/>
  <c r="CN489" i="6"/>
  <c r="DE426" i="6"/>
  <c r="BZ750" i="6"/>
  <c r="DE357" i="6"/>
  <c r="CB356" i="6"/>
  <c r="CB384" i="6"/>
  <c r="DG384" i="6" s="1"/>
  <c r="CA357" i="6"/>
  <c r="DF388" i="6"/>
  <c r="CB388" i="6"/>
  <c r="CA405" i="6"/>
  <c r="DF405" i="6" s="1"/>
  <c r="BZ472" i="6"/>
  <c r="DE472" i="6" s="1"/>
  <c r="DE409" i="6"/>
  <c r="CA409" i="6"/>
  <c r="BM147" i="6"/>
  <c r="BM142" i="6"/>
  <c r="BM144" i="6" s="1"/>
  <c r="BM1170" i="6"/>
  <c r="BM1172" i="6" s="1"/>
  <c r="BM1271" i="6" s="1"/>
  <c r="BM1275" i="6" s="1"/>
  <c r="BM1276" i="6" s="1"/>
  <c r="BM1295" i="6" s="1"/>
  <c r="BM1296" i="6" s="1"/>
  <c r="BN1162" i="6"/>
  <c r="BL160" i="6"/>
  <c r="BL161" i="6" s="1"/>
  <c r="BL151" i="6"/>
  <c r="DB144" i="6"/>
  <c r="BK160" i="6"/>
  <c r="BK151" i="6"/>
  <c r="BJ1345" i="6"/>
  <c r="U49" i="42457"/>
  <c r="U51" i="42457" s="1"/>
  <c r="BJ162" i="6"/>
  <c r="BJ163" i="6" s="1"/>
  <c r="BJ153" i="6"/>
  <c r="BJ155" i="6" s="1"/>
  <c r="BJ157" i="6" s="1"/>
  <c r="DG1114" i="6"/>
  <c r="CC1224" i="6"/>
  <c r="CC1347" i="6" s="1"/>
  <c r="CC1114" i="6"/>
  <c r="CG805" i="6"/>
  <c r="CG806" i="6" s="1"/>
  <c r="CC1038" i="6"/>
  <c r="CC1042" i="6" s="1"/>
  <c r="DG1266" i="6"/>
  <c r="CB1042" i="6"/>
  <c r="DG1042" i="6" s="1"/>
  <c r="CD942" i="6"/>
  <c r="CD938" i="6"/>
  <c r="CE1152" i="6"/>
  <c r="CF1096" i="6"/>
  <c r="CF1088" i="6"/>
  <c r="CE1144" i="6"/>
  <c r="CG922" i="6"/>
  <c r="CG924" i="6"/>
  <c r="CC1151" i="6"/>
  <c r="CD1095" i="6"/>
  <c r="CE387" i="6"/>
  <c r="CE934" i="6"/>
  <c r="CE949" i="6"/>
  <c r="CE1006" i="6"/>
  <c r="CE928" i="6"/>
  <c r="CE929" i="6"/>
  <c r="CE958" i="6"/>
  <c r="CE1000" i="6"/>
  <c r="CE1002" i="6" s="1"/>
  <c r="CE1007" i="6"/>
  <c r="CE937" i="6"/>
  <c r="BZ1178" i="6"/>
  <c r="DE1178" i="6" s="1"/>
  <c r="CA1175" i="6"/>
  <c r="DE1175" i="6"/>
  <c r="CD952" i="6"/>
  <c r="CD48" i="6"/>
  <c r="CD1152" i="6"/>
  <c r="CF1150" i="6"/>
  <c r="CC943" i="6"/>
  <c r="CC960" i="6" s="1"/>
  <c r="CC965" i="6" s="1"/>
  <c r="CF925" i="6"/>
  <c r="CF927" i="6"/>
  <c r="CC1149" i="6"/>
  <c r="CD1093" i="6"/>
  <c r="CF1098" i="6"/>
  <c r="CG1098" i="6" s="1"/>
  <c r="CG1154" i="6" s="1"/>
  <c r="DE358" i="6"/>
  <c r="CA358" i="6"/>
  <c r="CA749" i="6"/>
  <c r="DF356" i="6"/>
  <c r="CB408" i="6"/>
  <c r="DF408" i="6"/>
  <c r="CA471" i="6"/>
  <c r="DF471" i="6" s="1"/>
  <c r="DE749" i="6"/>
  <c r="DE360" i="6"/>
  <c r="CA360" i="6"/>
  <c r="CE289" i="6"/>
  <c r="CD294" i="6"/>
  <c r="CD295" i="6" s="1"/>
  <c r="CC366" i="6"/>
  <c r="DG366" i="6"/>
  <c r="BF880" i="6"/>
  <c r="DA883" i="6"/>
  <c r="BG883" i="6"/>
  <c r="U171" i="6"/>
  <c r="U1129" i="6"/>
  <c r="U1227" i="6"/>
  <c r="U1348" i="6"/>
  <c r="T1253" i="6"/>
  <c r="T1229" i="6"/>
  <c r="T1232" i="6" s="1"/>
  <c r="R181" i="6"/>
  <c r="R179" i="6"/>
  <c r="W1048" i="6"/>
  <c r="V1053" i="6"/>
  <c r="T176" i="6"/>
  <c r="T182" i="6"/>
  <c r="T177" i="6"/>
  <c r="S181" i="6"/>
  <c r="S179" i="6"/>
  <c r="CS1232" i="6"/>
  <c r="R1350" i="6"/>
  <c r="R1254" i="6"/>
  <c r="CS1254" i="6" s="1"/>
  <c r="S1350" i="6"/>
  <c r="S1254" i="6"/>
  <c r="CF302" i="6"/>
  <c r="CE301" i="6"/>
  <c r="P302" i="6"/>
  <c r="Q301" i="6"/>
  <c r="Q303" i="6" s="1"/>
  <c r="CC1268" i="6"/>
  <c r="CF336" i="6"/>
  <c r="CF337" i="6" s="1"/>
  <c r="CG331" i="6"/>
  <c r="CG336" i="6" s="1"/>
  <c r="CD1146" i="6"/>
  <c r="CE1090" i="6"/>
  <c r="CD1266" i="6"/>
  <c r="W304" i="6"/>
  <c r="CT304" i="6" s="1"/>
  <c r="CA472" i="6" l="1"/>
  <c r="DF472" i="6" s="1"/>
  <c r="CB409" i="6"/>
  <c r="CB426" i="6" s="1"/>
  <c r="DG426" i="6" s="1"/>
  <c r="DF409" i="6"/>
  <c r="CB357" i="6"/>
  <c r="DG388" i="6"/>
  <c r="CC388" i="6"/>
  <c r="CB405" i="6"/>
  <c r="DG405" i="6" s="1"/>
  <c r="CA426" i="6"/>
  <c r="DF426" i="6" s="1"/>
  <c r="DF357" i="6"/>
  <c r="CA750" i="6"/>
  <c r="DF750" i="6" s="1"/>
  <c r="DE750" i="6"/>
  <c r="BZ751" i="6"/>
  <c r="DE751" i="6" s="1"/>
  <c r="BL1345" i="6"/>
  <c r="W49" i="42457"/>
  <c r="W51" i="42457" s="1"/>
  <c r="BL153" i="6"/>
  <c r="BL155" i="6" s="1"/>
  <c r="BL157" i="6" s="1"/>
  <c r="BL162" i="6"/>
  <c r="BL163" i="6" s="1"/>
  <c r="BO1162" i="6"/>
  <c r="BN147" i="6"/>
  <c r="BN1170" i="6"/>
  <c r="BN1172" i="6" s="1"/>
  <c r="BN1271" i="6" s="1"/>
  <c r="BN1275" i="6" s="1"/>
  <c r="BN142" i="6"/>
  <c r="BN144" i="6" s="1"/>
  <c r="BK153" i="6"/>
  <c r="V49" i="42457"/>
  <c r="V51" i="42457" s="1"/>
  <c r="BK162" i="6"/>
  <c r="BK1345" i="6"/>
  <c r="DB151" i="6"/>
  <c r="BK161" i="6"/>
  <c r="DB160" i="6"/>
  <c r="BM151" i="6"/>
  <c r="BM160" i="6"/>
  <c r="BM161" i="6" s="1"/>
  <c r="CF1154" i="6"/>
  <c r="CD1038" i="6"/>
  <c r="CD1042" i="6" s="1"/>
  <c r="CD1114" i="6"/>
  <c r="CD1224" i="6"/>
  <c r="CD1347" i="6" s="1"/>
  <c r="CC945" i="6"/>
  <c r="CC946" i="6" s="1"/>
  <c r="CD1151" i="6"/>
  <c r="CC154" i="6"/>
  <c r="CC1351" i="6"/>
  <c r="CC978" i="6"/>
  <c r="DF1175" i="6"/>
  <c r="CB1175" i="6"/>
  <c r="CA1178" i="6"/>
  <c r="DF1178" i="6" s="1"/>
  <c r="CE938" i="6"/>
  <c r="CE942" i="6"/>
  <c r="CE1095" i="6"/>
  <c r="CE1151" i="6" s="1"/>
  <c r="CG925" i="6"/>
  <c r="CG927" i="6"/>
  <c r="CF1152" i="6"/>
  <c r="CG1096" i="6"/>
  <c r="CG1152" i="6" s="1"/>
  <c r="CD1149" i="6"/>
  <c r="CE1093" i="6"/>
  <c r="CF937" i="6"/>
  <c r="CF1007" i="6"/>
  <c r="CF1006" i="6"/>
  <c r="CF1000" i="6"/>
  <c r="CF1002" i="6" s="1"/>
  <c r="CF928" i="6"/>
  <c r="CF958" i="6"/>
  <c r="CF949" i="6"/>
  <c r="CF929" i="6"/>
  <c r="CF934" i="6"/>
  <c r="CE48" i="6"/>
  <c r="CE952" i="6"/>
  <c r="CF387" i="6"/>
  <c r="CG1088" i="6"/>
  <c r="CG1144" i="6" s="1"/>
  <c r="CF1144" i="6"/>
  <c r="CD943" i="6"/>
  <c r="CD960" i="6" s="1"/>
  <c r="CD965" i="6" s="1"/>
  <c r="CE294" i="6"/>
  <c r="CE295" i="6" s="1"/>
  <c r="CF289" i="6"/>
  <c r="DF749" i="6"/>
  <c r="CB749" i="6"/>
  <c r="DG356" i="6"/>
  <c r="CC384" i="6"/>
  <c r="CD366" i="6"/>
  <c r="CC356" i="6"/>
  <c r="CC749" i="6" s="1"/>
  <c r="CB360" i="6"/>
  <c r="DF360" i="6"/>
  <c r="CB471" i="6"/>
  <c r="DG471" i="6" s="1"/>
  <c r="DG408" i="6"/>
  <c r="CC408" i="6"/>
  <c r="CB358" i="6"/>
  <c r="DF358" i="6"/>
  <c r="BG880" i="6"/>
  <c r="BG884" i="6" s="1"/>
  <c r="BG894" i="6" s="1"/>
  <c r="BG895" i="6" s="1"/>
  <c r="BH883" i="6"/>
  <c r="BF884" i="6"/>
  <c r="DA880" i="6"/>
  <c r="CG337" i="6"/>
  <c r="T179" i="6"/>
  <c r="T181" i="6"/>
  <c r="U1229" i="6"/>
  <c r="U1232" i="6" s="1"/>
  <c r="U1253" i="6"/>
  <c r="V1061" i="6"/>
  <c r="V1072" i="6" s="1"/>
  <c r="V1225" i="6"/>
  <c r="V1209" i="6"/>
  <c r="CT1048" i="6"/>
  <c r="W1053" i="6"/>
  <c r="W1209" i="6" s="1"/>
  <c r="CT1209" i="6" s="1"/>
  <c r="T1254" i="6"/>
  <c r="T1350" i="6"/>
  <c r="U176" i="6"/>
  <c r="U177" i="6"/>
  <c r="U182" i="6"/>
  <c r="CF1090" i="6"/>
  <c r="CE1146" i="6"/>
  <c r="CE1266" i="6"/>
  <c r="CG302" i="6"/>
  <c r="CG301" i="6" s="1"/>
  <c r="CF301" i="6"/>
  <c r="V304" i="6"/>
  <c r="CD1268" i="6"/>
  <c r="O302" i="6"/>
  <c r="P301" i="6"/>
  <c r="P303" i="6" s="1"/>
  <c r="CA751" i="6" l="1"/>
  <c r="DF751" i="6" s="1"/>
  <c r="DG357" i="6"/>
  <c r="CB750" i="6"/>
  <c r="DG750" i="6" s="1"/>
  <c r="CC357" i="6"/>
  <c r="CD388" i="6"/>
  <c r="CC405" i="6"/>
  <c r="DG409" i="6"/>
  <c r="CB472" i="6"/>
  <c r="DG472" i="6" s="1"/>
  <c r="CC409" i="6"/>
  <c r="CC426" i="6" s="1"/>
  <c r="BN160" i="6"/>
  <c r="BN161" i="6" s="1"/>
  <c r="BN151" i="6"/>
  <c r="BK155" i="6"/>
  <c r="DB153" i="6"/>
  <c r="BM153" i="6"/>
  <c r="BM155" i="6" s="1"/>
  <c r="BM157" i="6" s="1"/>
  <c r="X49" i="42457"/>
  <c r="X51" i="42457" s="1"/>
  <c r="BM1345" i="6"/>
  <c r="BM162" i="6"/>
  <c r="BM163" i="6" s="1"/>
  <c r="BK163" i="6"/>
  <c r="DB162" i="6"/>
  <c r="BO1170" i="6"/>
  <c r="BO142" i="6"/>
  <c r="BP142" i="6" s="1"/>
  <c r="DC142" i="6" s="1"/>
  <c r="BO147" i="6"/>
  <c r="BP1162" i="6"/>
  <c r="CE1038" i="6"/>
  <c r="CE1042" i="6" s="1"/>
  <c r="CE1114" i="6"/>
  <c r="CE1224" i="6"/>
  <c r="CE1347" i="6" s="1"/>
  <c r="CD945" i="6"/>
  <c r="CD946" i="6" s="1"/>
  <c r="CD154" i="6"/>
  <c r="CD1351" i="6"/>
  <c r="CE1149" i="6"/>
  <c r="CF1093" i="6"/>
  <c r="CG928" i="6"/>
  <c r="CG934" i="6"/>
  <c r="CG949" i="6"/>
  <c r="CG1000" i="6"/>
  <c r="CG1002" i="6" s="1"/>
  <c r="CG1007" i="6"/>
  <c r="CG958" i="6"/>
  <c r="CG1006" i="6"/>
  <c r="CG929" i="6"/>
  <c r="CG937" i="6"/>
  <c r="CE943" i="6"/>
  <c r="CE960" i="6" s="1"/>
  <c r="CE965" i="6" s="1"/>
  <c r="CG387" i="6"/>
  <c r="CF48" i="6"/>
  <c r="CF952" i="6"/>
  <c r="CF938" i="6"/>
  <c r="CF942" i="6"/>
  <c r="CF1095" i="6"/>
  <c r="CG1095" i="6" s="1"/>
  <c r="CG1151" i="6" s="1"/>
  <c r="CC1175" i="6"/>
  <c r="DG1175" i="6"/>
  <c r="CB1178" i="6"/>
  <c r="DG1178" i="6" s="1"/>
  <c r="CC1005" i="6"/>
  <c r="CD978" i="6"/>
  <c r="CC471" i="6"/>
  <c r="CD408" i="6"/>
  <c r="DG749" i="6"/>
  <c r="CC358" i="6"/>
  <c r="CD358" i="6" s="1"/>
  <c r="CE358" i="6" s="1"/>
  <c r="CF358" i="6" s="1"/>
  <c r="CG358" i="6" s="1"/>
  <c r="DG358" i="6"/>
  <c r="CC360" i="6"/>
  <c r="CD360" i="6" s="1"/>
  <c r="CE360" i="6" s="1"/>
  <c r="CF360" i="6" s="1"/>
  <c r="DG360" i="6"/>
  <c r="CD384" i="6"/>
  <c r="CD356" i="6"/>
  <c r="CD749" i="6" s="1"/>
  <c r="CE366" i="6"/>
  <c r="CF294" i="6"/>
  <c r="CF295" i="6" s="1"/>
  <c r="CG289" i="6"/>
  <c r="CG294" i="6" s="1"/>
  <c r="BF894" i="6"/>
  <c r="DA884" i="6"/>
  <c r="BH880" i="6"/>
  <c r="BH884" i="6" s="1"/>
  <c r="BH894" i="6" s="1"/>
  <c r="BH895" i="6" s="1"/>
  <c r="BI883" i="6"/>
  <c r="BN1276" i="6"/>
  <c r="BN1295" i="6" s="1"/>
  <c r="BN1296" i="6" s="1"/>
  <c r="BP73" i="6"/>
  <c r="BO168" i="6"/>
  <c r="BP168" i="6" s="1"/>
  <c r="BO80" i="6"/>
  <c r="BO1220" i="6" s="1"/>
  <c r="Z45" i="42457"/>
  <c r="Z46" i="42457" s="1"/>
  <c r="V1227" i="6"/>
  <c r="V1348" i="6"/>
  <c r="V1129" i="6"/>
  <c r="V171" i="6"/>
  <c r="U1350" i="6"/>
  <c r="U1254" i="6"/>
  <c r="W1225" i="6"/>
  <c r="AB1047" i="6"/>
  <c r="CU1047" i="6" s="1"/>
  <c r="W1061" i="6"/>
  <c r="CT1053" i="6"/>
  <c r="X1047" i="6"/>
  <c r="X1048" i="6" s="1"/>
  <c r="X1053" i="6" s="1"/>
  <c r="U179" i="6"/>
  <c r="U181" i="6"/>
  <c r="CE1268" i="6"/>
  <c r="CG1090" i="6"/>
  <c r="CF1146" i="6"/>
  <c r="CF1266" i="6"/>
  <c r="U304" i="6"/>
  <c r="N302" i="6"/>
  <c r="O301" i="6"/>
  <c r="O303" i="6" s="1"/>
  <c r="CF1224" i="6" l="1"/>
  <c r="CF1347" i="6" s="1"/>
  <c r="CB751" i="6"/>
  <c r="DG751" i="6" s="1"/>
  <c r="CD409" i="6"/>
  <c r="CD426" i="6" s="1"/>
  <c r="CC472" i="6"/>
  <c r="CE388" i="6"/>
  <c r="CD405" i="6"/>
  <c r="CD357" i="6"/>
  <c r="CC750" i="6"/>
  <c r="CC751" i="6" s="1"/>
  <c r="BO1172" i="6"/>
  <c r="BO1271" i="6" s="1"/>
  <c r="BP1170" i="6"/>
  <c r="DC1162" i="6"/>
  <c r="BQ1162" i="6"/>
  <c r="BP147" i="6"/>
  <c r="DC147" i="6" s="1"/>
  <c r="Y49" i="42457"/>
  <c r="Y51" i="42457" s="1"/>
  <c r="BN153" i="6"/>
  <c r="BN155" i="6" s="1"/>
  <c r="BN157" i="6" s="1"/>
  <c r="BN1345" i="6"/>
  <c r="BN162" i="6"/>
  <c r="BN163" i="6" s="1"/>
  <c r="DB155" i="6"/>
  <c r="BK157" i="6"/>
  <c r="DB157" i="6" s="1"/>
  <c r="CF1038" i="6"/>
  <c r="CF1042" i="6" s="1"/>
  <c r="CE1351" i="6"/>
  <c r="CE154" i="6"/>
  <c r="CF1149" i="6"/>
  <c r="CG1093" i="6"/>
  <c r="CG1149" i="6" s="1"/>
  <c r="BZ1170" i="6"/>
  <c r="DE1170" i="6" s="1"/>
  <c r="CN1170" i="6"/>
  <c r="CO1170" i="6" s="1"/>
  <c r="CE978" i="6"/>
  <c r="CD1005" i="6"/>
  <c r="CC1178" i="6"/>
  <c r="CD1175" i="6"/>
  <c r="CF1114" i="6"/>
  <c r="CF1151" i="6"/>
  <c r="CF943" i="6"/>
  <c r="CF960" i="6" s="1"/>
  <c r="CF965" i="6" s="1"/>
  <c r="CE945" i="6"/>
  <c r="CE946" i="6" s="1"/>
  <c r="CG938" i="6"/>
  <c r="CG942" i="6"/>
  <c r="CG952" i="6"/>
  <c r="CG48" i="6"/>
  <c r="CG295" i="6"/>
  <c r="CE384" i="6"/>
  <c r="CE356" i="6"/>
  <c r="CE749" i="6" s="1"/>
  <c r="CF366" i="6"/>
  <c r="CE408" i="6"/>
  <c r="CD471" i="6"/>
  <c r="BJ883" i="6"/>
  <c r="BI880" i="6"/>
  <c r="BI884" i="6" s="1"/>
  <c r="BI894" i="6" s="1"/>
  <c r="BI895" i="6" s="1"/>
  <c r="DA894" i="6"/>
  <c r="BF895" i="6"/>
  <c r="DA895" i="6" s="1"/>
  <c r="BO82" i="6"/>
  <c r="BP80" i="6"/>
  <c r="DC80" i="6" s="1"/>
  <c r="AA81" i="42457"/>
  <c r="AA82" i="42457" s="1"/>
  <c r="DC73" i="6"/>
  <c r="AA45" i="42457"/>
  <c r="AA46" i="42457" s="1"/>
  <c r="BQ80" i="6"/>
  <c r="BQ1220" i="6" s="1"/>
  <c r="BQ168" i="6"/>
  <c r="CG360" i="6"/>
  <c r="V1253" i="6"/>
  <c r="V1229" i="6"/>
  <c r="V1232" i="6" s="1"/>
  <c r="X1209" i="6"/>
  <c r="X1061" i="6"/>
  <c r="X1072" i="6" s="1"/>
  <c r="X1129" i="6" s="1"/>
  <c r="X1225" i="6"/>
  <c r="Y1047" i="6"/>
  <c r="Y1048" i="6" s="1"/>
  <c r="Y1053" i="6" s="1"/>
  <c r="W1227" i="6"/>
  <c r="CT1225" i="6"/>
  <c r="W1348" i="6"/>
  <c r="V176" i="6"/>
  <c r="V182" i="6"/>
  <c r="V177" i="6"/>
  <c r="W1072" i="6"/>
  <c r="CT1061" i="6"/>
  <c r="CG1146" i="6"/>
  <c r="CG1266" i="6"/>
  <c r="T304" i="6"/>
  <c r="M302" i="6"/>
  <c r="N301" i="6"/>
  <c r="N303" i="6" s="1"/>
  <c r="CF1268" i="6"/>
  <c r="CA1170" i="6" l="1"/>
  <c r="DF1170" i="6" s="1"/>
  <c r="CF388" i="6"/>
  <c r="CE405" i="6"/>
  <c r="CD750" i="6"/>
  <c r="CD751" i="6" s="1"/>
  <c r="CE357" i="6"/>
  <c r="CD472" i="6"/>
  <c r="CE409" i="6"/>
  <c r="CE426" i="6" s="1"/>
  <c r="BP1172" i="6"/>
  <c r="DC1172" i="6" s="1"/>
  <c r="DC1170" i="6"/>
  <c r="BO1275" i="6"/>
  <c r="BP1271" i="6"/>
  <c r="DC1271" i="6" s="1"/>
  <c r="BQ1170" i="6"/>
  <c r="BQ142" i="6"/>
  <c r="BR1162" i="6"/>
  <c r="BQ147" i="6"/>
  <c r="CG1114" i="6"/>
  <c r="CF945" i="6"/>
  <c r="CF946" i="6" s="1"/>
  <c r="CE1175" i="6"/>
  <c r="CD1178" i="6"/>
  <c r="CG1038" i="6"/>
  <c r="CG1042" i="6" s="1"/>
  <c r="CG1224" i="6"/>
  <c r="CG1347" i="6" s="1"/>
  <c r="CG943" i="6"/>
  <c r="CG960" i="6" s="1"/>
  <c r="CG965" i="6" s="1"/>
  <c r="CF1351" i="6"/>
  <c r="CF154" i="6"/>
  <c r="CE1005" i="6"/>
  <c r="CF978" i="6"/>
  <c r="CF408" i="6"/>
  <c r="CE471" i="6"/>
  <c r="CF384" i="6"/>
  <c r="CF356" i="6"/>
  <c r="CF749" i="6" s="1"/>
  <c r="CG366" i="6"/>
  <c r="BK883" i="6"/>
  <c r="BJ880" i="6"/>
  <c r="BJ884" i="6" s="1"/>
  <c r="BJ894" i="6" s="1"/>
  <c r="BJ895" i="6" s="1"/>
  <c r="BQ82" i="6"/>
  <c r="BQ84" i="6" s="1"/>
  <c r="BR168" i="6"/>
  <c r="BP82" i="6"/>
  <c r="BO84" i="6"/>
  <c r="BO1211" i="6"/>
  <c r="BP81" i="6"/>
  <c r="V181" i="6"/>
  <c r="V179" i="6"/>
  <c r="CT1227" i="6"/>
  <c r="W1253" i="6"/>
  <c r="CT1253" i="6" s="1"/>
  <c r="W1229" i="6"/>
  <c r="W171" i="6"/>
  <c r="CT1072" i="6"/>
  <c r="X171" i="6"/>
  <c r="W1129" i="6"/>
  <c r="CT1129" i="6" s="1"/>
  <c r="X1227" i="6"/>
  <c r="X1348" i="6"/>
  <c r="V1254" i="6"/>
  <c r="V1350" i="6"/>
  <c r="Y1061" i="6"/>
  <c r="Y1072" i="6" s="1"/>
  <c r="Z1047" i="6"/>
  <c r="Z1048" i="6" s="1"/>
  <c r="Z1053" i="6" s="1"/>
  <c r="Y1225" i="6"/>
  <c r="Y1209" i="6"/>
  <c r="M301" i="6"/>
  <c r="M303" i="6" s="1"/>
  <c r="L302" i="6"/>
  <c r="S304" i="6"/>
  <c r="CG1268" i="6"/>
  <c r="CB1170" i="6" l="1"/>
  <c r="DG1170" i="6" s="1"/>
  <c r="CE750" i="6"/>
  <c r="CE751" i="6" s="1"/>
  <c r="CF357" i="6"/>
  <c r="CE472" i="6"/>
  <c r="CF409" i="6"/>
  <c r="CF426" i="6" s="1"/>
  <c r="CG388" i="6"/>
  <c r="CG405" i="6" s="1"/>
  <c r="CF405" i="6"/>
  <c r="BR1170" i="6"/>
  <c r="BU1170" i="6" s="1"/>
  <c r="DD1170" i="6" s="1"/>
  <c r="BR142" i="6"/>
  <c r="BR147" i="6"/>
  <c r="BS1162" i="6"/>
  <c r="BR1172" i="6"/>
  <c r="BR1271" i="6" s="1"/>
  <c r="BR1275" i="6" s="1"/>
  <c r="BP1275" i="6"/>
  <c r="DC1275" i="6" s="1"/>
  <c r="BO1276" i="6"/>
  <c r="BQ1172" i="6"/>
  <c r="BQ1271" i="6" s="1"/>
  <c r="BQ1275" i="6" s="1"/>
  <c r="BQ1276" i="6" s="1"/>
  <c r="BQ1295" i="6" s="1"/>
  <c r="BQ1296" i="6" s="1"/>
  <c r="CG945" i="6"/>
  <c r="CG946" i="6" s="1"/>
  <c r="CG978" i="6"/>
  <c r="CG1005" i="6" s="1"/>
  <c r="CF1005" i="6"/>
  <c r="CG154" i="6"/>
  <c r="CG1351" i="6"/>
  <c r="CF1175" i="6"/>
  <c r="CE1178" i="6"/>
  <c r="CG384" i="6"/>
  <c r="CG356" i="6"/>
  <c r="CG749" i="6" s="1"/>
  <c r="CG408" i="6"/>
  <c r="CF471" i="6"/>
  <c r="BL883" i="6"/>
  <c r="BK880" i="6"/>
  <c r="DB883" i="6"/>
  <c r="BO86" i="6"/>
  <c r="BO1013" i="6"/>
  <c r="BO1027" i="6" s="1"/>
  <c r="BS168" i="6"/>
  <c r="BP84" i="6"/>
  <c r="DC84" i="6" s="1"/>
  <c r="DC82" i="6"/>
  <c r="BQ1013" i="6"/>
  <c r="BQ1027" i="6" s="1"/>
  <c r="BQ86" i="6"/>
  <c r="BP1211" i="6"/>
  <c r="DC1211" i="6" s="1"/>
  <c r="DC81" i="6"/>
  <c r="F8" i="42419"/>
  <c r="F15" i="42419" s="1"/>
  <c r="F17" i="42419" s="1"/>
  <c r="BQ1216" i="6"/>
  <c r="BQ1211" i="6"/>
  <c r="Z1209" i="6"/>
  <c r="AA1047" i="6"/>
  <c r="AA1048" i="6" s="1"/>
  <c r="Z1061" i="6"/>
  <c r="Z1072" i="6" s="1"/>
  <c r="Z1129" i="6" s="1"/>
  <c r="Z1225" i="6"/>
  <c r="Y171" i="6"/>
  <c r="Y1129" i="6"/>
  <c r="X1229" i="6"/>
  <c r="X1232" i="6" s="1"/>
  <c r="X1253" i="6"/>
  <c r="W177" i="6"/>
  <c r="W182" i="6"/>
  <c r="W176" i="6"/>
  <c r="Y1348" i="6"/>
  <c r="Y1227" i="6"/>
  <c r="X176" i="6"/>
  <c r="X177" i="6"/>
  <c r="X182" i="6"/>
  <c r="CT1229" i="6"/>
  <c r="W1232" i="6"/>
  <c r="L301" i="6"/>
  <c r="L303" i="6" s="1"/>
  <c r="K302" i="6"/>
  <c r="R304" i="6"/>
  <c r="CS304" i="6" s="1"/>
  <c r="BR1276" i="6" l="1"/>
  <c r="CG409" i="6"/>
  <c r="CG472" i="6" s="1"/>
  <c r="CF472" i="6"/>
  <c r="CG357" i="6"/>
  <c r="CG750" i="6" s="1"/>
  <c r="CG751" i="6" s="1"/>
  <c r="CF750" i="6"/>
  <c r="CF751" i="6" s="1"/>
  <c r="BU1161" i="6"/>
  <c r="BS1172" i="6"/>
  <c r="BS1271" i="6" s="1"/>
  <c r="BS1275" i="6" s="1"/>
  <c r="BS1276" i="6" s="1"/>
  <c r="BS147" i="6"/>
  <c r="BU146" i="6" s="1"/>
  <c r="DD146" i="6" s="1"/>
  <c r="BT1162" i="6"/>
  <c r="BS142" i="6"/>
  <c r="BU141" i="6" s="1"/>
  <c r="DD141" i="6" s="1"/>
  <c r="BP1276" i="6"/>
  <c r="DC1276" i="6" s="1"/>
  <c r="BO1295" i="6"/>
  <c r="CG1175" i="6"/>
  <c r="CG1178" i="6" s="1"/>
  <c r="CF1178" i="6"/>
  <c r="CG471" i="6"/>
  <c r="BL880" i="6"/>
  <c r="BM883" i="6"/>
  <c r="BK884" i="6"/>
  <c r="DB880" i="6"/>
  <c r="BL884" i="6"/>
  <c r="BL894" i="6" s="1"/>
  <c r="BL895" i="6" s="1"/>
  <c r="BP1013" i="6"/>
  <c r="DC1013" i="6" s="1"/>
  <c r="BQ1218" i="6"/>
  <c r="BR1214" i="6" s="1"/>
  <c r="BQ90" i="6"/>
  <c r="BQ88" i="6"/>
  <c r="BQ91" i="6"/>
  <c r="BO90" i="6"/>
  <c r="BO92" i="6" s="1"/>
  <c r="BP86" i="6"/>
  <c r="BO88" i="6"/>
  <c r="BO91" i="6"/>
  <c r="Z171" i="6"/>
  <c r="Z177" i="6" s="1"/>
  <c r="W181" i="6"/>
  <c r="W179" i="6"/>
  <c r="X1254" i="6"/>
  <c r="X1350" i="6"/>
  <c r="Z1348" i="6"/>
  <c r="Z1227" i="6"/>
  <c r="Y1253" i="6"/>
  <c r="Y1229" i="6"/>
  <c r="Y1232" i="6" s="1"/>
  <c r="AB1048" i="6"/>
  <c r="AA1053" i="6"/>
  <c r="W1350" i="6"/>
  <c r="CT1232" i="6"/>
  <c r="W1254" i="6"/>
  <c r="CT1254" i="6" s="1"/>
  <c r="X181" i="6"/>
  <c r="X179" i="6"/>
  <c r="Y176" i="6"/>
  <c r="Y182" i="6"/>
  <c r="Y177" i="6"/>
  <c r="J302" i="6"/>
  <c r="K301" i="6"/>
  <c r="K303" i="6" s="1"/>
  <c r="Q304" i="6"/>
  <c r="Z176" i="6" l="1"/>
  <c r="Z179" i="6" s="1"/>
  <c r="CG426" i="6"/>
  <c r="DD1161" i="6"/>
  <c r="BT1172" i="6"/>
  <c r="BT147" i="6"/>
  <c r="BT142" i="6"/>
  <c r="BU142" i="6" s="1"/>
  <c r="DD142" i="6" s="1"/>
  <c r="BP1295" i="6"/>
  <c r="BO1296" i="6"/>
  <c r="BP1296" i="6" s="1"/>
  <c r="DC1296" i="6" s="1"/>
  <c r="BU1162" i="6"/>
  <c r="BQ92" i="6"/>
  <c r="DB884" i="6"/>
  <c r="BK894" i="6"/>
  <c r="BM880" i="6"/>
  <c r="BM884" i="6" s="1"/>
  <c r="BM894" i="6" s="1"/>
  <c r="BM895" i="6" s="1"/>
  <c r="BN883" i="6"/>
  <c r="BN880" i="6" s="1"/>
  <c r="BO95" i="6"/>
  <c r="BO135" i="6"/>
  <c r="BO94" i="6"/>
  <c r="BO96" i="6" s="1"/>
  <c r="BO169" i="6"/>
  <c r="BP91" i="6"/>
  <c r="DC91" i="6" s="1"/>
  <c r="BP90" i="6"/>
  <c r="DC86" i="6"/>
  <c r="BP88" i="6"/>
  <c r="BQ95" i="6"/>
  <c r="BQ100" i="6" s="1"/>
  <c r="BQ94" i="6"/>
  <c r="BQ135" i="6"/>
  <c r="BQ144" i="6" s="1"/>
  <c r="BQ169" i="6"/>
  <c r="BQ175" i="6" s="1"/>
  <c r="BQ145" i="6"/>
  <c r="Z182" i="6"/>
  <c r="Y181" i="6"/>
  <c r="Y179" i="6"/>
  <c r="AB1053" i="6"/>
  <c r="CU1048" i="6"/>
  <c r="Z1253" i="6"/>
  <c r="Z1229" i="6"/>
  <c r="Z1232" i="6" s="1"/>
  <c r="AA1061" i="6"/>
  <c r="AA1072" i="6" s="1"/>
  <c r="AA1209" i="6"/>
  <c r="AA1225" i="6"/>
  <c r="Y1254" i="6"/>
  <c r="Y1350" i="6"/>
  <c r="I302" i="6"/>
  <c r="J301" i="6"/>
  <c r="J303" i="6" s="1"/>
  <c r="P304" i="6"/>
  <c r="Z181" i="6" l="1"/>
  <c r="BV1162" i="6"/>
  <c r="BU147" i="6"/>
  <c r="DD147" i="6" s="1"/>
  <c r="DD1162" i="6"/>
  <c r="BT1271" i="6"/>
  <c r="BU1172" i="6"/>
  <c r="DD1172" i="6" s="1"/>
  <c r="BQ96" i="6"/>
  <c r="BK895" i="6"/>
  <c r="DB895" i="6" s="1"/>
  <c r="DB894" i="6"/>
  <c r="BN884" i="6"/>
  <c r="BN894" i="6" s="1"/>
  <c r="BN895" i="6" s="1"/>
  <c r="BP169" i="6"/>
  <c r="BP175" i="6" s="1"/>
  <c r="BO175" i="6"/>
  <c r="DC90" i="6"/>
  <c r="BP92" i="6"/>
  <c r="DC92" i="6" s="1"/>
  <c r="BP135" i="6"/>
  <c r="DC135" i="6" s="1"/>
  <c r="BO144" i="6"/>
  <c r="DC88" i="6"/>
  <c r="BP95" i="6"/>
  <c r="BP94" i="6"/>
  <c r="BO100" i="6"/>
  <c r="Z20" i="42457"/>
  <c r="BQ151" i="6"/>
  <c r="BQ160" i="6"/>
  <c r="BQ161" i="6" s="1"/>
  <c r="AA1129" i="6"/>
  <c r="AA171" i="6"/>
  <c r="AB1209" i="6"/>
  <c r="CU1209" i="6" s="1"/>
  <c r="CU1053" i="6"/>
  <c r="AG1047" i="6"/>
  <c r="CV1047" i="6" s="1"/>
  <c r="AB1225" i="6"/>
  <c r="AC1047" i="6"/>
  <c r="AC1048" i="6" s="1"/>
  <c r="AC1053" i="6" s="1"/>
  <c r="AB1061" i="6"/>
  <c r="Z1254" i="6"/>
  <c r="Z1350" i="6"/>
  <c r="AA1227" i="6"/>
  <c r="AA1348" i="6"/>
  <c r="H302" i="6"/>
  <c r="I301" i="6"/>
  <c r="I303" i="6" s="1"/>
  <c r="O304" i="6"/>
  <c r="BT1275" i="6" l="1"/>
  <c r="BU1271" i="6"/>
  <c r="DD1271" i="6" s="1"/>
  <c r="BT168" i="6"/>
  <c r="BU168" i="6" s="1"/>
  <c r="BT80" i="6"/>
  <c r="BU73" i="6"/>
  <c r="BV1172" i="6"/>
  <c r="BV142" i="6"/>
  <c r="BW1162" i="6"/>
  <c r="BV147" i="6"/>
  <c r="DC94" i="6"/>
  <c r="BP96" i="6"/>
  <c r="DC96" i="6" s="1"/>
  <c r="BQ162" i="6"/>
  <c r="BQ163" i="6" s="1"/>
  <c r="BQ1345" i="6"/>
  <c r="BQ153" i="6"/>
  <c r="BQ155" i="6" s="1"/>
  <c r="BQ157" i="6" s="1"/>
  <c r="DC95" i="6"/>
  <c r="AA20" i="42457"/>
  <c r="AA21" i="42457" s="1"/>
  <c r="BP100" i="6"/>
  <c r="DC100" i="6" s="1"/>
  <c r="BP144" i="6"/>
  <c r="BO151" i="6"/>
  <c r="BO160" i="6"/>
  <c r="BO161" i="6" s="1"/>
  <c r="AC1209" i="6"/>
  <c r="AC1225" i="6"/>
  <c r="AC1061" i="6"/>
  <c r="AC1072" i="6" s="1"/>
  <c r="AC1129" i="6" s="1"/>
  <c r="AD1047" i="6"/>
  <c r="AD1048" i="6" s="1"/>
  <c r="AD1053" i="6" s="1"/>
  <c r="AD1209" i="6" s="1"/>
  <c r="AB1072" i="6"/>
  <c r="CU1061" i="6"/>
  <c r="CU1225" i="6"/>
  <c r="AB1227" i="6"/>
  <c r="AB1348" i="6"/>
  <c r="AA182" i="6"/>
  <c r="AA176" i="6"/>
  <c r="AA177" i="6"/>
  <c r="AA1229" i="6"/>
  <c r="AA1232" i="6" s="1"/>
  <c r="AA1253" i="6"/>
  <c r="N304" i="6"/>
  <c r="H301" i="6"/>
  <c r="H303" i="6" s="1"/>
  <c r="M304" i="6" s="1"/>
  <c r="CR304" i="6" s="1"/>
  <c r="G302" i="6"/>
  <c r="BW1172" i="6" l="1"/>
  <c r="BX1162" i="6"/>
  <c r="BW142" i="6"/>
  <c r="BW147" i="6"/>
  <c r="BT1211" i="6"/>
  <c r="BV1271" i="6"/>
  <c r="BV1275" i="6" s="1"/>
  <c r="BV1276" i="6" s="1"/>
  <c r="BV73" i="6"/>
  <c r="AB81" i="42457"/>
  <c r="AB45" i="42457"/>
  <c r="DD73" i="6"/>
  <c r="BT1276" i="6"/>
  <c r="BU1276" i="6" s="1"/>
  <c r="DD1276" i="6" s="1"/>
  <c r="BU1275" i="6"/>
  <c r="DD1275" i="6" s="1"/>
  <c r="Z49" i="42457"/>
  <c r="Z51" i="42457" s="1"/>
  <c r="BO153" i="6"/>
  <c r="BO155" i="6" s="1"/>
  <c r="BO157" i="6" s="1"/>
  <c r="BO162" i="6"/>
  <c r="BO163" i="6" s="1"/>
  <c r="BO1345" i="6"/>
  <c r="BP151" i="6"/>
  <c r="BP160" i="6"/>
  <c r="BP161" i="6" s="1"/>
  <c r="BV462" i="42458"/>
  <c r="DC144" i="6"/>
  <c r="AA179" i="6"/>
  <c r="AA181" i="6"/>
  <c r="AD1061" i="6"/>
  <c r="AD1072" i="6" s="1"/>
  <c r="AE1047" i="6"/>
  <c r="AE1048" i="6" s="1"/>
  <c r="AE1053" i="6" s="1"/>
  <c r="AD1225" i="6"/>
  <c r="AA1350" i="6"/>
  <c r="AA1254" i="6"/>
  <c r="AC171" i="6"/>
  <c r="CU1072" i="6"/>
  <c r="AB1129" i="6"/>
  <c r="CU1129" i="6" s="1"/>
  <c r="AB171" i="6"/>
  <c r="AC1348" i="6"/>
  <c r="AC1227" i="6"/>
  <c r="AB1253" i="6"/>
  <c r="CU1253" i="6" s="1"/>
  <c r="CU1227" i="6"/>
  <c r="AB1229" i="6"/>
  <c r="F302" i="6"/>
  <c r="G301" i="6"/>
  <c r="G303" i="6" s="1"/>
  <c r="L304" i="6" s="1"/>
  <c r="BV168" i="6" l="1"/>
  <c r="BV80" i="6"/>
  <c r="BT82" i="6"/>
  <c r="BT84" i="6" s="1"/>
  <c r="BX142" i="6"/>
  <c r="BX1172" i="6"/>
  <c r="BY1162" i="6"/>
  <c r="CN1162" i="6" s="1"/>
  <c r="CO1162" i="6" s="1"/>
  <c r="BX147" i="6"/>
  <c r="BW1271" i="6"/>
  <c r="BW73" i="6"/>
  <c r="DC160" i="6"/>
  <c r="BP162" i="6"/>
  <c r="BP163" i="6" s="1"/>
  <c r="BP1345" i="6"/>
  <c r="DC151" i="6"/>
  <c r="BP153" i="6"/>
  <c r="BV463" i="42458"/>
  <c r="AA49" i="42457"/>
  <c r="AA51" i="42457" s="1"/>
  <c r="AB176" i="6"/>
  <c r="AB177" i="6"/>
  <c r="AB182" i="6"/>
  <c r="AD171" i="6"/>
  <c r="AD1129" i="6"/>
  <c r="AF1047" i="6"/>
  <c r="AF1048" i="6" s="1"/>
  <c r="AE1225" i="6"/>
  <c r="AE1061" i="6"/>
  <c r="AE1072" i="6" s="1"/>
  <c r="AC1229" i="6"/>
  <c r="AC1232" i="6" s="1"/>
  <c r="AC1253" i="6"/>
  <c r="AE1209" i="6"/>
  <c r="AB1232" i="6"/>
  <c r="CU1229" i="6"/>
  <c r="AC177" i="6"/>
  <c r="AC176" i="6"/>
  <c r="AC182" i="6"/>
  <c r="AD1227" i="6"/>
  <c r="AD1348" i="6"/>
  <c r="E302" i="6"/>
  <c r="F301" i="6"/>
  <c r="F303" i="6" s="1"/>
  <c r="K304" i="6" s="1"/>
  <c r="BT86" i="6" l="1"/>
  <c r="BT1013" i="6"/>
  <c r="BW168" i="6"/>
  <c r="BZ1162" i="6"/>
  <c r="BY142" i="6"/>
  <c r="CN142" i="6" s="1"/>
  <c r="CO142" i="6" s="1"/>
  <c r="BY147" i="6"/>
  <c r="CN147" i="6" s="1"/>
  <c r="CO147" i="6" s="1"/>
  <c r="BY1172" i="6"/>
  <c r="BV81" i="6"/>
  <c r="BV1211" i="6" s="1"/>
  <c r="BW1275" i="6"/>
  <c r="BX1271" i="6"/>
  <c r="BX1275" i="6" s="1"/>
  <c r="BX73" i="6"/>
  <c r="BX168" i="6" s="1"/>
  <c r="DC162" i="6"/>
  <c r="DC153" i="6"/>
  <c r="BP155" i="6"/>
  <c r="AB1254" i="6"/>
  <c r="CU1254" i="6" s="1"/>
  <c r="CU1232" i="6"/>
  <c r="AB1350" i="6"/>
  <c r="AD176" i="6"/>
  <c r="AD177" i="6"/>
  <c r="AD182" i="6"/>
  <c r="AC181" i="6"/>
  <c r="AC179" i="6"/>
  <c r="AE1227" i="6"/>
  <c r="AE1348" i="6"/>
  <c r="AE171" i="6"/>
  <c r="AE1129" i="6"/>
  <c r="AF1053" i="6"/>
  <c r="AG1048" i="6"/>
  <c r="AD1253" i="6"/>
  <c r="AD1229" i="6"/>
  <c r="AD1232" i="6" s="1"/>
  <c r="AC1254" i="6"/>
  <c r="AC1350" i="6"/>
  <c r="AB179" i="6"/>
  <c r="AB181" i="6"/>
  <c r="D302" i="6"/>
  <c r="D301" i="6" s="1"/>
  <c r="D303" i="6" s="1"/>
  <c r="I304" i="6" s="1"/>
  <c r="E301" i="6"/>
  <c r="E303" i="6" s="1"/>
  <c r="J304" i="6" s="1"/>
  <c r="BX1276" i="6" l="1"/>
  <c r="BW1276" i="6"/>
  <c r="DE1162" i="6"/>
  <c r="CA1162" i="6"/>
  <c r="BZ147" i="6"/>
  <c r="DE147" i="6" s="1"/>
  <c r="BZ1172" i="6"/>
  <c r="DE1172" i="6" s="1"/>
  <c r="BV82" i="6"/>
  <c r="BV84" i="6" s="1"/>
  <c r="CN1172" i="6"/>
  <c r="CO1172" i="6" s="1"/>
  <c r="BY1271" i="6"/>
  <c r="BY1275" i="6" s="1"/>
  <c r="BY1276" i="6" s="1"/>
  <c r="BZ1276" i="6" s="1"/>
  <c r="DE1276" i="6" s="1"/>
  <c r="BY73" i="6"/>
  <c r="BZ73" i="6" s="1"/>
  <c r="BT90" i="6"/>
  <c r="BT92" i="6" s="1"/>
  <c r="BT91" i="6"/>
  <c r="BT88" i="6"/>
  <c r="BZ142" i="6"/>
  <c r="DE142" i="6" s="1"/>
  <c r="DC155" i="6"/>
  <c r="BP157" i="6"/>
  <c r="DC157" i="6" s="1"/>
  <c r="AD1350" i="6"/>
  <c r="AD1254" i="6"/>
  <c r="AD179" i="6"/>
  <c r="AD181" i="6"/>
  <c r="AG1053" i="6"/>
  <c r="CV1048" i="6"/>
  <c r="AE182" i="6"/>
  <c r="AE177" i="6"/>
  <c r="AE176" i="6"/>
  <c r="AF1225" i="6"/>
  <c r="AF1061" i="6"/>
  <c r="AF1072" i="6" s="1"/>
  <c r="AE1229" i="6"/>
  <c r="AE1232" i="6" s="1"/>
  <c r="AE1253" i="6"/>
  <c r="BZ1271" i="6" l="1"/>
  <c r="DE1271" i="6" s="1"/>
  <c r="DE73" i="6"/>
  <c r="AC45" i="42457"/>
  <c r="AC81" i="42457"/>
  <c r="BV1013" i="6"/>
  <c r="BV86" i="6"/>
  <c r="BT135" i="6"/>
  <c r="BT144" i="6" s="1"/>
  <c r="BT160" i="6" s="1"/>
  <c r="BT161" i="6" s="1"/>
  <c r="BT94" i="6"/>
  <c r="BT96" i="6" s="1"/>
  <c r="BT95" i="6"/>
  <c r="BT100" i="6" s="1"/>
  <c r="CN73" i="6"/>
  <c r="CO73" i="6" s="1"/>
  <c r="BY168" i="6"/>
  <c r="BZ168" i="6" s="1"/>
  <c r="DF1162" i="6"/>
  <c r="CA142" i="6"/>
  <c r="DF142" i="6" s="1"/>
  <c r="CA147" i="6"/>
  <c r="DF147" i="6" s="1"/>
  <c r="CA1172" i="6"/>
  <c r="CB1162" i="6"/>
  <c r="BZ1275" i="6"/>
  <c r="DE1275" i="6" s="1"/>
  <c r="AE1254" i="6"/>
  <c r="AE1350" i="6"/>
  <c r="AF1129" i="6"/>
  <c r="AF171" i="6"/>
  <c r="AF1348" i="6"/>
  <c r="AF1227" i="6"/>
  <c r="AE181" i="6"/>
  <c r="AE179" i="6"/>
  <c r="AG1209" i="6"/>
  <c r="CV1209" i="6" s="1"/>
  <c r="AL1047" i="6"/>
  <c r="AG1225" i="6"/>
  <c r="AG1061" i="6"/>
  <c r="CV1053" i="6"/>
  <c r="AH1047" i="6"/>
  <c r="AH1048" i="6" s="1"/>
  <c r="AH1053" i="6" s="1"/>
  <c r="CB142" i="6" l="1"/>
  <c r="DG142" i="6" s="1"/>
  <c r="CC1162" i="6"/>
  <c r="CB147" i="6"/>
  <c r="DG147" i="6" s="1"/>
  <c r="CB1172" i="6"/>
  <c r="DG1162" i="6"/>
  <c r="BV91" i="6"/>
  <c r="BV88" i="6"/>
  <c r="BV90" i="6"/>
  <c r="BV92" i="6" s="1"/>
  <c r="CA1271" i="6"/>
  <c r="DF1172" i="6"/>
  <c r="CA73" i="6"/>
  <c r="AH1225" i="6"/>
  <c r="AH1061" i="6"/>
  <c r="AH1072" i="6" s="1"/>
  <c r="AH1129" i="6" s="1"/>
  <c r="AI1047" i="6"/>
  <c r="AI1048" i="6" s="1"/>
  <c r="AI1053" i="6" s="1"/>
  <c r="CW1047" i="6"/>
  <c r="AL1048" i="6"/>
  <c r="AF182" i="6"/>
  <c r="AF177" i="6"/>
  <c r="AF176" i="6"/>
  <c r="CV1061" i="6"/>
  <c r="AG1072" i="6"/>
  <c r="AF1253" i="6"/>
  <c r="AF1229" i="6"/>
  <c r="AF1232" i="6" s="1"/>
  <c r="AG1227" i="6"/>
  <c r="CV1225" i="6"/>
  <c r="AG1348" i="6"/>
  <c r="CB1271" i="6" l="1"/>
  <c r="DG1172" i="6"/>
  <c r="CB73" i="6"/>
  <c r="DF1271" i="6"/>
  <c r="CA1275" i="6"/>
  <c r="BV135" i="6"/>
  <c r="BV144" i="6" s="1"/>
  <c r="BV160" i="6" s="1"/>
  <c r="BV161" i="6" s="1"/>
  <c r="BV94" i="6"/>
  <c r="BV96" i="6" s="1"/>
  <c r="BV95" i="6"/>
  <c r="BV100" i="6" s="1"/>
  <c r="CD1162" i="6"/>
  <c r="CC1172" i="6"/>
  <c r="CC142" i="6"/>
  <c r="CC147" i="6"/>
  <c r="AD81" i="42457"/>
  <c r="DF73" i="6"/>
  <c r="AD45" i="42457"/>
  <c r="CA168" i="6"/>
  <c r="AF1254" i="6"/>
  <c r="AF1350" i="6"/>
  <c r="AF181" i="6"/>
  <c r="AF179" i="6"/>
  <c r="CV1072" i="6"/>
  <c r="AG1129" i="6"/>
  <c r="CV1129" i="6" s="1"/>
  <c r="AH171" i="6"/>
  <c r="AG171" i="6"/>
  <c r="AI1225" i="6"/>
  <c r="AJ1047" i="6"/>
  <c r="AJ1048" i="6" s="1"/>
  <c r="AJ1053" i="6" s="1"/>
  <c r="AI1061" i="6"/>
  <c r="AI1072" i="6" s="1"/>
  <c r="AV30" i="42416"/>
  <c r="AR30" i="42416"/>
  <c r="AU30" i="42416"/>
  <c r="AG1253" i="6"/>
  <c r="CV1253" i="6" s="1"/>
  <c r="AT30" i="42416"/>
  <c r="AG1229" i="6"/>
  <c r="AS30" i="42416"/>
  <c r="CV1227" i="6"/>
  <c r="AL1053" i="6"/>
  <c r="CW1048" i="6"/>
  <c r="AH1227" i="6"/>
  <c r="AH1348" i="6"/>
  <c r="CC73" i="6" l="1"/>
  <c r="CC168" i="6" s="1"/>
  <c r="CC1271" i="6"/>
  <c r="CC1275" i="6" s="1"/>
  <c r="CC1276" i="6" s="1"/>
  <c r="DF1275" i="6"/>
  <c r="CA1276" i="6"/>
  <c r="DF1276" i="6" s="1"/>
  <c r="DG1271" i="6"/>
  <c r="CB1275" i="6"/>
  <c r="CE1162" i="6"/>
  <c r="CD142" i="6"/>
  <c r="CD1172" i="6"/>
  <c r="CD147" i="6"/>
  <c r="DG73" i="6"/>
  <c r="CB168" i="6"/>
  <c r="AE81" i="42457"/>
  <c r="AE45" i="42457"/>
  <c r="AH182" i="6"/>
  <c r="AH176" i="6"/>
  <c r="AH177" i="6"/>
  <c r="AM1047" i="6"/>
  <c r="AM1048" i="6" s="1"/>
  <c r="AM1053" i="6" s="1"/>
  <c r="AL1061" i="6"/>
  <c r="AQ1047" i="6"/>
  <c r="AL1225" i="6"/>
  <c r="CW1053" i="6"/>
  <c r="AG176" i="6"/>
  <c r="AG177" i="6"/>
  <c r="AG182" i="6"/>
  <c r="AH1253" i="6"/>
  <c r="AH1229" i="6"/>
  <c r="AH1232" i="6" s="1"/>
  <c r="AJ1225" i="6"/>
  <c r="AJ1061" i="6"/>
  <c r="AJ1072" i="6" s="1"/>
  <c r="AK1047" i="6"/>
  <c r="AK1048" i="6" s="1"/>
  <c r="AK1053" i="6" s="1"/>
  <c r="AI171" i="6"/>
  <c r="AI1129" i="6"/>
  <c r="AG1232" i="6"/>
  <c r="CV1229" i="6"/>
  <c r="AI1348" i="6"/>
  <c r="AI1227" i="6"/>
  <c r="CD1271" i="6" l="1"/>
  <c r="CD1275" i="6" s="1"/>
  <c r="CD1276" i="6" s="1"/>
  <c r="CD73" i="6"/>
  <c r="CD168" i="6" s="1"/>
  <c r="CE142" i="6"/>
  <c r="CE147" i="6"/>
  <c r="CE1172" i="6"/>
  <c r="CF1162" i="6"/>
  <c r="DG1275" i="6"/>
  <c r="CB1276" i="6"/>
  <c r="DG1276" i="6" s="1"/>
  <c r="AJ1129" i="6"/>
  <c r="AI1229" i="6"/>
  <c r="AI1232" i="6" s="1"/>
  <c r="AI1253" i="6"/>
  <c r="AK1225" i="6"/>
  <c r="AK1061" i="6"/>
  <c r="AK1072" i="6" s="1"/>
  <c r="AK1129" i="6" s="1"/>
  <c r="AN1047" i="6"/>
  <c r="AN1048" i="6" s="1"/>
  <c r="AN1053" i="6" s="1"/>
  <c r="AM1061" i="6"/>
  <c r="AM1072" i="6" s="1"/>
  <c r="AM1225" i="6"/>
  <c r="AJ1227" i="6"/>
  <c r="AJ1348" i="6"/>
  <c r="CX1047" i="6"/>
  <c r="AQ1048" i="6"/>
  <c r="AH179" i="6"/>
  <c r="AH181" i="6"/>
  <c r="AJ171" i="6"/>
  <c r="AL1348" i="6"/>
  <c r="CW1225" i="6"/>
  <c r="AL1227" i="6"/>
  <c r="AG1350" i="6"/>
  <c r="CV1232" i="6"/>
  <c r="AG1254" i="6"/>
  <c r="CV1254" i="6" s="1"/>
  <c r="AI176" i="6"/>
  <c r="AI177" i="6"/>
  <c r="AI182" i="6"/>
  <c r="AH1254" i="6"/>
  <c r="AH1350" i="6"/>
  <c r="AG181" i="6"/>
  <c r="AG179" i="6"/>
  <c r="CW1061" i="6"/>
  <c r="AL1072" i="6"/>
  <c r="CF1172" i="6" l="1"/>
  <c r="CG1162" i="6"/>
  <c r="CF147" i="6"/>
  <c r="CF142" i="6"/>
  <c r="CE73" i="6"/>
  <c r="CE168" i="6" s="1"/>
  <c r="CE1271" i="6"/>
  <c r="CE1275" i="6" s="1"/>
  <c r="CE1276" i="6" s="1"/>
  <c r="AJ1253" i="6"/>
  <c r="AJ1229" i="6"/>
  <c r="AJ1232" i="6" s="1"/>
  <c r="AL1129" i="6"/>
  <c r="CW1129" i="6" s="1"/>
  <c r="AM171" i="6"/>
  <c r="CW1072" i="6"/>
  <c r="AI181" i="6"/>
  <c r="AI179" i="6"/>
  <c r="AL1229" i="6"/>
  <c r="CW1227" i="6"/>
  <c r="AN1225" i="6"/>
  <c r="AO1047" i="6"/>
  <c r="AO1048" i="6" s="1"/>
  <c r="AO1053" i="6" s="1"/>
  <c r="AN1061" i="6"/>
  <c r="AN1072" i="6" s="1"/>
  <c r="AN171" i="6" s="1"/>
  <c r="AI1350" i="6"/>
  <c r="AI1254" i="6"/>
  <c r="AQ1053" i="6"/>
  <c r="CX1048" i="6"/>
  <c r="AM1348" i="6"/>
  <c r="AM1227" i="6"/>
  <c r="AK1227" i="6"/>
  <c r="AK1348" i="6"/>
  <c r="AK171" i="6"/>
  <c r="AJ176" i="6"/>
  <c r="AJ182" i="6"/>
  <c r="AJ177" i="6"/>
  <c r="AM1129" i="6"/>
  <c r="AL171" i="6"/>
  <c r="CF73" i="6" l="1"/>
  <c r="CF168" i="6" s="1"/>
  <c r="CF1271" i="6"/>
  <c r="CF1275" i="6" s="1"/>
  <c r="CF1276" i="6" s="1"/>
  <c r="CG147" i="6"/>
  <c r="CG1172" i="6"/>
  <c r="CG142" i="6"/>
  <c r="CX1053" i="6"/>
  <c r="AV1047" i="6"/>
  <c r="AR1047" i="6"/>
  <c r="AR1048" i="6" s="1"/>
  <c r="AR1053" i="6" s="1"/>
  <c r="AQ1061" i="6"/>
  <c r="B35" i="42457"/>
  <c r="B36" i="42457" s="1"/>
  <c r="B40" i="42457" s="1"/>
  <c r="AQ1225" i="6"/>
  <c r="AN1129" i="6"/>
  <c r="AL1232" i="6"/>
  <c r="CW1229" i="6"/>
  <c r="AM182" i="6"/>
  <c r="AM177" i="6"/>
  <c r="AM176" i="6"/>
  <c r="AO1061" i="6"/>
  <c r="AO1072" i="6" s="1"/>
  <c r="AO171" i="6" s="1"/>
  <c r="AO1225" i="6"/>
  <c r="AP1047" i="6"/>
  <c r="AP1048" i="6" s="1"/>
  <c r="AP1053" i="6" s="1"/>
  <c r="AN176" i="6"/>
  <c r="AN177" i="6"/>
  <c r="AN182" i="6"/>
  <c r="AJ181" i="6"/>
  <c r="AJ179" i="6"/>
  <c r="AM1253" i="6"/>
  <c r="AM1229" i="6"/>
  <c r="AM1232" i="6" s="1"/>
  <c r="AN1348" i="6"/>
  <c r="AN1227" i="6"/>
  <c r="AJ1350" i="6"/>
  <c r="AJ1254" i="6"/>
  <c r="AL177" i="6"/>
  <c r="AL176" i="6"/>
  <c r="AL182" i="6"/>
  <c r="AK1229" i="6"/>
  <c r="AK1232" i="6" s="1"/>
  <c r="AK1253" i="6"/>
  <c r="AK177" i="6"/>
  <c r="AK182" i="6"/>
  <c r="AK176" i="6"/>
  <c r="CG73" i="6" l="1"/>
  <c r="CG168" i="6" s="1"/>
  <c r="CG1271" i="6"/>
  <c r="CG1275" i="6" s="1"/>
  <c r="CG1276" i="6" s="1"/>
  <c r="AO182" i="6"/>
  <c r="AO177" i="6"/>
  <c r="AO176" i="6"/>
  <c r="AM1254" i="6"/>
  <c r="AM1350" i="6"/>
  <c r="AR1225" i="6"/>
  <c r="AR1061" i="6"/>
  <c r="AR1072" i="6" s="1"/>
  <c r="AR1235" i="6"/>
  <c r="AR1238" i="6" s="1"/>
  <c r="AS1047" i="6"/>
  <c r="AS1048" i="6" s="1"/>
  <c r="AS1053" i="6" s="1"/>
  <c r="C35" i="42457"/>
  <c r="C36" i="42457" s="1"/>
  <c r="C40" i="42457" s="1"/>
  <c r="AK181" i="6"/>
  <c r="AK179" i="6"/>
  <c r="AP1225" i="6"/>
  <c r="AP1235" i="6"/>
  <c r="AP1061" i="6"/>
  <c r="AP1072" i="6" s="1"/>
  <c r="CX1061" i="6"/>
  <c r="AQ1072" i="6"/>
  <c r="AK1350" i="6"/>
  <c r="AK1254" i="6"/>
  <c r="AL1254" i="6" s="1"/>
  <c r="AO1129" i="6"/>
  <c r="AQ1348" i="6"/>
  <c r="CX1225" i="6"/>
  <c r="AQ1227" i="6"/>
  <c r="CY1047" i="6"/>
  <c r="AV1048" i="6"/>
  <c r="AO1348" i="6"/>
  <c r="AO1227" i="6"/>
  <c r="AL179" i="6"/>
  <c r="AL181" i="6"/>
  <c r="AN1229" i="6"/>
  <c r="AN1232" i="6" s="1"/>
  <c r="AN1253" i="6"/>
  <c r="AN181" i="6"/>
  <c r="AN179" i="6"/>
  <c r="AM181" i="6"/>
  <c r="AM179" i="6"/>
  <c r="CW1232" i="6"/>
  <c r="AL1350" i="6"/>
  <c r="AN1350" i="6" l="1"/>
  <c r="AN1254" i="6"/>
  <c r="AP1129" i="6"/>
  <c r="AQ171" i="6"/>
  <c r="AO1229" i="6"/>
  <c r="AO1232" i="6" s="1"/>
  <c r="AO1253" i="6"/>
  <c r="CX1227" i="6"/>
  <c r="AQ1229" i="6"/>
  <c r="AO179" i="6"/>
  <c r="AO181" i="6"/>
  <c r="AV1053" i="6"/>
  <c r="CY1048" i="6"/>
  <c r="AP1238" i="6"/>
  <c r="AQ1238" i="6" s="1"/>
  <c r="CX1238" i="6" s="1"/>
  <c r="AQ1235" i="6"/>
  <c r="CX1235" i="6" s="1"/>
  <c r="AR1227" i="6"/>
  <c r="AR1229" i="6" s="1"/>
  <c r="AR1232" i="6" s="1"/>
  <c r="AR1348" i="6"/>
  <c r="AR1129" i="6"/>
  <c r="AP171" i="6"/>
  <c r="CX1072" i="6"/>
  <c r="AQ1129" i="6"/>
  <c r="CX1129" i="6" s="1"/>
  <c r="AR171" i="6"/>
  <c r="AP1348" i="6"/>
  <c r="AP1227" i="6"/>
  <c r="AT1047" i="6"/>
  <c r="AT1048" i="6" s="1"/>
  <c r="AT1053" i="6" s="1"/>
  <c r="AS1225" i="6"/>
  <c r="D35" i="42457"/>
  <c r="D36" i="42457" s="1"/>
  <c r="D40" i="42457" s="1"/>
  <c r="AS1235" i="6"/>
  <c r="AS1238" i="6" s="1"/>
  <c r="AS1061" i="6"/>
  <c r="AS1072" i="6" s="1"/>
  <c r="AS171" i="6" s="1"/>
  <c r="AS176" i="6" l="1"/>
  <c r="AS177" i="6"/>
  <c r="AS182" i="6"/>
  <c r="AP176" i="6"/>
  <c r="AP182" i="6"/>
  <c r="AP177" i="6"/>
  <c r="AP1229" i="6"/>
  <c r="AP1232" i="6" s="1"/>
  <c r="AP1253" i="6"/>
  <c r="AQ1232" i="6"/>
  <c r="CX1229" i="6"/>
  <c r="AQ177" i="6"/>
  <c r="AQ176" i="6"/>
  <c r="AQ182" i="6"/>
  <c r="AR1254" i="6"/>
  <c r="AR1350" i="6"/>
  <c r="C38" i="42457"/>
  <c r="C41" i="42457" s="1"/>
  <c r="AS1348" i="6"/>
  <c r="AS1227" i="6"/>
  <c r="AS1229" i="6" s="1"/>
  <c r="AS1232" i="6" s="1"/>
  <c r="AR177" i="6"/>
  <c r="AR182" i="6"/>
  <c r="AR176" i="6"/>
  <c r="G35" i="42457"/>
  <c r="G36" i="42457" s="1"/>
  <c r="G40" i="42457" s="1"/>
  <c r="BA1047" i="6"/>
  <c r="AV1225" i="6"/>
  <c r="AV1061" i="6"/>
  <c r="CY1053" i="6"/>
  <c r="AW1047" i="6"/>
  <c r="AW1048" i="6" s="1"/>
  <c r="AW1053" i="6" s="1"/>
  <c r="AS1129" i="6"/>
  <c r="AT1225" i="6"/>
  <c r="E35" i="42457"/>
  <c r="E36" i="42457" s="1"/>
  <c r="E40" i="42457" s="1"/>
  <c r="AT1061" i="6"/>
  <c r="AT1072" i="6" s="1"/>
  <c r="AT1235" i="6"/>
  <c r="AT1238" i="6" s="1"/>
  <c r="AU1047" i="6"/>
  <c r="AU1048" i="6" s="1"/>
  <c r="AU1053" i="6" s="1"/>
  <c r="AO1254" i="6"/>
  <c r="AO1350" i="6"/>
  <c r="AT1129" i="6" l="1"/>
  <c r="AT171" i="6"/>
  <c r="AV1227" i="6"/>
  <c r="L93" i="42434" s="1"/>
  <c r="AV1348" i="6"/>
  <c r="CY1225" i="6"/>
  <c r="AQ181" i="6"/>
  <c r="AQ179" i="6"/>
  <c r="AP179" i="6"/>
  <c r="AP181" i="6"/>
  <c r="H35" i="42457"/>
  <c r="H36" i="42457" s="1"/>
  <c r="H40" i="42457" s="1"/>
  <c r="AW1061" i="6"/>
  <c r="AW1072" i="6" s="1"/>
  <c r="AW1129" i="6" s="1"/>
  <c r="AW1225" i="6"/>
  <c r="AW1235" i="6"/>
  <c r="AW1238" i="6" s="1"/>
  <c r="AX1047" i="6"/>
  <c r="AX1048" i="6" s="1"/>
  <c r="AX1053" i="6" s="1"/>
  <c r="AP1254" i="6"/>
  <c r="AQ1254" i="6" s="1"/>
  <c r="L104" i="42434" s="1"/>
  <c r="AA157" i="42434" s="1"/>
  <c r="AP1350" i="6"/>
  <c r="AU1225" i="6"/>
  <c r="AU1061" i="6"/>
  <c r="AU1072" i="6" s="1"/>
  <c r="AU1129" i="6" s="1"/>
  <c r="AU1235" i="6"/>
  <c r="F35" i="42457"/>
  <c r="F36" i="42457" s="1"/>
  <c r="F40" i="42457" s="1"/>
  <c r="AT1348" i="6"/>
  <c r="AT1227" i="6"/>
  <c r="AT1229" i="6" s="1"/>
  <c r="AT1232" i="6" s="1"/>
  <c r="AS1254" i="6"/>
  <c r="AS1350" i="6"/>
  <c r="D38" i="42457"/>
  <c r="D41" i="42457" s="1"/>
  <c r="BA1048" i="6"/>
  <c r="CZ1047" i="6"/>
  <c r="CY1061" i="6"/>
  <c r="AV1072" i="6"/>
  <c r="AR179" i="6"/>
  <c r="AR181" i="6"/>
  <c r="B38" i="42457"/>
  <c r="B41" i="42457" s="1"/>
  <c r="CX1232" i="6"/>
  <c r="AQ1350" i="6"/>
  <c r="L105" i="42434"/>
  <c r="AD157" i="42434" s="1"/>
  <c r="AS181" i="6"/>
  <c r="AS179" i="6"/>
  <c r="AU1238" i="6" l="1"/>
  <c r="AV1238" i="6" s="1"/>
  <c r="CY1238" i="6" s="1"/>
  <c r="AV1235" i="6"/>
  <c r="CY1235" i="6" s="1"/>
  <c r="CY1227" i="6"/>
  <c r="AV1229" i="6"/>
  <c r="AT1254" i="6"/>
  <c r="E38" i="42457"/>
  <c r="E41" i="42457" s="1"/>
  <c r="AT1350" i="6"/>
  <c r="I35" i="42457"/>
  <c r="I36" i="42457" s="1"/>
  <c r="I40" i="42457" s="1"/>
  <c r="AX1235" i="6"/>
  <c r="AX1238" i="6" s="1"/>
  <c r="AY1047" i="6"/>
  <c r="AY1048" i="6" s="1"/>
  <c r="AY1053" i="6" s="1"/>
  <c r="AX1061" i="6"/>
  <c r="AX1072" i="6" s="1"/>
  <c r="AX1225" i="6"/>
  <c r="AT177" i="6"/>
  <c r="AT176" i="6"/>
  <c r="AT182" i="6"/>
  <c r="AV171" i="6"/>
  <c r="AV1129" i="6"/>
  <c r="CY1129" i="6" s="1"/>
  <c r="CY1072" i="6"/>
  <c r="AW171" i="6"/>
  <c r="AU1227" i="6"/>
  <c r="AU1229" i="6" s="1"/>
  <c r="AU1232" i="6" s="1"/>
  <c r="AU1348" i="6"/>
  <c r="AU171" i="6"/>
  <c r="CZ1048" i="6"/>
  <c r="BA1053" i="6"/>
  <c r="AW1348" i="6"/>
  <c r="AW1227" i="6"/>
  <c r="AW1229" i="6" s="1"/>
  <c r="AW1232" i="6" s="1"/>
  <c r="AX171" i="6" l="1"/>
  <c r="AX1129" i="6"/>
  <c r="BF1047" i="6"/>
  <c r="BA1225" i="6"/>
  <c r="BA1061" i="6"/>
  <c r="CZ1053" i="6"/>
  <c r="L35" i="42457"/>
  <c r="L36" i="42457" s="1"/>
  <c r="L40" i="42457" s="1"/>
  <c r="BB1047" i="6"/>
  <c r="BB1048" i="6" s="1"/>
  <c r="BB1053" i="6" s="1"/>
  <c r="AU1350" i="6"/>
  <c r="F38" i="42457"/>
  <c r="F41" i="42457" s="1"/>
  <c r="AU1254" i="6"/>
  <c r="AV1254" i="6" s="1"/>
  <c r="L107" i="42434" s="1"/>
  <c r="AA158" i="42434" s="1"/>
  <c r="AV182" i="6"/>
  <c r="AV177" i="6"/>
  <c r="AV176" i="6"/>
  <c r="AX1227" i="6"/>
  <c r="AX1229" i="6" s="1"/>
  <c r="AX1232" i="6" s="1"/>
  <c r="AX1348" i="6"/>
  <c r="CY1229" i="6"/>
  <c r="AV1232" i="6"/>
  <c r="AW177" i="6"/>
  <c r="AW182" i="6"/>
  <c r="AW176" i="6"/>
  <c r="AW1254" i="6"/>
  <c r="H38" i="42457"/>
  <c r="H41" i="42457" s="1"/>
  <c r="AW1350" i="6"/>
  <c r="AU182" i="6"/>
  <c r="AU176" i="6"/>
  <c r="AU177" i="6"/>
  <c r="AT179" i="6"/>
  <c r="AT181" i="6"/>
  <c r="AY1235" i="6"/>
  <c r="AY1238" i="6" s="1"/>
  <c r="J35" i="42457"/>
  <c r="J36" i="42457" s="1"/>
  <c r="J40" i="42457" s="1"/>
  <c r="AY1225" i="6"/>
  <c r="AZ1047" i="6"/>
  <c r="AZ1048" i="6" s="1"/>
  <c r="AZ1053" i="6" s="1"/>
  <c r="AY1061" i="6"/>
  <c r="AY1072" i="6" s="1"/>
  <c r="AX1350" i="6" l="1"/>
  <c r="AX1254" i="6"/>
  <c r="I38" i="42457"/>
  <c r="I41" i="42457" s="1"/>
  <c r="DA1047" i="6"/>
  <c r="BF1048" i="6"/>
  <c r="AU181" i="6"/>
  <c r="AU179" i="6"/>
  <c r="AV1350" i="6"/>
  <c r="G38" i="42457"/>
  <c r="G41" i="42457" s="1"/>
  <c r="CY1232" i="6"/>
  <c r="AZ1235" i="6"/>
  <c r="K35" i="42457"/>
  <c r="K36" i="42457" s="1"/>
  <c r="K40" i="42457" s="1"/>
  <c r="AZ1061" i="6"/>
  <c r="AZ1072" i="6" s="1"/>
  <c r="AZ1129" i="6" s="1"/>
  <c r="AZ1225" i="6"/>
  <c r="AW181" i="6"/>
  <c r="AW179" i="6"/>
  <c r="CZ1061" i="6"/>
  <c r="BA1072" i="6"/>
  <c r="AY1129" i="6"/>
  <c r="AV179" i="6"/>
  <c r="AV181" i="6"/>
  <c r="AY171" i="6"/>
  <c r="AY1348" i="6"/>
  <c r="AY1227" i="6"/>
  <c r="AY1229" i="6" s="1"/>
  <c r="AY1232" i="6" s="1"/>
  <c r="BB1225" i="6"/>
  <c r="BC1047" i="6"/>
  <c r="BC1048" i="6" s="1"/>
  <c r="BC1053" i="6" s="1"/>
  <c r="BB1235" i="6"/>
  <c r="BB1238" i="6" s="1"/>
  <c r="BB1061" i="6"/>
  <c r="BB1072" i="6" s="1"/>
  <c r="M35" i="42457"/>
  <c r="M36" i="42457" s="1"/>
  <c r="M40" i="42457" s="1"/>
  <c r="CZ1225" i="6"/>
  <c r="BA1348" i="6"/>
  <c r="BA1227" i="6"/>
  <c r="AX182" i="6"/>
  <c r="AX177" i="6"/>
  <c r="AX176" i="6"/>
  <c r="AZ171" i="6" l="1"/>
  <c r="AZ177" i="6" s="1"/>
  <c r="AY182" i="6"/>
  <c r="AY176" i="6"/>
  <c r="AY177" i="6"/>
  <c r="AX179" i="6"/>
  <c r="AX181" i="6"/>
  <c r="BB1227" i="6"/>
  <c r="BB1229" i="6" s="1"/>
  <c r="BB1232" i="6" s="1"/>
  <c r="BB1348" i="6"/>
  <c r="AZ1227" i="6"/>
  <c r="AZ1229" i="6" s="1"/>
  <c r="AZ1232" i="6" s="1"/>
  <c r="AZ1348" i="6"/>
  <c r="BC1235" i="6"/>
  <c r="BC1238" i="6" s="1"/>
  <c r="N35" i="42457"/>
  <c r="N36" i="42457" s="1"/>
  <c r="N40" i="42457" s="1"/>
  <c r="BC1225" i="6"/>
  <c r="BD1047" i="6"/>
  <c r="BD1048" i="6" s="1"/>
  <c r="BD1053" i="6" s="1"/>
  <c r="BC1061" i="6"/>
  <c r="BC1072" i="6" s="1"/>
  <c r="BC1129" i="6" s="1"/>
  <c r="AZ1238" i="6"/>
  <c r="BA1238" i="6" s="1"/>
  <c r="CZ1238" i="6" s="1"/>
  <c r="BA1235" i="6"/>
  <c r="CZ1235" i="6" s="1"/>
  <c r="BA1129" i="6"/>
  <c r="CZ1129" i="6" s="1"/>
  <c r="CZ1072" i="6"/>
  <c r="BB171" i="6"/>
  <c r="BA171" i="6"/>
  <c r="CZ1227" i="6"/>
  <c r="BA1229" i="6"/>
  <c r="BB1129" i="6"/>
  <c r="AY1350" i="6"/>
  <c r="J38" i="42457"/>
  <c r="J41" i="42457" s="1"/>
  <c r="AY1254" i="6"/>
  <c r="DA1048" i="6"/>
  <c r="BF1053" i="6"/>
  <c r="AZ182" i="6" l="1"/>
  <c r="BC171" i="6"/>
  <c r="BC176" i="6" s="1"/>
  <c r="AZ176" i="6"/>
  <c r="AZ179" i="6" s="1"/>
  <c r="BF1225" i="6"/>
  <c r="DA1053" i="6"/>
  <c r="BF1061" i="6"/>
  <c r="Q35" i="42457"/>
  <c r="Q36" i="42457" s="1"/>
  <c r="Q40" i="42457" s="1"/>
  <c r="BG1047" i="6"/>
  <c r="BG1048" i="6" s="1"/>
  <c r="BG1053" i="6" s="1"/>
  <c r="BK1047" i="6"/>
  <c r="BD1235" i="6"/>
  <c r="BD1238" i="6" s="1"/>
  <c r="BD1225" i="6"/>
  <c r="O35" i="42457"/>
  <c r="O36" i="42457" s="1"/>
  <c r="O40" i="42457" s="1"/>
  <c r="BD1061" i="6"/>
  <c r="BD1072" i="6" s="1"/>
  <c r="BE1047" i="6"/>
  <c r="BE1048" i="6" s="1"/>
  <c r="BE1053" i="6" s="1"/>
  <c r="BA177" i="6"/>
  <c r="BA182" i="6"/>
  <c r="BA176" i="6"/>
  <c r="BC1348" i="6"/>
  <c r="BC1227" i="6"/>
  <c r="BC1229" i="6" s="1"/>
  <c r="BC1232" i="6" s="1"/>
  <c r="AZ1254" i="6"/>
  <c r="BA1254" i="6" s="1"/>
  <c r="K38" i="42457"/>
  <c r="K41" i="42457" s="1"/>
  <c r="AZ1350" i="6"/>
  <c r="AZ181" i="6"/>
  <c r="BB176" i="6"/>
  <c r="BB182" i="6"/>
  <c r="BB177" i="6"/>
  <c r="AY181" i="6"/>
  <c r="AY179" i="6"/>
  <c r="CZ1229" i="6"/>
  <c r="BA1232" i="6"/>
  <c r="BB1254" i="6"/>
  <c r="M38" i="42457"/>
  <c r="M41" i="42457" s="1"/>
  <c r="BB1350" i="6"/>
  <c r="BC182" i="6" l="1"/>
  <c r="BC177" i="6"/>
  <c r="BC179" i="6" s="1"/>
  <c r="BC1350" i="6"/>
  <c r="N38" i="42457"/>
  <c r="N41" i="42457" s="1"/>
  <c r="BC1254" i="6"/>
  <c r="BD1227" i="6"/>
  <c r="BD1229" i="6" s="1"/>
  <c r="BD1232" i="6" s="1"/>
  <c r="BD1348" i="6"/>
  <c r="CZ1232" i="6"/>
  <c r="L38" i="42457"/>
  <c r="L41" i="42457" s="1"/>
  <c r="BA1350" i="6"/>
  <c r="BC181" i="6"/>
  <c r="BE1235" i="6"/>
  <c r="BE1061" i="6"/>
  <c r="BE1072" i="6" s="1"/>
  <c r="BE1129" i="6" s="1"/>
  <c r="P35" i="42457"/>
  <c r="P36" i="42457" s="1"/>
  <c r="P40" i="42457" s="1"/>
  <c r="BE1225" i="6"/>
  <c r="DA1061" i="6"/>
  <c r="BF1072" i="6"/>
  <c r="BA179" i="6"/>
  <c r="BA181" i="6"/>
  <c r="BD171" i="6"/>
  <c r="BD1129" i="6"/>
  <c r="BK1048" i="6"/>
  <c r="DB1047" i="6"/>
  <c r="BB181" i="6"/>
  <c r="BB179" i="6"/>
  <c r="BG1225" i="6"/>
  <c r="BG1235" i="6"/>
  <c r="BG1238" i="6" s="1"/>
  <c r="R35" i="42457"/>
  <c r="R36" i="42457" s="1"/>
  <c r="R40" i="42457" s="1"/>
  <c r="BG1061" i="6"/>
  <c r="BG1072" i="6" s="1"/>
  <c r="BH1047" i="6"/>
  <c r="BH1048" i="6" s="1"/>
  <c r="BH1053" i="6" s="1"/>
  <c r="BF1227" i="6"/>
  <c r="DA1225" i="6"/>
  <c r="BF1348" i="6"/>
  <c r="B22" i="42419"/>
  <c r="BE171" i="6" l="1"/>
  <c r="BE176" i="6" s="1"/>
  <c r="DA1227" i="6"/>
  <c r="BF1229" i="6"/>
  <c r="BF1129" i="6"/>
  <c r="DA1129" i="6" s="1"/>
  <c r="DA1072" i="6"/>
  <c r="BG171" i="6"/>
  <c r="O38" i="42457"/>
  <c r="BD1254" i="6"/>
  <c r="BD1350" i="6"/>
  <c r="BH1235" i="6"/>
  <c r="BH1238" i="6" s="1"/>
  <c r="BH1061" i="6"/>
  <c r="BH1072" i="6" s="1"/>
  <c r="BH171" i="6" s="1"/>
  <c r="BH1225" i="6"/>
  <c r="S35" i="42457"/>
  <c r="S36" i="42457" s="1"/>
  <c r="S40" i="42457" s="1"/>
  <c r="BI1047" i="6"/>
  <c r="BI1048" i="6" s="1"/>
  <c r="BI1053" i="6" s="1"/>
  <c r="BG1227" i="6"/>
  <c r="BG1229" i="6" s="1"/>
  <c r="BG1232" i="6" s="1"/>
  <c r="BG1348" i="6"/>
  <c r="DB1048" i="6"/>
  <c r="BK1053" i="6"/>
  <c r="BD176" i="6"/>
  <c r="BD177" i="6"/>
  <c r="BD182" i="6"/>
  <c r="BE1238" i="6"/>
  <c r="BF1238" i="6" s="1"/>
  <c r="DA1238" i="6" s="1"/>
  <c r="BF1235" i="6"/>
  <c r="DA1235" i="6" s="1"/>
  <c r="BG1129" i="6"/>
  <c r="BE1348" i="6"/>
  <c r="BE1227" i="6"/>
  <c r="BE1229" i="6" s="1"/>
  <c r="BE1232" i="6" s="1"/>
  <c r="BF171" i="6"/>
  <c r="BE177" i="6" l="1"/>
  <c r="BE179" i="6" s="1"/>
  <c r="BE182" i="6"/>
  <c r="BH182" i="6"/>
  <c r="BH176" i="6"/>
  <c r="BH177" i="6"/>
  <c r="BF176" i="6"/>
  <c r="BF177" i="6"/>
  <c r="BF182" i="6"/>
  <c r="BD181" i="6"/>
  <c r="BD179" i="6"/>
  <c r="BG1254" i="6"/>
  <c r="R38" i="42457"/>
  <c r="R41" i="42457" s="1"/>
  <c r="BG1350" i="6"/>
  <c r="BH1129" i="6"/>
  <c r="O41" i="42457"/>
  <c r="DA1229" i="6"/>
  <c r="BF1232" i="6"/>
  <c r="BH1227" i="6"/>
  <c r="BH1229" i="6" s="1"/>
  <c r="BH1232" i="6" s="1"/>
  <c r="BH1348" i="6"/>
  <c r="P38" i="42457"/>
  <c r="P41" i="42457" s="1"/>
  <c r="BE1350" i="6"/>
  <c r="BE1254" i="6"/>
  <c r="BF1254" i="6" s="1"/>
  <c r="BE181" i="6"/>
  <c r="BK1061" i="6"/>
  <c r="V35" i="42457"/>
  <c r="V36" i="42457" s="1"/>
  <c r="V40" i="42457" s="1"/>
  <c r="BK1225" i="6"/>
  <c r="DB1053" i="6"/>
  <c r="BL1047" i="6"/>
  <c r="BL1048" i="6" s="1"/>
  <c r="BL1053" i="6" s="1"/>
  <c r="BP1047" i="6"/>
  <c r="DC1047" i="6" s="1"/>
  <c r="BI1225" i="6"/>
  <c r="BJ1047" i="6"/>
  <c r="BJ1048" i="6" s="1"/>
  <c r="BJ1053" i="6" s="1"/>
  <c r="T35" i="42457"/>
  <c r="T36" i="42457" s="1"/>
  <c r="T40" i="42457" s="1"/>
  <c r="BI1235" i="6"/>
  <c r="BI1238" i="6" s="1"/>
  <c r="BI1061" i="6"/>
  <c r="BI1072" i="6" s="1"/>
  <c r="BG177" i="6"/>
  <c r="BG182" i="6"/>
  <c r="BG176" i="6"/>
  <c r="BJ1061" i="6" l="1"/>
  <c r="BJ1072" i="6" s="1"/>
  <c r="BJ1129" i="6" s="1"/>
  <c r="BJ1225" i="6"/>
  <c r="BJ1235" i="6"/>
  <c r="U35" i="42457"/>
  <c r="U36" i="42457" s="1"/>
  <c r="U40" i="42457" s="1"/>
  <c r="BI1129" i="6"/>
  <c r="BI1348" i="6"/>
  <c r="BI1227" i="6"/>
  <c r="BI1229" i="6" s="1"/>
  <c r="BI1232" i="6" s="1"/>
  <c r="BK1348" i="6"/>
  <c r="BK1227" i="6"/>
  <c r="DB1225" i="6"/>
  <c r="BI171" i="6"/>
  <c r="BF179" i="6"/>
  <c r="BF181" i="6"/>
  <c r="BG181" i="6"/>
  <c r="BG179" i="6"/>
  <c r="BL1235" i="6"/>
  <c r="BL1238" i="6" s="1"/>
  <c r="BL1225" i="6"/>
  <c r="BM1047" i="6"/>
  <c r="BM1048" i="6" s="1"/>
  <c r="W35" i="42457"/>
  <c r="W36" i="42457" s="1"/>
  <c r="W40" i="42457" s="1"/>
  <c r="BL1061" i="6"/>
  <c r="BL1072" i="6" s="1"/>
  <c r="BL1129" i="6" s="1"/>
  <c r="BK1072" i="6"/>
  <c r="DB1061" i="6"/>
  <c r="DA1232" i="6"/>
  <c r="Q38" i="42457"/>
  <c r="Q41" i="42457" s="1"/>
  <c r="BF1350" i="6"/>
  <c r="BH181" i="6"/>
  <c r="BH179" i="6"/>
  <c r="BH1350" i="6"/>
  <c r="BH1254" i="6"/>
  <c r="S38" i="42457"/>
  <c r="S41" i="42457" s="1"/>
  <c r="BK171" i="6" l="1"/>
  <c r="BK177" i="6" s="1"/>
  <c r="BJ171" i="6"/>
  <c r="BJ177" i="6" s="1"/>
  <c r="BI176" i="6"/>
  <c r="BI177" i="6"/>
  <c r="BI182" i="6"/>
  <c r="T38" i="42457"/>
  <c r="T41" i="42457" s="1"/>
  <c r="CM510" i="42458" s="1"/>
  <c r="BI1254" i="6"/>
  <c r="BI1350" i="6"/>
  <c r="BM1053" i="6"/>
  <c r="BK1235" i="6"/>
  <c r="DB1235" i="6" s="1"/>
  <c r="BJ1238" i="6"/>
  <c r="BK1238" i="6" s="1"/>
  <c r="DB1238" i="6" s="1"/>
  <c r="BK1129" i="6"/>
  <c r="DB1129" i="6" s="1"/>
  <c r="BL171" i="6"/>
  <c r="DB1072" i="6"/>
  <c r="BL1227" i="6"/>
  <c r="BL1229" i="6" s="1"/>
  <c r="BL1232" i="6" s="1"/>
  <c r="BL1348" i="6"/>
  <c r="BK1229" i="6"/>
  <c r="DB1227" i="6"/>
  <c r="BJ1348" i="6"/>
  <c r="BJ1227" i="6"/>
  <c r="BJ1229" i="6" s="1"/>
  <c r="BJ1232" i="6" s="1"/>
  <c r="BK176" i="6" l="1"/>
  <c r="BK179" i="6" s="1"/>
  <c r="BJ176" i="6"/>
  <c r="BJ179" i="6" s="1"/>
  <c r="BJ182" i="6"/>
  <c r="BK182" i="6"/>
  <c r="DB1229" i="6"/>
  <c r="BK1232" i="6"/>
  <c r="BN1047" i="6"/>
  <c r="BM1061" i="6"/>
  <c r="BM1072" i="6" s="1"/>
  <c r="BM1235" i="6"/>
  <c r="BM1238" i="6" s="1"/>
  <c r="BM1225" i="6"/>
  <c r="X35" i="42457"/>
  <c r="X36" i="42457" s="1"/>
  <c r="X40" i="42457" s="1"/>
  <c r="BL177" i="6"/>
  <c r="BL182" i="6"/>
  <c r="BL176" i="6"/>
  <c r="BJ1254" i="6"/>
  <c r="BK1254" i="6" s="1"/>
  <c r="DB1254" i="6" s="1"/>
  <c r="BJ1350" i="6"/>
  <c r="U38" i="42457"/>
  <c r="U41" i="42457" s="1"/>
  <c r="W38" i="42457"/>
  <c r="W41" i="42457" s="1"/>
  <c r="BL1350" i="6"/>
  <c r="BL1254" i="6"/>
  <c r="BI179" i="6"/>
  <c r="BI181" i="6"/>
  <c r="BK181" i="6" l="1"/>
  <c r="BJ181" i="6"/>
  <c r="BM1348" i="6"/>
  <c r="BM1227" i="6"/>
  <c r="BM1229" i="6" s="1"/>
  <c r="BM1232" i="6" s="1"/>
  <c r="BN1046" i="6"/>
  <c r="BN1048" i="6" s="1"/>
  <c r="BN1332" i="6"/>
  <c r="BN172" i="6"/>
  <c r="BL181" i="6"/>
  <c r="BL179" i="6"/>
  <c r="BM1129" i="6"/>
  <c r="BM171" i="6"/>
  <c r="AE211" i="42458"/>
  <c r="AE213" i="42458" s="1"/>
  <c r="AE215" i="42458" s="1"/>
  <c r="DB1232" i="6"/>
  <c r="BK1350" i="6"/>
  <c r="AD211" i="42458"/>
  <c r="AD213" i="42458" s="1"/>
  <c r="AD215" i="42458" s="1"/>
  <c r="V38" i="42457"/>
  <c r="V41" i="42457" s="1"/>
  <c r="AF211" i="42458"/>
  <c r="AF213" i="42458" s="1"/>
  <c r="AF215" i="42458" s="1"/>
  <c r="BN1053" i="6" l="1"/>
  <c r="BN1061" i="6" s="1"/>
  <c r="BN1072" i="6" s="1"/>
  <c r="BN1129" i="6" s="1"/>
  <c r="BM177" i="6"/>
  <c r="BM182" i="6"/>
  <c r="BM176" i="6"/>
  <c r="BM1350" i="6"/>
  <c r="BM1254" i="6"/>
  <c r="X38" i="42457"/>
  <c r="X41" i="42457" s="1"/>
  <c r="Y43" i="42457"/>
  <c r="BO1047" i="6" l="1"/>
  <c r="BN1225" i="6"/>
  <c r="BN1227" i="6" s="1"/>
  <c r="BN1229" i="6" s="1"/>
  <c r="BN1232" i="6" s="1"/>
  <c r="Y35" i="42457"/>
  <c r="Y36" i="42457" s="1"/>
  <c r="Y40" i="42457" s="1"/>
  <c r="BN1235" i="6"/>
  <c r="BN1238" i="6" s="1"/>
  <c r="BN171" i="6"/>
  <c r="BN177" i="6" s="1"/>
  <c r="BO1028" i="6"/>
  <c r="BO1046" i="6" s="1"/>
  <c r="BP1027" i="6"/>
  <c r="BM181" i="6"/>
  <c r="BM179" i="6"/>
  <c r="BN1348" i="6" l="1"/>
  <c r="BN176" i="6"/>
  <c r="BN181" i="6" s="1"/>
  <c r="BN182" i="6"/>
  <c r="BO1048" i="6"/>
  <c r="BO1332" i="6"/>
  <c r="BP1332" i="6" s="1"/>
  <c r="DC1332" i="6" s="1"/>
  <c r="BO1124" i="6"/>
  <c r="BP1121" i="6"/>
  <c r="BP1028" i="6"/>
  <c r="DC1027" i="6"/>
  <c r="BN1350" i="6"/>
  <c r="BN1254" i="6"/>
  <c r="Y38" i="42457"/>
  <c r="Y41" i="42457" s="1"/>
  <c r="BQ1028" i="6" l="1"/>
  <c r="BO1053" i="6"/>
  <c r="BO1061" i="6" s="1"/>
  <c r="BO1072" i="6" s="1"/>
  <c r="BO171" i="6" s="1"/>
  <c r="BO176" i="6" s="1"/>
  <c r="BO181" i="6" s="1"/>
  <c r="BN179" i="6"/>
  <c r="DC1028" i="6"/>
  <c r="BP1046" i="6"/>
  <c r="BP1124" i="6"/>
  <c r="DC1121" i="6"/>
  <c r="BO172" i="6"/>
  <c r="BO1127" i="6"/>
  <c r="Z43" i="42457"/>
  <c r="BQ1046" i="6" l="1"/>
  <c r="BO1225" i="6"/>
  <c r="BO1227" i="6" s="1"/>
  <c r="BO1229" i="6" s="1"/>
  <c r="BO1232" i="6" s="1"/>
  <c r="Z35" i="42457"/>
  <c r="Z36" i="42457" s="1"/>
  <c r="Z40" i="42457" s="1"/>
  <c r="BO1235" i="6"/>
  <c r="BP1235" i="6" s="1"/>
  <c r="DC1235" i="6" s="1"/>
  <c r="BO177" i="6"/>
  <c r="BO179" i="6" s="1"/>
  <c r="BO1129" i="6"/>
  <c r="BO182" i="6"/>
  <c r="BP172" i="6"/>
  <c r="AA43" i="42457"/>
  <c r="BP1127" i="6"/>
  <c r="DC1127" i="6" s="1"/>
  <c r="DC1124" i="6"/>
  <c r="BP1048" i="6"/>
  <c r="DC1046" i="6"/>
  <c r="BQ1332" i="6"/>
  <c r="BO1348" i="6" l="1"/>
  <c r="BO1238" i="6"/>
  <c r="BP1238" i="6" s="1"/>
  <c r="DC1238" i="6" s="1"/>
  <c r="BO1254" i="6"/>
  <c r="BP1254" i="6" s="1"/>
  <c r="DC1254" i="6" s="1"/>
  <c r="Z38" i="42457"/>
  <c r="Z41" i="42457" s="1"/>
  <c r="BO1350" i="6"/>
  <c r="BQ172" i="6"/>
  <c r="BQ1127" i="6"/>
  <c r="BP1053" i="6"/>
  <c r="DC1048" i="6"/>
  <c r="BP1061" i="6" l="1"/>
  <c r="DC1053" i="6"/>
  <c r="BU1047" i="6"/>
  <c r="BQ1047" i="6"/>
  <c r="BQ1048" i="6" s="1"/>
  <c r="BP1225" i="6"/>
  <c r="AA35" i="42457"/>
  <c r="AA36" i="42457" s="1"/>
  <c r="AA40" i="42457" s="1"/>
  <c r="DD1047" i="6" l="1"/>
  <c r="DC1225" i="6"/>
  <c r="BP1348" i="6"/>
  <c r="BP1227" i="6"/>
  <c r="S159" i="42458"/>
  <c r="BP1072" i="6"/>
  <c r="DC1061" i="6"/>
  <c r="BP1129" i="6" l="1"/>
  <c r="DC1129" i="6" s="1"/>
  <c r="BP171" i="6"/>
  <c r="DC1072" i="6"/>
  <c r="AA281" i="42458"/>
  <c r="AA283" i="42458" s="1"/>
  <c r="AA285" i="42458" s="1"/>
  <c r="S176" i="42458"/>
  <c r="R159" i="42458"/>
  <c r="T159" i="42458"/>
  <c r="Y281" i="42458"/>
  <c r="Y283" i="42458" s="1"/>
  <c r="Y285" i="42458" s="1"/>
  <c r="Z281" i="42458"/>
  <c r="Z283" i="42458" s="1"/>
  <c r="Z285" i="42458" s="1"/>
  <c r="BP1229" i="6"/>
  <c r="DC1227" i="6"/>
  <c r="DC1229" i="6" l="1"/>
  <c r="BP1232" i="6"/>
  <c r="T176" i="42458"/>
  <c r="BP182" i="6"/>
  <c r="BP176" i="6"/>
  <c r="BP177" i="6"/>
  <c r="R176" i="42458"/>
  <c r="BP181" i="6" l="1"/>
  <c r="BP179" i="6"/>
  <c r="BP1350" i="6"/>
  <c r="DC1232" i="6"/>
  <c r="AA38" i="42457"/>
  <c r="AA41" i="42457" l="1"/>
  <c r="CN510" i="42458" s="1"/>
  <c r="AA42" i="42457"/>
  <c r="I33" i="42422" l="1"/>
  <c r="BW468" i="6"/>
  <c r="BR474" i="6"/>
  <c r="EO594" i="42458"/>
  <c r="EO604" i="42458" s="1"/>
  <c r="EO605" i="42458" s="1"/>
  <c r="BQ50" i="42290"/>
  <c r="BQ54" i="42290" s="1"/>
  <c r="BQ57" i="42290" s="1"/>
  <c r="BQ261" i="42290" s="1"/>
  <c r="BR495" i="6" l="1"/>
  <c r="BR496" i="6" s="1"/>
  <c r="BR497" i="6" s="1"/>
  <c r="BU432" i="6"/>
  <c r="BR492" i="6"/>
  <c r="BR468" i="6"/>
  <c r="BR489" i="6"/>
  <c r="BW490" i="6" s="1"/>
  <c r="BZ453" i="6" l="1"/>
  <c r="DE453" i="6" s="1"/>
  <c r="BU447" i="6"/>
  <c r="BZ468" i="6" s="1"/>
  <c r="BU495" i="6"/>
  <c r="DD495" i="6" s="1"/>
  <c r="BW496" i="6"/>
  <c r="BR490" i="6"/>
  <c r="BR493" i="6"/>
  <c r="BR16" i="6"/>
  <c r="BR501" i="6"/>
  <c r="DD432" i="6"/>
  <c r="BU474" i="6"/>
  <c r="DD474" i="6" s="1"/>
  <c r="BU453" i="6"/>
  <c r="DD453" i="6" s="1"/>
  <c r="ER594" i="42458"/>
  <c r="ER604" i="42458" s="1"/>
  <c r="ER605" i="42458" s="1"/>
  <c r="BT50" i="42290"/>
  <c r="BT54" i="42290" s="1"/>
  <c r="BT57" i="42290" s="1"/>
  <c r="BT261" i="42290" s="1"/>
  <c r="BR21" i="6" l="1"/>
  <c r="BW499" i="6"/>
  <c r="BW497" i="6"/>
  <c r="BR44" i="6"/>
  <c r="BR510" i="6"/>
  <c r="BR511" i="6"/>
  <c r="EO611" i="42458"/>
  <c r="EO613" i="42458" s="1"/>
  <c r="EO614" i="42458" s="1"/>
  <c r="BU468" i="6"/>
  <c r="DD468" i="6" s="1"/>
  <c r="BU489" i="6"/>
  <c r="BZ490" i="6" s="1"/>
  <c r="DD447" i="6"/>
  <c r="DE474" i="6"/>
  <c r="CA432" i="6"/>
  <c r="CA447" i="6" s="1"/>
  <c r="DE432" i="6"/>
  <c r="ES594" i="42458"/>
  <c r="ES604" i="42458" s="1"/>
  <c r="ES605" i="42458" s="1"/>
  <c r="BU50" i="42290"/>
  <c r="BU54" i="42290" s="1"/>
  <c r="BU57" i="42290" s="1"/>
  <c r="BU261" i="42290" s="1"/>
  <c r="BR30" i="6" l="1"/>
  <c r="BW16" i="6"/>
  <c r="BW508" i="6"/>
  <c r="BW512" i="6" s="1"/>
  <c r="BW501" i="6"/>
  <c r="BW492" i="6"/>
  <c r="BW493" i="6" s="1"/>
  <c r="BR23" i="6"/>
  <c r="BR22" i="6"/>
  <c r="BR170" i="6"/>
  <c r="BR129" i="6"/>
  <c r="CA474" i="6"/>
  <c r="DF474" i="6" s="1"/>
  <c r="DF432" i="6"/>
  <c r="CB432" i="6"/>
  <c r="CB447" i="6" s="1"/>
  <c r="BV50" i="42290"/>
  <c r="BV54" i="42290" s="1"/>
  <c r="BV57" i="42290" s="1"/>
  <c r="BV261" i="42290" s="1"/>
  <c r="DE468" i="6"/>
  <c r="DE447" i="6"/>
  <c r="BU490" i="6"/>
  <c r="DD490" i="6" s="1"/>
  <c r="DD489" i="6"/>
  <c r="BW21" i="6" l="1"/>
  <c r="BW44" i="6"/>
  <c r="BW511" i="6"/>
  <c r="BW510" i="6"/>
  <c r="DE495" i="6"/>
  <c r="CC432" i="6"/>
  <c r="DG432" i="6"/>
  <c r="CB474" i="6"/>
  <c r="DG474" i="6" s="1"/>
  <c r="BW50" i="42290"/>
  <c r="BW54" i="42290" s="1"/>
  <c r="BW57" i="42290" s="1"/>
  <c r="BW261" i="42290" s="1"/>
  <c r="DF447" i="6"/>
  <c r="CA489" i="6"/>
  <c r="CA495" i="6"/>
  <c r="CA468" i="6"/>
  <c r="DF468" i="6" s="1"/>
  <c r="DE489" i="6"/>
  <c r="DE490" i="6"/>
  <c r="BW129" i="6" l="1"/>
  <c r="BW23" i="6"/>
  <c r="BW22" i="6"/>
  <c r="BW30" i="6"/>
  <c r="DF495" i="6"/>
  <c r="CB468" i="6"/>
  <c r="DG468" i="6" s="1"/>
  <c r="DG447" i="6"/>
  <c r="CB489" i="6"/>
  <c r="CB495" i="6"/>
  <c r="DF489" i="6"/>
  <c r="CA490" i="6"/>
  <c r="DF490" i="6" s="1"/>
  <c r="CD432" i="6"/>
  <c r="CC447" i="6"/>
  <c r="CC474" i="6"/>
  <c r="BX50" i="42290"/>
  <c r="BX54" i="42290" s="1"/>
  <c r="BX57" i="42290" s="1"/>
  <c r="BX261" i="42290" s="1"/>
  <c r="DG489" i="6" l="1"/>
  <c r="CB490" i="6"/>
  <c r="DG490" i="6" s="1"/>
  <c r="DG495" i="6"/>
  <c r="CC468" i="6"/>
  <c r="CC489" i="6"/>
  <c r="CC490" i="6" s="1"/>
  <c r="CC495" i="6"/>
  <c r="CD474" i="6"/>
  <c r="CE432" i="6"/>
  <c r="CD447" i="6"/>
  <c r="BY50" i="42290"/>
  <c r="BY54" i="42290" s="1"/>
  <c r="BY57" i="42290" s="1"/>
  <c r="BY261" i="42290" s="1"/>
  <c r="CE474" i="6" l="1"/>
  <c r="CE447" i="6"/>
  <c r="CF432" i="6"/>
  <c r="BZ50" i="42290"/>
  <c r="BZ54" i="42290" s="1"/>
  <c r="BZ57" i="42290" s="1"/>
  <c r="BZ261" i="42290" s="1"/>
  <c r="CD495" i="6"/>
  <c r="CD489" i="6"/>
  <c r="CD490" i="6" s="1"/>
  <c r="CD468" i="6"/>
  <c r="CE468" i="6" l="1"/>
  <c r="CE489" i="6"/>
  <c r="CE490" i="6" s="1"/>
  <c r="CE495" i="6"/>
  <c r="CF447" i="6"/>
  <c r="CG432" i="6"/>
  <c r="CF474" i="6"/>
  <c r="CA50" i="42290"/>
  <c r="CA54" i="42290" s="1"/>
  <c r="CA57" i="42290" s="1"/>
  <c r="CA261" i="42290" s="1"/>
  <c r="CF468" i="6" l="1"/>
  <c r="CF489" i="6"/>
  <c r="CF490" i="6" s="1"/>
  <c r="CF495" i="6"/>
  <c r="CG447" i="6"/>
  <c r="CG474" i="6"/>
  <c r="CB50" i="42290"/>
  <c r="CB54" i="42290" s="1"/>
  <c r="CB57" i="42290" s="1"/>
  <c r="CB261" i="42290" s="1"/>
  <c r="CG468" i="6" l="1"/>
  <c r="CG489" i="6"/>
  <c r="CG490" i="6" s="1"/>
  <c r="CG495" i="6"/>
  <c r="BQ1053" i="6" l="1"/>
  <c r="BR1047" i="6" s="1"/>
  <c r="BQ1225" i="6" l="1"/>
  <c r="BQ1235" i="6"/>
  <c r="BQ1238" i="6" s="1"/>
  <c r="BQ1061" i="6"/>
  <c r="BQ1072" i="6" s="1"/>
  <c r="BQ1129" i="6" s="1"/>
  <c r="BQ1227" i="6" l="1"/>
  <c r="BQ1229" i="6" s="1"/>
  <c r="BQ1232" i="6" s="1"/>
  <c r="BQ1348" i="6"/>
  <c r="BQ171" i="6"/>
  <c r="BQ1254" i="6" l="1"/>
  <c r="BQ1350" i="6"/>
  <c r="BQ182" i="6"/>
  <c r="BQ177" i="6"/>
  <c r="BQ176" i="6"/>
  <c r="BQ179" i="6" l="1"/>
  <c r="BQ181" i="6"/>
  <c r="Z227" i="42458" l="1"/>
  <c r="Z232" i="42458" s="1"/>
  <c r="Z234" i="42458" s="1"/>
  <c r="Z236" i="42458" s="1"/>
  <c r="AA227" i="42458"/>
  <c r="AA232" i="42458" s="1"/>
  <c r="AA234" i="42458" s="1"/>
  <c r="AA236" i="42458" s="1"/>
  <c r="Y227" i="42458"/>
  <c r="Y232" i="42458" s="1"/>
  <c r="Y234" i="42458" s="1"/>
  <c r="Y236" i="42458" s="1"/>
  <c r="BR38" i="6" l="1"/>
  <c r="BR306" i="6"/>
  <c r="BU310" i="6"/>
  <c r="DD310" i="6" s="1"/>
  <c r="BR311" i="6"/>
  <c r="BR312" i="6"/>
  <c r="BR313" i="6"/>
  <c r="BU313" i="6" s="1"/>
  <c r="BR51" i="6" l="1"/>
  <c r="BR52" i="6" s="1"/>
  <c r="BU38" i="6"/>
  <c r="BU127" i="6" s="1"/>
  <c r="DD127" i="6" s="1"/>
  <c r="BR127" i="6"/>
  <c r="BR53" i="6"/>
  <c r="BR26" i="6"/>
  <c r="BU26" i="6" s="1"/>
  <c r="BW306" i="6"/>
  <c r="BR107" i="6"/>
  <c r="BR110" i="6" s="1"/>
  <c r="BU312" i="6"/>
  <c r="DD312" i="6" s="1"/>
  <c r="BU311" i="6"/>
  <c r="DD311" i="6" s="1"/>
  <c r="BR307" i="6"/>
  <c r="BR303" i="6"/>
  <c r="BU306" i="6"/>
  <c r="BR55" i="6" l="1"/>
  <c r="BR60" i="6" s="1"/>
  <c r="BR33" i="6"/>
  <c r="BZ306" i="6"/>
  <c r="CN306" i="6"/>
  <c r="CO306" i="6" s="1"/>
  <c r="BW26" i="6"/>
  <c r="BW303" i="6"/>
  <c r="BW304" i="6" s="1"/>
  <c r="BW307" i="6"/>
  <c r="BW310" i="6"/>
  <c r="BR304" i="6"/>
  <c r="DD38" i="6"/>
  <c r="BR70" i="6"/>
  <c r="BR56" i="6"/>
  <c r="DD26" i="6"/>
  <c r="BR34" i="6"/>
  <c r="BR35" i="6"/>
  <c r="BU303" i="6"/>
  <c r="BU304" i="6" s="1"/>
  <c r="DD304" i="6" s="1"/>
  <c r="BU308" i="6"/>
  <c r="BU307" i="6"/>
  <c r="DD307" i="6" s="1"/>
  <c r="BR167" i="6" l="1"/>
  <c r="BR1259" i="6"/>
  <c r="BR113" i="6"/>
  <c r="BR57" i="6"/>
  <c r="BZ310" i="6"/>
  <c r="C40" i="42421" s="1"/>
  <c r="CN310" i="6"/>
  <c r="CO310" i="6" s="1"/>
  <c r="BZ26" i="6"/>
  <c r="CN26" i="6"/>
  <c r="CO26" i="6" s="1"/>
  <c r="BZ308" i="6"/>
  <c r="DE308" i="6" s="1"/>
  <c r="BZ307" i="6"/>
  <c r="DE307" i="6" s="1"/>
  <c r="BZ303" i="6"/>
  <c r="BZ304" i="6" s="1"/>
  <c r="DE304" i="6" s="1"/>
  <c r="BW38" i="6"/>
  <c r="BW63" i="6" s="1"/>
  <c r="BW313" i="6"/>
  <c r="BZ313" i="6" s="1"/>
  <c r="BW312" i="6"/>
  <c r="BW311" i="6"/>
  <c r="BW33" i="6"/>
  <c r="BR116" i="6"/>
  <c r="BR1261" i="6"/>
  <c r="BR71" i="6"/>
  <c r="BR80" i="6"/>
  <c r="BR1220" i="6" s="1"/>
  <c r="DD308" i="6"/>
  <c r="FX639" i="42458"/>
  <c r="CA306" i="6"/>
  <c r="CN38" i="6" l="1"/>
  <c r="CO38" i="6" s="1"/>
  <c r="BZ38" i="6"/>
  <c r="BZ312" i="6"/>
  <c r="DE312" i="6" s="1"/>
  <c r="BZ311" i="6"/>
  <c r="BW35" i="6"/>
  <c r="BW34" i="6"/>
  <c r="BW53" i="6"/>
  <c r="BW51" i="6"/>
  <c r="BW127" i="6"/>
  <c r="BW107" i="6"/>
  <c r="BR1262" i="6"/>
  <c r="BR82" i="6"/>
  <c r="BR118" i="6"/>
  <c r="DE310" i="6"/>
  <c r="DE26" i="6"/>
  <c r="CA26" i="6"/>
  <c r="CA307" i="6"/>
  <c r="DF307" i="6" s="1"/>
  <c r="CB306" i="6"/>
  <c r="CA310" i="6"/>
  <c r="C39" i="42421" s="1"/>
  <c r="G40" i="42421" s="1"/>
  <c r="CA303" i="6"/>
  <c r="CA304" i="6" s="1"/>
  <c r="DF304" i="6" s="1"/>
  <c r="FY639" i="42458"/>
  <c r="BZ127" i="6" l="1"/>
  <c r="DE127" i="6" s="1"/>
  <c r="BW110" i="6"/>
  <c r="BW52" i="6"/>
  <c r="BW55" i="6"/>
  <c r="BR84" i="6"/>
  <c r="BR1211" i="6"/>
  <c r="BR1216" i="6"/>
  <c r="BR1295" i="6"/>
  <c r="BR1296" i="6" s="1"/>
  <c r="BR1281" i="6"/>
  <c r="BR1282" i="6" s="1"/>
  <c r="BR1286" i="6"/>
  <c r="BR1289" i="6" s="1"/>
  <c r="BR1290" i="6" s="1"/>
  <c r="BR123" i="6"/>
  <c r="CA38" i="6"/>
  <c r="DF310" i="6"/>
  <c r="CA311" i="6"/>
  <c r="CA312" i="6"/>
  <c r="DF312" i="6" s="1"/>
  <c r="CA313" i="6"/>
  <c r="CB26" i="6"/>
  <c r="CC306" i="6"/>
  <c r="CB310" i="6"/>
  <c r="CB307" i="6"/>
  <c r="DG307" i="6" s="1"/>
  <c r="CB303" i="6"/>
  <c r="CB304" i="6" s="1"/>
  <c r="DG304" i="6" s="1"/>
  <c r="DE38" i="6"/>
  <c r="DF26" i="6"/>
  <c r="E39" i="42421"/>
  <c r="D39" i="42421"/>
  <c r="U90" i="42421"/>
  <c r="DE311" i="6"/>
  <c r="B8" i="42417" l="1"/>
  <c r="F8" i="42417" s="1"/>
  <c r="DF311" i="6"/>
  <c r="C38" i="42421"/>
  <c r="BW1259" i="6"/>
  <c r="BW60" i="6"/>
  <c r="BW57" i="6"/>
  <c r="BW56" i="6"/>
  <c r="BW113" i="6"/>
  <c r="BW70" i="6"/>
  <c r="BR1263" i="6"/>
  <c r="BR1013" i="6"/>
  <c r="BR1027" i="6" s="1"/>
  <c r="BR86" i="6"/>
  <c r="BR1218" i="6"/>
  <c r="BS1214" i="6" s="1"/>
  <c r="CC303" i="6"/>
  <c r="CC304" i="6" s="1"/>
  <c r="CC26" i="6"/>
  <c r="CD306" i="6"/>
  <c r="CC310" i="6"/>
  <c r="CC307" i="6"/>
  <c r="DG26" i="6"/>
  <c r="CB38" i="6"/>
  <c r="CB312" i="6"/>
  <c r="DG312" i="6" s="1"/>
  <c r="DG310" i="6"/>
  <c r="CB313" i="6"/>
  <c r="CB311" i="6"/>
  <c r="DG311" i="6" s="1"/>
  <c r="DF38" i="6"/>
  <c r="CA127" i="6"/>
  <c r="DF127" i="6" s="1"/>
  <c r="D38" i="42421" l="1"/>
  <c r="C56" i="42421"/>
  <c r="D56" i="42421" s="1"/>
  <c r="C12" i="42421"/>
  <c r="E12" i="42421" s="1"/>
  <c r="E38" i="42421"/>
  <c r="CN1027" i="6"/>
  <c r="CO1027" i="6" s="1"/>
  <c r="BZ1027" i="6"/>
  <c r="BW116" i="6"/>
  <c r="BW1261" i="6"/>
  <c r="BW71" i="6"/>
  <c r="BW80" i="6"/>
  <c r="BR1028" i="6"/>
  <c r="BR1046" i="6" s="1"/>
  <c r="BR145" i="6"/>
  <c r="BR88" i="6"/>
  <c r="BR90" i="6"/>
  <c r="BR91" i="6"/>
  <c r="DG38" i="6"/>
  <c r="CB127" i="6"/>
  <c r="DG127" i="6" s="1"/>
  <c r="L85" i="42434"/>
  <c r="CD26" i="6"/>
  <c r="CD303" i="6"/>
  <c r="CD304" i="6" s="1"/>
  <c r="CD307" i="6"/>
  <c r="CE306" i="6"/>
  <c r="CD310" i="6"/>
  <c r="CC38" i="6"/>
  <c r="CC312" i="6"/>
  <c r="CC311" i="6"/>
  <c r="C57" i="42421" l="1"/>
  <c r="G57" i="42421" s="1"/>
  <c r="C13" i="42421"/>
  <c r="G13" i="42421" s="1"/>
  <c r="F12" i="42421"/>
  <c r="D12" i="42421"/>
  <c r="E56" i="42421"/>
  <c r="F56" i="42421"/>
  <c r="BR1048" i="6"/>
  <c r="BW118" i="6"/>
  <c r="BW81" i="6"/>
  <c r="BR92" i="6"/>
  <c r="BR1332" i="6"/>
  <c r="BR94" i="6"/>
  <c r="BR169" i="6"/>
  <c r="BR175" i="6" s="1"/>
  <c r="BR95" i="6"/>
  <c r="BR100" i="6" s="1"/>
  <c r="BR135" i="6"/>
  <c r="CC127" i="6"/>
  <c r="CD38" i="6"/>
  <c r="CD311" i="6"/>
  <c r="CD312" i="6"/>
  <c r="CE26" i="6"/>
  <c r="CE307" i="6"/>
  <c r="CF306" i="6"/>
  <c r="CE310" i="6"/>
  <c r="CE303" i="6"/>
  <c r="CE304" i="6" s="1"/>
  <c r="V90" i="42421" l="1"/>
  <c r="D57" i="42421"/>
  <c r="F57" i="42421"/>
  <c r="E57" i="42421"/>
  <c r="J55" i="42421"/>
  <c r="C58" i="42421" s="1"/>
  <c r="J11" i="42421"/>
  <c r="C14" i="42421" s="1"/>
  <c r="T90" i="42421"/>
  <c r="F13" i="42421"/>
  <c r="D13" i="42421"/>
  <c r="E13" i="42421"/>
  <c r="BR1053" i="6"/>
  <c r="BW123" i="6"/>
  <c r="BW1211" i="6"/>
  <c r="BW82" i="6"/>
  <c r="BR96" i="6"/>
  <c r="CA1027" i="6"/>
  <c r="DE1027" i="6"/>
  <c r="BR144" i="6"/>
  <c r="BR172" i="6"/>
  <c r="CD127" i="6"/>
  <c r="CE38" i="6"/>
  <c r="CE311" i="6"/>
  <c r="CE312" i="6"/>
  <c r="CF26" i="6"/>
  <c r="CG306" i="6"/>
  <c r="CF310" i="6"/>
  <c r="CF307" i="6"/>
  <c r="CF303" i="6"/>
  <c r="CF304" i="6" s="1"/>
  <c r="K55" i="42421" l="1"/>
  <c r="L55" i="42421" s="1"/>
  <c r="K11" i="42421"/>
  <c r="L11" i="42421" s="1"/>
  <c r="BR1235" i="6"/>
  <c r="BR1238" i="6" s="1"/>
  <c r="BR1225" i="6"/>
  <c r="BR1348" i="6" s="1"/>
  <c r="BR1061" i="6"/>
  <c r="BS1047" i="6"/>
  <c r="BW84" i="6"/>
  <c r="BW86" i="6" s="1"/>
  <c r="DF1027" i="6"/>
  <c r="CB1027" i="6"/>
  <c r="BR160" i="6"/>
  <c r="BR161" i="6" s="1"/>
  <c r="BR151" i="6"/>
  <c r="CG26" i="6"/>
  <c r="CG303" i="6"/>
  <c r="CG304" i="6" s="1"/>
  <c r="CG310" i="6"/>
  <c r="CG307" i="6"/>
  <c r="CE127" i="6"/>
  <c r="CF38" i="6"/>
  <c r="CF311" i="6"/>
  <c r="CF312" i="6"/>
  <c r="BR1072" i="6" l="1"/>
  <c r="BR1129" i="6" s="1"/>
  <c r="BR1227" i="6"/>
  <c r="BR1229" i="6" s="1"/>
  <c r="BR1232" i="6" s="1"/>
  <c r="BR1254" i="6" s="1"/>
  <c r="BW1013" i="6"/>
  <c r="BW90" i="6"/>
  <c r="BW91" i="6"/>
  <c r="BW88" i="6"/>
  <c r="DG1027" i="6"/>
  <c r="CC1027" i="6"/>
  <c r="CD1027" i="6" s="1"/>
  <c r="CE1027" i="6" s="1"/>
  <c r="CF1027" i="6" s="1"/>
  <c r="CG1027" i="6" s="1"/>
  <c r="BR153" i="6"/>
  <c r="BR155" i="6" s="1"/>
  <c r="BR157" i="6" s="1"/>
  <c r="BR1345" i="6"/>
  <c r="BR162" i="6"/>
  <c r="BR163" i="6" s="1"/>
  <c r="F35" i="42422"/>
  <c r="I35" i="42422" s="1"/>
  <c r="CF127" i="6"/>
  <c r="CG38" i="6"/>
  <c r="CG311" i="6"/>
  <c r="CG312" i="6"/>
  <c r="BR171" i="6" l="1"/>
  <c r="BR1350" i="6"/>
  <c r="BW92" i="6"/>
  <c r="BW135" i="6"/>
  <c r="BW95" i="6"/>
  <c r="BW94" i="6"/>
  <c r="CG127" i="6"/>
  <c r="BR176" i="6" l="1"/>
  <c r="BR181" i="6" s="1"/>
  <c r="BR182" i="6"/>
  <c r="BR177" i="6"/>
  <c r="BW96" i="6"/>
  <c r="BW144" i="6"/>
  <c r="BW100" i="6"/>
  <c r="BR179" i="6" l="1"/>
  <c r="BW160" i="6"/>
  <c r="BW161" i="6" s="1"/>
  <c r="BR505" i="6" l="1"/>
  <c r="BX496" i="6" l="1"/>
  <c r="BZ496" i="6" s="1"/>
  <c r="BS497" i="6"/>
  <c r="BU496" i="6" s="1"/>
  <c r="DD496" i="6" s="1"/>
  <c r="BS16" i="6"/>
  <c r="EP611" i="42458" s="1"/>
  <c r="EP613" i="42458" s="1"/>
  <c r="EP614" i="42458" s="1"/>
  <c r="BX497" i="6" l="1"/>
  <c r="BU497" i="6"/>
  <c r="BU499" i="6"/>
  <c r="BS44" i="6"/>
  <c r="BS51" i="6" s="1"/>
  <c r="BS501" i="6"/>
  <c r="BZ499" i="6"/>
  <c r="BZ497" i="6"/>
  <c r="CA496" i="6"/>
  <c r="DE496" i="6"/>
  <c r="BX499" i="6"/>
  <c r="BU16" i="6"/>
  <c r="BS21" i="6"/>
  <c r="CN496" i="6"/>
  <c r="BS492" i="6"/>
  <c r="BS493" i="6" s="1"/>
  <c r="BS53" i="6" l="1"/>
  <c r="BU44" i="6"/>
  <c r="BU51" i="6" s="1"/>
  <c r="BS129" i="6"/>
  <c r="BU492" i="6"/>
  <c r="DD499" i="6"/>
  <c r="BU501" i="6"/>
  <c r="DD501" i="6" s="1"/>
  <c r="BS107" i="6"/>
  <c r="BS110" i="6" s="1"/>
  <c r="BS30" i="6"/>
  <c r="BS33" i="6" s="1"/>
  <c r="BS510" i="6"/>
  <c r="BS511" i="6"/>
  <c r="BS52" i="6"/>
  <c r="BS55" i="6"/>
  <c r="BX16" i="6"/>
  <c r="CN499" i="6"/>
  <c r="BX492" i="6"/>
  <c r="BX493" i="6" s="1"/>
  <c r="BX501" i="6"/>
  <c r="BZ492" i="6"/>
  <c r="BZ501" i="6"/>
  <c r="DE501" i="6" s="1"/>
  <c r="DE499" i="6"/>
  <c r="BS23" i="6"/>
  <c r="BS22" i="6"/>
  <c r="BV170" i="6"/>
  <c r="BS170" i="6"/>
  <c r="BW170" i="6"/>
  <c r="BT170" i="6"/>
  <c r="BU21" i="6"/>
  <c r="HV740" i="42458" s="1"/>
  <c r="HW740" i="42458" s="1"/>
  <c r="ER611" i="42458"/>
  <c r="ER613" i="42458" s="1"/>
  <c r="ER614" i="42458" s="1"/>
  <c r="DF496" i="6"/>
  <c r="CA499" i="6"/>
  <c r="CA497" i="6"/>
  <c r="CB496" i="6"/>
  <c r="BU107" i="6" l="1"/>
  <c r="BU110" i="6" s="1"/>
  <c r="DD110" i="6" s="1"/>
  <c r="BU30" i="6"/>
  <c r="DD30" i="6" s="1"/>
  <c r="BU129" i="6"/>
  <c r="DD129" i="6" s="1"/>
  <c r="BU53" i="6"/>
  <c r="DD492" i="6"/>
  <c r="BU493" i="6"/>
  <c r="DD493" i="6" s="1"/>
  <c r="DD51" i="6"/>
  <c r="BU52" i="6"/>
  <c r="DD52" i="6" s="1"/>
  <c r="BU55" i="6"/>
  <c r="HV742" i="42458" s="1"/>
  <c r="HW742" i="42458" s="1"/>
  <c r="AB8" i="42457"/>
  <c r="CC496" i="6"/>
  <c r="DG496" i="6"/>
  <c r="CB499" i="6"/>
  <c r="CB497" i="6"/>
  <c r="BS34" i="6"/>
  <c r="BS35" i="6"/>
  <c r="DD21" i="6"/>
  <c r="BU23" i="6"/>
  <c r="BU22" i="6"/>
  <c r="DD22" i="6" s="1"/>
  <c r="P94" i="42458"/>
  <c r="DE492" i="6"/>
  <c r="BZ493" i="6"/>
  <c r="DE493" i="6" s="1"/>
  <c r="BS60" i="6"/>
  <c r="BS57" i="6"/>
  <c r="BS70" i="6"/>
  <c r="BS56" i="6"/>
  <c r="BS113" i="6"/>
  <c r="BS167" i="6"/>
  <c r="BW167" i="6"/>
  <c r="BT167" i="6"/>
  <c r="BV167" i="6"/>
  <c r="BS1259" i="6"/>
  <c r="BU170" i="6"/>
  <c r="CA16" i="6"/>
  <c r="C47" i="42421" s="1"/>
  <c r="CA492" i="6"/>
  <c r="CA501" i="6"/>
  <c r="DF501" i="6" s="1"/>
  <c r="DF499" i="6"/>
  <c r="BZ16" i="6"/>
  <c r="CN16" i="6"/>
  <c r="CO16" i="6" s="1"/>
  <c r="BX21" i="6"/>
  <c r="DD107" i="6" l="1"/>
  <c r="BU33" i="6"/>
  <c r="DD33" i="6" s="1"/>
  <c r="CN21" i="6"/>
  <c r="CO21" i="6" s="1"/>
  <c r="BX22" i="6"/>
  <c r="BX23" i="6"/>
  <c r="BY170" i="6"/>
  <c r="BX170" i="6"/>
  <c r="CC497" i="6"/>
  <c r="CD496" i="6"/>
  <c r="CC499" i="6"/>
  <c r="AB9" i="42457"/>
  <c r="AB10" i="42457"/>
  <c r="AB46" i="42457"/>
  <c r="CA21" i="6"/>
  <c r="BU113" i="6"/>
  <c r="DD113" i="6" s="1"/>
  <c r="BS116" i="6"/>
  <c r="BU56" i="6"/>
  <c r="DD56" i="6" s="1"/>
  <c r="BU60" i="6"/>
  <c r="DD55" i="6"/>
  <c r="BU57" i="6"/>
  <c r="DD57" i="6" s="1"/>
  <c r="BU70" i="6"/>
  <c r="AB12" i="42457"/>
  <c r="FF620" i="42458"/>
  <c r="P96" i="42458"/>
  <c r="BU1259" i="6"/>
  <c r="DD1259" i="6" s="1"/>
  <c r="BS1261" i="6"/>
  <c r="BZ21" i="6"/>
  <c r="ES611" i="42458"/>
  <c r="ES613" i="42458" s="1"/>
  <c r="ES614" i="42458" s="1"/>
  <c r="BU167" i="6"/>
  <c r="CB16" i="6"/>
  <c r="DG499" i="6"/>
  <c r="CB492" i="6"/>
  <c r="CB501" i="6"/>
  <c r="DG501" i="6" s="1"/>
  <c r="CA493" i="6"/>
  <c r="DF493" i="6" s="1"/>
  <c r="DF492" i="6"/>
  <c r="BS80" i="6"/>
  <c r="BS1220" i="6" s="1"/>
  <c r="BS71" i="6"/>
  <c r="BU34" i="6" l="1"/>
  <c r="DD34" i="6" s="1"/>
  <c r="BU35" i="6"/>
  <c r="DD35" i="6" s="1"/>
  <c r="BU80" i="6"/>
  <c r="DD80" i="6" s="1"/>
  <c r="BS82" i="6"/>
  <c r="CB493" i="6"/>
  <c r="DG493" i="6" s="1"/>
  <c r="DG492" i="6"/>
  <c r="DI167" i="6"/>
  <c r="C63" i="42421"/>
  <c r="C19" i="42421"/>
  <c r="E47" i="42421"/>
  <c r="BZ23" i="6"/>
  <c r="BZ22" i="6"/>
  <c r="DE22" i="6" s="1"/>
  <c r="DE21" i="6"/>
  <c r="AB13" i="42457"/>
  <c r="AB14" i="42457"/>
  <c r="AB16" i="42457"/>
  <c r="AB72" i="42457"/>
  <c r="AB75" i="42457" s="1"/>
  <c r="CD499" i="6"/>
  <c r="CD497" i="6"/>
  <c r="CE496" i="6"/>
  <c r="BZ170" i="6"/>
  <c r="CB21" i="6"/>
  <c r="BV1262" i="6"/>
  <c r="BS1262" i="6"/>
  <c r="BU1261" i="6" s="1"/>
  <c r="DD1261" i="6" s="1"/>
  <c r="BW1262" i="6"/>
  <c r="BT1262" i="6"/>
  <c r="BU71" i="6"/>
  <c r="DD71" i="6" s="1"/>
  <c r="DD70" i="6"/>
  <c r="G7" i="42419"/>
  <c r="BU116" i="6"/>
  <c r="DD116" i="6" s="1"/>
  <c r="BS118" i="6"/>
  <c r="P97" i="42458"/>
  <c r="P116" i="42458" s="1"/>
  <c r="P120" i="42458" s="1"/>
  <c r="DF21" i="6"/>
  <c r="CA23" i="6"/>
  <c r="CA22" i="6"/>
  <c r="DF22" i="6" s="1"/>
  <c r="CA170" i="6"/>
  <c r="CC16" i="6"/>
  <c r="CC21" i="6" s="1"/>
  <c r="CC492" i="6"/>
  <c r="CC493" i="6" s="1"/>
  <c r="CC501" i="6"/>
  <c r="P100" i="42458" l="1"/>
  <c r="S154" i="42458" s="1"/>
  <c r="BV1286" i="6"/>
  <c r="BV1289" i="6" s="1"/>
  <c r="BV1290" i="6" s="1"/>
  <c r="BV1295" i="6"/>
  <c r="BV1296" i="6" s="1"/>
  <c r="BV1281" i="6"/>
  <c r="BV1282" i="6" s="1"/>
  <c r="CC22" i="6"/>
  <c r="CC23" i="6"/>
  <c r="CC170" i="6"/>
  <c r="BT1281" i="6"/>
  <c r="BT1286" i="6"/>
  <c r="BU1262" i="6"/>
  <c r="DD1262" i="6" s="1"/>
  <c r="BT1295" i="6"/>
  <c r="AB17" i="42457"/>
  <c r="AB18" i="42457"/>
  <c r="S138" i="42458"/>
  <c r="BW1286" i="6"/>
  <c r="BW1289" i="6" s="1"/>
  <c r="BW1290" i="6" s="1"/>
  <c r="BW1295" i="6"/>
  <c r="BW1296" i="6" s="1"/>
  <c r="BW1281" i="6"/>
  <c r="BW1282" i="6" s="1"/>
  <c r="BU81" i="6"/>
  <c r="BS1216" i="6"/>
  <c r="BU1215" i="6" s="1"/>
  <c r="BS1211" i="6"/>
  <c r="AB76" i="42457"/>
  <c r="AB79" i="42457" s="1"/>
  <c r="AB82" i="42457" s="1"/>
  <c r="E63" i="42421"/>
  <c r="I63" i="42421"/>
  <c r="I74" i="42421" s="1"/>
  <c r="D63" i="42421"/>
  <c r="DG21" i="6"/>
  <c r="CB23" i="6"/>
  <c r="CB22" i="6"/>
  <c r="DG22" i="6" s="1"/>
  <c r="CB170" i="6"/>
  <c r="CE499" i="6"/>
  <c r="CE497" i="6"/>
  <c r="CF496" i="6"/>
  <c r="BU82" i="6"/>
  <c r="BS84" i="6"/>
  <c r="BU83" i="6" s="1"/>
  <c r="DD83" i="6" s="1"/>
  <c r="BU118" i="6"/>
  <c r="DD118" i="6" s="1"/>
  <c r="BS123" i="6"/>
  <c r="BS1286" i="6"/>
  <c r="BS1289" i="6" s="1"/>
  <c r="BS1290" i="6" s="1"/>
  <c r="BS1295" i="6"/>
  <c r="BS1296" i="6" s="1"/>
  <c r="BS1281" i="6"/>
  <c r="BS1282" i="6" s="1"/>
  <c r="CD16" i="6"/>
  <c r="CD21" i="6" s="1"/>
  <c r="CD492" i="6"/>
  <c r="CD493" i="6" s="1"/>
  <c r="CD501" i="6"/>
  <c r="I19" i="42421"/>
  <c r="I32" i="42421" s="1"/>
  <c r="D19" i="42421"/>
  <c r="CG496" i="6" l="1"/>
  <c r="CF499" i="6"/>
  <c r="CF497" i="6"/>
  <c r="CD23" i="6"/>
  <c r="CD22" i="6"/>
  <c r="CD170" i="6"/>
  <c r="S171" i="42458"/>
  <c r="S158" i="42458"/>
  <c r="R154" i="42458"/>
  <c r="S156" i="42458"/>
  <c r="T154" i="42458"/>
  <c r="BT1289" i="6"/>
  <c r="BU1286" i="6"/>
  <c r="DD1286" i="6" s="1"/>
  <c r="BS86" i="6"/>
  <c r="BU85" i="6" s="1"/>
  <c r="DD85" i="6" s="1"/>
  <c r="BS1013" i="6"/>
  <c r="BU1020" i="6"/>
  <c r="DD1020" i="6" s="1"/>
  <c r="BS1218" i="6"/>
  <c r="BT1214" i="6" s="1"/>
  <c r="BU1281" i="6"/>
  <c r="DD1281" i="6" s="1"/>
  <c r="BT1282" i="6"/>
  <c r="BU1282" i="6" s="1"/>
  <c r="DD1282" i="6" s="1"/>
  <c r="BU123" i="6"/>
  <c r="DD123" i="6" s="1"/>
  <c r="BS1263" i="6"/>
  <c r="BW1263" i="6"/>
  <c r="BT1263" i="6"/>
  <c r="BU1263" i="6" s="1"/>
  <c r="DD1263" i="6" s="1"/>
  <c r="BV1263" i="6"/>
  <c r="CE16" i="6"/>
  <c r="CE21" i="6" s="1"/>
  <c r="CE492" i="6"/>
  <c r="CE493" i="6" s="1"/>
  <c r="CE501" i="6"/>
  <c r="DD82" i="6"/>
  <c r="BU84" i="6"/>
  <c r="DD81" i="6"/>
  <c r="BU1211" i="6"/>
  <c r="DD1211" i="6" s="1"/>
  <c r="G8" i="42419"/>
  <c r="T138" i="42458"/>
  <c r="T140" i="42458" s="1"/>
  <c r="S140" i="42458"/>
  <c r="R138" i="42458"/>
  <c r="R140" i="42458" s="1"/>
  <c r="BU1295" i="6"/>
  <c r="BT1296" i="6"/>
  <c r="BU1296" i="6" s="1"/>
  <c r="DD1296" i="6" s="1"/>
  <c r="BT1120" i="6" l="1"/>
  <c r="BU1120" i="6" s="1"/>
  <c r="BT1216" i="6"/>
  <c r="BT1218" i="6" s="1"/>
  <c r="O102" i="42458"/>
  <c r="O105" i="42458" s="1"/>
  <c r="O107" i="42458" s="1"/>
  <c r="S142" i="42458"/>
  <c r="S175" i="42458" s="1"/>
  <c r="S178" i="42458" s="1"/>
  <c r="M102" i="42458"/>
  <c r="M105" i="42458" s="1"/>
  <c r="S193" i="42458"/>
  <c r="N102" i="42458"/>
  <c r="N105" i="42458" s="1"/>
  <c r="N107" i="42458" s="1"/>
  <c r="L102" i="42458"/>
  <c r="L105" i="42458" s="1"/>
  <c r="P102" i="42458"/>
  <c r="P105" i="42458" s="1"/>
  <c r="P107" i="42458" s="1"/>
  <c r="S161" i="42458"/>
  <c r="S165" i="42458" s="1"/>
  <c r="CG497" i="6"/>
  <c r="CG499" i="6"/>
  <c r="BU86" i="6"/>
  <c r="BS88" i="6"/>
  <c r="BU87" i="6" s="1"/>
  <c r="BS90" i="6"/>
  <c r="BS92" i="6" s="1"/>
  <c r="BS91" i="6"/>
  <c r="BT1290" i="6"/>
  <c r="BU1290" i="6" s="1"/>
  <c r="DD1290" i="6" s="1"/>
  <c r="BU1289" i="6"/>
  <c r="DD1289" i="6" s="1"/>
  <c r="T156" i="42458"/>
  <c r="T173" i="42458" s="1"/>
  <c r="T171" i="42458"/>
  <c r="T158" i="42458"/>
  <c r="CE23" i="6"/>
  <c r="CE22" i="6"/>
  <c r="CE170" i="6"/>
  <c r="S173" i="42458"/>
  <c r="BS145" i="6"/>
  <c r="DD84" i="6"/>
  <c r="BU1013" i="6"/>
  <c r="DD1013" i="6" s="1"/>
  <c r="R171" i="42458"/>
  <c r="R158" i="42458"/>
  <c r="R156" i="42458"/>
  <c r="R173" i="42458" s="1"/>
  <c r="CF16" i="6"/>
  <c r="CF21" i="6" s="1"/>
  <c r="CF492" i="6"/>
  <c r="CF493" i="6" s="1"/>
  <c r="CF501" i="6"/>
  <c r="BS1028" i="6" l="1"/>
  <c r="BS1046" i="6" s="1"/>
  <c r="BS1048" i="6" s="1"/>
  <c r="BS1053" i="6" s="1"/>
  <c r="BS1225" i="6" s="1"/>
  <c r="BV1120" i="6"/>
  <c r="BW1120" i="6" s="1"/>
  <c r="BX1120" i="6" s="1"/>
  <c r="BY1120" i="6" s="1"/>
  <c r="DD1120" i="6"/>
  <c r="BU1343" i="6"/>
  <c r="BU1335" i="6"/>
  <c r="BU1336" i="6" s="1"/>
  <c r="DD87" i="6"/>
  <c r="BU1027" i="6"/>
  <c r="DD1027" i="6" s="1"/>
  <c r="T172" i="42458"/>
  <c r="O112" i="42458"/>
  <c r="P112" i="42458"/>
  <c r="M112" i="42458"/>
  <c r="S167" i="42458"/>
  <c r="N112" i="42458"/>
  <c r="L112" i="42458"/>
  <c r="R142" i="42458"/>
  <c r="R175" i="42458" s="1"/>
  <c r="R178" i="42458" s="1"/>
  <c r="R161" i="42458"/>
  <c r="R165" i="42458" s="1"/>
  <c r="R167" i="42458" s="1"/>
  <c r="R193" i="42458"/>
  <c r="BT1121" i="6"/>
  <c r="BS1124" i="6"/>
  <c r="BS1332" i="6"/>
  <c r="DD86" i="6"/>
  <c r="BU88" i="6"/>
  <c r="BU90" i="6"/>
  <c r="BU91" i="6"/>
  <c r="DD91" i="6" s="1"/>
  <c r="P110" i="42458"/>
  <c r="P111" i="42458" s="1"/>
  <c r="P109" i="42458"/>
  <c r="S179" i="42458"/>
  <c r="S190" i="42458"/>
  <c r="S191" i="42458" s="1"/>
  <c r="BT1021" i="6"/>
  <c r="BT1070" i="6" s="1"/>
  <c r="BU1070" i="6" s="1"/>
  <c r="BU1216" i="6"/>
  <c r="BU1218" i="6" s="1"/>
  <c r="CF23" i="6"/>
  <c r="CF22" i="6"/>
  <c r="CF170" i="6"/>
  <c r="S172" i="42458"/>
  <c r="S181" i="42458"/>
  <c r="S183" i="42458" s="1"/>
  <c r="R172" i="42458"/>
  <c r="CG16" i="6"/>
  <c r="CG21" i="6" s="1"/>
  <c r="CG492" i="6"/>
  <c r="CG493" i="6" s="1"/>
  <c r="CG501" i="6"/>
  <c r="L106" i="42458"/>
  <c r="L107" i="42458" s="1"/>
  <c r="M106" i="42458"/>
  <c r="M107" i="42458" s="1"/>
  <c r="N109" i="42458"/>
  <c r="N110" i="42458"/>
  <c r="N111" i="42458" s="1"/>
  <c r="O121" i="42458"/>
  <c r="O124" i="42458" s="1"/>
  <c r="S145" i="42458"/>
  <c r="S148" i="42458" s="1"/>
  <c r="L121" i="42458"/>
  <c r="L124" i="42458" s="1"/>
  <c r="N121" i="42458"/>
  <c r="N124" i="42458" s="1"/>
  <c r="S146" i="42458"/>
  <c r="S192" i="42458"/>
  <c r="P121" i="42458"/>
  <c r="P124" i="42458" s="1"/>
  <c r="M121" i="42458"/>
  <c r="M124" i="42458" s="1"/>
  <c r="T161" i="42458"/>
  <c r="T165" i="42458" s="1"/>
  <c r="T167" i="42458" s="1"/>
  <c r="T193" i="42458"/>
  <c r="T142" i="42458"/>
  <c r="T175" i="42458" s="1"/>
  <c r="T178" i="42458" s="1"/>
  <c r="BS94" i="6"/>
  <c r="BS96" i="6" s="1"/>
  <c r="BS95" i="6"/>
  <c r="BS100" i="6" s="1"/>
  <c r="BU99" i="6" s="1"/>
  <c r="DD99" i="6" s="1"/>
  <c r="BS135" i="6"/>
  <c r="BT169" i="6"/>
  <c r="BV169" i="6"/>
  <c r="BV175" i="6" s="1"/>
  <c r="BW169" i="6"/>
  <c r="BW175" i="6" s="1"/>
  <c r="BS169" i="6"/>
  <c r="BS175" i="6" s="1"/>
  <c r="S163" i="42458"/>
  <c r="S194" i="42458"/>
  <c r="O109" i="42458"/>
  <c r="O110" i="42458"/>
  <c r="O111" i="42458" s="1"/>
  <c r="BZ1120" i="6" l="1"/>
  <c r="CN1120" i="6"/>
  <c r="CO1120" i="6" s="1"/>
  <c r="BS1061" i="6"/>
  <c r="BS1072" i="6" s="1"/>
  <c r="BS171" i="6" s="1"/>
  <c r="S196" i="42458"/>
  <c r="S198" i="42458" s="1"/>
  <c r="S202" i="42458" s="1"/>
  <c r="S203" i="42458" s="1"/>
  <c r="BT1047" i="6"/>
  <c r="BS1235" i="6"/>
  <c r="BS1238" i="6" s="1"/>
  <c r="N113" i="42458"/>
  <c r="O113" i="42458"/>
  <c r="P113" i="42458"/>
  <c r="M110" i="42458"/>
  <c r="M111" i="42458" s="1"/>
  <c r="M113" i="42458" s="1"/>
  <c r="M109" i="42458"/>
  <c r="L109" i="42458"/>
  <c r="L110" i="42458"/>
  <c r="L111" i="42458" s="1"/>
  <c r="L113" i="42458" s="1"/>
  <c r="DD1070" i="6"/>
  <c r="BU92" i="6"/>
  <c r="DD92" i="6" s="1"/>
  <c r="DD90" i="6"/>
  <c r="BS172" i="6"/>
  <c r="BS1127" i="6"/>
  <c r="R190" i="42458"/>
  <c r="R179" i="42458"/>
  <c r="BS1348" i="6"/>
  <c r="BS1227" i="6"/>
  <c r="BS1229" i="6" s="1"/>
  <c r="BS1232" i="6" s="1"/>
  <c r="BU135" i="6"/>
  <c r="DD135" i="6" s="1"/>
  <c r="BS144" i="6"/>
  <c r="M126" i="42458"/>
  <c r="M128" i="42458" s="1"/>
  <c r="M129" i="42458"/>
  <c r="M132" i="42458" s="1"/>
  <c r="N129" i="42458"/>
  <c r="N132" i="42458" s="1"/>
  <c r="N126" i="42458"/>
  <c r="N128" i="42458" s="1"/>
  <c r="R181" i="42458"/>
  <c r="R183" i="42458" s="1"/>
  <c r="BV1214" i="6"/>
  <c r="BZ1214" i="6"/>
  <c r="P126" i="42458"/>
  <c r="P128" i="42458" s="1"/>
  <c r="P129" i="42458"/>
  <c r="P132" i="42458" s="1"/>
  <c r="BT145" i="6"/>
  <c r="BT1028" i="6"/>
  <c r="BU1021" i="6"/>
  <c r="DD1021" i="6" s="1"/>
  <c r="T163" i="42458"/>
  <c r="T194" i="42458"/>
  <c r="L133" i="42458"/>
  <c r="P133" i="42458"/>
  <c r="M133" i="42458"/>
  <c r="O133" i="42458"/>
  <c r="S150" i="42458"/>
  <c r="N133" i="42458"/>
  <c r="BU95" i="6"/>
  <c r="DD88" i="6"/>
  <c r="BU94" i="6"/>
  <c r="BU1121" i="6"/>
  <c r="BT1124" i="6"/>
  <c r="BT1332" i="6"/>
  <c r="BU1332" i="6" s="1"/>
  <c r="DD1332" i="6" s="1"/>
  <c r="R194" i="42458"/>
  <c r="R163" i="42458"/>
  <c r="T179" i="42458"/>
  <c r="T190" i="42458"/>
  <c r="L129" i="42458"/>
  <c r="L132" i="42458" s="1"/>
  <c r="L126" i="42458"/>
  <c r="L128" i="42458" s="1"/>
  <c r="BT175" i="6"/>
  <c r="BU169" i="6"/>
  <c r="BU175" i="6" s="1"/>
  <c r="T146" i="42458"/>
  <c r="T192" i="42458"/>
  <c r="T145" i="42458"/>
  <c r="T148" i="42458" s="1"/>
  <c r="T150" i="42458" s="1"/>
  <c r="O129" i="42458"/>
  <c r="O132" i="42458" s="1"/>
  <c r="O126" i="42458"/>
  <c r="O128" i="42458" s="1"/>
  <c r="CG22" i="6"/>
  <c r="CG23" i="6"/>
  <c r="CG170" i="6"/>
  <c r="R146" i="42458"/>
  <c r="R145" i="42458"/>
  <c r="R148" i="42458" s="1"/>
  <c r="R150" i="42458" s="1"/>
  <c r="R192" i="42458"/>
  <c r="T181" i="42458"/>
  <c r="T183" i="42458" s="1"/>
  <c r="DE1120" i="6" l="1"/>
  <c r="CA1120" i="6"/>
  <c r="BS1129" i="6"/>
  <c r="L134" i="42458"/>
  <c r="DD95" i="6"/>
  <c r="BU100" i="6"/>
  <c r="DD100" i="6" s="1"/>
  <c r="AB20" i="42457"/>
  <c r="AB21" i="42457" s="1"/>
  <c r="DD1121" i="6"/>
  <c r="BV1121" i="6"/>
  <c r="BU1124" i="6"/>
  <c r="BT1046" i="6"/>
  <c r="BT1048" i="6" s="1"/>
  <c r="BT1053" i="6" s="1"/>
  <c r="BU1028" i="6"/>
  <c r="BU144" i="6"/>
  <c r="BS151" i="6"/>
  <c r="BU150" i="6" s="1"/>
  <c r="DD150" i="6" s="1"/>
  <c r="BS160" i="6"/>
  <c r="BS161" i="6" s="1"/>
  <c r="BU96" i="6"/>
  <c r="DD96" i="6" s="1"/>
  <c r="DD94" i="6"/>
  <c r="BT151" i="6"/>
  <c r="BU145" i="6"/>
  <c r="BS177" i="6"/>
  <c r="BS176" i="6"/>
  <c r="BS182" i="6"/>
  <c r="BT1127" i="6"/>
  <c r="BV1216" i="6"/>
  <c r="BV1218" i="6" s="1"/>
  <c r="BW1214" i="6" s="1"/>
  <c r="O134" i="42458"/>
  <c r="T191" i="42458"/>
  <c r="T196" i="42458"/>
  <c r="T198" i="42458" s="1"/>
  <c r="T202" i="42458" s="1"/>
  <c r="T203" i="42458" s="1"/>
  <c r="N130" i="42458"/>
  <c r="O130" i="42458"/>
  <c r="P130" i="42458"/>
  <c r="M130" i="42458"/>
  <c r="L130" i="42458"/>
  <c r="P134" i="42458"/>
  <c r="N134" i="42458"/>
  <c r="R191" i="42458"/>
  <c r="R196" i="42458"/>
  <c r="R198" i="42458" s="1"/>
  <c r="R202" i="42458" s="1"/>
  <c r="R203" i="42458" s="1"/>
  <c r="BT172" i="6"/>
  <c r="M134" i="42458"/>
  <c r="BS1254" i="6"/>
  <c r="BS1350" i="6"/>
  <c r="DF1120" i="6" l="1"/>
  <c r="CB1120" i="6"/>
  <c r="BW1216" i="6"/>
  <c r="BW1021" i="6" s="1"/>
  <c r="BT1061" i="6"/>
  <c r="BT1072" i="6" s="1"/>
  <c r="BT1225" i="6"/>
  <c r="BT1235" i="6"/>
  <c r="BS162" i="6"/>
  <c r="BS163" i="6" s="1"/>
  <c r="BS153" i="6"/>
  <c r="BS155" i="6" s="1"/>
  <c r="BS157" i="6" s="1"/>
  <c r="BU151" i="6"/>
  <c r="BS1345" i="6"/>
  <c r="BW1121" i="6"/>
  <c r="BV1124" i="6"/>
  <c r="BV1332" i="6"/>
  <c r="BS179" i="6"/>
  <c r="BS181" i="6"/>
  <c r="DD145" i="6"/>
  <c r="G13" i="42419"/>
  <c r="G15" i="42419" s="1"/>
  <c r="DD144" i="6"/>
  <c r="BU160" i="6"/>
  <c r="BU161" i="6" s="1"/>
  <c r="FF618" i="42458"/>
  <c r="FF622" i="42458" s="1"/>
  <c r="BT162" i="6"/>
  <c r="BT163" i="6" s="1"/>
  <c r="BT153" i="6"/>
  <c r="BT155" i="6" s="1"/>
  <c r="BT157" i="6" s="1"/>
  <c r="BT1345" i="6"/>
  <c r="BU1046" i="6"/>
  <c r="DD1028" i="6"/>
  <c r="N77" i="42421"/>
  <c r="BV1021" i="6"/>
  <c r="AB43" i="42457"/>
  <c r="DD1124" i="6"/>
  <c r="BU1127" i="6"/>
  <c r="DD1127" i="6" s="1"/>
  <c r="BU172" i="6"/>
  <c r="DG1120" i="6" l="1"/>
  <c r="CC1120" i="6"/>
  <c r="CD1120" i="6" s="1"/>
  <c r="CE1120" i="6" s="1"/>
  <c r="CF1120" i="6" s="1"/>
  <c r="CG1120" i="6" s="1"/>
  <c r="H15" i="42419"/>
  <c r="G17" i="42419"/>
  <c r="BV1127" i="6"/>
  <c r="BU1235" i="6"/>
  <c r="DD1235" i="6" s="1"/>
  <c r="BT1238" i="6"/>
  <c r="BU1238" i="6" s="1"/>
  <c r="DD1238" i="6" s="1"/>
  <c r="BV145" i="6"/>
  <c r="BV1028" i="6"/>
  <c r="BV1070" i="6"/>
  <c r="BW1070" i="6" s="1"/>
  <c r="BU1048" i="6"/>
  <c r="DD1046" i="6"/>
  <c r="BW1124" i="6"/>
  <c r="BW1332" i="6"/>
  <c r="BU153" i="6"/>
  <c r="DD151" i="6"/>
  <c r="BU162" i="6"/>
  <c r="BU163" i="6" s="1"/>
  <c r="BU1345" i="6"/>
  <c r="AB49" i="42457"/>
  <c r="AB51" i="42457" s="1"/>
  <c r="FF619" i="42458"/>
  <c r="FF623" i="42458" s="1"/>
  <c r="FH618" i="42458" s="1"/>
  <c r="BT1348" i="6"/>
  <c r="BT1227" i="6"/>
  <c r="BT1229" i="6" s="1"/>
  <c r="BT1232" i="6" s="1"/>
  <c r="BV172" i="6"/>
  <c r="DD160" i="6"/>
  <c r="BT1129" i="6"/>
  <c r="BT171" i="6"/>
  <c r="BW1218" i="6"/>
  <c r="BX1214" i="6" s="1"/>
  <c r="BW145" i="6"/>
  <c r="BW151" i="6" s="1"/>
  <c r="BW1028" i="6"/>
  <c r="BW1046" i="6" s="1"/>
  <c r="BU155" i="6" l="1"/>
  <c r="DD153" i="6"/>
  <c r="BU1053" i="6"/>
  <c r="DD1048" i="6"/>
  <c r="BW1127" i="6"/>
  <c r="BW172" i="6"/>
  <c r="BW162" i="6"/>
  <c r="BW163" i="6" s="1"/>
  <c r="BW153" i="6"/>
  <c r="BW155" i="6" s="1"/>
  <c r="BW157" i="6" s="1"/>
  <c r="BW1345" i="6"/>
  <c r="BT1254" i="6"/>
  <c r="BU1254" i="6" s="1"/>
  <c r="DD1254" i="6" s="1"/>
  <c r="BT1350" i="6"/>
  <c r="BV151" i="6"/>
  <c r="BT177" i="6"/>
  <c r="BT176" i="6"/>
  <c r="BT182" i="6"/>
  <c r="DD162" i="6"/>
  <c r="FF625" i="42458"/>
  <c r="FH619" i="42458" s="1"/>
  <c r="BV1046" i="6"/>
  <c r="H17" i="42419"/>
  <c r="B19" i="42419" s="1"/>
  <c r="B24" i="42419" s="1"/>
  <c r="B26" i="42419" s="1"/>
  <c r="B28" i="42419" s="1"/>
  <c r="B33" i="42419"/>
  <c r="DD155" i="6" l="1"/>
  <c r="BU157" i="6"/>
  <c r="DD157" i="6" s="1"/>
  <c r="BT181" i="6"/>
  <c r="BT179" i="6"/>
  <c r="BV153" i="6"/>
  <c r="BV162" i="6"/>
  <c r="BV163" i="6" s="1"/>
  <c r="BV1345" i="6"/>
  <c r="BU1061" i="6"/>
  <c r="DD1053" i="6"/>
  <c r="BV1047" i="6"/>
  <c r="BV1048" i="6" s="1"/>
  <c r="BV1053" i="6" s="1"/>
  <c r="BZ1047" i="6"/>
  <c r="DE1047" i="6" s="1"/>
  <c r="BU1225" i="6"/>
  <c r="AB35" i="42457"/>
  <c r="AB36" i="42457" s="1"/>
  <c r="AB40" i="42457" s="1"/>
  <c r="BW1047" i="6" l="1"/>
  <c r="BW1048" i="6" s="1"/>
  <c r="BW1053" i="6" s="1"/>
  <c r="BV1225" i="6"/>
  <c r="BV1235" i="6"/>
  <c r="BV1238" i="6" s="1"/>
  <c r="BV1061" i="6"/>
  <c r="BV1072" i="6" s="1"/>
  <c r="BU1072" i="6"/>
  <c r="DD1061" i="6"/>
  <c r="DD1225" i="6"/>
  <c r="BU1348" i="6"/>
  <c r="BU1227" i="6"/>
  <c r="BV155" i="6"/>
  <c r="DD1227" i="6" l="1"/>
  <c r="BU1229" i="6"/>
  <c r="BV1129" i="6"/>
  <c r="BV1227" i="6"/>
  <c r="BV1229" i="6" s="1"/>
  <c r="BV1232" i="6" s="1"/>
  <c r="BV1348" i="6"/>
  <c r="BV157" i="6"/>
  <c r="BU1129" i="6"/>
  <c r="DD1129" i="6" s="1"/>
  <c r="DD1072" i="6"/>
  <c r="BV171" i="6"/>
  <c r="BU171" i="6"/>
  <c r="BW1061" i="6"/>
  <c r="BW1072" i="6" s="1"/>
  <c r="BX1047" i="6"/>
  <c r="BW1225" i="6"/>
  <c r="BW1235" i="6"/>
  <c r="BW1238" i="6" s="1"/>
  <c r="BW1348" i="6" l="1"/>
  <c r="BW1227" i="6"/>
  <c r="BW1229" i="6" s="1"/>
  <c r="BW1232" i="6" s="1"/>
  <c r="BV177" i="6"/>
  <c r="BV176" i="6"/>
  <c r="BV182" i="6"/>
  <c r="BU1232" i="6"/>
  <c r="DD1229" i="6"/>
  <c r="BW1129" i="6"/>
  <c r="BV1254" i="6"/>
  <c r="BV1350" i="6"/>
  <c r="BW171" i="6"/>
  <c r="BU177" i="6"/>
  <c r="BU176" i="6"/>
  <c r="BU182" i="6"/>
  <c r="AB38" i="42457" l="1"/>
  <c r="AB41" i="42457" s="1"/>
  <c r="CO510" i="42458" s="1"/>
  <c r="DD1232" i="6"/>
  <c r="BU1350" i="6"/>
  <c r="BW1254" i="6"/>
  <c r="BW1350" i="6"/>
  <c r="BW177" i="6"/>
  <c r="BW176" i="6"/>
  <c r="BW182" i="6"/>
  <c r="BU181" i="6"/>
  <c r="BU179" i="6"/>
  <c r="BV181" i="6"/>
  <c r="BV179" i="6"/>
  <c r="BW179" i="6" l="1"/>
  <c r="BW181" i="6"/>
  <c r="FF632" i="42458" l="1"/>
  <c r="FI619" i="42458"/>
  <c r="BS505" i="6" l="1"/>
  <c r="BX508" i="6" l="1"/>
  <c r="BX512" i="6" s="1"/>
  <c r="BX63" i="6" s="1"/>
  <c r="BX44" i="6" l="1"/>
  <c r="BX510" i="6"/>
  <c r="BX511" i="6"/>
  <c r="BX107" i="6" l="1"/>
  <c r="BX30" i="6"/>
  <c r="BX53" i="6"/>
  <c r="BX129" i="6"/>
  <c r="BX51" i="6"/>
  <c r="BX33" i="6" l="1"/>
  <c r="BX52" i="6"/>
  <c r="BX55" i="6"/>
  <c r="BX110" i="6"/>
  <c r="BX34" i="6" l="1"/>
  <c r="BX35" i="6"/>
  <c r="BX57" i="6"/>
  <c r="BX60" i="6"/>
  <c r="BX1259" i="6"/>
  <c r="BX56" i="6"/>
  <c r="BX70" i="6"/>
  <c r="BX167" i="6"/>
  <c r="BX113" i="6"/>
  <c r="BX71" i="6" l="1"/>
  <c r="BX80" i="6"/>
  <c r="BX116" i="6"/>
  <c r="BX1261" i="6"/>
  <c r="L108" i="42434"/>
  <c r="AD158" i="42434" s="1"/>
  <c r="L84" i="42434"/>
  <c r="L88" i="42434" s="1"/>
  <c r="BX81" i="6" l="1"/>
  <c r="BX1262" i="6"/>
  <c r="J88" i="42434"/>
  <c r="J90" i="42434" s="1"/>
  <c r="L90" i="42434" s="1"/>
  <c r="L91" i="42434" s="1"/>
  <c r="BX118" i="6"/>
  <c r="BX123" i="6" l="1"/>
  <c r="BX1286" i="6"/>
  <c r="BX1289" i="6" s="1"/>
  <c r="BX1290" i="6" s="1"/>
  <c r="BX1281" i="6"/>
  <c r="BX1282" i="6" s="1"/>
  <c r="BX1295" i="6"/>
  <c r="BX1296" i="6" s="1"/>
  <c r="J91" i="42434"/>
  <c r="L96" i="42434"/>
  <c r="L97" i="42434" s="1"/>
  <c r="L99" i="42434" s="1"/>
  <c r="BX82" i="6"/>
  <c r="BX1211" i="6"/>
  <c r="BX1216" i="6"/>
  <c r="BX1263" i="6" l="1"/>
  <c r="BX1021" i="6"/>
  <c r="BX1218" i="6"/>
  <c r="BY1214" i="6" s="1"/>
  <c r="BX84" i="6"/>
  <c r="R107" i="42434"/>
  <c r="AD160" i="42434"/>
  <c r="BX1070" i="6" l="1"/>
  <c r="BX145" i="6"/>
  <c r="BX1013" i="6"/>
  <c r="BX86" i="6"/>
  <c r="BX1121" i="6" l="1"/>
  <c r="BX88" i="6"/>
  <c r="BX90" i="6"/>
  <c r="BX91" i="6"/>
  <c r="BX1028" i="6"/>
  <c r="BX1046" i="6" s="1"/>
  <c r="BX1048" i="6" s="1"/>
  <c r="BX1053" i="6" s="1"/>
  <c r="BX1235" i="6" s="1"/>
  <c r="BX1238" i="6" s="1"/>
  <c r="BX1061" i="6" l="1"/>
  <c r="BX1072" i="6" s="1"/>
  <c r="BX171" i="6" s="1"/>
  <c r="BX1225" i="6"/>
  <c r="BX1227" i="6" s="1"/>
  <c r="BX1229" i="6" s="1"/>
  <c r="BX1232" i="6" s="1"/>
  <c r="BX135" i="6"/>
  <c r="BX169" i="6"/>
  <c r="BX175" i="6" s="1"/>
  <c r="BX95" i="6"/>
  <c r="BX94" i="6"/>
  <c r="BY1047" i="6"/>
  <c r="BX1124" i="6"/>
  <c r="BX1332" i="6"/>
  <c r="BX92" i="6"/>
  <c r="BX1348" i="6" l="1"/>
  <c r="BX96" i="6"/>
  <c r="BX172" i="6"/>
  <c r="BX177" i="6" s="1"/>
  <c r="BX1127" i="6"/>
  <c r="BX1129" i="6" s="1"/>
  <c r="BX144" i="6"/>
  <c r="BX100" i="6"/>
  <c r="BX1350" i="6"/>
  <c r="BX1254" i="6"/>
  <c r="BX176" i="6"/>
  <c r="BX182" i="6"/>
  <c r="BX160" i="6" l="1"/>
  <c r="BX151" i="6"/>
  <c r="BX179" i="6"/>
  <c r="BX181" i="6"/>
  <c r="BX161" i="6" l="1"/>
  <c r="BX153" i="6"/>
  <c r="BX1345" i="6"/>
  <c r="BX162" i="6"/>
  <c r="BX163" i="6" l="1"/>
  <c r="BX155" i="6"/>
  <c r="BX157" i="6" l="1"/>
  <c r="BS289" i="6" l="1"/>
  <c r="BS294" i="6" s="1"/>
  <c r="BS295" i="6" s="1"/>
  <c r="BT289" i="6"/>
  <c r="BT294" i="6" s="1"/>
  <c r="BU289" i="6"/>
  <c r="BU294" i="6" s="1"/>
  <c r="BU295" i="6" s="1"/>
  <c r="DD295" i="6" s="1"/>
  <c r="BS292" i="6"/>
  <c r="BT292" i="6"/>
  <c r="BU292" i="6"/>
  <c r="BV292" i="6" s="1"/>
  <c r="BS331" i="6"/>
  <c r="BS336" i="6" s="1"/>
  <c r="BS337" i="6" s="1"/>
  <c r="BT331" i="6"/>
  <c r="BT336" i="6" s="1"/>
  <c r="BT337" i="6" s="1"/>
  <c r="BU331" i="6"/>
  <c r="BV331" i="6" s="1"/>
  <c r="BW331" i="6" s="1"/>
  <c r="BS334" i="6"/>
  <c r="BT334" i="6"/>
  <c r="BU334" i="6"/>
  <c r="DD334" i="6" s="1"/>
  <c r="BS363" i="6"/>
  <c r="BT363" i="6"/>
  <c r="BU336" i="6" l="1"/>
  <c r="BU337" i="6" s="1"/>
  <c r="DD337" i="6" s="1"/>
  <c r="DD331" i="6"/>
  <c r="BX295" i="6"/>
  <c r="BZ295" i="6"/>
  <c r="DE295" i="6" s="1"/>
  <c r="BY295" i="6"/>
  <c r="BT295" i="6"/>
  <c r="BX331" i="6"/>
  <c r="BW336" i="6"/>
  <c r="BW337" i="6" s="1"/>
  <c r="BV336" i="6"/>
  <c r="BV337" i="6" s="1"/>
  <c r="DD294" i="6"/>
  <c r="DD292" i="6"/>
  <c r="DD336" i="6" l="1"/>
  <c r="BZ337" i="6"/>
  <c r="DE337" i="6" s="1"/>
  <c r="BY331" i="6"/>
  <c r="BY336" i="6" s="1"/>
  <c r="BY337" i="6" s="1"/>
  <c r="BX336" i="6"/>
  <c r="BX337" i="6" s="1"/>
  <c r="HW749" i="42458" l="1"/>
  <c r="HX744" i="42458"/>
  <c r="HW744" i="42458"/>
  <c r="HW750" i="42458" l="1"/>
  <c r="HW746" i="42458"/>
  <c r="HX746" i="42458"/>
  <c r="BU503" i="6" l="1"/>
  <c r="BY503" i="6"/>
  <c r="BZ503" i="6" s="1"/>
  <c r="CA503" i="6" s="1"/>
  <c r="DD503" i="6"/>
  <c r="BU505" i="6"/>
  <c r="DD505" i="6" s="1"/>
  <c r="BU508" i="6"/>
  <c r="BU510" i="6" s="1"/>
  <c r="DD510" i="6" s="1"/>
  <c r="BY508" i="6"/>
  <c r="BY44" i="6" s="1"/>
  <c r="BY129" i="6" s="1"/>
  <c r="FX641" i="42458"/>
  <c r="FX643" i="42458" s="1"/>
  <c r="FX644" i="42458" s="1"/>
  <c r="FX646" i="42458" s="1"/>
  <c r="FY641" i="42458" l="1"/>
  <c r="FY643" i="42458" s="1"/>
  <c r="FY644" i="42458" s="1"/>
  <c r="FY646" i="42458" s="1"/>
  <c r="BY512" i="6"/>
  <c r="BY63" i="6" s="1"/>
  <c r="BY511" i="6"/>
  <c r="BU511" i="6"/>
  <c r="DD511" i="6" s="1"/>
  <c r="BY510" i="6"/>
  <c r="BU512" i="6"/>
  <c r="DD508" i="6"/>
  <c r="DF503" i="6"/>
  <c r="CB503" i="6"/>
  <c r="CA508" i="6"/>
  <c r="BZ505" i="6"/>
  <c r="DE505" i="6" s="1"/>
  <c r="BZ508" i="6"/>
  <c r="DE503" i="6"/>
  <c r="CN508" i="6"/>
  <c r="CN503" i="6"/>
  <c r="BZ44" i="6"/>
  <c r="CN44" i="6"/>
  <c r="CO44" i="6" s="1"/>
  <c r="BY30" i="6"/>
  <c r="BY53" i="6"/>
  <c r="BY51" i="6"/>
  <c r="BY107" i="6"/>
  <c r="CC503" i="6" l="1"/>
  <c r="DG503" i="6"/>
  <c r="CB508" i="6"/>
  <c r="BY33" i="6"/>
  <c r="CN30" i="6"/>
  <c r="CO30" i="6" s="1"/>
  <c r="BZ30" i="6"/>
  <c r="CA44" i="6"/>
  <c r="DF508" i="6"/>
  <c r="CA510" i="6"/>
  <c r="CA512" i="6"/>
  <c r="CA63" i="6" s="1"/>
  <c r="CA511" i="6"/>
  <c r="DF511" i="6" s="1"/>
  <c r="C49" i="42421"/>
  <c r="C50" i="42421"/>
  <c r="BY110" i="6"/>
  <c r="CN110" i="6" s="1"/>
  <c r="CO110" i="6" s="1"/>
  <c r="CN107" i="6"/>
  <c r="CO107" i="6" s="1"/>
  <c r="CN51" i="6"/>
  <c r="CO51" i="6" s="1"/>
  <c r="BY52" i="6"/>
  <c r="BY55" i="6"/>
  <c r="BZ51" i="6"/>
  <c r="BZ107" i="6"/>
  <c r="BZ129" i="6"/>
  <c r="DE129" i="6" s="1"/>
  <c r="BZ53" i="6"/>
  <c r="BZ510" i="6"/>
  <c r="DE510" i="6" s="1"/>
  <c r="BZ512" i="6"/>
  <c r="BZ63" i="6" s="1"/>
  <c r="DE508" i="6"/>
  <c r="BZ511" i="6"/>
  <c r="DE511" i="6" s="1"/>
  <c r="D49" i="42421" l="1"/>
  <c r="E49" i="42421"/>
  <c r="G50" i="42421"/>
  <c r="CN33" i="6"/>
  <c r="CO33" i="6" s="1"/>
  <c r="BY34" i="6"/>
  <c r="BY35" i="6"/>
  <c r="DE30" i="6"/>
  <c r="BZ33" i="6"/>
  <c r="BZ55" i="6"/>
  <c r="BZ52" i="6"/>
  <c r="DE52" i="6" s="1"/>
  <c r="DE51" i="6"/>
  <c r="AC8" i="42457"/>
  <c r="CA51" i="6"/>
  <c r="CA30" i="6"/>
  <c r="CA53" i="6"/>
  <c r="CA107" i="6"/>
  <c r="CA129" i="6"/>
  <c r="DF129" i="6" s="1"/>
  <c r="B7" i="42417"/>
  <c r="CB44" i="6"/>
  <c r="CB511" i="6"/>
  <c r="DG511" i="6" s="1"/>
  <c r="DG508" i="6"/>
  <c r="CB512" i="6"/>
  <c r="CB63" i="6" s="1"/>
  <c r="CB510" i="6"/>
  <c r="DG510" i="6" s="1"/>
  <c r="BY56" i="6"/>
  <c r="BY57" i="6"/>
  <c r="BY60" i="6"/>
  <c r="CN60" i="6" s="1"/>
  <c r="CO60" i="6" s="1"/>
  <c r="CN55" i="6"/>
  <c r="CO55" i="6" s="1"/>
  <c r="BY70" i="6"/>
  <c r="BY113" i="6"/>
  <c r="BY167" i="6"/>
  <c r="BY1259" i="6"/>
  <c r="DE107" i="6"/>
  <c r="BZ110" i="6"/>
  <c r="DE110" i="6" s="1"/>
  <c r="C48" i="42421"/>
  <c r="DF510" i="6"/>
  <c r="CC30" i="6"/>
  <c r="CC33" i="6" s="1"/>
  <c r="CC508" i="6"/>
  <c r="CD503" i="6"/>
  <c r="D48" i="42421" l="1"/>
  <c r="C20" i="42421"/>
  <c r="C64" i="42421"/>
  <c r="E48" i="42421"/>
  <c r="BZ167" i="6"/>
  <c r="B10" i="42417"/>
  <c r="B12" i="42417" s="1"/>
  <c r="F7" i="42417"/>
  <c r="F10" i="42417" s="1"/>
  <c r="DF30" i="6"/>
  <c r="CA33" i="6"/>
  <c r="DE33" i="6"/>
  <c r="BZ35" i="6"/>
  <c r="DE35" i="6" s="1"/>
  <c r="BZ34" i="6"/>
  <c r="DE34" i="6" s="1"/>
  <c r="CA55" i="6"/>
  <c r="DF51" i="6"/>
  <c r="CA52" i="6"/>
  <c r="DF52" i="6" s="1"/>
  <c r="AD8" i="42457"/>
  <c r="CC34" i="6"/>
  <c r="CN70" i="6"/>
  <c r="CO70" i="6" s="1"/>
  <c r="BY71" i="6"/>
  <c r="BY80" i="6"/>
  <c r="CA110" i="6"/>
  <c r="DF110" i="6" s="1"/>
  <c r="DF107" i="6"/>
  <c r="AC10" i="42457"/>
  <c r="AC9" i="42457"/>
  <c r="AC46" i="42457"/>
  <c r="BZ70" i="6"/>
  <c r="DE55" i="6"/>
  <c r="BZ56" i="6"/>
  <c r="DE56" i="6" s="1"/>
  <c r="BZ57" i="6"/>
  <c r="DE57" i="6" s="1"/>
  <c r="BZ60" i="6"/>
  <c r="AC12" i="42457"/>
  <c r="CD30" i="6"/>
  <c r="CD33" i="6" s="1"/>
  <c r="CD508" i="6"/>
  <c r="CE503" i="6"/>
  <c r="CC44" i="6"/>
  <c r="CC511" i="6"/>
  <c r="CC510" i="6"/>
  <c r="BY116" i="6"/>
  <c r="BZ113" i="6"/>
  <c r="DE113" i="6" s="1"/>
  <c r="CN113" i="6"/>
  <c r="CO113" i="6" s="1"/>
  <c r="BZ1259" i="6"/>
  <c r="DE1259" i="6" s="1"/>
  <c r="BY1261" i="6"/>
  <c r="CB30" i="6"/>
  <c r="CB53" i="6"/>
  <c r="CB51" i="6"/>
  <c r="CB107" i="6"/>
  <c r="CB129" i="6"/>
  <c r="DG129" i="6" s="1"/>
  <c r="D10" i="42417" l="1"/>
  <c r="D11" i="42417" s="1"/>
  <c r="F11" i="42417" s="1"/>
  <c r="F12" i="42417" s="1"/>
  <c r="D12" i="42417" s="1"/>
  <c r="Q46" i="42421" s="1"/>
  <c r="BZ116" i="6"/>
  <c r="DE116" i="6" s="1"/>
  <c r="CN116" i="6"/>
  <c r="CO116" i="6" s="1"/>
  <c r="BY118" i="6"/>
  <c r="DE70" i="6"/>
  <c r="BZ71" i="6"/>
  <c r="DE71" i="6" s="1"/>
  <c r="DG51" i="6"/>
  <c r="CB52" i="6"/>
  <c r="DG52" i="6" s="1"/>
  <c r="CB55" i="6"/>
  <c r="AE8" i="42457"/>
  <c r="CD44" i="6"/>
  <c r="CD510" i="6"/>
  <c r="CD511" i="6"/>
  <c r="D64" i="42421"/>
  <c r="E64" i="42421"/>
  <c r="C65" i="42421"/>
  <c r="F64" i="42421"/>
  <c r="DG107" i="6"/>
  <c r="CB110" i="6"/>
  <c r="DG110" i="6" s="1"/>
  <c r="CE30" i="6"/>
  <c r="CE33" i="6" s="1"/>
  <c r="CF503" i="6"/>
  <c r="CE508" i="6"/>
  <c r="CD34" i="6"/>
  <c r="CD35" i="6"/>
  <c r="BY81" i="6"/>
  <c r="BZ80" i="6"/>
  <c r="DE80" i="6" s="1"/>
  <c r="CN80" i="6"/>
  <c r="CO80" i="6" s="1"/>
  <c r="CA70" i="6"/>
  <c r="CA56" i="6"/>
  <c r="DF56" i="6" s="1"/>
  <c r="CA113" i="6"/>
  <c r="DF55" i="6"/>
  <c r="CA57" i="6"/>
  <c r="DF57" i="6" s="1"/>
  <c r="CA167" i="6"/>
  <c r="CA60" i="6"/>
  <c r="CA1259" i="6"/>
  <c r="AD12" i="42457"/>
  <c r="DF33" i="6"/>
  <c r="CA34" i="6"/>
  <c r="DF34" i="6" s="1"/>
  <c r="CA35" i="6"/>
  <c r="DF35" i="6" s="1"/>
  <c r="D20" i="42421"/>
  <c r="F20" i="42421"/>
  <c r="C21" i="42421"/>
  <c r="BZ1261" i="6"/>
  <c r="DE1261" i="6" s="1"/>
  <c r="BY1262" i="6"/>
  <c r="CB33" i="6"/>
  <c r="DG30" i="6"/>
  <c r="CC53" i="6"/>
  <c r="CC51" i="6"/>
  <c r="CC107" i="6"/>
  <c r="CC110" i="6" s="1"/>
  <c r="CC129" i="6"/>
  <c r="AC16" i="42457"/>
  <c r="AC13" i="42457"/>
  <c r="AC14" i="42457"/>
  <c r="AC72" i="42457"/>
  <c r="AC75" i="42457" s="1"/>
  <c r="AD9" i="42457"/>
  <c r="AD46" i="42457"/>
  <c r="AD10" i="42457"/>
  <c r="DJ167" i="6"/>
  <c r="CA116" i="6" l="1"/>
  <c r="DF113" i="6"/>
  <c r="DG55" i="6"/>
  <c r="CB56" i="6"/>
  <c r="DG56" i="6" s="1"/>
  <c r="CB57" i="6"/>
  <c r="DG57" i="6" s="1"/>
  <c r="CB60" i="6"/>
  <c r="CB113" i="6"/>
  <c r="CB167" i="6"/>
  <c r="CB70" i="6"/>
  <c r="CB1259" i="6"/>
  <c r="AE12" i="42457"/>
  <c r="AC17" i="42457"/>
  <c r="AC18" i="42457"/>
  <c r="B43" i="42417"/>
  <c r="DF1259" i="6"/>
  <c r="CA1261" i="6"/>
  <c r="CE34" i="6"/>
  <c r="CE35" i="6"/>
  <c r="J63" i="42421"/>
  <c r="D65" i="42421"/>
  <c r="E65" i="42421"/>
  <c r="G65" i="42421"/>
  <c r="F65" i="42421"/>
  <c r="AE9" i="42457"/>
  <c r="AE46" i="42457"/>
  <c r="AE10" i="42457"/>
  <c r="AC76" i="42457"/>
  <c r="AC79" i="42457" s="1"/>
  <c r="AC82" i="42457" s="1"/>
  <c r="J19" i="42421"/>
  <c r="F21" i="42421"/>
  <c r="G21" i="42421"/>
  <c r="D21" i="42421"/>
  <c r="DG33" i="6"/>
  <c r="CB34" i="6"/>
  <c r="DG34" i="6" s="1"/>
  <c r="CB35" i="6"/>
  <c r="DG35" i="6" s="1"/>
  <c r="CC35" i="6"/>
  <c r="DK167" i="6"/>
  <c r="BZ81" i="6"/>
  <c r="CN81" i="6"/>
  <c r="CO81" i="6" s="1"/>
  <c r="BY1216" i="6"/>
  <c r="BY1211" i="6"/>
  <c r="CE44" i="6"/>
  <c r="CE510" i="6"/>
  <c r="CE511" i="6"/>
  <c r="BY123" i="6"/>
  <c r="BZ118" i="6"/>
  <c r="DE118" i="6" s="1"/>
  <c r="CN118" i="6"/>
  <c r="CO118" i="6" s="1"/>
  <c r="CC52" i="6"/>
  <c r="CC55" i="6"/>
  <c r="BZ1262" i="6"/>
  <c r="DE1262" i="6" s="1"/>
  <c r="BY1281" i="6"/>
  <c r="BY1286" i="6"/>
  <c r="BY1295" i="6"/>
  <c r="AD13" i="42457"/>
  <c r="AD14" i="42457"/>
  <c r="AD72" i="42457"/>
  <c r="AD75" i="42457" s="1"/>
  <c r="AD16" i="42457"/>
  <c r="DF70" i="6"/>
  <c r="CA71" i="6"/>
  <c r="DF71" i="6" s="1"/>
  <c r="CA80" i="6"/>
  <c r="BY82" i="6"/>
  <c r="CF30" i="6"/>
  <c r="CF33" i="6" s="1"/>
  <c r="CG503" i="6"/>
  <c r="CF508" i="6"/>
  <c r="CD51" i="6"/>
  <c r="CD53" i="6"/>
  <c r="CD107" i="6"/>
  <c r="CD110" i="6" s="1"/>
  <c r="CD129" i="6"/>
  <c r="CF34" i="6" l="1"/>
  <c r="CF35" i="6"/>
  <c r="CF44" i="6"/>
  <c r="CF511" i="6"/>
  <c r="CF510" i="6"/>
  <c r="CG30" i="6"/>
  <c r="CG33" i="6" s="1"/>
  <c r="CG508" i="6"/>
  <c r="BZ1281" i="6"/>
  <c r="DE1281" i="6" s="1"/>
  <c r="BY1282" i="6"/>
  <c r="BZ1282" i="6" s="1"/>
  <c r="DE1282" i="6" s="1"/>
  <c r="DF1261" i="6"/>
  <c r="CA1262" i="6"/>
  <c r="DL167" i="6"/>
  <c r="CE51" i="6"/>
  <c r="CE53" i="6"/>
  <c r="CE107" i="6"/>
  <c r="CE110" i="6" s="1"/>
  <c r="CE129" i="6"/>
  <c r="K63" i="42421"/>
  <c r="J74" i="42421"/>
  <c r="C66" i="42421"/>
  <c r="DG113" i="6"/>
  <c r="CB116" i="6"/>
  <c r="CD55" i="6"/>
  <c r="CD52" i="6"/>
  <c r="BY84" i="6"/>
  <c r="CN82" i="6"/>
  <c r="CO82" i="6" s="1"/>
  <c r="BZ82" i="6"/>
  <c r="AD18" i="42457"/>
  <c r="AD17" i="42457"/>
  <c r="BZ1295" i="6"/>
  <c r="BY1296" i="6"/>
  <c r="BZ1296" i="6" s="1"/>
  <c r="DE1296" i="6" s="1"/>
  <c r="CC56" i="6"/>
  <c r="CC57" i="6"/>
  <c r="CC60" i="6"/>
  <c r="CC70" i="6"/>
  <c r="CC113" i="6"/>
  <c r="CC116" i="6" s="1"/>
  <c r="CC118" i="6" s="1"/>
  <c r="CC123" i="6" s="1"/>
  <c r="CC1263" i="6" s="1"/>
  <c r="CC167" i="6"/>
  <c r="CC1259" i="6"/>
  <c r="CC1261" i="6" s="1"/>
  <c r="CC1262" i="6" s="1"/>
  <c r="BZ123" i="6"/>
  <c r="DE123" i="6" s="1"/>
  <c r="CN123" i="6"/>
  <c r="CO123" i="6" s="1"/>
  <c r="BY1263" i="6"/>
  <c r="BZ1263" i="6" s="1"/>
  <c r="DE1263" i="6" s="1"/>
  <c r="DG1259" i="6"/>
  <c r="CB1261" i="6"/>
  <c r="DE81" i="6"/>
  <c r="BZ1211" i="6"/>
  <c r="DE1211" i="6" s="1"/>
  <c r="AE14" i="42457"/>
  <c r="AE72" i="42457"/>
  <c r="AE75" i="42457" s="1"/>
  <c r="AE13" i="42457"/>
  <c r="AE16" i="42457"/>
  <c r="DF80" i="6"/>
  <c r="CA81" i="6"/>
  <c r="AD76" i="42457"/>
  <c r="AD79" i="42457" s="1"/>
  <c r="AD82" i="42457" s="1"/>
  <c r="BZ1286" i="6"/>
  <c r="DE1286" i="6" s="1"/>
  <c r="BY1289" i="6"/>
  <c r="BY1021" i="6"/>
  <c r="BY1218" i="6"/>
  <c r="BZ1216" i="6"/>
  <c r="BZ1218" i="6" s="1"/>
  <c r="CA1214" i="6" s="1"/>
  <c r="K19" i="42421"/>
  <c r="J32" i="42421"/>
  <c r="C22" i="42421"/>
  <c r="DG70" i="6"/>
  <c r="CB71" i="6"/>
  <c r="DG71" i="6" s="1"/>
  <c r="CB80" i="6"/>
  <c r="DF116" i="6"/>
  <c r="CA118" i="6"/>
  <c r="DF81" i="6" l="1"/>
  <c r="CA1211" i="6"/>
  <c r="DF1211" i="6" s="1"/>
  <c r="CA1216" i="6"/>
  <c r="CA1021" i="6" s="1"/>
  <c r="DG1261" i="6"/>
  <c r="CB1262" i="6"/>
  <c r="CC71" i="6"/>
  <c r="CC80" i="6"/>
  <c r="CB81" i="6"/>
  <c r="DG80" i="6"/>
  <c r="BY145" i="6"/>
  <c r="BZ1021" i="6"/>
  <c r="DE1021" i="6" s="1"/>
  <c r="BY1070" i="6"/>
  <c r="CN1021" i="6"/>
  <c r="CO1021" i="6" s="1"/>
  <c r="L19" i="42421"/>
  <c r="BZ1289" i="6"/>
  <c r="DE1289" i="6" s="1"/>
  <c r="BY1290" i="6"/>
  <c r="BZ1290" i="6" s="1"/>
  <c r="DE1290" i="6" s="1"/>
  <c r="CA82" i="6"/>
  <c r="DE82" i="6"/>
  <c r="BZ84" i="6"/>
  <c r="CD70" i="6"/>
  <c r="CD56" i="6"/>
  <c r="CD57" i="6"/>
  <c r="CD60" i="6"/>
  <c r="CD113" i="6"/>
  <c r="CD116" i="6" s="1"/>
  <c r="CD118" i="6" s="1"/>
  <c r="CD123" i="6" s="1"/>
  <c r="CD1263" i="6" s="1"/>
  <c r="CD167" i="6"/>
  <c r="CD1259" i="6"/>
  <c r="CD1261" i="6" s="1"/>
  <c r="CD1262" i="6" s="1"/>
  <c r="F70" i="42421"/>
  <c r="L70" i="42421" s="1"/>
  <c r="K72" i="42421"/>
  <c r="L72" i="42421" s="1"/>
  <c r="O74" i="42421"/>
  <c r="DF1262" i="6"/>
  <c r="CA1281" i="6"/>
  <c r="CA1286" i="6"/>
  <c r="CG44" i="6"/>
  <c r="CG511" i="6"/>
  <c r="CG510" i="6"/>
  <c r="CF53" i="6"/>
  <c r="CF51" i="6"/>
  <c r="CF107" i="6"/>
  <c r="CF110" i="6" s="1"/>
  <c r="CF129" i="6"/>
  <c r="CC1281" i="6"/>
  <c r="CC1282" i="6" s="1"/>
  <c r="CC1286" i="6"/>
  <c r="CC1289" i="6" s="1"/>
  <c r="CC1290" i="6" s="1"/>
  <c r="DG116" i="6"/>
  <c r="CB118" i="6"/>
  <c r="K74" i="42421"/>
  <c r="P74" i="42421" s="1"/>
  <c r="L63" i="42421"/>
  <c r="CE55" i="6"/>
  <c r="CE52" i="6"/>
  <c r="CG34" i="6"/>
  <c r="CG35" i="6"/>
  <c r="DF118" i="6"/>
  <c r="CA123" i="6"/>
  <c r="AE76" i="42457"/>
  <c r="AE79" i="42457" s="1"/>
  <c r="AE82" i="42457" s="1"/>
  <c r="K28" i="42421"/>
  <c r="L28" i="42421" s="1"/>
  <c r="F26" i="42421"/>
  <c r="L26" i="42421" s="1"/>
  <c r="O32" i="42421"/>
  <c r="AE18" i="42457"/>
  <c r="AE17" i="42457"/>
  <c r="CN84" i="6"/>
  <c r="CO84" i="6" s="1"/>
  <c r="BY86" i="6"/>
  <c r="BY1013" i="6"/>
  <c r="Q74" i="42421" l="1"/>
  <c r="F38" i="42422"/>
  <c r="H39" i="42422" s="1"/>
  <c r="BY90" i="6"/>
  <c r="BY88" i="6"/>
  <c r="BY91" i="6"/>
  <c r="CN91" i="6" s="1"/>
  <c r="CO91" i="6" s="1"/>
  <c r="CN86" i="6"/>
  <c r="CO86" i="6" s="1"/>
  <c r="BZ86" i="6"/>
  <c r="BY1121" i="6"/>
  <c r="L74" i="42421"/>
  <c r="CF52" i="6"/>
  <c r="CF55" i="6"/>
  <c r="CG53" i="6"/>
  <c r="CG51" i="6"/>
  <c r="CG129" i="6"/>
  <c r="CG107" i="6"/>
  <c r="CG110" i="6" s="1"/>
  <c r="DF82" i="6"/>
  <c r="CA84" i="6"/>
  <c r="CA1215" i="6"/>
  <c r="CA1218" i="6" s="1"/>
  <c r="CB1214" i="6" s="1"/>
  <c r="CB1216" i="6" s="1"/>
  <c r="CB1021" i="6" s="1"/>
  <c r="K32" i="42421"/>
  <c r="P32" i="42421" s="1"/>
  <c r="Q32" i="42421" s="1"/>
  <c r="BZ145" i="6"/>
  <c r="DE145" i="6" s="1"/>
  <c r="CN145" i="6"/>
  <c r="CO145" i="6" s="1"/>
  <c r="CC81" i="6"/>
  <c r="CA145" i="6"/>
  <c r="DF145" i="6" s="1"/>
  <c r="DF1021" i="6"/>
  <c r="DF123" i="6"/>
  <c r="CA1263" i="6"/>
  <c r="DF1263" i="6" s="1"/>
  <c r="DG118" i="6"/>
  <c r="CB123" i="6"/>
  <c r="DF1281" i="6"/>
  <c r="CA1282" i="6"/>
  <c r="DF1282" i="6" s="1"/>
  <c r="DE84" i="6"/>
  <c r="BZ1013" i="6"/>
  <c r="DE1013" i="6" s="1"/>
  <c r="CN1070" i="6"/>
  <c r="CO1070" i="6" s="1"/>
  <c r="BZ1070" i="6"/>
  <c r="DG81" i="6"/>
  <c r="CB1211" i="6"/>
  <c r="DG1211" i="6" s="1"/>
  <c r="DG1262" i="6"/>
  <c r="CB1281" i="6"/>
  <c r="CB1286" i="6"/>
  <c r="DF1286" i="6"/>
  <c r="CA1289" i="6"/>
  <c r="CD80" i="6"/>
  <c r="CD71" i="6"/>
  <c r="CN1013" i="6"/>
  <c r="CO1013" i="6" s="1"/>
  <c r="BY1028" i="6"/>
  <c r="CE70" i="6"/>
  <c r="CE57" i="6"/>
  <c r="CE113" i="6"/>
  <c r="CE116" i="6" s="1"/>
  <c r="CE118" i="6" s="1"/>
  <c r="CE123" i="6" s="1"/>
  <c r="CE1263" i="6" s="1"/>
  <c r="CE56" i="6"/>
  <c r="CE60" i="6"/>
  <c r="CE167" i="6"/>
  <c r="CE1259" i="6"/>
  <c r="CE1261" i="6" s="1"/>
  <c r="CE1262" i="6" s="1"/>
  <c r="CD1281" i="6"/>
  <c r="CD1282" i="6" s="1"/>
  <c r="CD1286" i="6"/>
  <c r="CD1289" i="6" s="1"/>
  <c r="CD1290" i="6" s="1"/>
  <c r="L32" i="42421"/>
  <c r="CB82" i="6"/>
  <c r="I38" i="42422" l="1"/>
  <c r="CB84" i="6"/>
  <c r="DG82" i="6"/>
  <c r="CB1215" i="6"/>
  <c r="CB1218" i="6" s="1"/>
  <c r="CC1214" i="6" s="1"/>
  <c r="BZ1028" i="6"/>
  <c r="CN1028" i="6"/>
  <c r="CO1028" i="6" s="1"/>
  <c r="BY1046" i="6"/>
  <c r="DF1289" i="6"/>
  <c r="CA1290" i="6"/>
  <c r="DF1290" i="6" s="1"/>
  <c r="DE1070" i="6"/>
  <c r="CA1070" i="6"/>
  <c r="DF84" i="6"/>
  <c r="CA86" i="6"/>
  <c r="CA1013" i="6"/>
  <c r="CE1281" i="6"/>
  <c r="CE1282" i="6" s="1"/>
  <c r="CE1286" i="6"/>
  <c r="CE1289" i="6" s="1"/>
  <c r="CE1290" i="6" s="1"/>
  <c r="CG52" i="6"/>
  <c r="CG55" i="6"/>
  <c r="CB145" i="6"/>
  <c r="DG145" i="6" s="1"/>
  <c r="DG1021" i="6"/>
  <c r="DG123" i="6"/>
  <c r="CB1263" i="6"/>
  <c r="DG1263" i="6" s="1"/>
  <c r="CC1211" i="6"/>
  <c r="BY1332" i="6"/>
  <c r="BZ1332" i="6" s="1"/>
  <c r="DE1332" i="6" s="1"/>
  <c r="BY1124" i="6"/>
  <c r="CN1121" i="6"/>
  <c r="CO1121" i="6" s="1"/>
  <c r="BZ1121" i="6"/>
  <c r="CN88" i="6"/>
  <c r="CO88" i="6" s="1"/>
  <c r="BY94" i="6"/>
  <c r="BY95" i="6"/>
  <c r="BY135" i="6"/>
  <c r="BY169" i="6"/>
  <c r="DG1286" i="6"/>
  <c r="CB1289" i="6"/>
  <c r="CE71" i="6"/>
  <c r="CE80" i="6"/>
  <c r="CD81" i="6"/>
  <c r="DG1281" i="6"/>
  <c r="CB1282" i="6"/>
  <c r="DG1282" i="6" s="1"/>
  <c r="CC82" i="6"/>
  <c r="CF56" i="6"/>
  <c r="CF57" i="6"/>
  <c r="CF60" i="6"/>
  <c r="CF113" i="6"/>
  <c r="CF116" i="6" s="1"/>
  <c r="CF118" i="6" s="1"/>
  <c r="CF123" i="6" s="1"/>
  <c r="CF1263" i="6" s="1"/>
  <c r="CF70" i="6"/>
  <c r="CF167" i="6"/>
  <c r="CF1259" i="6"/>
  <c r="CF1261" i="6" s="1"/>
  <c r="CF1262" i="6" s="1"/>
  <c r="DE86" i="6"/>
  <c r="BZ88" i="6"/>
  <c r="BZ91" i="6"/>
  <c r="DE91" i="6" s="1"/>
  <c r="BZ90" i="6"/>
  <c r="BY92" i="6"/>
  <c r="CN90" i="6"/>
  <c r="CO90" i="6" s="1"/>
  <c r="CC1216" i="6" l="1"/>
  <c r="CC1021" i="6" s="1"/>
  <c r="CC145" i="6" s="1"/>
  <c r="CF1281" i="6"/>
  <c r="CF1282" i="6" s="1"/>
  <c r="CF1286" i="6"/>
  <c r="CF1289" i="6" s="1"/>
  <c r="CF1290" i="6" s="1"/>
  <c r="CD1211" i="6"/>
  <c r="DE1121" i="6"/>
  <c r="BZ1124" i="6"/>
  <c r="BZ172" i="6" s="1"/>
  <c r="CA1121" i="6"/>
  <c r="CD82" i="6"/>
  <c r="CB1290" i="6"/>
  <c r="DG1290" i="6" s="1"/>
  <c r="DG1289" i="6"/>
  <c r="BY175" i="6"/>
  <c r="BZ169" i="6"/>
  <c r="BZ175" i="6" s="1"/>
  <c r="DF86" i="6"/>
  <c r="CA88" i="6"/>
  <c r="CA91" i="6"/>
  <c r="DF91" i="6" s="1"/>
  <c r="CA90" i="6"/>
  <c r="BZ1046" i="6"/>
  <c r="DE1028" i="6"/>
  <c r="CE81" i="6"/>
  <c r="CE82" i="6" s="1"/>
  <c r="CN95" i="6"/>
  <c r="CO95" i="6" s="1"/>
  <c r="BY100" i="6"/>
  <c r="CB1070" i="6"/>
  <c r="DF1070" i="6"/>
  <c r="BY1048" i="6"/>
  <c r="BY1053" i="6" s="1"/>
  <c r="CN1046" i="6"/>
  <c r="CO1046" i="6" s="1"/>
  <c r="DE90" i="6"/>
  <c r="BZ92" i="6"/>
  <c r="DE92" i="6" s="1"/>
  <c r="CC84" i="6"/>
  <c r="CC1215" i="6"/>
  <c r="BY144" i="6"/>
  <c r="BZ135" i="6"/>
  <c r="DE135" i="6" s="1"/>
  <c r="CN135" i="6"/>
  <c r="CO135" i="6" s="1"/>
  <c r="DE88" i="6"/>
  <c r="BZ95" i="6"/>
  <c r="BZ94" i="6"/>
  <c r="CF71" i="6"/>
  <c r="CF80" i="6"/>
  <c r="CN94" i="6"/>
  <c r="CO94" i="6" s="1"/>
  <c r="BY96" i="6"/>
  <c r="BY172" i="6"/>
  <c r="CN1124" i="6"/>
  <c r="CO1124" i="6" s="1"/>
  <c r="BY1127" i="6"/>
  <c r="CN1127" i="6" s="1"/>
  <c r="CO1127" i="6" s="1"/>
  <c r="CG56" i="6"/>
  <c r="CG57" i="6"/>
  <c r="CG60" i="6"/>
  <c r="CG70" i="6"/>
  <c r="CG113" i="6"/>
  <c r="CG116" i="6" s="1"/>
  <c r="CG118" i="6" s="1"/>
  <c r="CG123" i="6" s="1"/>
  <c r="CG1263" i="6" s="1"/>
  <c r="CG1259" i="6"/>
  <c r="CG1261" i="6" s="1"/>
  <c r="CG1262" i="6" s="1"/>
  <c r="CG167" i="6"/>
  <c r="CA1028" i="6"/>
  <c r="DF1013" i="6"/>
  <c r="DG84" i="6"/>
  <c r="CB86" i="6"/>
  <c r="CB1013" i="6"/>
  <c r="CC1218" i="6" l="1"/>
  <c r="CD1214" i="6" s="1"/>
  <c r="CD1216" i="6" s="1"/>
  <c r="CD1021" i="6" s="1"/>
  <c r="CD145" i="6" s="1"/>
  <c r="DF1028" i="6"/>
  <c r="CA1046" i="6"/>
  <c r="CE84" i="6"/>
  <c r="CE1215" i="6"/>
  <c r="CC86" i="6"/>
  <c r="CC1013" i="6"/>
  <c r="CC1028" i="6" s="1"/>
  <c r="CC1046" i="6" s="1"/>
  <c r="BY1061" i="6"/>
  <c r="BY1225" i="6"/>
  <c r="BY1235" i="6"/>
  <c r="CN1053" i="6"/>
  <c r="CO1053" i="6" s="1"/>
  <c r="DF88" i="6"/>
  <c r="CA94" i="6"/>
  <c r="CA135" i="6"/>
  <c r="CA169" i="6"/>
  <c r="CA175" i="6" s="1"/>
  <c r="CA95" i="6"/>
  <c r="AC43" i="42457"/>
  <c r="DE1124" i="6"/>
  <c r="BZ1127" i="6"/>
  <c r="DE1127" i="6" s="1"/>
  <c r="DE94" i="6"/>
  <c r="BZ96" i="6"/>
  <c r="DE96" i="6" s="1"/>
  <c r="CB90" i="6"/>
  <c r="DG86" i="6"/>
  <c r="CB91" i="6"/>
  <c r="DG91" i="6" s="1"/>
  <c r="CB88" i="6"/>
  <c r="DE95" i="6"/>
  <c r="BZ100" i="6"/>
  <c r="DE100" i="6" s="1"/>
  <c r="AC20" i="42457"/>
  <c r="AC21" i="42457" s="1"/>
  <c r="BY151" i="6"/>
  <c r="BY160" i="6"/>
  <c r="BZ144" i="6"/>
  <c r="CN144" i="6"/>
  <c r="CO144" i="6" s="1"/>
  <c r="CC1070" i="6"/>
  <c r="DG1070" i="6"/>
  <c r="CE1211" i="6"/>
  <c r="DF90" i="6"/>
  <c r="CA92" i="6"/>
  <c r="DF92" i="6" s="1"/>
  <c r="CD84" i="6"/>
  <c r="CD1215" i="6"/>
  <c r="DG1013" i="6"/>
  <c r="CB1028" i="6"/>
  <c r="CG71" i="6"/>
  <c r="CG80" i="6"/>
  <c r="DE1046" i="6"/>
  <c r="BZ1048" i="6"/>
  <c r="CG1281" i="6"/>
  <c r="CG1282" i="6" s="1"/>
  <c r="CG1286" i="6"/>
  <c r="CG1289" i="6" s="1"/>
  <c r="CG1290" i="6" s="1"/>
  <c r="CF81" i="6"/>
  <c r="CB1121" i="6"/>
  <c r="DF1121" i="6"/>
  <c r="CA1124" i="6"/>
  <c r="CA1332" i="6"/>
  <c r="DF1332" i="6" s="1"/>
  <c r="CD1218" i="6" l="1"/>
  <c r="CE1214" i="6" s="1"/>
  <c r="CE1216" i="6" s="1"/>
  <c r="CE1021" i="6" s="1"/>
  <c r="CE145" i="6" s="1"/>
  <c r="CD1070" i="6"/>
  <c r="DG88" i="6"/>
  <c r="CB94" i="6"/>
  <c r="CB135" i="6"/>
  <c r="CB95" i="6"/>
  <c r="CB169" i="6"/>
  <c r="CB175" i="6" s="1"/>
  <c r="BZ1235" i="6"/>
  <c r="DE1235" i="6" s="1"/>
  <c r="BY1238" i="6"/>
  <c r="BZ1238" i="6" s="1"/>
  <c r="DE1238" i="6" s="1"/>
  <c r="AD43" i="42457"/>
  <c r="DF1124" i="6"/>
  <c r="CA1127" i="6"/>
  <c r="DF1127" i="6" s="1"/>
  <c r="CG81" i="6"/>
  <c r="CG82" i="6" s="1"/>
  <c r="CN160" i="6"/>
  <c r="CO160" i="6" s="1"/>
  <c r="BY161" i="6"/>
  <c r="CB92" i="6"/>
  <c r="DG92" i="6" s="1"/>
  <c r="DG90" i="6"/>
  <c r="DF1046" i="6"/>
  <c r="CF1211" i="6"/>
  <c r="BZ151" i="6"/>
  <c r="CN151" i="6"/>
  <c r="CO151" i="6" s="1"/>
  <c r="BY162" i="6"/>
  <c r="BY153" i="6"/>
  <c r="BY1345" i="6"/>
  <c r="CN1345" i="6" s="1"/>
  <c r="CO1345" i="6" s="1"/>
  <c r="CC90" i="6"/>
  <c r="CC92" i="6" s="1"/>
  <c r="CC88" i="6"/>
  <c r="CC91" i="6"/>
  <c r="CC1121" i="6"/>
  <c r="CB1332" i="6"/>
  <c r="DG1332" i="6" s="1"/>
  <c r="DG1121" i="6"/>
  <c r="CB1124" i="6"/>
  <c r="CF82" i="6"/>
  <c r="BZ1053" i="6"/>
  <c r="DE1048" i="6"/>
  <c r="DG1028" i="6"/>
  <c r="CB1046" i="6"/>
  <c r="CA172" i="6"/>
  <c r="CA96" i="6"/>
  <c r="DF96" i="6" s="1"/>
  <c r="DF94" i="6"/>
  <c r="BY1227" i="6"/>
  <c r="BY1229" i="6" s="1"/>
  <c r="BY1232" i="6" s="1"/>
  <c r="BY1348" i="6"/>
  <c r="CN1348" i="6" s="1"/>
  <c r="CD86" i="6"/>
  <c r="CD1013" i="6"/>
  <c r="CD1028" i="6" s="1"/>
  <c r="CD1046" i="6" s="1"/>
  <c r="CA144" i="6"/>
  <c r="DF135" i="6"/>
  <c r="BZ160" i="6"/>
  <c r="DE144" i="6"/>
  <c r="DF95" i="6"/>
  <c r="CA100" i="6"/>
  <c r="DF100" i="6" s="1"/>
  <c r="AD20" i="42457"/>
  <c r="AD21" i="42457" s="1"/>
  <c r="CN1061" i="6"/>
  <c r="CO1061" i="6" s="1"/>
  <c r="BY1072" i="6"/>
  <c r="CE86" i="6"/>
  <c r="CE1013" i="6"/>
  <c r="CE1028" i="6" l="1"/>
  <c r="CE1046" i="6" s="1"/>
  <c r="CE1070" i="6"/>
  <c r="DG1124" i="6"/>
  <c r="CB1127" i="6"/>
  <c r="DG1127" i="6" s="1"/>
  <c r="AE43" i="42457"/>
  <c r="DG95" i="6"/>
  <c r="CB100" i="6"/>
  <c r="DG100" i="6" s="1"/>
  <c r="AE20" i="42457"/>
  <c r="AE21" i="42457" s="1"/>
  <c r="BY171" i="6"/>
  <c r="CN1072" i="6"/>
  <c r="CO1072" i="6" s="1"/>
  <c r="BY1129" i="6"/>
  <c r="DF144" i="6"/>
  <c r="CA160" i="6"/>
  <c r="CA151" i="6"/>
  <c r="BY1350" i="6"/>
  <c r="CN1350" i="6" s="1"/>
  <c r="BY1254" i="6"/>
  <c r="BZ1254" i="6" s="1"/>
  <c r="DE1254" i="6" s="1"/>
  <c r="DG1046" i="6"/>
  <c r="CF84" i="6"/>
  <c r="CF1215" i="6"/>
  <c r="CC1332" i="6"/>
  <c r="CC1124" i="6"/>
  <c r="CD1121" i="6"/>
  <c r="DE151" i="6"/>
  <c r="BZ153" i="6"/>
  <c r="BZ162" i="6"/>
  <c r="BZ1345" i="6"/>
  <c r="AC49" i="42457"/>
  <c r="AC51" i="42457" s="1"/>
  <c r="CG1211" i="6"/>
  <c r="BY155" i="6"/>
  <c r="CN153" i="6"/>
  <c r="CO153" i="6" s="1"/>
  <c r="CG84" i="6"/>
  <c r="CG1215" i="6"/>
  <c r="DE160" i="6"/>
  <c r="BZ161" i="6"/>
  <c r="CD88" i="6"/>
  <c r="CD91" i="6"/>
  <c r="CD90" i="6"/>
  <c r="CD92" i="6" s="1"/>
  <c r="CC95" i="6"/>
  <c r="CC100" i="6" s="1"/>
  <c r="CC94" i="6"/>
  <c r="CC96" i="6" s="1"/>
  <c r="CC135" i="6"/>
  <c r="CC144" i="6" s="1"/>
  <c r="CC169" i="6"/>
  <c r="CC175" i="6" s="1"/>
  <c r="CN162" i="6"/>
  <c r="CO162" i="6" s="1"/>
  <c r="BY163" i="6"/>
  <c r="DG135" i="6"/>
  <c r="CB144" i="6"/>
  <c r="CB172" i="6"/>
  <c r="CE88" i="6"/>
  <c r="CE91" i="6"/>
  <c r="CE90" i="6"/>
  <c r="CA1047" i="6"/>
  <c r="DE1053" i="6"/>
  <c r="BZ1061" i="6"/>
  <c r="BZ1225" i="6"/>
  <c r="AC35" i="42457"/>
  <c r="AC36" i="42457" s="1"/>
  <c r="AC40" i="42457" s="1"/>
  <c r="CB96" i="6"/>
  <c r="DG96" i="6" s="1"/>
  <c r="DG94" i="6"/>
  <c r="CE1218" i="6"/>
  <c r="CF1214" i="6" s="1"/>
  <c r="DG144" i="6" l="1"/>
  <c r="CB151" i="6"/>
  <c r="CB160" i="6"/>
  <c r="CD1124" i="6"/>
  <c r="CD1332" i="6"/>
  <c r="CE1121" i="6"/>
  <c r="CF1216" i="6"/>
  <c r="CF1021" i="6" s="1"/>
  <c r="DE1225" i="6"/>
  <c r="BZ1227" i="6"/>
  <c r="BZ1348" i="6"/>
  <c r="CE92" i="6"/>
  <c r="CG86" i="6"/>
  <c r="CG1013" i="6"/>
  <c r="CE94" i="6"/>
  <c r="CE135" i="6"/>
  <c r="CE144" i="6" s="1"/>
  <c r="CE95" i="6"/>
  <c r="CE100" i="6" s="1"/>
  <c r="CE169" i="6"/>
  <c r="CE175" i="6" s="1"/>
  <c r="CC151" i="6"/>
  <c r="CC160" i="6"/>
  <c r="CC161" i="6" s="1"/>
  <c r="CN155" i="6"/>
  <c r="CO155" i="6" s="1"/>
  <c r="BY157" i="6"/>
  <c r="CN157" i="6" s="1"/>
  <c r="CO157" i="6" s="1"/>
  <c r="DE162" i="6"/>
  <c r="BZ163" i="6"/>
  <c r="CD172" i="6"/>
  <c r="CC1127" i="6"/>
  <c r="DF151" i="6"/>
  <c r="CA153" i="6"/>
  <c r="CA162" i="6"/>
  <c r="AD49" i="42457"/>
  <c r="AD51" i="42457" s="1"/>
  <c r="CA1345" i="6"/>
  <c r="BZ1072" i="6"/>
  <c r="DE1061" i="6"/>
  <c r="CF86" i="6"/>
  <c r="CF1013" i="6"/>
  <c r="DF1047" i="6"/>
  <c r="CA1048" i="6"/>
  <c r="CD95" i="6"/>
  <c r="CD100" i="6" s="1"/>
  <c r="CD94" i="6"/>
  <c r="CD96" i="6" s="1"/>
  <c r="CD135" i="6"/>
  <c r="CD144" i="6" s="1"/>
  <c r="CD169" i="6"/>
  <c r="CD175" i="6" s="1"/>
  <c r="DE153" i="6"/>
  <c r="BZ155" i="6"/>
  <c r="DF160" i="6"/>
  <c r="CA161" i="6"/>
  <c r="BY177" i="6"/>
  <c r="BY176" i="6"/>
  <c r="BY182" i="6"/>
  <c r="CC172" i="6"/>
  <c r="CF1028" i="6" l="1"/>
  <c r="CF1046" i="6" s="1"/>
  <c r="CE96" i="6"/>
  <c r="CF1218" i="6"/>
  <c r="CG1214" i="6" s="1"/>
  <c r="DF1048" i="6"/>
  <c r="CA1053" i="6"/>
  <c r="CF90" i="6"/>
  <c r="CF92" i="6" s="1"/>
  <c r="CF88" i="6"/>
  <c r="CF91" i="6"/>
  <c r="BZ1129" i="6"/>
  <c r="DE1129" i="6" s="1"/>
  <c r="DE1072" i="6"/>
  <c r="BZ171" i="6"/>
  <c r="DF153" i="6"/>
  <c r="CA155" i="6"/>
  <c r="CE151" i="6"/>
  <c r="CE160" i="6"/>
  <c r="CE161" i="6" s="1"/>
  <c r="CF145" i="6"/>
  <c r="CF1070" i="6"/>
  <c r="CD1127" i="6"/>
  <c r="CC153" i="6"/>
  <c r="CC155" i="6" s="1"/>
  <c r="CC157" i="6" s="1"/>
  <c r="CC162" i="6"/>
  <c r="CC163" i="6" s="1"/>
  <c r="CC1345" i="6"/>
  <c r="DG160" i="6"/>
  <c r="CB161" i="6"/>
  <c r="DE1227" i="6"/>
  <c r="BZ1229" i="6"/>
  <c r="F13" i="42417"/>
  <c r="F14" i="42417" s="1"/>
  <c r="CF1121" i="6"/>
  <c r="CE1124" i="6"/>
  <c r="CE172" i="6" s="1"/>
  <c r="CE1332" i="6"/>
  <c r="DG151" i="6"/>
  <c r="CB153" i="6"/>
  <c r="CB162" i="6"/>
  <c r="CB1345" i="6"/>
  <c r="AE49" i="42457"/>
  <c r="AE51" i="42457" s="1"/>
  <c r="CG1216" i="6"/>
  <c r="CG1021" i="6" s="1"/>
  <c r="CG145" i="6" s="1"/>
  <c r="CD151" i="6"/>
  <c r="CD160" i="6"/>
  <c r="CD161" i="6" s="1"/>
  <c r="BY181" i="6"/>
  <c r="BY179" i="6"/>
  <c r="DE155" i="6"/>
  <c r="BZ157" i="6"/>
  <c r="DE157" i="6" s="1"/>
  <c r="DF162" i="6"/>
  <c r="CA163" i="6"/>
  <c r="CG90" i="6"/>
  <c r="CG88" i="6"/>
  <c r="CG91" i="6"/>
  <c r="CG1070" i="6" l="1"/>
  <c r="CG1218" i="6"/>
  <c r="DF155" i="6"/>
  <c r="CA157" i="6"/>
  <c r="DF157" i="6" s="1"/>
  <c r="F16" i="42417"/>
  <c r="F20" i="42417"/>
  <c r="CE153" i="6"/>
  <c r="CE155" i="6" s="1"/>
  <c r="CE157" i="6" s="1"/>
  <c r="CE162" i="6"/>
  <c r="CE163" i="6" s="1"/>
  <c r="CE1345" i="6"/>
  <c r="CF94" i="6"/>
  <c r="CF96" i="6" s="1"/>
  <c r="CF135" i="6"/>
  <c r="CF144" i="6" s="1"/>
  <c r="CF95" i="6"/>
  <c r="CF100" i="6" s="1"/>
  <c r="CF169" i="6"/>
  <c r="CF175" i="6" s="1"/>
  <c r="DE1229" i="6"/>
  <c r="BZ1232" i="6"/>
  <c r="DG162" i="6"/>
  <c r="CB163" i="6"/>
  <c r="CE1127" i="6"/>
  <c r="CB1047" i="6"/>
  <c r="DF1053" i="6"/>
  <c r="CA1061" i="6"/>
  <c r="CA1225" i="6"/>
  <c r="CA1235" i="6"/>
  <c r="AD35" i="42457"/>
  <c r="AD36" i="42457" s="1"/>
  <c r="AD40" i="42457" s="1"/>
  <c r="CG95" i="6"/>
  <c r="CG100" i="6" s="1"/>
  <c r="CG94" i="6"/>
  <c r="CG135" i="6"/>
  <c r="CG144" i="6" s="1"/>
  <c r="CG169" i="6"/>
  <c r="CG175" i="6" s="1"/>
  <c r="CG92" i="6"/>
  <c r="CD153" i="6"/>
  <c r="CD155" i="6" s="1"/>
  <c r="CD157" i="6" s="1"/>
  <c r="CD162" i="6"/>
  <c r="CD163" i="6" s="1"/>
  <c r="CD1345" i="6"/>
  <c r="DG153" i="6"/>
  <c r="CB155" i="6"/>
  <c r="CG1121" i="6"/>
  <c r="CF1332" i="6"/>
  <c r="CF1124" i="6"/>
  <c r="CG1028" i="6"/>
  <c r="CG1046" i="6" s="1"/>
  <c r="BZ177" i="6"/>
  <c r="BZ176" i="6"/>
  <c r="BZ182" i="6"/>
  <c r="CG96" i="6" l="1"/>
  <c r="CF1127" i="6"/>
  <c r="CA1072" i="6"/>
  <c r="DF1061" i="6"/>
  <c r="CF172" i="6"/>
  <c r="G32" i="42422"/>
  <c r="L42" i="42421"/>
  <c r="AG309" i="42458"/>
  <c r="AG310" i="42458" s="1"/>
  <c r="AK362" i="42458" s="1"/>
  <c r="F24" i="42417"/>
  <c r="V92" i="42421"/>
  <c r="BH409" i="42458"/>
  <c r="BH410" i="42458" s="1"/>
  <c r="BH412" i="42458" s="1"/>
  <c r="L101" i="42434"/>
  <c r="N32" i="42421"/>
  <c r="E32" i="42422" s="1"/>
  <c r="H33" i="42422" s="1"/>
  <c r="H34" i="42422" s="1"/>
  <c r="H35" i="42422" s="1"/>
  <c r="T92" i="42421"/>
  <c r="N74" i="42421"/>
  <c r="N76" i="42421" s="1"/>
  <c r="BZ179" i="6"/>
  <c r="BZ181" i="6"/>
  <c r="CG1332" i="6"/>
  <c r="CG1124" i="6"/>
  <c r="CG1127" i="6" s="1"/>
  <c r="CG151" i="6"/>
  <c r="CG160" i="6"/>
  <c r="CG161" i="6" s="1"/>
  <c r="DF1235" i="6"/>
  <c r="CA1238" i="6"/>
  <c r="DF1238" i="6" s="1"/>
  <c r="DG1047" i="6"/>
  <c r="CB1048" i="6"/>
  <c r="U124" i="42434"/>
  <c r="T125" i="42434"/>
  <c r="S126" i="42434"/>
  <c r="W126" i="42434"/>
  <c r="V127" i="42434"/>
  <c r="V124" i="42434"/>
  <c r="U125" i="42434"/>
  <c r="T126" i="42434"/>
  <c r="S127" i="42434"/>
  <c r="W127" i="42434"/>
  <c r="T124" i="42434"/>
  <c r="S125" i="42434"/>
  <c r="W125" i="42434"/>
  <c r="V126" i="42434"/>
  <c r="U127" i="42434"/>
  <c r="W124" i="42434"/>
  <c r="V125" i="42434"/>
  <c r="S124" i="42434"/>
  <c r="T127" i="42434"/>
  <c r="U126" i="42434"/>
  <c r="DG155" i="6"/>
  <c r="CB157" i="6"/>
  <c r="DG157" i="6" s="1"/>
  <c r="DF1225" i="6"/>
  <c r="CA1227" i="6"/>
  <c r="CA1348" i="6"/>
  <c r="DE1232" i="6"/>
  <c r="BZ1350" i="6"/>
  <c r="AC38" i="42457"/>
  <c r="CF151" i="6"/>
  <c r="CF160" i="6"/>
  <c r="CF161" i="6" s="1"/>
  <c r="DF1227" i="6" l="1"/>
  <c r="CA1229" i="6"/>
  <c r="DG1048" i="6"/>
  <c r="CB1053" i="6"/>
  <c r="O78" i="42421"/>
  <c r="L41" i="42421"/>
  <c r="B68" i="42457"/>
  <c r="L43" i="42421"/>
  <c r="CA1129" i="6"/>
  <c r="DF1129" i="6" s="1"/>
  <c r="DF1072" i="6"/>
  <c r="CA171" i="6"/>
  <c r="CF153" i="6"/>
  <c r="CF155" i="6" s="1"/>
  <c r="CF157" i="6" s="1"/>
  <c r="CF162" i="6"/>
  <c r="CF163" i="6" s="1"/>
  <c r="CF1345" i="6"/>
  <c r="CG153" i="6"/>
  <c r="CG155" i="6" s="1"/>
  <c r="CG157" i="6" s="1"/>
  <c r="CG162" i="6"/>
  <c r="CG163" i="6" s="1"/>
  <c r="CG1345" i="6"/>
  <c r="E36" i="42422"/>
  <c r="H37" i="42422" s="1"/>
  <c r="G30" i="42422"/>
  <c r="CG172" i="6"/>
  <c r="AC41" i="42457"/>
  <c r="B41" i="42417"/>
  <c r="B42" i="42417" s="1"/>
  <c r="B44" i="42417" s="1"/>
  <c r="L110" i="42434"/>
  <c r="L111" i="42434"/>
  <c r="L102" i="42434"/>
  <c r="CA176" i="6" l="1"/>
  <c r="CA177" i="6"/>
  <c r="CA182" i="6"/>
  <c r="B67" i="42457"/>
  <c r="N43" i="42421"/>
  <c r="CC1047" i="6"/>
  <c r="CC1048" i="6" s="1"/>
  <c r="CC1053" i="6" s="1"/>
  <c r="CB1061" i="6"/>
  <c r="DG1053" i="6"/>
  <c r="CB1225" i="6"/>
  <c r="CB1235" i="6"/>
  <c r="AE35" i="42457"/>
  <c r="AE36" i="42457" s="1"/>
  <c r="AE40" i="42457" s="1"/>
  <c r="B69" i="42457"/>
  <c r="N41" i="42421"/>
  <c r="DF1229" i="6"/>
  <c r="CA1232" i="6"/>
  <c r="DF1232" i="6" l="1"/>
  <c r="CA1254" i="6"/>
  <c r="DF1254" i="6" s="1"/>
  <c r="CA1350" i="6"/>
  <c r="AD38" i="42457"/>
  <c r="AD41" i="42457" s="1"/>
  <c r="CD1047" i="6"/>
  <c r="CD1048" i="6" s="1"/>
  <c r="CD1053" i="6" s="1"/>
  <c r="CC1061" i="6"/>
  <c r="CC1072" i="6" s="1"/>
  <c r="CC1225" i="6"/>
  <c r="CC1235" i="6"/>
  <c r="CC1238" i="6" s="1"/>
  <c r="DG1061" i="6"/>
  <c r="CB1072" i="6"/>
  <c r="DG1235" i="6"/>
  <c r="CB1238" i="6"/>
  <c r="DG1238" i="6" s="1"/>
  <c r="DG1225" i="6"/>
  <c r="CB1227" i="6"/>
  <c r="CB1348" i="6"/>
  <c r="CA181" i="6"/>
  <c r="CA179" i="6"/>
  <c r="DG1227" i="6" l="1"/>
  <c r="CB1229" i="6"/>
  <c r="CC1129" i="6"/>
  <c r="CC1227" i="6"/>
  <c r="CC1229" i="6" s="1"/>
  <c r="CC1232" i="6" s="1"/>
  <c r="CC1348" i="6"/>
  <c r="CC171" i="6"/>
  <c r="DG1072" i="6"/>
  <c r="CB1129" i="6"/>
  <c r="DG1129" i="6" s="1"/>
  <c r="CB171" i="6"/>
  <c r="CE1047" i="6"/>
  <c r="CE1048" i="6" s="1"/>
  <c r="CE1053" i="6" s="1"/>
  <c r="CD1061" i="6"/>
  <c r="CD1072" i="6" s="1"/>
  <c r="CD1225" i="6"/>
  <c r="CD1235" i="6"/>
  <c r="CD1238" i="6" s="1"/>
  <c r="CD1129" i="6" l="1"/>
  <c r="CF1047" i="6"/>
  <c r="CF1048" i="6" s="1"/>
  <c r="CF1053" i="6" s="1"/>
  <c r="CE1061" i="6"/>
  <c r="CE1072" i="6" s="1"/>
  <c r="CE1225" i="6"/>
  <c r="CE1235" i="6"/>
  <c r="CE1238" i="6" s="1"/>
  <c r="CD171" i="6"/>
  <c r="CB176" i="6"/>
  <c r="CB177" i="6"/>
  <c r="CB182" i="6"/>
  <c r="CB1232" i="6"/>
  <c r="DG1229" i="6"/>
  <c r="CC177" i="6"/>
  <c r="CC176" i="6"/>
  <c r="CC182" i="6"/>
  <c r="CD1227" i="6"/>
  <c r="CD1229" i="6" s="1"/>
  <c r="CD1232" i="6" s="1"/>
  <c r="CD1348" i="6"/>
  <c r="CC1350" i="6"/>
  <c r="CC1254" i="6"/>
  <c r="CD1254" i="6" l="1"/>
  <c r="CD1350" i="6"/>
  <c r="CB181" i="6"/>
  <c r="CB179" i="6"/>
  <c r="CE1129" i="6"/>
  <c r="CD177" i="6"/>
  <c r="CD176" i="6"/>
  <c r="CD182" i="6"/>
  <c r="CB1350" i="6"/>
  <c r="AE38" i="42457"/>
  <c r="AE41" i="42457" s="1"/>
  <c r="CB1254" i="6"/>
  <c r="DG1254" i="6" s="1"/>
  <c r="DG1232" i="6"/>
  <c r="CG1047" i="6"/>
  <c r="CG1048" i="6" s="1"/>
  <c r="CG1053" i="6" s="1"/>
  <c r="CF1225" i="6"/>
  <c r="CF1235" i="6"/>
  <c r="CF1238" i="6" s="1"/>
  <c r="CF1061" i="6"/>
  <c r="CF1072" i="6" s="1"/>
  <c r="CF171" i="6" s="1"/>
  <c r="CC179" i="6"/>
  <c r="CC181" i="6"/>
  <c r="CE1227" i="6"/>
  <c r="CE1229" i="6" s="1"/>
  <c r="CE1232" i="6" s="1"/>
  <c r="CE1348" i="6"/>
  <c r="CE171" i="6"/>
  <c r="CF176" i="6" l="1"/>
  <c r="CF177" i="6"/>
  <c r="CF182" i="6"/>
  <c r="CE1254" i="6"/>
  <c r="CE1350" i="6"/>
  <c r="CD179" i="6"/>
  <c r="CD181" i="6"/>
  <c r="CE176" i="6"/>
  <c r="CE177" i="6"/>
  <c r="CE182" i="6"/>
  <c r="CG1061" i="6"/>
  <c r="CG1072" i="6" s="1"/>
  <c r="CG1129" i="6" s="1"/>
  <c r="CG1225" i="6"/>
  <c r="CG1235" i="6"/>
  <c r="CG1238" i="6" s="1"/>
  <c r="CF1227" i="6"/>
  <c r="CF1229" i="6" s="1"/>
  <c r="CF1232" i="6" s="1"/>
  <c r="CF1348" i="6"/>
  <c r="CF1129" i="6"/>
  <c r="CG1227" i="6" l="1"/>
  <c r="CG1229" i="6" s="1"/>
  <c r="CG1232" i="6" s="1"/>
  <c r="CG1348" i="6"/>
  <c r="CE179" i="6"/>
  <c r="CE181" i="6"/>
  <c r="CG171" i="6"/>
  <c r="CF1350" i="6"/>
  <c r="CF1254" i="6"/>
  <c r="CF181" i="6"/>
  <c r="CF179" i="6"/>
  <c r="CG177" i="6" l="1"/>
  <c r="CG176" i="6"/>
  <c r="CG182" i="6"/>
  <c r="CG1350" i="6"/>
  <c r="CG1254" i="6"/>
  <c r="CG181" i="6" l="1"/>
  <c r="CG179" i="6"/>
</calcChain>
</file>

<file path=xl/comments1.xml><?xml version="1.0" encoding="utf-8"?>
<comments xmlns="http://schemas.openxmlformats.org/spreadsheetml/2006/main">
  <authors>
    <author>urbankev</author>
    <author>AM: 4/28/11</author>
    <author>stramark</author>
    <author>thallen</author>
    <author>AM: 7/24/12</author>
    <author>Savino, Mark (Research)</author>
    <author>Allen, Thomas (Research)</author>
    <author>savinmar</author>
    <author>AM: 7/21/11</author>
    <author>AM: 4/24/12</author>
    <author>shahviv</author>
    <author>markoami</author>
    <author>AM: 2/03/11</author>
    <author>AM: 2/2/12</author>
    <author>AM: 10/18/12</author>
    <author>danfuss</author>
    <author>Thallen</author>
    <author>AM: 3/01/11</author>
    <author>Chris Metli</author>
    <author>AM: 5/3/11</author>
    <author>DJF 11/3/2011</author>
    <author>amitansv</author>
    <author>melletc</author>
    <author>Todd Scott</author>
    <author>Celeste Brown</author>
    <author>Celeste Mellet Brown</author>
    <author>priyapa</author>
    <author>toddscot</author>
    <author>AM: 11/16/12</author>
    <author>AM: 11/8/11</author>
    <author>Charles Dan</author>
    <author>DJF 12/17/11</author>
    <author>Daniel Fuss</author>
    <author>sunilt</author>
    <author>dancharl</author>
    <author>sorkinsr</author>
    <author>Shukla, Sindhuja (Research)</author>
    <author>Ananth, Manoj (Research)</author>
    <author>K, Hemalatha (Research)</author>
    <author>Zheng, Chaodan (Research)</author>
    <author>Kirk L. Tashjian</author>
    <author>pathaman</author>
    <author>vijmehta</author>
    <author>AM: 5/3/12</author>
    <author>AM: 8/11/11</author>
  </authors>
  <commentList>
    <comment ref="P9" authorId="0">
      <text>
        <r>
          <rPr>
            <b/>
            <sz val="8"/>
            <color indexed="81"/>
            <rFont val="Tahoma"/>
            <family val="2"/>
          </rPr>
          <t>urbankev:</t>
        </r>
        <r>
          <rPr>
            <sz val="8"/>
            <color indexed="81"/>
            <rFont val="Tahoma"/>
            <family val="2"/>
          </rPr>
          <t xml:space="preserve">
begin to reflect discontinued ops of South Coast and Barbary Coast</t>
        </r>
      </text>
    </comment>
    <comment ref="P10" authorId="0">
      <text>
        <r>
          <rPr>
            <b/>
            <sz val="8"/>
            <color indexed="81"/>
            <rFont val="Tahoma"/>
            <family val="2"/>
          </rPr>
          <t>urbankev:</t>
        </r>
        <r>
          <rPr>
            <sz val="8"/>
            <color indexed="81"/>
            <rFont val="Tahoma"/>
            <family val="2"/>
          </rPr>
          <t xml:space="preserve">
begin to reflect discontinued ops of South Coast and Barbary Coast</t>
        </r>
      </text>
    </comment>
    <comment ref="P11" authorId="0">
      <text>
        <r>
          <rPr>
            <b/>
            <sz val="8"/>
            <color indexed="81"/>
            <rFont val="Tahoma"/>
            <family val="2"/>
          </rPr>
          <t>urbankev:</t>
        </r>
        <r>
          <rPr>
            <sz val="8"/>
            <color indexed="81"/>
            <rFont val="Tahoma"/>
            <family val="2"/>
          </rPr>
          <t xml:space="preserve">
begin to reflect discontinued ops of South Coast and Barbary Coast</t>
        </r>
      </text>
    </comment>
    <comment ref="P13" authorId="0">
      <text>
        <r>
          <rPr>
            <b/>
            <sz val="8"/>
            <color indexed="81"/>
            <rFont val="Tahoma"/>
            <family val="2"/>
          </rPr>
          <t>urbankev:</t>
        </r>
        <r>
          <rPr>
            <sz val="8"/>
            <color indexed="81"/>
            <rFont val="Tahoma"/>
            <family val="2"/>
          </rPr>
          <t xml:space="preserve">
begin to reflect discontinued ops of South Coast and Barbary Coast</t>
        </r>
      </text>
    </comment>
    <comment ref="AH13" authorId="1">
      <text>
        <r>
          <rPr>
            <b/>
            <sz val="8"/>
            <color indexed="81"/>
            <rFont val="Tahoma"/>
            <family val="2"/>
          </rPr>
          <t>AM: 4/28/11:</t>
        </r>
        <r>
          <rPr>
            <sz val="8"/>
            <color indexed="81"/>
            <rFont val="Tahoma"/>
            <family val="2"/>
          </rPr>
          <t xml:space="preserve">
Incl other</t>
        </r>
      </text>
    </comment>
    <comment ref="AI13" authorId="2">
      <text>
        <r>
          <rPr>
            <b/>
            <sz val="8"/>
            <color indexed="81"/>
            <rFont val="Tahoma"/>
            <family val="2"/>
          </rPr>
          <t>stramark:</t>
        </r>
        <r>
          <rPr>
            <sz val="8"/>
            <color indexed="81"/>
            <rFont val="Tahoma"/>
            <family val="2"/>
          </rPr>
          <t xml:space="preserve">
Includes other</t>
        </r>
      </text>
    </comment>
    <comment ref="AU14" authorId="3">
      <text>
        <r>
          <rPr>
            <b/>
            <sz val="8"/>
            <color indexed="81"/>
            <rFont val="Tahoma"/>
            <family val="2"/>
          </rPr>
          <t>thallen:</t>
        </r>
        <r>
          <rPr>
            <sz val="8"/>
            <color indexed="81"/>
            <rFont val="Tahoma"/>
            <family val="2"/>
          </rPr>
          <t xml:space="preserve">
Pro forma for Peninsula from 11/20/12 on</t>
        </r>
      </text>
    </comment>
    <comment ref="AT17" authorId="4">
      <text>
        <r>
          <rPr>
            <b/>
            <sz val="8"/>
            <color indexed="81"/>
            <rFont val="Tahoma"/>
            <family val="2"/>
          </rPr>
          <t>AM: 7/24/12:</t>
        </r>
        <r>
          <rPr>
            <sz val="8"/>
            <color indexed="81"/>
            <rFont val="Tahoma"/>
            <family val="2"/>
          </rPr>
          <t xml:space="preserve">
Easy comp on hurricane in 3Q11.</t>
        </r>
      </text>
    </comment>
    <comment ref="BB17" authorId="5">
      <text>
        <r>
          <rPr>
            <b/>
            <sz val="9"/>
            <color indexed="81"/>
            <rFont val="Tahoma"/>
            <family val="2"/>
          </rPr>
          <t>Savino, Mark (Research):</t>
        </r>
        <r>
          <rPr>
            <sz val="9"/>
            <color indexed="81"/>
            <rFont val="Tahoma"/>
            <family val="2"/>
          </rPr>
          <t xml:space="preserve">
Reported number includes online gaming revenue</t>
        </r>
      </text>
    </comment>
    <comment ref="AW21" authorId="3">
      <text>
        <r>
          <rPr>
            <b/>
            <sz val="8"/>
            <color indexed="81"/>
            <rFont val="Tahoma"/>
            <family val="2"/>
          </rPr>
          <t>thallen:</t>
        </r>
        <r>
          <rPr>
            <sz val="8"/>
            <color indexed="81"/>
            <rFont val="Tahoma"/>
            <family val="2"/>
          </rPr>
          <t xml:space="preserve">
Strong March offset impact from a harsher winter y/y (esp. in Midwest), payroll tax increase in Jan 2013, and delays in processing tax returns</t>
        </r>
      </text>
    </comment>
    <comment ref="BP22" authorId="6">
      <text>
        <r>
          <rPr>
            <b/>
            <sz val="9"/>
            <color indexed="81"/>
            <rFont val="Tahoma"/>
            <family val="2"/>
          </rPr>
          <t>Allen, Thomas (Research):</t>
        </r>
        <r>
          <rPr>
            <sz val="9"/>
            <color indexed="81"/>
            <rFont val="Tahoma"/>
            <family val="2"/>
          </rPr>
          <t xml:space="preserve">
4Q15: Midpoint of guidance assumes 1-3% rev growth</t>
        </r>
      </text>
    </comment>
    <comment ref="BO38" authorId="6">
      <text>
        <r>
          <rPr>
            <b/>
            <sz val="9"/>
            <color indexed="81"/>
            <rFont val="Tahoma"/>
            <family val="2"/>
          </rPr>
          <t>Allen, Thomas (Research):</t>
        </r>
        <r>
          <rPr>
            <sz val="9"/>
            <color indexed="81"/>
            <rFont val="Tahoma"/>
            <family val="2"/>
          </rPr>
          <t xml:space="preserve">
Low sportsbook hold negatively impacted by $2m</t>
        </r>
      </text>
    </comment>
    <comment ref="AZ41" authorId="5">
      <text>
        <r>
          <rPr>
            <b/>
            <sz val="9"/>
            <color indexed="81"/>
            <rFont val="Tahoma"/>
            <family val="2"/>
          </rPr>
          <t>Savino, Mark (Research):</t>
        </r>
        <r>
          <rPr>
            <sz val="9"/>
            <color indexed="81"/>
            <rFont val="Tahoma"/>
            <family val="2"/>
          </rPr>
          <t xml:space="preserve">
Included $9.3m favorable property tax adjustment</t>
        </r>
      </text>
    </comment>
    <comment ref="AU42" authorId="3">
      <text>
        <r>
          <rPr>
            <b/>
            <sz val="8"/>
            <color indexed="81"/>
            <rFont val="Tahoma"/>
            <family val="2"/>
          </rPr>
          <t>thallen:</t>
        </r>
        <r>
          <rPr>
            <sz val="8"/>
            <color indexed="81"/>
            <rFont val="Tahoma"/>
            <family val="2"/>
          </rPr>
          <t xml:space="preserve">
Pro forma for Peninsula from 11/20/12 on</t>
        </r>
      </text>
    </comment>
    <comment ref="AX42" authorId="7">
      <text>
        <r>
          <rPr>
            <b/>
            <sz val="8"/>
            <color indexed="81"/>
            <rFont val="Tahoma"/>
            <family val="2"/>
          </rPr>
          <t>savinmar:</t>
        </r>
        <r>
          <rPr>
            <sz val="8"/>
            <color indexed="81"/>
            <rFont val="Tahoma"/>
            <family val="2"/>
          </rPr>
          <t xml:space="preserve">
Kansas Star EBITDA includes $1.3m higher property tax charge (charge for year, BYD will appeal)</t>
        </r>
      </text>
    </comment>
    <comment ref="BO44" authorId="6">
      <text>
        <r>
          <rPr>
            <b/>
            <sz val="9"/>
            <color indexed="81"/>
            <rFont val="Tahoma"/>
            <family val="2"/>
          </rPr>
          <t>Allen, Thomas (Research):</t>
        </r>
        <r>
          <rPr>
            <sz val="9"/>
            <color indexed="81"/>
            <rFont val="Tahoma"/>
            <family val="2"/>
          </rPr>
          <t xml:space="preserve">
$2.9m benefit from favorable tax adjustment</t>
        </r>
      </text>
    </comment>
    <comment ref="BT44" authorId="6">
      <text>
        <r>
          <rPr>
            <b/>
            <sz val="9"/>
            <color indexed="81"/>
            <rFont val="Tahoma"/>
            <family val="2"/>
          </rPr>
          <t>Allen, Thomas (Research):</t>
        </r>
        <r>
          <rPr>
            <sz val="9"/>
            <color indexed="81"/>
            <rFont val="Tahoma"/>
            <family val="2"/>
          </rPr>
          <t xml:space="preserve">
Note comping $2.9m benefit from favorable tax adjustment, and a couple million impact in 4Q17 as a result of IP / Treasure Chest closures during Hurricane Nate</t>
        </r>
      </text>
    </comment>
    <comment ref="BY44" authorId="5">
      <text>
        <r>
          <rPr>
            <b/>
            <sz val="9"/>
            <color indexed="81"/>
            <rFont val="Tahoma"/>
            <family val="2"/>
          </rPr>
          <t>Savino, Mark (Research):</t>
        </r>
        <r>
          <rPr>
            <sz val="9"/>
            <color indexed="81"/>
            <rFont val="Tahoma"/>
            <family val="2"/>
          </rPr>
          <t xml:space="preserve">
Lapping closures of Hurricane Nate in 4Q17</t>
        </r>
      </text>
    </comment>
    <comment ref="AP45" authorId="8">
      <text>
        <r>
          <rPr>
            <b/>
            <sz val="8"/>
            <color indexed="81"/>
            <rFont val="Tahoma"/>
            <family val="2"/>
          </rPr>
          <t>AM: 10/25/11:</t>
        </r>
        <r>
          <rPr>
            <sz val="8"/>
            <color indexed="81"/>
            <rFont val="Tahoma"/>
            <family val="2"/>
          </rPr>
          <t xml:space="preserve">
Guidance of $34-37m
</t>
        </r>
      </text>
    </comment>
    <comment ref="AS45" authorId="9">
      <text>
        <r>
          <rPr>
            <b/>
            <sz val="8"/>
            <color indexed="81"/>
            <rFont val="Tahoma"/>
            <family val="2"/>
          </rPr>
          <t>AM: 4/24/12:</t>
        </r>
        <r>
          <rPr>
            <sz val="8"/>
            <color indexed="81"/>
            <rFont val="Tahoma"/>
            <family val="2"/>
          </rPr>
          <t xml:space="preserve">
$33-35m guidance</t>
        </r>
      </text>
    </comment>
    <comment ref="AT45" authorId="4">
      <text>
        <r>
          <rPr>
            <b/>
            <sz val="8"/>
            <color indexed="81"/>
            <rFont val="Tahoma"/>
            <family val="2"/>
          </rPr>
          <t>AM: 7/24/12:</t>
        </r>
        <r>
          <rPr>
            <sz val="8"/>
            <color indexed="81"/>
            <rFont val="Tahoma"/>
            <family val="2"/>
          </rPr>
          <t xml:space="preserve">
$47-49m guidance. Easy comp on hurricane in 3Q11.
Low hold impacted property by ~$11.5mm</t>
        </r>
      </text>
    </comment>
    <comment ref="AW45" authorId="3">
      <text>
        <r>
          <rPr>
            <b/>
            <sz val="8"/>
            <color indexed="81"/>
            <rFont val="Tahoma"/>
            <family val="2"/>
          </rPr>
          <t>thallen:</t>
        </r>
        <r>
          <rPr>
            <sz val="8"/>
            <color indexed="81"/>
            <rFont val="Tahoma"/>
            <family val="2"/>
          </rPr>
          <t xml:space="preserve">
Restated to reflect deconsolidation
Guidance: $25-27mm</t>
        </r>
      </text>
    </comment>
    <comment ref="AX45" authorId="3">
      <text>
        <r>
          <rPr>
            <b/>
            <sz val="8"/>
            <color indexed="81"/>
            <rFont val="Tahoma"/>
            <family val="2"/>
          </rPr>
          <t>thallen:</t>
        </r>
        <r>
          <rPr>
            <sz val="8"/>
            <color indexed="81"/>
            <rFont val="Tahoma"/>
            <family val="2"/>
          </rPr>
          <t xml:space="preserve">
Includes $4.3m property tax charge, adjusted EBITDA was $32.1m
Guidance: $27-29mm</t>
        </r>
      </text>
    </comment>
    <comment ref="AY45" authorId="3">
      <text>
        <r>
          <rPr>
            <b/>
            <sz val="8"/>
            <color indexed="81"/>
            <rFont val="Tahoma"/>
            <family val="2"/>
          </rPr>
          <t>thallen:</t>
        </r>
        <r>
          <rPr>
            <sz val="8"/>
            <color indexed="81"/>
            <rFont val="Tahoma"/>
            <family val="2"/>
          </rPr>
          <t xml:space="preserve">
Guidance: $44-46m
Hold helped the property by $11.5mm y/y, property taxes negatively impacted property by $2.1mm y/y</t>
        </r>
      </text>
    </comment>
    <comment ref="AZ45" authorId="3">
      <text>
        <r>
          <rPr>
            <b/>
            <sz val="8"/>
            <color indexed="81"/>
            <rFont val="Tahoma"/>
            <family val="2"/>
          </rPr>
          <t>thallen:</t>
        </r>
        <r>
          <rPr>
            <sz val="8"/>
            <color indexed="81"/>
            <rFont val="Tahoma"/>
            <family val="2"/>
          </rPr>
          <t xml:space="preserve">
Guide: $22-24m</t>
        </r>
      </text>
    </comment>
    <comment ref="BM48" authorId="5">
      <text>
        <r>
          <rPr>
            <b/>
            <sz val="9"/>
            <color indexed="81"/>
            <rFont val="Tahoma"/>
            <family val="2"/>
          </rPr>
          <t>Savino, Mark (Research):</t>
        </r>
        <r>
          <rPr>
            <sz val="9"/>
            <color indexed="81"/>
            <rFont val="Tahoma"/>
            <family val="2"/>
          </rPr>
          <t xml:space="preserve">
Moved to discontinued operations</t>
        </r>
      </text>
    </comment>
    <comment ref="BN48" authorId="5">
      <text>
        <r>
          <rPr>
            <b/>
            <sz val="9"/>
            <color indexed="81"/>
            <rFont val="Tahoma"/>
            <family val="2"/>
          </rPr>
          <t>Savino, Mark (Research):</t>
        </r>
        <r>
          <rPr>
            <sz val="9"/>
            <color indexed="81"/>
            <rFont val="Tahoma"/>
            <family val="2"/>
          </rPr>
          <t xml:space="preserve">
Sale to MGM closed on 8/1</t>
        </r>
      </text>
    </comment>
    <comment ref="BN52" authorId="5">
      <text>
        <r>
          <rPr>
            <b/>
            <sz val="9"/>
            <color indexed="81"/>
            <rFont val="Tahoma"/>
            <family val="2"/>
          </rPr>
          <t>Savino, Mark (Research):</t>
        </r>
        <r>
          <rPr>
            <sz val="9"/>
            <color indexed="81"/>
            <rFont val="Tahoma"/>
            <family val="2"/>
          </rPr>
          <t xml:space="preserve">
</t>
        </r>
      </text>
    </comment>
    <comment ref="W54" authorId="10">
      <text>
        <r>
          <rPr>
            <sz val="8"/>
            <color indexed="81"/>
            <rFont val="Tahoma"/>
            <family val="2"/>
          </rPr>
          <t xml:space="preserve">Guidance: $50 mn
2Q07 CC
</t>
        </r>
      </text>
    </comment>
    <comment ref="AG54" authorId="10">
      <text>
        <r>
          <rPr>
            <sz val="8"/>
            <color indexed="81"/>
            <rFont val="Tahoma"/>
            <family val="2"/>
          </rPr>
          <t xml:space="preserve">Guidance: $38-43 mn
4Q08 CC
</t>
        </r>
      </text>
    </comment>
    <comment ref="AL54" authorId="11">
      <text>
        <r>
          <rPr>
            <b/>
            <sz val="8"/>
            <color indexed="81"/>
            <rFont val="Tahoma"/>
            <family val="2"/>
          </rPr>
          <t>markoami:</t>
        </r>
        <r>
          <rPr>
            <sz val="8"/>
            <color indexed="81"/>
            <rFont val="Tahoma"/>
            <family val="2"/>
          </rPr>
          <t xml:space="preserve">
Per 2Q:10 cc, still expect $40m in corp expense in 2010.</t>
        </r>
      </text>
    </comment>
    <comment ref="AQ54" authorId="12">
      <text>
        <r>
          <rPr>
            <b/>
            <sz val="8"/>
            <color indexed="81"/>
            <rFont val="Tahoma"/>
            <family val="2"/>
          </rPr>
          <t>AM: 2/03/11:</t>
        </r>
        <r>
          <rPr>
            <sz val="8"/>
            <color indexed="81"/>
            <rFont val="Tahoma"/>
            <family val="2"/>
          </rPr>
          <t xml:space="preserve">
Per 4Q10 cc, $40-42m.</t>
        </r>
      </text>
    </comment>
    <comment ref="AU54" authorId="3">
      <text>
        <r>
          <rPr>
            <b/>
            <sz val="8"/>
            <color indexed="81"/>
            <rFont val="Tahoma"/>
            <family val="2"/>
          </rPr>
          <t>thallen:</t>
        </r>
        <r>
          <rPr>
            <sz val="8"/>
            <color indexed="81"/>
            <rFont val="Tahoma"/>
            <family val="2"/>
          </rPr>
          <t xml:space="preserve">
$375k for Peninsula in 4Q12</t>
        </r>
      </text>
    </comment>
    <comment ref="AV54" authorId="13">
      <text>
        <r>
          <rPr>
            <b/>
            <sz val="8"/>
            <color indexed="81"/>
            <rFont val="Tahoma"/>
            <family val="2"/>
          </rPr>
          <t>AM: 2/21/12:</t>
        </r>
        <r>
          <rPr>
            <sz val="8"/>
            <color indexed="81"/>
            <rFont val="Tahoma"/>
            <family val="2"/>
          </rPr>
          <t xml:space="preserve">
$44m per 4Q11 cc.</t>
        </r>
      </text>
    </comment>
    <comment ref="AW54" authorId="3">
      <text>
        <r>
          <rPr>
            <b/>
            <sz val="8"/>
            <color indexed="81"/>
            <rFont val="Tahoma"/>
            <family val="2"/>
          </rPr>
          <t>thallen:</t>
        </r>
        <r>
          <rPr>
            <sz val="8"/>
            <color indexed="81"/>
            <rFont val="Tahoma"/>
            <family val="2"/>
          </rPr>
          <t xml:space="preserve">
Incl. $1.1mm from Peninsula</t>
        </r>
      </text>
    </comment>
    <comment ref="AX54" authorId="7">
      <text>
        <r>
          <rPr>
            <b/>
            <sz val="8"/>
            <color indexed="81"/>
            <rFont val="Tahoma"/>
            <family val="2"/>
          </rPr>
          <t>savinmar:</t>
        </r>
        <r>
          <rPr>
            <sz val="8"/>
            <color indexed="81"/>
            <rFont val="Tahoma"/>
            <family val="2"/>
          </rPr>
          <t xml:space="preserve">
Includes $0.8m from Peninsula</t>
        </r>
      </text>
    </comment>
    <comment ref="BA54" authorId="3">
      <text>
        <r>
          <rPr>
            <b/>
            <sz val="8"/>
            <color indexed="81"/>
            <rFont val="Tahoma"/>
            <family val="2"/>
          </rPr>
          <t>thallen:</t>
        </r>
        <r>
          <rPr>
            <sz val="8"/>
            <color indexed="81"/>
            <rFont val="Tahoma"/>
            <family val="2"/>
          </rPr>
          <t xml:space="preserve">
Guidance (per 4Q12 call): $46mm, increase b/c of Peninsula (though Peninsula corp cut in half to $4.5mm / year)</t>
        </r>
      </text>
    </comment>
    <comment ref="BD54" authorId="5">
      <text>
        <r>
          <rPr>
            <b/>
            <sz val="9"/>
            <color indexed="81"/>
            <rFont val="Tahoma"/>
            <family val="2"/>
          </rPr>
          <t>Savino, Mark (Research):</t>
        </r>
        <r>
          <rPr>
            <sz val="9"/>
            <color indexed="81"/>
            <rFont val="Tahoma"/>
            <family val="2"/>
          </rPr>
          <t xml:space="preserve">
2Q call: $27m in 2H14</t>
        </r>
      </text>
    </comment>
    <comment ref="BE54" authorId="5">
      <text>
        <r>
          <rPr>
            <b/>
            <sz val="9"/>
            <color indexed="81"/>
            <rFont val="Tahoma"/>
            <family val="2"/>
          </rPr>
          <t>Savino, Mark (Research):</t>
        </r>
        <r>
          <rPr>
            <sz val="9"/>
            <color indexed="81"/>
            <rFont val="Tahoma"/>
            <family val="2"/>
          </rPr>
          <t xml:space="preserve">
2Q call: $27m in 2H14
But corporate higher as co examines whether to spin to a REIT or other alternatives</t>
        </r>
      </text>
    </comment>
    <comment ref="BF54" authorId="5">
      <text>
        <r>
          <rPr>
            <b/>
            <sz val="9"/>
            <color indexed="81"/>
            <rFont val="Tahoma"/>
            <family val="2"/>
          </rPr>
          <t>Savino, Mark (Research):</t>
        </r>
        <r>
          <rPr>
            <sz val="9"/>
            <color indexed="81"/>
            <rFont val="Tahoma"/>
            <family val="2"/>
          </rPr>
          <t xml:space="preserve">
Guidance: $55m, spending on several IT initiatives</t>
        </r>
      </text>
    </comment>
    <comment ref="BK54" authorId="5">
      <text>
        <r>
          <rPr>
            <b/>
            <sz val="9"/>
            <color indexed="81"/>
            <rFont val="Tahoma"/>
            <family val="2"/>
          </rPr>
          <t>Savino, Mark (Research):</t>
        </r>
        <r>
          <rPr>
            <sz val="9"/>
            <color indexed="81"/>
            <rFont val="Tahoma"/>
            <family val="2"/>
          </rPr>
          <t xml:space="preserve">
3Q15: $60-63m
Per mgmt after 2Q: $64-65m
4Q call: $65m
Higher as co examines whether to spin to a REIT or other alternatives</t>
        </r>
      </text>
    </comment>
    <comment ref="BP54" authorId="6">
      <text>
        <r>
          <rPr>
            <b/>
            <sz val="9"/>
            <color indexed="81"/>
            <rFont val="Tahoma"/>
            <family val="2"/>
          </rPr>
          <t>Allen, Thomas (Research):</t>
        </r>
        <r>
          <rPr>
            <sz val="9"/>
            <color indexed="81"/>
            <rFont val="Tahoma"/>
            <family val="2"/>
          </rPr>
          <t xml:space="preserve">
4Q15: $60-65m</t>
        </r>
      </text>
    </comment>
    <comment ref="BS54" authorId="5">
      <text>
        <r>
          <rPr>
            <b/>
            <sz val="9"/>
            <color indexed="81"/>
            <rFont val="Tahoma"/>
            <family val="2"/>
          </rPr>
          <t>Savino, Mark (Research):</t>
        </r>
        <r>
          <rPr>
            <sz val="9"/>
            <color indexed="81"/>
            <rFont val="Tahoma"/>
            <family val="2"/>
          </rPr>
          <t xml:space="preserve">
Per 2Q call, $18m the right run-rate for now, and then will find more efficiencies next year</t>
        </r>
      </text>
    </comment>
    <comment ref="BT54" authorId="5">
      <text>
        <r>
          <rPr>
            <b/>
            <sz val="9"/>
            <color indexed="81"/>
            <rFont val="Tahoma"/>
            <family val="2"/>
          </rPr>
          <t>Savino, Mark (Research):</t>
        </r>
        <r>
          <rPr>
            <sz val="9"/>
            <color indexed="81"/>
            <rFont val="Tahoma"/>
            <family val="2"/>
          </rPr>
          <t xml:space="preserve">
After 3Q call, likely $1.5m higher as a result of efforts / donations around Harvest Festival shooting
Also assume higher related to PNK / PENN txn
Per 2Q call, $18m the right run-rate for now, and then will find more efficiencies next year</t>
        </r>
      </text>
    </comment>
    <comment ref="BU54" authorId="6">
      <text>
        <r>
          <rPr>
            <b/>
            <sz val="9"/>
            <color indexed="81"/>
            <rFont val="Tahoma"/>
            <family val="2"/>
          </rPr>
          <t>Allen, Thomas (Research):</t>
        </r>
        <r>
          <rPr>
            <sz val="9"/>
            <color indexed="81"/>
            <rFont val="Tahoma"/>
            <family val="2"/>
          </rPr>
          <t xml:space="preserve">
1Q17: 1Q corp expense higher than expected so have to be mindful or $65m guidance could be a bit light
4Q16: $65m, higher spending on IT and business analytics
Confirmed $15m quarterly runrate, post 3Q16 call</t>
        </r>
      </text>
    </comment>
    <comment ref="BZ54" authorId="5">
      <text>
        <r>
          <rPr>
            <b/>
            <sz val="9"/>
            <color indexed="81"/>
            <rFont val="Tahoma"/>
            <family val="2"/>
          </rPr>
          <t>Savino, Mark (Research):</t>
        </r>
        <r>
          <rPr>
            <sz val="9"/>
            <color indexed="81"/>
            <rFont val="Tahoma"/>
            <family val="2"/>
          </rPr>
          <t xml:space="preserve">
4Q17: $76m
Per mgmt after 3Q17 call, think they can manage corporate expense back down over time, but won't be a drop-off back to 2016 levels</t>
        </r>
      </text>
    </comment>
    <comment ref="CA54" authorId="6">
      <text>
        <r>
          <rPr>
            <b/>
            <sz val="9"/>
            <color indexed="81"/>
            <rFont val="Tahoma"/>
            <family val="2"/>
          </rPr>
          <t>Allen, Thomas (Research):</t>
        </r>
        <r>
          <rPr>
            <sz val="9"/>
            <color indexed="81"/>
            <rFont val="Tahoma"/>
            <family val="2"/>
          </rPr>
          <t xml:space="preserve">
Lower after close on PNK assets txn, but don't expect to go to $65m</t>
        </r>
      </text>
    </comment>
    <comment ref="AO55" authorId="8">
      <text>
        <r>
          <rPr>
            <b/>
            <sz val="8"/>
            <color indexed="81"/>
            <rFont val="Tahoma"/>
            <family val="2"/>
          </rPr>
          <t>AM: 7/21/11:</t>
        </r>
        <r>
          <rPr>
            <sz val="8"/>
            <color indexed="81"/>
            <rFont val="Tahoma"/>
            <family val="2"/>
          </rPr>
          <t xml:space="preserve">
Guidance of $65-$70m for the wholly owned props (after corp expense) and $52-55m for the Borgata. $117-125m of total consolidated EBITDA</t>
        </r>
      </text>
    </comment>
    <comment ref="AP55" authorId="8">
      <text>
        <r>
          <rPr>
            <b/>
            <sz val="8"/>
            <color indexed="81"/>
            <rFont val="Tahoma"/>
            <family val="2"/>
          </rPr>
          <t>AM: 10/25/11:</t>
        </r>
        <r>
          <rPr>
            <sz val="8"/>
            <color indexed="81"/>
            <rFont val="Tahoma"/>
            <family val="2"/>
          </rPr>
          <t xml:space="preserve">
Guidance of $73-$78m incl IP for the wholly owned props (after corp expense) and $34-37m for the Borgata. $107-115m of total consolidated EBITDA</t>
        </r>
      </text>
    </comment>
    <comment ref="AR55" authorId="8">
      <text>
        <r>
          <rPr>
            <b/>
            <sz val="8"/>
            <color indexed="81"/>
            <rFont val="Tahoma"/>
            <family val="2"/>
          </rPr>
          <t>AM: 2/21/12:</t>
        </r>
        <r>
          <rPr>
            <sz val="8"/>
            <color indexed="81"/>
            <rFont val="Tahoma"/>
            <family val="2"/>
          </rPr>
          <t xml:space="preserve">
Guidance of $88-$93m incl IP for the wholly owned props (after corp expense) and $32-34m for the Borgata. $120-127m of total consolidated EBITDA</t>
        </r>
      </text>
    </comment>
    <comment ref="AS55" authorId="9">
      <text>
        <r>
          <rPr>
            <b/>
            <sz val="8"/>
            <color indexed="81"/>
            <rFont val="Tahoma"/>
            <family val="2"/>
          </rPr>
          <t>AM: 4/24/12:</t>
        </r>
        <r>
          <rPr>
            <sz val="8"/>
            <color indexed="81"/>
            <rFont val="Tahoma"/>
            <family val="2"/>
          </rPr>
          <t xml:space="preserve">
Guidance of $90-$95m incl IP for the wholly owned props (after corp expense) and $33-35m for the Borgata. $123-130m of total consolidated EBITDA</t>
        </r>
      </text>
    </comment>
    <comment ref="AT55" authorId="4">
      <text>
        <r>
          <rPr>
            <b/>
            <sz val="8"/>
            <color indexed="81"/>
            <rFont val="Tahoma"/>
            <family val="2"/>
          </rPr>
          <t>AM: 7/24/12:</t>
        </r>
        <r>
          <rPr>
            <sz val="8"/>
            <color indexed="81"/>
            <rFont val="Tahoma"/>
            <family val="2"/>
          </rPr>
          <t xml:space="preserve">
$77-82m wholly owned (incl corp), $47-49m at Borgata. $124-131m total.</t>
        </r>
      </text>
    </comment>
    <comment ref="AU55" authorId="14">
      <text>
        <r>
          <rPr>
            <b/>
            <sz val="8"/>
            <color indexed="81"/>
            <rFont val="Tahoma"/>
            <family val="2"/>
          </rPr>
          <t>AM: 10/31/12:</t>
        </r>
        <r>
          <rPr>
            <sz val="8"/>
            <color indexed="81"/>
            <rFont val="Tahoma"/>
            <family val="2"/>
          </rPr>
          <t xml:space="preserve">
Guidance: Wholly owned $70-75m, excl. Peninsula. No AC guidance given storm.</t>
        </r>
      </text>
    </comment>
    <comment ref="AX55" authorId="3">
      <text>
        <r>
          <rPr>
            <b/>
            <sz val="8"/>
            <color indexed="81"/>
            <rFont val="Tahoma"/>
            <family val="2"/>
          </rPr>
          <t>thallen:</t>
        </r>
        <r>
          <rPr>
            <sz val="8"/>
            <color indexed="81"/>
            <rFont val="Tahoma"/>
            <family val="2"/>
          </rPr>
          <t xml:space="preserve">
Includes $4.3m property tax charge, adjusted would have been $164.5m</t>
        </r>
      </text>
    </comment>
    <comment ref="BZ56" authorId="6">
      <text>
        <r>
          <rPr>
            <b/>
            <sz val="9"/>
            <color indexed="81"/>
            <rFont val="Tahoma"/>
            <family val="2"/>
          </rPr>
          <t>Allen, Thomas (Research):</t>
        </r>
        <r>
          <rPr>
            <sz val="9"/>
            <color indexed="81"/>
            <rFont val="Tahoma"/>
            <family val="2"/>
          </rPr>
          <t xml:space="preserve">
2Q17: 250-300bps margin upside over the next 3 years or so
4Q16 call: Likely 250-300bps of margin upside over time</t>
        </r>
      </text>
    </comment>
    <comment ref="CA56" authorId="6">
      <text>
        <r>
          <rPr>
            <b/>
            <sz val="9"/>
            <color indexed="81"/>
            <rFont val="Tahoma"/>
            <family val="2"/>
          </rPr>
          <t>Allen, Thomas (Research):</t>
        </r>
        <r>
          <rPr>
            <sz val="9"/>
            <color indexed="81"/>
            <rFont val="Tahoma"/>
            <family val="2"/>
          </rPr>
          <t xml:space="preserve">
2Q17: 250-300bps margin upside over the next 3 years or so
4Q16 call: Likely 250-300bps of margin upside over time</t>
        </r>
      </text>
    </comment>
    <comment ref="A59" authorId="10">
      <text>
        <r>
          <rPr>
            <sz val="8"/>
            <color indexed="81"/>
            <rFont val="Tahoma"/>
            <family val="2"/>
          </rPr>
          <t xml:space="preserve">In USD Millions
</t>
        </r>
      </text>
    </comment>
    <comment ref="G59" authorId="10">
      <text>
        <r>
          <rPr>
            <sz val="8"/>
            <color indexed="81"/>
            <rFont val="Tahoma"/>
            <family val="2"/>
          </rPr>
          <t xml:space="preserve">Expected to be around 3Q04 level
3Q04 CC
</t>
        </r>
      </text>
    </comment>
    <comment ref="AW59" authorId="4">
      <text>
        <r>
          <rPr>
            <b/>
            <sz val="8"/>
            <color indexed="81"/>
            <rFont val="Tahoma"/>
            <family val="2"/>
          </rPr>
          <t>thallen:</t>
        </r>
        <r>
          <rPr>
            <sz val="8"/>
            <color indexed="81"/>
            <rFont val="Tahoma"/>
            <family val="2"/>
          </rPr>
          <t xml:space="preserve">
$125-130m wholly owned (incl corp), $25-27m at Borgata. </t>
        </r>
      </text>
    </comment>
    <comment ref="AX59" authorId="4">
      <text>
        <r>
          <rPr>
            <b/>
            <sz val="8"/>
            <color indexed="81"/>
            <rFont val="Tahoma"/>
            <family val="2"/>
          </rPr>
          <t>thallen:</t>
        </r>
        <r>
          <rPr>
            <sz val="8"/>
            <color indexed="81"/>
            <rFont val="Tahoma"/>
            <family val="2"/>
          </rPr>
          <t xml:space="preserve">
$132-137m wholly owned (incl corp), $27-29m at Borgata. </t>
        </r>
      </text>
    </comment>
    <comment ref="AY59" authorId="7">
      <text>
        <r>
          <rPr>
            <b/>
            <sz val="8"/>
            <color indexed="81"/>
            <rFont val="Tahoma"/>
            <family val="2"/>
          </rPr>
          <t>savinmar:</t>
        </r>
        <r>
          <rPr>
            <sz val="8"/>
            <color indexed="81"/>
            <rFont val="Tahoma"/>
            <family val="2"/>
          </rPr>
          <t xml:space="preserve">
$120-125m wholly owned (incl corp), $44-46m at Borgata. </t>
        </r>
      </text>
    </comment>
    <comment ref="AZ59" authorId="5">
      <text>
        <r>
          <rPr>
            <b/>
            <sz val="9"/>
            <color indexed="81"/>
            <rFont val="Tahoma"/>
            <family val="2"/>
          </rPr>
          <t>Savino, Mark (Research):</t>
        </r>
        <r>
          <rPr>
            <sz val="9"/>
            <color indexed="81"/>
            <rFont val="Tahoma"/>
            <family val="2"/>
          </rPr>
          <t xml:space="preserve">
1/30: pre-announced $120-127m excluding $9m property tax benefit
$105-110m wholly owned (incl corp), $22-24m at Borgata. </t>
        </r>
      </text>
    </comment>
    <comment ref="BB59" authorId="5">
      <text>
        <r>
          <rPr>
            <b/>
            <sz val="9"/>
            <color indexed="81"/>
            <rFont val="Tahoma"/>
            <family val="2"/>
          </rPr>
          <t>Savino, Mark (Research):</t>
        </r>
        <r>
          <rPr>
            <sz val="9"/>
            <color indexed="81"/>
            <rFont val="Tahoma"/>
            <family val="2"/>
          </rPr>
          <t xml:space="preserve">
Weather an $8-10m impact</t>
        </r>
      </text>
    </comment>
    <comment ref="BF59" authorId="6">
      <text>
        <r>
          <rPr>
            <b/>
            <sz val="9"/>
            <color indexed="81"/>
            <rFont val="Tahoma"/>
            <family val="2"/>
          </rPr>
          <t>Allen, Thomas (Research):</t>
        </r>
        <r>
          <rPr>
            <sz val="9"/>
            <color indexed="81"/>
            <rFont val="Tahoma"/>
            <family val="2"/>
          </rPr>
          <t xml:space="preserve">
3Q14: $590-600m (pre-deconsolidation)
2Q14: $580-600m
(1Q14 adj for Borgata): $618-638m adjusting for the Borgata $18m tax refund
(1Q14): $600-620m
(4Q13): $600-630m
</t>
        </r>
      </text>
    </comment>
    <comment ref="BC60" authorId="6">
      <text>
        <r>
          <rPr>
            <b/>
            <sz val="9"/>
            <color indexed="81"/>
            <rFont val="Tahoma"/>
            <family val="2"/>
          </rPr>
          <t>Allen, Thomas (Research):</t>
        </r>
        <r>
          <rPr>
            <sz val="9"/>
            <color indexed="81"/>
            <rFont val="Tahoma"/>
            <family val="2"/>
          </rPr>
          <t xml:space="preserve">
Cons was $158m (stock traded off significantly post-earnings b/c of significantly lowered guidance)</t>
        </r>
      </text>
    </comment>
    <comment ref="BD60" authorId="6">
      <text>
        <r>
          <rPr>
            <b/>
            <sz val="9"/>
            <color indexed="81"/>
            <rFont val="Tahoma"/>
            <family val="2"/>
          </rPr>
          <t>Allen, Thomas (Research):</t>
        </r>
        <r>
          <rPr>
            <sz val="9"/>
            <color indexed="81"/>
            <rFont val="Tahoma"/>
            <family val="2"/>
          </rPr>
          <t xml:space="preserve">
Cons EBITDA pre-earnings release $154m</t>
        </r>
      </text>
    </comment>
    <comment ref="BJ62" authorId="5">
      <text>
        <r>
          <rPr>
            <b/>
            <sz val="9"/>
            <color indexed="81"/>
            <rFont val="Tahoma"/>
            <family val="2"/>
          </rPr>
          <t>Savino, Mark (Research):</t>
        </r>
        <r>
          <rPr>
            <sz val="9"/>
            <color indexed="81"/>
            <rFont val="Tahoma"/>
            <family val="2"/>
          </rPr>
          <t xml:space="preserve">
Implied</t>
        </r>
      </text>
    </comment>
    <comment ref="BK62" authorId="6">
      <text>
        <r>
          <rPr>
            <b/>
            <sz val="9"/>
            <color indexed="81"/>
            <rFont val="Tahoma"/>
            <family val="2"/>
          </rPr>
          <t>Allen, Thomas (Research):</t>
        </r>
        <r>
          <rPr>
            <sz val="9"/>
            <color indexed="81"/>
            <rFont val="Tahoma"/>
            <family val="2"/>
          </rPr>
          <t xml:space="preserve">
3Q15: $610-620m
(2Q15): $575-595m
(1Q15) $542-567m
(4Q14) $535-560m</t>
        </r>
      </text>
    </comment>
    <comment ref="BO62" authorId="5">
      <text>
        <r>
          <rPr>
            <b/>
            <sz val="9"/>
            <color indexed="81"/>
            <rFont val="Tahoma"/>
            <family val="2"/>
          </rPr>
          <t>Savino, Mark (Research):</t>
        </r>
        <r>
          <rPr>
            <sz val="9"/>
            <color indexed="81"/>
            <rFont val="Tahoma"/>
            <family val="2"/>
          </rPr>
          <t xml:space="preserve">
Implied at midpoint</t>
        </r>
      </text>
    </comment>
    <comment ref="BP62" authorId="5">
      <text>
        <r>
          <rPr>
            <b/>
            <sz val="9"/>
            <color indexed="81"/>
            <rFont val="Tahoma"/>
            <family val="2"/>
          </rPr>
          <t>Savino, Mark (Research):</t>
        </r>
        <r>
          <rPr>
            <sz val="9"/>
            <color indexed="81"/>
            <rFont val="Tahoma"/>
            <family val="2"/>
          </rPr>
          <t xml:space="preserve">
3Q16: $530-538m including $5m from Aliante. Clean, cut midpoint by $11m or 2.2%
2Q16: $535-545m excluding acquisitions and re: recent Borgata sale, implies cut midpoint $4m
Including both Cannery and Aliante acq's, $545-557m
1Q16: Reiterated $635-655m, incl. Borgata, (50% of $200-205m) excludes acquisitions. Implies ex Borgata, $535-553m
4Q15: $635-655m, incl. 50% of $195-200m at Borgata</t>
        </r>
      </text>
    </comment>
    <comment ref="BU62" authorId="5">
      <text>
        <r>
          <rPr>
            <b/>
            <sz val="9"/>
            <color indexed="81"/>
            <rFont val="Tahoma"/>
            <family val="2"/>
          </rPr>
          <t>Savino, Mark (Research):</t>
        </r>
        <r>
          <rPr>
            <sz val="9"/>
            <color indexed="81"/>
            <rFont val="Tahoma"/>
            <family val="2"/>
          </rPr>
          <t xml:space="preserve">
3Q17: Expect to be at midpoint of the range
2Q17: $585-605m (mgmt said stll comfortable with mid/upper-end of guidance)
1Q17: $585-605m
4Q16: $585-605m (mgmt said on call guidance conservative)</t>
        </r>
      </text>
    </comment>
    <comment ref="BZ62" authorId="5">
      <text>
        <r>
          <rPr>
            <b/>
            <sz val="9"/>
            <color indexed="81"/>
            <rFont val="Tahoma"/>
            <family val="2"/>
          </rPr>
          <t>Savino, Mark (Research):</t>
        </r>
        <r>
          <rPr>
            <sz val="9"/>
            <color indexed="81"/>
            <rFont val="Tahoma"/>
            <family val="2"/>
          </rPr>
          <t xml:space="preserve">
4Q17: $600-620m, including $12-15m EBITDA impact at Blue Chip</t>
        </r>
      </text>
    </comment>
    <comment ref="AB65" authorId="10">
      <text>
        <r>
          <rPr>
            <sz val="8"/>
            <color indexed="81"/>
            <rFont val="Tahoma"/>
            <family val="2"/>
          </rPr>
          <t xml:space="preserve">Expected to mirror FY07 numbers
4Q07 CC
</t>
        </r>
      </text>
    </comment>
    <comment ref="AG65" authorId="10">
      <text>
        <r>
          <rPr>
            <sz val="8"/>
            <color indexed="81"/>
            <rFont val="Tahoma"/>
            <family val="2"/>
          </rPr>
          <t xml:space="preserve">Expect the same as reported in FY08
4Q08 CC
</t>
        </r>
      </text>
    </comment>
    <comment ref="AQ65" authorId="15">
      <text>
        <r>
          <rPr>
            <b/>
            <sz val="8"/>
            <color indexed="81"/>
            <rFont val="Tahoma"/>
            <family val="2"/>
          </rPr>
          <t>danfuss:</t>
        </r>
        <r>
          <rPr>
            <sz val="8"/>
            <color indexed="81"/>
            <rFont val="Tahoma"/>
            <family val="2"/>
          </rPr>
          <t xml:space="preserve">
Guided to $12mm</t>
        </r>
      </text>
    </comment>
    <comment ref="AV65" authorId="10">
      <text>
        <r>
          <rPr>
            <sz val="8"/>
            <color indexed="81"/>
            <rFont val="Tahoma"/>
            <family val="2"/>
          </rPr>
          <t xml:space="preserve">Guidance: $10 mn
4Q11 CC
</t>
        </r>
      </text>
    </comment>
    <comment ref="BF65" authorId="5">
      <text>
        <r>
          <rPr>
            <b/>
            <sz val="9"/>
            <color indexed="81"/>
            <rFont val="Tahoma"/>
            <family val="2"/>
          </rPr>
          <t>Savino, Mark (Research):</t>
        </r>
        <r>
          <rPr>
            <sz val="9"/>
            <color indexed="81"/>
            <rFont val="Tahoma"/>
            <family val="2"/>
          </rPr>
          <t xml:space="preserve">
Guidance $16m</t>
        </r>
      </text>
    </comment>
    <comment ref="BK65" authorId="5">
      <text>
        <r>
          <rPr>
            <b/>
            <sz val="9"/>
            <color indexed="81"/>
            <rFont val="Tahoma"/>
            <family val="2"/>
          </rPr>
          <t>Savino, Mark (Research):</t>
        </r>
        <r>
          <rPr>
            <sz val="9"/>
            <color indexed="81"/>
            <rFont val="Tahoma"/>
            <family val="2"/>
          </rPr>
          <t xml:space="preserve">
4Q call: $12m</t>
        </r>
      </text>
    </comment>
    <comment ref="BP65" authorId="5">
      <text>
        <r>
          <rPr>
            <b/>
            <sz val="9"/>
            <color indexed="81"/>
            <rFont val="Tahoma"/>
            <family val="2"/>
          </rPr>
          <t>Savino, Mark (Research):</t>
        </r>
        <r>
          <rPr>
            <sz val="9"/>
            <color indexed="81"/>
            <rFont val="Tahoma"/>
            <family val="2"/>
          </rPr>
          <t xml:space="preserve">
4Q15: $15m</t>
        </r>
      </text>
    </comment>
    <comment ref="BU65" authorId="5">
      <text>
        <r>
          <rPr>
            <b/>
            <sz val="9"/>
            <color indexed="81"/>
            <rFont val="Tahoma"/>
            <family val="2"/>
          </rPr>
          <t>Savino, Mark (Research):</t>
        </r>
        <r>
          <rPr>
            <sz val="9"/>
            <color indexed="81"/>
            <rFont val="Tahoma"/>
            <family val="2"/>
          </rPr>
          <t xml:space="preserve">
4Q16: $17m</t>
        </r>
      </text>
    </comment>
    <comment ref="BZ65" authorId="5">
      <text>
        <r>
          <rPr>
            <b/>
            <sz val="9"/>
            <color indexed="81"/>
            <rFont val="Tahoma"/>
            <family val="2"/>
          </rPr>
          <t>Savino, Mark (Research):</t>
        </r>
        <r>
          <rPr>
            <sz val="9"/>
            <color indexed="81"/>
            <rFont val="Tahoma"/>
            <family val="2"/>
          </rPr>
          <t xml:space="preserve">
4Q17: $20m</t>
        </r>
      </text>
    </comment>
    <comment ref="BF66" authorId="5">
      <text>
        <r>
          <rPr>
            <b/>
            <sz val="9"/>
            <color indexed="81"/>
            <rFont val="Tahoma"/>
            <family val="2"/>
          </rPr>
          <t>Savino, Mark (Research):</t>
        </r>
        <r>
          <rPr>
            <sz val="9"/>
            <color indexed="81"/>
            <rFont val="Tahoma"/>
            <family val="2"/>
          </rPr>
          <t xml:space="preserve">
Guidance $4m</t>
        </r>
      </text>
    </comment>
    <comment ref="BK66" authorId="5">
      <text>
        <r>
          <rPr>
            <b/>
            <sz val="9"/>
            <color indexed="81"/>
            <rFont val="Tahoma"/>
            <family val="2"/>
          </rPr>
          <t>Savino, Mark (Research):</t>
        </r>
        <r>
          <rPr>
            <sz val="9"/>
            <color indexed="81"/>
            <rFont val="Tahoma"/>
            <family val="2"/>
          </rPr>
          <t xml:space="preserve">
4Q call: $4m</t>
        </r>
      </text>
    </comment>
    <comment ref="BU66" authorId="6">
      <text>
        <r>
          <rPr>
            <b/>
            <sz val="9"/>
            <color indexed="81"/>
            <rFont val="Tahoma"/>
            <family val="2"/>
          </rPr>
          <t>Allen, Thomas (Research):</t>
        </r>
        <r>
          <rPr>
            <sz val="9"/>
            <color indexed="81"/>
            <rFont val="Tahoma"/>
            <family val="2"/>
          </rPr>
          <t xml:space="preserve">
4Q16: $1m</t>
        </r>
      </text>
    </comment>
    <comment ref="BZ66" authorId="5">
      <text>
        <r>
          <rPr>
            <b/>
            <sz val="9"/>
            <color indexed="81"/>
            <rFont val="Tahoma"/>
            <family val="2"/>
          </rPr>
          <t>Savino, Mark (Research):</t>
        </r>
        <r>
          <rPr>
            <sz val="9"/>
            <color indexed="81"/>
            <rFont val="Tahoma"/>
            <family val="2"/>
          </rPr>
          <t xml:space="preserve">
4Q17: $1m</t>
        </r>
      </text>
    </comment>
    <comment ref="Q67" authorId="10">
      <text>
        <r>
          <rPr>
            <sz val="8"/>
            <color indexed="81"/>
            <rFont val="Tahoma"/>
            <family val="2"/>
          </rPr>
          <t xml:space="preserve">Guidance: $42 mn
3Q06 CC
</t>
        </r>
      </text>
    </comment>
    <comment ref="R67" authorId="10">
      <text>
        <r>
          <rPr>
            <sz val="8"/>
            <color indexed="81"/>
            <rFont val="Tahoma"/>
            <family val="2"/>
          </rPr>
          <t xml:space="preserve">Guidance: $230 mn
4Q05 CC
</t>
        </r>
      </text>
    </comment>
    <comment ref="S67" authorId="16">
      <text>
        <r>
          <rPr>
            <b/>
            <sz val="10"/>
            <color indexed="81"/>
            <rFont val="Tahoma"/>
            <family val="2"/>
          </rPr>
          <t>Thallen:</t>
        </r>
        <r>
          <rPr>
            <sz val="10"/>
            <color indexed="81"/>
            <rFont val="Tahoma"/>
            <family val="2"/>
          </rPr>
          <t xml:space="preserve">
Includes $.324 amortization expense related to Borgata</t>
        </r>
      </text>
    </comment>
    <comment ref="T67" authorId="16">
      <text>
        <r>
          <rPr>
            <b/>
            <sz val="10"/>
            <color indexed="81"/>
            <rFont val="Tahoma"/>
            <family val="2"/>
          </rPr>
          <t>Thallen:</t>
        </r>
        <r>
          <rPr>
            <sz val="10"/>
            <color indexed="81"/>
            <rFont val="Tahoma"/>
            <family val="2"/>
          </rPr>
          <t xml:space="preserve">
Includes $.325 amortization expense related to Borgata</t>
        </r>
      </text>
    </comment>
    <comment ref="AB67" authorId="10">
      <text>
        <r>
          <rPr>
            <sz val="8"/>
            <color indexed="81"/>
            <rFont val="Tahoma"/>
            <family val="2"/>
          </rPr>
          <t xml:space="preserve">Guidance: $175 mn
4Q07 CC
</t>
        </r>
      </text>
    </comment>
    <comment ref="AL67" authorId="10">
      <text>
        <r>
          <rPr>
            <sz val="8"/>
            <color indexed="81"/>
            <rFont val="Tahoma"/>
            <family val="2"/>
          </rPr>
          <t xml:space="preserve">Depreciation is estimated at $150 million for 2010. Borgata will add about $50 million in total for the final three quarters of the year.
1Q10 CC
</t>
        </r>
      </text>
    </comment>
    <comment ref="AQ67" authorId="17">
      <text>
        <r>
          <rPr>
            <b/>
            <sz val="8"/>
            <color indexed="81"/>
            <rFont val="Tahoma"/>
            <family val="2"/>
          </rPr>
          <t>AM: 3/01/11:</t>
        </r>
        <r>
          <rPr>
            <sz val="8"/>
            <color indexed="81"/>
            <rFont val="Tahoma"/>
            <family val="2"/>
          </rPr>
          <t xml:space="preserve">
Consolidated D&amp;A of $195-200m, with $130-135m attributable to BYD and the rest Borgata. </t>
        </r>
      </text>
    </comment>
    <comment ref="AV67" authorId="10">
      <text>
        <r>
          <rPr>
            <sz val="8"/>
            <color indexed="81"/>
            <rFont val="Tahoma"/>
            <family val="2"/>
          </rPr>
          <t>Guidance: $200-205 mn
4Q11 CC</t>
        </r>
      </text>
    </comment>
    <comment ref="AX67" authorId="7">
      <text>
        <r>
          <rPr>
            <b/>
            <sz val="8"/>
            <color indexed="81"/>
            <rFont val="Tahoma"/>
            <family val="2"/>
          </rPr>
          <t>savinmar:</t>
        </r>
        <r>
          <rPr>
            <sz val="8"/>
            <color indexed="81"/>
            <rFont val="Tahoma"/>
            <family val="2"/>
          </rPr>
          <t xml:space="preserve">
Peninsula $22m
Borgata $16m</t>
        </r>
      </text>
    </comment>
    <comment ref="BF67" authorId="5">
      <text>
        <r>
          <rPr>
            <b/>
            <sz val="9"/>
            <color indexed="81"/>
            <rFont val="Tahoma"/>
            <family val="2"/>
          </rPr>
          <t>Savino, Mark (Research):</t>
        </r>
        <r>
          <rPr>
            <sz val="9"/>
            <color indexed="81"/>
            <rFont val="Tahoma"/>
            <family val="2"/>
          </rPr>
          <t xml:space="preserve">
Guidance $255-260m</t>
        </r>
      </text>
    </comment>
    <comment ref="BK67" authorId="5">
      <text>
        <r>
          <rPr>
            <b/>
            <sz val="9"/>
            <color indexed="81"/>
            <rFont val="Tahoma"/>
            <family val="2"/>
          </rPr>
          <t>Savino, Mark (Research):</t>
        </r>
        <r>
          <rPr>
            <sz val="9"/>
            <color indexed="81"/>
            <rFont val="Tahoma"/>
            <family val="2"/>
          </rPr>
          <t xml:space="preserve">
4Q call: $210-215m</t>
        </r>
      </text>
    </comment>
    <comment ref="BU67" authorId="5">
      <text>
        <r>
          <rPr>
            <b/>
            <sz val="9"/>
            <color indexed="81"/>
            <rFont val="Tahoma"/>
            <family val="2"/>
          </rPr>
          <t>Savino, Mark (Research):</t>
        </r>
        <r>
          <rPr>
            <sz val="9"/>
            <color indexed="81"/>
            <rFont val="Tahoma"/>
            <family val="2"/>
          </rPr>
          <t xml:space="preserve">
4Q16: $230m</t>
        </r>
      </text>
    </comment>
    <comment ref="BZ67" authorId="5">
      <text>
        <r>
          <rPr>
            <b/>
            <sz val="9"/>
            <color indexed="81"/>
            <rFont val="Tahoma"/>
            <family val="2"/>
          </rPr>
          <t>Savino, Mark (Research):</t>
        </r>
        <r>
          <rPr>
            <sz val="9"/>
            <color indexed="81"/>
            <rFont val="Tahoma"/>
            <family val="2"/>
          </rPr>
          <t xml:space="preserve">
4Q17: $220m excluding acquisitions</t>
        </r>
      </text>
    </comment>
    <comment ref="Q73" authorId="10">
      <text>
        <r>
          <rPr>
            <sz val="8"/>
            <color indexed="81"/>
            <rFont val="Tahoma"/>
            <family val="2"/>
          </rPr>
          <t xml:space="preserve">Guidance: $38 mn
3Q06 CC
</t>
        </r>
      </text>
    </comment>
    <comment ref="R73" authorId="10">
      <text>
        <r>
          <rPr>
            <sz val="8"/>
            <color indexed="81"/>
            <rFont val="Tahoma"/>
            <family val="2"/>
          </rPr>
          <t>Guidance: $160-170 mn
4Q05 CC</t>
        </r>
      </text>
    </comment>
    <comment ref="Z73" authorId="10">
      <text>
        <r>
          <rPr>
            <sz val="8"/>
            <color indexed="81"/>
            <rFont val="Tahoma"/>
            <family val="2"/>
          </rPr>
          <t xml:space="preserve">Guidance: $34-36 mn
2Q08 CC
</t>
        </r>
      </text>
    </comment>
    <comment ref="AG73" authorId="10">
      <text>
        <r>
          <rPr>
            <sz val="8"/>
            <color indexed="81"/>
            <rFont val="Tahoma"/>
            <family val="2"/>
          </rPr>
          <t xml:space="preserve">Guidance: $150-160 mn
4Q08 CC
</t>
        </r>
      </text>
    </comment>
    <comment ref="AL73" authorId="10">
      <text>
        <r>
          <rPr>
            <sz val="8"/>
            <color indexed="81"/>
            <rFont val="Tahoma"/>
            <family val="2"/>
          </rPr>
          <t xml:space="preserve">Expected to be $125 mn
1Q10 CC
</t>
        </r>
      </text>
    </comment>
    <comment ref="AQ73" authorId="12">
      <text>
        <r>
          <rPr>
            <b/>
            <sz val="8"/>
            <color indexed="81"/>
            <rFont val="Tahoma"/>
            <family val="2"/>
          </rPr>
          <t>AM: 3/01/11:</t>
        </r>
        <r>
          <rPr>
            <sz val="8"/>
            <color indexed="81"/>
            <rFont val="Tahoma"/>
            <family val="2"/>
          </rPr>
          <t xml:space="preserve">
Per cc, expect BYD int exepense of $145-150m and Borgata int expense of $85-87m. Consolidated of $230-237m. Assumes 3 month Libor is 50-75bps</t>
        </r>
      </text>
    </comment>
    <comment ref="AT73" authorId="4">
      <text>
        <r>
          <rPr>
            <b/>
            <sz val="8"/>
            <color indexed="81"/>
            <rFont val="Tahoma"/>
            <family val="2"/>
          </rPr>
          <t>AM: 7/24/12:</t>
        </r>
        <r>
          <rPr>
            <sz val="8"/>
            <color indexed="81"/>
            <rFont val="Tahoma"/>
            <family val="2"/>
          </rPr>
          <t xml:space="preserve">
$67-68m guidance</t>
        </r>
      </text>
    </comment>
    <comment ref="AV73" authorId="13">
      <text>
        <r>
          <rPr>
            <b/>
            <sz val="8"/>
            <color indexed="81"/>
            <rFont val="Tahoma"/>
            <family val="2"/>
          </rPr>
          <t>AM: 2/21/12:</t>
        </r>
        <r>
          <rPr>
            <sz val="8"/>
            <color indexed="81"/>
            <rFont val="Tahoma"/>
            <family val="2"/>
          </rPr>
          <t xml:space="preserve">
Per 4Q11 cc, epxect $160m int expense at BYD and $85m at Borgata ($245m total).</t>
        </r>
      </text>
    </comment>
    <comment ref="AX73" authorId="7">
      <text>
        <r>
          <rPr>
            <b/>
            <sz val="8"/>
            <color indexed="81"/>
            <rFont val="Tahoma"/>
            <family val="2"/>
          </rPr>
          <t>savinmar:</t>
        </r>
        <r>
          <rPr>
            <sz val="8"/>
            <color indexed="81"/>
            <rFont val="Tahoma"/>
            <family val="2"/>
          </rPr>
          <t xml:space="preserve">
$21m Peninsula
$21m Borgata</t>
        </r>
      </text>
    </comment>
    <comment ref="AZ73" authorId="3">
      <text>
        <r>
          <rPr>
            <b/>
            <sz val="8"/>
            <color indexed="81"/>
            <rFont val="Tahoma"/>
            <family val="2"/>
          </rPr>
          <t>thallen:</t>
        </r>
        <r>
          <rPr>
            <sz val="8"/>
            <color indexed="81"/>
            <rFont val="Tahoma"/>
            <family val="2"/>
          </rPr>
          <t xml:space="preserve">
Guidance: $79m</t>
        </r>
      </text>
    </comment>
    <comment ref="BA73" authorId="3">
      <text>
        <r>
          <rPr>
            <b/>
            <sz val="8"/>
            <color indexed="81"/>
            <rFont val="Tahoma"/>
            <family val="2"/>
          </rPr>
          <t>thallen:</t>
        </r>
        <r>
          <rPr>
            <sz val="8"/>
            <color indexed="81"/>
            <rFont val="Tahoma"/>
            <family val="2"/>
          </rPr>
          <t xml:space="preserve">
Guidance (from 4Q12): $285mm + $85mm Borgata. 
Pre-redemption  / re-financings in 1H13</t>
        </r>
      </text>
    </comment>
    <comment ref="BF73" authorId="5">
      <text>
        <r>
          <rPr>
            <b/>
            <sz val="9"/>
            <color indexed="81"/>
            <rFont val="Tahoma"/>
            <family val="2"/>
          </rPr>
          <t>Savino, Mark (Research):</t>
        </r>
        <r>
          <rPr>
            <sz val="9"/>
            <color indexed="81"/>
            <rFont val="Tahoma"/>
            <family val="2"/>
          </rPr>
          <t xml:space="preserve">
Guidance $300m</t>
        </r>
      </text>
    </comment>
    <comment ref="BK73" authorId="5">
      <text>
        <r>
          <rPr>
            <b/>
            <sz val="9"/>
            <color indexed="81"/>
            <rFont val="Tahoma"/>
            <family val="2"/>
          </rPr>
          <t>Savino, Mark (Research):</t>
        </r>
        <r>
          <rPr>
            <sz val="9"/>
            <color indexed="81"/>
            <rFont val="Tahoma"/>
            <family val="2"/>
          </rPr>
          <t xml:space="preserve">
4Q call: $225m</t>
        </r>
      </text>
    </comment>
    <comment ref="BP73" authorId="5">
      <text>
        <r>
          <rPr>
            <b/>
            <sz val="9"/>
            <color indexed="81"/>
            <rFont val="Tahoma"/>
            <family val="2"/>
          </rPr>
          <t>Savino, Mark (Research):</t>
        </r>
        <r>
          <rPr>
            <sz val="9"/>
            <color indexed="81"/>
            <rFont val="Tahoma"/>
            <family val="2"/>
          </rPr>
          <t xml:space="preserve">
4Q15: $210m</t>
        </r>
      </text>
    </comment>
    <comment ref="BZ73" authorId="5">
      <text>
        <r>
          <rPr>
            <b/>
            <sz val="9"/>
            <color indexed="81"/>
            <rFont val="Tahoma"/>
            <family val="2"/>
          </rPr>
          <t>Savino, Mark (Research):</t>
        </r>
        <r>
          <rPr>
            <sz val="9"/>
            <color indexed="81"/>
            <rFont val="Tahoma"/>
            <family val="2"/>
          </rPr>
          <t xml:space="preserve">
4Q17: $175-180m excluding acquisitions</t>
        </r>
      </text>
    </comment>
    <comment ref="G77" authorId="18">
      <text>
        <r>
          <rPr>
            <b/>
            <sz val="10"/>
            <color indexed="81"/>
            <rFont val="Tahoma"/>
            <family val="2"/>
          </rPr>
          <t>Chris Metli:</t>
        </r>
        <r>
          <rPr>
            <sz val="10"/>
            <color indexed="81"/>
            <rFont val="Tahoma"/>
            <family val="2"/>
          </rPr>
          <t xml:space="preserve">
Borgata tax refund</t>
        </r>
      </text>
    </comment>
    <comment ref="E78" authorId="18">
      <text>
        <r>
          <rPr>
            <b/>
            <sz val="10"/>
            <color indexed="81"/>
            <rFont val="Tahoma"/>
            <family val="2"/>
          </rPr>
          <t>Chris Metli:</t>
        </r>
        <r>
          <rPr>
            <sz val="10"/>
            <color indexed="81"/>
            <rFont val="Tahoma"/>
            <family val="2"/>
          </rPr>
          <t xml:space="preserve">
Shreveport acquisition related expenses of $5.909mm, $1.420mm gain on sale of undeveloped land, $1.773 tax impact of extraordinaries.</t>
        </r>
      </text>
    </comment>
    <comment ref="F78" authorId="18">
      <text>
        <r>
          <rPr>
            <b/>
            <sz val="10"/>
            <color indexed="81"/>
            <rFont val="Tahoma"/>
            <family val="2"/>
          </rPr>
          <t>Chris Metli:</t>
        </r>
        <r>
          <rPr>
            <sz val="10"/>
            <color indexed="81"/>
            <rFont val="Tahoma"/>
            <family val="2"/>
          </rPr>
          <t xml:space="preserve">
Gain on sale of airplane plus gain on sale of land minues preopning expense, merger expense, loss on early debt retirement minus tax adjustment.</t>
        </r>
      </text>
    </comment>
    <comment ref="I78" authorId="18">
      <text>
        <r>
          <rPr>
            <b/>
            <sz val="10"/>
            <color indexed="81"/>
            <rFont val="Tahoma"/>
            <family val="2"/>
          </rPr>
          <t>Chris Metli:</t>
        </r>
        <r>
          <rPr>
            <sz val="10"/>
            <color indexed="81"/>
            <rFont val="Tahoma"/>
            <family val="2"/>
          </rPr>
          <t xml:space="preserve">
$0.39mm pre-tax gain on sale of undeveloped land, $1.934mm pre-tax preopening expense, $0.561 tax impact of above, $16.439 cummulative change in accounting principle, after tax of $8.984mm</t>
        </r>
      </text>
    </comment>
    <comment ref="J78" authorId="18">
      <text>
        <r>
          <rPr>
            <b/>
            <sz val="10"/>
            <color indexed="81"/>
            <rFont val="Tahoma"/>
            <family val="2"/>
          </rPr>
          <t>Chris Metli:</t>
        </r>
        <r>
          <rPr>
            <sz val="10"/>
            <color indexed="81"/>
            <rFont val="Tahoma"/>
            <family val="2"/>
          </rPr>
          <t xml:space="preserve">
Pre-opening expense, less tax adjustment</t>
        </r>
      </text>
    </comment>
    <comment ref="N78" authorId="18">
      <text>
        <r>
          <rPr>
            <b/>
            <sz val="10"/>
            <color indexed="81"/>
            <rFont val="Tahoma"/>
            <family val="2"/>
          </rPr>
          <t>Chris Metli:</t>
        </r>
        <r>
          <rPr>
            <sz val="10"/>
            <color indexed="81"/>
            <rFont val="Tahoma"/>
            <family val="2"/>
          </rPr>
          <t xml:space="preserve">
Preopening, Borgata preopening, property closure costs (Stardust), Accelerated Stardust depreciation, income tax impact of extraordinaries</t>
        </r>
      </text>
    </comment>
    <comment ref="O78" authorId="18">
      <text>
        <r>
          <rPr>
            <b/>
            <sz val="10"/>
            <color indexed="81"/>
            <rFont val="Tahoma"/>
            <family val="2"/>
          </rPr>
          <t>Chris Metli:</t>
        </r>
        <r>
          <rPr>
            <sz val="10"/>
            <color indexed="81"/>
            <rFont val="Tahoma"/>
            <family val="2"/>
          </rPr>
          <t xml:space="preserve">
Preopening, Borgata preopening, accelerated Stardust depreciation, IL retroactive gaming tax, write-downs (largely Blue Chip), income tax impact of extraordinaries</t>
        </r>
      </text>
    </comment>
    <comment ref="P78" authorId="18">
      <text>
        <r>
          <rPr>
            <b/>
            <sz val="10"/>
            <color indexed="81"/>
            <rFont val="Tahoma"/>
            <family val="2"/>
          </rPr>
          <t>Chris Metli:</t>
        </r>
        <r>
          <rPr>
            <sz val="10"/>
            <color indexed="81"/>
            <rFont val="Tahoma"/>
            <family val="2"/>
          </rPr>
          <t xml:space="preserve">
Will accelerate Stardust depreciation - $3mm pre-tax a quarter, but do not include since is non-cash
Will be $65mm pre-tax South Coast charge, but is non-cash; $41.0mm net</t>
        </r>
      </text>
    </comment>
    <comment ref="S78" authorId="16">
      <text>
        <r>
          <rPr>
            <b/>
            <sz val="10"/>
            <color indexed="81"/>
            <rFont val="Tahoma"/>
            <family val="2"/>
          </rPr>
          <t>Thallen:</t>
        </r>
        <r>
          <rPr>
            <sz val="10"/>
            <color indexed="81"/>
            <rFont val="Tahoma"/>
            <family val="2"/>
          </rPr>
          <t xml:space="preserve">
Includes net income from discontinued ops of $182.761mm (Barbary Coast swap deal)</t>
        </r>
      </text>
    </comment>
    <comment ref="U78" authorId="16">
      <text>
        <r>
          <rPr>
            <b/>
            <sz val="10"/>
            <color indexed="81"/>
            <rFont val="Tahoma"/>
            <family val="2"/>
          </rPr>
          <t>Thallen:</t>
        </r>
        <r>
          <rPr>
            <sz val="10"/>
            <color indexed="81"/>
            <rFont val="Tahoma"/>
            <family val="2"/>
          </rPr>
          <t xml:space="preserve">
$5.3m for preopening charges primarily related to Echelon
$3.5m decrease in value of derivative instruments
$1.2m other</t>
        </r>
      </text>
    </comment>
    <comment ref="X78" authorId="16">
      <text>
        <r>
          <rPr>
            <b/>
            <sz val="10"/>
            <color indexed="81"/>
            <rFont val="Tahoma"/>
            <family val="2"/>
          </rPr>
          <t>Thallen:</t>
        </r>
        <r>
          <rPr>
            <sz val="10"/>
            <color indexed="81"/>
            <rFont val="Tahoma"/>
            <family val="2"/>
          </rPr>
          <t xml:space="preserve">
Includes Dania Jai-Alai intangible license write-off of ~$84mm</t>
        </r>
      </text>
    </comment>
    <comment ref="AC78" authorId="3">
      <text>
        <r>
          <rPr>
            <b/>
            <sz val="9"/>
            <color indexed="81"/>
            <rFont val="Tahoma"/>
            <family val="2"/>
          </rPr>
          <t>thallen:</t>
        </r>
        <r>
          <rPr>
            <sz val="9"/>
            <color indexed="81"/>
            <rFont val="Tahoma"/>
            <family val="2"/>
          </rPr>
          <t xml:space="preserve">
$9mm Accrued interest from Dania land payment
Recurring $15-20mm in pre-opening charges for Echelon</t>
        </r>
      </text>
    </comment>
    <comment ref="AF78" authorId="0">
      <text>
        <r>
          <rPr>
            <b/>
            <sz val="8"/>
            <color indexed="81"/>
            <rFont val="Tahoma"/>
            <family val="2"/>
          </rPr>
          <t>urbankev:</t>
        </r>
        <r>
          <rPr>
            <sz val="8"/>
            <color indexed="81"/>
            <rFont val="Tahoma"/>
            <family val="2"/>
          </rPr>
          <t xml:space="preserve">
$3.223mm gain on early retirement of debt, $3.025mm of preopening expenses, $0.365mm of writedowns</t>
        </r>
      </text>
    </comment>
    <comment ref="AP78" authorId="19">
      <text>
        <r>
          <rPr>
            <b/>
            <sz val="8"/>
            <color indexed="81"/>
            <rFont val="Tahoma"/>
            <family val="2"/>
          </rPr>
          <t>AM: 5/3/11:</t>
        </r>
        <r>
          <rPr>
            <sz val="8"/>
            <color indexed="81"/>
            <rFont val="Tahoma"/>
            <family val="2"/>
          </rPr>
          <t xml:space="preserve">
Preopening decreases by around $1m due to sale of Dania (expected in Sept '11)</t>
        </r>
      </text>
    </comment>
    <comment ref="AU78" authorId="3">
      <text>
        <r>
          <rPr>
            <b/>
            <sz val="8"/>
            <color indexed="81"/>
            <rFont val="Tahoma"/>
            <family val="2"/>
          </rPr>
          <t>thallen:</t>
        </r>
        <r>
          <rPr>
            <sz val="8"/>
            <color indexed="81"/>
            <rFont val="Tahoma"/>
            <family val="2"/>
          </rPr>
          <t xml:space="preserve">
$994mm 1-time non-cash charge related to the sale of Echelon</t>
        </r>
      </text>
    </comment>
    <comment ref="BA78" authorId="3">
      <text>
        <r>
          <rPr>
            <b/>
            <sz val="8"/>
            <color indexed="81"/>
            <rFont val="Tahoma"/>
            <family val="2"/>
          </rPr>
          <t>thallen:</t>
        </r>
        <r>
          <rPr>
            <sz val="8"/>
            <color indexed="81"/>
            <rFont val="Tahoma"/>
            <family val="2"/>
          </rPr>
          <t xml:space="preserve">
Majority of pre-opening expenses gone away w/ Echelon divestiture (was running ~$16mm/year)</t>
        </r>
      </text>
    </comment>
    <comment ref="BF78" authorId="5">
      <text>
        <r>
          <rPr>
            <b/>
            <sz val="9"/>
            <color indexed="81"/>
            <rFont val="Tahoma"/>
            <family val="2"/>
          </rPr>
          <t>Savino, Mark (Research):</t>
        </r>
        <r>
          <rPr>
            <sz val="9"/>
            <color indexed="81"/>
            <rFont val="Tahoma"/>
            <family val="2"/>
          </rPr>
          <t xml:space="preserve">
Guidance $5m</t>
        </r>
      </text>
    </comment>
    <comment ref="BU78" authorId="6">
      <text>
        <r>
          <rPr>
            <b/>
            <sz val="9"/>
            <color indexed="81"/>
            <rFont val="Tahoma"/>
            <family val="2"/>
          </rPr>
          <t>Allen, Thomas (Research):</t>
        </r>
        <r>
          <rPr>
            <sz val="9"/>
            <color indexed="81"/>
            <rFont val="Tahoma"/>
            <family val="2"/>
          </rPr>
          <t xml:space="preserve">
4Q16: $9m</t>
        </r>
      </text>
    </comment>
    <comment ref="BZ78" authorId="5">
      <text>
        <r>
          <rPr>
            <b/>
            <sz val="9"/>
            <color indexed="81"/>
            <rFont val="Tahoma"/>
            <family val="2"/>
          </rPr>
          <t>Savino, Mark (Research):</t>
        </r>
        <r>
          <rPr>
            <sz val="9"/>
            <color indexed="81"/>
            <rFont val="Tahoma"/>
            <family val="2"/>
          </rPr>
          <t xml:space="preserve">
4Q17: $15m</t>
        </r>
      </text>
    </comment>
    <comment ref="W81" authorId="10">
      <text>
        <r>
          <rPr>
            <sz val="8"/>
            <color indexed="81"/>
            <rFont val="Tahoma"/>
            <family val="2"/>
          </rPr>
          <t xml:space="preserve">Guidance tax rate: 36%
4Q06 CC
</t>
        </r>
      </text>
    </comment>
    <comment ref="AB81" authorId="10">
      <text>
        <r>
          <rPr>
            <sz val="8"/>
            <color indexed="81"/>
            <rFont val="Tahoma"/>
            <family val="2"/>
          </rPr>
          <t xml:space="preserve">Guidance: Tax Rate: 35%
4Q07 CC
</t>
        </r>
      </text>
    </comment>
    <comment ref="AD81" authorId="10">
      <text>
        <r>
          <rPr>
            <sz val="8"/>
            <color indexed="81"/>
            <rFont val="Tahoma"/>
            <family val="2"/>
          </rPr>
          <t xml:space="preserve">Expect tax rate to be 40-45% for remaining quarters
1Q09 CC
</t>
        </r>
      </text>
    </comment>
    <comment ref="AF81" authorId="10">
      <text>
        <r>
          <rPr>
            <sz val="8"/>
            <color indexed="81"/>
            <rFont val="Tahoma"/>
            <family val="2"/>
          </rPr>
          <t xml:space="preserve">Guidance: 
Tax rate : 45%
3Q09 CC
</t>
        </r>
      </text>
    </comment>
    <comment ref="AJ81" authorId="11">
      <text>
        <r>
          <rPr>
            <b/>
            <sz val="8"/>
            <color indexed="81"/>
            <rFont val="Tahoma"/>
            <family val="2"/>
          </rPr>
          <t>markoami:</t>
        </r>
        <r>
          <rPr>
            <sz val="8"/>
            <color indexed="81"/>
            <rFont val="Tahoma"/>
            <family val="2"/>
          </rPr>
          <t xml:space="preserve">
Per 2Q cc, 30% tax rate for rest of yr.</t>
        </r>
      </text>
    </comment>
    <comment ref="AK81" authorId="10">
      <text>
        <r>
          <rPr>
            <sz val="8"/>
            <color indexed="81"/>
            <rFont val="Tahoma"/>
            <family val="2"/>
          </rPr>
          <t xml:space="preserve">Expect the tax rate to be approximately same for the 4Q
3Q10 CC
</t>
        </r>
      </text>
    </comment>
    <comment ref="AL81" authorId="10">
      <text>
        <r>
          <rPr>
            <sz val="8"/>
            <color indexed="81"/>
            <rFont val="Tahoma"/>
            <family val="2"/>
          </rPr>
          <t xml:space="preserve">Expect tax rate to be 38% for FY10
4Q09 CC
</t>
        </r>
      </text>
    </comment>
    <comment ref="AQ81" authorId="12">
      <text>
        <r>
          <rPr>
            <b/>
            <sz val="8"/>
            <color indexed="81"/>
            <rFont val="Tahoma"/>
            <family val="2"/>
          </rPr>
          <t>AM: 3/01/11:</t>
        </r>
        <r>
          <rPr>
            <sz val="8"/>
            <color indexed="81"/>
            <rFont val="Tahoma"/>
            <family val="2"/>
          </rPr>
          <t xml:space="preserve">
Expect 35% tax rate.</t>
        </r>
      </text>
    </comment>
    <comment ref="AV81" authorId="10">
      <text>
        <r>
          <rPr>
            <sz val="8"/>
            <color indexed="81"/>
            <rFont val="Tahoma"/>
            <family val="2"/>
          </rPr>
          <t>35% tax rate for FY12 
Call Transcript 2Q12</t>
        </r>
        <r>
          <rPr>
            <sz val="8"/>
            <color indexed="81"/>
            <rFont val="Tahoma"/>
            <family val="2"/>
          </rPr>
          <t xml:space="preserve">
</t>
        </r>
      </text>
    </comment>
    <comment ref="AW81" authorId="3">
      <text>
        <r>
          <rPr>
            <b/>
            <sz val="8"/>
            <color indexed="81"/>
            <rFont val="Tahoma"/>
            <family val="2"/>
          </rPr>
          <t>thallen:</t>
        </r>
        <r>
          <rPr>
            <sz val="8"/>
            <color indexed="81"/>
            <rFont val="Tahoma"/>
            <family val="2"/>
          </rPr>
          <t xml:space="preserve">
Guidance: 35% tax rate</t>
        </r>
      </text>
    </comment>
    <comment ref="P83" authorId="0">
      <text>
        <r>
          <rPr>
            <b/>
            <sz val="8"/>
            <color indexed="81"/>
            <rFont val="Tahoma"/>
            <family val="2"/>
          </rPr>
          <t>urbankev:</t>
        </r>
        <r>
          <rPr>
            <sz val="8"/>
            <color indexed="81"/>
            <rFont val="Tahoma"/>
            <family val="2"/>
          </rPr>
          <t xml:space="preserve">
related to sale of South Coast. $65mm pre-tax; $41.0mm net</t>
        </r>
      </text>
    </comment>
    <comment ref="S83" authorId="0">
      <text>
        <r>
          <rPr>
            <b/>
            <sz val="8"/>
            <color indexed="81"/>
            <rFont val="Tahoma"/>
            <family val="2"/>
          </rPr>
          <t>urbankev:</t>
        </r>
        <r>
          <rPr>
            <sz val="8"/>
            <color indexed="81"/>
            <rFont val="Tahoma"/>
            <family val="2"/>
          </rPr>
          <t xml:space="preserve">
Includes net income from discontinued ops of $182.761mm (Barbary Coast swap deal)</t>
        </r>
      </text>
    </comment>
    <comment ref="AX83" authorId="7">
      <text>
        <r>
          <rPr>
            <b/>
            <sz val="8"/>
            <color indexed="81"/>
            <rFont val="Tahoma"/>
            <family val="2"/>
          </rPr>
          <t>savinmar:</t>
        </r>
        <r>
          <rPr>
            <sz val="8"/>
            <color indexed="81"/>
            <rFont val="Tahoma"/>
            <family val="2"/>
          </rPr>
          <t xml:space="preserve">
Completed sale of Dania Jai-alai, realized a gain of $18.9m. Both the gain and operating results are now disc. ops</t>
        </r>
      </text>
    </comment>
    <comment ref="AT87" authorId="10">
      <text>
        <r>
          <rPr>
            <sz val="8"/>
            <color indexed="81"/>
            <rFont val="Tahoma"/>
            <family val="2"/>
          </rPr>
          <t xml:space="preserve">Adjusted for one-time items:
Preopening expense: $4.342 mn
Acquisition related expense: $0.645 mn
Miscellaneous non-recurring adjustment: $0.528 mn
Adjustment to property tax accruals: $0.658 mn
Interest on acquisition financing: $3.614 mn
Other operating items: $1.623 mn
Other valuation adjustment related to consolidation: $0.286 mn
Income tax effect for above adjustments: $1.454 mn
Impact of noncontrolling interest: $0.669 mn
Source: 8-K 3Q12
</t>
        </r>
      </text>
    </comment>
    <comment ref="AO95" authorId="8">
      <text>
        <r>
          <rPr>
            <b/>
            <sz val="8"/>
            <color indexed="81"/>
            <rFont val="Tahoma"/>
            <family val="2"/>
          </rPr>
          <t>AM: 7/27/11:</t>
        </r>
        <r>
          <rPr>
            <sz val="8"/>
            <color indexed="81"/>
            <rFont val="Tahoma"/>
            <family val="2"/>
          </rPr>
          <t xml:space="preserve">
$0.00-$0.03 guidance</t>
        </r>
      </text>
    </comment>
    <comment ref="G97" authorId="10">
      <text>
        <r>
          <rPr>
            <sz val="8"/>
            <color indexed="81"/>
            <rFont val="Tahoma"/>
            <family val="2"/>
          </rPr>
          <t xml:space="preserve">Expected to be around 3Q04 level
3Q04 CC
</t>
        </r>
      </text>
    </comment>
    <comment ref="AZ97" authorId="5">
      <text>
        <r>
          <rPr>
            <b/>
            <sz val="9"/>
            <color indexed="81"/>
            <rFont val="Tahoma"/>
            <family val="2"/>
          </rPr>
          <t>Savino, Mark (Research):</t>
        </r>
        <r>
          <rPr>
            <sz val="9"/>
            <color indexed="81"/>
            <rFont val="Tahoma"/>
            <family val="2"/>
          </rPr>
          <t xml:space="preserve">
Pre-announced $0.21-0.27 loss</t>
        </r>
      </text>
    </comment>
    <comment ref="Z99" authorId="16">
      <text>
        <r>
          <rPr>
            <b/>
            <sz val="10"/>
            <color indexed="81"/>
            <rFont val="Tahoma"/>
            <family val="2"/>
          </rPr>
          <t>Thallen:</t>
        </r>
        <r>
          <rPr>
            <sz val="10"/>
            <color indexed="81"/>
            <rFont val="Tahoma"/>
            <family val="2"/>
          </rPr>
          <t xml:space="preserve">
Boyd suspended dividend, per 2Q08 earnings press release, Board believed the market assigned little value</t>
        </r>
      </text>
    </comment>
    <comment ref="AY103" authorId="3">
      <text>
        <r>
          <rPr>
            <b/>
            <sz val="8"/>
            <color indexed="81"/>
            <rFont val="Tahoma"/>
            <family val="2"/>
          </rPr>
          <t>thallen:</t>
        </r>
        <r>
          <rPr>
            <sz val="8"/>
            <color indexed="81"/>
            <rFont val="Tahoma"/>
            <family val="2"/>
          </rPr>
          <t xml:space="preserve">
16.5m share issuance announced 7/31/13 (+ greenshoe of 2.475m)</t>
        </r>
      </text>
    </comment>
    <comment ref="AZ103" authorId="7">
      <text>
        <r>
          <rPr>
            <b/>
            <sz val="8"/>
            <color indexed="81"/>
            <rFont val="Tahoma"/>
            <family val="2"/>
          </rPr>
          <t>savinmar:</t>
        </r>
        <r>
          <rPr>
            <sz val="8"/>
            <color indexed="81"/>
            <rFont val="Tahoma"/>
            <family val="2"/>
          </rPr>
          <t xml:space="preserve">
guidance: 109m</t>
        </r>
      </text>
    </comment>
    <comment ref="BF103" authorId="5">
      <text>
        <r>
          <rPr>
            <b/>
            <sz val="9"/>
            <color indexed="81"/>
            <rFont val="Tahoma"/>
            <family val="2"/>
          </rPr>
          <t>Savino, Mark (Research):</t>
        </r>
        <r>
          <rPr>
            <sz val="9"/>
            <color indexed="81"/>
            <rFont val="Tahoma"/>
            <family val="2"/>
          </rPr>
          <t xml:space="preserve">
Guidance 110m</t>
        </r>
      </text>
    </comment>
    <comment ref="AY104" authorId="3">
      <text>
        <r>
          <rPr>
            <b/>
            <sz val="8"/>
            <color indexed="81"/>
            <rFont val="Tahoma"/>
            <family val="2"/>
          </rPr>
          <t>thallen:</t>
        </r>
        <r>
          <rPr>
            <sz val="8"/>
            <color indexed="81"/>
            <rFont val="Tahoma"/>
            <family val="2"/>
          </rPr>
          <t xml:space="preserve">
16.5m share issuance announced 7/31/13 (+ greenshoe of 2.475m)</t>
        </r>
      </text>
    </comment>
    <comment ref="AW107" authorId="3">
      <text>
        <r>
          <rPr>
            <b/>
            <sz val="8"/>
            <color indexed="81"/>
            <rFont val="Tahoma"/>
            <family val="2"/>
          </rPr>
          <t>thallen:</t>
        </r>
        <r>
          <rPr>
            <sz val="8"/>
            <color indexed="81"/>
            <rFont val="Tahoma"/>
            <family val="2"/>
          </rPr>
          <t xml:space="preserve">
Formula changed, now includes Peninsula</t>
        </r>
      </text>
    </comment>
    <comment ref="AI110" authorId="0">
      <text>
        <r>
          <rPr>
            <b/>
            <sz val="8"/>
            <color indexed="81"/>
            <rFont val="Tahoma"/>
            <family val="2"/>
          </rPr>
          <t>urbankev:</t>
        </r>
        <r>
          <rPr>
            <sz val="8"/>
            <color indexed="81"/>
            <rFont val="Tahoma"/>
            <family val="2"/>
          </rPr>
          <t xml:space="preserve">
Reporting method changed, due to consolidation of Borgata</t>
        </r>
      </text>
    </comment>
    <comment ref="A111" authorId="10">
      <text>
        <r>
          <rPr>
            <sz val="8"/>
            <color indexed="81"/>
            <rFont val="Tahoma"/>
            <family val="2"/>
          </rPr>
          <t xml:space="preserve">In USD Millions
</t>
        </r>
      </text>
    </comment>
    <comment ref="AO111" authorId="10">
      <text>
        <r>
          <rPr>
            <sz val="8"/>
            <color indexed="81"/>
            <rFont val="Tahoma"/>
            <family val="2"/>
          </rPr>
          <t xml:space="preserve">Due to the growing predictability and consistency in our business over the last several quarters, we have made a decision to resume quarterly guidance.
Source: 2Q11 Call Transcript
</t>
        </r>
      </text>
    </comment>
    <comment ref="AI116" authorId="0">
      <text>
        <r>
          <rPr>
            <b/>
            <sz val="8"/>
            <color indexed="81"/>
            <rFont val="Tahoma"/>
            <family val="2"/>
          </rPr>
          <t>urbankev:</t>
        </r>
        <r>
          <rPr>
            <sz val="8"/>
            <color indexed="81"/>
            <rFont val="Tahoma"/>
            <family val="2"/>
          </rPr>
          <t xml:space="preserve">
Reporting method changed, due to consolidation of Borgata</t>
        </r>
      </text>
    </comment>
    <comment ref="BN129" authorId="5">
      <text>
        <r>
          <rPr>
            <b/>
            <sz val="9"/>
            <color indexed="81"/>
            <rFont val="Tahoma"/>
            <family val="2"/>
          </rPr>
          <t>Savino, Mark (Research):</t>
        </r>
        <r>
          <rPr>
            <sz val="9"/>
            <color indexed="81"/>
            <rFont val="Tahoma"/>
            <family val="2"/>
          </rPr>
          <t xml:space="preserve">
Includes Peninsula assets</t>
        </r>
      </text>
    </comment>
    <comment ref="AN137" authorId="20">
      <text>
        <r>
          <rPr>
            <b/>
            <sz val="8"/>
            <color indexed="81"/>
            <rFont val="Tahoma"/>
            <family val="2"/>
          </rPr>
          <t>DJF 11/4/2011:</t>
        </r>
        <r>
          <rPr>
            <sz val="8"/>
            <color indexed="81"/>
            <rFont val="Tahoma"/>
            <family val="2"/>
          </rPr>
          <t xml:space="preserve">
Check amortized discounts at BYD and Borgata</t>
        </r>
      </text>
    </comment>
    <comment ref="AS137" authorId="20">
      <text>
        <r>
          <rPr>
            <b/>
            <sz val="8"/>
            <color indexed="81"/>
            <rFont val="Tahoma"/>
            <family val="2"/>
          </rPr>
          <t>DJF 11/4/2011:</t>
        </r>
        <r>
          <rPr>
            <sz val="8"/>
            <color indexed="81"/>
            <rFont val="Tahoma"/>
            <family val="2"/>
          </rPr>
          <t xml:space="preserve">
Check amortized discounts at BYD and Borgata</t>
        </r>
      </text>
    </comment>
    <comment ref="AX137" authorId="20">
      <text>
        <r>
          <rPr>
            <b/>
            <sz val="8"/>
            <color indexed="81"/>
            <rFont val="Tahoma"/>
            <family val="2"/>
          </rPr>
          <t>DJF 11/4/2011:</t>
        </r>
        <r>
          <rPr>
            <sz val="8"/>
            <color indexed="81"/>
            <rFont val="Tahoma"/>
            <family val="2"/>
          </rPr>
          <t xml:space="preserve">
Check amortized discounts at BYD and Borgata</t>
        </r>
      </text>
    </comment>
    <comment ref="BC137" authorId="20">
      <text>
        <r>
          <rPr>
            <b/>
            <sz val="8"/>
            <color indexed="81"/>
            <rFont val="Tahoma"/>
            <family val="2"/>
          </rPr>
          <t>DJF 11/4/2011:</t>
        </r>
        <r>
          <rPr>
            <sz val="8"/>
            <color indexed="81"/>
            <rFont val="Tahoma"/>
            <family val="2"/>
          </rPr>
          <t xml:space="preserve">
Check amortized discounts at BYD and Borgata</t>
        </r>
      </text>
    </comment>
    <comment ref="BF143" authorId="21">
      <text>
        <r>
          <rPr>
            <sz val="8"/>
            <color indexed="81"/>
            <rFont val="Tahoma"/>
            <family val="2"/>
          </rPr>
          <t xml:space="preserve">Guidance: 
$125 mn: Investor Presentation April 2014.
</t>
        </r>
      </text>
    </comment>
    <comment ref="AU150" authorId="3">
      <text>
        <r>
          <rPr>
            <b/>
            <sz val="8"/>
            <color indexed="81"/>
            <rFont val="Tahoma"/>
            <family val="2"/>
          </rPr>
          <t>thallen:</t>
        </r>
        <r>
          <rPr>
            <sz val="8"/>
            <color indexed="81"/>
            <rFont val="Tahoma"/>
            <family val="2"/>
          </rPr>
          <t xml:space="preserve">
Peninsula</t>
        </r>
      </text>
    </comment>
    <comment ref="AW150" authorId="3">
      <text>
        <r>
          <rPr>
            <b/>
            <sz val="8"/>
            <color indexed="81"/>
            <rFont val="Tahoma"/>
            <family val="2"/>
          </rPr>
          <t>thallen:</t>
        </r>
        <r>
          <rPr>
            <sz val="8"/>
            <color indexed="81"/>
            <rFont val="Tahoma"/>
            <family val="2"/>
          </rPr>
          <t xml:space="preserve">
Echelon land sale</t>
        </r>
      </text>
    </comment>
    <comment ref="AX150" authorId="3">
      <text>
        <r>
          <rPr>
            <b/>
            <sz val="8"/>
            <color indexed="81"/>
            <rFont val="Tahoma"/>
            <family val="2"/>
          </rPr>
          <t>thallen:</t>
        </r>
        <r>
          <rPr>
            <sz val="8"/>
            <color indexed="81"/>
            <rFont val="Tahoma"/>
            <family val="2"/>
          </rPr>
          <t xml:space="preserve">
Dania sale</t>
        </r>
      </text>
    </comment>
    <comment ref="BF151" authorId="21">
      <text>
        <r>
          <rPr>
            <sz val="8"/>
            <color indexed="81"/>
            <rFont val="Tahoma"/>
            <family val="2"/>
          </rPr>
          <t xml:space="preserve">Guidance: 
$225 mn: Investor Presentation April 2014.
</t>
        </r>
      </text>
    </comment>
    <comment ref="AW154" authorId="5">
      <text>
        <r>
          <rPr>
            <b/>
            <sz val="9"/>
            <color indexed="81"/>
            <rFont val="Tahoma"/>
            <family val="2"/>
          </rPr>
          <t>Savino, Mark (Research):</t>
        </r>
        <r>
          <rPr>
            <sz val="9"/>
            <color indexed="81"/>
            <rFont val="Tahoma"/>
            <family val="2"/>
          </rPr>
          <t xml:space="preserve">
Changed formula to show Borgata Net FCF attributable to BYD, as Borgata now deconsolidated</t>
        </r>
      </text>
    </comment>
    <comment ref="L253" authorId="18">
      <text>
        <r>
          <rPr>
            <b/>
            <sz val="10"/>
            <color indexed="81"/>
            <rFont val="Tahoma"/>
            <family val="2"/>
          </rPr>
          <t>Chris Metli:</t>
        </r>
        <r>
          <rPr>
            <sz val="10"/>
            <color indexed="81"/>
            <rFont val="Tahoma"/>
            <family val="2"/>
          </rPr>
          <t xml:space="preserve">
South Coast, at end of the quarter.</t>
        </r>
      </text>
    </comment>
    <comment ref="G258" authorId="22">
      <text>
        <r>
          <rPr>
            <b/>
            <sz val="10"/>
            <color indexed="81"/>
            <rFont val="Tahoma"/>
            <family val="2"/>
          </rPr>
          <t>Chris Metli:</t>
        </r>
        <r>
          <rPr>
            <sz val="10"/>
            <color indexed="81"/>
            <rFont val="Tahoma"/>
            <family val="2"/>
          </rPr>
          <t xml:space="preserve">
Orleans expansion completed 4Q04, $40mm</t>
        </r>
      </text>
    </comment>
    <comment ref="L258" authorId="22">
      <text>
        <r>
          <rPr>
            <b/>
            <sz val="9"/>
            <color indexed="81"/>
            <rFont val="Tahoma"/>
            <family val="2"/>
          </rPr>
          <t>Chris Metli:</t>
        </r>
        <r>
          <rPr>
            <sz val="9"/>
            <color indexed="81"/>
            <rFont val="Tahoma"/>
            <family val="2"/>
          </rPr>
          <t xml:space="preserve">
South Coast</t>
        </r>
      </text>
    </comment>
    <comment ref="E263" authorId="18">
      <text>
        <r>
          <rPr>
            <b/>
            <sz val="10"/>
            <color indexed="81"/>
            <rFont val="Tahoma"/>
            <family val="2"/>
          </rPr>
          <t>Chris Metli:</t>
        </r>
        <r>
          <rPr>
            <sz val="10"/>
            <color indexed="81"/>
            <rFont val="Tahoma"/>
            <family val="2"/>
          </rPr>
          <t xml:space="preserve">
10.9% growth per BYD 2Q05 release</t>
        </r>
      </text>
    </comment>
    <comment ref="L263" authorId="18">
      <text>
        <r>
          <rPr>
            <b/>
            <sz val="10"/>
            <color indexed="81"/>
            <rFont val="Tahoma"/>
            <family val="2"/>
          </rPr>
          <t>Chris Metli:</t>
        </r>
        <r>
          <rPr>
            <sz val="10"/>
            <color indexed="81"/>
            <rFont val="Tahoma"/>
            <family val="2"/>
          </rPr>
          <t xml:space="preserve">
Low hold on high sports book drop, offset by SC impact
Low hold hit EBITDA $2.3mm, so same to revenue, so SC did $2.3mm in revenue in 9 days, or $.255mm a day, or $93mm a year (Phase I only) - revs should ramp up with equestrian center, etc., opening</t>
        </r>
      </text>
    </comment>
    <comment ref="D270" authorId="18">
      <text>
        <r>
          <rPr>
            <b/>
            <sz val="10"/>
            <color indexed="81"/>
            <rFont val="Tahoma"/>
            <family val="2"/>
          </rPr>
          <t>Chris Metli:</t>
        </r>
        <r>
          <rPr>
            <sz val="10"/>
            <color indexed="81"/>
            <rFont val="Tahoma"/>
            <family val="2"/>
          </rPr>
          <t xml:space="preserve">
Per BYD 2Q04 press release.</t>
        </r>
      </text>
    </comment>
    <comment ref="L270" authorId="18">
      <text>
        <r>
          <rPr>
            <b/>
            <sz val="10"/>
            <color indexed="81"/>
            <rFont val="Tahoma"/>
            <family val="2"/>
          </rPr>
          <t>Chris Metli:</t>
        </r>
        <r>
          <rPr>
            <sz val="10"/>
            <color indexed="81"/>
            <rFont val="Tahoma"/>
            <family val="2"/>
          </rPr>
          <t xml:space="preserve">
Low hold on high sports book drop
Same-store, EBITDA would have been up 11%, and SC was profitable, so EBITDA really would have been up over 2.5mm from report levels</t>
        </r>
      </text>
    </comment>
    <comment ref="F277" authorId="23">
      <text>
        <r>
          <rPr>
            <b/>
            <sz val="10"/>
            <color indexed="81"/>
            <rFont val="Tahoma"/>
            <family val="2"/>
          </rPr>
          <t>Chris Metli:</t>
        </r>
        <r>
          <rPr>
            <sz val="10"/>
            <color indexed="81"/>
            <rFont val="Tahoma"/>
            <family val="2"/>
          </rPr>
          <t xml:space="preserve">
$1315.346 less $36.949 cash</t>
        </r>
      </text>
    </comment>
    <comment ref="F278" authorId="18">
      <text>
        <r>
          <rPr>
            <b/>
            <sz val="10"/>
            <color indexed="81"/>
            <rFont val="Tahoma"/>
            <family val="2"/>
          </rPr>
          <t>Chris Metli:</t>
        </r>
        <r>
          <rPr>
            <sz val="10"/>
            <color indexed="81"/>
            <rFont val="Tahoma"/>
            <family val="2"/>
          </rPr>
          <t xml:space="preserve">
$18mm Orleans, $43mm South Coast, about $30mm spent before merger</t>
        </r>
      </text>
    </comment>
    <comment ref="G278" authorId="18">
      <text>
        <r>
          <rPr>
            <b/>
            <sz val="10"/>
            <color indexed="81"/>
            <rFont val="Tahoma"/>
            <family val="2"/>
          </rPr>
          <t>Chris Metli:</t>
        </r>
        <r>
          <rPr>
            <sz val="10"/>
            <color indexed="81"/>
            <rFont val="Tahoma"/>
            <family val="2"/>
          </rPr>
          <t xml:space="preserve">
$1mm Orleans, $41mm for South Coast.</t>
        </r>
      </text>
    </comment>
    <comment ref="K278" authorId="18">
      <text>
        <r>
          <rPr>
            <b/>
            <sz val="10"/>
            <color indexed="81"/>
            <rFont val="Tahoma"/>
            <family val="2"/>
          </rPr>
          <t>Chris Metli:</t>
        </r>
        <r>
          <rPr>
            <sz val="10"/>
            <color indexed="81"/>
            <rFont val="Tahoma"/>
            <family val="2"/>
          </rPr>
          <t xml:space="preserve">
$86mm South Coast, $16mm Barbary Coast land</t>
        </r>
      </text>
    </comment>
    <comment ref="F285" authorId="18">
      <text>
        <r>
          <rPr>
            <b/>
            <sz val="10"/>
            <color indexed="81"/>
            <rFont val="Tahoma"/>
            <family val="2"/>
          </rPr>
          <t>Chris Metli:</t>
        </r>
        <r>
          <rPr>
            <sz val="10"/>
            <color indexed="81"/>
            <rFont val="Tahoma"/>
            <family val="2"/>
          </rPr>
          <t xml:space="preserve">
Begin including Coast</t>
        </r>
      </text>
    </comment>
    <comment ref="S286" authorId="16">
      <text>
        <r>
          <rPr>
            <b/>
            <sz val="10"/>
            <color indexed="81"/>
            <rFont val="Tahoma"/>
            <family val="2"/>
          </rPr>
          <t>Thallen:</t>
        </r>
        <r>
          <rPr>
            <sz val="10"/>
            <color indexed="81"/>
            <rFont val="Tahoma"/>
            <family val="2"/>
          </rPr>
          <t xml:space="preserve">
Sold Barbary Coast 2/27/07</t>
        </r>
      </text>
    </comment>
    <comment ref="V286" authorId="16">
      <text>
        <r>
          <rPr>
            <b/>
            <sz val="10"/>
            <color indexed="81"/>
            <rFont val="Tahoma"/>
            <family val="2"/>
          </rPr>
          <t>Thallen:</t>
        </r>
        <r>
          <rPr>
            <sz val="10"/>
            <color indexed="81"/>
            <rFont val="Tahoma"/>
            <family val="2"/>
          </rPr>
          <t xml:space="preserve">
Gold Coast - 2048
The Orleans - 3000
Sams Town - 2866
Suncoast - 2397
Eldorado - 493
Jokers Wild - 514 slots</t>
        </r>
      </text>
    </comment>
    <comment ref="BO286" authorId="5">
      <text>
        <r>
          <rPr>
            <b/>
            <sz val="9"/>
            <color indexed="81"/>
            <rFont val="Tahoma"/>
            <family val="2"/>
          </rPr>
          <t>Savino, Mark (Research):</t>
        </r>
        <r>
          <rPr>
            <sz val="9"/>
            <color indexed="81"/>
            <rFont val="Tahoma"/>
            <family val="2"/>
          </rPr>
          <t xml:space="preserve">
Aliante: 1,837 slots
</t>
        </r>
      </text>
    </comment>
    <comment ref="BQ286" authorId="5">
      <text>
        <r>
          <rPr>
            <b/>
            <sz val="9"/>
            <color indexed="81"/>
            <rFont val="Tahoma"/>
            <family val="2"/>
          </rPr>
          <t>Savino, Mark (Research):</t>
        </r>
        <r>
          <rPr>
            <sz val="9"/>
            <color indexed="81"/>
            <rFont val="Tahoma"/>
            <family val="2"/>
          </rPr>
          <t xml:space="preserve">
Cannery Casino: 1,650 slots
Eastside Cannery: 1,500 slots</t>
        </r>
      </text>
    </comment>
    <comment ref="S287" authorId="16">
      <text>
        <r>
          <rPr>
            <b/>
            <sz val="10"/>
            <color indexed="81"/>
            <rFont val="Tahoma"/>
            <family val="2"/>
          </rPr>
          <t>Thallen:</t>
        </r>
        <r>
          <rPr>
            <sz val="10"/>
            <color indexed="81"/>
            <rFont val="Tahoma"/>
            <family val="2"/>
          </rPr>
          <t xml:space="preserve">
Sold Barbary Coast 2/27/07</t>
        </r>
      </text>
    </comment>
    <comment ref="V287" authorId="16">
      <text>
        <r>
          <rPr>
            <b/>
            <sz val="10"/>
            <color indexed="81"/>
            <rFont val="Tahoma"/>
            <family val="2"/>
          </rPr>
          <t>Thallen:</t>
        </r>
        <r>
          <rPr>
            <sz val="10"/>
            <color indexed="81"/>
            <rFont val="Tahoma"/>
            <family val="2"/>
          </rPr>
          <t xml:space="preserve">
Gold Coast - 51
The Orleans - 60
Sams Town - 36
Suncoast - 41
Eldorado - 6
Jokers Wild - 7 tables</t>
        </r>
      </text>
    </comment>
    <comment ref="BO287" authorId="5">
      <text>
        <r>
          <rPr>
            <b/>
            <sz val="9"/>
            <color indexed="81"/>
            <rFont val="Tahoma"/>
            <family val="2"/>
          </rPr>
          <t>Savino, Mark (Research):</t>
        </r>
        <r>
          <rPr>
            <sz val="9"/>
            <color indexed="81"/>
            <rFont val="Tahoma"/>
            <family val="2"/>
          </rPr>
          <t xml:space="preserve">
Aliante: 30 table games
</t>
        </r>
      </text>
    </comment>
    <comment ref="BQ287" authorId="5">
      <text>
        <r>
          <rPr>
            <b/>
            <sz val="9"/>
            <color indexed="81"/>
            <rFont val="Tahoma"/>
            <family val="2"/>
          </rPr>
          <t>Savino, Mark (Research):</t>
        </r>
        <r>
          <rPr>
            <sz val="9"/>
            <color indexed="81"/>
            <rFont val="Tahoma"/>
            <family val="2"/>
          </rPr>
          <t xml:space="preserve">
Cannery Casino: Estimating 25 table games based on size vs. Eastside property
Eastside Cannery: 20 table games</t>
        </r>
      </text>
    </comment>
    <comment ref="O291" authorId="22">
      <text>
        <r>
          <rPr>
            <b/>
            <sz val="9"/>
            <color indexed="81"/>
            <rFont val="Tahoma"/>
            <family val="2"/>
          </rPr>
          <t>Chris Metli:</t>
        </r>
        <r>
          <rPr>
            <sz val="9"/>
            <color indexed="81"/>
            <rFont val="Tahoma"/>
            <family val="2"/>
          </rPr>
          <t xml:space="preserve">
South Coast expansion, Tower 2, phasing in as of beginning of quarter - assume that for quarter they average 75% of the rooms</t>
        </r>
      </text>
    </comment>
    <comment ref="S291" authorId="16">
      <text>
        <r>
          <rPr>
            <b/>
            <sz val="10"/>
            <color indexed="81"/>
            <rFont val="Tahoma"/>
            <family val="2"/>
          </rPr>
          <t>Thallen:</t>
        </r>
        <r>
          <rPr>
            <sz val="10"/>
            <color indexed="81"/>
            <rFont val="Tahoma"/>
            <family val="2"/>
          </rPr>
          <t xml:space="preserve">
Sold Barbary Coast 2/27/07</t>
        </r>
      </text>
    </comment>
    <comment ref="V291" authorId="16">
      <text>
        <r>
          <rPr>
            <b/>
            <sz val="10"/>
            <color indexed="81"/>
            <rFont val="Tahoma"/>
            <family val="2"/>
          </rPr>
          <t>Thallen:</t>
        </r>
        <r>
          <rPr>
            <sz val="10"/>
            <color indexed="81"/>
            <rFont val="Tahoma"/>
            <family val="2"/>
          </rPr>
          <t xml:space="preserve">
Gold Coast - 711
The Orleans - 1886
Sams Town - 646
Suncoast - 426
</t>
        </r>
      </text>
    </comment>
    <comment ref="AA291" authorId="3">
      <text>
        <r>
          <rPr>
            <b/>
            <sz val="9"/>
            <color indexed="81"/>
            <rFont val="Tahoma"/>
            <family val="2"/>
          </rPr>
          <t>thallen:</t>
        </r>
        <r>
          <rPr>
            <sz val="9"/>
            <color indexed="81"/>
            <rFont val="Tahoma"/>
            <family val="2"/>
          </rPr>
          <t xml:space="preserve">
Occupancy in the high 80%s, according to 4Q08 call</t>
        </r>
      </text>
    </comment>
    <comment ref="BO291" authorId="5">
      <text>
        <r>
          <rPr>
            <b/>
            <sz val="9"/>
            <color indexed="81"/>
            <rFont val="Tahoma"/>
            <family val="2"/>
          </rPr>
          <t>Savino, Mark (Research):</t>
        </r>
        <r>
          <rPr>
            <sz val="9"/>
            <color indexed="81"/>
            <rFont val="Tahoma"/>
            <family val="2"/>
          </rPr>
          <t xml:space="preserve">
Aliante: 202 hotel rooms
</t>
        </r>
      </text>
    </comment>
    <comment ref="BQ291" authorId="5">
      <text>
        <r>
          <rPr>
            <b/>
            <sz val="9"/>
            <color indexed="81"/>
            <rFont val="Tahoma"/>
            <family val="2"/>
          </rPr>
          <t>Savino, Mark (Research):</t>
        </r>
        <r>
          <rPr>
            <sz val="9"/>
            <color indexed="81"/>
            <rFont val="Tahoma"/>
            <family val="2"/>
          </rPr>
          <t xml:space="preserve">
Cannery Casino: 200 hotel rooms
Eastside Cannery: 300 hotel rooms</t>
        </r>
      </text>
    </comment>
    <comment ref="BN295" authorId="5">
      <text>
        <r>
          <rPr>
            <b/>
            <sz val="9"/>
            <color indexed="81"/>
            <rFont val="Tahoma"/>
            <family val="2"/>
          </rPr>
          <t>Savino, Mark (Research):</t>
        </r>
        <r>
          <rPr>
            <sz val="9"/>
            <color indexed="81"/>
            <rFont val="Tahoma"/>
            <family val="2"/>
          </rPr>
          <t xml:space="preserve">
W/U/D in North Las Vegas market (where Cannery and Aliante operate) was $85 LTM vs. Boulder Strip $107 and Balance of County $128</t>
        </r>
      </text>
    </comment>
    <comment ref="BO297" authorId="5">
      <text>
        <r>
          <rPr>
            <b/>
            <sz val="9"/>
            <color indexed="81"/>
            <rFont val="Tahoma"/>
            <family val="2"/>
          </rPr>
          <t>Savino, Mark (Research):</t>
        </r>
        <r>
          <rPr>
            <sz val="9"/>
            <color indexed="81"/>
            <rFont val="Tahoma"/>
            <family val="2"/>
          </rPr>
          <t xml:space="preserve">
Cannery deal closed on 12/20
3Q16: Includes Aliante, but excludes Cannery as not expected to close until  year-end
Aliante: per mgmt, limited synergies in first 6 months; 2015 did $84.2m, so $21m qtr; $92.4m PF revenue, or $23.1m/qtr
Cannery: $32m of Year 1 EBITDA including $8m of synergies, so doing $24m of EBITDA pre-acquisition. Assume 25% margin, implies $96m of annual revenue, or $24m/qtr</t>
        </r>
      </text>
    </comment>
    <comment ref="BQ297" authorId="6">
      <text>
        <r>
          <rPr>
            <b/>
            <sz val="9"/>
            <color indexed="81"/>
            <rFont val="Tahoma"/>
            <family val="2"/>
          </rPr>
          <t>Allen, Thomas (Research):</t>
        </r>
        <r>
          <rPr>
            <sz val="9"/>
            <color indexed="81"/>
            <rFont val="Tahoma"/>
            <family val="2"/>
          </rPr>
          <t xml:space="preserve">
Formulas reflect impact of acquisition of Cannery and Aliante. We assume 3% less revs than mgmt expects</t>
        </r>
      </text>
    </comment>
    <comment ref="BR297" authorId="6">
      <text>
        <r>
          <rPr>
            <b/>
            <sz val="9"/>
            <color indexed="81"/>
            <rFont val="Tahoma"/>
            <family val="2"/>
          </rPr>
          <t>Allen, Thomas (Research):</t>
        </r>
        <r>
          <rPr>
            <sz val="9"/>
            <color indexed="81"/>
            <rFont val="Tahoma"/>
            <family val="2"/>
          </rPr>
          <t xml:space="preserve">
Formulas reflect impact of acquisition of Cannery and Aliante. We assume 3% less revs than mgmt expects</t>
        </r>
      </text>
    </comment>
    <comment ref="BS297" authorId="6">
      <text>
        <r>
          <rPr>
            <b/>
            <sz val="9"/>
            <color indexed="81"/>
            <rFont val="Tahoma"/>
            <family val="2"/>
          </rPr>
          <t>Allen, Thomas (Research):</t>
        </r>
        <r>
          <rPr>
            <sz val="9"/>
            <color indexed="81"/>
            <rFont val="Tahoma"/>
            <family val="2"/>
          </rPr>
          <t xml:space="preserve">
Formulas reflect impact of acquisition of Cannery and Aliante.</t>
        </r>
      </text>
    </comment>
    <comment ref="BT297" authorId="6">
      <text>
        <r>
          <rPr>
            <b/>
            <sz val="9"/>
            <color indexed="81"/>
            <rFont val="Tahoma"/>
            <family val="2"/>
          </rPr>
          <t>Allen, Thomas (Research):</t>
        </r>
        <r>
          <rPr>
            <sz val="9"/>
            <color indexed="81"/>
            <rFont val="Tahoma"/>
            <family val="2"/>
          </rPr>
          <t xml:space="preserve">
3Q17 call: per mgmt, don't see locals really accelerating. 4Q could be similar to 1Q from a seasonality perspective, but depends a lot on how the holidays perform, so not a lot of visibility
Formulas reflect impact of acquisition of Cannery.</t>
        </r>
      </text>
    </comment>
    <comment ref="BU297" authorId="5">
      <text>
        <r>
          <rPr>
            <b/>
            <sz val="9"/>
            <color indexed="81"/>
            <rFont val="Tahoma"/>
            <family val="2"/>
          </rPr>
          <t>Savino, Mark (Research):</t>
        </r>
        <r>
          <rPr>
            <sz val="9"/>
            <color indexed="81"/>
            <rFont val="Tahoma"/>
            <family val="2"/>
          </rPr>
          <t xml:space="preserve">
Aliante: $92.4m PF revenue in 2016, assume two additional qtrs plus expected underlying growth
Cannery: Estimating $96m of PF revenue in 2016, assume two additional qtrs plus expected underlying growth</t>
        </r>
      </text>
    </comment>
    <comment ref="EB297" authorId="5">
      <text>
        <r>
          <rPr>
            <b/>
            <sz val="9"/>
            <color indexed="81"/>
            <rFont val="Tahoma"/>
            <family val="2"/>
          </rPr>
          <t>Savino, Mark (Research):</t>
        </r>
        <r>
          <rPr>
            <sz val="9"/>
            <color indexed="81"/>
            <rFont val="Tahoma"/>
            <family val="2"/>
          </rPr>
          <t xml:space="preserve">
Aliante: $92.4m PF revenue in 2016, assume two additional qtrs plus expected underlying growth
Cannery: Estimating $96m of PF revenue in 2016, assume two additional qtrs plus expected underlying growth</t>
        </r>
      </text>
    </comment>
    <comment ref="AN298" authorId="15">
      <text>
        <r>
          <rPr>
            <b/>
            <sz val="8"/>
            <color indexed="81"/>
            <rFont val="Tahoma"/>
            <family val="2"/>
          </rPr>
          <t>danfuss:</t>
        </r>
        <r>
          <rPr>
            <sz val="8"/>
            <color indexed="81"/>
            <rFont val="Tahoma"/>
            <family val="2"/>
          </rPr>
          <t xml:space="preserve">
Locals Revs up 4% and 5% in April and May</t>
        </r>
      </text>
    </comment>
    <comment ref="AW298" authorId="3">
      <text>
        <r>
          <rPr>
            <b/>
            <sz val="8"/>
            <color indexed="81"/>
            <rFont val="Tahoma"/>
            <family val="2"/>
          </rPr>
          <t>thallen:</t>
        </r>
        <r>
          <rPr>
            <sz val="8"/>
            <color indexed="81"/>
            <rFont val="Tahoma"/>
            <family val="2"/>
          </rPr>
          <t xml:space="preserve">
Helped by strong slot and marketing initiatives (penny lane)
One less day in Feb. Jan / Feb weak, March rebounded. Y/y also helped b/c of themed slot initiatives, big NCAA basketball game at Orleans, NASCAR. Should continue going fwd
Small negative impact from shift of Easter weekend to 1Q from 2Q</t>
        </r>
      </text>
    </comment>
    <comment ref="AX298" authorId="3">
      <text>
        <r>
          <rPr>
            <b/>
            <sz val="8"/>
            <color indexed="81"/>
            <rFont val="Tahoma"/>
            <family val="2"/>
          </rPr>
          <t>thallen:</t>
        </r>
        <r>
          <rPr>
            <sz val="8"/>
            <color indexed="81"/>
            <rFont val="Tahoma"/>
            <family val="2"/>
          </rPr>
          <t xml:space="preserve">
Continued to benefit from new slot mkting initiatives which drove increased gaming rev
Per 1Q call, March rev growth flat. We believe b/c Easter shift,  underlying growth could have been positive
Orleans should be helped by music festival
Per April meetings, Locals market appears to be at least stabilizing, feels like right ahead of a rebound</t>
        </r>
      </text>
    </comment>
    <comment ref="AZ298" authorId="3">
      <text>
        <r>
          <rPr>
            <b/>
            <sz val="8"/>
            <color indexed="81"/>
            <rFont val="Tahoma"/>
            <family val="2"/>
          </rPr>
          <t>thallen:</t>
        </r>
        <r>
          <rPr>
            <sz val="8"/>
            <color indexed="81"/>
            <rFont val="Tahoma"/>
            <family val="2"/>
          </rPr>
          <t xml:space="preserve">
Low hold in 4Q12 led to ~50% of EBITDA decline y/y
Rolling out new "enhanced" Penny Lane initiative
</t>
        </r>
      </text>
    </comment>
    <comment ref="BB298" authorId="3">
      <text>
        <r>
          <rPr>
            <b/>
            <sz val="8"/>
            <color indexed="81"/>
            <rFont val="Tahoma"/>
            <family val="2"/>
          </rPr>
          <t>thallen:</t>
        </r>
        <r>
          <rPr>
            <sz val="8"/>
            <color indexed="81"/>
            <rFont val="Tahoma"/>
            <family val="2"/>
          </rPr>
          <t xml:space="preserve">
Overflow from very strong Strip b/c of citywide convention benefit. Mgmt noted strength on 4Q call</t>
        </r>
      </text>
    </comment>
    <comment ref="BC298" authorId="6">
      <text>
        <r>
          <rPr>
            <b/>
            <sz val="9"/>
            <color indexed="81"/>
            <rFont val="Tahoma"/>
            <family val="2"/>
          </rPr>
          <t>Allen, Thomas (Research):</t>
        </r>
        <r>
          <rPr>
            <sz val="9"/>
            <color indexed="81"/>
            <rFont val="Tahoma"/>
            <family val="2"/>
          </rPr>
          <t xml:space="preserve">
2Q call: Rev would have been close to flat but impacted by low hold
Easter shift a headwind</t>
        </r>
      </text>
    </comment>
    <comment ref="BE298" authorId="5">
      <text>
        <r>
          <rPr>
            <b/>
            <sz val="9"/>
            <color indexed="81"/>
            <rFont val="Tahoma"/>
            <family val="2"/>
          </rPr>
          <t>Savino, Mark (Research):</t>
        </r>
        <r>
          <rPr>
            <sz val="9"/>
            <color indexed="81"/>
            <rFont val="Tahoma"/>
            <family val="2"/>
          </rPr>
          <t xml:space="preserve">
4Q call: Hospitality revenue +13% y/y
Per 3Q call: non-gaming starting to drive revenue and EBITDA growth
Market flat through Nov</t>
        </r>
      </text>
    </comment>
    <comment ref="BG298" authorId="6">
      <text>
        <r>
          <rPr>
            <b/>
            <sz val="9"/>
            <color indexed="81"/>
            <rFont val="Tahoma"/>
            <family val="2"/>
          </rPr>
          <t>Allen, Thomas (Research):</t>
        </r>
        <r>
          <rPr>
            <sz val="9"/>
            <color indexed="81"/>
            <rFont val="Tahoma"/>
            <family val="2"/>
          </rPr>
          <t xml:space="preserve">
Decline b/c of significant biz disruption related to roadway project next to Suncoast, and low hold related to Super Bowl betting
SunCoast road disruption impacted EBITDA by $1m, lower hold on Super Bowl another $1m </t>
        </r>
      </text>
    </comment>
    <comment ref="BH298" authorId="5">
      <text>
        <r>
          <rPr>
            <b/>
            <sz val="9"/>
            <color indexed="81"/>
            <rFont val="Tahoma"/>
            <family val="2"/>
          </rPr>
          <t>Savino, Mark (Research):</t>
        </r>
        <r>
          <rPr>
            <sz val="9"/>
            <color indexed="81"/>
            <rFont val="Tahoma"/>
            <family val="2"/>
          </rPr>
          <t xml:space="preserve">
Growth at Orleans and Gold Coast were not impacted by road disruption and revenue was up 6%</t>
        </r>
      </text>
    </comment>
    <comment ref="BK298" authorId="5">
      <text>
        <r>
          <rPr>
            <b/>
            <sz val="9"/>
            <color indexed="81"/>
            <rFont val="Tahoma"/>
            <family val="2"/>
          </rPr>
          <t>Savino, Mark (Research):</t>
        </r>
        <r>
          <rPr>
            <sz val="9"/>
            <color indexed="81"/>
            <rFont val="Tahoma"/>
            <family val="2"/>
          </rPr>
          <t xml:space="preserve">
4Q call: expect modest revenue growth
Benefit from Resorts World Construction + room renovations/property enhancements, leading to non-gaming up</t>
        </r>
      </text>
    </comment>
    <comment ref="BL298" authorId="6">
      <text>
        <r>
          <rPr>
            <b/>
            <sz val="9"/>
            <color indexed="81"/>
            <rFont val="Tahoma"/>
            <family val="2"/>
          </rPr>
          <t>Allen, Thomas (Research):</t>
        </r>
        <r>
          <rPr>
            <sz val="9"/>
            <color indexed="81"/>
            <rFont val="Tahoma"/>
            <family val="2"/>
          </rPr>
          <t xml:space="preserve">
Road disruption in 1Q15</t>
        </r>
      </text>
    </comment>
    <comment ref="BN299" authorId="6">
      <text>
        <r>
          <rPr>
            <b/>
            <sz val="9"/>
            <color indexed="81"/>
            <rFont val="Tahoma"/>
            <family val="2"/>
          </rPr>
          <t>Allen, Thomas (Research):</t>
        </r>
        <r>
          <rPr>
            <sz val="9"/>
            <color indexed="81"/>
            <rFont val="Tahoma"/>
            <family val="2"/>
          </rPr>
          <t xml:space="preserve">
GGR growth was +2% in 3Q, so they took share on the gaming side, but lowered promo spending and converted a restaurant to a lease
Orleans lost ~$2m of revs from a convention shifting out of the mkt for a year, back in 3Q17</t>
        </r>
      </text>
    </comment>
    <comment ref="BO299" authorId="5">
      <text>
        <r>
          <rPr>
            <b/>
            <sz val="9"/>
            <color indexed="81"/>
            <rFont val="Tahoma"/>
            <family val="2"/>
          </rPr>
          <t>Savino, Mark (Research):</t>
        </r>
        <r>
          <rPr>
            <sz val="9"/>
            <color indexed="81"/>
            <rFont val="Tahoma"/>
            <family val="2"/>
          </rPr>
          <t xml:space="preserve">
3Q16: Expect muted revenue growth to continue as they stop investing in lower-margin business
Slightly lower organic growth than 3Q16
Impact from low sports book hold
MS estimate</t>
        </r>
      </text>
    </comment>
    <comment ref="BQ299" authorId="5">
      <text>
        <r>
          <rPr>
            <b/>
            <sz val="9"/>
            <color indexed="81"/>
            <rFont val="Tahoma"/>
            <family val="2"/>
          </rPr>
          <t>Savino, Mark (Research):</t>
        </r>
        <r>
          <rPr>
            <sz val="9"/>
            <color indexed="81"/>
            <rFont val="Tahoma"/>
            <family val="2"/>
          </rPr>
          <t xml:space="preserve">
Per mgmt, have grown in line with the market over the last 12 months</t>
        </r>
      </text>
    </comment>
    <comment ref="BS299" authorId="6">
      <text>
        <r>
          <rPr>
            <b/>
            <sz val="9"/>
            <color indexed="81"/>
            <rFont val="Tahoma"/>
            <family val="2"/>
          </rPr>
          <t>Allen, Thomas (Research):</t>
        </r>
        <r>
          <rPr>
            <sz val="9"/>
            <color indexed="81"/>
            <rFont val="Tahoma"/>
            <family val="2"/>
          </rPr>
          <t xml:space="preserve">
July/August locals +10%, but mgmt said that trends had not really accelerated and that BYD should continue to grow slower than the mkt as they cut back on promotional spending
Convention returning to the Orleans after rotating out in 3Q16, ~$2m of business
Also start lapping strategy of shifting out lower revenue business for margin
MS expects PCE to start accelerating in 2H17</t>
        </r>
      </text>
    </comment>
    <comment ref="BT299" authorId="5">
      <text>
        <r>
          <rPr>
            <b/>
            <sz val="9"/>
            <color indexed="81"/>
            <rFont val="Tahoma"/>
            <family val="2"/>
          </rPr>
          <t>Savino, Mark (Research):</t>
        </r>
        <r>
          <rPr>
            <sz val="9"/>
            <color indexed="81"/>
            <rFont val="Tahoma"/>
            <family val="2"/>
          </rPr>
          <t xml:space="preserve">
Lapping change in strategy of eliminating lower-margin business
Comping low hold at sports book in 4Q16 ($2m EBITDA impact)</t>
        </r>
      </text>
    </comment>
    <comment ref="BU299" authorId="6">
      <text>
        <r>
          <rPr>
            <b/>
            <sz val="9"/>
            <color indexed="81"/>
            <rFont val="Tahoma"/>
            <family val="2"/>
          </rPr>
          <t>Allen, Thomas (Research):</t>
        </r>
        <r>
          <rPr>
            <sz val="9"/>
            <color indexed="81"/>
            <rFont val="Tahoma"/>
            <family val="2"/>
          </rPr>
          <t xml:space="preserve">
1Q17: +2-3% growth
4Q16: +2-3% growth</t>
        </r>
      </text>
    </comment>
    <comment ref="BV299" authorId="6">
      <text>
        <r>
          <rPr>
            <b/>
            <sz val="9"/>
            <color indexed="81"/>
            <rFont val="Tahoma"/>
            <family val="2"/>
          </rPr>
          <t>Allen, Thomas (Research):</t>
        </r>
        <r>
          <rPr>
            <sz val="9"/>
            <color indexed="81"/>
            <rFont val="Tahoma"/>
            <family val="2"/>
          </rPr>
          <t xml:space="preserve">
Con/Agg comp</t>
        </r>
      </text>
    </comment>
    <comment ref="BZ299" authorId="6">
      <text>
        <r>
          <rPr>
            <b/>
            <sz val="9"/>
            <color indexed="81"/>
            <rFont val="Tahoma"/>
            <family val="2"/>
          </rPr>
          <t>Allen, Thomas (Research):</t>
        </r>
        <r>
          <rPr>
            <sz val="9"/>
            <color indexed="81"/>
            <rFont val="Tahoma"/>
            <family val="2"/>
          </rPr>
          <t xml:space="preserve">
4Q17: Expect market to grow a similar 4-5% in 2018, but BYD  continuing to give up some share around smarter promotional spending
Locals market appears to be growing at ~4%, BYD giving up some rev growth to drive higher profits
</t>
        </r>
      </text>
    </comment>
    <comment ref="BO306" authorId="5">
      <text>
        <r>
          <rPr>
            <b/>
            <sz val="9"/>
            <color indexed="81"/>
            <rFont val="Tahoma"/>
            <family val="2"/>
          </rPr>
          <t>Savino, Mark (Research):</t>
        </r>
        <r>
          <rPr>
            <sz val="9"/>
            <color indexed="81"/>
            <rFont val="Tahoma"/>
            <family val="2"/>
          </rPr>
          <t xml:space="preserve">
Includes Alliante and 12 days of Cannery (closed on 12/20)
3Q16: Includes Aliante but not Cannery as acquisition not expected to close until year-end</t>
        </r>
      </text>
    </comment>
    <comment ref="BQ306" authorId="6">
      <text>
        <r>
          <rPr>
            <b/>
            <sz val="9"/>
            <color indexed="81"/>
            <rFont val="Tahoma"/>
            <family val="2"/>
          </rPr>
          <t>Allen, Thomas (Research):</t>
        </r>
        <r>
          <rPr>
            <sz val="9"/>
            <color indexed="81"/>
            <rFont val="Tahoma"/>
            <family val="2"/>
          </rPr>
          <t xml:space="preserve">
Formulas reflect impact of acquisition of Cannery and Aliante</t>
        </r>
      </text>
    </comment>
    <comment ref="BR306" authorId="6">
      <text>
        <r>
          <rPr>
            <b/>
            <sz val="9"/>
            <color indexed="81"/>
            <rFont val="Tahoma"/>
            <family val="2"/>
          </rPr>
          <t>Allen, Thomas (Research):</t>
        </r>
        <r>
          <rPr>
            <sz val="9"/>
            <color indexed="81"/>
            <rFont val="Tahoma"/>
            <family val="2"/>
          </rPr>
          <t xml:space="preserve">
Formulas reflect impact of acquisition of Cannery and Aliante</t>
        </r>
      </text>
    </comment>
    <comment ref="BS306" authorId="6">
      <text>
        <r>
          <rPr>
            <b/>
            <sz val="9"/>
            <color indexed="81"/>
            <rFont val="Tahoma"/>
            <family val="2"/>
          </rPr>
          <t>Allen, Thomas (Research):</t>
        </r>
        <r>
          <rPr>
            <sz val="9"/>
            <color indexed="81"/>
            <rFont val="Tahoma"/>
            <family val="2"/>
          </rPr>
          <t xml:space="preserve">
Formulas reflect impact of acquisition of Cannery and Aliante</t>
        </r>
      </text>
    </comment>
    <comment ref="BT306" authorId="6">
      <text>
        <r>
          <rPr>
            <b/>
            <sz val="9"/>
            <color indexed="81"/>
            <rFont val="Tahoma"/>
            <family val="2"/>
          </rPr>
          <t>Allen, Thomas (Research):</t>
        </r>
        <r>
          <rPr>
            <sz val="9"/>
            <color indexed="81"/>
            <rFont val="Tahoma"/>
            <family val="2"/>
          </rPr>
          <t xml:space="preserve">
Formulas reflect impact of acquisition of Cannery </t>
        </r>
      </text>
    </comment>
    <comment ref="AW308" authorId="3">
      <text>
        <r>
          <rPr>
            <b/>
            <sz val="8"/>
            <color indexed="81"/>
            <rFont val="Tahoma"/>
            <family val="2"/>
          </rPr>
          <t>thallen:</t>
        </r>
        <r>
          <rPr>
            <sz val="8"/>
            <color indexed="81"/>
            <rFont val="Tahoma"/>
            <family val="2"/>
          </rPr>
          <t xml:space="preserve">
While BYD accussed of being aggressive with promotions, mgmt says really just shifting mix.  Cut expenses at YE12 and focus on cost containment helped earnings</t>
        </r>
      </text>
    </comment>
    <comment ref="AX308" authorId="3">
      <text>
        <r>
          <rPr>
            <b/>
            <sz val="8"/>
            <color indexed="81"/>
            <rFont val="Tahoma"/>
            <family val="2"/>
          </rPr>
          <t>thallen:</t>
        </r>
        <r>
          <rPr>
            <sz val="8"/>
            <color indexed="81"/>
            <rFont val="Tahoma"/>
            <family val="2"/>
          </rPr>
          <t xml:space="preserve">
Noted continued refinement of ops
Cut expenses at YE12 and focus on cost containment should help earnings</t>
        </r>
      </text>
    </comment>
    <comment ref="AY308" authorId="3">
      <text>
        <r>
          <rPr>
            <b/>
            <sz val="8"/>
            <color indexed="81"/>
            <rFont val="Tahoma"/>
            <family val="2"/>
          </rPr>
          <t>thallen:</t>
        </r>
        <r>
          <rPr>
            <sz val="8"/>
            <color indexed="81"/>
            <rFont val="Tahoma"/>
            <family val="2"/>
          </rPr>
          <t xml:space="preserve">
Noted continued refinement of ops
Cut expenses at YE12 and focus on cost containment should help earnings</t>
        </r>
      </text>
    </comment>
    <comment ref="AZ308" authorId="3">
      <text>
        <r>
          <rPr>
            <b/>
            <sz val="8"/>
            <color indexed="81"/>
            <rFont val="Tahoma"/>
            <family val="2"/>
          </rPr>
          <t>thallen:</t>
        </r>
        <r>
          <rPr>
            <sz val="8"/>
            <color indexed="81"/>
            <rFont val="Tahoma"/>
            <family val="2"/>
          </rPr>
          <t xml:space="preserve">
Cut expenses at YE12 and focus on cost containment should help earnings</t>
        </r>
      </text>
    </comment>
    <comment ref="BF308" authorId="3">
      <text>
        <r>
          <rPr>
            <b/>
            <sz val="8"/>
            <color indexed="81"/>
            <rFont val="Tahoma"/>
            <family val="2"/>
          </rPr>
          <t>thallen:</t>
        </r>
        <r>
          <rPr>
            <sz val="8"/>
            <color indexed="81"/>
            <rFont val="Tahoma"/>
            <family val="2"/>
          </rPr>
          <t xml:space="preserve">
Continued efficiencies given limited growth in market</t>
        </r>
      </text>
    </comment>
    <comment ref="BO308" authorId="5">
      <text>
        <r>
          <rPr>
            <b/>
            <sz val="9"/>
            <color indexed="81"/>
            <rFont val="Tahoma"/>
            <family val="2"/>
          </rPr>
          <t>Savino, Mark (Research):</t>
        </r>
        <r>
          <rPr>
            <sz val="9"/>
            <color indexed="81"/>
            <rFont val="Tahoma"/>
            <family val="2"/>
          </rPr>
          <t xml:space="preserve">
Aliante: $67m of opex in 2015, and per mgmt won't get synergies in first 6 months; 2016 PF guidance implies $62.4m annual opex, so $15.6m/qtr
Cannery: $32m of Year 1 EBITDA including $8m of synergies, so doing $24m of EBITDA pre-acquisition. Assume 25% margin, implies $96m of annual revenue, which implies $72m of annual opex. Assume similar level in 4Q as mgmt does not expect to achieve synergies in first 6 months
MS estimate</t>
        </r>
      </text>
    </comment>
    <comment ref="BQ308" authorId="6">
      <text>
        <r>
          <rPr>
            <b/>
            <sz val="9"/>
            <color indexed="81"/>
            <rFont val="Tahoma"/>
            <family val="2"/>
          </rPr>
          <t>Allen, Thomas (Research):</t>
        </r>
        <r>
          <rPr>
            <sz val="9"/>
            <color indexed="81"/>
            <rFont val="Tahoma"/>
            <family val="2"/>
          </rPr>
          <t xml:space="preserve">
Trading out of lower margin revenue strategy started in 3Q16</t>
        </r>
      </text>
    </comment>
    <comment ref="BR308" authorId="6">
      <text>
        <r>
          <rPr>
            <b/>
            <sz val="9"/>
            <color indexed="81"/>
            <rFont val="Tahoma"/>
            <family val="2"/>
          </rPr>
          <t>Allen, Thomas (Research):</t>
        </r>
        <r>
          <rPr>
            <sz val="9"/>
            <color indexed="81"/>
            <rFont val="Tahoma"/>
            <family val="2"/>
          </rPr>
          <t xml:space="preserve">
Trading out of lower margin revenue strategy started in 3Q16</t>
        </r>
      </text>
    </comment>
    <comment ref="BU308" authorId="5">
      <text>
        <r>
          <rPr>
            <b/>
            <sz val="9"/>
            <color indexed="81"/>
            <rFont val="Tahoma"/>
            <family val="2"/>
          </rPr>
          <t>Savino, Mark (Research):</t>
        </r>
        <r>
          <rPr>
            <sz val="9"/>
            <color indexed="81"/>
            <rFont val="Tahoma"/>
            <family val="2"/>
          </rPr>
          <t xml:space="preserve">
Aliante: 2016 PF guidance implies $62.4m annual opex, so $15.6m/qtr
Cannery: $32m of Year 1 EBITDA including $8m of synergies, so doing $24m of EBITDA pre-acquisition. Assume 25% margin, implies $96m of annual revenue, or $24m/qtr. So implies $64m of annual opex or $16m/qtr</t>
        </r>
      </text>
    </comment>
    <comment ref="EB308" authorId="5">
      <text>
        <r>
          <rPr>
            <b/>
            <sz val="9"/>
            <color indexed="81"/>
            <rFont val="Tahoma"/>
            <family val="2"/>
          </rPr>
          <t>Savino, Mark (Research):</t>
        </r>
        <r>
          <rPr>
            <sz val="9"/>
            <color indexed="81"/>
            <rFont val="Tahoma"/>
            <family val="2"/>
          </rPr>
          <t xml:space="preserve">
Aliante: 2016 PF guidance implies $62.4m annual opex, so $15.6m/qtr
Cannery: $32m of Year 1 EBITDA including $8m of synergies, so doing $24m of EBITDA pre-acquisition. Assume 25% margin, implies $96m of annual revenue, or $24m/qtr. So implies $64m of annual opex or $16m/qtr</t>
        </r>
      </text>
    </comment>
    <comment ref="P310" authorId="15">
      <text>
        <r>
          <rPr>
            <b/>
            <sz val="8"/>
            <color indexed="81"/>
            <rFont val="Tahoma"/>
            <family val="2"/>
          </rPr>
          <t>danfuss:</t>
        </r>
        <r>
          <rPr>
            <sz val="8"/>
            <color indexed="81"/>
            <rFont val="Tahoma"/>
            <family val="2"/>
          </rPr>
          <t xml:space="preserve">
Per 3Q 10-Q, Begin to include South Coast and Barbary Coast in discontinued operations</t>
        </r>
      </text>
    </comment>
    <comment ref="W310" authorId="24">
      <text>
        <r>
          <rPr>
            <b/>
            <sz val="10"/>
            <color indexed="81"/>
            <rFont val="Tahoma"/>
            <family val="2"/>
          </rPr>
          <t>Celeste Brown:</t>
        </r>
        <r>
          <rPr>
            <sz val="10"/>
            <color indexed="81"/>
            <rFont val="Tahoma"/>
            <family val="2"/>
          </rPr>
          <t xml:space="preserve">
$50mm from Sams Town</t>
        </r>
      </text>
    </comment>
    <comment ref="AA310" authorId="3">
      <text>
        <r>
          <rPr>
            <b/>
            <sz val="9"/>
            <color indexed="81"/>
            <rFont val="Tahoma"/>
            <family val="2"/>
          </rPr>
          <t>thallen:</t>
        </r>
        <r>
          <rPr>
            <sz val="9"/>
            <color indexed="81"/>
            <rFont val="Tahoma"/>
            <family val="2"/>
          </rPr>
          <t xml:space="preserve">
Lower ADRs cost segment $5mm</t>
        </r>
      </text>
    </comment>
    <comment ref="AU310" authorId="3">
      <text>
        <r>
          <rPr>
            <b/>
            <sz val="8"/>
            <color indexed="81"/>
            <rFont val="Tahoma"/>
            <family val="2"/>
          </rPr>
          <t>thallen:</t>
        </r>
        <r>
          <rPr>
            <sz val="8"/>
            <color indexed="81"/>
            <rFont val="Tahoma"/>
            <family val="2"/>
          </rPr>
          <t xml:space="preserve">
~ half of decline in EBITDA y/y from low hold at sports book</t>
        </r>
      </text>
    </comment>
    <comment ref="BC310" authorId="5">
      <text>
        <r>
          <rPr>
            <b/>
            <sz val="9"/>
            <color indexed="81"/>
            <rFont val="Tahoma"/>
            <family val="2"/>
          </rPr>
          <t>Savino, Mark (Research):</t>
        </r>
        <r>
          <rPr>
            <sz val="9"/>
            <color indexed="81"/>
            <rFont val="Tahoma"/>
            <family val="2"/>
          </rPr>
          <t xml:space="preserve">
2Q call: Low hold and higher utility costs were each a $1m impact
Per mgmt: 2Q14 will be similar to the prior year</t>
        </r>
      </text>
    </comment>
    <comment ref="BD310" authorId="5">
      <text>
        <r>
          <rPr>
            <b/>
            <sz val="9"/>
            <color indexed="81"/>
            <rFont val="Tahoma"/>
            <family val="2"/>
          </rPr>
          <t>Savino, Mark (Research):</t>
        </r>
        <r>
          <rPr>
            <sz val="9"/>
            <color indexed="81"/>
            <rFont val="Tahoma"/>
            <family val="2"/>
          </rPr>
          <t xml:space="preserve">
2Q call: expect 2H14 EBITDA flat y/y</t>
        </r>
      </text>
    </comment>
    <comment ref="BG310" authorId="5">
      <text>
        <r>
          <rPr>
            <b/>
            <sz val="9"/>
            <color indexed="81"/>
            <rFont val="Tahoma"/>
            <family val="2"/>
          </rPr>
          <t>Savino, Mark (Research):</t>
        </r>
        <r>
          <rPr>
            <sz val="9"/>
            <color indexed="81"/>
            <rFont val="Tahoma"/>
            <family val="2"/>
          </rPr>
          <t xml:space="preserve">
4Q call: expect 1Q15 EBITDA in line with prior year
$1m impact from road construction at Sun Coast</t>
        </r>
      </text>
    </comment>
    <comment ref="BO310" authorId="5">
      <text>
        <r>
          <rPr>
            <b/>
            <sz val="9"/>
            <color indexed="81"/>
            <rFont val="Tahoma"/>
            <family val="2"/>
          </rPr>
          <t>Savino, Mark (Research):</t>
        </r>
        <r>
          <rPr>
            <sz val="9"/>
            <color indexed="81"/>
            <rFont val="Tahoma"/>
            <family val="2"/>
          </rPr>
          <t xml:space="preserve">
Organic margin growth 130bps ex-low hold
3Q16: Includes Aliante but not Cannery as acquisition not expected to close until year-end
Low sportsbook hold negatively impacted by $2m
$5m contribution from Aliante, $0.5-1.0m from Cannery</t>
        </r>
      </text>
    </comment>
    <comment ref="BS310" authorId="5">
      <text>
        <r>
          <rPr>
            <b/>
            <sz val="9"/>
            <color indexed="81"/>
            <rFont val="Tahoma"/>
            <family val="2"/>
          </rPr>
          <t>Savino, Mark (Research):</t>
        </r>
        <r>
          <rPr>
            <sz val="9"/>
            <color indexed="81"/>
            <rFont val="Tahoma"/>
            <family val="2"/>
          </rPr>
          <t xml:space="preserve">
Per 3Q call, double digit EBITDA growth at all properties</t>
        </r>
      </text>
    </comment>
    <comment ref="BU310" authorId="5">
      <text>
        <r>
          <rPr>
            <b/>
            <sz val="9"/>
            <color indexed="81"/>
            <rFont val="Tahoma"/>
            <family val="2"/>
          </rPr>
          <t>Savino, Mark (Research):</t>
        </r>
        <r>
          <rPr>
            <sz val="9"/>
            <color indexed="81"/>
            <rFont val="Tahoma"/>
            <family val="2"/>
          </rPr>
          <t xml:space="preserve">
4Q17: Aliante / Cannery beat expectation of $60-62m
3Q17: $60-62m of EBITDA in 2017 from Aliante / Cannery
2Q17: Continue to expect $62m of EBITDA from new properties in 2017
Mgmt expects 2 acquisitions will generate $62m of incremental EBITDA, less ~$5m for Aliante in 4Q16, would imply $57m of incremental EBITDA in 2017. </t>
        </r>
      </text>
    </comment>
    <comment ref="AW311" authorId="3">
      <text>
        <r>
          <rPr>
            <b/>
            <sz val="8"/>
            <color indexed="81"/>
            <rFont val="Tahoma"/>
            <family val="2"/>
          </rPr>
          <t>thallen:</t>
        </r>
        <r>
          <rPr>
            <sz val="8"/>
            <color indexed="81"/>
            <rFont val="Tahoma"/>
            <family val="2"/>
          </rPr>
          <t xml:space="preserve">
Strong focus on operating margins</t>
        </r>
      </text>
    </comment>
    <comment ref="AZ311" authorId="5">
      <text>
        <r>
          <rPr>
            <b/>
            <sz val="9"/>
            <color indexed="81"/>
            <rFont val="Tahoma"/>
            <family val="2"/>
          </rPr>
          <t>Savino, Mark (Research):</t>
        </r>
        <r>
          <rPr>
            <sz val="9"/>
            <color indexed="81"/>
            <rFont val="Tahoma"/>
            <family val="2"/>
          </rPr>
          <t xml:space="preserve">
Normalized margin in 4Q12 was 23% adjusting for low hold</t>
        </r>
      </text>
    </comment>
    <comment ref="AZ312" authorId="3">
      <text>
        <r>
          <rPr>
            <b/>
            <sz val="8"/>
            <color indexed="81"/>
            <rFont val="Tahoma"/>
            <family val="2"/>
          </rPr>
          <t>thallen:</t>
        </r>
        <r>
          <rPr>
            <sz val="8"/>
            <color indexed="81"/>
            <rFont val="Tahoma"/>
            <family val="2"/>
          </rPr>
          <t xml:space="preserve">
Low hold in 4Q12 led to ~50% of EBITDA decline y/y</t>
        </r>
      </text>
    </comment>
    <comment ref="BG312" authorId="6">
      <text>
        <r>
          <rPr>
            <b/>
            <sz val="9"/>
            <color indexed="81"/>
            <rFont val="Tahoma"/>
            <family val="2"/>
          </rPr>
          <t>Allen, Thomas (Research):</t>
        </r>
        <r>
          <rPr>
            <sz val="9"/>
            <color indexed="81"/>
            <rFont val="Tahoma"/>
            <family val="2"/>
          </rPr>
          <t xml:space="preserve">
SunCoast road disruption impacted EBITDA by $1m, lower hold on Super Bowl another $1m </t>
        </r>
      </text>
    </comment>
    <comment ref="BH312" authorId="6">
      <text>
        <r>
          <rPr>
            <b/>
            <sz val="9"/>
            <color indexed="81"/>
            <rFont val="Tahoma"/>
            <family val="2"/>
          </rPr>
          <t>Allen, Thomas (Research):</t>
        </r>
        <r>
          <rPr>
            <sz val="9"/>
            <color indexed="81"/>
            <rFont val="Tahoma"/>
            <family val="2"/>
          </rPr>
          <t xml:space="preserve">
Expect another ~$1m impact in 2Q from road excavation outside Suncoast, finish in June.
Orleans and Gold Coast EBITDA up over 20%</t>
        </r>
      </text>
    </comment>
    <comment ref="BI312" authorId="6">
      <text>
        <r>
          <rPr>
            <b/>
            <sz val="9"/>
            <color indexed="81"/>
            <rFont val="Tahoma"/>
            <family val="2"/>
          </rPr>
          <t>Allen, Thomas (Research):</t>
        </r>
        <r>
          <rPr>
            <sz val="9"/>
            <color indexed="81"/>
            <rFont val="Tahoma"/>
            <family val="2"/>
          </rPr>
          <t xml:space="preserve">
Maybe a few $100k remaining impact from road disruption at Suncoast, despite road finished, residual customer impact</t>
        </r>
      </text>
    </comment>
    <comment ref="BK312" authorId="5">
      <text>
        <r>
          <rPr>
            <b/>
            <sz val="9"/>
            <color indexed="81"/>
            <rFont val="Tahoma"/>
            <family val="2"/>
          </rPr>
          <t>Savino, Mark (Research):</t>
        </r>
        <r>
          <rPr>
            <sz val="9"/>
            <color indexed="81"/>
            <rFont val="Tahoma"/>
            <family val="2"/>
          </rPr>
          <t xml:space="preserve">
3Q15: +7%
(2Q15) +5-5.5%
(1Q15): +2-3% ex $1m impact in 2Q from Suncoast (and maybe another couple $100k in 3Q)
Per 4Q14 call: expect 2-3% EBITDA growth</t>
        </r>
      </text>
    </comment>
    <comment ref="BM312" authorId="6">
      <text>
        <r>
          <rPr>
            <b/>
            <sz val="9"/>
            <color indexed="81"/>
            <rFont val="Tahoma"/>
            <family val="2"/>
          </rPr>
          <t>Allen, Thomas (Research):</t>
        </r>
        <r>
          <rPr>
            <sz val="9"/>
            <color indexed="81"/>
            <rFont val="Tahoma"/>
            <family val="2"/>
          </rPr>
          <t xml:space="preserve">
April +12%, June +10%, May weak b/c tough comp</t>
        </r>
      </text>
    </comment>
    <comment ref="BN312" authorId="6">
      <text>
        <r>
          <rPr>
            <b/>
            <sz val="9"/>
            <color indexed="81"/>
            <rFont val="Tahoma"/>
            <family val="2"/>
          </rPr>
          <t>Allen, Thomas (Research):</t>
        </r>
        <r>
          <rPr>
            <sz val="9"/>
            <color indexed="81"/>
            <rFont val="Tahoma"/>
            <family val="2"/>
          </rPr>
          <t xml:space="preserve">
First 4 weeks of July similar strong performance to June</t>
        </r>
      </text>
    </comment>
    <comment ref="BP312" authorId="5">
      <text>
        <r>
          <rPr>
            <b/>
            <sz val="9"/>
            <color indexed="81"/>
            <rFont val="Tahoma"/>
            <family val="2"/>
          </rPr>
          <t>Savino, Mark (Research):</t>
        </r>
        <r>
          <rPr>
            <sz val="9"/>
            <color indexed="81"/>
            <rFont val="Tahoma"/>
            <family val="2"/>
          </rPr>
          <t xml:space="preserve">
3Q16: Expect 11-12% EBITDA growth in 2016 including Aliante</t>
        </r>
      </text>
    </comment>
    <comment ref="BQ312" authorId="5">
      <text>
        <r>
          <rPr>
            <b/>
            <sz val="9"/>
            <color indexed="81"/>
            <rFont val="Tahoma"/>
            <family val="2"/>
          </rPr>
          <t>Savino, Mark (Research):</t>
        </r>
        <r>
          <rPr>
            <sz val="9"/>
            <color indexed="81"/>
            <rFont val="Tahoma"/>
            <family val="2"/>
          </rPr>
          <t xml:space="preserve">
Aliante / Cannery EBITDA up 17% y/y with margins up 385bps y/y</t>
        </r>
      </text>
    </comment>
    <comment ref="BO313" authorId="6">
      <text>
        <r>
          <rPr>
            <b/>
            <sz val="9"/>
            <color indexed="81"/>
            <rFont val="Tahoma"/>
            <family val="2"/>
          </rPr>
          <t>Allen, Thomas (Research):</t>
        </r>
        <r>
          <rPr>
            <sz val="9"/>
            <color indexed="81"/>
            <rFont val="Tahoma"/>
            <family val="2"/>
          </rPr>
          <t xml:space="preserve">
Per mgmt, previously said Aliante would do $5m of EBITDA in the qtr. Cannery likely $0.5-1.0m as only closed in mid-Dec
Slightly lower organic growth than 3Q16</t>
        </r>
      </text>
    </comment>
    <comment ref="BP313" authorId="6">
      <text>
        <r>
          <rPr>
            <b/>
            <sz val="9"/>
            <color indexed="81"/>
            <rFont val="Tahoma"/>
            <family val="2"/>
          </rPr>
          <t>Allen, Thomas (Research):</t>
        </r>
        <r>
          <rPr>
            <sz val="9"/>
            <color indexed="81"/>
            <rFont val="Tahoma"/>
            <family val="2"/>
          </rPr>
          <t xml:space="preserve">
2Q16: Reiterated 6.5% growth for full year
1Q16: +6.5% pre-acquisitions
4Q15 guidance: +5.5%</t>
        </r>
      </text>
    </comment>
    <comment ref="BQ313" authorId="5">
      <text>
        <r>
          <rPr>
            <b/>
            <sz val="9"/>
            <color indexed="81"/>
            <rFont val="Tahoma"/>
            <family val="2"/>
          </rPr>
          <t>Savino, Mark (Research):</t>
        </r>
        <r>
          <rPr>
            <sz val="9"/>
            <color indexed="81"/>
            <rFont val="Tahoma"/>
            <family val="2"/>
          </rPr>
          <t xml:space="preserve">
Per mgmt, double digit EBITDA growth both overall and on a same-store basis
Implies $13.7m of Aliante and Cannery EBITDA in 1Q, mgmt said not at $60m runrate yet</t>
        </r>
      </text>
    </comment>
    <comment ref="BT313" authorId="6">
      <text>
        <r>
          <rPr>
            <b/>
            <sz val="9"/>
            <color indexed="81"/>
            <rFont val="Tahoma"/>
            <family val="2"/>
          </rPr>
          <t>Allen, Thomas (Research):</t>
        </r>
        <r>
          <rPr>
            <sz val="9"/>
            <color indexed="81"/>
            <rFont val="Tahoma"/>
            <family val="2"/>
          </rPr>
          <t xml:space="preserve">
Incl. Aliante, DD growth (this excl Aliante)</t>
        </r>
      </text>
    </comment>
    <comment ref="BQ314" authorId="5">
      <text>
        <r>
          <rPr>
            <b/>
            <sz val="9"/>
            <color indexed="81"/>
            <rFont val="Tahoma"/>
            <family val="2"/>
          </rPr>
          <t>Savino, Mark (Research):</t>
        </r>
        <r>
          <rPr>
            <sz val="9"/>
            <color indexed="81"/>
            <rFont val="Tahoma"/>
            <family val="2"/>
          </rPr>
          <t xml:space="preserve">
1Q17: Per mgmt, not yet run-rating at the $62m pro forma target</t>
        </r>
      </text>
    </comment>
    <comment ref="A327" authorId="3">
      <text>
        <r>
          <rPr>
            <b/>
            <sz val="8"/>
            <color indexed="81"/>
            <rFont val="Tahoma"/>
            <family val="2"/>
          </rPr>
          <t>thallen:</t>
        </r>
        <r>
          <rPr>
            <sz val="8"/>
            <color indexed="81"/>
            <rFont val="Tahoma"/>
            <family val="2"/>
          </rPr>
          <t xml:space="preserve">
BYD controls 1/3 of total market</t>
        </r>
      </text>
    </comment>
    <comment ref="V328" authorId="16">
      <text>
        <r>
          <rPr>
            <b/>
            <sz val="10"/>
            <color indexed="81"/>
            <rFont val="Tahoma"/>
            <family val="2"/>
          </rPr>
          <t>Thallen:</t>
        </r>
        <r>
          <rPr>
            <sz val="10"/>
            <color indexed="81"/>
            <rFont val="Tahoma"/>
            <family val="2"/>
          </rPr>
          <t xml:space="preserve">
California - 1146
Fremont - 1086
Main Street - 905 slots</t>
        </r>
      </text>
    </comment>
    <comment ref="V329" authorId="16">
      <text>
        <r>
          <rPr>
            <b/>
            <sz val="10"/>
            <color indexed="81"/>
            <rFont val="Tahoma"/>
            <family val="2"/>
          </rPr>
          <t>Thallen:</t>
        </r>
        <r>
          <rPr>
            <sz val="10"/>
            <color indexed="81"/>
            <rFont val="Tahoma"/>
            <family val="2"/>
          </rPr>
          <t xml:space="preserve">
California - 34
Fremont - 26
Main Street - 19 tables</t>
        </r>
      </text>
    </comment>
    <comment ref="V333" authorId="16">
      <text>
        <r>
          <rPr>
            <b/>
            <sz val="10"/>
            <color indexed="81"/>
            <rFont val="Tahoma"/>
            <family val="2"/>
          </rPr>
          <t>Thallen:</t>
        </r>
        <r>
          <rPr>
            <sz val="10"/>
            <color indexed="81"/>
            <rFont val="Tahoma"/>
            <family val="2"/>
          </rPr>
          <t xml:space="preserve">
California - 781
Fremont - 447
Main Street - 406 rooms</t>
        </r>
      </text>
    </comment>
    <comment ref="X337" authorId="16">
      <text>
        <r>
          <rPr>
            <b/>
            <sz val="10"/>
            <color indexed="81"/>
            <rFont val="Tahoma"/>
            <family val="2"/>
          </rPr>
          <t>Thallen:</t>
        </r>
        <r>
          <rPr>
            <sz val="10"/>
            <color indexed="81"/>
            <rFont val="Tahoma"/>
            <family val="2"/>
          </rPr>
          <t xml:space="preserve">
Continue to see weakness in Downtown market as lower-income consumer can't afford LV holiday</t>
        </r>
      </text>
    </comment>
    <comment ref="Y337" authorId="16">
      <text>
        <r>
          <rPr>
            <b/>
            <sz val="10"/>
            <color indexed="81"/>
            <rFont val="Tahoma"/>
            <family val="2"/>
          </rPr>
          <t>Thallen:</t>
        </r>
        <r>
          <rPr>
            <sz val="10"/>
            <color indexed="81"/>
            <rFont val="Tahoma"/>
            <family val="2"/>
          </rPr>
          <t xml:space="preserve">
Continue to see weakness in Downtown market as lower-income consumer can't afford LV holiday</t>
        </r>
      </text>
    </comment>
    <comment ref="Z337" authorId="16">
      <text>
        <r>
          <rPr>
            <b/>
            <sz val="10"/>
            <color indexed="81"/>
            <rFont val="Tahoma"/>
            <family val="2"/>
          </rPr>
          <t>Thallen:</t>
        </r>
        <r>
          <rPr>
            <sz val="10"/>
            <color indexed="81"/>
            <rFont val="Tahoma"/>
            <family val="2"/>
          </rPr>
          <t xml:space="preserve">
Continue to see drop in revenue from flight capacity cuts ("significant reduction in commercial airline set capacity from Hawaii")</t>
        </r>
      </text>
    </comment>
    <comment ref="AA337" authorId="16">
      <text>
        <r>
          <rPr>
            <b/>
            <sz val="10"/>
            <color indexed="81"/>
            <rFont val="Tahoma"/>
            <family val="2"/>
          </rPr>
          <t>Thallen:</t>
        </r>
        <r>
          <rPr>
            <sz val="10"/>
            <color indexed="81"/>
            <rFont val="Tahoma"/>
            <family val="2"/>
          </rPr>
          <t xml:space="preserve">
Continue to see drop in revenue from flight capacity cuts</t>
        </r>
      </text>
    </comment>
    <comment ref="D339" authorId="25">
      <text>
        <r>
          <rPr>
            <b/>
            <sz val="10"/>
            <color indexed="81"/>
            <rFont val="Tahoma"/>
            <family val="2"/>
          </rPr>
          <t>Celeste Mellet Brown:</t>
        </r>
        <r>
          <rPr>
            <sz val="10"/>
            <color indexed="81"/>
            <rFont val="Tahoma"/>
            <family val="2"/>
          </rPr>
          <t xml:space="preserve">
Negatively impacted by Noro virus, includes $11.2mm Vacations Hawaii revenue</t>
        </r>
      </text>
    </comment>
    <comment ref="I339" authorId="18">
      <text>
        <r>
          <rPr>
            <b/>
            <sz val="10"/>
            <color indexed="81"/>
            <rFont val="Tahoma"/>
            <family val="2"/>
          </rPr>
          <t>Chris Metli:</t>
        </r>
        <r>
          <rPr>
            <sz val="10"/>
            <color indexed="81"/>
            <rFont val="Tahoma"/>
            <family val="2"/>
          </rPr>
          <t xml:space="preserve">
Includes $12.8mm Vacations Hawaii revenue</t>
        </r>
      </text>
    </comment>
    <comment ref="J339" authorId="18">
      <text>
        <r>
          <rPr>
            <b/>
            <sz val="10"/>
            <color indexed="81"/>
            <rFont val="Tahoma"/>
            <family val="2"/>
          </rPr>
          <t>Chris Metli:</t>
        </r>
        <r>
          <rPr>
            <sz val="10"/>
            <color indexed="81"/>
            <rFont val="Tahoma"/>
            <family val="2"/>
          </rPr>
          <t xml:space="preserve">
Includes $14.8mm Vacations Hawaii revenue</t>
        </r>
      </text>
    </comment>
    <comment ref="L339" authorId="18">
      <text>
        <r>
          <rPr>
            <b/>
            <sz val="10"/>
            <color indexed="81"/>
            <rFont val="Tahoma"/>
            <family val="2"/>
          </rPr>
          <t>Chris Metli:</t>
        </r>
        <r>
          <rPr>
            <sz val="10"/>
            <color indexed="81"/>
            <rFont val="Tahoma"/>
            <family val="2"/>
          </rPr>
          <t xml:space="preserve">
Includes $13.9mm Vacations Hawaii revenue</t>
        </r>
      </text>
    </comment>
    <comment ref="AX340" authorId="7">
      <text>
        <r>
          <rPr>
            <b/>
            <sz val="8"/>
            <color indexed="81"/>
            <rFont val="Tahoma"/>
            <family val="2"/>
          </rPr>
          <t>savinmar:</t>
        </r>
        <r>
          <rPr>
            <sz val="8"/>
            <color indexed="81"/>
            <rFont val="Tahoma"/>
            <family val="2"/>
          </rPr>
          <t xml:space="preserve">
1) Improved biz volumes driven by increased visitor traffic along Fremont Street
2) New mkting to Hawaiian customers
3) Improved performance at charter service</t>
        </r>
      </text>
    </comment>
    <comment ref="AY340" authorId="3">
      <text>
        <r>
          <rPr>
            <b/>
            <sz val="8"/>
            <color indexed="81"/>
            <rFont val="Tahoma"/>
            <family val="2"/>
          </rPr>
          <t>thallen:</t>
        </r>
        <r>
          <rPr>
            <sz val="8"/>
            <color indexed="81"/>
            <rFont val="Tahoma"/>
            <family val="2"/>
          </rPr>
          <t xml:space="preserve">
Construction disruption on Fremont Street</t>
        </r>
      </text>
    </comment>
    <comment ref="AZ340" authorId="3">
      <text>
        <r>
          <rPr>
            <b/>
            <sz val="8"/>
            <color indexed="81"/>
            <rFont val="Tahoma"/>
            <family val="2"/>
          </rPr>
          <t>thallen:</t>
        </r>
        <r>
          <rPr>
            <sz val="8"/>
            <color indexed="81"/>
            <rFont val="Tahoma"/>
            <family val="2"/>
          </rPr>
          <t xml:space="preserve">
Downtown Grand (competition) opened Oct 28</t>
        </r>
      </text>
    </comment>
    <comment ref="BA340" authorId="3">
      <text>
        <r>
          <rPr>
            <b/>
            <sz val="8"/>
            <color indexed="81"/>
            <rFont val="Tahoma"/>
            <family val="2"/>
          </rPr>
          <t>thallen:</t>
        </r>
        <r>
          <rPr>
            <sz val="8"/>
            <color indexed="81"/>
            <rFont val="Tahoma"/>
            <family val="2"/>
          </rPr>
          <t xml:space="preserve">
In 4Q12, cut charter flights from 5 to 4. Drag on rev but also cost savings. </t>
        </r>
      </text>
    </comment>
    <comment ref="BB340" authorId="3">
      <text>
        <r>
          <rPr>
            <b/>
            <sz val="8"/>
            <color indexed="81"/>
            <rFont val="Tahoma"/>
            <family val="2"/>
          </rPr>
          <t>thallen:</t>
        </r>
        <r>
          <rPr>
            <sz val="8"/>
            <color indexed="81"/>
            <rFont val="Tahoma"/>
            <family val="2"/>
          </rPr>
          <t xml:space="preserve">
Overflow from Strip b/c of strong citywide calendar. Mgmt noted strength on 4Q call.</t>
        </r>
      </text>
    </comment>
    <comment ref="BC340" authorId="5">
      <text>
        <r>
          <rPr>
            <b/>
            <sz val="9"/>
            <color indexed="81"/>
            <rFont val="Tahoma"/>
            <family val="2"/>
          </rPr>
          <t>Savino, Mark (Research):</t>
        </r>
        <r>
          <rPr>
            <sz val="9"/>
            <color indexed="81"/>
            <rFont val="Tahoma"/>
            <family val="2"/>
          </rPr>
          <t xml:space="preserve">
Very low visitation in May/June but picked back up again in July</t>
        </r>
      </text>
    </comment>
    <comment ref="BD340" authorId="3">
      <text>
        <r>
          <rPr>
            <b/>
            <sz val="8"/>
            <color indexed="81"/>
            <rFont val="Tahoma"/>
            <family val="2"/>
          </rPr>
          <t>thallen:</t>
        </r>
        <r>
          <rPr>
            <sz val="8"/>
            <color indexed="81"/>
            <rFont val="Tahoma"/>
            <family val="2"/>
          </rPr>
          <t xml:space="preserve">
2Q call: Low visitation in May/June, but rebounded in July
SLS opening mid-2014 draw people to N. of the Strip</t>
        </r>
      </text>
    </comment>
    <comment ref="BF340" authorId="3">
      <text>
        <r>
          <rPr>
            <b/>
            <sz val="8"/>
            <color indexed="81"/>
            <rFont val="Tahoma"/>
            <family val="2"/>
          </rPr>
          <t>thallen:</t>
        </r>
        <r>
          <rPr>
            <sz val="8"/>
            <color indexed="81"/>
            <rFont val="Tahoma"/>
            <family val="2"/>
          </rPr>
          <t xml:space="preserve">
Expect Downtown Grand could actually benefit market making it an attraction. Also SLS opening mid-2014 draw people to N. of the Strip</t>
        </r>
      </text>
    </comment>
    <comment ref="BG340" authorId="6">
      <text>
        <r>
          <rPr>
            <b/>
            <sz val="9"/>
            <color indexed="81"/>
            <rFont val="Tahoma"/>
            <family val="2"/>
          </rPr>
          <t>Allen, Thomas (Research):</t>
        </r>
        <r>
          <rPr>
            <sz val="9"/>
            <color indexed="81"/>
            <rFont val="Tahoma"/>
            <family val="2"/>
          </rPr>
          <t xml:space="preserve">
Non-gaming up &gt;3%</t>
        </r>
      </text>
    </comment>
    <comment ref="BN340" authorId="5">
      <text>
        <r>
          <rPr>
            <b/>
            <sz val="9"/>
            <color indexed="81"/>
            <rFont val="Tahoma"/>
            <family val="2"/>
          </rPr>
          <t>Savino, Mark (Research):</t>
        </r>
        <r>
          <rPr>
            <sz val="9"/>
            <color indexed="81"/>
            <rFont val="Tahoma"/>
            <family val="2"/>
          </rPr>
          <t xml:space="preserve">
3Q16: Negatively impacted by renovations, which reduced room supply by 14% in Sept and will continue into 4Q</t>
        </r>
      </text>
    </comment>
    <comment ref="BO340" authorId="6">
      <text>
        <r>
          <rPr>
            <b/>
            <sz val="9"/>
            <color indexed="81"/>
            <rFont val="Tahoma"/>
            <family val="2"/>
          </rPr>
          <t>Allen, Thomas (Research):</t>
        </r>
        <r>
          <rPr>
            <sz val="9"/>
            <color indexed="81"/>
            <rFont val="Tahoma"/>
            <family val="2"/>
          </rPr>
          <t xml:space="preserve">
3Q16: Also renovation disruption at California
2Q16: Mgmt noted record 4Q15 tough comp
</t>
        </r>
      </text>
    </comment>
    <comment ref="BQ340" authorId="6">
      <text>
        <r>
          <rPr>
            <b/>
            <sz val="9"/>
            <color indexed="81"/>
            <rFont val="Tahoma"/>
            <family val="2"/>
          </rPr>
          <t>Allen, Thomas (Research):</t>
        </r>
        <r>
          <rPr>
            <sz val="9"/>
            <color indexed="81"/>
            <rFont val="Tahoma"/>
            <family val="2"/>
          </rPr>
          <t xml:space="preserve">
Renovations ended at California end of Jan
Con/Agg likely benefitted</t>
        </r>
      </text>
    </comment>
    <comment ref="BR340" authorId="5">
      <text>
        <r>
          <rPr>
            <b/>
            <sz val="9"/>
            <color indexed="81"/>
            <rFont val="Tahoma"/>
            <family val="2"/>
          </rPr>
          <t>Savino, Mark (Research):</t>
        </r>
        <r>
          <rPr>
            <sz val="9"/>
            <color indexed="81"/>
            <rFont val="Tahoma"/>
            <family val="2"/>
          </rPr>
          <t xml:space="preserve">
Negatively impacted by California room remodel, had to take out whole hotel tower, so rooms were down 40% y/y. Impact started in June and will continue into July, and then phase rooms back in after that</t>
        </r>
      </text>
    </comment>
    <comment ref="BS340" authorId="5">
      <text>
        <r>
          <rPr>
            <b/>
            <sz val="9"/>
            <color indexed="81"/>
            <rFont val="Tahoma"/>
            <family val="2"/>
          </rPr>
          <t>Savino, Mark (Research):</t>
        </r>
        <r>
          <rPr>
            <sz val="9"/>
            <color indexed="81"/>
            <rFont val="Tahoma"/>
            <family val="2"/>
          </rPr>
          <t xml:space="preserve">
3Q17 call: CA room came online at end of August, and Sept was a really strong month for the industry in general. All 3 properties grew revenue / EBITDA
Negatively impacted by California room remodel, had to take out whole hotel tower, so rooms were down 40% y/y. Impact started in June and will continue into July, and then phase rooms back in after that, rooms back online in 4Q</t>
        </r>
      </text>
    </comment>
    <comment ref="BT340" authorId="6">
      <text>
        <r>
          <rPr>
            <b/>
            <sz val="9"/>
            <color indexed="81"/>
            <rFont val="Tahoma"/>
            <family val="2"/>
          </rPr>
          <t>Allen, Thomas (Research):</t>
        </r>
        <r>
          <rPr>
            <sz val="9"/>
            <color indexed="81"/>
            <rFont val="Tahoma"/>
            <family val="2"/>
          </rPr>
          <t xml:space="preserve">
4Q17: 25% cash ADR increase at California
Get Cal rooms back online, and per mgmt should see some benefit over time as it ramps</t>
        </r>
      </text>
    </comment>
    <comment ref="BV340" authorId="5">
      <text>
        <r>
          <rPr>
            <b/>
            <sz val="9"/>
            <color indexed="81"/>
            <rFont val="Tahoma"/>
            <family val="2"/>
          </rPr>
          <t>Savino, Mark (Research):</t>
        </r>
        <r>
          <rPr>
            <sz val="9"/>
            <color indexed="81"/>
            <rFont val="Tahoma"/>
            <family val="2"/>
          </rPr>
          <t xml:space="preserve">
Benefit of California room remodel</t>
        </r>
      </text>
    </comment>
    <comment ref="BW340" authorId="5">
      <text>
        <r>
          <rPr>
            <b/>
            <sz val="9"/>
            <color indexed="81"/>
            <rFont val="Tahoma"/>
            <family val="2"/>
          </rPr>
          <t>Savino, Mark (Research):</t>
        </r>
        <r>
          <rPr>
            <sz val="9"/>
            <color indexed="81"/>
            <rFont val="Tahoma"/>
            <family val="2"/>
          </rPr>
          <t xml:space="preserve">
Benefit of California room remodel</t>
        </r>
      </text>
    </comment>
    <comment ref="BX340" authorId="5">
      <text>
        <r>
          <rPr>
            <b/>
            <sz val="9"/>
            <color indexed="81"/>
            <rFont val="Tahoma"/>
            <family val="2"/>
          </rPr>
          <t>Savino, Mark (Research):</t>
        </r>
        <r>
          <rPr>
            <sz val="9"/>
            <color indexed="81"/>
            <rFont val="Tahoma"/>
            <family val="2"/>
          </rPr>
          <t xml:space="preserve">
Benefit of California room remodel, but tough comp with very strong Sept</t>
        </r>
      </text>
    </comment>
    <comment ref="BY340" authorId="5">
      <text>
        <r>
          <rPr>
            <b/>
            <sz val="9"/>
            <color indexed="81"/>
            <rFont val="Tahoma"/>
            <family val="2"/>
          </rPr>
          <t>Savino, Mark (Research):</t>
        </r>
        <r>
          <rPr>
            <sz val="9"/>
            <color indexed="81"/>
            <rFont val="Tahoma"/>
            <family val="2"/>
          </rPr>
          <t xml:space="preserve">
Benefit of California room remodel</t>
        </r>
      </text>
    </comment>
    <comment ref="BA343" authorId="3">
      <text>
        <r>
          <rPr>
            <b/>
            <sz val="8"/>
            <color indexed="81"/>
            <rFont val="Tahoma"/>
            <family val="2"/>
          </rPr>
          <t>thallen:</t>
        </r>
        <r>
          <rPr>
            <sz val="8"/>
            <color indexed="81"/>
            <rFont val="Tahoma"/>
            <family val="2"/>
          </rPr>
          <t xml:space="preserve">
In 4Q12, cut charter flights from 5 to 4. Drag on rev but also cost savings. </t>
        </r>
      </text>
    </comment>
    <comment ref="BE343" authorId="5">
      <text>
        <r>
          <rPr>
            <b/>
            <sz val="9"/>
            <color indexed="81"/>
            <rFont val="Tahoma"/>
            <family val="2"/>
          </rPr>
          <t>Savino, Mark (Research):</t>
        </r>
        <r>
          <rPr>
            <sz val="9"/>
            <color indexed="81"/>
            <rFont val="Tahoma"/>
            <family val="2"/>
          </rPr>
          <t xml:space="preserve">
Last year included $2m favorable tax benefit that will not repeat</t>
        </r>
      </text>
    </comment>
    <comment ref="BF343" authorId="3">
      <text>
        <r>
          <rPr>
            <b/>
            <sz val="8"/>
            <color indexed="81"/>
            <rFont val="Tahoma"/>
            <family val="2"/>
          </rPr>
          <t>thallen:</t>
        </r>
        <r>
          <rPr>
            <sz val="8"/>
            <color indexed="81"/>
            <rFont val="Tahoma"/>
            <family val="2"/>
          </rPr>
          <t xml:space="preserve">
Continued operating efficiencies</t>
        </r>
      </text>
    </comment>
    <comment ref="BT343" authorId="6">
      <text>
        <r>
          <rPr>
            <b/>
            <sz val="9"/>
            <color indexed="81"/>
            <rFont val="Tahoma"/>
            <family val="2"/>
          </rPr>
          <t>Allen, Thomas (Research):</t>
        </r>
        <r>
          <rPr>
            <sz val="9"/>
            <color indexed="81"/>
            <rFont val="Tahoma"/>
            <family val="2"/>
          </rPr>
          <t xml:space="preserve">
Increase in fuel costs for HI charters</t>
        </r>
      </text>
    </comment>
    <comment ref="Y345" authorId="16">
      <text>
        <r>
          <rPr>
            <b/>
            <sz val="10"/>
            <color indexed="81"/>
            <rFont val="Tahoma"/>
            <family val="2"/>
          </rPr>
          <t>Thallen:</t>
        </r>
        <r>
          <rPr>
            <sz val="10"/>
            <color indexed="81"/>
            <rFont val="Tahoma"/>
            <family val="2"/>
          </rPr>
          <t xml:space="preserve">
Decrease attributable to higher fuel costs for Hawaii visitors</t>
        </r>
      </text>
    </comment>
    <comment ref="AZ345" authorId="5">
      <text>
        <r>
          <rPr>
            <b/>
            <sz val="9"/>
            <color indexed="81"/>
            <rFont val="Tahoma"/>
            <family val="2"/>
          </rPr>
          <t>Savino, Mark (Research):</t>
        </r>
        <r>
          <rPr>
            <sz val="9"/>
            <color indexed="81"/>
            <rFont val="Tahoma"/>
            <family val="2"/>
          </rPr>
          <t xml:space="preserve">
Included $2m favorable tax benefit that will not repeat</t>
        </r>
      </text>
    </comment>
    <comment ref="BC345" authorId="5">
      <text>
        <r>
          <rPr>
            <b/>
            <sz val="9"/>
            <color indexed="81"/>
            <rFont val="Tahoma"/>
            <family val="2"/>
          </rPr>
          <t>Savino, Mark (Research):</t>
        </r>
        <r>
          <rPr>
            <sz val="9"/>
            <color indexed="81"/>
            <rFont val="Tahoma"/>
            <family val="2"/>
          </rPr>
          <t xml:space="preserve">
Per mgmt: 2Q14 will be similar to the prior year</t>
        </r>
      </text>
    </comment>
    <comment ref="BD345" authorId="5">
      <text>
        <r>
          <rPr>
            <b/>
            <sz val="9"/>
            <color indexed="81"/>
            <rFont val="Tahoma"/>
            <family val="2"/>
          </rPr>
          <t>Savino, Mark (Research):</t>
        </r>
        <r>
          <rPr>
            <sz val="9"/>
            <color indexed="81"/>
            <rFont val="Tahoma"/>
            <family val="2"/>
          </rPr>
          <t xml:space="preserve">
2Q call: expect 2H14 EBITDA flat y/y</t>
        </r>
      </text>
    </comment>
    <comment ref="BE345" authorId="5">
      <text>
        <r>
          <rPr>
            <b/>
            <sz val="9"/>
            <color indexed="81"/>
            <rFont val="Tahoma"/>
            <family val="2"/>
          </rPr>
          <t>Savino, Mark (Research):</t>
        </r>
        <r>
          <rPr>
            <sz val="9"/>
            <color indexed="81"/>
            <rFont val="Tahoma"/>
            <family val="2"/>
          </rPr>
          <t xml:space="preserve">
2Q call: expect 2H14 EBITDA flat y/y</t>
        </r>
      </text>
    </comment>
    <comment ref="BF345" authorId="5">
      <text>
        <r>
          <rPr>
            <b/>
            <sz val="9"/>
            <color indexed="81"/>
            <rFont val="Tahoma"/>
            <family val="2"/>
          </rPr>
          <t>Savino, Mark (Research):</t>
        </r>
        <r>
          <rPr>
            <sz val="9"/>
            <color indexed="81"/>
            <rFont val="Tahoma"/>
            <family val="2"/>
          </rPr>
          <t xml:space="preserve">
Per 4Q13 call, minimal EBITDA growth expected in 2014</t>
        </r>
      </text>
    </comment>
    <comment ref="BG345" authorId="5">
      <text>
        <r>
          <rPr>
            <b/>
            <sz val="9"/>
            <color indexed="81"/>
            <rFont val="Tahoma"/>
            <family val="2"/>
          </rPr>
          <t>Savino, Mark (Research):</t>
        </r>
        <r>
          <rPr>
            <sz val="9"/>
            <color indexed="81"/>
            <rFont val="Tahoma"/>
            <family val="2"/>
          </rPr>
          <t xml:space="preserve">
~50% of improvement from lower oil prices for HI charter
4Q call: expect 1Q15 EBITDA in line with prior year
Benefitted from increased HI customers, growth in pedestrian traffic, and lower fuel costs for charter service</t>
        </r>
      </text>
    </comment>
    <comment ref="BK345" authorId="5">
      <text>
        <r>
          <rPr>
            <b/>
            <sz val="9"/>
            <color indexed="81"/>
            <rFont val="Tahoma"/>
            <family val="2"/>
          </rPr>
          <t>Savino, Mark (Research):</t>
        </r>
        <r>
          <rPr>
            <sz val="9"/>
            <color indexed="81"/>
            <rFont val="Tahoma"/>
            <family val="2"/>
          </rPr>
          <t xml:space="preserve">
(1Q15): +2-3%
4Q call: expect EBITDA in line with 2014</t>
        </r>
      </text>
    </comment>
    <comment ref="AX346" authorId="3">
      <text>
        <r>
          <rPr>
            <b/>
            <sz val="8"/>
            <color indexed="81"/>
            <rFont val="Tahoma"/>
            <family val="2"/>
          </rPr>
          <t>thallen:</t>
        </r>
        <r>
          <rPr>
            <sz val="8"/>
            <color indexed="81"/>
            <rFont val="Tahoma"/>
            <family val="2"/>
          </rPr>
          <t xml:space="preserve">
Per 1Q call, weakness in business levels, focused on improving operating margins</t>
        </r>
      </text>
    </comment>
    <comment ref="AY346" authorId="3">
      <text>
        <r>
          <rPr>
            <b/>
            <sz val="8"/>
            <color indexed="81"/>
            <rFont val="Tahoma"/>
            <family val="2"/>
          </rPr>
          <t>thallen:</t>
        </r>
        <r>
          <rPr>
            <sz val="8"/>
            <color indexed="81"/>
            <rFont val="Tahoma"/>
            <family val="2"/>
          </rPr>
          <t xml:space="preserve">
Per 1Q call, weakness in business levels, focused on improving operating margins</t>
        </r>
      </text>
    </comment>
    <comment ref="AZ346" authorId="3">
      <text>
        <r>
          <rPr>
            <b/>
            <sz val="8"/>
            <color indexed="81"/>
            <rFont val="Tahoma"/>
            <family val="2"/>
          </rPr>
          <t>thallen:</t>
        </r>
        <r>
          <rPr>
            <sz val="8"/>
            <color indexed="81"/>
            <rFont val="Tahoma"/>
            <family val="2"/>
          </rPr>
          <t xml:space="preserve">
Per 1Q call, weakness in business levels, focused on improving operating margins</t>
        </r>
      </text>
    </comment>
    <comment ref="AO347" authorId="3">
      <text>
        <r>
          <rPr>
            <b/>
            <sz val="8"/>
            <color indexed="81"/>
            <rFont val="Tahoma"/>
            <family val="2"/>
          </rPr>
          <t>thallen:</t>
        </r>
        <r>
          <rPr>
            <sz val="8"/>
            <color indexed="81"/>
            <rFont val="Tahoma"/>
            <family val="2"/>
          </rPr>
          <t xml:space="preserve">
Property-level EBITDA grew 11%, impacted by $850k by higher fuel costs</t>
        </r>
      </text>
    </comment>
    <comment ref="BJ347" authorId="5">
      <text>
        <r>
          <rPr>
            <b/>
            <sz val="9"/>
            <color indexed="81"/>
            <rFont val="Tahoma"/>
            <family val="2"/>
          </rPr>
          <t>Savino, Mark (Research):</t>
        </r>
        <r>
          <rPr>
            <sz val="9"/>
            <color indexed="81"/>
            <rFont val="Tahoma"/>
            <family val="2"/>
          </rPr>
          <t xml:space="preserve">
Per mgmt: hard for 4Q EBITDA to be up y/y</t>
        </r>
      </text>
    </comment>
    <comment ref="BK347" authorId="5">
      <text>
        <r>
          <rPr>
            <b/>
            <sz val="9"/>
            <color indexed="81"/>
            <rFont val="Tahoma"/>
            <family val="2"/>
          </rPr>
          <t>Savino, Mark (Research):</t>
        </r>
        <r>
          <rPr>
            <sz val="9"/>
            <color indexed="81"/>
            <rFont val="Tahoma"/>
            <family val="2"/>
          </rPr>
          <t xml:space="preserve">
3Q15: 25% y/y growth
2Q15: 14% y/y growth</t>
        </r>
      </text>
    </comment>
    <comment ref="BO347" authorId="5">
      <text>
        <r>
          <rPr>
            <b/>
            <sz val="9"/>
            <color indexed="81"/>
            <rFont val="Tahoma"/>
            <family val="2"/>
          </rPr>
          <t>Savino, Mark (Research):</t>
        </r>
        <r>
          <rPr>
            <sz val="9"/>
            <color indexed="81"/>
            <rFont val="Tahoma"/>
            <family val="2"/>
          </rPr>
          <t xml:space="preserve">
2Q16 call: management called out difficult 4Q comp</t>
        </r>
      </text>
    </comment>
    <comment ref="BP347" authorId="6">
      <text>
        <r>
          <rPr>
            <b/>
            <sz val="9"/>
            <color indexed="81"/>
            <rFont val="Tahoma"/>
            <family val="2"/>
          </rPr>
          <t>Allen, Thomas (Research):</t>
        </r>
        <r>
          <rPr>
            <sz val="9"/>
            <color indexed="81"/>
            <rFont val="Tahoma"/>
            <family val="2"/>
          </rPr>
          <t xml:space="preserve">
1Q16: +6.5%
4Q15 guidance: +5.5%</t>
        </r>
      </text>
    </comment>
    <comment ref="BQ347" authorId="5">
      <text>
        <r>
          <rPr>
            <b/>
            <sz val="9"/>
            <color indexed="81"/>
            <rFont val="Tahoma"/>
            <family val="2"/>
          </rPr>
          <t>Savino, Mark (Research):</t>
        </r>
        <r>
          <rPr>
            <sz val="9"/>
            <color indexed="81"/>
            <rFont val="Tahoma"/>
            <family val="2"/>
          </rPr>
          <t xml:space="preserve">
3Q16: Expect EBITDA growth to resume in 1Q17 once renovations are complete</t>
        </r>
      </text>
    </comment>
    <comment ref="BX362" authorId="6">
      <text>
        <r>
          <rPr>
            <b/>
            <sz val="9"/>
            <color indexed="81"/>
            <rFont val="Tahoma"/>
            <family val="2"/>
          </rPr>
          <t>Allen, Thomas (Research):</t>
        </r>
        <r>
          <rPr>
            <sz val="9"/>
            <color indexed="81"/>
            <rFont val="Tahoma"/>
            <family val="2"/>
          </rPr>
          <t xml:space="preserve">
Ameristar St. Charles 397 rooms, Ameristar KC 184 rooms, and Belterra 662 rooms
Valley Forge 500 rooms</t>
        </r>
      </text>
    </comment>
    <comment ref="AP366" authorId="3">
      <text>
        <r>
          <rPr>
            <b/>
            <sz val="8"/>
            <color indexed="81"/>
            <rFont val="Tahoma"/>
            <family val="2"/>
          </rPr>
          <t>thallen:</t>
        </r>
        <r>
          <rPr>
            <sz val="8"/>
            <color indexed="81"/>
            <rFont val="Tahoma"/>
            <family val="2"/>
          </rPr>
          <t xml:space="preserve">
Acquired Oct 4, 2011 </t>
        </r>
      </text>
    </comment>
    <comment ref="AU366" authorId="26">
      <text>
        <r>
          <rPr>
            <sz val="8"/>
            <color indexed="81"/>
            <rFont val="Tahoma"/>
            <family val="2"/>
          </rPr>
          <t xml:space="preserve">IP Casino Resort Spa
</t>
        </r>
      </text>
    </comment>
    <comment ref="N370" authorId="25">
      <text>
        <r>
          <rPr>
            <b/>
            <sz val="10"/>
            <color indexed="81"/>
            <rFont val="Tahoma"/>
            <family val="2"/>
          </rPr>
          <t>Celeste Mellet Brown:</t>
        </r>
        <r>
          <rPr>
            <sz val="10"/>
            <color indexed="81"/>
            <rFont val="Tahoma"/>
            <family val="2"/>
          </rPr>
          <t xml:space="preserve">
Expansion complete, new boat expands positions - 500</t>
        </r>
      </text>
    </comment>
    <comment ref="BX378" authorId="6">
      <text>
        <r>
          <rPr>
            <b/>
            <sz val="9"/>
            <color indexed="81"/>
            <rFont val="Tahoma"/>
            <family val="2"/>
          </rPr>
          <t>Allen, Thomas (Research):</t>
        </r>
        <r>
          <rPr>
            <sz val="9"/>
            <color indexed="81"/>
            <rFont val="Tahoma"/>
            <family val="2"/>
          </rPr>
          <t xml:space="preserve">
Linked to 3Q17 actuals</t>
        </r>
      </text>
    </comment>
    <comment ref="BX379" authorId="6">
      <text>
        <r>
          <rPr>
            <b/>
            <sz val="9"/>
            <color indexed="81"/>
            <rFont val="Tahoma"/>
            <family val="2"/>
          </rPr>
          <t>Allen, Thomas (Research):</t>
        </r>
        <r>
          <rPr>
            <sz val="9"/>
            <color indexed="81"/>
            <rFont val="Tahoma"/>
            <family val="2"/>
          </rPr>
          <t xml:space="preserve">
Linked to 3Q17 actuals</t>
        </r>
      </text>
    </comment>
    <comment ref="BX380" authorId="6">
      <text>
        <r>
          <rPr>
            <b/>
            <sz val="9"/>
            <color indexed="81"/>
            <rFont val="Tahoma"/>
            <family val="2"/>
          </rPr>
          <t>Allen, Thomas (Research):</t>
        </r>
        <r>
          <rPr>
            <sz val="9"/>
            <color indexed="81"/>
            <rFont val="Tahoma"/>
            <family val="2"/>
          </rPr>
          <t xml:space="preserve">
Linked to 3Q17 actuals</t>
        </r>
      </text>
    </comment>
    <comment ref="BX381" authorId="6">
      <text>
        <r>
          <rPr>
            <b/>
            <sz val="9"/>
            <color indexed="81"/>
            <rFont val="Tahoma"/>
            <family val="2"/>
          </rPr>
          <t>Allen, Thomas (Research):</t>
        </r>
        <r>
          <rPr>
            <sz val="9"/>
            <color indexed="81"/>
            <rFont val="Tahoma"/>
            <family val="2"/>
          </rPr>
          <t xml:space="preserve">
Linked to 3Q17 actuals</t>
        </r>
      </text>
    </comment>
    <comment ref="AP387" authorId="3">
      <text>
        <r>
          <rPr>
            <b/>
            <sz val="8"/>
            <color indexed="81"/>
            <rFont val="Tahoma"/>
            <family val="2"/>
          </rPr>
          <t>thallen:</t>
        </r>
        <r>
          <rPr>
            <sz val="8"/>
            <color indexed="81"/>
            <rFont val="Tahoma"/>
            <family val="2"/>
          </rPr>
          <t xml:space="preserve">
Acquired Oct 4, 2011 </t>
        </r>
      </text>
    </comment>
    <comment ref="AU387" authorId="26">
      <text>
        <r>
          <rPr>
            <sz val="8"/>
            <color indexed="81"/>
            <rFont val="Tahoma"/>
            <family val="2"/>
          </rPr>
          <t xml:space="preserve">IP Casino Resort Spa
</t>
        </r>
      </text>
    </comment>
    <comment ref="BX399" authorId="6">
      <text>
        <r>
          <rPr>
            <b/>
            <sz val="9"/>
            <color indexed="81"/>
            <rFont val="Tahoma"/>
            <family val="2"/>
          </rPr>
          <t>Allen, Thomas (Research):</t>
        </r>
        <r>
          <rPr>
            <sz val="9"/>
            <color indexed="81"/>
            <rFont val="Tahoma"/>
            <family val="2"/>
          </rPr>
          <t xml:space="preserve">
Linked to 3Q17 actuals</t>
        </r>
      </text>
    </comment>
    <comment ref="BX400" authorId="6">
      <text>
        <r>
          <rPr>
            <b/>
            <sz val="9"/>
            <color indexed="81"/>
            <rFont val="Tahoma"/>
            <family val="2"/>
          </rPr>
          <t>Allen, Thomas (Research):</t>
        </r>
        <r>
          <rPr>
            <sz val="9"/>
            <color indexed="81"/>
            <rFont val="Tahoma"/>
            <family val="2"/>
          </rPr>
          <t xml:space="preserve">
Linked to 3Q17 actuals</t>
        </r>
      </text>
    </comment>
    <comment ref="BX401" authorId="6">
      <text>
        <r>
          <rPr>
            <b/>
            <sz val="9"/>
            <color indexed="81"/>
            <rFont val="Tahoma"/>
            <family val="2"/>
          </rPr>
          <t>Allen, Thomas (Research):</t>
        </r>
        <r>
          <rPr>
            <sz val="9"/>
            <color indexed="81"/>
            <rFont val="Tahoma"/>
            <family val="2"/>
          </rPr>
          <t xml:space="preserve">
Linked to 3Q17 actuals</t>
        </r>
      </text>
    </comment>
    <comment ref="BX402" authorId="6">
      <text>
        <r>
          <rPr>
            <b/>
            <sz val="9"/>
            <color indexed="81"/>
            <rFont val="Tahoma"/>
            <family val="2"/>
          </rPr>
          <t>Allen, Thomas (Research):</t>
        </r>
        <r>
          <rPr>
            <sz val="9"/>
            <color indexed="81"/>
            <rFont val="Tahoma"/>
            <family val="2"/>
          </rPr>
          <t xml:space="preserve">
Linked to 3Q17 actuals</t>
        </r>
      </text>
    </comment>
    <comment ref="BX403" authorId="6">
      <text>
        <r>
          <rPr>
            <b/>
            <sz val="9"/>
            <color indexed="81"/>
            <rFont val="Tahoma"/>
            <family val="2"/>
          </rPr>
          <t>Allen, Thomas (Research):</t>
        </r>
        <r>
          <rPr>
            <sz val="9"/>
            <color indexed="81"/>
            <rFont val="Tahoma"/>
            <family val="2"/>
          </rPr>
          <t xml:space="preserve">
Linked to 3Q17 actuals</t>
        </r>
      </text>
    </comment>
    <comment ref="E414" authorId="0">
      <text>
        <r>
          <rPr>
            <b/>
            <sz val="8"/>
            <color indexed="81"/>
            <rFont val="Tahoma"/>
            <family val="2"/>
          </rPr>
          <t>urbankev:</t>
        </r>
        <r>
          <rPr>
            <sz val="8"/>
            <color indexed="81"/>
            <rFont val="Tahoma"/>
            <family val="2"/>
          </rPr>
          <t xml:space="preserve">
reflects 41 days of ownership by BYD</t>
        </r>
      </text>
    </comment>
    <comment ref="AP429" authorId="13">
      <text>
        <r>
          <rPr>
            <b/>
            <sz val="8"/>
            <color indexed="81"/>
            <rFont val="Tahoma"/>
            <family val="2"/>
          </rPr>
          <t>AM: 2/21/12:</t>
        </r>
        <r>
          <rPr>
            <sz val="8"/>
            <color indexed="81"/>
            <rFont val="Tahoma"/>
            <family val="2"/>
          </rPr>
          <t xml:space="preserve">
$44.6m in revs and $8.4m of EBITDA per release
Acquired Oct 4. </t>
        </r>
      </text>
    </comment>
    <comment ref="AR429" authorId="13">
      <text>
        <r>
          <rPr>
            <b/>
            <sz val="8"/>
            <color indexed="81"/>
            <rFont val="Tahoma"/>
            <family val="2"/>
          </rPr>
          <t>AM: 4/24/12:</t>
        </r>
        <r>
          <rPr>
            <sz val="8"/>
            <color indexed="81"/>
            <rFont val="Tahoma"/>
            <family val="2"/>
          </rPr>
          <t xml:space="preserve">
$49m in revs and $12.7m of EBITDA per release</t>
        </r>
      </text>
    </comment>
    <comment ref="AS429" authorId="3">
      <text>
        <r>
          <rPr>
            <b/>
            <sz val="8"/>
            <color indexed="81"/>
            <rFont val="Tahoma"/>
            <family val="2"/>
          </rPr>
          <t>thallen:</t>
        </r>
        <r>
          <rPr>
            <sz val="8"/>
            <color indexed="81"/>
            <rFont val="Tahoma"/>
            <family val="2"/>
          </rPr>
          <t xml:space="preserve">
The IP contributed $47.3 million in net revenues and $11.5 million in EBITDA to regional results during the quarter.</t>
        </r>
      </text>
    </comment>
    <comment ref="AT429" authorId="3">
      <text>
        <r>
          <rPr>
            <b/>
            <sz val="8"/>
            <color indexed="81"/>
            <rFont val="Tahoma"/>
            <family val="2"/>
          </rPr>
          <t>thallen:</t>
        </r>
        <r>
          <rPr>
            <sz val="8"/>
            <color indexed="81"/>
            <rFont val="Tahoma"/>
            <family val="2"/>
          </rPr>
          <t xml:space="preserve">
The IP contributed $49.1 million in net revenues and $9.6 million in EBITDA to regional results during the quarter.</t>
        </r>
      </text>
    </comment>
    <comment ref="AX429" authorId="3">
      <text>
        <r>
          <rPr>
            <b/>
            <sz val="8"/>
            <color indexed="81"/>
            <rFont val="Tahoma"/>
            <family val="2"/>
          </rPr>
          <t>thallen:</t>
        </r>
        <r>
          <rPr>
            <sz val="8"/>
            <color indexed="81"/>
            <rFont val="Tahoma"/>
            <family val="2"/>
          </rPr>
          <t xml:space="preserve">
Assuming 100% flow through of lower revenue, mgmt comments that EBITDA would have been flat ex. IP imply that IP revs down $2.5mm</t>
        </r>
      </text>
    </comment>
    <comment ref="L432" authorId="18">
      <text>
        <r>
          <rPr>
            <b/>
            <sz val="10"/>
            <color indexed="81"/>
            <rFont val="Tahoma"/>
            <family val="2"/>
          </rPr>
          <t>Chris Metli:</t>
        </r>
        <r>
          <rPr>
            <sz val="10"/>
            <color indexed="81"/>
            <rFont val="Tahoma"/>
            <family val="2"/>
          </rPr>
          <t xml:space="preserve">
Open 83 days</t>
        </r>
      </text>
    </comment>
    <comment ref="Z432" authorId="16">
      <text>
        <r>
          <rPr>
            <b/>
            <sz val="10"/>
            <color indexed="81"/>
            <rFont val="Tahoma"/>
            <family val="2"/>
          </rPr>
          <t>Thallen:</t>
        </r>
        <r>
          <rPr>
            <sz val="10"/>
            <color indexed="81"/>
            <rFont val="Tahoma"/>
            <family val="2"/>
          </rPr>
          <t xml:space="preserve">
Closed for eight days from 8/30 (over Labor Day weekend) and then for two days from 9/12</t>
        </r>
      </text>
    </comment>
    <comment ref="N433" authorId="18">
      <text>
        <r>
          <rPr>
            <b/>
            <sz val="10"/>
            <color indexed="81"/>
            <rFont val="Tahoma"/>
            <family val="2"/>
          </rPr>
          <t>Chris Metli:</t>
        </r>
        <r>
          <rPr>
            <sz val="10"/>
            <color indexed="81"/>
            <rFont val="Tahoma"/>
            <family val="2"/>
          </rPr>
          <t xml:space="preserve">
Jan 31, 2006 opening of new boat
Rev up 27%
EBITDA up 32%</t>
        </r>
      </text>
    </comment>
    <comment ref="L434" authorId="18">
      <text>
        <r>
          <rPr>
            <b/>
            <sz val="10"/>
            <color indexed="81"/>
            <rFont val="Tahoma"/>
            <family val="2"/>
          </rPr>
          <t>Chris Metli:</t>
        </r>
        <r>
          <rPr>
            <sz val="10"/>
            <color indexed="81"/>
            <rFont val="Tahoma"/>
            <family val="2"/>
          </rPr>
          <t xml:space="preserve">
Open 59 days, EBITDA up 31%</t>
        </r>
      </text>
    </comment>
    <comment ref="Z434" authorId="16">
      <text>
        <r>
          <rPr>
            <b/>
            <sz val="10"/>
            <color indexed="81"/>
            <rFont val="Tahoma"/>
            <family val="2"/>
          </rPr>
          <t>Thallen:</t>
        </r>
        <r>
          <rPr>
            <sz val="10"/>
            <color indexed="81"/>
            <rFont val="Tahoma"/>
            <family val="2"/>
          </rPr>
          <t xml:space="preserve">
Closed for six days 8/30-9/4 (Labor Day timeframe), then another seven days 9/11-9/17</t>
        </r>
      </text>
    </comment>
    <comment ref="E435" authorId="27">
      <text>
        <r>
          <rPr>
            <sz val="10"/>
            <color indexed="81"/>
            <rFont val="Tahoma"/>
            <family val="2"/>
          </rPr>
          <t>This is a partial period that reflects BYD's interest for the 41 days they owned it</t>
        </r>
      </text>
    </comment>
    <comment ref="L435" authorId="18">
      <text>
        <r>
          <rPr>
            <b/>
            <sz val="10"/>
            <color indexed="81"/>
            <rFont val="Tahoma"/>
            <family val="2"/>
          </rPr>
          <t>Chris Metli:</t>
        </r>
        <r>
          <rPr>
            <sz val="10"/>
            <color indexed="81"/>
            <rFont val="Tahoma"/>
            <family val="2"/>
          </rPr>
          <t xml:space="preserve">
EBITDA up 31% on lower payroll expenses</t>
        </r>
      </text>
    </comment>
    <comment ref="AW440" authorId="3">
      <text>
        <r>
          <rPr>
            <b/>
            <sz val="8"/>
            <color indexed="81"/>
            <rFont val="Tahoma"/>
            <family val="2"/>
          </rPr>
          <t>thallen:</t>
        </r>
        <r>
          <rPr>
            <sz val="8"/>
            <color indexed="81"/>
            <rFont val="Tahoma"/>
            <family val="2"/>
          </rPr>
          <t xml:space="preserve">
Perm casino facility opened in mid-December
</t>
        </r>
      </text>
    </comment>
    <comment ref="BK440" authorId="28">
      <text>
        <r>
          <rPr>
            <b/>
            <sz val="8"/>
            <color indexed="81"/>
            <rFont val="Tahoma"/>
            <family val="2"/>
          </rPr>
          <t>AM: 11/16/12:</t>
        </r>
        <r>
          <rPr>
            <sz val="8"/>
            <color indexed="81"/>
            <rFont val="Tahoma"/>
            <family val="2"/>
          </rPr>
          <t xml:space="preserve">
Phase II expansion. Additional gaming space and 150 new hotel rooms.</t>
        </r>
      </text>
    </comment>
    <comment ref="AN447" authorId="15">
      <text>
        <r>
          <rPr>
            <b/>
            <sz val="8"/>
            <color indexed="81"/>
            <rFont val="Tahoma"/>
            <family val="2"/>
          </rPr>
          <t>danfuss:</t>
        </r>
        <r>
          <rPr>
            <sz val="8"/>
            <color indexed="81"/>
            <rFont val="Tahoma"/>
            <family val="2"/>
          </rPr>
          <t xml:space="preserve">
1.5mm above our estimates</t>
        </r>
      </text>
    </comment>
    <comment ref="AU447" authorId="5">
      <text>
        <r>
          <rPr>
            <b/>
            <sz val="9"/>
            <color indexed="81"/>
            <rFont val="Tahoma"/>
            <family val="2"/>
          </rPr>
          <t>Savino, Mark (Research):</t>
        </r>
        <r>
          <rPr>
            <sz val="9"/>
            <color indexed="81"/>
            <rFont val="Tahoma"/>
            <family val="2"/>
          </rPr>
          <t xml:space="preserve">
Includes Peninsula</t>
        </r>
      </text>
    </comment>
    <comment ref="AW450" authorId="3">
      <text>
        <r>
          <rPr>
            <b/>
            <sz val="8"/>
            <color indexed="81"/>
            <rFont val="Tahoma"/>
            <family val="2"/>
          </rPr>
          <t>thallen:</t>
        </r>
        <r>
          <rPr>
            <sz val="8"/>
            <color indexed="81"/>
            <rFont val="Tahoma"/>
            <family val="2"/>
          </rPr>
          <t xml:space="preserve">
Biloxi market tough and not a lot of rev outperformance but continue to drive operating efficiencies</t>
        </r>
      </text>
    </comment>
    <comment ref="AX450" authorId="3">
      <text>
        <r>
          <rPr>
            <b/>
            <sz val="8"/>
            <color indexed="81"/>
            <rFont val="Tahoma"/>
            <family val="2"/>
          </rPr>
          <t>thallen:</t>
        </r>
        <r>
          <rPr>
            <sz val="8"/>
            <color indexed="81"/>
            <rFont val="Tahoma"/>
            <family val="2"/>
          </rPr>
          <t xml:space="preserve">
Assuming 100% flow through of lower revenue, mgmt comments that EBITDA would have been flat ex. IP imply that IP revs down $2.5mm</t>
        </r>
      </text>
    </comment>
    <comment ref="BB450" authorId="5">
      <text>
        <r>
          <rPr>
            <b/>
            <sz val="9"/>
            <color indexed="81"/>
            <rFont val="Tahoma"/>
            <family val="2"/>
          </rPr>
          <t>Savino, Mark (Research):</t>
        </r>
        <r>
          <rPr>
            <sz val="9"/>
            <color indexed="81"/>
            <rFont val="Tahoma"/>
            <family val="2"/>
          </rPr>
          <t xml:space="preserve">
Bad weather in Jan
Per 2Q14 call, impact of new supply in AL started hitting at beg. of 2014</t>
        </r>
      </text>
    </comment>
    <comment ref="BC450" authorId="5">
      <text>
        <r>
          <rPr>
            <b/>
            <sz val="9"/>
            <color indexed="81"/>
            <rFont val="Tahoma"/>
            <family val="2"/>
          </rPr>
          <t>Savino, Mark (Research):</t>
        </r>
        <r>
          <rPr>
            <sz val="9"/>
            <color indexed="81"/>
            <rFont val="Tahoma"/>
            <family val="2"/>
          </rPr>
          <t xml:space="preserve">
Impacted by new supply in AL</t>
        </r>
      </text>
    </comment>
    <comment ref="BD450" authorId="5">
      <text>
        <r>
          <rPr>
            <b/>
            <sz val="9"/>
            <color indexed="81"/>
            <rFont val="Tahoma"/>
            <family val="2"/>
          </rPr>
          <t>Savino, Mark (Research):</t>
        </r>
        <r>
          <rPr>
            <sz val="9"/>
            <color indexed="81"/>
            <rFont val="Tahoma"/>
            <family val="2"/>
          </rPr>
          <t xml:space="preserve">
2Q call: being impacted by Native American expansion in AL which came on line earlier this year</t>
        </r>
      </text>
    </comment>
    <comment ref="BE450" authorId="5">
      <text>
        <r>
          <rPr>
            <b/>
            <sz val="9"/>
            <color indexed="81"/>
            <rFont val="Tahoma"/>
            <family val="2"/>
          </rPr>
          <t>Savino, Mark (Research):</t>
        </r>
        <r>
          <rPr>
            <sz val="9"/>
            <color indexed="81"/>
            <rFont val="Tahoma"/>
            <family val="2"/>
          </rPr>
          <t xml:space="preserve">
Continued impact from AL expansion, but blizzard on NYE last year should help y/y growth</t>
        </r>
      </text>
    </comment>
    <comment ref="BG450" authorId="6">
      <text>
        <r>
          <rPr>
            <b/>
            <sz val="9"/>
            <color indexed="81"/>
            <rFont val="Tahoma"/>
            <family val="2"/>
          </rPr>
          <t>Allen, Thomas (Research):</t>
        </r>
        <r>
          <rPr>
            <sz val="9"/>
            <color indexed="81"/>
            <rFont val="Tahoma"/>
            <family val="2"/>
          </rPr>
          <t xml:space="preserve">
Strong rev and EBITDA growth</t>
        </r>
      </text>
    </comment>
    <comment ref="BL450" authorId="5">
      <text>
        <r>
          <rPr>
            <b/>
            <sz val="9"/>
            <color indexed="81"/>
            <rFont val="Tahoma"/>
            <family val="2"/>
          </rPr>
          <t>Savino, Mark (Research):</t>
        </r>
        <r>
          <rPr>
            <sz val="9"/>
            <color indexed="81"/>
            <rFont val="Tahoma"/>
            <family val="2"/>
          </rPr>
          <t xml:space="preserve">
Impact of Scarlet Pearl opening in December</t>
        </r>
      </text>
    </comment>
    <comment ref="BM450" authorId="5">
      <text>
        <r>
          <rPr>
            <b/>
            <sz val="9"/>
            <color indexed="81"/>
            <rFont val="Tahoma"/>
            <family val="2"/>
          </rPr>
          <t>Savino, Mark (Research):</t>
        </r>
        <r>
          <rPr>
            <sz val="9"/>
            <color indexed="81"/>
            <rFont val="Tahoma"/>
            <family val="2"/>
          </rPr>
          <t xml:space="preserve">
Impact of Scarlet Pearl opening in December</t>
        </r>
      </text>
    </comment>
    <comment ref="BN450" authorId="5">
      <text>
        <r>
          <rPr>
            <b/>
            <sz val="9"/>
            <color indexed="81"/>
            <rFont val="Tahoma"/>
            <family val="2"/>
          </rPr>
          <t>Savino, Mark (Research):</t>
        </r>
        <r>
          <rPr>
            <sz val="9"/>
            <color indexed="81"/>
            <rFont val="Tahoma"/>
            <family val="2"/>
          </rPr>
          <t xml:space="preserve">
1Q16 call: Mgmt expect impact from new competition to normalize by 2H16</t>
        </r>
      </text>
    </comment>
    <comment ref="BO450" authorId="6">
      <text>
        <r>
          <rPr>
            <b/>
            <sz val="9"/>
            <color indexed="81"/>
            <rFont val="Tahoma"/>
            <family val="2"/>
          </rPr>
          <t>Allen, Thomas (Research):</t>
        </r>
        <r>
          <rPr>
            <sz val="9"/>
            <color indexed="81"/>
            <rFont val="Tahoma"/>
            <family val="2"/>
          </rPr>
          <t xml:space="preserve">
Lapping opening of Scarlett Pearl in Dec but trends have been worse than expected to-date. PENN saying SP operating uneconomically</t>
        </r>
      </text>
    </comment>
    <comment ref="BT450" authorId="5">
      <text>
        <r>
          <rPr>
            <b/>
            <sz val="9"/>
            <color indexed="81"/>
            <rFont val="Tahoma"/>
            <family val="2"/>
          </rPr>
          <t>Savino, Mark (Research):</t>
        </r>
        <r>
          <rPr>
            <sz val="9"/>
            <color indexed="81"/>
            <rFont val="Tahoma"/>
            <family val="2"/>
          </rPr>
          <t xml:space="preserve">
Closed in October for a weekend during a big event because of Hurricane Nate</t>
        </r>
      </text>
    </comment>
    <comment ref="BY450" authorId="5">
      <text>
        <r>
          <rPr>
            <b/>
            <sz val="9"/>
            <color indexed="81"/>
            <rFont val="Tahoma"/>
            <family val="2"/>
          </rPr>
          <t>Savino, Mark (Research):</t>
        </r>
        <r>
          <rPr>
            <sz val="9"/>
            <color indexed="81"/>
            <rFont val="Tahoma"/>
            <family val="2"/>
          </rPr>
          <t xml:space="preserve">
Lapping weekend closure in 4Q17 as a result of Hurricane Nate</t>
        </r>
      </text>
    </comment>
    <comment ref="AM451" authorId="15">
      <text>
        <r>
          <rPr>
            <b/>
            <sz val="8"/>
            <color indexed="81"/>
            <rFont val="Tahoma"/>
            <family val="2"/>
          </rPr>
          <t>danfuss:</t>
        </r>
        <r>
          <rPr>
            <sz val="8"/>
            <color indexed="81"/>
            <rFont val="Tahoma"/>
            <family val="2"/>
          </rPr>
          <t xml:space="preserve">
Affected by weather</t>
        </r>
      </text>
    </comment>
    <comment ref="AN451" authorId="15">
      <text>
        <r>
          <rPr>
            <b/>
            <sz val="8"/>
            <color indexed="81"/>
            <rFont val="Tahoma"/>
            <family val="2"/>
          </rPr>
          <t>danfuss:</t>
        </r>
        <r>
          <rPr>
            <sz val="8"/>
            <color indexed="81"/>
            <rFont val="Tahoma"/>
            <family val="2"/>
          </rPr>
          <t xml:space="preserve">
Closed for 25 days in Maydue to Flooding</t>
        </r>
      </text>
    </comment>
    <comment ref="AS451" authorId="9">
      <text>
        <r>
          <rPr>
            <b/>
            <sz val="8"/>
            <color indexed="81"/>
            <rFont val="Tahoma"/>
            <family val="2"/>
          </rPr>
          <t>AM: 4/24/12:</t>
        </r>
        <r>
          <rPr>
            <sz val="8"/>
            <color indexed="81"/>
            <rFont val="Tahoma"/>
            <family val="2"/>
          </rPr>
          <t xml:space="preserve">
Property closed for 25 days in 2Q11 due to flooding.</t>
        </r>
      </text>
    </comment>
    <comment ref="BA451" authorId="3">
      <text>
        <r>
          <rPr>
            <b/>
            <sz val="8"/>
            <color indexed="81"/>
            <rFont val="Tahoma"/>
            <family val="2"/>
          </rPr>
          <t>thallen:</t>
        </r>
        <r>
          <rPr>
            <sz val="8"/>
            <color indexed="81"/>
            <rFont val="Tahoma"/>
            <family val="2"/>
          </rPr>
          <t xml:space="preserve">
Market remains weak / very competitive (no new supply, just low demand and supply hasn't gone away</t>
        </r>
      </text>
    </comment>
    <comment ref="BB451" authorId="5">
      <text>
        <r>
          <rPr>
            <b/>
            <sz val="9"/>
            <color indexed="81"/>
            <rFont val="Tahoma"/>
            <family val="2"/>
          </rPr>
          <t>Savino, Mark (Research):</t>
        </r>
        <r>
          <rPr>
            <sz val="9"/>
            <color indexed="81"/>
            <rFont val="Tahoma"/>
            <family val="2"/>
          </rPr>
          <t xml:space="preserve">
Bad weather in Jan</t>
        </r>
      </text>
    </comment>
    <comment ref="BF451" authorId="3">
      <text>
        <r>
          <rPr>
            <b/>
            <sz val="8"/>
            <color indexed="81"/>
            <rFont val="Tahoma"/>
            <family val="2"/>
          </rPr>
          <t>thallen:</t>
        </r>
        <r>
          <rPr>
            <sz val="8"/>
            <color indexed="81"/>
            <rFont val="Tahoma"/>
            <family val="2"/>
          </rPr>
          <t xml:space="preserve">
Market remains weak / very competitive (no new supply, just low demand and supply hasn't gone away</t>
        </r>
      </text>
    </comment>
    <comment ref="BG451" authorId="6">
      <text>
        <r>
          <rPr>
            <b/>
            <sz val="9"/>
            <color indexed="81"/>
            <rFont val="Tahoma"/>
            <family val="2"/>
          </rPr>
          <t>Allen, Thomas (Research):</t>
        </r>
        <r>
          <rPr>
            <sz val="9"/>
            <color indexed="81"/>
            <rFont val="Tahoma"/>
            <family val="2"/>
          </rPr>
          <t xml:space="preserve">
One of 2 properties with negative rev growth</t>
        </r>
      </text>
    </comment>
    <comment ref="AM452" authorId="15">
      <text>
        <r>
          <rPr>
            <b/>
            <sz val="8"/>
            <color indexed="81"/>
            <rFont val="Tahoma"/>
            <family val="2"/>
          </rPr>
          <t>danfuss:</t>
        </r>
        <r>
          <rPr>
            <sz val="8"/>
            <color indexed="81"/>
            <rFont val="Tahoma"/>
            <family val="2"/>
          </rPr>
          <t xml:space="preserve">
Affected by weather</t>
        </r>
      </text>
    </comment>
    <comment ref="AW452" authorId="3">
      <text>
        <r>
          <rPr>
            <b/>
            <sz val="8"/>
            <color indexed="81"/>
            <rFont val="Tahoma"/>
            <family val="2"/>
          </rPr>
          <t>thallen:</t>
        </r>
        <r>
          <rPr>
            <sz val="8"/>
            <color indexed="81"/>
            <rFont val="Tahoma"/>
            <family val="2"/>
          </rPr>
          <t xml:space="preserve">
Midwest weather biggest impact in 1Q</t>
        </r>
      </text>
    </comment>
    <comment ref="AY452" authorId="3">
      <text>
        <r>
          <rPr>
            <b/>
            <sz val="8"/>
            <color indexed="81"/>
            <rFont val="Tahoma"/>
            <family val="2"/>
          </rPr>
          <t>thallen:</t>
        </r>
        <r>
          <rPr>
            <sz val="8"/>
            <color indexed="81"/>
            <rFont val="Tahoma"/>
            <family val="2"/>
          </rPr>
          <t xml:space="preserve">
Impacted by slot machines opening up at bars in IL</t>
        </r>
      </text>
    </comment>
    <comment ref="AZ452" authorId="3">
      <text>
        <r>
          <rPr>
            <b/>
            <sz val="8"/>
            <color indexed="81"/>
            <rFont val="Tahoma"/>
            <family val="2"/>
          </rPr>
          <t>thallen:</t>
        </r>
        <r>
          <rPr>
            <sz val="8"/>
            <color indexed="81"/>
            <rFont val="Tahoma"/>
            <family val="2"/>
          </rPr>
          <t xml:space="preserve">
Impacted by slot machines opening up at bars in IL</t>
        </r>
      </text>
    </comment>
    <comment ref="BB452" authorId="5">
      <text>
        <r>
          <rPr>
            <b/>
            <sz val="9"/>
            <color indexed="81"/>
            <rFont val="Tahoma"/>
            <family val="2"/>
          </rPr>
          <t>Savino, Mark (Research):</t>
        </r>
        <r>
          <rPr>
            <sz val="9"/>
            <color indexed="81"/>
            <rFont val="Tahoma"/>
            <family val="2"/>
          </rPr>
          <t xml:space="preserve">
-18% in Jan</t>
        </r>
      </text>
    </comment>
    <comment ref="BC452" authorId="6">
      <text>
        <r>
          <rPr>
            <b/>
            <sz val="9"/>
            <color indexed="81"/>
            <rFont val="Tahoma"/>
            <family val="2"/>
          </rPr>
          <t>Allen, Thomas (Research):</t>
        </r>
        <r>
          <rPr>
            <sz val="9"/>
            <color indexed="81"/>
            <rFont val="Tahoma"/>
            <family val="2"/>
          </rPr>
          <t xml:space="preserve">
Will likely continue to get impacted by 15k video games terminals and bars across IL</t>
        </r>
      </text>
    </comment>
    <comment ref="BD452" authorId="6">
      <text>
        <r>
          <rPr>
            <b/>
            <sz val="9"/>
            <color indexed="81"/>
            <rFont val="Tahoma"/>
            <family val="2"/>
          </rPr>
          <t>Allen, Thomas (Research):</t>
        </r>
        <r>
          <rPr>
            <sz val="9"/>
            <color indexed="81"/>
            <rFont val="Tahoma"/>
            <family val="2"/>
          </rPr>
          <t xml:space="preserve">
Will likely continue to get impacted by 17k video games terminals and bars across IL</t>
        </r>
      </text>
    </comment>
    <comment ref="BE452" authorId="6">
      <text>
        <r>
          <rPr>
            <b/>
            <sz val="9"/>
            <color indexed="81"/>
            <rFont val="Tahoma"/>
            <family val="2"/>
          </rPr>
          <t>Allen, Thomas (Research):</t>
        </r>
        <r>
          <rPr>
            <sz val="9"/>
            <color indexed="81"/>
            <rFont val="Tahoma"/>
            <family val="2"/>
          </rPr>
          <t xml:space="preserve">
IL one of the worst hit states by weather over NYE</t>
        </r>
      </text>
    </comment>
    <comment ref="BG452" authorId="6">
      <text>
        <r>
          <rPr>
            <b/>
            <sz val="9"/>
            <color indexed="81"/>
            <rFont val="Tahoma"/>
            <family val="2"/>
          </rPr>
          <t>Allen, Thomas (Research):</t>
        </r>
        <r>
          <rPr>
            <sz val="9"/>
            <color indexed="81"/>
            <rFont val="Tahoma"/>
            <family val="2"/>
          </rPr>
          <t xml:space="preserve">
13% EBITDA growth</t>
        </r>
      </text>
    </comment>
    <comment ref="BK452" authorId="6">
      <text>
        <r>
          <rPr>
            <b/>
            <sz val="9"/>
            <color indexed="81"/>
            <rFont val="Tahoma"/>
            <family val="2"/>
          </rPr>
          <t>Allen, Thomas (Research):</t>
        </r>
        <r>
          <rPr>
            <sz val="9"/>
            <color indexed="81"/>
            <rFont val="Tahoma"/>
            <family val="2"/>
          </rPr>
          <t xml:space="preserve">
Continued impact from VLT expansion in IL</t>
        </r>
      </text>
    </comment>
    <comment ref="BN452" authorId="6">
      <text>
        <r>
          <rPr>
            <b/>
            <sz val="9"/>
            <color indexed="81"/>
            <rFont val="Tahoma"/>
            <family val="2"/>
          </rPr>
          <t>Allen, Thomas (Research):</t>
        </r>
        <r>
          <rPr>
            <sz val="9"/>
            <color indexed="81"/>
            <rFont val="Tahoma"/>
            <family val="2"/>
          </rPr>
          <t xml:space="preserve">
&gt;4200 video gaming machines at bars in feeder market</t>
        </r>
      </text>
    </comment>
    <comment ref="BO452" authorId="5">
      <text>
        <r>
          <rPr>
            <b/>
            <sz val="9"/>
            <color indexed="81"/>
            <rFont val="Tahoma"/>
            <family val="2"/>
          </rPr>
          <t>Savino, Mark (Research):</t>
        </r>
        <r>
          <rPr>
            <sz val="9"/>
            <color indexed="81"/>
            <rFont val="Tahoma"/>
            <family val="2"/>
          </rPr>
          <t xml:space="preserve">
1/10/17: Per mgmt, 4Q had a few days of blizzard-like conditions</t>
        </r>
      </text>
    </comment>
    <comment ref="BP452" authorId="6">
      <text>
        <r>
          <rPr>
            <b/>
            <sz val="9"/>
            <color indexed="81"/>
            <rFont val="Tahoma"/>
            <family val="2"/>
          </rPr>
          <t>Allen, Thomas (Research):</t>
        </r>
        <r>
          <rPr>
            <sz val="9"/>
            <color indexed="81"/>
            <rFont val="Tahoma"/>
            <family val="2"/>
          </rPr>
          <t xml:space="preserve">
Continued impact from VLT expansion in IL</t>
        </r>
      </text>
    </comment>
    <comment ref="BQ452" authorId="5">
      <text>
        <r>
          <rPr>
            <b/>
            <sz val="9"/>
            <color indexed="81"/>
            <rFont val="Tahoma"/>
            <family val="2"/>
          </rPr>
          <t>Savino, Mark (Research):</t>
        </r>
        <r>
          <rPr>
            <sz val="9"/>
            <color indexed="81"/>
            <rFont val="Tahoma"/>
            <family val="2"/>
          </rPr>
          <t xml:space="preserve">
1/10/17: Performance continues to be impacted by VLTs. Hope is that eventually the property stabilizes, but unclear when</t>
        </r>
      </text>
    </comment>
    <comment ref="BR452" authorId="5">
      <text>
        <r>
          <rPr>
            <b/>
            <sz val="9"/>
            <color indexed="81"/>
            <rFont val="Tahoma"/>
            <family val="2"/>
          </rPr>
          <t>Savino, Mark (Research):</t>
        </r>
        <r>
          <rPr>
            <sz val="9"/>
            <color indexed="81"/>
            <rFont val="Tahoma"/>
            <family val="2"/>
          </rPr>
          <t xml:space="preserve">
1/10/17: Performance continues to be impacted by VLTs. Hope is that eventually the property stabilizes, but unclear when</t>
        </r>
      </text>
    </comment>
    <comment ref="BS452" authorId="5">
      <text>
        <r>
          <rPr>
            <b/>
            <sz val="9"/>
            <color indexed="81"/>
            <rFont val="Tahoma"/>
            <family val="2"/>
          </rPr>
          <t>Savino, Mark (Research):</t>
        </r>
        <r>
          <rPr>
            <sz val="9"/>
            <color indexed="81"/>
            <rFont val="Tahoma"/>
            <family val="2"/>
          </rPr>
          <t xml:space="preserve">
1/10/17: Performance continues to be impacted by VLTs. Hope is that eventually the property stabilizes, but unclear when</t>
        </r>
      </text>
    </comment>
    <comment ref="BT452" authorId="5">
      <text>
        <r>
          <rPr>
            <b/>
            <sz val="9"/>
            <color indexed="81"/>
            <rFont val="Tahoma"/>
            <family val="2"/>
          </rPr>
          <t>Savino, Mark (Research):</t>
        </r>
        <r>
          <rPr>
            <sz val="9"/>
            <color indexed="81"/>
            <rFont val="Tahoma"/>
            <family val="2"/>
          </rPr>
          <t xml:space="preserve">
1/10/17: Performance continues to be impacted by VLTs. Hope is that eventually the property stabilizes, but unclear when
Easy weather comp</t>
        </r>
      </text>
    </comment>
    <comment ref="BU452" authorId="5">
      <text>
        <r>
          <rPr>
            <b/>
            <sz val="9"/>
            <color indexed="81"/>
            <rFont val="Tahoma"/>
            <family val="2"/>
          </rPr>
          <t>Savino, Mark (Research):</t>
        </r>
        <r>
          <rPr>
            <sz val="9"/>
            <color indexed="81"/>
            <rFont val="Tahoma"/>
            <family val="2"/>
          </rPr>
          <t xml:space="preserve">
1/10/17: Performance continues to be impacted by VLTs. Hope is that eventually the property stabilizes, but unclear when</t>
        </r>
      </text>
    </comment>
    <comment ref="BV452" authorId="5">
      <text>
        <r>
          <rPr>
            <b/>
            <sz val="9"/>
            <color indexed="81"/>
            <rFont val="Tahoma"/>
            <family val="2"/>
          </rPr>
          <t>Savino, Mark (Research):</t>
        </r>
        <r>
          <rPr>
            <sz val="9"/>
            <color indexed="81"/>
            <rFont val="Tahoma"/>
            <family val="2"/>
          </rPr>
          <t xml:space="preserve">
Down 6.2% in January with 9 snow days vs. 1 last year</t>
        </r>
      </text>
    </comment>
    <comment ref="AM453" authorId="15">
      <text>
        <r>
          <rPr>
            <b/>
            <sz val="8"/>
            <color indexed="81"/>
            <rFont val="Tahoma"/>
            <family val="2"/>
          </rPr>
          <t>danfuss:</t>
        </r>
        <r>
          <rPr>
            <sz val="8"/>
            <color indexed="81"/>
            <rFont val="Tahoma"/>
            <family val="2"/>
          </rPr>
          <t xml:space="preserve">
Affected by weather</t>
        </r>
      </text>
    </comment>
    <comment ref="AX453" authorId="3">
      <text>
        <r>
          <rPr>
            <b/>
            <sz val="8"/>
            <color indexed="81"/>
            <rFont val="Tahoma"/>
            <family val="2"/>
          </rPr>
          <t>thallen:</t>
        </r>
        <r>
          <rPr>
            <sz val="8"/>
            <color indexed="81"/>
            <rFont val="Tahoma"/>
            <family val="2"/>
          </rPr>
          <t xml:space="preserve">
Little bit of a drag from PNK Baton Rouge, just mini-baccarat</t>
        </r>
      </text>
    </comment>
    <comment ref="AY453" authorId="3">
      <text>
        <r>
          <rPr>
            <b/>
            <sz val="8"/>
            <color indexed="81"/>
            <rFont val="Tahoma"/>
            <family val="2"/>
          </rPr>
          <t>thallen:</t>
        </r>
        <r>
          <rPr>
            <sz val="8"/>
            <color indexed="81"/>
            <rFont val="Tahoma"/>
            <family val="2"/>
          </rPr>
          <t xml:space="preserve">
Easy comp b/c Hurricane Isaac impacted Aug/Sept, total impact to BYD $3mm in EBITDA</t>
        </r>
      </text>
    </comment>
    <comment ref="BB453" authorId="5">
      <text>
        <r>
          <rPr>
            <b/>
            <sz val="9"/>
            <color indexed="81"/>
            <rFont val="Tahoma"/>
            <family val="2"/>
          </rPr>
          <t>Savino, Mark (Research):</t>
        </r>
        <r>
          <rPr>
            <sz val="9"/>
            <color indexed="81"/>
            <rFont val="Tahoma"/>
            <family val="2"/>
          </rPr>
          <t xml:space="preserve">
-10% in Jan</t>
        </r>
      </text>
    </comment>
    <comment ref="BK453" authorId="6">
      <text>
        <r>
          <rPr>
            <b/>
            <sz val="9"/>
            <color indexed="81"/>
            <rFont val="Tahoma"/>
            <family val="2"/>
          </rPr>
          <t>Allen, Thomas (Research):</t>
        </r>
        <r>
          <rPr>
            <sz val="9"/>
            <color indexed="81"/>
            <rFont val="Tahoma"/>
            <family val="2"/>
          </rPr>
          <t xml:space="preserve">
4Q call: not seeing any impact from weaker energy industry
Could also benefit from smoking ban at Harrah's NO and Fair Grounds</t>
        </r>
      </text>
    </comment>
    <comment ref="BT453" authorId="6">
      <text>
        <r>
          <rPr>
            <b/>
            <sz val="9"/>
            <color indexed="81"/>
            <rFont val="Tahoma"/>
            <family val="2"/>
          </rPr>
          <t>Allen, Thomas (Research):</t>
        </r>
        <r>
          <rPr>
            <sz val="9"/>
            <color indexed="81"/>
            <rFont val="Tahoma"/>
            <family val="2"/>
          </rPr>
          <t xml:space="preserve">
Comping flooding impact, but closed for a Saturday in October because of Hurricane Nate</t>
        </r>
      </text>
    </comment>
    <comment ref="BU453" authorId="6">
      <text>
        <r>
          <rPr>
            <b/>
            <sz val="9"/>
            <color indexed="81"/>
            <rFont val="Tahoma"/>
            <family val="2"/>
          </rPr>
          <t>Allen, Thomas (Research):</t>
        </r>
        <r>
          <rPr>
            <sz val="9"/>
            <color indexed="81"/>
            <rFont val="Tahoma"/>
            <family val="2"/>
          </rPr>
          <t xml:space="preserve">
Benefit from rebounding oil markets</t>
        </r>
      </text>
    </comment>
    <comment ref="BV453" authorId="5">
      <text>
        <r>
          <rPr>
            <b/>
            <sz val="9"/>
            <color indexed="81"/>
            <rFont val="Tahoma"/>
            <family val="2"/>
          </rPr>
          <t>Savino, Mark (Research):</t>
        </r>
        <r>
          <rPr>
            <sz val="9"/>
            <color indexed="81"/>
            <rFont val="Tahoma"/>
            <family val="2"/>
          </rPr>
          <t xml:space="preserve">
January up 2.4%</t>
        </r>
      </text>
    </comment>
    <comment ref="BY453" authorId="5">
      <text>
        <r>
          <rPr>
            <b/>
            <sz val="9"/>
            <color indexed="81"/>
            <rFont val="Tahoma"/>
            <family val="2"/>
          </rPr>
          <t>Savino, Mark (Research):</t>
        </r>
        <r>
          <rPr>
            <sz val="9"/>
            <color indexed="81"/>
            <rFont val="Tahoma"/>
            <family val="2"/>
          </rPr>
          <t xml:space="preserve">
Lapping weekend closure in 4Q17 as a result of Hurricane Nate</t>
        </r>
      </text>
    </comment>
    <comment ref="AJ454" authorId="0">
      <text>
        <r>
          <rPr>
            <b/>
            <sz val="8"/>
            <color indexed="81"/>
            <rFont val="Tahoma"/>
            <family val="2"/>
          </rPr>
          <t>urbankev:</t>
        </r>
        <r>
          <rPr>
            <sz val="8"/>
            <color indexed="81"/>
            <rFont val="Tahoma"/>
            <family val="2"/>
          </rPr>
          <t xml:space="preserve">
Minor impact from new Gun Lake Casino in Michigan.</t>
        </r>
      </text>
    </comment>
    <comment ref="AM454" authorId="15">
      <text>
        <r>
          <rPr>
            <b/>
            <sz val="8"/>
            <color indexed="81"/>
            <rFont val="Tahoma"/>
            <family val="2"/>
          </rPr>
          <t>DJF:</t>
        </r>
        <r>
          <rPr>
            <sz val="8"/>
            <color indexed="81"/>
            <rFont val="Tahoma"/>
            <family val="2"/>
          </rPr>
          <t xml:space="preserve">
Affected by weather
Gun Lake Casino opened Feb 10, 2011</t>
        </r>
      </text>
    </comment>
    <comment ref="AO454" authorId="15">
      <text>
        <r>
          <rPr>
            <b/>
            <sz val="8"/>
            <color indexed="81"/>
            <rFont val="Tahoma"/>
            <family val="2"/>
          </rPr>
          <t>DJF:</t>
        </r>
        <r>
          <rPr>
            <sz val="8"/>
            <color indexed="81"/>
            <rFont val="Tahoma"/>
            <family val="2"/>
          </rPr>
          <t xml:space="preserve">
Des Plaines Casino (Chicago Suburbs) opened in Mid-July</t>
        </r>
      </text>
    </comment>
    <comment ref="AW454" authorId="3">
      <text>
        <r>
          <rPr>
            <b/>
            <sz val="8"/>
            <color indexed="81"/>
            <rFont val="Tahoma"/>
            <family val="2"/>
          </rPr>
          <t>thallen:</t>
        </r>
        <r>
          <rPr>
            <sz val="8"/>
            <color indexed="81"/>
            <rFont val="Tahoma"/>
            <family val="2"/>
          </rPr>
          <t xml:space="preserve">
Some effect from OH but not too big
Midwest weather biggest impact in 1Q</t>
        </r>
      </text>
    </comment>
    <comment ref="AX454" authorId="3">
      <text>
        <r>
          <rPr>
            <b/>
            <sz val="8"/>
            <color indexed="81"/>
            <rFont val="Tahoma"/>
            <family val="2"/>
          </rPr>
          <t>thallen:</t>
        </r>
        <r>
          <rPr>
            <sz val="8"/>
            <color indexed="81"/>
            <rFont val="Tahoma"/>
            <family val="2"/>
          </rPr>
          <t xml:space="preserve">
Some effect from OH</t>
        </r>
      </text>
    </comment>
    <comment ref="BB454" authorId="5">
      <text>
        <r>
          <rPr>
            <b/>
            <sz val="9"/>
            <color indexed="81"/>
            <rFont val="Tahoma"/>
            <family val="2"/>
          </rPr>
          <t>Savino, Mark (Research):</t>
        </r>
        <r>
          <rPr>
            <sz val="9"/>
            <color indexed="81"/>
            <rFont val="Tahoma"/>
            <family val="2"/>
          </rPr>
          <t xml:space="preserve">
-21% in Jan</t>
        </r>
      </text>
    </comment>
    <comment ref="BC454" authorId="6">
      <text>
        <r>
          <rPr>
            <b/>
            <sz val="9"/>
            <color indexed="81"/>
            <rFont val="Tahoma"/>
            <family val="2"/>
          </rPr>
          <t>Allen, Thomas (Research):</t>
        </r>
        <r>
          <rPr>
            <sz val="9"/>
            <color indexed="81"/>
            <rFont val="Tahoma"/>
            <family val="2"/>
          </rPr>
          <t xml:space="preserve">
Will likely continue to get impacted by 15k video games terminals and bars across IL</t>
        </r>
      </text>
    </comment>
    <comment ref="BD454" authorId="6">
      <text>
        <r>
          <rPr>
            <b/>
            <sz val="9"/>
            <color indexed="81"/>
            <rFont val="Tahoma"/>
            <family val="2"/>
          </rPr>
          <t>Allen, Thomas (Research):</t>
        </r>
        <r>
          <rPr>
            <sz val="9"/>
            <color indexed="81"/>
            <rFont val="Tahoma"/>
            <family val="2"/>
          </rPr>
          <t xml:space="preserve">
Will likely continue to get impacted by 17k video games terminals and bars across IL</t>
        </r>
      </text>
    </comment>
    <comment ref="BJ454" authorId="5">
      <text>
        <r>
          <rPr>
            <b/>
            <sz val="9"/>
            <color indexed="81"/>
            <rFont val="Tahoma"/>
            <family val="2"/>
          </rPr>
          <t>Savino, Mark (Research):</t>
        </r>
        <r>
          <rPr>
            <sz val="9"/>
            <color indexed="81"/>
            <rFont val="Tahoma"/>
            <family val="2"/>
          </rPr>
          <t xml:space="preserve">
Per 4Q15 call, 6% total revenue growth</t>
        </r>
      </text>
    </comment>
    <comment ref="BK454" authorId="5">
      <text>
        <r>
          <rPr>
            <b/>
            <sz val="9"/>
            <color indexed="81"/>
            <rFont val="Tahoma"/>
            <family val="2"/>
          </rPr>
          <t>Savino, Mark (Research):</t>
        </r>
        <r>
          <rPr>
            <sz val="9"/>
            <color indexed="81"/>
            <rFont val="Tahoma"/>
            <family val="2"/>
          </rPr>
          <t xml:space="preserve">
4Q call: strong non-gaming product driving increased visitation</t>
        </r>
      </text>
    </comment>
    <comment ref="BO454" authorId="5">
      <text>
        <r>
          <rPr>
            <b/>
            <sz val="9"/>
            <color indexed="81"/>
            <rFont val="Tahoma"/>
            <family val="2"/>
          </rPr>
          <t>Savino, Mark (Research):</t>
        </r>
        <r>
          <rPr>
            <sz val="9"/>
            <color indexed="81"/>
            <rFont val="Tahoma"/>
            <family val="2"/>
          </rPr>
          <t xml:space="preserve">
1/10/17: Per mgmt, 4Q impact was primarily weather</t>
        </r>
      </text>
    </comment>
    <comment ref="BQ454" authorId="5">
      <text>
        <r>
          <rPr>
            <b/>
            <sz val="9"/>
            <color indexed="81"/>
            <rFont val="Tahoma"/>
            <family val="2"/>
          </rPr>
          <t>Savino, Mark (Research):</t>
        </r>
        <r>
          <rPr>
            <sz val="9"/>
            <color indexed="81"/>
            <rFont val="Tahoma"/>
            <family val="2"/>
          </rPr>
          <t xml:space="preserve">
Per mgmt, continued weather impact in 1Q17</t>
        </r>
      </text>
    </comment>
    <comment ref="BR454" authorId="5">
      <text>
        <r>
          <rPr>
            <b/>
            <sz val="9"/>
            <color indexed="81"/>
            <rFont val="Tahoma"/>
            <family val="2"/>
          </rPr>
          <t>Savino, Mark (Research):</t>
        </r>
        <r>
          <rPr>
            <sz val="9"/>
            <color indexed="81"/>
            <rFont val="Tahoma"/>
            <family val="2"/>
          </rPr>
          <t xml:space="preserve">
Gained market share in 12 of the last 13 qtrs</t>
        </r>
      </text>
    </comment>
    <comment ref="BT454" authorId="5">
      <text>
        <r>
          <rPr>
            <b/>
            <sz val="9"/>
            <color indexed="81"/>
            <rFont val="Tahoma"/>
            <family val="2"/>
          </rPr>
          <t>Savino, Mark (Research):</t>
        </r>
        <r>
          <rPr>
            <sz val="9"/>
            <color indexed="81"/>
            <rFont val="Tahoma"/>
            <family val="2"/>
          </rPr>
          <t xml:space="preserve">
Lapping easy weather compares in 4Q16</t>
        </r>
      </text>
    </comment>
    <comment ref="BV454" authorId="5">
      <text>
        <r>
          <rPr>
            <b/>
            <sz val="9"/>
            <color indexed="81"/>
            <rFont val="Tahoma"/>
            <family val="2"/>
          </rPr>
          <t>Savino, Mark (Research):</t>
        </r>
        <r>
          <rPr>
            <sz val="9"/>
            <color indexed="81"/>
            <rFont val="Tahoma"/>
            <family val="2"/>
          </rPr>
          <t xml:space="preserve">
4Q17: Expect $12-15m full year EBITDA impact in 2018; January down 11% with 13 snow days vs. 3 last year
Pokagon tribe opened Four Winds casino in South Bend, 50 minutes from Blue Chip, in Jan 2018. Per mgmt, South Bend is a top 5 feeder market for Blue Chip (though not #1 or 2)</t>
        </r>
      </text>
    </comment>
    <comment ref="BW454" authorId="5">
      <text>
        <r>
          <rPr>
            <b/>
            <sz val="9"/>
            <color indexed="81"/>
            <rFont val="Tahoma"/>
            <family val="2"/>
          </rPr>
          <t>Savino, Mark (Research):</t>
        </r>
        <r>
          <rPr>
            <sz val="9"/>
            <color indexed="81"/>
            <rFont val="Tahoma"/>
            <family val="2"/>
          </rPr>
          <t xml:space="preserve">
4Q17: Expect $12-15m full year EBITDA impact in 2018
Pokagon tribe opening Four Winds casino in South Bend, 50 minutes from Blue Chip. Per mgmt, South Bend is a top 5 feeder market for Blue Chip (though not #1 or 2)</t>
        </r>
      </text>
    </comment>
    <comment ref="BX454" authorId="5">
      <text>
        <r>
          <rPr>
            <b/>
            <sz val="9"/>
            <color indexed="81"/>
            <rFont val="Tahoma"/>
            <family val="2"/>
          </rPr>
          <t>Savino, Mark (Research):</t>
        </r>
        <r>
          <rPr>
            <sz val="9"/>
            <color indexed="81"/>
            <rFont val="Tahoma"/>
            <family val="2"/>
          </rPr>
          <t xml:space="preserve">
4Q17: Expect $12-15m full year EBITDA impact in 2018
Pokagon tribe opening Four Winds casino in South Bend, 50 minutes from Blue Chip. Per mgmt, South Bend is a top 5 feeder market for Blue Chip (though not #1 or 2)</t>
        </r>
      </text>
    </comment>
    <comment ref="BY454" authorId="5">
      <text>
        <r>
          <rPr>
            <b/>
            <sz val="9"/>
            <color indexed="81"/>
            <rFont val="Tahoma"/>
            <family val="2"/>
          </rPr>
          <t>Savino, Mark (Research):</t>
        </r>
        <r>
          <rPr>
            <sz val="9"/>
            <color indexed="81"/>
            <rFont val="Tahoma"/>
            <family val="2"/>
          </rPr>
          <t xml:space="preserve">
4Q17: Expect $12-15m full year EBITDA impact in 2018
Pokagon tribe opening Four Winds casino in South Bend, 50 minutes from Blue Chip. Per mgmt, South Bend is a top 5 feeder market for Blue Chip (though not #1 or 2)</t>
        </r>
      </text>
    </comment>
    <comment ref="BZ454" authorId="5">
      <text>
        <r>
          <rPr>
            <b/>
            <sz val="9"/>
            <color indexed="81"/>
            <rFont val="Tahoma"/>
            <family val="2"/>
          </rPr>
          <t>Savino, Mark (Research):</t>
        </r>
        <r>
          <rPr>
            <sz val="9"/>
            <color indexed="81"/>
            <rFont val="Tahoma"/>
            <family val="2"/>
          </rPr>
          <t xml:space="preserve">
4Q17: Expect $12-15m full year EBITDA impact in 2018
Pokagon tribe opening Four Winds casino in South Bend, 50 minutes from Blue Chip. Per mgmt, South Bend is a top 5 feeder market for Blue Chip (though not #1 or 2)</t>
        </r>
      </text>
    </comment>
    <comment ref="AJ455" authorId="11">
      <text>
        <r>
          <rPr>
            <b/>
            <sz val="8"/>
            <color indexed="81"/>
            <rFont val="Tahoma"/>
            <family val="2"/>
          </rPr>
          <t>markoami:</t>
        </r>
        <r>
          <rPr>
            <sz val="8"/>
            <color indexed="81"/>
            <rFont val="Tahoma"/>
            <family val="2"/>
          </rPr>
          <t xml:space="preserve">
Tough comps</t>
        </r>
      </text>
    </comment>
    <comment ref="AM455" authorId="15">
      <text>
        <r>
          <rPr>
            <b/>
            <sz val="8"/>
            <color indexed="81"/>
            <rFont val="Tahoma"/>
            <family val="2"/>
          </rPr>
          <t>danfuss:</t>
        </r>
        <r>
          <rPr>
            <sz val="8"/>
            <color indexed="81"/>
            <rFont val="Tahoma"/>
            <family val="2"/>
          </rPr>
          <t xml:space="preserve">
Affected by weather</t>
        </r>
      </text>
    </comment>
    <comment ref="AW455" authorId="3">
      <text>
        <r>
          <rPr>
            <b/>
            <sz val="8"/>
            <color indexed="81"/>
            <rFont val="Tahoma"/>
            <family val="2"/>
          </rPr>
          <t>thallen:</t>
        </r>
        <r>
          <rPr>
            <sz val="8"/>
            <color indexed="81"/>
            <rFont val="Tahoma"/>
            <family val="2"/>
          </rPr>
          <t xml:space="preserve">
S. LA market continues to outperform b/c oil &amp; gas
Record month for EBITDA in March 2013</t>
        </r>
      </text>
    </comment>
    <comment ref="BB455" authorId="5">
      <text>
        <r>
          <rPr>
            <b/>
            <sz val="9"/>
            <color indexed="81"/>
            <rFont val="Tahoma"/>
            <family val="2"/>
          </rPr>
          <t>Savino, Mark (Research):</t>
        </r>
        <r>
          <rPr>
            <sz val="9"/>
            <color indexed="81"/>
            <rFont val="Tahoma"/>
            <family val="2"/>
          </rPr>
          <t xml:space="preserve">
+1% in Jan</t>
        </r>
      </text>
    </comment>
    <comment ref="BE455" authorId="5">
      <text>
        <r>
          <rPr>
            <b/>
            <sz val="9"/>
            <color indexed="81"/>
            <rFont val="Tahoma"/>
            <family val="2"/>
          </rPr>
          <t>Savino, Mark (Research):</t>
        </r>
        <r>
          <rPr>
            <sz val="9"/>
            <color indexed="81"/>
            <rFont val="Tahoma"/>
            <family val="2"/>
          </rPr>
          <t xml:space="preserve">
Impact from Lake Charles property opened Dec 8, 2014, though very different positioning (DD more of a Locals property)</t>
        </r>
      </text>
    </comment>
    <comment ref="BG455" authorId="5">
      <text>
        <r>
          <rPr>
            <b/>
            <sz val="9"/>
            <color indexed="81"/>
            <rFont val="Tahoma"/>
            <family val="2"/>
          </rPr>
          <t>Savino, Mark (Research):</t>
        </r>
        <r>
          <rPr>
            <sz val="9"/>
            <color indexed="81"/>
            <rFont val="Tahoma"/>
            <family val="2"/>
          </rPr>
          <t xml:space="preserve">
4Q call: gaming rev up 4.5% in January, not seeing any adverse impact from Golden Nugget
Reported flat EBITDA y/y (slightly negative) despite new competition (well ahead of expectations)</t>
        </r>
      </text>
    </comment>
    <comment ref="BI455" authorId="5">
      <text>
        <r>
          <rPr>
            <b/>
            <sz val="9"/>
            <color indexed="81"/>
            <rFont val="Tahoma"/>
            <family val="2"/>
          </rPr>
          <t>Savino, Mark (Research):</t>
        </r>
        <r>
          <rPr>
            <sz val="9"/>
            <color indexed="81"/>
            <rFont val="Tahoma"/>
            <family val="2"/>
          </rPr>
          <t xml:space="preserve">
Assume negative impact from Golden Nugget as property novelty wears off, though targeting a different customer base</t>
        </r>
      </text>
    </comment>
    <comment ref="BJ455" authorId="5">
      <text>
        <r>
          <rPr>
            <b/>
            <sz val="9"/>
            <color indexed="81"/>
            <rFont val="Tahoma"/>
            <family val="2"/>
          </rPr>
          <t>Savino, Mark (Research):</t>
        </r>
        <r>
          <rPr>
            <sz val="9"/>
            <color indexed="81"/>
            <rFont val="Tahoma"/>
            <family val="2"/>
          </rPr>
          <t xml:space="preserve">
Assume negative impact from Golden Nugget as property novelty wears off, though targeting a different customer base</t>
        </r>
      </text>
    </comment>
    <comment ref="BL455" authorId="5">
      <text>
        <r>
          <rPr>
            <b/>
            <sz val="9"/>
            <color indexed="81"/>
            <rFont val="Tahoma"/>
            <family val="2"/>
          </rPr>
          <t>Savino, Mark (Research):</t>
        </r>
        <r>
          <rPr>
            <sz val="9"/>
            <color indexed="81"/>
            <rFont val="Tahoma"/>
            <family val="2"/>
          </rPr>
          <t xml:space="preserve">
Impacted by flooding which blocked interstate from TX for a week</t>
        </r>
      </text>
    </comment>
    <comment ref="BO455" authorId="5">
      <text>
        <r>
          <rPr>
            <b/>
            <sz val="9"/>
            <color indexed="81"/>
            <rFont val="Tahoma"/>
            <family val="2"/>
          </rPr>
          <t>Savino, Mark (Research):</t>
        </r>
        <r>
          <rPr>
            <sz val="9"/>
            <color indexed="81"/>
            <rFont val="Tahoma"/>
            <family val="2"/>
          </rPr>
          <t xml:space="preserve">
New hotel tower comes on line, but construction was ongoing until New Years so there was still disruption</t>
        </r>
      </text>
    </comment>
    <comment ref="BP455" authorId="5">
      <text>
        <r>
          <rPr>
            <b/>
            <sz val="9"/>
            <color indexed="81"/>
            <rFont val="Tahoma"/>
            <family val="2"/>
          </rPr>
          <t>Savino, Mark (Research):</t>
        </r>
        <r>
          <rPr>
            <sz val="9"/>
            <color indexed="81"/>
            <rFont val="Tahoma"/>
            <family val="2"/>
          </rPr>
          <t xml:space="preserve">
Renovation impact and continued impact from new supply / energy mkts</t>
        </r>
      </text>
    </comment>
    <comment ref="BQ455" authorId="6">
      <text>
        <r>
          <rPr>
            <b/>
            <sz val="9"/>
            <color indexed="81"/>
            <rFont val="Tahoma"/>
            <family val="2"/>
          </rPr>
          <t>Allen, Thomas (Research):</t>
        </r>
        <r>
          <rPr>
            <sz val="9"/>
            <color indexed="81"/>
            <rFont val="Tahoma"/>
            <family val="2"/>
          </rPr>
          <t xml:space="preserve">
Benefitting from new hotel and return in oil markets</t>
        </r>
      </text>
    </comment>
    <comment ref="BR455" authorId="5">
      <text>
        <r>
          <rPr>
            <b/>
            <sz val="9"/>
            <color indexed="81"/>
            <rFont val="Tahoma"/>
            <family val="2"/>
          </rPr>
          <t>Savino, Mark (Research):</t>
        </r>
        <r>
          <rPr>
            <sz val="9"/>
            <color indexed="81"/>
            <rFont val="Tahoma"/>
            <family val="2"/>
          </rPr>
          <t xml:space="preserve">
Hotel tower in line with expectations, but negatively impacted by increased promotional activity in the Lake Charles market</t>
        </r>
      </text>
    </comment>
    <comment ref="BS455" authorId="6">
      <text>
        <r>
          <rPr>
            <b/>
            <sz val="9"/>
            <color indexed="81"/>
            <rFont val="Tahoma"/>
            <family val="2"/>
          </rPr>
          <t>Allen, Thomas (Research):</t>
        </r>
        <r>
          <rPr>
            <sz val="9"/>
            <color indexed="81"/>
            <rFont val="Tahoma"/>
            <family val="2"/>
          </rPr>
          <t xml:space="preserve">
Per 3Q call, impacted from Harvey from late August to Mid-Sept
Benefitting from new hotel and return in oil markets
However, Golden Nugget expected to open 300 new rooms, adding to 740 already open 
http://www.bizjournals.com/houston/news/2016/01/07/tilman-fertitta-expands-recently-opened-golden.html
</t>
        </r>
      </text>
    </comment>
    <comment ref="BT455" authorId="6">
      <text>
        <r>
          <rPr>
            <b/>
            <sz val="9"/>
            <color indexed="81"/>
            <rFont val="Tahoma"/>
            <family val="2"/>
          </rPr>
          <t>Allen, Thomas (Research):</t>
        </r>
        <r>
          <rPr>
            <sz val="9"/>
            <color indexed="81"/>
            <rFont val="Tahoma"/>
            <family val="2"/>
          </rPr>
          <t xml:space="preserve">
Per 3Q17 call, business volumes have begun to return to normal levels in October, but not seeing any sort of uplift yet. Mgmt noted that Fema dollars not coming at the same pace as previous disasters
Benefitting from new hotel and return in oil markets
Lap new hotel on 10/26/17 but didn't appear to get any benefit in 4Q16 as had taken old rooms offline</t>
        </r>
      </text>
    </comment>
    <comment ref="BU455" authorId="5">
      <text>
        <r>
          <rPr>
            <b/>
            <sz val="9"/>
            <color indexed="81"/>
            <rFont val="Tahoma"/>
            <family val="2"/>
          </rPr>
          <t>Savino, Mark (Research):</t>
        </r>
        <r>
          <rPr>
            <sz val="9"/>
            <color indexed="81"/>
            <rFont val="Tahoma"/>
            <family val="2"/>
          </rPr>
          <t xml:space="preserve">
4Q16 guide: Some pick-up
New hotel tower opened 10/21/16 but then took old rooms and renovated, full benefit + redesigned F&amp;B in 2017
Also benefit from oil markets rebounding</t>
        </r>
      </text>
    </comment>
    <comment ref="BV455" authorId="5">
      <text>
        <r>
          <rPr>
            <b/>
            <sz val="9"/>
            <color indexed="81"/>
            <rFont val="Tahoma"/>
            <family val="2"/>
          </rPr>
          <t>Savino, Mark (Research):</t>
        </r>
        <r>
          <rPr>
            <sz val="9"/>
            <color indexed="81"/>
            <rFont val="Tahoma"/>
            <family val="2"/>
          </rPr>
          <t xml:space="preserve">
January down  2.9%
Impact from new Golden Nugget rooms opened in mid-2017</t>
        </r>
      </text>
    </comment>
    <comment ref="BW455" authorId="5">
      <text>
        <r>
          <rPr>
            <b/>
            <sz val="9"/>
            <color indexed="81"/>
            <rFont val="Tahoma"/>
            <family val="2"/>
          </rPr>
          <t>Savino, Mark (Research):</t>
        </r>
        <r>
          <rPr>
            <sz val="9"/>
            <color indexed="81"/>
            <rFont val="Tahoma"/>
            <family val="2"/>
          </rPr>
          <t xml:space="preserve">
Impact from new Golden Nugget rooms opened in mid-2017</t>
        </r>
      </text>
    </comment>
    <comment ref="BX455" authorId="5">
      <text>
        <r>
          <rPr>
            <b/>
            <sz val="9"/>
            <color indexed="81"/>
            <rFont val="Tahoma"/>
            <family val="2"/>
          </rPr>
          <t>Savino, Mark (Research):</t>
        </r>
        <r>
          <rPr>
            <sz val="9"/>
            <color indexed="81"/>
            <rFont val="Tahoma"/>
            <family val="2"/>
          </rPr>
          <t xml:space="preserve">
Lapping impact of Hurricane Harvey</t>
        </r>
      </text>
    </comment>
    <comment ref="EB455" authorId="5">
      <text>
        <r>
          <rPr>
            <b/>
            <sz val="9"/>
            <color indexed="81"/>
            <rFont val="Tahoma"/>
            <family val="2"/>
          </rPr>
          <t>Savino, Mark (Research):</t>
        </r>
        <r>
          <rPr>
            <sz val="9"/>
            <color indexed="81"/>
            <rFont val="Tahoma"/>
            <family val="2"/>
          </rPr>
          <t xml:space="preserve">
New hotel tower and redesigned F&amp;B coming on line</t>
        </r>
      </text>
    </comment>
    <comment ref="AM456" authorId="15">
      <text>
        <r>
          <rPr>
            <b/>
            <sz val="8"/>
            <color indexed="81"/>
            <rFont val="Tahoma"/>
            <family val="2"/>
          </rPr>
          <t>danfuss:</t>
        </r>
        <r>
          <rPr>
            <sz val="8"/>
            <color indexed="81"/>
            <rFont val="Tahoma"/>
            <family val="2"/>
          </rPr>
          <t xml:space="preserve">
Affected by weather</t>
        </r>
      </text>
    </comment>
    <comment ref="AS456" authorId="3">
      <text>
        <r>
          <rPr>
            <b/>
            <sz val="8"/>
            <color indexed="81"/>
            <rFont val="Tahoma"/>
            <family val="2"/>
          </rPr>
          <t>thallen:</t>
        </r>
        <r>
          <rPr>
            <sz val="8"/>
            <color indexed="81"/>
            <rFont val="Tahoma"/>
            <family val="2"/>
          </rPr>
          <t xml:space="preserve">
Competition from Native American casinos in OK</t>
        </r>
      </text>
    </comment>
    <comment ref="AT456" authorId="3">
      <text>
        <r>
          <rPr>
            <b/>
            <sz val="8"/>
            <color indexed="81"/>
            <rFont val="Tahoma"/>
            <family val="2"/>
          </rPr>
          <t>thallen:</t>
        </r>
        <r>
          <rPr>
            <sz val="8"/>
            <color indexed="81"/>
            <rFont val="Tahoma"/>
            <family val="2"/>
          </rPr>
          <t xml:space="preserve">
Competition from Native American casinos in OK</t>
        </r>
      </text>
    </comment>
    <comment ref="AU456" authorId="3">
      <text>
        <r>
          <rPr>
            <b/>
            <sz val="8"/>
            <color indexed="81"/>
            <rFont val="Tahoma"/>
            <family val="2"/>
          </rPr>
          <t>thallen:</t>
        </r>
        <r>
          <rPr>
            <sz val="8"/>
            <color indexed="81"/>
            <rFont val="Tahoma"/>
            <family val="2"/>
          </rPr>
          <t xml:space="preserve">
Competition from Native American casinos in OK</t>
        </r>
      </text>
    </comment>
    <comment ref="AW456" authorId="3">
      <text>
        <r>
          <rPr>
            <b/>
            <sz val="8"/>
            <color indexed="81"/>
            <rFont val="Tahoma"/>
            <family val="2"/>
          </rPr>
          <t>thallen:</t>
        </r>
        <r>
          <rPr>
            <sz val="8"/>
            <color indexed="81"/>
            <rFont val="Tahoma"/>
            <family val="2"/>
          </rPr>
          <t xml:space="preserve">
Competition from Native American casinos in OK</t>
        </r>
      </text>
    </comment>
    <comment ref="AX456" authorId="3">
      <text>
        <r>
          <rPr>
            <b/>
            <sz val="8"/>
            <color indexed="81"/>
            <rFont val="Tahoma"/>
            <family val="2"/>
          </rPr>
          <t>thallen:</t>
        </r>
        <r>
          <rPr>
            <sz val="8"/>
            <color indexed="81"/>
            <rFont val="Tahoma"/>
            <family val="2"/>
          </rPr>
          <t xml:space="preserve">
Continue to see impact from OK Native American casinos</t>
        </r>
      </text>
    </comment>
    <comment ref="AY456" authorId="29">
      <text>
        <r>
          <rPr>
            <b/>
            <sz val="8"/>
            <color indexed="81"/>
            <rFont val="Tahoma"/>
            <family val="2"/>
          </rPr>
          <t>thallen:</t>
        </r>
        <r>
          <rPr>
            <sz val="8"/>
            <color indexed="81"/>
            <rFont val="Tahoma"/>
            <family val="2"/>
          </rPr>
          <t xml:space="preserve">
Margaritaville Casino in Bossier opened June 15, 2013.</t>
        </r>
      </text>
    </comment>
    <comment ref="AZ456" authorId="29">
      <text>
        <r>
          <rPr>
            <b/>
            <sz val="8"/>
            <color indexed="81"/>
            <rFont val="Tahoma"/>
            <family val="2"/>
          </rPr>
          <t>thallen:</t>
        </r>
        <r>
          <rPr>
            <sz val="8"/>
            <color indexed="81"/>
            <rFont val="Tahoma"/>
            <family val="2"/>
          </rPr>
          <t xml:space="preserve">
Margaritaville Casino in Bossier opened June 15, 2013.</t>
        </r>
      </text>
    </comment>
    <comment ref="BB456" authorId="5">
      <text>
        <r>
          <rPr>
            <b/>
            <sz val="9"/>
            <color indexed="81"/>
            <rFont val="Tahoma"/>
            <family val="2"/>
          </rPr>
          <t>Savino, Mark (Research):</t>
        </r>
        <r>
          <rPr>
            <sz val="9"/>
            <color indexed="81"/>
            <rFont val="Tahoma"/>
            <family val="2"/>
          </rPr>
          <t xml:space="preserve">
+4% in Jan
Per 4Q13 call, Margaritaville starting to have less of a negative impact</t>
        </r>
      </text>
    </comment>
    <comment ref="BC456" authorId="29">
      <text>
        <r>
          <rPr>
            <b/>
            <sz val="8"/>
            <color indexed="81"/>
            <rFont val="Tahoma"/>
            <family val="2"/>
          </rPr>
          <t>thallen:</t>
        </r>
        <r>
          <rPr>
            <sz val="8"/>
            <color indexed="81"/>
            <rFont val="Tahoma"/>
            <family val="2"/>
          </rPr>
          <t xml:space="preserve">
Margaritaville Casino in Bossier opened June 15, 2013.
Per 4Q13 call, Margaritaville starting to have less of a negative impact</t>
        </r>
      </text>
    </comment>
    <comment ref="BD456" authorId="5">
      <text>
        <r>
          <rPr>
            <b/>
            <sz val="9"/>
            <color indexed="81"/>
            <rFont val="Tahoma"/>
            <family val="2"/>
          </rPr>
          <t>Savino, Mark (Research):</t>
        </r>
        <r>
          <rPr>
            <sz val="9"/>
            <color indexed="81"/>
            <rFont val="Tahoma"/>
            <family val="2"/>
          </rPr>
          <t xml:space="preserve">
Lapping impact of Margaritaville, so growth should improve from 1H levels</t>
        </r>
      </text>
    </comment>
    <comment ref="BG456" authorId="6">
      <text>
        <r>
          <rPr>
            <b/>
            <sz val="9"/>
            <color indexed="81"/>
            <rFont val="Tahoma"/>
            <family val="2"/>
          </rPr>
          <t>Allen, Thomas (Research):</t>
        </r>
        <r>
          <rPr>
            <sz val="9"/>
            <color indexed="81"/>
            <rFont val="Tahoma"/>
            <family val="2"/>
          </rPr>
          <t xml:space="preserve">
Negative rev but EBITDA growth</t>
        </r>
      </text>
    </comment>
    <comment ref="BJ456" authorId="6">
      <text>
        <r>
          <rPr>
            <b/>
            <sz val="9"/>
            <color indexed="81"/>
            <rFont val="Tahoma"/>
            <family val="2"/>
          </rPr>
          <t>Allen, Thomas (Research):</t>
        </r>
        <r>
          <rPr>
            <sz val="9"/>
            <color indexed="81"/>
            <rFont val="Tahoma"/>
            <family val="2"/>
          </rPr>
          <t xml:space="preserve">
BYD mgmt actively managing out lower margin business</t>
        </r>
      </text>
    </comment>
    <comment ref="BK456" authorId="6">
      <text>
        <r>
          <rPr>
            <b/>
            <sz val="9"/>
            <color indexed="81"/>
            <rFont val="Tahoma"/>
            <family val="2"/>
          </rPr>
          <t>Allen, Thomas (Research):</t>
        </r>
        <r>
          <rPr>
            <sz val="9"/>
            <color indexed="81"/>
            <rFont val="Tahoma"/>
            <family val="2"/>
          </rPr>
          <t xml:space="preserve">
Impact from weak Energy industry</t>
        </r>
      </text>
    </comment>
    <comment ref="BL456" authorId="6">
      <text>
        <r>
          <rPr>
            <b/>
            <sz val="9"/>
            <color indexed="81"/>
            <rFont val="Tahoma"/>
            <family val="2"/>
          </rPr>
          <t>Allen, Thomas (Research):</t>
        </r>
        <r>
          <rPr>
            <sz val="9"/>
            <color indexed="81"/>
            <rFont val="Tahoma"/>
            <family val="2"/>
          </rPr>
          <t xml:space="preserve">
BYD mgmt actively managing out lower margin business</t>
        </r>
      </text>
    </comment>
    <comment ref="BM456" authorId="6">
      <text>
        <r>
          <rPr>
            <b/>
            <sz val="9"/>
            <color indexed="81"/>
            <rFont val="Tahoma"/>
            <family val="2"/>
          </rPr>
          <t>Allen, Thomas (Research):</t>
        </r>
        <r>
          <rPr>
            <sz val="9"/>
            <color indexed="81"/>
            <rFont val="Tahoma"/>
            <family val="2"/>
          </rPr>
          <t xml:space="preserve">
BYD mgmt actively managing out lower margin business</t>
        </r>
      </text>
    </comment>
    <comment ref="BO456" authorId="6">
      <text>
        <r>
          <rPr>
            <b/>
            <sz val="9"/>
            <color indexed="81"/>
            <rFont val="Tahoma"/>
            <family val="2"/>
          </rPr>
          <t>Allen, Thomas (Research):</t>
        </r>
        <r>
          <rPr>
            <sz val="9"/>
            <color indexed="81"/>
            <rFont val="Tahoma"/>
            <family val="2"/>
          </rPr>
          <t xml:space="preserve">
1/10/17: Per mgmt, ongoing competitive issues. Also working on fine tuning promotional strategies
Oil markets continue to be weak from a gaming standpoint through 1H17</t>
        </r>
      </text>
    </comment>
    <comment ref="BV456" authorId="5">
      <text>
        <r>
          <rPr>
            <b/>
            <sz val="9"/>
            <color indexed="81"/>
            <rFont val="Tahoma"/>
            <family val="2"/>
          </rPr>
          <t>Savino, Mark (Research):</t>
        </r>
        <r>
          <rPr>
            <sz val="9"/>
            <color indexed="81"/>
            <rFont val="Tahoma"/>
            <family val="2"/>
          </rPr>
          <t xml:space="preserve">
Down 11% in January</t>
        </r>
      </text>
    </comment>
    <comment ref="AX457" authorId="7">
      <text>
        <r>
          <rPr>
            <b/>
            <sz val="8"/>
            <color indexed="81"/>
            <rFont val="Tahoma"/>
            <family val="2"/>
          </rPr>
          <t>savinmar:</t>
        </r>
        <r>
          <rPr>
            <sz val="8"/>
            <color indexed="81"/>
            <rFont val="Tahoma"/>
            <family val="2"/>
          </rPr>
          <t xml:space="preserve">
Called out weather as a headwind (rain+snow)</t>
        </r>
      </text>
    </comment>
    <comment ref="BB457" authorId="5">
      <text>
        <r>
          <rPr>
            <b/>
            <sz val="9"/>
            <color indexed="81"/>
            <rFont val="Tahoma"/>
            <family val="2"/>
          </rPr>
          <t>Savino, Mark (Research):</t>
        </r>
        <r>
          <rPr>
            <sz val="9"/>
            <color indexed="81"/>
            <rFont val="Tahoma"/>
            <family val="2"/>
          </rPr>
          <t xml:space="preserve">
-11% in Jan</t>
        </r>
      </text>
    </comment>
    <comment ref="BD457" authorId="5">
      <text>
        <r>
          <rPr>
            <b/>
            <sz val="9"/>
            <color indexed="81"/>
            <rFont val="Tahoma"/>
            <family val="2"/>
          </rPr>
          <t>Savino, Mark (Research):</t>
        </r>
        <r>
          <rPr>
            <sz val="9"/>
            <color indexed="81"/>
            <rFont val="Tahoma"/>
            <family val="2"/>
          </rPr>
          <t xml:space="preserve">
Sept fell off a cliff last year, but overall difficult comp
New Sioux City property opening but 5hrs away, assume no impact</t>
        </r>
      </text>
    </comment>
    <comment ref="BE457" authorId="5">
      <text>
        <r>
          <rPr>
            <b/>
            <sz val="9"/>
            <color indexed="81"/>
            <rFont val="Tahoma"/>
            <family val="2"/>
          </rPr>
          <t>Savino, Mark (Research):</t>
        </r>
        <r>
          <rPr>
            <sz val="9"/>
            <color indexed="81"/>
            <rFont val="Tahoma"/>
            <family val="2"/>
          </rPr>
          <t xml:space="preserve">
Blizzard on NYE last year</t>
        </r>
      </text>
    </comment>
    <comment ref="BG457" authorId="5">
      <text>
        <r>
          <rPr>
            <b/>
            <sz val="9"/>
            <color indexed="81"/>
            <rFont val="Tahoma"/>
            <family val="2"/>
          </rPr>
          <t>Savino, Mark (Research):</t>
        </r>
        <r>
          <rPr>
            <sz val="9"/>
            <color indexed="81"/>
            <rFont val="Tahoma"/>
            <family val="2"/>
          </rPr>
          <t xml:space="preserve">
January up 13%</t>
        </r>
      </text>
    </comment>
    <comment ref="BK457" authorId="3">
      <text>
        <r>
          <rPr>
            <b/>
            <sz val="8"/>
            <color indexed="81"/>
            <rFont val="Tahoma"/>
            <family val="2"/>
          </rPr>
          <t>thallen:</t>
        </r>
        <r>
          <rPr>
            <sz val="8"/>
            <color indexed="81"/>
            <rFont val="Tahoma"/>
            <family val="2"/>
          </rPr>
          <t xml:space="preserve">
Also getting hit by VLT expansion in IL
Remote location means less likely to have competition over time</t>
        </r>
      </text>
    </comment>
    <comment ref="BO457" authorId="6">
      <text>
        <r>
          <rPr>
            <b/>
            <sz val="9"/>
            <color indexed="81"/>
            <rFont val="Tahoma"/>
            <family val="2"/>
          </rPr>
          <t>Allen, Thomas (Research):</t>
        </r>
        <r>
          <rPr>
            <sz val="9"/>
            <color indexed="81"/>
            <rFont val="Tahoma"/>
            <family val="2"/>
          </rPr>
          <t xml:space="preserve">
Impacted by weather</t>
        </r>
      </text>
    </comment>
    <comment ref="BT457" authorId="6">
      <text>
        <r>
          <rPr>
            <b/>
            <sz val="9"/>
            <color indexed="81"/>
            <rFont val="Tahoma"/>
            <family val="2"/>
          </rPr>
          <t>Allen, Thomas (Research):</t>
        </r>
        <r>
          <rPr>
            <sz val="9"/>
            <color indexed="81"/>
            <rFont val="Tahoma"/>
            <family val="2"/>
          </rPr>
          <t xml:space="preserve">
Easy weather comp</t>
        </r>
      </text>
    </comment>
    <comment ref="BV457" authorId="5">
      <text>
        <r>
          <rPr>
            <b/>
            <sz val="9"/>
            <color indexed="81"/>
            <rFont val="Tahoma"/>
            <family val="2"/>
          </rPr>
          <t>Savino, Mark (Research):</t>
        </r>
        <r>
          <rPr>
            <sz val="9"/>
            <color indexed="81"/>
            <rFont val="Tahoma"/>
            <family val="2"/>
          </rPr>
          <t xml:space="preserve">
Up 5% in January despite 10 snow days vs. 0 in 1Q17</t>
        </r>
      </text>
    </comment>
    <comment ref="BB458" authorId="5">
      <text>
        <r>
          <rPr>
            <b/>
            <sz val="9"/>
            <color indexed="81"/>
            <rFont val="Tahoma"/>
            <family val="2"/>
          </rPr>
          <t>Savino, Mark (Research):</t>
        </r>
        <r>
          <rPr>
            <sz val="9"/>
            <color indexed="81"/>
            <rFont val="Tahoma"/>
            <family val="2"/>
          </rPr>
          <t xml:space="preserve">
-8% in Jan</t>
        </r>
      </text>
    </comment>
    <comment ref="BD458" authorId="5">
      <text>
        <r>
          <rPr>
            <b/>
            <sz val="9"/>
            <color indexed="81"/>
            <rFont val="Tahoma"/>
            <family val="2"/>
          </rPr>
          <t>Savino, Mark (Research):</t>
        </r>
        <r>
          <rPr>
            <sz val="9"/>
            <color indexed="81"/>
            <rFont val="Tahoma"/>
            <family val="2"/>
          </rPr>
          <t xml:space="preserve">
Sept fell off a cliff last year
New Sioux City property opening but 3.5hrs away, assume no impact</t>
        </r>
      </text>
    </comment>
    <comment ref="BE458" authorId="5">
      <text>
        <r>
          <rPr>
            <b/>
            <sz val="9"/>
            <color indexed="81"/>
            <rFont val="Tahoma"/>
            <family val="2"/>
          </rPr>
          <t>Savino, Mark (Research):</t>
        </r>
        <r>
          <rPr>
            <sz val="9"/>
            <color indexed="81"/>
            <rFont val="Tahoma"/>
            <family val="2"/>
          </rPr>
          <t xml:space="preserve">
Blizzard on New Years Eve last year</t>
        </r>
      </text>
    </comment>
    <comment ref="BF458" authorId="3">
      <text>
        <r>
          <rPr>
            <b/>
            <sz val="8"/>
            <color indexed="81"/>
            <rFont val="Tahoma"/>
            <family val="2"/>
          </rPr>
          <t>thallen:</t>
        </r>
        <r>
          <rPr>
            <sz val="8"/>
            <color indexed="81"/>
            <rFont val="Tahoma"/>
            <family val="2"/>
          </rPr>
          <t xml:space="preserve">
Peninsula properties grow faster than other BYD properties in 2014 b/c benefitting from B Connected</t>
        </r>
      </text>
    </comment>
    <comment ref="BG458" authorId="5">
      <text>
        <r>
          <rPr>
            <b/>
            <sz val="9"/>
            <color indexed="81"/>
            <rFont val="Tahoma"/>
            <family val="2"/>
          </rPr>
          <t>Savino, Mark (Research):</t>
        </r>
        <r>
          <rPr>
            <sz val="9"/>
            <color indexed="81"/>
            <rFont val="Tahoma"/>
            <family val="2"/>
          </rPr>
          <t xml:space="preserve">
January up 11%</t>
        </r>
      </text>
    </comment>
    <comment ref="BK458" authorId="3">
      <text>
        <r>
          <rPr>
            <b/>
            <sz val="8"/>
            <color indexed="81"/>
            <rFont val="Tahoma"/>
            <family val="2"/>
          </rPr>
          <t>thallen:</t>
        </r>
        <r>
          <rPr>
            <sz val="8"/>
            <color indexed="81"/>
            <rFont val="Tahoma"/>
            <family val="2"/>
          </rPr>
          <t xml:space="preserve">
Remote location means less likely to have competition over time</t>
        </r>
      </text>
    </comment>
    <comment ref="BO458" authorId="6">
      <text>
        <r>
          <rPr>
            <b/>
            <sz val="9"/>
            <color indexed="81"/>
            <rFont val="Tahoma"/>
            <family val="2"/>
          </rPr>
          <t>Allen, Thomas (Research):</t>
        </r>
        <r>
          <rPr>
            <sz val="9"/>
            <color indexed="81"/>
            <rFont val="Tahoma"/>
            <family val="2"/>
          </rPr>
          <t xml:space="preserve">
Impacted by weather</t>
        </r>
      </text>
    </comment>
    <comment ref="BT458" authorId="6">
      <text>
        <r>
          <rPr>
            <b/>
            <sz val="9"/>
            <color indexed="81"/>
            <rFont val="Tahoma"/>
            <family val="2"/>
          </rPr>
          <t>Allen, Thomas (Research):</t>
        </r>
        <r>
          <rPr>
            <sz val="9"/>
            <color indexed="81"/>
            <rFont val="Tahoma"/>
            <family val="2"/>
          </rPr>
          <t xml:space="preserve">
Easy weather comp</t>
        </r>
      </text>
    </comment>
    <comment ref="BV458" authorId="5">
      <text>
        <r>
          <rPr>
            <b/>
            <sz val="9"/>
            <color indexed="81"/>
            <rFont val="Tahoma"/>
            <family val="2"/>
          </rPr>
          <t>Savino, Mark (Research):</t>
        </r>
        <r>
          <rPr>
            <sz val="9"/>
            <color indexed="81"/>
            <rFont val="Tahoma"/>
            <family val="2"/>
          </rPr>
          <t xml:space="preserve">
Down 0.6% in January</t>
        </r>
      </text>
    </comment>
    <comment ref="AW459" authorId="3">
      <text>
        <r>
          <rPr>
            <b/>
            <sz val="8"/>
            <color indexed="81"/>
            <rFont val="Tahoma"/>
            <family val="2"/>
          </rPr>
          <t>thallen:</t>
        </r>
        <r>
          <rPr>
            <sz val="8"/>
            <color indexed="81"/>
            <rFont val="Tahoma"/>
            <family val="2"/>
          </rPr>
          <t xml:space="preserve">
Little bit of a drag from PNK Baton Rouge but also feel can improve marketing</t>
        </r>
      </text>
    </comment>
    <comment ref="AX459" authorId="3">
      <text>
        <r>
          <rPr>
            <b/>
            <sz val="8"/>
            <color indexed="81"/>
            <rFont val="Tahoma"/>
            <family val="2"/>
          </rPr>
          <t>thallen:</t>
        </r>
        <r>
          <rPr>
            <sz val="8"/>
            <color indexed="81"/>
            <rFont val="Tahoma"/>
            <family val="2"/>
          </rPr>
          <t xml:space="preserve">
Little bit of a drag from PNK Baton Rouge but also feel can improve marketing</t>
        </r>
      </text>
    </comment>
    <comment ref="BB459" authorId="5">
      <text>
        <r>
          <rPr>
            <b/>
            <sz val="9"/>
            <color indexed="81"/>
            <rFont val="Tahoma"/>
            <family val="2"/>
          </rPr>
          <t>Savino, Mark (Research):</t>
        </r>
        <r>
          <rPr>
            <sz val="9"/>
            <color indexed="81"/>
            <rFont val="Tahoma"/>
            <family val="2"/>
          </rPr>
          <t xml:space="preserve">
-7% in Jan</t>
        </r>
      </text>
    </comment>
    <comment ref="BE459" authorId="5">
      <text>
        <r>
          <rPr>
            <b/>
            <sz val="9"/>
            <color indexed="81"/>
            <rFont val="Tahoma"/>
            <family val="2"/>
          </rPr>
          <t>Savino, Mark (Research):</t>
        </r>
        <r>
          <rPr>
            <sz val="9"/>
            <color indexed="81"/>
            <rFont val="Tahoma"/>
            <family val="2"/>
          </rPr>
          <t xml:space="preserve">
New Lake Charles property ~1.5hrs away opening in Dec</t>
        </r>
      </text>
    </comment>
    <comment ref="BF459" authorId="3">
      <text>
        <r>
          <rPr>
            <b/>
            <sz val="8"/>
            <color indexed="81"/>
            <rFont val="Tahoma"/>
            <family val="2"/>
          </rPr>
          <t>thallen:</t>
        </r>
        <r>
          <rPr>
            <sz val="8"/>
            <color indexed="81"/>
            <rFont val="Tahoma"/>
            <family val="2"/>
          </rPr>
          <t xml:space="preserve">
Peninsula properties grow faster than other BYD properties in 2014 b/c benefitting from B Connected</t>
        </r>
      </text>
    </comment>
    <comment ref="BK459" authorId="3">
      <text>
        <r>
          <rPr>
            <b/>
            <sz val="8"/>
            <color indexed="81"/>
            <rFont val="Tahoma"/>
            <family val="2"/>
          </rPr>
          <t>thallen:</t>
        </r>
        <r>
          <rPr>
            <sz val="8"/>
            <color indexed="81"/>
            <rFont val="Tahoma"/>
            <family val="2"/>
          </rPr>
          <t xml:space="preserve">
Per mgmt, Lake Charles property opening in Dec, assume some impact (1.5hrs away) 
But some non-gaming opps (per 3Q14 call) that likely will offset
However, weak Energy industry also a headwind</t>
        </r>
      </text>
    </comment>
    <comment ref="BL459" authorId="6">
      <text>
        <r>
          <rPr>
            <b/>
            <sz val="9"/>
            <color indexed="81"/>
            <rFont val="Tahoma"/>
            <family val="2"/>
          </rPr>
          <t>Allen, Thomas (Research):</t>
        </r>
        <r>
          <rPr>
            <sz val="9"/>
            <color indexed="81"/>
            <rFont val="Tahoma"/>
            <family val="2"/>
          </rPr>
          <t xml:space="preserve">
Impact of energy markets</t>
        </r>
      </text>
    </comment>
    <comment ref="BM459" authorId="6">
      <text>
        <r>
          <rPr>
            <b/>
            <sz val="9"/>
            <color indexed="81"/>
            <rFont val="Tahoma"/>
            <family val="2"/>
          </rPr>
          <t>Allen, Thomas (Research):</t>
        </r>
        <r>
          <rPr>
            <sz val="9"/>
            <color indexed="81"/>
            <rFont val="Tahoma"/>
            <family val="2"/>
          </rPr>
          <t xml:space="preserve">
Impact of energy markets</t>
        </r>
      </text>
    </comment>
    <comment ref="BN459" authorId="6">
      <text>
        <r>
          <rPr>
            <b/>
            <sz val="9"/>
            <color indexed="81"/>
            <rFont val="Tahoma"/>
            <family val="2"/>
          </rPr>
          <t>Allen, Thomas (Research):</t>
        </r>
        <r>
          <rPr>
            <sz val="9"/>
            <color indexed="81"/>
            <rFont val="Tahoma"/>
            <family val="2"/>
          </rPr>
          <t xml:space="preserve">
Impact of energy markets</t>
        </r>
      </text>
    </comment>
    <comment ref="BO459" authorId="6">
      <text>
        <r>
          <rPr>
            <b/>
            <sz val="9"/>
            <color indexed="81"/>
            <rFont val="Tahoma"/>
            <family val="2"/>
          </rPr>
          <t>Allen, Thomas (Research):</t>
        </r>
        <r>
          <rPr>
            <sz val="9"/>
            <color indexed="81"/>
            <rFont val="Tahoma"/>
            <family val="2"/>
          </rPr>
          <t xml:space="preserve">
New GM started in April, starting to have benefit</t>
        </r>
      </text>
    </comment>
    <comment ref="BR459" authorId="5">
      <text>
        <r>
          <rPr>
            <b/>
            <sz val="9"/>
            <color indexed="81"/>
            <rFont val="Tahoma"/>
            <family val="2"/>
          </rPr>
          <t>Savino, Mark (Research):</t>
        </r>
        <r>
          <rPr>
            <sz val="9"/>
            <color indexed="81"/>
            <rFont val="Tahoma"/>
            <family val="2"/>
          </rPr>
          <t xml:space="preserve">
Impacted by local economic weakness</t>
        </r>
      </text>
    </comment>
    <comment ref="BT459" authorId="5">
      <text>
        <r>
          <rPr>
            <b/>
            <sz val="9"/>
            <color indexed="81"/>
            <rFont val="Tahoma"/>
            <family val="2"/>
          </rPr>
          <t>Savino, Mark (Research):</t>
        </r>
        <r>
          <rPr>
            <sz val="9"/>
            <color indexed="81"/>
            <rFont val="Tahoma"/>
            <family val="2"/>
          </rPr>
          <t xml:space="preserve">
Per mgmt on 3Q17 call, continues to be challenged by softer economic conditions</t>
        </r>
      </text>
    </comment>
    <comment ref="BV459" authorId="5">
      <text>
        <r>
          <rPr>
            <b/>
            <sz val="9"/>
            <color indexed="81"/>
            <rFont val="Tahoma"/>
            <family val="2"/>
          </rPr>
          <t>Savino, Mark (Research):</t>
        </r>
        <r>
          <rPr>
            <sz val="9"/>
            <color indexed="81"/>
            <rFont val="Tahoma"/>
            <family val="2"/>
          </rPr>
          <t xml:space="preserve">
January down 10%</t>
        </r>
      </text>
    </comment>
    <comment ref="BB460" authorId="5">
      <text>
        <r>
          <rPr>
            <b/>
            <sz val="9"/>
            <color indexed="81"/>
            <rFont val="Tahoma"/>
            <family val="2"/>
          </rPr>
          <t>Savino, Mark (Research):</t>
        </r>
        <r>
          <rPr>
            <sz val="9"/>
            <color indexed="81"/>
            <rFont val="Tahoma"/>
            <family val="2"/>
          </rPr>
          <t xml:space="preserve">
-3% in Jan</t>
        </r>
      </text>
    </comment>
    <comment ref="BD460" authorId="5">
      <text>
        <r>
          <rPr>
            <b/>
            <sz val="9"/>
            <color indexed="81"/>
            <rFont val="Tahoma"/>
            <family val="2"/>
          </rPr>
          <t>Savino, Mark (Research):</t>
        </r>
        <r>
          <rPr>
            <sz val="9"/>
            <color indexed="81"/>
            <rFont val="Tahoma"/>
            <family val="2"/>
          </rPr>
          <t xml:space="preserve">
Weak Sept last year due to gov't shutdown</t>
        </r>
      </text>
    </comment>
    <comment ref="BF460" authorId="3">
      <text>
        <r>
          <rPr>
            <b/>
            <sz val="8"/>
            <color indexed="81"/>
            <rFont val="Tahoma"/>
            <family val="2"/>
          </rPr>
          <t>thallen:</t>
        </r>
        <r>
          <rPr>
            <sz val="8"/>
            <color indexed="81"/>
            <rFont val="Tahoma"/>
            <family val="2"/>
          </rPr>
          <t xml:space="preserve">
Peninsula properties grow faster than other BYD properties in 2014 b/c benefitting from B Connected</t>
        </r>
      </text>
    </comment>
    <comment ref="BK460" authorId="6">
      <text>
        <r>
          <rPr>
            <b/>
            <sz val="9"/>
            <color indexed="81"/>
            <rFont val="Tahoma"/>
            <family val="2"/>
          </rPr>
          <t>Allen, Thomas (Research):</t>
        </r>
        <r>
          <rPr>
            <sz val="9"/>
            <color indexed="81"/>
            <rFont val="Tahoma"/>
            <family val="2"/>
          </rPr>
          <t xml:space="preserve">
Weak Energy industry impact</t>
        </r>
      </text>
    </comment>
    <comment ref="BL460" authorId="6">
      <text>
        <r>
          <rPr>
            <b/>
            <sz val="9"/>
            <color indexed="81"/>
            <rFont val="Tahoma"/>
            <family val="2"/>
          </rPr>
          <t>Allen, Thomas (Research):</t>
        </r>
        <r>
          <rPr>
            <sz val="9"/>
            <color indexed="81"/>
            <rFont val="Tahoma"/>
            <family val="2"/>
          </rPr>
          <t xml:space="preserve">
Impact of energy markets</t>
        </r>
      </text>
    </comment>
    <comment ref="BM460" authorId="6">
      <text>
        <r>
          <rPr>
            <b/>
            <sz val="9"/>
            <color indexed="81"/>
            <rFont val="Tahoma"/>
            <family val="2"/>
          </rPr>
          <t>Allen, Thomas (Research):</t>
        </r>
        <r>
          <rPr>
            <sz val="9"/>
            <color indexed="81"/>
            <rFont val="Tahoma"/>
            <family val="2"/>
          </rPr>
          <t xml:space="preserve">
Impact of energy markets</t>
        </r>
      </text>
    </comment>
    <comment ref="BN460" authorId="6">
      <text>
        <r>
          <rPr>
            <b/>
            <sz val="9"/>
            <color indexed="81"/>
            <rFont val="Tahoma"/>
            <family val="2"/>
          </rPr>
          <t>Allen, Thomas (Research):</t>
        </r>
        <r>
          <rPr>
            <sz val="9"/>
            <color indexed="81"/>
            <rFont val="Tahoma"/>
            <family val="2"/>
          </rPr>
          <t xml:space="preserve">
Impact of energy markets</t>
        </r>
      </text>
    </comment>
    <comment ref="BO460" authorId="5">
      <text>
        <r>
          <rPr>
            <b/>
            <sz val="9"/>
            <color indexed="81"/>
            <rFont val="Tahoma"/>
            <family val="2"/>
          </rPr>
          <t>Savino, Mark (Research):</t>
        </r>
        <r>
          <rPr>
            <sz val="9"/>
            <color indexed="81"/>
            <rFont val="Tahoma"/>
            <family val="2"/>
          </rPr>
          <t xml:space="preserve">
Oct/Nov down 16%, likely some impact from flooding</t>
        </r>
      </text>
    </comment>
    <comment ref="BR460" authorId="5">
      <text>
        <r>
          <rPr>
            <b/>
            <sz val="9"/>
            <color indexed="81"/>
            <rFont val="Tahoma"/>
            <family val="2"/>
          </rPr>
          <t>Savino, Mark (Research):</t>
        </r>
        <r>
          <rPr>
            <sz val="9"/>
            <color indexed="81"/>
            <rFont val="Tahoma"/>
            <family val="2"/>
          </rPr>
          <t xml:space="preserve">
Impacted by local economic weakness</t>
        </r>
      </text>
    </comment>
    <comment ref="BT460" authorId="5">
      <text>
        <r>
          <rPr>
            <b/>
            <sz val="9"/>
            <color indexed="81"/>
            <rFont val="Tahoma"/>
            <family val="2"/>
          </rPr>
          <t>Savino, Mark (Research):</t>
        </r>
        <r>
          <rPr>
            <sz val="9"/>
            <color indexed="81"/>
            <rFont val="Tahoma"/>
            <family val="2"/>
          </rPr>
          <t xml:space="preserve">
Lapping flooding impact in 4Q16</t>
        </r>
      </text>
    </comment>
    <comment ref="BV460" authorId="5">
      <text>
        <r>
          <rPr>
            <b/>
            <sz val="9"/>
            <color indexed="81"/>
            <rFont val="Tahoma"/>
            <family val="2"/>
          </rPr>
          <t>Savino, Mark (Research):</t>
        </r>
        <r>
          <rPr>
            <sz val="9"/>
            <color indexed="81"/>
            <rFont val="Tahoma"/>
            <family val="2"/>
          </rPr>
          <t xml:space="preserve">
Up 4% in January</t>
        </r>
      </text>
    </comment>
    <comment ref="BN461" authorId="6">
      <text>
        <r>
          <rPr>
            <b/>
            <sz val="9"/>
            <color indexed="81"/>
            <rFont val="Tahoma"/>
            <family val="2"/>
          </rPr>
          <t>Allen, Thomas (Research):</t>
        </r>
        <r>
          <rPr>
            <sz val="9"/>
            <color indexed="81"/>
            <rFont val="Tahoma"/>
            <family val="2"/>
          </rPr>
          <t xml:space="preserve">
Mgmt hoping KS Star flat in 2H</t>
        </r>
      </text>
    </comment>
    <comment ref="BO461" authorId="5">
      <text>
        <r>
          <rPr>
            <b/>
            <sz val="9"/>
            <color indexed="81"/>
            <rFont val="Tahoma"/>
            <family val="2"/>
          </rPr>
          <t>Savino, Mark (Research):</t>
        </r>
        <r>
          <rPr>
            <sz val="9"/>
            <color indexed="81"/>
            <rFont val="Tahoma"/>
            <family val="2"/>
          </rPr>
          <t xml:space="preserve">
Easier comp with ice storms on two weekends in 4Q15 BUT per 4Q16 call, still impacted by weather</t>
        </r>
      </text>
    </comment>
    <comment ref="BQ461" authorId="5">
      <text>
        <r>
          <rPr>
            <b/>
            <sz val="9"/>
            <color indexed="81"/>
            <rFont val="Tahoma"/>
            <family val="2"/>
          </rPr>
          <t>Savino, Mark (Research):</t>
        </r>
        <r>
          <rPr>
            <sz val="9"/>
            <color indexed="81"/>
            <rFont val="Tahoma"/>
            <family val="2"/>
          </rPr>
          <t xml:space="preserve">
1/10/17: Per mgmt, new mgmt team there taking a new approach towards promotional activity, which should help performance
Property most negatively impacted by weather in qtr</t>
        </r>
      </text>
    </comment>
    <comment ref="BR461" authorId="5">
      <text>
        <r>
          <rPr>
            <b/>
            <sz val="9"/>
            <color indexed="81"/>
            <rFont val="Tahoma"/>
            <family val="2"/>
          </rPr>
          <t>Savino, Mark (Research):</t>
        </r>
        <r>
          <rPr>
            <sz val="9"/>
            <color indexed="81"/>
            <rFont val="Tahoma"/>
            <family val="2"/>
          </rPr>
          <t xml:space="preserve">
1/10/17: Per mgmt, new mgmt team there taking a new approach towards promotional activity, which should help performance</t>
        </r>
      </text>
    </comment>
    <comment ref="BS461" authorId="5">
      <text>
        <r>
          <rPr>
            <b/>
            <sz val="9"/>
            <color indexed="81"/>
            <rFont val="Tahoma"/>
            <family val="2"/>
          </rPr>
          <t>Savino, Mark (Research):</t>
        </r>
        <r>
          <rPr>
            <sz val="9"/>
            <color indexed="81"/>
            <rFont val="Tahoma"/>
            <family val="2"/>
          </rPr>
          <t xml:space="preserve">
1/10/17: Per mgmt, new mgmt team there taking a new approach towards promotional activity, which should help performance</t>
        </r>
      </text>
    </comment>
    <comment ref="BT461" authorId="5">
      <text>
        <r>
          <rPr>
            <b/>
            <sz val="9"/>
            <color indexed="81"/>
            <rFont val="Tahoma"/>
            <family val="2"/>
          </rPr>
          <t>Savino, Mark (Research):</t>
        </r>
        <r>
          <rPr>
            <sz val="9"/>
            <color indexed="81"/>
            <rFont val="Tahoma"/>
            <family val="2"/>
          </rPr>
          <t xml:space="preserve">
4Q17: Solid growth in both rated and unrated revs, increased visitations and spend / visit from rated players
1/10/17: Per mgmt, new mgmt team there taking a new approach towards promotional activity, which should help performance
Easy weather comp (2 years)</t>
        </r>
      </text>
    </comment>
    <comment ref="BU461" authorId="5">
      <text>
        <r>
          <rPr>
            <b/>
            <sz val="9"/>
            <color indexed="81"/>
            <rFont val="Tahoma"/>
            <family val="2"/>
          </rPr>
          <t>Savino, Mark (Research):</t>
        </r>
        <r>
          <rPr>
            <sz val="9"/>
            <color indexed="81"/>
            <rFont val="Tahoma"/>
            <family val="2"/>
          </rPr>
          <t xml:space="preserve">
1/10/17: Per mgmt, new mgmt team there taking a new approach towards promotional activity, which should help performance</t>
        </r>
      </text>
    </comment>
    <comment ref="BZ461" authorId="6">
      <text>
        <r>
          <rPr>
            <b/>
            <sz val="9"/>
            <color indexed="81"/>
            <rFont val="Tahoma"/>
            <family val="2"/>
          </rPr>
          <t>Allen, Thomas (Research):</t>
        </r>
        <r>
          <rPr>
            <sz val="9"/>
            <color indexed="81"/>
            <rFont val="Tahoma"/>
            <family val="2"/>
          </rPr>
          <t xml:space="preserve">
Mgmt's initiatives started paying off in 4Q17</t>
        </r>
      </text>
    </comment>
    <comment ref="AW468" authorId="3">
      <text>
        <r>
          <rPr>
            <b/>
            <sz val="8"/>
            <color indexed="81"/>
            <rFont val="Tahoma"/>
            <family val="2"/>
          </rPr>
          <t>thallen:</t>
        </r>
        <r>
          <rPr>
            <sz val="8"/>
            <color indexed="81"/>
            <rFont val="Tahoma"/>
            <family val="2"/>
          </rPr>
          <t xml:space="preserve">
Weather last year created a tough comp. Also 1 less day b/c 2012 a leap year. And Easter in March vs. April. And negative impact from higher payroll taxes</t>
        </r>
      </text>
    </comment>
    <comment ref="BB468" authorId="3">
      <text>
        <r>
          <rPr>
            <b/>
            <sz val="8"/>
            <color indexed="81"/>
            <rFont val="Tahoma"/>
            <family val="2"/>
          </rPr>
          <t>thallen:</t>
        </r>
        <r>
          <rPr>
            <sz val="8"/>
            <color indexed="81"/>
            <rFont val="Tahoma"/>
            <family val="2"/>
          </rPr>
          <t xml:space="preserve">
Easy weather comp</t>
        </r>
      </text>
    </comment>
    <comment ref="BD468" authorId="3">
      <text>
        <r>
          <rPr>
            <b/>
            <sz val="8"/>
            <color indexed="81"/>
            <rFont val="Tahoma"/>
            <family val="2"/>
          </rPr>
          <t>thallen:</t>
        </r>
        <r>
          <rPr>
            <sz val="8"/>
            <color indexed="81"/>
            <rFont val="Tahoma"/>
            <family val="2"/>
          </rPr>
          <t xml:space="preserve">
Market fell off a cliff in Sept 2013, impacted by gov't uncertainty (gov't shutdown for first 16 days in Oct 2013)
Sept 2013 down 20%</t>
        </r>
      </text>
    </comment>
    <comment ref="BE468" authorId="5">
      <text>
        <r>
          <rPr>
            <b/>
            <sz val="9"/>
            <color indexed="81"/>
            <rFont val="Tahoma"/>
            <family val="2"/>
          </rPr>
          <t>Savino, Mark (Research):</t>
        </r>
        <r>
          <rPr>
            <sz val="9"/>
            <color indexed="81"/>
            <rFont val="Tahoma"/>
            <family val="2"/>
          </rPr>
          <t xml:space="preserve">
Midwest states had a horrible Dec due to a blizzard on New Years Eve (busiest day of the year) - Dec 2013 down 24% </t>
        </r>
      </text>
    </comment>
    <comment ref="BG468" authorId="6">
      <text>
        <r>
          <rPr>
            <b/>
            <sz val="9"/>
            <color indexed="81"/>
            <rFont val="Tahoma"/>
            <family val="2"/>
          </rPr>
          <t>Allen, Thomas (Research):</t>
        </r>
        <r>
          <rPr>
            <sz val="9"/>
            <color indexed="81"/>
            <rFont val="Tahoma"/>
            <family val="2"/>
          </rPr>
          <t xml:space="preserve">
10 of 12 regional properties reported rev / EBITDA growth</t>
        </r>
      </text>
    </comment>
    <comment ref="BQ468" authorId="6">
      <text>
        <r>
          <rPr>
            <b/>
            <sz val="9"/>
            <color indexed="81"/>
            <rFont val="Tahoma"/>
            <family val="2"/>
          </rPr>
          <t>Allen, Thomas (Research):</t>
        </r>
        <r>
          <rPr>
            <sz val="9"/>
            <color indexed="81"/>
            <rFont val="Tahoma"/>
            <family val="2"/>
          </rPr>
          <t xml:space="preserve">
Weather impact in 1Q17</t>
        </r>
      </text>
    </comment>
    <comment ref="BS468" authorId="6">
      <text>
        <r>
          <rPr>
            <b/>
            <sz val="9"/>
            <color indexed="81"/>
            <rFont val="Tahoma"/>
            <family val="2"/>
          </rPr>
          <t>Allen, Thomas (Research):</t>
        </r>
        <r>
          <rPr>
            <sz val="9"/>
            <color indexed="81"/>
            <rFont val="Tahoma"/>
            <family val="2"/>
          </rPr>
          <t xml:space="preserve">
1/4/17: MS expects PCE spending to pick-up in 2H17, accelerate into 2018 
https://ny.matrix.ms.com/eqr/article/webapp/cd460124-b574-11e6-addd-5083e71245e2?ch=rpint</t>
        </r>
      </text>
    </comment>
    <comment ref="BT468" authorId="6">
      <text>
        <r>
          <rPr>
            <b/>
            <sz val="9"/>
            <color indexed="81"/>
            <rFont val="Tahoma"/>
            <family val="2"/>
          </rPr>
          <t>Allen, Thomas (Research):</t>
        </r>
        <r>
          <rPr>
            <sz val="9"/>
            <color indexed="81"/>
            <rFont val="Tahoma"/>
            <family val="2"/>
          </rPr>
          <t xml:space="preserve">
Comping flooding disruption in LA
1/4/17: MS expects PCE spending to pick-up in 2H17, accelerate into 2018 
https://ny.matrix.ms.com/eqr/article/webapp/cd460124-b574-11e6-addd-5083e71245e2?ch=rpint</t>
        </r>
      </text>
    </comment>
    <comment ref="BU468" authorId="6">
      <text>
        <r>
          <rPr>
            <b/>
            <sz val="9"/>
            <color indexed="81"/>
            <rFont val="Tahoma"/>
            <family val="2"/>
          </rPr>
          <t>Allen, Thomas (Research):</t>
        </r>
        <r>
          <rPr>
            <sz val="9"/>
            <color indexed="81"/>
            <rFont val="Tahoma"/>
            <family val="2"/>
          </rPr>
          <t xml:space="preserve">
1Q17: 0-1% growth
4Q16: +1% growth</t>
        </r>
      </text>
    </comment>
    <comment ref="BZ468" authorId="6">
      <text>
        <r>
          <rPr>
            <b/>
            <sz val="9"/>
            <color indexed="81"/>
            <rFont val="Tahoma"/>
            <family val="2"/>
          </rPr>
          <t>Allen, Thomas (Research):</t>
        </r>
        <r>
          <rPr>
            <sz val="9"/>
            <color indexed="81"/>
            <rFont val="Tahoma"/>
            <family val="2"/>
          </rPr>
          <t xml:space="preserve">
1/4/17: MS expects PCE spending to pick-up in 2H17, accelerate into 2018 
https://ny.matrix.ms.com/eqr/article/webapp/cd460124-b574-11e6-addd-5083e71245e2?ch=rpint</t>
        </r>
      </text>
    </comment>
    <comment ref="A472" authorId="0">
      <text>
        <r>
          <rPr>
            <b/>
            <sz val="8"/>
            <color indexed="81"/>
            <rFont val="Tahoma"/>
            <family val="2"/>
          </rPr>
          <t>urbankev:</t>
        </r>
        <r>
          <rPr>
            <sz val="8"/>
            <color indexed="81"/>
            <rFont val="Tahoma"/>
            <family val="2"/>
          </rPr>
          <t xml:space="preserve">
Estimated based on average WPD for Mississippi North River Region</t>
        </r>
      </text>
    </comment>
    <comment ref="AI472" authorId="2">
      <text>
        <r>
          <rPr>
            <b/>
            <sz val="8"/>
            <color indexed="81"/>
            <rFont val="Tahoma"/>
            <family val="2"/>
          </rPr>
          <t>stramark:</t>
        </r>
        <r>
          <rPr>
            <sz val="8"/>
            <color indexed="81"/>
            <rFont val="Tahoma"/>
            <family val="2"/>
          </rPr>
          <t xml:space="preserve">
Through May</t>
        </r>
      </text>
    </comment>
    <comment ref="E477" authorId="0">
      <text>
        <r>
          <rPr>
            <b/>
            <sz val="8"/>
            <color indexed="81"/>
            <rFont val="Tahoma"/>
            <family val="2"/>
          </rPr>
          <t>urbankev:</t>
        </r>
        <r>
          <rPr>
            <sz val="8"/>
            <color indexed="81"/>
            <rFont val="Tahoma"/>
            <family val="2"/>
          </rPr>
          <t xml:space="preserve">
Adjusted to reflect 41 days in the period, due to Shreveport acquisition in May 2004.</t>
        </r>
      </text>
    </comment>
    <comment ref="BU496" authorId="5">
      <text>
        <r>
          <rPr>
            <b/>
            <sz val="9"/>
            <color indexed="81"/>
            <rFont val="Tahoma"/>
            <family val="2"/>
          </rPr>
          <t>Savino, Mark (Research):</t>
        </r>
        <r>
          <rPr>
            <sz val="9"/>
            <color indexed="81"/>
            <rFont val="Tahoma"/>
            <family val="2"/>
          </rPr>
          <t xml:space="preserve">
Impact of Delta Downs expansion</t>
        </r>
      </text>
    </comment>
    <comment ref="EB496" authorId="5">
      <text>
        <r>
          <rPr>
            <b/>
            <sz val="9"/>
            <color indexed="81"/>
            <rFont val="Tahoma"/>
            <family val="2"/>
          </rPr>
          <t>Savino, Mark (Research):</t>
        </r>
        <r>
          <rPr>
            <sz val="9"/>
            <color indexed="81"/>
            <rFont val="Tahoma"/>
            <family val="2"/>
          </rPr>
          <t xml:space="preserve">
Impact of Delta Downs expansion</t>
        </r>
      </text>
    </comment>
    <comment ref="AN499" authorId="15">
      <text>
        <r>
          <rPr>
            <b/>
            <sz val="8"/>
            <color indexed="81"/>
            <rFont val="Tahoma"/>
            <family val="2"/>
          </rPr>
          <t>danfuss:</t>
        </r>
        <r>
          <rPr>
            <sz val="8"/>
            <color indexed="81"/>
            <rFont val="Tahoma"/>
            <family val="2"/>
          </rPr>
          <t xml:space="preserve">
Impacted by Tunica closure for 25 days</t>
        </r>
      </text>
    </comment>
    <comment ref="AU499" authorId="5">
      <text>
        <r>
          <rPr>
            <b/>
            <sz val="9"/>
            <color indexed="81"/>
            <rFont val="Tahoma"/>
            <family val="2"/>
          </rPr>
          <t>Savino, Mark (Research):</t>
        </r>
        <r>
          <rPr>
            <sz val="9"/>
            <color indexed="81"/>
            <rFont val="Tahoma"/>
            <family val="2"/>
          </rPr>
          <t xml:space="preserve">
Includes Peninsula</t>
        </r>
      </text>
    </comment>
    <comment ref="AN500" authorId="15">
      <text>
        <r>
          <rPr>
            <b/>
            <sz val="8"/>
            <color indexed="81"/>
            <rFont val="Tahoma"/>
            <family val="2"/>
          </rPr>
          <t>danfuss:</t>
        </r>
        <r>
          <rPr>
            <sz val="8"/>
            <color indexed="81"/>
            <rFont val="Tahoma"/>
            <family val="2"/>
          </rPr>
          <t xml:space="preserve">
Impacted by Tunica closure for 25 days</t>
        </r>
      </text>
    </comment>
    <comment ref="AX501" authorId="7">
      <text>
        <r>
          <rPr>
            <b/>
            <sz val="8"/>
            <color indexed="81"/>
            <rFont val="Tahoma"/>
            <family val="2"/>
          </rPr>
          <t>savinmar:</t>
        </r>
        <r>
          <rPr>
            <sz val="8"/>
            <color indexed="81"/>
            <rFont val="Tahoma"/>
            <family val="2"/>
          </rPr>
          <t xml:space="preserve">
Seeing increased competition, particularly at Gulf Coast properties</t>
        </r>
      </text>
    </comment>
    <comment ref="AN503" authorId="15">
      <text>
        <r>
          <rPr>
            <b/>
            <sz val="8"/>
            <color indexed="81"/>
            <rFont val="Tahoma"/>
            <family val="2"/>
          </rPr>
          <t>danfuss:</t>
        </r>
        <r>
          <rPr>
            <sz val="8"/>
            <color indexed="81"/>
            <rFont val="Tahoma"/>
            <family val="2"/>
          </rPr>
          <t xml:space="preserve">
Impacted by Tunica closure for 25 days</t>
        </r>
      </text>
    </comment>
    <comment ref="AV503" authorId="15">
      <text>
        <r>
          <rPr>
            <b/>
            <sz val="8"/>
            <color indexed="81"/>
            <rFont val="Tahoma"/>
            <family val="2"/>
          </rPr>
          <t>DJF: 10/25/11</t>
        </r>
        <r>
          <rPr>
            <sz val="8"/>
            <color indexed="81"/>
            <rFont val="Tahoma"/>
            <family val="2"/>
          </rPr>
          <t xml:space="preserve">
Implies approximately $40 mn EBITDA for IP (20% margin on $200 mn revs) and flat operating expenses at other properties.  On an earlier call, BYD had expected EBITDA of $46 mn at IP.</t>
        </r>
      </text>
    </comment>
    <comment ref="AZ503" authorId="5">
      <text>
        <r>
          <rPr>
            <b/>
            <sz val="9"/>
            <color indexed="81"/>
            <rFont val="Tahoma"/>
            <family val="2"/>
          </rPr>
          <t>Savino, Mark (Research):</t>
        </r>
        <r>
          <rPr>
            <sz val="9"/>
            <color indexed="81"/>
            <rFont val="Tahoma"/>
            <family val="2"/>
          </rPr>
          <t xml:space="preserve">
$9.3m favorabel property tax adjustment at Blue Chip</t>
        </r>
      </text>
    </comment>
    <comment ref="BO503" authorId="5">
      <text>
        <r>
          <rPr>
            <b/>
            <sz val="9"/>
            <color indexed="81"/>
            <rFont val="Tahoma"/>
            <family val="2"/>
          </rPr>
          <t>Savino, Mark (Research):</t>
        </r>
        <r>
          <rPr>
            <sz val="9"/>
            <color indexed="81"/>
            <rFont val="Tahoma"/>
            <family val="2"/>
          </rPr>
          <t xml:space="preserve">
4Q16 press release: Included $2.9m favorable property tax adjustment</t>
        </r>
      </text>
    </comment>
    <comment ref="BX503" authorId="6">
      <text>
        <r>
          <rPr>
            <b/>
            <sz val="9"/>
            <color indexed="81"/>
            <rFont val="Tahoma"/>
            <family val="2"/>
          </rPr>
          <t>Allen, Thomas (Research):</t>
        </r>
        <r>
          <rPr>
            <sz val="9"/>
            <color indexed="81"/>
            <rFont val="Tahoma"/>
            <family val="2"/>
          </rPr>
          <t xml:space="preserve">
Added in 4 assets purchased from PNK
+ Valley Forge</t>
        </r>
      </text>
    </comment>
    <comment ref="BY503" authorId="6">
      <text>
        <r>
          <rPr>
            <b/>
            <sz val="9"/>
            <color indexed="81"/>
            <rFont val="Tahoma"/>
            <family val="2"/>
          </rPr>
          <t>Allen, Thomas (Research):</t>
        </r>
        <r>
          <rPr>
            <sz val="9"/>
            <color indexed="81"/>
            <rFont val="Tahoma"/>
            <family val="2"/>
          </rPr>
          <t xml:space="preserve">
Added in 4 assets purchased from PNK
+ Valley Forge</t>
        </r>
      </text>
    </comment>
    <comment ref="CA503" authorId="6">
      <text>
        <r>
          <rPr>
            <b/>
            <sz val="9"/>
            <color indexed="81"/>
            <rFont val="Tahoma"/>
            <family val="2"/>
          </rPr>
          <t>Allen, Thomas (Research):</t>
        </r>
        <r>
          <rPr>
            <sz val="9"/>
            <color indexed="81"/>
            <rFont val="Tahoma"/>
            <family val="2"/>
          </rPr>
          <t xml:space="preserve">
Added in 4 assets purchased from PNK
+ Valley Forge</t>
        </r>
      </text>
    </comment>
    <comment ref="AN504" authorId="15">
      <text>
        <r>
          <rPr>
            <b/>
            <sz val="8"/>
            <color indexed="81"/>
            <rFont val="Tahoma"/>
            <family val="2"/>
          </rPr>
          <t>danfuss:</t>
        </r>
        <r>
          <rPr>
            <sz val="8"/>
            <color indexed="81"/>
            <rFont val="Tahoma"/>
            <family val="2"/>
          </rPr>
          <t xml:space="preserve">
Impacted by Tunica closure for 25 days</t>
        </r>
      </text>
    </comment>
    <comment ref="AV504" authorId="15">
      <text>
        <r>
          <rPr>
            <b/>
            <sz val="8"/>
            <color indexed="81"/>
            <rFont val="Tahoma"/>
            <family val="2"/>
          </rPr>
          <t>DJF: 10/25/11</t>
        </r>
        <r>
          <rPr>
            <sz val="8"/>
            <color indexed="81"/>
            <rFont val="Tahoma"/>
            <family val="2"/>
          </rPr>
          <t xml:space="preserve">
Implies approximately $40 mn EBITDA for IP (20% margin on $200 mn revs) and flat operating expenses at other properties.  On an earlier call, BYD had expected EBITDA of $46 mn at IP.</t>
        </r>
      </text>
    </comment>
    <comment ref="AZ504" authorId="5">
      <text>
        <r>
          <rPr>
            <b/>
            <sz val="9"/>
            <color indexed="81"/>
            <rFont val="Tahoma"/>
            <family val="2"/>
          </rPr>
          <t>Savino, Mark (Research):</t>
        </r>
        <r>
          <rPr>
            <sz val="9"/>
            <color indexed="81"/>
            <rFont val="Tahoma"/>
            <family val="2"/>
          </rPr>
          <t xml:space="preserve">
$9.3m favorabel property tax adjustment at Blue Chip</t>
        </r>
      </text>
    </comment>
    <comment ref="AP505" authorId="15">
      <text>
        <r>
          <rPr>
            <b/>
            <sz val="8"/>
            <color indexed="81"/>
            <rFont val="Tahoma"/>
            <family val="2"/>
          </rPr>
          <t>DJF:</t>
        </r>
        <r>
          <rPr>
            <sz val="8"/>
            <color indexed="81"/>
            <rFont val="Tahoma"/>
            <family val="2"/>
          </rPr>
          <t xml:space="preserve">
Assumes down 2.5% ex IP and IP EBITDA of ~$8.0 mn</t>
        </r>
      </text>
    </comment>
    <comment ref="AR505" authorId="15">
      <text>
        <r>
          <rPr>
            <b/>
            <sz val="8"/>
            <color indexed="81"/>
            <rFont val="Tahoma"/>
            <family val="2"/>
          </rPr>
          <t>DJF:</t>
        </r>
        <r>
          <rPr>
            <sz val="8"/>
            <color indexed="81"/>
            <rFont val="Tahoma"/>
            <family val="2"/>
          </rPr>
          <t xml:space="preserve">
Assumes down 2.5% ex IP and IP EBITDA of ~$8.0 mn</t>
        </r>
      </text>
    </comment>
    <comment ref="AS505" authorId="15">
      <text>
        <r>
          <rPr>
            <b/>
            <sz val="8"/>
            <color indexed="81"/>
            <rFont val="Tahoma"/>
            <family val="2"/>
          </rPr>
          <t>DJF:</t>
        </r>
        <r>
          <rPr>
            <sz val="8"/>
            <color indexed="81"/>
            <rFont val="Tahoma"/>
            <family val="2"/>
          </rPr>
          <t xml:space="preserve">
Assumes down 2.5% ex IP and IP EBITDA of ~$8.0 mn</t>
        </r>
      </text>
    </comment>
    <comment ref="AT505" authorId="15">
      <text>
        <r>
          <rPr>
            <b/>
            <sz val="8"/>
            <color indexed="81"/>
            <rFont val="Tahoma"/>
            <family val="2"/>
          </rPr>
          <t>DJF:</t>
        </r>
        <r>
          <rPr>
            <sz val="8"/>
            <color indexed="81"/>
            <rFont val="Tahoma"/>
            <family val="2"/>
          </rPr>
          <t xml:space="preserve">
Assumes down 2.5% ex IP and IP EBITDA of ~$8.0 mn</t>
        </r>
      </text>
    </comment>
    <comment ref="AV505" authorId="15">
      <text>
        <r>
          <rPr>
            <b/>
            <sz val="8"/>
            <color indexed="81"/>
            <rFont val="Tahoma"/>
            <family val="2"/>
          </rPr>
          <t xml:space="preserve">DJF:  10/25/11
</t>
        </r>
        <r>
          <rPr>
            <sz val="8"/>
            <color indexed="81"/>
            <rFont val="Tahoma"/>
            <family val="2"/>
          </rPr>
          <t>Assumes IP does a 20% margin and flat expense growth ex IP</t>
        </r>
        <r>
          <rPr>
            <sz val="8"/>
            <color indexed="81"/>
            <rFont val="Tahoma"/>
            <family val="2"/>
          </rPr>
          <t xml:space="preserve">
</t>
        </r>
      </text>
    </comment>
    <comment ref="AW505" authorId="3">
      <text>
        <r>
          <rPr>
            <b/>
            <sz val="8"/>
            <color indexed="81"/>
            <rFont val="Tahoma"/>
            <family val="2"/>
          </rPr>
          <t>thallen:</t>
        </r>
        <r>
          <rPr>
            <sz val="8"/>
            <color indexed="81"/>
            <rFont val="Tahoma"/>
            <family val="2"/>
          </rPr>
          <t xml:space="preserve">
Few synergies from Peninsula; cut costs at properties that'll be impacted by competition</t>
        </r>
      </text>
    </comment>
    <comment ref="AX505" authorId="7">
      <text>
        <r>
          <rPr>
            <b/>
            <sz val="8"/>
            <color indexed="81"/>
            <rFont val="Tahoma"/>
            <family val="2"/>
          </rPr>
          <t>savinmar:</t>
        </r>
        <r>
          <rPr>
            <sz val="8"/>
            <color indexed="81"/>
            <rFont val="Tahoma"/>
            <family val="2"/>
          </rPr>
          <t xml:space="preserve">
Mitigating rev declines through increased efficiencies</t>
        </r>
      </text>
    </comment>
    <comment ref="BD505" authorId="3">
      <text>
        <r>
          <rPr>
            <b/>
            <sz val="8"/>
            <color indexed="81"/>
            <rFont val="Tahoma"/>
            <family val="2"/>
          </rPr>
          <t>thallen:</t>
        </r>
        <r>
          <rPr>
            <sz val="8"/>
            <color indexed="81"/>
            <rFont val="Tahoma"/>
            <family val="2"/>
          </rPr>
          <t xml:space="preserve">
Cut expenses at Delta Downs ahead of ASCA property</t>
        </r>
      </text>
    </comment>
    <comment ref="BE505" authorId="5">
      <text>
        <r>
          <rPr>
            <b/>
            <sz val="9"/>
            <color indexed="81"/>
            <rFont val="Tahoma"/>
            <family val="2"/>
          </rPr>
          <t>Savino, Mark (Research):</t>
        </r>
        <r>
          <rPr>
            <sz val="9"/>
            <color indexed="81"/>
            <rFont val="Tahoma"/>
            <family val="2"/>
          </rPr>
          <t xml:space="preserve">
Lapping $9.3m favorable property tax adjustment at Blue Chip; opex would have been down 3.4% on like-for-like basis</t>
        </r>
      </text>
    </comment>
    <comment ref="BO505" authorId="5">
      <text>
        <r>
          <rPr>
            <b/>
            <sz val="9"/>
            <color indexed="81"/>
            <rFont val="Tahoma"/>
            <family val="2"/>
          </rPr>
          <t>Savino, Mark (Research):</t>
        </r>
        <r>
          <rPr>
            <sz val="9"/>
            <color indexed="81"/>
            <rFont val="Tahoma"/>
            <family val="2"/>
          </rPr>
          <t xml:space="preserve">
4Q16 press release: Included $2.9m favorable property tax adjustment</t>
        </r>
      </text>
    </comment>
    <comment ref="BT505" authorId="5">
      <text>
        <r>
          <rPr>
            <b/>
            <sz val="9"/>
            <color indexed="81"/>
            <rFont val="Tahoma"/>
            <family val="2"/>
          </rPr>
          <t>Savino, Mark (Research):</t>
        </r>
        <r>
          <rPr>
            <sz val="9"/>
            <color indexed="81"/>
            <rFont val="Tahoma"/>
            <family val="2"/>
          </rPr>
          <t xml:space="preserve">
Lapping $2.9m favorable property tax settlement</t>
        </r>
      </text>
    </comment>
    <comment ref="BU505" authorId="5">
      <text>
        <r>
          <rPr>
            <b/>
            <sz val="9"/>
            <color indexed="81"/>
            <rFont val="Tahoma"/>
            <family val="2"/>
          </rPr>
          <t>Savino, Mark (Research):</t>
        </r>
        <r>
          <rPr>
            <sz val="9"/>
            <color indexed="81"/>
            <rFont val="Tahoma"/>
            <family val="2"/>
          </rPr>
          <t xml:space="preserve">
Higher expenses associated with opening of new Delta Downs hotel</t>
        </r>
      </text>
    </comment>
    <comment ref="BZ505" authorId="5">
      <text>
        <r>
          <rPr>
            <b/>
            <sz val="9"/>
            <color indexed="81"/>
            <rFont val="Tahoma"/>
            <family val="2"/>
          </rPr>
          <t>Savino, Mark (Research):</t>
        </r>
        <r>
          <rPr>
            <sz val="9"/>
            <color indexed="81"/>
            <rFont val="Tahoma"/>
            <family val="2"/>
          </rPr>
          <t xml:space="preserve">
Ongoing margin / cost savings initiatives</t>
        </r>
      </text>
    </comment>
    <comment ref="EB505" authorId="5">
      <text>
        <r>
          <rPr>
            <b/>
            <sz val="9"/>
            <color indexed="81"/>
            <rFont val="Tahoma"/>
            <family val="2"/>
          </rPr>
          <t>Savino, Mark (Research):</t>
        </r>
        <r>
          <rPr>
            <sz val="9"/>
            <color indexed="81"/>
            <rFont val="Tahoma"/>
            <family val="2"/>
          </rPr>
          <t xml:space="preserve">
Higher expenses associated with opening of new Delta Downs hotel</t>
        </r>
      </text>
    </comment>
    <comment ref="O508" authorId="18">
      <text>
        <r>
          <rPr>
            <b/>
            <sz val="10"/>
            <color indexed="81"/>
            <rFont val="Tahoma"/>
            <family val="2"/>
          </rPr>
          <t>Chris Metli:</t>
        </r>
        <r>
          <rPr>
            <sz val="10"/>
            <color indexed="81"/>
            <rFont val="Tahoma"/>
            <family val="2"/>
          </rPr>
          <t xml:space="preserve">
Added back $6.7mm Par-a-Dice retroactive gaming tax
Par-a-Dice EBITDA was down 78.4% - would have been flat otherwise,  so EBITDA was $8.5mm
Blue Chip EBITDA up 3.1%</t>
        </r>
      </text>
    </comment>
    <comment ref="T508" authorId="30">
      <text>
        <r>
          <rPr>
            <b/>
            <sz val="10"/>
            <color indexed="81"/>
            <rFont val="Tahoma"/>
            <family val="2"/>
          </rPr>
          <t>Charles Dan:</t>
        </r>
        <r>
          <rPr>
            <sz val="10"/>
            <color indexed="81"/>
            <rFont val="Tahoma"/>
            <family val="2"/>
          </rPr>
          <t xml:space="preserve">
$3.163mm retroactive gaming tax</t>
        </r>
      </text>
    </comment>
    <comment ref="AM508" authorId="1">
      <text>
        <r>
          <rPr>
            <b/>
            <sz val="8"/>
            <color indexed="81"/>
            <rFont val="Tahoma"/>
            <family val="2"/>
          </rPr>
          <t>AM: 5/3/11:</t>
        </r>
        <r>
          <rPr>
            <sz val="8"/>
            <color indexed="81"/>
            <rFont val="Tahoma"/>
            <family val="2"/>
          </rPr>
          <t xml:space="preserve">
Per cc, Incl $3m gain from tax reversal which offset $3m impact from severe weather in Feb. </t>
        </r>
      </text>
    </comment>
    <comment ref="AN508" authorId="15">
      <text>
        <r>
          <rPr>
            <sz val="8"/>
            <color indexed="81"/>
            <rFont val="Tahoma"/>
            <family val="2"/>
          </rPr>
          <t>Incl $2.8m gain from proeprty taxes at Blue Chip</t>
        </r>
        <r>
          <rPr>
            <b/>
            <sz val="8"/>
            <color indexed="81"/>
            <rFont val="Tahoma"/>
            <family val="2"/>
          </rPr>
          <t xml:space="preserve">
danfuss:</t>
        </r>
        <r>
          <rPr>
            <sz val="8"/>
            <color indexed="81"/>
            <rFont val="Tahoma"/>
            <family val="2"/>
          </rPr>
          <t xml:space="preserve">
All 5 properties up except Tunica</t>
        </r>
      </text>
    </comment>
    <comment ref="AO508" authorId="4">
      <text>
        <r>
          <rPr>
            <b/>
            <sz val="8"/>
            <color indexed="81"/>
            <rFont val="Tahoma"/>
            <family val="2"/>
          </rPr>
          <t>AM: 7/24/12:</t>
        </r>
        <r>
          <rPr>
            <sz val="8"/>
            <color indexed="81"/>
            <rFont val="Tahoma"/>
            <family val="2"/>
          </rPr>
          <t xml:space="preserve">
Incl $4.6m gain from property tax gain.</t>
        </r>
      </text>
    </comment>
    <comment ref="AR508" authorId="3">
      <text>
        <r>
          <rPr>
            <b/>
            <sz val="8"/>
            <color indexed="81"/>
            <rFont val="Tahoma"/>
            <family val="2"/>
          </rPr>
          <t>thallen:</t>
        </r>
        <r>
          <rPr>
            <sz val="8"/>
            <color indexed="81"/>
            <rFont val="Tahoma"/>
            <family val="2"/>
          </rPr>
          <t xml:space="preserve">
$12.7mm EBITDA from IP</t>
        </r>
      </text>
    </comment>
    <comment ref="AS508" authorId="4">
      <text>
        <r>
          <rPr>
            <b/>
            <sz val="8"/>
            <color indexed="81"/>
            <rFont val="Tahoma"/>
            <family val="2"/>
          </rPr>
          <t>AM: 7/24/12:</t>
        </r>
        <r>
          <rPr>
            <sz val="8"/>
            <color indexed="81"/>
            <rFont val="Tahoma"/>
            <family val="2"/>
          </rPr>
          <t xml:space="preserve">
Incl $11.5m from IP</t>
        </r>
      </text>
    </comment>
    <comment ref="AT508" authorId="4">
      <text>
        <r>
          <rPr>
            <b/>
            <sz val="8"/>
            <color indexed="81"/>
            <rFont val="Tahoma"/>
            <family val="2"/>
          </rPr>
          <t xml:space="preserve">AM: 10/31/12
</t>
        </r>
        <r>
          <rPr>
            <sz val="8"/>
            <color indexed="81"/>
            <rFont val="Tahoma"/>
            <family val="2"/>
          </rPr>
          <t>Per release, incl $9.6m of IP EBITDA (up 35.4% y/y on flat revs)</t>
        </r>
        <r>
          <rPr>
            <b/>
            <sz val="8"/>
            <color indexed="81"/>
            <rFont val="Tahoma"/>
            <family val="2"/>
          </rPr>
          <t xml:space="preserve">
AM: 7/24/12:</t>
        </r>
        <r>
          <rPr>
            <sz val="8"/>
            <color indexed="81"/>
            <rFont val="Tahoma"/>
            <family val="2"/>
          </rPr>
          <t xml:space="preserve">
Incl tough comp from $4.6m gain from property taxes at Blue Chip in 3Q11.</t>
        </r>
      </text>
    </comment>
    <comment ref="AU508" authorId="5">
      <text>
        <r>
          <rPr>
            <b/>
            <sz val="9"/>
            <color indexed="81"/>
            <rFont val="Tahoma"/>
            <family val="2"/>
          </rPr>
          <t>Savino, Mark (Research):</t>
        </r>
        <r>
          <rPr>
            <sz val="9"/>
            <color indexed="81"/>
            <rFont val="Tahoma"/>
            <family val="2"/>
          </rPr>
          <t xml:space="preserve">
Includes Peninsula</t>
        </r>
      </text>
    </comment>
    <comment ref="AX508" authorId="3">
      <text>
        <r>
          <rPr>
            <b/>
            <sz val="8"/>
            <color indexed="81"/>
            <rFont val="Tahoma"/>
            <family val="2"/>
          </rPr>
          <t>thallen:</t>
        </r>
        <r>
          <rPr>
            <sz val="8"/>
            <color indexed="81"/>
            <rFont val="Tahoma"/>
            <family val="2"/>
          </rPr>
          <t xml:space="preserve">
EBITDA would have been flat y/y ex. IP (IP did $11.5mm last year, rest did $39.5mm = IP 2Q13 EBITDA $9.1mm, down 20%)</t>
        </r>
      </text>
    </comment>
    <comment ref="AZ508" authorId="5">
      <text>
        <r>
          <rPr>
            <b/>
            <sz val="9"/>
            <color indexed="81"/>
            <rFont val="Tahoma"/>
            <family val="2"/>
          </rPr>
          <t>Savino, Mark (Research):</t>
        </r>
        <r>
          <rPr>
            <sz val="9"/>
            <color indexed="81"/>
            <rFont val="Tahoma"/>
            <family val="2"/>
          </rPr>
          <t xml:space="preserve">
Includes $9.3m favorable property tax benefit at Blue Chip
December weather was a $3m EBITDA headwind</t>
        </r>
      </text>
    </comment>
    <comment ref="BB508" authorId="5">
      <text>
        <r>
          <rPr>
            <b/>
            <sz val="9"/>
            <color indexed="81"/>
            <rFont val="Tahoma"/>
            <family val="2"/>
          </rPr>
          <t>Savino, Mark (Research):</t>
        </r>
        <r>
          <rPr>
            <sz val="9"/>
            <color indexed="81"/>
            <rFont val="Tahoma"/>
            <family val="2"/>
          </rPr>
          <t xml:space="preserve">
Per mgmt: Excluding weather would have been down around $2m, so weather was a $4m headwind</t>
        </r>
      </text>
    </comment>
    <comment ref="BC508" authorId="5">
      <text>
        <r>
          <rPr>
            <b/>
            <sz val="9"/>
            <color indexed="81"/>
            <rFont val="Tahoma"/>
            <family val="2"/>
          </rPr>
          <t>Savino, Mark (Research):</t>
        </r>
        <r>
          <rPr>
            <sz val="9"/>
            <color indexed="81"/>
            <rFont val="Tahoma"/>
            <family val="2"/>
          </rPr>
          <t xml:space="preserve">
Per mgmt, expect similar y/y declines as 1Q ($2m ex weather)</t>
        </r>
      </text>
    </comment>
    <comment ref="BD508" authorId="5">
      <text>
        <r>
          <rPr>
            <b/>
            <sz val="9"/>
            <color indexed="81"/>
            <rFont val="Tahoma"/>
            <family val="2"/>
          </rPr>
          <t>Savino, Mark (Research):</t>
        </r>
        <r>
          <rPr>
            <sz val="9"/>
            <color indexed="81"/>
            <rFont val="Tahoma"/>
            <family val="2"/>
          </rPr>
          <t xml:space="preserve">
2Q call: 2H14 EBITDA should be flat y/y excluding the $9.3m property-tax benefit last year at Blue Chip (4Q)</t>
        </r>
      </text>
    </comment>
    <comment ref="BE508" authorId="5">
      <text>
        <r>
          <rPr>
            <b/>
            <sz val="9"/>
            <color indexed="81"/>
            <rFont val="Tahoma"/>
            <family val="2"/>
          </rPr>
          <t>Savino, Mark (Research):</t>
        </r>
        <r>
          <rPr>
            <sz val="9"/>
            <color indexed="81"/>
            <rFont val="Tahoma"/>
            <family val="2"/>
          </rPr>
          <t xml:space="preserve">
2Q call: 2H14 EBITDA should be flat y/y excluding the $9.3m property-tax benefit last year at Blue Chip (4Q)</t>
        </r>
      </text>
    </comment>
    <comment ref="BG508" authorId="5">
      <text>
        <r>
          <rPr>
            <b/>
            <sz val="9"/>
            <color indexed="81"/>
            <rFont val="Tahoma"/>
            <family val="2"/>
          </rPr>
          <t>Savino, Mark (Research):</t>
        </r>
        <r>
          <rPr>
            <sz val="9"/>
            <color indexed="81"/>
            <rFont val="Tahoma"/>
            <family val="2"/>
          </rPr>
          <t xml:space="preserve">
10 of 12 properties in regional reported growth in revs and EBITDA</t>
        </r>
      </text>
    </comment>
    <comment ref="BJ508" authorId="5">
      <text>
        <r>
          <rPr>
            <b/>
            <sz val="9"/>
            <color indexed="81"/>
            <rFont val="Tahoma"/>
            <family val="2"/>
          </rPr>
          <t>Savino, Mark (Research):</t>
        </r>
        <r>
          <rPr>
            <sz val="9"/>
            <color indexed="81"/>
            <rFont val="Tahoma"/>
            <family val="2"/>
          </rPr>
          <t xml:space="preserve">
Per 4Q15 call:
-Par-a-Dice EBITDA down $1.3m y/y
-Blue Chip EBITDA +20%
-Delta Downs EBITDA flat
-Treasure chest EBITDA +15%</t>
        </r>
      </text>
    </comment>
    <comment ref="BK508" authorId="5">
      <text>
        <r>
          <rPr>
            <b/>
            <sz val="9"/>
            <color indexed="81"/>
            <rFont val="Tahoma"/>
            <family val="2"/>
          </rPr>
          <t>Savino, Mark (Research):</t>
        </r>
        <r>
          <rPr>
            <sz val="9"/>
            <color indexed="81"/>
            <rFont val="Tahoma"/>
            <family val="2"/>
          </rPr>
          <t xml:space="preserve">
(1Q15):Midwest, South, Peninsula +3-4%
4Q call: expect 2015 EBITDA on par with 2014 levels
</t>
        </r>
      </text>
    </comment>
    <comment ref="BT508" authorId="5">
      <text>
        <r>
          <rPr>
            <b/>
            <sz val="9"/>
            <color indexed="81"/>
            <rFont val="Tahoma"/>
            <family val="2"/>
          </rPr>
          <t>Savino, Mark (Research):</t>
        </r>
        <r>
          <rPr>
            <sz val="9"/>
            <color indexed="81"/>
            <rFont val="Tahoma"/>
            <family val="2"/>
          </rPr>
          <t xml:space="preserve">
Per mgmt after 3Q17 call, closure of IP / Treasure Chest as a result of Hurricane Nate a couple million dollar EBITDA impact</t>
        </r>
      </text>
    </comment>
    <comment ref="BZ508" authorId="5">
      <text>
        <r>
          <rPr>
            <b/>
            <sz val="9"/>
            <color indexed="81"/>
            <rFont val="Tahoma"/>
            <family val="2"/>
          </rPr>
          <t>Savino, Mark (Research):</t>
        </r>
        <r>
          <rPr>
            <sz val="9"/>
            <color indexed="81"/>
            <rFont val="Tahoma"/>
            <family val="2"/>
          </rPr>
          <t xml:space="preserve">
4Q17: Includes $12-15m negative impact from cannibalization at Blue Chip</t>
        </r>
      </text>
    </comment>
    <comment ref="O509" authorId="18">
      <text>
        <r>
          <rPr>
            <b/>
            <sz val="10"/>
            <color indexed="81"/>
            <rFont val="Tahoma"/>
            <family val="2"/>
          </rPr>
          <t>Chris Metli:</t>
        </r>
        <r>
          <rPr>
            <sz val="10"/>
            <color indexed="81"/>
            <rFont val="Tahoma"/>
            <family val="2"/>
          </rPr>
          <t xml:space="preserve">
Added back $6.7mm Par-a-Dice retroactive gaming tax
Par-a-Dice EBITDA was down 78.4% - would have been flat otherwise,  so EBITDA was $8.5mm
Blue Chip EBITDA up 3.1%</t>
        </r>
      </text>
    </comment>
    <comment ref="T509" authorId="30">
      <text>
        <r>
          <rPr>
            <b/>
            <sz val="10"/>
            <color indexed="81"/>
            <rFont val="Tahoma"/>
            <family val="2"/>
          </rPr>
          <t>Charles Dan:</t>
        </r>
        <r>
          <rPr>
            <sz val="10"/>
            <color indexed="81"/>
            <rFont val="Tahoma"/>
            <family val="2"/>
          </rPr>
          <t xml:space="preserve">
$3.163mm retroactive gaming tax</t>
        </r>
      </text>
    </comment>
    <comment ref="AM509" authorId="1">
      <text>
        <r>
          <rPr>
            <b/>
            <sz val="8"/>
            <color indexed="81"/>
            <rFont val="Tahoma"/>
            <family val="2"/>
          </rPr>
          <t>AM: 5/3/11:</t>
        </r>
        <r>
          <rPr>
            <sz val="8"/>
            <color indexed="81"/>
            <rFont val="Tahoma"/>
            <family val="2"/>
          </rPr>
          <t xml:space="preserve">
Per cc, Incl $3m gain from tax reversal which offset $3m impact from severe weather in Feb. </t>
        </r>
      </text>
    </comment>
    <comment ref="AN509" authorId="15">
      <text>
        <r>
          <rPr>
            <sz val="8"/>
            <color indexed="81"/>
            <rFont val="Tahoma"/>
            <family val="2"/>
          </rPr>
          <t>Incl $2.8m gain from proeprty taxes at Blue Chip</t>
        </r>
        <r>
          <rPr>
            <b/>
            <sz val="8"/>
            <color indexed="81"/>
            <rFont val="Tahoma"/>
            <family val="2"/>
          </rPr>
          <t xml:space="preserve">
danfuss:</t>
        </r>
        <r>
          <rPr>
            <sz val="8"/>
            <color indexed="81"/>
            <rFont val="Tahoma"/>
            <family val="2"/>
          </rPr>
          <t xml:space="preserve">
All 5 properties up except Tunica</t>
        </r>
      </text>
    </comment>
    <comment ref="AO509" authorId="4">
      <text>
        <r>
          <rPr>
            <b/>
            <sz val="8"/>
            <color indexed="81"/>
            <rFont val="Tahoma"/>
            <family val="2"/>
          </rPr>
          <t>AM: 7/24/12:</t>
        </r>
        <r>
          <rPr>
            <sz val="8"/>
            <color indexed="81"/>
            <rFont val="Tahoma"/>
            <family val="2"/>
          </rPr>
          <t xml:space="preserve">
Incl $4.6m gain from property tax gain.</t>
        </r>
      </text>
    </comment>
    <comment ref="AR509" authorId="3">
      <text>
        <r>
          <rPr>
            <b/>
            <sz val="8"/>
            <color indexed="81"/>
            <rFont val="Tahoma"/>
            <family val="2"/>
          </rPr>
          <t>thallen:</t>
        </r>
        <r>
          <rPr>
            <sz val="8"/>
            <color indexed="81"/>
            <rFont val="Tahoma"/>
            <family val="2"/>
          </rPr>
          <t xml:space="preserve">
$12.7mm EBITDA from IP</t>
        </r>
      </text>
    </comment>
    <comment ref="AS509" authorId="4">
      <text>
        <r>
          <rPr>
            <b/>
            <sz val="8"/>
            <color indexed="81"/>
            <rFont val="Tahoma"/>
            <family val="2"/>
          </rPr>
          <t>AM: 7/24/12:</t>
        </r>
        <r>
          <rPr>
            <sz val="8"/>
            <color indexed="81"/>
            <rFont val="Tahoma"/>
            <family val="2"/>
          </rPr>
          <t xml:space="preserve">
Incl $11.5m from IP</t>
        </r>
      </text>
    </comment>
    <comment ref="AT509" authorId="4">
      <text>
        <r>
          <rPr>
            <b/>
            <sz val="8"/>
            <color indexed="81"/>
            <rFont val="Tahoma"/>
            <family val="2"/>
          </rPr>
          <t xml:space="preserve">AM: 10/31/12
</t>
        </r>
        <r>
          <rPr>
            <sz val="8"/>
            <color indexed="81"/>
            <rFont val="Tahoma"/>
            <family val="2"/>
          </rPr>
          <t>Per release, incl $9.6m of IP EBITDA (up 35.4% y/y on flat revs)</t>
        </r>
        <r>
          <rPr>
            <b/>
            <sz val="8"/>
            <color indexed="81"/>
            <rFont val="Tahoma"/>
            <family val="2"/>
          </rPr>
          <t xml:space="preserve">
AM: 7/24/12:</t>
        </r>
        <r>
          <rPr>
            <sz val="8"/>
            <color indexed="81"/>
            <rFont val="Tahoma"/>
            <family val="2"/>
          </rPr>
          <t xml:space="preserve">
Incl tough comp from $4.6m gain from property taxes at Blue Chip in 3Q11.</t>
        </r>
      </text>
    </comment>
    <comment ref="AX509" authorId="3">
      <text>
        <r>
          <rPr>
            <b/>
            <sz val="8"/>
            <color indexed="81"/>
            <rFont val="Tahoma"/>
            <family val="2"/>
          </rPr>
          <t>thallen:</t>
        </r>
        <r>
          <rPr>
            <sz val="8"/>
            <color indexed="81"/>
            <rFont val="Tahoma"/>
            <family val="2"/>
          </rPr>
          <t xml:space="preserve">
EBITDA would have been flat y/y ex. IP (IP did $11.5mm last year, rest did $39.5mm = IP 2Q13 EBITDA $9.1mm, down 20%)</t>
        </r>
      </text>
    </comment>
    <comment ref="AZ509" authorId="5">
      <text>
        <r>
          <rPr>
            <b/>
            <sz val="9"/>
            <color indexed="81"/>
            <rFont val="Tahoma"/>
            <family val="2"/>
          </rPr>
          <t>Savino, Mark (Research):</t>
        </r>
        <r>
          <rPr>
            <sz val="9"/>
            <color indexed="81"/>
            <rFont val="Tahoma"/>
            <family val="2"/>
          </rPr>
          <t xml:space="preserve">
Includes $9.3m favorable property tax benefit at Blue Chip
December weather was a $3m EBITDA headwind</t>
        </r>
      </text>
    </comment>
    <comment ref="BB509" authorId="5">
      <text>
        <r>
          <rPr>
            <b/>
            <sz val="9"/>
            <color indexed="81"/>
            <rFont val="Tahoma"/>
            <family val="2"/>
          </rPr>
          <t>Savino, Mark (Research):</t>
        </r>
        <r>
          <rPr>
            <sz val="9"/>
            <color indexed="81"/>
            <rFont val="Tahoma"/>
            <family val="2"/>
          </rPr>
          <t xml:space="preserve">
Per mgmt: Excluding weather would have been down around $2m, so weather was a $4m headwind</t>
        </r>
      </text>
    </comment>
    <comment ref="BC509" authorId="5">
      <text>
        <r>
          <rPr>
            <b/>
            <sz val="9"/>
            <color indexed="81"/>
            <rFont val="Tahoma"/>
            <family val="2"/>
          </rPr>
          <t>Savino, Mark (Research):</t>
        </r>
        <r>
          <rPr>
            <sz val="9"/>
            <color indexed="81"/>
            <rFont val="Tahoma"/>
            <family val="2"/>
          </rPr>
          <t xml:space="preserve">
Per mgmt, expect similar y/y declines as 1Q ($2m ex weather)</t>
        </r>
      </text>
    </comment>
    <comment ref="BD509" authorId="5">
      <text>
        <r>
          <rPr>
            <b/>
            <sz val="9"/>
            <color indexed="81"/>
            <rFont val="Tahoma"/>
            <family val="2"/>
          </rPr>
          <t>Savino, Mark (Research):</t>
        </r>
        <r>
          <rPr>
            <sz val="9"/>
            <color indexed="81"/>
            <rFont val="Tahoma"/>
            <family val="2"/>
          </rPr>
          <t xml:space="preserve">
2Q call: 2H14 EBITDA should be flat y/y excluding the $9.3m property-tax benefit last year at Blue Chip (4Q)</t>
        </r>
      </text>
    </comment>
    <comment ref="BE509" authorId="5">
      <text>
        <r>
          <rPr>
            <b/>
            <sz val="9"/>
            <color indexed="81"/>
            <rFont val="Tahoma"/>
            <family val="2"/>
          </rPr>
          <t>Savino, Mark (Research):</t>
        </r>
        <r>
          <rPr>
            <sz val="9"/>
            <color indexed="81"/>
            <rFont val="Tahoma"/>
            <family val="2"/>
          </rPr>
          <t xml:space="preserve">
2Q call: 2H14 EBITDA should be flat y/y excluding the $9.3m property-tax benefit last year at Blue Chip (4Q)</t>
        </r>
      </text>
    </comment>
    <comment ref="BG509" authorId="5">
      <text>
        <r>
          <rPr>
            <b/>
            <sz val="9"/>
            <color indexed="81"/>
            <rFont val="Tahoma"/>
            <family val="2"/>
          </rPr>
          <t>Savino, Mark (Research):</t>
        </r>
        <r>
          <rPr>
            <sz val="9"/>
            <color indexed="81"/>
            <rFont val="Tahoma"/>
            <family val="2"/>
          </rPr>
          <t xml:space="preserve">
10 of 12 properties in regional reported growth in revs and EBITDA</t>
        </r>
      </text>
    </comment>
    <comment ref="BJ509" authorId="5">
      <text>
        <r>
          <rPr>
            <b/>
            <sz val="9"/>
            <color indexed="81"/>
            <rFont val="Tahoma"/>
            <family val="2"/>
          </rPr>
          <t>Savino, Mark (Research):</t>
        </r>
        <r>
          <rPr>
            <sz val="9"/>
            <color indexed="81"/>
            <rFont val="Tahoma"/>
            <family val="2"/>
          </rPr>
          <t xml:space="preserve">
Per 4Q15 call:
-Par-a-Dice EBITDA down $1.3m y/y
-Blue Chip EBITDA +20%
-Delta Downs EBITDA flat
-Treasure chest EBITDA +15%</t>
        </r>
      </text>
    </comment>
    <comment ref="BU510" authorId="6">
      <text>
        <r>
          <rPr>
            <b/>
            <sz val="9"/>
            <color indexed="81"/>
            <rFont val="Tahoma"/>
            <family val="2"/>
          </rPr>
          <t>Allen, Thomas (Research):</t>
        </r>
        <r>
          <rPr>
            <sz val="9"/>
            <color indexed="81"/>
            <rFont val="Tahoma"/>
            <family val="2"/>
          </rPr>
          <t xml:space="preserve">
3Q16: Mgmt targeting 200bps improvement in regional margins over next few years. Can do in a muted revenue environment</t>
        </r>
      </text>
    </comment>
    <comment ref="BZ510" authorId="6">
      <text>
        <r>
          <rPr>
            <b/>
            <sz val="9"/>
            <color indexed="81"/>
            <rFont val="Tahoma"/>
            <family val="2"/>
          </rPr>
          <t>Allen, Thomas (Research):</t>
        </r>
        <r>
          <rPr>
            <sz val="9"/>
            <color indexed="81"/>
            <rFont val="Tahoma"/>
            <family val="2"/>
          </rPr>
          <t xml:space="preserve">
3Q16: Mgmt targeting 200bps improvement in regional margins over next few years. Can do in a muted revenue environment</t>
        </r>
      </text>
    </comment>
    <comment ref="BF511" authorId="5">
      <text>
        <r>
          <rPr>
            <b/>
            <sz val="9"/>
            <color indexed="81"/>
            <rFont val="Tahoma"/>
            <family val="2"/>
          </rPr>
          <t>Savino, Mark (Research):</t>
        </r>
        <r>
          <rPr>
            <sz val="9"/>
            <color indexed="81"/>
            <rFont val="Tahoma"/>
            <family val="2"/>
          </rPr>
          <t xml:space="preserve">
4Q13 call: expect y/y growth starting in 2H14</t>
        </r>
      </text>
    </comment>
    <comment ref="BG511" authorId="5">
      <text>
        <r>
          <rPr>
            <b/>
            <sz val="9"/>
            <color indexed="81"/>
            <rFont val="Tahoma"/>
            <family val="2"/>
          </rPr>
          <t>Savino, Mark (Research):</t>
        </r>
        <r>
          <rPr>
            <sz val="9"/>
            <color indexed="81"/>
            <rFont val="Tahoma"/>
            <family val="2"/>
          </rPr>
          <t xml:space="preserve">
4Q call: Expect Midwest/South and Peninsula EBITDA up a combined 2-3%</t>
        </r>
      </text>
    </comment>
    <comment ref="BH511" authorId="5">
      <text>
        <r>
          <rPr>
            <b/>
            <sz val="9"/>
            <color indexed="81"/>
            <rFont val="Tahoma"/>
            <family val="2"/>
          </rPr>
          <t>Savino, Mark (Research):</t>
        </r>
        <r>
          <rPr>
            <sz val="9"/>
            <color indexed="81"/>
            <rFont val="Tahoma"/>
            <family val="2"/>
          </rPr>
          <t xml:space="preserve">
Expect 3-4% growth in Midwest/South and Peninsula</t>
        </r>
      </text>
    </comment>
    <comment ref="BK511" authorId="5">
      <text>
        <r>
          <rPr>
            <b/>
            <sz val="9"/>
            <color indexed="81"/>
            <rFont val="Tahoma"/>
            <family val="2"/>
          </rPr>
          <t>Savino, Mark (Research):</t>
        </r>
        <r>
          <rPr>
            <sz val="9"/>
            <color indexed="81"/>
            <rFont val="Tahoma"/>
            <family val="2"/>
          </rPr>
          <t xml:space="preserve">
3Q15: Regionals up 10% on combined basis
2Q15: Regionals up 7-8% on combined basis, per mgmt will be skewed towards Midwest/South
1Q15: Midwest/South and Peninsula +3-4%</t>
        </r>
      </text>
    </comment>
    <comment ref="BN511" authorId="6">
      <text>
        <r>
          <rPr>
            <b/>
            <sz val="9"/>
            <color indexed="81"/>
            <rFont val="Tahoma"/>
            <family val="2"/>
          </rPr>
          <t>Allen, Thomas (Research):</t>
        </r>
        <r>
          <rPr>
            <sz val="9"/>
            <color indexed="81"/>
            <rFont val="Tahoma"/>
            <family val="2"/>
          </rPr>
          <t xml:space="preserve">
Per 2Q call, mgmt expects a slight improvement in growth in 2H EBITDA vs. 1H</t>
        </r>
      </text>
    </comment>
    <comment ref="BP511" authorId="6">
      <text>
        <r>
          <rPr>
            <b/>
            <sz val="9"/>
            <color indexed="81"/>
            <rFont val="Tahoma"/>
            <family val="2"/>
          </rPr>
          <t>Allen, Thomas (Research):</t>
        </r>
        <r>
          <rPr>
            <sz val="9"/>
            <color indexed="81"/>
            <rFont val="Tahoma"/>
            <family val="2"/>
          </rPr>
          <t xml:space="preserve">
3Q: Full year should be down ~6%
Per 2Q call, mgmt expects a slight improvement in growth in 2H EBITDA vs. 1H
1Q16: 2.5% regional growth in 2Q-4Q
4Q15 guidance: +2.5%</t>
        </r>
      </text>
    </comment>
    <comment ref="BZ512" authorId="5">
      <text>
        <r>
          <rPr>
            <b/>
            <sz val="9"/>
            <color indexed="81"/>
            <rFont val="Tahoma"/>
            <family val="2"/>
          </rPr>
          <t>Savino, Mark (Research):</t>
        </r>
        <r>
          <rPr>
            <sz val="9"/>
            <color indexed="81"/>
            <rFont val="Tahoma"/>
            <family val="2"/>
          </rPr>
          <t xml:space="preserve">
4Q17: Includes $12-15m negative impact from cannibalization at Blue Chip</t>
        </r>
      </text>
    </comment>
    <comment ref="E513" authorId="23">
      <text>
        <r>
          <rPr>
            <b/>
            <sz val="10"/>
            <color indexed="81"/>
            <rFont val="Tahoma"/>
            <family val="2"/>
          </rPr>
          <t>Todd Scott:</t>
        </r>
        <r>
          <rPr>
            <sz val="10"/>
            <color indexed="81"/>
            <rFont val="Tahoma"/>
            <family val="2"/>
          </rPr>
          <t xml:space="preserve">
Starts to include shreveport here</t>
        </r>
      </text>
    </comment>
    <comment ref="AR517" authorId="3">
      <text>
        <r>
          <rPr>
            <b/>
            <sz val="8"/>
            <color indexed="81"/>
            <rFont val="Tahoma"/>
            <family val="2"/>
          </rPr>
          <t>thallen:</t>
        </r>
        <r>
          <rPr>
            <sz val="8"/>
            <color indexed="81"/>
            <rFont val="Tahoma"/>
            <family val="2"/>
          </rPr>
          <t xml:space="preserve">
Very mild winter</t>
        </r>
      </text>
    </comment>
    <comment ref="AP518" authorId="3">
      <text>
        <r>
          <rPr>
            <b/>
            <sz val="8"/>
            <color indexed="81"/>
            <rFont val="Tahoma"/>
            <family val="2"/>
          </rPr>
          <t>thallen:</t>
        </r>
        <r>
          <rPr>
            <sz val="8"/>
            <color indexed="81"/>
            <rFont val="Tahoma"/>
            <family val="2"/>
          </rPr>
          <t xml:space="preserve">
Acquired property Oct 4, 2011</t>
        </r>
      </text>
    </comment>
    <comment ref="AX518" authorId="3">
      <text>
        <r>
          <rPr>
            <b/>
            <sz val="8"/>
            <color indexed="81"/>
            <rFont val="Tahoma"/>
            <family val="2"/>
          </rPr>
          <t>thallen:</t>
        </r>
        <r>
          <rPr>
            <sz val="8"/>
            <color indexed="81"/>
            <rFont val="Tahoma"/>
            <family val="2"/>
          </rPr>
          <t xml:space="preserve">
Mgmt said ex. IP, EBITDA would have been flat</t>
        </r>
      </text>
    </comment>
    <comment ref="AW534" authorId="3">
      <text>
        <r>
          <rPr>
            <b/>
            <sz val="8"/>
            <color indexed="81"/>
            <rFont val="Tahoma"/>
            <family val="2"/>
          </rPr>
          <t>thallen:</t>
        </r>
        <r>
          <rPr>
            <sz val="8"/>
            <color indexed="81"/>
            <rFont val="Tahoma"/>
            <family val="2"/>
          </rPr>
          <t xml:space="preserve">
Tough weather comp
One less day in Feb</t>
        </r>
      </text>
    </comment>
    <comment ref="BH538" authorId="5">
      <text>
        <r>
          <rPr>
            <b/>
            <sz val="9"/>
            <color indexed="81"/>
            <rFont val="Tahoma"/>
            <family val="2"/>
          </rPr>
          <t>Savino, Mark (Research):</t>
        </r>
        <r>
          <rPr>
            <sz val="9"/>
            <color indexed="81"/>
            <rFont val="Tahoma"/>
            <family val="2"/>
          </rPr>
          <t xml:space="preserve">
Per 2Q call: total revenue up 4%</t>
        </r>
      </text>
    </comment>
    <comment ref="AX541" authorId="7">
      <text>
        <r>
          <rPr>
            <b/>
            <sz val="8"/>
            <color indexed="81"/>
            <rFont val="Tahoma"/>
            <family val="2"/>
          </rPr>
          <t>savinmar:</t>
        </r>
        <r>
          <rPr>
            <sz val="8"/>
            <color indexed="81"/>
            <rFont val="Tahoma"/>
            <family val="2"/>
          </rPr>
          <t xml:space="preserve">
Called out weather as a headwind (rain+snow)</t>
        </r>
      </text>
    </comment>
    <comment ref="BB541" authorId="5">
      <text>
        <r>
          <rPr>
            <b/>
            <sz val="9"/>
            <color indexed="81"/>
            <rFont val="Tahoma"/>
            <family val="2"/>
          </rPr>
          <t>Savino, Mark (Research):</t>
        </r>
        <r>
          <rPr>
            <sz val="9"/>
            <color indexed="81"/>
            <rFont val="Tahoma"/>
            <family val="2"/>
          </rPr>
          <t xml:space="preserve">
-11% in Jan</t>
        </r>
      </text>
    </comment>
    <comment ref="BD541" authorId="5">
      <text>
        <r>
          <rPr>
            <b/>
            <sz val="9"/>
            <color indexed="81"/>
            <rFont val="Tahoma"/>
            <family val="2"/>
          </rPr>
          <t>Savino, Mark (Research):</t>
        </r>
        <r>
          <rPr>
            <sz val="9"/>
            <color indexed="81"/>
            <rFont val="Tahoma"/>
            <family val="2"/>
          </rPr>
          <t xml:space="preserve">
Sept fell off a cliff last year, but overall difficult comp
New Sioux City property opening but 5hrs away, assume no impact</t>
        </r>
      </text>
    </comment>
    <comment ref="BE541" authorId="5">
      <text>
        <r>
          <rPr>
            <b/>
            <sz val="9"/>
            <color indexed="81"/>
            <rFont val="Tahoma"/>
            <family val="2"/>
          </rPr>
          <t>Savino, Mark (Research):</t>
        </r>
        <r>
          <rPr>
            <sz val="9"/>
            <color indexed="81"/>
            <rFont val="Tahoma"/>
            <family val="2"/>
          </rPr>
          <t xml:space="preserve">
Blizzard on NYE last year</t>
        </r>
      </text>
    </comment>
    <comment ref="BG541" authorId="5">
      <text>
        <r>
          <rPr>
            <b/>
            <sz val="9"/>
            <color indexed="81"/>
            <rFont val="Tahoma"/>
            <family val="2"/>
          </rPr>
          <t>Savino, Mark (Research):</t>
        </r>
        <r>
          <rPr>
            <sz val="9"/>
            <color indexed="81"/>
            <rFont val="Tahoma"/>
            <family val="2"/>
          </rPr>
          <t xml:space="preserve">
January up 13%</t>
        </r>
      </text>
    </comment>
    <comment ref="BK541" authorId="3">
      <text>
        <r>
          <rPr>
            <b/>
            <sz val="8"/>
            <color indexed="81"/>
            <rFont val="Tahoma"/>
            <family val="2"/>
          </rPr>
          <t>thallen:</t>
        </r>
        <r>
          <rPr>
            <sz val="8"/>
            <color indexed="81"/>
            <rFont val="Tahoma"/>
            <family val="2"/>
          </rPr>
          <t xml:space="preserve">
Also getting hit by VLT expansion in IL
Remote location means less likely to have competition over time</t>
        </r>
      </text>
    </comment>
    <comment ref="BH542" authorId="5">
      <text>
        <r>
          <rPr>
            <b/>
            <sz val="9"/>
            <color indexed="81"/>
            <rFont val="Tahoma"/>
            <family val="2"/>
          </rPr>
          <t>Savino, Mark (Research):</t>
        </r>
        <r>
          <rPr>
            <sz val="9"/>
            <color indexed="81"/>
            <rFont val="Tahoma"/>
            <family val="2"/>
          </rPr>
          <t xml:space="preserve">
Per 2Q call: total revenue up 4%</t>
        </r>
      </text>
    </comment>
    <comment ref="BA547" authorId="3">
      <text>
        <r>
          <rPr>
            <b/>
            <sz val="8"/>
            <color indexed="81"/>
            <rFont val="Tahoma"/>
            <family val="2"/>
          </rPr>
          <t>thallen:</t>
        </r>
        <r>
          <rPr>
            <sz val="8"/>
            <color indexed="81"/>
            <rFont val="Tahoma"/>
            <family val="2"/>
          </rPr>
          <t xml:space="preserve">
Peninsula corp expense now reflected in property EBITDA ($3mm spread across properties), offset by merger synergies</t>
        </r>
      </text>
    </comment>
    <comment ref="AU555" authorId="3">
      <text>
        <r>
          <rPr>
            <b/>
            <sz val="8"/>
            <color indexed="81"/>
            <rFont val="Tahoma"/>
            <family val="2"/>
          </rPr>
          <t>thallen:</t>
        </r>
        <r>
          <rPr>
            <sz val="8"/>
            <color indexed="81"/>
            <rFont val="Tahoma"/>
            <family val="2"/>
          </rPr>
          <t xml:space="preserve">
EBITDA ex. Kansas Start down y/y for Peninsula</t>
        </r>
      </text>
    </comment>
    <comment ref="BH557" authorId="5">
      <text>
        <r>
          <rPr>
            <b/>
            <sz val="9"/>
            <color indexed="81"/>
            <rFont val="Tahoma"/>
            <family val="2"/>
          </rPr>
          <t>Savino, Mark (Research):</t>
        </r>
        <r>
          <rPr>
            <sz val="9"/>
            <color indexed="81"/>
            <rFont val="Tahoma"/>
            <family val="2"/>
          </rPr>
          <t xml:space="preserve">
Per 2Q15 call: EBITDA up 15% y/y</t>
        </r>
      </text>
    </comment>
    <comment ref="BJ557" authorId="5">
      <text>
        <r>
          <rPr>
            <b/>
            <sz val="9"/>
            <color indexed="81"/>
            <rFont val="Tahoma"/>
            <family val="2"/>
          </rPr>
          <t>Savino, Mark (Research):</t>
        </r>
        <r>
          <rPr>
            <sz val="9"/>
            <color indexed="81"/>
            <rFont val="Tahoma"/>
            <family val="2"/>
          </rPr>
          <t xml:space="preserve">
Per 4Q call - EBITDA +10%</t>
        </r>
      </text>
    </comment>
    <comment ref="BL557" authorId="5">
      <text>
        <r>
          <rPr>
            <b/>
            <sz val="9"/>
            <color indexed="81"/>
            <rFont val="Tahoma"/>
            <family val="2"/>
          </rPr>
          <t>Savino, Mark (Research):</t>
        </r>
        <r>
          <rPr>
            <sz val="9"/>
            <color indexed="81"/>
            <rFont val="Tahoma"/>
            <family val="2"/>
          </rPr>
          <t xml:space="preserve">
1Q16 call: Two IA properties had combined 14% EBITDA growth</t>
        </r>
      </text>
    </comment>
    <comment ref="AW568" authorId="3">
      <text>
        <r>
          <rPr>
            <b/>
            <sz val="8"/>
            <color indexed="81"/>
            <rFont val="Tahoma"/>
            <family val="2"/>
          </rPr>
          <t>thallen:</t>
        </r>
        <r>
          <rPr>
            <sz val="8"/>
            <color indexed="81"/>
            <rFont val="Tahoma"/>
            <family val="2"/>
          </rPr>
          <t xml:space="preserve">
Tough weather comp
One less day in Feb</t>
        </r>
      </text>
    </comment>
    <comment ref="BB575" authorId="5">
      <text>
        <r>
          <rPr>
            <b/>
            <sz val="9"/>
            <color indexed="81"/>
            <rFont val="Tahoma"/>
            <family val="2"/>
          </rPr>
          <t>Savino, Mark (Research):</t>
        </r>
        <r>
          <rPr>
            <sz val="9"/>
            <color indexed="81"/>
            <rFont val="Tahoma"/>
            <family val="2"/>
          </rPr>
          <t xml:space="preserve">
-8% in Jan</t>
        </r>
      </text>
    </comment>
    <comment ref="BD575" authorId="5">
      <text>
        <r>
          <rPr>
            <b/>
            <sz val="9"/>
            <color indexed="81"/>
            <rFont val="Tahoma"/>
            <family val="2"/>
          </rPr>
          <t>Savino, Mark (Research):</t>
        </r>
        <r>
          <rPr>
            <sz val="9"/>
            <color indexed="81"/>
            <rFont val="Tahoma"/>
            <family val="2"/>
          </rPr>
          <t xml:space="preserve">
Sept fell off a cliff last year
New Sioux City property opening but 3.5hrs away, assume no impact</t>
        </r>
      </text>
    </comment>
    <comment ref="BE575" authorId="5">
      <text>
        <r>
          <rPr>
            <b/>
            <sz val="9"/>
            <color indexed="81"/>
            <rFont val="Tahoma"/>
            <family val="2"/>
          </rPr>
          <t>Savino, Mark (Research):</t>
        </r>
        <r>
          <rPr>
            <sz val="9"/>
            <color indexed="81"/>
            <rFont val="Tahoma"/>
            <family val="2"/>
          </rPr>
          <t xml:space="preserve">
Blizzard on New Years Eve last year</t>
        </r>
      </text>
    </comment>
    <comment ref="BF575" authorId="3">
      <text>
        <r>
          <rPr>
            <b/>
            <sz val="8"/>
            <color indexed="81"/>
            <rFont val="Tahoma"/>
            <family val="2"/>
          </rPr>
          <t>thallen:</t>
        </r>
        <r>
          <rPr>
            <sz val="8"/>
            <color indexed="81"/>
            <rFont val="Tahoma"/>
            <family val="2"/>
          </rPr>
          <t xml:space="preserve">
Peninsula properties grow faster than other BYD properties in 2014 b/c benefitting from B Connected</t>
        </r>
      </text>
    </comment>
    <comment ref="BG575" authorId="5">
      <text>
        <r>
          <rPr>
            <b/>
            <sz val="9"/>
            <color indexed="81"/>
            <rFont val="Tahoma"/>
            <family val="2"/>
          </rPr>
          <t>Savino, Mark (Research):</t>
        </r>
        <r>
          <rPr>
            <sz val="9"/>
            <color indexed="81"/>
            <rFont val="Tahoma"/>
            <family val="2"/>
          </rPr>
          <t xml:space="preserve">
January up 11%</t>
        </r>
      </text>
    </comment>
    <comment ref="BK575" authorId="3">
      <text>
        <r>
          <rPr>
            <b/>
            <sz val="8"/>
            <color indexed="81"/>
            <rFont val="Tahoma"/>
            <family val="2"/>
          </rPr>
          <t>thallen:</t>
        </r>
        <r>
          <rPr>
            <sz val="8"/>
            <color indexed="81"/>
            <rFont val="Tahoma"/>
            <family val="2"/>
          </rPr>
          <t xml:space="preserve">
Remote location means less likely to have competition over time</t>
        </r>
      </text>
    </comment>
    <comment ref="AX576" authorId="7">
      <text>
        <r>
          <rPr>
            <b/>
            <sz val="8"/>
            <color indexed="81"/>
            <rFont val="Tahoma"/>
            <family val="2"/>
          </rPr>
          <t>savinmar:</t>
        </r>
        <r>
          <rPr>
            <sz val="8"/>
            <color indexed="81"/>
            <rFont val="Tahoma"/>
            <family val="2"/>
          </rPr>
          <t xml:space="preserve">
Called out weather as a headwind (rain+snow)</t>
        </r>
      </text>
    </comment>
    <comment ref="BA581" authorId="3">
      <text>
        <r>
          <rPr>
            <b/>
            <sz val="8"/>
            <color indexed="81"/>
            <rFont val="Tahoma"/>
            <family val="2"/>
          </rPr>
          <t>thallen:</t>
        </r>
        <r>
          <rPr>
            <sz val="8"/>
            <color indexed="81"/>
            <rFont val="Tahoma"/>
            <family val="2"/>
          </rPr>
          <t xml:space="preserve">
Peninsula corp expense now reflected in property EBITDA ($3mm spread across properties)</t>
        </r>
      </text>
    </comment>
    <comment ref="AU589" authorId="3">
      <text>
        <r>
          <rPr>
            <b/>
            <sz val="8"/>
            <color indexed="81"/>
            <rFont val="Tahoma"/>
            <family val="2"/>
          </rPr>
          <t>thallen:</t>
        </r>
        <r>
          <rPr>
            <sz val="8"/>
            <color indexed="81"/>
            <rFont val="Tahoma"/>
            <family val="2"/>
          </rPr>
          <t xml:space="preserve">
EBITDA ex. Kansas Start down y/y for Peninsula</t>
        </r>
      </text>
    </comment>
    <comment ref="BL591" authorId="5">
      <text>
        <r>
          <rPr>
            <b/>
            <sz val="9"/>
            <color indexed="81"/>
            <rFont val="Tahoma"/>
            <family val="2"/>
          </rPr>
          <t>Savino, Mark (Research):</t>
        </r>
        <r>
          <rPr>
            <sz val="9"/>
            <color indexed="81"/>
            <rFont val="Tahoma"/>
            <family val="2"/>
          </rPr>
          <t xml:space="preserve">
1Q16 call: Two IA properties had combined 14% EBITDA growth</t>
        </r>
      </text>
    </comment>
    <comment ref="AW602" authorId="3">
      <text>
        <r>
          <rPr>
            <b/>
            <sz val="8"/>
            <color indexed="81"/>
            <rFont val="Tahoma"/>
            <family val="2"/>
          </rPr>
          <t>thallen:</t>
        </r>
        <r>
          <rPr>
            <sz val="8"/>
            <color indexed="81"/>
            <rFont val="Tahoma"/>
            <family val="2"/>
          </rPr>
          <t xml:space="preserve">
Tough weather comp
One less day in Feb</t>
        </r>
      </text>
    </comment>
    <comment ref="AW609" authorId="3">
      <text>
        <r>
          <rPr>
            <b/>
            <sz val="8"/>
            <color indexed="81"/>
            <rFont val="Tahoma"/>
            <family val="2"/>
          </rPr>
          <t>thallen:</t>
        </r>
        <r>
          <rPr>
            <sz val="8"/>
            <color indexed="81"/>
            <rFont val="Tahoma"/>
            <family val="2"/>
          </rPr>
          <t xml:space="preserve">
Little bit of a drag from PNK Baton Rouge but also feel can improve marketing</t>
        </r>
      </text>
    </comment>
    <comment ref="AX609" authorId="3">
      <text>
        <r>
          <rPr>
            <b/>
            <sz val="8"/>
            <color indexed="81"/>
            <rFont val="Tahoma"/>
            <family val="2"/>
          </rPr>
          <t>thallen:</t>
        </r>
        <r>
          <rPr>
            <sz val="8"/>
            <color indexed="81"/>
            <rFont val="Tahoma"/>
            <family val="2"/>
          </rPr>
          <t xml:space="preserve">
Little bit of a drag from PNK Baton Rouge but also feel can improve marketing</t>
        </r>
      </text>
    </comment>
    <comment ref="BB609" authorId="5">
      <text>
        <r>
          <rPr>
            <b/>
            <sz val="9"/>
            <color indexed="81"/>
            <rFont val="Tahoma"/>
            <family val="2"/>
          </rPr>
          <t>Savino, Mark (Research):</t>
        </r>
        <r>
          <rPr>
            <sz val="9"/>
            <color indexed="81"/>
            <rFont val="Tahoma"/>
            <family val="2"/>
          </rPr>
          <t xml:space="preserve">
-7% in Jan</t>
        </r>
      </text>
    </comment>
    <comment ref="BE609" authorId="5">
      <text>
        <r>
          <rPr>
            <b/>
            <sz val="9"/>
            <color indexed="81"/>
            <rFont val="Tahoma"/>
            <family val="2"/>
          </rPr>
          <t>Savino, Mark (Research):</t>
        </r>
        <r>
          <rPr>
            <sz val="9"/>
            <color indexed="81"/>
            <rFont val="Tahoma"/>
            <family val="2"/>
          </rPr>
          <t xml:space="preserve">
New Lake Charles property ~1.5hrs away opening in Dec</t>
        </r>
      </text>
    </comment>
    <comment ref="BF609" authorId="3">
      <text>
        <r>
          <rPr>
            <b/>
            <sz val="8"/>
            <color indexed="81"/>
            <rFont val="Tahoma"/>
            <family val="2"/>
          </rPr>
          <t>thallen:</t>
        </r>
        <r>
          <rPr>
            <sz val="8"/>
            <color indexed="81"/>
            <rFont val="Tahoma"/>
            <family val="2"/>
          </rPr>
          <t xml:space="preserve">
Peninsula properties grow faster than other BYD properties in 2014 b/c benefitting from B Connected</t>
        </r>
      </text>
    </comment>
    <comment ref="BK609" authorId="3">
      <text>
        <r>
          <rPr>
            <b/>
            <sz val="8"/>
            <color indexed="81"/>
            <rFont val="Tahoma"/>
            <family val="2"/>
          </rPr>
          <t>thallen:</t>
        </r>
        <r>
          <rPr>
            <sz val="8"/>
            <color indexed="81"/>
            <rFont val="Tahoma"/>
            <family val="2"/>
          </rPr>
          <t xml:space="preserve">
Per mgmt, Lake Charles property opening in Dec, assume some impact (1.5hrs away) 
But some non-gaming opps (per 3Q14 call) that likely will offset
However, weak Energy industry also a headwind</t>
        </r>
      </text>
    </comment>
    <comment ref="BL609" authorId="6">
      <text>
        <r>
          <rPr>
            <b/>
            <sz val="9"/>
            <color indexed="81"/>
            <rFont val="Tahoma"/>
            <family val="2"/>
          </rPr>
          <t>Allen, Thomas (Research):</t>
        </r>
        <r>
          <rPr>
            <sz val="9"/>
            <color indexed="81"/>
            <rFont val="Tahoma"/>
            <family val="2"/>
          </rPr>
          <t xml:space="preserve">
Impact of energy markets</t>
        </r>
      </text>
    </comment>
    <comment ref="BM609" authorId="6">
      <text>
        <r>
          <rPr>
            <b/>
            <sz val="9"/>
            <color indexed="81"/>
            <rFont val="Tahoma"/>
            <family val="2"/>
          </rPr>
          <t>Allen, Thomas (Research):</t>
        </r>
        <r>
          <rPr>
            <sz val="9"/>
            <color indexed="81"/>
            <rFont val="Tahoma"/>
            <family val="2"/>
          </rPr>
          <t xml:space="preserve">
Impact of energy markets</t>
        </r>
      </text>
    </comment>
    <comment ref="BA615" authorId="3">
      <text>
        <r>
          <rPr>
            <b/>
            <sz val="8"/>
            <color indexed="81"/>
            <rFont val="Tahoma"/>
            <family val="2"/>
          </rPr>
          <t>thallen:</t>
        </r>
        <r>
          <rPr>
            <sz val="8"/>
            <color indexed="81"/>
            <rFont val="Tahoma"/>
            <family val="2"/>
          </rPr>
          <t xml:space="preserve">
Peninsula corp expense now reflected in property EBITDA ($3mm spread across properties)</t>
        </r>
      </text>
    </comment>
    <comment ref="AU623" authorId="3">
      <text>
        <r>
          <rPr>
            <b/>
            <sz val="8"/>
            <color indexed="81"/>
            <rFont val="Tahoma"/>
            <family val="2"/>
          </rPr>
          <t>thallen:</t>
        </r>
        <r>
          <rPr>
            <sz val="8"/>
            <color indexed="81"/>
            <rFont val="Tahoma"/>
            <family val="2"/>
          </rPr>
          <t xml:space="preserve">
EBITDA ex. Kansas Start down y/y for Peninsula</t>
        </r>
      </text>
    </comment>
    <comment ref="BG625" authorId="6">
      <text>
        <r>
          <rPr>
            <b/>
            <sz val="9"/>
            <color indexed="81"/>
            <rFont val="Tahoma"/>
            <family val="2"/>
          </rPr>
          <t>Allen, Thomas (Research):</t>
        </r>
        <r>
          <rPr>
            <sz val="9"/>
            <color indexed="81"/>
            <rFont val="Tahoma"/>
            <family val="2"/>
          </rPr>
          <t xml:space="preserve">
1 of 2 regionals with EBITDA down in 1Q15</t>
        </r>
      </text>
    </comment>
    <comment ref="BH625" authorId="5">
      <text>
        <r>
          <rPr>
            <b/>
            <sz val="9"/>
            <color indexed="81"/>
            <rFont val="Tahoma"/>
            <family val="2"/>
          </rPr>
          <t>Savino, Mark (Research):</t>
        </r>
        <r>
          <rPr>
            <sz val="9"/>
            <color indexed="81"/>
            <rFont val="Tahoma"/>
            <family val="2"/>
          </rPr>
          <t xml:space="preserve">
Per 2Q15 call: EBITDA up 12%</t>
        </r>
      </text>
    </comment>
    <comment ref="BB643" authorId="5">
      <text>
        <r>
          <rPr>
            <b/>
            <sz val="9"/>
            <color indexed="81"/>
            <rFont val="Tahoma"/>
            <family val="2"/>
          </rPr>
          <t>Savino, Mark (Research):</t>
        </r>
        <r>
          <rPr>
            <sz val="9"/>
            <color indexed="81"/>
            <rFont val="Tahoma"/>
            <family val="2"/>
          </rPr>
          <t xml:space="preserve">
-3% in Jan</t>
        </r>
      </text>
    </comment>
    <comment ref="BD643" authorId="5">
      <text>
        <r>
          <rPr>
            <b/>
            <sz val="9"/>
            <color indexed="81"/>
            <rFont val="Tahoma"/>
            <family val="2"/>
          </rPr>
          <t>Savino, Mark (Research):</t>
        </r>
        <r>
          <rPr>
            <sz val="9"/>
            <color indexed="81"/>
            <rFont val="Tahoma"/>
            <family val="2"/>
          </rPr>
          <t xml:space="preserve">
Weak Sept last year due to gov't shutdown</t>
        </r>
      </text>
    </comment>
    <comment ref="BF643" authorId="3">
      <text>
        <r>
          <rPr>
            <b/>
            <sz val="8"/>
            <color indexed="81"/>
            <rFont val="Tahoma"/>
            <family val="2"/>
          </rPr>
          <t>thallen:</t>
        </r>
        <r>
          <rPr>
            <sz val="8"/>
            <color indexed="81"/>
            <rFont val="Tahoma"/>
            <family val="2"/>
          </rPr>
          <t xml:space="preserve">
Peninsula properties grow faster than other BYD properties in 2014 b/c benefitting from B Connected</t>
        </r>
      </text>
    </comment>
    <comment ref="BK643" authorId="6">
      <text>
        <r>
          <rPr>
            <b/>
            <sz val="9"/>
            <color indexed="81"/>
            <rFont val="Tahoma"/>
            <family val="2"/>
          </rPr>
          <t>Allen, Thomas (Research):</t>
        </r>
        <r>
          <rPr>
            <sz val="9"/>
            <color indexed="81"/>
            <rFont val="Tahoma"/>
            <family val="2"/>
          </rPr>
          <t xml:space="preserve">
Weak Energy industry impact</t>
        </r>
      </text>
    </comment>
    <comment ref="BL643" authorId="6">
      <text>
        <r>
          <rPr>
            <b/>
            <sz val="9"/>
            <color indexed="81"/>
            <rFont val="Tahoma"/>
            <family val="2"/>
          </rPr>
          <t>Allen, Thomas (Research):</t>
        </r>
        <r>
          <rPr>
            <sz val="9"/>
            <color indexed="81"/>
            <rFont val="Tahoma"/>
            <family val="2"/>
          </rPr>
          <t xml:space="preserve">
Impact of energy markets</t>
        </r>
      </text>
    </comment>
    <comment ref="BM643" authorId="6">
      <text>
        <r>
          <rPr>
            <b/>
            <sz val="9"/>
            <color indexed="81"/>
            <rFont val="Tahoma"/>
            <family val="2"/>
          </rPr>
          <t>Allen, Thomas (Research):</t>
        </r>
        <r>
          <rPr>
            <sz val="9"/>
            <color indexed="81"/>
            <rFont val="Tahoma"/>
            <family val="2"/>
          </rPr>
          <t xml:space="preserve">
Impact of energy markets</t>
        </r>
      </text>
    </comment>
    <comment ref="BA649" authorId="3">
      <text>
        <r>
          <rPr>
            <b/>
            <sz val="8"/>
            <color indexed="81"/>
            <rFont val="Tahoma"/>
            <family val="2"/>
          </rPr>
          <t>thallen:</t>
        </r>
        <r>
          <rPr>
            <sz val="8"/>
            <color indexed="81"/>
            <rFont val="Tahoma"/>
            <family val="2"/>
          </rPr>
          <t xml:space="preserve">
Peninsula corp expense now reflected in property EBITDA ($3mm spread across properties)</t>
        </r>
      </text>
    </comment>
    <comment ref="AU657" authorId="3">
      <text>
        <r>
          <rPr>
            <b/>
            <sz val="8"/>
            <color indexed="81"/>
            <rFont val="Tahoma"/>
            <family val="2"/>
          </rPr>
          <t>thallen:</t>
        </r>
        <r>
          <rPr>
            <sz val="8"/>
            <color indexed="81"/>
            <rFont val="Tahoma"/>
            <family val="2"/>
          </rPr>
          <t xml:space="preserve">
EBITDA ex. Kansas Start down y/y for Peninsula</t>
        </r>
      </text>
    </comment>
    <comment ref="AX667" authorId="3">
      <text>
        <r>
          <rPr>
            <b/>
            <sz val="8"/>
            <color indexed="81"/>
            <rFont val="Tahoma"/>
            <family val="2"/>
          </rPr>
          <t>thallen:</t>
        </r>
        <r>
          <rPr>
            <sz val="8"/>
            <color indexed="81"/>
            <rFont val="Tahoma"/>
            <family val="2"/>
          </rPr>
          <t xml:space="preserve">
Weather disruption</t>
        </r>
      </text>
    </comment>
    <comment ref="BB667" authorId="5">
      <text>
        <r>
          <rPr>
            <b/>
            <sz val="9"/>
            <color indexed="81"/>
            <rFont val="Tahoma"/>
            <family val="2"/>
          </rPr>
          <t>Savino, Mark (Research):</t>
        </r>
        <r>
          <rPr>
            <sz val="9"/>
            <color indexed="81"/>
            <rFont val="Tahoma"/>
            <family val="2"/>
          </rPr>
          <t xml:space="preserve">
-11% in Jan</t>
        </r>
      </text>
    </comment>
    <comment ref="BF667" authorId="3">
      <text>
        <r>
          <rPr>
            <b/>
            <sz val="8"/>
            <color indexed="81"/>
            <rFont val="Tahoma"/>
            <family val="2"/>
          </rPr>
          <t>thallen:</t>
        </r>
        <r>
          <rPr>
            <sz val="8"/>
            <color indexed="81"/>
            <rFont val="Tahoma"/>
            <family val="2"/>
          </rPr>
          <t xml:space="preserve">
Peninsula properties grow faster than other BYD properties in 2014 b/c benefitting from B Connected</t>
        </r>
      </text>
    </comment>
    <comment ref="BK667" authorId="5">
      <text>
        <r>
          <rPr>
            <b/>
            <sz val="9"/>
            <color indexed="81"/>
            <rFont val="Tahoma"/>
            <family val="2"/>
          </rPr>
          <t>Savino, Mark (Research):</t>
        </r>
        <r>
          <rPr>
            <sz val="9"/>
            <color indexed="81"/>
            <rFont val="Tahoma"/>
            <family val="2"/>
          </rPr>
          <t xml:space="preserve">
Initial impact from increased tables</t>
        </r>
      </text>
    </comment>
    <comment ref="AW669" authorId="3">
      <text>
        <r>
          <rPr>
            <b/>
            <sz val="8"/>
            <color indexed="81"/>
            <rFont val="Tahoma"/>
            <family val="2"/>
          </rPr>
          <t>thallen:</t>
        </r>
        <r>
          <rPr>
            <sz val="8"/>
            <color indexed="81"/>
            <rFont val="Tahoma"/>
            <family val="2"/>
          </rPr>
          <t xml:space="preserve">
Perm casino facility opened in mid-December
</t>
        </r>
      </text>
    </comment>
    <comment ref="BK669" authorId="28">
      <text>
        <r>
          <rPr>
            <b/>
            <sz val="8"/>
            <color indexed="81"/>
            <rFont val="Tahoma"/>
            <family val="2"/>
          </rPr>
          <t>AM: 11/16/12:</t>
        </r>
        <r>
          <rPr>
            <sz val="8"/>
            <color indexed="81"/>
            <rFont val="Tahoma"/>
            <family val="2"/>
          </rPr>
          <t xml:space="preserve">
Phase II expansion. Additional gaming space and 150 new hotel rooms.</t>
        </r>
      </text>
    </comment>
    <comment ref="AW670" authorId="3">
      <text>
        <r>
          <rPr>
            <b/>
            <sz val="8"/>
            <color indexed="81"/>
            <rFont val="Tahoma"/>
            <family val="2"/>
          </rPr>
          <t>thallen:</t>
        </r>
        <r>
          <rPr>
            <sz val="8"/>
            <color indexed="81"/>
            <rFont val="Tahoma"/>
            <family val="2"/>
          </rPr>
          <t xml:space="preserve">
Opened hotel and 5 new F&amp;B options in mid-December</t>
        </r>
      </text>
    </comment>
    <comment ref="AX670" authorId="3">
      <text>
        <r>
          <rPr>
            <b/>
            <sz val="8"/>
            <color indexed="81"/>
            <rFont val="Tahoma"/>
            <family val="2"/>
          </rPr>
          <t>thallen:</t>
        </r>
        <r>
          <rPr>
            <sz val="8"/>
            <color indexed="81"/>
            <rFont val="Tahoma"/>
            <family val="2"/>
          </rPr>
          <t xml:space="preserve">
Mgmt discussed on call significant revenue pick-up from non-gaming</t>
        </r>
      </text>
    </comment>
    <comment ref="AY670" authorId="3">
      <text>
        <r>
          <rPr>
            <b/>
            <sz val="8"/>
            <color indexed="81"/>
            <rFont val="Tahoma"/>
            <family val="2"/>
          </rPr>
          <t>thallen:</t>
        </r>
        <r>
          <rPr>
            <sz val="8"/>
            <color indexed="81"/>
            <rFont val="Tahoma"/>
            <family val="2"/>
          </rPr>
          <t xml:space="preserve">
6500 seat arena opened  in late June</t>
        </r>
      </text>
    </comment>
    <comment ref="AX674" authorId="7">
      <text>
        <r>
          <rPr>
            <b/>
            <sz val="8"/>
            <color indexed="81"/>
            <rFont val="Tahoma"/>
            <family val="2"/>
          </rPr>
          <t>savinmar:</t>
        </r>
        <r>
          <rPr>
            <sz val="8"/>
            <color indexed="81"/>
            <rFont val="Tahoma"/>
            <family val="2"/>
          </rPr>
          <t xml:space="preserve">
Driven by new non-gaming amenities, despite impact of severe weather
Had 18 major weather days in May vs. 0 the year before</t>
        </r>
      </text>
    </comment>
    <comment ref="BH674" authorId="5">
      <text>
        <r>
          <rPr>
            <b/>
            <sz val="9"/>
            <color indexed="81"/>
            <rFont val="Tahoma"/>
            <family val="2"/>
          </rPr>
          <t>Savino, Mark (Research):</t>
        </r>
        <r>
          <rPr>
            <sz val="9"/>
            <color indexed="81"/>
            <rFont val="Tahoma"/>
            <family val="2"/>
          </rPr>
          <t xml:space="preserve">
2Q15 call: revenue up 5%</t>
        </r>
      </text>
    </comment>
    <comment ref="BK674" authorId="5">
      <text>
        <r>
          <rPr>
            <b/>
            <sz val="9"/>
            <color indexed="81"/>
            <rFont val="Tahoma"/>
            <family val="2"/>
          </rPr>
          <t>Savino, Mark (Research):</t>
        </r>
        <r>
          <rPr>
            <sz val="9"/>
            <color indexed="81"/>
            <rFont val="Tahoma"/>
            <family val="2"/>
          </rPr>
          <t xml:space="preserve">
4Q call: Hotel attracting new customers from further away, and just finished new event center</t>
        </r>
      </text>
    </comment>
    <comment ref="AR679" authorId="3">
      <text>
        <r>
          <rPr>
            <b/>
            <sz val="8"/>
            <color indexed="81"/>
            <rFont val="Tahoma"/>
            <family val="2"/>
          </rPr>
          <t>thallen:</t>
        </r>
        <r>
          <rPr>
            <sz val="8"/>
            <color indexed="81"/>
            <rFont val="Tahoma"/>
            <family val="2"/>
          </rPr>
          <t xml:space="preserve">
Was able to open and draw crowds w/o much marketing bc new factor</t>
        </r>
      </text>
    </comment>
    <comment ref="AW679" authorId="3">
      <text>
        <r>
          <rPr>
            <b/>
            <sz val="8"/>
            <color indexed="81"/>
            <rFont val="Tahoma"/>
            <family val="2"/>
          </rPr>
          <t>thallen:</t>
        </r>
        <r>
          <rPr>
            <sz val="8"/>
            <color indexed="81"/>
            <rFont val="Tahoma"/>
            <family val="2"/>
          </rPr>
          <t xml:space="preserve">
New casino, hotel, and F&amp;B may have drawn crowds w/o much marketing bc new factor</t>
        </r>
      </text>
    </comment>
    <comment ref="AX679" authorId="7">
      <text>
        <r>
          <rPr>
            <b/>
            <sz val="8"/>
            <color indexed="81"/>
            <rFont val="Tahoma"/>
            <family val="2"/>
          </rPr>
          <t>savinmar:</t>
        </r>
        <r>
          <rPr>
            <sz val="8"/>
            <color indexed="81"/>
            <rFont val="Tahoma"/>
            <family val="2"/>
          </rPr>
          <t xml:space="preserve">
Includes $1.3m higher property tax due to amenity improvements
Also said expansion projects are pressuring margins</t>
        </r>
      </text>
    </comment>
    <comment ref="BA679" authorId="3">
      <text>
        <r>
          <rPr>
            <b/>
            <sz val="8"/>
            <color indexed="81"/>
            <rFont val="Tahoma"/>
            <family val="2"/>
          </rPr>
          <t>thallen:</t>
        </r>
        <r>
          <rPr>
            <sz val="8"/>
            <color indexed="81"/>
            <rFont val="Tahoma"/>
            <family val="2"/>
          </rPr>
          <t xml:space="preserve">
Peninsula corp expense now reflected in property EBITDA ($3mm spread across properties)</t>
        </r>
      </text>
    </comment>
    <comment ref="BC679" authorId="7">
      <text>
        <r>
          <rPr>
            <b/>
            <sz val="8"/>
            <color indexed="81"/>
            <rFont val="Tahoma"/>
            <family val="2"/>
          </rPr>
          <t>savinmar:</t>
        </r>
        <r>
          <rPr>
            <sz val="8"/>
            <color indexed="81"/>
            <rFont val="Tahoma"/>
            <family val="2"/>
          </rPr>
          <t xml:space="preserve">
2Q call: KS Star margins improved 255bps to 45.2%
Lapping $1.3m property tax charge</t>
        </r>
      </text>
    </comment>
    <comment ref="BK681" authorId="5">
      <text>
        <r>
          <rPr>
            <b/>
            <sz val="9"/>
            <color indexed="81"/>
            <rFont val="Tahoma"/>
            <family val="2"/>
          </rPr>
          <t>Savino, Mark (Research):</t>
        </r>
        <r>
          <rPr>
            <sz val="9"/>
            <color indexed="81"/>
            <rFont val="Tahoma"/>
            <family val="2"/>
          </rPr>
          <t xml:space="preserve">
Increased expense from new tables</t>
        </r>
      </text>
    </comment>
    <comment ref="BA687" authorId="3">
      <text>
        <r>
          <rPr>
            <b/>
            <sz val="8"/>
            <color indexed="81"/>
            <rFont val="Tahoma"/>
            <family val="2"/>
          </rPr>
          <t>thallen:</t>
        </r>
        <r>
          <rPr>
            <sz val="8"/>
            <color indexed="81"/>
            <rFont val="Tahoma"/>
            <family val="2"/>
          </rPr>
          <t xml:space="preserve">
Guidance (per 4Q12 call, reiterated on 1Q call): on track to be a ~$100mm annual EBITDA property</t>
        </r>
      </text>
    </comment>
    <comment ref="BF687" authorId="3">
      <text>
        <r>
          <rPr>
            <b/>
            <sz val="8"/>
            <color indexed="81"/>
            <rFont val="Tahoma"/>
            <family val="2"/>
          </rPr>
          <t>thallen:</t>
        </r>
        <r>
          <rPr>
            <sz val="8"/>
            <color indexed="81"/>
            <rFont val="Tahoma"/>
            <family val="2"/>
          </rPr>
          <t xml:space="preserve">
4Q13: may take awhile for property to get to $100m, probabaly a $90-95m asset right now but weather impact in early 2014
Guidance (per 4Q12 call): ~$100mm annual EBITDA property for 2013, assume get there in 2014. Isolated property, shouldn't be impacted by new supply</t>
        </r>
      </text>
    </comment>
    <comment ref="AW688" authorId="3">
      <text>
        <r>
          <rPr>
            <b/>
            <sz val="8"/>
            <color indexed="81"/>
            <rFont val="Tahoma"/>
            <family val="2"/>
          </rPr>
          <t>thallen:</t>
        </r>
        <r>
          <rPr>
            <sz val="8"/>
            <color indexed="81"/>
            <rFont val="Tahoma"/>
            <family val="2"/>
          </rPr>
          <t xml:space="preserve">
Margins still highest in the company but impacted overall by new hotel / F&amp;B, and greater marketing spend as didn't need to market when first opened (per 1Q call)</t>
        </r>
      </text>
    </comment>
    <comment ref="AX688" authorId="3">
      <text>
        <r>
          <rPr>
            <b/>
            <sz val="8"/>
            <color indexed="81"/>
            <rFont val="Tahoma"/>
            <family val="2"/>
          </rPr>
          <t>thallen:</t>
        </r>
        <r>
          <rPr>
            <sz val="8"/>
            <color indexed="81"/>
            <rFont val="Tahoma"/>
            <family val="2"/>
          </rPr>
          <t xml:space="preserve">
$1.3mm property tax charge and weather disruption
Per 2Q14 commentary, implied 2Q13 margin is 
42.7%</t>
        </r>
      </text>
    </comment>
    <comment ref="BA688" authorId="3">
      <text>
        <r>
          <rPr>
            <b/>
            <sz val="8"/>
            <color indexed="81"/>
            <rFont val="Tahoma"/>
            <family val="2"/>
          </rPr>
          <t>thallen:</t>
        </r>
        <r>
          <rPr>
            <sz val="8"/>
            <color indexed="81"/>
            <rFont val="Tahoma"/>
            <family val="2"/>
          </rPr>
          <t xml:space="preserve">
Per 4Q12 call, expect margins to remain the highest of all the Peninsula properties</t>
        </r>
      </text>
    </comment>
    <comment ref="BC688" authorId="7">
      <text>
        <r>
          <rPr>
            <b/>
            <sz val="8"/>
            <color indexed="81"/>
            <rFont val="Tahoma"/>
            <family val="2"/>
          </rPr>
          <t>savinmar:</t>
        </r>
        <r>
          <rPr>
            <sz val="8"/>
            <color indexed="81"/>
            <rFont val="Tahoma"/>
            <family val="2"/>
          </rPr>
          <t xml:space="preserve">
2Q call: KS Star margins improved 255bps to 45.2%
Lapping $1.3m property tax charge</t>
        </r>
      </text>
    </comment>
    <comment ref="BD688" authorId="5">
      <text>
        <r>
          <rPr>
            <b/>
            <sz val="9"/>
            <color indexed="81"/>
            <rFont val="Tahoma"/>
            <family val="2"/>
          </rPr>
          <t>Savino, Mark (Research):</t>
        </r>
        <r>
          <rPr>
            <sz val="9"/>
            <color indexed="81"/>
            <rFont val="Tahoma"/>
            <family val="2"/>
          </rPr>
          <t xml:space="preserve">
Margins up 60bps to 43%</t>
        </r>
      </text>
    </comment>
    <comment ref="BE688" authorId="5">
      <text>
        <r>
          <rPr>
            <b/>
            <sz val="9"/>
            <color indexed="81"/>
            <rFont val="Tahoma"/>
            <family val="2"/>
          </rPr>
          <t>Savino, Mark (Research):</t>
        </r>
        <r>
          <rPr>
            <sz val="9"/>
            <color indexed="81"/>
            <rFont val="Tahoma"/>
            <family val="2"/>
          </rPr>
          <t xml:space="preserve">
4Q call: margins up 65bps to 44%</t>
        </r>
      </text>
    </comment>
    <comment ref="BF688" authorId="3">
      <text>
        <r>
          <rPr>
            <b/>
            <sz val="8"/>
            <color indexed="81"/>
            <rFont val="Tahoma"/>
            <family val="2"/>
          </rPr>
          <t>thallen:</t>
        </r>
        <r>
          <rPr>
            <sz val="8"/>
            <color indexed="81"/>
            <rFont val="Tahoma"/>
            <family val="2"/>
          </rPr>
          <t xml:space="preserve">
Per 4Q12 call, expect margins to remain the highest of all the Peninsula properties</t>
        </r>
      </text>
    </comment>
    <comment ref="BH688" authorId="5">
      <text>
        <r>
          <rPr>
            <b/>
            <sz val="9"/>
            <color indexed="81"/>
            <rFont val="Tahoma"/>
            <family val="2"/>
          </rPr>
          <t>Savino, Mark (Research):</t>
        </r>
        <r>
          <rPr>
            <sz val="9"/>
            <color indexed="81"/>
            <rFont val="Tahoma"/>
            <family val="2"/>
          </rPr>
          <t xml:space="preserve">
2Q15 call: EBITDA margins 46.5%</t>
        </r>
      </text>
    </comment>
    <comment ref="BI688" authorId="5">
      <text>
        <r>
          <rPr>
            <b/>
            <sz val="9"/>
            <color indexed="81"/>
            <rFont val="Tahoma"/>
            <family val="2"/>
          </rPr>
          <t>Savino, Mark (Research):</t>
        </r>
        <r>
          <rPr>
            <sz val="9"/>
            <color indexed="81"/>
            <rFont val="Tahoma"/>
            <family val="2"/>
          </rPr>
          <t xml:space="preserve">
3Q call: margins improved by 170bps y/y</t>
        </r>
      </text>
    </comment>
    <comment ref="BK688" authorId="3">
      <text>
        <r>
          <rPr>
            <b/>
            <sz val="8"/>
            <color indexed="81"/>
            <rFont val="Tahoma"/>
            <family val="2"/>
          </rPr>
          <t>thallen:</t>
        </r>
        <r>
          <rPr>
            <sz val="8"/>
            <color indexed="81"/>
            <rFont val="Tahoma"/>
            <family val="2"/>
          </rPr>
          <t xml:space="preserve">
Per 4Q12 call, expect margins to remain the highest of all the Peninsula properties</t>
        </r>
      </text>
    </comment>
    <comment ref="EB688" authorId="3">
      <text>
        <r>
          <rPr>
            <b/>
            <sz val="8"/>
            <color indexed="81"/>
            <rFont val="Tahoma"/>
            <family val="2"/>
          </rPr>
          <t>thallen:</t>
        </r>
        <r>
          <rPr>
            <sz val="8"/>
            <color indexed="81"/>
            <rFont val="Tahoma"/>
            <family val="2"/>
          </rPr>
          <t xml:space="preserve">
Per 4Q12 call, expect margins to remain the highest of all the Peninsula properties</t>
        </r>
      </text>
    </comment>
    <comment ref="AW689" authorId="3">
      <text>
        <r>
          <rPr>
            <b/>
            <sz val="8"/>
            <color indexed="81"/>
            <rFont val="Tahoma"/>
            <family val="2"/>
          </rPr>
          <t>thallen:</t>
        </r>
        <r>
          <rPr>
            <sz val="8"/>
            <color indexed="81"/>
            <rFont val="Tahoma"/>
            <family val="2"/>
          </rPr>
          <t xml:space="preserve">
Tough comp b/c initial euphoria around opening, didn't have to market much. Also warm weather last year</t>
        </r>
      </text>
    </comment>
    <comment ref="BD689" authorId="5">
      <text>
        <r>
          <rPr>
            <b/>
            <sz val="9"/>
            <color indexed="81"/>
            <rFont val="Tahoma"/>
            <family val="2"/>
          </rPr>
          <t>Savino, Mark (Research):</t>
        </r>
        <r>
          <rPr>
            <sz val="9"/>
            <color indexed="81"/>
            <rFont val="Tahoma"/>
            <family val="2"/>
          </rPr>
          <t xml:space="preserve">
Per mgmt, EBITDA down 5% y/y</t>
        </r>
      </text>
    </comment>
    <comment ref="BJ689" authorId="5">
      <text>
        <r>
          <rPr>
            <b/>
            <sz val="9"/>
            <color indexed="81"/>
            <rFont val="Tahoma"/>
            <family val="2"/>
          </rPr>
          <t>Savino, Mark (Research):</t>
        </r>
        <r>
          <rPr>
            <sz val="9"/>
            <color indexed="81"/>
            <rFont val="Tahoma"/>
            <family val="2"/>
          </rPr>
          <t xml:space="preserve">
Per 4Q call - still achieved EBITDA growth despite ice storms on two of the busiest weekends</t>
        </r>
      </text>
    </comment>
    <comment ref="BM689" authorId="6">
      <text>
        <r>
          <rPr>
            <b/>
            <sz val="9"/>
            <color indexed="81"/>
            <rFont val="Tahoma"/>
            <family val="2"/>
          </rPr>
          <t>Allen, Thomas (Research):</t>
        </r>
        <r>
          <rPr>
            <sz val="9"/>
            <color indexed="81"/>
            <rFont val="Tahoma"/>
            <family val="2"/>
          </rPr>
          <t xml:space="preserve">
Mgmt: Missed expectations by a couple $m in the qtr</t>
        </r>
      </text>
    </comment>
    <comment ref="A719" authorId="3">
      <text>
        <r>
          <rPr>
            <b/>
            <sz val="8"/>
            <color indexed="81"/>
            <rFont val="Tahoma"/>
            <family val="2"/>
          </rPr>
          <t>thallen:</t>
        </r>
        <r>
          <rPr>
            <sz val="8"/>
            <color indexed="81"/>
            <rFont val="Tahoma"/>
            <family val="2"/>
          </rPr>
          <t xml:space="preserve">
Includes mgmt fee of 2% of net revenue and 5% of EBITDA</t>
        </r>
      </text>
    </comment>
    <comment ref="AU719" authorId="3">
      <text>
        <r>
          <rPr>
            <b/>
            <sz val="8"/>
            <color indexed="81"/>
            <rFont val="Tahoma"/>
            <family val="2"/>
          </rPr>
          <t>thallen:</t>
        </r>
        <r>
          <rPr>
            <sz val="8"/>
            <color indexed="81"/>
            <rFont val="Tahoma"/>
            <family val="2"/>
          </rPr>
          <t xml:space="preserve">
Since purchase, includes mgmt fee of 2% of net revenue and 5% of EBITDA</t>
        </r>
      </text>
    </comment>
    <comment ref="AU727" authorId="3">
      <text>
        <r>
          <rPr>
            <b/>
            <sz val="8"/>
            <color indexed="81"/>
            <rFont val="Tahoma"/>
            <family val="2"/>
          </rPr>
          <t>thallen:</t>
        </r>
        <r>
          <rPr>
            <sz val="8"/>
            <color indexed="81"/>
            <rFont val="Tahoma"/>
            <family val="2"/>
          </rPr>
          <t xml:space="preserve">
Reported: $43.035mm</t>
        </r>
      </text>
    </comment>
    <comment ref="BB727" authorId="5">
      <text>
        <r>
          <rPr>
            <b/>
            <sz val="9"/>
            <color indexed="81"/>
            <rFont val="Tahoma"/>
            <family val="2"/>
          </rPr>
          <t>Savino, Mark (Research):</t>
        </r>
        <r>
          <rPr>
            <sz val="9"/>
            <color indexed="81"/>
            <rFont val="Tahoma"/>
            <family val="2"/>
          </rPr>
          <t xml:space="preserve">
Per mgmt, $2m weather impact so would have been down $4m y/y ex-weather</t>
        </r>
      </text>
    </comment>
    <comment ref="BC727" authorId="5">
      <text>
        <r>
          <rPr>
            <b/>
            <sz val="9"/>
            <color indexed="81"/>
            <rFont val="Tahoma"/>
            <family val="2"/>
          </rPr>
          <t>Savino, Mark (Research):</t>
        </r>
        <r>
          <rPr>
            <sz val="9"/>
            <color indexed="81"/>
            <rFont val="Tahoma"/>
            <family val="2"/>
          </rPr>
          <t xml:space="preserve">
Per mgmt, expect y/y decline similar to 1Q ($4m ex weather)</t>
        </r>
      </text>
    </comment>
    <comment ref="BE729" authorId="5">
      <text>
        <r>
          <rPr>
            <b/>
            <sz val="9"/>
            <color indexed="81"/>
            <rFont val="Tahoma"/>
            <family val="2"/>
          </rPr>
          <t>Savino, Mark (Research):</t>
        </r>
        <r>
          <rPr>
            <sz val="9"/>
            <color indexed="81"/>
            <rFont val="Tahoma"/>
            <family val="2"/>
          </rPr>
          <t xml:space="preserve">
Per 3Q call: Peninsula EBITDA trends expected to continue into 4Q</t>
        </r>
      </text>
    </comment>
    <comment ref="BG729" authorId="5">
      <text>
        <r>
          <rPr>
            <b/>
            <sz val="9"/>
            <color indexed="81"/>
            <rFont val="Tahoma"/>
            <family val="2"/>
          </rPr>
          <t>Savino, Mark (Research):</t>
        </r>
        <r>
          <rPr>
            <sz val="9"/>
            <color indexed="81"/>
            <rFont val="Tahoma"/>
            <family val="2"/>
          </rPr>
          <t xml:space="preserve">
4Q call: Expect Midwest/South and Peninsula EBITDA up a combined 2-3%</t>
        </r>
      </text>
    </comment>
    <comment ref="BK729" authorId="5">
      <text>
        <r>
          <rPr>
            <b/>
            <sz val="9"/>
            <color indexed="81"/>
            <rFont val="Tahoma"/>
            <family val="2"/>
          </rPr>
          <t xml:space="preserve">Savino, Mark (Research):
</t>
        </r>
        <r>
          <rPr>
            <sz val="9"/>
            <color indexed="81"/>
            <rFont val="Tahoma"/>
            <family val="2"/>
          </rPr>
          <t>2Q15: Regionals up 7-8% y/y, but per mgmt, Peninsula will likely grow slower than Midwest/South</t>
        </r>
        <r>
          <rPr>
            <sz val="9"/>
            <color indexed="81"/>
            <rFont val="Tahoma"/>
            <family val="2"/>
          </rPr>
          <t xml:space="preserve">
(1Q15):Midwest, South, Peninsula +3-4%
4Q call: expect 2-3% EBITDA growth in 2015</t>
        </r>
      </text>
    </comment>
    <comment ref="BN729" authorId="6">
      <text>
        <r>
          <rPr>
            <b/>
            <sz val="9"/>
            <color indexed="81"/>
            <rFont val="Tahoma"/>
            <family val="2"/>
          </rPr>
          <t>Allen, Thomas (Research):</t>
        </r>
        <r>
          <rPr>
            <sz val="9"/>
            <color indexed="81"/>
            <rFont val="Tahoma"/>
            <family val="2"/>
          </rPr>
          <t xml:space="preserve">
Mgmt hoping for flat y/y EBITDA in 2H</t>
        </r>
      </text>
    </comment>
    <comment ref="BO729" authorId="6">
      <text>
        <r>
          <rPr>
            <b/>
            <sz val="9"/>
            <color indexed="81"/>
            <rFont val="Tahoma"/>
            <family val="2"/>
          </rPr>
          <t>Allen, Thomas (Research):</t>
        </r>
        <r>
          <rPr>
            <sz val="9"/>
            <color indexed="81"/>
            <rFont val="Tahoma"/>
            <family val="2"/>
          </rPr>
          <t xml:space="preserve">
Mgmt hoping for flat y/y EBITDA in 2H</t>
        </r>
      </text>
    </comment>
    <comment ref="BP729" authorId="6">
      <text>
        <r>
          <rPr>
            <b/>
            <sz val="9"/>
            <color indexed="81"/>
            <rFont val="Tahoma"/>
            <family val="2"/>
          </rPr>
          <t>Allen, Thomas (Research):</t>
        </r>
        <r>
          <rPr>
            <sz val="9"/>
            <color indexed="81"/>
            <rFont val="Tahoma"/>
            <family val="2"/>
          </rPr>
          <t xml:space="preserve">
2Q16: Want to get back to flat growth for full year
1Q16: 2.5% regional growth in 2Q-4Q
4Q15 guidance: +2.5%</t>
        </r>
      </text>
    </comment>
    <comment ref="A733" authorId="6">
      <text>
        <r>
          <rPr>
            <b/>
            <sz val="9"/>
            <color indexed="81"/>
            <rFont val="Tahoma"/>
            <family val="2"/>
          </rPr>
          <t>Allen, Thomas (Research):</t>
        </r>
        <r>
          <rPr>
            <sz val="9"/>
            <color indexed="81"/>
            <rFont val="Tahoma"/>
            <family val="2"/>
          </rPr>
          <t xml:space="preserve">
Structured similar to PNK lease</t>
        </r>
      </text>
    </comment>
    <comment ref="A734" authorId="6">
      <text>
        <r>
          <rPr>
            <b/>
            <sz val="9"/>
            <color indexed="81"/>
            <rFont val="Tahoma"/>
            <family val="2"/>
          </rPr>
          <t>Allen, Thomas (Research):</t>
        </r>
        <r>
          <rPr>
            <sz val="9"/>
            <color indexed="81"/>
            <rFont val="Tahoma"/>
            <family val="2"/>
          </rPr>
          <t xml:space="preserve">
2% annual rent escalator, with 1.8x rent coverage cap
</t>
        </r>
      </text>
    </comment>
    <comment ref="BX734" authorId="6">
      <text>
        <r>
          <rPr>
            <b/>
            <sz val="9"/>
            <color indexed="81"/>
            <rFont val="Tahoma"/>
            <family val="2"/>
          </rPr>
          <t>Allen, Thomas (Research):</t>
        </r>
        <r>
          <rPr>
            <sz val="9"/>
            <color indexed="81"/>
            <rFont val="Tahoma"/>
            <family val="2"/>
          </rPr>
          <t xml:space="preserve">
76% of rent, per BYD mgmt</t>
        </r>
      </text>
    </comment>
    <comment ref="BX735" authorId="6">
      <text>
        <r>
          <rPr>
            <b/>
            <sz val="9"/>
            <color indexed="81"/>
            <rFont val="Tahoma"/>
            <family val="2"/>
          </rPr>
          <t>Allen, Thomas (Research):</t>
        </r>
        <r>
          <rPr>
            <sz val="9"/>
            <color indexed="81"/>
            <rFont val="Tahoma"/>
            <family val="2"/>
          </rPr>
          <t xml:space="preserve">
12% of rent, per BYD mgmt</t>
        </r>
      </text>
    </comment>
    <comment ref="A736" authorId="6">
      <text>
        <r>
          <rPr>
            <b/>
            <sz val="9"/>
            <color indexed="81"/>
            <rFont val="Tahoma"/>
            <family val="2"/>
          </rPr>
          <t>Allen, Thomas (Research):</t>
        </r>
        <r>
          <rPr>
            <sz val="9"/>
            <color indexed="81"/>
            <rFont val="Tahoma"/>
            <family val="2"/>
          </rPr>
          <t xml:space="preserve">
Based on Trailing 2 Year Revenue</t>
        </r>
      </text>
    </comment>
    <comment ref="BX736" authorId="6">
      <text>
        <r>
          <rPr>
            <b/>
            <sz val="9"/>
            <color indexed="81"/>
            <rFont val="Tahoma"/>
            <family val="2"/>
          </rPr>
          <t>Allen, Thomas (Research):</t>
        </r>
        <r>
          <rPr>
            <sz val="9"/>
            <color indexed="81"/>
            <rFont val="Tahoma"/>
            <family val="2"/>
          </rPr>
          <t xml:space="preserve">
12% of rent, per BYD mgmt</t>
        </r>
      </text>
    </comment>
    <comment ref="CB736" authorId="6">
      <text>
        <r>
          <rPr>
            <b/>
            <sz val="9"/>
            <color indexed="81"/>
            <rFont val="Tahoma"/>
            <family val="2"/>
          </rPr>
          <t>Allen, Thomas (Research):</t>
        </r>
        <r>
          <rPr>
            <sz val="9"/>
            <color indexed="81"/>
            <rFont val="Tahoma"/>
            <family val="2"/>
          </rPr>
          <t xml:space="preserve">
2-yr rent reset, should be based on L2Y as of mid-2020, but haven't modeled the qtrs</t>
        </r>
      </text>
    </comment>
    <comment ref="BX738" authorId="6">
      <text>
        <r>
          <rPr>
            <b/>
            <sz val="9"/>
            <color indexed="81"/>
            <rFont val="Tahoma"/>
            <family val="2"/>
          </rPr>
          <t>Allen, Thomas (Research):</t>
        </r>
        <r>
          <rPr>
            <sz val="9"/>
            <color indexed="81"/>
            <rFont val="Tahoma"/>
            <family val="2"/>
          </rPr>
          <t xml:space="preserve">
Per GLPI press release on 12/18/17, $98.1m annual for 3 properties + $7.2m for Belterra = $105.3m annual</t>
        </r>
      </text>
    </comment>
    <comment ref="BE758" authorId="5">
      <text>
        <r>
          <rPr>
            <b/>
            <sz val="9"/>
            <color indexed="81"/>
            <rFont val="Tahoma"/>
            <family val="2"/>
          </rPr>
          <t>Savino, Mark (Research):</t>
        </r>
        <r>
          <rPr>
            <sz val="9"/>
            <color indexed="81"/>
            <rFont val="Tahoma"/>
            <family val="2"/>
          </rPr>
          <t xml:space="preserve">
Estimated based on Oct/Nov declines, but state stopped reporting in December</t>
        </r>
      </text>
    </comment>
    <comment ref="BU761" authorId="5">
      <text>
        <r>
          <rPr>
            <b/>
            <sz val="9"/>
            <color indexed="81"/>
            <rFont val="Tahoma"/>
            <family val="2"/>
          </rPr>
          <t>Savino, Mark (Research):</t>
        </r>
        <r>
          <rPr>
            <sz val="9"/>
            <color indexed="81"/>
            <rFont val="Tahoma"/>
            <family val="2"/>
          </rPr>
          <t xml:space="preserve">
Assume poker only market</t>
        </r>
      </text>
    </comment>
    <comment ref="BU762" authorId="5">
      <text>
        <r>
          <rPr>
            <b/>
            <sz val="9"/>
            <color indexed="81"/>
            <rFont val="Tahoma"/>
            <family val="2"/>
          </rPr>
          <t>Savino, Mark (Research):</t>
        </r>
        <r>
          <rPr>
            <sz val="9"/>
            <color indexed="81"/>
            <rFont val="Tahoma"/>
            <family val="2"/>
          </rPr>
          <t xml:space="preserve">
Assume slower ramp b/c market will initially be poker only</t>
        </r>
      </text>
    </comment>
    <comment ref="CA762" authorId="5">
      <text>
        <r>
          <rPr>
            <b/>
            <sz val="9"/>
            <color indexed="81"/>
            <rFont val="Tahoma"/>
            <family val="2"/>
          </rPr>
          <t>Savino, Mark (Research):</t>
        </r>
        <r>
          <rPr>
            <sz val="9"/>
            <color indexed="81"/>
            <rFont val="Tahoma"/>
            <family val="2"/>
          </rPr>
          <t xml:space="preserve">
Assume table games added</t>
        </r>
      </text>
    </comment>
    <comment ref="BZ764" authorId="5">
      <text>
        <r>
          <rPr>
            <b/>
            <sz val="9"/>
            <color indexed="81"/>
            <rFont val="Tahoma"/>
            <family val="2"/>
          </rPr>
          <t>Savino, Mark (Research):</t>
        </r>
        <r>
          <rPr>
            <sz val="9"/>
            <color indexed="81"/>
            <rFont val="Tahoma"/>
            <family val="2"/>
          </rPr>
          <t xml:space="preserve">
Assume slower ramp b/c market will initially be poker only</t>
        </r>
      </text>
    </comment>
    <comment ref="CB764" authorId="5">
      <text>
        <r>
          <rPr>
            <b/>
            <sz val="9"/>
            <color indexed="81"/>
            <rFont val="Tahoma"/>
            <family val="2"/>
          </rPr>
          <t>Savino, Mark (Research):</t>
        </r>
        <r>
          <rPr>
            <sz val="9"/>
            <color indexed="81"/>
            <rFont val="Tahoma"/>
            <family val="2"/>
          </rPr>
          <t xml:space="preserve">
Assume table games added</t>
        </r>
      </text>
    </comment>
    <comment ref="BC787" authorId="5">
      <text>
        <r>
          <rPr>
            <b/>
            <sz val="9"/>
            <color indexed="81"/>
            <rFont val="Tahoma"/>
            <family val="2"/>
          </rPr>
          <t>Savino, Mark (Research):</t>
        </r>
        <r>
          <rPr>
            <sz val="9"/>
            <color indexed="81"/>
            <rFont val="Tahoma"/>
            <family val="2"/>
          </rPr>
          <t xml:space="preserve">
Estimate based on Apr/May data</t>
        </r>
      </text>
    </comment>
    <comment ref="BK808" authorId="5">
      <text>
        <r>
          <rPr>
            <b/>
            <sz val="9"/>
            <color indexed="81"/>
            <rFont val="Tahoma"/>
            <family val="2"/>
          </rPr>
          <t>Savino, Mark (Research):</t>
        </r>
        <r>
          <rPr>
            <sz val="9"/>
            <color indexed="81"/>
            <rFont val="Tahoma"/>
            <family val="2"/>
          </rPr>
          <t xml:space="preserve">
4Q call: expect $3-5m of positive EBITDA in 2015, but with seasonality</t>
        </r>
      </text>
    </comment>
    <comment ref="BB811" authorId="5">
      <text>
        <r>
          <rPr>
            <b/>
            <sz val="9"/>
            <color indexed="81"/>
            <rFont val="Tahoma"/>
            <family val="2"/>
          </rPr>
          <t>Savino, Mark (Research):</t>
        </r>
        <r>
          <rPr>
            <sz val="9"/>
            <color indexed="81"/>
            <rFont val="Tahoma"/>
            <family val="2"/>
          </rPr>
          <t xml:space="preserve">
$3.2m loss at Borgata including $2m of non-recurring start-up expenses</t>
        </r>
      </text>
    </comment>
    <comment ref="BG812" authorId="5">
      <text>
        <r>
          <rPr>
            <b/>
            <sz val="9"/>
            <color indexed="81"/>
            <rFont val="Tahoma"/>
            <family val="2"/>
          </rPr>
          <t>Savino, Mark (Research):</t>
        </r>
        <r>
          <rPr>
            <sz val="9"/>
            <color indexed="81"/>
            <rFont val="Tahoma"/>
            <family val="2"/>
          </rPr>
          <t xml:space="preserve">
Assume better margins in winter months when volumes are stronger</t>
        </r>
      </text>
    </comment>
    <comment ref="BG828" authorId="5">
      <text>
        <r>
          <rPr>
            <b/>
            <sz val="9"/>
            <color indexed="81"/>
            <rFont val="Tahoma"/>
            <family val="2"/>
          </rPr>
          <t>Savino, Mark (Research):</t>
        </r>
        <r>
          <rPr>
            <sz val="9"/>
            <color indexed="81"/>
            <rFont val="Tahoma"/>
            <family val="2"/>
          </rPr>
          <t xml:space="preserve">
Not currently operating in NV</t>
        </r>
      </text>
    </comment>
    <comment ref="BJ860" authorId="3">
      <text>
        <r>
          <rPr>
            <b/>
            <sz val="8"/>
            <color indexed="81"/>
            <rFont val="Tahoma"/>
            <family val="2"/>
          </rPr>
          <t>thallen:</t>
        </r>
        <r>
          <rPr>
            <sz val="8"/>
            <color indexed="81"/>
            <rFont val="Tahoma"/>
            <family val="2"/>
          </rPr>
          <t xml:space="preserve">
Higher as 1) more scale, 2) doesn't have to pay the infrastructure fee to bwin</t>
        </r>
      </text>
    </comment>
    <comment ref="Y877" authorId="16">
      <text>
        <r>
          <rPr>
            <b/>
            <sz val="10"/>
            <color indexed="81"/>
            <rFont val="Tahoma"/>
            <family val="2"/>
          </rPr>
          <t>Thallen:</t>
        </r>
        <r>
          <rPr>
            <sz val="10"/>
            <color indexed="81"/>
            <rFont val="Tahoma"/>
            <family val="2"/>
          </rPr>
          <t xml:space="preserve">
Opened 200 rooms 6/4, 100 rooms opened per week, had 28 still unopened over July 4 weekend</t>
        </r>
      </text>
    </comment>
    <comment ref="Z877" authorId="18">
      <text>
        <r>
          <rPr>
            <b/>
            <sz val="10"/>
            <color indexed="81"/>
            <rFont val="Tahoma"/>
            <family val="2"/>
          </rPr>
          <t>Thomas Allen:</t>
        </r>
        <r>
          <rPr>
            <sz val="10"/>
            <color indexed="81"/>
            <rFont val="Tahoma"/>
            <family val="2"/>
          </rPr>
          <t xml:space="preserve">
New hotel tower with 800 hotel rooms and suites, opening June 2008.</t>
        </r>
      </text>
    </comment>
    <comment ref="P881" authorId="18">
      <text>
        <r>
          <rPr>
            <b/>
            <sz val="10"/>
            <color indexed="81"/>
            <rFont val="Tahoma"/>
            <family val="2"/>
          </rPr>
          <t>Chris Metli:</t>
        </r>
        <r>
          <rPr>
            <sz val="10"/>
            <color indexed="81"/>
            <rFont val="Tahoma"/>
            <family val="2"/>
          </rPr>
          <t xml:space="preserve">
Expansion complete 2Q06</t>
        </r>
      </text>
    </comment>
    <comment ref="G882" authorId="18">
      <text>
        <r>
          <rPr>
            <b/>
            <sz val="10"/>
            <color indexed="81"/>
            <rFont val="Tahoma"/>
            <family val="2"/>
          </rPr>
          <t>Chris Metli:</t>
        </r>
        <r>
          <rPr>
            <sz val="10"/>
            <color indexed="81"/>
            <rFont val="Tahoma"/>
            <family val="2"/>
          </rPr>
          <t xml:space="preserve">
Add in poker tables</t>
        </r>
      </text>
    </comment>
    <comment ref="P882" authorId="18">
      <text>
        <r>
          <rPr>
            <b/>
            <sz val="10"/>
            <color indexed="81"/>
            <rFont val="Tahoma"/>
            <family val="2"/>
          </rPr>
          <t>Chris Metli:</t>
        </r>
        <r>
          <rPr>
            <sz val="10"/>
            <color indexed="81"/>
            <rFont val="Tahoma"/>
            <family val="2"/>
          </rPr>
          <t xml:space="preserve">
Expansion complete 2Q06</t>
        </r>
      </text>
    </comment>
    <comment ref="H886" authorId="0">
      <text>
        <r>
          <rPr>
            <b/>
            <sz val="8"/>
            <color indexed="81"/>
            <rFont val="Tahoma"/>
            <family val="2"/>
          </rPr>
          <t>urbankev:</t>
        </r>
        <r>
          <rPr>
            <sz val="8"/>
            <color indexed="81"/>
            <rFont val="Tahoma"/>
            <family val="2"/>
          </rPr>
          <t xml:space="preserve">
from BYD 10K</t>
        </r>
      </text>
    </comment>
    <comment ref="M886" authorId="0">
      <text>
        <r>
          <rPr>
            <b/>
            <sz val="8"/>
            <color indexed="81"/>
            <rFont val="Tahoma"/>
            <family val="2"/>
          </rPr>
          <t>urbankev:</t>
        </r>
        <r>
          <rPr>
            <sz val="8"/>
            <color indexed="81"/>
            <rFont val="Tahoma"/>
            <family val="2"/>
          </rPr>
          <t xml:space="preserve">
from BYD 10K</t>
        </r>
      </text>
    </comment>
    <comment ref="R886" authorId="0">
      <text>
        <r>
          <rPr>
            <b/>
            <sz val="8"/>
            <color indexed="81"/>
            <rFont val="Tahoma"/>
            <family val="2"/>
          </rPr>
          <t>urbankev:</t>
        </r>
        <r>
          <rPr>
            <sz val="8"/>
            <color indexed="81"/>
            <rFont val="Tahoma"/>
            <family val="2"/>
          </rPr>
          <t xml:space="preserve">
from BYD 10K</t>
        </r>
      </text>
    </comment>
    <comment ref="W886" authorId="0">
      <text>
        <r>
          <rPr>
            <b/>
            <sz val="8"/>
            <color indexed="81"/>
            <rFont val="Tahoma"/>
            <family val="2"/>
          </rPr>
          <t>urbankev:</t>
        </r>
        <r>
          <rPr>
            <sz val="8"/>
            <color indexed="81"/>
            <rFont val="Tahoma"/>
            <family val="2"/>
          </rPr>
          <t xml:space="preserve">
from BYD 10K</t>
        </r>
      </text>
    </comment>
    <comment ref="AB886" authorId="0">
      <text>
        <r>
          <rPr>
            <b/>
            <sz val="8"/>
            <color indexed="81"/>
            <rFont val="Tahoma"/>
            <family val="2"/>
          </rPr>
          <t>urbankev:</t>
        </r>
        <r>
          <rPr>
            <sz val="8"/>
            <color indexed="81"/>
            <rFont val="Tahoma"/>
            <family val="2"/>
          </rPr>
          <t xml:space="preserve">
from BYD 10K</t>
        </r>
      </text>
    </comment>
    <comment ref="AG886" authorId="0">
      <text>
        <r>
          <rPr>
            <b/>
            <sz val="8"/>
            <color indexed="81"/>
            <rFont val="Tahoma"/>
            <family val="2"/>
          </rPr>
          <t>urbankev:</t>
        </r>
        <r>
          <rPr>
            <sz val="8"/>
            <color indexed="81"/>
            <rFont val="Tahoma"/>
            <family val="2"/>
          </rPr>
          <t xml:space="preserve">
from BYD 10K</t>
        </r>
      </text>
    </comment>
    <comment ref="AQ886" authorId="10">
      <text>
        <r>
          <rPr>
            <sz val="8"/>
            <color indexed="81"/>
            <rFont val="Tahoma"/>
            <family val="2"/>
          </rPr>
          <t>Source: 10-K 2011
Page: 8</t>
        </r>
      </text>
    </comment>
    <comment ref="AV886" authorId="3">
      <text>
        <r>
          <rPr>
            <b/>
            <sz val="8"/>
            <color indexed="81"/>
            <rFont val="Tahoma"/>
            <family val="2"/>
          </rPr>
          <t>thallen:</t>
        </r>
        <r>
          <rPr>
            <sz val="8"/>
            <color indexed="81"/>
            <rFont val="Tahoma"/>
            <family val="2"/>
          </rPr>
          <t xml:space="preserve">
Per 10-K</t>
        </r>
      </text>
    </comment>
    <comment ref="AU888" authorId="3">
      <text>
        <r>
          <rPr>
            <b/>
            <sz val="8"/>
            <color indexed="81"/>
            <rFont val="Tahoma"/>
            <family val="2"/>
          </rPr>
          <t>thallen:</t>
        </r>
        <r>
          <rPr>
            <sz val="8"/>
            <color indexed="81"/>
            <rFont val="Tahoma"/>
            <family val="2"/>
          </rPr>
          <t xml:space="preserve">
More than 5k room night cancellations</t>
        </r>
      </text>
    </comment>
    <comment ref="AJ889" authorId="0">
      <text>
        <r>
          <rPr>
            <b/>
            <sz val="8"/>
            <color indexed="81"/>
            <rFont val="Tahoma"/>
            <family val="2"/>
          </rPr>
          <t>urbankev:</t>
        </r>
        <r>
          <rPr>
            <sz val="8"/>
            <color indexed="81"/>
            <rFont val="Tahoma"/>
            <family val="2"/>
          </rPr>
          <t xml:space="preserve">
Beginning of PA table games and Sugarhouse competition</t>
        </r>
      </text>
    </comment>
    <comment ref="AU889" authorId="3">
      <text>
        <r>
          <rPr>
            <b/>
            <sz val="8"/>
            <color indexed="81"/>
            <rFont val="Tahoma"/>
            <family val="2"/>
          </rPr>
          <t>thallen:</t>
        </r>
        <r>
          <rPr>
            <sz val="8"/>
            <color indexed="81"/>
            <rFont val="Tahoma"/>
            <family val="2"/>
          </rPr>
          <t xml:space="preserve">
Sandy / increased competition (Revel opened in April)</t>
        </r>
      </text>
    </comment>
    <comment ref="AW889" authorId="3">
      <text>
        <r>
          <rPr>
            <b/>
            <sz val="8"/>
            <color indexed="81"/>
            <rFont val="Tahoma"/>
            <family val="2"/>
          </rPr>
          <t>thallen:</t>
        </r>
        <r>
          <rPr>
            <sz val="8"/>
            <color indexed="81"/>
            <rFont val="Tahoma"/>
            <family val="2"/>
          </rPr>
          <t xml:space="preserve">
Increased competition (Revel opened in April)
+ Room night cancellations with Sandy slowly recover
</t>
        </r>
      </text>
    </comment>
    <comment ref="AX889" authorId="3">
      <text>
        <r>
          <rPr>
            <b/>
            <sz val="8"/>
            <color indexed="81"/>
            <rFont val="Tahoma"/>
            <family val="2"/>
          </rPr>
          <t>thallen:</t>
        </r>
        <r>
          <rPr>
            <sz val="8"/>
            <color indexed="81"/>
            <rFont val="Tahoma"/>
            <family val="2"/>
          </rPr>
          <t xml:space="preserve">
Increased competition (Revel opened in April)</t>
        </r>
      </text>
    </comment>
    <comment ref="AZ889" authorId="28">
      <text>
        <r>
          <rPr>
            <b/>
            <sz val="8"/>
            <color indexed="81"/>
            <rFont val="Tahoma"/>
            <family val="2"/>
          </rPr>
          <t>AM: 11/16/12:</t>
        </r>
        <r>
          <rPr>
            <sz val="8"/>
            <color indexed="81"/>
            <rFont val="Tahoma"/>
            <family val="2"/>
          </rPr>
          <t xml:space="preserve">
Easy comp on hurricane impact in 2012</t>
        </r>
      </text>
    </comment>
    <comment ref="BE889" authorId="5">
      <text>
        <r>
          <rPr>
            <b/>
            <sz val="9"/>
            <color indexed="81"/>
            <rFont val="Tahoma"/>
            <family val="2"/>
          </rPr>
          <t>Savino, Mark (Research):</t>
        </r>
        <r>
          <rPr>
            <sz val="9"/>
            <color indexed="81"/>
            <rFont val="Tahoma"/>
            <family val="2"/>
          </rPr>
          <t xml:space="preserve">
Very bad weather in Dec last year
Number of properties closed, including Revel, driving demand for Borgata</t>
        </r>
      </text>
    </comment>
    <comment ref="BI889" authorId="6">
      <text>
        <r>
          <rPr>
            <b/>
            <sz val="9"/>
            <color indexed="81"/>
            <rFont val="Tahoma"/>
            <family val="2"/>
          </rPr>
          <t>Allen, Thomas (Research):</t>
        </r>
        <r>
          <rPr>
            <sz val="9"/>
            <color indexed="81"/>
            <rFont val="Tahoma"/>
            <family val="2"/>
          </rPr>
          <t xml:space="preserve">
Revel closed 9/2/14</t>
        </r>
      </text>
    </comment>
    <comment ref="BJ889" authorId="6">
      <text>
        <r>
          <rPr>
            <b/>
            <sz val="9"/>
            <color indexed="81"/>
            <rFont val="Tahoma"/>
            <family val="2"/>
          </rPr>
          <t>Allen, Thomas (Research):</t>
        </r>
        <r>
          <rPr>
            <sz val="9"/>
            <color indexed="81"/>
            <rFont val="Tahoma"/>
            <family val="2"/>
          </rPr>
          <t xml:space="preserve">
Revel closed 9/2/14</t>
        </r>
      </text>
    </comment>
    <comment ref="AS891" authorId="29">
      <text>
        <r>
          <rPr>
            <b/>
            <sz val="8"/>
            <color indexed="81"/>
            <rFont val="Tahoma"/>
            <family val="2"/>
          </rPr>
          <t>AM: 11/8/11:</t>
        </r>
        <r>
          <rPr>
            <sz val="8"/>
            <color indexed="81"/>
            <rFont val="Tahoma"/>
            <family val="2"/>
          </rPr>
          <t xml:space="preserve">
Revel opens in 2Q (likely April or so).</t>
        </r>
      </text>
    </comment>
    <comment ref="BN891" authorId="5">
      <text>
        <r>
          <rPr>
            <b/>
            <sz val="9"/>
            <color indexed="81"/>
            <rFont val="Tahoma"/>
            <family val="2"/>
          </rPr>
          <t>Savino, Mark (Research):</t>
        </r>
        <r>
          <rPr>
            <sz val="9"/>
            <color indexed="81"/>
            <rFont val="Tahoma"/>
            <family val="2"/>
          </rPr>
          <t xml:space="preserve">
Sold to MGM on 8/1</t>
        </r>
      </text>
    </comment>
    <comment ref="AU892" authorId="3">
      <text>
        <r>
          <rPr>
            <b/>
            <sz val="8"/>
            <color indexed="81"/>
            <rFont val="Tahoma"/>
            <family val="2"/>
          </rPr>
          <t>thallen:</t>
        </r>
        <r>
          <rPr>
            <sz val="8"/>
            <color indexed="81"/>
            <rFont val="Tahoma"/>
            <family val="2"/>
          </rPr>
          <t xml:space="preserve">
Impact from Hurricane Sandy / increased competition (Revel opened in April)</t>
        </r>
      </text>
    </comment>
    <comment ref="AW892" authorId="3">
      <text>
        <r>
          <rPr>
            <b/>
            <sz val="8"/>
            <color indexed="81"/>
            <rFont val="Tahoma"/>
            <family val="2"/>
          </rPr>
          <t>thallen:</t>
        </r>
        <r>
          <rPr>
            <sz val="8"/>
            <color indexed="81"/>
            <rFont val="Tahoma"/>
            <family val="2"/>
          </rPr>
          <t xml:space="preserve">
Increased competition (Revel opened in April)</t>
        </r>
      </text>
    </comment>
    <comment ref="AX892" authorId="3">
      <text>
        <r>
          <rPr>
            <b/>
            <sz val="8"/>
            <color indexed="81"/>
            <rFont val="Tahoma"/>
            <family val="2"/>
          </rPr>
          <t>thallen:</t>
        </r>
        <r>
          <rPr>
            <sz val="8"/>
            <color indexed="81"/>
            <rFont val="Tahoma"/>
            <family val="2"/>
          </rPr>
          <t xml:space="preserve">
Increased competition (Revel opened in April)</t>
        </r>
      </text>
    </comment>
    <comment ref="AY892" authorId="7">
      <text>
        <r>
          <rPr>
            <b/>
            <sz val="8"/>
            <color indexed="81"/>
            <rFont val="Tahoma"/>
            <family val="2"/>
          </rPr>
          <t>savinmar:</t>
        </r>
        <r>
          <rPr>
            <sz val="8"/>
            <color indexed="81"/>
            <rFont val="Tahoma"/>
            <family val="2"/>
          </rPr>
          <t xml:space="preserve">
Guidance assumes some revenue growth now that they are cycling Revel impact</t>
        </r>
      </text>
    </comment>
    <comment ref="AZ892" authorId="28">
      <text>
        <r>
          <rPr>
            <b/>
            <sz val="8"/>
            <color indexed="81"/>
            <rFont val="Tahoma"/>
            <family val="2"/>
          </rPr>
          <t>AM: 11/16/12:</t>
        </r>
        <r>
          <rPr>
            <sz val="8"/>
            <color indexed="81"/>
            <rFont val="Tahoma"/>
            <family val="2"/>
          </rPr>
          <t xml:space="preserve">
Easy comp on hurricane impact in 2012</t>
        </r>
      </text>
    </comment>
    <comment ref="BB892" authorId="6">
      <text>
        <r>
          <rPr>
            <b/>
            <sz val="9"/>
            <color indexed="81"/>
            <rFont val="Tahoma"/>
            <family val="2"/>
          </rPr>
          <t>Allen, Thomas (Research):</t>
        </r>
        <r>
          <rPr>
            <sz val="9"/>
            <color indexed="81"/>
            <rFont val="Tahoma"/>
            <family val="2"/>
          </rPr>
          <t xml:space="preserve">
Per mgmt, weather continuing to have a negative impact</t>
        </r>
      </text>
    </comment>
    <comment ref="BD892" authorId="3">
      <text>
        <r>
          <rPr>
            <b/>
            <sz val="8"/>
            <color indexed="81"/>
            <rFont val="Tahoma"/>
            <family val="2"/>
          </rPr>
          <t>thallen:</t>
        </r>
        <r>
          <rPr>
            <sz val="8"/>
            <color indexed="81"/>
            <rFont val="Tahoma"/>
            <family val="2"/>
          </rPr>
          <t xml:space="preserve">
Sept 2013 fell off a cliff, but difficult compare
Revel closed 9/2/14</t>
        </r>
      </text>
    </comment>
    <comment ref="BE892" authorId="6">
      <text>
        <r>
          <rPr>
            <b/>
            <sz val="9"/>
            <color indexed="81"/>
            <rFont val="Tahoma"/>
            <family val="2"/>
          </rPr>
          <t>Allen, Thomas (Research):</t>
        </r>
        <r>
          <rPr>
            <sz val="9"/>
            <color indexed="81"/>
            <rFont val="Tahoma"/>
            <family val="2"/>
          </rPr>
          <t xml:space="preserve">
Negative weather impact in 4Q13, on the back of Sandy in 4Q12
Revel closed 9/2/14</t>
        </r>
      </text>
    </comment>
    <comment ref="BG892" authorId="5">
      <text>
        <r>
          <rPr>
            <b/>
            <sz val="9"/>
            <color indexed="81"/>
            <rFont val="Tahoma"/>
            <family val="2"/>
          </rPr>
          <t>Savino, Mark (Research):</t>
        </r>
        <r>
          <rPr>
            <sz val="9"/>
            <color indexed="81"/>
            <rFont val="Tahoma"/>
            <family val="2"/>
          </rPr>
          <t xml:space="preserve">
January +18%</t>
        </r>
      </text>
    </comment>
    <comment ref="BI892" authorId="6">
      <text>
        <r>
          <rPr>
            <b/>
            <sz val="9"/>
            <color indexed="81"/>
            <rFont val="Tahoma"/>
            <family val="2"/>
          </rPr>
          <t>Allen, Thomas (Research):</t>
        </r>
        <r>
          <rPr>
            <sz val="9"/>
            <color indexed="81"/>
            <rFont val="Tahoma"/>
            <family val="2"/>
          </rPr>
          <t xml:space="preserve">
Revel closed 9/2/14</t>
        </r>
      </text>
    </comment>
    <comment ref="BJ892" authorId="6">
      <text>
        <r>
          <rPr>
            <b/>
            <sz val="9"/>
            <color indexed="81"/>
            <rFont val="Tahoma"/>
            <family val="2"/>
          </rPr>
          <t>Allen, Thomas (Research):</t>
        </r>
        <r>
          <rPr>
            <sz val="9"/>
            <color indexed="81"/>
            <rFont val="Tahoma"/>
            <family val="2"/>
          </rPr>
          <t xml:space="preserve">
Revel closed 9/2/14</t>
        </r>
      </text>
    </comment>
    <comment ref="BM892" authorId="6">
      <text>
        <r>
          <rPr>
            <b/>
            <sz val="9"/>
            <color indexed="81"/>
            <rFont val="Tahoma"/>
            <family val="2"/>
          </rPr>
          <t>Allen, Thomas (Research):</t>
        </r>
        <r>
          <rPr>
            <sz val="9"/>
            <color indexed="81"/>
            <rFont val="Tahoma"/>
            <family val="2"/>
          </rPr>
          <t xml:space="preserve">
Easy hold compare</t>
        </r>
      </text>
    </comment>
    <comment ref="BN892" authorId="5">
      <text>
        <r>
          <rPr>
            <b/>
            <sz val="9"/>
            <color indexed="81"/>
            <rFont val="Tahoma"/>
            <family val="2"/>
          </rPr>
          <t>Savino, Mark (Research):</t>
        </r>
        <r>
          <rPr>
            <sz val="9"/>
            <color indexed="81"/>
            <rFont val="Tahoma"/>
            <family val="2"/>
          </rPr>
          <t xml:space="preserve">
Hold in 3Q15 added $12m to revenue</t>
        </r>
      </text>
    </comment>
    <comment ref="BO892" authorId="6">
      <text>
        <r>
          <rPr>
            <b/>
            <sz val="9"/>
            <color indexed="81"/>
            <rFont val="Tahoma"/>
            <family val="2"/>
          </rPr>
          <t>Allen, Thomas (Research):</t>
        </r>
        <r>
          <rPr>
            <sz val="9"/>
            <color indexed="81"/>
            <rFont val="Tahoma"/>
            <family val="2"/>
          </rPr>
          <t xml:space="preserve">
High hold</t>
        </r>
      </text>
    </comment>
    <comment ref="P895" authorId="18">
      <text>
        <r>
          <rPr>
            <b/>
            <sz val="10"/>
            <color indexed="81"/>
            <rFont val="Tahoma"/>
            <family val="2"/>
          </rPr>
          <t>Chris Metli:</t>
        </r>
        <r>
          <rPr>
            <sz val="10"/>
            <color indexed="81"/>
            <rFont val="Tahoma"/>
            <family val="2"/>
          </rPr>
          <t xml:space="preserve">
Dilution from casino expansion.</t>
        </r>
      </text>
    </comment>
    <comment ref="Q895" authorId="18">
      <text>
        <r>
          <rPr>
            <b/>
            <sz val="10"/>
            <color indexed="81"/>
            <rFont val="Tahoma"/>
            <family val="2"/>
          </rPr>
          <t>Celeste Brown:</t>
        </r>
        <r>
          <rPr>
            <sz val="10"/>
            <color indexed="81"/>
            <rFont val="Tahoma"/>
            <family val="2"/>
          </rPr>
          <t xml:space="preserve">
Dilution from casino expansion, esp weak due to hold</t>
        </r>
      </text>
    </comment>
    <comment ref="T895" authorId="18">
      <text>
        <r>
          <rPr>
            <b/>
            <sz val="10"/>
            <color indexed="81"/>
            <rFont val="Tahoma"/>
            <family val="2"/>
          </rPr>
          <t>Chris Metli:</t>
        </r>
        <r>
          <rPr>
            <sz val="10"/>
            <color indexed="81"/>
            <rFont val="Tahoma"/>
            <family val="2"/>
          </rPr>
          <t xml:space="preserve">
Dilution from casino expansion.</t>
        </r>
      </text>
    </comment>
    <comment ref="U895" authorId="18">
      <text>
        <r>
          <rPr>
            <b/>
            <sz val="10"/>
            <color indexed="81"/>
            <rFont val="Tahoma"/>
            <family val="2"/>
          </rPr>
          <t>Chris Metli:</t>
        </r>
        <r>
          <rPr>
            <sz val="10"/>
            <color indexed="81"/>
            <rFont val="Tahoma"/>
            <family val="2"/>
          </rPr>
          <t xml:space="preserve">
$7mm impact from closure last year</t>
        </r>
      </text>
    </comment>
    <comment ref="Y895" authorId="16">
      <text>
        <r>
          <rPr>
            <b/>
            <sz val="10"/>
            <color indexed="81"/>
            <rFont val="Tahoma"/>
            <family val="2"/>
          </rPr>
          <t>Thallen:</t>
        </r>
        <r>
          <rPr>
            <sz val="10"/>
            <color indexed="81"/>
            <rFont val="Tahoma"/>
            <family val="2"/>
          </rPr>
          <t xml:space="preserve">
Anniversary of smoking ban (April 15, 2006)</t>
        </r>
      </text>
    </comment>
    <comment ref="Z895" authorId="16">
      <text>
        <r>
          <rPr>
            <b/>
            <sz val="10"/>
            <color indexed="81"/>
            <rFont val="Tahoma"/>
            <family val="2"/>
          </rPr>
          <t>Thallen:</t>
        </r>
        <r>
          <rPr>
            <sz val="10"/>
            <color indexed="81"/>
            <rFont val="Tahoma"/>
            <family val="2"/>
          </rPr>
          <t xml:space="preserve">
Strong growth with opening of hotel tower</t>
        </r>
      </text>
    </comment>
    <comment ref="AA895" authorId="16">
      <text>
        <r>
          <rPr>
            <b/>
            <sz val="10"/>
            <color indexed="81"/>
            <rFont val="Tahoma"/>
            <family val="2"/>
          </rPr>
          <t>Thallen:</t>
        </r>
        <r>
          <rPr>
            <sz val="10"/>
            <color indexed="81"/>
            <rFont val="Tahoma"/>
            <family val="2"/>
          </rPr>
          <t xml:space="preserve">
Full casino floor smoking ban went into effect Oct 15 and expired Nov 16.</t>
        </r>
      </text>
    </comment>
    <comment ref="AJ895" authorId="0">
      <text>
        <r>
          <rPr>
            <b/>
            <sz val="8"/>
            <color indexed="81"/>
            <rFont val="Tahoma"/>
            <family val="2"/>
          </rPr>
          <t>urbankev:</t>
        </r>
        <r>
          <rPr>
            <sz val="8"/>
            <color indexed="81"/>
            <rFont val="Tahoma"/>
            <family val="2"/>
          </rPr>
          <t xml:space="preserve">
Beginning of PA tables and Sugarhouse</t>
        </r>
      </text>
    </comment>
    <comment ref="AM895" authorId="15">
      <text>
        <r>
          <rPr>
            <b/>
            <sz val="8"/>
            <color indexed="81"/>
            <rFont val="Tahoma"/>
            <family val="2"/>
          </rPr>
          <t>danfuss:</t>
        </r>
        <r>
          <rPr>
            <sz val="8"/>
            <color indexed="81"/>
            <rFont val="Tahoma"/>
            <family val="2"/>
          </rPr>
          <t xml:space="preserve">
Affected by Weather</t>
        </r>
      </text>
    </comment>
    <comment ref="D897" authorId="25">
      <text>
        <r>
          <rPr>
            <b/>
            <sz val="10"/>
            <color indexed="81"/>
            <rFont val="Tahoma"/>
            <family val="2"/>
          </rPr>
          <t>Celeste Mellet Brown:</t>
        </r>
        <r>
          <rPr>
            <sz val="10"/>
            <color indexed="81"/>
            <rFont val="Tahoma"/>
            <family val="2"/>
          </rPr>
          <t xml:space="preserve">
Abnormally high per 1Q04 call</t>
        </r>
      </text>
    </comment>
    <comment ref="AW897" authorId="3">
      <text>
        <r>
          <rPr>
            <b/>
            <sz val="8"/>
            <color indexed="81"/>
            <rFont val="Tahoma"/>
            <family val="2"/>
          </rPr>
          <t>thallen:</t>
        </r>
        <r>
          <rPr>
            <sz val="8"/>
            <color indexed="81"/>
            <rFont val="Tahoma"/>
            <family val="2"/>
          </rPr>
          <t xml:space="preserve">
Revel  continues to be a competitor (April 2012 opening comp too)</t>
        </r>
      </text>
    </comment>
    <comment ref="AX897" authorId="3">
      <text>
        <r>
          <rPr>
            <b/>
            <sz val="8"/>
            <color indexed="81"/>
            <rFont val="Tahoma"/>
            <family val="2"/>
          </rPr>
          <t>thallen:</t>
        </r>
        <r>
          <rPr>
            <sz val="8"/>
            <color indexed="81"/>
            <rFont val="Tahoma"/>
            <family val="2"/>
          </rPr>
          <t xml:space="preserve">
Revel  continues to be a tough competitor (April 2012 opening comp too)</t>
        </r>
      </text>
    </comment>
    <comment ref="AY897" authorId="3">
      <text>
        <r>
          <rPr>
            <b/>
            <sz val="8"/>
            <color indexed="81"/>
            <rFont val="Tahoma"/>
            <family val="2"/>
          </rPr>
          <t>thallen:</t>
        </r>
        <r>
          <rPr>
            <sz val="8"/>
            <color indexed="81"/>
            <rFont val="Tahoma"/>
            <family val="2"/>
          </rPr>
          <t xml:space="preserve">
Revel  continues to be a tough competitor (April 2012 opening comp too)</t>
        </r>
      </text>
    </comment>
    <comment ref="AZ897" authorId="3">
      <text>
        <r>
          <rPr>
            <b/>
            <sz val="8"/>
            <color indexed="81"/>
            <rFont val="Tahoma"/>
            <family val="2"/>
          </rPr>
          <t>thallen:</t>
        </r>
        <r>
          <rPr>
            <sz val="8"/>
            <color indexed="81"/>
            <rFont val="Tahoma"/>
            <family val="2"/>
          </rPr>
          <t xml:space="preserve">
Sandy comp</t>
        </r>
      </text>
    </comment>
    <comment ref="AE900" authorId="0">
      <text>
        <r>
          <rPr>
            <b/>
            <sz val="8"/>
            <color indexed="81"/>
            <rFont val="Tahoma"/>
            <family val="2"/>
          </rPr>
          <t>urbankev:</t>
        </r>
        <r>
          <rPr>
            <sz val="8"/>
            <color indexed="81"/>
            <rFont val="Tahoma"/>
            <family val="2"/>
          </rPr>
          <t xml:space="preserve">
All prior data from the NJ Quarterly revenue reports</t>
        </r>
      </text>
    </comment>
    <comment ref="AF900" authorId="0">
      <text>
        <r>
          <rPr>
            <b/>
            <sz val="8"/>
            <color indexed="81"/>
            <rFont val="Tahoma"/>
            <family val="2"/>
          </rPr>
          <t>urbankev:</t>
        </r>
        <r>
          <rPr>
            <sz val="8"/>
            <color indexed="81"/>
            <rFont val="Tahoma"/>
            <family val="2"/>
          </rPr>
          <t xml:space="preserve">
Per BYD's press release</t>
        </r>
      </text>
    </comment>
    <comment ref="AN900" authorId="15">
      <text>
        <r>
          <rPr>
            <b/>
            <sz val="8"/>
            <color indexed="81"/>
            <rFont val="Tahoma"/>
            <family val="2"/>
          </rPr>
          <t>danfuss:</t>
        </r>
        <r>
          <rPr>
            <sz val="8"/>
            <color indexed="81"/>
            <rFont val="Tahoma"/>
            <family val="2"/>
          </rPr>
          <t xml:space="preserve">
4mm above our estimates</t>
        </r>
      </text>
    </comment>
    <comment ref="AT900" authorId="4">
      <text>
        <r>
          <rPr>
            <b/>
            <sz val="8"/>
            <color indexed="81"/>
            <rFont val="Tahoma"/>
            <family val="2"/>
          </rPr>
          <t>AM: 7/24/12:</t>
        </r>
        <r>
          <rPr>
            <sz val="8"/>
            <color indexed="81"/>
            <rFont val="Tahoma"/>
            <family val="2"/>
          </rPr>
          <t xml:space="preserve">
Easy comp on hurricane in 3Q11</t>
        </r>
      </text>
    </comment>
    <comment ref="AU900" authorId="3">
      <text>
        <r>
          <rPr>
            <b/>
            <sz val="8"/>
            <color indexed="81"/>
            <rFont val="Tahoma"/>
            <family val="2"/>
          </rPr>
          <t>thallen:</t>
        </r>
        <r>
          <rPr>
            <sz val="8"/>
            <color indexed="81"/>
            <rFont val="Tahoma"/>
            <family val="2"/>
          </rPr>
          <t xml:space="preserve">
Hurricane Sandy</t>
        </r>
      </text>
    </comment>
    <comment ref="BC901" authorId="5">
      <text>
        <r>
          <rPr>
            <b/>
            <sz val="9"/>
            <color indexed="81"/>
            <rFont val="Tahoma"/>
            <family val="2"/>
          </rPr>
          <t>Savino, Mark (Research):</t>
        </r>
        <r>
          <rPr>
            <sz val="9"/>
            <color indexed="81"/>
            <rFont val="Tahoma"/>
            <family val="2"/>
          </rPr>
          <t xml:space="preserve">
Assume 10% promotional spend similar to 1Q</t>
        </r>
      </text>
    </comment>
    <comment ref="BK901" authorId="5">
      <text>
        <r>
          <rPr>
            <b/>
            <sz val="9"/>
            <color indexed="81"/>
            <rFont val="Tahoma"/>
            <family val="2"/>
          </rPr>
          <t>Savino, Mark (Research):</t>
        </r>
        <r>
          <rPr>
            <sz val="9"/>
            <color indexed="81"/>
            <rFont val="Tahoma"/>
            <family val="2"/>
          </rPr>
          <t xml:space="preserve">
Assume lower promotional spend as market matures</t>
        </r>
      </text>
    </comment>
    <comment ref="AT906" authorId="4">
      <text>
        <r>
          <rPr>
            <b/>
            <sz val="8"/>
            <color indexed="81"/>
            <rFont val="Tahoma"/>
            <family val="2"/>
          </rPr>
          <t>AM: 7/24/12:</t>
        </r>
        <r>
          <rPr>
            <sz val="8"/>
            <color indexed="81"/>
            <rFont val="Tahoma"/>
            <family val="2"/>
          </rPr>
          <t xml:space="preserve">
Easy comp on hurricane in 3Q11</t>
        </r>
      </text>
    </comment>
    <comment ref="AS909" authorId="4">
      <text>
        <r>
          <rPr>
            <b/>
            <sz val="8"/>
            <color indexed="81"/>
            <rFont val="Tahoma"/>
            <family val="2"/>
          </rPr>
          <t>AM: 7/24/12:</t>
        </r>
        <r>
          <rPr>
            <sz val="8"/>
            <color indexed="81"/>
            <rFont val="Tahoma"/>
            <family val="2"/>
          </rPr>
          <t xml:space="preserve">
Incl +$2.5m y/y  in higher property taxes</t>
        </r>
      </text>
    </comment>
    <comment ref="AX909" authorId="28">
      <text>
        <r>
          <rPr>
            <b/>
            <sz val="8"/>
            <color indexed="81"/>
            <rFont val="Tahoma"/>
            <family val="2"/>
          </rPr>
          <t>AM: 11/16/12:</t>
        </r>
        <r>
          <rPr>
            <sz val="8"/>
            <color indexed="81"/>
            <rFont val="Tahoma"/>
            <family val="2"/>
          </rPr>
          <t xml:space="preserve">
Easy comp on $2.5m in incremental prop taxes in 2012</t>
        </r>
      </text>
    </comment>
    <comment ref="E910" authorId="25">
      <text>
        <r>
          <rPr>
            <b/>
            <sz val="8"/>
            <color indexed="81"/>
            <rFont val="Tahoma"/>
            <family val="2"/>
          </rPr>
          <t>Celeste Mellet Brown:</t>
        </r>
        <r>
          <rPr>
            <sz val="8"/>
            <color indexed="81"/>
            <rFont val="Tahoma"/>
            <family val="2"/>
          </rPr>
          <t xml:space="preserve">
on 1Q04 call, said seing 300 bps margin improvement - have it 200 bps improvement b/c its early</t>
        </r>
      </text>
    </comment>
    <comment ref="J910" authorId="25">
      <text>
        <r>
          <rPr>
            <b/>
            <sz val="8"/>
            <color indexed="81"/>
            <rFont val="Tahoma"/>
            <family val="2"/>
          </rPr>
          <t>Celeste Mellet Brown:</t>
        </r>
        <r>
          <rPr>
            <sz val="8"/>
            <color indexed="81"/>
            <rFont val="Tahoma"/>
            <family val="2"/>
          </rPr>
          <t xml:space="preserve">
lower hold impacted ebitda negatively by $3-4mm</t>
        </r>
      </text>
    </comment>
    <comment ref="Q910" authorId="24">
      <text>
        <r>
          <rPr>
            <b/>
            <sz val="10"/>
            <color indexed="81"/>
            <rFont val="Tahoma"/>
            <family val="2"/>
          </rPr>
          <t>Celeste Brown:</t>
        </r>
        <r>
          <rPr>
            <sz val="10"/>
            <color indexed="81"/>
            <rFont val="Tahoma"/>
            <family val="2"/>
          </rPr>
          <t xml:space="preserve">
Margins hurt by lower hold</t>
        </r>
      </text>
    </comment>
    <comment ref="U910" authorId="18">
      <text>
        <r>
          <rPr>
            <b/>
            <sz val="10"/>
            <color indexed="81"/>
            <rFont val="Tahoma"/>
            <family val="2"/>
          </rPr>
          <t>Chris Metli:</t>
        </r>
        <r>
          <rPr>
            <sz val="10"/>
            <color indexed="81"/>
            <rFont val="Tahoma"/>
            <family val="2"/>
          </rPr>
          <t xml:space="preserve">
Last year $4mm EBITDA closure impact, $3mm expenses not spent</t>
        </r>
      </text>
    </comment>
    <comment ref="V910" authorId="24">
      <text>
        <r>
          <rPr>
            <b/>
            <sz val="10"/>
            <color indexed="81"/>
            <rFont val="Tahoma"/>
            <family val="2"/>
          </rPr>
          <t>Celeste Brown:</t>
        </r>
        <r>
          <rPr>
            <sz val="10"/>
            <color indexed="81"/>
            <rFont val="Tahoma"/>
            <family val="2"/>
          </rPr>
          <t xml:space="preserve">
Last year, margins negatively impacted by lower hold</t>
        </r>
      </text>
    </comment>
    <comment ref="Z910" authorId="16">
      <text>
        <r>
          <rPr>
            <b/>
            <sz val="10"/>
            <color indexed="81"/>
            <rFont val="Tahoma"/>
            <family val="2"/>
          </rPr>
          <t>Thallen:</t>
        </r>
        <r>
          <rPr>
            <sz val="10"/>
            <color indexed="81"/>
            <rFont val="Tahoma"/>
            <family val="2"/>
          </rPr>
          <t xml:space="preserve">
Higher operating costs through the opening of the Water Club</t>
        </r>
      </text>
    </comment>
    <comment ref="AA910" authorId="16">
      <text>
        <r>
          <rPr>
            <b/>
            <sz val="10"/>
            <color indexed="81"/>
            <rFont val="Tahoma"/>
            <family val="2"/>
          </rPr>
          <t>Thallen:</t>
        </r>
        <r>
          <rPr>
            <sz val="10"/>
            <color indexed="81"/>
            <rFont val="Tahoma"/>
            <family val="2"/>
          </rPr>
          <t xml:space="preserve">
Higher operating costs associated with the opening of the Water Club, higher promo spending</t>
        </r>
      </text>
    </comment>
    <comment ref="AC910" authorId="24">
      <text>
        <r>
          <rPr>
            <b/>
            <sz val="9"/>
            <color indexed="81"/>
            <rFont val="Tahoma"/>
            <family val="2"/>
          </rPr>
          <t>Celeste Brown:</t>
        </r>
        <r>
          <rPr>
            <sz val="9"/>
            <color indexed="81"/>
            <rFont val="Tahoma"/>
            <family val="2"/>
          </rPr>
          <t xml:space="preserve">
Instituted cost cuts on 11/1/08, however for s-t being offset by new costs assoc. w/ WC. Margins will improve as hotel inefficiencies are eliminated, plus greater margins on gaming due to more people in the same facility</t>
        </r>
      </text>
    </comment>
    <comment ref="AY911" authorId="7">
      <text>
        <r>
          <rPr>
            <b/>
            <sz val="8"/>
            <color indexed="81"/>
            <rFont val="Tahoma"/>
            <family val="2"/>
          </rPr>
          <t>savinmar:</t>
        </r>
        <r>
          <rPr>
            <sz val="8"/>
            <color indexed="81"/>
            <rFont val="Tahoma"/>
            <family val="2"/>
          </rPr>
          <t xml:space="preserve">
Lapping soft hold in 3Q12 and expect continued efficiencies</t>
        </r>
      </text>
    </comment>
    <comment ref="BC911" authorId="5">
      <text>
        <r>
          <rPr>
            <b/>
            <sz val="9"/>
            <color indexed="81"/>
            <rFont val="Tahoma"/>
            <family val="2"/>
          </rPr>
          <t>Savino, Mark (Research):</t>
        </r>
        <r>
          <rPr>
            <sz val="9"/>
            <color indexed="81"/>
            <rFont val="Tahoma"/>
            <family val="2"/>
          </rPr>
          <t xml:space="preserve">
$11.8m property-tax benefit</t>
        </r>
      </text>
    </comment>
    <comment ref="BD911" authorId="5">
      <text>
        <r>
          <rPr>
            <b/>
            <sz val="9"/>
            <color indexed="81"/>
            <rFont val="Tahoma"/>
            <family val="2"/>
          </rPr>
          <t>Savino, Mark (Research):</t>
        </r>
        <r>
          <rPr>
            <sz val="9"/>
            <color indexed="81"/>
            <rFont val="Tahoma"/>
            <family val="2"/>
          </rPr>
          <t xml:space="preserve">
$6m property tax benefit in 3Q and 4Q</t>
        </r>
      </text>
    </comment>
    <comment ref="BE911" authorId="5">
      <text>
        <r>
          <rPr>
            <b/>
            <sz val="9"/>
            <color indexed="81"/>
            <rFont val="Tahoma"/>
            <family val="2"/>
          </rPr>
          <t>Savino, Mark (Research):</t>
        </r>
        <r>
          <rPr>
            <sz val="9"/>
            <color indexed="81"/>
            <rFont val="Tahoma"/>
            <family val="2"/>
          </rPr>
          <t xml:space="preserve">
Per 3Q call: $7m property tax benefit</t>
        </r>
      </text>
    </comment>
    <comment ref="BG911" authorId="5">
      <text>
        <r>
          <rPr>
            <b/>
            <sz val="9"/>
            <color indexed="81"/>
            <rFont val="Tahoma"/>
            <family val="2"/>
          </rPr>
          <t>Savino, Mark (Research):</t>
        </r>
        <r>
          <rPr>
            <sz val="9"/>
            <color indexed="81"/>
            <rFont val="Tahoma"/>
            <family val="2"/>
          </rPr>
          <t xml:space="preserve">
$6m less property tax expense y/y</t>
        </r>
      </text>
    </comment>
    <comment ref="BH911" authorId="5">
      <text>
        <r>
          <rPr>
            <b/>
            <sz val="9"/>
            <color indexed="81"/>
            <rFont val="Tahoma"/>
            <family val="2"/>
          </rPr>
          <t>Savino, Mark (Research):</t>
        </r>
        <r>
          <rPr>
            <sz val="9"/>
            <color indexed="81"/>
            <rFont val="Tahoma"/>
            <family val="2"/>
          </rPr>
          <t xml:space="preserve">
$6m higher property tax y/y as the 1Q14 benefit hit in 2Q last year</t>
        </r>
      </text>
    </comment>
    <comment ref="BI911" authorId="6">
      <text>
        <r>
          <rPr>
            <b/>
            <sz val="9"/>
            <color indexed="81"/>
            <rFont val="Tahoma"/>
            <family val="2"/>
          </rPr>
          <t>Allen, Thomas (Research):</t>
        </r>
        <r>
          <rPr>
            <sz val="9"/>
            <color indexed="81"/>
            <rFont val="Tahoma"/>
            <family val="2"/>
          </rPr>
          <t xml:space="preserve">
Higher property taxes as the property does better</t>
        </r>
      </text>
    </comment>
    <comment ref="BK911" authorId="5">
      <text>
        <r>
          <rPr>
            <b/>
            <sz val="9"/>
            <color indexed="81"/>
            <rFont val="Tahoma"/>
            <family val="2"/>
          </rPr>
          <t>Savino, Mark (Research):</t>
        </r>
        <r>
          <rPr>
            <sz val="9"/>
            <color indexed="81"/>
            <rFont val="Tahoma"/>
            <family val="2"/>
          </rPr>
          <t xml:space="preserve">
1Q15 will have $6m less opex y/y to reflect impact of property tax reduction, but 2Q15 will have $6m more b/c the 1Q14 refund hit in 2Q14 last year</t>
        </r>
      </text>
    </comment>
    <comment ref="AJ924" authorId="15">
      <text>
        <r>
          <rPr>
            <b/>
            <sz val="8"/>
            <color indexed="81"/>
            <rFont val="Tahoma"/>
            <family val="2"/>
          </rPr>
          <t>danfuss:</t>
        </r>
        <r>
          <rPr>
            <sz val="8"/>
            <color indexed="81"/>
            <rFont val="Tahoma"/>
            <family val="2"/>
          </rPr>
          <t xml:space="preserve">
.004 write-downs and other charges, and depreciation add back</t>
        </r>
      </text>
    </comment>
    <comment ref="Q927" authorId="24">
      <text>
        <r>
          <rPr>
            <b/>
            <sz val="10"/>
            <color indexed="81"/>
            <rFont val="Tahoma"/>
            <family val="2"/>
          </rPr>
          <t>Celeste Brown:</t>
        </r>
        <r>
          <rPr>
            <sz val="10"/>
            <color indexed="81"/>
            <rFont val="Tahoma"/>
            <family val="2"/>
          </rPr>
          <t xml:space="preserve">
Margins hurt by lower hold - $12mm hit to revenue</t>
        </r>
      </text>
    </comment>
    <comment ref="V927" authorId="24">
      <text>
        <r>
          <rPr>
            <b/>
            <sz val="10"/>
            <color indexed="81"/>
            <rFont val="Tahoma"/>
            <family val="2"/>
          </rPr>
          <t>Celeste Brown:</t>
        </r>
        <r>
          <rPr>
            <sz val="10"/>
            <color indexed="81"/>
            <rFont val="Tahoma"/>
            <family val="2"/>
          </rPr>
          <t xml:space="preserve">
Last year, margins negatively impacted by lower hold</t>
        </r>
      </text>
    </comment>
    <comment ref="AA927" authorId="3">
      <text>
        <r>
          <rPr>
            <b/>
            <sz val="9"/>
            <color indexed="81"/>
            <rFont val="Tahoma"/>
            <family val="2"/>
          </rPr>
          <t>thallen:</t>
        </r>
        <r>
          <rPr>
            <sz val="9"/>
            <color indexed="81"/>
            <rFont val="Tahoma"/>
            <family val="2"/>
          </rPr>
          <t xml:space="preserve">
Two week smoking ban impacted property, a little after b/c people were confused by the law</t>
        </r>
      </text>
    </comment>
    <comment ref="AO927" authorId="8">
      <text>
        <r>
          <rPr>
            <b/>
            <sz val="8"/>
            <color indexed="81"/>
            <rFont val="Tahoma"/>
            <family val="2"/>
          </rPr>
          <t>AM: 7/27/11:</t>
        </r>
        <r>
          <rPr>
            <sz val="8"/>
            <color indexed="81"/>
            <rFont val="Tahoma"/>
            <family val="2"/>
          </rPr>
          <t xml:space="preserve">
Guidance of $52-55m
</t>
        </r>
        <r>
          <rPr>
            <b/>
            <sz val="8"/>
            <color indexed="81"/>
            <rFont val="Tahoma"/>
            <family val="2"/>
          </rPr>
          <t>DJF: 10/25/11
--</t>
        </r>
        <r>
          <rPr>
            <sz val="8"/>
            <color indexed="81"/>
            <rFont val="Tahoma"/>
            <family val="2"/>
          </rPr>
          <t>Per PR, excluding impact from Hurricane Irene, would have been positive Y/Y
-- Does not tie exactly to Adjusted EBITDA in statement due to certain valuation adjustments made at BYD parent but not in Borgata's financials</t>
        </r>
      </text>
    </comment>
    <comment ref="AP927" authorId="8">
      <text>
        <r>
          <rPr>
            <b/>
            <sz val="8"/>
            <color indexed="81"/>
            <rFont val="Tahoma"/>
            <family val="2"/>
          </rPr>
          <t>AM: 10/25/11:</t>
        </r>
        <r>
          <rPr>
            <sz val="8"/>
            <color indexed="81"/>
            <rFont val="Tahoma"/>
            <family val="2"/>
          </rPr>
          <t xml:space="preserve">
Guidance of $34-37m
</t>
        </r>
      </text>
    </comment>
    <comment ref="AS927" authorId="9">
      <text>
        <r>
          <rPr>
            <b/>
            <sz val="8"/>
            <color indexed="81"/>
            <rFont val="Tahoma"/>
            <family val="2"/>
          </rPr>
          <t>AM: 4/24/12:</t>
        </r>
        <r>
          <rPr>
            <sz val="8"/>
            <color indexed="81"/>
            <rFont val="Tahoma"/>
            <family val="2"/>
          </rPr>
          <t xml:space="preserve">
$33-35m guidance</t>
        </r>
      </text>
    </comment>
    <comment ref="AT927" authorId="4">
      <text>
        <r>
          <rPr>
            <b/>
            <sz val="8"/>
            <color indexed="81"/>
            <rFont val="Tahoma"/>
            <family val="2"/>
          </rPr>
          <t>AM: 7/24/12:</t>
        </r>
        <r>
          <rPr>
            <sz val="8"/>
            <color indexed="81"/>
            <rFont val="Tahoma"/>
            <family val="2"/>
          </rPr>
          <t xml:space="preserve">
Guidance of $47-49m. Easy comp on hurricane in 3Q11.</t>
        </r>
      </text>
    </comment>
    <comment ref="AU927" authorId="3">
      <text>
        <r>
          <rPr>
            <b/>
            <sz val="8"/>
            <color indexed="81"/>
            <rFont val="Tahoma"/>
            <family val="2"/>
          </rPr>
          <t>thallen:</t>
        </r>
        <r>
          <rPr>
            <sz val="8"/>
            <color indexed="81"/>
            <rFont val="Tahoma"/>
            <family val="2"/>
          </rPr>
          <t xml:space="preserve">
Sandy impact was $11-12m</t>
        </r>
      </text>
    </comment>
    <comment ref="AX927" authorId="7">
      <text>
        <r>
          <rPr>
            <b/>
            <sz val="8"/>
            <color indexed="81"/>
            <rFont val="Tahoma"/>
            <family val="2"/>
          </rPr>
          <t>savinmar:</t>
        </r>
        <r>
          <rPr>
            <sz val="8"/>
            <color indexed="81"/>
            <rFont val="Tahoma"/>
            <family val="2"/>
          </rPr>
          <t xml:space="preserve">
Includes one-time $4.3m property tax charge
More effective mkting programs</t>
        </r>
      </text>
    </comment>
    <comment ref="AY927" authorId="3">
      <text>
        <r>
          <rPr>
            <b/>
            <sz val="8"/>
            <color indexed="81"/>
            <rFont val="Tahoma"/>
            <family val="2"/>
          </rPr>
          <t>thallen:</t>
        </r>
        <r>
          <rPr>
            <sz val="8"/>
            <color indexed="81"/>
            <rFont val="Tahoma"/>
            <family val="2"/>
          </rPr>
          <t xml:space="preserve">
Hold helped the property by $11.5mm y/y, property taxes negatively impacted property by $2.1mm y/y</t>
        </r>
      </text>
    </comment>
    <comment ref="AZ927" authorId="5">
      <text>
        <r>
          <rPr>
            <b/>
            <sz val="9"/>
            <color indexed="81"/>
            <rFont val="Tahoma"/>
            <family val="2"/>
          </rPr>
          <t>Savino, Mark (Research):</t>
        </r>
        <r>
          <rPr>
            <sz val="9"/>
            <color indexed="81"/>
            <rFont val="Tahoma"/>
            <family val="2"/>
          </rPr>
          <t xml:space="preserve">
Low hold was a $3.6m EBITDA headwind, weather was a $1m headwind, and continued higher property taxes a $2.1m headwind</t>
        </r>
      </text>
    </comment>
    <comment ref="BC927" authorId="5">
      <text>
        <r>
          <rPr>
            <b/>
            <sz val="9"/>
            <color indexed="81"/>
            <rFont val="Tahoma"/>
            <family val="2"/>
          </rPr>
          <t>Savino, Mark (Research):</t>
        </r>
        <r>
          <rPr>
            <sz val="9"/>
            <color indexed="81"/>
            <rFont val="Tahoma"/>
            <family val="2"/>
          </rPr>
          <t xml:space="preserve">
$11.8m property tax benefit</t>
        </r>
      </text>
    </comment>
    <comment ref="BD927" authorId="5">
      <text>
        <r>
          <rPr>
            <b/>
            <sz val="9"/>
            <color indexed="81"/>
            <rFont val="Tahoma"/>
            <family val="2"/>
          </rPr>
          <t>Savino, Mark (Research):</t>
        </r>
        <r>
          <rPr>
            <sz val="9"/>
            <color indexed="81"/>
            <rFont val="Tahoma"/>
            <family val="2"/>
          </rPr>
          <t xml:space="preserve">
$8.1m property tax benefit</t>
        </r>
      </text>
    </comment>
    <comment ref="BE927" authorId="6">
      <text>
        <r>
          <rPr>
            <b/>
            <sz val="9"/>
            <color indexed="81"/>
            <rFont val="Tahoma"/>
            <family val="2"/>
          </rPr>
          <t>Allen, Thomas (Research):</t>
        </r>
        <r>
          <rPr>
            <sz val="9"/>
            <color indexed="81"/>
            <rFont val="Tahoma"/>
            <family val="2"/>
          </rPr>
          <t xml:space="preserve">
Comp'ing bad weather and low hold in '13 post Sandy in '12
Guidance w/ whole of Borgata vs. 50% implies $28m of EBITDA in 4Q</t>
        </r>
      </text>
    </comment>
    <comment ref="BG927" authorId="5">
      <text>
        <r>
          <rPr>
            <b/>
            <sz val="9"/>
            <color indexed="81"/>
            <rFont val="Tahoma"/>
            <family val="2"/>
          </rPr>
          <t>Savino, Mark (Research):</t>
        </r>
        <r>
          <rPr>
            <sz val="9"/>
            <color indexed="81"/>
            <rFont val="Tahoma"/>
            <family val="2"/>
          </rPr>
          <t xml:space="preserve">
4Q call: $33-35m</t>
        </r>
      </text>
    </comment>
    <comment ref="BK927" authorId="5">
      <text>
        <r>
          <rPr>
            <b/>
            <sz val="9"/>
            <color indexed="81"/>
            <rFont val="Tahoma"/>
            <family val="2"/>
          </rPr>
          <t>Savino, Mark (Research):</t>
        </r>
        <r>
          <rPr>
            <sz val="9"/>
            <color indexed="81"/>
            <rFont val="Tahoma"/>
            <family val="2"/>
          </rPr>
          <t xml:space="preserve">
3Q15: $195m
2Q15: $170m
(1Q15): $160-165m
4Q call: $155-160m</t>
        </r>
      </text>
    </comment>
    <comment ref="BL927" authorId="6">
      <text>
        <r>
          <rPr>
            <b/>
            <sz val="9"/>
            <color indexed="81"/>
            <rFont val="Tahoma"/>
            <family val="2"/>
          </rPr>
          <t>Allen, Thomas (Research):</t>
        </r>
        <r>
          <rPr>
            <sz val="9"/>
            <color indexed="81"/>
            <rFont val="Tahoma"/>
            <family val="2"/>
          </rPr>
          <t xml:space="preserve">
Jan weather negatively impacting qtr by $5m of EBITDA</t>
        </r>
      </text>
    </comment>
    <comment ref="BP927" authorId="6">
      <text>
        <r>
          <rPr>
            <b/>
            <sz val="9"/>
            <color indexed="81"/>
            <rFont val="Tahoma"/>
            <family val="2"/>
          </rPr>
          <t>Allen, Thomas (Research):</t>
        </r>
        <r>
          <rPr>
            <sz val="9"/>
            <color indexed="81"/>
            <rFont val="Tahoma"/>
            <family val="2"/>
          </rPr>
          <t xml:space="preserve">
1Q16: $200-205, but above midpoint
4Q15 guidance: $195-200m
2015 benefitted ffrom $9m of high hold</t>
        </r>
      </text>
    </comment>
    <comment ref="P928" authorId="18">
      <text>
        <r>
          <rPr>
            <b/>
            <sz val="10"/>
            <color indexed="81"/>
            <rFont val="Tahoma"/>
            <family val="2"/>
          </rPr>
          <t>Chris Metli:</t>
        </r>
        <r>
          <rPr>
            <sz val="10"/>
            <color indexed="81"/>
            <rFont val="Tahoma"/>
            <family val="2"/>
          </rPr>
          <t xml:space="preserve">
Margin assuming no closure would have been 30.7%</t>
        </r>
      </text>
    </comment>
    <comment ref="BJ929" authorId="6">
      <text>
        <r>
          <rPr>
            <b/>
            <sz val="9"/>
            <color indexed="81"/>
            <rFont val="Tahoma"/>
            <family val="2"/>
          </rPr>
          <t>Allen, Thomas (Research):</t>
        </r>
        <r>
          <rPr>
            <sz val="9"/>
            <color indexed="81"/>
            <rFont val="Tahoma"/>
            <family val="2"/>
          </rPr>
          <t xml:space="preserve">
Table hold 50% of EBITDA growth</t>
        </r>
      </text>
    </comment>
    <comment ref="BM929" authorId="6">
      <text>
        <r>
          <rPr>
            <b/>
            <sz val="9"/>
            <color indexed="81"/>
            <rFont val="Tahoma"/>
            <family val="2"/>
          </rPr>
          <t>Allen, Thomas (Research):</t>
        </r>
        <r>
          <rPr>
            <sz val="9"/>
            <color indexed="81"/>
            <rFont val="Tahoma"/>
            <family val="2"/>
          </rPr>
          <t xml:space="preserve">
Easy hold comp</t>
        </r>
      </text>
    </comment>
    <comment ref="A930" authorId="10">
      <text>
        <r>
          <rPr>
            <sz val="8"/>
            <color indexed="81"/>
            <rFont val="Tahoma"/>
            <family val="2"/>
          </rPr>
          <t xml:space="preserve">In USD Millions
</t>
        </r>
      </text>
    </comment>
    <comment ref="AZ930" authorId="5">
      <text>
        <r>
          <rPr>
            <b/>
            <sz val="9"/>
            <color indexed="81"/>
            <rFont val="Tahoma"/>
            <family val="2"/>
          </rPr>
          <t>Savino, Mark (Research):</t>
        </r>
        <r>
          <rPr>
            <sz val="9"/>
            <color indexed="81"/>
            <rFont val="Tahoma"/>
            <family val="2"/>
          </rPr>
          <t xml:space="preserve">
Pre-announced $15-17m</t>
        </r>
      </text>
    </comment>
    <comment ref="BD932" authorId="5">
      <text>
        <r>
          <rPr>
            <b/>
            <sz val="9"/>
            <color indexed="81"/>
            <rFont val="Tahoma"/>
            <family val="2"/>
          </rPr>
          <t>Savino, Mark (Research):</t>
        </r>
        <r>
          <rPr>
            <sz val="9"/>
            <color indexed="81"/>
            <rFont val="Tahoma"/>
            <family val="2"/>
          </rPr>
          <t xml:space="preserve">
3Q call: Marginally positive in 3Q</t>
        </r>
      </text>
    </comment>
    <comment ref="BE932" authorId="5">
      <text>
        <r>
          <rPr>
            <b/>
            <sz val="9"/>
            <color indexed="81"/>
            <rFont val="Tahoma"/>
            <family val="2"/>
          </rPr>
          <t>Savino, Mark (Research):</t>
        </r>
        <r>
          <rPr>
            <sz val="9"/>
            <color indexed="81"/>
            <rFont val="Tahoma"/>
            <family val="2"/>
          </rPr>
          <t xml:space="preserve">
Per 4Q14 press release</t>
        </r>
      </text>
    </comment>
    <comment ref="BK932" authorId="5">
      <text>
        <r>
          <rPr>
            <b/>
            <sz val="9"/>
            <color indexed="81"/>
            <rFont val="Tahoma"/>
            <family val="2"/>
          </rPr>
          <t>Savino, Mark (Research):</t>
        </r>
        <r>
          <rPr>
            <sz val="9"/>
            <color indexed="81"/>
            <rFont val="Tahoma"/>
            <family val="2"/>
          </rPr>
          <t xml:space="preserve">
Assume PS enters market and Borgata remains at break-even levels through 2015</t>
        </r>
      </text>
    </comment>
    <comment ref="Z936" authorId="16">
      <text>
        <r>
          <rPr>
            <b/>
            <sz val="10"/>
            <color indexed="81"/>
            <rFont val="Tahoma"/>
            <family val="2"/>
          </rPr>
          <t>Thallen:</t>
        </r>
        <r>
          <rPr>
            <sz val="10"/>
            <color indexed="81"/>
            <rFont val="Tahoma"/>
            <family val="2"/>
          </rPr>
          <t xml:space="preserve">
D&amp;A increased with opening of new hotel tower, but decreased as 5-year anniversary in June, some D&amp;A charges rolled off. Use 3Q run-rate going fwd</t>
        </r>
      </text>
    </comment>
    <comment ref="AQ936" authorId="15">
      <text>
        <r>
          <rPr>
            <b/>
            <sz val="8"/>
            <color indexed="81"/>
            <rFont val="Tahoma"/>
            <family val="2"/>
          </rPr>
          <t>danfuss:</t>
        </r>
        <r>
          <rPr>
            <sz val="8"/>
            <color indexed="81"/>
            <rFont val="Tahoma"/>
            <family val="2"/>
          </rPr>
          <t xml:space="preserve">
Guided to $65mm depreciation</t>
        </r>
      </text>
    </comment>
    <comment ref="BK936" authorId="5">
      <text>
        <r>
          <rPr>
            <b/>
            <sz val="9"/>
            <color indexed="81"/>
            <rFont val="Tahoma"/>
            <family val="2"/>
          </rPr>
          <t>Savino, Mark (Research):</t>
        </r>
        <r>
          <rPr>
            <sz val="9"/>
            <color indexed="81"/>
            <rFont val="Tahoma"/>
            <family val="2"/>
          </rPr>
          <t xml:space="preserve">
4Q call: $60m</t>
        </r>
      </text>
    </comment>
    <comment ref="Z941" authorId="16">
      <text>
        <r>
          <rPr>
            <b/>
            <sz val="10"/>
            <color indexed="81"/>
            <rFont val="Tahoma"/>
            <family val="2"/>
          </rPr>
          <t>Thallen:</t>
        </r>
        <r>
          <rPr>
            <sz val="10"/>
            <color indexed="81"/>
            <rFont val="Tahoma"/>
            <family val="2"/>
          </rPr>
          <t xml:space="preserve">
Co will no longer be able to capitalize Water Club interest
Co guided to +$15mm higher Borgata non-op expense in 08 b/c of higher taxes and interest expense</t>
        </r>
      </text>
    </comment>
    <comment ref="AA941" authorId="16">
      <text>
        <r>
          <rPr>
            <b/>
            <sz val="10"/>
            <color indexed="81"/>
            <rFont val="Tahoma"/>
            <family val="2"/>
          </rPr>
          <t>Thallen:</t>
        </r>
        <r>
          <rPr>
            <sz val="10"/>
            <color indexed="81"/>
            <rFont val="Tahoma"/>
            <family val="2"/>
          </rPr>
          <t xml:space="preserve">
Co will no longer be able to capitalize Water Club interest
Co guided to +$15mm higher Borgata non-op expense in 08 b/c of higher taxes and interest expense</t>
        </r>
      </text>
    </comment>
    <comment ref="BA941" authorId="3">
      <text>
        <r>
          <rPr>
            <b/>
            <sz val="8"/>
            <color indexed="81"/>
            <rFont val="Tahoma"/>
            <family val="2"/>
          </rPr>
          <t>thallen:</t>
        </r>
        <r>
          <rPr>
            <sz val="8"/>
            <color indexed="81"/>
            <rFont val="Tahoma"/>
            <family val="2"/>
          </rPr>
          <t xml:space="preserve">
Guidance: $84mm</t>
        </r>
      </text>
    </comment>
    <comment ref="BF941" authorId="5">
      <text>
        <r>
          <rPr>
            <b/>
            <sz val="9"/>
            <color indexed="81"/>
            <rFont val="Tahoma"/>
            <family val="2"/>
          </rPr>
          <t>Savino, Mark (Research):</t>
        </r>
        <r>
          <rPr>
            <sz val="9"/>
            <color indexed="81"/>
            <rFont val="Tahoma"/>
            <family val="2"/>
          </rPr>
          <t xml:space="preserve">
Guidance $70m</t>
        </r>
      </text>
    </comment>
    <comment ref="BK941" authorId="5">
      <text>
        <r>
          <rPr>
            <b/>
            <sz val="9"/>
            <color indexed="81"/>
            <rFont val="Tahoma"/>
            <family val="2"/>
          </rPr>
          <t>Savino, Mark (Research):</t>
        </r>
        <r>
          <rPr>
            <sz val="9"/>
            <color indexed="81"/>
            <rFont val="Tahoma"/>
            <family val="2"/>
          </rPr>
          <t xml:space="preserve">
4Q Call: $65-70m</t>
        </r>
      </text>
    </comment>
    <comment ref="G943" authorId="18">
      <text>
        <r>
          <rPr>
            <b/>
            <sz val="10"/>
            <color indexed="81"/>
            <rFont val="Tahoma"/>
            <family val="2"/>
          </rPr>
          <t>Chris Metli:</t>
        </r>
        <r>
          <rPr>
            <sz val="10"/>
            <color indexed="81"/>
            <rFont val="Tahoma"/>
            <family val="2"/>
          </rPr>
          <t xml:space="preserve">
Tax refund</t>
        </r>
      </text>
    </comment>
    <comment ref="A944" authorId="18">
      <text>
        <r>
          <rPr>
            <b/>
            <sz val="10"/>
            <color indexed="81"/>
            <rFont val="Tahoma"/>
            <family val="2"/>
          </rPr>
          <t>Chris Metli:</t>
        </r>
        <r>
          <rPr>
            <sz val="10"/>
            <color indexed="81"/>
            <rFont val="Tahoma"/>
            <family val="2"/>
          </rPr>
          <t xml:space="preserve">
Will be lower than BYD total effective tax rate - is state tax which casino partnerships are not exempted from in NJ.  About 9% plus 7.5%, 7.5% should disappear in 2007.</t>
        </r>
      </text>
    </comment>
    <comment ref="P944" authorId="18">
      <text>
        <r>
          <rPr>
            <b/>
            <sz val="10"/>
            <color indexed="81"/>
            <rFont val="Tahoma"/>
            <family val="2"/>
          </rPr>
          <t>Chris Metli:</t>
        </r>
        <r>
          <rPr>
            <sz val="10"/>
            <color indexed="81"/>
            <rFont val="Tahoma"/>
            <family val="2"/>
          </rPr>
          <t xml:space="preserve">
50% net profit tax credit, capex credit through 2008</t>
        </r>
      </text>
    </comment>
    <comment ref="Q944" authorId="18">
      <text>
        <r>
          <rPr>
            <b/>
            <sz val="10"/>
            <color indexed="81"/>
            <rFont val="Tahoma"/>
            <family val="2"/>
          </rPr>
          <t>Chris Metli:</t>
        </r>
        <r>
          <rPr>
            <sz val="10"/>
            <color indexed="81"/>
            <rFont val="Tahoma"/>
            <family val="2"/>
          </rPr>
          <t xml:space="preserve">
50% net profit tax credit, capex credit through 2008</t>
        </r>
      </text>
    </comment>
    <comment ref="S944" authorId="18">
      <text>
        <r>
          <rPr>
            <b/>
            <sz val="10"/>
            <color indexed="81"/>
            <rFont val="Tahoma"/>
            <family val="2"/>
          </rPr>
          <t>Chris Metli:</t>
        </r>
        <r>
          <rPr>
            <sz val="10"/>
            <color indexed="81"/>
            <rFont val="Tahoma"/>
            <family val="2"/>
          </rPr>
          <t xml:space="preserve">
50% net profit tax credit, capex credit through 2008</t>
        </r>
      </text>
    </comment>
    <comment ref="T944" authorId="18">
      <text>
        <r>
          <rPr>
            <b/>
            <sz val="10"/>
            <color indexed="81"/>
            <rFont val="Tahoma"/>
            <family val="2"/>
          </rPr>
          <t>Chris Metli:</t>
        </r>
        <r>
          <rPr>
            <sz val="10"/>
            <color indexed="81"/>
            <rFont val="Tahoma"/>
            <family val="2"/>
          </rPr>
          <t xml:space="preserve">
50% net profit tax credit, capex credit through 2008</t>
        </r>
      </text>
    </comment>
    <comment ref="U944" authorId="18">
      <text>
        <r>
          <rPr>
            <b/>
            <sz val="10"/>
            <color indexed="81"/>
            <rFont val="Tahoma"/>
            <family val="2"/>
          </rPr>
          <t>Chris Metli:</t>
        </r>
        <r>
          <rPr>
            <sz val="10"/>
            <color indexed="81"/>
            <rFont val="Tahoma"/>
            <family val="2"/>
          </rPr>
          <t xml:space="preserve">
50% net profit tax credit, capex credit through 2008</t>
        </r>
      </text>
    </comment>
    <comment ref="V944" authorId="18">
      <text>
        <r>
          <rPr>
            <b/>
            <sz val="10"/>
            <color indexed="81"/>
            <rFont val="Tahoma"/>
            <family val="2"/>
          </rPr>
          <t>Chris Metli:</t>
        </r>
        <r>
          <rPr>
            <sz val="10"/>
            <color indexed="81"/>
            <rFont val="Tahoma"/>
            <family val="2"/>
          </rPr>
          <t xml:space="preserve">
50% net profit tax credit, capex credit through 2008</t>
        </r>
      </text>
    </comment>
    <comment ref="X944" authorId="16">
      <text>
        <r>
          <rPr>
            <b/>
            <sz val="10"/>
            <color indexed="81"/>
            <rFont val="Tahoma"/>
            <family val="2"/>
          </rPr>
          <t>Thallen:</t>
        </r>
        <r>
          <rPr>
            <sz val="10"/>
            <color indexed="81"/>
            <rFont val="Tahoma"/>
            <family val="2"/>
          </rPr>
          <t xml:space="preserve">
No longer receiving job tax credits for bringing Borgata to AC market, estimate $30mm add. Expenses btw. Tax and i-expense in 2008</t>
        </r>
      </text>
    </comment>
    <comment ref="Y944" authorId="16">
      <text>
        <r>
          <rPr>
            <b/>
            <sz val="10"/>
            <color indexed="81"/>
            <rFont val="Tahoma"/>
            <family val="2"/>
          </rPr>
          <t>Thallen:</t>
        </r>
        <r>
          <rPr>
            <sz val="10"/>
            <color indexed="81"/>
            <rFont val="Tahoma"/>
            <family val="2"/>
          </rPr>
          <t xml:space="preserve">
No longer receiving job tax credits for bringing Borgata to AC market, estimate $30mm add. Expenses btw. Tax and i-expense in 2008</t>
        </r>
      </text>
    </comment>
    <comment ref="Z944" authorId="16">
      <text>
        <r>
          <rPr>
            <b/>
            <sz val="10"/>
            <color indexed="81"/>
            <rFont val="Tahoma"/>
            <family val="2"/>
          </rPr>
          <t>Thallen:</t>
        </r>
        <r>
          <rPr>
            <sz val="10"/>
            <color indexed="81"/>
            <rFont val="Tahoma"/>
            <family val="2"/>
          </rPr>
          <t xml:space="preserve">
No longer receiving job tax credits for bringing Borgata to AC market, estimate $30mm add. Expenses btw. Tax and i-expense in 2008</t>
        </r>
      </text>
    </comment>
    <comment ref="AA944" authorId="16">
      <text>
        <r>
          <rPr>
            <b/>
            <sz val="10"/>
            <color indexed="81"/>
            <rFont val="Tahoma"/>
            <family val="2"/>
          </rPr>
          <t>Thallen:</t>
        </r>
        <r>
          <rPr>
            <sz val="10"/>
            <color indexed="81"/>
            <rFont val="Tahoma"/>
            <family val="2"/>
          </rPr>
          <t xml:space="preserve">
No longer receiving job tax credits for bringing Borgata to AC market, estimate $30mm add. Expenses btw. Tax and i-expense in 2008</t>
        </r>
      </text>
    </comment>
    <comment ref="AJ944" authorId="0">
      <text>
        <r>
          <rPr>
            <b/>
            <sz val="8"/>
            <color indexed="81"/>
            <rFont val="Tahoma"/>
            <family val="2"/>
          </rPr>
          <t>urbankev:</t>
        </r>
        <r>
          <rPr>
            <sz val="8"/>
            <color indexed="81"/>
            <rFont val="Tahoma"/>
            <family val="2"/>
          </rPr>
          <t xml:space="preserve">
NJ state tax rate</t>
        </r>
      </text>
    </comment>
    <comment ref="AK944" authorId="0">
      <text>
        <r>
          <rPr>
            <b/>
            <sz val="8"/>
            <color indexed="81"/>
            <rFont val="Tahoma"/>
            <family val="2"/>
          </rPr>
          <t>urbankev:</t>
        </r>
        <r>
          <rPr>
            <sz val="8"/>
            <color indexed="81"/>
            <rFont val="Tahoma"/>
            <family val="2"/>
          </rPr>
          <t xml:space="preserve">
NJ state tax rate</t>
        </r>
      </text>
    </comment>
    <comment ref="Z945" authorId="16">
      <text>
        <r>
          <rPr>
            <b/>
            <sz val="10"/>
            <color indexed="81"/>
            <rFont val="Tahoma"/>
            <family val="2"/>
          </rPr>
          <t>Thallen:</t>
        </r>
        <r>
          <rPr>
            <sz val="10"/>
            <color indexed="81"/>
            <rFont val="Tahoma"/>
            <family val="2"/>
          </rPr>
          <t xml:space="preserve">
$29.199mm after $.835mm pre-opening expenses and +$.004mm write-downs and other charges</t>
        </r>
      </text>
    </comment>
    <comment ref="A963" authorId="31">
      <text>
        <r>
          <rPr>
            <b/>
            <sz val="8"/>
            <color indexed="81"/>
            <rFont val="Tahoma"/>
            <family val="2"/>
          </rPr>
          <t>DJF 12/22/11:</t>
        </r>
        <r>
          <rPr>
            <sz val="8"/>
            <color indexed="81"/>
            <rFont val="Tahoma"/>
            <family val="2"/>
          </rPr>
          <t xml:space="preserve">
Included in interest expense</t>
        </r>
      </text>
    </comment>
    <comment ref="D967" authorId="0">
      <text>
        <r>
          <rPr>
            <b/>
            <sz val="8"/>
            <color indexed="81"/>
            <rFont val="Tahoma"/>
            <family val="2"/>
          </rPr>
          <t>urbankev:</t>
        </r>
        <r>
          <rPr>
            <sz val="8"/>
            <color indexed="81"/>
            <rFont val="Tahoma"/>
            <family val="2"/>
          </rPr>
          <t xml:space="preserve">
4Q03 debt balance of $585mm</t>
        </r>
      </text>
    </comment>
    <comment ref="AJ968" authorId="2">
      <text>
        <r>
          <rPr>
            <b/>
            <sz val="8"/>
            <color indexed="81"/>
            <rFont val="Tahoma"/>
            <family val="2"/>
          </rPr>
          <t xml:space="preserve">AM: 8/3/10
</t>
        </r>
        <r>
          <rPr>
            <sz val="8"/>
            <color indexed="81"/>
            <rFont val="Tahoma"/>
            <family val="2"/>
          </rPr>
          <t>Deal likely upsized to $800m of secured notes (from $725m). Assume total div increased from $150m to $225m (BYD gets half)</t>
        </r>
        <r>
          <rPr>
            <b/>
            <sz val="8"/>
            <color indexed="81"/>
            <rFont val="Tahoma"/>
            <family val="2"/>
          </rPr>
          <t xml:space="preserve"> 
stramark:</t>
        </r>
        <r>
          <rPr>
            <sz val="8"/>
            <color indexed="81"/>
            <rFont val="Tahoma"/>
            <family val="2"/>
          </rPr>
          <t xml:space="preserve">
As stated in Use of Proceeds of prospectus</t>
        </r>
      </text>
    </comment>
    <comment ref="AJ978" authorId="15">
      <text>
        <r>
          <rPr>
            <b/>
            <sz val="8"/>
            <color indexed="81"/>
            <rFont val="Tahoma"/>
            <family val="2"/>
          </rPr>
          <t>danfuss:</t>
        </r>
        <r>
          <rPr>
            <sz val="8"/>
            <color indexed="81"/>
            <rFont val="Tahoma"/>
            <family val="2"/>
          </rPr>
          <t xml:space="preserve">
per 3Q press release</t>
        </r>
      </text>
    </comment>
    <comment ref="AM978" authorId="19">
      <text>
        <r>
          <rPr>
            <b/>
            <sz val="8"/>
            <color indexed="81"/>
            <rFont val="Tahoma"/>
            <family val="2"/>
          </rPr>
          <t>AM: 5/3/11:</t>
        </r>
        <r>
          <rPr>
            <sz val="8"/>
            <color indexed="81"/>
            <rFont val="Tahoma"/>
            <family val="2"/>
          </rPr>
          <t xml:space="preserve">
$25m per cc.</t>
        </r>
      </text>
    </comment>
    <comment ref="AO978" authorId="15">
      <text>
        <r>
          <rPr>
            <b/>
            <sz val="8"/>
            <color indexed="81"/>
            <rFont val="Tahoma"/>
            <family val="2"/>
          </rPr>
          <t>DJF: 12/21/11</t>
        </r>
        <r>
          <rPr>
            <sz val="8"/>
            <color indexed="81"/>
            <rFont val="Tahoma"/>
            <family val="2"/>
          </rPr>
          <t xml:space="preserve">
Per MDDC 10-Q.  Likely all cage cash</t>
        </r>
      </text>
    </comment>
    <comment ref="AY978" authorId="3">
      <text>
        <r>
          <rPr>
            <b/>
            <sz val="8"/>
            <color indexed="81"/>
            <rFont val="Tahoma"/>
            <family val="2"/>
          </rPr>
          <t>thallen:</t>
        </r>
        <r>
          <rPr>
            <sz val="8"/>
            <color indexed="81"/>
            <rFont val="Tahoma"/>
            <family val="2"/>
          </rPr>
          <t xml:space="preserve">
Includes $22.5mm CRDA settlement benefit</t>
        </r>
      </text>
    </comment>
    <comment ref="BA978" authorId="3">
      <text>
        <r>
          <rPr>
            <b/>
            <sz val="8"/>
            <color indexed="81"/>
            <rFont val="Tahoma"/>
            <family val="2"/>
          </rPr>
          <t>thallen:</t>
        </r>
        <r>
          <rPr>
            <sz val="8"/>
            <color indexed="81"/>
            <rFont val="Tahoma"/>
            <family val="2"/>
          </rPr>
          <t xml:space="preserve">
Should get proceeds from business interuption insurance from Hurricane Sandy at some point (takes a while, got proceeds in 4Q12 from  an Aug 2011 claim)</t>
        </r>
      </text>
    </comment>
    <comment ref="B979" authorId="0">
      <text>
        <r>
          <rPr>
            <b/>
            <sz val="8"/>
            <color indexed="81"/>
            <rFont val="Tahoma"/>
            <family val="2"/>
          </rPr>
          <t>urbankev:</t>
        </r>
        <r>
          <rPr>
            <sz val="8"/>
            <color indexed="81"/>
            <rFont val="Tahoma"/>
            <family val="2"/>
          </rPr>
          <t xml:space="preserve">
estimated; grid of L+225-375</t>
        </r>
      </text>
    </comment>
    <comment ref="AJ979" authorId="15">
      <text>
        <r>
          <rPr>
            <b/>
            <sz val="8"/>
            <color indexed="81"/>
            <rFont val="Tahoma"/>
            <family val="2"/>
          </rPr>
          <t>danfuss:</t>
        </r>
        <r>
          <rPr>
            <sz val="8"/>
            <color indexed="81"/>
            <rFont val="Tahoma"/>
            <family val="2"/>
          </rPr>
          <t xml:space="preserve">
Includes unamortized discounts</t>
        </r>
      </text>
    </comment>
    <comment ref="AO979" authorId="15">
      <text>
        <r>
          <rPr>
            <b/>
            <sz val="8"/>
            <color indexed="81"/>
            <rFont val="Tahoma"/>
            <family val="2"/>
          </rPr>
          <t>DJF: 10/25/11</t>
        </r>
        <r>
          <rPr>
            <sz val="8"/>
            <color indexed="81"/>
            <rFont val="Tahoma"/>
            <family val="2"/>
          </rPr>
          <t xml:space="preserve">
Per CC</t>
        </r>
      </text>
    </comment>
    <comment ref="A980" authorId="32">
      <text>
        <r>
          <rPr>
            <b/>
            <sz val="8"/>
            <color indexed="81"/>
            <rFont val="Tahoma"/>
            <family val="2"/>
          </rPr>
          <t xml:space="preserve">Daniel Fuss:
</t>
        </r>
        <r>
          <rPr>
            <sz val="8"/>
            <color indexed="81"/>
            <rFont val="Tahoma"/>
            <family val="2"/>
          </rPr>
          <t>Interesting to note the $125mm minimum EBITDA - could be indicator of BYD's expectations for Revel opening.</t>
        </r>
        <r>
          <rPr>
            <b/>
            <sz val="8"/>
            <color indexed="81"/>
            <rFont val="Tahoma"/>
            <family val="2"/>
          </rPr>
          <t xml:space="preserve">
</t>
        </r>
        <r>
          <rPr>
            <sz val="8"/>
            <color indexed="81"/>
            <rFont val="Tahoma"/>
            <family val="2"/>
          </rPr>
          <t>Borgata Amended its Facility on 11/11/11:</t>
        </r>
        <r>
          <rPr>
            <sz val="8"/>
            <color indexed="81"/>
            <rFont val="Tahoma"/>
            <family val="2"/>
          </rPr>
          <t xml:space="preserve">
The Amendment: (i) reduces the </t>
        </r>
        <r>
          <rPr>
            <u/>
            <sz val="8"/>
            <color indexed="81"/>
            <rFont val="Tahoma"/>
            <family val="2"/>
          </rPr>
          <t>aggregate commitments under the bank credit facility to a maximum amount of $75 million</t>
        </r>
        <r>
          <rPr>
            <sz val="8"/>
            <color indexed="81"/>
            <rFont val="Tahoma"/>
            <family val="2"/>
          </rPr>
          <t xml:space="preserve">; (ii) decreases the </t>
        </r>
        <r>
          <rPr>
            <u/>
            <sz val="8"/>
            <color indexed="81"/>
            <rFont val="Tahoma"/>
            <family val="2"/>
          </rPr>
          <t xml:space="preserve">minimum Consolidated EBITDA (as defined in the bank credit facility) to </t>
        </r>
        <r>
          <rPr>
            <b/>
            <u/>
            <sz val="8"/>
            <color indexed="81"/>
            <rFont val="Tahoma"/>
            <family val="2"/>
          </rPr>
          <t>$125 million</t>
        </r>
        <r>
          <rPr>
            <sz val="8"/>
            <color indexed="81"/>
            <rFont val="Tahoma"/>
            <family val="2"/>
          </rPr>
          <t xml:space="preserve"> for a trailing twelve-month period ending on the last day of a calendar quarter; (iii) </t>
        </r>
        <r>
          <rPr>
            <u/>
            <sz val="8"/>
            <color indexed="81"/>
            <rFont val="Tahoma"/>
            <family val="2"/>
          </rPr>
          <t>eliminates the covenant requiring the Company to have a minimum amount of cash, cash equivalents, and unused commitments</t>
        </r>
        <r>
          <rPr>
            <sz val="8"/>
            <color indexed="81"/>
            <rFont val="Tahoma"/>
            <family val="2"/>
          </rPr>
          <t xml:space="preserve">; and (iv) </t>
        </r>
        <r>
          <rPr>
            <b/>
            <u/>
            <sz val="8"/>
            <color indexed="81"/>
            <rFont val="Tahoma"/>
            <family val="2"/>
          </rPr>
          <t>adds a covenant prohibiting the Company from borrowing under the bank credit facility to purchase its senior secured notes at any time when the total amount outstanding under the bank credit facility is $65 million or more</t>
        </r>
        <r>
          <rPr>
            <b/>
            <sz val="8"/>
            <color indexed="81"/>
            <rFont val="Tahoma"/>
            <family val="2"/>
          </rPr>
          <t>.</t>
        </r>
        <r>
          <rPr>
            <sz val="8"/>
            <color indexed="81"/>
            <rFont val="Tahoma"/>
            <family val="2"/>
          </rPr>
          <t xml:space="preserve">
As amended,our bank credit facility provides for a $75 million senior secured revolving credit facility and matures in </t>
        </r>
        <r>
          <rPr>
            <u/>
            <sz val="8"/>
            <color indexed="81"/>
            <rFont val="Tahoma"/>
            <family val="2"/>
          </rPr>
          <t>August 2014</t>
        </r>
        <r>
          <rPr>
            <sz val="8"/>
            <color indexed="81"/>
            <rFont val="Tahoma"/>
            <family val="2"/>
          </rPr>
          <t xml:space="preserve">. The bank credit facility is guaranteed on a senior secured basis by MDDC and any future subsidiaries of MDDC and is secured by a first priority lien on substantially all of our assets, subject to certain exceptions. The </t>
        </r>
        <r>
          <rPr>
            <u/>
            <sz val="8"/>
            <color indexed="81"/>
            <rFont val="Tahoma"/>
            <family val="2"/>
          </rPr>
          <t>obligations under the bank credit facility have priority in payment to the senior secured notes</t>
        </r>
        <r>
          <rPr>
            <sz val="8"/>
            <color indexed="81"/>
            <rFont val="Tahoma"/>
            <family val="2"/>
          </rPr>
          <t xml:space="preserve">.
</t>
        </r>
      </text>
    </comment>
    <comment ref="AJ980" authorId="15">
      <text>
        <r>
          <rPr>
            <b/>
            <sz val="8"/>
            <color indexed="81"/>
            <rFont val="Tahoma"/>
            <family val="2"/>
          </rPr>
          <t>danfuss:</t>
        </r>
        <r>
          <rPr>
            <sz val="8"/>
            <color indexed="81"/>
            <rFont val="Tahoma"/>
            <family val="2"/>
          </rPr>
          <t xml:space="preserve">
47.1m outstanding, per 3Q press release</t>
        </r>
      </text>
    </comment>
    <comment ref="AM980" authorId="19">
      <text>
        <r>
          <rPr>
            <b/>
            <sz val="8"/>
            <color indexed="81"/>
            <rFont val="Tahoma"/>
            <family val="2"/>
          </rPr>
          <t>AM: 5/3/11:</t>
        </r>
        <r>
          <rPr>
            <sz val="8"/>
            <color indexed="81"/>
            <rFont val="Tahoma"/>
            <family val="2"/>
          </rPr>
          <t xml:space="preserve">
$29m per cc.</t>
        </r>
      </text>
    </comment>
    <comment ref="AP980" authorId="31">
      <text>
        <r>
          <rPr>
            <b/>
            <sz val="8"/>
            <color indexed="81"/>
            <rFont val="Tahoma"/>
            <family val="2"/>
          </rPr>
          <t>DJF:</t>
        </r>
        <r>
          <rPr>
            <sz val="8"/>
            <color indexed="81"/>
            <rFont val="Tahoma"/>
            <family val="2"/>
          </rPr>
          <t xml:space="preserve">
Expect Borgata to draw on CF and buy back bonds when cheap, as seen in 3Q11.</t>
        </r>
      </text>
    </comment>
    <comment ref="AW980" authorId="3">
      <text>
        <r>
          <rPr>
            <b/>
            <sz val="8"/>
            <color indexed="81"/>
            <rFont val="Tahoma"/>
            <family val="2"/>
          </rPr>
          <t>thallen:</t>
        </r>
        <r>
          <rPr>
            <sz val="8"/>
            <color indexed="81"/>
            <rFont val="Tahoma"/>
            <family val="2"/>
          </rPr>
          <t xml:space="preserve">
Per call</t>
        </r>
      </text>
    </comment>
    <comment ref="AO981" authorId="15">
      <text>
        <r>
          <rPr>
            <b/>
            <sz val="8"/>
            <color indexed="81"/>
            <rFont val="Tahoma"/>
            <family val="2"/>
          </rPr>
          <t xml:space="preserve">DJF: 10/25/11
</t>
        </r>
        <r>
          <rPr>
            <sz val="8"/>
            <color indexed="81"/>
            <rFont val="Tahoma"/>
            <family val="2"/>
          </rPr>
          <t>Bought back $7.5 mn bonds during Q (likely at levels yielding in the low to mid-teens per HY quotes)</t>
        </r>
        <r>
          <rPr>
            <sz val="8"/>
            <color indexed="81"/>
            <rFont val="Tahoma"/>
            <family val="2"/>
          </rPr>
          <t xml:space="preserve">
Borgata's bonds are very liquid relative to HY universe</t>
        </r>
      </text>
    </comment>
    <comment ref="AY981" authorId="7">
      <text>
        <r>
          <rPr>
            <b/>
            <sz val="8"/>
            <color indexed="81"/>
            <rFont val="Tahoma"/>
            <family val="2"/>
          </rPr>
          <t>savinmar:</t>
        </r>
        <r>
          <rPr>
            <sz val="8"/>
            <color indexed="81"/>
            <rFont val="Tahoma"/>
            <family val="2"/>
          </rPr>
          <t xml:space="preserve">
Per 2Q Call, tendering for ~$40m of notes in August</t>
        </r>
      </text>
    </comment>
    <comment ref="BI982" authorId="5">
      <text>
        <r>
          <rPr>
            <b/>
            <sz val="9"/>
            <color indexed="81"/>
            <rFont val="Tahoma"/>
            <family val="2"/>
          </rPr>
          <t>Savino, Mark (Research):</t>
        </r>
        <r>
          <rPr>
            <sz val="9"/>
            <color indexed="81"/>
            <rFont val="Tahoma"/>
            <family val="2"/>
          </rPr>
          <t xml:space="preserve">
Refied on 7/17/15</t>
        </r>
      </text>
    </comment>
    <comment ref="BB983" authorId="5">
      <text>
        <r>
          <rPr>
            <b/>
            <sz val="9"/>
            <color indexed="81"/>
            <rFont val="Tahoma"/>
            <family val="2"/>
          </rPr>
          <t>Savino, Mark (Research):</t>
        </r>
        <r>
          <rPr>
            <sz val="9"/>
            <color indexed="81"/>
            <rFont val="Tahoma"/>
            <family val="2"/>
          </rPr>
          <t xml:space="preserve">
Per 4Q call, redeemed with $380m Term loan</t>
        </r>
      </text>
    </comment>
    <comment ref="BL984" authorId="5">
      <text>
        <r>
          <rPr>
            <b/>
            <sz val="9"/>
            <color indexed="81"/>
            <rFont val="Tahoma"/>
            <family val="2"/>
          </rPr>
          <t>Savino, Mark (Research):</t>
        </r>
        <r>
          <rPr>
            <sz val="9"/>
            <color indexed="81"/>
            <rFont val="Tahoma"/>
            <family val="2"/>
          </rPr>
          <t xml:space="preserve">
Plug</t>
        </r>
      </text>
    </comment>
    <comment ref="BM984" authorId="5">
      <text>
        <r>
          <rPr>
            <b/>
            <sz val="9"/>
            <color indexed="81"/>
            <rFont val="Tahoma"/>
            <family val="2"/>
          </rPr>
          <t>Savino, Mark (Research):</t>
        </r>
        <r>
          <rPr>
            <sz val="9"/>
            <color indexed="81"/>
            <rFont val="Tahoma"/>
            <family val="2"/>
          </rPr>
          <t xml:space="preserve">
Plug</t>
        </r>
      </text>
    </comment>
    <comment ref="AJ990" authorId="2">
      <text>
        <r>
          <rPr>
            <b/>
            <sz val="8"/>
            <color indexed="81"/>
            <rFont val="Tahoma"/>
            <family val="2"/>
          </rPr>
          <t>stramark:</t>
        </r>
        <r>
          <rPr>
            <sz val="8"/>
            <color indexed="81"/>
            <rFont val="Tahoma"/>
            <family val="2"/>
          </rPr>
          <t xml:space="preserve">
Estimating $15.5m of capex for FY 2010, as per prospectus</t>
        </r>
      </text>
    </comment>
    <comment ref="AT990" authorId="10">
      <text>
        <r>
          <rPr>
            <sz val="8"/>
            <color indexed="81"/>
            <rFont val="Tahoma"/>
            <family val="2"/>
          </rPr>
          <t>Source: 3Q12 Call Transcript Page: 6
10-Q 3Q12 Page: 79</t>
        </r>
      </text>
    </comment>
    <comment ref="AW990" authorId="33">
      <text>
        <r>
          <rPr>
            <sz val="8"/>
            <color indexed="81"/>
            <rFont val="Tahoma"/>
            <family val="2"/>
          </rPr>
          <t>$2.9 million of Borgata room remodel and various maintenance and capital expenditures.
Source : 10-Q of 1Q12, page no. 62</t>
        </r>
      </text>
    </comment>
    <comment ref="BA990" authorId="3">
      <text>
        <r>
          <rPr>
            <b/>
            <sz val="8"/>
            <color indexed="81"/>
            <rFont val="Tahoma"/>
            <family val="2"/>
          </rPr>
          <t>thallen:</t>
        </r>
        <r>
          <rPr>
            <sz val="8"/>
            <color indexed="81"/>
            <rFont val="Tahoma"/>
            <family val="2"/>
          </rPr>
          <t xml:space="preserve">
Guide: $20mm</t>
        </r>
      </text>
    </comment>
    <comment ref="BF990" authorId="5">
      <text>
        <r>
          <rPr>
            <b/>
            <sz val="9"/>
            <color indexed="81"/>
            <rFont val="Tahoma"/>
            <family val="2"/>
          </rPr>
          <t>Savino, Mark (Research):</t>
        </r>
        <r>
          <rPr>
            <sz val="9"/>
            <color indexed="81"/>
            <rFont val="Tahoma"/>
            <family val="2"/>
          </rPr>
          <t xml:space="preserve">
Per 3Q call: $25m for the year</t>
        </r>
      </text>
    </comment>
    <comment ref="BK990" authorId="5">
      <text>
        <r>
          <rPr>
            <b/>
            <sz val="9"/>
            <color indexed="81"/>
            <rFont val="Tahoma"/>
            <family val="2"/>
          </rPr>
          <t>Savino, Mark (Research):</t>
        </r>
        <r>
          <rPr>
            <sz val="9"/>
            <color indexed="81"/>
            <rFont val="Tahoma"/>
            <family val="2"/>
          </rPr>
          <t xml:space="preserve">
3Q15: $27-28m
4Q call: $25m</t>
        </r>
      </text>
    </comment>
    <comment ref="AP991" authorId="17">
      <text>
        <r>
          <rPr>
            <b/>
            <sz val="8"/>
            <color indexed="81"/>
            <rFont val="Tahoma"/>
            <family val="2"/>
          </rPr>
          <t>AM: 3/01/11:</t>
        </r>
        <r>
          <rPr>
            <sz val="8"/>
            <color indexed="81"/>
            <rFont val="Tahoma"/>
            <family val="2"/>
          </rPr>
          <t xml:space="preserve">
Borgata rm refresh, $25m in 4Q11 and $25m in 1Q12</t>
        </r>
      </text>
    </comment>
    <comment ref="AS991" authorId="10">
      <text>
        <r>
          <rPr>
            <sz val="8"/>
            <color indexed="81"/>
            <rFont val="Tahoma"/>
            <family val="2"/>
          </rPr>
          <t>$30.3 mn related to capex of Borgata 
Source: 10-Q 2Q12 Page: 90</t>
        </r>
        <r>
          <rPr>
            <sz val="8"/>
            <color indexed="81"/>
            <rFont val="Tahoma"/>
            <family val="2"/>
          </rPr>
          <t xml:space="preserve">
</t>
        </r>
      </text>
    </comment>
    <comment ref="AV991" authorId="17">
      <text>
        <r>
          <rPr>
            <sz val="8"/>
            <color indexed="81"/>
            <rFont val="Tahoma"/>
            <family val="2"/>
          </rPr>
          <t>Per 4Q11 cc, $35m in 2012 for rm refresh</t>
        </r>
        <r>
          <rPr>
            <b/>
            <sz val="8"/>
            <color indexed="81"/>
            <rFont val="Tahoma"/>
            <family val="2"/>
          </rPr>
          <t xml:space="preserve">
AM: 3/01/11:</t>
        </r>
        <r>
          <rPr>
            <sz val="8"/>
            <color indexed="81"/>
            <rFont val="Tahoma"/>
            <family val="2"/>
          </rPr>
          <t xml:space="preserve">
Borgata rm refresh, $25m in 4Q11 and $25m in 1Q12</t>
        </r>
      </text>
    </comment>
    <comment ref="BK991" authorId="5">
      <text>
        <r>
          <rPr>
            <b/>
            <sz val="9"/>
            <color indexed="81"/>
            <rFont val="Tahoma"/>
            <family val="2"/>
          </rPr>
          <t>Savino, Mark (Research):</t>
        </r>
        <r>
          <rPr>
            <sz val="9"/>
            <color indexed="81"/>
            <rFont val="Tahoma"/>
            <family val="2"/>
          </rPr>
          <t xml:space="preserve">
4Q call: $15m</t>
        </r>
      </text>
    </comment>
    <comment ref="AQ993" authorId="15">
      <text>
        <r>
          <rPr>
            <b/>
            <sz val="8"/>
            <color indexed="81"/>
            <rFont val="Tahoma"/>
            <family val="2"/>
          </rPr>
          <t>danfuss:</t>
        </r>
        <r>
          <rPr>
            <sz val="8"/>
            <color indexed="81"/>
            <rFont val="Tahoma"/>
            <family val="2"/>
          </rPr>
          <t xml:space="preserve">
$15mm maintenance capex run-rate at Borgata
$50mm room remodel project to be completed during 4Q11 and 1Q12 ($25mm each Q)</t>
        </r>
      </text>
    </comment>
    <comment ref="AV993" authorId="13">
      <text>
        <r>
          <rPr>
            <b/>
            <sz val="8"/>
            <color indexed="81"/>
            <rFont val="Tahoma"/>
            <family val="2"/>
          </rPr>
          <t>AM: 2/2/12:</t>
        </r>
        <r>
          <rPr>
            <sz val="8"/>
            <color indexed="81"/>
            <rFont val="Tahoma"/>
            <family val="2"/>
          </rPr>
          <t xml:space="preserve">
$60m in total capex at Borgata per cc.</t>
        </r>
      </text>
    </comment>
    <comment ref="BH993" authorId="5">
      <text>
        <r>
          <rPr>
            <b/>
            <sz val="9"/>
            <color indexed="81"/>
            <rFont val="Tahoma"/>
            <family val="2"/>
          </rPr>
          <t>Savino, Mark (Research):</t>
        </r>
        <r>
          <rPr>
            <sz val="9"/>
            <color indexed="81"/>
            <rFont val="Tahoma"/>
            <family val="2"/>
          </rPr>
          <t xml:space="preserve">
2Q15 call: $10m</t>
        </r>
      </text>
    </comment>
    <comment ref="BJ993" authorId="5">
      <text>
        <r>
          <rPr>
            <b/>
            <sz val="9"/>
            <color indexed="81"/>
            <rFont val="Tahoma"/>
            <family val="2"/>
          </rPr>
          <t>Savino, Mark (Research):</t>
        </r>
        <r>
          <rPr>
            <sz val="9"/>
            <color indexed="81"/>
            <rFont val="Tahoma"/>
            <family val="2"/>
          </rPr>
          <t xml:space="preserve">
Per 4Q call - $13m spent in 4Q</t>
        </r>
      </text>
    </comment>
    <comment ref="BK993" authorId="5">
      <text>
        <r>
          <rPr>
            <b/>
            <sz val="9"/>
            <color indexed="81"/>
            <rFont val="Tahoma"/>
            <family val="2"/>
          </rPr>
          <t>Savino, Mark (Research):</t>
        </r>
        <r>
          <rPr>
            <sz val="9"/>
            <color indexed="81"/>
            <rFont val="Tahoma"/>
            <family val="2"/>
          </rPr>
          <t xml:space="preserve">
Per 4Q call - $34m spent in 4Q15</t>
        </r>
      </text>
    </comment>
    <comment ref="A998" authorId="31">
      <text>
        <r>
          <rPr>
            <b/>
            <sz val="8"/>
            <color indexed="81"/>
            <rFont val="Tahoma"/>
            <family val="2"/>
          </rPr>
          <t>DJF 12/21/11:</t>
        </r>
        <r>
          <rPr>
            <sz val="8"/>
            <color indexed="81"/>
            <rFont val="Tahoma"/>
            <family val="2"/>
          </rPr>
          <t xml:space="preserve">
Only performance based covenant</t>
        </r>
      </text>
    </comment>
    <comment ref="AP1000" authorId="31">
      <text>
        <r>
          <rPr>
            <b/>
            <sz val="8"/>
            <color indexed="81"/>
            <rFont val="Tahoma"/>
            <family val="2"/>
          </rPr>
          <t>DJF 12/21/11:</t>
        </r>
        <r>
          <rPr>
            <sz val="8"/>
            <color indexed="81"/>
            <rFont val="Tahoma"/>
            <family val="2"/>
          </rPr>
          <t xml:space="preserve">
per revised CF agreement</t>
        </r>
      </text>
    </comment>
    <comment ref="AW1000" authorId="3">
      <text>
        <r>
          <rPr>
            <b/>
            <sz val="8"/>
            <color indexed="81"/>
            <rFont val="Tahoma"/>
            <family val="2"/>
          </rPr>
          <t>thallen:</t>
        </r>
        <r>
          <rPr>
            <sz val="8"/>
            <color indexed="81"/>
            <rFont val="Tahoma"/>
            <family val="2"/>
          </rPr>
          <t xml:space="preserve">
For 4Q12 - 3Q13, can use the highest four EBITDA quarters in the trailing 5</t>
        </r>
      </text>
    </comment>
    <comment ref="AX1000" authorId="3">
      <text>
        <r>
          <rPr>
            <b/>
            <sz val="8"/>
            <color indexed="81"/>
            <rFont val="Tahoma"/>
            <family val="2"/>
          </rPr>
          <t>thallen:</t>
        </r>
        <r>
          <rPr>
            <sz val="8"/>
            <color indexed="81"/>
            <rFont val="Tahoma"/>
            <family val="2"/>
          </rPr>
          <t xml:space="preserve">
For 4Q12 - 3Q13, can use the highest four EBITDA quarters in the trailing 5</t>
        </r>
      </text>
    </comment>
    <comment ref="AY1000" authorId="3">
      <text>
        <r>
          <rPr>
            <b/>
            <sz val="8"/>
            <color indexed="81"/>
            <rFont val="Tahoma"/>
            <family val="2"/>
          </rPr>
          <t>thallen:</t>
        </r>
        <r>
          <rPr>
            <sz val="8"/>
            <color indexed="81"/>
            <rFont val="Tahoma"/>
            <family val="2"/>
          </rPr>
          <t xml:space="preserve">
For 4Q12 - 3Q13, can use the highest four EBITDA quarters in the trailing 5</t>
        </r>
      </text>
    </comment>
    <comment ref="AU1001" authorId="3">
      <text>
        <r>
          <rPr>
            <b/>
            <sz val="8"/>
            <color indexed="81"/>
            <rFont val="Tahoma"/>
            <family val="2"/>
          </rPr>
          <t>thallen:</t>
        </r>
        <r>
          <rPr>
            <sz val="8"/>
            <color indexed="81"/>
            <rFont val="Tahoma"/>
            <family val="2"/>
          </rPr>
          <t xml:space="preserve">
Renegotiated on 12/27/12</t>
        </r>
      </text>
    </comment>
    <comment ref="M1016" authorId="18">
      <text>
        <r>
          <rPr>
            <b/>
            <sz val="10"/>
            <color indexed="81"/>
            <rFont val="Tahoma"/>
            <family val="2"/>
          </rPr>
          <t>Chris Metli:</t>
        </r>
        <r>
          <rPr>
            <sz val="10"/>
            <color indexed="81"/>
            <rFont val="Tahoma"/>
            <family val="2"/>
          </rPr>
          <t xml:space="preserve">
Took out 35% of their share to pay corporate income tax</t>
        </r>
      </text>
    </comment>
    <comment ref="Q1016" authorId="18">
      <text>
        <r>
          <rPr>
            <b/>
            <sz val="10"/>
            <color indexed="81"/>
            <rFont val="Tahoma"/>
            <family val="2"/>
          </rPr>
          <t>Chris Metli:</t>
        </r>
        <r>
          <rPr>
            <sz val="10"/>
            <color indexed="81"/>
            <rFont val="Tahoma"/>
            <family val="2"/>
          </rPr>
          <t xml:space="preserve">
Now taking out 100% of their share</t>
        </r>
      </text>
    </comment>
    <comment ref="S1016" authorId="18">
      <text>
        <r>
          <rPr>
            <b/>
            <sz val="10"/>
            <color indexed="81"/>
            <rFont val="Tahoma"/>
            <family val="2"/>
          </rPr>
          <t>Chris Metli:</t>
        </r>
        <r>
          <rPr>
            <sz val="10"/>
            <color indexed="81"/>
            <rFont val="Tahoma"/>
            <family val="2"/>
          </rPr>
          <t xml:space="preserve">
Now taking out 100% of their share</t>
        </r>
      </text>
    </comment>
    <comment ref="T1016" authorId="18">
      <text>
        <r>
          <rPr>
            <b/>
            <sz val="10"/>
            <color indexed="81"/>
            <rFont val="Tahoma"/>
            <family val="2"/>
          </rPr>
          <t>Chris Metli:</t>
        </r>
        <r>
          <rPr>
            <sz val="10"/>
            <color indexed="81"/>
            <rFont val="Tahoma"/>
            <family val="2"/>
          </rPr>
          <t xml:space="preserve">
Now taking out 100% of their share</t>
        </r>
      </text>
    </comment>
    <comment ref="U1016" authorId="18">
      <text>
        <r>
          <rPr>
            <b/>
            <sz val="10"/>
            <color indexed="81"/>
            <rFont val="Tahoma"/>
            <family val="2"/>
          </rPr>
          <t>Chris Metli:</t>
        </r>
        <r>
          <rPr>
            <sz val="10"/>
            <color indexed="81"/>
            <rFont val="Tahoma"/>
            <family val="2"/>
          </rPr>
          <t xml:space="preserve">
Now taking out 100% of their share</t>
        </r>
      </text>
    </comment>
    <comment ref="V1016" authorId="18">
      <text>
        <r>
          <rPr>
            <b/>
            <sz val="10"/>
            <color indexed="81"/>
            <rFont val="Tahoma"/>
            <family val="2"/>
          </rPr>
          <t>Chris Metli:</t>
        </r>
        <r>
          <rPr>
            <sz val="10"/>
            <color indexed="81"/>
            <rFont val="Tahoma"/>
            <family val="2"/>
          </rPr>
          <t xml:space="preserve">
Now taking out 100% of their share</t>
        </r>
      </text>
    </comment>
    <comment ref="X1016" authorId="18">
      <text>
        <r>
          <rPr>
            <b/>
            <sz val="10"/>
            <color indexed="81"/>
            <rFont val="Tahoma"/>
            <family val="2"/>
          </rPr>
          <t>Chris Metli:</t>
        </r>
        <r>
          <rPr>
            <sz val="10"/>
            <color indexed="81"/>
            <rFont val="Tahoma"/>
            <family val="2"/>
          </rPr>
          <t xml:space="preserve">
Now taking out 100% of their share</t>
        </r>
      </text>
    </comment>
    <comment ref="Y1016" authorId="18">
      <text>
        <r>
          <rPr>
            <b/>
            <sz val="10"/>
            <color indexed="81"/>
            <rFont val="Tahoma"/>
            <family val="2"/>
          </rPr>
          <t>Chris Metli:</t>
        </r>
        <r>
          <rPr>
            <sz val="10"/>
            <color indexed="81"/>
            <rFont val="Tahoma"/>
            <family val="2"/>
          </rPr>
          <t xml:space="preserve">
Now taking out 100% of their share</t>
        </r>
      </text>
    </comment>
    <comment ref="AC1016" authorId="3">
      <text>
        <r>
          <rPr>
            <b/>
            <sz val="9"/>
            <color indexed="81"/>
            <rFont val="Tahoma"/>
            <family val="2"/>
          </rPr>
          <t>thallen:</t>
        </r>
        <r>
          <rPr>
            <sz val="9"/>
            <color indexed="81"/>
            <rFont val="Tahoma"/>
            <family val="2"/>
          </rPr>
          <t xml:space="preserve">
Will take $19mm distribution, according to 4Q08 earnings call</t>
        </r>
      </text>
    </comment>
    <comment ref="AU1017" authorId="3">
      <text>
        <r>
          <rPr>
            <b/>
            <sz val="8"/>
            <color indexed="81"/>
            <rFont val="Tahoma"/>
            <family val="2"/>
          </rPr>
          <t>thallen:</t>
        </r>
        <r>
          <rPr>
            <sz val="8"/>
            <color indexed="81"/>
            <rFont val="Tahoma"/>
            <family val="2"/>
          </rPr>
          <t xml:space="preserve">
Impairment charge</t>
        </r>
      </text>
    </comment>
    <comment ref="O1021" authorId="34">
      <text>
        <r>
          <rPr>
            <b/>
            <sz val="10"/>
            <color indexed="81"/>
            <rFont val="Tahoma"/>
            <family val="2"/>
          </rPr>
          <t>dancharl:</t>
        </r>
        <r>
          <rPr>
            <sz val="10"/>
            <color indexed="81"/>
            <rFont val="Tahoma"/>
            <family val="2"/>
          </rPr>
          <t xml:space="preserve">
includes $4.313 of insurance receivables</t>
        </r>
      </text>
    </comment>
    <comment ref="BU1021" authorId="6">
      <text>
        <r>
          <rPr>
            <b/>
            <sz val="9"/>
            <color indexed="81"/>
            <rFont val="Tahoma"/>
            <family val="2"/>
          </rPr>
          <t>Allen, Thomas (Research):</t>
        </r>
        <r>
          <rPr>
            <sz val="9"/>
            <color indexed="81"/>
            <rFont val="Tahoma"/>
            <family val="2"/>
          </rPr>
          <t xml:space="preserve">
NOLs</t>
        </r>
      </text>
    </comment>
    <comment ref="BZ1021" authorId="6">
      <text>
        <r>
          <rPr>
            <b/>
            <sz val="9"/>
            <color indexed="81"/>
            <rFont val="Tahoma"/>
            <family val="2"/>
          </rPr>
          <t>Allen, Thomas (Research):</t>
        </r>
        <r>
          <rPr>
            <sz val="9"/>
            <color indexed="81"/>
            <rFont val="Tahoma"/>
            <family val="2"/>
          </rPr>
          <t xml:space="preserve">
NOLs</t>
        </r>
      </text>
    </comment>
    <comment ref="CA1021" authorId="6">
      <text>
        <r>
          <rPr>
            <b/>
            <sz val="9"/>
            <color indexed="81"/>
            <rFont val="Tahoma"/>
            <family val="2"/>
          </rPr>
          <t>Allen, Thomas (Research):</t>
        </r>
        <r>
          <rPr>
            <sz val="9"/>
            <color indexed="81"/>
            <rFont val="Tahoma"/>
            <family val="2"/>
          </rPr>
          <t xml:space="preserve">
NOLs</t>
        </r>
      </text>
    </comment>
    <comment ref="CB1021" authorId="6">
      <text>
        <r>
          <rPr>
            <b/>
            <sz val="9"/>
            <color indexed="81"/>
            <rFont val="Tahoma"/>
            <family val="2"/>
          </rPr>
          <t>Allen, Thomas (Research):</t>
        </r>
        <r>
          <rPr>
            <sz val="9"/>
            <color indexed="81"/>
            <rFont val="Tahoma"/>
            <family val="2"/>
          </rPr>
          <t xml:space="preserve">
NOLs</t>
        </r>
      </text>
    </comment>
    <comment ref="A1027" authorId="35">
      <text>
        <r>
          <rPr>
            <b/>
            <sz val="8"/>
            <color indexed="81"/>
            <rFont val="Tahoma"/>
            <family val="2"/>
          </rPr>
          <t>sorkinsr:</t>
        </r>
        <r>
          <rPr>
            <sz val="8"/>
            <color indexed="81"/>
            <rFont val="Tahoma"/>
            <family val="2"/>
          </rPr>
          <t xml:space="preserve">
Includes other assets and liabilities and cumulative effect of change in acct. principle, loss on early retirement of debt</t>
        </r>
      </text>
    </comment>
    <comment ref="S1027" authorId="16">
      <text>
        <r>
          <rPr>
            <b/>
            <sz val="10"/>
            <color indexed="81"/>
            <rFont val="Tahoma"/>
            <family val="2"/>
          </rPr>
          <t>Thallen:</t>
        </r>
        <r>
          <rPr>
            <sz val="10"/>
            <color indexed="81"/>
            <rFont val="Tahoma"/>
            <family val="2"/>
          </rPr>
          <t xml:space="preserve">
Includes disposition of Barbary Coast</t>
        </r>
      </text>
    </comment>
    <comment ref="AA1027" authorId="3">
      <text>
        <r>
          <rPr>
            <b/>
            <sz val="9"/>
            <color indexed="81"/>
            <rFont val="Tahoma"/>
            <family val="2"/>
          </rPr>
          <t>thallen:</t>
        </r>
        <r>
          <rPr>
            <sz val="9"/>
            <color indexed="81"/>
            <rFont val="Tahoma"/>
            <family val="2"/>
          </rPr>
          <t xml:space="preserve">
Plug but so large b/c of net loss driven by non-cash charges</t>
        </r>
      </text>
    </comment>
    <comment ref="AX1027" authorId="7">
      <text>
        <r>
          <rPr>
            <b/>
            <sz val="8"/>
            <color indexed="81"/>
            <rFont val="Tahoma"/>
            <family val="2"/>
          </rPr>
          <t>savinmar:</t>
        </r>
        <r>
          <rPr>
            <sz val="8"/>
            <color indexed="81"/>
            <rFont val="Tahoma"/>
            <family val="2"/>
          </rPr>
          <t xml:space="preserve">
Includes $2.144m cash outflow from discontinued ops</t>
        </r>
      </text>
    </comment>
    <comment ref="BM1027" authorId="36">
      <text>
        <r>
          <rPr>
            <sz val="9"/>
            <color indexed="81"/>
            <rFont val="Tahoma"/>
            <family val="2"/>
          </rPr>
          <t>$2.654 : Cash flows from operating activities from Discontinued Operations</t>
        </r>
      </text>
    </comment>
    <comment ref="BR1027" authorId="5">
      <text>
        <r>
          <rPr>
            <b/>
            <sz val="9"/>
            <color indexed="81"/>
            <rFont val="Tahoma"/>
            <family val="2"/>
          </rPr>
          <t>Savino, Mark (Research):</t>
        </r>
        <r>
          <rPr>
            <sz val="9"/>
            <color indexed="81"/>
            <rFont val="Tahoma"/>
            <family val="2"/>
          </rPr>
          <t xml:space="preserve">
Plug</t>
        </r>
      </text>
    </comment>
    <comment ref="BS1027" authorId="37">
      <text>
        <r>
          <rPr>
            <sz val="9"/>
            <color indexed="81"/>
            <rFont val="Tahoma"/>
            <family val="2"/>
          </rPr>
          <t>$.514m : Discontinued operations</t>
        </r>
      </text>
    </comment>
    <comment ref="BT1027" authorId="5">
      <text>
        <r>
          <rPr>
            <b/>
            <sz val="9"/>
            <color indexed="81"/>
            <rFont val="Tahoma"/>
            <family val="2"/>
          </rPr>
          <t>Savino, Mark (Research):</t>
        </r>
        <r>
          <rPr>
            <sz val="9"/>
            <color indexed="81"/>
            <rFont val="Tahoma"/>
            <family val="2"/>
          </rPr>
          <t xml:space="preserve">
Plug</t>
        </r>
      </text>
    </comment>
    <comment ref="D1031" authorId="18">
      <text>
        <r>
          <rPr>
            <b/>
            <sz val="10"/>
            <color indexed="81"/>
            <rFont val="Tahoma"/>
            <family val="2"/>
          </rPr>
          <t>Chris Metli:</t>
        </r>
        <r>
          <rPr>
            <sz val="10"/>
            <color indexed="81"/>
            <rFont val="Tahoma"/>
            <family val="2"/>
          </rPr>
          <t xml:space="preserve">
Deposit made towards pending Shreveport acquisition.</t>
        </r>
      </text>
    </comment>
    <comment ref="E1031" authorId="18">
      <text>
        <r>
          <rPr>
            <b/>
            <sz val="10"/>
            <color indexed="81"/>
            <rFont val="Tahoma"/>
            <family val="2"/>
          </rPr>
          <t>Chris Metli:</t>
        </r>
        <r>
          <rPr>
            <sz val="10"/>
            <color indexed="81"/>
            <rFont val="Tahoma"/>
            <family val="2"/>
          </rPr>
          <t xml:space="preserve">
$190mm for shreveport acqu.</t>
        </r>
      </text>
    </comment>
    <comment ref="F1031" authorId="22">
      <text>
        <r>
          <rPr>
            <b/>
            <sz val="10"/>
            <color indexed="81"/>
            <rFont val="Tahoma"/>
            <family val="2"/>
          </rPr>
          <t>melletc:</t>
        </r>
        <r>
          <rPr>
            <sz val="10"/>
            <color indexed="81"/>
            <rFont val="Tahoma"/>
            <family val="2"/>
          </rPr>
          <t xml:space="preserve">
$495mm for Coast, less $81mm of cash acquired</t>
        </r>
      </text>
    </comment>
    <comment ref="Q1031" authorId="16">
      <text>
        <r>
          <rPr>
            <b/>
            <sz val="10"/>
            <color indexed="81"/>
            <rFont val="Tahoma"/>
            <family val="2"/>
          </rPr>
          <t>Thallen:</t>
        </r>
        <r>
          <rPr>
            <sz val="10"/>
            <color indexed="81"/>
            <rFont val="Tahoma"/>
            <family val="2"/>
          </rPr>
          <t xml:space="preserve">
South Coast and undeveloped land sale</t>
        </r>
      </text>
    </comment>
    <comment ref="S1031" authorId="16">
      <text>
        <r>
          <rPr>
            <b/>
            <sz val="10"/>
            <color indexed="81"/>
            <rFont val="Tahoma"/>
            <family val="2"/>
          </rPr>
          <t>Thallen:</t>
        </r>
        <r>
          <rPr>
            <sz val="10"/>
            <color indexed="81"/>
            <rFont val="Tahoma"/>
            <family val="2"/>
          </rPr>
          <t xml:space="preserve">
Dania Jai Alai</t>
        </r>
      </text>
    </comment>
    <comment ref="AC1031" authorId="3">
      <text>
        <r>
          <rPr>
            <b/>
            <sz val="9"/>
            <color indexed="81"/>
            <rFont val="Tahoma"/>
            <family val="2"/>
          </rPr>
          <t>thallen:</t>
        </r>
        <r>
          <rPr>
            <sz val="9"/>
            <color indexed="81"/>
            <rFont val="Tahoma"/>
            <family val="2"/>
          </rPr>
          <t xml:space="preserve">
Dania land payments in January, April, July</t>
        </r>
      </text>
    </comment>
    <comment ref="AO1031" authorId="1">
      <text>
        <r>
          <rPr>
            <b/>
            <sz val="8"/>
            <color indexed="81"/>
            <rFont val="Tahoma"/>
            <family val="2"/>
          </rPr>
          <t>AM: 4/28/11:</t>
        </r>
        <r>
          <rPr>
            <sz val="8"/>
            <color indexed="81"/>
            <rFont val="Tahoma"/>
            <family val="2"/>
          </rPr>
          <t xml:space="preserve">
$75m of proceeds at closing of Dania sale. Assume no taxes.
</t>
        </r>
        <r>
          <rPr>
            <b/>
            <sz val="8"/>
            <color indexed="81"/>
            <rFont val="Tahoma"/>
            <family val="2"/>
          </rPr>
          <t>DJF:</t>
        </r>
        <r>
          <rPr>
            <sz val="8"/>
            <color indexed="81"/>
            <rFont val="Tahoma"/>
            <family val="2"/>
          </rPr>
          <t xml:space="preserve">  Per 8-K Closing must occur by 9/26/11.  Buyer has option to extend to 11/28/11 under certain circumstances (and must pay BYD additional $2mm)</t>
        </r>
      </text>
    </comment>
    <comment ref="AP1031" authorId="15">
      <text>
        <r>
          <rPr>
            <b/>
            <sz val="8"/>
            <color indexed="81"/>
            <rFont val="Tahoma"/>
            <family val="2"/>
          </rPr>
          <t>Incl $278.5m paid for IP and $24.5m paid for a "devlopment agreement"
DJF: 10/25/11</t>
        </r>
        <r>
          <rPr>
            <sz val="8"/>
            <color indexed="81"/>
            <rFont val="Tahoma"/>
            <family val="2"/>
          </rPr>
          <t xml:space="preserve">
IP Deal Closed Oct 4th.
Dania buyers exercised option to extend deal, have until 11/28/11 to close.  Per BYD mgmt, buyers still looking to obtain financing.  BYD has received $7 mn total, including $2mn extension fee.
</t>
        </r>
        <r>
          <rPr>
            <b/>
            <sz val="8"/>
            <color indexed="81"/>
            <rFont val="Tahoma"/>
            <family val="2"/>
          </rPr>
          <t>DJF 12/22/11:</t>
        </r>
        <r>
          <rPr>
            <sz val="8"/>
            <color indexed="81"/>
            <rFont val="Tahoma"/>
            <family val="2"/>
          </rPr>
          <t xml:space="preserve">
Dania did not close (11/28).  $75mm of proceeds removed.</t>
        </r>
      </text>
    </comment>
    <comment ref="AU1031" authorId="28">
      <text>
        <r>
          <rPr>
            <b/>
            <sz val="8"/>
            <color indexed="81"/>
            <rFont val="Tahoma"/>
            <family val="2"/>
          </rPr>
          <t>AM: 1/16/13:</t>
        </r>
        <r>
          <rPr>
            <sz val="8"/>
            <color indexed="81"/>
            <rFont val="Tahoma"/>
            <family val="2"/>
          </rPr>
          <t xml:space="preserve">
Peninisula Gaming acquisition. Closed Nov. 20, 2012 </t>
        </r>
      </text>
    </comment>
    <comment ref="AW1031" authorId="6">
      <text>
        <r>
          <rPr>
            <b/>
            <sz val="9"/>
            <color indexed="81"/>
            <rFont val="Tahoma"/>
            <family val="2"/>
          </rPr>
          <t>Allen, Thomas (Research):</t>
        </r>
        <r>
          <rPr>
            <sz val="9"/>
            <color indexed="81"/>
            <rFont val="Tahoma"/>
            <family val="2"/>
          </rPr>
          <t xml:space="preserve">
$350m sale of Echelon land (87 acres) to Genting, implies $4m / acre</t>
        </r>
      </text>
    </comment>
    <comment ref="AX1031" authorId="3">
      <text>
        <r>
          <rPr>
            <b/>
            <sz val="8"/>
            <color indexed="81"/>
            <rFont val="Tahoma"/>
            <family val="2"/>
          </rPr>
          <t xml:space="preserve">thallen:
</t>
        </r>
        <r>
          <rPr>
            <sz val="8"/>
            <color indexed="81"/>
            <rFont val="Tahoma"/>
            <family val="2"/>
          </rPr>
          <t>$65mm Dania sale but $7mm deposit was credited towards selling price, so cash proceeds of $58.5mm, no taxes b/c tax loss
Closed on 5/22/13
Listed as cash from disc ops</t>
        </r>
      </text>
    </comment>
    <comment ref="BN1031" authorId="5">
      <text>
        <r>
          <rPr>
            <b/>
            <sz val="9"/>
            <color indexed="81"/>
            <rFont val="Tahoma"/>
            <family val="2"/>
          </rPr>
          <t>Savino, Mark (Research):</t>
        </r>
        <r>
          <rPr>
            <sz val="9"/>
            <color indexed="81"/>
            <rFont val="Tahoma"/>
            <family val="2"/>
          </rPr>
          <t xml:space="preserve">
Sale of Borgata stake to MGM
Purchase of Alliante for $380m which closed on 9/27</t>
        </r>
      </text>
    </comment>
    <comment ref="BO1031" authorId="5">
      <text>
        <r>
          <rPr>
            <b/>
            <sz val="9"/>
            <color indexed="81"/>
            <rFont val="Tahoma"/>
            <family val="2"/>
          </rPr>
          <t>Savino, Mark (Research):</t>
        </r>
        <r>
          <rPr>
            <sz val="9"/>
            <color indexed="81"/>
            <rFont val="Tahoma"/>
            <family val="2"/>
          </rPr>
          <t xml:space="preserve">
4/25: Acquired Cannery for $230m</t>
        </r>
      </text>
    </comment>
    <comment ref="BP1031" authorId="3">
      <text>
        <r>
          <rPr>
            <b/>
            <sz val="8"/>
            <color indexed="81"/>
            <rFont val="Tahoma"/>
            <family val="2"/>
          </rPr>
          <t>thallen:</t>
        </r>
        <r>
          <rPr>
            <sz val="8"/>
            <color indexed="81"/>
            <rFont val="Tahoma"/>
            <family val="2"/>
          </rPr>
          <t xml:space="preserve">
Earn-out to previous Peninsula owners, 7.5x Kansas Star 2015 EBITDA in excess of $105mm</t>
        </r>
      </text>
    </comment>
    <comment ref="BQ1031" authorId="5">
      <text>
        <r>
          <rPr>
            <b/>
            <sz val="9"/>
            <color indexed="81"/>
            <rFont val="Tahoma"/>
            <family val="2"/>
          </rPr>
          <t>Savino, Mark (Research):</t>
        </r>
        <r>
          <rPr>
            <sz val="9"/>
            <color indexed="81"/>
            <rFont val="Tahoma"/>
            <family val="2"/>
          </rPr>
          <t xml:space="preserve">
4Q16 call: $35m for Wilton land in CA, $43m to purchase land underlying the Orleans</t>
        </r>
      </text>
    </comment>
    <comment ref="BU1031" authorId="3">
      <text>
        <r>
          <rPr>
            <b/>
            <sz val="8"/>
            <color indexed="81"/>
            <rFont val="Tahoma"/>
            <family val="2"/>
          </rPr>
          <t>thallen:</t>
        </r>
        <r>
          <rPr>
            <sz val="8"/>
            <color indexed="81"/>
            <rFont val="Tahoma"/>
            <family val="2"/>
          </rPr>
          <t xml:space="preserve">
Earn-out to previous Peninsula owners, 7.5x Kansas Star 2015 EBITDA in excess of $105mm</t>
        </r>
      </text>
    </comment>
    <comment ref="BV1031" authorId="5">
      <text>
        <r>
          <rPr>
            <b/>
            <sz val="9"/>
            <color indexed="81"/>
            <rFont val="Tahoma"/>
            <family val="2"/>
          </rPr>
          <t>Savino, Mark (Research):</t>
        </r>
        <r>
          <rPr>
            <sz val="9"/>
            <color indexed="81"/>
            <rFont val="Tahoma"/>
            <family val="2"/>
          </rPr>
          <t xml:space="preserve">
Assume repayment for Wilton Rancheria financing - $35m for land and $1-2m/qtr in 2017, &lt;$1m/qtr in 2016</t>
        </r>
      </text>
    </comment>
    <comment ref="BX1031" authorId="6">
      <text>
        <r>
          <rPr>
            <b/>
            <sz val="9"/>
            <color indexed="81"/>
            <rFont val="Tahoma"/>
            <family val="2"/>
          </rPr>
          <t>Allen, Thomas (Research):</t>
        </r>
        <r>
          <rPr>
            <sz val="9"/>
            <color indexed="81"/>
            <rFont val="Tahoma"/>
            <family val="2"/>
          </rPr>
          <t xml:space="preserve">
Acquisition of 4 PNK assets for $575m / 6.25x EBITDA
+
Acquisition of Valley Forge for $280.5m, 7x EBITDA post synergies and rev ramp</t>
        </r>
      </text>
    </comment>
    <comment ref="AQ1032" authorId="17">
      <text>
        <r>
          <rPr>
            <b/>
            <sz val="8"/>
            <color indexed="81"/>
            <rFont val="Tahoma"/>
            <family val="2"/>
          </rPr>
          <t>AM: 3/01/11:</t>
        </r>
        <r>
          <rPr>
            <sz val="8"/>
            <color indexed="81"/>
            <rFont val="Tahoma"/>
            <family val="2"/>
          </rPr>
          <t xml:space="preserve">
Expect $50m of capex at BYD and $40m at Borgata (incl $25m for rm remodel in 4Q11).</t>
        </r>
      </text>
    </comment>
    <comment ref="E1034" authorId="18">
      <text>
        <r>
          <rPr>
            <b/>
            <sz val="10"/>
            <color indexed="81"/>
            <rFont val="Tahoma"/>
            <family val="2"/>
          </rPr>
          <t>Chris Metli:</t>
        </r>
        <r>
          <rPr>
            <sz val="10"/>
            <color indexed="81"/>
            <rFont val="Tahoma"/>
            <family val="2"/>
          </rPr>
          <t xml:space="preserve">
proceeds from sale of undeveloped land.</t>
        </r>
      </text>
    </comment>
    <comment ref="F1034" authorId="18">
      <text>
        <r>
          <rPr>
            <b/>
            <sz val="10"/>
            <color indexed="81"/>
            <rFont val="Tahoma"/>
            <family val="2"/>
          </rPr>
          <t>Chris Metli:</t>
        </r>
        <r>
          <rPr>
            <sz val="10"/>
            <color indexed="81"/>
            <rFont val="Tahoma"/>
            <family val="2"/>
          </rPr>
          <t xml:space="preserve">
proceeds from sale of undeveloped land.</t>
        </r>
      </text>
    </comment>
    <comment ref="G1034" authorId="18">
      <text>
        <r>
          <rPr>
            <b/>
            <sz val="10"/>
            <color indexed="81"/>
            <rFont val="Tahoma"/>
            <family val="2"/>
          </rPr>
          <t>Chris Metli:</t>
        </r>
        <r>
          <rPr>
            <sz val="10"/>
            <color indexed="81"/>
            <rFont val="Tahoma"/>
            <family val="2"/>
          </rPr>
          <t xml:space="preserve">
proceeds from sale of undeveloped land, purchases from and proceeds from sale of restricted investments</t>
        </r>
      </text>
    </comment>
    <comment ref="I1034" authorId="18">
      <text>
        <r>
          <rPr>
            <b/>
            <sz val="10"/>
            <color indexed="81"/>
            <rFont val="Tahoma"/>
            <family val="2"/>
          </rPr>
          <t>Chris Metli:</t>
        </r>
        <r>
          <rPr>
            <sz val="10"/>
            <color indexed="81"/>
            <rFont val="Tahoma"/>
            <family val="2"/>
          </rPr>
          <t xml:space="preserve">
proceeds from sale of undeveloped land, purchases from and proceeds from sale of restricted investments</t>
        </r>
      </text>
    </comment>
    <comment ref="AT1034" authorId="10">
      <text>
        <r>
          <rPr>
            <sz val="8"/>
            <color indexed="81"/>
            <rFont val="Tahoma"/>
            <family val="2"/>
          </rPr>
          <t xml:space="preserve">Includes:
Deposit of acquisition financing proceeds into escrow: $350 mn
</t>
        </r>
      </text>
    </comment>
    <comment ref="AW1034" authorId="7">
      <text>
        <r>
          <rPr>
            <b/>
            <sz val="8"/>
            <color indexed="81"/>
            <rFont val="Tahoma"/>
            <family val="2"/>
          </rPr>
          <t>savinmar:</t>
        </r>
        <r>
          <rPr>
            <sz val="8"/>
            <color indexed="81"/>
            <rFont val="Tahoma"/>
            <family val="2"/>
          </rPr>
          <t xml:space="preserve">
$187m cash paid for exercise of LVE option</t>
        </r>
      </text>
    </comment>
    <comment ref="BR1034" authorId="5">
      <text>
        <r>
          <rPr>
            <b/>
            <sz val="9"/>
            <color indexed="81"/>
            <rFont val="Tahoma"/>
            <family val="2"/>
          </rPr>
          <t>Savino, Mark (Research):</t>
        </r>
        <r>
          <rPr>
            <sz val="9"/>
            <color indexed="81"/>
            <rFont val="Tahoma"/>
            <family val="2"/>
          </rPr>
          <t xml:space="preserve">
Borgata property tax settlement</t>
        </r>
      </text>
    </comment>
    <comment ref="BS1034" authorId="37">
      <text>
        <r>
          <rPr>
            <sz val="9"/>
            <color indexed="81"/>
            <rFont val="Tahoma"/>
            <family val="2"/>
          </rPr>
          <t>Other investing activities- $0.492m
Advances pursuant to development agreement- ($35.108)m
Discontinued operations : $$36.247m
Source: 3Q 17 10-Q dated 11/07/17</t>
        </r>
      </text>
    </comment>
    <comment ref="E1038" authorId="18">
      <text>
        <r>
          <rPr>
            <b/>
            <sz val="10"/>
            <color indexed="81"/>
            <rFont val="Tahoma"/>
            <family val="2"/>
          </rPr>
          <t>Chris Metli:</t>
        </r>
        <r>
          <rPr>
            <sz val="10"/>
            <color indexed="81"/>
            <rFont val="Tahoma"/>
            <family val="2"/>
          </rPr>
          <t xml:space="preserve">
New issue of $350 face, $345 proceeds Senior Sub notes less repayment of $296 revolver plus $141 borrowing for Shreveport on revolver.</t>
        </r>
      </text>
    </comment>
    <comment ref="BS1039" authorId="5">
      <text>
        <r>
          <rPr>
            <b/>
            <sz val="9"/>
            <color indexed="81"/>
            <rFont val="Tahoma"/>
            <family val="2"/>
          </rPr>
          <t>Savino, Mark (Research):</t>
        </r>
        <r>
          <rPr>
            <sz val="9"/>
            <color indexed="81"/>
            <rFont val="Tahoma"/>
            <family val="2"/>
          </rPr>
          <t xml:space="preserve">
Per 3Q17 call, repurchased $10-11m in the qtr</t>
        </r>
      </text>
    </comment>
    <comment ref="BT1039" authorId="5">
      <text>
        <r>
          <rPr>
            <b/>
            <sz val="9"/>
            <color indexed="81"/>
            <rFont val="Tahoma"/>
            <family val="2"/>
          </rPr>
          <t>Savino, Mark (Research):</t>
        </r>
        <r>
          <rPr>
            <sz val="9"/>
            <color indexed="81"/>
            <rFont val="Tahoma"/>
            <family val="2"/>
          </rPr>
          <t xml:space="preserve">
Per 2Q17 call, $77m remaining on authorization which they expect to fully utilize over the next 12-18 months</t>
        </r>
      </text>
    </comment>
    <comment ref="BZ1039" authorId="5">
      <text>
        <r>
          <rPr>
            <b/>
            <sz val="9"/>
            <color indexed="81"/>
            <rFont val="Tahoma"/>
            <family val="2"/>
          </rPr>
          <t>Savino, Mark (Research):</t>
        </r>
        <r>
          <rPr>
            <sz val="9"/>
            <color indexed="81"/>
            <rFont val="Tahoma"/>
            <family val="2"/>
          </rPr>
          <t xml:space="preserve">
4Q17: $60m remaining on authorization and expect to utilize in next 12 months</t>
        </r>
      </text>
    </comment>
    <comment ref="AT1041" authorId="10">
      <text>
        <r>
          <rPr>
            <sz val="8"/>
            <color indexed="81"/>
            <rFont val="Tahoma"/>
            <family val="2"/>
          </rPr>
          <t xml:space="preserve">Includes proceeds from acquisition financing
</t>
        </r>
      </text>
    </comment>
    <comment ref="AU1041" authorId="28">
      <text>
        <r>
          <rPr>
            <b/>
            <sz val="8"/>
            <color indexed="81"/>
            <rFont val="Tahoma"/>
            <family val="2"/>
          </rPr>
          <t>AM: 1/16/13:</t>
        </r>
        <r>
          <rPr>
            <sz val="8"/>
            <color indexed="81"/>
            <rFont val="Tahoma"/>
            <family val="2"/>
          </rPr>
          <t xml:space="preserve">
Transfer of cash out of escrow for Peninsula deal</t>
        </r>
      </text>
    </comment>
    <comment ref="BH1041" authorId="38">
      <text>
        <r>
          <rPr>
            <sz val="9"/>
            <color indexed="81"/>
            <rFont val="Tahoma"/>
            <family val="2"/>
          </rPr>
          <t>Includes:
1) Premium and consent fees paid: $24.246m
2) Debt issue costs: $13.496m
3) Share-based compensation activities, net: $2.1m
4) Other financing activities: $0.003</t>
        </r>
      </text>
    </comment>
    <comment ref="BP1041" authorId="6">
      <text>
        <r>
          <rPr>
            <b/>
            <sz val="9"/>
            <color indexed="81"/>
            <rFont val="Tahoma"/>
            <family val="2"/>
          </rPr>
          <t>Allen, Thomas (Research):</t>
        </r>
        <r>
          <rPr>
            <sz val="9"/>
            <color indexed="81"/>
            <rFont val="Tahoma"/>
            <family val="2"/>
          </rPr>
          <t xml:space="preserve">
Have $92m authorized under buyback program</t>
        </r>
      </text>
    </comment>
    <comment ref="BO1044" authorId="39">
      <text>
        <r>
          <rPr>
            <b/>
            <sz val="9"/>
            <color indexed="81"/>
            <rFont val="Tahoma"/>
            <family val="2"/>
          </rPr>
          <t>Zheng, Chaodan (Research):</t>
        </r>
        <r>
          <rPr>
            <sz val="9"/>
            <color indexed="81"/>
            <rFont val="Tahoma"/>
            <family val="2"/>
          </rPr>
          <t xml:space="preserve">
cash from discontinued operations</t>
        </r>
      </text>
    </comment>
    <comment ref="BQ1044" authorId="39">
      <text>
        <r>
          <rPr>
            <b/>
            <sz val="9"/>
            <color indexed="81"/>
            <rFont val="Tahoma"/>
            <family val="2"/>
          </rPr>
          <t>Zheng, Chaodan (Research):</t>
        </r>
        <r>
          <rPr>
            <sz val="9"/>
            <color indexed="81"/>
            <rFont val="Tahoma"/>
            <family val="2"/>
          </rPr>
          <t xml:space="preserve">
adjustment</t>
        </r>
      </text>
    </comment>
    <comment ref="D1047" authorId="0">
      <text>
        <r>
          <rPr>
            <b/>
            <sz val="8"/>
            <color indexed="81"/>
            <rFont val="Tahoma"/>
            <family val="2"/>
          </rPr>
          <t>urbankev:</t>
        </r>
        <r>
          <rPr>
            <sz val="8"/>
            <color indexed="81"/>
            <rFont val="Tahoma"/>
            <family val="2"/>
          </rPr>
          <t xml:space="preserve">
per old model</t>
        </r>
      </text>
    </comment>
    <comment ref="AK1053" authorId="15">
      <text>
        <r>
          <rPr>
            <b/>
            <sz val="8"/>
            <color indexed="81"/>
            <rFont val="Tahoma"/>
            <family val="2"/>
          </rPr>
          <t>danfuss:</t>
        </r>
        <r>
          <rPr>
            <sz val="8"/>
            <color indexed="81"/>
            <rFont val="Tahoma"/>
            <family val="2"/>
          </rPr>
          <t xml:space="preserve">
$103.2 cash at BYD per 4Q PR</t>
        </r>
      </text>
    </comment>
    <comment ref="AT1054" authorId="10">
      <text>
        <r>
          <rPr>
            <sz val="8"/>
            <color indexed="81"/>
            <rFont val="Tahoma"/>
            <family val="2"/>
          </rPr>
          <t xml:space="preserve">Includes restricted funds held in escrow of $364.249 mn
</t>
        </r>
      </text>
    </comment>
    <comment ref="AJ1069" authorId="15">
      <text>
        <r>
          <rPr>
            <b/>
            <sz val="8"/>
            <color indexed="81"/>
            <rFont val="Tahoma"/>
            <family val="2"/>
          </rPr>
          <t>danfuss:</t>
        </r>
        <r>
          <rPr>
            <sz val="8"/>
            <color indexed="81"/>
            <rFont val="Tahoma"/>
            <family val="2"/>
          </rPr>
          <t xml:space="preserve">
Includes Echelon work in progress</t>
        </r>
      </text>
    </comment>
    <comment ref="AU1069" authorId="3">
      <text>
        <r>
          <rPr>
            <b/>
            <sz val="8"/>
            <color indexed="81"/>
            <rFont val="Tahoma"/>
            <family val="2"/>
          </rPr>
          <t>thallen:</t>
        </r>
        <r>
          <rPr>
            <sz val="8"/>
            <color indexed="81"/>
            <rFont val="Tahoma"/>
            <family val="2"/>
          </rPr>
          <t xml:space="preserve">
Write-down of Echelon </t>
        </r>
      </text>
    </comment>
    <comment ref="AX1069" authorId="3">
      <text>
        <r>
          <rPr>
            <b/>
            <sz val="8"/>
            <color indexed="81"/>
            <rFont val="Tahoma"/>
            <family val="2"/>
          </rPr>
          <t>thallen:</t>
        </r>
        <r>
          <rPr>
            <sz val="8"/>
            <color indexed="81"/>
            <rFont val="Tahoma"/>
            <family val="2"/>
          </rPr>
          <t xml:space="preserve">
Dania NOL</t>
        </r>
      </text>
    </comment>
    <comment ref="F1070" authorId="22">
      <text>
        <r>
          <rPr>
            <b/>
            <sz val="8"/>
            <color indexed="81"/>
            <rFont val="Tahoma"/>
            <family val="2"/>
          </rPr>
          <t>melletc:</t>
        </r>
        <r>
          <rPr>
            <sz val="8"/>
            <color indexed="81"/>
            <rFont val="Tahoma"/>
            <family val="2"/>
          </rPr>
          <t xml:space="preserve">
</t>
        </r>
        <r>
          <rPr>
            <sz val="9"/>
            <color indexed="81"/>
            <rFont val="Tahoma"/>
            <family val="2"/>
          </rPr>
          <t>additional goodwill: Gross PPE-accum depr.-cash acquired: +1280-1030+280-81</t>
        </r>
      </text>
    </comment>
    <comment ref="P1077" authorId="16">
      <text>
        <r>
          <rPr>
            <b/>
            <sz val="10"/>
            <color indexed="81"/>
            <rFont val="Tahoma"/>
            <family val="2"/>
          </rPr>
          <t>Thallen:</t>
        </r>
        <r>
          <rPr>
            <sz val="10"/>
            <color indexed="81"/>
            <rFont val="Tahoma"/>
            <family val="2"/>
          </rPr>
          <t xml:space="preserve">
Includes Note payable to related party (South Coast)</t>
        </r>
      </text>
    </comment>
    <comment ref="A1082" authorId="16">
      <text>
        <r>
          <rPr>
            <b/>
            <sz val="10"/>
            <color indexed="81"/>
            <rFont val="Arial"/>
            <family val="2"/>
          </rPr>
          <t xml:space="preserve">DJF 12/14/11:
</t>
        </r>
        <r>
          <rPr>
            <sz val="10"/>
            <color indexed="81"/>
            <rFont val="Arial"/>
            <family val="2"/>
          </rPr>
          <t xml:space="preserve">Amended on 10/3/2010.
Facility Size now $1.5 bn, including $500mm of term loans and excluding $548.8mm in non-extending amounts.  Commitments may be increased by up to $500mm.
Term Loans amortize in an annual amount amount equal to 5% of the original principal amount, commencing on 3/31/2011, payable on a quarterly basis </t>
        </r>
      </text>
    </comment>
    <comment ref="E1082" authorId="18">
      <text>
        <r>
          <rPr>
            <b/>
            <sz val="10"/>
            <color indexed="81"/>
            <rFont val="Tahoma"/>
            <family val="2"/>
          </rPr>
          <t>Chris Metli:</t>
        </r>
        <r>
          <rPr>
            <sz val="10"/>
            <color indexed="81"/>
            <rFont val="Tahoma"/>
            <family val="2"/>
          </rPr>
          <t xml:space="preserve">
Repaid $296mm with proceeds from 6.75% issue, $141mm for Shreveport acquisition (then $49mm from cash).</t>
        </r>
      </text>
    </comment>
    <comment ref="F1082" authorId="40">
      <text>
        <r>
          <rPr>
            <b/>
            <sz val="10"/>
            <color indexed="81"/>
            <rFont val="Tahoma"/>
            <family val="2"/>
          </rPr>
          <t>Chris Metli:</t>
        </r>
        <r>
          <rPr>
            <sz val="10"/>
            <color indexed="81"/>
            <rFont val="Tahoma"/>
            <family val="2"/>
          </rPr>
          <t xml:space="preserve">
Borrowing to fund Coast acquisition, refinance Coast debt of $460mm.</t>
        </r>
      </text>
    </comment>
    <comment ref="I1082" authorId="18">
      <text>
        <r>
          <rPr>
            <b/>
            <sz val="10"/>
            <color indexed="81"/>
            <rFont val="Tahoma"/>
            <family val="2"/>
          </rPr>
          <t>Chris Metli:</t>
        </r>
        <r>
          <rPr>
            <sz val="10"/>
            <color indexed="81"/>
            <rFont val="Tahoma"/>
            <family val="2"/>
          </rPr>
          <t xml:space="preserve">
$637mm revolver, $496mm term loan</t>
        </r>
      </text>
    </comment>
    <comment ref="K1082" authorId="18">
      <text>
        <r>
          <rPr>
            <b/>
            <sz val="10"/>
            <color indexed="81"/>
            <rFont val="Tahoma"/>
            <family val="2"/>
          </rPr>
          <t>Chris Metli:</t>
        </r>
        <r>
          <rPr>
            <sz val="10"/>
            <color indexed="81"/>
            <rFont val="Tahoma"/>
            <family val="2"/>
          </rPr>
          <t xml:space="preserve">
From investor day</t>
        </r>
      </text>
    </comment>
    <comment ref="T1082" authorId="16">
      <text>
        <r>
          <rPr>
            <b/>
            <sz val="10"/>
            <color indexed="81"/>
            <rFont val="Tahoma"/>
            <family val="2"/>
          </rPr>
          <t>Thallen:</t>
        </r>
        <r>
          <rPr>
            <sz val="10"/>
            <color indexed="81"/>
            <rFont val="Tahoma"/>
            <family val="2"/>
          </rPr>
          <t xml:space="preserve">
As per 3/16 press release, fund redemption of 8.75% notes w/ Credit Facility</t>
        </r>
      </text>
    </comment>
    <comment ref="Z1082" authorId="16">
      <text>
        <r>
          <rPr>
            <b/>
            <sz val="10"/>
            <color indexed="81"/>
            <rFont val="Tahoma"/>
            <family val="2"/>
          </rPr>
          <t>Thallen:</t>
        </r>
        <r>
          <rPr>
            <sz val="10"/>
            <color indexed="81"/>
            <rFont val="Tahoma"/>
            <family val="2"/>
          </rPr>
          <t xml:space="preserve">
Bought back $8mm of bonds in high $70s as per 10/28/08 earnings call</t>
        </r>
      </text>
    </comment>
    <comment ref="AA1082" authorId="16">
      <text>
        <r>
          <rPr>
            <b/>
            <sz val="10"/>
            <color indexed="81"/>
            <rFont val="Tahoma"/>
            <family val="2"/>
          </rPr>
          <t>Thallen:</t>
        </r>
        <r>
          <rPr>
            <sz val="10"/>
            <color indexed="81"/>
            <rFont val="Tahoma"/>
            <family val="2"/>
          </rPr>
          <t xml:space="preserve">
Bought back $93mm of bonds in high $70s as per 10/28/08 earnings call
Cash typically needs to be btw. 3Q08 and 4Q07 levels at YE for cage ops</t>
        </r>
      </text>
    </comment>
    <comment ref="AN1082" authorId="2">
      <text>
        <r>
          <rPr>
            <b/>
            <sz val="8"/>
            <color indexed="81"/>
            <rFont val="Tahoma"/>
            <family val="2"/>
          </rPr>
          <t>DJF:</t>
        </r>
        <r>
          <rPr>
            <sz val="8"/>
            <color indexed="81"/>
            <rFont val="Tahoma"/>
            <family val="2"/>
          </rPr>
          <t xml:space="preserve">
Per 2Q cc, $350m of availability on the revolver. </t>
        </r>
        <r>
          <rPr>
            <b/>
            <sz val="8"/>
            <color indexed="81"/>
            <rFont val="Tahoma"/>
            <family val="2"/>
          </rPr>
          <t xml:space="preserve">
stramark:</t>
        </r>
        <r>
          <rPr>
            <sz val="8"/>
            <color indexed="81"/>
            <rFont val="Tahoma"/>
            <family val="2"/>
          </rPr>
          <t xml:space="preserve">
Assumes $10m in quarterly amort of converted term debt</t>
        </r>
      </text>
    </comment>
    <comment ref="AO1082" authorId="15">
      <text>
        <r>
          <rPr>
            <b/>
            <sz val="8"/>
            <color indexed="81"/>
            <rFont val="Tahoma"/>
            <family val="2"/>
          </rPr>
          <t xml:space="preserve">DJF: 10/25/11
</t>
        </r>
        <r>
          <rPr>
            <sz val="8"/>
            <color indexed="81"/>
            <rFont val="Tahoma"/>
            <family val="2"/>
          </rPr>
          <t>$347 available under extended facility at Quarter end</t>
        </r>
        <r>
          <rPr>
            <sz val="8"/>
            <color indexed="81"/>
            <rFont val="Tahoma"/>
            <family val="2"/>
          </rPr>
          <t xml:space="preserve">
</t>
        </r>
      </text>
    </comment>
    <comment ref="AP1082" authorId="1">
      <text>
        <r>
          <rPr>
            <b/>
            <sz val="8"/>
            <color indexed="81"/>
            <rFont val="Tahoma"/>
            <family val="2"/>
          </rPr>
          <t xml:space="preserve">DJF: 11/4/11 
</t>
        </r>
        <r>
          <rPr>
            <sz val="8"/>
            <color indexed="81"/>
            <rFont val="Tahoma"/>
            <family val="2"/>
          </rPr>
          <t>Assumes additional $75 mm revolver draw on extending portion to pay down $415 mn on Class B per termination agreement (funded w/ $350 increased term loan and this revolver draw).  Pro forma for the revolver draw, there is ~$140 mn left available on the revolver.</t>
        </r>
        <r>
          <rPr>
            <b/>
            <sz val="8"/>
            <color indexed="81"/>
            <rFont val="Tahoma"/>
            <family val="2"/>
          </rPr>
          <t xml:space="preserve">
DJF: 10/25/11 </t>
        </r>
        <r>
          <rPr>
            <sz val="8"/>
            <color indexed="81"/>
            <rFont val="Tahoma"/>
            <family val="2"/>
          </rPr>
          <t xml:space="preserve">
Pro Forma for IP purchase, $215 mn available under extended credit facility.  There is $415 mn outstanding under non-extending facility that matures in May 2012.</t>
        </r>
      </text>
    </comment>
    <comment ref="A1083" authorId="16">
      <text>
        <r>
          <rPr>
            <b/>
            <sz val="10"/>
            <color indexed="81"/>
            <rFont val="Tahoma"/>
            <family val="2"/>
          </rPr>
          <t>Thallen:</t>
        </r>
        <r>
          <rPr>
            <sz val="10"/>
            <color indexed="81"/>
            <rFont val="Tahoma"/>
            <family val="2"/>
          </rPr>
          <t xml:space="preserve">
$4 billion available, but Echelon debt is part of credit facility</t>
        </r>
      </text>
    </comment>
    <comment ref="AK1083" authorId="15">
      <text>
        <r>
          <rPr>
            <b/>
            <sz val="8"/>
            <color indexed="81"/>
            <rFont val="Tahoma"/>
            <family val="2"/>
          </rPr>
          <t>danfuss:</t>
        </r>
        <r>
          <rPr>
            <sz val="8"/>
            <color indexed="81"/>
            <rFont val="Tahoma"/>
            <family val="2"/>
          </rPr>
          <t xml:space="preserve">
Non-extending portion of credit facility.  Margin remains 0.625% to 1.625%.</t>
        </r>
      </text>
    </comment>
    <comment ref="AN1083" authorId="8">
      <text>
        <r>
          <rPr>
            <sz val="8"/>
            <color indexed="81"/>
            <rFont val="Tahoma"/>
            <family val="2"/>
          </rPr>
          <t xml:space="preserve">Per 2Q cc, $330m of non-extending facility matures in 2012.
</t>
        </r>
      </text>
    </comment>
    <comment ref="AP1084" authorId="1">
      <text>
        <r>
          <rPr>
            <b/>
            <sz val="8"/>
            <color indexed="81"/>
            <rFont val="Tahoma"/>
            <family val="2"/>
          </rPr>
          <t xml:space="preserve">DJF 12/118/11:
</t>
        </r>
        <r>
          <rPr>
            <sz val="8"/>
            <color indexed="81"/>
            <rFont val="Tahoma"/>
            <family val="2"/>
          </rPr>
          <t>Note: $960mm availabilty on Revolver, less any letters of credit (~$15mm in 3Q)</t>
        </r>
        <r>
          <rPr>
            <b/>
            <sz val="8"/>
            <color indexed="81"/>
            <rFont val="Tahoma"/>
            <family val="2"/>
          </rPr>
          <t xml:space="preserve">
DJF: 11/4/11 
</t>
        </r>
        <r>
          <rPr>
            <sz val="8"/>
            <color indexed="81"/>
            <rFont val="Tahoma"/>
            <family val="2"/>
          </rPr>
          <t>Assumes additional $75 mm revolver draw on extending portion to pay down $415 mn on Class B per termination agreement (funded w/ $350 increased term loan and this revolver draw).  Pro forma for the revolver draw, there is ~$140 mn left available on the revolver.</t>
        </r>
        <r>
          <rPr>
            <b/>
            <sz val="8"/>
            <color indexed="81"/>
            <rFont val="Tahoma"/>
            <family val="2"/>
          </rPr>
          <t xml:space="preserve">
DJF: 10/25/11 </t>
        </r>
        <r>
          <rPr>
            <sz val="8"/>
            <color indexed="81"/>
            <rFont val="Tahoma"/>
            <family val="2"/>
          </rPr>
          <t xml:space="preserve">
Pro Forma for IP purchase, $215 mn available under extended credit facility.  There is $415 mn outstanding under non-extending facility that matures in May 2012.</t>
        </r>
      </text>
    </comment>
    <comment ref="AR1084" authorId="1">
      <text>
        <r>
          <rPr>
            <b/>
            <sz val="8"/>
            <color indexed="81"/>
            <rFont val="Tahoma"/>
            <family val="2"/>
          </rPr>
          <t xml:space="preserve">DJF 12/118/11:
</t>
        </r>
        <r>
          <rPr>
            <sz val="8"/>
            <color indexed="81"/>
            <rFont val="Tahoma"/>
            <family val="2"/>
          </rPr>
          <t>Note: $960mm availabilty on Revolver, less any letters of credit (~$15mm in 3Q)</t>
        </r>
        <r>
          <rPr>
            <b/>
            <sz val="8"/>
            <color indexed="81"/>
            <rFont val="Tahoma"/>
            <family val="2"/>
          </rPr>
          <t xml:space="preserve">
DJF: 11/4/11 
</t>
        </r>
        <r>
          <rPr>
            <sz val="8"/>
            <color indexed="81"/>
            <rFont val="Tahoma"/>
            <family val="2"/>
          </rPr>
          <t>Assumes additional $75 mm revolver draw on extending portion to pay down $415 mn on Class B per termination agreement (funded w/ $350 increased term loan and this revolver draw).  Pro forma for the revolver draw, there is ~$140 mn left available on the revolver.</t>
        </r>
        <r>
          <rPr>
            <b/>
            <sz val="8"/>
            <color indexed="81"/>
            <rFont val="Tahoma"/>
            <family val="2"/>
          </rPr>
          <t xml:space="preserve">
DJF: 10/25/11 </t>
        </r>
        <r>
          <rPr>
            <sz val="8"/>
            <color indexed="81"/>
            <rFont val="Tahoma"/>
            <family val="2"/>
          </rPr>
          <t xml:space="preserve">
Pro Forma for IP purchase, $215 mn available under extended credit facility.  There is $415 mn outstanding under non-extending facility that matures in May 2012.</t>
        </r>
      </text>
    </comment>
    <comment ref="AU1084" authorId="28">
      <text>
        <r>
          <rPr>
            <b/>
            <sz val="8"/>
            <color indexed="81"/>
            <rFont val="Tahoma"/>
            <family val="2"/>
          </rPr>
          <t>AM: 1/16/13:</t>
        </r>
        <r>
          <rPr>
            <sz val="8"/>
            <color indexed="81"/>
            <rFont val="Tahoma"/>
            <family val="2"/>
          </rPr>
          <t xml:space="preserve">
BYD's equity contribution to the Peninsula deal was $200m (funded through BYD's credit facility).</t>
        </r>
      </text>
    </comment>
    <comment ref="A1087" authorId="20">
      <text>
        <r>
          <rPr>
            <b/>
            <sz val="8"/>
            <color indexed="81"/>
            <rFont val="Tahoma"/>
            <family val="2"/>
          </rPr>
          <t>DJF 11/4/2011:</t>
        </r>
        <r>
          <rPr>
            <sz val="8"/>
            <color indexed="81"/>
            <rFont val="Tahoma"/>
            <family val="2"/>
          </rPr>
          <t xml:space="preserve">
BYD entered into a Joint Lender agreement for the "Increased Term Loan" on 11/2/11.  Details (from BYD 8-K):
(1) Increases the term loan commitments by $350 under BYD's credit agreement. Rate: LIBOR + 4.75%; Matures 12/17/2015 (with 1.25% Floor)
(2) Concurrently with issuance of this term loan, Class B revolver will be terminated.  BYD will use these proceeds and draw on its Class A revolver to pay down the amount outstanding on the Class B (~$415 mn).
(3) Per Increased Term Loan Agreement, BYD has to pay 1.25% of original principal amount (350 mn) at the end of each Q
(4) Will be issued at 2% original discount (quarterly amortization not modeled here...would be roughly 1.75 mn per year)
(5) Should BYD want to repay this term loan through the issuance of debt with a lower interest rate, BYD would have to pay a 1% premium</t>
        </r>
      </text>
    </comment>
    <comment ref="AP1087" authorId="20">
      <text>
        <r>
          <rPr>
            <b/>
            <sz val="8"/>
            <color indexed="81"/>
            <rFont val="Tahoma"/>
            <family val="2"/>
          </rPr>
          <t>DJF 11/4/2011:</t>
        </r>
        <r>
          <rPr>
            <sz val="8"/>
            <color indexed="81"/>
            <rFont val="Tahoma"/>
            <family val="2"/>
          </rPr>
          <t xml:space="preserve">
Per BYD 8-K, to be funded on 11/10/11. </t>
        </r>
      </text>
    </comment>
    <comment ref="AV1087" authorId="20">
      <text>
        <r>
          <rPr>
            <b/>
            <sz val="8"/>
            <color indexed="81"/>
            <rFont val="Tahoma"/>
            <family val="2"/>
          </rPr>
          <t>DJF 11/4/2011:</t>
        </r>
        <r>
          <rPr>
            <sz val="8"/>
            <color indexed="81"/>
            <rFont val="Tahoma"/>
            <family val="2"/>
          </rPr>
          <t xml:space="preserve">
Repayments of 1.25% of principal per Q begin 1Q12.</t>
        </r>
      </text>
    </comment>
    <comment ref="AZ1087" authorId="41">
      <text>
        <r>
          <rPr>
            <sz val="8"/>
            <color indexed="81"/>
            <rFont val="Tahoma"/>
            <family val="2"/>
          </rPr>
          <t xml:space="preserve">Swing Loan
</t>
        </r>
      </text>
    </comment>
    <comment ref="BB1087" authorId="41">
      <text>
        <r>
          <rPr>
            <sz val="8"/>
            <color indexed="81"/>
            <rFont val="Tahoma"/>
            <family val="2"/>
          </rPr>
          <t xml:space="preserve">Swing Loan
</t>
        </r>
      </text>
    </comment>
    <comment ref="BD1087" authorId="41">
      <text>
        <r>
          <rPr>
            <sz val="8"/>
            <color indexed="81"/>
            <rFont val="Tahoma"/>
            <family val="2"/>
          </rPr>
          <t xml:space="preserve">Swing Loan
</t>
        </r>
      </text>
    </comment>
    <comment ref="BE1087" authorId="41">
      <text>
        <r>
          <rPr>
            <sz val="8"/>
            <color indexed="81"/>
            <rFont val="Tahoma"/>
            <family val="2"/>
          </rPr>
          <t xml:space="preserve">Swing Loan
</t>
        </r>
      </text>
    </comment>
    <comment ref="AY1088" authorId="3">
      <text>
        <r>
          <rPr>
            <b/>
            <sz val="8"/>
            <color indexed="81"/>
            <rFont val="Tahoma"/>
            <family val="2"/>
          </rPr>
          <t>thallen:</t>
        </r>
        <r>
          <rPr>
            <sz val="8"/>
            <color indexed="81"/>
            <rFont val="Tahoma"/>
            <family val="2"/>
          </rPr>
          <t xml:space="preserve">
Refinancing as of 8/7/13</t>
        </r>
      </text>
    </comment>
    <comment ref="BR1088" authorId="5">
      <text>
        <r>
          <rPr>
            <b/>
            <sz val="9"/>
            <color indexed="81"/>
            <rFont val="Tahoma"/>
            <family val="2"/>
          </rPr>
          <t>Savino, Mark (Research):</t>
        </r>
        <r>
          <rPr>
            <sz val="9"/>
            <color indexed="81"/>
            <rFont val="Tahoma"/>
            <family val="2"/>
          </rPr>
          <t xml:space="preserve">
Plug</t>
        </r>
      </text>
    </comment>
    <comment ref="BS1088" authorId="5">
      <text>
        <r>
          <rPr>
            <b/>
            <sz val="9"/>
            <color indexed="81"/>
            <rFont val="Tahoma"/>
            <family val="2"/>
          </rPr>
          <t>Savino, Mark (Research):</t>
        </r>
        <r>
          <rPr>
            <sz val="9"/>
            <color indexed="81"/>
            <rFont val="Tahoma"/>
            <family val="2"/>
          </rPr>
          <t xml:space="preserve">
Plug</t>
        </r>
      </text>
    </comment>
    <comment ref="BT1088" authorId="5">
      <text>
        <r>
          <rPr>
            <b/>
            <sz val="9"/>
            <color indexed="81"/>
            <rFont val="Tahoma"/>
            <family val="2"/>
          </rPr>
          <t>Savino, Mark (Research):</t>
        </r>
        <r>
          <rPr>
            <sz val="9"/>
            <color indexed="81"/>
            <rFont val="Tahoma"/>
            <family val="2"/>
          </rPr>
          <t xml:space="preserve">
Plug</t>
        </r>
      </text>
    </comment>
    <comment ref="BX1088" authorId="6">
      <text>
        <r>
          <rPr>
            <b/>
            <sz val="9"/>
            <color indexed="81"/>
            <rFont val="Tahoma"/>
            <family val="2"/>
          </rPr>
          <t xml:space="preserve">Allen, Thomas (Research):
</t>
        </r>
        <r>
          <rPr>
            <sz val="9"/>
            <color indexed="81"/>
            <rFont val="Tahoma"/>
            <family val="2"/>
          </rPr>
          <t>Draw down Revolver to fund PNK txn</t>
        </r>
      </text>
    </comment>
    <comment ref="AY1089" authorId="3">
      <text>
        <r>
          <rPr>
            <b/>
            <sz val="8"/>
            <color indexed="81"/>
            <rFont val="Tahoma"/>
            <family val="2"/>
          </rPr>
          <t>thallen:</t>
        </r>
        <r>
          <rPr>
            <sz val="8"/>
            <color indexed="81"/>
            <rFont val="Tahoma"/>
            <family val="2"/>
          </rPr>
          <t xml:space="preserve">
Refinancing as of 8/7/13</t>
        </r>
      </text>
    </comment>
    <comment ref="AY1090" authorId="3">
      <text>
        <r>
          <rPr>
            <b/>
            <sz val="8"/>
            <color indexed="81"/>
            <rFont val="Tahoma"/>
            <family val="2"/>
          </rPr>
          <t>thallen:</t>
        </r>
        <r>
          <rPr>
            <sz val="8"/>
            <color indexed="81"/>
            <rFont val="Tahoma"/>
            <family val="2"/>
          </rPr>
          <t xml:space="preserve">
Refinancing as of 8/7/13</t>
        </r>
      </text>
    </comment>
    <comment ref="BO1090" authorId="5">
      <text>
        <r>
          <rPr>
            <b/>
            <sz val="9"/>
            <color indexed="81"/>
            <rFont val="Tahoma"/>
            <family val="2"/>
          </rPr>
          <t>Savino, Mark (Research):</t>
        </r>
        <r>
          <rPr>
            <sz val="9"/>
            <color indexed="81"/>
            <rFont val="Tahoma"/>
            <family val="2"/>
          </rPr>
          <t xml:space="preserve">
8/23/16: Per mgmt, expecting to repay $400m of existing Term Loan B</t>
        </r>
      </text>
    </comment>
    <comment ref="K1093" authorId="18">
      <text>
        <r>
          <rPr>
            <b/>
            <sz val="10"/>
            <color indexed="81"/>
            <rFont val="Tahoma"/>
            <family val="2"/>
          </rPr>
          <t>Chris Metli:</t>
        </r>
        <r>
          <rPr>
            <sz val="10"/>
            <color indexed="81"/>
            <rFont val="Tahoma"/>
            <family val="2"/>
          </rPr>
          <t xml:space="preserve">
Redeemed August 1</t>
        </r>
      </text>
    </comment>
    <comment ref="T1096" authorId="16">
      <text>
        <r>
          <rPr>
            <b/>
            <sz val="10"/>
            <color indexed="81"/>
            <rFont val="Tahoma"/>
            <family val="2"/>
          </rPr>
          <t>Thallen:</t>
        </r>
        <r>
          <rPr>
            <sz val="10"/>
            <color indexed="81"/>
            <rFont val="Tahoma"/>
            <family val="2"/>
          </rPr>
          <t xml:space="preserve">
As per press release on 3/16, will redeem all outstanding on 4/16 at $1,043.75 redemption price. Will fund through add borrowing on credit facility</t>
        </r>
      </text>
    </comment>
    <comment ref="A1097" authorId="35">
      <text>
        <r>
          <rPr>
            <b/>
            <sz val="8"/>
            <color indexed="81"/>
            <rFont val="Tahoma"/>
            <family val="2"/>
          </rPr>
          <t>sorkinsr:</t>
        </r>
        <r>
          <rPr>
            <sz val="8"/>
            <color indexed="81"/>
            <rFont val="Tahoma"/>
            <family val="2"/>
          </rPr>
          <t xml:space="preserve">
Replaced $250 million of 9.50% notes due 2007</t>
        </r>
      </text>
    </comment>
    <comment ref="Z1097" authorId="16">
      <text>
        <r>
          <rPr>
            <b/>
            <sz val="10"/>
            <color indexed="81"/>
            <rFont val="Tahoma"/>
            <family val="2"/>
          </rPr>
          <t>Thallen:</t>
        </r>
        <r>
          <rPr>
            <sz val="10"/>
            <color indexed="81"/>
            <rFont val="Tahoma"/>
            <family val="2"/>
          </rPr>
          <t xml:space="preserve">
Bought back $8mm of bonds in high $70s using revolver as per 10/28/08 earnings call</t>
        </r>
      </text>
    </comment>
    <comment ref="AA1097" authorId="16">
      <text>
        <r>
          <rPr>
            <b/>
            <sz val="10"/>
            <color indexed="81"/>
            <rFont val="Tahoma"/>
            <family val="2"/>
          </rPr>
          <t>Thallen:</t>
        </r>
        <r>
          <rPr>
            <sz val="10"/>
            <color indexed="81"/>
            <rFont val="Tahoma"/>
            <family val="2"/>
          </rPr>
          <t xml:space="preserve">
Bought back $93mm of bonds in high $70s using revolver as per 10/28/08 earnings call, bought back additional debt After the call. </t>
        </r>
      </text>
    </comment>
    <comment ref="AJ1097" authorId="15">
      <text>
        <r>
          <rPr>
            <b/>
            <sz val="8"/>
            <color indexed="81"/>
            <rFont val="Tahoma"/>
            <family val="2"/>
          </rPr>
          <t>danfuss:</t>
        </r>
        <r>
          <rPr>
            <sz val="8"/>
            <color indexed="81"/>
            <rFont val="Tahoma"/>
            <family val="2"/>
          </rPr>
          <t xml:space="preserve">
Likely repurchased with funds from 10/26 HY offering of 9.125% notes due 2018.  Remaining balance of 9.125% proceeds to pay down credit facility and possibly other outstanding issues.</t>
        </r>
      </text>
    </comment>
    <comment ref="AA1099" authorId="3">
      <text>
        <r>
          <rPr>
            <b/>
            <sz val="9"/>
            <color indexed="81"/>
            <rFont val="Tahoma"/>
            <family val="2"/>
          </rPr>
          <t>thallen:</t>
        </r>
        <r>
          <rPr>
            <sz val="9"/>
            <color indexed="81"/>
            <rFont val="Tahoma"/>
            <family val="2"/>
          </rPr>
          <t xml:space="preserve">
According to 4Q earnings call, bought back $50mm of 6.75% notes in October</t>
        </r>
      </text>
    </comment>
    <comment ref="AF1099" authorId="0">
      <text>
        <r>
          <rPr>
            <b/>
            <sz val="8"/>
            <color indexed="81"/>
            <rFont val="Tahoma"/>
            <family val="2"/>
          </rPr>
          <t>urbankev:</t>
        </r>
        <r>
          <rPr>
            <sz val="8"/>
            <color indexed="81"/>
            <rFont val="Tahoma"/>
            <family val="2"/>
          </rPr>
          <t xml:space="preserve">
BYD bought back $30mm per earnings call</t>
        </r>
      </text>
    </comment>
    <comment ref="AX1099" authorId="7">
      <text>
        <r>
          <rPr>
            <b/>
            <sz val="8"/>
            <color indexed="81"/>
            <rFont val="Tahoma"/>
            <family val="2"/>
          </rPr>
          <t>savinmar:</t>
        </r>
        <r>
          <rPr>
            <sz val="8"/>
            <color indexed="81"/>
            <rFont val="Tahoma"/>
            <family val="2"/>
          </rPr>
          <t xml:space="preserve">
Per 2Q call, redeemed entire $216m w/proceeds from Echelon and Dania asset sales</t>
        </r>
      </text>
    </comment>
    <comment ref="N1100" authorId="18">
      <text>
        <r>
          <rPr>
            <b/>
            <sz val="10"/>
            <color indexed="81"/>
            <rFont val="Tahoma"/>
            <family val="2"/>
          </rPr>
          <t>Chris Metli:</t>
        </r>
        <r>
          <rPr>
            <sz val="10"/>
            <color indexed="81"/>
            <rFont val="Tahoma"/>
            <family val="2"/>
          </rPr>
          <t xml:space="preserve">
Jan 30</t>
        </r>
      </text>
    </comment>
    <comment ref="AY1100" authorId="3">
      <text>
        <r>
          <rPr>
            <b/>
            <sz val="8"/>
            <color indexed="81"/>
            <rFont val="Tahoma"/>
            <family val="2"/>
          </rPr>
          <t>thallen:</t>
        </r>
        <r>
          <rPr>
            <sz val="8"/>
            <color indexed="81"/>
            <rFont val="Tahoma"/>
            <family val="2"/>
          </rPr>
          <t xml:space="preserve">
Capital raise on 8/1 to take out notes</t>
        </r>
      </text>
    </comment>
    <comment ref="BH1101" authorId="5">
      <text>
        <r>
          <rPr>
            <b/>
            <sz val="9"/>
            <color indexed="81"/>
            <rFont val="Tahoma"/>
            <family val="2"/>
          </rPr>
          <t>Savino, Mark (Research):</t>
        </r>
        <r>
          <rPr>
            <sz val="9"/>
            <color indexed="81"/>
            <rFont val="Tahoma"/>
            <family val="2"/>
          </rPr>
          <t xml:space="preserve">
Redeemed through tender offer in June</t>
        </r>
      </text>
    </comment>
    <comment ref="CB1102" authorId="10">
      <text>
        <r>
          <rPr>
            <sz val="8"/>
            <color indexed="81"/>
            <rFont val="Tahoma"/>
            <family val="2"/>
          </rPr>
          <t xml:space="preserve">Due July 2020
</t>
        </r>
      </text>
    </comment>
    <comment ref="BH1103" authorId="5">
      <text>
        <r>
          <rPr>
            <b/>
            <sz val="9"/>
            <color indexed="81"/>
            <rFont val="Tahoma"/>
            <family val="2"/>
          </rPr>
          <t>Savino, Mark (Research):</t>
        </r>
        <r>
          <rPr>
            <sz val="9"/>
            <color indexed="81"/>
            <rFont val="Tahoma"/>
            <family val="2"/>
          </rPr>
          <t xml:space="preserve">
Issued on 5/7</t>
        </r>
      </text>
    </comment>
    <comment ref="AO1104" authorId="20">
      <text>
        <r>
          <rPr>
            <b/>
            <sz val="8"/>
            <color indexed="81"/>
            <rFont val="Tahoma"/>
            <family val="2"/>
          </rPr>
          <t>DJF 11/4/2011:</t>
        </r>
        <r>
          <rPr>
            <sz val="8"/>
            <color indexed="81"/>
            <rFont val="Tahoma"/>
            <family val="2"/>
          </rPr>
          <t xml:space="preserve">
Bought back 7.5 mn </t>
        </r>
      </text>
    </comment>
    <comment ref="BD1104" authorId="5">
      <text>
        <r>
          <rPr>
            <b/>
            <sz val="9"/>
            <color indexed="81"/>
            <rFont val="Tahoma"/>
            <family val="2"/>
          </rPr>
          <t>Savino, Mark (Research):</t>
        </r>
        <r>
          <rPr>
            <sz val="9"/>
            <color indexed="81"/>
            <rFont val="Tahoma"/>
            <family val="2"/>
          </rPr>
          <t xml:space="preserve">
Borgata now deconsolidated</t>
        </r>
      </text>
    </comment>
    <comment ref="AM1106" authorId="15">
      <text>
        <r>
          <rPr>
            <b/>
            <sz val="8"/>
            <color indexed="81"/>
            <rFont val="Tahoma"/>
            <family val="2"/>
          </rPr>
          <t>DJF:</t>
        </r>
        <r>
          <rPr>
            <sz val="8"/>
            <color indexed="81"/>
            <rFont val="Tahoma"/>
            <family val="2"/>
          </rPr>
          <t xml:space="preserve">
Includes all unamortized discounts and fees so the issues above refelct outstanding principal.</t>
        </r>
      </text>
    </comment>
    <comment ref="BZ1109" authorId="10">
      <text>
        <r>
          <rPr>
            <sz val="8"/>
            <color indexed="81"/>
            <rFont val="Tahoma"/>
            <family val="2"/>
          </rPr>
          <t>Due July 2018</t>
        </r>
      </text>
    </comment>
    <comment ref="BL1110" authorId="5">
      <text>
        <r>
          <rPr>
            <b/>
            <sz val="9"/>
            <color indexed="81"/>
            <rFont val="Tahoma"/>
            <family val="2"/>
          </rPr>
          <t>Savino, Mark (Research):</t>
        </r>
        <r>
          <rPr>
            <sz val="9"/>
            <color indexed="81"/>
            <rFont val="Tahoma"/>
            <family val="2"/>
          </rPr>
          <t xml:space="preserve">
Issued on 3/28/16</t>
        </r>
      </text>
    </comment>
    <comment ref="BE1111" authorId="5">
      <text>
        <r>
          <rPr>
            <b/>
            <sz val="9"/>
            <color indexed="81"/>
            <rFont val="Tahoma"/>
            <family val="2"/>
          </rPr>
          <t>Savino, Mark (Research):</t>
        </r>
        <r>
          <rPr>
            <sz val="9"/>
            <color indexed="81"/>
            <rFont val="Tahoma"/>
            <family val="2"/>
          </rPr>
          <t xml:space="preserve">
PIK rate steps up to 8% in Nov</t>
        </r>
      </text>
    </comment>
    <comment ref="BK1111" authorId="5">
      <text>
        <r>
          <rPr>
            <b/>
            <sz val="9"/>
            <color indexed="81"/>
            <rFont val="Tahoma"/>
            <family val="2"/>
          </rPr>
          <t>Savino, Mark (Research):</t>
        </r>
        <r>
          <rPr>
            <sz val="9"/>
            <color indexed="81"/>
            <rFont val="Tahoma"/>
            <family val="2"/>
          </rPr>
          <t xml:space="preserve">
PIK rate steps up to 10% in Nov 2015</t>
        </r>
      </text>
    </comment>
    <comment ref="BX1112" authorId="6">
      <text>
        <r>
          <rPr>
            <b/>
            <sz val="9"/>
            <color indexed="81"/>
            <rFont val="Tahoma"/>
            <family val="2"/>
          </rPr>
          <t>Allen, Thomas (Research):</t>
        </r>
        <r>
          <rPr>
            <sz val="9"/>
            <color indexed="81"/>
            <rFont val="Tahoma"/>
            <family val="2"/>
          </rPr>
          <t xml:space="preserve">
8.5x rent obligation (MSe)</t>
        </r>
      </text>
    </comment>
    <comment ref="AC1116" authorId="42">
      <text>
        <r>
          <rPr>
            <sz val="8"/>
            <color indexed="81"/>
            <rFont val="Tahoma"/>
            <family val="2"/>
          </rPr>
          <t>Includes $65.625m for notes payable</t>
        </r>
      </text>
    </comment>
    <comment ref="AX1121" authorId="3">
      <text>
        <r>
          <rPr>
            <b/>
            <sz val="8"/>
            <color indexed="81"/>
            <rFont val="Tahoma"/>
            <family val="2"/>
          </rPr>
          <t>thallen:</t>
        </r>
        <r>
          <rPr>
            <sz val="8"/>
            <color indexed="81"/>
            <rFont val="Tahoma"/>
            <family val="2"/>
          </rPr>
          <t xml:space="preserve">
Dania NOL</t>
        </r>
      </text>
    </comment>
    <comment ref="BE1121" authorId="5">
      <text>
        <r>
          <rPr>
            <b/>
            <sz val="9"/>
            <color indexed="81"/>
            <rFont val="Tahoma"/>
            <family val="2"/>
          </rPr>
          <t>Savino, Mark (Research):</t>
        </r>
        <r>
          <rPr>
            <sz val="9"/>
            <color indexed="81"/>
            <rFont val="Tahoma"/>
            <family val="2"/>
          </rPr>
          <t xml:space="preserve">
Includes $88m tax refund from Borgata</t>
        </r>
      </text>
    </comment>
    <comment ref="AJ1125" authorId="2">
      <text>
        <r>
          <rPr>
            <b/>
            <sz val="8"/>
            <color indexed="81"/>
            <rFont val="Tahoma"/>
            <family val="2"/>
          </rPr>
          <t>stramark:</t>
        </r>
        <r>
          <rPr>
            <sz val="8"/>
            <color indexed="81"/>
            <rFont val="Tahoma"/>
            <family val="2"/>
          </rPr>
          <t xml:space="preserve">
Adjusted for Borgata distribution</t>
        </r>
      </text>
    </comment>
    <comment ref="X1135" authorId="30">
      <text>
        <r>
          <rPr>
            <b/>
            <sz val="10"/>
            <color indexed="81"/>
            <rFont val="Tahoma"/>
            <family val="2"/>
          </rPr>
          <t>Charles Dan:</t>
        </r>
        <r>
          <rPr>
            <sz val="10"/>
            <color indexed="81"/>
            <rFont val="Tahoma"/>
            <family val="2"/>
          </rPr>
          <t xml:space="preserve">
MS Economics</t>
        </r>
      </text>
    </comment>
    <comment ref="Y1135" authorId="30">
      <text>
        <r>
          <rPr>
            <b/>
            <sz val="10"/>
            <color indexed="81"/>
            <rFont val="Tahoma"/>
            <family val="2"/>
          </rPr>
          <t>Charles Dan:</t>
        </r>
        <r>
          <rPr>
            <sz val="10"/>
            <color indexed="81"/>
            <rFont val="Tahoma"/>
            <family val="2"/>
          </rPr>
          <t xml:space="preserve">
MS Economics</t>
        </r>
      </text>
    </comment>
    <comment ref="Z1135" authorId="30">
      <text>
        <r>
          <rPr>
            <b/>
            <sz val="10"/>
            <color indexed="81"/>
            <rFont val="Tahoma"/>
            <family val="2"/>
          </rPr>
          <t>Charles Dan:</t>
        </r>
        <r>
          <rPr>
            <sz val="10"/>
            <color indexed="81"/>
            <rFont val="Tahoma"/>
            <family val="2"/>
          </rPr>
          <t xml:space="preserve">
MS Economics</t>
        </r>
      </text>
    </comment>
    <comment ref="AA1135" authorId="30">
      <text>
        <r>
          <rPr>
            <b/>
            <sz val="10"/>
            <color indexed="81"/>
            <rFont val="Tahoma"/>
            <family val="2"/>
          </rPr>
          <t>Charles Dan:</t>
        </r>
        <r>
          <rPr>
            <sz val="10"/>
            <color indexed="81"/>
            <rFont val="Tahoma"/>
            <family val="2"/>
          </rPr>
          <t xml:space="preserve">
MS Economics</t>
        </r>
      </text>
    </comment>
    <comment ref="AC1135" authorId="0">
      <text>
        <r>
          <rPr>
            <b/>
            <sz val="8"/>
            <color indexed="81"/>
            <rFont val="Tahoma"/>
            <family val="2"/>
          </rPr>
          <t>urbankev:</t>
        </r>
        <r>
          <rPr>
            <sz val="8"/>
            <color indexed="81"/>
            <rFont val="Tahoma"/>
            <family val="2"/>
          </rPr>
          <t xml:space="preserve">
http://www.wsjprimerate.us/libor/libor_rates_history.htm  
90-day LIBOR average</t>
        </r>
      </text>
    </comment>
    <comment ref="AD1135" authorId="0">
      <text>
        <r>
          <rPr>
            <b/>
            <sz val="8"/>
            <color indexed="81"/>
            <rFont val="Tahoma"/>
            <family val="2"/>
          </rPr>
          <t>urbankev:</t>
        </r>
        <r>
          <rPr>
            <sz val="8"/>
            <color indexed="81"/>
            <rFont val="Tahoma"/>
            <family val="2"/>
          </rPr>
          <t xml:space="preserve">
http://www.wsjprimerate.us/libor/libor_rates_history.htm  
90-day LIBOR average</t>
        </r>
      </text>
    </comment>
    <comment ref="AE1135" authorId="0">
      <text>
        <r>
          <rPr>
            <b/>
            <sz val="8"/>
            <color indexed="81"/>
            <rFont val="Tahoma"/>
            <family val="2"/>
          </rPr>
          <t>urbankev:</t>
        </r>
        <r>
          <rPr>
            <sz val="8"/>
            <color indexed="81"/>
            <rFont val="Tahoma"/>
            <family val="2"/>
          </rPr>
          <t xml:space="preserve">
http://www.wsjprimerate.us/libor/libor_rates_history.htm</t>
        </r>
      </text>
    </comment>
    <comment ref="AF1135" authorId="0">
      <text>
        <r>
          <rPr>
            <b/>
            <sz val="8"/>
            <color indexed="81"/>
            <rFont val="Tahoma"/>
            <family val="2"/>
          </rPr>
          <t>urbankev:</t>
        </r>
        <r>
          <rPr>
            <sz val="8"/>
            <color indexed="81"/>
            <rFont val="Tahoma"/>
            <family val="2"/>
          </rPr>
          <t xml:space="preserve">
http://www.wsjprimerate.us/libor/libor_rates_history.htm</t>
        </r>
      </text>
    </comment>
    <comment ref="AH1135" authorId="0">
      <text>
        <r>
          <rPr>
            <b/>
            <sz val="8"/>
            <color indexed="81"/>
            <rFont val="Tahoma"/>
            <family val="2"/>
          </rPr>
          <t>urbankev:</t>
        </r>
        <r>
          <rPr>
            <sz val="8"/>
            <color indexed="81"/>
            <rFont val="Tahoma"/>
            <family val="2"/>
          </rPr>
          <t xml:space="preserve">
per MS Economics</t>
        </r>
      </text>
    </comment>
    <comment ref="AI1135" authorId="0">
      <text>
        <r>
          <rPr>
            <b/>
            <sz val="8"/>
            <color indexed="81"/>
            <rFont val="Tahoma"/>
            <family val="2"/>
          </rPr>
          <t>urbankev:</t>
        </r>
        <r>
          <rPr>
            <sz val="8"/>
            <color indexed="81"/>
            <rFont val="Tahoma"/>
            <family val="2"/>
          </rPr>
          <t xml:space="preserve">
50bps per MS Economics</t>
        </r>
      </text>
    </comment>
    <comment ref="AJ1135" authorId="0">
      <text>
        <r>
          <rPr>
            <b/>
            <sz val="8"/>
            <color indexed="81"/>
            <rFont val="Tahoma"/>
            <family val="2"/>
          </rPr>
          <t>urbankev:</t>
        </r>
        <r>
          <rPr>
            <sz val="8"/>
            <color indexed="81"/>
            <rFont val="Tahoma"/>
            <family val="2"/>
          </rPr>
          <t xml:space="preserve">
102bps per MS Economics</t>
        </r>
      </text>
    </comment>
    <comment ref="AK1135" authorId="0">
      <text>
        <r>
          <rPr>
            <b/>
            <sz val="8"/>
            <color indexed="81"/>
            <rFont val="Tahoma"/>
            <family val="2"/>
          </rPr>
          <t>urbankev:</t>
        </r>
        <r>
          <rPr>
            <sz val="8"/>
            <color indexed="81"/>
            <rFont val="Tahoma"/>
            <family val="2"/>
          </rPr>
          <t xml:space="preserve">
203bps per MS Economics</t>
        </r>
      </text>
    </comment>
    <comment ref="U1136" authorId="0">
      <text>
        <r>
          <rPr>
            <b/>
            <sz val="8"/>
            <color indexed="81"/>
            <rFont val="Tahoma"/>
            <family val="2"/>
          </rPr>
          <t>urbankev:</t>
        </r>
        <r>
          <rPr>
            <sz val="8"/>
            <color indexed="81"/>
            <rFont val="Tahoma"/>
            <family val="2"/>
          </rPr>
          <t xml:space="preserve">
Switch to amended pricing grid</t>
        </r>
      </text>
    </comment>
    <comment ref="B1139" authorId="15">
      <text>
        <r>
          <rPr>
            <b/>
            <sz val="8"/>
            <color indexed="81"/>
            <rFont val="Tahoma"/>
            <family val="2"/>
          </rPr>
          <t>danfuss:</t>
        </r>
        <r>
          <rPr>
            <sz val="8"/>
            <color indexed="81"/>
            <rFont val="Tahoma"/>
            <family val="2"/>
          </rPr>
          <t xml:space="preserve">
2.5% to 3.5%</t>
        </r>
      </text>
    </comment>
    <comment ref="B1140" authorId="15">
      <text>
        <r>
          <rPr>
            <b/>
            <sz val="8"/>
            <color indexed="81"/>
            <rFont val="Tahoma"/>
            <family val="2"/>
          </rPr>
          <t>danfuss:</t>
        </r>
        <r>
          <rPr>
            <sz val="8"/>
            <color indexed="81"/>
            <rFont val="Tahoma"/>
            <family val="2"/>
          </rPr>
          <t xml:space="preserve">
0.625% to 1.625%</t>
        </r>
      </text>
    </comment>
    <comment ref="A1143" authorId="20">
      <text>
        <r>
          <rPr>
            <b/>
            <sz val="8"/>
            <color indexed="81"/>
            <rFont val="Tahoma"/>
            <family val="2"/>
          </rPr>
          <t>DJF 11/4/2011:</t>
        </r>
        <r>
          <rPr>
            <sz val="8"/>
            <color indexed="81"/>
            <rFont val="Tahoma"/>
            <family val="2"/>
          </rPr>
          <t xml:space="preserve">
BYD entered into a Joint Lender agreement for the "Increased Term Loan" on 11/2/11.  Details (from BYD 8-K):
(1) Increases the term loan commitments by $350 under BYD's credit agreement. Rate: LIBOR + 4.75%; Matures 12/17/2015 (with 1.25% Floor)
(2) Concurrently with issuance of this term loan, Class B revolver will be terminated.  BYD will use these proceeds and draw on its Class A revolver to pay down the amount outstanding on the Class B (~$415 mn).
(3) Per Increased Term Loan Agreement, BYD has to pay 1.25% of original principal amount (350 mn) at the end of each Q
(4) Will be issued at 2% original discount (quarterly amortization not modeled here...would be roughly 1.75 mn per year)
(5) Should BYD want to repay this term loan through the issuance of debt with a lower interest rate, BYD would have to pay a 1% premium</t>
        </r>
      </text>
    </comment>
    <comment ref="B1143" authorId="31">
      <text>
        <r>
          <rPr>
            <b/>
            <sz val="8"/>
            <color indexed="81"/>
            <rFont val="Tahoma"/>
            <family val="2"/>
          </rPr>
          <t>DJF 12/17/11:</t>
        </r>
        <r>
          <rPr>
            <sz val="8"/>
            <color indexed="81"/>
            <rFont val="Tahoma"/>
            <family val="2"/>
          </rPr>
          <t xml:space="preserve">
1.25% Floor</t>
        </r>
      </text>
    </comment>
    <comment ref="B1144" authorId="5">
      <text>
        <r>
          <rPr>
            <b/>
            <sz val="9"/>
            <color indexed="81"/>
            <rFont val="Tahoma"/>
            <family val="2"/>
          </rPr>
          <t>Savino, Mark (Research):</t>
        </r>
        <r>
          <rPr>
            <sz val="9"/>
            <color indexed="81"/>
            <rFont val="Tahoma"/>
            <family val="2"/>
          </rPr>
          <t xml:space="preserve">
8/23/16: L+250bps but will reset to L+200bps very quickly.</t>
        </r>
      </text>
    </comment>
    <comment ref="B1145" authorId="5">
      <text>
        <r>
          <rPr>
            <b/>
            <sz val="9"/>
            <color indexed="81"/>
            <rFont val="Tahoma"/>
            <family val="2"/>
          </rPr>
          <t>Savino, Mark (Research):</t>
        </r>
        <r>
          <rPr>
            <sz val="9"/>
            <color indexed="81"/>
            <rFont val="Tahoma"/>
            <family val="2"/>
          </rPr>
          <t xml:space="preserve">
8/23/16: L+250bps but will reset to L+200bps very quickly.</t>
        </r>
      </text>
    </comment>
    <comment ref="B1146" authorId="7">
      <text>
        <r>
          <rPr>
            <b/>
            <sz val="8"/>
            <color indexed="81"/>
            <rFont val="Tahoma"/>
            <family val="2"/>
          </rPr>
          <t>savinmar:</t>
        </r>
        <r>
          <rPr>
            <sz val="8"/>
            <color indexed="81"/>
            <rFont val="Tahoma"/>
            <family val="2"/>
          </rPr>
          <t xml:space="preserve">
L + 300bps w/1.00% floor</t>
        </r>
      </text>
    </comment>
    <comment ref="BR1146" authorId="5">
      <text>
        <r>
          <rPr>
            <b/>
            <sz val="9"/>
            <color indexed="81"/>
            <rFont val="Tahoma"/>
            <family val="2"/>
          </rPr>
          <t>Savino, Mark (Research):</t>
        </r>
        <r>
          <rPr>
            <sz val="9"/>
            <color indexed="81"/>
            <rFont val="Tahoma"/>
            <family val="2"/>
          </rPr>
          <t xml:space="preserve">
Refinanced on 4/3/17</t>
        </r>
      </text>
    </comment>
    <comment ref="B1147" authorId="5">
      <text>
        <r>
          <rPr>
            <b/>
            <sz val="9"/>
            <color indexed="81"/>
            <rFont val="Tahoma"/>
            <family val="2"/>
          </rPr>
          <t>Savino, Mark (Research):</t>
        </r>
        <r>
          <rPr>
            <sz val="9"/>
            <color indexed="81"/>
            <rFont val="Tahoma"/>
            <family val="2"/>
          </rPr>
          <t xml:space="preserve">
L+300bps but no Libor floor</t>
        </r>
      </text>
    </comment>
    <comment ref="BR1147" authorId="5">
      <text>
        <r>
          <rPr>
            <b/>
            <sz val="9"/>
            <color indexed="81"/>
            <rFont val="Tahoma"/>
            <family val="2"/>
          </rPr>
          <t>Savino, Mark (Research):</t>
        </r>
        <r>
          <rPr>
            <sz val="9"/>
            <color indexed="81"/>
            <rFont val="Tahoma"/>
            <family val="2"/>
          </rPr>
          <t xml:space="preserve">
Refinanced on 4/3/17</t>
        </r>
      </text>
    </comment>
    <comment ref="B1148" authorId="39">
      <text>
        <r>
          <rPr>
            <b/>
            <sz val="9"/>
            <color indexed="81"/>
            <rFont val="Tahoma"/>
            <family val="2"/>
          </rPr>
          <t>Zheng, Chaodan (Research):</t>
        </r>
        <r>
          <rPr>
            <sz val="9"/>
            <color indexed="81"/>
            <rFont val="Tahoma"/>
            <family val="2"/>
          </rPr>
          <t xml:space="preserve">
3/31/17: rate per annum equal to 2.25% if the Secured Leveraged Ratio is less than 2.5x. If the Secured  Leverage Ratio is greater than or equal to 2.5x, then the rate would be 2.5%</t>
        </r>
      </text>
    </comment>
    <comment ref="K1149" authorId="18">
      <text>
        <r>
          <rPr>
            <b/>
            <sz val="10"/>
            <color indexed="81"/>
            <rFont val="Tahoma"/>
            <family val="2"/>
          </rPr>
          <t>Chris Metli:</t>
        </r>
        <r>
          <rPr>
            <sz val="10"/>
            <color indexed="81"/>
            <rFont val="Tahoma"/>
            <family val="2"/>
          </rPr>
          <t xml:space="preserve">
1 month</t>
        </r>
      </text>
    </comment>
    <comment ref="A1153" authorId="35">
      <text>
        <r>
          <rPr>
            <b/>
            <sz val="8"/>
            <color indexed="81"/>
            <rFont val="Tahoma"/>
            <family val="2"/>
          </rPr>
          <t>sorkinsr:</t>
        </r>
        <r>
          <rPr>
            <sz val="8"/>
            <color indexed="81"/>
            <rFont val="Tahoma"/>
            <family val="2"/>
          </rPr>
          <t xml:space="preserve">
Replaced $250 million of 9.50% notes due 2007</t>
        </r>
      </text>
    </comment>
    <comment ref="N1156" authorId="18">
      <text>
        <r>
          <rPr>
            <b/>
            <sz val="10"/>
            <color indexed="81"/>
            <rFont val="Tahoma"/>
            <family val="2"/>
          </rPr>
          <t>Chris Metli:</t>
        </r>
        <r>
          <rPr>
            <sz val="10"/>
            <color indexed="81"/>
            <rFont val="Tahoma"/>
            <family val="2"/>
          </rPr>
          <t xml:space="preserve">
Jan 30</t>
        </r>
      </text>
    </comment>
    <comment ref="BN1158" authorId="6">
      <text>
        <r>
          <rPr>
            <b/>
            <sz val="9"/>
            <color indexed="81"/>
            <rFont val="Tahoma"/>
            <family val="2"/>
          </rPr>
          <t>Allen, Thomas (Research):</t>
        </r>
        <r>
          <rPr>
            <sz val="9"/>
            <color indexed="81"/>
            <rFont val="Tahoma"/>
            <family val="2"/>
          </rPr>
          <t xml:space="preserve">
Redeemed on Sept 3</t>
        </r>
      </text>
    </comment>
    <comment ref="AF1161" authorId="3">
      <text>
        <r>
          <rPr>
            <b/>
            <sz val="9"/>
            <color indexed="81"/>
            <rFont val="Tahoma"/>
            <family val="2"/>
          </rPr>
          <t>thallen:</t>
        </r>
        <r>
          <rPr>
            <sz val="9"/>
            <color indexed="81"/>
            <rFont val="Tahoma"/>
            <family val="2"/>
          </rPr>
          <t xml:space="preserve">
Includes $4.3mm interest on final Dania payment</t>
        </r>
      </text>
    </comment>
    <comment ref="Z1162" authorId="16">
      <text>
        <r>
          <rPr>
            <b/>
            <sz val="10"/>
            <color indexed="81"/>
            <rFont val="Tahoma"/>
            <family val="2"/>
          </rPr>
          <t>Thallen:</t>
        </r>
        <r>
          <rPr>
            <sz val="10"/>
            <color indexed="81"/>
            <rFont val="Tahoma"/>
            <family val="2"/>
          </rPr>
          <t xml:space="preserve">
Stopped construction on Echelon, no longer capitalized costs, 2q08 guidance of $3mm/q</t>
        </r>
      </text>
    </comment>
    <comment ref="AA1162" authorId="16">
      <text>
        <r>
          <rPr>
            <b/>
            <sz val="10"/>
            <color indexed="81"/>
            <rFont val="Tahoma"/>
            <family val="2"/>
          </rPr>
          <t>Thallen:</t>
        </r>
        <r>
          <rPr>
            <sz val="10"/>
            <color indexed="81"/>
            <rFont val="Tahoma"/>
            <family val="2"/>
          </rPr>
          <t xml:space="preserve">
According to 3q call, can still capitalize Echelon in 4q but most likely can't in 1q b/c not enough spend</t>
        </r>
      </text>
    </comment>
    <comment ref="AC1162" authorId="16">
      <text>
        <r>
          <rPr>
            <b/>
            <sz val="10"/>
            <color indexed="81"/>
            <rFont val="Tahoma"/>
            <family val="2"/>
          </rPr>
          <t>Thallen:</t>
        </r>
        <r>
          <rPr>
            <sz val="10"/>
            <color indexed="81"/>
            <rFont val="Tahoma"/>
            <family val="2"/>
          </rPr>
          <t xml:space="preserve">
No longer capitalizing Echelon, per 4Q call</t>
        </r>
      </text>
    </comment>
    <comment ref="B1164" authorId="3">
      <text>
        <r>
          <rPr>
            <b/>
            <sz val="8"/>
            <color indexed="81"/>
            <rFont val="Tahoma"/>
            <family val="2"/>
          </rPr>
          <t>thallen:</t>
        </r>
        <r>
          <rPr>
            <sz val="8"/>
            <color indexed="81"/>
            <rFont val="Tahoma"/>
            <family val="2"/>
          </rPr>
          <t xml:space="preserve">
Per 5/6/13 8-K, lowered to L+325bps with a 100bps Libor floor</t>
        </r>
      </text>
    </comment>
    <comment ref="AU1164" authorId="3">
      <text>
        <r>
          <rPr>
            <b/>
            <sz val="8"/>
            <color indexed="81"/>
            <rFont val="Tahoma"/>
            <family val="2"/>
          </rPr>
          <t>thallen:</t>
        </r>
        <r>
          <rPr>
            <sz val="8"/>
            <color indexed="81"/>
            <rFont val="Tahoma"/>
            <family val="2"/>
          </rPr>
          <t xml:space="preserve">
Old terms: 4.5% plus 1.25% LIBOR floor</t>
        </r>
      </text>
    </comment>
    <comment ref="AW1164" authorId="3">
      <text>
        <r>
          <rPr>
            <b/>
            <sz val="8"/>
            <color indexed="81"/>
            <rFont val="Tahoma"/>
            <family val="2"/>
          </rPr>
          <t>thallen:</t>
        </r>
        <r>
          <rPr>
            <sz val="8"/>
            <color indexed="81"/>
            <rFont val="Tahoma"/>
            <family val="2"/>
          </rPr>
          <t xml:space="preserve">
Old terms: 4.5% plus 1.25% LIBOR floor</t>
        </r>
      </text>
    </comment>
    <comment ref="BL1167" authorId="5">
      <text>
        <r>
          <rPr>
            <b/>
            <sz val="9"/>
            <color indexed="81"/>
            <rFont val="Tahoma"/>
            <family val="2"/>
          </rPr>
          <t>Savino, Mark (Research):</t>
        </r>
        <r>
          <rPr>
            <sz val="9"/>
            <color indexed="81"/>
            <rFont val="Tahoma"/>
            <family val="2"/>
          </rPr>
          <t xml:space="preserve">
Issued on 3/28</t>
        </r>
      </text>
    </comment>
    <comment ref="B1168" authorId="28">
      <text>
        <r>
          <rPr>
            <b/>
            <sz val="8"/>
            <color indexed="81"/>
            <rFont val="Tahoma"/>
            <family val="2"/>
          </rPr>
          <t>AM: 1/16/13:</t>
        </r>
        <r>
          <rPr>
            <sz val="8"/>
            <color indexed="81"/>
            <rFont val="Tahoma"/>
            <family val="2"/>
          </rPr>
          <t xml:space="preserve">
The HoldCo Note provides for interest at a per annum rate equal to: (i) from the issue date to but excluding the first anniversary of the issue date, zero percent (0.00%), (ii) from the first anniversary of the issue date to but excluding the second anniversary of the issue date, six percent (6.00%), (iii) from the second anniversary of the issue date to but excluding the third anniversary of the issue date, eight percent (8.00%), and (iv) from and after the third anniversary of the issue date, ten percent (10.00%). At the option of HoldCo, interest may be paid in cash or paid-in-kind. Accrued but unpaid interest is added to the principal balance of the HoldCo Note semi-annually. Interest will be computed on the basis of a 360-day year comprised of twelve 30-day months. HoldCo may prepay the obligations under the HoldCo Note at any time, in whole or in part, without premium or penalty. 
</t>
        </r>
      </text>
    </comment>
    <comment ref="AZ1168" authorId="3">
      <text>
        <r>
          <rPr>
            <b/>
            <sz val="8"/>
            <color indexed="81"/>
            <rFont val="Tahoma"/>
            <family val="2"/>
          </rPr>
          <t>thallen:</t>
        </r>
        <r>
          <rPr>
            <sz val="8"/>
            <color indexed="81"/>
            <rFont val="Tahoma"/>
            <family val="2"/>
          </rPr>
          <t xml:space="preserve">
PIK interest of 6% starts Nov 20 in 2013, goes up to 8% same date in 2014, 10% in 2015, but offset by lower amortization. Confirmed w/ mgmt ~$16mm / year in outyears</t>
        </r>
      </text>
    </comment>
    <comment ref="BA1168" authorId="3">
      <text>
        <r>
          <rPr>
            <b/>
            <sz val="8"/>
            <color indexed="81"/>
            <rFont val="Tahoma"/>
            <family val="2"/>
          </rPr>
          <t>thallen:</t>
        </r>
        <r>
          <rPr>
            <sz val="8"/>
            <color indexed="81"/>
            <rFont val="Tahoma"/>
            <family val="2"/>
          </rPr>
          <t xml:space="preserve">
PIK interest of 6% starts Nov 20 in 2013, goes up to 8% same date in 2014, 10% in 2015, but offset by lower amortization. Confirmed w/ mgmt ~$16mm / year in outyears</t>
        </r>
      </text>
    </comment>
    <comment ref="BF1168" authorId="3">
      <text>
        <r>
          <rPr>
            <b/>
            <sz val="8"/>
            <color indexed="81"/>
            <rFont val="Tahoma"/>
            <family val="2"/>
          </rPr>
          <t>thallen:</t>
        </r>
        <r>
          <rPr>
            <sz val="8"/>
            <color indexed="81"/>
            <rFont val="Tahoma"/>
            <family val="2"/>
          </rPr>
          <t xml:space="preserve">
PIK interest of 6% starts Nov 20 in 2013, goes up to 8% same date in 2014, 10% in 2015, but offset by lower amortization. Confirmed w/ mgmt ~$16mm / year in outyears</t>
        </r>
      </text>
    </comment>
    <comment ref="BJ1168" authorId="5">
      <text>
        <r>
          <rPr>
            <b/>
            <sz val="9"/>
            <color indexed="81"/>
            <rFont val="Tahoma"/>
            <family val="2"/>
          </rPr>
          <t>Savino, Mark (Research):</t>
        </r>
        <r>
          <rPr>
            <sz val="9"/>
            <color indexed="81"/>
            <rFont val="Tahoma"/>
            <family val="2"/>
          </rPr>
          <t xml:space="preserve">
Repaid in Nov 2015</t>
        </r>
      </text>
    </comment>
    <comment ref="P1170" authorId="18">
      <text>
        <r>
          <rPr>
            <b/>
            <sz val="10"/>
            <color indexed="81"/>
            <rFont val="Tahoma"/>
            <family val="2"/>
          </rPr>
          <t>Chris Metli:</t>
        </r>
        <r>
          <rPr>
            <sz val="10"/>
            <color indexed="81"/>
            <rFont val="Tahoma"/>
            <family val="2"/>
          </rPr>
          <t xml:space="preserve">
$8.3mm included in discontinued ops - will likely come back with closing of deals</t>
        </r>
      </text>
    </comment>
    <comment ref="Z1170" authorId="16">
      <text>
        <r>
          <rPr>
            <b/>
            <sz val="10"/>
            <color indexed="81"/>
            <rFont val="Tahoma"/>
            <family val="2"/>
          </rPr>
          <t>Thallen:</t>
        </r>
        <r>
          <rPr>
            <sz val="10"/>
            <color indexed="81"/>
            <rFont val="Tahoma"/>
            <family val="2"/>
          </rPr>
          <t xml:space="preserve">
Guidance from 2q call - $34-36mm total interest expense</t>
        </r>
      </text>
    </comment>
    <comment ref="AC1170" authorId="3">
      <text>
        <r>
          <rPr>
            <b/>
            <sz val="9"/>
            <color indexed="81"/>
            <rFont val="Tahoma"/>
            <family val="2"/>
          </rPr>
          <t>thallen:</t>
        </r>
        <r>
          <rPr>
            <sz val="9"/>
            <color indexed="81"/>
            <rFont val="Tahoma"/>
            <family val="2"/>
          </rPr>
          <t xml:space="preserve">
Includes $4.3mm interest on final Dania payment</t>
        </r>
      </text>
    </comment>
    <comment ref="AI1170" authorId="2">
      <text>
        <r>
          <rPr>
            <b/>
            <sz val="8"/>
            <color indexed="81"/>
            <rFont val="Tahoma"/>
            <family val="2"/>
          </rPr>
          <t>stramark:</t>
        </r>
        <r>
          <rPr>
            <sz val="8"/>
            <color indexed="81"/>
            <rFont val="Tahoma"/>
            <family val="2"/>
          </rPr>
          <t xml:space="preserve">
Swapps added $5.6m to interest expense in the Q</t>
        </r>
      </text>
    </comment>
    <comment ref="AJ1170" authorId="2">
      <text>
        <r>
          <rPr>
            <b/>
            <sz val="8"/>
            <color indexed="81"/>
            <rFont val="Tahoma"/>
            <family val="2"/>
          </rPr>
          <t>stramark:</t>
        </r>
        <r>
          <rPr>
            <sz val="8"/>
            <color indexed="81"/>
            <rFont val="Tahoma"/>
            <family val="2"/>
          </rPr>
          <t xml:space="preserve">
Incremental interest from swap plus amort of def financing fees</t>
        </r>
      </text>
    </comment>
    <comment ref="AV1170" authorId="3">
      <text>
        <r>
          <rPr>
            <b/>
            <sz val="8"/>
            <color indexed="81"/>
            <rFont val="Tahoma"/>
            <family val="2"/>
          </rPr>
          <t>thallen:</t>
        </r>
        <r>
          <rPr>
            <sz val="8"/>
            <color indexed="81"/>
            <rFont val="Tahoma"/>
            <family val="2"/>
          </rPr>
          <t xml:space="preserve">
$12mm related to LV Energy in 2012, won't repeat</t>
        </r>
      </text>
    </comment>
    <comment ref="BA1170" authorId="3">
      <text>
        <r>
          <rPr>
            <b/>
            <sz val="8"/>
            <color indexed="81"/>
            <rFont val="Tahoma"/>
            <family val="2"/>
          </rPr>
          <t>thallen:</t>
        </r>
        <r>
          <rPr>
            <sz val="8"/>
            <color indexed="81"/>
            <rFont val="Tahoma"/>
            <family val="2"/>
          </rPr>
          <t xml:space="preserve">
$12mm related to LV Energy in 2012, won't repeat</t>
        </r>
      </text>
    </comment>
    <comment ref="AG1172" authorId="3">
      <text>
        <r>
          <rPr>
            <b/>
            <sz val="9"/>
            <color indexed="81"/>
            <rFont val="Tahoma"/>
            <family val="2"/>
          </rPr>
          <t>thallen:</t>
        </r>
        <r>
          <rPr>
            <sz val="9"/>
            <color indexed="81"/>
            <rFont val="Tahoma"/>
            <family val="2"/>
          </rPr>
          <t xml:space="preserve">
Management said $150-160mm but believe off of higher LIBOR estimates</t>
        </r>
      </text>
    </comment>
    <comment ref="AL1172" authorId="0">
      <text>
        <r>
          <rPr>
            <b/>
            <sz val="8"/>
            <color indexed="81"/>
            <rFont val="Tahoma"/>
            <family val="2"/>
          </rPr>
          <t>urbankev:</t>
        </r>
        <r>
          <rPr>
            <sz val="8"/>
            <color indexed="81"/>
            <rFont val="Tahoma"/>
            <family val="2"/>
          </rPr>
          <t xml:space="preserve">
Mgmt forecast $125mm interest in 2010</t>
        </r>
      </text>
    </comment>
    <comment ref="AQ1172" authorId="15">
      <text>
        <r>
          <rPr>
            <b/>
            <sz val="8"/>
            <color indexed="81"/>
            <rFont val="Tahoma"/>
            <family val="2"/>
          </rPr>
          <t>danfuss:</t>
        </r>
        <r>
          <rPr>
            <sz val="8"/>
            <color indexed="81"/>
            <rFont val="Tahoma"/>
            <family val="2"/>
          </rPr>
          <t xml:space="preserve">
Guided to:
BYD: $145-150mm
Borgata: $85-87mm
Assumes LIBOR .5%-.75%</t>
        </r>
      </text>
    </comment>
    <comment ref="AZ1172" authorId="3">
      <text>
        <r>
          <rPr>
            <b/>
            <sz val="8"/>
            <color indexed="81"/>
            <rFont val="Tahoma"/>
            <family val="2"/>
          </rPr>
          <t>thallen:</t>
        </r>
        <r>
          <rPr>
            <sz val="8"/>
            <color indexed="81"/>
            <rFont val="Tahoma"/>
            <family val="2"/>
          </rPr>
          <t xml:space="preserve">
Guidance: $79m</t>
        </r>
      </text>
    </comment>
    <comment ref="BA1172" authorId="3">
      <text>
        <r>
          <rPr>
            <b/>
            <sz val="8"/>
            <color indexed="81"/>
            <rFont val="Tahoma"/>
            <family val="2"/>
          </rPr>
          <t>thallen:</t>
        </r>
        <r>
          <rPr>
            <sz val="8"/>
            <color indexed="81"/>
            <rFont val="Tahoma"/>
            <family val="2"/>
          </rPr>
          <t xml:space="preserve">
Guidance: $285mm + $85mm Borgata</t>
        </r>
      </text>
    </comment>
    <comment ref="BU1172" authorId="6">
      <text>
        <r>
          <rPr>
            <b/>
            <sz val="9"/>
            <color indexed="81"/>
            <rFont val="Tahoma"/>
            <family val="2"/>
          </rPr>
          <t>Allen, Thomas (Research):</t>
        </r>
        <r>
          <rPr>
            <sz val="9"/>
            <color indexed="81"/>
            <rFont val="Tahoma"/>
            <family val="2"/>
          </rPr>
          <t xml:space="preserve">
4Q16: $175m ($165m cash)
3Q16: $165m</t>
        </r>
      </text>
    </comment>
    <comment ref="BZ1172" authorId="5">
      <text>
        <r>
          <rPr>
            <b/>
            <sz val="9"/>
            <color indexed="81"/>
            <rFont val="Tahoma"/>
            <family val="2"/>
          </rPr>
          <t>Savino, Mark (Research):</t>
        </r>
        <r>
          <rPr>
            <sz val="9"/>
            <color indexed="81"/>
            <rFont val="Tahoma"/>
            <family val="2"/>
          </rPr>
          <t xml:space="preserve">
$175-180m excluding acquisitions</t>
        </r>
      </text>
    </comment>
    <comment ref="AF1175" authorId="0">
      <text>
        <r>
          <rPr>
            <b/>
            <sz val="8"/>
            <color indexed="81"/>
            <rFont val="Tahoma"/>
            <family val="2"/>
          </rPr>
          <t>urbankev:</t>
        </r>
        <r>
          <rPr>
            <sz val="8"/>
            <color indexed="81"/>
            <rFont val="Tahoma"/>
            <family val="2"/>
          </rPr>
          <t xml:space="preserve">
Amendment</t>
        </r>
      </text>
    </comment>
    <comment ref="AM1175" authorId="15">
      <text>
        <r>
          <rPr>
            <b/>
            <sz val="8"/>
            <color indexed="81"/>
            <rFont val="Tahoma"/>
            <family val="2"/>
          </rPr>
          <t>danfuss:</t>
        </r>
        <r>
          <rPr>
            <sz val="8"/>
            <color indexed="81"/>
            <rFont val="Tahoma"/>
            <family val="2"/>
          </rPr>
          <t xml:space="preserve">
Facility Size excludes non-extending amounts so "true" credit facility size is ~$2.05 bn </t>
        </r>
      </text>
    </comment>
    <comment ref="AV1175" authorId="0">
      <text>
        <r>
          <rPr>
            <b/>
            <sz val="8"/>
            <color indexed="81"/>
            <rFont val="Tahoma"/>
            <family val="2"/>
          </rPr>
          <t>urbankev:</t>
        </r>
        <r>
          <rPr>
            <sz val="8"/>
            <color indexed="81"/>
            <rFont val="Tahoma"/>
            <family val="2"/>
          </rPr>
          <t xml:space="preserve">
Matures May 24, 2012</t>
        </r>
      </text>
    </comment>
    <comment ref="BA1175" authorId="0">
      <text>
        <r>
          <rPr>
            <b/>
            <sz val="8"/>
            <color indexed="81"/>
            <rFont val="Tahoma"/>
            <family val="2"/>
          </rPr>
          <t>urbankev:</t>
        </r>
        <r>
          <rPr>
            <sz val="8"/>
            <color indexed="81"/>
            <rFont val="Tahoma"/>
            <family val="2"/>
          </rPr>
          <t xml:space="preserve">
Matures May 24, 2012</t>
        </r>
      </text>
    </comment>
    <comment ref="BF1175" authorId="0">
      <text>
        <r>
          <rPr>
            <b/>
            <sz val="8"/>
            <color indexed="81"/>
            <rFont val="Tahoma"/>
            <family val="2"/>
          </rPr>
          <t>urbankev:</t>
        </r>
        <r>
          <rPr>
            <sz val="8"/>
            <color indexed="81"/>
            <rFont val="Tahoma"/>
            <family val="2"/>
          </rPr>
          <t xml:space="preserve">
Matures May 24, 2012</t>
        </r>
      </text>
    </comment>
    <comment ref="BK1175" authorId="0">
      <text>
        <r>
          <rPr>
            <b/>
            <sz val="8"/>
            <color indexed="81"/>
            <rFont val="Tahoma"/>
            <family val="2"/>
          </rPr>
          <t>urbankev:</t>
        </r>
        <r>
          <rPr>
            <sz val="8"/>
            <color indexed="81"/>
            <rFont val="Tahoma"/>
            <family val="2"/>
          </rPr>
          <t xml:space="preserve">
Matures May 24, 2012</t>
        </r>
      </text>
    </comment>
    <comment ref="X1177" authorId="0">
      <text>
        <r>
          <rPr>
            <b/>
            <sz val="8"/>
            <color indexed="81"/>
            <rFont val="Tahoma"/>
            <family val="2"/>
          </rPr>
          <t>urbankev:</t>
        </r>
        <r>
          <rPr>
            <sz val="8"/>
            <color indexed="81"/>
            <rFont val="Tahoma"/>
            <family val="2"/>
          </rPr>
          <t xml:space="preserve">
estimated
</t>
        </r>
      </text>
    </comment>
    <comment ref="Y1177" authorId="0">
      <text>
        <r>
          <rPr>
            <b/>
            <sz val="8"/>
            <color indexed="81"/>
            <rFont val="Tahoma"/>
            <family val="2"/>
          </rPr>
          <t>urbankev:</t>
        </r>
        <r>
          <rPr>
            <sz val="8"/>
            <color indexed="81"/>
            <rFont val="Tahoma"/>
            <family val="2"/>
          </rPr>
          <t xml:space="preserve">
estimated
</t>
        </r>
      </text>
    </comment>
    <comment ref="Z1177" authorId="0">
      <text>
        <r>
          <rPr>
            <b/>
            <sz val="8"/>
            <color indexed="81"/>
            <rFont val="Tahoma"/>
            <family val="2"/>
          </rPr>
          <t>urbankev:</t>
        </r>
        <r>
          <rPr>
            <sz val="8"/>
            <color indexed="81"/>
            <rFont val="Tahoma"/>
            <family val="2"/>
          </rPr>
          <t xml:space="preserve">
estimated
</t>
        </r>
      </text>
    </comment>
    <comment ref="AR1178" authorId="43">
      <text>
        <r>
          <rPr>
            <b/>
            <sz val="8"/>
            <color indexed="81"/>
            <rFont val="Tahoma"/>
            <family val="2"/>
          </rPr>
          <t>AM: 5/3/12:</t>
        </r>
        <r>
          <rPr>
            <sz val="8"/>
            <color indexed="81"/>
            <rFont val="Tahoma"/>
            <family val="2"/>
          </rPr>
          <t xml:space="preserve">
Per 10Q, $175.8m available on revolver.</t>
        </r>
      </text>
    </comment>
    <comment ref="AW1189" authorId="5">
      <text>
        <r>
          <rPr>
            <b/>
            <sz val="9"/>
            <color indexed="81"/>
            <rFont val="Tahoma"/>
            <family val="2"/>
          </rPr>
          <t>Savino, Mark (Research):</t>
        </r>
        <r>
          <rPr>
            <sz val="9"/>
            <color indexed="81"/>
            <rFont val="Tahoma"/>
            <family val="2"/>
          </rPr>
          <t xml:space="preserve">
Deconsolidated</t>
        </r>
      </text>
    </comment>
    <comment ref="BA1189" authorId="3">
      <text>
        <r>
          <rPr>
            <b/>
            <sz val="8"/>
            <color indexed="81"/>
            <rFont val="Tahoma"/>
            <family val="2"/>
          </rPr>
          <t>thallen:</t>
        </r>
        <r>
          <rPr>
            <sz val="8"/>
            <color indexed="81"/>
            <rFont val="Tahoma"/>
            <family val="2"/>
          </rPr>
          <t xml:space="preserve">
Guidance: $60mm</t>
        </r>
      </text>
    </comment>
    <comment ref="BF1189" authorId="5">
      <text>
        <r>
          <rPr>
            <b/>
            <sz val="9"/>
            <color indexed="81"/>
            <rFont val="Tahoma"/>
            <family val="2"/>
          </rPr>
          <t>Savino, Mark (Research):</t>
        </r>
        <r>
          <rPr>
            <sz val="9"/>
            <color indexed="81"/>
            <rFont val="Tahoma"/>
            <family val="2"/>
          </rPr>
          <t xml:space="preserve">
Guidance $55m</t>
        </r>
      </text>
    </comment>
    <comment ref="AC1190" authorId="3">
      <text>
        <r>
          <rPr>
            <b/>
            <sz val="9"/>
            <color indexed="81"/>
            <rFont val="Tahoma"/>
            <family val="2"/>
          </rPr>
          <t>thallen:</t>
        </r>
        <r>
          <rPr>
            <sz val="9"/>
            <color indexed="81"/>
            <rFont val="Tahoma"/>
            <family val="2"/>
          </rPr>
          <t xml:space="preserve">
Adjustment - similar to 2008 as D&amp;A rolling off offsets increase from Blue Chip hotel tower</t>
        </r>
      </text>
    </comment>
    <comment ref="AQ1190" authorId="15">
      <text>
        <r>
          <rPr>
            <b/>
            <sz val="8"/>
            <color indexed="81"/>
            <rFont val="Tahoma"/>
            <family val="2"/>
          </rPr>
          <t>danfuss:</t>
        </r>
        <r>
          <rPr>
            <sz val="8"/>
            <color indexed="81"/>
            <rFont val="Tahoma"/>
            <family val="2"/>
          </rPr>
          <t xml:space="preserve">
Guided to
$130-$135 Depreciation at BYD wholly-owned properties</t>
        </r>
      </text>
    </comment>
    <comment ref="BA1190" authorId="3">
      <text>
        <r>
          <rPr>
            <b/>
            <sz val="8"/>
            <color indexed="81"/>
            <rFont val="Tahoma"/>
            <family val="2"/>
          </rPr>
          <t>thallen:</t>
        </r>
        <r>
          <rPr>
            <sz val="8"/>
            <color indexed="81"/>
            <rFont val="Tahoma"/>
            <family val="2"/>
          </rPr>
          <t xml:space="preserve">
Guidance: Similar to previous year</t>
        </r>
      </text>
    </comment>
    <comment ref="BF1190" authorId="5">
      <text>
        <r>
          <rPr>
            <b/>
            <sz val="9"/>
            <color indexed="81"/>
            <rFont val="Tahoma"/>
            <family val="2"/>
          </rPr>
          <t>Savino, Mark (Research):</t>
        </r>
        <r>
          <rPr>
            <sz val="9"/>
            <color indexed="81"/>
            <rFont val="Tahoma"/>
            <family val="2"/>
          </rPr>
          <t xml:space="preserve">
BYD $130m</t>
        </r>
      </text>
    </comment>
    <comment ref="AP1191" authorId="13">
      <text>
        <r>
          <rPr>
            <b/>
            <sz val="8"/>
            <color indexed="81"/>
            <rFont val="Tahoma"/>
            <family val="2"/>
          </rPr>
          <t>AM: 2/21/12:</t>
        </r>
        <r>
          <rPr>
            <sz val="8"/>
            <color indexed="81"/>
            <rFont val="Tahoma"/>
            <family val="2"/>
          </rPr>
          <t xml:space="preserve">
Per 4Q11 cc</t>
        </r>
      </text>
    </comment>
    <comment ref="BA1191" authorId="3">
      <text>
        <r>
          <rPr>
            <b/>
            <sz val="8"/>
            <color indexed="81"/>
            <rFont val="Tahoma"/>
            <family val="2"/>
          </rPr>
          <t>thallen:</t>
        </r>
        <r>
          <rPr>
            <sz val="8"/>
            <color indexed="81"/>
            <rFont val="Tahoma"/>
            <family val="2"/>
          </rPr>
          <t xml:space="preserve">
Guidance: Similar to previous year</t>
        </r>
      </text>
    </comment>
    <comment ref="BF1191" authorId="5">
      <text>
        <r>
          <rPr>
            <b/>
            <sz val="9"/>
            <color indexed="81"/>
            <rFont val="Tahoma"/>
            <family val="2"/>
          </rPr>
          <t>Savino, Mark (Research):</t>
        </r>
        <r>
          <rPr>
            <sz val="9"/>
            <color indexed="81"/>
            <rFont val="Tahoma"/>
            <family val="2"/>
          </rPr>
          <t xml:space="preserve">
BYD $130m</t>
        </r>
      </text>
    </comment>
    <comment ref="AW1192" authorId="28">
      <text>
        <r>
          <rPr>
            <b/>
            <sz val="8"/>
            <color indexed="81"/>
            <rFont val="Tahoma"/>
            <family val="2"/>
          </rPr>
          <t>AM: 11/16/12:</t>
        </r>
        <r>
          <rPr>
            <sz val="8"/>
            <color indexed="81"/>
            <rFont val="Tahoma"/>
            <family val="2"/>
          </rPr>
          <t xml:space="preserve">
Kansas Star perm facility opened in Dec ($83m budget) and purchase accounting for acquisition</t>
        </r>
      </text>
    </comment>
    <comment ref="BA1192" authorId="3">
      <text>
        <r>
          <rPr>
            <b/>
            <sz val="8"/>
            <color indexed="81"/>
            <rFont val="Tahoma"/>
            <family val="2"/>
          </rPr>
          <t>thallen:</t>
        </r>
        <r>
          <rPr>
            <sz val="8"/>
            <color indexed="81"/>
            <rFont val="Tahoma"/>
            <family val="2"/>
          </rPr>
          <t xml:space="preserve">
Guidance: $90mm per 4Q12 call ($46mm related to purchase accounting)</t>
        </r>
      </text>
    </comment>
    <comment ref="BF1192" authorId="5">
      <text>
        <r>
          <rPr>
            <b/>
            <sz val="9"/>
            <color indexed="81"/>
            <rFont val="Tahoma"/>
            <family val="2"/>
          </rPr>
          <t>Savino, Mark (Research):</t>
        </r>
        <r>
          <rPr>
            <sz val="9"/>
            <color indexed="81"/>
            <rFont val="Tahoma"/>
            <family val="2"/>
          </rPr>
          <t xml:space="preserve">
Guidance $72m</t>
        </r>
      </text>
    </comment>
    <comment ref="R1195" authorId="18">
      <text>
        <r>
          <rPr>
            <b/>
            <sz val="10"/>
            <color indexed="81"/>
            <rFont val="Tahoma"/>
            <family val="2"/>
          </rPr>
          <t>Chris Metli:</t>
        </r>
        <r>
          <rPr>
            <sz val="10"/>
            <color indexed="81"/>
            <rFont val="Tahoma"/>
            <family val="2"/>
          </rPr>
          <t xml:space="preserve">
Guidance for $230, including $2.5mm/quarter accelerated Stardust D&amp;A we back out and the South Coast</t>
        </r>
      </text>
    </comment>
    <comment ref="AV1195" authorId="13">
      <text>
        <r>
          <rPr>
            <b/>
            <sz val="8"/>
            <color indexed="81"/>
            <rFont val="Tahoma"/>
            <family val="2"/>
          </rPr>
          <t>AM: 2/21/12:</t>
        </r>
        <r>
          <rPr>
            <sz val="8"/>
            <color indexed="81"/>
            <rFont val="Tahoma"/>
            <family val="2"/>
          </rPr>
          <t xml:space="preserve">
Per 4Q11 cc, $200-205m (incl $135-140m at BYD, rest at Borgata)</t>
        </r>
      </text>
    </comment>
    <comment ref="BF1195" authorId="5">
      <text>
        <r>
          <rPr>
            <b/>
            <sz val="9"/>
            <color indexed="81"/>
            <rFont val="Tahoma"/>
            <family val="2"/>
          </rPr>
          <t>Savino, Mark (Research):</t>
        </r>
        <r>
          <rPr>
            <sz val="9"/>
            <color indexed="81"/>
            <rFont val="Tahoma"/>
            <family val="2"/>
          </rPr>
          <t xml:space="preserve">
Guidance $255-260m</t>
        </r>
      </text>
    </comment>
    <comment ref="BK1195" authorId="5">
      <text>
        <r>
          <rPr>
            <b/>
            <sz val="9"/>
            <color indexed="81"/>
            <rFont val="Tahoma"/>
            <family val="2"/>
          </rPr>
          <t>Savino, Mark (Research):</t>
        </r>
        <r>
          <rPr>
            <sz val="9"/>
            <color indexed="81"/>
            <rFont val="Tahoma"/>
            <family val="2"/>
          </rPr>
          <t xml:space="preserve">
4Q call: $210-215m</t>
        </r>
      </text>
    </comment>
    <comment ref="BU1195" authorId="5">
      <text>
        <r>
          <rPr>
            <b/>
            <sz val="9"/>
            <color indexed="81"/>
            <rFont val="Tahoma"/>
            <family val="2"/>
          </rPr>
          <t>Savino, Mark (Research):</t>
        </r>
        <r>
          <rPr>
            <sz val="9"/>
            <color indexed="81"/>
            <rFont val="Tahoma"/>
            <family val="2"/>
          </rPr>
          <t xml:space="preserve">
4Q16: $230m</t>
        </r>
      </text>
    </comment>
    <comment ref="BZ1195" authorId="5">
      <text>
        <r>
          <rPr>
            <b/>
            <sz val="9"/>
            <color indexed="81"/>
            <rFont val="Tahoma"/>
            <family val="2"/>
          </rPr>
          <t>Savino, Mark (Research):</t>
        </r>
        <r>
          <rPr>
            <sz val="9"/>
            <color indexed="81"/>
            <rFont val="Tahoma"/>
            <family val="2"/>
          </rPr>
          <t xml:space="preserve">
4Q17: $220m, excluding acquisitions</t>
        </r>
      </text>
    </comment>
    <comment ref="AP1198" authorId="15">
      <text>
        <r>
          <rPr>
            <b/>
            <sz val="8"/>
            <color indexed="81"/>
            <rFont val="Tahoma"/>
            <family val="2"/>
          </rPr>
          <t>DJF: 10/25/11</t>
        </r>
        <r>
          <rPr>
            <sz val="8"/>
            <color indexed="81"/>
            <rFont val="Tahoma"/>
            <family val="2"/>
          </rPr>
          <t xml:space="preserve">
IP capex</t>
        </r>
      </text>
    </comment>
    <comment ref="AR1198" authorId="43">
      <text>
        <r>
          <rPr>
            <b/>
            <sz val="8"/>
            <color indexed="81"/>
            <rFont val="Tahoma"/>
            <family val="2"/>
          </rPr>
          <t>AM: 5/3/12:</t>
        </r>
        <r>
          <rPr>
            <sz val="8"/>
            <color indexed="81"/>
            <rFont val="Tahoma"/>
            <family val="2"/>
          </rPr>
          <t xml:space="preserve">
Incl $3.3m at IP</t>
        </r>
      </text>
    </comment>
    <comment ref="AS1198" authorId="10">
      <text>
        <r>
          <rPr>
            <sz val="8"/>
            <color indexed="81"/>
            <rFont val="Tahoma"/>
            <family val="2"/>
          </rPr>
          <t xml:space="preserve">Source: 10-Q 2Q12 Page: 90
</t>
        </r>
      </text>
    </comment>
    <comment ref="AT1198" authorId="10">
      <text>
        <r>
          <rPr>
            <sz val="8"/>
            <color indexed="81"/>
            <rFont val="Tahoma"/>
            <family val="2"/>
          </rPr>
          <t>Source: 10-Q 3Q12 Page: 79</t>
        </r>
      </text>
    </comment>
    <comment ref="AV1198" authorId="15">
      <text>
        <r>
          <rPr>
            <b/>
            <sz val="8"/>
            <color indexed="81"/>
            <rFont val="Tahoma"/>
            <family val="2"/>
          </rPr>
          <t>DJF: 10/25/11</t>
        </r>
        <r>
          <rPr>
            <sz val="8"/>
            <color indexed="81"/>
            <rFont val="Tahoma"/>
            <family val="2"/>
          </rPr>
          <t xml:space="preserve">
Per CC, BYD expected to invest $44 mn into IP from 4Q11 through 3Q12</t>
        </r>
      </text>
    </comment>
    <comment ref="BJ1198" authorId="5">
      <text>
        <r>
          <rPr>
            <b/>
            <sz val="9"/>
            <color indexed="81"/>
            <rFont val="Tahoma"/>
            <family val="2"/>
          </rPr>
          <t>Savino, Mark (Research):</t>
        </r>
        <r>
          <rPr>
            <sz val="9"/>
            <color indexed="81"/>
            <rFont val="Tahoma"/>
            <family val="2"/>
          </rPr>
          <t xml:space="preserve">
3Q15 call: $6m of DD in 4Q15
2Q15 call: $10m of $45m Delta Downs expansion in 2015</t>
        </r>
      </text>
    </comment>
    <comment ref="BK1198" authorId="5">
      <text>
        <r>
          <rPr>
            <b/>
            <sz val="9"/>
            <color indexed="81"/>
            <rFont val="Tahoma"/>
            <family val="2"/>
          </rPr>
          <t>Savino, Mark (Research):</t>
        </r>
        <r>
          <rPr>
            <sz val="9"/>
            <color indexed="81"/>
            <rFont val="Tahoma"/>
            <family val="2"/>
          </rPr>
          <t xml:space="preserve">
4Q call: $45m to reposition non-gaming amenities</t>
        </r>
      </text>
    </comment>
    <comment ref="BP1198" authorId="5">
      <text>
        <r>
          <rPr>
            <b/>
            <sz val="9"/>
            <color indexed="81"/>
            <rFont val="Tahoma"/>
            <family val="2"/>
          </rPr>
          <t>Savino, Mark (Research):</t>
        </r>
        <r>
          <rPr>
            <sz val="9"/>
            <color indexed="81"/>
            <rFont val="Tahoma"/>
            <family val="2"/>
          </rPr>
          <t xml:space="preserve">
Includes $39m of $45m Delta Downs expansion</t>
        </r>
      </text>
    </comment>
    <comment ref="BQ1198" authorId="5">
      <text>
        <r>
          <rPr>
            <b/>
            <sz val="9"/>
            <color indexed="81"/>
            <rFont val="Tahoma"/>
            <family val="2"/>
          </rPr>
          <t>Savino, Mark (Research):</t>
        </r>
        <r>
          <rPr>
            <sz val="9"/>
            <color indexed="81"/>
            <rFont val="Tahoma"/>
            <family val="2"/>
          </rPr>
          <t xml:space="preserve">
3Q16 call: $20-30m of project capex from 2016 will spill over into 2017</t>
        </r>
      </text>
    </comment>
    <comment ref="BR1198" authorId="5">
      <text>
        <r>
          <rPr>
            <b/>
            <sz val="9"/>
            <color indexed="81"/>
            <rFont val="Tahoma"/>
            <family val="2"/>
          </rPr>
          <t>Savino, Mark (Research):</t>
        </r>
        <r>
          <rPr>
            <sz val="9"/>
            <color indexed="81"/>
            <rFont val="Tahoma"/>
            <family val="2"/>
          </rPr>
          <t xml:space="preserve">
3Q16 call: $20-30m of project capex from 2016 will spill over into 2017</t>
        </r>
      </text>
    </comment>
    <comment ref="BU1198" authorId="6">
      <text>
        <r>
          <rPr>
            <b/>
            <sz val="9"/>
            <color indexed="81"/>
            <rFont val="Tahoma"/>
            <family val="2"/>
          </rPr>
          <t>Allen, Thomas (Research):</t>
        </r>
        <r>
          <rPr>
            <sz val="9"/>
            <color indexed="81"/>
            <rFont val="Tahoma"/>
            <family val="2"/>
          </rPr>
          <t xml:space="preserve">
4Q16: $20-25m but leave some room for potential other projects like restaurants or hotels</t>
        </r>
      </text>
    </comment>
    <comment ref="AI1199" authorId="2">
      <text>
        <r>
          <rPr>
            <b/>
            <sz val="8"/>
            <color indexed="81"/>
            <rFont val="Tahoma"/>
            <family val="2"/>
          </rPr>
          <t>stramark:</t>
        </r>
        <r>
          <rPr>
            <sz val="8"/>
            <color indexed="81"/>
            <rFont val="Tahoma"/>
            <family val="2"/>
          </rPr>
          <t xml:space="preserve">
$19m for first two Qs compared to $28m last Q</t>
        </r>
      </text>
    </comment>
    <comment ref="AQ1199" authorId="15">
      <text>
        <r>
          <rPr>
            <b/>
            <sz val="8"/>
            <color indexed="81"/>
            <rFont val="Tahoma"/>
            <family val="2"/>
          </rPr>
          <t>danfuss:</t>
        </r>
        <r>
          <rPr>
            <sz val="8"/>
            <color indexed="81"/>
            <rFont val="Tahoma"/>
            <family val="2"/>
          </rPr>
          <t xml:space="preserve">
Guided to
$50mm maintenance capex run-rate at BYD
$15mm maintenance capex run-rate at Borgata
$50mm room remodel at Borgata.  $25mm to be spent in 4Q11 and $25mm to be spent in 1Q12.
Also, mentioned that there are 700 rooms that need to be remodeled in Locals/Midwest but did not give a specfic timeframe.  Not included in our estimates.</t>
        </r>
      </text>
    </comment>
    <comment ref="AS1199" authorId="10">
      <text>
        <r>
          <rPr>
            <sz val="8"/>
            <color indexed="81"/>
            <rFont val="Tahoma"/>
            <family val="2"/>
          </rPr>
          <t xml:space="preserve">Source: 10-Q 2Q12 Page: 90
</t>
        </r>
      </text>
    </comment>
    <comment ref="AT1199" authorId="10">
      <text>
        <r>
          <rPr>
            <sz val="8"/>
            <color indexed="81"/>
            <rFont val="Tahoma"/>
            <family val="2"/>
          </rPr>
          <t>Source: 10-Q 3Q12 Page: 79</t>
        </r>
      </text>
    </comment>
    <comment ref="AV1199" authorId="44">
      <text>
        <r>
          <rPr>
            <b/>
            <sz val="8"/>
            <color indexed="81"/>
            <rFont val="Tahoma"/>
            <family val="2"/>
          </rPr>
          <t>AM: 10/25/11:</t>
        </r>
        <r>
          <rPr>
            <sz val="8"/>
            <color indexed="81"/>
            <rFont val="Tahoma"/>
            <family val="2"/>
          </rPr>
          <t xml:space="preserve">
Per 3Q11 cc, $75-80m of maint capex expected at BYD's wholly owned props (ex IP upgrade).</t>
        </r>
      </text>
    </comment>
    <comment ref="AW1199" authorId="3">
      <text>
        <r>
          <rPr>
            <b/>
            <sz val="8"/>
            <color indexed="81"/>
            <rFont val="Tahoma"/>
            <family val="2"/>
          </rPr>
          <t>thallen:</t>
        </r>
        <r>
          <rPr>
            <sz val="8"/>
            <color indexed="81"/>
            <rFont val="Tahoma"/>
            <family val="2"/>
          </rPr>
          <t xml:space="preserve">
From 10-Q, p.62</t>
        </r>
      </text>
    </comment>
    <comment ref="BA1199" authorId="3">
      <text>
        <r>
          <rPr>
            <b/>
            <sz val="8"/>
            <color indexed="81"/>
            <rFont val="Tahoma"/>
            <family val="2"/>
          </rPr>
          <t>thallen:</t>
        </r>
        <r>
          <rPr>
            <sz val="8"/>
            <color indexed="81"/>
            <rFont val="Tahoma"/>
            <family val="2"/>
          </rPr>
          <t xml:space="preserve">
Guidance: BYD wholly-owned ex. Peninsula ~$100mm but running below</t>
        </r>
      </text>
    </comment>
    <comment ref="BK1199" authorId="3">
      <text>
        <r>
          <rPr>
            <b/>
            <sz val="8"/>
            <color indexed="81"/>
            <rFont val="Tahoma"/>
            <family val="2"/>
          </rPr>
          <t>thallen:</t>
        </r>
        <r>
          <rPr>
            <sz val="8"/>
            <color indexed="81"/>
            <rFont val="Tahoma"/>
            <family val="2"/>
          </rPr>
          <t xml:space="preserve">
4Q / 1Q15 call: $100m at BYD / $15m at Peninsula
Per mgmt: $80m/yr a good run-rate for BYD wholly-owned
Historically reflected high LT capex to build in casino co's having to refresh properties every few years to compete. However, given slower regional growth, reflect this $ being spent to be well positioned in online (likely conservative assumption)</t>
        </r>
      </text>
    </comment>
    <comment ref="BU1199" authorId="3">
      <text>
        <r>
          <rPr>
            <b/>
            <sz val="8"/>
            <color indexed="81"/>
            <rFont val="Tahoma"/>
            <family val="2"/>
          </rPr>
          <t>thallen:</t>
        </r>
        <r>
          <rPr>
            <sz val="8"/>
            <color indexed="81"/>
            <rFont val="Tahoma"/>
            <family val="2"/>
          </rPr>
          <t xml:space="preserve">
4Q16: $100-110m maint capex, though typically underspend
Historically reflected high LT capex to build in casino co's having to refresh properties every few years to compete. However, given slower regional growth, reflect this $ being spent to be well positioned in online (likely conservative assumption)</t>
        </r>
      </text>
    </comment>
    <comment ref="EB1199" authorId="3">
      <text>
        <r>
          <rPr>
            <b/>
            <sz val="8"/>
            <color indexed="81"/>
            <rFont val="Tahoma"/>
            <family val="2"/>
          </rPr>
          <t>thallen:</t>
        </r>
        <r>
          <rPr>
            <sz val="8"/>
            <color indexed="81"/>
            <rFont val="Tahoma"/>
            <family val="2"/>
          </rPr>
          <t xml:space="preserve">
Historically reflected high LT capex to build in casino co's having to refresh properties every few years to compete. However, given slower regional growth, reflect this $ being spent to be well positioned in online (likely conservative assumption)</t>
        </r>
      </text>
    </comment>
    <comment ref="BA1200" authorId="3">
      <text>
        <r>
          <rPr>
            <b/>
            <sz val="8"/>
            <color indexed="81"/>
            <rFont val="Tahoma"/>
            <family val="2"/>
          </rPr>
          <t>thallen:</t>
        </r>
        <r>
          <rPr>
            <sz val="8"/>
            <color indexed="81"/>
            <rFont val="Tahoma"/>
            <family val="2"/>
          </rPr>
          <t xml:space="preserve">
Guidance: $20mm</t>
        </r>
      </text>
    </comment>
    <comment ref="BE1200" authorId="5">
      <text>
        <r>
          <rPr>
            <b/>
            <sz val="9"/>
            <color indexed="81"/>
            <rFont val="Tahoma"/>
            <family val="2"/>
          </rPr>
          <t>Savino, Mark (Research):</t>
        </r>
        <r>
          <rPr>
            <sz val="9"/>
            <color indexed="81"/>
            <rFont val="Tahoma"/>
            <family val="2"/>
          </rPr>
          <t xml:space="preserve">
No longer flows through due to deconsolidation</t>
        </r>
      </text>
    </comment>
    <comment ref="BF1200" authorId="5">
      <text>
        <r>
          <rPr>
            <b/>
            <sz val="9"/>
            <color indexed="81"/>
            <rFont val="Tahoma"/>
            <family val="2"/>
          </rPr>
          <t>Savino, Mark (Research):</t>
        </r>
        <r>
          <rPr>
            <sz val="9"/>
            <color indexed="81"/>
            <rFont val="Tahoma"/>
            <family val="2"/>
          </rPr>
          <t xml:space="preserve">
Guidance $25m</t>
        </r>
      </text>
    </comment>
    <comment ref="L1202" authorId="18">
      <text>
        <r>
          <rPr>
            <b/>
            <sz val="10"/>
            <color indexed="81"/>
            <rFont val="Tahoma"/>
            <family val="2"/>
          </rPr>
          <t>Chris Metli:</t>
        </r>
        <r>
          <rPr>
            <sz val="10"/>
            <color indexed="81"/>
            <rFont val="Tahoma"/>
            <family val="2"/>
          </rPr>
          <t xml:space="preserve">
PA land, other</t>
        </r>
      </text>
    </comment>
    <comment ref="N1202" authorId="18">
      <text>
        <r>
          <rPr>
            <b/>
            <sz val="10"/>
            <color indexed="81"/>
            <rFont val="Tahoma"/>
            <family val="2"/>
          </rPr>
          <t>Chris Metli:</t>
        </r>
        <r>
          <rPr>
            <sz val="10"/>
            <color indexed="81"/>
            <rFont val="Tahoma"/>
            <family val="2"/>
          </rPr>
          <t xml:space="preserve">
$26mm Corporate office purchase
$35mm N LV Land
$4mm other</t>
        </r>
      </text>
    </comment>
    <comment ref="BA1203" authorId="3">
      <text>
        <r>
          <rPr>
            <b/>
            <sz val="8"/>
            <color indexed="81"/>
            <rFont val="Tahoma"/>
            <family val="2"/>
          </rPr>
          <t>thallen:</t>
        </r>
        <r>
          <rPr>
            <sz val="8"/>
            <color indexed="81"/>
            <rFont val="Tahoma"/>
            <family val="2"/>
          </rPr>
          <t xml:space="preserve">
Guidance $15mm</t>
        </r>
      </text>
    </comment>
    <comment ref="BF1203" authorId="5">
      <text>
        <r>
          <rPr>
            <b/>
            <sz val="9"/>
            <color indexed="81"/>
            <rFont val="Tahoma"/>
            <family val="2"/>
          </rPr>
          <t>Savino, Mark (Research):</t>
        </r>
        <r>
          <rPr>
            <sz val="9"/>
            <color indexed="81"/>
            <rFont val="Tahoma"/>
            <family val="2"/>
          </rPr>
          <t xml:space="preserve">
Guidance $15m</t>
        </r>
      </text>
    </comment>
    <comment ref="AW1204" authorId="3">
      <text>
        <r>
          <rPr>
            <b/>
            <sz val="8"/>
            <color indexed="81"/>
            <rFont val="Tahoma"/>
            <family val="2"/>
          </rPr>
          <t>thallen:</t>
        </r>
        <r>
          <rPr>
            <sz val="8"/>
            <color indexed="81"/>
            <rFont val="Tahoma"/>
            <family val="2"/>
          </rPr>
          <t xml:space="preserve">
From call</t>
        </r>
      </text>
    </comment>
    <comment ref="AX1204" authorId="7">
      <text>
        <r>
          <rPr>
            <b/>
            <sz val="8"/>
            <color indexed="81"/>
            <rFont val="Tahoma"/>
            <family val="2"/>
          </rPr>
          <t>savinmar:</t>
        </r>
        <r>
          <rPr>
            <sz val="8"/>
            <color indexed="81"/>
            <rFont val="Tahoma"/>
            <family val="2"/>
          </rPr>
          <t xml:space="preserve">
Per 2Q13 call</t>
        </r>
      </text>
    </comment>
    <comment ref="BA1204" authorId="3">
      <text>
        <r>
          <rPr>
            <b/>
            <sz val="8"/>
            <color indexed="81"/>
            <rFont val="Tahoma"/>
            <family val="2"/>
          </rPr>
          <t>thallen:</t>
        </r>
        <r>
          <rPr>
            <sz val="8"/>
            <color indexed="81"/>
            <rFont val="Tahoma"/>
            <family val="2"/>
          </rPr>
          <t xml:space="preserve">
Guidance $11mm</t>
        </r>
      </text>
    </comment>
    <comment ref="BF1204" authorId="5">
      <text>
        <r>
          <rPr>
            <b/>
            <sz val="9"/>
            <color indexed="81"/>
            <rFont val="Tahoma"/>
            <family val="2"/>
          </rPr>
          <t>Savino, Mark (Research):</t>
        </r>
        <r>
          <rPr>
            <sz val="9"/>
            <color indexed="81"/>
            <rFont val="Tahoma"/>
            <family val="2"/>
          </rPr>
          <t xml:space="preserve">
Final phase of KS Star expansion to cost $20m and be completed in early 2015</t>
        </r>
      </text>
    </comment>
    <comment ref="BK1204" authorId="5">
      <text>
        <r>
          <rPr>
            <b/>
            <sz val="9"/>
            <color indexed="81"/>
            <rFont val="Tahoma"/>
            <family val="2"/>
          </rPr>
          <t>Savino, Mark (Research):</t>
        </r>
        <r>
          <rPr>
            <sz val="9"/>
            <color indexed="81"/>
            <rFont val="Tahoma"/>
            <family val="2"/>
          </rPr>
          <t xml:space="preserve">
Final phase of KS Star expansion to cost $20m and be completed in early 2015</t>
        </r>
      </text>
    </comment>
    <comment ref="CA1205" authorId="6">
      <text>
        <r>
          <rPr>
            <b/>
            <sz val="9"/>
            <color indexed="81"/>
            <rFont val="Tahoma"/>
            <family val="2"/>
          </rPr>
          <t>Allen, Thomas (Research):</t>
        </r>
        <r>
          <rPr>
            <sz val="9"/>
            <color indexed="81"/>
            <rFont val="Tahoma"/>
            <family val="2"/>
          </rPr>
          <t xml:space="preserve">
Per 12/18/17 call, $20m / year</t>
        </r>
      </text>
    </comment>
    <comment ref="AV1207" authorId="13">
      <text>
        <r>
          <rPr>
            <b/>
            <sz val="8"/>
            <color indexed="81"/>
            <rFont val="Tahoma"/>
            <family val="2"/>
          </rPr>
          <t>AM: 2/2/12:</t>
        </r>
        <r>
          <rPr>
            <sz val="8"/>
            <color indexed="81"/>
            <rFont val="Tahoma"/>
            <family val="2"/>
          </rPr>
          <t xml:space="preserve">
Per 4Q11 cc, epxect to spend $100m at BYD and $60m at Borgata, incl $35m room remodel.</t>
        </r>
      </text>
    </comment>
    <comment ref="BA1207" authorId="3">
      <text>
        <r>
          <rPr>
            <b/>
            <sz val="8"/>
            <color indexed="81"/>
            <rFont val="Tahoma"/>
            <family val="2"/>
          </rPr>
          <t>thallen:</t>
        </r>
        <r>
          <rPr>
            <sz val="8"/>
            <color indexed="81"/>
            <rFont val="Tahoma"/>
            <family val="2"/>
          </rPr>
          <t xml:space="preserve">
Guidance: a little over $100mm</t>
        </r>
      </text>
    </comment>
    <comment ref="BF1207" authorId="5">
      <text>
        <r>
          <rPr>
            <b/>
            <sz val="9"/>
            <color indexed="81"/>
            <rFont val="Tahoma"/>
            <family val="2"/>
          </rPr>
          <t>Savino, Mark (Research):</t>
        </r>
        <r>
          <rPr>
            <sz val="9"/>
            <color indexed="81"/>
            <rFont val="Tahoma"/>
            <family val="2"/>
          </rPr>
          <t xml:space="preserve">
3Q14: $110m for BYD/Peninsula + $25m for Borgata
2Q14: $120m for BYD/Peninsula + $25m for Borgata, so $145m total
1Q14: $120m on consolidated basis + $20m for KS Star Phase II
Guided to $125m on a consolidated basis, plus KS Star project capex</t>
        </r>
      </text>
    </comment>
    <comment ref="BP1207" authorId="5">
      <text>
        <r>
          <rPr>
            <b/>
            <sz val="9"/>
            <color indexed="81"/>
            <rFont val="Tahoma"/>
            <family val="2"/>
          </rPr>
          <t>Savino, Mark (Research):</t>
        </r>
        <r>
          <rPr>
            <sz val="9"/>
            <color indexed="81"/>
            <rFont val="Tahoma"/>
            <family val="2"/>
          </rPr>
          <t xml:space="preserve">
3Q16: $170m total for 2016
4Q15: $110m maintenance, $45m non-gaming, $37m DD expansion = $192m total</t>
        </r>
      </text>
    </comment>
    <comment ref="BU1207" authorId="6">
      <text>
        <r>
          <rPr>
            <b/>
            <sz val="9"/>
            <color indexed="81"/>
            <rFont val="Tahoma"/>
            <family val="2"/>
          </rPr>
          <t>Allen, Thomas (Research):</t>
        </r>
        <r>
          <rPr>
            <sz val="9"/>
            <color indexed="81"/>
            <rFont val="Tahoma"/>
            <family val="2"/>
          </rPr>
          <t xml:space="preserve">
2Q17: $150m still the right range for the year
4Q16: $150m
3Q16: $125m</t>
        </r>
      </text>
    </comment>
    <comment ref="BZ1207" authorId="5">
      <text>
        <r>
          <rPr>
            <b/>
            <sz val="9"/>
            <color indexed="81"/>
            <rFont val="Tahoma"/>
            <family val="2"/>
          </rPr>
          <t>Savino, Mark (Research):</t>
        </r>
        <r>
          <rPr>
            <sz val="9"/>
            <color indexed="81"/>
            <rFont val="Tahoma"/>
            <family val="2"/>
          </rPr>
          <t xml:space="preserve">
4Q17: $150m, excluding acquisitions</t>
        </r>
      </text>
    </comment>
    <comment ref="X1211" authorId="16">
      <text>
        <r>
          <rPr>
            <b/>
            <sz val="10"/>
            <color indexed="81"/>
            <rFont val="Tahoma"/>
            <family val="2"/>
          </rPr>
          <t>Thallen:</t>
        </r>
        <r>
          <rPr>
            <sz val="10"/>
            <color indexed="81"/>
            <rFont val="Tahoma"/>
            <family val="2"/>
          </rPr>
          <t xml:space="preserve">
4Q07 CC guidance: 36.5%</t>
        </r>
      </text>
    </comment>
    <comment ref="Y1211" authorId="16">
      <text>
        <r>
          <rPr>
            <b/>
            <sz val="10"/>
            <color indexed="81"/>
            <rFont val="Tahoma"/>
            <family val="2"/>
          </rPr>
          <t>Thallen:</t>
        </r>
        <r>
          <rPr>
            <sz val="10"/>
            <color indexed="81"/>
            <rFont val="Tahoma"/>
            <family val="2"/>
          </rPr>
          <t xml:space="preserve">
4Q07 CC guidance: 36.5%</t>
        </r>
      </text>
    </comment>
    <comment ref="Z1211" authorId="16">
      <text>
        <r>
          <rPr>
            <b/>
            <sz val="10"/>
            <color indexed="81"/>
            <rFont val="Tahoma"/>
            <family val="2"/>
          </rPr>
          <t>Thallen:</t>
        </r>
        <r>
          <rPr>
            <sz val="10"/>
            <color indexed="81"/>
            <rFont val="Tahoma"/>
            <family val="2"/>
          </rPr>
          <t xml:space="preserve">
4Q07 CC guidance: 36.5%</t>
        </r>
      </text>
    </comment>
    <comment ref="AA1211" authorId="16">
      <text>
        <r>
          <rPr>
            <b/>
            <sz val="10"/>
            <color indexed="81"/>
            <rFont val="Tahoma"/>
            <family val="2"/>
          </rPr>
          <t>Thallen:</t>
        </r>
        <r>
          <rPr>
            <sz val="10"/>
            <color indexed="81"/>
            <rFont val="Tahoma"/>
            <family val="2"/>
          </rPr>
          <t xml:space="preserve">
4Q07 CC guidance: 36.5%</t>
        </r>
      </text>
    </comment>
    <comment ref="AC1211" authorId="3">
      <text>
        <r>
          <rPr>
            <b/>
            <sz val="9"/>
            <color indexed="81"/>
            <rFont val="Tahoma"/>
            <family val="2"/>
          </rPr>
          <t>thallen:</t>
        </r>
        <r>
          <rPr>
            <sz val="9"/>
            <color indexed="81"/>
            <rFont val="Tahoma"/>
            <family val="2"/>
          </rPr>
          <t xml:space="preserve">
Haven't calced 2008 tax rate per 4Q08 call but slightly higher than previous years</t>
        </r>
      </text>
    </comment>
    <comment ref="AW1215" authorId="3">
      <text>
        <r>
          <rPr>
            <b/>
            <sz val="8"/>
            <color indexed="81"/>
            <rFont val="Tahoma"/>
            <family val="2"/>
          </rPr>
          <t>thallen:</t>
        </r>
        <r>
          <rPr>
            <sz val="8"/>
            <color indexed="81"/>
            <rFont val="Tahoma"/>
            <family val="2"/>
          </rPr>
          <t xml:space="preserve">
Echelon sale created net loss carry fwds of $750mm, need to tax affect (per MS accounting team)
</t>
        </r>
      </text>
    </comment>
    <comment ref="AX1215" authorId="3">
      <text>
        <r>
          <rPr>
            <b/>
            <sz val="8"/>
            <color indexed="81"/>
            <rFont val="Tahoma"/>
            <family val="2"/>
          </rPr>
          <t>thallen:</t>
        </r>
        <r>
          <rPr>
            <sz val="8"/>
            <color indexed="81"/>
            <rFont val="Tahoma"/>
            <family val="2"/>
          </rPr>
          <t xml:space="preserve">
Dania sale $60 NOL</t>
        </r>
      </text>
    </comment>
    <comment ref="AV1218" authorId="3">
      <text>
        <r>
          <rPr>
            <b/>
            <sz val="8"/>
            <color indexed="81"/>
            <rFont val="Tahoma"/>
            <family val="2"/>
          </rPr>
          <t>thallen:</t>
        </r>
        <r>
          <rPr>
            <sz val="8"/>
            <color indexed="81"/>
            <rFont val="Tahoma"/>
            <family val="2"/>
          </rPr>
          <t xml:space="preserve">
Per 10-K</t>
        </r>
      </text>
    </comment>
    <comment ref="BT1218" authorId="6">
      <text>
        <r>
          <rPr>
            <b/>
            <sz val="9"/>
            <color indexed="81"/>
            <rFont val="Tahoma"/>
            <family val="2"/>
          </rPr>
          <t>Allen, Thomas (Research):</t>
        </r>
        <r>
          <rPr>
            <sz val="9"/>
            <color indexed="81"/>
            <rFont val="Tahoma"/>
            <family val="2"/>
          </rPr>
          <t xml:space="preserve">
Mgmt noted NOL balance of $525m on 4Q17 call</t>
        </r>
      </text>
    </comment>
    <comment ref="BU1221" authorId="6">
      <text>
        <r>
          <rPr>
            <b/>
            <sz val="9"/>
            <color indexed="81"/>
            <rFont val="Tahoma"/>
            <family val="2"/>
          </rPr>
          <t>Allen, Thomas (Research):</t>
        </r>
        <r>
          <rPr>
            <sz val="9"/>
            <color indexed="81"/>
            <rFont val="Tahoma"/>
            <family val="2"/>
          </rPr>
          <t xml:space="preserve">
Per 4Q16 call: 40%</t>
        </r>
      </text>
    </comment>
    <comment ref="BV1221" authorId="5">
      <text>
        <r>
          <rPr>
            <b/>
            <sz val="9"/>
            <color indexed="81"/>
            <rFont val="Tahoma"/>
            <family val="2"/>
          </rPr>
          <t>Savino, Mark (Research):</t>
        </r>
        <r>
          <rPr>
            <sz val="9"/>
            <color indexed="81"/>
            <rFont val="Tahoma"/>
            <family val="2"/>
          </rPr>
          <t xml:space="preserve">
4Q17: 28% including Local taxes, but not a cash tax payer
Per mgmt, can assume that GAAP tax rate goes to the new 21% corporate rate, but they will not be a cash tax payer for several years given NOLs</t>
        </r>
      </text>
    </comment>
    <comment ref="AI1225" authorId="0">
      <text>
        <r>
          <rPr>
            <b/>
            <sz val="8"/>
            <color indexed="81"/>
            <rFont val="Tahoma"/>
            <family val="2"/>
          </rPr>
          <t>urbankev:</t>
        </r>
        <r>
          <rPr>
            <sz val="8"/>
            <color indexed="81"/>
            <rFont val="Tahoma"/>
            <family val="2"/>
          </rPr>
          <t xml:space="preserve">
Excess cash threshold increased to $155mm to reflect Borgata consolidation</t>
        </r>
      </text>
    </comment>
    <comment ref="A1230" authorId="0">
      <text>
        <r>
          <rPr>
            <b/>
            <sz val="8"/>
            <color indexed="81"/>
            <rFont val="Tahoma"/>
            <family val="2"/>
          </rPr>
          <t>urbankev:</t>
        </r>
        <r>
          <rPr>
            <sz val="8"/>
            <color indexed="81"/>
            <rFont val="Tahoma"/>
            <family val="2"/>
          </rPr>
          <t xml:space="preserve">
Prior to 1Q10, 50% of Borgata debt added to BYD debt balance. After 1Q10, 50% of Borgata debt deducted from BYD debt balance.</t>
        </r>
      </text>
    </comment>
    <comment ref="BD1230" authorId="5">
      <text>
        <r>
          <rPr>
            <b/>
            <sz val="9"/>
            <color indexed="81"/>
            <rFont val="Tahoma"/>
            <family val="2"/>
          </rPr>
          <t>Savino, Mark (Research):</t>
        </r>
        <r>
          <rPr>
            <sz val="9"/>
            <color indexed="81"/>
            <rFont val="Tahoma"/>
            <family val="2"/>
          </rPr>
          <t xml:space="preserve">
Borgata deconsolidated</t>
        </r>
      </text>
    </comment>
    <comment ref="BD1236" authorId="5">
      <text>
        <r>
          <rPr>
            <b/>
            <sz val="9"/>
            <color indexed="81"/>
            <rFont val="Tahoma"/>
            <family val="2"/>
          </rPr>
          <t>Savino, Mark (Research):</t>
        </r>
        <r>
          <rPr>
            <sz val="9"/>
            <color indexed="81"/>
            <rFont val="Tahoma"/>
            <family val="2"/>
          </rPr>
          <t xml:space="preserve">
Borgata deconsolidated</t>
        </r>
      </text>
    </comment>
    <comment ref="CA1254" authorId="6">
      <text>
        <r>
          <rPr>
            <b/>
            <sz val="9"/>
            <color indexed="81"/>
            <rFont val="Tahoma"/>
            <family val="2"/>
          </rPr>
          <t>Allen, Thomas (Research):</t>
        </r>
        <r>
          <rPr>
            <sz val="9"/>
            <color indexed="81"/>
            <rFont val="Tahoma"/>
            <family val="2"/>
          </rPr>
          <t xml:space="preserve">
LT target 4-5x</t>
        </r>
      </text>
    </comment>
    <comment ref="CB1254" authorId="6">
      <text>
        <r>
          <rPr>
            <b/>
            <sz val="9"/>
            <color indexed="81"/>
            <rFont val="Tahoma"/>
            <family val="2"/>
          </rPr>
          <t>Allen, Thomas (Research):</t>
        </r>
        <r>
          <rPr>
            <sz val="9"/>
            <color indexed="81"/>
            <rFont val="Tahoma"/>
            <family val="2"/>
          </rPr>
          <t xml:space="preserve">
LT target 4-5x</t>
        </r>
      </text>
    </comment>
    <comment ref="A1259" authorId="31">
      <text>
        <r>
          <rPr>
            <b/>
            <sz val="8"/>
            <color indexed="81"/>
            <rFont val="Tahoma"/>
            <family val="2"/>
          </rPr>
          <t>DJF 12/22/11:</t>
        </r>
        <r>
          <rPr>
            <sz val="8"/>
            <color indexed="81"/>
            <rFont val="Tahoma"/>
            <family val="2"/>
          </rPr>
          <t xml:space="preserve">
Includes 50% share of Borgata EBIT</t>
        </r>
      </text>
    </comment>
    <comment ref="A1260" authorId="31">
      <text>
        <r>
          <rPr>
            <b/>
            <sz val="8"/>
            <color indexed="81"/>
            <rFont val="Tahoma"/>
            <family val="2"/>
          </rPr>
          <t>DJF 12/17/11:</t>
        </r>
        <r>
          <rPr>
            <sz val="8"/>
            <color indexed="81"/>
            <rFont val="Tahoma"/>
            <family val="2"/>
          </rPr>
          <t xml:space="preserve">
Unknown from 1Q11 through 3Q11</t>
        </r>
      </text>
    </comment>
    <comment ref="AU1262" authorId="3">
      <text>
        <r>
          <rPr>
            <b/>
            <sz val="8"/>
            <color indexed="81"/>
            <rFont val="Tahoma"/>
            <family val="2"/>
          </rPr>
          <t>thallen:</t>
        </r>
        <r>
          <rPr>
            <sz val="8"/>
            <color indexed="81"/>
            <rFont val="Tahoma"/>
            <family val="2"/>
          </rPr>
          <t xml:space="preserve">
"Sandy" covenant allows BYD to use the best four quarters of Borgata from the prev. five from 4Q12-3Q13</t>
        </r>
      </text>
    </comment>
    <comment ref="AW1262" authorId="3">
      <text>
        <r>
          <rPr>
            <b/>
            <sz val="8"/>
            <color indexed="81"/>
            <rFont val="Tahoma"/>
            <family val="2"/>
          </rPr>
          <t>thallen:</t>
        </r>
        <r>
          <rPr>
            <sz val="8"/>
            <color indexed="81"/>
            <rFont val="Tahoma"/>
            <family val="2"/>
          </rPr>
          <t xml:space="preserve">
"Sandy" covenant allows BYD to use the best four quarters of Borgata from the prev. five from 4Q12-3Q13</t>
        </r>
      </text>
    </comment>
    <comment ref="AX1262" authorId="3">
      <text>
        <r>
          <rPr>
            <b/>
            <sz val="8"/>
            <color indexed="81"/>
            <rFont val="Tahoma"/>
            <family val="2"/>
          </rPr>
          <t>thallen:</t>
        </r>
        <r>
          <rPr>
            <sz val="8"/>
            <color indexed="81"/>
            <rFont val="Tahoma"/>
            <family val="2"/>
          </rPr>
          <t xml:space="preserve">
"Sandy" covenant allows BYD to use the best four quarters of Borgata from the prev. five from 4Q12-3Q13</t>
        </r>
      </text>
    </comment>
    <comment ref="AY1262" authorId="3">
      <text>
        <r>
          <rPr>
            <b/>
            <sz val="8"/>
            <color indexed="81"/>
            <rFont val="Tahoma"/>
            <family val="2"/>
          </rPr>
          <t>thallen:</t>
        </r>
        <r>
          <rPr>
            <sz val="8"/>
            <color indexed="81"/>
            <rFont val="Tahoma"/>
            <family val="2"/>
          </rPr>
          <t xml:space="preserve">
"Sandy" covenant allows BYD to use the best four quarters of Borgata from the prev. five from 4Q12-3Q13</t>
        </r>
      </text>
    </comment>
    <comment ref="BX1263" authorId="6">
      <text>
        <r>
          <rPr>
            <b/>
            <sz val="9"/>
            <color indexed="81"/>
            <rFont val="Tahoma"/>
            <family val="2"/>
          </rPr>
          <t>Allen, Thomas (Research):</t>
        </r>
        <r>
          <rPr>
            <sz val="9"/>
            <color indexed="81"/>
            <rFont val="Tahoma"/>
            <family val="2"/>
          </rPr>
          <t xml:space="preserve">
Annualize 4 PNK assets and Valley Forge EBITDA</t>
        </r>
      </text>
    </comment>
    <comment ref="BY1263" authorId="6">
      <text>
        <r>
          <rPr>
            <b/>
            <sz val="9"/>
            <color indexed="81"/>
            <rFont val="Tahoma"/>
            <family val="2"/>
          </rPr>
          <t>Allen, Thomas (Research):</t>
        </r>
        <r>
          <rPr>
            <sz val="9"/>
            <color indexed="81"/>
            <rFont val="Tahoma"/>
            <family val="2"/>
          </rPr>
          <t xml:space="preserve">
Annualize 4 PNK assets and Valley Forge EBITDA</t>
        </r>
      </text>
    </comment>
    <comment ref="A1278" authorId="0">
      <text>
        <r>
          <rPr>
            <b/>
            <sz val="8"/>
            <color indexed="81"/>
            <rFont val="Tahoma"/>
            <family val="2"/>
          </rPr>
          <t>urbankev:</t>
        </r>
        <r>
          <rPr>
            <sz val="8"/>
            <color indexed="81"/>
            <rFont val="Tahoma"/>
            <family val="2"/>
          </rPr>
          <t xml:space="preserve">
Borgata debt is excluded from Covenant calculations?</t>
        </r>
      </text>
    </comment>
    <comment ref="AK1279" authorId="0">
      <text>
        <r>
          <rPr>
            <b/>
            <sz val="8"/>
            <color indexed="81"/>
            <rFont val="Tahoma"/>
            <family val="2"/>
          </rPr>
          <t>urbankev:</t>
        </r>
        <r>
          <rPr>
            <sz val="8"/>
            <color indexed="81"/>
            <rFont val="Tahoma"/>
            <family val="2"/>
          </rPr>
          <t xml:space="preserve">
Was 7.25x</t>
        </r>
      </text>
    </comment>
    <comment ref="AP1279" authorId="2">
      <text>
        <r>
          <rPr>
            <b/>
            <sz val="8"/>
            <color indexed="81"/>
            <rFont val="Tahoma"/>
            <family val="2"/>
          </rPr>
          <t>stramark:</t>
        </r>
        <r>
          <rPr>
            <sz val="8"/>
            <color indexed="81"/>
            <rFont val="Tahoma"/>
            <family val="2"/>
          </rPr>
          <t xml:space="preserve">
Was 6x</t>
        </r>
      </text>
    </comment>
    <comment ref="AU1279" authorId="3">
      <text>
        <r>
          <rPr>
            <b/>
            <sz val="8"/>
            <color indexed="81"/>
            <rFont val="Tahoma"/>
            <family val="2"/>
          </rPr>
          <t>thallen:</t>
        </r>
        <r>
          <rPr>
            <sz val="8"/>
            <color indexed="81"/>
            <rFont val="Tahoma"/>
            <family val="2"/>
          </rPr>
          <t xml:space="preserve">
Re-negotiated on 12/28/12</t>
        </r>
      </text>
    </comment>
    <comment ref="AW1279" authorId="3">
      <text>
        <r>
          <rPr>
            <b/>
            <sz val="8"/>
            <color indexed="81"/>
            <rFont val="Tahoma"/>
            <family val="2"/>
          </rPr>
          <t>thallen:</t>
        </r>
        <r>
          <rPr>
            <sz val="8"/>
            <color indexed="81"/>
            <rFont val="Tahoma"/>
            <family val="2"/>
          </rPr>
          <t xml:space="preserve">
Re-negotiated on 12/28/12</t>
        </r>
      </text>
    </comment>
    <comment ref="AX1279" authorId="3">
      <text>
        <r>
          <rPr>
            <b/>
            <sz val="8"/>
            <color indexed="81"/>
            <rFont val="Tahoma"/>
            <family val="2"/>
          </rPr>
          <t>thallen:</t>
        </r>
        <r>
          <rPr>
            <sz val="8"/>
            <color indexed="81"/>
            <rFont val="Tahoma"/>
            <family val="2"/>
          </rPr>
          <t xml:space="preserve">
Re-negotiated on 12/28/12</t>
        </r>
      </text>
    </comment>
    <comment ref="AY1279" authorId="3">
      <text>
        <r>
          <rPr>
            <b/>
            <sz val="8"/>
            <color indexed="81"/>
            <rFont val="Tahoma"/>
            <family val="2"/>
          </rPr>
          <t>thallen:</t>
        </r>
        <r>
          <rPr>
            <sz val="8"/>
            <color indexed="81"/>
            <rFont val="Tahoma"/>
            <family val="2"/>
          </rPr>
          <t xml:space="preserve">
Re-negotiated on 12/28/12</t>
        </r>
      </text>
    </comment>
    <comment ref="AZ1279" authorId="3">
      <text>
        <r>
          <rPr>
            <b/>
            <sz val="8"/>
            <color indexed="81"/>
            <rFont val="Tahoma"/>
            <family val="2"/>
          </rPr>
          <t>thallen:</t>
        </r>
        <r>
          <rPr>
            <sz val="8"/>
            <color indexed="81"/>
            <rFont val="Tahoma"/>
            <family val="2"/>
          </rPr>
          <t xml:space="preserve">
Re-negotiated on 12/28/12</t>
        </r>
      </text>
    </comment>
    <comment ref="BB1279" authorId="3">
      <text>
        <r>
          <rPr>
            <b/>
            <sz val="8"/>
            <color indexed="81"/>
            <rFont val="Tahoma"/>
            <family val="2"/>
          </rPr>
          <t>thallen:</t>
        </r>
        <r>
          <rPr>
            <sz val="8"/>
            <color indexed="81"/>
            <rFont val="Tahoma"/>
            <family val="2"/>
          </rPr>
          <t xml:space="preserve">
Re-negotiated on 12/28/12</t>
        </r>
      </text>
    </comment>
    <comment ref="BC1279" authorId="3">
      <text>
        <r>
          <rPr>
            <b/>
            <sz val="8"/>
            <color indexed="81"/>
            <rFont val="Tahoma"/>
            <family val="2"/>
          </rPr>
          <t>thallen:</t>
        </r>
        <r>
          <rPr>
            <sz val="8"/>
            <color indexed="81"/>
            <rFont val="Tahoma"/>
            <family val="2"/>
          </rPr>
          <t xml:space="preserve">
Re-negotiated on 12/28/12</t>
        </r>
      </text>
    </comment>
    <comment ref="BD1279" authorId="3">
      <text>
        <r>
          <rPr>
            <b/>
            <sz val="8"/>
            <color indexed="81"/>
            <rFont val="Tahoma"/>
            <family val="2"/>
          </rPr>
          <t>thallen:</t>
        </r>
        <r>
          <rPr>
            <sz val="8"/>
            <color indexed="81"/>
            <rFont val="Tahoma"/>
            <family val="2"/>
          </rPr>
          <t xml:space="preserve">
Re-negotiated on 12/28/12</t>
        </r>
      </text>
    </comment>
    <comment ref="BE1279" authorId="3">
      <text>
        <r>
          <rPr>
            <b/>
            <sz val="8"/>
            <color indexed="81"/>
            <rFont val="Tahoma"/>
            <family val="2"/>
          </rPr>
          <t>thallen:</t>
        </r>
        <r>
          <rPr>
            <sz val="8"/>
            <color indexed="81"/>
            <rFont val="Tahoma"/>
            <family val="2"/>
          </rPr>
          <t xml:space="preserve">
Re-negotiated on 12/28/12</t>
        </r>
      </text>
    </comment>
    <comment ref="BJ1279" authorId="3">
      <text>
        <r>
          <rPr>
            <b/>
            <sz val="8"/>
            <color indexed="81"/>
            <rFont val="Tahoma"/>
            <family val="2"/>
          </rPr>
          <t>thallen:</t>
        </r>
        <r>
          <rPr>
            <sz val="8"/>
            <color indexed="81"/>
            <rFont val="Tahoma"/>
            <family val="2"/>
          </rPr>
          <t xml:space="preserve">
6.75x from June 30, 2015 and thereafter (re-negotiated on 12/28/12)</t>
        </r>
      </text>
    </comment>
    <comment ref="A1280" authorId="31">
      <text>
        <r>
          <rPr>
            <b/>
            <sz val="8"/>
            <color indexed="81"/>
            <rFont val="Tahoma"/>
            <family val="2"/>
          </rPr>
          <t>DJF 12/17/11:</t>
        </r>
        <r>
          <rPr>
            <sz val="8"/>
            <color indexed="81"/>
            <rFont val="Tahoma"/>
            <family val="2"/>
          </rPr>
          <t xml:space="preserve">
Per BYD 10-Q/K</t>
        </r>
      </text>
    </comment>
    <comment ref="AU1280" authorId="3">
      <text>
        <r>
          <rPr>
            <b/>
            <sz val="8"/>
            <color indexed="81"/>
            <rFont val="Tahoma"/>
            <family val="2"/>
          </rPr>
          <t>thallen:</t>
        </r>
        <r>
          <rPr>
            <sz val="8"/>
            <color indexed="81"/>
            <rFont val="Tahoma"/>
            <family val="2"/>
          </rPr>
          <t xml:space="preserve">
Per 4Q earnings</t>
        </r>
      </text>
    </comment>
    <comment ref="AU1281" authorId="3">
      <text>
        <r>
          <rPr>
            <b/>
            <sz val="8"/>
            <color indexed="81"/>
            <rFont val="Tahoma"/>
            <family val="2"/>
          </rPr>
          <t>thallen:</t>
        </r>
        <r>
          <rPr>
            <sz val="8"/>
            <color indexed="81"/>
            <rFont val="Tahoma"/>
            <family val="2"/>
          </rPr>
          <t xml:space="preserve">
Per mgmt, 7.35x</t>
        </r>
      </text>
    </comment>
    <comment ref="AU1287" authorId="3">
      <text>
        <r>
          <rPr>
            <b/>
            <sz val="8"/>
            <color indexed="81"/>
            <rFont val="Tahoma"/>
            <family val="2"/>
          </rPr>
          <t>thallen:</t>
        </r>
        <r>
          <rPr>
            <sz val="8"/>
            <color indexed="81"/>
            <rFont val="Tahoma"/>
            <family val="2"/>
          </rPr>
          <t xml:space="preserve">
Re-negotiated on 12/28/12</t>
        </r>
      </text>
    </comment>
    <comment ref="AW1287" authorId="3">
      <text>
        <r>
          <rPr>
            <b/>
            <sz val="8"/>
            <color indexed="81"/>
            <rFont val="Tahoma"/>
            <family val="2"/>
          </rPr>
          <t>thallen:</t>
        </r>
        <r>
          <rPr>
            <sz val="8"/>
            <color indexed="81"/>
            <rFont val="Tahoma"/>
            <family val="2"/>
          </rPr>
          <t xml:space="preserve">
Re-negotiated on 12/28/12</t>
        </r>
      </text>
    </comment>
    <comment ref="AX1287" authorId="3">
      <text>
        <r>
          <rPr>
            <b/>
            <sz val="8"/>
            <color indexed="81"/>
            <rFont val="Tahoma"/>
            <family val="2"/>
          </rPr>
          <t>thallen:</t>
        </r>
        <r>
          <rPr>
            <sz val="8"/>
            <color indexed="81"/>
            <rFont val="Tahoma"/>
            <family val="2"/>
          </rPr>
          <t xml:space="preserve">
Re-negotiated on 12/28/12</t>
        </r>
      </text>
    </comment>
    <comment ref="AY1287" authorId="3">
      <text>
        <r>
          <rPr>
            <b/>
            <sz val="8"/>
            <color indexed="81"/>
            <rFont val="Tahoma"/>
            <family val="2"/>
          </rPr>
          <t>thallen:</t>
        </r>
        <r>
          <rPr>
            <sz val="8"/>
            <color indexed="81"/>
            <rFont val="Tahoma"/>
            <family val="2"/>
          </rPr>
          <t xml:space="preserve">
Re-negotiated on 12/28/12</t>
        </r>
      </text>
    </comment>
    <comment ref="AZ1287" authorId="3">
      <text>
        <r>
          <rPr>
            <b/>
            <sz val="8"/>
            <color indexed="81"/>
            <rFont val="Tahoma"/>
            <family val="2"/>
          </rPr>
          <t>thallen:</t>
        </r>
        <r>
          <rPr>
            <sz val="8"/>
            <color indexed="81"/>
            <rFont val="Tahoma"/>
            <family val="2"/>
          </rPr>
          <t xml:space="preserve">
Re-negotiated on 12/28/12</t>
        </r>
      </text>
    </comment>
    <comment ref="BB1287" authorId="3">
      <text>
        <r>
          <rPr>
            <b/>
            <sz val="8"/>
            <color indexed="81"/>
            <rFont val="Tahoma"/>
            <family val="2"/>
          </rPr>
          <t>thallen:</t>
        </r>
        <r>
          <rPr>
            <sz val="8"/>
            <color indexed="81"/>
            <rFont val="Tahoma"/>
            <family val="2"/>
          </rPr>
          <t xml:space="preserve">
Re-negotiated on 12/28/12</t>
        </r>
      </text>
    </comment>
    <comment ref="BC1287" authorId="3">
      <text>
        <r>
          <rPr>
            <b/>
            <sz val="8"/>
            <color indexed="81"/>
            <rFont val="Tahoma"/>
            <family val="2"/>
          </rPr>
          <t>thallen:</t>
        </r>
        <r>
          <rPr>
            <sz val="8"/>
            <color indexed="81"/>
            <rFont val="Tahoma"/>
            <family val="2"/>
          </rPr>
          <t xml:space="preserve">
Re-negotiated on 12/28/12</t>
        </r>
      </text>
    </comment>
    <comment ref="BD1287" authorId="3">
      <text>
        <r>
          <rPr>
            <b/>
            <sz val="8"/>
            <color indexed="81"/>
            <rFont val="Tahoma"/>
            <family val="2"/>
          </rPr>
          <t>thallen:</t>
        </r>
        <r>
          <rPr>
            <sz val="8"/>
            <color indexed="81"/>
            <rFont val="Tahoma"/>
            <family val="2"/>
          </rPr>
          <t xml:space="preserve">
Re-negotiated on 12/28/12</t>
        </r>
      </text>
    </comment>
    <comment ref="BE1287" authorId="3">
      <text>
        <r>
          <rPr>
            <b/>
            <sz val="8"/>
            <color indexed="81"/>
            <rFont val="Tahoma"/>
            <family val="2"/>
          </rPr>
          <t>thallen:</t>
        </r>
        <r>
          <rPr>
            <sz val="8"/>
            <color indexed="81"/>
            <rFont val="Tahoma"/>
            <family val="2"/>
          </rPr>
          <t xml:space="preserve">
Re-negotiated on 12/28/12</t>
        </r>
      </text>
    </comment>
    <comment ref="BJ1287" authorId="3">
      <text>
        <r>
          <rPr>
            <b/>
            <sz val="8"/>
            <color indexed="81"/>
            <rFont val="Tahoma"/>
            <family val="2"/>
          </rPr>
          <t>thallen:</t>
        </r>
        <r>
          <rPr>
            <sz val="8"/>
            <color indexed="81"/>
            <rFont val="Tahoma"/>
            <family val="2"/>
          </rPr>
          <t xml:space="preserve">
3.50x from June 30, 2015 and thereafter (re-negotiated on 12/28/12)</t>
        </r>
      </text>
    </comment>
    <comment ref="AU1288" authorId="3">
      <text>
        <r>
          <rPr>
            <b/>
            <sz val="8"/>
            <color indexed="81"/>
            <rFont val="Tahoma"/>
            <family val="2"/>
          </rPr>
          <t>thallen:</t>
        </r>
        <r>
          <rPr>
            <sz val="8"/>
            <color indexed="81"/>
            <rFont val="Tahoma"/>
            <family val="2"/>
          </rPr>
          <t xml:space="preserve">
Per 4Q earnings</t>
        </r>
      </text>
    </comment>
    <comment ref="AU1289" authorId="3">
      <text>
        <r>
          <rPr>
            <b/>
            <sz val="8"/>
            <color indexed="81"/>
            <rFont val="Tahoma"/>
            <family val="2"/>
          </rPr>
          <t>thallen:</t>
        </r>
        <r>
          <rPr>
            <sz val="8"/>
            <color indexed="81"/>
            <rFont val="Tahoma"/>
            <family val="2"/>
          </rPr>
          <t xml:space="preserve">
Per mgmt, 3.89x</t>
        </r>
      </text>
    </comment>
    <comment ref="AW1289" authorId="3">
      <text>
        <r>
          <rPr>
            <b/>
            <sz val="8"/>
            <color indexed="81"/>
            <rFont val="Tahoma"/>
            <family val="2"/>
          </rPr>
          <t>thallen:</t>
        </r>
        <r>
          <rPr>
            <sz val="8"/>
            <color indexed="81"/>
            <rFont val="Tahoma"/>
            <family val="2"/>
          </rPr>
          <t xml:space="preserve">
Leverage improves ~0.5x with sale of Dania and Echelon, per mgmt on 4Q12 call</t>
        </r>
      </text>
    </comment>
    <comment ref="AX1289" authorId="3">
      <text>
        <r>
          <rPr>
            <b/>
            <sz val="8"/>
            <color indexed="81"/>
            <rFont val="Tahoma"/>
            <family val="2"/>
          </rPr>
          <t>thallen:</t>
        </r>
        <r>
          <rPr>
            <sz val="8"/>
            <color indexed="81"/>
            <rFont val="Tahoma"/>
            <family val="2"/>
          </rPr>
          <t xml:space="preserve">
Leverage improves ~0.5x with sale of Dania and Echelon, per mgmt on 4Q12 call</t>
        </r>
      </text>
    </comment>
    <comment ref="AX1293" authorId="3">
      <text>
        <r>
          <rPr>
            <b/>
            <sz val="8"/>
            <color indexed="81"/>
            <rFont val="Tahoma"/>
            <family val="2"/>
          </rPr>
          <t>thallen:</t>
        </r>
        <r>
          <rPr>
            <sz val="8"/>
            <color indexed="81"/>
            <rFont val="Tahoma"/>
            <family val="2"/>
          </rPr>
          <t xml:space="preserve">
Re-negotiated on 12/28/12</t>
        </r>
      </text>
    </comment>
    <comment ref="BB1293" authorId="3">
      <text>
        <r>
          <rPr>
            <b/>
            <sz val="8"/>
            <color indexed="81"/>
            <rFont val="Tahoma"/>
            <family val="2"/>
          </rPr>
          <t>thallen:</t>
        </r>
        <r>
          <rPr>
            <sz val="8"/>
            <color indexed="81"/>
            <rFont val="Tahoma"/>
            <family val="2"/>
          </rPr>
          <t xml:space="preserve">
Re-negotiated on 12/28/12</t>
        </r>
      </text>
    </comment>
  </commentList>
</comments>
</file>

<file path=xl/comments2.xml><?xml version="1.0" encoding="utf-8"?>
<comments xmlns="http://schemas.openxmlformats.org/spreadsheetml/2006/main">
  <authors>
    <author>urbankev</author>
  </authors>
  <commentList>
    <comment ref="A1" authorId="0">
      <text>
        <r>
          <rPr>
            <b/>
            <sz val="8"/>
            <color indexed="81"/>
            <rFont val="Tahoma"/>
            <family val="2"/>
          </rPr>
          <t>卟䙄_x0003_＀＀쮂䮁_x001E_奂幄䙆䕟呎偒归䅖彌䅄䱉⡙㜳㤵⤱Ř＀＀ ＀＀ŀ＀＀_x0008_＀＀_x0001_＀＀_x0001_＀＀_x0001_＀＀䷒ꢂ䂞摦畳㩰⼯楤敲瑣潩獮䘯呁嘠敩敷㽲捡楴湯唽䑐呁♅牣慥潴㵲慦瑣敳♴奄彎剁升吽啒♅佄彃䅎䕍䘽呁䘺䱑䅟䑕呉义彇䱃䕉呎呟䵅䱐呁⹅䅆♔楤灳慬役瑳楲杮䄽摵瑩嘦剁䬺奅䴽䭂䝄䝈䝒♒䅖㩒啑剅㵙歒晚啒唵汕卂ㅘ䉚䙔䔹啑䵬南穧穎㕕卍㵫圦义佄㵗䥆卒彔佐啐♐䕈䝉呈㐽〵圦䑉䡔㐽〵匦䅔呒䵟塁䵉婉䑅䘽䱁䕓嘦剁䌺䱁久䅄㵒单嘦剁区䵙佂㵌奂♄䅖㩒义䕄㵘0쮁䮁_x001E_奂幄䙆䕟呎偒归䅖彌䅄䱉⡙㜳㤱⤶Ř＀＀ ＀＀ŀ＀＀_x0008_＀＀_x0001_＀＀_x0001_＀＀_x0001_＀＀嘃ⴎ羲䂔摦畳㩰⼯楤敲瑣潩獮䘯呁嘠敩敷㽲捡楴湯唽䑐呁♅牣慥潴㵲慦瑣敳♴奄彎剁升吽啒♅佄彃䅎䕍䘽呁䘺䱑䅟䑕呉义彇䱃䕉呎呟䵅䱐呁⹅䅆♔楤灳慬役瑳楲杮䄽摵瑩嘦剁䬺奅䬽䥈䍚佌䅎♆䅖㩒啑剅㵙歒晚啒唵汕卂ㅘ䉚䙔䔹啑䵬南穧穎㕅楎㵫圦义佄㵗䥆卒彔佐啐♐䕈䝉呈㐽〵圦䑉䡔㐽〵匦䅔呒䵟塁䵉婉䑅䘽䱁䕓嘦剁䌺䱁久䅄㵒单嘦剁区䵙佂㵌奂♄䅖㩒义䕄㵘0쮃䮁_x001E_奂幄䙆䕟呎偒归䅖彌䅄䱉⡙㠳㌲⤱Ř＀＀ ＀＀ŀ＀＀_x0008_＀＀_x0001_＀＀_x0001_＀＀_x0001_＀＀ᾴ∩镃䂧摦畳㩰⼯楤敲瑣潩獮䘯呁嘠敩敷㽲捡楴湯唽䑐呁♅牣慥潴㵲慦瑣敳♴奄彎剁升吽啒♅佄彃䅎䕍䘽呁䘺䱑䅟䑕呉义彇䱃䕉呎呟䵅䱐呁⹅䅆♔楤灳慬役瑳楲杮䄽摵瑩嘦剁䬺奅伽䝎䕂䕂奌♎䅖㩒啑剅㵙歒晚啒唵汕卂ㅘ䉚䙔䔹啑䵬南穧䑏穉卍㵫圦义佄㵗䥆卒彔佐啐♐䕈䝉呈㐽〵圦䑉䡔㐽〵匦䅔呒䵟塁䵉婉䑅䘽䱁䕓嘦剁䌺䱁久䅄㵒单嘦剁区䵙佂㵌奂♄䅖㩒义䕄㵘0쮆䮁_x001E_奂幄䙆䕟呎偒归䅖彌䅄䱉⡙〴㈲⤹Ř＀＀ ＀＀ŀ＀＀_x0008_＀＀_x0001_＀＀_x0001_＀＀_x0001_＀＀鶲꟯叆䂩摦畳㩰⼯楤敲瑣潩獮䘯呁嘠敩敷㽲捡楴湯唽䑐呁♅牣慥潴㵲慦瑣敳♴奄彎剁升吽啒♅佄彃䅎䕍䘽呁䘺䱑䅟䑕呉义彇䱃䕉呎呟䵅䱐呁⹅䅆♔楤灳慬役瑳楲杮䄽摵瑩嘦剁䬺奅䌽䅊奔䍆奘♊䅖㩒啑剅㵙歒晚啒唵汕卂ㅘ䉚䙔䔹啑䵬南で䑍祉协㵫圦义佄㵗䥆卒彔佐啐♐䕈䝉呈㐽〵圦䑉䡔㐽〵匦䅔呒䵟塁䵉婉䑅䘽䱁䕓嘦剁䌺䱁久䅄㵒单嘦剁区䵙佂㵌奂♄䅖㩒义䕄㵘0쮆䮁_x001E_奂幄䙆䕟呎偒归䅖彌䅄䱉⡙〴㠰⤷Ř＀＀ ＀＀ŀ＀＀_x0008_＀＀_x0001_＀＀_x0001_＀＀_x0001_＀＀䁤競_xDA77_䂪摦畳㩰⼯楤敲瑣潩獮䘯呁嘠敩敷㽲捡楴湯唽䑐呁♅牣慥潴㵲慦瑣敳♴奄彎剁升吽啒♅佄彃䅎䕍䘽呁䘺䱑䅟䑕呉义彇䱃䕉呎呟䵅䱐呁⹅䅆♔楤灳慬役瑳楲杮䄽摵瑩嘦剁䬺奅儽佔兘卒坎♎䅖㩒啑剅㵙歒晚啒唵汕卂ㅘ䉚䙔䔹啑䵬南で䑍㑁祎㵫圦义佄㵗䥆卒彔佐啐♐䕈䝉呈㐽〵圦䑉䡔㐽〵匦䅔呒䵟塁䵉婉䑅䘽䱁䕓嘦剁䌺䱁久䅄㵒单嘦剁区䵙佂㵌奂♄䅖㩒义䕄㵘0쮄䮁_x001E_奂幄䙆䕟呎偒归䅖彌䅄䱉⡙㠳〸⤸Ř＀＀ ＀＀ŀ＀＀_x0008_＀＀_x0001_＀＀_x0001_＀＀_x0001_＀＀姞−䂻摦畳㩰⼯楤敲瑣潩獮䘯呁嘠敩敷㽲捡楴湯唽䑐呁♅牣慥潴㵲慦瑣敳♴奄彎剁升吽啒♅佄彃䅎䕍䘽呁䘺䱑䅟䑕呉义彇䱃䕉呎呟䵅䱐呁⹅䅆♔楤灳慬役瑳楲杮䄽摵瑩嘦剁䬺奅圽卄奒䅈䭊♔䅖㩒啑剅㵙歒晚啒唵汕卂ㅘ䉚䙔䔹啑䵬南穧䑏睧䍏㵫圦义佄㵗䥆卒彔佐啐♐䕈䝉呈㐽〵圦䑉䡔㐽〵匦䅔呒䵟塁䵉婉䑅䘽䱁䕓嘦剁䌺䱁久䅄㵒单嘦剁区䵙佂㵌奂♄䅖㩒义䕄㵘0쮅䮁_x001E_奂幄䙆䕟呎偒归䅖彌䅄䱉⡙㤳㐴⤸Ř＀＀ ＀＀ŀ＀＀_x0008_＀＀_x0001_＀＀_x0001_＀＀_x0001_＀＀滖킻쭼䂳摦畳㩰⼯楤敲瑣潩獮䘯呁嘠敩敷㽲捡楴湯唽䑐呁♅牣慥潴㵲慦瑣敳♴奄彎剁升吽啒♅佄彃䅎䕍䘽呁䘺䱑䅟䑕呉义彇䱃䕉呎呟䵅䱐呁⹅䅆♔楤灳慬役瑳楲杮䄽摵瑩嘦剁䬺奅匽䍒䍐但坎♈䅖㩒啑剅㵙歒晚啒唵汕卂ㅘ䉚䙔䔹啑䵬南穧呏け䍏㵫圦义佄㵗䥆卒彔佐啐♐䕈䝉呈㐽〵圦䑉䡔㐽〵匦䅔呒䵟塁䵉婉䑅䘽䱁䕓嘦剁䌺䱁久䅄㵒单嘦剁区䵙佂㵌奂♄䅖㩒义䕄㵘0쮆䮁_x001E_奂幄䙆䕟呎偒归䅖彌䅄䱉⡙㤳㌶⤰Ř＀＀ ＀＀ŀ＀＀_x0008_＀＀_x0001_＀＀_x0001_＀＀_x0001_＀＀授_xDC5D__xD9C6_䂩摦畳㩰⼯楤敲瑣潩獮䘯呁嘠敩敷㽲捡楴湯唽䑐呁♅牣慥潴㵲慦瑣敳♴奄彎剁升吽啒♅佄彃䅎䕍䘽呁䘺䱑䅟䑕呉义彇䱃䕉呎呟䵅䱐呁⹅䅆♔楤灳慬役瑳楲杮䄽摵瑩嘦剁䬺奅儽博䥘兖佖♐䅖㩒啑剅㵙歒晚啒唵汕卂ㅘ䉚䙔䔹啑䵬南穧呏穙䍍㵫圦义佄㵗䥆卒彔佐啐♐䕈䝉呈㐽〵圦䑉䡔㐽〵匦䅔呒䵟塁䵉婉䑅䘽䱁䕓嘦剁䌺䱁久䅄㵒单嘦剁区䵙佂㵌奂♄䅖㩒义䕄㵘0쮂䮁_x001E_奂幄䙆䕟呎偒归䅖彌䅄䱉⡙㜳㐷⤲Ř＀＀ ＀＀ŀ＀＀_x0008_＀＀_x0001_＀＀_x0001_＀＀_x0001_＀＀멞౉ᖂ䂟摦畳㩰⼯楤敲瑣潩獮䘯呁嘠敩敷㽲捡楴湯唽䑐呁♅牣慥潴㵲慦瑣敳♴奄彎剁升吽啒♅佄彃䅎䕍䘽呁䘺䱑䅟䑕呉义彇䱃䕉呎呟䵅䱐呁⹅䅆♔楤灳慬役瑳楲杮䄽摵瑩嘦剁䬺奅䬽䵂坄䝒䝖♊䅖㩒啑剅㵙歒晚啒唵汕卂ㅘ䉚䙔䔹啑䵬南穧穎っ楍㵫圦义佄㵗䥆卒彔佐啐♐䕈䝉呈㐽〵圦䑉䡔㐽〵匦䅔呒䵟塁䵉婉䑅䘽䱁䕓嘦剁䌺䱁久䅄㵒单嘦剁区䵙佂㵌奂♄䅖㩒义䕄㵘0쮁䮁_x001E_奂幄䙆䕟呎偒归䅖彌䅄䱉⡙㜳㐳⤷Ř＀＀ ＀＀ŀ＀＀_x0008_＀＀_x0001_＀＀_x0001_＀＀_x0001_＀＀㼪썩䂟摦畳㩰⼯楤敲瑣潩獮䘯呁嘠敩敷㽲捡楴湯唽䑐呁♅牣慥潴㵲慦瑣敳♴奄彎剁升吽啒♅佄彃䅎䕍䘽呁䘺䱑䅟䑕呉义彇䱃䕉呎呟䵅䱐呁⹅䅆♔楤灳慬役瑳楲杮䄽摵瑩嘦剁䬺奅䤽䅊䭔䕒䝎♆䅖㩒啑剅㵙歒晚啒唵汕卂ㅘ䉚䙔䔹啑䵬南穧穎き祎㵫圦义佄㵗䥆卒彔佐啐♐䕈䝉呈㐽〵圦䑉䡔㐽〵匦䅔呒䵟塁䵉婉䑅䘽䱁䕓嘦剁䌺䱁久䅄㵒单嘦剁区䵙佂㵌奂♄䅖㩒义䕄㵘0쮀䮁_x001E_奂幄䙆䕟呎偒归䅖彌䅄䱉⡙㘳㔵⤷Ř＀＀ ＀＀ŀ＀＀_x0008_＀＀_x0001_＀＀_x0001_＀＀_x0001_＀＀뙆ﷳ⋴䂓摦畳㩰⼯楤敲瑣潩獮䘯呁嘠敩敷㽲捡楴湯唽䑐呁♅牣慥潴㵲慦瑣敳♴奄彎剁升吽啒♅佄彃䅎䕍䘽呁䘺䱑䅟䑕呉义彇䱃䕉呎呟䵅䱐呁⹅䅆♔楤灳慬役瑳楲杮䄽摵瑩嘦剁䬺奅䌽䥔商䵔奊♖䅖㩒啑剅㵙歒晚啒唵汕卂ㅘ䉚䙔䔹啑䵬南穧橎ㅕ祎㵫圦义佄㵗䥆卒彔佐啐♐䕈䝉呈㐽〵圦䑉䡔㐽〵匦䅔呒䵟塁䵉婉䑅䘽䱁䕓嘦剁䌺䱁久䅄㵒单嘦剁区䵙佂㵌奂♄䅖㩒义䕄㵘0쮄䮁_x001E_奂幄䙆䕟呎偒归䅖彌䅄䱉⡙㤳㈰⤲Ř＀＀ ＀＀ŀ＀＀_x0008_＀＀_x0001_＀＀_x0001_＀＀_x0001_＀＀Ꝉ粮䂶摦畳㩰⼯楤敲瑣潩獮䘯呁嘠敩敷㽲捡楴湯唽䑐呁♅牣慥潴㵲慦瑣敳♴奄彎剁升吽啒♅佄彃䅎䕍䘽呁䘺䱑䅟䑕呉义彇䱃䕉呎呟䵅䱐呁⹅䅆♔楤灳慬役瑳楲杮䄽摵瑩嘦剁䬺奅䤽佂䝂協奂♒䅖㩒啑剅㵙歒晚啒唵汕卂ㅘ䉚䙔䔹啑䵬南穧呏祁楍㵫圦义佄㵗䥆卒彔佐啐♐䕈䝉呈㐽〵圦䑉䡔㐽〵匦䅔呒䵟塁䵉婉䑅䘽䱁䕓嘦剁䌺䱁久䅄㵒单嘦剁区䵙佂㵌奂♄䅖㩒义䕄㵘0쮄䮁_x001E_奂幄䙆䕟呎偒归䅖彌䅄䱉⡙㠳㤹⤱Ř＀＀ ＀＀ŀ＀＀_x0008_＀＀_x0001_＀＀_x0001_＀＀_x0001_＀＀珿⾘⩯䂷摦畳㩰⼯楤敲瑣潩獮䘯呁嘠敩敷㽲捡楴湯唽䑐呁♅牣慥潴㵲慦瑣敳♴奄彎剁升吽啒♅佄彃䅎䕍䘽呁䘺䱑䅟䑕呉义彇䱃䕉呎呟䵅䱐呁⹅䅆♔楤灳慬役瑳楲杮䄽摵瑩嘦剁䬺奅圽奐䭔䕂坘♔䅖㩒啑剅㵙歒晚啒唵汕卂ㅘ䉚䙔䔹啑䵬南穧䑏㕫卍㵫圦义佄㵗䥆卒彔佐啐♐䕈䝉呈㐽〵圦䑉䡔㐽〵匦䅔呒䵟塁䵉婉䑅䘽䱁䕓嘦剁䌺䱁久䅄㵒单嘦剁区䵙佂㵌奂♄䅖㩒义䕄㵘0쮂䮁_x001E_奂幄䙆䕟呎偒归䅖彌䅄䱉⡙㜳㔹⤶Ř＀＀ ＀＀ŀ＀＀_x0008_＀＀_x0001_＀＀_x0001_＀＀_x0001_＀＀빷᪟僿䂠摦畳㩰⼯楤敲瑣潩獮䘯呁嘠敩敷㽲捡楴湯唽䑐呁♅牣慥潴㵲慦瑣敳♴奄彎剁升吽啒♅佄彃䅎䕍䘽呁䘺䱑䅟䑕呉义彇䱃䕉呎呟䵅䱐呁⹅䅆♔楤灳慬役瑳楲杮䄽摵瑩嘦剁䬺奅䌽䭆奐坊䭘♄䅖㩒啑剅㵙歒晚啒唵汕卂ㅘ䉚䙔䔹啑䵬南穧穎ㅫ楎㵫圦义佄㵗䥆卒彔佐啐♐䕈䝉呈㐽〵圦䑉䡔㐽〵匦䅔呒䵟塁䵉婉䑅䘽䱁䕓嘦剁䌺䱁久䅄㵒单嘦剁区䵙佂㵌奂♄䅖㩒义䕄㵘0쮄䮁_x001E_奂幄䙆䕟呎偒归䅖彌䅄䱉⡙㠳㤵⤶Ř＀＀ ＀＀ŀ＀＀_x0008_＀＀_x0001_＀＀_x0001_＀＀_x0001_＀＀˴ꏬ韣䂸摦畳㩰⼯楤敲瑣潩獮䘯呁嘠敩敷㽲捡楴湯唽䑐呁♅牣慥潴㵲慦瑣敳♴奄彎剁升吽啒♅佄彃䅎䕍䘽呁䘺䱑䅟䑕呉义彇䱃䕉呎呟䵅䱐呁⹅䅆♔楤灳慬役瑳楲杮䄽摵瑩嘦剁䬺奅䄽䭎䕊坘坌♌䅖㩒啑剅㵙歒晚啒唵汕卂ㅘ䉚䙔䔹啑䵬南穧䑏㕕楎㵫圦义佄㵗䥆卒彔佐啐♐䕈䝉呈㐽〵圦䑉䡔㐽〵匦䅔呒䵟塁䵉婉䑅䘽䱁䕓嘦剁䌺䱁久䅄㵒单嘦剁区䵙佂㵌奂♄䅖㩒义䕄㵘0쮅䮁_x001E_奂幄䙆䕟呎偒归䅖彌䅄䱉⡙㤳㜱⤳Ř＀＀ ＀＀ŀ＀＀_x0008_＀＀_x0001_＀＀_x0001_＀＀_x0001_＀＀赥衺僆䂸摦畳㩰⼯楤敲瑣潩獮䘯呁嘠敩敷㽲捡楴湯唽䑐呁♅牣慥潴㵲慦瑣敳♴奄彎剁升吽啒♅佄彃䅎䕍䘽呁䘺䱑䅟䑕呉义彇䱃䕉呎呟䵅䱐呁⹅䅆♔楤灳慬役瑳楲杮䄽摵瑩嘦剁䬺奅䔽䅚兊䕂䝖♈䅖㩒啑剅㵙歒晚啒唵汕卂ㅘ䉚䙔䔹啑䵬南穧呏㍅祍㵫圦义佄㵗䥆卒彔佐啐♐䕈䝉呈㐽〵圦䑉䡔㐽〵匦䅔呒䵟塁䵉婉䑅䘽䱁䕓嘦剁䌺䱁久䅄㵒单嘦剁区䵙佂㵌奂♄䅖㩒义䕄㵘0쮆䮁_x001E_奂幄䙆䕟呎偒归䅖彌䅄䱉⡙㤳㤹⤵Ř＀＀ ＀＀ŀ＀＀_x0008_＀＀_x0001_＀＀_x0001_＀＀_x0001_＀＀놅₅䂩摦畳㩰⼯楤敲瑣潩獮䘯呁嘠敩敷㽲捡楴湯唽䑐呁♅牣慥潴㵲慦瑣敳♴奄彎剁升吽啒♅佄彃䅎䕍䘽呁䘺䱑䅟䑕呉义彇䱃䕉呎呟䵅䱐呁⹅䅆♔楤灳慬役瑳楲杮䄽摵瑩嘦剁䬺奅䤽坒党啂佔♚䅖㩒啑剅㵙歒晚啒唵汕卂ㅘ䉚䙔䔹啑䵬南穧呏㕫华㵫圦义佄㵗䥆卒彔佐啐♐䕈䝉呈㐽〵圦䑉䡔㐽〵匦䅔呒䵟塁䵉婉䑅䘽䱁䕓嘦剁䌺䱁久䅄㵒单嘦剁区䵙佂㵌奂♄䅖㩒义䕄㵘0쮀䮁_x001E_奂幄䙆䕟呎偒归䅖彌䅄䱉⡙㘳〷⤸Ř＀＀ ＀＀ŀ＀＀_x0008_＀＀_x0001_＀＀_x0001_＀＀_x0001_＀＀ﷴ磔ኙ䂒摦畳㩰⼯楤敲瑣潩獮䘯呁嘠敩敷㽲捡楴湯唽䑐呁♅牣慥潴㵲慦瑣敳♴奄彎剁升吽啒♅佄彃䅎䕍䘽呁䘺䱑䅟䑕呉义彇䱃䕉呎呟䵅䱐呁⹅䅆♔楤灳慬役瑳楲杮䄽摵瑩嘦剁䬺奅䜽䕔佚佔奌♈䅖㩒啑剅㵙歒晚啒唵汕卂ㅘ䉚䙔䔹啑䵬南穧橎督䍏㵫圦义佄㵗䥆卒彔佐啐♐䕈䝉呈㐽〵圦䑉䡔㐽〵匦䅔呒䵟塁䵉婉䑅䘽䱁䕓嘦剁䌺䱁久䅄㵒单嘦剁区䵙佂㵌奂♄䅖㩒义䕄㵘0쮁䮁_x001E_奂幄䙆䕟呎偒归䅖彌䅄䱉⡙㜳㌵⤰Ř＀＀ ＀＀ŀ＀＀_x0008_＀＀_x0001_＀＀_x0001_＀＀_x0001_＀＀勧啜霦䂡摦畳㩰⼯楤敲瑣潩獮䘯呁嘠敩敷㽲捡楴湯唽䑐呁♅牣慥潴㵲慦瑣敳♴奄彎剁升吽啒♅佄彃䅎䕍䘽呁䘺䱑䅟䑕呉义彇䱃䕉呎呟䵅䱐呁⹅䅆♔楤灳慬役瑳楲杮䄽摵瑩嘦剁䬺奅䔽䍔䥚䕎佒♊䅖㩒啑剅㵙歒晚啒唵汕卂ㅘ䉚䙔䔹啑䵬南穧穎穕䍍㵫圦义佄㵗䥆卒彔佐啐♐䕈䝉呈㐽〵圦䑉䡔㐽〵匦䅔呒䵟塁䵉婉䑅䘽䱁䕓嘦剁䌺䱁久䅄㵒单嘦剁区䵙佂㵌奂♄䅖㩒义䕄㵘0쮆䮁_x001E_奂幄䙆䕟呎偒归䅖彌䅄䱉⡙㤳㐸⤵Ř＀＀ ＀＀ŀ＀＀_x0008_＀＀_x0001_＀＀_x0001_＀＀_x0001_＀＀轈_xDBDF_ޔ䂧摦畳㩰⼯楤敲瑣潩獮䘯呁嘠敩敷㽲捡楴湯唽䑐呁♅牣慥潴㵲慦瑣敳♴奄彎剁升吽啒♅佄彃䅎䕍䘽呁䘺䱑䅟䑕呉义彇䱃䕉呎呟䵅䱐呁⹅䅆♔楤灳慬役瑳楲杮䄽摵瑩嘦剁䬺奅䬽䕖啐兌䍌♔䅖㩒啑剅㵙歒晚啒唵汕卂ㅘ䉚䙔䔹啑䵬南穧呏で华㵫圦义佄㵗䥆卒彔佐啐♐䕈䝉呈㐽〵圦䑉䡔㐽〵匦䅔呒䵟塁䵉婉䑅䘽䱁䕓嘦剁䌺䱁久䅄㵒单嘦剁区䵙佂㵌奂♄䅖㩒义䕄㵘0쮁䮁_x001E_奂幄䙆䕟呎偒归䅖彌䅄䱉⡙㜳㌱⤵Ř＀＀ ＀＀ŀ＀＀_x0008_＀＀_x0001_＀＀_x0001_＀＀_x0001_＀＀㕀멞훉䂕摦畳㩰⼯楤敲瑣潩獮䘯呁嘠敩敷㽲捡楴湯唽䑐呁♅牣慥潴㵲慦瑣敳♴奄彎剁升吽啒♅佄彃䅎䕍䘽呁䘺䱑䅟䑕呉义彇䱃䕉呎呟䵅䱐呁⹅䅆♔楤灳慬役瑳楲杮䄽摵瑩嘦剁䬺奅圽䍆佈䕔䵚♂䅖㩒啑剅㵙歒晚啒唵汕卂ㅘ䉚䙔䔹啑䵬南穧穎穅华㵫圦义佄㵗䥆卒彔佐啐♐䕈䝉呈㐽〵圦䑉䡔㐽〵匦䅔呒䵟塁䵉婉䑅䘽䱁䕓嘦剁䌺䱁久䅄㵒单嘦剁区䵙佂㵌奂♄䅖㩒义䕄㵘0쮅䮁_x001E_奂幄䙆䕟呎偒归䅖彌䅄䱉⡙㤳㠳⤷Ř＀＀ ＀＀ŀ＀＀_x0008_＀＀_x0001_＀＀_x0001_＀＀_x0001_＀＀嘄ⴎ맢䂵摦畳㩰⼯楤敲瑣潩獮䘯呁嘠敩敷㽲捡楴湯唽䑐呁♅牣慥潴㵲慦瑣敳♴奄彎剁升吽啒♅佄彃䅎䕍䘽呁䘺䱑䅟䑕呉义彇䱃䕉呎呟䵅䱐呁⹅䅆♔楤灳慬役瑳楲杮䄽摵瑩嘦剁䬺奅䔽䕆䝚䭖䝎♌䅖㩒啑剅㵙歒晚啒唵汕卂ㅘ䉚䙔䔹啑䵬南穧呏㑍祎㵫圦义佄㵗䥆卒彔佐啐♐䕈䝉呈㐽〵圦䑉䡔㐽〵匦䅔呒䵟塁䵉婉䑅䘽䱁䕓嘦剁䌺䱁久䅄㵒单嘦剁区䵙佂㵌奂♄䅖㩒义䕄㵘0쮆䮁_x001E_奂幄䙆䕟呎偒归䅖彌䅄䱉⡙〴㈰⤶Ř＀＀ ＀＀ŀ＀＀_x0008_＀＀_x0001_＀＀_x0001_＀＀_x0001_＀＀䫟䑆䂪摦畳㩰⼯楤敲瑣潩獮䘯呁嘠敩敷㽲捡楴湯唽䑐呁♅牣慥潴㵲慦瑣敳♴奄彎剁升吽啒♅佄彃䅎䕍䘽呁䘺䱑䅟䑕呉义彇䱃䕉呎呟䵅䱐呁⹅䅆♔楤灳慬役瑳楲杮䄽摵瑩嘦剁䬺奅儽佐坌商䭎♎䅖㩒啑剅㵙歒晚啒唵汕卂ㅘ䉚䙔䔹啑䵬南で䑍祁楎㵫圦义佄㵗䥆卒彔佐啐♐䕈䝉呈㐽〵圦䑉䡔㐽〵匦䅔呒䵟塁䵉婉䑅䘽䱁䕓嘦剁䌺䱁久䅄㵒单嘦剁区䵙佂㵌奂♄䅖㩒义䕄㵘0쮃䮁_x001E_奂幄䙆䕟呎偒归䅖彌䅄䱉⡙㠳㌵⤴Ř＀＀ ＀＀ŀ＀＀_x0008_＀＀_x0001_＀＀_x0001_＀＀_x0001_＀＀秦睰릶䂺摦畳㩰⼯楤敲瑣潩獮䘯呁嘠敩敷㽲捡楴湯唽䑐呁♅牣慥潴㵲慦瑣敳♴奄彎剁升吽啒♅佄彃䅎䕍䘽呁䘺䱑䅟䑕呉义彇䱃䕉呎呟䵅䱐呁⹅䅆♔楤灳慬役瑳楲杮䄽摵瑩嘦剁䬺奅圽䭎䅒䥆奐♈䅖㩒啑剅㵙歒晚啒唵汕卂ㅘ䉚䙔䔹啑䵬南穧䑏穕䍎㵫圦义佄㵗䥆卒彔佐啐♐䕈䝉呈㐽〵圦䑉䡔㐽〵匦䅔呒䵟塁䵉婉䑅䘽䱁䕓嘦剁䌺䱁久䅄㵒单嘦剁区䵙佂㵌奂♄䅖㩒义䕄㵘0쮃䮁_x001E_奂幄䙆䕟呎偒归䅖彌䅄䱉⡙㠳㠳⤴Ř＀＀ ＀＀ŀ＀＀_x0008_＀＀_x0001_＀＀_x0001_＀＀_x0001_＀＀쾫囕_xD83C_䂴摦畳㩰⼯楤敲瑣潩獮䘯呁嘠敩敷㽲捡楴湯唽䑐呁♅牣慥潴㵲慦瑣敳♴奄彎剁升吽啒♅佄彃䅎䕍䘽呁䘺䱑䅟䑕呉义彇䱃䕉呎呟䵅䱐呁⹅䅆♔楤灳慬役瑳楲杮䄽摵瑩嘦剁䬺奅䄽奂䵚䥊䝌♒䅖㩒啑剅㵙歒晚啒唵汕卂ㅘ䉚䙔䔹啑䵬南穧䑏㑍䍎㵫圦义佄㵗䥆卒彔佐啐♐䕈䝉呈㐽〵圦䑉䡔㐽〵匦䅔呒䵟塁䵉婉䑅䘽䱁䕓嘦剁䌺䱁久䅄㵒单嘦剁区䵙佂㵌奂♄䅖㩒义䕄㵘0쮂䮁_x001E_奂幄䙆䕟呎偒归䅖彌䅄䱉⡙㜳㠶⤱Ř＀＀ ＀＀ŀ＀＀_x0008_＀＀_x0001_＀＀_x0001_＀＀_x0001_＀＀뱪鍴쟸䂜摦畳㩰⼯楤敲瑣潩獮䘯呁嘠敩敷㽲捡楴湯唽䑐呁♅牣慥潴㵲慦瑣敳♴奄彎剁升吽啒♅佄彃䅎䕍䘽呁䘺䱑䅟䑕呉义彇䱃䕉呎呟䵅䱐呁⹅䅆♔楤灳慬役瑳楲杮䄽摵瑩嘦剁䬺奅唽䅆䕆䍘䵖♊䅖㩒啑剅㵙歒晚啒唵汕卂ㅘ䉚䙔䔹啑䵬南穧穎㑙卍㵫圦义佄㵗䥆卒彔佐啐♐䕈䝉呈㐽〵圦䑉䡔㐽〵匦䅔呒䵟塁䵉婉䑅䘽䱁䕓嘦剁䌺䱁久䅄㵒单嘦剁区䵙佂㵌奂♄䅖㩒义䕄㵘0쮃䮁_x001E_奂幄䙆䕟呎偒归䅖彌䅄䱉⡙㠳㌱⤹Ř＀＀ ＀＀ŀ＀＀_x0008_＀＀_x0001_＀＀_x0001_＀＀_x0001_＀＀㙥Ⓢ퓣䂣摦畳㩰⼯楤敲瑣潩獮䘯呁嘠敩敷㽲捡楴湯唽䑐呁♅牣慥潴㵲慦瑣敳♴奄彎剁升吽啒♅佄彃䅎䕍䘽呁䘺䱑䅟䑕呉义彇䱃䕉呎呟䵅䱐呁⹅䅆♔楤灳慬役瑳楲杮䄽摵瑩嘦剁䬺奅䜽䝌䵊啘䝈♈䅖㩒啑剅㵙歒晚啒唵汕卂ㅘ䉚䙔䔹啑䵬南穧䑏穅协㵫圦义佄㵗䥆卒彔佐啐♐䕈䝉呈㐽〵圦䑉䡔㐽〵匦䅔呒䵟塁䵉婉䑅䘽䱁䕓嘦剁䌺䱁久䅄㵒单嘦剁区䵙佂㵌奂♄䅖㩒义䕄㵘0쮆䮁_x001E_奂幄䙆䕟呎偒归䅖彌䅄䱉⡙㤳㠷⤳Ř＀＀ ＀＀ŀ＀＀_x0008_＀＀_x0001_＀＀_x0001_＀＀_x0001_＀＀ᰮ줈䂥摦畳㩰⼯楤敲瑣潩獮䘯呁嘠敩敷㽲捡楴湯唽䑐呁♅牣慥潴㵲慦瑣敳♴奄彎剁升吽啒♅佄彃䅎䕍䘽呁䘺䱑䅟䑕呉义彇䱃䕉呎呟䵅䱐呁⹅䅆♔楤灳慬役瑳楲杮䄽摵瑩嘦剁䬺奅匽卐䥄䥐奒♐䅖㩒啑剅㵙歒晚啒唵汕卂ㅘ䉚䙔䔹啑䵬南穧呏㑣祍㵫圦义佄㵗䥆卒彔佐啐♐䕈䝉呈㐽〵圦䑉䡔㐽〵匦䅔呒䵟塁䵉婉䑅䘽䱁䕓嘦剁䌺䱁久䅄㵒单嘦剁区䵙佂㵌奂♄䅖㩒义䕄㵘0쮁䮁_x001E_奂幄䙆䕟呎偒归䅖彌䅄䱉⡙㜳㜰⤳Ř＀＀ ＀＀ŀ＀＀_x0008_＀＀_x0001_＀＀_x0001_＀＀_x0001_＀＀盉龾఺䂔摦畳㩰⼯楤敲瑣潩獮䘯呁嘠敩敷㽲捡楴湯唽䑐呁♅牣慥潴㵲慦瑣敳♴奄彎剁升吽啒♅佄彃䅎䕍䘽呁䘺䱑䅟䑕呉义彇䱃䕉呎呟䵅䱐呁⹅䅆♔楤灳慬役瑳楲杮䄽摵瑩嘦剁䬺奅䌽䥊䥘䵔啒♘䅖㩒啑剅㵙歒晚啒唵汕卂ㅘ䉚䙔䔹啑䵬南穧穎㍁祍㵫圦义佄㵗䥆卒彔佐啐♐䕈䝉呈㐽〵圦䑉䡔㐽〵匦䅔呒䵟塁䵉婉䑅䘽䱁䕓嘦剁䌺䱁久䅄㵒单嘦剁区䵙佂㵌奂♄䅖㩒义䕄㵘0쮂䮁_x001E_奂幄䙆䕟呎偒归䅖彌䅄䱉⡙㜳㤸⤵Ř＀＀ ＀＀ŀ＀＀_x0008_＀＀_x0001_＀＀_x0001_＀＀_x0001_＀＀᧸ท彤䂟摦畳㩰⼯楤敲瑣潩獮䘯呁嘠敩敷㽲捡楴湯唽䑐呁♅牣慥潴㵲慦瑣敳♴奄彎剁升吽啒♅佄彃䅎䕍䘽呁䘺䱑䅟䑕呉义彇䱃䕉呎呟䵅䱐呁⹅䅆♔楤灳慬役瑳楲杮䄽摵瑩嘦剁䬺奅伽䵈䭘佖奔♚䅖㩒啑剅㵙歒晚啒唵汕卂ㅘ䉚䙔䔹啑䵬南穧穎㕧华㵫圦义佄㵗䥆卒彔佐啐♐䕈䝉呈㐽〵圦䑉䡔㐽〵匦䅔呒䵟塁䵉婉䑅䘽䱁䕓嘦剁䌺䱁久䅄㵒单嘦剁区䵙佂㵌奂♄䅖㩒义䕄㵘0쮄䮁_x001E_奂幄䙆䕟呎偒归䅖彌䅄䱉⡙㠳㌹⤰Ř＀＀ ＀＀ŀ＀＀_x0008_＀＀_x0001_＀＀_x0001_＀＀_x0001_＀＀쌍쑇馔䂵摦畳㩰⼯楤敲瑣潩獮䘯呁嘠敩敷㽲捡楴湯唽䑐呁♅牣慥潴㵲慦瑣敳♴奄彎剁升吽啒♅佄彃䅎䕍䘽呁䘺䱑䅟䑕呉义彇䱃䕉呎呟䵅䱐呁⹅䅆♔楤灳慬役瑳楲杮䄽摵瑩嘦剁䬺奅匽䥚䅆䍄兒♌䅖㩒啑剅㵙歒晚啒唵汕卂ㅘ䉚䙔䔹啑䵬南穧䑏穫䍍㵫圦义佄㵗䥆卒彔佐啐♐䕈䝉呈㐽〵圦䑉䡔㐽〵匦䅔呒䵟塁䵉婉䑅䘽䱁䕓嘦剁䌺䱁久䅄㵒单嘦剁区䵙佂㵌奂♄䅖㩒义䕄㵘0쮀䮁_x001E_奂幄䙆䕟呎偒归䅖彌䅄䱉⡙㘳㤸⤲Ř＀＀ ＀＀ŀ＀＀_x0008_＀＀_x0001_＀＀_x0001_＀＀_x0001_＀＀尨ᤏ䂐摦畳㩰⼯楤敲瑣潩獮䘯呁嘠敩敷㽲捡楴湯唽䑐呁♅牣慥潴㵲慦瑣敳♴奄彎剁升吽啒♅佄彃䅎䕍䘽呁䘺䱑䅟䑕呉义彇䱃䕉呎呟䵅䱐呁⹅䅆♔楤灳慬役瑳楲杮䄽摵瑩嘦剁䬺奅圽坒但半䝊♖䅖㩒啑剅㵙歒晚啒唵汕卂ㅘ䉚䙔䔹啑䵬南穧橎㕧楍㵫圦义佄㵗䥆卒彔佐啐♐䕈䝉呈㐽〵圦䑉䡔㐽〵匦䅔呒䵟塁䵉婉䑅䘽䱁䕓嘦剁䌺䱁久䅄㵒单嘦剁区䵙佂㵌奂♄䅖㩒义䕄㵘0쮀䮁_x001E_奂幄䙆䕟呎偒归䅖彌䅄䱉⡙㘳㐶⤷Ř＀＀ ＀＀ŀ＀＀_x0008_＀＀_x0001_＀＀_x0001_＀＀_x0001_＀＀凬Ẹ셵䂑摦畳㩰⼯楤敲瑣潩獮䘯呁嘠敩敷㽲捡楴湯唽䑐呁♅牣慥潴㵲慦瑣敳♴奄彎剁升吽啒♅佄彃䅎䕍䘽呁䘺䱑䅟䑕呉义彇䱃䕉呎呟䵅䱐呁⹅䅆♔楤灳慬役瑳楲杮䄽摵瑩嘦剁䬺奅䄽低䍈䭒䍖♆䅖㩒啑剅㵙歒晚啒唵汕卂ㅘ䉚䙔䔹啑䵬南穧橎す祎㵫圦义佄㵗䥆卒彔佐啐♐䕈䝉呈㐽〵圦䑉䡔㐽〵匦䅔呒䵟塁䵉婉䑅䘽䱁䕓嘦剁䌺䱁久䅄㵒单嘦剁区䵙佂㵌奂♄䅖㩒义䕄㵘0쮃䮁_x001E_奂幄䙆䕟呎偒归䅖彌䅄䱉⡙㠳㈳⤲Ř＀＀ ＀＀ŀ＀＀_x0008_＀＀_x0001_＀＀_x0001_＀＀_x0001_＀＀햑麭픳䂴摦畳㩰⼯楤敲瑣潩獮䘯呁嘠敩敷㽲捡楴湯唽䑐呁♅牣慥潴㵲慦瑣敳♴奄彎剁升吽啒♅佄彃䅎䕍䘽呁䘺䱑䅟䑕呉义彇䱃䕉呎呟䵅䱐呁⹅䅆♔楤灳慬役瑳楲杮䄽摵瑩嘦剁䬺奅䤽䝌䕔䵔䵂♄䅖㩒啑剅㵙歒晚啒唵汕卂ㅘ䉚䙔䔹啑䵬南穧䑏祍楍㵫圦义佄㵗䥆卒彔佐啐♐䕈䝉呈㐽〵圦䑉䡔㐽〵匦䅔呒䵟塁䵉婉䑅䘽䱁䕓嘦剁䌺䱁久䅄㵒单嘦剁区䵙佂㵌奂♄䅖㩒义䕄㵘0쮄䮁_x001E_奂幄䙆䕟呎偒归䅖彌䅄䱉⡙㠳㤸⤹Ř＀＀ ＀＀ŀ＀＀_x0008_＀＀_x0001_＀＀_x0001_＀＀_x0001_＀＀㖓⇪_xD95A_䂷摦畳㩰⼯楤敲瑣潩獮䘯呁嘠敩敷㽲捡楴湯唽䑐呁♅牣慥潴㵲慦瑣敳♴奄彎剁升吽啒♅佄彃䅎䕍䘽呁䘺䱑䅟䑕呉义彇䱃䕉呎呟䵅䱐呁⹅䅆♔楤灳慬役瑳楲杮䄽摵瑩嘦剁䬺奅䄽䕂䕘啒党♈䅖㩒啑剅㵙歒晚啒唵汕卂ㅘ䉚䙔䔹啑䵬南穧䑏㕧协㵫圦义佄㵗䥆卒彔佐啐♐䕈䝉呈㐽〵圦䑉䡔㐽〵匦䅔呒䵟塁䵉婉䑅䘽䱁䕓嘦剁䌺䱁久䅄㵒单嘦剁区䵙佂㵌奂♄䅖㩒义䕄㵘0쮆䮁_x001E_奂幄䙆䕟呎偒归䅖彌䅄䱉⡙㤳㌹⤴Ř＀＀ ＀＀ŀ＀＀_x0008_＀＀_x0001_＀＀_x0001_＀＀_x0001_＀＀មὠ䂪摦畳㩰⼯楤敲瑣潩獮䘯呁嘠敩敷㽲捡楴湯唽䑐呁♅牣慥潴㵲慦瑣敳♴奄彎剁升吽啒♅佄彃䅎䕍䘽呁䘺䱑䅟䑕呉义彇䱃䕉呎呟䵅䱐呁⹅䅆♔楤灳慬役瑳楲杮䄽摵瑩嘦剁䬺奅䴽佊奖䝌䕂♎䅖㩒啑剅㵙歒晚啒唵汕卂ㅘ䉚䙔䔹啑䵬南穧呏穫䍎㵫圦义佄㵗䥆卒彔佐啐♐䕈䝉呈㐽〵圦䑉䡔㐽〵匦䅔呒䵟塁䵉婉䑅䘽䱁䕓嘦剁䌺䱁久䅄㵒单嘦剁区䵙佂㵌奂♄䅖㩒义䕄㵘0쮅䮁_x001E_奂幄䙆䕟呎偒归䅖彌䅄䱉⡙㤳㌵⤹Ř＀＀ ＀＀ŀ＀＀_x0008_＀＀_x0001_＀＀_x0001_＀＀_x0001_＀＀_xD806_ꝇ垎䂯摦畳㩰⼯楤敲瑣潩獮䘯呁嘠敩敷㽲捡楴湯唽䑐呁♅牣慥潴㵲慦瑣敳♴奄彎剁升吽啒♅佄彃䅎䕍䘽呁䘺䱑䅟䑕呉义彇䱃䕉呎呟䵅䱐呁⹅䅆♔楤灳慬役瑳楲杮䄽摵瑩嘦剁䬺奅䬽䥄华䅘䥐♄䅖㩒啑剅㵙歒晚啒唵汕卂ㅘ䉚䙔䔹啑䵬南穧呏穕协㵫圦义佄㵗䥆卒彔佐啐♐䕈䝉呈㐽〵圦䑉䡔㐽〵匦䅔呒䵟塁䵉婉䑅䘽䱁䕓嘦剁䌺䱁久䅄㵒单嘦剁区䵙佂㵌奂♄䅖㩒义䕄㵘0쮄䮁_x001E_奂幄䙆䕟呎偒归䅖彌䅄䱉⡙㠳㐷⤹Ř＀＀ ＀＀ŀ＀＀_x0008_＀＀_x0001_＀＀_x0001_＀＀_x0001_＀＀鯺衐惸䂹摦畳㩰⼯楤敲瑣潩獮䘯呁嘠敩敷㽲捡楴湯唽䑐呁♅牣慥潴㵲慦瑣敳♴奄彎剁升吽啒♅佄彃䅎䕍䘽呁䘺䱑䅟䑕呉义彇䱃䕉呎呟䵅䱐呁⹅䅆♔楤灳慬役瑳楲杮䄽摵瑩嘦剁䬺奅䴽䕂䅖䵖䭂♘䅖㩒啑剅㵙歒晚啒唵汕卂ㅘ䉚䙔䔹啑䵬南穧䑏っ协㵫圦义佄㵗䥆卒彔佐啐♐䕈䝉呈㐽〵圦䑉䡔㐽〵匦䅔呒䵟塁䵉婉䑅䘽䱁䕓嘦剁䌺䱁久䅄㵒单嘦剁区䵙佂㵌奂♄䅖㩒义䕄㵘0쮆䮁_x001E_奂幄䙆䕟呎偒归䅖彌䅄䱉⡙〴ㄲ⤰Ř＀＀ ＀＀ŀ＀＀_x0008_＀＀_x0001_＀＀_x0001_＀＀_x0001_＀＀ᏽ걜藨䂩摦畳㩰⼯楤敲瑣潩獮䘯呁嘠敩敷㽲捡楴湯唽䑐呁♅牣慥潴㵲慦瑣敳♴奄彎剁升吽啒♅佄彃䅎䕍䘽呁䘺䱑䅟䑕呉义彇䱃䕉呎呟䵅䱐呁⹅䅆♔楤灳慬役瑳楲杮䄽摵瑩嘦剁䬺奅唽䕂䥐䥐兂♈䅖㩒啑剅㵙歒晚啒唵汕卂ㅘ䉚䙔䔹啑䵬南で䑍硉䍍㵫圦义佄㵗䥆卒彔佐啐♐䕈䝉呈㐽〵圦䑉䡔㐽〵匦䅔呒䵟塁䵉婉䑅䘽䱁䕓嘦剁䌺䱁久䅄㵒单嘦剁区䵙佂㵌奂♄䅖㩒义䕄㵘0쮅䮁_x001E_奂幄䙆䕟呎偒归䅖彌䅄䱉⡙㤳㈳⤶Ř＀＀ ＀＀ŀ＀＀_x0008_＀＀_x0001_＀＀_x0001_＀＀_x0001_＀＀佶ᘞﯺ䂵摦畳㩰⼯楤敲瑣潩獮䘯呁嘠敩敷㽲捡楴湯唽䑐呁♅牣慥潴㵲慦瑣敳♴奄彎剁升吽啒♅佄彃䅎䕍䘽呁䘺䱑䅟䑕呉义彇䱃䕉呎呟䵅䱐呁⹅䅆♔楤灳慬役瑳楲杮䄽摵瑩嘦剁䬺奅伽䕒䕊坘卄♎䅖㩒啑剅㵙歒晚啒唵汕卂ㅘ䉚䙔䔹啑䵬南穧呏祍楎㵫圦义佄㵗䥆卒彔佐啐♐䕈䝉呈㐽〵圦䑉䡔㐽〵匦䅔呒䵟塁䵉婉䑅䘽䱁䕓嘦剁䌺䱁久䅄㵒单嘦剁区䵙佂㵌奂♄䅖㩒义䕄㵘0쮃䮁_x001E_奂幄䙆䕟呎偒归䅖彌䅄䱉⡙㠳㜴⤳Ř＀＀ ＀＀ŀ＀＀_x0008_＀＀_x0001_＀＀_x0001_＀＀_x0001_＀＀ࠜˉ쥖䂺摦畳㩰⼯楤敲瑣潩獮䘯呁嘠敩敷㽲捡楴湯唽䑐呁♅牣慥潴㵲慦瑣敳♴奄彎剁升吽啒♅佄彃䅎䕍䘽呁䘺䱑䅟䑕呉义彇䱃䕉呎呟䵅䱐呁⹅䅆♔楤灳慬役瑳楲杮䄽摵瑩嘦剁䬺奅儽佔坂䵊䭊♚䅖㩒啑剅㵙歒晚啒唵汕卂ㅘ䉚䙔䔹啑䵬南穧䑏㍑祍㵫圦义佄㵗䥆卒彔佐啐♐䕈䝉呈㐽〵圦䑉䡔㐽〵匦䅔呒䵟塁䵉婉䑅䘽䱁䕓嘦剁䌺䱁久䅄㵒单嘦剁区䵙佂㵌奂♄䅖㩒义䕄㵘0쮁䮁_x001E_奂幄䙆䕟呎偒归䅖彌䅄䱉⡙㜳㌴⤸Ř＀＀ ＀＀ŀ＀＀_x0008_＀＀_x0001_＀＀_x0001_＀＀_x0001_＀＀⾄Ꙍ┊䂟摦畳㩰⼯楤敲瑣潩獮䘯呁嘠敩敷㽲捡楴湯唽䑐呁♅牣慥潴㵲慦瑣敳♴奄彎剁升吽啒♅佄彃䅎䕍䘽呁䘺䱑䅟䑕呉义彇䱃䕉呎呟䵅䱐呁⹅䅆♔楤灳慬役瑳楲杮䄽摵瑩嘦剁䬺奅圽䍐䕔䵒卂♆䅖㩒啑剅㵙歒晚啒唵汕卂ㅘ䉚䙔䔹啑䵬南穧穎穑䍏㵫圦义佄㵗䥆卒彔佐啐♐䕈䝉呈㐽〵圦䑉䡔㐽〵匦䅔呒䵟塁䵉婉䑅䘽䱁䕓嘦剁䌺䱁久䅄㵒单嘦剁区䵙佂㵌奂♄䅖㩒义䕄㵘0쮃䮁_x001E_奂幄䙆䕟呎偒归䅖彌䅄䱉⡙㠳㜰⤸Ř＀＀ ＀＀ŀ＀＀_x0008_＀＀_x0001_＀＀_x0001_＀＀_x0001_＀＀ᴿᦏ䂣摦畳㩰⼯楤敲瑣潩獮䘯呁嘠敩敷㽲捡楴湯唽䑐呁♅牣慥潴㵲慦瑣敳♴奄彎剁升吽啒♅佄彃䅎䕍䘽呁䘺䱑䅟䑕呉义彇䱃䕉呎呟䵅䱐呁⹅䅆♔楤灳慬役瑳楲杮䄽摵瑩嘦剁䬺奅匽䭎䥎䥒坌♄䅖㩒啑剅㵙歒晚啒唵汕卂ㅘ䉚䙔䔹啑䵬南穧䑏㍁䍏㵫圦义佄㵗䥆卒彔佐啐♐䕈䝉呈㐽〵圦䑉䡔㐽〵匦䅔呒䵟塁䵉婉䑅䘽䱁䕓嘦剁䌺䱁久䅄㵒单嘦剁区䵙佂㵌奂♄䅖㩒义䕄㵘0쮁䮁_x001E_奂幄䙆䕟呎偒归䅖彌䅄䱉⡙㜳㠲⤸Ř＀＀ ＀＀ŀ＀＀_x0008_＀＀_x0001_＀＀_x0001_＀＀_x0001_＀＀욧╋䂘摦畳㩰⼯楤敲瑣潩獮䘯呁嘠敩敷㽲捡楴湯唽䑐呁♅牣慥潴㵲慦瑣敳♴奄彎剁升吽啒♅佄彃䅎䕍䘽呁䘺䱑䅟䑕呉义彇䱃䕉呎呟䵅䱐呁⹅䅆♔楤灳慬役瑳楲杮䄽摵瑩嘦剁䬺奅䤽䭈兔䥌䥈♐䅖㩒啑剅㵙歒晚啒唵汕卂ㅘ䉚䙔䔹啑䵬南穧穎㑉䍏㵫圦义佄㵗䥆卒彔佐啐♐䕈䝉呈㐽〵圦䑉䡔㐽〵匦䅔呒䵟塁䵉婉䑅䘽䱁䕓嘦剁䌺䱁久䅄㵒单嘦剁区䵙佂㵌奂♄䅖㩒义䕄㵘0쮆䮁_x001E_奂幄䙆䕟呎偒归䅖彌䅄䱉⡙〴㜱⤹Ř＀＀ ＀＀ŀ＀＀_x0008_＀＀_x0001_＀＀_x0001_＀＀_x0001_＀＀뻴䂩摦畳㩰⼯楤敲瑣潩獮䘯呁嘠敩敷㽲捡楴湯唽䑐呁♅牣慥潴㵲慦瑣敳♴奄彎剁升吽啒♅佄彃䅎䕍䘽呁䘺䱑䅟䑕呉义彇䱃䕉呎呟䵅䱐呁⹅䅆♔楤灳慬役瑳楲杮䄽摵瑩嘦剁䬺奅圽卌啐坊䍚♖䅖㩒啑剅㵙歒晚啒唵汕卂ㅘ䉚䙔䔹啑䵬南で䑍㍅协㵫圦义佄㵗䥆卒彔佐啐♐䕈䝉呈㐽〵圦䑉䡔㐽〵匦䅔呒䵟塁䵉婉䑅䘽䱁䕓嘦剁䌺䱁久䅄㵒单嘦剁区䵙佂㵌奂♄䅖㩒义䕄㵘0쮄䮁_x001E_奂幄䙆䕟呎偒归䅖彌䅄䱉⡙㠳㠶⤷Ř＀＀ ＀＀ŀ＀＀_x0008_＀＀_x0001_＀＀_x0001_＀＀_x0001_＀＀_xDB23_绹撚䂺摦畳㩰⼯楤敲瑣潩獮䘯呁嘠敩敷㽲捡楴湯唽䑐呁♅牣慥潴㵲慦瑣敳♴奄彎剁升吽啒♅佄彃䅎䕍䘽呁䘺䱑䅟䑕呉义彇䱃䕉呎呟䵅䱐呁⹅䅆♔楤灳慬役瑳楲杮䄽摵瑩嘦剁䬺奅夽啖佒啒奘♎䅖㩒啑剅㵙歒晚啒唵汕卂ㅘ䉚䙔䔹啑䵬南穧䑏㑙祎㵫圦义佄㵗䥆卒彔佐啐♐䕈䝉呈㐽〵圦䑉䡔㐽〵匦䅔呒䵟塁䵉婉䑅䘽䱁䕓嘦剁䌺䱁久䅄㵒单嘦剁区䵙佂㵌奂♄䅖㩒义䕄㵘0쮆䮁_x001E_奂幄䙆䕟呎偒归䅖彌䅄䱉⡙㤳㈷⤲Ř＀＀ ＀＀ŀ＀＀_x0008_＀＀_x0001_＀＀_x0001_＀＀_x0001_＀＀酾雐䂩摦畳㩰⼯楤敲瑣潩獮䘯呁嘠敩敷㽲捡楴湯唽䑐呁♅牣慥潴㵲慦瑣敳♴奄彎剁升吽啒♅佄彃䅎䕍䘽呁䘺䱑䅟䑕呉义彇䱃䕉呎呟䵅䱐呁⹅䅆♔楤灳慬役瑳楲杮䄽摵瑩嘦剁䬺奅䤽奂䵈䵆䕔♒䅖㩒啑剅㵙歒晚啒唵汕卂ㅘ䉚䙔䔹啑䵬南穧呏祣楍㵫圦义佄㵗䥆卒彔佐啐♐䕈䝉呈㐽〵圦䑉䡔㐽〵匦䅔呒䵟塁䵉婉䑅䘽䱁䕓嘦剁䌺䱁久䅄㵒单嘦剁区䵙佂㵌奂♄䅖㩒义䕄㵘0쮀䮁_x001E_奂幄䙆䕟呎偒归䅖彌䅄䱉⡙㜳㄰⤲Ř＀＀ ＀＀ŀ＀＀_x0008_＀＀_x0001_＀＀_x0001_＀＀_x0001_＀＀ῲ௒䂓摦畳㩰⼯楤敲瑣潩獮䘯呁嘠敩敷㽲捡楴湯唽䑐呁♅牣慥潴㵲慦瑣敳♴奄彎剁升吽啒♅佄彃䅎䕍䘽呁䘺䱑䅟䑕呉义彇䱃䕉呎呟䵅䱐呁⹅䅆♔楤灳慬役瑳楲杮䄽摵瑩嘦剁䬺奅圽啘䵒䥚䕆♌䅖㩒啑剅㵙歒晚啒唵汕卂ㅘ䉚䙔䔹啑䵬南穧穎硁楍㵫圦义佄㵗䥆卒彔佐啐♐䕈䝉呈㐽〵圦䑉䡔㐽〵匦䅔呒䵟塁䵉婉䑅䘽䱁䕓嘦剁䌺䱁久䅄㵒单嘦剁区䵙佂㵌奂♄䅖㩒义䕄㵘0쮂䮁_x001E_奂幄䙆䕟呎偒归䅖彌䅄䱉⡙㜳㌸⤴Ř＀＀ ＀＀ŀ＀＀_x0008_＀＀_x0001_＀＀_x0001_＀＀_x0001_＀＀罣㷙淹䂟摦畳㩰⼯楤敲瑣潩獮䘯呁嘠敩敷㽲捡楴湯唽䑐呁♅牣慥潴㵲慦瑣敳♴奄彎剁升吽啒♅佄彃䅎䕍䘽呁䘺䱑䅟䑕呉义彇䱃䕉呎呟䵅䱐呁⹅䅆♔楤灳慬役瑳楲杮䄽摵瑩嘦剁䬺奅䜽䍊䵘䝊䅂♚䅖㩒啑剅㵙歒晚啒唵汕卂ㅘ䉚䙔䔹啑䵬南穧穎穧䍎㵫圦义佄㵗䥆卒彔佐啐♐䕈䝉呈㐽〵圦䑉䡔㐽〵匦䅔呒䵟塁䵉婉䑅䘽䱁䕓嘦剁䌺䱁久䅄㵒单嘦剁区䵙佂㵌奂♄䅖㩒义䕄㵘0쮅䮁_x001E_奂幄䙆䕟呎偒归䅖彌䅄䱉⡙㤳㘲⤴Ř＀＀ ＀＀ŀ＀＀_x0008_＀＀_x0001_＀＀_x0001_＀＀_x0001_＀＀巌졋꫇䂸摦畳㩰⼯楤敲瑣潩獮䘯呁嘠敩敷㽲捡楴湯唽䑐呁♅牣慥潴㵲慦瑣敳♴奄彎剁升吽啒♅佄彃䅎䕍䘽呁䘺䱑䅟䑕呉义彇䱃䕉呎呟䵅䱐呁⹅䅆♔楤灳慬役瑳楲杮䄽摵瑩嘦剁䬺奅䌽䕎卄䥖䥈♄䅖㩒啑剅㵙歒晚啒唵汕卂ㅘ䉚䙔䔹啑䵬南穧呏㉉䍎㵫圦义佄㵗䥆卒彔佐啐♐䕈䝉呈㐽〵圦䑉䡔㐽〵匦䅔呒䵟塁䵉婉䑅䘽䱁䕓嘦剁䌺䱁久䅄㵒单嘦剁区䵙佂㵌奂♄䅖㩒义䕄㵘0쮅䮁_x001E_奂幄䙆䕟呎偒归䅖彌䅄䱉⡙㤳ㄱ⤴Ř＀＀ ＀＀ŀ＀＀_x0008_＀＀_x0001_＀＀_x0001_＀＀_x0001_＀＀䴁඄掗䂸摦畳㩰⼯楤敲瑣潩獮䘯呁嘠敩敷㽲捡楴湯唽䑐呁♅牣慥潴㵲慦瑣敳♴奄彎剁升吽啒♅佄彃䅎䕍䘽呁䘺䱑䅟䑕呉义彇䱃䕉呎呟䵅䱐呁⹅䅆♔楤灳慬役瑳楲杮䄽摵瑩嘦剁䬺奅䬽䝊䭂䝔䝐♈䅖㩒啑剅㵙歒晚啒唵汕卂ㅘ䉚䙔䔹啑䵬南穧呏硅䍎㵫圦义佄㵗䥆卒彔佐啐♐䕈䝉呈㐽〵圦䑉䡔㐽〵匦䅔呒䵟塁䵉婉䑅䘽䱁䕓嘦剁䌺䱁久䅄㵒单嘦剁区䵙佂㵌奂♄䅖㩒义䕄㵘0쮀䮁_x001E_奂幄䙆䕟呎偒归䅖彌䅄䱉⡙㘳㠵⤶Ř＀＀ ＀＀ŀ＀＀_x0008_＀＀_x0001_＀＀_x0001_＀＀_x0001_＀＀绺뱪䂒摦畳㩰⼯楤敲瑣潩獮䘯呁嘠敩敷㽲捡楴湯唽䑐呁♅牣慥潴㵲慦瑣敳♴奄彎剁升吽啒♅佄彃䅎䕍䘽呁䘺䱑䅟䑕呉义彇䱃䕉呎呟䵅䱐呁⹅䅆♔楤灳慬役瑳楲杮䄽摵瑩嘦剁䬺奅䴽商䝄䥂佊♂䅖㩒啑剅㵙歒晚啒唵汕卂ㅘ䉚䙔䔹啑䵬南穧橎㑕楎㵫圦义佄㵗䥆卒彔佐啐♐䕈䝉呈㐽〵圦䑉䡔㐽〵匦䅔呒䵟塁䵉婉䑅䘽䱁䕓嘦剁䌺䱁久䅄㵒单嘦剁区䵙佂㵌奂♄䅖㩒义䕄㵘0쮀䮁_x001E_奂幄䙆䕟呎偒归䅖彌䅄䱉⡙㘳㌸⤱Ř＀＀ ＀＀ŀ＀＀_x0008_＀＀_x0001_＀＀_x0001_＀＀_x0001_＀＀휊炣뒽䂐摦畳㩰⼯楤敲瑣潩獮䘯呁嘠敩敷㽲捡楴湯唽䑐呁♅牣慥潴㵲慦瑣敳♴奄彎剁升吽啒♅佄彃䅎䕍䘽呁䘺䱑䅟䑕呉义彇䱃䕉呎呟䵅䱐呁⹅䅆♔楤灳慬役瑳楲杮䄽摵瑩嘦剁䬺奅夽単䭆䍔啈♂䅖㩒啑剅㵙歒晚啒唵汕卂ㅘ䉚䙔䔹啑䵬南穧橎穧卍㵫圦义佄㵗䥆卒彔佐啐♐䕈䝉呈㐽〵圦䑉䡔㐽〵匦䅔呒䵟塁䵉婉䑅䘽䱁䕓嘦剁䌺䱁久䅄㵒单嘦剁区䵙佂㵌奂♄䅖㩒义䕄㵘0쮃䮁_x001E_奂幄䙆䕟呎偒归䅖彌䅄䱉⡙㠳㘲⤱Ř＀＀ ＀＀ŀ＀＀_x0008_＀＀_x0001_＀＀_x0001_＀＀_x0001_＀＀摚_xDF3B_ꅯ䂱摦畳㩰⼯楤敲瑣潩獮䘯呁嘠敩敷㽲捡楴湯唽䑐呁♅牣慥潴㵲慦瑣敳♴奄彎剁升吽啒♅佄彃䅎䕍䘽呁䘺䱑䅟䑕呉义彇䱃䕉呎呟䵅䱐呁⹅䅆♔楤灳慬役瑳楲杮䄽摵瑩嘦剁䬺奅伽䍘奆啖䵔♆䅖㩒啑剅㵙歒晚啒唵汕卂ㅘ䉚䙔䔹啑䵬南穧䑏㉉卍㵫圦义佄㵗䥆卒彔佐啐♐䕈䝉呈㐽〵圦䑉䡔㐽〵匦䅔呒䵟塁䵉婉䑅䘽䱁䕓嘦剁䌺䱁久䅄㵒单嘦剁区䵙佂㵌奂♄䅖㩒义䕄㵘0쮆䮁_x001E_奂幄䙆䕟呎偒归䅖彌䅄䱉⡙㤳㜸⤳Ř＀＀ ＀＀ŀ＀＀_x0008_＀＀_x0001_＀＀_x0001_＀＀_x0001_＀＀尨ꔯ䂦摦畳㩰⼯楤敲瑣潩獮䘯呁嘠敩敷㽲捡楴湯唽䑐呁♅牣慥潴㵲慦瑣敳♴奄彎剁升吽啒♅佄彃䅎䕍䘽呁䘺䱑䅟䑕呉义彇䱃䕉呎呟䵅䱐呁⹅䅆♔楤灳慬役瑳楲杮䄽摵瑩嘦剁䬺奅䜽䭖䕖䭈佚♘䅖㩒啑剅㵙歒晚啒唵汕卂ㅘ䉚䙔䔹啑䵬南穧呏㍧祍㵫圦义佄㵗䥆卒彔佐啐♐䕈䝉呈㐽〵圦䑉䡔㐽〵匦䅔呒䵟塁䵉婉䑅䘽䱁䕓嘦剁䌺䱁久䅄㵒单嘦剁区䵙佂㵌奂♄䅖㩒义䕄㵘0쮁䮁_x001E_奂幄䙆䕟呎偒归䅖彌䅄䱉⡙㜳㈲⤶Ř＀＀ ＀＀ŀ＀＀_x0008_＀＀_x0001_＀＀_x0001_＀＀_x0001_＀＀̇뷏㖇䂕摦畳㩰⼯楤敲瑣潩獮䘯呁嘠敩敷㽲捡楴湯唽䑐呁♅牣慥潴㵲慦瑣敳♴奄彎剁升吽啒♅佄彃䅎䕍䘽呁䘺䱑䅟䑕呉义彇䱃䕉呎呟䵅䱐呁⹅䅆♔楤灳慬役瑳楲杮䄽摵瑩嘦剁䬺奅䬽䅌䍊䕂半♊䅖㩒啑剅㵙歒晚啒唵汕卂ㅘ䉚䙔䔹啑䵬南穧穎祉楎㵫圦义佄㵗䥆卒彔佐啐♐䕈䝉呈㐽〵圦䑉䡔㐽〵匦䅔呒䵟塁䵉婉䑅䘽䱁䕓嘦剁䌺䱁久䅄㵒单嘦剁区䵙佂㵌奂♄䅖㩒义䕄㵘0쮄䮁_x001E_奂幄䙆䕟呎偒归䅖彌䅄䱉⡙㠳㌸⤸Ř＀＀ ＀＀ŀ＀＀_x0008_＀＀_x0001_＀＀_x0001_＀＀_x0001_＀＀묚_xDD06_䂺摦畳㩰⼯楤敲瑣潩獮䘯呁嘠敩敷㽲捡楴湯唽䑐呁♅牣慥潴㵲慦瑣敳♴奄彎剁升吽啒♅佄彃䅎䕍䘽呁䘺䱑䅟䑕呉义彇䱃䕉呎呟䵅䱐呁⹅䅆♔楤灳慬役瑳楲杮䄽摵瑩嘦剁䬺奅䴽商䵘䅖奌♚䅖㩒啑剅㵙歒晚啒唵汕卂ㅘ䉚䙔䔹啑䵬南穧䑏穧䍏㵫圦义佄㵗䥆卒彔佐啐♐䕈䝉呈㐽〵圦䑉䡔㐽〵匦䅔呒䵟塁䵉婉䑅䘽䱁䕓嘦剁䌺䱁久䅄㵒单嘦剁区䵙佂㵌奂♄䅖㩒义䕄㵘0쮀䮁_x001E_奂幄䙆䕟呎偒归䅖彌䅄䱉⡙㘳㠹⤲Ř＀＀ ＀＀ŀ＀＀_x0008_＀＀_x0001_＀＀_x0001_＀＀_x0001_＀＀ﮩꐀ푶䂑摦畳㩰⼯楤敲瑣潩獮䘯呁嘠敩敷㽲捡楴湯唽䑐呁♅牣慥潴㵲慦瑣敳♴奄彎剁升吽啒♅佄彃䅎䕍䘽呁䘺䱑䅟䑕呉义彇䱃䕉呎呟䵅䱐呁⹅䅆♔楤灳慬役瑳楲杮䄽摵瑩嘦剁䬺奅䴽兄奄䭚䭐♂䅖㩒啑剅㵙歒晚啒唵汕卂ㅘ䉚䙔䔹啑䵬南穧橎㑫楍㵫圦义佄㵗䥆卒彔佐啐♐䕈䝉呈㐽〵圦䑉䡔㐽〵匦䅔呒䵟塁䵉婉䑅䘽䱁䕓嘦剁䌺䱁久䅄㵒单嘦剁区䵙佂㵌奂♄䅖㩒义䕄㵘0쮁䮁_x001E_奂幄䙆䕟呎偒归䅖彌䅄䱉⡙㜳㜳⤷Ř＀＀ ＀＀ŀ＀＀_x0008_＀＀_x0001_＀＀_x0001_＀＀_x0001_＀＀흉빌⣙䂠摦畳㩰⼯楤敲瑣潩獮䘯呁嘠敩敷㽲捡楴湯唽䑐呁♅牣慥潴㵲慦瑣敳♴奄彎剁升吽啒♅佄彃䅎䕍䘽呁䘺䱑䅟䑕呉义彇䱃䕉呎呟䵅䱐呁⹅䅆♔楤灳慬役瑳楲杮䄽摵瑩嘦剁䬺奅儽坔坌奈䍊♂䅖㩒啑剅㵙歒晚啒唵汕卂ㅘ䉚䙔䔹啑䵬南穧穎㍍祎㵫圦义佄㵗䥆卒彔佐啐♐䕈䝉呈㐽〵圦䑉䡔㐽〵匦䅔呒䵟塁䵉婉䑅䘽䱁䕓嘦剁䌺䱁久䅄㵒单嘦剁区䵙佂㵌奂♄䅖㩒义䕄㵘0쮃䮁_x001E_奂幄䙆䕟呎偒归䅖彌䅄䱉⡙㠳ㄴ⤲Ř＀＀ ＀＀ŀ＀＀_x0008_＀＀_x0001_＀＀_x0001_＀＀_x0001_＀＀晦晦軶䂷摦畳㩰⼯楤敲瑣潩獮䘯呁嘠敩敷㽲捡楴湯唽䑐呁♅牣慥潴㵲慦瑣敳♴奄彎剁升吽啒♅佄彃䅎䕍䘽呁䘺䱑䅟䑕呉义彇䱃䕉呎呟䵅䱐呁⹅䅆♔楤灳慬役瑳楲杮䄽摵瑩嘦剁䬺奅䴽䭎䝒奎䍖♈䅖㩒啑剅㵙歒晚啒唵汕卂ㅘ䉚䙔䔹啑䵬南穧䑏硑楍㵫圦义佄㵗䥆卒彔佐啐♐䕈䝉呈㐽〵圦䑉䡔㐽〵匦䅔呒䵟塁䵉婉䑅䘽䱁䕓嘦剁䌺䱁久䅄㵒单嘦剁区䵙佂㵌奂♄䅖㩒义䕄㵘0쮂䮁_x001E_奂幄䙆䕟呎偒归䅖彌䅄䱉⡙㜳㈶⤲Ř＀＀ ＀＀ŀ＀＀_x0008_＀＀_x0001_＀＀_x0001_＀＀_x0001_＀＀И๖彍䂞摦畳㩰⼯楤敲瑣潩獮䘯呁嘠敩敷㽲捡楴湯唽䑐呁♅牣慥潴㵲慦瑣敳♴奄彎剁升吽啒♅佄彃䅎䕍䘽呁䘺䱑䅟䑕呉义彇䱃䕉呎呟䵅䱐呁⹅䅆♔楤灳慬役瑳楲杮䄽摵瑩嘦剁䬺奅夽华䝄啈兄♄䅖㩒啑剅㵙歒晚啒唵汕卂ㅘ䉚䙔䔹啑䵬南穧穎祙楍㵫圦义佄㵗䥆卒彔佐啐♐䕈䝉呈㐽〵圦䑉䡔㐽〵匦䅔呒䵟塁䵉婉䑅䘽䱁䕓嘦剁䌺䱁久䅄㵒单嘦剁区䵙佂㵌奂♄䅖㩒义䕄㵘0쮄䮁_x001E_奂幄䙆䕟呎偒归䅖彌䅄䱉⡙㤳㔰⤲Ř＀＀ ＀＀ŀ＀＀_x0008_＀＀_x0001_＀＀_x0001_＀＀_x0001_＀＀ᚈ컙_xDB37_䂷摦畳㩰⼯楤敲瑣潩獮䘯呁嘠敩敷㽲捡楴湯唽䑐呁♅牣慥潴㵲慦瑣敳♴奄彎剁升吽啒♅佄彃䅎䕍䘽呁䘺䱑䅟䑕呉义彇䱃䕉呎呟䵅䱐呁⹅䅆♔楤灳慬役瑳楲杮䄽摵瑩嘦剁䬺奅䌽啎䥘佐奚♖䅖㩒啑剅㵙歒晚啒唵汕卂ㅘ䉚䙔䔹啑䵬南穧呏ㅁ楍㵫圦义佄㵗䥆卒彔佐啐♐䕈䝉呈㐽〵圦䑉䡔㐽〵匦䅔呒䵟塁䵉婉䑅䘽䱁䕓嘦剁䌺䱁久䅄㵒单嘦剁区䵙佂㵌奂♄䅖㩒义䕄㵘0쮅䮁_x001E_奂幄䙆䕟呎偒归䅖彌䅄䱉⡙㤳㜴⤹Ř＀＀ ＀＀ŀ＀＀_x0008_＀＀_x0001_＀＀_x0001_＀＀_x0001_＀＀렼絛䂱摦畳㩰⼯楤敲瑣潩獮䘯呁嘠敩敷㽲捡楴湯唽䑐呁♅牣慥潴㵲慦瑣敳♴奄彎剁升吽啒♅佄彃䅎䕍䘽呁䘺䱑䅟䑕呉义彇䱃䕉呎呟䵅䱐呁⹅䅆♔楤灳慬役瑳楲杮䄽摵瑩嘦剁䬺奅䬽奈坚先䕊♈䅖㩒啑剅㵙歒晚啒唵汕卂ㅘ䉚䙔䔹啑䵬南穧呏㍑协㵫圦义佄㵗䥆卒彔佐啐♐䕈䝉呈㐽〵圦䑉䡔㐽〵匦䅔呒䵟塁䵉婉䑅䘽䱁䕓嘦剁䌺䱁久䅄㵒单嘦剁区䵙佂㵌奂♄䅖㩒义䕄㵘0쮆䮁_x001E_奂幄䙆䕟呎偒归䅖彌䅄䱉⡙〴ㄱ⤸Ř＀＀ ＀＀ŀ＀＀_x0008_＀＀_x0001_＀＀_x0001_＀＀_x0001_＀＀럾ᶒၛ䂩摦畳㩰⼯楤敲瑣潩獮䘯呁嘠敩敷㽲捡楴湯唽䑐呁♅牣慥潴㵲慦瑣敳♴奄彎剁升吽啒♅佄彃䅎䕍䘽呁䘺䱑䅟䑕呉义彇䱃䕉呎呟䵅䱐呁⹅䅆♔楤灳慬役瑳楲杮䄽摵瑩嘦剁䬺奅䴽卒佄啒奊♎䅖㩒啑剅㵙歒晚啒唵汕卂ㅘ䉚䙔䔹啑䵬南で䑍硅䍏㵫圦义佄㵗䥆卒彔佐啐♐䕈䝉呈㐽〵圦䑉䡔㐽〵匦䅔呒䵟塁䵉婉䑅䘽䱁䕓嘦剁䌺䱁久䅄㵒单嘦剁区䵙佂㵌奂♄䅖㩒义䕄㵘0쮆䮁_x001E_奂幄䙆䕟呎偒归䅖彌䅄䱉⡙㤳㘶⤱Ř＀＀ ＀＀ŀ＀＀_x0008_＀＀_x0001_＀＀_x0001_＀＀_x0001_＀＀꾢촠∈䂪摦畳㩰⼯楤敲瑣潩獮䘯呁嘠敩敷㽲捡楴湯唽䑐呁♅牣慥潴㵲慦瑣敳♴奄彎剁升吽啒♅佄彃䅎䕍䘽呁䘺䱑䅟䑕呉义彇䱃䕉呎呟䵅䱐呁⹅䅆♔楤灳慬役瑳楲杮䄽摵瑩嘦剁䬺奅夽坂兎䝔奐♚䅖㩒啑剅㵙歒晚啒唵汕卂ㅘ䉚䙔䔹啑䵬南穧呏㉙卍㵫圦义佄㵗䥆卒彔佐啐♐䕈䝉呈㐽〵圦䑉䡔㐽〵匦䅔呒䵟塁䵉婉䑅䘽䱁䕓嘦剁䌺䱁久䅄㵒单嘦剁区䵙佂㵌奂♄䅖㩒义䕄㵘0쮄䮁_x001E_奂幄䙆䕟呎偒归䅖彌䅄䱉⡙㠳㈶⤶Ř＀＀ ＀＀ŀ＀＀_x0008_＀＀_x0001_＀＀_x0001_＀＀_x0001_＀＀ᑻ䞮ﺁ䂷摦畳㩰⼯楤敲瑣潩獮䘯呁嘠敩敷㽲捡楴湯唽䑐呁♅牣慥潴㵲慦瑣敳♴奄彎剁升吽啒♅佄彃䅎䕍䘽呁䘺䱑䅟䑕呉义彇䱃䕉呎呟䵅䱐呁⹅䅆♔楤灳慬役瑳楲杮䄽摵瑩嘦剁䬺奅伽低奚䍌䕐♖䅖㩒啑剅㵙歒晚啒唵汕卂ㅘ䉚䙔䔹啑䵬南穧䑏祙楎㵫圦义佄㵗䥆卒彔佐啐♐䕈䝉呈㐽〵圦䑉䡔㐽〵匦䅔呒䵟塁䵉婉䑅䘽䱁䕓嘦剁䌺䱁久䅄㵒单嘦剁区䵙佂㵌奂♄䅖㩒义䕄㵘0쮂䮁_x001E_奂幄䙆䕟呎偒归䅖彌䅄䱉⡙㜳㜷⤳Ř＀＀ ＀＀ŀ＀＀_x0008_＀＀_x0001_＀＀_x0001_＀＀_x0001_＀＀❒覠鈰䂟摦畳㩰⼯楤敲瑣潩獮䘯呁嘠敩敷㽲捡楴湯唽䑐呁♅牣慥潴㵲慦瑣敳♴奄彎剁升吽啒♅佄彃䅎䕍䘽呁䘺䱑䅟䑕呉义彇䱃䕉呎呟䵅䱐呁⹅䅆♔楤灳慬役瑳楲杮䄽摵瑩嘦剁䬺奅䔽䕂坎博兖♐䅖㩒啑剅㵙歒晚啒唵汕卂ㅘ䉚䙔䔹啑䵬南穧穎㍣祍㵫圦义佄㵗䥆卒彔佐啐♐䕈䝉呈㐽〵圦䑉䡔㐽〵匦䅔呒䵟塁䵉婉䑅䘽䱁䕓嘦剁䌺䱁久䅄㵒单嘦剁区䵙佂㵌奂♄䅖㩒义䕄㵘0쮅䮁_x001E_奂幄䙆䕟呎偒归䅖彌䅄䱉⡙㤳〲⤳Ř＀＀ ＀＀ŀ＀＀_x0008_＀＀_x0001_＀＀_x0001_＀＀_x0001_＀＀浜ﻅ矒䂷摦畳㩰⼯楤敲瑣潩獮䘯呁嘠敩敷㽲捡楴湯唽䑐呁♅牣慥潴㵲慦瑣敳♴奄彎剁升吽啒♅佄彃䅎䕍䘽呁䘺䱑䅟䑕呉义彇䱃䕉呎呟䵅䱐呁⹅䅆♔楤灳慬役瑳楲杮䄽摵瑩嘦剁䬺奅䄽䵔啖単䵄♄䅖㩒啑剅㵙歒晚啒唵汕卂ㅘ䉚䙔䔹啑䵬南穧呏睉祍㵫圦义佄㵗䥆卒彔佐啐♐䕈䝉呈㐽〵圦䑉䡔㐽〵匦䅔呒䵟塁䵉婉䑅䘽䱁䕓嘦剁䌺䱁久䅄㵒单嘦剁区䵙佂㵌奂♄䅖㩒义䕄㵘0쮀䮁_x001E_奂幄䙆䕟呎偒归䅖彌䅄䱉⡙㘳㜷⤰Ř＀＀ ＀＀ŀ＀＀_x0008_＀＀_x0001_＀＀_x0001_＀＀_x0001_＀＀ㄦ盘䂑摦畳㩰⼯楤敲瑣潩獮䘯呁嘠敩敷㽲捡楴湯唽䑐呁♅牣慥潴㵲慦瑣敳♴奄彎剁升吽啒♅佄彃䅎䕍䘽呁䘺䱑䅟䑕呉义彇䱃䕉呎呟䵅䱐呁⹅䅆♔楤灳慬役瑳楲杮䄽摵瑩嘦剁䬺奅唽䍊䅄䥌䍘♆䅖㩒啑剅㵙歒晚啒唵汕卂ㅘ䉚䙔䔹啑䵬南穧橎㍣䍍㵫圦义佄㵗䥆卒彔佐啐♐䕈䝉呈㐽〵圦䑉䡔㐽〵匦䅔呒䵟塁䵉婉䑅䘽䱁䕓嘦剁䌺䱁久䅄㵒单嘦剁区䵙佂㵌奂♄䅖㩒义䕄㵘0쮂䮁_x001E_奂幄䙆䕟呎偒归䅖彌䅄䱉⡙㠳㄰⤸Ř＀＀ ＀＀ŀ＀＀_x0008_＀＀_x0001_＀＀_x0001_＀＀_x0001_＀＀둎邫䭲䂠摦畳㩰⼯楤敲瑣潩獮䘯呁嘠敩敷㽲捡楴湯唽䑐呁♅牣慥潴㵲慦瑣敳♴奄彎剁升吽啒♅佄彃䅎䕍䘽呁䘺䱑䅟䑕呉义彇䱃䕉呎呟䵅䱐呁⹅䅆♔楤灳慬役瑳楲杮䄽摵瑩嘦剁䬺奅䬽䕌䍖単卄♎䅖㩒啑剅㵙歒晚啒唵汕卂ㅘ䉚䙔䔹啑䵬南穧䑏硁䍏㵫圦义佄㵗䥆卒彔佐啐♐䕈䝉呈㐽〵圦䑉䡔㐽〵匦䅔呒䵟塁䵉婉䑅䘽䱁䕓嘦剁䌺䱁久䅄㵒单嘦剁区䵙佂㵌奂♄䅖㩒义䕄㵘0쮁䮁_x001E_奂幄䙆䕟呎偒归䅖彌䅄䱉⡙㜳㘱⤵Ř＀＀ ＀＀ŀ＀＀_x0008_＀＀_x0001_＀＀_x0001_＀＀_x0001_＀＀裎_xDED2_䷠䂔摦畳㩰⼯楤敲瑣潩獮䘯呁嘠敩敷㽲捡楴湯唽䑐呁♅牣慥潴㵲慦瑣敳♴奄彎剁升吽啒♅佄彃䅎䕍䘽呁䘺䱑䅟䑕呉义彇䱃䕉呎呟䵅䱐呁⹅䅆♔楤灳慬役瑳楲杮䄽摵瑩嘦剁䬺奅䤽啔坒䥊䭚♄䅖㩒啑剅㵙歒晚啒唵汕卂ㅘ䉚䙔䔹啑䵬南穧穎㉅华㵫圦义佄㵗䥆卒彔佐啐♐䕈䝉呈㐽〵圦䑉䡔㐽〵匦䅔呒䵟塁䵉婉䑅䘽䱁䕓嘦剁䌺䱁久䅄㵒单嘦剁区䵙佂㵌奂♄䅖㩒义䕄㵘0쮃䮁_x001E_奂幄䙆䕟呎偒归䅖彌䅄䱉⡙㠳〲⤰Ř＀＀ ＀＀ŀ＀＀_x0008_＀＀_x0001_＀＀_x0001_＀＀_x0001_＀＀凖ӕㅑ䂧摦畳㩰⼯楤敲瑣潩獮䘯呁嘠敩敷㽲捡楴湯唽䑐呁♅牣慥潴㵲慦瑣敳♴奄彎剁升吽啒♅佄彃䅎䕍䘽呁䘺䱑䅟䑕呉义彇䱃䕉呎呟䵅䱐呁⹅䅆♔楤灳慬役瑳楲杮䄽摵瑩嘦剁䬺奅䌽䵈奆䕚䝄♒䅖㩒啑剅㵙歒晚啒唵汕卂ㅘ䉚䙔䔹啑䵬南穧䑏睉䍍㵫圦义佄㵗䥆卒彔佐啐♐䕈䝉呈㐽〵圦䑉䡔㐽〵匦䅔呒䵟塁䵉婉䑅䘽䱁䕓嘦剁䌺䱁久䅄㵒单嘦剁区䵙佂㵌奂♄䅖㩒义䕄㵘0쮄䮁_x001E_奂幄䙆䕟呎偒归䅖彌䅄䱉⡙㠳㜷⤷Ř＀＀ ＀＀ŀ＀＀_x0008_＀＀_x0001_＀＀_x0001_＀＀_x0001_＀＀餱ᠪ썽䂸摦畳㩰⼯楤敲瑣潩獮䘯呁嘠敩敷㽲捡楴湯唽䑐呁♅牣慥潴㵲慦瑣敳♴奄彎剁升吽啒♅佄彃䅎䕍䘽呁䘺䱑䅟䑕呉义彇䱃䕉呎呟䵅䱐呁⹅䅆♔楤灳慬役瑳楲杮䄽摵瑩嘦剁䬺奅䌽䍂䍂卖半♐䅖㩒啑剅㵙歒晚啒唵汕卂ㅘ䉚䙔䔹啑䵬南穧䑏㍣祎㵫圦义佄㵗䥆卒彔佐啐♐䕈䝉呈㐽〵圦䑉䡔㐽〵匦䅔呒䵟塁䵉婉䑅䘽䱁䕓嘦剁䌺䱁久䅄㵒单嘦剁区䵙佂㵌奂♄䅖㩒义䕄㵘0쮂䮁_x001E_奂幄䙆䕟呎偒归䅖彌䅄䱉⡙㜳㠹⤷Ř＀＀ ＀＀ŀ＀＀_x0008_＀＀_x0001_＀＀_x0001_＀＀_x0001_＀＀ꁑᤩ䂠摦畳㩰⼯楤敲瑣潩獮䘯呁嘠敩敷㽲捡楴湯唽䑐呁♅牣慥潴㵲慦瑣敳♴奄彎剁升吽啒♅佄彃䅎䕍䘽呁䘺䱑䅟䑕呉义彇䱃䕉呎呟䵅䱐呁⹅䅆♔楤灳慬役瑳楲杮䄽摵瑩嘦剁䬺奅䜽党䅘啈䭘♘䅖㩒啑剅㵙歒晚啒唵汕卂ㅘ䉚䙔䔹啑䵬南穧穎㑫祎㵫圦义佄㵗䥆卒彔佐啐♐䕈䝉呈㐽〵圦䑉䡔㐽〵匦䅔呒䵟塁䵉婉䑅䘽䱁䕓嘦剁䌺䱁久䅄㵒单嘦剁区䵙佂㵌奂♄䅖㩒义䕄㵘0쮅䮁_x001E_奂幄䙆䕟呎偒归䅖彌䅄䱉⡙㤳ㄴ⤷Ř＀＀ ＀＀ŀ＀＀_x0008_＀＀_x0001_＀＀_x0001_＀＀_x0001_＀＀攬㼸䂵摦畳㩰⼯楤敲瑣潩獮䘯呁嘠敩敷㽲捡楴湯唽䑐呁♅牣慥潴㵲慦瑣敳♴奄彎剁升吽啒♅佄彃䅎䕍䘽呁䘺䱑䅟䑕呉义彇䱃䕉呎呟䵅䱐呁⹅䅆♔楤灳慬役瑳楲杮䄽摵瑩嘦剁䬺奅䄽午䝘坎䕆♘䅖㩒啑剅㵙歒晚啒唵汕卂ㅘ䉚䙔䔹啑䵬南穧呏硑祎㵫圦义佄㵗䥆卒彔佐啐♐䕈䝉呈㐽〵圦䑉䡔㐽〵匦䅔呒䵟塁䵉婉䑅䘽䱁䕓嘦剁䌺䱁久䅄㵒单嘦剁区䵙佂㵌奂♄䅖㩒义䕄㵘0쮀䮁_x001E_奂幄䙆䕟呎偒归䅖彌䅄䱉⡙㘳㌷⤹Ř＀＀ ＀＀ŀ＀＀_x0008_＀＀_x0001_＀＀_x0001_＀＀_x0001_＀＀_xDF3C_赏⣷䂑摦畳㩰⼯楤敲瑣潩獮䘯呁嘠敩敷㽲捡楴湯唽䑐呁♅牣慥潴㵲慦瑣敳♴奄彎剁升吽啒♅佄彃䅎䕍䘽呁䘺䱑䅟䑕呉义彇䱃䕉呎呟䵅䱐呁⹅䅆♔楤灳慬役瑳楲杮䄽摵瑩嘦剁䬺奅䴽䥔卆䝄䭎♄䅖㩒啑剅㵙歒晚啒唵汕卂ㅘ䉚䙔䔹啑䵬南穧橎穣协㵫圦义佄㵗䥆卒彔佐啐♐䕈䝉呈㐽〵圦䑉䡔㐽〵匦䅔呒䵟塁䵉婉䑅䘽䱁䕓嘦剁䌺䱁久䅄㵒单嘦剁区䵙佂㵌奂♄䅖㩒义䕄㵘0쮃䮁_x001E_奂幄䙆䕟呎偒归䅖彌䅄䱉⡙㠳㘱⤹Ř＀＀ ＀＀ŀ＀＀_x0008_＀＀_x0001_＀＀_x0001_＀＀_x0001_＀＀ᐒ옿䂧摦畳㩰⼯楤敲瑣潩獮䘯呁嘠敩敷㽲捡楴湯唽䑐呁♅牣慥潴㵲慦瑣敳♴奄彎剁升吽啒♅佄彃䅎䕍䘽呁䘺䱑䅟䑕呉义彇䱃䕉呎呟䵅䱐呁⹅䅆♔楤灳慬役瑳楲杮䄽摵瑩嘦剁䬺奅䴽商䝊奚佈♆䅖㩒啑剅㵙歒晚啒唵汕卂ㅘ䉚䙔䔹啑䵬南穧䑏㉅协㵫圦义佄㵗䥆卒彔佐啐♐䕈䝉呈㐽〵圦䑉䡔㐽〵匦䅔呒䵟塁䵉婉䑅䘽䱁䕓嘦剁䌺䱁久䅄㵒单嘦剁区䵙佂㵌奂♄䅖㩒义䕄㵘0쮂䮁_x001E_奂幄䙆䕟呎偒归䅖彌䅄䱉⡙㜳㘵⤱Ř＀＀ ＀＀ŀ＀＀_x0008_＀＀_x0001_＀＀_x0001_＀＀_x0001_＀＀ၢ㥘ඔ䂜摦畳㩰⼯楤敲瑣潩獮䘯呁嘠敩敷㽲捡楴湯唽䑐呁♅牣慥潴㵲慦瑣敳♴奄彎剁升吽啒♅佄彃䅎䕍䘽呁䘺䱑䅟䑕呉义彇䱃䕉呎呟䵅䱐呁⹅䅆♔楤灳慬役瑳楲杮䄽摵瑩嘦剁䬺奅圽佊䝘䕄䕌♈䅖㩒啑剅㵙歒晚啒唵汕卂ㅘ䉚䙔䔹啑䵬南穧穎㉕卍㵫圦义佄㵗䥆卒彔佐啐♐䕈䝉呈㐽〵圦䑉䡔㐽〵匦䅔呒䵟塁䵉婉䑅䘽䱁䕓嘦剁䌺䱁久䅄㵒单嘦剁区䵙佂㵌奂♄䅖㩒义䕄㵘0쮁䮁_x001E_奂幄䙆䕟呎偒归䅖彌䅄䱉⡙㜳ㄳ⤶Ř＀＀ ＀＀ŀ＀＀_x0008_＀＀_x0001_＀＀_x0001_＀＀_x0001_＀＀ⓞ脆ﺕ䂛摦畳㩰⼯楤敲瑣潩獮䘯呁嘠敩敷㽲捡楴湯唽䑐呁♅牣慥潴㵲慦瑣敳♴奄彎剁升吽啒♅佄彃䅎䕍䘽呁䘺䱑䅟䑕呉义彇䱃䕉呎呟䵅䱐呁⹅䅆♔楤灳慬役瑳楲杮䄽摵瑩嘦剁䬺奅夽䍐䝂但䭖♂䅖㩒啑剅㵙歒晚啒唵汕卂ㅘ䉚䙔䔹啑䵬南穧穎硍楎㵫圦义佄㵗䥆卒彔佐啐♐䕈䝉呈㐽〵圦䑉䡔㐽〵匦䅔呒䵟塁䵉婉䑅䘽䱁䕓嘦剁䌺䱁久䅄㵒单嘦剁区䵙佂㵌奂♄䅖㩒义䕄㵘0쮀䮁_x001E_奂幄䙆䕟呎偒归䅖彌䅄䱉⡙㘳㈵⤶Ř＀＀ ＀＀ŀ＀＀_x0008_＀＀_x0001_＀＀_x0001_＀＀_x0001_＀＀尩슏꼝䂓摦畳㩰⼯楤敲瑣潩獮䘯呁嘠敩敷㽲捡楴湯唽䑐呁♅牣慥潴㵲慦瑣敳♴奄彎剁升吽啒♅佄彃䅎䕍䘽呁䘺䱑䅟䑕呉义彇䱃䕉呎呟䵅䱐呁⹅䅆♔楤灳慬役瑳楲杮䄽摵瑩嘦剁䬺奅儽䵒䝖兖䅆♎䅖㩒啑剅㵙歒晚啒唵汕卂ㅘ䉚䙔䔹啑䵬南穧橎祕楎㵫圦义佄㵗䥆卒彔佐啐♐䕈䝉呈㐽〵圦䑉䡔㐽〵匦䅔呒䵟塁䵉婉䑅䘽䱁䕓嘦剁䌺䱁久䅄㵒单嘦剁区䵙佂㵌奂♄䅖㩒义䕄㵘0쮆䮁_x001E_奂幄䙆䕟呎偒归䅖彌䅄䱉⡙〴㔰⤷Ř＀＀ ＀＀ŀ＀＀_x0008_＀＀_x0001_＀＀_x0001_＀＀_x0001_＀＀꣖梇鸄䂪摦畳㩰⼯楤敲瑣潩獮䘯呁嘠敩敷㽲捡楴湯唽䑐呁♅牣慥潴㵲慦瑣敳♴奄彎剁升吽啒♅佄彃䅎䕍䘽呁䘺䱑䅟䑕呉义彇䱃䕉呎呟䵅䱐呁⹅䅆♔楤灳慬役瑳楲杮䄽摵瑩嘦剁䬺奅唽䕈䝒商䅈♂䅖㩒啑剅㵙歒晚啒唵汕卂ㅘ䉚䙔䔹啑䵬南で䑍ㅁ祎㵫圦义佄㵗䥆卒彔佐啐♐䕈䝉呈㐽〵圦䑉䡔㐽〵匦䅔呒䵟塁䵉婉䑅䘽䱁䕓嘦剁䌺䱁久䅄㵒单嘦剁区䵙佂㵌奂♄䅖㩒义䕄㵘0쮃䮁_x001E_奂幄䙆䕟呎偒归䅖彌䅄䱉⡙㠳㘵⤵Ř＀＀ ＀＀ŀ＀＀_x0008_＀＀_x0001_＀＀_x0001_＀＀_x0001_＀＀_xDAE4_ㅐ몞䂺摦畳㩰⼯楤敲瑣潩獮䘯呁嘠敩敷㽲捡楴湯唽䑐呁♅牣慥潴㵲慦瑣敳♴奄彎剁升吽啒♅佄彃䅎䕍䘽呁䘺䱑䅟䑕呉义彇䱃䕉呎呟䵅䱐呁⹅䅆♔楤灳慬役瑳楲杮䄽摵瑩嘦剁䬺奅匽䥎坌奊䝂♊䅖㩒啑剅㵙歒晚啒唵汕卂ㅘ䉚䙔䔹啑䵬南穧䑏㉕华㵫圦义佄㵗䥆卒彔佐啐♐䕈䝉呈㐽〵圦䑉䡔㐽〵匦䅔呒䵟塁䵉婉䑅䘽䱁䕓嘦剁䌺䱁久䅄㵒单嘦剁区䵙佂㵌奂♄䅖㩒义䕄㵘0쮅䮁_x001E_奂幄䙆䕟呎偒归䅖彌䅄䱉⡙㤳〶⤰Ř＀＀ ＀＀ŀ＀＀_x0008_＀＀_x0001_＀＀_x0001_＀＀_x0001_＀＀㧀섓䂫摦畳㩰⼯楤敲瑣潩獮䘯呁嘠敩敷㽲捡楴湯唽䑐呁♅牣慥潴㵲慦瑣敳♴奄彎剁升吽啒♅佄彃䅎䕍䘽呁䘺䱑䅟䑕呉义彇䱃䕉呎呟䵅䱐呁⹅䅆♔楤灳慬役瑳楲杮䄽摵瑩嘦剁䬺奅伽䍐䕊奐䅐♌䅖㩒啑剅㵙歒晚啒唵汕卂ㅘ䉚䙔䔹啑䵬南穧呏睙䍍㵫圦义佄㵗䥆卒彔佐啐♐䕈䝉呈㐽〵圦䑉䡔㐽〵匦䅔呒䵟塁䵉婉䑅䘽䱁䕓嘦剁䌺䱁久䅄㵒单嘦剁区䵙佂㵌奂♄䅖㩒义䕄㵘0쮂䮁_x001E_奂幄䙆䕟呎偒归䅖彌䅄䱉⡙㜳ㄷ⤲Ř＀＀ ＀＀ŀ＀＀_x0008_＀＀_x0001_＀＀_x0001_＀＀_x0001_＀＀ㄦ劈䂝摦畳㩰⼯楤敲瑣潩獮䘯呁嘠敩敷㽲捡楴湯唽䑐呁♅牣慥潴㵲慦瑣敳♴奄彎剁升吽啒♅佄彃䅎䕍䘽呁䘺䱑䅟䑕呉义彇䱃䕉呎呟䵅䱐呁⹅䅆♔楤灳慬役瑳楲杮䄽摵瑩嘦剁䬺奅圽䵂䍄奌兄♊䅖㩒啑剅㵙歒晚啒唵汕卂ㅘ䉚䙔䔹啑䵬南穧穎硣楍㵫圦义佄㵗䥆卒彔佐啐♐䕈䝉呈㐽〵圦䑉䡔㐽〵匦䅔呒䵟塁䵉婉䑅䘽䱁䕓嘦剁䌺䱁久䅄㵒单嘦剁区䵙佂㵌奂♄䅖㩒义䕄㵘0쮅䮁_x001E_奂幄䙆䕟呎偒归䅖彌䅄䱉⡙㤳㐱⤲Ř＀＀ ＀＀ŀ＀＀_x0008_＀＀_x0001_＀＀_x0001_＀＀_x0001_＀＀祼௉䂸摦畳㩰⼯楤敲瑣潩獮䘯呁嘠敩敷㽲捡楴湯唽䑐呁♅牣慥潴㵲慦瑣敳♴奄彎剁升吽啒♅佄彃䅎䕍䘽呁䘺䱑䅟䑕呉义彇䱃䕉呎呟䵅䱐呁⹅䅆♔楤灳慬役瑳楲杮䄽摵瑩嘦剁䬺奅匽坘午䥈䵈♊䅖㩒啑剅㵙歒晚啒唵汕卂ㅘ䉚䙔䔹啑䵬南穧呏ぅ楍㵫圦义佄㵗䥆卒彔佐啐♐䕈䝉呈㐽〵圦䑉䡔㐽〵匦䅔呒䵟塁䵉婉䑅䘽䱁䕓嘦剁䌺䱁久䅄㵒单嘦剁区䵙佂㵌奂♄䅖㩒义䕄㵘0쮅䮁_x001E_奂幄䙆䕟呎偒归䅖彌䅄䱉⡙㤳㘵⤹Ř＀＀ ＀＀ŀ＀＀_x0008_＀＀_x0001_＀＀_x0001_＀＀_x0001_＀＀冘뜬ꉄ䂭摦畳㩰⼯楤敲瑣潩獮䘯呁嘠敩敷㽲捡楴湯唽䑐呁♅牣慥潴㵲慦瑣敳♴奄彎剁升吽啒♅佄彃䅎䕍䘽呁䘺䱑䅟䑕呉义彇䱃䕉呎呟䵅䱐呁⹅䅆♔楤灳慬役瑳楲杮䄽摵瑩嘦剁䬺奅䄽兌䅌䕈兆♂䅖㩒啑剅㵙歒晚啒唵汕卂ㅘ䉚䙔䔹啑䵬南穧呏㉕协㵫圦义佄㵗䥆卒彔佐啐♐䕈䝉呈㐽〵圦䑉䡔㐽〵匦䅔呒䵟塁䵉婉䑅䘽䱁䕓嘦剁䌺䱁久䅄㵒单嘦剁区䵙佂㵌奂♄䅖㩒义䕄㵘0쮆䮁_x001E_奂幄䙆䕟呎偒归䅖彌䅄䱉⡙㤳ㄸ⤴Ř＀＀ ＀＀ŀ＀＀_x0008_＀＀_x0001_＀＀_x0001_＀＀_x0001_＀＀஢寪閭䂦摦畳㩰⼯楤敲瑣潩獮䘯呁嘠敩敷㽲捡楴湯唽䑐呁♅牣慥潴㵲慦瑣敳♴奄彎剁升吽啒♅佄彃䅎䕍䘽呁䘺䱑䅟䑕呉义彇䱃䕉呎呟䵅䱐呁⹅䅆♔楤灳慬役瑳楲杮䄽摵瑩嘦剁䬺奅圽䅐兊䥆䵆♌䅖㩒啑剅㵙歒晚啒唵汕卂ㅘ䉚䙔䔹啑䵬南穧呏硧䍎㵫圦义佄㵗䥆卒彔佐啐♐䕈䝉呈㐽〵圦䑉䡔㐽〵匦䅔呒䵟塁䵉婉䑅䘽䱁䕓嘦剁䌺䱁久䅄㵒单嘦剁区䵙佂㵌奂♄䅖㩒义䕄㵘0쮄䮁_x001E_奂幄䙆䕟呎偒归䅖彌䅄䱉⡙㠳㘹⤱Ř＀＀ ＀＀ŀ＀＀_x0008_＀＀_x0001_＀＀_x0001_＀＀_x0001_＀＀鍴И㕞䂶摦畳㩰⼯楤敲瑣潩獮䘯呁嘠敩敷㽲捡楴湯唽䑐呁♅牣慥潴㵲慦瑣敳♴奄彎剁升吽啒♅佄彃䅎䕍䘽呁䘺䱑䅟䑕呉义彇䱃䕉呎呟䵅䱐呁⹅䅆♔楤灳慬役瑳楲杮䄽摵瑩嘦剁䬺奅伽䵆䕔坔啒♌䅖㩒啑剅㵙歒晚啒唵汕卂ㅘ䉚䙔䔹啑䵬南穧䑏㉫卍㵫圦义佄㵗䥆卒彔佐啐♐䕈䝉呈㐽〵圦䑉䡔㐽〵匦䅔呒䵟塁䵉婉䑅䘽䱁䕓嘦剁䌺䱁久䅄㵒单嘦剁区䵙佂㵌奂♄䅖㩒义䕄㵘0쮁䮁_x001E_奂幄䙆䕟呎偒归䅖彌䅄䱉⡙㜳〱⤴Ř＀＀ ＀＀ŀ＀＀_x0008_＀＀_x0001_＀＀_x0001_＀＀_x0001_＀＀Ϯ_xDA90__xDBC4_䂕摦畳㩰⼯楤敲瑣潩獮䘯呁嘠敩敷㽲捡楴湯唽䑐呁♅牣慥潴㵲慦瑣敳♴奄彎剁升吽啒♅佄彃䅎䕍䘽呁䘺䱑䅟䑕呉义彇䱃䕉呎呟䵅䱐呁⹅䅆♔楤灳慬役瑳楲杮䄽摵瑩嘦剁䬺奅䄽啊奘啌䥎♂䅖㩒啑剅㵙歒晚啒唵汕卂ㅘ䉚䙔䔹啑䵬南穧穎睅䍎㵫圦义佄㵗䥆卒彔佐啐♐䕈䝉呈㐽〵圦䑉䡔㐽〵匦䅔呒䵟塁䵉婉䑅䘽䱁䕓嘦剁䌺䱁久䅄㵒单嘦剁区䵙佂㵌奂♄䅖㩒义䕄㵘0쮂䮁_x001E_奂幄䙆䕟呎偒归䅖彌䅄䱉⡙㜳㈹⤶Ř＀＀ ＀＀ŀ＀＀_x0008_＀＀_x0001_＀＀_x0001_＀＀_x0001_＀＀詝쪫៾䂟摦畳㩰⼯楤敲瑣潩獮䘯呁嘠敩敷㽲捡楴湯唽䑐呁♅牣慥潴㵲慦瑣敳♴奄彎剁升吽啒♅佄彃䅎䕍䘽呁䘺䱑䅟䑕呉义彇䱃䕉呎呟䵅䱐呁⹅䅆♔楤灳慬役瑳楲杮䄽摵瑩嘦剁䬺奅䴽佐䵚但䅔♘䅖㩒啑剅㵙歒晚啒唵汕卂ㅘ䉚䙔䔹啑䵬南穧穎祫楎㵫圦义佄㵗䥆卒彔佐啐♐䕈䝉呈㐽〵圦䑉䡔㐽〵匦䅔呒䵟塁䵉婉䑅䘽䱁䕓嘦剁䌺䱁久䅄㵒单嘦剁区䵙佂㵌奂♄䅖㩒义䕄㵘0쮅䮁_x001E_奂幄䙆䕟呎偒归䅖彌䅄䱉⡙㤳㔳⤶Ř＀＀ ＀＀ŀ＀＀_x0008_＀＀_x0001_＀＀_x0001_＀＀_x0001_＀＀竢긔䂶摦畳㩰⼯楤敲瑣潩獮䘯呁嘠敩敷㽲捡楴湯唽䑐呁♅牣慥潴㵲慦瑣敳♴奄彎剁升吽啒♅佄彃䅎䕍䘽呁䘺䱑䅟䑕呉义彇䱃䕉呎呟䵅䱐呁⹅䅆♔楤灳慬役瑳楲杮䄽摵瑩嘦剁䬺奅䌽奖䵂䝌䕘♄䅖㩒啑剅㵙歒晚啒唵汕卂ㅘ䉚䙔䔹啑䵬南穧呏ㅍ楎㵫圦义佄㵗䥆卒彔佐啐♐䕈䝉呈㐽〵圦䑉䡔㐽〵匦䅔呒䵟塁䵉婉䑅䘽䱁䕓嘦剁䌺䱁久䅄㵒单嘦剁区䵙佂㵌奂♄䅖㩒义䕄㵘0쮀䮁_x001E_奂幄䙆䕟呎偒归䅖彌䅄䱉⡙㘳㜶⤸Ř＀＀ ＀＀ŀ＀＀_x0008_＀＀_x0001_＀＀_x0001_＀＀_x0001_＀＀ᑺꉎ䂑摦畳㩰⼯楤敲瑣潩獮䘯呁嘠敩敷㽲捡楴湯唽䑐呁♅牣慥潴㵲慦瑣敳♴奄彎剁升吽啒♅佄彃䅎䕍䘽呁䘺䱑䅟䑕呉义彇䱃䕉呎呟䵅䱐呁⹅䅆♔楤灳慬役瑳楲杮䄽摵瑩嘦剁䬺奅匽䝘䥎兄坆♎䅖㩒啑剅㵙歒晚啒唵汕卂ㅘ䉚䙔䔹啑䵬南穧橎㍙䍏㵫圦义佄㵗䥆卒彔佐啐♐䕈䝉呈㐽〵圦䑉䡔㐽〵匦䅔呒䵟塁䵉婉䑅䘽䱁䕓嘦剁䌺䱁久䅄㵒单嘦剁区䵙佂㵌奂♄䅖㩒义䕄㵘0쮀䮁_x001E_奂幄䙆䕟呎偒归䅖彌䅄䱉⡙㘳㈹⤳Ř＀＀ ＀＀ŀ＀＀_x0008_＀＀_x0001_＀＀_x0001_＀＀_x0001_＀＀늀滩䂒摦畳㩰⼯楤敲瑣潩獮䘯呁嘠敩敷㽲捡楴湯唽䑐呁♅牣慥潴㵲慦瑣敳♴奄彎剁升吽啒♅佄彃䅎䕍䘽呁䘺䱑䅟䑕呉义彇䱃䕉呎呟䵅䱐呁⹅䅆♔楤灳慬役瑳楲杮䄽摵瑩嘦剁䬺奅䄽䥎䭈䵚䝎♐䅖㩒啑剅㵙歒晚啒唵汕卂ㅘ䉚䙔䔹啑䵬南穧橎祫祍㵫圦义佄㵗䥆卒彔佐啐♐䕈䝉呈㐽〵圦䑉䡔㐽〵匦䅔呒䵟塁䵉婉䑅䘽䱁䕓嘦剁䌺䱁久䅄㵒单嘦剁区䵙佂㵌奂♄䅖㩒义䕄㵘0쮃䮁_x001E_奂幄䙆䕟呎偒归䅖彌䅄䱉⡙㠳㔳⤳Ř＀＀ ＀＀ŀ＀＀_x0008_＀＀_x0001_＀＀_x0001_＀＀_x0001_＀＀ꇊ뙅ᤫ䂵摦畳㩰⼯楤敲瑣潩獮䘯呁嘠敩敷㽲捡楴湯唽䑐呁♅牣慥潴㵲慦瑣敳♴奄彎剁升吽啒♅佄彃䅎䕍䘽呁䘺䱑䅟䑕呉义彇䱃䕉呎呟䵅䱐呁⹅䅆♔楤灳慬役瑳楲杮䄽摵瑩嘦剁䬺奅䌽啖䕘䕔䅘♌䅖㩒啑剅㵙歒晚啒唵汕卂ㅘ䉚䙔䔹啑䵬南穧䑏ㅍ祍㵫圦义佄㵗䥆卒彔佐啐♐䕈䝉呈㐽〵圦䑉䡔㐽〵匦䅔呒䵟塁䵉婉䑅䘽䱁䕓嘦剁䌺䱁久䅄㵒单嘦剁区䵙佂㵌奂♄䅖㩒义䕄㵘0쮆䮁_x001E_奂幄䙆䕟呎偒归䅖彌䅄䱉⡙㤳㘹⤵Ř＀＀ ＀＀ŀ＀＀_x0008_＀＀_x0001_＀＀_x0001_＀＀_x0001_＀＀陨ꠄ킩䂫摦畳㩰⼯楤敲瑣潩獮䘯呁嘠敩敷㽲捡楴湯唽䑐呁♅牣慥潴㵲慦瑣敳♴奄彎剁升吽啒♅佄彃䅎䕍䘽呁䘺䱑䅟䑕呉义彇䱃䕉呎呟䵅䱐呁⹅䅆♔楤灳慬役瑳楲杮䄽摵瑩嘦剁䬺奅䤽奌䍄奚䅐♘䅖㩒啑剅㵙歒晚啒唵汕卂ㅘ䉚䙔䔹啑䵬南穧呏㉫华㵫圦义佄㵗䥆卒彔佐啐♐䕈䝉呈㐽〵圦䑉䡔㐽〵匦䅔呒䵟塁䵉婉䑅䘽䱁䕓嘦剁䌺䱁久䅄㵒单嘦剁区䵙佂㵌奂♄䅖㩒义䕄㵘0쮃䮁_x001E_奂幄䙆䕟呎偒归䅖彌䅄䱉⡙㠳〱⤸Ř＀＀ ＀＀ŀ＀＀_x0008_＀＀_x0001_＀＀_x0001_＀＀_x0001_＀＀Й๖䂣摦畳㩰⼯楤敲瑣潩獮䘯呁嘠敩敷㽲捡楴湯唽䑐呁♅牣慥潴㵲慦瑣敳♴奄彎剁升吽啒♅佄彃䅎䕍䘽呁䘺䱑䅟䑕呉义彇䱃䕉呎呟䵅䱐呁⹅䅆♔楤灳慬役瑳楲杮䄽摵瑩嘦剁䬺奅匽児䭊坘䍘♚䅖㩒啑剅㵙歒晚啒唵汕卂ㅘ䉚䙔䔹啑䵬南穧䑏睅䍏㵫圦义佄㵗䥆卒彔佐啐♐䕈䝉呈㐽〵圦䑉䡔㐽〵匦䅔呒䵟塁䵉婉䑅䘽䱁䕓嘦剁䌺䱁久䅄㵒单嘦剁区䵙佂㵌奂♄䅖㩒义䕄㵘0쮁䮁_x001E_奂幄䙆䕟呎偒归䅖彌䅄䱉⡙㜳〵⤰Ř＀＀ ＀＀ŀ＀＀_x0008_＀＀_x0001_＀＀_x0001_＀＀_x0001_＀＀꾸琬䂠摦畳㩰⼯楤敲瑣潩獮䘯呁嘠敩敷㽲捡楴湯唽䑐呁♅牣慥潴㵲慦瑣敳♴奄彎剁升吽啒♅佄彃䅎䕍䘽呁䘺䱑䅟䑕呉义彇䱃䕉呎呟䵅䱐呁⹅䅆♔楤灳慬役瑳楲杮䄽摵瑩嘦剁䬺奅圽䍔䥔佄䍘♈䅖㩒啑剅㵙歒晚啒唵汕卂ㅘ䉚䙔䔹啑䵬南穧穎睕䍍㵫圦义佄㵗䥆卒彔佐啐♐䕈䝉呈㐽〵圦䑉䡔㐽〵匦䅔呒䵟塁䵉婉䑅䘽䱁䕓嘦剁䌺䱁久䅄㵒单嘦剁区䵙佂㵌奂♄䅖㩒义䕄㵘0쮁䮁_x001E_奂幄䙆䕟呎偒归䅖彌䅄䱉⡙㜳㘴⤹Ř＀＀ ＀＀ŀ＀＀_x0008_＀＀_x0001_＀＀_x0001_＀＀_x0001_＀＀컅㨔ԯ䂟摦畳㩰⼯楤敲瑣潩獮䘯呁嘠敩敷㽲捡楴湯唽䑐呁♅牣慥潴㵲慦瑣敳♴奄彎剁升吽啒♅佄彃䅎䕍䘽呁䘺䱑䅟䑕呉义彇䱃䕉呎呟䵅䱐呁⹅䅆♔楤灳慬役瑳楲杮䄽摵瑩嘦剁䬺奅䌽䵘午佈兒♘䅖㩒啑剅㵙歒晚啒唵汕卂ㅘ䉚䙔䔹啑䵬南穧穎㉑协㵫圦义佄㵗䥆卒彔佐啐♐䕈䝉呈㐽〵圦䑉䡔㐽〵匦䅔呒䵟塁䵉婉䑅䘽䱁䕓嘦剁䌺䱁久䅄㵒单嘦剁区䵙佂㵌奂♄䅖㩒义䕄㵘0쮃䮁_x001E_奂幄䙆䕟呎偒归䅖彌䅄䱉⡙㠳〵⤴Ř＀＀ ＀＀ŀ＀＀_x0008_＀＀_x0001_＀＀_x0001_＀＀_x0001_＀＀橪嫙倿䂻摦畳㩰⼯楤敲瑣潩獮䘯呁嘠敩敷㽲捡楴湯唽䑐呁♅牣慥潴㵲慦瑣敳♴奄彎剁升吽啒♅佄彃䅎䕍䘽呁䘺䱑䅟䑕呉义彇䱃䕉呎呟䵅䱐呁⹅䅆♔楤灳慬役瑳楲杮䄽摵瑩嘦剁䬺奅䤽兔䵎啈佔♄䅖㩒啑剅㵙歒晚啒唵汕卂ㅘ䉚䙔䔹啑䵬南穧䑏睕䍎㵫圦义佄㵗䥆卒彔佐啐♐䕈䝉呈㐽〵圦䑉䡔㐽〵匦䅔呒䵟塁䵉婉䑅䘽䱁䕓嘦剁䌺䱁久䅄㵒单嘦剁区䵙佂㵌奂♄䅖㩒义䕄㵘0쮀䮁_x001E_奂幄䙆䕟呎偒归䅖彌䅄䱉⡙㘳㘸⤱Ř＀＀ ＀＀ŀ＀＀_x0008_＀＀_x0001_＀＀_x0001_＀＀_x0001_＀＀욨㝋蘉䂐摦畳㩰⼯楤敲瑣潩獮䘯呁嘠敩敷㽲捡楴湯唽䑐呁♅牣慥潴㵲慦瑣敳♴奄彎剁升吽啒♅佄彃䅎䕍䘽呁䘺䱑䅟䑕呉义彇䱃䕉呎呟䵅䱐呁⹅䅆♔楤灳慬役瑳楲杮䄽摵瑩嘦剁䬺奅䤽奐䅖䵊協♊䅖㩒啑剅㵙歒晚啒唵汕卂ㅘ䉚䙔䔹啑䵬南穧橎㉧卍㵫圦义佄㵗䥆卒彔佐啐♐䕈䝉呈㐽〵圦䑉䡔㐽〵匦䅔呒䵟塁䵉婉䑅䘽䱁䕓嘦剁䌺䱁久䅄㵒单嘦剁区䵙佂㵌奂♄䅖㩒义䕄㵘0쮆䮁_x001E_奂幄䙆䕟呎偒归䅖彌䅄䱉⡙㤳㔷⤳Ř＀＀ ＀＀ŀ＀＀_x0008_＀＀_x0001_＀＀_x0001_＀＀_x0001_＀＀퀔_xD844_Ͱ䂨摦畳㩰⼯楤敲瑣潩獮䘯呁嘠敩敷㽲捡楴湯唽䑐呁♅牣慥潴㵲慦瑣敳♴奄彎剁升吽啒♅佄彃䅎䕍䘽呁䘺䱑䅟䑕呉义彇䱃䕉呎呟䵅䱐呁⹅䅆♔楤灳慬役瑳楲杮䄽摵瑩嘦剁䬺奅夽坐䕐卂兖♎䅖㩒啑剅㵙歒晚啒唵汕卂ㅘ䉚䙔䔹啑䵬南穧呏ㅣ祍㵫圦义佄㵗䥆卒彔佐啐♐䕈䝉呈㐽〵圦䑉䡔㐽〵匦䅔呒䵟塁䵉婉䑅䘽䱁䕓嘦剁䌺䱁久䅄㵒单嘦剁区䵙佂㵌奂♄䅖㩒义䕄㵘0쮁䮁_x001E_奂幄䙆䕟呎偒归䅖彌䅄䱉⡙㜳㐰⤳Ř＀＀ ＀＀ŀ＀＀_x0008_＀＀_x0001_＀＀_x0001_＀＀_x0001_＀＀馚香딙䂓摦畳㩰⼯楤敲瑣潩獮䘯呁嘠敩敷㽲捡楴湯唽䑐呁♅牣慥潴㵲慦瑣敳♴奄彎剁升吽啒♅佄彃䅎䕍䘽呁䘺䱑䅟䑕呉义彇䱃䕉呎呟䵅䱐呁⹅䅆♔楤灳慬役瑳楲杮䄽摵瑩嘦剁䬺奅䴽午卐䭒卖♊䅖㩒啑剅㵙歒晚啒唵汕卂ㅘ䉚䙔䔹啑䵬南穧穎ぁ祍㵫圦义佄㵗䥆卒彔佐啐♐䕈䝉呈㐽〵圦䑉䡔㐽〵匦䅔呒䵟塁䵉婉䑅䘽䱁䕓嘦剁䌺䱁久䅄㵒单嘦剁区䵙佂㵌奂♄䅖㩒义䕄㵘0쮅䮁_x001E_奂幄䙆䕟呎偒归䅖彌䅄䱉⡙㤳〵⤸Ř＀＀ ＀＀ŀ＀＀_x0008_＀＀_x0001_＀＀_x0001_＀＀_x0001_＀＀贐⃮骶䂮摦畳㩰⼯楤敲瑣潩獮䘯呁嘠敩敷㽲捡楴湯唽䑐呁♅牣慥潴㵲慦瑣敳♴奄彎剁升吽啒♅佄彃䅎䕍䘽呁䘺䱑䅟䑕呉义彇䱃䕉呎呟䵅䱐呁⹅䅆♔楤灳慬役瑳楲杮䄽摵瑩嘦剁䬺奅䔽䥔奈卒䭆♂䅖㩒啑剅㵙歒晚啒唵汕卂ㅘ䉚䙔䔹啑䵬南穧呏睕䍏㵫圦义佄㵗䥆卒彔佐啐♐䕈䝉呈㐽〵圦䑉䡔㐽〵匦䅔呒䵟塁䵉婉䑅䘽䱁䕓嘦剁䌺䱁久䅄㵒单嘦剁区䵙佂㵌奂♄䅖㩒义䕄㵘0쮄䮁_x001E_奂幄䙆䕟呎偒归䅖彌䅄䱉⡙㠳ㄷ⤸Ř＀＀ ＀＀ŀ＀＀_x0008_＀＀_x0001_＀＀_x0001_＀＀_x0001_＀＀ొ⬂馷䂹摦畳㩰⼯楤敲瑣潩獮䘯呁嘠敩敷㽲捡楴湯唽䑐呁♅牣慥潴㵲慦瑣敳♴奄彎剁升吽啒♅佄彃䅎䕍䘽呁䘺䱑䅟䑕呉义彇䱃䕉呎呟䵅䱐呁⹅䅆♔楤灳慬役瑳楲杮䄽摵瑩嘦剁䬺奅伽䕖䭆䕐坂♌䅖㩒啑剅㵙歒晚啒唵汕卂ㅘ䉚䙔䔹啑䵬南穧䑏硣䍏㵫圦义佄㵗䥆卒彔佐啐♐䕈䝉呈㐽〵圦䑉䡔㐽〵匦䅔呒䵟塁䵉婉䑅䘽䱁䕓嘦剁䌺䱁久䅄㵒单嘦剁区䵙佂㵌奂♄䅖㩒义䕄㵘0쮂䮁_x001E_奂幄䙆䕟呎偒归䅖彌䅄䱉⡙㜳㘸⤵Ř＀＀ ＀＀ŀ＀＀_x0008_＀＀_x0001_＀＀_x0001_＀＀_x0001_＀＀蔠凫歘䂟摦畳㩰⼯楤敲瑣潩獮䘯呁嘠敩敷㽲捡楴湯唽䑐呁♅牣慥潴㵲慦瑣敳♴奄彎剁升吽啒♅佄彃䅎䕍䘽呁䘺䱑䅟䑕呉义彇䱃䕉呎呟䵅䱐呁⹅䅆♔楤灳慬役瑳楲杮䄽摵瑩嘦剁䬺奅䤽䥂䵆䝘䍌♎䅖㩒啑剅㵙歒晚啒唵汕卂ㅘ䉚䙔䔹啑䵬南穧穎㉧华㵫圦义佄㵗䥆卒彔佐啐♐䕈䝉呈㐽〵圦䑉䡔㐽〵匦䅔呒䵟塁䵉婉䑅䘽䱁䕓嘦剁䌺䱁久䅄㵒单嘦剁区䵙佂㵌奂♄䅖㩒义䕄㵘0쮅䮁_x001E_奂幄䙆䕟呎偒归䅖彌䅄䱉⡙㤳㤲⤵Ř＀＀ ＀＀ŀ＀＀_x0008_＀＀_x0001_＀＀_x0001_＀＀_x0001_＀＀ད虞䂶摦畳㩰⼯楤敲瑣潩獮䘯呁嘠敩敷㽲捡楴湯唽䑐呁♅牣慥潴㵲慦瑣敳♴奄彎剁升吽啒♅佄彃䅎䕍䘽呁䘺䱑䅟䑕呉义彇䱃䕉呎呟䵅䱐呁⹅䅆♔楤灳慬役瑳楲杮䄽摵瑩嘦剁䬺奅䬽佄䅊佖坘♘䅖㩒啑剅㵙歒晚啒唵汕卂ㅘ䉚䙔䔹啑䵬南穧呏㕉华㵫圦义佄㵗䥆卒彔佐啐♐䕈䝉呈㐽〵圦䑉䡔㐽〵匦䅔呒䵟塁䵉婉䑅䘽䱁䕓嘦剁䌺䱁久䅄㵒单嘦剁区䵙佂㵌奂♄䅖㩒义䕄㵘0쮃䮁_x001E_奂幄䙆䕟呎偒归䅖彌䅄䱉⡙㠳㤲⤲Ř＀＀ ＀＀ŀ＀＀_x0008_＀＀_x0001_＀＀_x0001_＀＀_x0001_＀＀蛘熊贞䂳摦畳㩰⼯楤敲瑣潩獮䘯呁嘠敩敷㽲捡楴湯唽䑐呁♅牣慥潴㵲慦瑣敳♴奄彎剁升吽啒♅佄彃䅎䕍䘽呁䘺䱑䅟䑕呉义彇䱃䕉呎呟䵅䱐呁⹅䅆♔楤灳慬役瑳楲杮䄽摵瑩嘦剁䬺奅䴽䥒䕈䅊佖♔䅖㩒啑剅㵙歒晚啒唵汕卂ㅘ䉚䙔䔹啑䵬南穧䑏㕉楍㵫圦义佄㵗䥆卒彔佐啐♐䕈䝉呈㐽〵圦䑉䡔㐽〵匦䅔呒䵟塁䵉婉䑅䘽䱁䕓嘦剁䌺䱁久䅄㵒单嘦剁区䵙佂㵌奂♄䅖㩒义䕄㵘0쮀䮁_x001E_奂幄䙆䕟呎偒归䅖彌䅄䱉⡙㘳ㄶ⤷Ř＀＀ ＀＀ŀ＀＀_x0008_＀＀_x0001_＀＀_x0001_＀＀_x0001_＀＀䞮竡呬䂑摦畳㩰⼯楤敲瑣潩獮䘯呁嘠敩敷㽲捡楴湯唽䑐呁♅牣慥潴㵲慦瑣敳♴奄彎剁升吽啒♅佄彃䅎䕍䘽呁䘺䱑䅟䑕呉义彇䱃䕉呎呟䵅䱐呁⹅䅆♔楤灳慬役瑳楲杮䄽摵瑩嘦剁䬺奅䔽坐佂䭎䍖♌䅖㩒啑剅㵙歒晚啒唵汕卂ㅘ䉚䙔䔹啑䵬南穧橎硙祎㵫圦义佄㵗䥆卒彔佐啐♐䕈䝉呈㐽〵圦䑉䡔㐽〵匦䅔呒䵟塁䵉婉䑅䘽䱁䕓嘦剁䌺䱁久䅄㵒单嘦剁区䵙佂㵌奂♄䅖㩒义䕄㵘0쮂䮁_x001E_奂幄䙆䕟呎偒归䅖彌䅄䱉⡙㠳㐰⤷Ř＀＀ ＀＀ŀ＀＀_x0008_＀＀_x0001_＀＀_x0001_＀＀_x0001_＀＀땨䂢摦畳㩰⼯楤敲瑣潩獮䘯呁嘠敩敷㽲捡楴湯唽䑐呁♅牣慥潴㵲慦瑣敳♴奄彎剁升吽啒♅佄彃䅎䕍䘽呁䘺䱑䅟䑕呉义彇䱃䕉呎呟䵅䱐呁⹅䅆♔楤灳慬役瑳楲杮䄽摵瑩嘦剁䬺奅匽先䵐䕂䍂♆䅖㩒啑剅㵙歒晚啒唵汕卂ㅘ䉚䙔䔹啑䵬南穧䑏ぁ祎㵫圦义佄㵗䥆卒彔佐啐♐䕈䝉呈㐽〵圦䑉䡔㐽〵匦䅔呒䵟塁䵉婉䑅䘽䱁䕓嘦剁䌺䱁久䅄㵒单嘦剁区䵙佂㵌奂♄䅖㩒义䕄㵘0쮁䮁_x001E_奂幄䙆䕟呎偒归䅖彌䅄䱉⡙㜳㔲⤷Ř＀＀ ＀＀ŀ＀＀_x0008_＀＀_x0001_＀＀_x0001_＀＀_x0001_＀＀⼛ⓝ䂖摦畳㩰⼯楤敲瑣潩獮䘯呁嘠敩敷㽲捡楴湯唽䑐呁♅牣慥潴㵲慦瑣敳♴奄彎剁升吽啒♅佄彃䅎䕍䘽呁䘺䱑䅟䑕呉义彇䱃䕉呎呟䵅䱐呁⹅䅆♔楤灳慬役瑳楲杮䄽摵瑩嘦剁䬺奅䄽䅖䝈先啘♄䅖㩒啑剅㵙歒晚啒唵汕卂ㅘ䉚䙔䔹啑䵬南穧穎ㅉ祎㵫圦义佄㵗䥆卒彔佐啐♐䕈䝉呈㐽〵圦䑉䡔㐽〵匦䅔呒䵟塁䵉婉䑅䘽䱁䕓嘦剁䌺䱁久䅄㵒单嘦剁区䵙佂㵌奂♄䅖㩒义䕄㵘0쮄䮁_x001E_奂幄䙆䕟呎偒归䅖彌䅄䱉⡙㠳㘸⤹Ř＀＀ ＀＀ŀ＀＀_x0008_＀＀_x0001_＀＀_x0001_＀＀_x0001_＀＀珪ᖵ㡣䂹摦畳㩰⼯楤敲瑣潩獮䘯呁嘠敩敷㽲捡楴湯唽䑐呁♅牣慥潴㵲慦瑣敳♴奄彎剁升吽啒♅佄彃䅎䕍䘽呁䘺䱑䅟䑕呉义彇䱃䕉呎呟䵅䱐呁⹅䅆♔楤灳慬役瑳楲杮䄽摵瑩嘦剁䬺奅匽䍄䵔䕐䍈♒䅖㩒啑剅㵙歒晚啒唵汕卂ㅘ䉚䙔䔹啑䵬南穧䑏㉧协㵫圦义佄㵗䥆卒彔佐啐♐䕈䝉呈㐽〵圦䑉䡔㐽〵匦䅔呒䵟塁䵉婉䑅䘽䱁䕓嘦剁䌺䱁久䅄㵒单嘦剁区䵙佂㵌奂♄䅖㩒义䕄㵘0쮆䮁_x001E_奂幄䙆䕟呎偒归䅖彌䅄䱉⡙㤳〹⤴Ř＀＀ ＀＀ŀ＀＀_x0008_＀＀_x0001_＀＀_x0001_＀＀_x0001_＀＀撄ጁ丸䂧摦畳㩰⼯楤敲瑣潩獮䘯呁嘠敩敷㽲捡楴湯唽䑐呁♅牣慥潴㵲慦瑣敳♴奄彎剁升吽啒♅佄彃䅎䕍䘽呁䘺䱑䅟䑕呉义彇䱃䕉呎呟䵅䱐呁⹅䅆♔楤灳慬役瑳楲杮䄽摵瑩嘦剁䬺奅䔽坖兘䵎䭂♒䅖㩒啑剅㵙歒晚啒唵汕卂ㅘ䉚䙔䔹啑䵬南穧呏睫䍎㵫圦义佄㵗䥆卒彔佐啐♐䕈䝉呈㐽〵圦䑉䡔㐽〵匦䅔呒䵟塁䵉婉䑅䘽䱁䕓嘦剁䌺䱁久䅄㵒单嘦剁区䵙佂㵌奂♄䅖㩒义䕄㵘0쮆䮁_x001E_奂幄䙆䕟呎偒归䅖彌䅄䱉⡙〴㐱⤸Ř＀＀ ＀＀ŀ＀＀_x0008_＀＀_x0001_＀＀_x0001_＀＀_x0001_＀＀戹㸭맅䂩摦畳㩰⼯楤敲瑣潩獮䘯呁嘠敩敷㽲捡楴湯唽䑐呁♅牣慥潴㵲慦瑣敳♴奄彎剁升吽啒♅佄彃䅎䕍䘽呁䘺䱑䅟䑕呉义彇䱃䕉呎呟䵅䱐呁⹅䅆♔楤灳慬役瑳楲杮䄽摵瑩嘦剁䬺奅䬽䅆佄䭘䅘♌䅖㩒啑剅㵙歒晚啒唵汕卂ㅘ䉚䙔䔹啑䵬南で䑍ぅ䍏㵫圦义佄㵗䥆卒彔佐啐♐䕈䝉呈㐽〵圦䑉䡔㐽〵匦䅔呒䵟塁䵉婉䑅䘽䱁䕓嘦剁䌺䱁久䅄㵒单嘦剁区䵙佂㵌奂♄䅖㩒义䕄㵘0쮂䮁_x001E_奂幄䙆䕟呎偒归䅖彌䅄䱉⡙㜳〸⤳Ř＀＀ ＀＀ŀ＀＀_x0008_＀＀_x0001_＀＀_x0001_＀＀_x0001_＀＀굃_xDE69_ꨡ䂠摦畳㩰⼯楤敲瑣潩獮䘯呁嘠敩敷㽲捡楴湯唽䑐呁♅牣慥潴㵲慦瑣敳♴奄彎剁升吽啒♅佄彃䅎䕍䘽呁䘺䱑䅟䑕呉义彇䱃䕉呎呟䵅䱐呁⹅䅆♔楤灳慬役瑳楲杮䄽摵瑩嘦剁䬺奅伽兒䥂䵚佄♆䅖㩒啑剅㵙歒晚啒唵汕卂ㅘ䉚䙔䔹啑䵬南穧穎睧祍㵫圦义佄㵗䥆卒彔佐啐♐䕈䝉呈㐽〵圦䑉䡔㐽〵匦䅔呒䵟塁䵉婉䑅䘽䱁䕓嘦剁䌺䱁久䅄㵒单嘦剁区䵙佂㵌奂♄䅖㩒义䕄㵘0쮃䮁_x001E_奂幄䙆䕟呎偒归䅖彌䅄䱉⡙㠳㐴⤳Ř＀＀ ＀＀ŀ＀＀_x0008_＀＀_x0001_＀＀_x0001_＀＀_x0001_＀＀涇㊋3䂻摦畳㩰⼯楤敲瑣潩獮䘯呁嘠敩敷㽲捡楴湯唽䑐呁♅牣慥潴㵲慦瑣敳♴奄彎剁升吽啒♅佄彃䅎䕍䘽呁䘺䱑䅟䑕呉义彇䱃䕉呎呟䵅䱐呁⹅䅆♔楤灳慬役瑳楲杮䄽摵瑩嘦剁䬺奅伽䍆䝄䭆奔♆䅖㩒啑剅㵙歒晚啒唵汕卂ㅘ䉚䙔䔹啑䵬南穧䑏け祍㵫圦义佄㵗䥆卒彔佐啐♐䕈䝉呈㐽〵圦䑉䡔㐽〵匦䅔呒䵟塁䵉婉䑅䘽䱁䕓嘦剁䌺䱁久䅄㵒单嘦剁区䵙佂㵌奂♄䅖㩒义䕄㵘0쮂䮁_x001E_奂幄䙆䕟呎偒归䅖彌䅄䱉⡙㜳㔶⤳Ř＀＀ ＀＀ŀ＀＀_x0008_＀＀_x0001_＀＀_x0001_＀＀_x0001_＀＀鍴И긖䂝摦畳㩰⼯楤敲瑣潩獮䘯呁嘠敩敷㽲捡楴湯唽䑐呁♅牣慥潴㵲慦瑣敳♴奄彎剁升吽啒♅佄彃䅎䕍䘽呁䘺䱑䅟䑕呉义彇䱃䕉呎呟䵅䱐呁⹅䅆♔楤灳慬役瑳楲杮䄽摵瑩嘦剁䬺奅䤽奄䅌商䭖♄䅖㩒啑剅㵙歒晚啒唵汕卂ㅘ䉚䙔䔹啑䵬南穧穎ㅙ祍㵫圦义佄㵗䥆卒彔佐啐♐䕈䝉呈㐽〵圦䑉䡔㐽〵匦䅔呒䵟塁䵉婉䑅䘽䱁䕓嘦剁䌺䱁久䅄㵒单嘦剁区䵙佂㵌奂♄䅖㩒义䕄㵘0쮄䮁_x001E_奂幄䙆䕟呎偒归䅖彌䅄䱉⡙㤳㠰⤳Ř＀＀ ＀＀ŀ＀＀_x0008_＀＀_x0001_＀＀_x0001_＀＀_x0001_＀＀ꎄ헤䂹摦畳㩰⼯楤敲瑣潩獮䘯呁嘠敩敷㽲捡楴湯唽䑐呁♅牣慥潴㵲慦瑣敳♴奄彎剁升吽啒♅佄彃䅎䕍䘽呁䘺䱑䅟䑕呉义彇䱃䕉呎呟䵅䱐呁⹅䅆♔楤灳慬役瑳楲杮䄽摵瑩嘦剁䬺奅䔽啒半䅆䭚♄䅖㩒啑剅㵙歒晚啒唵汕卂ㅘ䉚䙔䔹啑䵬南穧呏㑁祍㵫圦义佄㵗䥆卒彔佐啐♐䕈䝉呈㐽〵圦䑉䡔㐽〵匦䅔呒䵟塁䵉婉䑅䘽䱁䕓嘦剁䌺䱁久䅄㵒单嘦剁区䵙佂㵌奂♄䅖㩒义䕄㵘0쮁䮁_x001E_奂幄䙆䕟呎偒归䅖彌䅄䱉⡙㜳〴⤸Ř＀＀ ＀＀ŀ＀＀_x0008_＀＀_x0001_＀＀_x0001_＀＀_x0001_＀＀ꦽ蕈掱䂟摦畳㩰⼯楤敲瑣潩獮䘯呁嘠敩敷㽲捡楴湯唽䑐呁♅牣慥潴㵲慦瑣敳♴奄彎剁升吽啒♅佄彃䅎䕍䘽呁䘺䱑䅟䑕呉义彇䱃䕉呎呟䵅䱐呁⹅䅆♔楤灳慬役瑳楲杮䄽摵瑩嘦剁䬺奅儽奚䝘兂䍈♖䅖㩒啑剅㵙歒晚啒唵汕卂ㅘ䉚䙔䔹啑䵬南穧穎睑䍏㵫圦义佄㵗䥆卒彔佐啐♐䕈䝉呈㐽〵圦䑉䡔㐽〵匦䅔呒䵟塁䵉婉䑅䘽䱁䕓嘦剁䌺䱁久䅄㵒单嘦剁区䵙佂㵌奂♄䅖㩒义䕄㵘0쮀䮁_x001E_奂幄䙆䕟呎偒归䅖彌䅄䱉⡙㘳〸⤰Ř＀＀ ＀＀ŀ＀＀_x0008_＀＀_x0001_＀＀_x0001_＀＀_x0001_＀＀ㄦ盘䂑摦畳㩰⼯楤敲瑣潩獮䘯呁嘠敩敷㽲捡楴湯唽䑐呁♅牣慥潴㵲慦瑣敳♴奄彎剁升吽啒♅佄彃䅎䕍䘽呁䘺䱑䅟䑕呉义彇䱃䕉呎呟䵅䱐呁⹅䅆♔楤灳慬役瑳楲杮䄽摵瑩嘦剁䬺奅圽奖䥘奆啖♈䅖㩒啑剅㵙歒晚啒唵汕卂ㅘ䉚䙔䔹啑䵬南穧橎睧䍍㵫圦义佄㵗䥆卒彔佐啐♐䕈䝉呈㐽〵圦䑉䡔㐽〵匦䅔呒䵟塁䵉婉䑅䘽䱁䕓嘦剁䌺䱁久䅄㵒单嘦剁区䵙佂㵌奂♄䅖㩒义䕄㵘0쮆䮁_x001E_奂幄䙆䕟呎偒归䅖彌䅄䱉⡙㤳㤶⤲Ř＀＀ ＀＀ŀ＀＀_x0008_＀＀_x0001_＀＀_x0001_＀＀_x0001_＀＀翠_xD92B_䇁䂪摦畳㩰⼯楤敲瑣潩獮䘯呁嘠敩敷㽲捡楴湯唽䑐呁♅牣慥潴㵲慦瑣敳♴奄彎剁升吽啒♅佄彃䅎䕍䘽呁䘺䱑䅟䑕呉义彇䱃䕉呎呟䵅䱐呁⹅䅆♔楤灳慬役瑳楲杮䄽摵瑩嘦剁䬺奅夽䵚佒奆啒♎䅖㩒啑剅㵙歒晚啒唵汕卂ㅘ䉚䙔䔹啑䵬南穧呏㕙楍㵫圦义佄㵗䥆卒彔佐啐♐䕈䝉呈㐽〵圦䑉䡔㐽〵匦䅔呒䵟塁䵉婉䑅䘽䱁䕓嘦剁䌺䱁久䅄㵒单嘦剁区䵙佂㵌奂♄䅖㩒义䕄㵘0쮄䮁_x001E_奂幄䙆䕟呎偒归䅖彌䅄䱉⡙㠳㔶⤷Ř＀＀ ＀＀ŀ＀＀_x0008_＀＀_x0001_＀＀_x0001_＀＀_x0001_＀＀凬Ẹ爝䂷摦畳㩰⼯楤敲瑣潩獮䘯呁嘠敩敷㽲捡楴湯唽䑐呁♅牣慥潴㵲慦瑣敳♴奄彎剁升吽啒♅佄彃䅎䕍䘽呁䘺䱑䅟䑕呉义彇䱃䕉呎呟䵅䱐呁⹅䅆♔楤灳慬役瑳楲杮䄽摵瑩嘦剁䬺奅匽卌䥈䥔䵐♚䅖㩒啑剅㵙歒晚啒唵汕卂ㅘ䉚䙔䔹啑䵬南穧䑏ㅙ祎㵫圦义佄㵗䥆卒彔佐啐♐䕈䝉呈㐽〵圦䑉䡔㐽〵匦䅔呒䵟塁䵉婉䑅䘽䱁䕓嘦剁䌺䱁久䅄㵒单嘦剁区䵙佂㵌奂♄䅖㩒义䕄㵘0쮅䮁_x001E_奂幄䙆䕟呎偒归䅖彌䅄䱉⡙㤳㌲⤴Ř＀＀ ＀＀ŀ＀＀_x0008_＀＀_x0001_＀＀_x0001_＀＀_x0001_＀＀⨰Ꭹݐ䂺摦畳㩰⼯楤敲瑣潩獮䘯呁嘠敩敷㽲捡楴湯唽䑐呁♅牣慥潴㵲慦瑣敳♴奄彎剁升吽啒♅佄彃䅎䕍䘽呁䘺䱑䅟䑕呉义彇䱃䕉呎呟䵅䱐呁⹅䅆♔楤灳慬役瑳楲杮䄽摵瑩嘦剁䬺奅儽䍄卌䭔兊♊䅖㩒啑剅㵙歒晚啒唵汕卂ㅘ䉚䙔䔹啑䵬南穧呏穉䍎㵫圦义佄㵗䥆卒彔佐啐♐䕈䝉呈㐽〵圦䑉䡔㐽〵匦䅔呒䵟塁䵉婉䑅䘽䱁䕓嘦剁䌺䱁久䅄㵒单嘦剁区䵙佂㵌奂♄䅖㩒义䕄㵘0쮀䮁_x001E_奂幄䙆䕟呎偒归䅖彌䅄䱉⡙㘳㔹⤱Ř＀＀ ＀＀ŀ＀＀_x0008_＀＀_x0001_＀＀_x0001_＀＀_x0001_＀＀㏆䂑摦畳㩰⼯楤敲瑣潩獮䘯呁嘠敩敷㽲捡楴湯唽䑐呁♅牣慥潴㵲慦瑣敳♴奄彎剁升吽啒♅佄彃䅎䕍䘽呁䘺䱑䅟䑕呉义彇䱃䕉呎呟䵅䱐呁⹅䅆♔楤灳慬役瑳楲杮䄽摵瑩嘦剁䬺奅䤽䥐䅄兘䥚♂䅖㩒啑剅㵙歒晚啒唵汕卂ㅘ䉚䙔䔹啑䵬南穧橎ㅫ卍㵫圦义佄㵗䥆卒彔佐啐♐䕈䝉呈㐽〵圦䑉䡔㐽〵匦䅔呒䵟塁䵉婉䑅䘽䱁䕓嘦剁䌺䱁久䅄㵒单嘦剁区䵙佂㵌奂♄䅖㩒义䕄㵘0</t>
        </r>
      </text>
    </comment>
    <comment ref="B1" authorId="0">
      <text>
        <r>
          <rPr>
            <b/>
            <sz val="8"/>
            <color indexed="81"/>
            <rFont val="Tahoma"/>
            <family val="2"/>
          </rPr>
          <t>24482</t>
        </r>
      </text>
    </comment>
  </commentList>
</comments>
</file>

<file path=xl/comments3.xml><?xml version="1.0" encoding="utf-8"?>
<comments xmlns="http://schemas.openxmlformats.org/spreadsheetml/2006/main">
  <authors>
    <author>Savino, Mark (Research)</author>
  </authors>
  <commentList>
    <comment ref="F23" authorId="0">
      <text>
        <r>
          <rPr>
            <b/>
            <sz val="9"/>
            <color indexed="81"/>
            <rFont val="Tahoma"/>
            <family val="2"/>
          </rPr>
          <t>Savino, Mark (Research):</t>
        </r>
        <r>
          <rPr>
            <sz val="9"/>
            <color indexed="81"/>
            <rFont val="Tahoma"/>
            <family val="2"/>
          </rPr>
          <t xml:space="preserve">
As of 2/20/18</t>
        </r>
      </text>
    </comment>
  </commentList>
</comments>
</file>

<file path=xl/comments4.xml><?xml version="1.0" encoding="utf-8"?>
<comments xmlns="http://schemas.openxmlformats.org/spreadsheetml/2006/main">
  <authors>
    <author>thallen</author>
    <author>Allen, Thomas (Research)</author>
    <author>Savino, Mark (Research)</author>
  </authors>
  <commentList>
    <comment ref="D18" authorId="0">
      <text>
        <r>
          <rPr>
            <b/>
            <sz val="8"/>
            <color indexed="81"/>
            <rFont val="Tahoma"/>
            <family val="2"/>
          </rPr>
          <t>thallen:</t>
        </r>
        <r>
          <rPr>
            <sz val="8"/>
            <color indexed="81"/>
            <rFont val="Tahoma"/>
            <family val="2"/>
          </rPr>
          <t xml:space="preserve">
$278m cash investment + $10m to Engelstad Family Foundation + $44m capital improvements</t>
        </r>
      </text>
    </comment>
    <comment ref="D23" authorId="0">
      <text>
        <r>
          <rPr>
            <b/>
            <sz val="8"/>
            <color indexed="81"/>
            <rFont val="Tahoma"/>
            <family val="2"/>
          </rPr>
          <t>thallen:</t>
        </r>
        <r>
          <rPr>
            <sz val="8"/>
            <color indexed="81"/>
            <rFont val="Tahoma"/>
            <family val="2"/>
          </rPr>
          <t xml:space="preserve">
First 3 quarters known, 4th quarter estimates (seasonally slow)</t>
        </r>
      </text>
    </comment>
    <comment ref="E23" authorId="0">
      <text>
        <r>
          <rPr>
            <b/>
            <sz val="8"/>
            <color indexed="81"/>
            <rFont val="Tahoma"/>
            <family val="2"/>
          </rPr>
          <t>thallen:</t>
        </r>
        <r>
          <rPr>
            <sz val="8"/>
            <color indexed="81"/>
            <rFont val="Tahoma"/>
            <family val="2"/>
          </rPr>
          <t xml:space="preserve">
First 3 quarters known, 4th quarter estimates (seasonally slow)</t>
        </r>
      </text>
    </comment>
    <comment ref="L98" authorId="1">
      <text>
        <r>
          <rPr>
            <b/>
            <sz val="9"/>
            <color indexed="81"/>
            <rFont val="Tahoma"/>
            <family val="2"/>
          </rPr>
          <t>Allen, Thomas (Research):</t>
        </r>
        <r>
          <rPr>
            <sz val="9"/>
            <color indexed="81"/>
            <rFont val="Tahoma"/>
            <family val="2"/>
          </rPr>
          <t xml:space="preserve">
Similar to PENN after adjusting PENN for corporate expense</t>
        </r>
      </text>
    </comment>
    <comment ref="L101" authorId="2">
      <text>
        <r>
          <rPr>
            <b/>
            <sz val="9"/>
            <color indexed="81"/>
            <rFont val="Tahoma"/>
            <family val="2"/>
          </rPr>
          <t>Savino, Mark (Research):</t>
        </r>
        <r>
          <rPr>
            <sz val="9"/>
            <color indexed="81"/>
            <rFont val="Tahoma"/>
            <family val="2"/>
          </rPr>
          <t xml:space="preserve">
Includes BYD's portion of Borgata D&amp;A</t>
        </r>
      </text>
    </comment>
    <comment ref="L102" authorId="2">
      <text>
        <r>
          <rPr>
            <b/>
            <sz val="9"/>
            <color indexed="81"/>
            <rFont val="Tahoma"/>
            <family val="2"/>
          </rPr>
          <t>Savino, Mark (Research):</t>
        </r>
        <r>
          <rPr>
            <sz val="9"/>
            <color indexed="81"/>
            <rFont val="Tahoma"/>
            <family val="2"/>
          </rPr>
          <t xml:space="preserve">
Assume 4% interest rate on debt, similar to PENN (PENN was targeting 6% but avg interest 3.7%)</t>
        </r>
      </text>
    </comment>
    <comment ref="L106" authorId="2">
      <text>
        <r>
          <rPr>
            <b/>
            <sz val="9"/>
            <color indexed="81"/>
            <rFont val="Tahoma"/>
            <family val="2"/>
          </rPr>
          <t>Savino, Mark (Research):</t>
        </r>
        <r>
          <rPr>
            <sz val="9"/>
            <color indexed="81"/>
            <rFont val="Tahoma"/>
            <family val="2"/>
          </rPr>
          <t xml:space="preserve">
Bear and base cases assume OpCO does not retain NOLs</t>
        </r>
      </text>
    </comment>
    <comment ref="N106" authorId="2">
      <text>
        <r>
          <rPr>
            <b/>
            <sz val="9"/>
            <color indexed="81"/>
            <rFont val="Tahoma"/>
            <family val="2"/>
          </rPr>
          <t>Savino, Mark (Research):</t>
        </r>
        <r>
          <rPr>
            <sz val="9"/>
            <color indexed="81"/>
            <rFont val="Tahoma"/>
            <family val="2"/>
          </rPr>
          <t xml:space="preserve">
Bull case assumes NOLs are retained by Opco</t>
        </r>
      </text>
    </comment>
    <comment ref="O106" authorId="2">
      <text>
        <r>
          <rPr>
            <b/>
            <sz val="9"/>
            <color indexed="81"/>
            <rFont val="Tahoma"/>
            <family val="2"/>
          </rPr>
          <t>Savino, Mark (Research):</t>
        </r>
        <r>
          <rPr>
            <sz val="9"/>
            <color indexed="81"/>
            <rFont val="Tahoma"/>
            <family val="2"/>
          </rPr>
          <t xml:space="preserve">
Bull case assumes NOLs are retained by Opco</t>
        </r>
      </text>
    </comment>
    <comment ref="P106" authorId="2">
      <text>
        <r>
          <rPr>
            <b/>
            <sz val="9"/>
            <color indexed="81"/>
            <rFont val="Tahoma"/>
            <family val="2"/>
          </rPr>
          <t>Savino, Mark (Research):</t>
        </r>
        <r>
          <rPr>
            <sz val="9"/>
            <color indexed="81"/>
            <rFont val="Tahoma"/>
            <family val="2"/>
          </rPr>
          <t xml:space="preserve">
Bull case assumes NOLs are retained by Opco</t>
        </r>
      </text>
    </comment>
    <comment ref="L118" authorId="1">
      <text>
        <r>
          <rPr>
            <b/>
            <sz val="9"/>
            <color indexed="81"/>
            <rFont val="Tahoma"/>
            <family val="2"/>
          </rPr>
          <t>Allen, Thomas (Research):</t>
        </r>
        <r>
          <rPr>
            <sz val="9"/>
            <color indexed="81"/>
            <rFont val="Tahoma"/>
            <family val="2"/>
          </rPr>
          <t xml:space="preserve">
Similar to GLPI / PENN</t>
        </r>
      </text>
    </comment>
    <comment ref="L121" authorId="2">
      <text>
        <r>
          <rPr>
            <b/>
            <sz val="9"/>
            <color indexed="81"/>
            <rFont val="Tahoma"/>
            <family val="2"/>
          </rPr>
          <t>Savino, Mark (Research):</t>
        </r>
        <r>
          <rPr>
            <sz val="9"/>
            <color indexed="81"/>
            <rFont val="Tahoma"/>
            <family val="2"/>
          </rPr>
          <t xml:space="preserve">
Assume 5% interest rate on debt, GLPI at 4.5%. Assume $0 maintenance capex (paid by Opco) and $0 taxes</t>
        </r>
      </text>
    </comment>
    <comment ref="L125" authorId="2">
      <text>
        <r>
          <rPr>
            <b/>
            <sz val="9"/>
            <color indexed="81"/>
            <rFont val="Tahoma"/>
            <family val="2"/>
          </rPr>
          <t>Savino, Mark (Research):</t>
        </r>
        <r>
          <rPr>
            <sz val="9"/>
            <color indexed="81"/>
            <rFont val="Tahoma"/>
            <family val="2"/>
          </rPr>
          <t xml:space="preserve">
Similar split to GLPI, where real estate deprecation accounted for ~1/3 of total D&amp;A</t>
        </r>
      </text>
    </comment>
    <comment ref="S159" authorId="1">
      <text>
        <r>
          <rPr>
            <b/>
            <sz val="9"/>
            <color indexed="81"/>
            <rFont val="Tahoma"/>
            <family val="2"/>
          </rPr>
          <t>Allen, Thomas (Research):</t>
        </r>
        <r>
          <rPr>
            <sz val="9"/>
            <color indexed="81"/>
            <rFont val="Tahoma"/>
            <family val="2"/>
          </rPr>
          <t xml:space="preserve">
Assume $150m in txn costs, similar to PENN
Assume $87m for debt premium</t>
        </r>
      </text>
    </comment>
    <comment ref="S162" authorId="1">
      <text>
        <r>
          <rPr>
            <b/>
            <sz val="9"/>
            <color indexed="81"/>
            <rFont val="Tahoma"/>
            <family val="2"/>
          </rPr>
          <t>Allen, Thomas (Research):</t>
        </r>
        <r>
          <rPr>
            <sz val="9"/>
            <color indexed="81"/>
            <rFont val="Tahoma"/>
            <family val="2"/>
          </rPr>
          <t xml:space="preserve">
PENN OpCo levered at 3x but given BYD's higher absolute leverage, likely have to do less</t>
        </r>
      </text>
    </comment>
    <comment ref="T200" authorId="2">
      <text>
        <r>
          <rPr>
            <b/>
            <sz val="9"/>
            <color indexed="81"/>
            <rFont val="Tahoma"/>
            <family val="2"/>
          </rPr>
          <t>Savino, Mark (Research):</t>
        </r>
        <r>
          <rPr>
            <sz val="9"/>
            <color indexed="81"/>
            <rFont val="Tahoma"/>
            <family val="2"/>
          </rPr>
          <t xml:space="preserve">
Per mgmt on 4Q13 call, currently have $1.1B of NOLs with an NPV &gt;$2/share</t>
        </r>
      </text>
    </comment>
    <comment ref="Y268" authorId="2">
      <text>
        <r>
          <rPr>
            <b/>
            <sz val="9"/>
            <color indexed="81"/>
            <rFont val="Tahoma"/>
            <family val="2"/>
          </rPr>
          <t>Savino, Mark (Research):</t>
        </r>
        <r>
          <rPr>
            <sz val="9"/>
            <color indexed="81"/>
            <rFont val="Tahoma"/>
            <family val="2"/>
          </rPr>
          <t xml:space="preserve">
PENN operates ~30% property-level margins vs. BYD ~22%</t>
        </r>
      </text>
    </comment>
    <comment ref="AG309" authorId="2">
      <text>
        <r>
          <rPr>
            <b/>
            <sz val="9"/>
            <color indexed="81"/>
            <rFont val="Tahoma"/>
            <family val="2"/>
          </rPr>
          <t>Savino, Mark (Research):</t>
        </r>
        <r>
          <rPr>
            <sz val="9"/>
            <color indexed="81"/>
            <rFont val="Tahoma"/>
            <family val="2"/>
          </rPr>
          <t xml:space="preserve">
Based on base case valuation scenario</t>
        </r>
      </text>
    </comment>
    <comment ref="AG313" authorId="2">
      <text>
        <r>
          <rPr>
            <b/>
            <sz val="9"/>
            <color indexed="81"/>
            <rFont val="Tahoma"/>
            <family val="2"/>
          </rPr>
          <t>Savino, Mark (Research):</t>
        </r>
        <r>
          <rPr>
            <sz val="9"/>
            <color indexed="81"/>
            <rFont val="Tahoma"/>
            <family val="2"/>
          </rPr>
          <t xml:space="preserve">
Based on base case valuation scenario</t>
        </r>
      </text>
    </comment>
    <comment ref="AG317" authorId="2">
      <text>
        <r>
          <rPr>
            <b/>
            <sz val="9"/>
            <color indexed="81"/>
            <rFont val="Tahoma"/>
            <family val="2"/>
          </rPr>
          <t>Savino, Mark (Research):</t>
        </r>
        <r>
          <rPr>
            <sz val="9"/>
            <color indexed="81"/>
            <rFont val="Tahoma"/>
            <family val="2"/>
          </rPr>
          <t xml:space="preserve">
Only states in which PENN is licensed</t>
        </r>
      </text>
    </comment>
    <comment ref="AG332" authorId="2">
      <text>
        <r>
          <rPr>
            <b/>
            <sz val="9"/>
            <color indexed="81"/>
            <rFont val="Tahoma"/>
            <family val="2"/>
          </rPr>
          <t>Savino, Mark (Research):</t>
        </r>
        <r>
          <rPr>
            <sz val="9"/>
            <color indexed="81"/>
            <rFont val="Tahoma"/>
            <family val="2"/>
          </rPr>
          <t xml:space="preserve">
</t>
        </r>
      </text>
    </comment>
    <comment ref="AG347" authorId="2">
      <text>
        <r>
          <rPr>
            <b/>
            <sz val="9"/>
            <color indexed="81"/>
            <rFont val="Tahoma"/>
            <family val="2"/>
          </rPr>
          <t>Savino, Mark (Research):</t>
        </r>
        <r>
          <rPr>
            <sz val="9"/>
            <color indexed="81"/>
            <rFont val="Tahoma"/>
            <family val="2"/>
          </rPr>
          <t xml:space="preserve">
</t>
        </r>
      </text>
    </comment>
    <comment ref="BB384" authorId="2">
      <text>
        <r>
          <rPr>
            <b/>
            <sz val="9"/>
            <color indexed="81"/>
            <rFont val="Tahoma"/>
            <family val="2"/>
          </rPr>
          <t>Savino, Mark (Research):</t>
        </r>
        <r>
          <rPr>
            <sz val="9"/>
            <color indexed="81"/>
            <rFont val="Tahoma"/>
            <family val="2"/>
          </rPr>
          <t xml:space="preserve">
1x costs relating to GLPI spin</t>
        </r>
      </text>
    </comment>
    <comment ref="BC384" authorId="1">
      <text>
        <r>
          <rPr>
            <b/>
            <sz val="9"/>
            <color indexed="81"/>
            <rFont val="Tahoma"/>
            <family val="2"/>
          </rPr>
          <t>Allen, Thomas (Research):</t>
        </r>
        <r>
          <rPr>
            <sz val="9"/>
            <color indexed="81"/>
            <rFont val="Tahoma"/>
            <family val="2"/>
          </rPr>
          <t xml:space="preserve">
Adjusted for GLPI stock not vesting in quarter as expected</t>
        </r>
      </text>
    </comment>
    <comment ref="BA386" authorId="2">
      <text>
        <r>
          <rPr>
            <b/>
            <sz val="9"/>
            <color indexed="81"/>
            <rFont val="Tahoma"/>
            <family val="2"/>
          </rPr>
          <t>Savino, Mark (Research):</t>
        </r>
        <r>
          <rPr>
            <sz val="9"/>
            <color indexed="81"/>
            <rFont val="Tahoma"/>
            <family val="2"/>
          </rPr>
          <t xml:space="preserve">
Withdrew full year guidance due to REIT spin</t>
        </r>
      </text>
    </comment>
    <comment ref="BA387" authorId="2">
      <text>
        <r>
          <rPr>
            <b/>
            <sz val="9"/>
            <color indexed="81"/>
            <rFont val="Tahoma"/>
            <family val="2"/>
          </rPr>
          <t>Savino, Mark (Research):</t>
        </r>
        <r>
          <rPr>
            <sz val="9"/>
            <color indexed="81"/>
            <rFont val="Tahoma"/>
            <family val="2"/>
          </rPr>
          <t xml:space="preserve">
Withdrew full year guidance due to REIT spin</t>
        </r>
      </text>
    </comment>
    <comment ref="BA388" authorId="2">
      <text>
        <r>
          <rPr>
            <b/>
            <sz val="9"/>
            <color indexed="81"/>
            <rFont val="Tahoma"/>
            <family val="2"/>
          </rPr>
          <t>Savino, Mark (Research):</t>
        </r>
        <r>
          <rPr>
            <sz val="9"/>
            <color indexed="81"/>
            <rFont val="Tahoma"/>
            <family val="2"/>
          </rPr>
          <t xml:space="preserve">
Withdrew full year guidance due to REIT spin</t>
        </r>
      </text>
    </comment>
    <comment ref="AW396" authorId="1">
      <text>
        <r>
          <rPr>
            <b/>
            <sz val="9"/>
            <color indexed="81"/>
            <rFont val="Tahoma"/>
            <family val="2"/>
          </rPr>
          <t>Allen, Thomas (Research):</t>
        </r>
        <r>
          <rPr>
            <sz val="9"/>
            <color indexed="81"/>
            <rFont val="Tahoma"/>
            <family val="2"/>
          </rPr>
          <t xml:space="preserve">
Didn't give b/c Sandy</t>
        </r>
      </text>
    </comment>
    <comment ref="BM443" authorId="2">
      <text>
        <r>
          <rPr>
            <b/>
            <sz val="9"/>
            <color indexed="81"/>
            <rFont val="Tahoma"/>
            <family val="2"/>
          </rPr>
          <t>Savino, Mark (Research):</t>
        </r>
        <r>
          <rPr>
            <sz val="9"/>
            <color indexed="81"/>
            <rFont val="Tahoma"/>
            <family val="2"/>
          </rPr>
          <t xml:space="preserve">
L + 3.25%</t>
        </r>
      </text>
    </comment>
    <comment ref="BM444" authorId="2">
      <text>
        <r>
          <rPr>
            <b/>
            <sz val="9"/>
            <color indexed="81"/>
            <rFont val="Tahoma"/>
            <family val="2"/>
          </rPr>
          <t>Savino, Mark (Research):</t>
        </r>
        <r>
          <rPr>
            <sz val="9"/>
            <color indexed="81"/>
            <rFont val="Tahoma"/>
            <family val="2"/>
          </rPr>
          <t xml:space="preserve">
PIK</t>
        </r>
      </text>
    </comment>
    <comment ref="BM453" authorId="2">
      <text>
        <r>
          <rPr>
            <b/>
            <sz val="9"/>
            <color indexed="81"/>
            <rFont val="Tahoma"/>
            <family val="2"/>
          </rPr>
          <t>Savino, Mark (Research):</t>
        </r>
        <r>
          <rPr>
            <sz val="9"/>
            <color indexed="81"/>
            <rFont val="Tahoma"/>
            <family val="2"/>
          </rPr>
          <t xml:space="preserve">
Per MS FID and BYD IR - expect to refi in mid-7% range</t>
        </r>
      </text>
    </comment>
    <comment ref="DL560" authorId="1">
      <text>
        <r>
          <rPr>
            <b/>
            <sz val="9"/>
            <color indexed="81"/>
            <rFont val="Tahoma"/>
            <family val="2"/>
          </rPr>
          <t>Allen, Thomas (Research):</t>
        </r>
        <r>
          <rPr>
            <sz val="9"/>
            <color indexed="81"/>
            <rFont val="Tahoma"/>
            <family val="2"/>
          </rPr>
          <t xml:space="preserve">
Mgmt had guided to $60-62m from Aliante and Cannery in 2017 but noted on 4Q17 call that it beat</t>
        </r>
      </text>
    </comment>
    <comment ref="DO560" authorId="1">
      <text>
        <r>
          <rPr>
            <b/>
            <sz val="9"/>
            <color indexed="81"/>
            <rFont val="Tahoma"/>
            <family val="2"/>
          </rPr>
          <t>Allen, Thomas (Research):</t>
        </r>
        <r>
          <rPr>
            <sz val="9"/>
            <color indexed="81"/>
            <rFont val="Tahoma"/>
            <family val="2"/>
          </rPr>
          <t xml:space="preserve">
Guidance was $32m but mgmt noted on 4Q17 earnings that beat</t>
        </r>
      </text>
    </comment>
    <comment ref="DU569" authorId="2">
      <text>
        <r>
          <rPr>
            <b/>
            <sz val="9"/>
            <color indexed="81"/>
            <rFont val="Tahoma"/>
            <family val="2"/>
          </rPr>
          <t>Savino, Mark (Research):</t>
        </r>
        <r>
          <rPr>
            <sz val="9"/>
            <color indexed="81"/>
            <rFont val="Tahoma"/>
            <family val="2"/>
          </rPr>
          <t xml:space="preserve">
L+2.5%, but will quickly drop to L+2.0%</t>
        </r>
      </text>
    </comment>
    <comment ref="DU571" authorId="2">
      <text>
        <r>
          <rPr>
            <b/>
            <sz val="9"/>
            <color indexed="81"/>
            <rFont val="Tahoma"/>
            <family val="2"/>
          </rPr>
          <t>Savino, Mark (Research):</t>
        </r>
        <r>
          <rPr>
            <sz val="9"/>
            <color indexed="81"/>
            <rFont val="Tahoma"/>
            <family val="2"/>
          </rPr>
          <t xml:space="preserve">
L+3% with no floor</t>
        </r>
      </text>
    </comment>
    <comment ref="DT572" authorId="2">
      <text>
        <r>
          <rPr>
            <b/>
            <sz val="9"/>
            <color indexed="81"/>
            <rFont val="Tahoma"/>
            <family val="2"/>
          </rPr>
          <t>Savino, Mark (Research):</t>
        </r>
        <r>
          <rPr>
            <sz val="9"/>
            <color indexed="81"/>
            <rFont val="Tahoma"/>
            <family val="2"/>
          </rPr>
          <t xml:space="preserve">
Will draw ~$200m to do LV Locals acquisitions</t>
        </r>
      </text>
    </comment>
    <comment ref="DU572" authorId="2">
      <text>
        <r>
          <rPr>
            <b/>
            <sz val="9"/>
            <color indexed="81"/>
            <rFont val="Tahoma"/>
            <family val="2"/>
          </rPr>
          <t>Savino, Mark (Research):</t>
        </r>
        <r>
          <rPr>
            <sz val="9"/>
            <color indexed="81"/>
            <rFont val="Tahoma"/>
            <family val="2"/>
          </rPr>
          <t xml:space="preserve">
L+2.5%, but will quickly drop to L+2.0%</t>
        </r>
      </text>
    </comment>
    <comment ref="HE690" authorId="1">
      <text>
        <r>
          <rPr>
            <b/>
            <sz val="9"/>
            <color indexed="81"/>
            <rFont val="Tahoma"/>
            <family val="2"/>
          </rPr>
          <t>Allen, Thomas (Research):</t>
        </r>
        <r>
          <rPr>
            <sz val="9"/>
            <color indexed="81"/>
            <rFont val="Tahoma"/>
            <family val="2"/>
          </rPr>
          <t xml:space="preserve">
Had access issues</t>
        </r>
      </text>
    </comment>
    <comment ref="HG690" authorId="1">
      <text>
        <r>
          <rPr>
            <b/>
            <sz val="9"/>
            <color indexed="81"/>
            <rFont val="Tahoma"/>
            <family val="2"/>
          </rPr>
          <t>Allen, Thomas (Research):</t>
        </r>
        <r>
          <rPr>
            <sz val="9"/>
            <color indexed="81"/>
            <rFont val="Tahoma"/>
            <family val="2"/>
          </rPr>
          <t xml:space="preserve">
Had access issues</t>
        </r>
      </text>
    </comment>
    <comment ref="HG691" authorId="1">
      <text>
        <r>
          <rPr>
            <b/>
            <sz val="9"/>
            <color indexed="81"/>
            <rFont val="Tahoma"/>
            <family val="2"/>
          </rPr>
          <t>Allen, Thomas (Research):</t>
        </r>
        <r>
          <rPr>
            <sz val="9"/>
            <color indexed="81"/>
            <rFont val="Tahoma"/>
            <family val="2"/>
          </rPr>
          <t xml:space="preserve">
per 12/18/17, property has access issues related to road closures that should be resolved in 3Q18</t>
        </r>
      </text>
    </comment>
    <comment ref="HH691" authorId="1">
      <text>
        <r>
          <rPr>
            <b/>
            <sz val="9"/>
            <color indexed="81"/>
            <rFont val="Tahoma"/>
            <family val="2"/>
          </rPr>
          <t>Allen, Thomas (Research):</t>
        </r>
        <r>
          <rPr>
            <sz val="9"/>
            <color indexed="81"/>
            <rFont val="Tahoma"/>
            <family val="2"/>
          </rPr>
          <t xml:space="preserve">
per 12/18/17, property has access issues related to road closures that should be resolved in 3Q18</t>
        </r>
      </text>
    </comment>
    <comment ref="HI691" authorId="1">
      <text>
        <r>
          <rPr>
            <b/>
            <sz val="9"/>
            <color indexed="81"/>
            <rFont val="Tahoma"/>
            <family val="2"/>
          </rPr>
          <t>Allen, Thomas (Research):</t>
        </r>
        <r>
          <rPr>
            <sz val="9"/>
            <color indexed="81"/>
            <rFont val="Tahoma"/>
            <family val="2"/>
          </rPr>
          <t xml:space="preserve">
per 12/18/17, property has access issues related to road closures that should be resolved in 3Q18</t>
        </r>
      </text>
    </comment>
    <comment ref="HJ691" authorId="1">
      <text>
        <r>
          <rPr>
            <b/>
            <sz val="9"/>
            <color indexed="81"/>
            <rFont val="Tahoma"/>
            <family val="2"/>
          </rPr>
          <t>Allen, Thomas (Research):</t>
        </r>
        <r>
          <rPr>
            <sz val="9"/>
            <color indexed="81"/>
            <rFont val="Tahoma"/>
            <family val="2"/>
          </rPr>
          <t xml:space="preserve">
per 12/18/17, property has access issues related to road closures that should be resolved in 3Q18</t>
        </r>
      </text>
    </comment>
    <comment ref="HK691" authorId="1">
      <text>
        <r>
          <rPr>
            <b/>
            <sz val="9"/>
            <color indexed="81"/>
            <rFont val="Tahoma"/>
            <family val="2"/>
          </rPr>
          <t>Allen, Thomas (Research):</t>
        </r>
        <r>
          <rPr>
            <sz val="9"/>
            <color indexed="81"/>
            <rFont val="Tahoma"/>
            <family val="2"/>
          </rPr>
          <t xml:space="preserve">
per 12/18/17, property has access issues related to road closures that should be resolved in 3Q18</t>
        </r>
      </text>
    </comment>
    <comment ref="HL691" authorId="1">
      <text>
        <r>
          <rPr>
            <b/>
            <sz val="9"/>
            <color indexed="81"/>
            <rFont val="Tahoma"/>
            <family val="2"/>
          </rPr>
          <t>Allen, Thomas (Research):</t>
        </r>
        <r>
          <rPr>
            <sz val="9"/>
            <color indexed="81"/>
            <rFont val="Tahoma"/>
            <family val="2"/>
          </rPr>
          <t xml:space="preserve">
per 12/18/17, property has access issues related to road closures that should be resolved in 3Q18</t>
        </r>
      </text>
    </comment>
    <comment ref="HM691" authorId="1">
      <text>
        <r>
          <rPr>
            <b/>
            <sz val="9"/>
            <color indexed="81"/>
            <rFont val="Tahoma"/>
            <family val="2"/>
          </rPr>
          <t>Allen, Thomas (Research):</t>
        </r>
        <r>
          <rPr>
            <sz val="9"/>
            <color indexed="81"/>
            <rFont val="Tahoma"/>
            <family val="2"/>
          </rPr>
          <t xml:space="preserve">
per 12/18/17, property has access issues related to road closures that should be resolved in 3Q18</t>
        </r>
      </text>
    </comment>
    <comment ref="HN691" authorId="1">
      <text>
        <r>
          <rPr>
            <b/>
            <sz val="9"/>
            <color indexed="81"/>
            <rFont val="Tahoma"/>
            <family val="2"/>
          </rPr>
          <t>Allen, Thomas (Research):</t>
        </r>
        <r>
          <rPr>
            <sz val="9"/>
            <color indexed="81"/>
            <rFont val="Tahoma"/>
            <family val="2"/>
          </rPr>
          <t xml:space="preserve">
per 12/18/17, property has access issues related to road closures that should be resolved in 3Q18</t>
        </r>
      </text>
    </comment>
    <comment ref="HQ691" authorId="1">
      <text>
        <r>
          <rPr>
            <b/>
            <sz val="9"/>
            <color indexed="81"/>
            <rFont val="Tahoma"/>
            <family val="2"/>
          </rPr>
          <t>Allen, Thomas (Research):</t>
        </r>
        <r>
          <rPr>
            <sz val="9"/>
            <color indexed="81"/>
            <rFont val="Tahoma"/>
            <family val="2"/>
          </rPr>
          <t xml:space="preserve">
Lapping road closures</t>
        </r>
      </text>
    </comment>
    <comment ref="HR696" authorId="1">
      <text>
        <r>
          <rPr>
            <b/>
            <sz val="9"/>
            <color indexed="81"/>
            <rFont val="Tahoma"/>
            <family val="2"/>
          </rPr>
          <t>Allen, Thomas (Research):</t>
        </r>
        <r>
          <rPr>
            <sz val="9"/>
            <color indexed="81"/>
            <rFont val="Tahoma"/>
            <family val="2"/>
          </rPr>
          <t xml:space="preserve">
$4m of cost synergies</t>
        </r>
      </text>
    </comment>
    <comment ref="HQ698" authorId="1">
      <text>
        <r>
          <rPr>
            <b/>
            <sz val="9"/>
            <color indexed="81"/>
            <rFont val="Tahoma"/>
            <family val="2"/>
          </rPr>
          <t>Allen, Thomas (Research):</t>
        </r>
        <r>
          <rPr>
            <sz val="9"/>
            <color indexed="81"/>
            <rFont val="Tahoma"/>
            <family val="2"/>
          </rPr>
          <t xml:space="preserve">
12/18/17 ann: 6.25x projected EBITDA, implies $92m + $105m of rent expense = $197m + $8m of cost synergies in year 2, assume 50% in year 1</t>
        </r>
      </text>
    </comment>
    <comment ref="HG720" authorId="1">
      <text>
        <r>
          <rPr>
            <b/>
            <sz val="9"/>
            <color indexed="81"/>
            <rFont val="Tahoma"/>
            <family val="2"/>
          </rPr>
          <t>Allen, Thomas (Research):</t>
        </r>
        <r>
          <rPr>
            <sz val="9"/>
            <color indexed="81"/>
            <rFont val="Tahoma"/>
            <family val="2"/>
          </rPr>
          <t xml:space="preserve">
Property pulled back on high-end Asian play b/c too volatile</t>
        </r>
      </text>
    </comment>
    <comment ref="HH720" authorId="1">
      <text>
        <r>
          <rPr>
            <b/>
            <sz val="9"/>
            <color indexed="81"/>
            <rFont val="Tahoma"/>
            <family val="2"/>
          </rPr>
          <t>Allen, Thomas (Research):</t>
        </r>
        <r>
          <rPr>
            <sz val="9"/>
            <color indexed="81"/>
            <rFont val="Tahoma"/>
            <family val="2"/>
          </rPr>
          <t xml:space="preserve">
Property pulled back on high-end Asian play b/c too volatile</t>
        </r>
      </text>
    </comment>
    <comment ref="HI720" authorId="1">
      <text>
        <r>
          <rPr>
            <b/>
            <sz val="9"/>
            <color indexed="81"/>
            <rFont val="Tahoma"/>
            <family val="2"/>
          </rPr>
          <t>Allen, Thomas (Research):</t>
        </r>
        <r>
          <rPr>
            <sz val="9"/>
            <color indexed="81"/>
            <rFont val="Tahoma"/>
            <family val="2"/>
          </rPr>
          <t xml:space="preserve">
Property pulled back on high-end Asian play b/c too volatile</t>
        </r>
      </text>
    </comment>
    <comment ref="HJ720" authorId="1">
      <text>
        <r>
          <rPr>
            <b/>
            <sz val="9"/>
            <color indexed="81"/>
            <rFont val="Tahoma"/>
            <family val="2"/>
          </rPr>
          <t>Allen, Thomas (Research):</t>
        </r>
        <r>
          <rPr>
            <sz val="9"/>
            <color indexed="81"/>
            <rFont val="Tahoma"/>
            <family val="2"/>
          </rPr>
          <t xml:space="preserve">
Trending up 1% in Oct / Nov</t>
        </r>
      </text>
    </comment>
    <comment ref="HQ720" authorId="1">
      <text>
        <r>
          <rPr>
            <b/>
            <sz val="9"/>
            <color indexed="81"/>
            <rFont val="Tahoma"/>
            <family val="2"/>
          </rPr>
          <t>Allen, Thomas (Research):</t>
        </r>
        <r>
          <rPr>
            <sz val="9"/>
            <color indexed="81"/>
            <rFont val="Tahoma"/>
            <family val="2"/>
          </rPr>
          <t xml:space="preserve">
Potential opp to ramp as old mgmt pulled back too much on Asian play</t>
        </r>
      </text>
    </comment>
    <comment ref="HQ725" authorId="1">
      <text>
        <r>
          <rPr>
            <b/>
            <sz val="9"/>
            <color indexed="81"/>
            <rFont val="Tahoma"/>
            <family val="2"/>
          </rPr>
          <t>Allen, Thomas (Research):</t>
        </r>
        <r>
          <rPr>
            <sz val="9"/>
            <color indexed="81"/>
            <rFont val="Tahoma"/>
            <family val="2"/>
          </rPr>
          <t xml:space="preserve">
$5m of cost synergies</t>
        </r>
      </text>
    </comment>
    <comment ref="HK729" authorId="1">
      <text>
        <r>
          <rPr>
            <b/>
            <sz val="9"/>
            <color indexed="81"/>
            <rFont val="Tahoma"/>
            <family val="2"/>
          </rPr>
          <t>Allen, Thomas (Research):</t>
        </r>
        <r>
          <rPr>
            <sz val="9"/>
            <color indexed="81"/>
            <rFont val="Tahoma"/>
            <family val="2"/>
          </rPr>
          <t xml:space="preserve">
LTM as of acq.</t>
        </r>
      </text>
    </comment>
    <comment ref="HQ729" authorId="1">
      <text>
        <r>
          <rPr>
            <b/>
            <sz val="9"/>
            <color indexed="81"/>
            <rFont val="Tahoma"/>
            <family val="2"/>
          </rPr>
          <t>Allen, Thomas (Research):</t>
        </r>
        <r>
          <rPr>
            <sz val="9"/>
            <color indexed="81"/>
            <rFont val="Tahoma"/>
            <family val="2"/>
          </rPr>
          <t xml:space="preserve">
$9m incremental slot revs, $5m synergies</t>
        </r>
      </text>
    </comment>
    <comment ref="HL731" authorId="1">
      <text>
        <r>
          <rPr>
            <b/>
            <sz val="9"/>
            <color indexed="81"/>
            <rFont val="Tahoma"/>
            <family val="2"/>
          </rPr>
          <t>Allen, Thomas (Research):</t>
        </r>
        <r>
          <rPr>
            <sz val="9"/>
            <color indexed="81"/>
            <rFont val="Tahoma"/>
            <family val="2"/>
          </rPr>
          <t xml:space="preserve">
250 additional slots being added early 2018, assume new slots do ~$250 w/u/d</t>
        </r>
      </text>
    </comment>
    <comment ref="HU744" authorId="2">
      <text>
        <r>
          <rPr>
            <b/>
            <sz val="9"/>
            <color indexed="81"/>
            <rFont val="Tahoma"/>
            <family val="2"/>
          </rPr>
          <t>Savino, Mark (Research):</t>
        </r>
        <r>
          <rPr>
            <sz val="9"/>
            <color indexed="81"/>
            <rFont val="Tahoma"/>
            <family val="2"/>
          </rPr>
          <t xml:space="preserve">
Adjusted for Tunica acquisition</t>
        </r>
      </text>
    </comment>
  </commentList>
</comments>
</file>

<file path=xl/comments5.xml><?xml version="1.0" encoding="utf-8"?>
<comments xmlns="http://schemas.openxmlformats.org/spreadsheetml/2006/main">
  <authors>
    <author>savinmar</author>
    <author>Savino, Mark (Research)</author>
    <author>Allen, Thomas (Research)</author>
  </authors>
  <commentList>
    <comment ref="A16" authorId="0">
      <text>
        <r>
          <rPr>
            <b/>
            <sz val="8"/>
            <color indexed="81"/>
            <rFont val="Tahoma"/>
            <family val="2"/>
          </rPr>
          <t>savinmar:</t>
        </r>
        <r>
          <rPr>
            <sz val="8"/>
            <color indexed="81"/>
            <rFont val="Tahoma"/>
            <family val="2"/>
          </rPr>
          <t xml:space="preserve">
Adjusted for Borgata</t>
        </r>
      </text>
    </comment>
    <comment ref="H16" authorId="1">
      <text>
        <r>
          <rPr>
            <b/>
            <sz val="9"/>
            <color indexed="81"/>
            <rFont val="Tahoma"/>
            <family val="2"/>
          </rPr>
          <t>Savino, Mark (Research):</t>
        </r>
        <r>
          <rPr>
            <sz val="9"/>
            <color indexed="81"/>
            <rFont val="Tahoma"/>
            <family val="2"/>
          </rPr>
          <t xml:space="preserve">
Borgata deconsolidated, so no longer backing out 50%</t>
        </r>
      </text>
    </comment>
    <comment ref="A38" authorId="0">
      <text>
        <r>
          <rPr>
            <b/>
            <sz val="8"/>
            <color indexed="81"/>
            <rFont val="Tahoma"/>
            <family val="2"/>
          </rPr>
          <t>savinmar:</t>
        </r>
        <r>
          <rPr>
            <sz val="8"/>
            <color indexed="81"/>
            <rFont val="Tahoma"/>
            <family val="2"/>
          </rPr>
          <t xml:space="preserve">
Adjusted for Borgata</t>
        </r>
      </text>
    </comment>
    <comment ref="O38" authorId="1">
      <text>
        <r>
          <rPr>
            <b/>
            <sz val="9"/>
            <color indexed="81"/>
            <rFont val="Tahoma"/>
            <family val="2"/>
          </rPr>
          <t>Savino, Mark (Research):</t>
        </r>
        <r>
          <rPr>
            <sz val="9"/>
            <color indexed="81"/>
            <rFont val="Tahoma"/>
            <family val="2"/>
          </rPr>
          <t xml:space="preserve">
Includes 50% of Borgata net debt</t>
        </r>
      </text>
    </comment>
    <comment ref="Z41" authorId="2">
      <text>
        <r>
          <rPr>
            <b/>
            <sz val="9"/>
            <color indexed="81"/>
            <rFont val="Tahoma"/>
            <family val="2"/>
          </rPr>
          <t>Allen, Thomas (Research):</t>
        </r>
        <r>
          <rPr>
            <sz val="9"/>
            <color indexed="81"/>
            <rFont val="Tahoma"/>
            <family val="2"/>
          </rPr>
          <t xml:space="preserve">
Currently at 5.5-5.75x per 4Q16 call</t>
        </r>
      </text>
    </comment>
    <comment ref="AB41" authorId="2">
      <text>
        <r>
          <rPr>
            <b/>
            <sz val="9"/>
            <color indexed="81"/>
            <rFont val="Tahoma"/>
            <family val="2"/>
          </rPr>
          <t>Allen, Thomas (Research):</t>
        </r>
        <r>
          <rPr>
            <sz val="9"/>
            <color indexed="81"/>
            <rFont val="Tahoma"/>
            <family val="2"/>
          </rPr>
          <t xml:space="preserve">
Targeting &lt;5x</t>
        </r>
      </text>
    </comment>
    <comment ref="H51" authorId="1">
      <text>
        <r>
          <rPr>
            <b/>
            <sz val="9"/>
            <color indexed="81"/>
            <rFont val="Tahoma"/>
            <family val="2"/>
          </rPr>
          <t>Savino, Mark (Research):</t>
        </r>
        <r>
          <rPr>
            <sz val="9"/>
            <color indexed="81"/>
            <rFont val="Tahoma"/>
            <family val="2"/>
          </rPr>
          <t xml:space="preserve">
Borgata deconsolidated so no longer have to adjust</t>
        </r>
      </text>
    </comment>
  </commentList>
</comments>
</file>

<file path=xl/comments6.xml><?xml version="1.0" encoding="utf-8"?>
<comments xmlns="http://schemas.openxmlformats.org/spreadsheetml/2006/main">
  <authors>
    <author>urbankev</author>
    <author>AM: 02/20/13</author>
  </authors>
  <commentList>
    <comment ref="D12" authorId="0">
      <text>
        <r>
          <rPr>
            <b/>
            <sz val="8"/>
            <color indexed="81"/>
            <rFont val="Tahoma"/>
            <family val="2"/>
          </rPr>
          <t>urbankev:</t>
        </r>
        <r>
          <rPr>
            <sz val="8"/>
            <color indexed="81"/>
            <rFont val="Tahoma"/>
            <family val="2"/>
          </rPr>
          <t xml:space="preserve">
Raw change in margins</t>
        </r>
      </text>
    </comment>
    <comment ref="E12" authorId="0">
      <text>
        <r>
          <rPr>
            <b/>
            <sz val="8"/>
            <color indexed="81"/>
            <rFont val="Tahoma"/>
            <family val="2"/>
          </rPr>
          <t>urbankev:</t>
        </r>
        <r>
          <rPr>
            <sz val="8"/>
            <color indexed="81"/>
            <rFont val="Tahoma"/>
            <family val="2"/>
          </rPr>
          <t xml:space="preserve">
Raw change in margins</t>
        </r>
      </text>
    </comment>
    <comment ref="F12" authorId="0">
      <text>
        <r>
          <rPr>
            <b/>
            <sz val="8"/>
            <color indexed="81"/>
            <rFont val="Tahoma"/>
            <family val="2"/>
          </rPr>
          <t>urbankev:</t>
        </r>
        <r>
          <rPr>
            <sz val="8"/>
            <color indexed="81"/>
            <rFont val="Tahoma"/>
            <family val="2"/>
          </rPr>
          <t xml:space="preserve">
Raw change in margins</t>
        </r>
      </text>
    </comment>
    <comment ref="D16" authorId="0">
      <text>
        <r>
          <rPr>
            <b/>
            <sz val="8"/>
            <color indexed="81"/>
            <rFont val="Tahoma"/>
            <family val="2"/>
          </rPr>
          <t>urbankev:</t>
        </r>
        <r>
          <rPr>
            <sz val="8"/>
            <color indexed="81"/>
            <rFont val="Tahoma"/>
            <family val="2"/>
          </rPr>
          <t xml:space="preserve">
Raw change in margins</t>
        </r>
      </text>
    </comment>
    <comment ref="E16" authorId="0">
      <text>
        <r>
          <rPr>
            <b/>
            <sz val="8"/>
            <color indexed="81"/>
            <rFont val="Tahoma"/>
            <family val="2"/>
          </rPr>
          <t>urbankev:</t>
        </r>
        <r>
          <rPr>
            <sz val="8"/>
            <color indexed="81"/>
            <rFont val="Tahoma"/>
            <family val="2"/>
          </rPr>
          <t xml:space="preserve">
Raw change in margins</t>
        </r>
      </text>
    </comment>
    <comment ref="F16" authorId="0">
      <text>
        <r>
          <rPr>
            <b/>
            <sz val="8"/>
            <color indexed="81"/>
            <rFont val="Tahoma"/>
            <family val="2"/>
          </rPr>
          <t>urbankev:</t>
        </r>
        <r>
          <rPr>
            <sz val="8"/>
            <color indexed="81"/>
            <rFont val="Tahoma"/>
            <family val="2"/>
          </rPr>
          <t xml:space="preserve">
Raw change in margins</t>
        </r>
      </text>
    </comment>
    <comment ref="D20" authorId="0">
      <text>
        <r>
          <rPr>
            <b/>
            <sz val="8"/>
            <color indexed="81"/>
            <rFont val="Tahoma"/>
            <family val="2"/>
          </rPr>
          <t>urbankev:</t>
        </r>
        <r>
          <rPr>
            <sz val="8"/>
            <color indexed="81"/>
            <rFont val="Tahoma"/>
            <family val="2"/>
          </rPr>
          <t xml:space="preserve">
Raw change in margins</t>
        </r>
      </text>
    </comment>
    <comment ref="F20" authorId="0">
      <text>
        <r>
          <rPr>
            <b/>
            <sz val="8"/>
            <color indexed="81"/>
            <rFont val="Tahoma"/>
            <family val="2"/>
          </rPr>
          <t>urbankev:</t>
        </r>
        <r>
          <rPr>
            <sz val="8"/>
            <color indexed="81"/>
            <rFont val="Tahoma"/>
            <family val="2"/>
          </rPr>
          <t xml:space="preserve">
Raw change in margins</t>
        </r>
      </text>
    </comment>
    <comment ref="F26" authorId="0">
      <text>
        <r>
          <rPr>
            <b/>
            <sz val="8"/>
            <color indexed="81"/>
            <rFont val="Tahoma"/>
            <family val="2"/>
          </rPr>
          <t>urbankev:</t>
        </r>
        <r>
          <rPr>
            <sz val="8"/>
            <color indexed="81"/>
            <rFont val="Tahoma"/>
            <family val="2"/>
          </rPr>
          <t xml:space="preserve">
Adjusted for taxes and interest</t>
        </r>
      </text>
    </comment>
    <comment ref="O32" authorId="1">
      <text>
        <r>
          <rPr>
            <b/>
            <sz val="8"/>
            <color indexed="81"/>
            <rFont val="Tahoma"/>
            <family val="2"/>
          </rPr>
          <t>AM: 03/8/13:</t>
        </r>
        <r>
          <rPr>
            <sz val="8"/>
            <color indexed="81"/>
            <rFont val="Tahoma"/>
            <family val="2"/>
          </rPr>
          <t xml:space="preserve">
Excl online EBITDA</t>
        </r>
      </text>
    </comment>
    <comment ref="D38" authorId="0">
      <text>
        <r>
          <rPr>
            <b/>
            <sz val="8"/>
            <color indexed="81"/>
            <rFont val="Tahoma"/>
            <family val="2"/>
          </rPr>
          <t>urbankev:</t>
        </r>
        <r>
          <rPr>
            <sz val="8"/>
            <color indexed="81"/>
            <rFont val="Tahoma"/>
            <family val="2"/>
          </rPr>
          <t xml:space="preserve">
Raw change in margins</t>
        </r>
      </text>
    </comment>
    <comment ref="E38" authorId="0">
      <text>
        <r>
          <rPr>
            <b/>
            <sz val="8"/>
            <color indexed="81"/>
            <rFont val="Tahoma"/>
            <family val="2"/>
          </rPr>
          <t>urbankev:</t>
        </r>
        <r>
          <rPr>
            <sz val="8"/>
            <color indexed="81"/>
            <rFont val="Tahoma"/>
            <family val="2"/>
          </rPr>
          <t xml:space="preserve">
Raw change in margins</t>
        </r>
      </text>
    </comment>
    <comment ref="D43" authorId="0">
      <text>
        <r>
          <rPr>
            <b/>
            <sz val="8"/>
            <color indexed="81"/>
            <rFont val="Tahoma"/>
            <family val="2"/>
          </rPr>
          <t>urbankev:</t>
        </r>
        <r>
          <rPr>
            <sz val="8"/>
            <color indexed="81"/>
            <rFont val="Tahoma"/>
            <family val="2"/>
          </rPr>
          <t xml:space="preserve">
Raw change in margins</t>
        </r>
      </text>
    </comment>
    <comment ref="E43" authorId="0">
      <text>
        <r>
          <rPr>
            <b/>
            <sz val="8"/>
            <color indexed="81"/>
            <rFont val="Tahoma"/>
            <family val="2"/>
          </rPr>
          <t>urbankev:</t>
        </r>
        <r>
          <rPr>
            <sz val="8"/>
            <color indexed="81"/>
            <rFont val="Tahoma"/>
            <family val="2"/>
          </rPr>
          <t xml:space="preserve">
Raw change in margins</t>
        </r>
      </text>
    </comment>
    <comment ref="D48" authorId="0">
      <text>
        <r>
          <rPr>
            <b/>
            <sz val="8"/>
            <color indexed="81"/>
            <rFont val="Tahoma"/>
            <family val="2"/>
          </rPr>
          <t>urbankev:</t>
        </r>
        <r>
          <rPr>
            <sz val="8"/>
            <color indexed="81"/>
            <rFont val="Tahoma"/>
            <family val="2"/>
          </rPr>
          <t xml:space="preserve">
Raw change in margins</t>
        </r>
      </text>
    </comment>
    <comment ref="E48" authorId="0">
      <text>
        <r>
          <rPr>
            <b/>
            <sz val="8"/>
            <color indexed="81"/>
            <rFont val="Tahoma"/>
            <family val="2"/>
          </rPr>
          <t>urbankev:</t>
        </r>
        <r>
          <rPr>
            <sz val="8"/>
            <color indexed="81"/>
            <rFont val="Tahoma"/>
            <family val="2"/>
          </rPr>
          <t xml:space="preserve">
Raw change in margins</t>
        </r>
      </text>
    </comment>
    <comment ref="D56" authorId="0">
      <text>
        <r>
          <rPr>
            <b/>
            <sz val="8"/>
            <color indexed="81"/>
            <rFont val="Tahoma"/>
            <family val="2"/>
          </rPr>
          <t>urbankev:</t>
        </r>
        <r>
          <rPr>
            <sz val="8"/>
            <color indexed="81"/>
            <rFont val="Tahoma"/>
            <family val="2"/>
          </rPr>
          <t xml:space="preserve">
Raw change in margins</t>
        </r>
      </text>
    </comment>
    <comment ref="E56" authorId="0">
      <text>
        <r>
          <rPr>
            <b/>
            <sz val="8"/>
            <color indexed="81"/>
            <rFont val="Tahoma"/>
            <family val="2"/>
          </rPr>
          <t>urbankev:</t>
        </r>
        <r>
          <rPr>
            <sz val="8"/>
            <color indexed="81"/>
            <rFont val="Tahoma"/>
            <family val="2"/>
          </rPr>
          <t xml:space="preserve">
Raw change in margins</t>
        </r>
      </text>
    </comment>
    <comment ref="F56" authorId="0">
      <text>
        <r>
          <rPr>
            <b/>
            <sz val="8"/>
            <color indexed="81"/>
            <rFont val="Tahoma"/>
            <family val="2"/>
          </rPr>
          <t>urbankev:</t>
        </r>
        <r>
          <rPr>
            <sz val="8"/>
            <color indexed="81"/>
            <rFont val="Tahoma"/>
            <family val="2"/>
          </rPr>
          <t xml:space="preserve">
Raw change in margins</t>
        </r>
      </text>
    </comment>
    <comment ref="D60" authorId="0">
      <text>
        <r>
          <rPr>
            <b/>
            <sz val="8"/>
            <color indexed="81"/>
            <rFont val="Tahoma"/>
            <family val="2"/>
          </rPr>
          <t>urbankev:</t>
        </r>
        <r>
          <rPr>
            <sz val="8"/>
            <color indexed="81"/>
            <rFont val="Tahoma"/>
            <family val="2"/>
          </rPr>
          <t xml:space="preserve">
Raw change in margins</t>
        </r>
      </text>
    </comment>
    <comment ref="E60" authorId="0">
      <text>
        <r>
          <rPr>
            <b/>
            <sz val="8"/>
            <color indexed="81"/>
            <rFont val="Tahoma"/>
            <family val="2"/>
          </rPr>
          <t>urbankev:</t>
        </r>
        <r>
          <rPr>
            <sz val="8"/>
            <color indexed="81"/>
            <rFont val="Tahoma"/>
            <family val="2"/>
          </rPr>
          <t xml:space="preserve">
Raw change in margins</t>
        </r>
      </text>
    </comment>
    <comment ref="F60" authorId="0">
      <text>
        <r>
          <rPr>
            <b/>
            <sz val="8"/>
            <color indexed="81"/>
            <rFont val="Tahoma"/>
            <family val="2"/>
          </rPr>
          <t>urbankev:</t>
        </r>
        <r>
          <rPr>
            <sz val="8"/>
            <color indexed="81"/>
            <rFont val="Tahoma"/>
            <family val="2"/>
          </rPr>
          <t xml:space="preserve">
Raw change in margins</t>
        </r>
      </text>
    </comment>
    <comment ref="D64" authorId="0">
      <text>
        <r>
          <rPr>
            <b/>
            <sz val="8"/>
            <color indexed="81"/>
            <rFont val="Tahoma"/>
            <family val="2"/>
          </rPr>
          <t>urbankev:</t>
        </r>
        <r>
          <rPr>
            <sz val="8"/>
            <color indexed="81"/>
            <rFont val="Tahoma"/>
            <family val="2"/>
          </rPr>
          <t xml:space="preserve">
Raw change in margins</t>
        </r>
      </text>
    </comment>
    <comment ref="E64" authorId="0">
      <text>
        <r>
          <rPr>
            <b/>
            <sz val="8"/>
            <color indexed="81"/>
            <rFont val="Tahoma"/>
            <family val="2"/>
          </rPr>
          <t>urbankev:</t>
        </r>
        <r>
          <rPr>
            <sz val="8"/>
            <color indexed="81"/>
            <rFont val="Tahoma"/>
            <family val="2"/>
          </rPr>
          <t xml:space="preserve">
Raw change in margins</t>
        </r>
      </text>
    </comment>
    <comment ref="F64" authorId="0">
      <text>
        <r>
          <rPr>
            <b/>
            <sz val="8"/>
            <color indexed="81"/>
            <rFont val="Tahoma"/>
            <family val="2"/>
          </rPr>
          <t>urbankev:</t>
        </r>
        <r>
          <rPr>
            <sz val="8"/>
            <color indexed="81"/>
            <rFont val="Tahoma"/>
            <family val="2"/>
          </rPr>
          <t xml:space="preserve">
Raw change in margins</t>
        </r>
      </text>
    </comment>
    <comment ref="F70" authorId="0">
      <text>
        <r>
          <rPr>
            <b/>
            <sz val="8"/>
            <color indexed="81"/>
            <rFont val="Tahoma"/>
            <family val="2"/>
          </rPr>
          <t>urbankev:</t>
        </r>
        <r>
          <rPr>
            <sz val="8"/>
            <color indexed="81"/>
            <rFont val="Tahoma"/>
            <family val="2"/>
          </rPr>
          <t xml:space="preserve">
Adjusted for taxes and interest</t>
        </r>
      </text>
    </comment>
    <comment ref="O74" authorId="1">
      <text>
        <r>
          <rPr>
            <b/>
            <sz val="8"/>
            <color indexed="81"/>
            <rFont val="Tahoma"/>
            <family val="2"/>
          </rPr>
          <t>AM: 03/8/13:</t>
        </r>
        <r>
          <rPr>
            <sz val="8"/>
            <color indexed="81"/>
            <rFont val="Tahoma"/>
            <family val="2"/>
          </rPr>
          <t xml:space="preserve">
Excl online EBITDA</t>
        </r>
      </text>
    </comment>
  </commentList>
</comments>
</file>

<file path=xl/comments7.xml><?xml version="1.0" encoding="utf-8"?>
<comments xmlns="http://schemas.openxmlformats.org/spreadsheetml/2006/main">
  <authors>
    <author>danfuss</author>
    <author>AM: 5/3/12</author>
    <author>AM: 11/16/12</author>
    <author>thallen</author>
  </authors>
  <commentList>
    <comment ref="DQ336" authorId="0">
      <text>
        <r>
          <rPr>
            <b/>
            <sz val="8"/>
            <color indexed="81"/>
            <rFont val="Tahoma"/>
            <family val="2"/>
          </rPr>
          <t>danfuss:</t>
        </r>
        <r>
          <rPr>
            <sz val="8"/>
            <color indexed="81"/>
            <rFont val="Tahoma"/>
            <family val="2"/>
          </rPr>
          <t xml:space="preserve">
Penn calculation excludes all results at Penn National and Argosy (Fire in 2Q) as well as estimated Table EBITDA in 2H10 at Charles Town</t>
        </r>
      </text>
    </comment>
    <comment ref="EI412" authorId="0">
      <text>
        <r>
          <rPr>
            <b/>
            <sz val="8"/>
            <color indexed="81"/>
            <rFont val="Tahoma"/>
            <family val="2"/>
          </rPr>
          <t>danfuss:</t>
        </r>
        <r>
          <rPr>
            <sz val="8"/>
            <color indexed="81"/>
            <rFont val="Tahoma"/>
            <family val="2"/>
          </rPr>
          <t xml:space="preserve">
Not provided by MGM</t>
        </r>
      </text>
    </comment>
    <comment ref="EW439" authorId="0">
      <text>
        <r>
          <rPr>
            <b/>
            <sz val="8"/>
            <color indexed="81"/>
            <rFont val="Tahoma"/>
            <family val="2"/>
          </rPr>
          <t>DJF:</t>
        </r>
        <r>
          <rPr>
            <sz val="8"/>
            <color indexed="81"/>
            <rFont val="Tahoma"/>
            <family val="2"/>
          </rPr>
          <t xml:space="preserve">
Per CC and ex $__ cage cash</t>
        </r>
      </text>
    </comment>
    <comment ref="FU486" authorId="1">
      <text>
        <r>
          <rPr>
            <b/>
            <sz val="8"/>
            <color indexed="81"/>
            <rFont val="Tahoma"/>
            <family val="2"/>
          </rPr>
          <t>AM: 5/16/12:</t>
        </r>
        <r>
          <rPr>
            <sz val="8"/>
            <color indexed="81"/>
            <rFont val="Tahoma"/>
            <family val="2"/>
          </rPr>
          <t xml:space="preserve">
Per release, LTM EBITDA of $109m, plus $26.8m of KS EBITDA (opened in 1Q12 so annualized it) less $10m of corp.</t>
        </r>
      </text>
    </comment>
    <comment ref="FU487" authorId="1">
      <text>
        <r>
          <rPr>
            <b/>
            <sz val="8"/>
            <color indexed="81"/>
            <rFont val="Tahoma"/>
            <family val="2"/>
          </rPr>
          <t>AM: 5/16/12:</t>
        </r>
        <r>
          <rPr>
            <sz val="8"/>
            <color indexed="81"/>
            <rFont val="Tahoma"/>
            <family val="2"/>
          </rPr>
          <t xml:space="preserve">
$50-55m per CC</t>
        </r>
      </text>
    </comment>
    <comment ref="FV504" authorId="1">
      <text>
        <r>
          <rPr>
            <b/>
            <sz val="8"/>
            <color indexed="81"/>
            <rFont val="Tahoma"/>
            <family val="2"/>
          </rPr>
          <t>AM: 5/16/12:</t>
        </r>
        <r>
          <rPr>
            <sz val="8"/>
            <color indexed="81"/>
            <rFont val="Tahoma"/>
            <family val="2"/>
          </rPr>
          <t xml:space="preserve">
Backed into this. BYD said that deal is ~$70m accretive to FCF. </t>
        </r>
      </text>
    </comment>
    <comment ref="FV506" authorId="1">
      <text>
        <r>
          <rPr>
            <b/>
            <sz val="8"/>
            <color indexed="81"/>
            <rFont val="Tahoma"/>
            <family val="2"/>
          </rPr>
          <t>AM: 5/16/12:</t>
        </r>
        <r>
          <rPr>
            <sz val="8"/>
            <color indexed="81"/>
            <rFont val="Tahoma"/>
            <family val="2"/>
          </rPr>
          <t xml:space="preserve">
Per presentation, PIK.</t>
        </r>
      </text>
    </comment>
    <comment ref="FY527" authorId="2">
      <text>
        <r>
          <rPr>
            <b/>
            <sz val="8"/>
            <color indexed="81"/>
            <rFont val="Tahoma"/>
            <family val="2"/>
          </rPr>
          <t>AM: 1/16/13:</t>
        </r>
        <r>
          <rPr>
            <sz val="8"/>
            <color indexed="81"/>
            <rFont val="Tahoma"/>
            <family val="2"/>
          </rPr>
          <t xml:space="preserve">
Using our actual ests</t>
        </r>
      </text>
    </comment>
    <comment ref="FZ530" authorId="1">
      <text>
        <r>
          <rPr>
            <b/>
            <sz val="8"/>
            <color indexed="81"/>
            <rFont val="Tahoma"/>
            <family val="2"/>
          </rPr>
          <t>AM: 5/16/12:</t>
        </r>
        <r>
          <rPr>
            <sz val="8"/>
            <color indexed="81"/>
            <rFont val="Tahoma"/>
            <family val="2"/>
          </rPr>
          <t xml:space="preserve">
2013 Prop est less $10m of corp.</t>
        </r>
      </text>
    </comment>
    <comment ref="FZ531" authorId="1">
      <text>
        <r>
          <rPr>
            <b/>
            <sz val="8"/>
            <color indexed="81"/>
            <rFont val="Tahoma"/>
            <family val="2"/>
          </rPr>
          <t>AM: 5/16/12:</t>
        </r>
        <r>
          <rPr>
            <sz val="8"/>
            <color indexed="81"/>
            <rFont val="Tahoma"/>
            <family val="2"/>
          </rPr>
          <t xml:space="preserve">
$50-55m per CC</t>
        </r>
      </text>
    </comment>
    <comment ref="FZ544" authorId="2">
      <text>
        <r>
          <rPr>
            <b/>
            <sz val="8"/>
            <color indexed="81"/>
            <rFont val="Tahoma"/>
            <family val="2"/>
          </rPr>
          <t>AM: 11/16/12:</t>
        </r>
        <r>
          <rPr>
            <sz val="8"/>
            <color indexed="81"/>
            <rFont val="Tahoma"/>
            <family val="2"/>
          </rPr>
          <t xml:space="preserve">
Per BYD 8-K</t>
        </r>
      </text>
    </comment>
    <comment ref="HA810" authorId="3">
      <text>
        <r>
          <rPr>
            <b/>
            <sz val="8"/>
            <color indexed="81"/>
            <rFont val="Tahoma"/>
            <family val="2"/>
          </rPr>
          <t>thallen:</t>
        </r>
        <r>
          <rPr>
            <sz val="8"/>
            <color indexed="81"/>
            <rFont val="Tahoma"/>
            <family val="2"/>
          </rPr>
          <t xml:space="preserve">
-BYD + Peninsula's pro forma 2012 gaming revenue
-2012 BYD gross Gaming revenue less other regions</t>
        </r>
      </text>
    </comment>
    <comment ref="HD818" authorId="3">
      <text>
        <r>
          <rPr>
            <b/>
            <sz val="8"/>
            <color indexed="81"/>
            <rFont val="Tahoma"/>
            <family val="2"/>
          </rPr>
          <t>thallen:</t>
        </r>
        <r>
          <rPr>
            <sz val="8"/>
            <color indexed="81"/>
            <rFont val="Tahoma"/>
            <family val="2"/>
          </rPr>
          <t xml:space="preserve">
50% ownership</t>
        </r>
      </text>
    </comment>
  </commentList>
</comments>
</file>

<file path=xl/comments8.xml><?xml version="1.0" encoding="utf-8"?>
<comments xmlns="http://schemas.openxmlformats.org/spreadsheetml/2006/main">
  <authors>
    <author>Savino, Mark (Research)</author>
  </authors>
  <commentList>
    <comment ref="S24" authorId="0">
      <text>
        <r>
          <rPr>
            <b/>
            <sz val="9"/>
            <color indexed="81"/>
            <rFont val="Tahoma"/>
            <family val="2"/>
          </rPr>
          <t>Savino, Mark (Research):</t>
        </r>
        <r>
          <rPr>
            <sz val="9"/>
            <color indexed="81"/>
            <rFont val="Tahoma"/>
            <family val="2"/>
          </rPr>
          <t xml:space="preserve">
Including $9m favorable property tax adjustment</t>
        </r>
      </text>
    </comment>
  </commentList>
</comments>
</file>

<file path=xl/comments9.xml><?xml version="1.0" encoding="utf-8"?>
<comments xmlns="http://schemas.openxmlformats.org/spreadsheetml/2006/main">
  <authors>
    <author>stramark</author>
  </authors>
  <commentList>
    <comment ref="D29" authorId="0">
      <text>
        <r>
          <rPr>
            <b/>
            <sz val="8"/>
            <color indexed="81"/>
            <rFont val="Tahoma"/>
            <family val="2"/>
          </rPr>
          <t>stramark:</t>
        </r>
        <r>
          <rPr>
            <sz val="8"/>
            <color indexed="81"/>
            <rFont val="Tahoma"/>
            <family val="2"/>
          </rPr>
          <t xml:space="preserve">
Adjusted for AC</t>
        </r>
      </text>
    </comment>
    <comment ref="D32" authorId="0">
      <text>
        <r>
          <rPr>
            <b/>
            <sz val="8"/>
            <color indexed="81"/>
            <rFont val="Tahoma"/>
            <family val="2"/>
          </rPr>
          <t>stramark:</t>
        </r>
        <r>
          <rPr>
            <sz val="8"/>
            <color indexed="81"/>
            <rFont val="Tahoma"/>
            <family val="2"/>
          </rPr>
          <t xml:space="preserve">
Adjusted for AC</t>
        </r>
      </text>
    </comment>
  </commentList>
</comments>
</file>

<file path=xl/comments10.xml><?xml version="1.0" encoding="utf-8"?>
<comments xmlns="http://schemas.openxmlformats.org/spreadsheetml/2006/main">
  <authors>
    <author>stramark</author>
  </authors>
  <commentList>
    <comment ref="D29" authorId="0">
      <text>
        <r>
          <rPr>
            <b/>
            <sz val="8"/>
            <color indexed="81"/>
            <rFont val="Tahoma"/>
            <family val="2"/>
          </rPr>
          <t>stramark:</t>
        </r>
        <r>
          <rPr>
            <sz val="8"/>
            <color indexed="81"/>
            <rFont val="Tahoma"/>
            <family val="2"/>
          </rPr>
          <t xml:space="preserve">
Adjusted for AC</t>
        </r>
      </text>
    </comment>
    <comment ref="D32" authorId="0">
      <text>
        <r>
          <rPr>
            <b/>
            <sz val="8"/>
            <color indexed="81"/>
            <rFont val="Tahoma"/>
            <family val="2"/>
          </rPr>
          <t>stramark:</t>
        </r>
        <r>
          <rPr>
            <sz val="8"/>
            <color indexed="81"/>
            <rFont val="Tahoma"/>
            <family val="2"/>
          </rPr>
          <t xml:space="preserve">
Adjusted for AC</t>
        </r>
      </text>
    </comment>
  </commentList>
</comments>
</file>

<file path=xl/comments11.xml><?xml version="1.0" encoding="utf-8"?>
<comments xmlns="http://schemas.openxmlformats.org/spreadsheetml/2006/main">
  <authors>
    <author>DJF 1/17/12</author>
  </authors>
  <commentList>
    <comment ref="CP17" authorId="0">
      <text>
        <r>
          <rPr>
            <b/>
            <sz val="8"/>
            <color indexed="81"/>
            <rFont val="Tahoma"/>
            <family val="2"/>
          </rPr>
          <t>DJF 1/17/12:</t>
        </r>
        <r>
          <rPr>
            <sz val="8"/>
            <color indexed="81"/>
            <rFont val="Tahoma"/>
            <family val="2"/>
          </rPr>
          <t xml:space="preserve">
High Hold</t>
        </r>
      </text>
    </comment>
  </commentList>
</comments>
</file>

<file path=xl/comments12.xml><?xml version="1.0" encoding="utf-8"?>
<comments xmlns="http://schemas.openxmlformats.org/spreadsheetml/2006/main">
  <authors>
    <author>thallen</author>
  </authors>
  <commentList>
    <comment ref="F33" authorId="0">
      <text>
        <r>
          <rPr>
            <b/>
            <sz val="8"/>
            <color indexed="81"/>
            <rFont val="Tahoma"/>
            <family val="2"/>
          </rPr>
          <t>thallen:</t>
        </r>
        <r>
          <rPr>
            <sz val="8"/>
            <color indexed="81"/>
            <rFont val="Tahoma"/>
            <family val="2"/>
          </rPr>
          <t xml:space="preserve">
Includes multiple downside as largest segment, risk to multiple if regional secular decline</t>
        </r>
      </text>
    </comment>
  </commentList>
</comments>
</file>

<file path=xl/comments13.xml><?xml version="1.0" encoding="utf-8"?>
<comments xmlns="http://schemas.openxmlformats.org/spreadsheetml/2006/main">
  <authors>
    <author>Thallen</author>
    <author>Chris Metli</author>
    <author>Kirk Tashjian</author>
  </authors>
  <commentList>
    <comment ref="AB26" authorId="0">
      <text>
        <r>
          <rPr>
            <b/>
            <sz val="10"/>
            <color indexed="81"/>
            <rFont val="Tahoma"/>
            <family val="2"/>
          </rPr>
          <t>Thallen:</t>
        </r>
        <r>
          <rPr>
            <sz val="10"/>
            <color indexed="81"/>
            <rFont val="Tahoma"/>
            <family val="2"/>
          </rPr>
          <t xml:space="preserve">
New hotel</t>
        </r>
      </text>
    </comment>
    <comment ref="A57" authorId="1">
      <text>
        <r>
          <rPr>
            <b/>
            <sz val="8"/>
            <color indexed="81"/>
            <rFont val="Tahoma"/>
            <family val="2"/>
          </rPr>
          <t>Chris Metli:</t>
        </r>
        <r>
          <rPr>
            <sz val="8"/>
            <color indexed="81"/>
            <rFont val="Tahoma"/>
            <family val="2"/>
          </rPr>
          <t xml:space="preserve">
Appears to have no admission tax, matching calculated to reported.</t>
        </r>
      </text>
    </comment>
    <comment ref="A70" authorId="1">
      <text>
        <r>
          <rPr>
            <b/>
            <sz val="8"/>
            <color indexed="81"/>
            <rFont val="Tahoma"/>
            <family val="2"/>
          </rPr>
          <t>Chris Metli:</t>
        </r>
        <r>
          <rPr>
            <sz val="8"/>
            <color indexed="81"/>
            <rFont val="Tahoma"/>
            <family val="2"/>
          </rPr>
          <t xml:space="preserve">
Appears to have no admission tax, matching calculated to reported.</t>
        </r>
      </text>
    </comment>
    <comment ref="A93" authorId="2">
      <text>
        <r>
          <rPr>
            <b/>
            <sz val="8"/>
            <color indexed="81"/>
            <rFont val="Tahoma"/>
            <family val="2"/>
          </rPr>
          <t>Kirk Tashjian:</t>
        </r>
        <r>
          <rPr>
            <sz val="8"/>
            <color indexed="81"/>
            <rFont val="Tahoma"/>
            <family val="2"/>
          </rPr>
          <t xml:space="preserve">
State tax of 8% and county tax of 4%.</t>
        </r>
      </text>
    </comment>
    <comment ref="A96" authorId="1">
      <text>
        <r>
          <rPr>
            <b/>
            <sz val="8"/>
            <color indexed="81"/>
            <rFont val="Tahoma"/>
            <family val="2"/>
          </rPr>
          <t>Chris Metli:</t>
        </r>
        <r>
          <rPr>
            <sz val="8"/>
            <color indexed="81"/>
            <rFont val="Tahoma"/>
            <family val="2"/>
          </rPr>
          <t xml:space="preserve">
Assumes 90% of revenues are gaming, backs out the effect of the historical central region's "other" revenue that gets wrapped up in MS gaming revs beginning 3Q04.</t>
        </r>
      </text>
    </comment>
    <comment ref="A243" authorId="1">
      <text>
        <r>
          <rPr>
            <b/>
            <sz val="8"/>
            <color indexed="81"/>
            <rFont val="Tahoma"/>
            <family val="2"/>
          </rPr>
          <t>Chris Metli:</t>
        </r>
        <r>
          <rPr>
            <sz val="8"/>
            <color indexed="81"/>
            <rFont val="Tahoma"/>
            <family val="2"/>
          </rPr>
          <t xml:space="preserve">
Using Broward Default - could be different, just not sure what Dania signed</t>
        </r>
      </text>
    </comment>
    <comment ref="AK254" authorId="1">
      <text>
        <r>
          <rPr>
            <b/>
            <sz val="10"/>
            <color indexed="81"/>
            <rFont val="Tahoma"/>
            <family val="2"/>
          </rPr>
          <t>Chris Metli:</t>
        </r>
        <r>
          <rPr>
            <sz val="10"/>
            <color indexed="81"/>
            <rFont val="Tahoma"/>
            <family val="2"/>
          </rPr>
          <t xml:space="preserve">
DPMW will advise legislature on increases</t>
        </r>
      </text>
    </comment>
    <comment ref="AP254" authorId="1">
      <text>
        <r>
          <rPr>
            <b/>
            <sz val="10"/>
            <color indexed="81"/>
            <rFont val="Tahoma"/>
            <family val="2"/>
          </rPr>
          <t>Chris Metli:</t>
        </r>
        <r>
          <rPr>
            <sz val="10"/>
            <color indexed="81"/>
            <rFont val="Tahoma"/>
            <family val="2"/>
          </rPr>
          <t xml:space="preserve">
DPMW will advise legislature on increases</t>
        </r>
      </text>
    </comment>
    <comment ref="AU254" authorId="1">
      <text>
        <r>
          <rPr>
            <b/>
            <sz val="10"/>
            <color indexed="81"/>
            <rFont val="Tahoma"/>
            <family val="2"/>
          </rPr>
          <t>Chris Metli:</t>
        </r>
        <r>
          <rPr>
            <sz val="10"/>
            <color indexed="81"/>
            <rFont val="Tahoma"/>
            <family val="2"/>
          </rPr>
          <t xml:space="preserve">
DPMW will advise legislature on increases</t>
        </r>
      </text>
    </comment>
    <comment ref="AZ254" authorId="1">
      <text>
        <r>
          <rPr>
            <b/>
            <sz val="10"/>
            <color indexed="81"/>
            <rFont val="Tahoma"/>
            <family val="2"/>
          </rPr>
          <t>Chris Metli:</t>
        </r>
        <r>
          <rPr>
            <sz val="10"/>
            <color indexed="81"/>
            <rFont val="Tahoma"/>
            <family val="2"/>
          </rPr>
          <t xml:space="preserve">
DPMW will advise legislature on increases</t>
        </r>
      </text>
    </comment>
    <comment ref="BE254" authorId="1">
      <text>
        <r>
          <rPr>
            <b/>
            <sz val="10"/>
            <color indexed="81"/>
            <rFont val="Tahoma"/>
            <family val="2"/>
          </rPr>
          <t>Chris Metli:</t>
        </r>
        <r>
          <rPr>
            <sz val="10"/>
            <color indexed="81"/>
            <rFont val="Tahoma"/>
            <family val="2"/>
          </rPr>
          <t xml:space="preserve">
DPMW will advise legislature on increases</t>
        </r>
      </text>
    </comment>
    <comment ref="BJ254" authorId="1">
      <text>
        <r>
          <rPr>
            <b/>
            <sz val="10"/>
            <color indexed="81"/>
            <rFont val="Tahoma"/>
            <family val="2"/>
          </rPr>
          <t>Chris Metli:</t>
        </r>
        <r>
          <rPr>
            <sz val="10"/>
            <color indexed="81"/>
            <rFont val="Tahoma"/>
            <family val="2"/>
          </rPr>
          <t xml:space="preserve">
DPMW will advise legislature on increases</t>
        </r>
      </text>
    </comment>
    <comment ref="BO254" authorId="1">
      <text>
        <r>
          <rPr>
            <b/>
            <sz val="10"/>
            <color indexed="81"/>
            <rFont val="Tahoma"/>
            <family val="2"/>
          </rPr>
          <t>Chris Metli:</t>
        </r>
        <r>
          <rPr>
            <sz val="10"/>
            <color indexed="81"/>
            <rFont val="Tahoma"/>
            <family val="2"/>
          </rPr>
          <t xml:space="preserve">
DPMW will advise legislature on increases</t>
        </r>
      </text>
    </comment>
    <comment ref="BT254" authorId="1">
      <text>
        <r>
          <rPr>
            <b/>
            <sz val="10"/>
            <color indexed="81"/>
            <rFont val="Tahoma"/>
            <family val="2"/>
          </rPr>
          <t>Chris Metli:</t>
        </r>
        <r>
          <rPr>
            <sz val="10"/>
            <color indexed="81"/>
            <rFont val="Tahoma"/>
            <family val="2"/>
          </rPr>
          <t xml:space="preserve">
DPMW will advise legislature on increases</t>
        </r>
      </text>
    </comment>
    <comment ref="BU254" authorId="1">
      <text>
        <r>
          <rPr>
            <b/>
            <sz val="10"/>
            <color indexed="81"/>
            <rFont val="Tahoma"/>
            <family val="2"/>
          </rPr>
          <t>Chris Metli:</t>
        </r>
        <r>
          <rPr>
            <sz val="10"/>
            <color indexed="81"/>
            <rFont val="Tahoma"/>
            <family val="2"/>
          </rPr>
          <t xml:space="preserve">
DPMW will advise legislature on increases</t>
        </r>
      </text>
    </comment>
    <comment ref="BV254" authorId="1">
      <text>
        <r>
          <rPr>
            <b/>
            <sz val="10"/>
            <color indexed="81"/>
            <rFont val="Tahoma"/>
            <family val="2"/>
          </rPr>
          <t>Chris Metli:</t>
        </r>
        <r>
          <rPr>
            <sz val="10"/>
            <color indexed="81"/>
            <rFont val="Tahoma"/>
            <family val="2"/>
          </rPr>
          <t xml:space="preserve">
DPMW will advise legislature on increases</t>
        </r>
      </text>
    </comment>
    <comment ref="BW254" authorId="1">
      <text>
        <r>
          <rPr>
            <b/>
            <sz val="10"/>
            <color indexed="81"/>
            <rFont val="Tahoma"/>
            <family val="2"/>
          </rPr>
          <t>Chris Metli:</t>
        </r>
        <r>
          <rPr>
            <sz val="10"/>
            <color indexed="81"/>
            <rFont val="Tahoma"/>
            <family val="2"/>
          </rPr>
          <t xml:space="preserve">
DPMW will advise legislature on increases</t>
        </r>
      </text>
    </comment>
    <comment ref="AK255" authorId="1">
      <text>
        <r>
          <rPr>
            <b/>
            <sz val="10"/>
            <color indexed="81"/>
            <rFont val="Tahoma"/>
            <family val="2"/>
          </rPr>
          <t>Chris Metli:</t>
        </r>
        <r>
          <rPr>
            <sz val="10"/>
            <color indexed="81"/>
            <rFont val="Tahoma"/>
            <family val="2"/>
          </rPr>
          <t xml:space="preserve">
No set increase, but assume will</t>
        </r>
      </text>
    </comment>
    <comment ref="AP255" authorId="1">
      <text>
        <r>
          <rPr>
            <b/>
            <sz val="10"/>
            <color indexed="81"/>
            <rFont val="Tahoma"/>
            <family val="2"/>
          </rPr>
          <t>Chris Metli:</t>
        </r>
        <r>
          <rPr>
            <sz val="10"/>
            <color indexed="81"/>
            <rFont val="Tahoma"/>
            <family val="2"/>
          </rPr>
          <t xml:space="preserve">
No set increase, but assume will</t>
        </r>
      </text>
    </comment>
    <comment ref="AU255" authorId="1">
      <text>
        <r>
          <rPr>
            <b/>
            <sz val="10"/>
            <color indexed="81"/>
            <rFont val="Tahoma"/>
            <family val="2"/>
          </rPr>
          <t>Chris Metli:</t>
        </r>
        <r>
          <rPr>
            <sz val="10"/>
            <color indexed="81"/>
            <rFont val="Tahoma"/>
            <family val="2"/>
          </rPr>
          <t xml:space="preserve">
No set increase, but assume will</t>
        </r>
      </text>
    </comment>
    <comment ref="AZ255" authorId="1">
      <text>
        <r>
          <rPr>
            <b/>
            <sz val="10"/>
            <color indexed="81"/>
            <rFont val="Tahoma"/>
            <family val="2"/>
          </rPr>
          <t>Chris Metli:</t>
        </r>
        <r>
          <rPr>
            <sz val="10"/>
            <color indexed="81"/>
            <rFont val="Tahoma"/>
            <family val="2"/>
          </rPr>
          <t xml:space="preserve">
No set increase, but assume will</t>
        </r>
      </text>
    </comment>
    <comment ref="BE255" authorId="1">
      <text>
        <r>
          <rPr>
            <b/>
            <sz val="10"/>
            <color indexed="81"/>
            <rFont val="Tahoma"/>
            <family val="2"/>
          </rPr>
          <t>Chris Metli:</t>
        </r>
        <r>
          <rPr>
            <sz val="10"/>
            <color indexed="81"/>
            <rFont val="Tahoma"/>
            <family val="2"/>
          </rPr>
          <t xml:space="preserve">
No set increase, but assume will</t>
        </r>
      </text>
    </comment>
    <comment ref="BJ255" authorId="1">
      <text>
        <r>
          <rPr>
            <b/>
            <sz val="10"/>
            <color indexed="81"/>
            <rFont val="Tahoma"/>
            <family val="2"/>
          </rPr>
          <t>Chris Metli:</t>
        </r>
        <r>
          <rPr>
            <sz val="10"/>
            <color indexed="81"/>
            <rFont val="Tahoma"/>
            <family val="2"/>
          </rPr>
          <t xml:space="preserve">
No set increase, but assume will</t>
        </r>
      </text>
    </comment>
    <comment ref="BO255" authorId="1">
      <text>
        <r>
          <rPr>
            <b/>
            <sz val="10"/>
            <color indexed="81"/>
            <rFont val="Tahoma"/>
            <family val="2"/>
          </rPr>
          <t>Chris Metli:</t>
        </r>
        <r>
          <rPr>
            <sz val="10"/>
            <color indexed="81"/>
            <rFont val="Tahoma"/>
            <family val="2"/>
          </rPr>
          <t xml:space="preserve">
No set increase, but assume will</t>
        </r>
      </text>
    </comment>
    <comment ref="BT255" authorId="1">
      <text>
        <r>
          <rPr>
            <b/>
            <sz val="10"/>
            <color indexed="81"/>
            <rFont val="Tahoma"/>
            <family val="2"/>
          </rPr>
          <t>Chris Metli:</t>
        </r>
        <r>
          <rPr>
            <sz val="10"/>
            <color indexed="81"/>
            <rFont val="Tahoma"/>
            <family val="2"/>
          </rPr>
          <t xml:space="preserve">
No set increase, but assume will</t>
        </r>
      </text>
    </comment>
    <comment ref="BU255" authorId="1">
      <text>
        <r>
          <rPr>
            <b/>
            <sz val="10"/>
            <color indexed="81"/>
            <rFont val="Tahoma"/>
            <family val="2"/>
          </rPr>
          <t>Chris Metli:</t>
        </r>
        <r>
          <rPr>
            <sz val="10"/>
            <color indexed="81"/>
            <rFont val="Tahoma"/>
            <family val="2"/>
          </rPr>
          <t xml:space="preserve">
No set increase, but assume will</t>
        </r>
      </text>
    </comment>
    <comment ref="BV255" authorId="1">
      <text>
        <r>
          <rPr>
            <b/>
            <sz val="10"/>
            <color indexed="81"/>
            <rFont val="Tahoma"/>
            <family val="2"/>
          </rPr>
          <t>Chris Metli:</t>
        </r>
        <r>
          <rPr>
            <sz val="10"/>
            <color indexed="81"/>
            <rFont val="Tahoma"/>
            <family val="2"/>
          </rPr>
          <t xml:space="preserve">
No set increase, but assume will</t>
        </r>
      </text>
    </comment>
    <comment ref="BW255" authorId="1">
      <text>
        <r>
          <rPr>
            <b/>
            <sz val="10"/>
            <color indexed="81"/>
            <rFont val="Tahoma"/>
            <family val="2"/>
          </rPr>
          <t>Chris Metli:</t>
        </r>
        <r>
          <rPr>
            <sz val="10"/>
            <color indexed="81"/>
            <rFont val="Tahoma"/>
            <family val="2"/>
          </rPr>
          <t xml:space="preserve">
No set increase, but assume will</t>
        </r>
      </text>
    </comment>
    <comment ref="A257" authorId="1">
      <text>
        <r>
          <rPr>
            <b/>
            <sz val="10"/>
            <color indexed="81"/>
            <rFont val="Tahoma"/>
            <family val="2"/>
          </rPr>
          <t>Chris Metli:</t>
        </r>
        <r>
          <rPr>
            <sz val="10"/>
            <color indexed="81"/>
            <rFont val="Tahoma"/>
            <family val="2"/>
          </rPr>
          <t xml:space="preserve">
Excludes purse fee, coud be as low as 0.5%</t>
        </r>
      </text>
    </comment>
    <comment ref="D261" authorId="1">
      <text>
        <r>
          <rPr>
            <b/>
            <sz val="8"/>
            <color indexed="81"/>
            <rFont val="Tahoma"/>
            <family val="2"/>
          </rPr>
          <t>Chris Metli:</t>
        </r>
        <r>
          <rPr>
            <sz val="8"/>
            <color indexed="81"/>
            <rFont val="Tahoma"/>
            <family val="2"/>
          </rPr>
          <t xml:space="preserve">
Begin to include Shreveport.</t>
        </r>
      </text>
    </comment>
  </commentList>
</comments>
</file>

<file path=xl/comments14.xml><?xml version="1.0" encoding="utf-8"?>
<comments xmlns="http://schemas.openxmlformats.org/spreadsheetml/2006/main">
  <authors>
    <author>thallen</author>
    <author>stramark</author>
  </authors>
  <commentList>
    <comment ref="N8" authorId="0">
      <text>
        <r>
          <rPr>
            <b/>
            <sz val="8"/>
            <color indexed="81"/>
            <rFont val="Tahoma"/>
            <family val="2"/>
          </rPr>
          <t>thallen:</t>
        </r>
        <r>
          <rPr>
            <sz val="8"/>
            <color indexed="81"/>
            <rFont val="Tahoma"/>
            <family val="2"/>
          </rPr>
          <t xml:space="preserve">
Consensus Metrix</t>
        </r>
      </text>
    </comment>
    <comment ref="N9" authorId="0">
      <text>
        <r>
          <rPr>
            <b/>
            <sz val="8"/>
            <color indexed="81"/>
            <rFont val="Tahoma"/>
            <family val="2"/>
          </rPr>
          <t>thallen:</t>
        </r>
        <r>
          <rPr>
            <sz val="8"/>
            <color indexed="81"/>
            <rFont val="Tahoma"/>
            <family val="2"/>
          </rPr>
          <t xml:space="preserve">
Consensus Metrix</t>
        </r>
      </text>
    </comment>
    <comment ref="N10" authorId="0">
      <text>
        <r>
          <rPr>
            <b/>
            <sz val="8"/>
            <color indexed="81"/>
            <rFont val="Tahoma"/>
            <family val="2"/>
          </rPr>
          <t>thallen:</t>
        </r>
        <r>
          <rPr>
            <sz val="8"/>
            <color indexed="81"/>
            <rFont val="Tahoma"/>
            <family val="2"/>
          </rPr>
          <t xml:space="preserve">
Consensus Metrix</t>
        </r>
      </text>
    </comment>
    <comment ref="N11" authorId="0">
      <text>
        <r>
          <rPr>
            <b/>
            <sz val="8"/>
            <color indexed="81"/>
            <rFont val="Tahoma"/>
            <family val="2"/>
          </rPr>
          <t>thallen:</t>
        </r>
        <r>
          <rPr>
            <sz val="8"/>
            <color indexed="81"/>
            <rFont val="Tahoma"/>
            <family val="2"/>
          </rPr>
          <t xml:space="preserve">
Consensus Metrix</t>
        </r>
      </text>
    </comment>
    <comment ref="N12" authorId="0">
      <text>
        <r>
          <rPr>
            <b/>
            <sz val="8"/>
            <color indexed="81"/>
            <rFont val="Tahoma"/>
            <family val="2"/>
          </rPr>
          <t>thallen:</t>
        </r>
        <r>
          <rPr>
            <sz val="8"/>
            <color indexed="81"/>
            <rFont val="Tahoma"/>
            <family val="2"/>
          </rPr>
          <t xml:space="preserve">
Consensus Metrix</t>
        </r>
      </text>
    </comment>
    <comment ref="N13" authorId="0">
      <text>
        <r>
          <rPr>
            <b/>
            <sz val="8"/>
            <color indexed="81"/>
            <rFont val="Tahoma"/>
            <family val="2"/>
          </rPr>
          <t>thallen:</t>
        </r>
        <r>
          <rPr>
            <sz val="8"/>
            <color indexed="81"/>
            <rFont val="Tahoma"/>
            <family val="2"/>
          </rPr>
          <t xml:space="preserve">
Consensus Metrix</t>
        </r>
      </text>
    </comment>
    <comment ref="N14" authorId="0">
      <text>
        <r>
          <rPr>
            <b/>
            <sz val="8"/>
            <color indexed="81"/>
            <rFont val="Tahoma"/>
            <family val="2"/>
          </rPr>
          <t>thallen:</t>
        </r>
        <r>
          <rPr>
            <sz val="8"/>
            <color indexed="81"/>
            <rFont val="Tahoma"/>
            <family val="2"/>
          </rPr>
          <t xml:space="preserve">
Thomson</t>
        </r>
      </text>
    </comment>
    <comment ref="N17" authorId="0">
      <text>
        <r>
          <rPr>
            <b/>
            <sz val="8"/>
            <color indexed="81"/>
            <rFont val="Tahoma"/>
            <family val="2"/>
          </rPr>
          <t>thallen:</t>
        </r>
        <r>
          <rPr>
            <sz val="8"/>
            <color indexed="81"/>
            <rFont val="Tahoma"/>
            <family val="2"/>
          </rPr>
          <t xml:space="preserve">
Consensus Metrix</t>
        </r>
      </text>
    </comment>
    <comment ref="N18" authorId="0">
      <text>
        <r>
          <rPr>
            <b/>
            <sz val="8"/>
            <color indexed="81"/>
            <rFont val="Tahoma"/>
            <family val="2"/>
          </rPr>
          <t>thallen:</t>
        </r>
        <r>
          <rPr>
            <sz val="8"/>
            <color indexed="81"/>
            <rFont val="Tahoma"/>
            <family val="2"/>
          </rPr>
          <t xml:space="preserve">
Consensus Metrix</t>
        </r>
      </text>
    </comment>
    <comment ref="N19" authorId="0">
      <text>
        <r>
          <rPr>
            <b/>
            <sz val="8"/>
            <color indexed="81"/>
            <rFont val="Tahoma"/>
            <family val="2"/>
          </rPr>
          <t>thallen:</t>
        </r>
        <r>
          <rPr>
            <sz val="8"/>
            <color indexed="81"/>
            <rFont val="Tahoma"/>
            <family val="2"/>
          </rPr>
          <t xml:space="preserve">
Consensus Metrix</t>
        </r>
      </text>
    </comment>
    <comment ref="N20" authorId="0">
      <text>
        <r>
          <rPr>
            <b/>
            <sz val="8"/>
            <color indexed="81"/>
            <rFont val="Tahoma"/>
            <family val="2"/>
          </rPr>
          <t>thallen:</t>
        </r>
        <r>
          <rPr>
            <sz val="8"/>
            <color indexed="81"/>
            <rFont val="Tahoma"/>
            <family val="2"/>
          </rPr>
          <t xml:space="preserve">
Consensus Metrix</t>
        </r>
      </text>
    </comment>
    <comment ref="N21" authorId="0">
      <text>
        <r>
          <rPr>
            <b/>
            <sz val="8"/>
            <color indexed="81"/>
            <rFont val="Tahoma"/>
            <family val="2"/>
          </rPr>
          <t>thallen:</t>
        </r>
        <r>
          <rPr>
            <sz val="8"/>
            <color indexed="81"/>
            <rFont val="Tahoma"/>
            <family val="2"/>
          </rPr>
          <t xml:space="preserve">
Consensus Metrix</t>
        </r>
      </text>
    </comment>
    <comment ref="N24" authorId="0">
      <text>
        <r>
          <rPr>
            <b/>
            <sz val="8"/>
            <color indexed="81"/>
            <rFont val="Tahoma"/>
            <family val="2"/>
          </rPr>
          <t>thallen:</t>
        </r>
        <r>
          <rPr>
            <sz val="8"/>
            <color indexed="81"/>
            <rFont val="Tahoma"/>
            <family val="2"/>
          </rPr>
          <t xml:space="preserve">
Thomson</t>
        </r>
      </text>
    </comment>
    <comment ref="D29" authorId="1">
      <text>
        <r>
          <rPr>
            <b/>
            <sz val="8"/>
            <color indexed="81"/>
            <rFont val="Tahoma"/>
            <family val="2"/>
          </rPr>
          <t>stramark:</t>
        </r>
        <r>
          <rPr>
            <sz val="8"/>
            <color indexed="81"/>
            <rFont val="Tahoma"/>
            <family val="2"/>
          </rPr>
          <t xml:space="preserve">
Adjusted for AC</t>
        </r>
      </text>
    </comment>
    <comment ref="D32" authorId="1">
      <text>
        <r>
          <rPr>
            <b/>
            <sz val="8"/>
            <color indexed="81"/>
            <rFont val="Tahoma"/>
            <family val="2"/>
          </rPr>
          <t>stramark:</t>
        </r>
        <r>
          <rPr>
            <sz val="8"/>
            <color indexed="81"/>
            <rFont val="Tahoma"/>
            <family val="2"/>
          </rPr>
          <t xml:space="preserve">
Adjusted for AC</t>
        </r>
      </text>
    </comment>
  </commentList>
</comments>
</file>

<file path=xl/comments15.xml><?xml version="1.0" encoding="utf-8"?>
<comments xmlns="http://schemas.openxmlformats.org/spreadsheetml/2006/main">
  <authors>
    <author>AM: 02/20/13</author>
    <author>stramark</author>
  </authors>
  <commentList>
    <comment ref="Q24" authorId="0">
      <text>
        <r>
          <rPr>
            <b/>
            <sz val="8"/>
            <color indexed="81"/>
            <rFont val="Tahoma"/>
            <family val="2"/>
          </rPr>
          <t>AM: 02/20/13:</t>
        </r>
        <r>
          <rPr>
            <sz val="8"/>
            <color indexed="81"/>
            <rFont val="Tahoma"/>
            <family val="2"/>
          </rPr>
          <t xml:space="preserve">
Wholly owned EBITDA guidance (excl AC)</t>
        </r>
      </text>
    </comment>
    <comment ref="D27" authorId="1">
      <text>
        <r>
          <rPr>
            <b/>
            <sz val="8"/>
            <color indexed="81"/>
            <rFont val="Tahoma"/>
            <family val="2"/>
          </rPr>
          <t>stramark:</t>
        </r>
        <r>
          <rPr>
            <sz val="8"/>
            <color indexed="81"/>
            <rFont val="Tahoma"/>
            <family val="2"/>
          </rPr>
          <t xml:space="preserve">
Adjusted for AC</t>
        </r>
      </text>
    </comment>
    <comment ref="D30" authorId="1">
      <text>
        <r>
          <rPr>
            <b/>
            <sz val="8"/>
            <color indexed="81"/>
            <rFont val="Tahoma"/>
            <family val="2"/>
          </rPr>
          <t>stramark:</t>
        </r>
        <r>
          <rPr>
            <sz val="8"/>
            <color indexed="81"/>
            <rFont val="Tahoma"/>
            <family val="2"/>
          </rPr>
          <t xml:space="preserve">
Adjusted for AC</t>
        </r>
      </text>
    </comment>
  </commentList>
</comments>
</file>

<file path=xl/comments16.xml><?xml version="1.0" encoding="utf-8"?>
<comments xmlns="http://schemas.openxmlformats.org/spreadsheetml/2006/main">
  <authors>
    <author>AM: 7/24/12</author>
    <author>stramark</author>
  </authors>
  <commentList>
    <comment ref="Q22" authorId="0">
      <text>
        <r>
          <rPr>
            <b/>
            <sz val="8"/>
            <color indexed="81"/>
            <rFont val="Tahoma"/>
            <family val="2"/>
          </rPr>
          <t>AM: 7/24/12:</t>
        </r>
        <r>
          <rPr>
            <sz val="8"/>
            <color indexed="81"/>
            <rFont val="Tahoma"/>
            <family val="2"/>
          </rPr>
          <t xml:space="preserve">
$77-82m wholly owned (incl corp), $47-49m at Borgata. $124-131m total.</t>
        </r>
      </text>
    </comment>
    <comment ref="D25" authorId="1">
      <text>
        <r>
          <rPr>
            <b/>
            <sz val="8"/>
            <color indexed="81"/>
            <rFont val="Tahoma"/>
            <family val="2"/>
          </rPr>
          <t>stramark:</t>
        </r>
        <r>
          <rPr>
            <sz val="8"/>
            <color indexed="81"/>
            <rFont val="Tahoma"/>
            <family val="2"/>
          </rPr>
          <t xml:space="preserve">
Adjusted for AC</t>
        </r>
      </text>
    </comment>
    <comment ref="D28" authorId="1">
      <text>
        <r>
          <rPr>
            <b/>
            <sz val="8"/>
            <color indexed="81"/>
            <rFont val="Tahoma"/>
            <family val="2"/>
          </rPr>
          <t>stramark:</t>
        </r>
        <r>
          <rPr>
            <sz val="8"/>
            <color indexed="81"/>
            <rFont val="Tahoma"/>
            <family val="2"/>
          </rPr>
          <t xml:space="preserve">
Adjusted for AC</t>
        </r>
      </text>
    </comment>
  </commentList>
</comments>
</file>

<file path=xl/comments17.xml><?xml version="1.0" encoding="utf-8"?>
<comments xmlns="http://schemas.openxmlformats.org/spreadsheetml/2006/main">
  <authors>
    <author>stramark</author>
  </authors>
  <commentList>
    <comment ref="D25" authorId="0">
      <text>
        <r>
          <rPr>
            <b/>
            <sz val="8"/>
            <color indexed="81"/>
            <rFont val="Tahoma"/>
            <family val="2"/>
          </rPr>
          <t>stramark:</t>
        </r>
        <r>
          <rPr>
            <sz val="8"/>
            <color indexed="81"/>
            <rFont val="Tahoma"/>
            <family val="2"/>
          </rPr>
          <t xml:space="preserve">
Adjusted for AC</t>
        </r>
      </text>
    </comment>
    <comment ref="D28" authorId="0">
      <text>
        <r>
          <rPr>
            <b/>
            <sz val="8"/>
            <color indexed="81"/>
            <rFont val="Tahoma"/>
            <family val="2"/>
          </rPr>
          <t>stramark:</t>
        </r>
        <r>
          <rPr>
            <sz val="8"/>
            <color indexed="81"/>
            <rFont val="Tahoma"/>
            <family val="2"/>
          </rPr>
          <t xml:space="preserve">
Adjusted for AC</t>
        </r>
      </text>
    </comment>
  </commentList>
</comments>
</file>

<file path=xl/comments18.xml><?xml version="1.0" encoding="utf-8"?>
<comments xmlns="http://schemas.openxmlformats.org/spreadsheetml/2006/main">
  <authors>
    <author>stramark</author>
    <author>urbankev</author>
  </authors>
  <commentList>
    <comment ref="AR5" authorId="0">
      <text>
        <r>
          <rPr>
            <b/>
            <sz val="8"/>
            <color indexed="81"/>
            <rFont val="Tahoma"/>
            <family val="2"/>
          </rPr>
          <t>stramark:</t>
        </r>
        <r>
          <rPr>
            <sz val="8"/>
            <color indexed="81"/>
            <rFont val="Tahoma"/>
            <family val="2"/>
          </rPr>
          <t xml:space="preserve">
OpCo</t>
        </r>
      </text>
    </comment>
    <comment ref="AS5" authorId="0">
      <text>
        <r>
          <rPr>
            <b/>
            <sz val="8"/>
            <color indexed="81"/>
            <rFont val="Tahoma"/>
            <family val="2"/>
          </rPr>
          <t>stramark:</t>
        </r>
        <r>
          <rPr>
            <sz val="8"/>
            <color indexed="81"/>
            <rFont val="Tahoma"/>
            <family val="2"/>
          </rPr>
          <t xml:space="preserve">
Excludes LandCo</t>
        </r>
      </text>
    </comment>
    <comment ref="AS6" authorId="0">
      <text>
        <r>
          <rPr>
            <b/>
            <sz val="8"/>
            <color indexed="81"/>
            <rFont val="Tahoma"/>
            <family val="2"/>
          </rPr>
          <t>stramark:</t>
        </r>
        <r>
          <rPr>
            <sz val="8"/>
            <color indexed="81"/>
            <rFont val="Tahoma"/>
            <family val="2"/>
          </rPr>
          <t xml:space="preserve">
12/16/09</t>
        </r>
      </text>
    </comment>
    <comment ref="AR14" authorId="0">
      <text>
        <r>
          <rPr>
            <b/>
            <sz val="8"/>
            <color indexed="81"/>
            <rFont val="Tahoma"/>
            <family val="2"/>
          </rPr>
          <t>stramark:</t>
        </r>
        <r>
          <rPr>
            <sz val="8"/>
            <color indexed="81"/>
            <rFont val="Tahoma"/>
            <family val="2"/>
          </rPr>
          <t xml:space="preserve">
Based on fact that they said they wouldn't increase leverage</t>
        </r>
      </text>
    </comment>
    <comment ref="AR18" authorId="0">
      <text>
        <r>
          <rPr>
            <b/>
            <sz val="8"/>
            <color indexed="81"/>
            <rFont val="Tahoma"/>
            <family val="2"/>
          </rPr>
          <t>stramark:</t>
        </r>
        <r>
          <rPr>
            <sz val="8"/>
            <color indexed="81"/>
            <rFont val="Tahoma"/>
            <family val="2"/>
          </rPr>
          <t xml:space="preserve">
Includes 4Q step-up similar to BYD</t>
        </r>
      </text>
    </comment>
    <comment ref="F35" authorId="1">
      <text>
        <r>
          <rPr>
            <b/>
            <sz val="8"/>
            <color indexed="81"/>
            <rFont val="Tahoma"/>
            <family val="2"/>
          </rPr>
          <t>urbankev:</t>
        </r>
        <r>
          <rPr>
            <sz val="8"/>
            <color indexed="81"/>
            <rFont val="Tahoma"/>
            <family val="2"/>
          </rPr>
          <t xml:space="preserve">
estimated</t>
        </r>
      </text>
    </comment>
    <comment ref="AR36" authorId="0">
      <text>
        <r>
          <rPr>
            <b/>
            <sz val="8"/>
            <color indexed="81"/>
            <rFont val="Tahoma"/>
            <family val="2"/>
          </rPr>
          <t>stramark:</t>
        </r>
        <r>
          <rPr>
            <sz val="8"/>
            <color indexed="81"/>
            <rFont val="Tahoma"/>
            <family val="2"/>
          </rPr>
          <t xml:space="preserve">
Includes adjustment for lower margins</t>
        </r>
      </text>
    </comment>
    <comment ref="AS36" authorId="0">
      <text>
        <r>
          <rPr>
            <b/>
            <sz val="8"/>
            <color indexed="81"/>
            <rFont val="Tahoma"/>
            <family val="2"/>
          </rPr>
          <t>stramark:</t>
        </r>
        <r>
          <rPr>
            <sz val="8"/>
            <color indexed="81"/>
            <rFont val="Tahoma"/>
            <family val="2"/>
          </rPr>
          <t xml:space="preserve">
Includes adjustment for lower margins</t>
        </r>
      </text>
    </comment>
    <comment ref="AT36" authorId="0">
      <text>
        <r>
          <rPr>
            <b/>
            <sz val="8"/>
            <color indexed="81"/>
            <rFont val="Tahoma"/>
            <family val="2"/>
          </rPr>
          <t>stramark:</t>
        </r>
        <r>
          <rPr>
            <sz val="8"/>
            <color indexed="81"/>
            <rFont val="Tahoma"/>
            <family val="2"/>
          </rPr>
          <t xml:space="preserve">
Includes adjustment for lower margins</t>
        </r>
      </text>
    </comment>
    <comment ref="AU36" authorId="0">
      <text>
        <r>
          <rPr>
            <b/>
            <sz val="8"/>
            <color indexed="81"/>
            <rFont val="Tahoma"/>
            <family val="2"/>
          </rPr>
          <t>stramark:</t>
        </r>
        <r>
          <rPr>
            <sz val="8"/>
            <color indexed="81"/>
            <rFont val="Tahoma"/>
            <family val="2"/>
          </rPr>
          <t xml:space="preserve">
Includes adjustment for lower margins</t>
        </r>
      </text>
    </comment>
    <comment ref="AV36" authorId="0">
      <text>
        <r>
          <rPr>
            <b/>
            <sz val="8"/>
            <color indexed="81"/>
            <rFont val="Tahoma"/>
            <family val="2"/>
          </rPr>
          <t>stramark:</t>
        </r>
        <r>
          <rPr>
            <sz val="8"/>
            <color indexed="81"/>
            <rFont val="Tahoma"/>
            <family val="2"/>
          </rPr>
          <t xml:space="preserve">
Includes adjustment for lower margins</t>
        </r>
      </text>
    </comment>
    <comment ref="AR37" authorId="0">
      <text>
        <r>
          <rPr>
            <b/>
            <sz val="8"/>
            <color indexed="81"/>
            <rFont val="Tahoma"/>
            <family val="2"/>
          </rPr>
          <t>stramark:</t>
        </r>
        <r>
          <rPr>
            <sz val="8"/>
            <color indexed="81"/>
            <rFont val="Tahoma"/>
            <family val="2"/>
          </rPr>
          <t xml:space="preserve">
Inlcudes one year of interest impact</t>
        </r>
      </text>
    </comment>
  </commentList>
</comments>
</file>

<file path=xl/comments19.xml><?xml version="1.0" encoding="utf-8"?>
<comments xmlns="http://schemas.openxmlformats.org/spreadsheetml/2006/main">
  <authors>
    <author>DJF 12/17/11</author>
  </authors>
  <commentList>
    <comment ref="G70" authorId="0">
      <text>
        <r>
          <rPr>
            <b/>
            <sz val="8"/>
            <color indexed="81"/>
            <rFont val="Tahoma"/>
            <family val="2"/>
          </rPr>
          <t>DJF 12/17/11:</t>
        </r>
        <r>
          <rPr>
            <sz val="8"/>
            <color indexed="81"/>
            <rFont val="Tahoma"/>
            <family val="2"/>
          </rPr>
          <t xml:space="preserve">
(a) with respect to any Class A Revolving Loan, Class A Revolving Commitment, Term Loan or Letter of Credit Fee payable on account of a Class A Revolving Commitment, the following rates per annum (expressed in basis points), based upon the Total Leverage Ratio as set forth below: </t>
        </r>
      </text>
    </comment>
    <comment ref="G82" authorId="0">
      <text>
        <r>
          <rPr>
            <b/>
            <sz val="8"/>
            <color indexed="81"/>
            <rFont val="Tahoma"/>
            <family val="2"/>
          </rPr>
          <t>DJF 12/17/11:</t>
        </r>
        <r>
          <rPr>
            <sz val="8"/>
            <color indexed="81"/>
            <rFont val="Tahoma"/>
            <family val="2"/>
          </rPr>
          <t xml:space="preserve">
(b) with respect to any Class B Revolving Loan, Class B Revolving Commitment or Letter of Credit Fee payable on account of a Class B Revolving Commitment, the following rates per annum (expressed in basis points), based upon the Total Leverage Ratio as set forth below: </t>
        </r>
      </text>
    </comment>
    <comment ref="Q101" authorId="0">
      <text>
        <r>
          <rPr>
            <b/>
            <sz val="8"/>
            <color indexed="81"/>
            <rFont val="Tahoma"/>
            <family val="2"/>
          </rPr>
          <t>DJF 12/19/11:</t>
        </r>
        <r>
          <rPr>
            <sz val="8"/>
            <color indexed="81"/>
            <rFont val="Tahoma"/>
            <family val="2"/>
          </rPr>
          <t xml:space="preserve">
"Excluded Property"</t>
        </r>
      </text>
    </comment>
  </commentList>
</comments>
</file>

<file path=xl/comments20.xml><?xml version="1.0" encoding="utf-8"?>
<comments xmlns="http://schemas.openxmlformats.org/spreadsheetml/2006/main">
  <authors>
    <author>stramark</author>
  </authors>
  <commentList>
    <comment ref="D25" authorId="0">
      <text>
        <r>
          <rPr>
            <b/>
            <sz val="8"/>
            <color indexed="81"/>
            <rFont val="Tahoma"/>
            <family val="2"/>
          </rPr>
          <t>stramark:</t>
        </r>
        <r>
          <rPr>
            <sz val="8"/>
            <color indexed="81"/>
            <rFont val="Tahoma"/>
            <family val="2"/>
          </rPr>
          <t xml:space="preserve">
Adjusted for AC</t>
        </r>
      </text>
    </comment>
    <comment ref="D28" authorId="0">
      <text>
        <r>
          <rPr>
            <b/>
            <sz val="8"/>
            <color indexed="81"/>
            <rFont val="Tahoma"/>
            <family val="2"/>
          </rPr>
          <t>stramark:</t>
        </r>
        <r>
          <rPr>
            <sz val="8"/>
            <color indexed="81"/>
            <rFont val="Tahoma"/>
            <family val="2"/>
          </rPr>
          <t xml:space="preserve">
Adjusted for AC</t>
        </r>
      </text>
    </comment>
  </commentList>
</comments>
</file>

<file path=xl/comments21.xml><?xml version="1.0" encoding="utf-8"?>
<comments xmlns="http://schemas.openxmlformats.org/spreadsheetml/2006/main">
  <authors>
    <author>stramark</author>
  </authors>
  <commentList>
    <comment ref="D25" authorId="0">
      <text>
        <r>
          <rPr>
            <b/>
            <sz val="8"/>
            <color indexed="81"/>
            <rFont val="Tahoma"/>
            <family val="2"/>
          </rPr>
          <t>stramark:</t>
        </r>
        <r>
          <rPr>
            <sz val="8"/>
            <color indexed="81"/>
            <rFont val="Tahoma"/>
            <family val="2"/>
          </rPr>
          <t xml:space="preserve">
Adjusted for AC</t>
        </r>
      </text>
    </comment>
    <comment ref="D28" authorId="0">
      <text>
        <r>
          <rPr>
            <b/>
            <sz val="8"/>
            <color indexed="81"/>
            <rFont val="Tahoma"/>
            <family val="2"/>
          </rPr>
          <t>stramark:</t>
        </r>
        <r>
          <rPr>
            <sz val="8"/>
            <color indexed="81"/>
            <rFont val="Tahoma"/>
            <family val="2"/>
          </rPr>
          <t xml:space="preserve">
Adjusted for AC</t>
        </r>
      </text>
    </comment>
  </commentList>
</comments>
</file>

<file path=xl/comments22.xml><?xml version="1.0" encoding="utf-8"?>
<comments xmlns="http://schemas.openxmlformats.org/spreadsheetml/2006/main">
  <authors>
    <author>stramark</author>
  </authors>
  <commentList>
    <comment ref="D25" authorId="0">
      <text>
        <r>
          <rPr>
            <b/>
            <sz val="8"/>
            <color indexed="81"/>
            <rFont val="Tahoma"/>
            <family val="2"/>
          </rPr>
          <t>stramark:</t>
        </r>
        <r>
          <rPr>
            <sz val="8"/>
            <color indexed="81"/>
            <rFont val="Tahoma"/>
            <family val="2"/>
          </rPr>
          <t xml:space="preserve">
Adjusted for AC</t>
        </r>
      </text>
    </comment>
    <comment ref="D28" authorId="0">
      <text>
        <r>
          <rPr>
            <b/>
            <sz val="8"/>
            <color indexed="81"/>
            <rFont val="Tahoma"/>
            <family val="2"/>
          </rPr>
          <t>stramark:</t>
        </r>
        <r>
          <rPr>
            <sz val="8"/>
            <color indexed="81"/>
            <rFont val="Tahoma"/>
            <family val="2"/>
          </rPr>
          <t xml:space="preserve">
Adjusted for AC</t>
        </r>
      </text>
    </comment>
  </commentList>
</comments>
</file>

<file path=xl/comments23.xml><?xml version="1.0" encoding="utf-8"?>
<comments xmlns="http://schemas.openxmlformats.org/spreadsheetml/2006/main">
  <authors>
    <author>stramark</author>
  </authors>
  <commentList>
    <comment ref="D24" authorId="0">
      <text>
        <r>
          <rPr>
            <b/>
            <sz val="8"/>
            <color indexed="81"/>
            <rFont val="Tahoma"/>
            <family val="2"/>
          </rPr>
          <t>stramark:</t>
        </r>
        <r>
          <rPr>
            <sz val="8"/>
            <color indexed="81"/>
            <rFont val="Tahoma"/>
            <family val="2"/>
          </rPr>
          <t xml:space="preserve">
Adjusted for AC</t>
        </r>
      </text>
    </comment>
    <comment ref="D27" authorId="0">
      <text>
        <r>
          <rPr>
            <b/>
            <sz val="8"/>
            <color indexed="81"/>
            <rFont val="Tahoma"/>
            <family val="2"/>
          </rPr>
          <t>stramark:</t>
        </r>
        <r>
          <rPr>
            <sz val="8"/>
            <color indexed="81"/>
            <rFont val="Tahoma"/>
            <family val="2"/>
          </rPr>
          <t xml:space="preserve">
Adjusted for AC</t>
        </r>
      </text>
    </comment>
  </commentList>
</comments>
</file>

<file path=xl/comments24.xml><?xml version="1.0" encoding="utf-8"?>
<comments xmlns="http://schemas.openxmlformats.org/spreadsheetml/2006/main">
  <authors>
    <author>stramark</author>
  </authors>
  <commentList>
    <comment ref="D24" authorId="0">
      <text>
        <r>
          <rPr>
            <b/>
            <sz val="8"/>
            <color indexed="81"/>
            <rFont val="Tahoma"/>
            <family val="2"/>
          </rPr>
          <t>stramark:</t>
        </r>
        <r>
          <rPr>
            <sz val="8"/>
            <color indexed="81"/>
            <rFont val="Tahoma"/>
            <family val="2"/>
          </rPr>
          <t xml:space="preserve">
Adjusted for AC</t>
        </r>
      </text>
    </comment>
    <comment ref="D27" authorId="0">
      <text>
        <r>
          <rPr>
            <b/>
            <sz val="8"/>
            <color indexed="81"/>
            <rFont val="Tahoma"/>
            <family val="2"/>
          </rPr>
          <t>stramark:</t>
        </r>
        <r>
          <rPr>
            <sz val="8"/>
            <color indexed="81"/>
            <rFont val="Tahoma"/>
            <family val="2"/>
          </rPr>
          <t xml:space="preserve">
Adjusted for AC</t>
        </r>
      </text>
    </comment>
  </commentList>
</comments>
</file>

<file path=xl/comments25.xml><?xml version="1.0" encoding="utf-8"?>
<comments xmlns="http://schemas.openxmlformats.org/spreadsheetml/2006/main">
  <authors>
    <author>stramark</author>
  </authors>
  <commentList>
    <comment ref="D24" authorId="0">
      <text>
        <r>
          <rPr>
            <b/>
            <sz val="8"/>
            <color indexed="81"/>
            <rFont val="Tahoma"/>
            <family val="2"/>
          </rPr>
          <t>stramark:</t>
        </r>
        <r>
          <rPr>
            <sz val="8"/>
            <color indexed="81"/>
            <rFont val="Tahoma"/>
            <family val="2"/>
          </rPr>
          <t xml:space="preserve">
Adjusted for AC</t>
        </r>
      </text>
    </comment>
    <comment ref="D27" authorId="0">
      <text>
        <r>
          <rPr>
            <b/>
            <sz val="8"/>
            <color indexed="81"/>
            <rFont val="Tahoma"/>
            <family val="2"/>
          </rPr>
          <t>stramark:</t>
        </r>
        <r>
          <rPr>
            <sz val="8"/>
            <color indexed="81"/>
            <rFont val="Tahoma"/>
            <family val="2"/>
          </rPr>
          <t xml:space="preserve">
Adjusted for AC</t>
        </r>
      </text>
    </comment>
  </commentList>
</comments>
</file>

<file path=xl/comments26.xml><?xml version="1.0" encoding="utf-8"?>
<comments xmlns="http://schemas.openxmlformats.org/spreadsheetml/2006/main">
  <authors>
    <author>stramark</author>
  </authors>
  <commentList>
    <comment ref="D24" authorId="0">
      <text>
        <r>
          <rPr>
            <b/>
            <sz val="8"/>
            <color indexed="81"/>
            <rFont val="Tahoma"/>
            <family val="2"/>
          </rPr>
          <t>stramark:</t>
        </r>
        <r>
          <rPr>
            <sz val="8"/>
            <color indexed="81"/>
            <rFont val="Tahoma"/>
            <family val="2"/>
          </rPr>
          <t xml:space="preserve">
Adjusted for AC</t>
        </r>
      </text>
    </comment>
    <comment ref="D27" authorId="0">
      <text>
        <r>
          <rPr>
            <b/>
            <sz val="8"/>
            <color indexed="81"/>
            <rFont val="Tahoma"/>
            <family val="2"/>
          </rPr>
          <t>stramark:</t>
        </r>
        <r>
          <rPr>
            <sz val="8"/>
            <color indexed="81"/>
            <rFont val="Tahoma"/>
            <family val="2"/>
          </rPr>
          <t xml:space="preserve">
Adjusted for AC</t>
        </r>
      </text>
    </comment>
  </commentList>
</comments>
</file>

<file path=xl/comments27.xml><?xml version="1.0" encoding="utf-8"?>
<comments xmlns="http://schemas.openxmlformats.org/spreadsheetml/2006/main">
  <authors>
    <author>stramark</author>
  </authors>
  <commentList>
    <comment ref="D24" authorId="0">
      <text>
        <r>
          <rPr>
            <b/>
            <sz val="8"/>
            <color indexed="81"/>
            <rFont val="Tahoma"/>
            <family val="2"/>
          </rPr>
          <t>stramark:</t>
        </r>
        <r>
          <rPr>
            <sz val="8"/>
            <color indexed="81"/>
            <rFont val="Tahoma"/>
            <family val="2"/>
          </rPr>
          <t xml:space="preserve">
Adjusted for AC</t>
        </r>
      </text>
    </comment>
    <comment ref="D27" authorId="0">
      <text>
        <r>
          <rPr>
            <b/>
            <sz val="8"/>
            <color indexed="81"/>
            <rFont val="Tahoma"/>
            <family val="2"/>
          </rPr>
          <t>stramark:</t>
        </r>
        <r>
          <rPr>
            <sz val="8"/>
            <color indexed="81"/>
            <rFont val="Tahoma"/>
            <family val="2"/>
          </rPr>
          <t xml:space="preserve">
Adjusted for AC</t>
        </r>
      </text>
    </comment>
  </commentList>
</comments>
</file>

<file path=xl/sharedStrings.xml><?xml version="1.0" encoding="utf-8"?>
<sst xmlns="http://schemas.openxmlformats.org/spreadsheetml/2006/main" count="13403" uniqueCount="2378">
  <si>
    <t>Thomson Reuters Consensus (as of 4/23/13)</t>
  </si>
  <si>
    <t>$159-166</t>
  </si>
  <si>
    <t>(0.02)-0.03</t>
  </si>
  <si>
    <t>$132-137</t>
  </si>
  <si>
    <t>$27-29</t>
  </si>
  <si>
    <t>$(0.02)-0.03</t>
  </si>
  <si>
    <t>2Q13 consensus revenue / EBITDA</t>
  </si>
  <si>
    <t>Revenue</t>
  </si>
  <si>
    <t>% gaming revenue growth</t>
  </si>
  <si>
    <t xml:space="preserve">Comparable Valuation EBITDA </t>
  </si>
  <si>
    <t>($US in millions)</t>
  </si>
  <si>
    <t>Total BYD Parent Sources</t>
  </si>
  <si>
    <t>Locals Revenue</t>
  </si>
  <si>
    <t>Cash Flow</t>
  </si>
  <si>
    <t>Fully diluted shares outstanding</t>
  </si>
  <si>
    <t>Current price</t>
  </si>
  <si>
    <t>% upside / (downside)</t>
  </si>
  <si>
    <t>EV</t>
  </si>
  <si>
    <t>Plus/Minus: Share of Borgata debt</t>
  </si>
  <si>
    <t>Treasure Chest</t>
  </si>
  <si>
    <t>Delta Downs</t>
  </si>
  <si>
    <t>Total Net Revenues</t>
  </si>
  <si>
    <t>Total Net Revenue</t>
  </si>
  <si>
    <t>3Q12</t>
  </si>
  <si>
    <t>9.25% Senior Notes due 2009</t>
  </si>
  <si>
    <t>Impact on Valuation</t>
  </si>
  <si>
    <t>Equity %</t>
  </si>
  <si>
    <t>(US$ millions)</t>
  </si>
  <si>
    <t>NJ Online Opportunity</t>
  </si>
  <si>
    <t>Borgata Share</t>
  </si>
  <si>
    <t>BYD Borgata Ownership</t>
  </si>
  <si>
    <t>Total Adjusted NOPAT</t>
  </si>
  <si>
    <t>Invested Capital</t>
  </si>
  <si>
    <t>+ Total debt</t>
  </si>
  <si>
    <t>+ Total shareholders' equity</t>
  </si>
  <si>
    <t>+ Total preferred</t>
  </si>
  <si>
    <t>+ Other liabilities</t>
  </si>
  <si>
    <t>+/- Cumulative non-recurring items</t>
  </si>
  <si>
    <t>ROIC</t>
  </si>
  <si>
    <t>WACC</t>
  </si>
  <si>
    <t>ROIC - WACC</t>
  </si>
  <si>
    <t>Increase (decrease) in swap value</t>
  </si>
  <si>
    <t>Cumulative impact to Equity</t>
  </si>
  <si>
    <t>Incremental</t>
  </si>
  <si>
    <t>Ending Debt</t>
  </si>
  <si>
    <t>Less: Interest Expense</t>
  </si>
  <si>
    <t>Regional / AC upside</t>
  </si>
  <si>
    <t>Gaming Taxes (assumes 70% casino revenue)</t>
  </si>
  <si>
    <t>Implied Gaming Taxes (assumes 70% revs Gaming)</t>
  </si>
  <si>
    <t>27-29</t>
  </si>
  <si>
    <t>% Growth (y-o-y, ex. Peninsula / online)</t>
  </si>
  <si>
    <t>- Investments in joint ventures</t>
  </si>
  <si>
    <t>&gt;250</t>
  </si>
  <si>
    <t>2011E</t>
  </si>
  <si>
    <t>2012E</t>
  </si>
  <si>
    <t>2013E</t>
  </si>
  <si>
    <t>% Margin</t>
  </si>
  <si>
    <t>% increase in EV</t>
  </si>
  <si>
    <t>2008m7</t>
  </si>
  <si>
    <t>2008m8</t>
  </si>
  <si>
    <t>2008m9</t>
  </si>
  <si>
    <t>2008m10</t>
  </si>
  <si>
    <t>2008m11</t>
  </si>
  <si>
    <t>2008m12</t>
  </si>
  <si>
    <t>2009m1</t>
  </si>
  <si>
    <t>2009m2</t>
  </si>
  <si>
    <t>2009m3</t>
  </si>
  <si>
    <t>2009m4</t>
  </si>
  <si>
    <t>2009m5</t>
  </si>
  <si>
    <t>2009m6</t>
  </si>
  <si>
    <t>2009m7</t>
  </si>
  <si>
    <t>Total Taxes (excl. admission)</t>
  </si>
  <si>
    <t>$150-157</t>
  </si>
  <si>
    <t>Net Operating Losses</t>
  </si>
  <si>
    <t>NOLs - BoP</t>
  </si>
  <si>
    <t>Uses</t>
  </si>
  <si>
    <t>NOLs - EoP</t>
  </si>
  <si>
    <t>(0.10)-(0.05)</t>
  </si>
  <si>
    <t>Plus: Assumed Bond Refinancings</t>
  </si>
  <si>
    <t>Parent Uses</t>
  </si>
  <si>
    <t>Non-extending Credit Facility</t>
  </si>
  <si>
    <t>IP Acquisition</t>
  </si>
  <si>
    <t>Total Parent Uses</t>
  </si>
  <si>
    <t>Excess Parent Cash (incl. refi)</t>
  </si>
  <si>
    <t>Other Revenue as % of Casino Revenue</t>
  </si>
  <si>
    <t>Revenue/admission</t>
  </si>
  <si>
    <t>BYD Spend/Visit</t>
  </si>
  <si>
    <t>PENN Acquires OpCo</t>
  </si>
  <si>
    <t>Incremental EBITDA to PENN</t>
  </si>
  <si>
    <t>PENN Multiple</t>
  </si>
  <si>
    <t>Plus: Corporate Synergies</t>
  </si>
  <si>
    <t>Plus: Operational Synergies</t>
  </si>
  <si>
    <t>Existing PENN Debt</t>
  </si>
  <si>
    <t>PENN EBITDA</t>
  </si>
  <si>
    <t>New Debt Issued</t>
  </si>
  <si>
    <t>Incremental Enterprise Value</t>
  </si>
  <si>
    <t>Plus: Existing GLPI Enterprise Value</t>
  </si>
  <si>
    <t>Total GLPI Enterprise Value</t>
  </si>
  <si>
    <t>Less: GLPI Existing Debt</t>
  </si>
  <si>
    <t>Less: New Debt Issued</t>
  </si>
  <si>
    <t>Plus: Cash</t>
  </si>
  <si>
    <t>PF Equity Value</t>
  </si>
  <si>
    <t>Current PT (before acquisition benefit)</t>
  </si>
  <si>
    <t>Accretion / (Dilution)</t>
  </si>
  <si>
    <t>PF Cash</t>
  </si>
  <si>
    <t>Incremental PENN Enterprise Value</t>
  </si>
  <si>
    <t>Plus: Existing PENN Enterprise Value</t>
  </si>
  <si>
    <t>Total PENN Enterprise Value</t>
  </si>
  <si>
    <t>Less: PENN Existing Debt</t>
  </si>
  <si>
    <t>Current PT</t>
  </si>
  <si>
    <t>Total Purchase Price</t>
  </si>
  <si>
    <t>Less: Existing BYD Debt</t>
  </si>
  <si>
    <t>Total Value to BYD Shareholders</t>
  </si>
  <si>
    <t>Shares Outstanding</t>
  </si>
  <si>
    <t>Value per BYD Share</t>
  </si>
  <si>
    <t>Total Consideration to BYD Shareholders</t>
  </si>
  <si>
    <t>BYD Total Value</t>
  </si>
  <si>
    <t>Online Gaming by Operator</t>
  </si>
  <si>
    <t>2017E Market Size</t>
  </si>
  <si>
    <t>Discounted back 2yrs @ 15%</t>
  </si>
  <si>
    <t>Value per Share</t>
  </si>
  <si>
    <t>BYD Value per Share</t>
  </si>
  <si>
    <t>MGM Value per Share</t>
  </si>
  <si>
    <t>BYD Direct NPV per Share</t>
  </si>
  <si>
    <t>BYD JV NPV per Share</t>
  </si>
  <si>
    <t>BYD Direct NPV (adjusted for Borgata ownership)</t>
  </si>
  <si>
    <t>JV NPV Attributed to BYD (10%)</t>
  </si>
  <si>
    <t>New Jersey Taxes</t>
  </si>
  <si>
    <t xml:space="preserve">  % Gaming Tax</t>
  </si>
  <si>
    <t>Gaming Tax</t>
  </si>
  <si>
    <t>Non-controlling interest</t>
  </si>
  <si>
    <t>Less: Op income from Borgata</t>
  </si>
  <si>
    <t>Screwed up because of Borgata consolidation</t>
  </si>
  <si>
    <t>2005m10</t>
  </si>
  <si>
    <t>2005m11</t>
  </si>
  <si>
    <t>2005m12</t>
  </si>
  <si>
    <t>2006m1</t>
  </si>
  <si>
    <t>2006m2</t>
  </si>
  <si>
    <t>2006m3</t>
  </si>
  <si>
    <t>2006m4</t>
  </si>
  <si>
    <t>2006m5</t>
  </si>
  <si>
    <t>2006m6</t>
  </si>
  <si>
    <t>2006m7</t>
  </si>
  <si>
    <t>2006m8</t>
  </si>
  <si>
    <t>2006m9</t>
  </si>
  <si>
    <t>2006m10</t>
  </si>
  <si>
    <t>Other % of Casino Revenues</t>
  </si>
  <si>
    <t>Ex IP EBITDA</t>
  </si>
  <si>
    <t>EX IP Expenses</t>
  </si>
  <si>
    <t>Statutory tax rate</t>
  </si>
  <si>
    <t>BYD.N,mscalc:targetPrice</t>
  </si>
  <si>
    <t>$N$2</t>
  </si>
  <si>
    <t>California Hotel and Casino</t>
  </si>
  <si>
    <t>Fremont Hotel and Casino</t>
  </si>
  <si>
    <t>Main Street Station</t>
  </si>
  <si>
    <t>Sam's Town Shreveport</t>
  </si>
  <si>
    <t>BYD EBITDA (consolidated)</t>
  </si>
  <si>
    <t>152-162</t>
  </si>
  <si>
    <t>145-155</t>
  </si>
  <si>
    <t>140-150</t>
  </si>
  <si>
    <t>135-145</t>
  </si>
  <si>
    <t>198-205</t>
  </si>
  <si>
    <t>193-200</t>
  </si>
  <si>
    <t>165-175</t>
  </si>
  <si>
    <t>155-165</t>
  </si>
  <si>
    <t>150-160</t>
  </si>
  <si>
    <t>157-167</t>
  </si>
  <si>
    <t>Total Slots</t>
  </si>
  <si>
    <t>Total Tables</t>
  </si>
  <si>
    <t>Liabilities</t>
  </si>
  <si>
    <t>Total Shareholders' Equity</t>
  </si>
  <si>
    <t>8</t>
  </si>
  <si>
    <t>Distribution received from Borgata</t>
  </si>
  <si>
    <t>Asset writedowns</t>
  </si>
  <si>
    <t>Lake Mead</t>
  </si>
  <si>
    <t>Barley's</t>
  </si>
  <si>
    <t xml:space="preserve">The Greens </t>
  </si>
  <si>
    <t>Wildfire Lanes</t>
  </si>
  <si>
    <t>Property EBITDA Margins</t>
  </si>
  <si>
    <t>Multiple Downside</t>
  </si>
  <si>
    <t>Multiple Upside</t>
  </si>
  <si>
    <t>Interest Expense</t>
  </si>
  <si>
    <t>Positions</t>
  </si>
  <si>
    <t>Slots</t>
  </si>
  <si>
    <t>Tables</t>
  </si>
  <si>
    <t>Shreveport</t>
  </si>
  <si>
    <t>Total %</t>
  </si>
  <si>
    <t>TOTAL</t>
  </si>
  <si>
    <t>Plus: Stock Compensation</t>
  </si>
  <si>
    <t>Less: Capex</t>
  </si>
  <si>
    <t>Less: Changes in wc</t>
  </si>
  <si>
    <t>Present value factor</t>
  </si>
  <si>
    <t>ASCA stock price</t>
  </si>
  <si>
    <t>BYD Assumptions</t>
  </si>
  <si>
    <t>Transaction assumptions</t>
  </si>
  <si>
    <t>Transaction multiple</t>
  </si>
  <si>
    <t>Implied transaction value</t>
  </si>
  <si>
    <t>Implied take-out share price</t>
  </si>
  <si>
    <t>Implied equity value</t>
  </si>
  <si>
    <t>Total Positions</t>
  </si>
  <si>
    <t>EPS</t>
  </si>
  <si>
    <t>Deferred rent expense</t>
  </si>
  <si>
    <t>Depreciation and amortization</t>
  </si>
  <si>
    <t>Interest income</t>
  </si>
  <si>
    <t>Preopening expenses &amp; one-time Items</t>
  </si>
  <si>
    <t>Tax benefit (expense)</t>
  </si>
  <si>
    <t>BYD wholly-owned same-store (this year)</t>
  </si>
  <si>
    <t>BYD wholly-owned same-store last year)</t>
  </si>
  <si>
    <t>COAST</t>
  </si>
  <si>
    <t>LV Locals Margins</t>
  </si>
  <si>
    <t>Historical Peak</t>
  </si>
  <si>
    <t>% of Peak Level</t>
  </si>
  <si>
    <t>Adjusted Total EBITDA (50% of Borgata)</t>
  </si>
  <si>
    <t>Adjusted Total Revenues (50% of Borgata)</t>
  </si>
  <si>
    <t>Adjusted EBITDA Margin</t>
  </si>
  <si>
    <t>2014E</t>
  </si>
  <si>
    <t>1Q09</t>
  </si>
  <si>
    <t>Implied Terminal FCF Multiple</t>
  </si>
  <si>
    <t>Casino Revenue/Day/Position</t>
  </si>
  <si>
    <t>Income Taxes</t>
  </si>
  <si>
    <t>Peninsula PF debt</t>
  </si>
  <si>
    <t>Peninsula PF leverage</t>
  </si>
  <si>
    <t>Boyd Gaming Corporation</t>
  </si>
  <si>
    <t>Total Property EBITDA</t>
  </si>
  <si>
    <t>Total Hotel Rooms</t>
  </si>
  <si>
    <t>Property Statistics (wholly-owned)</t>
  </si>
  <si>
    <t>- Maintenance capex</t>
  </si>
  <si>
    <t>- Growth capex</t>
  </si>
  <si>
    <t>4Q11A</t>
  </si>
  <si>
    <t>7.125% Senior Subordinated Notes due 2016</t>
  </si>
  <si>
    <t>North LV Locals Debt</t>
  </si>
  <si>
    <t>Other Long-Term Debt</t>
  </si>
  <si>
    <t>Capitalized Interest</t>
  </si>
  <si>
    <t>LIBOR</t>
  </si>
  <si>
    <t>Interest on Revolver</t>
  </si>
  <si>
    <t>EBITDA Valuation Summary</t>
  </si>
  <si>
    <t>9.125% Senior Subordinated Notes due 2018</t>
  </si>
  <si>
    <t>- Acquisitions / dispositions / debt amort</t>
  </si>
  <si>
    <t>Minimum EBITDA</t>
  </si>
  <si>
    <t>Quarterly Covenant EBITDA</t>
  </si>
  <si>
    <t>Compliance</t>
  </si>
  <si>
    <t>Covenant Analysis &amp; Credit Metrics</t>
  </si>
  <si>
    <t>All US Regional Markets</t>
  </si>
  <si>
    <t>Total Regional (BYD licensed)</t>
  </si>
  <si>
    <t>Gun Lake</t>
  </si>
  <si>
    <t>WW West</t>
  </si>
  <si>
    <t>LV locals</t>
  </si>
  <si>
    <t>CA</t>
  </si>
  <si>
    <t>Reno</t>
  </si>
  <si>
    <t>Land (acres)</t>
  </si>
  <si>
    <t>Bid</t>
  </si>
  <si>
    <t>Implied LTM multiple</t>
  </si>
  <si>
    <t>Implied LTM RR multiple</t>
  </si>
  <si>
    <t>Y/Y Change</t>
  </si>
  <si>
    <t>Debt to Valuation EBITDA</t>
  </si>
  <si>
    <t>Net Debt to Valuation EBITDA</t>
  </si>
  <si>
    <t>Leverage Ratio</t>
  </si>
  <si>
    <t>LTM Covenant EBITDA</t>
  </si>
  <si>
    <t>=</t>
  </si>
  <si>
    <t>Dividend</t>
  </si>
  <si>
    <t>Senior secured notes due 2015</t>
  </si>
  <si>
    <t>Senior secured notes due 2018</t>
  </si>
  <si>
    <t>Unemployment in BYD's Market Segments</t>
  </si>
  <si>
    <t>% of BYD</t>
  </si>
  <si>
    <t>Borgata Project</t>
  </si>
  <si>
    <t>Borgata Maintenance</t>
  </si>
  <si>
    <t>BYD Consolidated FCF</t>
  </si>
  <si>
    <t>Borgata Net FCF</t>
  </si>
  <si>
    <t>BYD Wholly Owned</t>
  </si>
  <si>
    <t>Year end</t>
  </si>
  <si>
    <t>Net FCF Attributable to BYD</t>
  </si>
  <si>
    <t>EBITDA Margin</t>
  </si>
  <si>
    <t>Midwest / South</t>
  </si>
  <si>
    <t>Atlantic City</t>
  </si>
  <si>
    <t>3Q13A</t>
  </si>
  <si>
    <t>Deferred income taxes</t>
  </si>
  <si>
    <t>Segment/Property</t>
  </si>
  <si>
    <t>Hawaii</t>
  </si>
  <si>
    <t>Las Vegas</t>
  </si>
  <si>
    <t>Middle Atlantic</t>
  </si>
  <si>
    <t>Borgata (NJ)</t>
  </si>
  <si>
    <t>Bank Credit Facility (non-extended)</t>
  </si>
  <si>
    <t>Income Statement - Borgata</t>
  </si>
  <si>
    <t>Net Fixed Assets</t>
  </si>
  <si>
    <t>Target</t>
  </si>
  <si>
    <t>Interest Earned on Cash</t>
  </si>
  <si>
    <t>Property</t>
  </si>
  <si>
    <t>3Q14A</t>
  </si>
  <si>
    <t>3Q14</t>
  </si>
  <si>
    <t>Impact of Deconsolidation</t>
  </si>
  <si>
    <t>BYD share of Borgata operating costs</t>
  </si>
  <si>
    <t>BYD share of non-operating expenses</t>
  </si>
  <si>
    <t>Equity Investment in Borgata (on-ground)</t>
  </si>
  <si>
    <t>Equity Investment in Borgata (online)</t>
  </si>
  <si>
    <t>Total Equity Investment in Borgata</t>
  </si>
  <si>
    <t>$590-600</t>
  </si>
  <si>
    <t>$576-586</t>
  </si>
  <si>
    <t>Guidance: Adjusted EBITDA as previously reported</t>
  </si>
  <si>
    <t>Memo: EBITDA as previously reported</t>
  </si>
  <si>
    <t>Guidance: Adjusted EBITDA post Borgata deconsolidation</t>
  </si>
  <si>
    <t>Comparable EBITDA to Guidance (pre-Borgata consolidation)</t>
  </si>
  <si>
    <t>BYD Share of Borgata opex (D&amp;A and 1x items)</t>
  </si>
  <si>
    <t>Non-operating expenses from Borgata (interest expense)</t>
  </si>
  <si>
    <t>Other opex plug</t>
  </si>
  <si>
    <t>Online Gaming (ex Borgata)</t>
  </si>
  <si>
    <t>Online Gaming (Borgata)</t>
  </si>
  <si>
    <t>Online Gaming (ex. Borgata)</t>
  </si>
  <si>
    <t>y/y growth (ex Borgata)</t>
  </si>
  <si>
    <t>Revolving Facility</t>
  </si>
  <si>
    <t>Total Debt</t>
  </si>
  <si>
    <t>Total</t>
  </si>
  <si>
    <t xml:space="preserve">  Ownership %</t>
  </si>
  <si>
    <t>Intangible assets and goodwill, net</t>
  </si>
  <si>
    <t>Accounts payable</t>
  </si>
  <si>
    <t>Construction payables</t>
  </si>
  <si>
    <t>Consolidated includes Major LV Operations and 100% of Green Valley Ranch (although only 50% owned).</t>
  </si>
  <si>
    <t>Corporate Expenses</t>
  </si>
  <si>
    <t>M</t>
  </si>
  <si>
    <t>Interest rate grid</t>
  </si>
  <si>
    <t xml:space="preserve">Leverage </t>
  </si>
  <si>
    <t>&lt;3.5</t>
  </si>
  <si>
    <t>L +</t>
  </si>
  <si>
    <t>&lt;4</t>
  </si>
  <si>
    <t>&lt;4.5</t>
  </si>
  <si>
    <t>&lt;5.0</t>
  </si>
  <si>
    <t>&lt;5.5</t>
  </si>
  <si>
    <t>&gt;5.5</t>
  </si>
  <si>
    <t>9.25% Senior Notes due August 2009</t>
  </si>
  <si>
    <t>Market Value of Interest Rate Swaps &amp; Other</t>
  </si>
  <si>
    <t>Borgata Distribution to BYD</t>
  </si>
  <si>
    <t>+/- Working capital</t>
  </si>
  <si>
    <t>Not Fully Updated</t>
  </si>
  <si>
    <t>+/- Deferred taxes</t>
  </si>
  <si>
    <t>Total Interest Expense</t>
  </si>
  <si>
    <t>Bank Credit Facility (pre-2007 refinance)</t>
  </si>
  <si>
    <t>2012 Comm.</t>
  </si>
  <si>
    <t>Casino Revs</t>
  </si>
  <si>
    <t>States MGM is in:</t>
  </si>
  <si>
    <t>MI</t>
  </si>
  <si>
    <t>IL</t>
  </si>
  <si>
    <t>NJ</t>
  </si>
  <si>
    <t>Less: Peninsula Interest Expense</t>
  </si>
  <si>
    <t>2Q05</t>
  </si>
  <si>
    <t xml:space="preserve">                </t>
  </si>
  <si>
    <t>Minimum EBITDA Covenant</t>
  </si>
  <si>
    <t>Net Debt</t>
  </si>
  <si>
    <t>Debt / EBITDA</t>
  </si>
  <si>
    <t>Interest Coverage</t>
  </si>
  <si>
    <t>Net Debt / EBITDA</t>
  </si>
  <si>
    <t>MS Estimate</t>
  </si>
  <si>
    <t>1. Total Leverage Ratio</t>
  </si>
  <si>
    <t>Minimum</t>
  </si>
  <si>
    <t>2. Secured Leverage</t>
  </si>
  <si>
    <t>1Q13E</t>
  </si>
  <si>
    <t>2Q13E</t>
  </si>
  <si>
    <t>3Q13E</t>
  </si>
  <si>
    <t>4Q13E</t>
  </si>
  <si>
    <t>1Q12E</t>
  </si>
  <si>
    <t>2Q12E</t>
  </si>
  <si>
    <t>3Q12E</t>
  </si>
  <si>
    <t>4Q12E</t>
  </si>
  <si>
    <t>1Q14E</t>
  </si>
  <si>
    <t>2Q14E</t>
  </si>
  <si>
    <t>3Q14E</t>
  </si>
  <si>
    <t>4Q14E</t>
  </si>
  <si>
    <t>3. Interest Coverage</t>
  </si>
  <si>
    <t>Secured Debt</t>
  </si>
  <si>
    <t>Wholly-Owned Debt</t>
  </si>
  <si>
    <t>2016E</t>
  </si>
  <si>
    <t>2017E</t>
  </si>
  <si>
    <t>Total Comps Tax</t>
  </si>
  <si>
    <t>CRDA Alternative Investment Tax</t>
  </si>
  <si>
    <t>Depreciation</t>
  </si>
  <si>
    <t>Horse Tax</t>
  </si>
  <si>
    <t>Horse Tax %</t>
  </si>
  <si>
    <t>Maryland</t>
  </si>
  <si>
    <t>Massachusetts</t>
  </si>
  <si>
    <t>Michigan</t>
  </si>
  <si>
    <t>New York</t>
  </si>
  <si>
    <t>Ohio</t>
  </si>
  <si>
    <t>Pennsylvania</t>
  </si>
  <si>
    <t>Party Poker JV</t>
  </si>
  <si>
    <t>BYD Ownership</t>
  </si>
  <si>
    <t>All States ex. NJ</t>
  </si>
  <si>
    <t>EBITDA to BYD Share</t>
  </si>
  <si>
    <t>Total EBITDA to BYD Share</t>
  </si>
  <si>
    <t>Market</t>
  </si>
  <si>
    <t>Share</t>
  </si>
  <si>
    <t>Gaming Rev</t>
  </si>
  <si>
    <t>2012 BYD</t>
  </si>
  <si>
    <t xml:space="preserve">N/A </t>
  </si>
  <si>
    <t>Net Revenues (mm)</t>
  </si>
  <si>
    <t>Various</t>
  </si>
  <si>
    <t>Source: Bureau of Labor Statistics</t>
  </si>
  <si>
    <t>Boyd - Segment EBITDA</t>
  </si>
  <si>
    <t>4Q06</t>
  </si>
  <si>
    <t>Downtown Properties</t>
  </si>
  <si>
    <t>Positive
Increments</t>
  </si>
  <si>
    <t>gt:treasurechest:casinoRev</t>
  </si>
  <si>
    <t>gt:bluechip:casinoRev</t>
  </si>
  <si>
    <t>gt:deltadowns:casinoRev</t>
  </si>
  <si>
    <t>EBITDA</t>
  </si>
  <si>
    <t>Other expenses plug</t>
  </si>
  <si>
    <t>% of total reported revenue</t>
  </si>
  <si>
    <t>BYD 2Q13 Guidance Table</t>
  </si>
  <si>
    <t>MSe</t>
  </si>
  <si>
    <t>2Q13</t>
  </si>
  <si>
    <t>BYD Wholly-Owned EBITDA</t>
  </si>
  <si>
    <t>Source: Consensus Metrix; Thomson Reuters</t>
  </si>
  <si>
    <t>3Q10</t>
  </si>
  <si>
    <t>3Q10A</t>
  </si>
  <si>
    <t>BYD Mississippi Acquisition (6/16/11)</t>
  </si>
  <si>
    <t>YoY Change in EBITDA</t>
  </si>
  <si>
    <t>Less: Income Taxes</t>
  </si>
  <si>
    <t>Plus: Deferred Rent Expense</t>
  </si>
  <si>
    <t>Terminal</t>
  </si>
  <si>
    <t>Total PV of FCF</t>
  </si>
  <si>
    <t>1Q04</t>
  </si>
  <si>
    <t>Plus: ASCA EBITDA</t>
  </si>
  <si>
    <t>Base Rate +</t>
  </si>
  <si>
    <t>&gt; 6.00x</t>
  </si>
  <si>
    <t>250; and</t>
  </si>
  <si>
    <r>
      <t>“</t>
    </r>
    <r>
      <rPr>
        <u/>
        <sz val="10"/>
        <rFont val="Arial"/>
        <family val="2"/>
      </rPr>
      <t>Applicable Rate</t>
    </r>
    <r>
      <rPr>
        <sz val="10"/>
        <rFont val="Arial"/>
        <family val="2"/>
      </rPr>
      <t xml:space="preserve">” means </t>
    </r>
  </si>
  <si>
    <r>
      <t>&lt;</t>
    </r>
    <r>
      <rPr>
        <sz val="10"/>
        <rFont val="Arial"/>
        <family val="2"/>
      </rPr>
      <t xml:space="preserve"> 4.50x</t>
    </r>
  </si>
  <si>
    <r>
      <t xml:space="preserve">4.50x &lt; x </t>
    </r>
    <r>
      <rPr>
        <u/>
        <sz val="10"/>
        <rFont val="Arial"/>
        <family val="2"/>
      </rPr>
      <t>&lt;</t>
    </r>
    <r>
      <rPr>
        <sz val="10"/>
        <rFont val="Arial"/>
        <family val="2"/>
      </rPr>
      <t xml:space="preserve"> 5.00x</t>
    </r>
  </si>
  <si>
    <r>
      <t xml:space="preserve">5.00x &lt; x </t>
    </r>
    <r>
      <rPr>
        <u/>
        <sz val="10"/>
        <rFont val="Arial"/>
        <family val="2"/>
      </rPr>
      <t>&lt;</t>
    </r>
    <r>
      <rPr>
        <sz val="10"/>
        <rFont val="Arial"/>
        <family val="2"/>
      </rPr>
      <t xml:space="preserve"> 5.50x</t>
    </r>
  </si>
  <si>
    <r>
      <t xml:space="preserve">5.50x &lt; x </t>
    </r>
    <r>
      <rPr>
        <u/>
        <sz val="10"/>
        <rFont val="Arial"/>
        <family val="2"/>
      </rPr>
      <t>&lt;</t>
    </r>
    <r>
      <rPr>
        <sz val="10"/>
        <rFont val="Arial"/>
        <family val="2"/>
      </rPr>
      <t xml:space="preserve"> 6.00x</t>
    </r>
  </si>
  <si>
    <t>Green Valley Ranch (100%):</t>
  </si>
  <si>
    <t>(US$MM, except per share, ADR, and W/U/D data)</t>
  </si>
  <si>
    <t>2009m8</t>
  </si>
  <si>
    <t>% of Revenue</t>
  </si>
  <si>
    <t>Average Rooms</t>
  </si>
  <si>
    <t>Boyd Bank Facility Notes</t>
  </si>
  <si>
    <t>Post Issuance of Increased Term Loan:</t>
  </si>
  <si>
    <t>Class B (non-extedning commitments were paid down in full)</t>
  </si>
  <si>
    <t>2) Increased $350mm term loan (which is being amortized at 5% annual rate) and pays LIBOR + 4.75% with a 1.25% floor</t>
  </si>
  <si>
    <t>2:1x Fixed Coverage Ratio Covenant (Defined differently than bank facility)</t>
  </si>
  <si>
    <t>Can incur additional debt as long as in compliance with fixed coverage</t>
  </si>
  <si>
    <t>Restrction on proceeds from asset sales and cumulative amount of resticted payments (divvys, share buybacks, bond repos, acquisitions)</t>
  </si>
  <si>
    <t>Screwed up because of Borgata consolidation?</t>
  </si>
  <si>
    <t>4Q05</t>
  </si>
  <si>
    <t>EPS Accretion</t>
  </si>
  <si>
    <t>Propety EBITDA</t>
  </si>
  <si>
    <t>Less: Interest exp</t>
  </si>
  <si>
    <t>Less: Cash taxes</t>
  </si>
  <si>
    <t>Incremental Net income</t>
  </si>
  <si>
    <t>FCF Accretion</t>
  </si>
  <si>
    <t>Less: Cash taxes, net</t>
  </si>
  <si>
    <t>Casino Revenue</t>
  </si>
  <si>
    <t>(US$ in millions except per-share data)</t>
  </si>
  <si>
    <t>Do not add/delete rows</t>
  </si>
  <si>
    <t>2011A</t>
  </si>
  <si>
    <t xml:space="preserve">    Y/y % chg</t>
  </si>
  <si>
    <t xml:space="preserve">    3-year CAGR</t>
  </si>
  <si>
    <t>Diluted shares outstanding</t>
  </si>
  <si>
    <t>DPS</t>
  </si>
  <si>
    <t>Diamond Jo Dubuque (IA)</t>
  </si>
  <si>
    <t>Diamond Jo Worth (IA)</t>
  </si>
  <si>
    <t>Evangeline Downs (LA)</t>
  </si>
  <si>
    <t>Kansas Star (KS)</t>
  </si>
  <si>
    <t>Amelia Belle (LA)</t>
  </si>
  <si>
    <t>Additions / Uses</t>
  </si>
  <si>
    <t>Check</t>
  </si>
  <si>
    <t>ROIC Analysis</t>
  </si>
  <si>
    <t>Adjusted NOPAT</t>
  </si>
  <si>
    <t>+ Recurring net income</t>
  </si>
  <si>
    <t>+ Interest expense, net</t>
  </si>
  <si>
    <t>- Property charges, net</t>
  </si>
  <si>
    <t>- Pre-opening expenses, net</t>
  </si>
  <si>
    <t>+/- Other non-recurring items, net</t>
  </si>
  <si>
    <t>Less: Maintenance</t>
  </si>
  <si>
    <t>Property FCF</t>
  </si>
  <si>
    <t>Seller Note</t>
  </si>
  <si>
    <t>Total Cost</t>
  </si>
  <si>
    <t>Rate</t>
  </si>
  <si>
    <t>Shares</t>
  </si>
  <si>
    <t>% upside</t>
  </si>
  <si>
    <t>BYD: Peninsula Gaming Valuation Impact</t>
  </si>
  <si>
    <t>Total cost</t>
  </si>
  <si>
    <t>Common Stock</t>
  </si>
  <si>
    <t>Adjusted Net Debt to Valuation EBITDA</t>
  </si>
  <si>
    <t>LTM Valuation EBITDA (incl. Borgata EBITDA)</t>
  </si>
  <si>
    <t>Mississippi Taxes</t>
  </si>
  <si>
    <t>3Q05</t>
  </si>
  <si>
    <t>PENN stock price</t>
  </si>
  <si>
    <t>LVS stock price</t>
  </si>
  <si>
    <t>CZR</t>
  </si>
  <si>
    <t>CZR stock price</t>
  </si>
  <si>
    <t>PNK stock price</t>
  </si>
  <si>
    <t>PNK</t>
  </si>
  <si>
    <t>Implied Ownership</t>
  </si>
  <si>
    <t>Company</t>
  </si>
  <si>
    <t>Cash and cash equivalents</t>
  </si>
  <si>
    <t>LV Locals</t>
  </si>
  <si>
    <t>Las Vegas Locals</t>
  </si>
  <si>
    <t>Las Vegas Locals Properties</t>
  </si>
  <si>
    <t>LV Locals downside</t>
  </si>
  <si>
    <t>MSe vs. Current Cons</t>
  </si>
  <si>
    <t>Total Reported EBITDA</t>
  </si>
  <si>
    <t>2Q04</t>
  </si>
  <si>
    <t>% of Current Stock Price</t>
  </si>
  <si>
    <t>MGM stock price</t>
  </si>
  <si>
    <t>WYNN</t>
  </si>
  <si>
    <t>Ownership</t>
  </si>
  <si>
    <t>Net Revenues</t>
  </si>
  <si>
    <t>Historical Summary of Station Casinos</t>
  </si>
  <si>
    <t>Station Casinos</t>
  </si>
  <si>
    <t>EBITDA Adjustement</t>
  </si>
  <si>
    <t>Non-Recurring Items</t>
  </si>
  <si>
    <t>Net FCF</t>
  </si>
  <si>
    <t>Adjusted Net Debt</t>
  </si>
  <si>
    <t>Adjusted Borgata FCF</t>
  </si>
  <si>
    <t>Issuance and repurchase of common stock</t>
  </si>
  <si>
    <t>Imperial Palace (MS) - Estimated</t>
  </si>
  <si>
    <t xml:space="preserve">Las Vegas Locals </t>
  </si>
  <si>
    <t>Downtown LV</t>
  </si>
  <si>
    <t xml:space="preserve">Midwest &amp; South </t>
  </si>
  <si>
    <t>Peninsula Gaming</t>
  </si>
  <si>
    <t>$825M Peninsula Term Loan due 11/2017</t>
  </si>
  <si>
    <t>$50M Peninsula Revolver due 11/2017</t>
  </si>
  <si>
    <t>Interest</t>
  </si>
  <si>
    <t>D&amp;A</t>
  </si>
  <si>
    <t>Capex</t>
  </si>
  <si>
    <t>BYD: Prelim Peninsula Gaming Acquisition Math</t>
  </si>
  <si>
    <t>Louisiana Racino Taxes</t>
  </si>
  <si>
    <t xml:space="preserve">  Y/Y Change</t>
  </si>
  <si>
    <t>Gaming Revenues</t>
  </si>
  <si>
    <t>Less: Interest (Assume 100% Debt Financed at 7%)</t>
  </si>
  <si>
    <t>Net Income Before Taxes</t>
  </si>
  <si>
    <t>Less: Taxes</t>
  </si>
  <si>
    <t>2Q08</t>
  </si>
  <si>
    <t>No material impact on leverage, likely need amendment</t>
  </si>
  <si>
    <t>Corporate Expense</t>
  </si>
  <si>
    <t>Valuation</t>
  </si>
  <si>
    <t>Metric</t>
  </si>
  <si>
    <t>Price</t>
  </si>
  <si>
    <t>EV / EBITDA</t>
  </si>
  <si>
    <t>BASE CASE</t>
  </si>
  <si>
    <t>BEAR CASE</t>
  </si>
  <si>
    <t>1) Orginal $500mm term loan (which is being amortized at 5% annual rate) and pays LIBOR +3.5%</t>
  </si>
  <si>
    <t>Revolver Details:</t>
  </si>
  <si>
    <t>Atlantic City 21%</t>
  </si>
  <si>
    <t>LV Downtown 10%</t>
  </si>
  <si>
    <t>LV Locals 34%</t>
  </si>
  <si>
    <t>US National Average</t>
  </si>
  <si>
    <t>Las Vegas MSA</t>
  </si>
  <si>
    <t>Feb '10</t>
  </si>
  <si>
    <t>BYD Unemployment (NOT Seasonally Adjusted)</t>
  </si>
  <si>
    <t>Bureau of Labor Statistics</t>
  </si>
  <si>
    <t>Las Vegas Downtown</t>
  </si>
  <si>
    <t>Borgata (50%)</t>
  </si>
  <si>
    <t>Plus: Land on LV Strip (acres)</t>
  </si>
  <si>
    <t>BYD</t>
  </si>
  <si>
    <t>Par-A-Dice (Peoria, Illinois)</t>
  </si>
  <si>
    <t>Less: Incremental ASCA debt</t>
  </si>
  <si>
    <t>Total EBITDA</t>
  </si>
  <si>
    <t>PV of FCF</t>
  </si>
  <si>
    <t>FCF to firm</t>
  </si>
  <si>
    <t>Less: Borgata Debt (50%)</t>
  </si>
  <si>
    <t>Major LV Operations:</t>
  </si>
  <si>
    <t>Net revenues</t>
  </si>
  <si>
    <t>Margins - BYD vs. STN</t>
  </si>
  <si>
    <t>Stations</t>
  </si>
  <si>
    <t>BYD - EBITDA Versus Peak</t>
  </si>
  <si>
    <t>Ex IP Revenue</t>
  </si>
  <si>
    <t>Implied US share</t>
  </si>
  <si>
    <t>Echelon property</t>
  </si>
  <si>
    <t>Eldorado Casino</t>
  </si>
  <si>
    <t>Jokers Wild Casino</t>
  </si>
  <si>
    <t>Unpledged Properties:</t>
  </si>
  <si>
    <t>Dania</t>
  </si>
  <si>
    <t>9.125% Senior Notes</t>
  </si>
  <si>
    <t>(1)  ASCA 2011 projections based on consensus estimates</t>
  </si>
  <si>
    <t>Boyd Gaming ($mm)</t>
  </si>
  <si>
    <t>2Q09</t>
  </si>
  <si>
    <t>3Q09</t>
  </si>
  <si>
    <t>EBITDA Growth</t>
  </si>
  <si>
    <t>Online (BYD share)</t>
  </si>
  <si>
    <t>% Chg ex. Online</t>
  </si>
  <si>
    <t>% Chg ex. Peninsula / Online</t>
  </si>
  <si>
    <t xml:space="preserve">             </t>
  </si>
  <si>
    <t>LV Locals Market Reported Growth</t>
  </si>
  <si>
    <t>Volumes</t>
  </si>
  <si>
    <t>Total Net Debt</t>
  </si>
  <si>
    <t>Gain (loss) on debt extinguishment/ other</t>
  </si>
  <si>
    <t>Current FCF yield</t>
  </si>
  <si>
    <t>Pro-forma FCF yield</t>
  </si>
  <si>
    <t>Incremental Equity Value</t>
  </si>
  <si>
    <t>Per share</t>
  </si>
  <si>
    <t>0% Growth</t>
  </si>
  <si>
    <t>10% Growth</t>
  </si>
  <si>
    <t>Less: debt</t>
  </si>
  <si>
    <t>Sam's Town Tunica</t>
  </si>
  <si>
    <t>2Q12A</t>
  </si>
  <si>
    <t>Guidance</t>
  </si>
  <si>
    <t>$33-35</t>
  </si>
  <si>
    <t>$123-130</t>
  </si>
  <si>
    <t>$0.06-0.10</t>
  </si>
  <si>
    <t>Incremental Term Loan</t>
  </si>
  <si>
    <t>Plus: D&amp;A</t>
  </si>
  <si>
    <t>Total Adjusted Net Debt</t>
  </si>
  <si>
    <t>Estimated Amortization Expense</t>
  </si>
  <si>
    <t>Borgata 9.5% Senior Secured Notes due 2015</t>
  </si>
  <si>
    <t>Corporate expense, net</t>
  </si>
  <si>
    <t>Borgata Gaming Revenue</t>
  </si>
  <si>
    <t>BYD.N</t>
  </si>
  <si>
    <t>USD</t>
  </si>
  <si>
    <t>2005E</t>
  </si>
  <si>
    <t>Peninsula Seller's Note Interest</t>
  </si>
  <si>
    <t>Bank Facility and other</t>
  </si>
  <si>
    <t>Stardust &amp; Echelon Development</t>
  </si>
  <si>
    <t>(Sam's LV/Eldorado/JW)</t>
  </si>
  <si>
    <t>2Q10</t>
  </si>
  <si>
    <r>
      <t xml:space="preserve">(c) </t>
    </r>
    <r>
      <rPr>
        <u/>
        <sz val="10"/>
        <rFont val="Arial"/>
        <family val="2"/>
      </rPr>
      <t>Secured Leverage Ratio</t>
    </r>
    <r>
      <rPr>
        <sz val="10"/>
        <rFont val="Arial"/>
        <family val="2"/>
      </rPr>
      <t xml:space="preserve">. Permit the Secured Leverage Ratio on the last day of any period of four fiscal quarters of the Borrower set forth below to be greater than the ratio set forth below opposite such period: </t>
    </r>
  </si>
  <si>
    <t>Applicable Rate</t>
  </si>
  <si>
    <t>Pricing</t>
  </si>
  <si>
    <t>Level</t>
  </si>
  <si>
    <t>Total Leverage</t>
  </si>
  <si>
    <t>Ratio</t>
  </si>
  <si>
    <t>Unused</t>
  </si>
  <si>
    <t>Fee</t>
  </si>
  <si>
    <t>Eurodollar Rate +</t>
  </si>
  <si>
    <t>Letters of Credit</t>
  </si>
  <si>
    <t>vs. 2012</t>
  </si>
  <si>
    <t>Casino Revenue Growth</t>
  </si>
  <si>
    <t>Count</t>
  </si>
  <si>
    <t>Impact on Price Target</t>
  </si>
  <si>
    <t>(US$ millions, except per-share data)</t>
  </si>
  <si>
    <t>Occupancy Rate</t>
  </si>
  <si>
    <t>Boyd Gaming</t>
  </si>
  <si>
    <t>Assets</t>
  </si>
  <si>
    <t>4Q13</t>
  </si>
  <si>
    <t>Treasure Chest (New Orleans, LA)</t>
  </si>
  <si>
    <t>Total Reported Taxes</t>
  </si>
  <si>
    <t>&gt;200</t>
  </si>
  <si>
    <t>25-27</t>
  </si>
  <si>
    <t>HoldCo Promissory Note</t>
  </si>
  <si>
    <t>Ending Investment</t>
  </si>
  <si>
    <t>Room Revenue</t>
  </si>
  <si>
    <t>Number of Rooms</t>
  </si>
  <si>
    <t>Maintenance Capex</t>
  </si>
  <si>
    <t>Depreciation Summary</t>
  </si>
  <si>
    <t>Inventories</t>
  </si>
  <si>
    <t>+ Depreciation</t>
  </si>
  <si>
    <t>-</t>
  </si>
  <si>
    <t>3Q07</t>
  </si>
  <si>
    <t>If paying 8x, range of share upside $0.25-2.05 depending on future growth</t>
  </si>
  <si>
    <t>20% Growth (similar to our estimates for BYD existing)</t>
  </si>
  <si>
    <t>EPS accretion</t>
  </si>
  <si>
    <t>Year 1</t>
  </si>
  <si>
    <t>Year 3</t>
  </si>
  <si>
    <t>Less: interest</t>
  </si>
  <si>
    <t>Less: lost margin synergy</t>
  </si>
  <si>
    <t>Less: D&amp;A</t>
  </si>
  <si>
    <t>Accretion %</t>
  </si>
  <si>
    <t>Incremental equity value, 2010E</t>
  </si>
  <si>
    <t>OpCo</t>
  </si>
  <si>
    <t>3Q08</t>
  </si>
  <si>
    <t>$</t>
  </si>
  <si>
    <t>$960mm capacity (less any letters of credit - usually run around $15mm or so)</t>
  </si>
  <si>
    <t>Pays LIBOR +3.5%</t>
  </si>
  <si>
    <t>Term Loans consist of:</t>
  </si>
  <si>
    <t>Four Fiscal Quarters Ending</t>
  </si>
  <si>
    <t>  </t>
  </si>
  <si>
    <t>Maximum Total</t>
  </si>
  <si>
    <t>This sheet contains Factset binary data for use with this workbook's =FDS codes.  Modifying the worksheet's contents may damage the workbook's =FDS functionality.</t>
  </si>
  <si>
    <t>DCF Valuation Summary</t>
  </si>
  <si>
    <t>DCF (full firm)</t>
  </si>
  <si>
    <t>Total Casino Revenue</t>
  </si>
  <si>
    <t>Total Casino Revenue Growth</t>
  </si>
  <si>
    <t>BYD stock price</t>
  </si>
  <si>
    <t>ASCA Assumptions</t>
  </si>
  <si>
    <t>Less: cash</t>
  </si>
  <si>
    <t>Net debt</t>
  </si>
  <si>
    <t>Shares outstanding</t>
  </si>
  <si>
    <t>Total shares outstanding</t>
  </si>
  <si>
    <t>Term Loan</t>
  </si>
  <si>
    <t>3Q06</t>
  </si>
  <si>
    <t>+ Amortization of def. financing</t>
  </si>
  <si>
    <t>Midwest/South</t>
  </si>
  <si>
    <t>LV Downtown</t>
  </si>
  <si>
    <t>Midwest &amp; South 35%</t>
  </si>
  <si>
    <t>(0.05)-0.00</t>
  </si>
  <si>
    <t>Guidance: Wholly-owned, incl. corp expense EBITDA</t>
  </si>
  <si>
    <t>117-125</t>
  </si>
  <si>
    <t>107-115</t>
  </si>
  <si>
    <t>120-127</t>
  </si>
  <si>
    <t>123-130</t>
  </si>
  <si>
    <t>124-131</t>
  </si>
  <si>
    <t>Total Wholly-owned EBITDA</t>
  </si>
  <si>
    <t>Shareholders' Equity</t>
  </si>
  <si>
    <t>6.75% Senior Subordinated Notes due 2014</t>
  </si>
  <si>
    <t>LV Locals upside</t>
  </si>
  <si>
    <t>AC</t>
  </si>
  <si>
    <t>Cash &amp; Equivalents - Beginning</t>
  </si>
  <si>
    <t>4Q10A</t>
  </si>
  <si>
    <t>Implied Peak</t>
  </si>
  <si>
    <t>Implid 75% Peak</t>
  </si>
  <si>
    <t>Credit Metrics</t>
  </si>
  <si>
    <t>Return</t>
  </si>
  <si>
    <t>9.0% Senior Subordinated Notes due 2020</t>
  </si>
  <si>
    <t>Total (adjusted for 50% GVR):</t>
  </si>
  <si>
    <t>EBITDA Contribution</t>
  </si>
  <si>
    <t>Current Value / Share</t>
  </si>
  <si>
    <t>WYNN stock price</t>
  </si>
  <si>
    <t>Implied Revenue</t>
  </si>
  <si>
    <t>PENN</t>
  </si>
  <si>
    <t>LVS</t>
  </si>
  <si>
    <t>Operating income from Borgata</t>
  </si>
  <si>
    <t>Net loss/(income) in Borgata</t>
  </si>
  <si>
    <t>Credit Facility</t>
  </si>
  <si>
    <t>Total facility size</t>
  </si>
  <si>
    <t>Borrowings</t>
  </si>
  <si>
    <t>Letters of credit</t>
  </si>
  <si>
    <t>Total availability</t>
  </si>
  <si>
    <t>Illinois Taxes</t>
  </si>
  <si>
    <t>PROPERTY DRIVERS</t>
  </si>
  <si>
    <t>INCOME STATEMENT</t>
  </si>
  <si>
    <t>PropCo - Keep</t>
  </si>
  <si>
    <t>Plus: Op income from unconsolidated affiliates</t>
  </si>
  <si>
    <t>Louisiana Riverboat Taxes</t>
  </si>
  <si>
    <t xml:space="preserve">  Admission Taxes</t>
  </si>
  <si>
    <t>Bank Credit Facility (extended)</t>
  </si>
  <si>
    <t>Operating Cash Flow per Share</t>
  </si>
  <si>
    <t>December 31, 2010 through and including December 31, 2011</t>
  </si>
  <si>
    <t>7.75 to 1.00</t>
  </si>
  <si>
    <t>1Q12A</t>
  </si>
  <si>
    <t>2Q12</t>
  </si>
  <si>
    <t>BYD 2Q12 Guidance Table</t>
  </si>
  <si>
    <t>1Q10</t>
  </si>
  <si>
    <t>Casino revenue</t>
  </si>
  <si>
    <t>Price Targets</t>
  </si>
  <si>
    <t>Consolidated EBITDA</t>
  </si>
  <si>
    <t>Basic shares outstanding</t>
  </si>
  <si>
    <t>8.75% Senior Subordinated Notes due 2012</t>
  </si>
  <si>
    <t>7.75% Senior Subordinated Notes due 2012</t>
  </si>
  <si>
    <t>Total Revenue Taxes</t>
  </si>
  <si>
    <t>Luxury Tax</t>
  </si>
  <si>
    <t>Operating Free Cash Flow</t>
  </si>
  <si>
    <t>Statutory Tax Rate</t>
  </si>
  <si>
    <t>%</t>
  </si>
  <si>
    <t>Net revenue</t>
  </si>
  <si>
    <t>Corporate / other</t>
  </si>
  <si>
    <t>Reported EBITDA</t>
  </si>
  <si>
    <t>Operating income</t>
  </si>
  <si>
    <t>Income before taxes</t>
  </si>
  <si>
    <t>Recurring EPS</t>
  </si>
  <si>
    <t>Increased Term Loan</t>
  </si>
  <si>
    <t>Capital Spending</t>
  </si>
  <si>
    <t>Maintenance</t>
  </si>
  <si>
    <t>Room Remodels / Growth</t>
  </si>
  <si>
    <t>Est. Shareholder's Equity</t>
  </si>
  <si>
    <t>BYD Wholly-owned Growth / Project</t>
  </si>
  <si>
    <t>BYD Wholly-owned Maintenance</t>
  </si>
  <si>
    <t>Pro Forma Est. Quarterly Covenant EBITDA</t>
  </si>
  <si>
    <t>Indebtedness</t>
  </si>
  <si>
    <t>(Barbary, Sun, Orleans, Gold, South in 2005)</t>
  </si>
  <si>
    <t xml:space="preserve">  Tax Levels</t>
  </si>
  <si>
    <t xml:space="preserve">  Tax Rates</t>
  </si>
  <si>
    <t xml:space="preserve">  Tax Dollars</t>
  </si>
  <si>
    <t>Local Taxes</t>
  </si>
  <si>
    <t>State Taxes</t>
  </si>
  <si>
    <t>Total Florida Tax</t>
  </si>
  <si>
    <t xml:space="preserve">  Effective Rate</t>
  </si>
  <si>
    <t>2Q06</t>
  </si>
  <si>
    <t>Station</t>
  </si>
  <si>
    <t>Downtown Properties Expenses</t>
  </si>
  <si>
    <t>Midwest &amp; South Expenses</t>
  </si>
  <si>
    <t>Total Property Expenses</t>
  </si>
  <si>
    <t>Diluted shares out.</t>
  </si>
  <si>
    <t>EBITDA, 2010E</t>
  </si>
  <si>
    <t>Incremental EBITDA, 2012E</t>
  </si>
  <si>
    <t>Less: Incremental net debt</t>
  </si>
  <si>
    <t>Borgata</t>
  </si>
  <si>
    <t>No. of days per period</t>
  </si>
  <si>
    <t>Delta Downs (Lake Charles, LA)</t>
  </si>
  <si>
    <t>($ in millions)</t>
  </si>
  <si>
    <t>Debt</t>
  </si>
  <si>
    <t>BYD 1Q12 Guidance Table</t>
  </si>
  <si>
    <t>$88 - $93mn</t>
  </si>
  <si>
    <t>$32 - $34mn</t>
  </si>
  <si>
    <t>$0.05 - $0.09</t>
  </si>
  <si>
    <t>2009m9</t>
  </si>
  <si>
    <t>2009m10</t>
  </si>
  <si>
    <t>2009m11</t>
  </si>
  <si>
    <t>2009m12</t>
  </si>
  <si>
    <t>543297(Q)</t>
  </si>
  <si>
    <t>9.25% Senior Notes due 2003</t>
  </si>
  <si>
    <t>9.50% Senior Subordinated Notes due 2007</t>
  </si>
  <si>
    <t>GVR</t>
  </si>
  <si>
    <t>Aliante</t>
  </si>
  <si>
    <t>Texas</t>
  </si>
  <si>
    <t>Buy</t>
  </si>
  <si>
    <t>Sunset</t>
  </si>
  <si>
    <t>Palace</t>
  </si>
  <si>
    <t>Red Rock</t>
  </si>
  <si>
    <t>Santa Fe</t>
  </si>
  <si>
    <t>Fiesta Rancho</t>
  </si>
  <si>
    <t>Fiesta Henderson</t>
  </si>
  <si>
    <t>Wild Wild West</t>
  </si>
  <si>
    <t>Wildifre Rancho</t>
  </si>
  <si>
    <t>Wildfire Boulder</t>
  </si>
  <si>
    <t>Godl Rush</t>
  </si>
  <si>
    <t>Less: Boyd Debt</t>
  </si>
  <si>
    <t>- Capitalized interest</t>
  </si>
  <si>
    <t>Working Capital:</t>
  </si>
  <si>
    <t>Amortization of financing fees</t>
  </si>
  <si>
    <t>Coast Properties</t>
  </si>
  <si>
    <t>Total:</t>
  </si>
  <si>
    <t>Not included in our model/PT ($mm)</t>
  </si>
  <si>
    <t>2017 US Online Gaming Market Size</t>
  </si>
  <si>
    <t>Potential PENN Market Share</t>
  </si>
  <si>
    <t>NA</t>
  </si>
  <si>
    <t>Total Net revenue</t>
  </si>
  <si>
    <t>Pre-opening / other</t>
  </si>
  <si>
    <t>Non-operating exp. (Borgata)</t>
  </si>
  <si>
    <t>Operating income (Borgata)</t>
  </si>
  <si>
    <t>Plus: Op income from Borgata</t>
  </si>
  <si>
    <t>BYD Actuals</t>
  </si>
  <si>
    <t>Total Adj. Property EBITDA</t>
  </si>
  <si>
    <t>Adjusted EBITDA</t>
  </si>
  <si>
    <t>Beau Rivage (MGM)</t>
  </si>
  <si>
    <t>Boomtown Biloxi (PENN)</t>
  </si>
  <si>
    <t>Hollywood Bay St. Louis (PENN)</t>
  </si>
  <si>
    <t>Payout Ratio</t>
  </si>
  <si>
    <t>Stardust/Echelon Expenses</t>
  </si>
  <si>
    <t>BYD wholly owned</t>
  </si>
  <si>
    <t>BYD JV EBITDA</t>
  </si>
  <si>
    <t>Impact</t>
  </si>
  <si>
    <t>Change</t>
  </si>
  <si>
    <t>Invisible</t>
  </si>
  <si>
    <t>Cases</t>
  </si>
  <si>
    <t>Revolver available</t>
  </si>
  <si>
    <t>Excess capacity / (shortfall)</t>
  </si>
  <si>
    <t>Total debt</t>
  </si>
  <si>
    <t>Total Debt / EBITDA</t>
  </si>
  <si>
    <t>Impact on valuation</t>
  </si>
  <si>
    <t>Incremental EV</t>
  </si>
  <si>
    <t>Less debt</t>
  </si>
  <si>
    <t>BYD PP JV Ownership</t>
  </si>
  <si>
    <t>BYD EBITDA Contribution</t>
  </si>
  <si>
    <t>BYD Shares</t>
  </si>
  <si>
    <t>PartyPoker JV Share</t>
  </si>
  <si>
    <t>($mm)</t>
  </si>
  <si>
    <t>BYD/MGM Market Share</t>
  </si>
  <si>
    <t>BYD/MGM Revenue</t>
  </si>
  <si>
    <t>BYD/MGM Partners EBITDA</t>
  </si>
  <si>
    <t>BYD Current Value / Share</t>
  </si>
  <si>
    <t>MGM</t>
  </si>
  <si>
    <t>MGM Borgata Ownership</t>
  </si>
  <si>
    <t>MGM PP JV Ownership</t>
  </si>
  <si>
    <t>MGM EBITDA Contribution</t>
  </si>
  <si>
    <t>MGM Shares</t>
  </si>
  <si>
    <t>MGM Current Value / Share</t>
  </si>
  <si>
    <t>New Jersey Est. Market Size</t>
  </si>
  <si>
    <t>Casino</t>
  </si>
  <si>
    <t>Poker</t>
  </si>
  <si>
    <t>Bingo</t>
  </si>
  <si>
    <t>Lottery</t>
  </si>
  <si>
    <t>Offshore Sports</t>
  </si>
  <si>
    <t>Horses</t>
  </si>
  <si>
    <t>DEBT / INTEREST SCHEDULE</t>
  </si>
  <si>
    <t>Borgata 9.875% Senior Secured Notes due 2018</t>
  </si>
  <si>
    <t>BYD 9.125% Senior notes due 2018</t>
  </si>
  <si>
    <t>BYD / Borgata Amortization</t>
  </si>
  <si>
    <t>Deferred Financing Costs</t>
  </si>
  <si>
    <t>price target</t>
  </si>
  <si>
    <t>Labels</t>
  </si>
  <si>
    <t>Bear
Case</t>
  </si>
  <si>
    <t>Base
Case</t>
  </si>
  <si>
    <t>Bull
Case</t>
  </si>
  <si>
    <t>Base</t>
  </si>
  <si>
    <t>Sam's Town Tunica (MS)</t>
  </si>
  <si>
    <t>Par-A-Dice (Peoria, IL)</t>
  </si>
  <si>
    <t>Promotional allowances as % of revenue</t>
  </si>
  <si>
    <t>Promo allowances as % of revs</t>
  </si>
  <si>
    <t>Change y/y</t>
  </si>
  <si>
    <t>LV Locals estimates</t>
  </si>
  <si>
    <t>Consensus - New</t>
  </si>
  <si>
    <t>Consensus - Old</t>
  </si>
  <si>
    <t>Consensus - Current</t>
  </si>
  <si>
    <t>Current vs. Old</t>
  </si>
  <si>
    <t>Implied Operating Expenses</t>
  </si>
  <si>
    <t>Y/y Growth</t>
  </si>
  <si>
    <t>Current Operating FCF Yield</t>
  </si>
  <si>
    <t>Current Net FCF Yield</t>
  </si>
  <si>
    <t>% Change</t>
  </si>
  <si>
    <t>∆ Change</t>
  </si>
  <si>
    <t>Dec 09</t>
  </si>
  <si>
    <t>Blue Chip (IN)</t>
  </si>
  <si>
    <t>Delta Downs (LA)</t>
  </si>
  <si>
    <t>Peak</t>
  </si>
  <si>
    <t>x multiple</t>
  </si>
  <si>
    <t>Enterprise value</t>
  </si>
  <si>
    <t>Boyd - LV Locals Sensitivity</t>
  </si>
  <si>
    <t>LV Locals EBITDA</t>
  </si>
  <si>
    <t>Borgata Total Revenue</t>
  </si>
  <si>
    <t xml:space="preserve"> % Comp Tax</t>
  </si>
  <si>
    <t>Boulder</t>
  </si>
  <si>
    <t>Online Gambling</t>
  </si>
  <si>
    <t>Online JV income</t>
  </si>
  <si>
    <t>Online Gambling (2017E)</t>
  </si>
  <si>
    <t>Retained Earnings</t>
  </si>
  <si>
    <t>1Q06</t>
  </si>
  <si>
    <t>Quarterly Consolidated Interest Expense</t>
  </si>
  <si>
    <t>Less: Borgata Interest Expense</t>
  </si>
  <si>
    <t>Covenant Consolidated Interest Expense</t>
  </si>
  <si>
    <t>LTM Interest Expense</t>
  </si>
  <si>
    <t>Est. Cash Balance</t>
  </si>
  <si>
    <t>Less: Boyd net debt</t>
  </si>
  <si>
    <t>Less: Borgata net debt (50%)</t>
  </si>
  <si>
    <t>Interest rate on inc. debt</t>
  </si>
  <si>
    <t>Excess Parent Cash (ex. refi)</t>
  </si>
  <si>
    <t>Interest, after tax</t>
  </si>
  <si>
    <t>ROIC - BOYD</t>
  </si>
  <si>
    <t>Less: Op income from unconsolidated affiliates</t>
  </si>
  <si>
    <t>Compliance?</t>
  </si>
  <si>
    <t>Blue Chip (Chicago, IL - IN)</t>
  </si>
  <si>
    <t>Sam's Shreveport (LA)</t>
  </si>
  <si>
    <t>Regional / AC downside</t>
  </si>
  <si>
    <t>Occupancy</t>
  </si>
  <si>
    <t>Value</t>
  </si>
  <si>
    <t>Total Complimentary Allowances</t>
  </si>
  <si>
    <t>$47-49</t>
  </si>
  <si>
    <t>$124-131</t>
  </si>
  <si>
    <t>3Q12A</t>
  </si>
  <si>
    <t>US Online Opportunity in 2017E</t>
  </si>
  <si>
    <t>NJ addressable market size</t>
  </si>
  <si>
    <t>- Income from joint venture</t>
  </si>
  <si>
    <t>Valuation multiple</t>
  </si>
  <si>
    <t>Enterprise Value</t>
  </si>
  <si>
    <t>EBITDA, LTM RR</t>
  </si>
  <si>
    <t>Purchase price</t>
  </si>
  <si>
    <t>Par-a-Dice (IL)</t>
  </si>
  <si>
    <t>Segment Revenue Growth</t>
  </si>
  <si>
    <t>Net Revenue</t>
  </si>
  <si>
    <t>(US$MM, except per share data)</t>
  </si>
  <si>
    <t xml:space="preserve">  % of Total Revenue</t>
  </si>
  <si>
    <t>BYD Market Share (overall US market)</t>
  </si>
  <si>
    <t>EBITDA Margin - Borgata / MGM</t>
  </si>
  <si>
    <t>Plus: Other</t>
  </si>
  <si>
    <t>2Q14A</t>
  </si>
  <si>
    <t>2Q14</t>
  </si>
  <si>
    <t>Revel 2013 revenue</t>
  </si>
  <si>
    <t>Borgata % captured</t>
  </si>
  <si>
    <t>Incremental Borgata rev</t>
  </si>
  <si>
    <t>Incremental Borgata EBITDA</t>
  </si>
  <si>
    <t>Incremental EBITDA to BYD</t>
  </si>
  <si>
    <t>Impact on BYD shares</t>
  </si>
  <si>
    <t>EV Impact</t>
  </si>
  <si>
    <t>Current stock price</t>
  </si>
  <si>
    <t>Impact per share</t>
  </si>
  <si>
    <t>Revel Impact on Borgata</t>
  </si>
  <si>
    <t>Blended Market Share</t>
  </si>
  <si>
    <t>Refinancing Opportunity</t>
  </si>
  <si>
    <t>Amount</t>
  </si>
  <si>
    <t>Comment</t>
  </si>
  <si>
    <t>Peninsula 8.375% senior notes due 2018</t>
  </si>
  <si>
    <t>Callable in December</t>
  </si>
  <si>
    <t>Refi Rate</t>
  </si>
  <si>
    <t>Int.
Expense</t>
  </si>
  <si>
    <t>PF Int.
Expense</t>
  </si>
  <si>
    <t>9.125% have traded off quite a bit - BYD CDS for 5yr at 470 vs. index at 300</t>
  </si>
  <si>
    <t>not clear that you can do refi - b/c if you use 5yr CDS - would be 500bps for 10yr - would probably be 7.5-8.0% on that bond</t>
  </si>
  <si>
    <t>5yr would be 6-6.5%</t>
  </si>
  <si>
    <t>probably depends on high yield market</t>
  </si>
  <si>
    <t>Less clear on 8.375% b/c call price is higher at 106, and steps down every year</t>
  </si>
  <si>
    <t>Borgata - bond is trading to call - will probably issue another term loan - figure L+5% with 1% floor</t>
  </si>
  <si>
    <t>PIK note - right now Peninsula is a separate unrestricted sub, if they want to consolidate it into BYD (would be good for debt ratios given Peninsula lower levered, and cash trapped there)</t>
  </si>
  <si>
    <t>Have to be taken out if BYD does this - most likely in conjunction with refinancing of BYD/Peninsula term loans</t>
  </si>
  <si>
    <t>Holdco note - when they bought Peninsula they paid in cash and Holdco Note</t>
  </si>
  <si>
    <t>Borgata Senior secured notes due 2018</t>
  </si>
  <si>
    <t>Callable in October</t>
  </si>
  <si>
    <t>Interest Savings to BYD</t>
  </si>
  <si>
    <t>Callable in August 15</t>
  </si>
  <si>
    <t>Refinanced Debt</t>
  </si>
  <si>
    <t>Peninsula Term Loan B</t>
  </si>
  <si>
    <t>HoldCo Note</t>
  </si>
  <si>
    <t>9.125% Senior subordinated notes due 2018</t>
  </si>
  <si>
    <t>Boyd High Yield Issuance</t>
  </si>
  <si>
    <t>New high yield debt</t>
  </si>
  <si>
    <t>Total Debt refinanced</t>
  </si>
  <si>
    <t>Fundamental Bull Case</t>
  </si>
  <si>
    <t>OpCo / PropCo Bull Case</t>
  </si>
  <si>
    <t>Prob-weighted Bull</t>
  </si>
  <si>
    <t>1Q15E</t>
  </si>
  <si>
    <t>2Q15E</t>
  </si>
  <si>
    <t>4Q15E</t>
  </si>
  <si>
    <t>CASH FLOW STATEMENT ($ in millions)</t>
  </si>
  <si>
    <t>BALANCE SHEET ($ in millions)</t>
  </si>
  <si>
    <t>% Growth</t>
  </si>
  <si>
    <t>Loss from discontinued operations, net</t>
  </si>
  <si>
    <t>Net Free Cash Flow</t>
  </si>
  <si>
    <t>$34 - $37</t>
  </si>
  <si>
    <t>($0.04) - $0.01</t>
  </si>
  <si>
    <t>All-In Cost</t>
  </si>
  <si>
    <t>Less: Maintenace Capex (3% of All-in cost)</t>
  </si>
  <si>
    <t>Projected EBITDA</t>
  </si>
  <si>
    <t>Imperial Palace Cash on Cash Return Analysis</t>
  </si>
  <si>
    <t>ASCA Acquisition Analysis</t>
  </si>
  <si>
    <t>ASCA</t>
  </si>
  <si>
    <t>Savings</t>
  </si>
  <si>
    <t>Options</t>
  </si>
  <si>
    <t>Exercise price</t>
  </si>
  <si>
    <t>Diluted EPS</t>
  </si>
  <si>
    <t>FCF</t>
  </si>
  <si>
    <t>Borgata gross revenues</t>
  </si>
  <si>
    <t>Borgata promotional allowances</t>
  </si>
  <si>
    <t>Borgata net revenues</t>
  </si>
  <si>
    <t>BYD gross revenues (ex-Borgata)</t>
  </si>
  <si>
    <t>BYD promo allowances (ex-Borgata)</t>
  </si>
  <si>
    <t>BYD net revenues (ex-Borgata)</t>
  </si>
  <si>
    <t>BYD gross revenues</t>
  </si>
  <si>
    <t>BYD promotional allowances</t>
  </si>
  <si>
    <t>BYD net revenues</t>
  </si>
  <si>
    <t>Peninsula Gaming - Maintenance</t>
  </si>
  <si>
    <t>Peninsula Gaming - Growth / Project</t>
  </si>
  <si>
    <t>Estimated Cash on Cash Returns</t>
  </si>
  <si>
    <t>Estimated Yield</t>
  </si>
  <si>
    <t>Less: Depreciation</t>
  </si>
  <si>
    <t>Less: Interest</t>
  </si>
  <si>
    <t>Depreciation &amp; amortization</t>
  </si>
  <si>
    <t>Accounts receivable, net</t>
  </si>
  <si>
    <t>Prepaid expenses and other</t>
  </si>
  <si>
    <t>Cash from operating activities</t>
  </si>
  <si>
    <t>Borgata Operating Income to BYD</t>
  </si>
  <si>
    <t>Recurring net income</t>
  </si>
  <si>
    <t>Cash + PIK loan</t>
  </si>
  <si>
    <t>1Q05</t>
  </si>
  <si>
    <t>1Q11</t>
  </si>
  <si>
    <t>Consensus</t>
  </si>
  <si>
    <t>Summary Table</t>
  </si>
  <si>
    <r>
      <t>ASCA</t>
    </r>
    <r>
      <rPr>
        <b/>
        <vertAlign val="superscript"/>
        <sz val="10"/>
        <rFont val="Arial"/>
        <family val="2"/>
      </rPr>
      <t>1</t>
    </r>
  </si>
  <si>
    <t>($ millions, except per share data)</t>
  </si>
  <si>
    <t>Interest expense, net</t>
  </si>
  <si>
    <t>FCF yield</t>
  </si>
  <si>
    <t>Combined</t>
  </si>
  <si>
    <t>Total debt / EBITDA, 2011</t>
  </si>
  <si>
    <t>Total debt / EBITDA, 2012</t>
  </si>
  <si>
    <t>Cash from financing activities</t>
  </si>
  <si>
    <t>Cash from Financing Activities</t>
  </si>
  <si>
    <t>Proceeds (Payments) on LT debt</t>
  </si>
  <si>
    <t>Cash dividends</t>
  </si>
  <si>
    <t>Restricted cash</t>
  </si>
  <si>
    <t>Assets held for sale</t>
  </si>
  <si>
    <t>Income taxes receivable / deferred</t>
  </si>
  <si>
    <t>Accumulated depreciation</t>
  </si>
  <si>
    <t>NM</t>
  </si>
  <si>
    <t>$73 - $78</t>
  </si>
  <si>
    <t>Valuation multiple (current)</t>
  </si>
  <si>
    <t>March 31, 2012 through and including September 30, 2012</t>
  </si>
  <si>
    <t>7.50 to 1.00</t>
  </si>
  <si>
    <t>December 31, 2012 and March 31, 2013</t>
  </si>
  <si>
    <t>7.25 to 1.00</t>
  </si>
  <si>
    <t>June 30, 2013</t>
  </si>
  <si>
    <t>7.00 to 1.00</t>
  </si>
  <si>
    <t>September 30, 2013 and December 31, 2013</t>
  </si>
  <si>
    <t>6.75 to 1.00</t>
  </si>
  <si>
    <t>March 31, 2014</t>
  </si>
  <si>
    <t>6.50 to 1.00</t>
  </si>
  <si>
    <t>June 30, 2014</t>
  </si>
  <si>
    <t>6.25 to 1.00</t>
  </si>
  <si>
    <t>September 30, 2014</t>
  </si>
  <si>
    <t>6.00 to 1.00</t>
  </si>
  <si>
    <t>December 31, 2014</t>
  </si>
  <si>
    <t>5.75 to 1.00</t>
  </si>
  <si>
    <t>March 31, 2015 and thereafter</t>
  </si>
  <si>
    <t>5.50 to 1.00</t>
  </si>
  <si>
    <t>Maximum Secured</t>
  </si>
  <si>
    <t>December 31, 2010 through and including March 31, 2012</t>
  </si>
  <si>
    <t>4.50 to 1.00</t>
  </si>
  <si>
    <t>June 30, 2012 and September 30, 2012</t>
  </si>
  <si>
    <t>4.25 to 1.00</t>
  </si>
  <si>
    <t>4.00 to 1.00</t>
  </si>
  <si>
    <t>June 30, 2013 and September 30, 2013</t>
  </si>
  <si>
    <t>3.75 to 1.00</t>
  </si>
  <si>
    <t>December 31, 2013 and March 31, 2014</t>
  </si>
  <si>
    <t>3.50 to 1.00</t>
  </si>
  <si>
    <t>June 30, 2014 and thereafter</t>
  </si>
  <si>
    <t>3.25 to 1.00</t>
  </si>
  <si>
    <r>
      <t xml:space="preserve">7.10 Financial Covenants. </t>
    </r>
    <r>
      <rPr>
        <sz val="10"/>
        <rFont val="Arial"/>
        <family val="2"/>
      </rPr>
      <t>The Borrower shall not:</t>
    </r>
    <r>
      <rPr>
        <b/>
        <sz val="10"/>
        <rFont val="Arial"/>
        <family val="2"/>
      </rPr>
      <t xml:space="preserve"> </t>
    </r>
  </si>
  <si>
    <r>
      <t xml:space="preserve">(a) </t>
    </r>
    <r>
      <rPr>
        <u/>
        <sz val="10"/>
        <rFont val="Arial"/>
        <family val="2"/>
      </rPr>
      <t>Interest Coverage Ratio</t>
    </r>
    <r>
      <rPr>
        <sz val="10"/>
        <rFont val="Arial"/>
        <family val="2"/>
      </rPr>
      <t xml:space="preserve">. Permit the Interest Coverage Ratio as of the end of any fiscal quarter of the Borrower from and after December 31, 2010 to be less than 2.00 to 1.00. </t>
    </r>
  </si>
  <si>
    <t>Midwest &amp; South</t>
  </si>
  <si>
    <t>Segment</t>
  </si>
  <si>
    <t>Revenue / Admission</t>
  </si>
  <si>
    <t>Equity value</t>
  </si>
  <si>
    <t>Debt Impact</t>
  </si>
  <si>
    <t>Total Liabilities and Equity</t>
  </si>
  <si>
    <t>Positions/Table</t>
  </si>
  <si>
    <t xml:space="preserve">  Comps as a % of Gaming Revenue</t>
  </si>
  <si>
    <t>Hotel Tax</t>
  </si>
  <si>
    <t>Occupied Room Nights</t>
  </si>
  <si>
    <t>per Room Fee</t>
  </si>
  <si>
    <t>Discounted Back 2.5 Years @ 15%</t>
  </si>
  <si>
    <t>GamingTag</t>
  </si>
  <si>
    <t>gt:stardust:positions</t>
  </si>
  <si>
    <t>gt:stardust:rooms</t>
  </si>
  <si>
    <t>gt:stardust:ADR</t>
  </si>
  <si>
    <t>gt:stardust:occ</t>
  </si>
  <si>
    <t>gt:stardust:EBITDA</t>
  </si>
  <si>
    <t>gt:samstunica:casinoRev</t>
  </si>
  <si>
    <t>Credit facility</t>
  </si>
  <si>
    <t>Net Revenues/Day/Position</t>
  </si>
  <si>
    <t>% of Net Revenues</t>
  </si>
  <si>
    <t>South Coast cumulative investment</t>
  </si>
  <si>
    <t>Casino Win/Day/Position</t>
  </si>
  <si>
    <t>EBITDA, 2012E</t>
  </si>
  <si>
    <t>CAGR</t>
  </si>
  <si>
    <t>Plus: Borgata EBITDA to Boyd</t>
  </si>
  <si>
    <t xml:space="preserve">n/a </t>
  </si>
  <si>
    <t>% of Revenues</t>
  </si>
  <si>
    <t>Average Fully Diluted Shares Outstanding</t>
  </si>
  <si>
    <t>Average Diluted Shares Outstanding (EPS calc)</t>
  </si>
  <si>
    <t>Earnings per Share - Basic</t>
  </si>
  <si>
    <t>4Q08E</t>
  </si>
  <si>
    <t>Capital expenditures</t>
  </si>
  <si>
    <t>Florida Taxes</t>
  </si>
  <si>
    <t>State Tax Rate</t>
  </si>
  <si>
    <t>License Fee</t>
  </si>
  <si>
    <t>9.125% Senior Notes due 2018</t>
  </si>
  <si>
    <t>Bond Notes</t>
  </si>
  <si>
    <t>Pledged Properties:</t>
  </si>
  <si>
    <t>Par-A-Dice</t>
  </si>
  <si>
    <t>Sam's Town Las Vegas</t>
  </si>
  <si>
    <t>Rev.</t>
  </si>
  <si>
    <t>vs. Peak</t>
  </si>
  <si>
    <t>4Q07</t>
  </si>
  <si>
    <t>Implied</t>
  </si>
  <si>
    <t>Addressable Market for Casinos</t>
  </si>
  <si>
    <t>Adjusted for Proportional Ownership</t>
  </si>
  <si>
    <t>Estimated IP EBITDA</t>
  </si>
  <si>
    <t>Covenant EBITDA</t>
  </si>
  <si>
    <t>Est. Covenant EBITDA (IP Included as Reported)</t>
  </si>
  <si>
    <t>+ Stock-based compensation</t>
  </si>
  <si>
    <t>ND</t>
  </si>
  <si>
    <t>Period End Shares</t>
  </si>
  <si>
    <t>Stardust/Echelon</t>
  </si>
  <si>
    <t>Boyd - Regional Sensitivity</t>
  </si>
  <si>
    <t>Regional EBITDA</t>
  </si>
  <si>
    <t>Total Consolidated EBITDA</t>
  </si>
  <si>
    <t>New Estimates</t>
  </si>
  <si>
    <t>Property EBITDA</t>
  </si>
  <si>
    <t>New</t>
  </si>
  <si>
    <t>Old</t>
  </si>
  <si>
    <t>($US Millions, except per share data)</t>
  </si>
  <si>
    <t>Total OpEx</t>
  </si>
  <si>
    <t>$0-1</t>
  </si>
  <si>
    <t>$1-3</t>
  </si>
  <si>
    <t>$3+</t>
  </si>
  <si>
    <t>Total Admissions Tax</t>
  </si>
  <si>
    <t>Win / admission</t>
  </si>
  <si>
    <t>Iowa</t>
  </si>
  <si>
    <t>Admisssion Tax Levels</t>
  </si>
  <si>
    <t>% growth</t>
  </si>
  <si>
    <t>Diamond Jo Worth</t>
  </si>
  <si>
    <t>Diamond Jo Dubuque</t>
  </si>
  <si>
    <t>Win / position / day</t>
  </si>
  <si>
    <t>Margin %</t>
  </si>
  <si>
    <t>Total Peninsula</t>
  </si>
  <si>
    <t>Sensitivity Analysis</t>
  </si>
  <si>
    <t>Margins</t>
  </si>
  <si>
    <t>Projected</t>
  </si>
  <si>
    <t>vs. BASE</t>
  </si>
  <si>
    <t>2006E</t>
  </si>
  <si>
    <t>2007E</t>
  </si>
  <si>
    <t>2008E</t>
  </si>
  <si>
    <t>Free Cash Flow after Debt Paydown</t>
  </si>
  <si>
    <t>Borgata Net Equity Income to BYD</t>
  </si>
  <si>
    <t>,mscalc:closePriceCurrencyCalc</t>
  </si>
  <si>
    <t>Interest Expense Calc.</t>
  </si>
  <si>
    <t>Equity (funded on BYD's revolver)</t>
  </si>
  <si>
    <t>Tax Rate</t>
  </si>
  <si>
    <t>Investments in unconsol subs, net</t>
  </si>
  <si>
    <t>Other assets, net</t>
  </si>
  <si>
    <t>Cash &amp; Equivalents - Ending</t>
  </si>
  <si>
    <t>Earnings Model</t>
  </si>
  <si>
    <t>Interest expense</t>
  </si>
  <si>
    <t>Total Assets</t>
  </si>
  <si>
    <t>Capital Improvements</t>
  </si>
  <si>
    <t>BYD Consolidated</t>
  </si>
  <si>
    <t>1Q10E</t>
  </si>
  <si>
    <t>2Q10E</t>
  </si>
  <si>
    <t>Beginning Investment</t>
  </si>
  <si>
    <t>Figures in $ Millions</t>
  </si>
  <si>
    <t>Boragata (Atlantic City)</t>
  </si>
  <si>
    <t>Quaterly Tracker</t>
  </si>
  <si>
    <t>Casino Revenues</t>
  </si>
  <si>
    <t>$164-171</t>
  </si>
  <si>
    <t>44-46</t>
  </si>
  <si>
    <t>EV/EBITDA</t>
  </si>
  <si>
    <t>Blue Chip Casino</t>
  </si>
  <si>
    <t>+ Distributions from joint venture</t>
  </si>
  <si>
    <t>EBIT</t>
  </si>
  <si>
    <t xml:space="preserve">  % of Gaming Revenue</t>
  </si>
  <si>
    <t>Quarter-end</t>
  </si>
  <si>
    <t>Total Casino Win/Day/Position</t>
  </si>
  <si>
    <t>Gaming discounts</t>
  </si>
  <si>
    <t>% of total reported gaming revenue</t>
  </si>
  <si>
    <t>Other revenue plug</t>
  </si>
  <si>
    <t>% of total reported non-gaming revenue</t>
  </si>
  <si>
    <t>Capital Expenditures</t>
  </si>
  <si>
    <t>FREE CASH FLOW SUMMARY ($ in millions)</t>
  </si>
  <si>
    <t>$44-46</t>
  </si>
  <si>
    <t>BULL CASE</t>
  </si>
  <si>
    <t>Bull</t>
  </si>
  <si>
    <t>Bear</t>
  </si>
  <si>
    <t>SmartCharts</t>
  </si>
  <si>
    <t>.</t>
  </si>
  <si>
    <t>all values in $</t>
  </si>
  <si>
    <t>X-Axis Labels</t>
  </si>
  <si>
    <t>% of OpCo EBITDA</t>
  </si>
  <si>
    <t>LTM EBITDA</t>
  </si>
  <si>
    <t>LTM RR EBITDA</t>
  </si>
  <si>
    <t>Using LTM RR EBITDA</t>
  </si>
  <si>
    <t>Average Daily Rate</t>
  </si>
  <si>
    <t>$127-134</t>
  </si>
  <si>
    <t>22-24</t>
  </si>
  <si>
    <t>105-110</t>
  </si>
  <si>
    <t>(0.15)-(0.20)</t>
  </si>
  <si>
    <t>Acquisition multiple</t>
  </si>
  <si>
    <t>Equity value per Share, PV</t>
  </si>
  <si>
    <t>Purchase price (100%)</t>
  </si>
  <si>
    <t>Less: Net debt</t>
  </si>
  <si>
    <t>50% interest</t>
  </si>
  <si>
    <t>Quarterly Comparisons</t>
  </si>
  <si>
    <t>(US $ millions, except per share data)</t>
  </si>
  <si>
    <t xml:space="preserve">______ </t>
  </si>
  <si>
    <t>Subordinated Notes</t>
  </si>
  <si>
    <t>Few covenants</t>
  </si>
  <si>
    <t>Acquisitions / dispositions</t>
  </si>
  <si>
    <t>gt:paradice:casinoRev</t>
  </si>
  <si>
    <t>Net Increase in Cash &amp; Equivalents</t>
  </si>
  <si>
    <t>33-35</t>
  </si>
  <si>
    <t>Guidance: Adjusted EPS</t>
  </si>
  <si>
    <t>88-93</t>
  </si>
  <si>
    <t>32-34</t>
  </si>
  <si>
    <t>73-78</t>
  </si>
  <si>
    <t>34-37</t>
  </si>
  <si>
    <t>65-70</t>
  </si>
  <si>
    <t>52-55</t>
  </si>
  <si>
    <t>127-137</t>
  </si>
  <si>
    <t>118-128</t>
  </si>
  <si>
    <t>110-120</t>
  </si>
  <si>
    <t>Net Income</t>
  </si>
  <si>
    <t>Swaps</t>
  </si>
  <si>
    <t>$(0.05)-0.00</t>
  </si>
  <si>
    <t>Non-operating expenses from Borgata</t>
  </si>
  <si>
    <t>Net PP&amp;E</t>
  </si>
  <si>
    <t>Net Free Cash Flow per Share</t>
  </si>
  <si>
    <t>% Growth (y-o-y)</t>
  </si>
  <si>
    <t>Less: Corporate Expense</t>
  </si>
  <si>
    <t>Total Wholly-owned EBITDA less corp exp</t>
  </si>
  <si>
    <t>(0.04)-1.10</t>
  </si>
  <si>
    <t>0.05-0.09</t>
  </si>
  <si>
    <t>0.06-0.10</t>
  </si>
  <si>
    <t>0.00-0.03</t>
  </si>
  <si>
    <t>0.18-0.23</t>
  </si>
  <si>
    <t>0.28-0.33</t>
  </si>
  <si>
    <t>0.30-0.35</t>
  </si>
  <si>
    <t>0.37-0.42</t>
  </si>
  <si>
    <t>0.40-0.45</t>
  </si>
  <si>
    <t>Debt schedule ($ in millions)</t>
  </si>
  <si>
    <t>Recurring Net Income to BYD</t>
  </si>
  <si>
    <t>Return on Equity / Assets</t>
  </si>
  <si>
    <t>TTM EBITDA</t>
  </si>
  <si>
    <t>TTM Interest Expense</t>
  </si>
  <si>
    <t>TTM Net Income</t>
  </si>
  <si>
    <t>TTM Net Revenue</t>
  </si>
  <si>
    <t>Average Assets</t>
  </si>
  <si>
    <t>Average Equity</t>
  </si>
  <si>
    <t>Adjusted Return on Equity</t>
  </si>
  <si>
    <t>Net Margin (Net Income/Net Revenue)</t>
  </si>
  <si>
    <t>Asset Turnover (Net Revenue/Avg. Assets)</t>
  </si>
  <si>
    <t>Leverage (Avg. Assets/Avg. Equity)</t>
  </si>
  <si>
    <t xml:space="preserve">               </t>
  </si>
  <si>
    <t>TTM ROE</t>
  </si>
  <si>
    <t>TTM Return on Assets</t>
  </si>
  <si>
    <t>TTM Unleveraged ROA</t>
  </si>
  <si>
    <t>Borgata Other Expense to BYD</t>
  </si>
  <si>
    <t>Bank Credit Facility (post Dec '10 refi)</t>
  </si>
  <si>
    <t>Unamortized Discounts / Fees</t>
  </si>
  <si>
    <t>Peninsula acquisition</t>
  </si>
  <si>
    <t>Assumed debt</t>
  </si>
  <si>
    <t>Cash (PIK loan)</t>
  </si>
  <si>
    <t>Interest Expense (post-refi)</t>
  </si>
  <si>
    <t xml:space="preserve">            </t>
  </si>
  <si>
    <t>Annual Cash Flow</t>
  </si>
  <si>
    <t>2013e Segment EBITDA</t>
  </si>
  <si>
    <t>ROE</t>
  </si>
  <si>
    <t>IP acquisition</t>
  </si>
  <si>
    <t>Paid $1.55B</t>
  </si>
  <si>
    <t>$200mm cash</t>
  </si>
  <si>
    <t>Holdco $147mm ($210mm if PIK all the way out)</t>
  </si>
  <si>
    <t>Peninsula note $350mm</t>
  </si>
  <si>
    <t>Term loan $825</t>
  </si>
  <si>
    <t>Revolver $25</t>
  </si>
  <si>
    <t>2012e EBITDA</t>
  </si>
  <si>
    <t>Cash from Investing Activities</t>
  </si>
  <si>
    <t>Cash Flows from Investing Activities</t>
  </si>
  <si>
    <t>Cash Flows from Operations</t>
  </si>
  <si>
    <t>LV Locals (NV)</t>
  </si>
  <si>
    <t>LV Downtown (NV)</t>
  </si>
  <si>
    <t>Sam's Town Shreveport (LA)</t>
  </si>
  <si>
    <t>2Q07</t>
  </si>
  <si>
    <t>0.44-0.49</t>
  </si>
  <si>
    <t>0.50-0.55</t>
  </si>
  <si>
    <t>0.35-0.40</t>
  </si>
  <si>
    <t>0.58-0.62</t>
  </si>
  <si>
    <t>0.70-0.74</t>
  </si>
  <si>
    <t>0.53-0.55</t>
  </si>
  <si>
    <t>0.53-0.56</t>
  </si>
  <si>
    <t>Note: For Midwest &amp; South segment, casino revenues are provided.</t>
  </si>
  <si>
    <t>EBITDA Margin %</t>
  </si>
  <si>
    <t xml:space="preserve">  Gaming Revenue</t>
  </si>
  <si>
    <t>Gaming Taxes</t>
  </si>
  <si>
    <t xml:space="preserve">  Admissions</t>
  </si>
  <si>
    <t>Par-a-Dice</t>
  </si>
  <si>
    <t xml:space="preserve">  Gaming Revenues</t>
  </si>
  <si>
    <t>Total Gaming</t>
  </si>
  <si>
    <t>Total Tax</t>
  </si>
  <si>
    <t>Balance Sheet</t>
  </si>
  <si>
    <t>Boyd</t>
  </si>
  <si>
    <t>1Q07</t>
  </si>
  <si>
    <t>Redevelopment</t>
  </si>
  <si>
    <t>4Q08</t>
  </si>
  <si>
    <t>Dividends per share</t>
  </si>
  <si>
    <t>Total Expenses</t>
  </si>
  <si>
    <t>RevPAR</t>
  </si>
  <si>
    <t>Gross PP&amp;E</t>
  </si>
  <si>
    <t>Additional Paid-In Capital</t>
  </si>
  <si>
    <t>California*</t>
  </si>
  <si>
    <t>Markets ex. NJ where BYD is currently licensed</t>
  </si>
  <si>
    <t>BYD Stand-alone (only in BYD licensed states)</t>
  </si>
  <si>
    <t>BYD/MGM/BPTY JV (PartyPoker, etc)</t>
  </si>
  <si>
    <t>Total addressable mkt for BYD (ex. NJ)</t>
  </si>
  <si>
    <t>PartyPoker JV Share (NJ)</t>
  </si>
  <si>
    <t>PartyPoker JV Share (Other BYD states)</t>
  </si>
  <si>
    <t>BYD Share (Other BYD states)</t>
  </si>
  <si>
    <t>% Margin - Borgata</t>
  </si>
  <si>
    <t>% Margin - PartyPoker JV</t>
  </si>
  <si>
    <t>EBITDA Margin - Borgata / BYD</t>
  </si>
  <si>
    <t>EBITDA Margin - PartyPoker JV</t>
  </si>
  <si>
    <t>PartyPoker JV (NJ)</t>
  </si>
  <si>
    <t>BYD (Other BYD states)</t>
  </si>
  <si>
    <t>PartyPoker JV (Other BYD states)</t>
  </si>
  <si>
    <t>Admisssion Tax</t>
  </si>
  <si>
    <t xml:space="preserve">  Gaming Taxes</t>
  </si>
  <si>
    <t>$0-25</t>
  </si>
  <si>
    <t>$26-50</t>
  </si>
  <si>
    <t>$51-75</t>
  </si>
  <si>
    <t>Admissions</t>
  </si>
  <si>
    <t>Admission Taxes</t>
  </si>
  <si>
    <t>Total Taxes</t>
  </si>
  <si>
    <t>Indiana Taxes</t>
  </si>
  <si>
    <t>Admission Tax</t>
  </si>
  <si>
    <t>% of Gaming Revenue</t>
  </si>
  <si>
    <t>$76-150</t>
  </si>
  <si>
    <t>$151 +</t>
  </si>
  <si>
    <t>http://www.bls.gov/lau/home.htm</t>
  </si>
  <si>
    <t>MSA</t>
  </si>
  <si>
    <t>2004m1</t>
  </si>
  <si>
    <t>2004m2</t>
  </si>
  <si>
    <t>2004m3</t>
  </si>
  <si>
    <t>2004m4</t>
  </si>
  <si>
    <t>2004m5</t>
  </si>
  <si>
    <t>2004m6</t>
  </si>
  <si>
    <t>Unemployment Rate</t>
  </si>
  <si>
    <t>- Dividends</t>
  </si>
  <si>
    <t>Gold Coast</t>
  </si>
  <si>
    <t>Orleans</t>
  </si>
  <si>
    <t>Suncoast</t>
  </si>
  <si>
    <t>Non-recurring adjustment</t>
  </si>
  <si>
    <t>Non operating</t>
  </si>
  <si>
    <t>Figures in $US Millions</t>
  </si>
  <si>
    <t>BYD (Parent) Liquidity Analysis</t>
  </si>
  <si>
    <t>Excess Cash</t>
  </si>
  <si>
    <t>Cash Flow from Ops</t>
  </si>
  <si>
    <t>Less: Borgata FCF (not distributed)</t>
  </si>
  <si>
    <t>Plus: Operating FCF @ BYD Parent</t>
  </si>
  <si>
    <t>Plus: Dania Sale</t>
  </si>
  <si>
    <t>Parent Sources</t>
  </si>
  <si>
    <t>Plus: Non-extending Revolver Availability</t>
  </si>
  <si>
    <t>BYD Online Valuation</t>
  </si>
  <si>
    <t>Estimated Value to BYD (consolidated)</t>
  </si>
  <si>
    <t>Estimated Value to PartyPoker JV (consolidated)</t>
  </si>
  <si>
    <t>Total Value to BYD</t>
  </si>
  <si>
    <t>BYD Current Value / Share for NJ</t>
  </si>
  <si>
    <t>BYD Share</t>
  </si>
  <si>
    <t>BYD Current Value / Share for Other States</t>
  </si>
  <si>
    <t>Total BYD Value / Share</t>
  </si>
  <si>
    <t>Total 2020E Addressable Market</t>
  </si>
  <si>
    <t>Total 2020E Addressable Market (ex NJ)</t>
  </si>
  <si>
    <t>Other BYD States</t>
  </si>
  <si>
    <t>Margin</t>
  </si>
  <si>
    <t>NPV Discounted @ 15% / 8.6x Terminal Value</t>
  </si>
  <si>
    <t>2015E Revenue Multiple</t>
  </si>
  <si>
    <t>All States</t>
  </si>
  <si>
    <t>Addressable Market</t>
  </si>
  <si>
    <t>4Q13A</t>
  </si>
  <si>
    <t>$15-17m</t>
  </si>
  <si>
    <t>$129-136</t>
  </si>
  <si>
    <t>$140-145</t>
  </si>
  <si>
    <t>Term Loan due 2018</t>
  </si>
  <si>
    <t>PropCo EBITDA</t>
  </si>
  <si>
    <t>Equity value / Share</t>
  </si>
  <si>
    <t>OpCo EBITDA</t>
  </si>
  <si>
    <t>2013e</t>
  </si>
  <si>
    <t>2014e</t>
  </si>
  <si>
    <t>Rent Expense</t>
  </si>
  <si>
    <t>PropCo (REIT)</t>
  </si>
  <si>
    <t>Rental revenue (from OpCo)</t>
  </si>
  <si>
    <t>AFFO</t>
  </si>
  <si>
    <t>Less: D&amp;A, plus maint capex</t>
  </si>
  <si>
    <t>Rent Coverage</t>
  </si>
  <si>
    <t>2015e</t>
  </si>
  <si>
    <t>Incremental Corporate Expense</t>
  </si>
  <si>
    <t>Leverage</t>
  </si>
  <si>
    <t>Combined EBITDA</t>
  </si>
  <si>
    <t>PropCo</t>
  </si>
  <si>
    <t>Re-rate to GLPI / PENN multiples</t>
  </si>
  <si>
    <t>Incremental Shares</t>
  </si>
  <si>
    <t>BYD (OpCo)</t>
  </si>
  <si>
    <t>Equity Issuance</t>
  </si>
  <si>
    <t>Offer Price</t>
  </si>
  <si>
    <t>Pro Forma Equity Value</t>
  </si>
  <si>
    <t>Pro Forma Shares</t>
  </si>
  <si>
    <t>Pro Forma Equity Value / Share</t>
  </si>
  <si>
    <t>Equity value / Share before Equity Raise</t>
  </si>
  <si>
    <t>Assumed $1.0B Equity Raise</t>
  </si>
  <si>
    <t>Leverage (after Capitalizing Rent)</t>
  </si>
  <si>
    <t>PropCo Leverage</t>
  </si>
  <si>
    <t>OpCo Leverage</t>
  </si>
  <si>
    <t>OpCo Leverage (after Capitalizing Rent)</t>
  </si>
  <si>
    <t>AFFO per Share</t>
  </si>
  <si>
    <t>Price / AFFO</t>
  </si>
  <si>
    <t>Less: Other</t>
  </si>
  <si>
    <t>Pre-tax Income</t>
  </si>
  <si>
    <t>Less: Income Tax Expense</t>
  </si>
  <si>
    <t>______</t>
  </si>
  <si>
    <t>$800m of capital used for debt paydown at PropCo</t>
  </si>
  <si>
    <t>$200m of capital used for debt paydown at PropCo</t>
  </si>
  <si>
    <t>+ BYD's 50% in Borgata</t>
  </si>
  <si>
    <t>EBITDAR (less Borgata)</t>
  </si>
  <si>
    <t>Adj OpCo EBITDA (incl. 50% Borgata)</t>
  </si>
  <si>
    <t>BYD Pro-Forma Valuation</t>
  </si>
  <si>
    <t>Equity value / Share (excl. NOLs)</t>
  </si>
  <si>
    <t>Plus: NPV of Net Loss Carry Forwards</t>
  </si>
  <si>
    <t>Pro Forma Equity Value / Share (incl. NOLs)</t>
  </si>
  <si>
    <t>Assumed Interest Rate</t>
  </si>
  <si>
    <t>OpCo / PropCo Cash Flow Analysis (Based on Model / Base Case Below)</t>
  </si>
  <si>
    <t>Payout Ratio (on AFFO)</t>
  </si>
  <si>
    <t>Dividend Yield</t>
  </si>
  <si>
    <t>PropCo Base Value Post Equity Raise</t>
  </si>
  <si>
    <t>Operating FCF</t>
  </si>
  <si>
    <t>OpCo Base Value Post Equity Raise</t>
  </si>
  <si>
    <t>Operating FCF / Share</t>
  </si>
  <si>
    <t>OpCo FCF Yield</t>
  </si>
  <si>
    <t>Upside / (Downside)</t>
  </si>
  <si>
    <t>GLPI Acquires PropCo</t>
  </si>
  <si>
    <t>Assumed Multiple</t>
  </si>
  <si>
    <t>PropCo Rental Revenue</t>
  </si>
  <si>
    <t>Debt Issued</t>
  </si>
  <si>
    <t>Equity Issued</t>
  </si>
  <si>
    <t>Share price</t>
  </si>
  <si>
    <t>Shares issued for Acquisition</t>
  </si>
  <si>
    <t>Incremental EBITDA to GLPI</t>
  </si>
  <si>
    <t>GLPI Multiple</t>
  </si>
  <si>
    <t>Value Per GLPI Share</t>
  </si>
  <si>
    <t>Leverage Analysis</t>
  </si>
  <si>
    <t>Existing GLPI Debt</t>
  </si>
  <si>
    <t>New Debt</t>
  </si>
  <si>
    <t>Total Pro Forma Debt</t>
  </si>
  <si>
    <t>GLPI EBITDA</t>
  </si>
  <si>
    <t>Plus: Incremental EBITDA</t>
  </si>
  <si>
    <t>Pro Forma EBITDA</t>
  </si>
  <si>
    <t>Pro Forma Leverage</t>
  </si>
  <si>
    <t>Discounted Back 2 Years @ 10%</t>
  </si>
  <si>
    <t>Borgata Operating Free Cash Flow</t>
  </si>
  <si>
    <t>Implied 50% Peak</t>
  </si>
  <si>
    <t>Imlpied EBITDA at 7x</t>
  </si>
  <si>
    <t>4Q12A</t>
  </si>
  <si>
    <t>1Q13</t>
  </si>
  <si>
    <t>$70-75</t>
  </si>
  <si>
    <t>Prop. EBITDA Margin</t>
  </si>
  <si>
    <t>1Q13A</t>
  </si>
  <si>
    <t>$25-27</t>
  </si>
  <si>
    <t>EBITDA margin</t>
  </si>
  <si>
    <t>Y/Y Growth</t>
  </si>
  <si>
    <t>% of Property EBITDA</t>
  </si>
  <si>
    <t>Cons</t>
  </si>
  <si>
    <t xml:space="preserve">MSe </t>
  </si>
  <si>
    <t>Borgata (Atlantic City)</t>
  </si>
  <si>
    <t>Total Central Region Taxes</t>
  </si>
  <si>
    <t>Current leverage (2012)</t>
  </si>
  <si>
    <t>Revolving Credit Facility due 2018</t>
  </si>
  <si>
    <t>$250m Term Loan A due 2018</t>
  </si>
  <si>
    <t>Extended Revolving Facility</t>
  </si>
  <si>
    <t>$1.0B Term Loan B due 2020</t>
  </si>
  <si>
    <t>Accrued liabilities and other</t>
  </si>
  <si>
    <t>MW Tags</t>
  </si>
  <si>
    <t>Unrecorded Goodwill</t>
  </si>
  <si>
    <t>Discounted Back 3 Years @ 20%</t>
  </si>
  <si>
    <t>Effective Tax Rate</t>
  </si>
  <si>
    <t>Tax Levels</t>
  </si>
  <si>
    <t>MS Estimates</t>
  </si>
  <si>
    <t>Variance</t>
  </si>
  <si>
    <t>Boyd LV Locals EBITDA trough</t>
  </si>
  <si>
    <t>Penn</t>
  </si>
  <si>
    <t>Boyd LV Locals</t>
  </si>
  <si>
    <t>2013</t>
  </si>
  <si>
    <t>4Q10</t>
  </si>
  <si>
    <t>Operating Income</t>
  </si>
  <si>
    <t>2015E</t>
  </si>
  <si>
    <t>Net Revenue (per NJ)</t>
  </si>
  <si>
    <t>Net Revenue (per Boyd)</t>
  </si>
  <si>
    <t>Imperial Palace</t>
  </si>
  <si>
    <t>Summary Income Statement</t>
  </si>
  <si>
    <t>Summary Free Cash Flow</t>
  </si>
  <si>
    <t>Discounted two years at 10%</t>
  </si>
  <si>
    <t>Corporate expense</t>
  </si>
  <si>
    <t>Current BYD Price Target</t>
  </si>
  <si>
    <t>Financing</t>
  </si>
  <si>
    <t>% Equity</t>
  </si>
  <si>
    <t>Diluted shares</t>
  </si>
  <si>
    <t>Scenario</t>
  </si>
  <si>
    <t>Consensus EBITDA (ASCA)</t>
  </si>
  <si>
    <t>Pro-forma leverage (2012)</t>
  </si>
  <si>
    <t>Current leverage (2011)</t>
  </si>
  <si>
    <t>Pro-forma leverage (2011)</t>
  </si>
  <si>
    <t>Shares issued</t>
  </si>
  <si>
    <t>Incremental debt</t>
  </si>
  <si>
    <t>Assumed discount</t>
  </si>
  <si>
    <t>% accretion</t>
  </si>
  <si>
    <t>Trigger</t>
  </si>
  <si>
    <t>Accretion / Dilution Analysis</t>
  </si>
  <si>
    <t>Implied Valuation</t>
  </si>
  <si>
    <t>Incremental EBITDA</t>
  </si>
  <si>
    <t>Atlantic City / Borgata</t>
  </si>
  <si>
    <t>Stardust / Echelon</t>
  </si>
  <si>
    <t>Noncontrolling interest</t>
  </si>
  <si>
    <t>Net Income to BYD</t>
  </si>
  <si>
    <t>Net Income from continuing ops</t>
  </si>
  <si>
    <t>Cash</t>
  </si>
  <si>
    <t>Net income</t>
  </si>
  <si>
    <t>Borgata Interest</t>
  </si>
  <si>
    <t>Less: Borgata Noncontrolling interest (50%)</t>
  </si>
  <si>
    <t>gt:samsshreveport:casinoRev</t>
  </si>
  <si>
    <t>gt:borgata:casinoRev</t>
  </si>
  <si>
    <t>BYD can increase commitments by another $150mm per credit agreement ($350mm already used)</t>
  </si>
  <si>
    <t>Credit Facility - 20.6mm</t>
  </si>
  <si>
    <t>Addictive Gambling Fee</t>
  </si>
  <si>
    <t>Broward Taxes</t>
  </si>
  <si>
    <t>$0-250</t>
  </si>
  <si>
    <t>$250+</t>
  </si>
  <si>
    <t>NJ Gaming Market (forecast by H2 Gambling Capital)</t>
  </si>
  <si>
    <t>Las Vegas Locals Expenses</t>
  </si>
  <si>
    <t>BYD EBITDA</t>
  </si>
  <si>
    <t>% Growth (CAGR)</t>
  </si>
  <si>
    <t>Earnings per Share - Diluted</t>
  </si>
  <si>
    <t>Recurring Earnings per Share - Basic</t>
  </si>
  <si>
    <t>Recurring Earnings per Share - Diluted</t>
  </si>
  <si>
    <t>Average Basic Shares Outstanding (EPS calc)</t>
  </si>
  <si>
    <t>Plus: Non-Recurring Items</t>
  </si>
  <si>
    <t>3Q04</t>
  </si>
  <si>
    <t>4Q04</t>
  </si>
  <si>
    <t>4Q11</t>
  </si>
  <si>
    <t>FactSet Consensus (as of 7/22/11)</t>
  </si>
  <si>
    <t>Accumulated other losses, net</t>
  </si>
  <si>
    <t>Total current liabilities</t>
  </si>
  <si>
    <t>Long-term debt</t>
  </si>
  <si>
    <t>Other liabilities</t>
  </si>
  <si>
    <t>One-Time Expenses</t>
  </si>
  <si>
    <t>Pre-Tax Income</t>
  </si>
  <si>
    <t>Average Positions</t>
  </si>
  <si>
    <t>3Q10E</t>
  </si>
  <si>
    <t>4Q10E</t>
  </si>
  <si>
    <t>1Q11E</t>
  </si>
  <si>
    <t>2Q11E</t>
  </si>
  <si>
    <t>3Q11E</t>
  </si>
  <si>
    <t>4Q11E</t>
  </si>
  <si>
    <t>Plus: Amortization of discounts / financings</t>
  </si>
  <si>
    <t>Less: Maintenance Capex</t>
  </si>
  <si>
    <t>Borgata FCF</t>
  </si>
  <si>
    <t>Less: Project Capex</t>
  </si>
  <si>
    <t>Unamortized Discounts and Unamortized Origination Fees</t>
  </si>
  <si>
    <t>1Q09E</t>
  </si>
  <si>
    <t>2Q09E</t>
  </si>
  <si>
    <t>3Q09E</t>
  </si>
  <si>
    <t>4Q09E</t>
  </si>
  <si>
    <t>Central Region</t>
  </si>
  <si>
    <t>Total Depreciation</t>
  </si>
  <si>
    <t>Operating Expenses</t>
  </si>
  <si>
    <t>Revenue Levels</t>
  </si>
  <si>
    <t>Unemployment Rate %</t>
  </si>
  <si>
    <t>Taxes</t>
  </si>
  <si>
    <t>1Q08</t>
  </si>
  <si>
    <t>Boulder Strip Properties</t>
  </si>
  <si>
    <t>Long-Term Debt</t>
  </si>
  <si>
    <t>2018E</t>
  </si>
  <si>
    <t>2019E</t>
  </si>
  <si>
    <t>2020E</t>
  </si>
  <si>
    <t>8.375% senior notes due 2018 (Acquisition financing)</t>
  </si>
  <si>
    <t>70-75</t>
  </si>
  <si>
    <t>77-82</t>
  </si>
  <si>
    <t>Guidance: Borgata EBITDA</t>
  </si>
  <si>
    <t>47-49</t>
  </si>
  <si>
    <t>90-95</t>
  </si>
  <si>
    <t>FactSet Consensus (as of 10/24/11)</t>
  </si>
  <si>
    <t>3Q11A</t>
  </si>
  <si>
    <t>BYD Guidance Table</t>
  </si>
  <si>
    <t>Item</t>
  </si>
  <si>
    <t>MS</t>
  </si>
  <si>
    <t>BYD Wholly-</t>
  </si>
  <si>
    <t>Owned EBITDA</t>
  </si>
  <si>
    <t>Borgata EBITDA</t>
  </si>
  <si>
    <t>BYD EPS</t>
  </si>
  <si>
    <t>Borgata (50% JV with MGM)</t>
  </si>
  <si>
    <t>OTHER STATISTICS</t>
  </si>
  <si>
    <t>Other Investment Capex</t>
  </si>
  <si>
    <t>Total Capital Expenditures</t>
  </si>
  <si>
    <t>Multiple</t>
  </si>
  <si>
    <t>Borgata Share (NJ)</t>
  </si>
  <si>
    <t>United States Est. Market Size</t>
  </si>
  <si>
    <t>BYD Revenue</t>
  </si>
  <si>
    <t>BYD PartyPoker JV Ownership</t>
  </si>
  <si>
    <t>BYD Standalone</t>
  </si>
  <si>
    <t>MGM Standalone</t>
  </si>
  <si>
    <t>MGM Share (Other States)</t>
  </si>
  <si>
    <t>MGM Market Share</t>
  </si>
  <si>
    <t>MGM Revenue</t>
  </si>
  <si>
    <t>MGM EBITDA</t>
  </si>
  <si>
    <t>Online Gaming</t>
  </si>
  <si>
    <t>Market Share</t>
  </si>
  <si>
    <t>PartyPoker JV</t>
  </si>
  <si>
    <t>Price target</t>
  </si>
  <si>
    <t>Currency</t>
  </si>
  <si>
    <t>Equity</t>
  </si>
  <si>
    <t>Purchase Price</t>
  </si>
  <si>
    <t>Total Current Assets</t>
  </si>
  <si>
    <t>Employment</t>
  </si>
  <si>
    <t>Plus: Excess cash</t>
  </si>
  <si>
    <t>Equity Value</t>
  </si>
  <si>
    <t>Equity value per share</t>
  </si>
  <si>
    <t>Discount Rate (WACC)</t>
  </si>
  <si>
    <t>Terminal Growth Rate</t>
  </si>
  <si>
    <t>Implied Terminal EBITDA Multiple</t>
  </si>
  <si>
    <t>Thomson Reuters Consensus (as of 2/20/12)</t>
  </si>
  <si>
    <t>1Q12</t>
  </si>
  <si>
    <t>2Q13A</t>
  </si>
  <si>
    <t>3Q13</t>
  </si>
  <si>
    <t>Thomson Reuters Consensus (as of 5/13/13)</t>
  </si>
  <si>
    <t>BYD 3Q13 Guidance Table</t>
  </si>
  <si>
    <t>Covenant Analysis</t>
  </si>
  <si>
    <t xml:space="preserve">  % CRDA Tax</t>
  </si>
  <si>
    <t xml:space="preserve">  % Luxury Tax</t>
  </si>
  <si>
    <t>,mscalc:sedolCodeCalc</t>
  </si>
  <si>
    <t>,mscalc:targetPrice,,,,USD</t>
  </si>
  <si>
    <t>% of EBITDA</t>
  </si>
  <si>
    <t>Income Statement</t>
  </si>
  <si>
    <t xml:space="preserve">  Comps as a % of Revenue</t>
  </si>
  <si>
    <t>4Q12</t>
  </si>
  <si>
    <t>Gaming revenue</t>
  </si>
  <si>
    <t>Other revenue</t>
  </si>
  <si>
    <t>Gaming taxes</t>
  </si>
  <si>
    <t>% of revenue</t>
  </si>
  <si>
    <t>Other OpEx</t>
  </si>
  <si>
    <t>+ Tax impact from stock based compensation</t>
  </si>
  <si>
    <r>
      <t xml:space="preserve">(b) </t>
    </r>
    <r>
      <rPr>
        <u/>
        <sz val="10"/>
        <rFont val="Arial"/>
        <family val="2"/>
      </rPr>
      <t>Total Leverage Ratio</t>
    </r>
    <r>
      <rPr>
        <sz val="10"/>
        <rFont val="Arial"/>
        <family val="2"/>
      </rPr>
      <t xml:space="preserve">. Permit the Total Leverage Ratio on the last day of any period of four fiscal quarters of the Borrower set forth below to be greater than the ratio set forth below opposite such period: </t>
    </r>
  </si>
  <si>
    <t>5.7% Notes due March 2013</t>
  </si>
  <si>
    <t>2009E</t>
  </si>
  <si>
    <t>2010E</t>
  </si>
  <si>
    <t>Equity value per share, existing onground operations</t>
  </si>
  <si>
    <t>Online gaming (current value)</t>
  </si>
  <si>
    <t>BYD markets</t>
  </si>
  <si>
    <t>7.5(Q)</t>
  </si>
  <si>
    <t>Mississippi (estimated)</t>
  </si>
  <si>
    <t>2006m11</t>
  </si>
  <si>
    <t>2006m12</t>
  </si>
  <si>
    <t>2007m1</t>
  </si>
  <si>
    <t>2007m2</t>
  </si>
  <si>
    <t>2007m3</t>
  </si>
  <si>
    <t>2007m4</t>
  </si>
  <si>
    <t>2007m5</t>
  </si>
  <si>
    <t>2007m6</t>
  </si>
  <si>
    <t>2007m7</t>
  </si>
  <si>
    <t>2007m8</t>
  </si>
  <si>
    <t>2007m9</t>
  </si>
  <si>
    <t>2007m10</t>
  </si>
  <si>
    <t>2007m11</t>
  </si>
  <si>
    <t>2007m12</t>
  </si>
  <si>
    <t>2008m1</t>
  </si>
  <si>
    <t>2008m2</t>
  </si>
  <si>
    <t>2008m3</t>
  </si>
  <si>
    <t>2008m4</t>
  </si>
  <si>
    <t>2008m5</t>
  </si>
  <si>
    <t>2008m6</t>
  </si>
  <si>
    <t>Price paid</t>
  </si>
  <si>
    <t>Investments in unconsolidated subs</t>
  </si>
  <si>
    <t>2Q11A</t>
  </si>
  <si>
    <t>2Q11</t>
  </si>
  <si>
    <t>3Q11</t>
  </si>
  <si>
    <t>Required</t>
  </si>
  <si>
    <t>Actual</t>
  </si>
  <si>
    <t>(US$ million, except per share data)</t>
  </si>
  <si>
    <t>Enterprise</t>
  </si>
  <si>
    <t>x</t>
  </si>
  <si>
    <t>Subtotal</t>
  </si>
  <si>
    <t>Equals: Equity value</t>
  </si>
  <si>
    <t>1Q11A</t>
  </si>
  <si>
    <t>Current Stock Price</t>
  </si>
  <si>
    <t>% of Segment</t>
  </si>
  <si>
    <t>Peoria</t>
  </si>
  <si>
    <t>Par-A-Dice (IL)</t>
  </si>
  <si>
    <t>Treasure Chest (LA)</t>
  </si>
  <si>
    <t>New Orleans</t>
  </si>
  <si>
    <t>Chicago CSA</t>
  </si>
  <si>
    <t>Shreveport/Bossier</t>
  </si>
  <si>
    <t>Houston CSA</t>
  </si>
  <si>
    <t>Memphis</t>
  </si>
  <si>
    <t>Revenues</t>
  </si>
  <si>
    <t>4Q09</t>
  </si>
  <si>
    <t>2004m7</t>
  </si>
  <si>
    <t>2004m8</t>
  </si>
  <si>
    <t>2004m9</t>
  </si>
  <si>
    <t>2004m10</t>
  </si>
  <si>
    <t>2004m11</t>
  </si>
  <si>
    <t>2004m12</t>
  </si>
  <si>
    <t>2005m1</t>
  </si>
  <si>
    <t>2005m2</t>
  </si>
  <si>
    <t>2005m3</t>
  </si>
  <si>
    <t>2005m4</t>
  </si>
  <si>
    <t>2005m5</t>
  </si>
  <si>
    <t>2005m6</t>
  </si>
  <si>
    <t>2005m7</t>
  </si>
  <si>
    <t>2005m8</t>
  </si>
  <si>
    <t>2005m9</t>
  </si>
  <si>
    <t>Incremental FCF (ASCA)</t>
  </si>
  <si>
    <t>EBITDA growth, 2012</t>
  </si>
  <si>
    <t>Sensitivity</t>
  </si>
  <si>
    <t>ASCA EBITDA CAGR</t>
  </si>
  <si>
    <t>ROIC, Total capital</t>
  </si>
  <si>
    <t>Total capital</t>
  </si>
  <si>
    <t>Total Return</t>
  </si>
  <si>
    <t>Nevada ex. Strip</t>
  </si>
  <si>
    <t xml:space="preserve">              </t>
  </si>
  <si>
    <t>Stock based compensation</t>
  </si>
  <si>
    <t>Tax benefit from stock options exercised</t>
  </si>
  <si>
    <t>Recurring Net Income</t>
  </si>
  <si>
    <t>Downtown LV Properties</t>
  </si>
  <si>
    <t>Gaming Comp Sheet</t>
  </si>
  <si>
    <t>2013A</t>
  </si>
  <si>
    <t>N/A</t>
  </si>
  <si>
    <t>PENN FY Revenue Guidance Revision</t>
  </si>
  <si>
    <t>1Q14</t>
  </si>
  <si>
    <t>???</t>
  </si>
  <si>
    <t>Revenue  vs. Consensus</t>
  </si>
  <si>
    <t>EBITDAR vs. Consensus</t>
  </si>
  <si>
    <t>Fwd Qtr EBITDA Guidance vs. Cons</t>
  </si>
  <si>
    <t>1-Day EPS Stock Reaction</t>
  </si>
  <si>
    <t>Revenue vs. Consensus</t>
  </si>
  <si>
    <t>EBITDA vs. Consensus</t>
  </si>
  <si>
    <t>PENN vs. BYD Earnings Reactions</t>
  </si>
  <si>
    <t>FY EBITDAR Guidance Revision</t>
  </si>
  <si>
    <t>Fwd Qtr EBITDAR Guidance vs. Cons</t>
  </si>
  <si>
    <t>1Q14A</t>
  </si>
  <si>
    <t>Online Gaming Revenue</t>
  </si>
  <si>
    <t>EBITDA (per Boyd)</t>
  </si>
  <si>
    <t>EBITDA Impact of Online Gaming</t>
  </si>
  <si>
    <t>Implied Borgata On-Ground EBITDA</t>
  </si>
  <si>
    <t>Online Gaming Expenses</t>
  </si>
  <si>
    <t>OnGround Gaming Tax Expense</t>
  </si>
  <si>
    <t>Online Gaming Tax Expense</t>
  </si>
  <si>
    <t>BYD consolidated</t>
  </si>
  <si>
    <t>On-Ground Operating Expenses</t>
  </si>
  <si>
    <t>Borgata (ex. Online Gaming)</t>
  </si>
  <si>
    <t>Less: Cash</t>
  </si>
  <si>
    <t>Adjusted Net Debt / Adjusted EBITDA</t>
  </si>
  <si>
    <t>Net interest expense</t>
  </si>
  <si>
    <t>Net interest coverage</t>
  </si>
  <si>
    <t>Adjusted Net FCF</t>
  </si>
  <si>
    <t>Macau Data</t>
  </si>
  <si>
    <t>VIP Rolling Chip</t>
  </si>
  <si>
    <t>VIP Win</t>
  </si>
  <si>
    <t>VIP Hold %</t>
  </si>
  <si>
    <t>Mass Table Drop</t>
  </si>
  <si>
    <t>Mass Win</t>
  </si>
  <si>
    <t>Mass Hold %</t>
  </si>
  <si>
    <t>Slot Handle</t>
  </si>
  <si>
    <t>Slot Win</t>
  </si>
  <si>
    <t>Slot Hold %</t>
  </si>
  <si>
    <t>Other</t>
  </si>
  <si>
    <t>Monthly Y/Y Growth</t>
  </si>
  <si>
    <t>Actuals</t>
  </si>
  <si>
    <t>Major LV Operations includes Red Rock (since 4/18/06), Palace Station, Boulder Station, Texas Station, Sunset Station, Santa Fe Station, Fiesta Rancho, and Fiesta Henderson.</t>
  </si>
  <si>
    <t>(California/Fremont/MainStreet)</t>
  </si>
  <si>
    <t>Sam's Town Tunica (MS) - Estimated</t>
  </si>
  <si>
    <t>Casino Revenues (est)</t>
  </si>
  <si>
    <t>Other Revenues (est)</t>
  </si>
  <si>
    <t>Leverage Ratios</t>
  </si>
  <si>
    <t>Wholly-Owned</t>
  </si>
  <si>
    <t>Other Revenue, net of Promotionals</t>
  </si>
  <si>
    <t>% of Casino Revenues</t>
  </si>
  <si>
    <t>States</t>
  </si>
  <si>
    <t>BYD is in:</t>
  </si>
  <si>
    <t>Nevada</t>
  </si>
  <si>
    <t>Illinois</t>
  </si>
  <si>
    <t>Indiana</t>
  </si>
  <si>
    <t>Louisiana</t>
  </si>
  <si>
    <t>Kansas</t>
  </si>
  <si>
    <t>New Jersey</t>
  </si>
  <si>
    <t>Florida</t>
  </si>
  <si>
    <t>US Regulated Online Gambling Market</t>
  </si>
  <si>
    <t>California</t>
  </si>
  <si>
    <t>Colorado</t>
  </si>
  <si>
    <t>Connecticut</t>
  </si>
  <si>
    <t>Delaware</t>
  </si>
  <si>
    <t>125-130</t>
  </si>
  <si>
    <t>132-137</t>
  </si>
  <si>
    <t>120-125</t>
  </si>
  <si>
    <t>4Q14A</t>
  </si>
  <si>
    <t>4Q14</t>
  </si>
  <si>
    <t>1Q15A</t>
  </si>
  <si>
    <t>1Q15</t>
  </si>
  <si>
    <t>6.875% Senior Notes due 2023</t>
  </si>
  <si>
    <t>FCFF Calculation</t>
  </si>
  <si>
    <t>Less: Maintenance capex</t>
  </si>
  <si>
    <t>_______</t>
  </si>
  <si>
    <t>Consolidated NOPBT</t>
  </si>
  <si>
    <t>Less: Income taxes</t>
  </si>
  <si>
    <t>Consolidated NOPAT</t>
  </si>
  <si>
    <t>1Q16E</t>
  </si>
  <si>
    <t>2Q16E</t>
  </si>
  <si>
    <t>3Q16E</t>
  </si>
  <si>
    <t>4Q16E</t>
  </si>
  <si>
    <t>2Q15A</t>
  </si>
  <si>
    <t>Share of Borgata Opex</t>
  </si>
  <si>
    <t>Borgata non-operating expense</t>
  </si>
  <si>
    <t>2Q15</t>
  </si>
  <si>
    <t>Adjusted Interest Expense</t>
  </si>
  <si>
    <t>FCFE</t>
  </si>
  <si>
    <t>2021E</t>
  </si>
  <si>
    <t>2022E</t>
  </si>
  <si>
    <t>2023E</t>
  </si>
  <si>
    <t>2024E</t>
  </si>
  <si>
    <t>2025E</t>
  </si>
  <si>
    <t>$610-620</t>
  </si>
  <si>
    <t>Term Loan due 2023</t>
  </si>
  <si>
    <t>$135-145</t>
  </si>
  <si>
    <t>3Q15</t>
  </si>
  <si>
    <t>BYD / PENN Cash Flow</t>
  </si>
  <si>
    <t>2016e Operating FCF</t>
  </si>
  <si>
    <t>2016e Net FCF</t>
  </si>
  <si>
    <t>2016e</t>
  </si>
  <si>
    <t>2017e</t>
  </si>
  <si>
    <t>y/y growth</t>
  </si>
  <si>
    <t>2014A</t>
  </si>
  <si>
    <t>Adjusted EBITDAR</t>
  </si>
  <si>
    <t>BYD/PENN Consensus Estimates</t>
  </si>
  <si>
    <t>EBITDA Flow-Through</t>
  </si>
  <si>
    <t>Current</t>
  </si>
  <si>
    <t>PENN 2016e Net FCF ex-Jamul</t>
  </si>
  <si>
    <t>Total (ex-Trop / Plainridge)</t>
  </si>
  <si>
    <t>same-store growth</t>
  </si>
  <si>
    <t>% Margin - Wholly-owned</t>
  </si>
  <si>
    <t>4Q15A</t>
  </si>
  <si>
    <t>4Q15</t>
  </si>
  <si>
    <t>6.375% senior notes due 2026</t>
  </si>
  <si>
    <t>% Same-Store Growth (y-o-y)</t>
  </si>
  <si>
    <t>No Borgata Property Tax Settlement</t>
  </si>
  <si>
    <t>MSe Current</t>
  </si>
  <si>
    <t>MSe Prior</t>
  </si>
  <si>
    <t>$635-655m</t>
  </si>
  <si>
    <t>Location</t>
  </si>
  <si>
    <t>Resort Fee</t>
  </si>
  <si>
    <t>Rooms</t>
  </si>
  <si>
    <t>ADR</t>
  </si>
  <si>
    <t>Gold Coast Hotel and Casino</t>
  </si>
  <si>
    <t>Las Vegas, Nevada</t>
  </si>
  <si>
    <t>The Orleans Hotel and Casino</t>
  </si>
  <si>
    <t>Suncoast Hotel and Casino</t>
  </si>
  <si>
    <t>Sam's Town Hotel and Gambling Hall</t>
  </si>
  <si>
    <t>IP Casino Resort Spa</t>
  </si>
  <si>
    <t>Biloxi, Mississippi</t>
  </si>
  <si>
    <t>Borgata Hotel Casino &amp; Spa</t>
  </si>
  <si>
    <t>Atlantic City, New Jersey</t>
  </si>
  <si>
    <t>1Q16</t>
  </si>
  <si>
    <t>2015 Revenue</t>
  </si>
  <si>
    <t>4Q16 Estimate</t>
  </si>
  <si>
    <t>2017 Incremental Revenue</t>
  </si>
  <si>
    <t>Year 1 PF Revenue</t>
  </si>
  <si>
    <t>2015 Implied Opex</t>
  </si>
  <si>
    <t>Year 1 PF Implied Opex</t>
  </si>
  <si>
    <t>2017 Incremental Opex</t>
  </si>
  <si>
    <t>Cannery</t>
  </si>
  <si>
    <t>2015 EBITDA</t>
  </si>
  <si>
    <t>Year 1 PF EBITDA</t>
  </si>
  <si>
    <t>2017 Incremental EBITDA</t>
  </si>
  <si>
    <t>2017 EBITDA Contribution</t>
  </si>
  <si>
    <t>Peninsula Term Loan</t>
  </si>
  <si>
    <t>New Amount</t>
  </si>
  <si>
    <t>New revolver is $775m</t>
  </si>
  <si>
    <t>Libor spread grid - starts at 2.5% and drops to 2.25% and then to 2%</t>
  </si>
  <si>
    <t>Same spread applies to Term Loan A which is $225m</t>
  </si>
  <si>
    <t>Term Loan B2 which is $1.0B - no 1% floor and 3% spread</t>
  </si>
  <si>
    <t>Pay down $400m on existing TLB</t>
  </si>
  <si>
    <t>Before acquisitons, nothing on the revolver and then will draw $200m to make that happen</t>
  </si>
  <si>
    <t>Term Loan A current will be taken out</t>
  </si>
  <si>
    <t>BYD Term Loan A</t>
  </si>
  <si>
    <t>BYD Term Loan B1</t>
  </si>
  <si>
    <t>BYD Term Loan B2</t>
  </si>
  <si>
    <t>New $775m Revolver</t>
  </si>
  <si>
    <t>Peninsula Debt Refinancing
Debt</t>
  </si>
  <si>
    <t>Interest
Expense</t>
  </si>
  <si>
    <t>$1.0B Term Loan B2</t>
  </si>
  <si>
    <t>$775m Revolving Credit Facility</t>
  </si>
  <si>
    <t>2Q16</t>
  </si>
  <si>
    <t>1Q17E</t>
  </si>
  <si>
    <t>2Q17E</t>
  </si>
  <si>
    <t>3Q17E</t>
  </si>
  <si>
    <t>4Q17E</t>
  </si>
  <si>
    <t>Regional Properties</t>
  </si>
  <si>
    <t>Legacy Peninsula Gaming</t>
  </si>
  <si>
    <t>Memo: EBITDA ex-Cannery acquisition and Borgata sale</t>
  </si>
  <si>
    <t>$530-538</t>
  </si>
  <si>
    <t>% Organic Growth (y-o-y)</t>
  </si>
  <si>
    <t>Regionals (Midwest &amp; South)</t>
  </si>
  <si>
    <t>3Q16</t>
  </si>
  <si>
    <t>'18 EBITDA</t>
  </si>
  <si>
    <t>Legacy MW/South Properties</t>
  </si>
  <si>
    <t>Consolidated with MW/South properties beginning in 3Q16</t>
  </si>
  <si>
    <t>Las Vegas Locals Acquisitions - Mgmt Guidance</t>
  </si>
  <si>
    <t>Downtown</t>
  </si>
  <si>
    <t>4Q16</t>
  </si>
  <si>
    <t>1Q17</t>
  </si>
  <si>
    <t>2Q17</t>
  </si>
  <si>
    <t>3Q17</t>
  </si>
  <si>
    <t>4Q17</t>
  </si>
  <si>
    <t>LV Locals (ex-acquisitions)</t>
  </si>
  <si>
    <t>Regionals</t>
  </si>
  <si>
    <t>Same-store sales growth (GGR)</t>
  </si>
  <si>
    <t>Same-store sales growth (net revenue)</t>
  </si>
  <si>
    <t>Free cash flow conversion</t>
  </si>
  <si>
    <t>2017 Operating FCF</t>
  </si>
  <si>
    <t>2017 Net FCF</t>
  </si>
  <si>
    <t>2017 EBITDA</t>
  </si>
  <si>
    <t>Op FCF Conversion</t>
  </si>
  <si>
    <t>Net FCF Conversion</t>
  </si>
  <si>
    <t>Net FCF Yield</t>
  </si>
  <si>
    <t>BYD Expense Growth vs. Inflation</t>
  </si>
  <si>
    <t>Inflation</t>
  </si>
  <si>
    <t>$585-605</t>
  </si>
  <si>
    <t>BYD reported organic revenue growth vs. market</t>
  </si>
  <si>
    <t>BYD reported organic revenue growth vs. market volume</t>
  </si>
  <si>
    <t>Adjustments</t>
  </si>
  <si>
    <t>$1.265B Term Loan B due 2023</t>
  </si>
  <si>
    <t>Estimated Incremental EBITDA from Aliante / Cannery</t>
  </si>
  <si>
    <t>BYD Regional GGR</t>
  </si>
  <si>
    <t>Issuance / (repurchase) of stock</t>
  </si>
  <si>
    <t>1Q18E</t>
  </si>
  <si>
    <t>2Q18E</t>
  </si>
  <si>
    <t>3Q18E</t>
  </si>
  <si>
    <t>4Q18E</t>
  </si>
  <si>
    <t>YE18</t>
  </si>
  <si>
    <t>'19 EBITDA</t>
  </si>
  <si>
    <t>'19-'17</t>
  </si>
  <si>
    <t>Less: YE18E Net Debt</t>
  </si>
  <si>
    <t>2019e EBITDA</t>
  </si>
  <si>
    <t>Price per share</t>
  </si>
  <si>
    <t>BYD.N,mscalc:targetPrice,,,,USD</t>
  </si>
  <si>
    <t>BYD.N,mscalc:sedolCodeCalc</t>
  </si>
  <si>
    <t>BYD.N,mscalc:closePriceCurrencyCalc</t>
  </si>
  <si>
    <t>2117232</t>
  </si>
  <si>
    <t>Ameristar St. Charles (MO)</t>
  </si>
  <si>
    <t>Ameristar Kansas City (MO)</t>
  </si>
  <si>
    <t>Belterra Casino (Florence, IN)</t>
  </si>
  <si>
    <t>Belterra Park (Cincinnati, OH)</t>
  </si>
  <si>
    <t>GGR</t>
  </si>
  <si>
    <t>Growth</t>
  </si>
  <si>
    <t>Expenses</t>
  </si>
  <si>
    <t>EBITDAR</t>
  </si>
  <si>
    <t>RENT EXPENSE ($ in millions)</t>
  </si>
  <si>
    <t>GLPI Lease for Ameristar St C, KC, and 2 Belterra Properties</t>
  </si>
  <si>
    <t>Building Base Rent</t>
  </si>
  <si>
    <t>Fixed Land Rent</t>
  </si>
  <si>
    <t>Variable Land Rent</t>
  </si>
  <si>
    <t>Rent Coverage (Escalator kicks in at 1.8x, capped at 1.8x)</t>
  </si>
  <si>
    <t>Long-term financing obligation to GLPI</t>
  </si>
  <si>
    <t>Long-term Financing Obligation to GLPI</t>
  </si>
  <si>
    <t>Interest expense of financing component</t>
  </si>
  <si>
    <t>Depreciation of real assets</t>
  </si>
  <si>
    <t>% financing</t>
  </si>
  <si>
    <t>% depreciation</t>
  </si>
  <si>
    <t>4 Properties purchased from PNK</t>
  </si>
  <si>
    <t>Depreciation of real asset related to GLPI / PNK acq txn</t>
  </si>
  <si>
    <t>Valley Forge</t>
  </si>
  <si>
    <t>W/U/D</t>
  </si>
  <si>
    <t>Slot</t>
  </si>
  <si>
    <t>Table</t>
  </si>
  <si>
    <t>Total GGR</t>
  </si>
  <si>
    <t>Slot Growth</t>
  </si>
  <si>
    <t>Table Growth</t>
  </si>
  <si>
    <t>Total Growth</t>
  </si>
  <si>
    <t>Valley Forge (King of Prussia, PA)</t>
  </si>
  <si>
    <t>Slot Taxes</t>
  </si>
  <si>
    <t>Table Taxes</t>
  </si>
  <si>
    <t>2017 Net Rev Performance</t>
  </si>
  <si>
    <t>Chg</t>
  </si>
  <si>
    <t>MSe Beg. 2017</t>
  </si>
  <si>
    <t>PENN*</t>
  </si>
  <si>
    <t>CT</t>
  </si>
  <si>
    <t>Rev Ex Charles Town</t>
  </si>
  <si>
    <t>EBITDA Ex Charles Town</t>
  </si>
  <si>
    <t>EBITDA ex-acquisitions</t>
  </si>
  <si>
    <t>Memo: Adjusted EBITDA post Borgata deconsolidation / ex-acquisitions</t>
  </si>
  <si>
    <t>4Q17A</t>
  </si>
  <si>
    <t>2017A</t>
  </si>
  <si>
    <t>$600-620</t>
  </si>
  <si>
    <t>35</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</si>
  <si>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</si>
  <si>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</si>
  <si>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</si>
  <si>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</si>
  <si>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</si>
  <si>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</si>
  <si>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</si>
  <si>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</si>
  <si>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Thomas Allen, Mark Savino</t>
  </si>
  <si>
    <t>Date: 20 Feb 2018</t>
  </si>
  <si>
    <t>Ticker: BYD.N</t>
  </si>
  <si>
    <t>Stock Rating: Equal-Weight</t>
  </si>
  <si>
    <t>Industry: Gaming &amp; Lodging</t>
  </si>
  <si>
    <t>Industry View: In-Line</t>
  </si>
  <si>
    <t>Price as of 20 Feb 2018: 37.53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</si>
  <si>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</si>
  <si>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</si>
  <si>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</si>
  <si>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</si>
  <si>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Boyd Gaming Corporation.</t>
  </si>
  <si>
    <t>STOCK RATINGS</t>
  </si>
  <si>
    <t>Global Stock Ratings Distribution</t>
  </si>
  <si>
    <t>(as of January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</si>
  <si>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</si>
  <si>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</si>
  <si>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</si>
  <si>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</si>
  <si>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</si>
  <si>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</si>
  <si>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</si>
  <si>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</si>
  <si>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</si>
  <si>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</si>
  <si>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</si>
  <si>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</si>
  <si>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</si>
  <si>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</si>
  <si>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</si>
  <si>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</si>
  <si>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</si>
  <si>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</si>
  <si>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</si>
  <si>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</si>
  <si>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</si>
  <si>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</si>
  <si>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</si>
  <si>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</si>
  <si>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</si>
  <si>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</si>
  <si>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</si>
  <si>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</si>
  <si>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</si>
  <si>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</si>
  <si>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</si>
  <si>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</si>
  <si>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</si>
  <si>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</si>
  <si>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</si>
  <si>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</si>
  <si>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</si>
  <si>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</si>
  <si>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</si>
  <si>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</si>
  <si>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</si>
  <si>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</si>
  <si>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</si>
  <si>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</si>
  <si>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</si>
  <si>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</si>
  <si>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</si>
  <si>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</si>
  <si>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</si>
  <si>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</si>
  <si>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</si>
  <si>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</si>
  <si>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</si>
  <si>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</si>
  <si>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</si>
  <si>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</si>
  <si>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</si>
  <si>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</si>
  <si>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</si>
  <si>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</si>
  <si>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</si>
  <si>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</si>
  <si>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</si>
  <si>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</si>
  <si>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</si>
  <si>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</si>
  <si>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</si>
  <si>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</si>
  <si>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</si>
  <si>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</si>
  <si>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</si>
  <si>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</si>
  <si>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</si>
  <si>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</si>
  <si>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</si>
  <si>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</si>
  <si>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</si>
  <si>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</si>
  <si>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</si>
  <si>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</si>
  <si>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</si>
  <si>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</si>
  <si>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</si>
  <si>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</si>
  <si>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</si>
  <si>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</si>
  <si>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</si>
  <si>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</si>
  <si>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</si>
  <si>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</si>
  <si>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</si>
  <si>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</si>
  <si>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</si>
  <si>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</si>
  <si>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</si>
  <si>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</si>
  <si>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</si>
  <si>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</si>
  <si>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</si>
  <si>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</si>
  <si>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</si>
  <si>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</si>
  <si>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</si>
  <si>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</si>
  <si>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</si>
  <si>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</si>
  <si>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</si>
  <si>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</si>
  <si>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</si>
  <si>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</si>
  <si>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</si>
  <si>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</si>
  <si>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</si>
  <si>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</si>
  <si>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</si>
  <si>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</si>
  <si>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</si>
  <si>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</si>
  <si>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</si>
  <si>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</si>
  <si>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</si>
  <si>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</si>
  <si>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</si>
  <si>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</si>
  <si>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</si>
  <si>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</si>
  <si>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</si>
  <si>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</si>
  <si>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</si>
  <si>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</si>
  <si>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</si>
  <si>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</si>
  <si>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</si>
  <si>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</si>
  <si>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</si>
  <si>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</si>
  <si>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</si>
  <si>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</si>
  <si>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</si>
  <si>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</si>
  <si>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</si>
  <si>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</si>
  <si>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</si>
  <si>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</si>
  <si>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</si>
  <si>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</si>
  <si>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</si>
  <si>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</si>
  <si>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</si>
  <si>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</si>
  <si>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</si>
  <si>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</si>
  <si>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</si>
  <si>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</si>
  <si>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</si>
  <si>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</si>
  <si>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</si>
  <si>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</si>
  <si>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</si>
  <si>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</si>
  <si>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</si>
  <si>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</si>
  <si>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</si>
  <si>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</si>
  <si>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</si>
  <si>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</si>
  <si>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</si>
  <si>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</si>
  <si>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</si>
  <si>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</si>
  <si>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</si>
  <si>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</si>
  <si>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Boyd Gaming Corporation.</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</si>
  <si>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</si>
  <si>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</si>
  <si>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</si>
  <si>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</si>
  <si>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</si>
  <si>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</si>
  <si>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</si>
  <si>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</si>
  <si>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</si>
  <si>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</si>
  <si>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</si>
  <si>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</si>
  <si>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</si>
  <si>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</si>
  <si>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</si>
  <si>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</si>
  <si>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</si>
  <si>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</si>
  <si>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</si>
  <si>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</si>
  <si>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</si>
  <si>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</si>
  <si>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</si>
  <si>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</si>
  <si>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</si>
  <si>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</si>
  <si>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</si>
  <si>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</si>
  <si>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</si>
  <si>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</si>
  <si>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</si>
  <si>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</si>
  <si>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</si>
  <si>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</si>
  <si>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</si>
  <si>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</si>
  <si>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</si>
  <si>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</si>
  <si>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</si>
  <si>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</si>
  <si>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</si>
  <si>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</si>
  <si>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</si>
  <si>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</si>
  <si>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</si>
  <si>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</si>
  <si>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</si>
  <si>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</si>
  <si>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</si>
  <si>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</si>
  <si>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</si>
  <si>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</si>
  <si>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</si>
  <si>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</si>
  <si>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</si>
  <si>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</si>
  <si>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</si>
  <si>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</si>
  <si>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</si>
  <si>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</si>
  <si>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</si>
  <si>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</si>
  <si>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</si>
  <si>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</si>
  <si>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</si>
  <si>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</si>
  <si>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</si>
  <si>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Boyd Gaming Corporation.</t>
  </si>
  <si>
    <t>In the next 3 months, Morgan Stanley expects to receive or intends to seek compensation for investment</t>
  </si>
  <si>
    <t>banking services from Boyd Gaming Corporation.</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</si>
  <si>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</si>
  <si>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</si>
  <si>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</si>
  <si>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</si>
  <si>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</si>
  <si>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Thomas Allen.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</si>
  <si>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</si>
  <si>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</si>
  <si>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</si>
  <si>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</si>
  <si>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</si>
  <si>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</si>
  <si>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</si>
  <si>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</si>
  <si>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</si>
  <si>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</si>
  <si>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</si>
  <si>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</si>
  <si>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</si>
  <si>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</si>
  <si>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</si>
  <si>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</si>
  <si>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</si>
  <si>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</si>
  <si>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</si>
  <si>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</si>
  <si>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</si>
  <si>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</si>
  <si>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</si>
  <si>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</si>
  <si>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</si>
  <si>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</si>
  <si>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</si>
  <si>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</si>
  <si>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</si>
  <si>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</si>
  <si>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</si>
  <si>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</si>
  <si>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</si>
  <si>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</si>
  <si>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</si>
  <si>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</si>
  <si>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</si>
  <si>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</si>
  <si>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</si>
  <si>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</si>
  <si>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</si>
  <si>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</si>
  <si>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</si>
  <si>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</si>
  <si>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</si>
  <si>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</si>
  <si>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</si>
  <si>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</si>
  <si>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</si>
  <si>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</si>
  <si>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</si>
  <si>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</si>
  <si>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</si>
  <si>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</si>
  <si>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</si>
  <si>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</si>
  <si>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</si>
  <si>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</si>
  <si>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</si>
  <si>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</si>
  <si>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</si>
  <si>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</si>
  <si>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</si>
  <si>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</si>
  <si>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</si>
  <si>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</si>
  <si>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</si>
  <si>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</si>
  <si>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</si>
  <si>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Quarterly Update</t>
  </si>
  <si>
    <t>NorthAmerica</t>
  </si>
  <si>
    <t>savinmar</t>
  </si>
  <si>
    <t>MSA12371, MSA55HHP</t>
  </si>
  <si>
    <t>L:\GAMING\Strawn\Gaming\Models\Published Models\After 4Q17\BYD 022018.xlsm</t>
  </si>
  <si>
    <t>[BRO MSA]</t>
  </si>
  <si>
    <t>[PRODUCT MODEL]</t>
  </si>
  <si>
    <t>[EMAIL_ALERT YES]</t>
  </si>
  <si>
    <t>[DISCIPLINE Company]</t>
  </si>
  <si>
    <t>[SUPPRESSED NO]</t>
  </si>
  <si>
    <t>[DOCDAT 2018-02-20]</t>
  </si>
  <si>
    <t>[DOCTIME 22:49]</t>
  </si>
  <si>
    <t>[PSYM BYD.N(S&amp;P) (None)]</t>
  </si>
  <si>
    <t>[COU 1]</t>
  </si>
  <si>
    <t>[ANA MSA55HHP]</t>
  </si>
  <si>
    <t>[HL BYD.N Model]</t>
  </si>
  <si>
    <t>[IND GAMCAS HOTMOT]</t>
  </si>
  <si>
    <t>[PANA MSA12371]</t>
  </si>
  <si>
    <t>Target Price: 34</t>
  </si>
</sst>
</file>

<file path=xl/styles.xml><?xml version="1.0" encoding="utf-8"?>
<styleSheet xmlns="http://schemas.openxmlformats.org/spreadsheetml/2006/main" xmlns:mc="http://schemas.openxmlformats.org/markup-compatibility/2006" xmlns:x14ac="http://schemas.microsoft.com/office/spreadsheetml/2009/9/ac" mc:Ignorable="x14ac">
  <numFmts count="38">
    <numFmt numFmtId="5" formatCode="&quot;$&quot;#,##0_);\(&quot;$&quot;#,##0\)"/>
    <numFmt numFmtId="7" formatCode="&quot;$&quot;#,##0.00_);\(&quot;$&quot;#,##0.00\)"/>
    <numFmt numFmtId="41" formatCode="_(* #,##0_);_(* \(#,##0\);_(* &quot;-&quot;_);_(@_)"/>
    <numFmt numFmtId="44" formatCode="_(&quot;$&quot;* #,##0.00_);_(&quot;$&quot;* \(#,##0.00\);_(&quot;$&quot;* &quot;-&quot;??_);_(@_)"/>
    <numFmt numFmtId="164" formatCode="0_)"/>
    <numFmt numFmtId="165" formatCode="0.0%"/>
    <numFmt numFmtId="166" formatCode="#,##0.0_);\(#,##0.0\)"/>
    <numFmt numFmtId="167" formatCode="#,##0.000_);\(#,##0.000\)"/>
    <numFmt numFmtId="168" formatCode="&quot;$&quot;#,##0.0_);\(&quot;$&quot;#,##0.0\)"/>
    <numFmt numFmtId="169" formatCode="#,##0.0000_);\(#,##0.0000\)"/>
    <numFmt numFmtId="170" formatCode="&quot;$&quot;#,##0.000_);\(&quot;$&quot;#,##0.000\)"/>
    <numFmt numFmtId="171" formatCode="0.0"/>
    <numFmt numFmtId="172" formatCode="&quot;$&quot;#,##0.0000_);\(&quot;$&quot;#,##0.0000\)"/>
    <numFmt numFmtId="173" formatCode="mm/dd/yy"/>
    <numFmt numFmtId="174" formatCode="&quot;$&quot;#,##0.00"/>
    <numFmt numFmtId="175" formatCode="0.0\x\ "/>
    <numFmt numFmtId="176" formatCode="&quot;$&quot;#,##0.000000_);\(&quot;$&quot;#,##0.000000\)"/>
    <numFmt numFmtId="177" formatCode="0.0\x"/>
    <numFmt numFmtId="178" formatCode="0.000%"/>
    <numFmt numFmtId="179" formatCode="0_);\(0\)"/>
    <numFmt numFmtId="180" formatCode="0.00\x\ "/>
    <numFmt numFmtId="181" formatCode="[$-409]mmm\-yy;@"/>
    <numFmt numFmtId="182" formatCode="0.00_);\(0.00\)"/>
    <numFmt numFmtId="183" formatCode="_(* #,##0.0_);_(* \(#,##0.0\);_(* &quot;-&quot;_);_(@_)"/>
    <numFmt numFmtId="184" formatCode="_(* #,##0.000_);_(* \(#,##0.000\);_(* &quot;-&quot;_);_(@_)"/>
    <numFmt numFmtId="185" formatCode="_(* #,##0.00_);_(* \(#,##0.00\);_(* &quot;-&quot;_);_(@_)"/>
    <numFmt numFmtId="186" formatCode="0.000_)"/>
    <numFmt numFmtId="187" formatCode="0.00\x"/>
    <numFmt numFmtId="188" formatCode="m/d/yy;@"/>
    <numFmt numFmtId="189" formatCode="_(* #,##0.0_);_(* \(#,##0.0\);_(* &quot;-&quot;??_);_(@_)"/>
    <numFmt numFmtId="190" formatCode="&quot;$&quot;#,##0.0"/>
    <numFmt numFmtId="191" formatCode="0.0&quot;x&quot;"/>
    <numFmt numFmtId="192" formatCode="0.0&quot;x &quot;"/>
    <numFmt numFmtId="193" formatCode="0.0&quot;x&quot;_)"/>
    <numFmt numFmtId="194" formatCode="#,##0.000"/>
    <numFmt numFmtId="195" formatCode="#,##0.0000"/>
    <numFmt numFmtId="196" formatCode="&quot;$&quot;#,##0"/>
    <numFmt numFmtId="197" formatCode="mm/dd/yy\ hh:mm"/>
  </numFmts>
  <fonts count="161">
    <font>
      <sz val="12"/>
      <name val="Times New Roman"/>
    </font>
    <font>
      <sz val="10"/>
      <name val="Arial"/>
      <family val="2"/>
    </font>
    <font>
      <sz val="10"/>
      <name val="Helvetica"/>
      <family val="2"/>
    </font>
    <font>
      <sz val="8"/>
      <name val="Arial"/>
      <family val="2"/>
    </font>
    <font>
      <sz val="8"/>
      <color indexed="81"/>
      <name val="Tahoma"/>
      <family val="2"/>
    </font>
    <font>
      <sz val="10"/>
      <name val="Times New Roman"/>
      <family val="1"/>
    </font>
    <font>
      <sz val="10"/>
      <name val="Arial"/>
      <family val="2"/>
    </font>
    <font>
      <u/>
      <sz val="9"/>
      <color indexed="12"/>
      <name val="Times New Roman"/>
      <family val="1"/>
    </font>
    <font>
      <b/>
      <sz val="10"/>
      <name val="Arial"/>
      <family val="2"/>
    </font>
    <font>
      <b/>
      <sz val="8"/>
      <color indexed="81"/>
      <name val="Tahoma"/>
      <family val="2"/>
    </font>
    <font>
      <sz val="8"/>
      <name val="Times New Roman"/>
      <family val="1"/>
    </font>
    <font>
      <b/>
      <sz val="8"/>
      <name val="Arial"/>
      <family val="2"/>
    </font>
    <font>
      <b/>
      <sz val="10"/>
      <color indexed="81"/>
      <name val="Tahoma"/>
      <family val="2"/>
    </font>
    <font>
      <sz val="10"/>
      <color indexed="81"/>
      <name val="Tahoma"/>
      <family val="2"/>
    </font>
    <font>
      <b/>
      <sz val="9"/>
      <color indexed="81"/>
      <name val="Tahoma"/>
      <family val="2"/>
    </font>
    <font>
      <sz val="9"/>
      <color indexed="81"/>
      <name val="Tahoma"/>
      <family val="2"/>
    </font>
    <font>
      <sz val="8"/>
      <name val="Arial"/>
      <family val="2"/>
    </font>
    <font>
      <sz val="10"/>
      <color indexed="14"/>
      <name val="Arial"/>
      <family val="2"/>
    </font>
    <font>
      <sz val="12"/>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0"/>
      <color indexed="9"/>
      <name val="Arial"/>
      <family val="2"/>
    </font>
    <font>
      <sz val="9"/>
      <name val="Arial"/>
      <family val="2"/>
    </font>
    <font>
      <sz val="10"/>
      <color indexed="12"/>
      <name val="Arial"/>
      <family val="2"/>
    </font>
    <font>
      <b/>
      <i/>
      <sz val="8"/>
      <name val="Arial"/>
      <family val="2"/>
    </font>
    <font>
      <sz val="8"/>
      <color indexed="10"/>
      <name val="Arial"/>
      <family val="2"/>
    </font>
    <font>
      <b/>
      <sz val="8"/>
      <color indexed="17"/>
      <name val="Arial"/>
      <family val="2"/>
    </font>
    <font>
      <sz val="10"/>
      <name val="Helv"/>
    </font>
    <font>
      <sz val="10"/>
      <color indexed="9"/>
      <name val="Arial"/>
      <family val="2"/>
    </font>
    <font>
      <b/>
      <sz val="11"/>
      <color indexed="9"/>
      <name val="Verdana"/>
      <family val="2"/>
    </font>
    <font>
      <b/>
      <u/>
      <sz val="8"/>
      <color indexed="10"/>
      <name val="Arial"/>
      <family val="2"/>
    </font>
    <font>
      <b/>
      <sz val="12"/>
      <color indexed="52"/>
      <name val="Arial"/>
      <family val="2"/>
    </font>
    <font>
      <sz val="8"/>
      <color indexed="13"/>
      <name val="Arial"/>
      <family val="2"/>
    </font>
    <font>
      <b/>
      <sz val="8"/>
      <color indexed="52"/>
      <name val="Arial"/>
      <family val="2"/>
    </font>
    <font>
      <sz val="8"/>
      <color indexed="13"/>
      <name val="Arial"/>
      <family val="2"/>
    </font>
    <font>
      <b/>
      <sz val="8"/>
      <color indexed="13"/>
      <name val="Arial"/>
      <family val="2"/>
    </font>
    <font>
      <u/>
      <sz val="10"/>
      <name val="Arial"/>
      <family val="2"/>
    </font>
    <font>
      <b/>
      <u/>
      <sz val="10"/>
      <name val="Arial"/>
      <family val="2"/>
    </font>
    <font>
      <i/>
      <sz val="10"/>
      <name val="Arial"/>
      <family val="2"/>
    </font>
    <font>
      <i/>
      <sz val="10"/>
      <color indexed="12"/>
      <name val="Arial"/>
      <family val="2"/>
    </font>
    <font>
      <b/>
      <sz val="10"/>
      <color indexed="12"/>
      <name val="Arial"/>
      <family val="2"/>
    </font>
    <font>
      <b/>
      <sz val="10"/>
      <color indexed="8"/>
      <name val="Arial"/>
      <family val="2"/>
    </font>
    <font>
      <sz val="10"/>
      <color indexed="8"/>
      <name val="Arial"/>
      <family val="2"/>
    </font>
    <font>
      <i/>
      <sz val="10"/>
      <color indexed="8"/>
      <name val="Arial"/>
      <family val="2"/>
    </font>
    <font>
      <b/>
      <i/>
      <sz val="10"/>
      <name val="Arial"/>
      <family val="2"/>
    </font>
    <font>
      <i/>
      <u/>
      <sz val="10"/>
      <name val="Arial"/>
      <family val="2"/>
    </font>
    <font>
      <u/>
      <sz val="10"/>
      <color indexed="12"/>
      <name val="Arial"/>
      <family val="2"/>
    </font>
    <font>
      <sz val="10"/>
      <color indexed="10"/>
      <name val="Arial"/>
      <family val="2"/>
    </font>
    <font>
      <b/>
      <sz val="10"/>
      <color indexed="10"/>
      <name val="Arial"/>
      <family val="2"/>
    </font>
    <font>
      <b/>
      <sz val="11"/>
      <name val="Arial"/>
      <family val="2"/>
    </font>
    <font>
      <b/>
      <u/>
      <sz val="11"/>
      <name val="Arial"/>
      <family val="2"/>
    </font>
    <font>
      <b/>
      <i/>
      <sz val="10"/>
      <color indexed="8"/>
      <name val="Arial"/>
      <family val="2"/>
    </font>
    <font>
      <sz val="10"/>
      <color indexed="17"/>
      <name val="Arial"/>
      <family val="2"/>
    </font>
    <font>
      <b/>
      <sz val="10"/>
      <color indexed="17"/>
      <name val="Arial"/>
      <family val="2"/>
    </font>
    <font>
      <i/>
      <sz val="10"/>
      <color indexed="17"/>
      <name val="Arial"/>
      <family val="2"/>
    </font>
    <font>
      <u/>
      <sz val="10"/>
      <color indexed="8"/>
      <name val="Arial"/>
      <family val="2"/>
    </font>
    <font>
      <sz val="12"/>
      <name val="Times New Roman"/>
      <family val="1"/>
    </font>
    <font>
      <sz val="10"/>
      <color indexed="12"/>
      <name val="Times New Roman"/>
      <family val="1"/>
    </font>
    <font>
      <sz val="10"/>
      <name val="Helvetica"/>
      <family val="2"/>
    </font>
    <font>
      <u/>
      <sz val="10"/>
      <color indexed="10"/>
      <name val="Arial"/>
      <family val="2"/>
    </font>
    <font>
      <sz val="10"/>
      <name val="Times New Roman"/>
      <family val="1"/>
    </font>
    <font>
      <sz val="10"/>
      <color indexed="12"/>
      <name val="Helvetica"/>
      <family val="2"/>
    </font>
    <font>
      <b/>
      <vertAlign val="superscript"/>
      <sz val="10"/>
      <name val="Arial"/>
      <family val="2"/>
    </font>
    <font>
      <i/>
      <sz val="10"/>
      <color indexed="10"/>
      <name val="Arial"/>
      <family val="2"/>
    </font>
    <font>
      <u/>
      <sz val="8"/>
      <color indexed="81"/>
      <name val="Tahoma"/>
      <family val="2"/>
    </font>
    <font>
      <b/>
      <sz val="10"/>
      <color indexed="81"/>
      <name val="Arial"/>
      <family val="2"/>
    </font>
    <font>
      <sz val="10"/>
      <color indexed="81"/>
      <name val="Arial"/>
      <family val="2"/>
    </font>
    <font>
      <b/>
      <sz val="7.5"/>
      <name val="Arial"/>
      <family val="2"/>
    </font>
    <font>
      <sz val="7.5"/>
      <name val="Arial"/>
      <family val="2"/>
    </font>
    <font>
      <b/>
      <u/>
      <sz val="8"/>
      <color indexed="81"/>
      <name val="Tahoma"/>
      <family val="2"/>
    </font>
    <font>
      <sz val="9"/>
      <name val="Inherit"/>
    </font>
    <font>
      <sz val="10"/>
      <name val="Inherit"/>
    </font>
    <font>
      <sz val="10"/>
      <color indexed="12"/>
      <name val="Arial"/>
      <family val="2"/>
    </font>
    <font>
      <i/>
      <sz val="10"/>
      <color indexed="16"/>
      <name val="Arial"/>
      <family val="2"/>
    </font>
    <font>
      <sz val="10"/>
      <color indexed="16"/>
      <name val="Arial"/>
      <family val="2"/>
    </font>
    <font>
      <b/>
      <sz val="10"/>
      <name val="Times New Roman"/>
      <family val="1"/>
    </font>
    <font>
      <b/>
      <u/>
      <sz val="10"/>
      <name val="Times New Roman"/>
      <family val="1"/>
    </font>
    <font>
      <u/>
      <sz val="10"/>
      <name val="Times New Roman"/>
      <family val="1"/>
    </font>
    <font>
      <i/>
      <sz val="10"/>
      <name val="Times New Roman"/>
      <family val="1"/>
    </font>
    <font>
      <i/>
      <sz val="12"/>
      <name val="Times New Roman"/>
      <family val="1"/>
    </font>
    <font>
      <i/>
      <sz val="10"/>
      <name val="Times New Roman"/>
      <family val="1"/>
    </font>
    <font>
      <i/>
      <sz val="10"/>
      <color indexed="17"/>
      <name val="Arial"/>
      <family val="2"/>
    </font>
    <font>
      <sz val="10"/>
      <color indexed="12"/>
      <name val="Arial"/>
      <family val="2"/>
    </font>
    <font>
      <sz val="10"/>
      <color indexed="17"/>
      <name val="Arial"/>
      <family val="2"/>
    </font>
    <font>
      <i/>
      <sz val="10"/>
      <color indexed="12"/>
      <name val="Arial"/>
      <family val="2"/>
    </font>
    <font>
      <i/>
      <sz val="10"/>
      <color indexed="16"/>
      <name val="Arial"/>
      <family val="2"/>
    </font>
    <font>
      <sz val="10"/>
      <color indexed="10"/>
      <name val="Arial"/>
      <family val="2"/>
    </font>
    <font>
      <sz val="10"/>
      <color indexed="60"/>
      <name val="Arial"/>
      <family val="2"/>
    </font>
    <font>
      <b/>
      <sz val="10"/>
      <color indexed="60"/>
      <name val="Arial"/>
      <family val="2"/>
    </font>
    <font>
      <b/>
      <sz val="10"/>
      <color indexed="30"/>
      <name val="Arial"/>
      <family val="2"/>
    </font>
    <font>
      <sz val="10"/>
      <color indexed="30"/>
      <name val="Arial"/>
      <family val="2"/>
    </font>
    <font>
      <sz val="10"/>
      <color indexed="16"/>
      <name val="Arial"/>
      <family val="2"/>
    </font>
    <font>
      <sz val="10"/>
      <name val="Arial"/>
      <family val="2"/>
    </font>
    <font>
      <sz val="10"/>
      <name val="MS Sans Serif"/>
      <family val="2"/>
    </font>
    <font>
      <b/>
      <sz val="10"/>
      <color indexed="8"/>
      <name val="Times New Roman"/>
      <family val="1"/>
    </font>
    <font>
      <sz val="10"/>
      <color indexed="8"/>
      <name val="Times New Roman"/>
      <family val="1"/>
    </font>
    <font>
      <b/>
      <sz val="10"/>
      <color indexed="12"/>
      <name val="Arial"/>
      <family val="2"/>
    </font>
    <font>
      <sz val="10"/>
      <color indexed="12"/>
      <name val="Arial"/>
      <family val="2"/>
    </font>
    <font>
      <i/>
      <sz val="10"/>
      <color indexed="12"/>
      <name val="Arial"/>
      <family val="2"/>
    </font>
    <font>
      <sz val="10"/>
      <color indexed="17"/>
      <name val="Arial"/>
      <family val="2"/>
    </font>
    <font>
      <sz val="8"/>
      <name val="Times New Roman"/>
      <family val="1"/>
    </font>
    <font>
      <sz val="10"/>
      <name val="Arial"/>
      <family val="2"/>
    </font>
    <font>
      <sz val="10"/>
      <name val="MS Sans Serif"/>
      <family val="2"/>
    </font>
    <font>
      <b/>
      <sz val="10"/>
      <color indexed="8"/>
      <name val="Times New Roman"/>
      <family val="1"/>
    </font>
    <font>
      <sz val="10"/>
      <color indexed="8"/>
      <name val="Times New Roman"/>
      <family val="1"/>
    </font>
    <font>
      <sz val="10"/>
      <color indexed="12"/>
      <name val="Arial"/>
      <family val="2"/>
    </font>
    <font>
      <sz val="10"/>
      <color indexed="17"/>
      <name val="Arial"/>
      <family val="2"/>
    </font>
    <font>
      <sz val="10"/>
      <color indexed="16"/>
      <name val="Arial"/>
      <family val="2"/>
    </font>
    <font>
      <b/>
      <sz val="10"/>
      <color indexed="12"/>
      <name val="Arial"/>
      <family val="2"/>
    </font>
    <font>
      <sz val="8"/>
      <name val="Times New Roman"/>
      <family val="1"/>
    </font>
    <font>
      <sz val="10"/>
      <color indexed="12"/>
      <name val="Arial"/>
      <family val="2"/>
    </font>
    <font>
      <sz val="10"/>
      <color indexed="10"/>
      <name val="Arial"/>
      <family val="2"/>
    </font>
    <font>
      <b/>
      <sz val="10"/>
      <color indexed="12"/>
      <name val="Arial"/>
      <family val="2"/>
    </font>
    <font>
      <i/>
      <sz val="10"/>
      <color indexed="12"/>
      <name val="Arial"/>
      <family val="2"/>
    </font>
    <font>
      <sz val="8"/>
      <name val="Times New Roman"/>
      <family val="1"/>
    </font>
    <font>
      <sz val="10"/>
      <name val="Arial"/>
      <family val="2"/>
    </font>
    <font>
      <sz val="10"/>
      <name val="MS Sans Serif"/>
      <family val="2"/>
    </font>
    <font>
      <b/>
      <sz val="10"/>
      <color indexed="8"/>
      <name val="Times New Roman"/>
      <family val="1"/>
    </font>
    <font>
      <sz val="10"/>
      <color indexed="8"/>
      <name val="Times New Roman"/>
      <family val="1"/>
    </font>
    <font>
      <sz val="10"/>
      <name val="Arial"/>
      <family val="2"/>
    </font>
    <font>
      <sz val="10"/>
      <color indexed="12"/>
      <name val="Arial"/>
      <family val="2"/>
    </font>
    <font>
      <sz val="12"/>
      <color indexed="12"/>
      <name val="Arial"/>
      <family val="2"/>
    </font>
    <font>
      <b/>
      <sz val="10"/>
      <color indexed="12"/>
      <name val="Arial"/>
      <family val="2"/>
    </font>
    <font>
      <sz val="10"/>
      <color indexed="16"/>
      <name val="Arial"/>
      <family val="2"/>
    </font>
    <font>
      <i/>
      <sz val="10"/>
      <color indexed="17"/>
      <name val="Arial"/>
      <family val="2"/>
    </font>
    <font>
      <sz val="10"/>
      <color indexed="17"/>
      <name val="Arial"/>
      <family val="2"/>
    </font>
    <font>
      <i/>
      <sz val="10"/>
      <color indexed="12"/>
      <name val="Arial"/>
      <family val="2"/>
    </font>
    <font>
      <i/>
      <sz val="10"/>
      <color indexed="16"/>
      <name val="Arial"/>
      <family val="2"/>
    </font>
    <font>
      <sz val="10"/>
      <color indexed="10"/>
      <name val="Arial"/>
      <family val="2"/>
    </font>
    <font>
      <u/>
      <sz val="10"/>
      <color indexed="12"/>
      <name val="Arial"/>
      <family val="2"/>
    </font>
    <font>
      <b/>
      <sz val="10"/>
      <color indexed="10"/>
      <name val="Arial"/>
      <family val="2"/>
    </font>
    <font>
      <b/>
      <sz val="10"/>
      <color indexed="8"/>
      <name val="Arial"/>
      <family val="2"/>
    </font>
    <font>
      <sz val="10"/>
      <color indexed="8"/>
      <name val="Arial"/>
      <family val="2"/>
    </font>
    <font>
      <sz val="10"/>
      <color indexed="49"/>
      <name val="Arial"/>
      <family val="2"/>
    </font>
    <font>
      <sz val="10"/>
      <color indexed="10"/>
      <name val="Arial"/>
      <family val="2"/>
    </font>
    <font>
      <sz val="10"/>
      <color indexed="8"/>
      <name val="Arial"/>
      <family val="2"/>
    </font>
    <font>
      <b/>
      <sz val="10"/>
      <color indexed="8"/>
      <name val="Arial"/>
      <family val="2"/>
    </font>
    <font>
      <i/>
      <sz val="10"/>
      <color indexed="8"/>
      <name val="Arial"/>
      <family val="2"/>
    </font>
    <font>
      <u/>
      <sz val="10"/>
      <color indexed="8"/>
      <name val="Arial"/>
      <family val="2"/>
    </font>
    <font>
      <sz val="12"/>
      <color indexed="8"/>
      <name val="Arial"/>
      <family val="2"/>
    </font>
    <font>
      <sz val="12"/>
      <color indexed="8"/>
      <name val="Times New Roman"/>
      <family val="1"/>
    </font>
    <font>
      <sz val="10"/>
      <color indexed="12"/>
      <name val="Arial"/>
      <family val="2"/>
    </font>
    <font>
      <sz val="10"/>
      <color indexed="16"/>
      <name val="Arial"/>
      <family val="2"/>
    </font>
    <font>
      <sz val="10"/>
      <color rgb="FF0000FF"/>
      <name val="Arial"/>
      <family val="2"/>
    </font>
    <font>
      <b/>
      <sz val="10"/>
      <color rgb="FF0000FF"/>
      <name val="Arial"/>
      <family val="2"/>
    </font>
    <font>
      <sz val="10"/>
      <color rgb="FFFF0000"/>
      <name val="Arial"/>
      <family val="2"/>
    </font>
    <font>
      <b/>
      <sz val="10"/>
      <color rgb="FFFF0000"/>
      <name val="Arial"/>
      <family val="2"/>
    </font>
    <font>
      <i/>
      <sz val="10"/>
      <color rgb="FFFF0000"/>
      <name val="Arial"/>
      <family val="2"/>
    </font>
    <font>
      <sz val="10"/>
      <color rgb="FF008000"/>
      <name val="Arial"/>
      <family val="2"/>
    </font>
    <font>
      <b/>
      <sz val="10"/>
      <color rgb="FF008000"/>
      <name val="Arial"/>
      <family val="2"/>
    </font>
    <font>
      <sz val="10"/>
      <color rgb="FF800000"/>
      <name val="Arial"/>
      <family val="2"/>
    </font>
    <font>
      <i/>
      <sz val="10"/>
      <color rgb="FF800000"/>
      <name val="Arial"/>
      <family val="2"/>
    </font>
    <font>
      <sz val="10"/>
      <color rgb="FFC00000"/>
      <name val="Arial"/>
      <family val="2"/>
    </font>
    <font>
      <i/>
      <sz val="10"/>
      <color rgb="FF0000FF"/>
      <name val="Arial"/>
      <family val="2"/>
    </font>
    <font>
      <sz val="10"/>
      <name val="Courier"/>
      <family val="3"/>
    </font>
    <font>
      <sz val="11"/>
      <name val="Arial"/>
      <family val="2"/>
    </font>
    <font>
      <sz val="10"/>
      <color rgb="FF000000"/>
      <name val="Arial"/>
      <family val="2"/>
    </font>
    <font>
      <b/>
      <sz val="12"/>
      <color rgb="FF000080"/>
      <name val="Arial"/>
      <family val="2"/>
    </font>
  </fonts>
  <fills count="18">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16"/>
        <bgColor indexed="64"/>
      </patternFill>
    </fill>
    <fill>
      <patternFill patternType="solid">
        <fgColor indexed="9"/>
        <bgColor indexed="64"/>
      </patternFill>
    </fill>
    <fill>
      <patternFill patternType="solid">
        <fgColor indexed="22"/>
        <bgColor indexed="64"/>
      </patternFill>
    </fill>
    <fill>
      <patternFill patternType="solid">
        <fgColor indexed="14"/>
        <bgColor indexed="64"/>
      </patternFill>
    </fill>
    <fill>
      <patternFill patternType="solid">
        <fgColor indexed="55"/>
        <bgColor indexed="64"/>
      </patternFill>
    </fill>
    <fill>
      <patternFill patternType="solid">
        <fgColor indexed="27"/>
        <bgColor indexed="64"/>
      </patternFill>
    </fill>
    <fill>
      <patternFill patternType="solid">
        <fgColor indexed="17"/>
        <bgColor indexed="64"/>
      </patternFill>
    </fill>
    <fill>
      <patternFill patternType="solid">
        <fgColor indexed="51"/>
        <bgColor indexed="64"/>
      </patternFill>
    </fill>
    <fill>
      <patternFill patternType="solid">
        <fgColor indexed="29"/>
        <bgColor indexed="64"/>
      </patternFill>
    </fill>
    <fill>
      <patternFill patternType="solid">
        <fgColor theme="3" tint="0.59999389629810485"/>
        <bgColor indexed="64"/>
      </patternFill>
    </fill>
    <fill>
      <patternFill patternType="solid">
        <fgColor rgb="FFFFFFFF"/>
        <bgColor indexed="64"/>
      </patternFill>
    </fill>
    <fill>
      <patternFill patternType="solid">
        <fgColor rgb="FFFFFF00"/>
        <bgColor indexed="64"/>
      </patternFill>
    </fill>
    <fill>
      <patternFill patternType="solid">
        <fgColor indexed="65"/>
        <bgColor indexed="64"/>
      </patternFill>
    </fill>
  </fills>
  <borders count="43">
    <border>
      <left/>
      <right/>
      <top/>
      <bottom/>
      <diagonal/>
    </border>
    <border>
      <left/>
      <right/>
      <top/>
      <bottom style="thin">
        <color indexed="8"/>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9"/>
      </left>
      <right style="thin">
        <color indexed="9"/>
      </right>
      <top style="thin">
        <color indexed="9"/>
      </top>
      <bottom style="thin">
        <color indexed="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right/>
      <top style="thin">
        <color indexed="13"/>
      </top>
      <bottom style="thin">
        <color indexed="13"/>
      </bottom>
      <diagonal/>
    </border>
    <border>
      <left style="thin">
        <color indexed="64"/>
      </left>
      <right style="thin">
        <color indexed="64"/>
      </right>
      <top/>
      <bottom style="thin">
        <color indexed="64"/>
      </bottom>
      <diagonal/>
    </border>
    <border>
      <left/>
      <right/>
      <top style="thin">
        <color indexed="13"/>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13"/>
      </top>
      <bottom/>
      <diagonal/>
    </border>
    <border>
      <left/>
      <right/>
      <top/>
      <bottom style="medium">
        <color indexed="8"/>
      </bottom>
      <diagonal/>
    </border>
    <border>
      <left/>
      <right style="dotted">
        <color indexed="64"/>
      </right>
      <top style="thin">
        <color indexed="64"/>
      </top>
      <bottom style="thin">
        <color indexed="64"/>
      </bottom>
      <diagonal/>
    </border>
    <border>
      <left/>
      <right style="dotted">
        <color indexed="64"/>
      </right>
      <top/>
      <bottom/>
      <diagonal/>
    </border>
    <border>
      <left/>
      <right style="dotted">
        <color indexed="64"/>
      </right>
      <top style="thin">
        <color indexed="64"/>
      </top>
      <bottom/>
      <diagonal/>
    </border>
    <border>
      <left/>
      <right style="dotted">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72">
    <xf numFmtId="37" fontId="0" fillId="0" borderId="0" applyAlignment="0"/>
    <xf numFmtId="0" fontId="1" fillId="0" borderId="0"/>
    <xf numFmtId="0" fontId="95" fillId="0" borderId="0"/>
    <xf numFmtId="0" fontId="1" fillId="0" borderId="0"/>
    <xf numFmtId="0" fontId="104" fillId="0" borderId="0"/>
    <xf numFmtId="0" fontId="1" fillId="0" borderId="0"/>
    <xf numFmtId="0" fontId="118" fillId="0" borderId="0"/>
    <xf numFmtId="0" fontId="1" fillId="0" borderId="0"/>
    <xf numFmtId="0" fontId="19" fillId="0" borderId="0"/>
    <xf numFmtId="0" fontId="96" fillId="0" borderId="0"/>
    <xf numFmtId="0" fontId="19" fillId="0" borderId="0"/>
    <xf numFmtId="0" fontId="105" fillId="0" borderId="0"/>
    <xf numFmtId="0" fontId="19" fillId="0" borderId="0"/>
    <xf numFmtId="0" fontId="119" fillId="0" borderId="0"/>
    <xf numFmtId="0" fontId="19" fillId="0" borderId="0"/>
    <xf numFmtId="0" fontId="19" fillId="0" borderId="0"/>
    <xf numFmtId="0" fontId="96" fillId="0" borderId="0"/>
    <xf numFmtId="0" fontId="19" fillId="0" borderId="0"/>
    <xf numFmtId="0" fontId="105" fillId="0" borderId="0"/>
    <xf numFmtId="0" fontId="19" fillId="0" borderId="0"/>
    <xf numFmtId="0" fontId="119" fillId="0" borderId="0"/>
    <xf numFmtId="0" fontId="19" fillId="0" borderId="0"/>
    <xf numFmtId="0" fontId="20" fillId="0" borderId="0"/>
    <xf numFmtId="0" fontId="97" fillId="0" borderId="0"/>
    <xf numFmtId="0" fontId="20" fillId="0" borderId="0"/>
    <xf numFmtId="0" fontId="106" fillId="0" borderId="0"/>
    <xf numFmtId="0" fontId="20" fillId="0" borderId="0"/>
    <xf numFmtId="0" fontId="120" fillId="0" borderId="0"/>
    <xf numFmtId="0" fontId="20" fillId="0" borderId="0"/>
    <xf numFmtId="37" fontId="1" fillId="0" borderId="0" applyFont="0" applyFill="0" applyBorder="0" applyAlignment="0" applyProtection="0"/>
    <xf numFmtId="5" fontId="1" fillId="0" borderId="0" applyFont="0" applyFill="0" applyBorder="0" applyAlignment="0" applyProtection="0"/>
    <xf numFmtId="44" fontId="1" fillId="0" borderId="0" applyFont="0" applyFill="0" applyBorder="0" applyAlignment="0" applyProtection="0"/>
    <xf numFmtId="44" fontId="122" fillId="0" borderId="0" applyFont="0" applyFill="0" applyBorder="0" applyAlignment="0" applyProtection="0"/>
    <xf numFmtId="44" fontId="1" fillId="0" borderId="0" applyFont="0" applyFill="0" applyBorder="0" applyAlignment="0" applyProtection="0"/>
    <xf numFmtId="5" fontId="1" fillId="0" borderId="0" applyFont="0" applyFill="0" applyBorder="0" applyAlignment="0" applyProtection="0"/>
    <xf numFmtId="44" fontId="1" fillId="0" borderId="0" applyFont="0" applyFill="0" applyBorder="0" applyAlignment="0" applyProtection="0"/>
    <xf numFmtId="0" fontId="7" fillId="0" borderId="0" applyNumberFormat="0" applyFill="0" applyBorder="0" applyAlignment="0" applyProtection="0">
      <alignment vertical="top"/>
      <protection locked="0"/>
    </xf>
    <xf numFmtId="0" fontId="1" fillId="0" borderId="0"/>
    <xf numFmtId="0" fontId="122" fillId="0" borderId="0"/>
    <xf numFmtId="0" fontId="1" fillId="0" borderId="0"/>
    <xf numFmtId="0" fontId="1" fillId="0" borderId="0"/>
    <xf numFmtId="37" fontId="16" fillId="0" borderId="0" applyAlignment="0"/>
    <xf numFmtId="0" fontId="30" fillId="0" borderId="0"/>
    <xf numFmtId="0" fontId="2" fillId="0" borderId="0"/>
    <xf numFmtId="0" fontId="6" fillId="0" borderId="0"/>
    <xf numFmtId="37" fontId="59" fillId="0" borderId="0" applyAlignment="0"/>
    <xf numFmtId="0" fontId="1" fillId="0" borderId="0"/>
    <xf numFmtId="0" fontId="1" fillId="0" borderId="0"/>
    <xf numFmtId="0" fontId="3" fillId="0" borderId="0"/>
    <xf numFmtId="0" fontId="21" fillId="0" borderId="0">
      <alignment vertical="center"/>
    </xf>
    <xf numFmtId="165"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165" fontId="1" fillId="0" borderId="0" applyFont="0" applyFill="0" applyBorder="0" applyAlignment="0" applyProtection="0"/>
    <xf numFmtId="0" fontId="6" fillId="2" borderId="0" applyNumberFormat="0" applyFont="0" applyBorder="0" applyAlignment="0" applyProtection="0"/>
    <xf numFmtId="0" fontId="1" fillId="2" borderId="0" applyNumberFormat="0" applyFont="0" applyBorder="0" applyAlignment="0" applyProtection="0"/>
    <xf numFmtId="0" fontId="22" fillId="0" borderId="0"/>
    <xf numFmtId="0" fontId="98" fillId="0" borderId="0"/>
    <xf numFmtId="0" fontId="22" fillId="0" borderId="0"/>
    <xf numFmtId="0" fontId="107" fillId="0" borderId="0"/>
    <xf numFmtId="0" fontId="22" fillId="0" borderId="0"/>
    <xf numFmtId="0" fontId="121" fillId="0" borderId="0"/>
    <xf numFmtId="0" fontId="22" fillId="0" borderId="0"/>
    <xf numFmtId="0" fontId="22" fillId="0" borderId="1">
      <alignment horizontal="centerContinuous"/>
    </xf>
    <xf numFmtId="0" fontId="98" fillId="0" borderId="1">
      <alignment horizontal="centerContinuous"/>
    </xf>
    <xf numFmtId="0" fontId="22" fillId="0" borderId="1">
      <alignment horizontal="centerContinuous"/>
    </xf>
    <xf numFmtId="0" fontId="107" fillId="0" borderId="1">
      <alignment horizontal="centerContinuous"/>
    </xf>
    <xf numFmtId="0" fontId="22" fillId="0" borderId="1">
      <alignment horizontal="centerContinuous"/>
    </xf>
    <xf numFmtId="0" fontId="121" fillId="0" borderId="1">
      <alignment horizontal="centerContinuous"/>
    </xf>
    <xf numFmtId="0" fontId="22" fillId="0" borderId="1">
      <alignment horizontal="centerContinuous"/>
    </xf>
    <xf numFmtId="0" fontId="23" fillId="0" borderId="1"/>
    <xf numFmtId="0" fontId="157" fillId="0" borderId="0"/>
  </cellStyleXfs>
  <cellXfs count="4220">
    <xf numFmtId="37" fontId="0" fillId="0" borderId="0" xfId="0"/>
    <xf numFmtId="37" fontId="8" fillId="0" borderId="0" xfId="0" applyFont="1"/>
    <xf numFmtId="37" fontId="6" fillId="0" borderId="0" xfId="0" applyFont="1"/>
    <xf numFmtId="49" fontId="0" fillId="0" borderId="0" xfId="0" applyNumberFormat="1"/>
    <xf numFmtId="0" fontId="1" fillId="5" borderId="0" xfId="46" applyFill="1"/>
    <xf numFmtId="0" fontId="31" fillId="5" borderId="0" xfId="46" applyFont="1" applyFill="1" applyAlignment="1">
      <alignment vertical="center"/>
    </xf>
    <xf numFmtId="0" fontId="1" fillId="0" borderId="0" xfId="46"/>
    <xf numFmtId="0" fontId="1" fillId="6" borderId="0" xfId="46" applyFill="1"/>
    <xf numFmtId="0" fontId="1" fillId="7" borderId="0" xfId="46" applyFill="1"/>
    <xf numFmtId="0" fontId="3" fillId="7" borderId="0" xfId="48" applyFill="1" applyAlignment="1">
      <alignment horizontal="right"/>
    </xf>
    <xf numFmtId="0" fontId="3" fillId="7" borderId="0" xfId="48" applyFill="1"/>
    <xf numFmtId="0" fontId="3" fillId="7" borderId="8" xfId="48" applyFill="1" applyBorder="1"/>
    <xf numFmtId="0" fontId="3" fillId="7" borderId="0" xfId="48" applyFill="1" applyAlignment="1"/>
    <xf numFmtId="0" fontId="1" fillId="7" borderId="0" xfId="46" applyFill="1" applyAlignment="1">
      <alignment vertical="top"/>
    </xf>
    <xf numFmtId="0" fontId="3" fillId="7" borderId="0" xfId="48" applyFill="1" applyBorder="1"/>
    <xf numFmtId="0" fontId="3" fillId="7" borderId="0" xfId="48" applyFill="1" applyBorder="1" applyAlignment="1">
      <alignment horizontal="right"/>
    </xf>
    <xf numFmtId="0" fontId="34" fillId="0" borderId="0" xfId="48" applyFont="1" applyFill="1" applyBorder="1" applyAlignment="1">
      <alignment horizontal="left" wrapText="1"/>
    </xf>
    <xf numFmtId="0" fontId="27" fillId="7" borderId="0" xfId="48" applyFont="1" applyFill="1" applyBorder="1" applyAlignment="1">
      <alignment horizontal="center"/>
    </xf>
    <xf numFmtId="0" fontId="35" fillId="7" borderId="0" xfId="48" applyFont="1" applyFill="1" applyBorder="1"/>
    <xf numFmtId="0" fontId="11" fillId="7" borderId="9" xfId="48" applyFont="1" applyFill="1" applyBorder="1"/>
    <xf numFmtId="0" fontId="11" fillId="7" borderId="10" xfId="48" applyFont="1" applyFill="1" applyBorder="1" applyAlignment="1">
      <alignment horizontal="right"/>
    </xf>
    <xf numFmtId="0" fontId="11" fillId="7" borderId="10" xfId="48" applyFont="1" applyFill="1" applyBorder="1" applyAlignment="1">
      <alignment horizontal="right" wrapText="1"/>
    </xf>
    <xf numFmtId="0" fontId="36" fillId="0" borderId="11" xfId="48" applyFont="1" applyFill="1" applyBorder="1" applyAlignment="1">
      <alignment horizontal="right"/>
    </xf>
    <xf numFmtId="0" fontId="11" fillId="7" borderId="12" xfId="48" applyFont="1" applyFill="1" applyBorder="1" applyAlignment="1">
      <alignment horizontal="right" wrapText="1"/>
    </xf>
    <xf numFmtId="0" fontId="3" fillId="0" borderId="8" xfId="48" applyBorder="1"/>
    <xf numFmtId="0" fontId="3" fillId="0" borderId="0" xfId="48"/>
    <xf numFmtId="0" fontId="36" fillId="0" borderId="13" xfId="48" applyFont="1" applyFill="1" applyBorder="1" applyAlignment="1">
      <alignment wrapText="1"/>
    </xf>
    <xf numFmtId="2" fontId="36" fillId="0" borderId="11" xfId="35" applyNumberFormat="1" applyFont="1" applyBorder="1" applyAlignment="1">
      <alignment horizontal="right"/>
    </xf>
    <xf numFmtId="2" fontId="11" fillId="7" borderId="13" xfId="35" applyNumberFormat="1" applyFont="1" applyFill="1" applyBorder="1" applyAlignment="1">
      <alignment horizontal="right"/>
    </xf>
    <xf numFmtId="2" fontId="36" fillId="0" borderId="12" xfId="35" applyNumberFormat="1" applyFont="1" applyFill="1" applyBorder="1" applyAlignment="1">
      <alignment horizontal="right"/>
    </xf>
    <xf numFmtId="2" fontId="3" fillId="7" borderId="14" xfId="35" applyNumberFormat="1" applyFont="1" applyFill="1" applyBorder="1" applyAlignment="1">
      <alignment horizontal="right"/>
    </xf>
    <xf numFmtId="2" fontId="11" fillId="7" borderId="15" xfId="35" applyNumberFormat="1" applyFont="1" applyFill="1" applyBorder="1" applyAlignment="1">
      <alignment horizontal="right"/>
    </xf>
    <xf numFmtId="2" fontId="36" fillId="0" borderId="11" xfId="35" applyNumberFormat="1" applyFont="1" applyFill="1" applyBorder="1" applyAlignment="1">
      <alignment wrapText="1"/>
    </xf>
    <xf numFmtId="2" fontId="3" fillId="7" borderId="16" xfId="35" applyNumberFormat="1" applyFont="1" applyFill="1" applyBorder="1" applyAlignment="1">
      <alignment horizontal="right"/>
    </xf>
    <xf numFmtId="182" fontId="36" fillId="0" borderId="11" xfId="35" applyNumberFormat="1" applyFont="1" applyFill="1" applyBorder="1" applyAlignment="1">
      <alignment horizontal="right"/>
    </xf>
    <xf numFmtId="2" fontId="37" fillId="7" borderId="16" xfId="35" applyNumberFormat="1" applyFont="1" applyFill="1" applyBorder="1" applyAlignment="1">
      <alignment horizontal="right"/>
    </xf>
    <xf numFmtId="2" fontId="37" fillId="7" borderId="0" xfId="35" applyNumberFormat="1" applyFont="1" applyFill="1" applyBorder="1" applyAlignment="1">
      <alignment horizontal="right"/>
    </xf>
    <xf numFmtId="2" fontId="37" fillId="7" borderId="17" xfId="35" applyNumberFormat="1" applyFont="1" applyFill="1" applyBorder="1" applyAlignment="1">
      <alignment horizontal="right"/>
    </xf>
    <xf numFmtId="0" fontId="3" fillId="8" borderId="0" xfId="48" applyFill="1" applyAlignment="1">
      <alignment horizontal="right"/>
    </xf>
    <xf numFmtId="2" fontId="3" fillId="7" borderId="18" xfId="35" applyNumberFormat="1" applyFont="1" applyFill="1" applyBorder="1" applyAlignment="1">
      <alignment horizontal="right"/>
    </xf>
    <xf numFmtId="0" fontId="3" fillId="0" borderId="8" xfId="48" applyFill="1" applyBorder="1"/>
    <xf numFmtId="2" fontId="36" fillId="0" borderId="17" xfId="35" applyNumberFormat="1" applyFont="1" applyFill="1" applyBorder="1" applyAlignment="1">
      <alignment wrapText="1"/>
    </xf>
    <xf numFmtId="2" fontId="29" fillId="7" borderId="0" xfId="35" applyNumberFormat="1" applyFont="1" applyFill="1" applyBorder="1" applyAlignment="1">
      <alignment horizontal="right"/>
    </xf>
    <xf numFmtId="2" fontId="38" fillId="7" borderId="0" xfId="35" applyNumberFormat="1" applyFont="1" applyFill="1" applyBorder="1" applyAlignment="1">
      <alignment horizontal="right"/>
    </xf>
    <xf numFmtId="182" fontId="36" fillId="0" borderId="11" xfId="48" applyNumberFormat="1" applyFont="1" applyFill="1" applyBorder="1" applyAlignment="1">
      <alignment horizontal="right"/>
    </xf>
    <xf numFmtId="0" fontId="36" fillId="0" borderId="19" xfId="48" applyFont="1" applyFill="1" applyBorder="1" applyAlignment="1">
      <alignment wrapText="1"/>
    </xf>
    <xf numFmtId="2" fontId="37" fillId="7" borderId="20" xfId="35" applyNumberFormat="1" applyFont="1" applyFill="1" applyBorder="1" applyAlignment="1">
      <alignment horizontal="right"/>
    </xf>
    <xf numFmtId="2" fontId="28" fillId="7" borderId="21" xfId="35" applyNumberFormat="1" applyFont="1" applyFill="1" applyBorder="1" applyAlignment="1">
      <alignment horizontal="right"/>
    </xf>
    <xf numFmtId="2" fontId="37" fillId="7" borderId="21" xfId="35" applyNumberFormat="1" applyFont="1" applyFill="1" applyBorder="1" applyAlignment="1">
      <alignment horizontal="right"/>
    </xf>
    <xf numFmtId="2" fontId="37" fillId="7" borderId="22" xfId="35" applyNumberFormat="1" applyFont="1" applyFill="1" applyBorder="1" applyAlignment="1">
      <alignment horizontal="right"/>
    </xf>
    <xf numFmtId="0" fontId="3" fillId="0" borderId="8" xfId="48" applyBorder="1" applyAlignment="1">
      <alignment horizontal="right"/>
    </xf>
    <xf numFmtId="0" fontId="3" fillId="0" borderId="0" xfId="48" applyBorder="1"/>
    <xf numFmtId="0" fontId="3" fillId="0" borderId="0" xfId="48" applyBorder="1" applyAlignment="1">
      <alignment horizontal="right"/>
    </xf>
    <xf numFmtId="0" fontId="3" fillId="0" borderId="0" xfId="48" applyAlignment="1">
      <alignment horizontal="right"/>
    </xf>
    <xf numFmtId="165" fontId="6" fillId="0" borderId="22" xfId="50" applyFont="1" applyBorder="1"/>
    <xf numFmtId="165" fontId="6" fillId="0" borderId="21" xfId="50" applyFont="1" applyBorder="1"/>
    <xf numFmtId="37" fontId="6" fillId="0" borderId="23" xfId="0" applyFont="1" applyBorder="1"/>
    <xf numFmtId="165" fontId="6" fillId="0" borderId="17" xfId="50" applyNumberFormat="1" applyFont="1" applyBorder="1"/>
    <xf numFmtId="165" fontId="6" fillId="0" borderId="0" xfId="50" applyFont="1" applyBorder="1"/>
    <xf numFmtId="37" fontId="6" fillId="0" borderId="24" xfId="0" applyFont="1" applyBorder="1"/>
    <xf numFmtId="37" fontId="6" fillId="0" borderId="17" xfId="0" applyFont="1" applyBorder="1"/>
    <xf numFmtId="37" fontId="6" fillId="0" borderId="0" xfId="0" applyFont="1" applyBorder="1"/>
    <xf numFmtId="37" fontId="6" fillId="0" borderId="17" xfId="0" applyNumberFormat="1" applyFont="1" applyBorder="1"/>
    <xf numFmtId="37" fontId="6" fillId="0" borderId="0" xfId="0" applyNumberFormat="1" applyFont="1" applyBorder="1"/>
    <xf numFmtId="0" fontId="39" fillId="0" borderId="17" xfId="0" applyNumberFormat="1" applyFont="1" applyBorder="1"/>
    <xf numFmtId="0" fontId="39" fillId="0" borderId="0" xfId="0" applyNumberFormat="1" applyFont="1" applyBorder="1"/>
    <xf numFmtId="37" fontId="6" fillId="0" borderId="15" xfId="0" applyFont="1" applyBorder="1"/>
    <xf numFmtId="37" fontId="6" fillId="0" borderId="16" xfId="0" applyFont="1" applyBorder="1"/>
    <xf numFmtId="37" fontId="6" fillId="0" borderId="14" xfId="0" applyFont="1" applyBorder="1"/>
    <xf numFmtId="37" fontId="40" fillId="0" borderId="0" xfId="0" applyFont="1"/>
    <xf numFmtId="37" fontId="8" fillId="0" borderId="0" xfId="0" applyFont="1" applyBorder="1" applyAlignment="1">
      <alignment horizontal="right"/>
    </xf>
    <xf numFmtId="9" fontId="8" fillId="0" borderId="0" xfId="0" applyNumberFormat="1" applyFont="1"/>
    <xf numFmtId="37" fontId="6" fillId="0" borderId="21" xfId="0" applyFont="1" applyBorder="1"/>
    <xf numFmtId="37" fontId="8" fillId="0" borderId="21" xfId="0" applyFont="1" applyBorder="1" applyAlignment="1">
      <alignment horizontal="right"/>
    </xf>
    <xf numFmtId="37" fontId="6" fillId="0" borderId="0" xfId="0" applyNumberFormat="1" applyFont="1" applyFill="1" applyBorder="1"/>
    <xf numFmtId="37" fontId="6" fillId="0" borderId="21" xfId="0" applyNumberFormat="1" applyFont="1" applyFill="1" applyBorder="1"/>
    <xf numFmtId="177" fontId="6" fillId="0" borderId="21" xfId="0" applyNumberFormat="1" applyFont="1" applyFill="1" applyBorder="1" applyAlignment="1">
      <alignment horizontal="right"/>
    </xf>
    <xf numFmtId="37" fontId="6" fillId="0" borderId="0" xfId="0" applyFont="1" applyFill="1" applyBorder="1"/>
    <xf numFmtId="0" fontId="8" fillId="0" borderId="21" xfId="0" applyNumberFormat="1" applyFont="1" applyBorder="1" applyAlignment="1">
      <alignment horizontal="right"/>
    </xf>
    <xf numFmtId="37" fontId="8" fillId="0" borderId="14" xfId="0" applyFont="1" applyBorder="1"/>
    <xf numFmtId="37" fontId="8" fillId="0" borderId="24" xfId="0" applyFont="1" applyBorder="1"/>
    <xf numFmtId="37" fontId="6" fillId="0" borderId="0" xfId="0" applyFont="1" applyBorder="1" applyAlignment="1"/>
    <xf numFmtId="37" fontId="8" fillId="0" borderId="24" xfId="0" quotePrefix="1" applyFont="1" applyBorder="1"/>
    <xf numFmtId="37" fontId="6" fillId="0" borderId="0" xfId="0" applyFont="1" applyBorder="1" applyAlignment="1">
      <alignment horizontal="right"/>
    </xf>
    <xf numFmtId="37" fontId="39" fillId="0" borderId="24" xfId="0" applyFont="1" applyBorder="1" applyAlignment="1">
      <alignment horizontal="left"/>
    </xf>
    <xf numFmtId="37" fontId="39" fillId="0" borderId="0" xfId="0" applyFont="1" applyBorder="1" applyAlignment="1">
      <alignment horizontal="center"/>
    </xf>
    <xf numFmtId="37" fontId="39" fillId="0" borderId="0" xfId="0" applyFont="1" applyBorder="1" applyAlignment="1">
      <alignment horizontal="right"/>
    </xf>
    <xf numFmtId="0" fontId="39" fillId="0" borderId="0" xfId="0" applyNumberFormat="1" applyFont="1" applyBorder="1" applyAlignment="1">
      <alignment horizontal="right"/>
    </xf>
    <xf numFmtId="0" fontId="39" fillId="0" borderId="17" xfId="0" applyNumberFormat="1" applyFont="1" applyBorder="1" applyAlignment="1">
      <alignment horizontal="right"/>
    </xf>
    <xf numFmtId="16" fontId="39" fillId="0" borderId="0" xfId="0" quotePrefix="1" applyNumberFormat="1" applyFont="1" applyAlignment="1">
      <alignment horizontal="right"/>
    </xf>
    <xf numFmtId="37" fontId="6" fillId="0" borderId="24" xfId="29" applyFont="1" applyFill="1" applyBorder="1" applyAlignment="1" applyProtection="1">
      <alignment horizontal="left" indent="1"/>
    </xf>
    <xf numFmtId="165" fontId="6" fillId="0" borderId="0" xfId="50" applyFont="1" applyBorder="1" applyAlignment="1">
      <alignment horizontal="left"/>
    </xf>
    <xf numFmtId="9" fontId="6" fillId="0" borderId="0" xfId="50" applyNumberFormat="1" applyFont="1" applyBorder="1" applyAlignment="1">
      <alignment horizontal="right"/>
    </xf>
    <xf numFmtId="37" fontId="6" fillId="0" borderId="0" xfId="50" applyNumberFormat="1" applyFont="1" applyBorder="1" applyAlignment="1">
      <alignment horizontal="right"/>
    </xf>
    <xf numFmtId="37" fontId="6" fillId="0" borderId="0" xfId="0" applyNumberFormat="1" applyFont="1" applyBorder="1" applyAlignment="1">
      <alignment horizontal="right"/>
    </xf>
    <xf numFmtId="9" fontId="6" fillId="0" borderId="0" xfId="50" applyNumberFormat="1" applyFont="1" applyBorder="1"/>
    <xf numFmtId="166" fontId="6" fillId="0" borderId="0" xfId="0" applyNumberFormat="1" applyFont="1" applyBorder="1"/>
    <xf numFmtId="166" fontId="6" fillId="0" borderId="17" xfId="0" applyNumberFormat="1" applyFont="1" applyBorder="1"/>
    <xf numFmtId="166" fontId="6" fillId="0" borderId="0" xfId="0" applyNumberFormat="1" applyFont="1"/>
    <xf numFmtId="37" fontId="6" fillId="0" borderId="0" xfId="0" applyFont="1" applyBorder="1" applyAlignment="1">
      <alignment horizontal="left"/>
    </xf>
    <xf numFmtId="37" fontId="6" fillId="0" borderId="17" xfId="0" applyFont="1" applyBorder="1" applyAlignment="1">
      <alignment horizontal="right"/>
    </xf>
    <xf numFmtId="37" fontId="6" fillId="0" borderId="0" xfId="0" applyFont="1" applyAlignment="1">
      <alignment horizontal="right"/>
    </xf>
    <xf numFmtId="37" fontId="6" fillId="0" borderId="22" xfId="0" applyFont="1" applyBorder="1"/>
    <xf numFmtId="37" fontId="8" fillId="0" borderId="0" xfId="0" applyFont="1" applyAlignment="1">
      <alignment horizontal="right"/>
    </xf>
    <xf numFmtId="166" fontId="6" fillId="0" borderId="0" xfId="0" applyNumberFormat="1" applyFont="1" applyFill="1" applyBorder="1"/>
    <xf numFmtId="165" fontId="6" fillId="0" borderId="0" xfId="50" applyFont="1"/>
    <xf numFmtId="9" fontId="8" fillId="0" borderId="0" xfId="50" applyNumberFormat="1" applyFont="1"/>
    <xf numFmtId="37" fontId="8" fillId="0" borderId="0" xfId="0" applyFont="1" applyBorder="1"/>
    <xf numFmtId="1" fontId="8" fillId="7" borderId="9" xfId="0" applyNumberFormat="1" applyFont="1" applyFill="1" applyBorder="1" applyAlignment="1" applyProtection="1">
      <alignment horizontal="left"/>
    </xf>
    <xf numFmtId="1" fontId="8" fillId="7" borderId="10" xfId="0" applyNumberFormat="1" applyFont="1" applyFill="1" applyBorder="1" applyAlignment="1" applyProtection="1">
      <alignment horizontal="right"/>
    </xf>
    <xf numFmtId="1" fontId="8" fillId="7" borderId="11" xfId="0" applyNumberFormat="1" applyFont="1" applyFill="1" applyBorder="1" applyAlignment="1" applyProtection="1">
      <alignment horizontal="right"/>
    </xf>
    <xf numFmtId="37" fontId="8" fillId="0" borderId="21" xfId="0" applyFont="1" applyBorder="1"/>
    <xf numFmtId="37" fontId="6" fillId="0" borderId="13" xfId="0" applyFont="1" applyBorder="1"/>
    <xf numFmtId="5" fontId="6" fillId="0" borderId="0" xfId="0" applyNumberFormat="1" applyFont="1"/>
    <xf numFmtId="177" fontId="6" fillId="0" borderId="0" xfId="0" applyNumberFormat="1" applyFont="1"/>
    <xf numFmtId="37" fontId="26" fillId="0" borderId="13" xfId="0" applyFont="1" applyBorder="1"/>
    <xf numFmtId="37" fontId="26" fillId="0" borderId="0" xfId="0" applyFont="1"/>
    <xf numFmtId="37" fontId="41" fillId="0" borderId="0" xfId="0" applyFont="1" applyAlignment="1">
      <alignment horizontal="left" indent="1"/>
    </xf>
    <xf numFmtId="37" fontId="41" fillId="0" borderId="0" xfId="0" applyFont="1"/>
    <xf numFmtId="165" fontId="42" fillId="0" borderId="13" xfId="50" applyFont="1" applyBorder="1" applyAlignment="1">
      <alignment horizontal="right"/>
    </xf>
    <xf numFmtId="165" fontId="41" fillId="0" borderId="13" xfId="50" applyFont="1" applyBorder="1"/>
    <xf numFmtId="37" fontId="41" fillId="0" borderId="0" xfId="0" applyFont="1" applyAlignment="1">
      <alignment horizontal="right"/>
    </xf>
    <xf numFmtId="165" fontId="41" fillId="0" borderId="0" xfId="50" applyFont="1"/>
    <xf numFmtId="165" fontId="41" fillId="0" borderId="13" xfId="50" applyFont="1" applyBorder="1" applyAlignment="1">
      <alignment horizontal="right"/>
    </xf>
    <xf numFmtId="165" fontId="41" fillId="0" borderId="0" xfId="50" applyFont="1" applyAlignment="1">
      <alignment horizontal="right"/>
    </xf>
    <xf numFmtId="37" fontId="26" fillId="0" borderId="0" xfId="0" applyFont="1" applyFill="1" applyBorder="1"/>
    <xf numFmtId="9" fontId="6" fillId="0" borderId="0" xfId="50" applyNumberFormat="1" applyFont="1"/>
    <xf numFmtId="37" fontId="6" fillId="0" borderId="0" xfId="0" applyFont="1" applyAlignment="1">
      <alignment horizontal="left" indent="1"/>
    </xf>
    <xf numFmtId="165" fontId="26" fillId="0" borderId="13" xfId="50" applyFont="1" applyBorder="1" applyAlignment="1">
      <alignment horizontal="right"/>
    </xf>
    <xf numFmtId="165" fontId="6" fillId="0" borderId="13" xfId="50" applyFont="1" applyBorder="1"/>
    <xf numFmtId="5" fontId="6" fillId="4" borderId="25" xfId="0" applyNumberFormat="1" applyFont="1" applyFill="1" applyBorder="1"/>
    <xf numFmtId="37" fontId="6" fillId="4" borderId="19" xfId="0" applyFont="1" applyFill="1" applyBorder="1"/>
    <xf numFmtId="165" fontId="6" fillId="0" borderId="13" xfId="50" applyFont="1" applyBorder="1" applyAlignment="1">
      <alignment horizontal="right"/>
    </xf>
    <xf numFmtId="165" fontId="6" fillId="0" borderId="0" xfId="50" applyFont="1" applyAlignment="1">
      <alignment horizontal="right"/>
    </xf>
    <xf numFmtId="177" fontId="43" fillId="0" borderId="21" xfId="0" applyNumberFormat="1" applyFont="1" applyBorder="1"/>
    <xf numFmtId="177" fontId="8" fillId="0" borderId="21" xfId="0" applyNumberFormat="1" applyFont="1" applyBorder="1"/>
    <xf numFmtId="177" fontId="8" fillId="0" borderId="11" xfId="0" applyNumberFormat="1" applyFont="1" applyBorder="1"/>
    <xf numFmtId="5" fontId="6" fillId="0" borderId="13" xfId="0" applyNumberFormat="1" applyFont="1" applyBorder="1"/>
    <xf numFmtId="37" fontId="8" fillId="4" borderId="9" xfId="0" applyFont="1" applyFill="1" applyBorder="1"/>
    <xf numFmtId="177" fontId="8" fillId="4" borderId="10" xfId="0" applyNumberFormat="1" applyFont="1" applyFill="1" applyBorder="1"/>
    <xf numFmtId="177" fontId="8" fillId="4" borderId="11" xfId="0" applyNumberFormat="1" applyFont="1" applyFill="1" applyBorder="1"/>
    <xf numFmtId="177" fontId="8" fillId="4" borderId="12" xfId="0" applyNumberFormat="1" applyFont="1" applyFill="1" applyBorder="1"/>
    <xf numFmtId="37" fontId="26" fillId="0" borderId="19" xfId="0" applyFont="1" applyBorder="1"/>
    <xf numFmtId="37" fontId="26" fillId="0" borderId="21" xfId="0" applyFont="1" applyBorder="1"/>
    <xf numFmtId="37" fontId="6" fillId="0" borderId="19" xfId="0" applyFont="1" applyBorder="1"/>
    <xf numFmtId="177" fontId="26" fillId="0" borderId="0" xfId="0" applyNumberFormat="1" applyFont="1"/>
    <xf numFmtId="166" fontId="6" fillId="0" borderId="13" xfId="0" applyNumberFormat="1" applyFont="1" applyBorder="1"/>
    <xf numFmtId="37" fontId="8" fillId="0" borderId="9" xfId="0" applyFont="1" applyBorder="1"/>
    <xf numFmtId="7" fontId="8" fillId="0" borderId="10" xfId="0" applyNumberFormat="1" applyFont="1" applyBorder="1"/>
    <xf numFmtId="7" fontId="8" fillId="0" borderId="11" xfId="0" applyNumberFormat="1" applyFont="1" applyBorder="1"/>
    <xf numFmtId="7" fontId="8" fillId="0" borderId="12" xfId="0" applyNumberFormat="1" applyFont="1" applyBorder="1"/>
    <xf numFmtId="177" fontId="6" fillId="0" borderId="13" xfId="0" applyNumberFormat="1" applyFont="1" applyBorder="1"/>
    <xf numFmtId="7" fontId="8" fillId="4" borderId="10" xfId="0" applyNumberFormat="1" applyFont="1" applyFill="1" applyBorder="1"/>
    <xf numFmtId="7" fontId="8" fillId="4" borderId="11" xfId="0" applyNumberFormat="1" applyFont="1" applyFill="1" applyBorder="1"/>
    <xf numFmtId="7" fontId="8" fillId="4" borderId="12" xfId="0" applyNumberFormat="1" applyFont="1" applyFill="1" applyBorder="1"/>
    <xf numFmtId="37" fontId="8" fillId="4" borderId="10" xfId="0" applyFont="1" applyFill="1" applyBorder="1"/>
    <xf numFmtId="5" fontId="8" fillId="4" borderId="10" xfId="0" applyNumberFormat="1" applyFont="1" applyFill="1" applyBorder="1"/>
    <xf numFmtId="5" fontId="8" fillId="4" borderId="12" xfId="0" applyNumberFormat="1" applyFont="1" applyFill="1" applyBorder="1"/>
    <xf numFmtId="39" fontId="8" fillId="4" borderId="10" xfId="0" applyNumberFormat="1" applyFont="1" applyFill="1" applyBorder="1"/>
    <xf numFmtId="39" fontId="8" fillId="4" borderId="12" xfId="0" applyNumberFormat="1" applyFont="1" applyFill="1" applyBorder="1"/>
    <xf numFmtId="37" fontId="6" fillId="0" borderId="10" xfId="0" applyFont="1" applyBorder="1"/>
    <xf numFmtId="175" fontId="8" fillId="0" borderId="10" xfId="0" applyNumberFormat="1" applyFont="1" applyBorder="1"/>
    <xf numFmtId="175" fontId="8" fillId="0" borderId="11" xfId="0" applyNumberFormat="1" applyFont="1" applyBorder="1"/>
    <xf numFmtId="5" fontId="8" fillId="0" borderId="13" xfId="0" applyNumberFormat="1" applyFont="1" applyBorder="1"/>
    <xf numFmtId="5" fontId="6" fillId="0" borderId="21" xfId="0" applyNumberFormat="1" applyFont="1" applyBorder="1"/>
    <xf numFmtId="175" fontId="6" fillId="0" borderId="0" xfId="0" applyNumberFormat="1" applyFont="1"/>
    <xf numFmtId="37" fontId="6" fillId="0" borderId="0" xfId="0" applyNumberFormat="1" applyFont="1"/>
    <xf numFmtId="37" fontId="8" fillId="0" borderId="13" xfId="0" applyNumberFormat="1" applyFont="1" applyBorder="1"/>
    <xf numFmtId="37" fontId="8" fillId="4" borderId="10" xfId="0" applyNumberFormat="1" applyFont="1" applyFill="1" applyBorder="1"/>
    <xf numFmtId="37" fontId="8" fillId="4" borderId="11" xfId="0" applyNumberFormat="1" applyFont="1" applyFill="1" applyBorder="1"/>
    <xf numFmtId="37" fontId="6" fillId="0" borderId="13" xfId="0" applyNumberFormat="1" applyFont="1" applyBorder="1"/>
    <xf numFmtId="37" fontId="26" fillId="0" borderId="0" xfId="0" applyNumberFormat="1" applyFont="1"/>
    <xf numFmtId="37" fontId="8" fillId="0" borderId="13" xfId="0" applyFont="1" applyBorder="1"/>
    <xf numFmtId="37" fontId="6" fillId="7" borderId="0" xfId="0" applyFont="1" applyFill="1"/>
    <xf numFmtId="37" fontId="39" fillId="0" borderId="0" xfId="0" applyFont="1"/>
    <xf numFmtId="37" fontId="39" fillId="0" borderId="0" xfId="0" applyFont="1" applyAlignment="1">
      <alignment horizontal="right"/>
    </xf>
    <xf numFmtId="37" fontId="6" fillId="0" borderId="0" xfId="0" applyFont="1" applyAlignment="1">
      <alignment horizontal="left"/>
    </xf>
    <xf numFmtId="0" fontId="39" fillId="0" borderId="0" xfId="0" applyNumberFormat="1" applyFont="1"/>
    <xf numFmtId="175" fontId="26" fillId="0" borderId="0" xfId="0" applyNumberFormat="1" applyFont="1"/>
    <xf numFmtId="0" fontId="39" fillId="0" borderId="0" xfId="0" applyNumberFormat="1" applyFont="1" applyAlignment="1">
      <alignment horizontal="right"/>
    </xf>
    <xf numFmtId="37" fontId="18" fillId="0" borderId="0" xfId="0" applyFont="1"/>
    <xf numFmtId="166" fontId="18" fillId="0" borderId="0" xfId="0" applyNumberFormat="1" applyFont="1"/>
    <xf numFmtId="179" fontId="8" fillId="0" borderId="0" xfId="0" applyNumberFormat="1" applyFont="1" applyFill="1" applyBorder="1"/>
    <xf numFmtId="0" fontId="8" fillId="0" borderId="0" xfId="0" applyNumberFormat="1" applyFont="1" applyFill="1" applyBorder="1" applyAlignment="1">
      <alignment horizontal="right"/>
    </xf>
    <xf numFmtId="37" fontId="8" fillId="0" borderId="0" xfId="0" applyFont="1" applyFill="1" applyBorder="1" applyAlignment="1">
      <alignment horizontal="center"/>
    </xf>
    <xf numFmtId="37" fontId="8" fillId="0" borderId="0" xfId="0" applyFont="1" applyFill="1" applyBorder="1" applyAlignment="1">
      <alignment horizontal="right"/>
    </xf>
    <xf numFmtId="37" fontId="6" fillId="0" borderId="0" xfId="0" applyFont="1" applyAlignment="1">
      <alignment horizontal="center"/>
    </xf>
    <xf numFmtId="37" fontId="8" fillId="0" borderId="21" xfId="0" applyFont="1" applyFill="1" applyBorder="1"/>
    <xf numFmtId="37" fontId="8" fillId="0" borderId="21" xfId="0" applyFont="1" applyFill="1" applyBorder="1" applyAlignment="1">
      <alignment horizontal="right"/>
    </xf>
    <xf numFmtId="37" fontId="6" fillId="0" borderId="21" xfId="0" applyFont="1" applyFill="1" applyBorder="1"/>
    <xf numFmtId="37" fontId="8" fillId="0" borderId="21" xfId="0" applyFont="1" applyFill="1" applyBorder="1" applyAlignment="1">
      <alignment horizontal="center"/>
    </xf>
    <xf numFmtId="37" fontId="6" fillId="0" borderId="0" xfId="0" applyFont="1" applyFill="1" applyBorder="1" applyAlignment="1">
      <alignment horizontal="center"/>
    </xf>
    <xf numFmtId="37" fontId="6" fillId="0" borderId="0" xfId="0" quotePrefix="1" applyFont="1" applyFill="1" applyBorder="1" applyAlignment="1">
      <alignment horizontal="center"/>
    </xf>
    <xf numFmtId="5" fontId="6" fillId="0" borderId="0" xfId="0" applyNumberFormat="1" applyFont="1" applyFill="1" applyBorder="1"/>
    <xf numFmtId="37" fontId="39" fillId="0" borderId="0" xfId="0" applyFont="1" applyAlignment="1">
      <alignment horizontal="center"/>
    </xf>
    <xf numFmtId="37" fontId="6" fillId="0" borderId="0" xfId="29" applyFont="1" applyBorder="1" applyAlignment="1" applyProtection="1">
      <alignment horizontal="left" indent="1"/>
    </xf>
    <xf numFmtId="37" fontId="6" fillId="0" borderId="21" xfId="0" applyFont="1" applyFill="1" applyBorder="1" applyAlignment="1">
      <alignment horizontal="center"/>
    </xf>
    <xf numFmtId="37" fontId="6" fillId="0" borderId="21" xfId="0" quotePrefix="1" applyFont="1" applyFill="1" applyBorder="1" applyAlignment="1">
      <alignment horizontal="center"/>
    </xf>
    <xf numFmtId="37" fontId="8" fillId="0" borderId="0" xfId="0" applyFont="1" applyFill="1" applyBorder="1"/>
    <xf numFmtId="37" fontId="8" fillId="0" borderId="0" xfId="0" quotePrefix="1" applyFont="1" applyFill="1" applyBorder="1" applyAlignment="1">
      <alignment horizontal="center"/>
    </xf>
    <xf numFmtId="37" fontId="8" fillId="0" borderId="0" xfId="0" applyNumberFormat="1" applyFont="1" applyFill="1" applyBorder="1"/>
    <xf numFmtId="183" fontId="6" fillId="0" borderId="0" xfId="0" applyNumberFormat="1" applyFont="1" applyFill="1" applyBorder="1"/>
    <xf numFmtId="37" fontId="8" fillId="0" borderId="0" xfId="0" applyNumberFormat="1" applyFont="1" applyFill="1" applyBorder="1" applyAlignment="1">
      <alignment horizontal="right"/>
    </xf>
    <xf numFmtId="37" fontId="6" fillId="0" borderId="0" xfId="0" applyFont="1" applyFill="1" applyBorder="1" applyAlignment="1">
      <alignment horizontal="left" indent="1"/>
    </xf>
    <xf numFmtId="183" fontId="6" fillId="0" borderId="21" xfId="0" applyNumberFormat="1" applyFont="1" applyFill="1" applyBorder="1"/>
    <xf numFmtId="166" fontId="39" fillId="0" borderId="0" xfId="0" applyNumberFormat="1" applyFont="1" applyFill="1" applyBorder="1"/>
    <xf numFmtId="37" fontId="39" fillId="0" borderId="0" xfId="0" applyFont="1" applyFill="1" applyBorder="1"/>
    <xf numFmtId="166" fontId="26" fillId="0" borderId="0" xfId="0" applyNumberFormat="1" applyFont="1" applyFill="1" applyBorder="1"/>
    <xf numFmtId="166" fontId="6" fillId="4" borderId="10" xfId="0" applyNumberFormat="1" applyFont="1" applyFill="1" applyBorder="1"/>
    <xf numFmtId="183" fontId="6" fillId="4" borderId="10" xfId="0" applyNumberFormat="1" applyFont="1" applyFill="1" applyBorder="1"/>
    <xf numFmtId="7" fontId="8" fillId="0" borderId="0" xfId="0" applyNumberFormat="1" applyFont="1" applyFill="1" applyBorder="1"/>
    <xf numFmtId="7" fontId="26" fillId="0" borderId="0" xfId="30" applyNumberFormat="1" applyFont="1" applyFill="1" applyBorder="1"/>
    <xf numFmtId="37" fontId="41" fillId="0" borderId="0" xfId="0" applyFont="1" applyFill="1" applyBorder="1" applyAlignment="1">
      <alignment horizontal="left" indent="1"/>
    </xf>
    <xf numFmtId="165" fontId="41" fillId="0" borderId="0" xfId="50" applyNumberFormat="1" applyFont="1" applyFill="1" applyBorder="1"/>
    <xf numFmtId="7" fontId="6" fillId="0" borderId="0" xfId="30" applyNumberFormat="1" applyFont="1" applyFill="1" applyBorder="1"/>
    <xf numFmtId="165" fontId="41" fillId="0" borderId="0" xfId="50" applyFont="1" applyFill="1" applyBorder="1"/>
    <xf numFmtId="5" fontId="6" fillId="0" borderId="0" xfId="30" applyFont="1" applyBorder="1" applyAlignment="1" applyProtection="1">
      <alignment horizontal="left"/>
    </xf>
    <xf numFmtId="37" fontId="6" fillId="0" borderId="0" xfId="29" applyFont="1" applyBorder="1" applyAlignment="1" applyProtection="1">
      <alignment horizontal="left"/>
    </xf>
    <xf numFmtId="5" fontId="6" fillId="0" borderId="21" xfId="30" applyFont="1" applyBorder="1" applyAlignment="1" applyProtection="1">
      <alignment horizontal="left"/>
    </xf>
    <xf numFmtId="37" fontId="6" fillId="0" borderId="21" xfId="0" applyFont="1" applyFill="1" applyBorder="1" applyAlignment="1">
      <alignment horizontal="left"/>
    </xf>
    <xf numFmtId="37" fontId="6" fillId="0" borderId="0" xfId="0" applyFont="1" applyFill="1" applyBorder="1" applyAlignment="1">
      <alignment horizontal="left"/>
    </xf>
    <xf numFmtId="165" fontId="8" fillId="0" borderId="0" xfId="50" applyFont="1"/>
    <xf numFmtId="37" fontId="6" fillId="0" borderId="0" xfId="0" applyFont="1" applyFill="1" applyBorder="1" applyProtection="1"/>
    <xf numFmtId="164" fontId="6" fillId="0" borderId="0" xfId="0" applyNumberFormat="1" applyFont="1" applyFill="1" applyBorder="1" applyAlignment="1" applyProtection="1">
      <alignment horizontal="right"/>
    </xf>
    <xf numFmtId="164" fontId="26" fillId="0" borderId="0" xfId="0" quotePrefix="1" applyNumberFormat="1" applyFont="1" applyFill="1" applyBorder="1" applyAlignment="1" applyProtection="1">
      <alignment horizontal="right"/>
    </xf>
    <xf numFmtId="186" fontId="26" fillId="0" borderId="0" xfId="0" quotePrefix="1" applyNumberFormat="1" applyFont="1" applyFill="1" applyBorder="1" applyAlignment="1" applyProtection="1">
      <alignment horizontal="right"/>
    </xf>
    <xf numFmtId="37" fontId="6" fillId="9" borderId="0" xfId="0" applyFont="1" applyFill="1" applyBorder="1"/>
    <xf numFmtId="37" fontId="18" fillId="0" borderId="0" xfId="0" applyFont="1" applyBorder="1"/>
    <xf numFmtId="37" fontId="8" fillId="0" borderId="0" xfId="29" applyFont="1" applyFill="1" applyBorder="1" applyAlignment="1" applyProtection="1">
      <alignment horizontal="left"/>
    </xf>
    <xf numFmtId="173" fontId="26" fillId="0" borderId="0" xfId="29" quotePrefix="1" applyNumberFormat="1" applyFont="1" applyFill="1" applyBorder="1" applyAlignment="1" applyProtection="1"/>
    <xf numFmtId="173" fontId="26" fillId="0" borderId="0" xfId="29" applyNumberFormat="1" applyFont="1" applyFill="1" applyBorder="1" applyAlignment="1" applyProtection="1"/>
    <xf numFmtId="37" fontId="6" fillId="0" borderId="0" xfId="29" quotePrefix="1" applyFont="1" applyFill="1" applyBorder="1" applyAlignment="1" applyProtection="1"/>
    <xf numFmtId="37" fontId="41" fillId="0" borderId="0" xfId="0" applyFont="1" applyFill="1" applyBorder="1" applyAlignment="1" applyProtection="1">
      <alignment horizontal="centerContinuous"/>
    </xf>
    <xf numFmtId="37" fontId="6" fillId="0" borderId="0" xfId="0" applyFont="1" applyFill="1" applyBorder="1" applyAlignment="1" applyProtection="1">
      <alignment horizontal="centerContinuous"/>
    </xf>
    <xf numFmtId="37" fontId="6" fillId="0" borderId="13" xfId="0" applyFont="1" applyFill="1" applyBorder="1" applyProtection="1"/>
    <xf numFmtId="37" fontId="8" fillId="7" borderId="9" xfId="0" applyFont="1" applyFill="1" applyBorder="1" applyAlignment="1" applyProtection="1"/>
    <xf numFmtId="37" fontId="8" fillId="7" borderId="10" xfId="0" applyFont="1" applyFill="1" applyBorder="1" applyAlignment="1" applyProtection="1">
      <alignment horizontal="left"/>
    </xf>
    <xf numFmtId="1" fontId="8" fillId="7" borderId="9" xfId="0" applyNumberFormat="1" applyFont="1" applyFill="1" applyBorder="1" applyAlignment="1" applyProtection="1">
      <alignment horizontal="right"/>
    </xf>
    <xf numFmtId="1" fontId="8" fillId="7" borderId="11" xfId="30" applyNumberFormat="1" applyFont="1" applyFill="1" applyBorder="1" applyAlignment="1" applyProtection="1">
      <alignment horizontal="right"/>
    </xf>
    <xf numFmtId="165" fontId="6" fillId="0" borderId="0" xfId="0" applyNumberFormat="1" applyFont="1" applyFill="1" applyBorder="1" applyProtection="1"/>
    <xf numFmtId="9" fontId="6" fillId="0" borderId="0" xfId="0" applyNumberFormat="1" applyFont="1" applyFill="1" applyBorder="1" applyProtection="1"/>
    <xf numFmtId="37" fontId="8" fillId="0" borderId="0" xfId="0" applyFont="1" applyFill="1" applyBorder="1" applyAlignment="1" applyProtection="1"/>
    <xf numFmtId="37" fontId="8" fillId="0" borderId="0" xfId="0" applyFont="1" applyFill="1" applyBorder="1" applyAlignment="1" applyProtection="1">
      <alignment horizontal="left"/>
    </xf>
    <xf numFmtId="1" fontId="8" fillId="0" borderId="24" xfId="0" applyNumberFormat="1" applyFont="1" applyFill="1" applyBorder="1" applyAlignment="1" applyProtection="1">
      <alignment horizontal="right"/>
    </xf>
    <xf numFmtId="1" fontId="8" fillId="0" borderId="0" xfId="0" applyNumberFormat="1" applyFont="1" applyFill="1" applyBorder="1" applyAlignment="1" applyProtection="1">
      <alignment horizontal="right"/>
    </xf>
    <xf numFmtId="1" fontId="8" fillId="0" borderId="13" xfId="0" applyNumberFormat="1" applyFont="1" applyFill="1" applyBorder="1" applyAlignment="1" applyProtection="1">
      <alignment horizontal="right"/>
    </xf>
    <xf numFmtId="1" fontId="8" fillId="0" borderId="13" xfId="30" applyNumberFormat="1" applyFont="1" applyFill="1" applyBorder="1" applyAlignment="1" applyProtection="1">
      <alignment horizontal="right"/>
    </xf>
    <xf numFmtId="1" fontId="8" fillId="0" borderId="0" xfId="30" applyNumberFormat="1" applyFont="1" applyFill="1" applyBorder="1" applyAlignment="1" applyProtection="1">
      <alignment horizontal="right"/>
    </xf>
    <xf numFmtId="37" fontId="18" fillId="0" borderId="0" xfId="0" applyFont="1" applyFill="1" applyBorder="1"/>
    <xf numFmtId="183" fontId="6" fillId="0" borderId="0" xfId="30" applyNumberFormat="1" applyFont="1" applyFill="1" applyBorder="1" applyAlignment="1" applyProtection="1"/>
    <xf numFmtId="183" fontId="6" fillId="0" borderId="13" xfId="30" applyNumberFormat="1" applyFont="1" applyFill="1" applyBorder="1" applyAlignment="1" applyProtection="1"/>
    <xf numFmtId="183" fontId="6" fillId="0" borderId="0" xfId="0" applyNumberFormat="1" applyFont="1" applyFill="1" applyBorder="1" applyAlignment="1" applyProtection="1"/>
    <xf numFmtId="37" fontId="8" fillId="0" borderId="0" xfId="0" applyFont="1" applyBorder="1" applyAlignment="1" applyProtection="1">
      <alignment horizontal="left"/>
    </xf>
    <xf numFmtId="183" fontId="8" fillId="0" borderId="24" xfId="30" applyNumberFormat="1" applyFont="1" applyFill="1" applyBorder="1" applyAlignment="1" applyProtection="1"/>
    <xf numFmtId="183" fontId="8" fillId="0" borderId="0" xfId="30" applyNumberFormat="1" applyFont="1" applyFill="1" applyBorder="1" applyAlignment="1" applyProtection="1"/>
    <xf numFmtId="183" fontId="8" fillId="0" borderId="13" xfId="30" applyNumberFormat="1" applyFont="1" applyFill="1" applyBorder="1" applyAlignment="1" applyProtection="1"/>
    <xf numFmtId="183" fontId="8" fillId="0" borderId="17" xfId="30" applyNumberFormat="1" applyFont="1" applyFill="1" applyBorder="1" applyAlignment="1" applyProtection="1"/>
    <xf numFmtId="165" fontId="41" fillId="0" borderId="0" xfId="0" applyNumberFormat="1" applyFont="1" applyBorder="1" applyAlignment="1">
      <alignment horizontal="left" indent="1"/>
    </xf>
    <xf numFmtId="165" fontId="42" fillId="0" borderId="24" xfId="50" applyFont="1" applyFill="1" applyBorder="1" applyAlignment="1" applyProtection="1">
      <alignment horizontal="right"/>
    </xf>
    <xf numFmtId="165" fontId="41" fillId="0" borderId="24" xfId="50" applyFont="1" applyFill="1" applyBorder="1" applyAlignment="1" applyProtection="1">
      <alignment horizontal="right"/>
    </xf>
    <xf numFmtId="165" fontId="41" fillId="0" borderId="24" xfId="50" applyFont="1" applyFill="1" applyBorder="1" applyAlignment="1" applyProtection="1"/>
    <xf numFmtId="165" fontId="41" fillId="0" borderId="0" xfId="50" applyFont="1" applyFill="1" applyBorder="1" applyAlignment="1" applyProtection="1"/>
    <xf numFmtId="165" fontId="41" fillId="0" borderId="13" xfId="50" applyFont="1" applyFill="1" applyBorder="1" applyAlignment="1" applyProtection="1">
      <alignment horizontal="right"/>
    </xf>
    <xf numFmtId="165" fontId="41" fillId="0" borderId="0" xfId="50" applyFont="1" applyFill="1" applyBorder="1" applyAlignment="1" applyProtection="1">
      <alignment horizontal="right"/>
    </xf>
    <xf numFmtId="165" fontId="41" fillId="0" borderId="13" xfId="50" applyFont="1" applyFill="1" applyBorder="1" applyAlignment="1" applyProtection="1"/>
    <xf numFmtId="37" fontId="41" fillId="0" borderId="0" xfId="0" applyFont="1" applyFill="1" applyBorder="1" applyProtection="1"/>
    <xf numFmtId="37" fontId="41" fillId="9" borderId="0" xfId="0" applyFont="1" applyFill="1" applyBorder="1"/>
    <xf numFmtId="168" fontId="8" fillId="0" borderId="0" xfId="30" applyNumberFormat="1" applyFont="1" applyFill="1" applyBorder="1" applyAlignment="1" applyProtection="1"/>
    <xf numFmtId="37" fontId="8" fillId="0" borderId="0" xfId="0" applyFont="1" applyFill="1" applyBorder="1" applyProtection="1"/>
    <xf numFmtId="37" fontId="8" fillId="9" borderId="0" xfId="0" applyFont="1" applyFill="1" applyBorder="1"/>
    <xf numFmtId="37" fontId="47" fillId="9" borderId="0" xfId="0" applyFont="1" applyFill="1" applyBorder="1"/>
    <xf numFmtId="165" fontId="42" fillId="0" borderId="0" xfId="50" applyFont="1" applyFill="1" applyBorder="1" applyAlignment="1" applyProtection="1"/>
    <xf numFmtId="168" fontId="6" fillId="0" borderId="0" xfId="30" applyNumberFormat="1" applyFont="1" applyFill="1" applyBorder="1" applyAlignment="1" applyProtection="1"/>
    <xf numFmtId="166" fontId="6" fillId="0" borderId="0" xfId="0" applyNumberFormat="1" applyFont="1" applyFill="1" applyBorder="1" applyAlignment="1" applyProtection="1"/>
    <xf numFmtId="166" fontId="39" fillId="0" borderId="0" xfId="0" applyNumberFormat="1" applyFont="1" applyFill="1" applyBorder="1" applyAlignment="1" applyProtection="1"/>
    <xf numFmtId="37" fontId="39" fillId="0" borderId="0" xfId="0" applyFont="1" applyFill="1" applyBorder="1" applyProtection="1"/>
    <xf numFmtId="37" fontId="39" fillId="9" borderId="0" xfId="0" applyFont="1" applyFill="1" applyBorder="1"/>
    <xf numFmtId="37" fontId="6" fillId="0" borderId="0" xfId="0" applyFont="1" applyBorder="1" applyProtection="1"/>
    <xf numFmtId="37" fontId="26" fillId="0" borderId="24" xfId="0" applyFont="1" applyFill="1" applyBorder="1" applyAlignment="1" applyProtection="1">
      <alignment horizontal="centerContinuous"/>
    </xf>
    <xf numFmtId="37" fontId="26" fillId="0" borderId="0" xfId="0" applyFont="1" applyFill="1" applyBorder="1" applyAlignment="1" applyProtection="1">
      <alignment horizontal="centerContinuous"/>
    </xf>
    <xf numFmtId="166" fontId="26" fillId="0" borderId="0" xfId="0" applyNumberFormat="1" applyFont="1" applyFill="1" applyBorder="1" applyAlignment="1" applyProtection="1">
      <alignment horizontal="center"/>
    </xf>
    <xf numFmtId="165" fontId="26" fillId="0" borderId="0" xfId="50" applyFont="1" applyFill="1" applyBorder="1" applyAlignment="1" applyProtection="1">
      <alignment horizontal="center"/>
    </xf>
    <xf numFmtId="37" fontId="6" fillId="0" borderId="0" xfId="0" applyFont="1" applyFill="1" applyBorder="1" applyAlignment="1" applyProtection="1">
      <alignment horizontal="left" indent="1"/>
    </xf>
    <xf numFmtId="183" fontId="26" fillId="0" borderId="24" xfId="30" applyNumberFormat="1" applyFont="1" applyFill="1" applyBorder="1" applyAlignment="1" applyProtection="1"/>
    <xf numFmtId="183" fontId="26" fillId="0" borderId="24" xfId="29" applyNumberFormat="1" applyFont="1" applyFill="1" applyBorder="1" applyAlignment="1" applyProtection="1"/>
    <xf numFmtId="183" fontId="6" fillId="0" borderId="24" xfId="29" applyNumberFormat="1" applyFont="1" applyFill="1" applyBorder="1" applyAlignment="1" applyProtection="1"/>
    <xf numFmtId="183" fontId="6" fillId="0" borderId="0" xfId="29" applyNumberFormat="1" applyFont="1" applyFill="1" applyBorder="1" applyAlignment="1" applyProtection="1"/>
    <xf numFmtId="183" fontId="6" fillId="0" borderId="13" xfId="29" applyNumberFormat="1" applyFont="1" applyFill="1" applyBorder="1" applyAlignment="1" applyProtection="1"/>
    <xf numFmtId="183" fontId="6" fillId="0" borderId="17" xfId="29" applyNumberFormat="1" applyFont="1" applyFill="1" applyBorder="1" applyAlignment="1" applyProtection="1"/>
    <xf numFmtId="166" fontId="6" fillId="0" borderId="0" xfId="29" applyNumberFormat="1" applyFont="1" applyFill="1" applyBorder="1" applyAlignment="1" applyProtection="1"/>
    <xf numFmtId="166" fontId="6" fillId="0" borderId="0" xfId="29" applyNumberFormat="1" applyFont="1" applyFill="1" applyBorder="1" applyProtection="1"/>
    <xf numFmtId="166" fontId="6" fillId="9" borderId="0" xfId="29" applyNumberFormat="1" applyFont="1" applyFill="1" applyBorder="1"/>
    <xf numFmtId="166" fontId="6" fillId="0" borderId="0" xfId="29" applyNumberFormat="1" applyFont="1" applyBorder="1"/>
    <xf numFmtId="166" fontId="48" fillId="0" borderId="0" xfId="29" applyNumberFormat="1" applyFont="1" applyFill="1" applyBorder="1" applyAlignment="1" applyProtection="1">
      <alignment horizontal="centerContinuous"/>
    </xf>
    <xf numFmtId="183" fontId="39" fillId="0" borderId="24" xfId="29" applyNumberFormat="1" applyFont="1" applyFill="1" applyBorder="1" applyAlignment="1" applyProtection="1"/>
    <xf numFmtId="183" fontId="39" fillId="0" borderId="0" xfId="29" applyNumberFormat="1" applyFont="1" applyFill="1" applyBorder="1" applyAlignment="1" applyProtection="1"/>
    <xf numFmtId="183" fontId="39" fillId="0" borderId="13" xfId="29" applyNumberFormat="1" applyFont="1" applyFill="1" applyBorder="1" applyAlignment="1" applyProtection="1"/>
    <xf numFmtId="183" fontId="39" fillId="0" borderId="17" xfId="29" applyNumberFormat="1" applyFont="1" applyFill="1" applyBorder="1" applyAlignment="1" applyProtection="1"/>
    <xf numFmtId="166" fontId="39" fillId="0" borderId="0" xfId="29" applyNumberFormat="1" applyFont="1" applyFill="1" applyBorder="1" applyAlignment="1" applyProtection="1"/>
    <xf numFmtId="166" fontId="39" fillId="0" borderId="0" xfId="29" applyNumberFormat="1" applyFont="1" applyFill="1" applyBorder="1" applyProtection="1"/>
    <xf numFmtId="166" fontId="39" fillId="9" borderId="0" xfId="29" applyNumberFormat="1" applyFont="1" applyFill="1" applyBorder="1"/>
    <xf numFmtId="37" fontId="41" fillId="0" borderId="0" xfId="0" applyFont="1" applyBorder="1" applyAlignment="1" applyProtection="1">
      <alignment horizontal="left" indent="1"/>
    </xf>
    <xf numFmtId="165" fontId="26" fillId="0" borderId="13" xfId="50" applyFont="1" applyFill="1" applyBorder="1" applyProtection="1"/>
    <xf numFmtId="165" fontId="26" fillId="0" borderId="0" xfId="50" applyFont="1" applyFill="1" applyBorder="1" applyProtection="1"/>
    <xf numFmtId="37" fontId="26" fillId="0" borderId="13" xfId="0" applyFont="1" applyFill="1" applyBorder="1" applyProtection="1"/>
    <xf numFmtId="37" fontId="26" fillId="0" borderId="0" xfId="0" applyFont="1" applyFill="1" applyBorder="1" applyProtection="1"/>
    <xf numFmtId="37" fontId="26" fillId="0" borderId="17" xfId="0" applyFont="1" applyFill="1" applyBorder="1" applyProtection="1"/>
    <xf numFmtId="183" fontId="6" fillId="0" borderId="13" xfId="30" applyNumberFormat="1" applyFont="1" applyFill="1" applyBorder="1" applyAlignment="1" applyProtection="1">
      <alignment horizontal="right"/>
    </xf>
    <xf numFmtId="183" fontId="6" fillId="0" borderId="0" xfId="30" applyNumberFormat="1" applyFont="1" applyFill="1" applyBorder="1" applyAlignment="1" applyProtection="1">
      <alignment horizontal="right"/>
    </xf>
    <xf numFmtId="165" fontId="6" fillId="0" borderId="13" xfId="50" applyFont="1" applyFill="1" applyBorder="1" applyAlignment="1" applyProtection="1">
      <alignment horizontal="right"/>
    </xf>
    <xf numFmtId="165" fontId="6" fillId="0" borderId="0" xfId="50" applyFont="1" applyFill="1" applyBorder="1" applyProtection="1"/>
    <xf numFmtId="168" fontId="6" fillId="0" borderId="0" xfId="0" applyNumberFormat="1" applyFont="1" applyFill="1" applyBorder="1" applyProtection="1"/>
    <xf numFmtId="168" fontId="6" fillId="9" borderId="0" xfId="0" applyNumberFormat="1" applyFont="1" applyFill="1" applyBorder="1"/>
    <xf numFmtId="168" fontId="6" fillId="0" borderId="0" xfId="0" applyNumberFormat="1" applyFont="1" applyBorder="1"/>
    <xf numFmtId="166" fontId="41" fillId="0" borderId="0" xfId="0" applyNumberFormat="1" applyFont="1" applyFill="1" applyBorder="1" applyAlignment="1" applyProtection="1">
      <alignment horizontal="centerContinuous"/>
    </xf>
    <xf numFmtId="183" fontId="26" fillId="0" borderId="24" xfId="0" applyNumberFormat="1" applyFont="1" applyFill="1" applyBorder="1" applyAlignment="1" applyProtection="1">
      <alignment horizontal="right"/>
    </xf>
    <xf numFmtId="183" fontId="6" fillId="0" borderId="24" xfId="0" applyNumberFormat="1" applyFont="1" applyFill="1" applyBorder="1" applyAlignment="1" applyProtection="1">
      <alignment horizontal="right"/>
    </xf>
    <xf numFmtId="183" fontId="6" fillId="0" borderId="13" xfId="0" applyNumberFormat="1" applyFont="1" applyFill="1" applyBorder="1" applyAlignment="1" applyProtection="1">
      <alignment horizontal="right"/>
    </xf>
    <xf numFmtId="183" fontId="6" fillId="0" borderId="0" xfId="0" applyNumberFormat="1" applyFont="1" applyFill="1" applyBorder="1" applyAlignment="1" applyProtection="1">
      <alignment horizontal="right"/>
    </xf>
    <xf numFmtId="166" fontId="6" fillId="0" borderId="0" xfId="0" applyNumberFormat="1" applyFont="1" applyFill="1" applyBorder="1" applyProtection="1"/>
    <xf numFmtId="166" fontId="6" fillId="9" borderId="0" xfId="0" applyNumberFormat="1" applyFont="1" applyFill="1" applyBorder="1"/>
    <xf numFmtId="166" fontId="39" fillId="0" borderId="0" xfId="0" applyNumberFormat="1" applyFont="1" applyFill="1" applyBorder="1" applyProtection="1"/>
    <xf numFmtId="166" fontId="39" fillId="9" borderId="0" xfId="0" applyNumberFormat="1" applyFont="1" applyFill="1" applyBorder="1"/>
    <xf numFmtId="168" fontId="8" fillId="0" borderId="0" xfId="0" applyNumberFormat="1" applyFont="1" applyFill="1" applyBorder="1" applyProtection="1"/>
    <xf numFmtId="168" fontId="8" fillId="9" borderId="0" xfId="0" applyNumberFormat="1" applyFont="1" applyFill="1" applyBorder="1"/>
    <xf numFmtId="168" fontId="8" fillId="0" borderId="0" xfId="0" applyNumberFormat="1" applyFont="1" applyBorder="1"/>
    <xf numFmtId="183" fontId="26" fillId="0" borderId="24" xfId="50" applyNumberFormat="1" applyFont="1" applyFill="1" applyBorder="1" applyProtection="1"/>
    <xf numFmtId="183" fontId="26" fillId="0" borderId="24" xfId="29" applyNumberFormat="1" applyFont="1" applyFill="1" applyBorder="1" applyProtection="1"/>
    <xf numFmtId="183" fontId="26" fillId="0" borderId="0" xfId="29" applyNumberFormat="1" applyFont="1" applyFill="1" applyBorder="1" applyProtection="1"/>
    <xf numFmtId="183" fontId="6" fillId="0" borderId="24" xfId="29" applyNumberFormat="1" applyFont="1" applyFill="1" applyBorder="1" applyProtection="1"/>
    <xf numFmtId="183" fontId="26" fillId="0" borderId="0" xfId="29" quotePrefix="1" applyNumberFormat="1" applyFont="1" applyFill="1" applyBorder="1" applyAlignment="1" applyProtection="1"/>
    <xf numFmtId="183" fontId="26" fillId="0" borderId="0" xfId="50" applyNumberFormat="1" applyFont="1" applyFill="1" applyBorder="1" applyProtection="1"/>
    <xf numFmtId="183" fontId="26" fillId="0" borderId="0" xfId="29" applyNumberFormat="1" applyFont="1" applyFill="1" applyBorder="1" applyAlignment="1" applyProtection="1"/>
    <xf numFmtId="165" fontId="42" fillId="0" borderId="13" xfId="50" applyFont="1" applyFill="1" applyBorder="1" applyAlignment="1" applyProtection="1"/>
    <xf numFmtId="37" fontId="6" fillId="0" borderId="0" xfId="0" applyFont="1" applyBorder="1" applyAlignment="1" applyProtection="1">
      <alignment horizontal="left"/>
    </xf>
    <xf numFmtId="165" fontId="6" fillId="0" borderId="24" xfId="50" applyFont="1" applyFill="1" applyBorder="1" applyAlignment="1" applyProtection="1">
      <alignment horizontal="right"/>
    </xf>
    <xf numFmtId="165" fontId="6" fillId="0" borderId="24" xfId="50" applyFont="1" applyFill="1" applyBorder="1" applyAlignment="1" applyProtection="1"/>
    <xf numFmtId="165" fontId="6" fillId="0" borderId="0" xfId="50" applyFont="1" applyFill="1" applyBorder="1" applyAlignment="1" applyProtection="1"/>
    <xf numFmtId="165" fontId="6" fillId="0" borderId="13" xfId="50" applyFont="1" applyFill="1" applyBorder="1" applyAlignment="1" applyProtection="1"/>
    <xf numFmtId="165" fontId="26" fillId="0" borderId="24" xfId="50" applyFont="1" applyFill="1" applyBorder="1" applyAlignment="1" applyProtection="1">
      <alignment horizontal="right"/>
    </xf>
    <xf numFmtId="165" fontId="26" fillId="0" borderId="24" xfId="50" applyFont="1" applyFill="1" applyBorder="1" applyAlignment="1" applyProtection="1"/>
    <xf numFmtId="165" fontId="26" fillId="0" borderId="0" xfId="50" applyFont="1" applyFill="1" applyBorder="1" applyAlignment="1" applyProtection="1"/>
    <xf numFmtId="165" fontId="26" fillId="0" borderId="13" xfId="50" applyFont="1" applyFill="1" applyBorder="1" applyAlignment="1" applyProtection="1"/>
    <xf numFmtId="165" fontId="41" fillId="0" borderId="0" xfId="50" quotePrefix="1" applyFont="1" applyFill="1" applyBorder="1" applyAlignment="1" applyProtection="1">
      <alignment horizontal="right"/>
    </xf>
    <xf numFmtId="165" fontId="41" fillId="0" borderId="13" xfId="50" quotePrefix="1" applyFont="1" applyFill="1" applyBorder="1" applyAlignment="1" applyProtection="1">
      <alignment horizontal="right"/>
    </xf>
    <xf numFmtId="168" fontId="26" fillId="0" borderId="0" xfId="30" applyNumberFormat="1" applyFont="1" applyFill="1" applyBorder="1" applyAlignment="1" applyProtection="1"/>
    <xf numFmtId="183" fontId="6" fillId="0" borderId="13" xfId="29" applyNumberFormat="1" applyFont="1" applyFill="1" applyBorder="1" applyProtection="1"/>
    <xf numFmtId="183" fontId="6" fillId="0" borderId="0" xfId="29" applyNumberFormat="1" applyFont="1" applyFill="1" applyBorder="1" applyProtection="1"/>
    <xf numFmtId="37" fontId="39" fillId="0" borderId="0" xfId="0" applyFont="1" applyFill="1" applyBorder="1" applyAlignment="1" applyProtection="1">
      <alignment horizontal="left"/>
    </xf>
    <xf numFmtId="183" fontId="39" fillId="0" borderId="0" xfId="0" applyNumberFormat="1" applyFont="1" applyFill="1" applyBorder="1" applyProtection="1"/>
    <xf numFmtId="168" fontId="39" fillId="0" borderId="0" xfId="0" applyNumberFormat="1" applyFont="1" applyFill="1" applyBorder="1" applyProtection="1"/>
    <xf numFmtId="5" fontId="39" fillId="0" borderId="0" xfId="0" applyNumberFormat="1" applyFont="1" applyFill="1" applyBorder="1" applyProtection="1"/>
    <xf numFmtId="168" fontId="8" fillId="0" borderId="0" xfId="30" applyNumberFormat="1" applyFont="1" applyFill="1" applyBorder="1" applyProtection="1"/>
    <xf numFmtId="183" fontId="8" fillId="0" borderId="24" xfId="30" applyNumberFormat="1" applyFont="1" applyFill="1" applyBorder="1" applyProtection="1"/>
    <xf numFmtId="183" fontId="8" fillId="0" borderId="0" xfId="30" applyNumberFormat="1" applyFont="1" applyFill="1" applyBorder="1" applyProtection="1"/>
    <xf numFmtId="183" fontId="8" fillId="0" borderId="13" xfId="30" applyNumberFormat="1" applyFont="1" applyFill="1" applyBorder="1" applyProtection="1"/>
    <xf numFmtId="5" fontId="8" fillId="0" borderId="0" xfId="30" applyNumberFormat="1" applyFont="1" applyFill="1" applyBorder="1" applyProtection="1"/>
    <xf numFmtId="165" fontId="41" fillId="0" borderId="0" xfId="50" applyNumberFormat="1" applyFont="1" applyFill="1" applyBorder="1" applyProtection="1"/>
    <xf numFmtId="165" fontId="41" fillId="0" borderId="24" xfId="50" applyFont="1" applyFill="1" applyBorder="1" applyProtection="1"/>
    <xf numFmtId="165" fontId="41" fillId="0" borderId="13" xfId="50" applyNumberFormat="1" applyFont="1" applyFill="1" applyBorder="1" applyProtection="1"/>
    <xf numFmtId="37" fontId="26" fillId="0" borderId="24" xfId="0" applyFont="1" applyFill="1" applyBorder="1" applyProtection="1"/>
    <xf numFmtId="37" fontId="26" fillId="0" borderId="13" xfId="29" applyFont="1" applyFill="1" applyBorder="1" applyProtection="1"/>
    <xf numFmtId="166" fontId="26" fillId="0" borderId="13" xfId="0" applyNumberFormat="1" applyFont="1" applyFill="1" applyBorder="1"/>
    <xf numFmtId="183" fontId="26" fillId="0" borderId="24" xfId="0" applyNumberFormat="1" applyFont="1" applyFill="1" applyBorder="1"/>
    <xf numFmtId="183" fontId="26" fillId="0" borderId="0" xfId="0" applyNumberFormat="1" applyFont="1" applyFill="1" applyBorder="1"/>
    <xf numFmtId="183" fontId="6" fillId="0" borderId="24" xfId="29" applyNumberFormat="1" applyFont="1" applyFill="1" applyBorder="1"/>
    <xf numFmtId="183" fontId="26" fillId="0" borderId="0" xfId="30" applyNumberFormat="1" applyFont="1" applyFill="1" applyBorder="1"/>
    <xf numFmtId="183" fontId="6" fillId="0" borderId="24" xfId="30" applyNumberFormat="1" applyFont="1" applyFill="1" applyBorder="1"/>
    <xf numFmtId="183" fontId="26" fillId="0" borderId="24" xfId="30" applyNumberFormat="1" applyFont="1" applyFill="1" applyBorder="1"/>
    <xf numFmtId="183" fontId="6" fillId="0" borderId="0" xfId="30" applyNumberFormat="1" applyFont="1" applyFill="1" applyBorder="1"/>
    <xf numFmtId="183" fontId="6" fillId="0" borderId="13" xfId="30" applyNumberFormat="1" applyFont="1" applyFill="1" applyBorder="1"/>
    <xf numFmtId="168" fontId="6" fillId="0" borderId="0" xfId="30" applyNumberFormat="1" applyFont="1" applyFill="1" applyBorder="1"/>
    <xf numFmtId="5" fontId="6" fillId="0" borderId="0" xfId="30" applyNumberFormat="1" applyFont="1" applyFill="1" applyBorder="1"/>
    <xf numFmtId="183" fontId="6" fillId="0" borderId="13" xfId="29" applyNumberFormat="1" applyFont="1" applyFill="1" applyBorder="1"/>
    <xf numFmtId="183" fontId="6" fillId="0" borderId="0" xfId="29" applyNumberFormat="1" applyFont="1" applyFill="1" applyBorder="1"/>
    <xf numFmtId="183" fontId="6" fillId="0" borderId="13" xfId="0" applyNumberFormat="1" applyFont="1" applyFill="1" applyBorder="1"/>
    <xf numFmtId="183" fontId="26" fillId="0" borderId="0" xfId="29" applyNumberFormat="1" applyFont="1" applyFill="1" applyBorder="1"/>
    <xf numFmtId="183" fontId="26" fillId="0" borderId="24" xfId="29" applyNumberFormat="1" applyFont="1" applyFill="1" applyBorder="1"/>
    <xf numFmtId="183" fontId="26" fillId="0" borderId="13" xfId="0" applyNumberFormat="1" applyFont="1" applyFill="1" applyBorder="1"/>
    <xf numFmtId="166" fontId="50" fillId="0" borderId="0" xfId="0" applyNumberFormat="1" applyFont="1" applyFill="1" applyBorder="1"/>
    <xf numFmtId="165" fontId="6" fillId="0" borderId="0" xfId="50" quotePrefix="1" applyFont="1" applyFill="1" applyBorder="1" applyAlignment="1" applyProtection="1">
      <alignment horizontal="right"/>
    </xf>
    <xf numFmtId="168" fontId="8" fillId="0" borderId="9" xfId="30" applyNumberFormat="1" applyFont="1" applyFill="1" applyBorder="1" applyAlignment="1" applyProtection="1">
      <alignment horizontal="left"/>
    </xf>
    <xf numFmtId="168" fontId="8" fillId="0" borderId="10" xfId="30" applyNumberFormat="1" applyFont="1" applyFill="1" applyBorder="1"/>
    <xf numFmtId="183" fontId="8" fillId="0" borderId="10" xfId="30" applyNumberFormat="1" applyFont="1" applyFill="1" applyBorder="1"/>
    <xf numFmtId="183" fontId="8" fillId="0" borderId="0" xfId="30" applyNumberFormat="1" applyFont="1" applyFill="1" applyBorder="1"/>
    <xf numFmtId="168" fontId="8" fillId="0" borderId="0" xfId="30" applyNumberFormat="1" applyFont="1" applyFill="1" applyBorder="1"/>
    <xf numFmtId="168" fontId="8" fillId="9" borderId="0" xfId="30" applyNumberFormat="1" applyFont="1" applyFill="1" applyBorder="1"/>
    <xf numFmtId="166" fontId="26" fillId="0" borderId="0" xfId="29" applyNumberFormat="1" applyFont="1" applyFill="1" applyBorder="1"/>
    <xf numFmtId="37" fontId="50" fillId="0" borderId="0" xfId="29" applyFont="1" applyFill="1" applyBorder="1"/>
    <xf numFmtId="37" fontId="6" fillId="9" borderId="0" xfId="29" applyFont="1" applyFill="1" applyBorder="1"/>
    <xf numFmtId="183" fontId="8" fillId="0" borderId="24" xfId="30" applyNumberFormat="1" applyFont="1" applyFill="1" applyBorder="1"/>
    <xf numFmtId="183" fontId="8" fillId="0" borderId="13" xfId="30" applyNumberFormat="1" applyFont="1" applyFill="1" applyBorder="1"/>
    <xf numFmtId="166" fontId="51" fillId="0" borderId="0" xfId="0" applyNumberFormat="1" applyFont="1" applyFill="1" applyBorder="1"/>
    <xf numFmtId="183" fontId="6" fillId="0" borderId="21" xfId="30" applyNumberFormat="1" applyFont="1" applyFill="1" applyBorder="1"/>
    <xf numFmtId="168" fontId="8" fillId="0" borderId="0" xfId="30" applyNumberFormat="1" applyFont="1" applyFill="1" applyBorder="1" applyAlignment="1" applyProtection="1">
      <alignment horizontal="left"/>
    </xf>
    <xf numFmtId="183" fontId="43" fillId="0" borderId="0" xfId="30" applyNumberFormat="1" applyFont="1" applyFill="1" applyBorder="1"/>
    <xf numFmtId="165" fontId="41" fillId="0" borderId="24" xfId="0" applyNumberFormat="1" applyFont="1" applyBorder="1" applyAlignment="1">
      <alignment horizontal="left" indent="1"/>
    </xf>
    <xf numFmtId="37" fontId="46" fillId="0" borderId="0" xfId="0" applyFont="1" applyFill="1" applyBorder="1" applyAlignment="1" applyProtection="1">
      <alignment horizontal="left"/>
    </xf>
    <xf numFmtId="165" fontId="42" fillId="0" borderId="0" xfId="50" quotePrefix="1" applyFont="1" applyFill="1" applyBorder="1" applyAlignment="1" applyProtection="1">
      <alignment horizontal="right"/>
    </xf>
    <xf numFmtId="165" fontId="41" fillId="0" borderId="24" xfId="50" quotePrefix="1" applyFont="1" applyFill="1" applyBorder="1" applyAlignment="1" applyProtection="1">
      <alignment horizontal="right"/>
    </xf>
    <xf numFmtId="168" fontId="6" fillId="0" borderId="24" xfId="30" applyNumberFormat="1" applyFont="1" applyFill="1" applyBorder="1" applyAlignment="1" applyProtection="1">
      <alignment horizontal="left"/>
    </xf>
    <xf numFmtId="168" fontId="6" fillId="9" borderId="0" xfId="30" applyNumberFormat="1" applyFont="1" applyFill="1" applyBorder="1"/>
    <xf numFmtId="168" fontId="6" fillId="0" borderId="0" xfId="30" applyNumberFormat="1" applyFont="1" applyBorder="1"/>
    <xf numFmtId="165" fontId="41" fillId="0" borderId="23" xfId="0" applyNumberFormat="1" applyFont="1" applyBorder="1" applyAlignment="1">
      <alignment horizontal="left" indent="1"/>
    </xf>
    <xf numFmtId="37" fontId="46" fillId="0" borderId="21" xfId="0" applyFont="1" applyFill="1" applyBorder="1" applyAlignment="1" applyProtection="1">
      <alignment horizontal="left"/>
    </xf>
    <xf numFmtId="165" fontId="41" fillId="0" borderId="21" xfId="50" quotePrefix="1" applyFont="1" applyFill="1" applyBorder="1" applyAlignment="1" applyProtection="1">
      <alignment horizontal="right"/>
    </xf>
    <xf numFmtId="165" fontId="41" fillId="0" borderId="19" xfId="50" quotePrefix="1" applyFont="1" applyFill="1" applyBorder="1" applyAlignment="1" applyProtection="1">
      <alignment horizontal="right"/>
    </xf>
    <xf numFmtId="165" fontId="41" fillId="0" borderId="23" xfId="50" quotePrefix="1" applyFont="1" applyFill="1" applyBorder="1" applyAlignment="1" applyProtection="1">
      <alignment horizontal="right"/>
    </xf>
    <xf numFmtId="165" fontId="41" fillId="0" borderId="21" xfId="50" applyFont="1" applyFill="1" applyBorder="1" applyAlignment="1" applyProtection="1">
      <alignment horizontal="right"/>
    </xf>
    <xf numFmtId="165" fontId="41" fillId="0" borderId="19" xfId="50" applyFont="1" applyFill="1" applyBorder="1" applyAlignment="1" applyProtection="1">
      <alignment horizontal="right"/>
    </xf>
    <xf numFmtId="168" fontId="6" fillId="0" borderId="0" xfId="30" applyNumberFormat="1" applyFont="1" applyFill="1" applyBorder="1" applyAlignment="1" applyProtection="1">
      <alignment horizontal="left"/>
    </xf>
    <xf numFmtId="7" fontId="26" fillId="0" borderId="0" xfId="30" quotePrefix="1" applyNumberFormat="1" applyFont="1" applyFill="1" applyBorder="1" applyAlignment="1" applyProtection="1">
      <alignment horizontal="right"/>
    </xf>
    <xf numFmtId="7" fontId="26" fillId="0" borderId="24" xfId="30" quotePrefix="1" applyNumberFormat="1" applyFont="1" applyFill="1" applyBorder="1" applyAlignment="1" applyProtection="1">
      <alignment horizontal="right"/>
    </xf>
    <xf numFmtId="7" fontId="6" fillId="0" borderId="13" xfId="30" quotePrefix="1" applyNumberFormat="1" applyFont="1" applyFill="1" applyBorder="1" applyAlignment="1" applyProtection="1">
      <alignment horizontal="right"/>
    </xf>
    <xf numFmtId="7" fontId="6" fillId="0" borderId="0" xfId="30" quotePrefix="1" applyNumberFormat="1" applyFont="1" applyFill="1" applyBorder="1" applyAlignment="1" applyProtection="1">
      <alignment horizontal="right"/>
    </xf>
    <xf numFmtId="5" fontId="6" fillId="0" borderId="0" xfId="30" quotePrefix="1" applyNumberFormat="1" applyFont="1" applyFill="1" applyBorder="1" applyAlignment="1" applyProtection="1">
      <alignment horizontal="right"/>
    </xf>
    <xf numFmtId="165" fontId="41" fillId="0" borderId="0" xfId="50" quotePrefix="1" applyNumberFormat="1" applyFont="1" applyFill="1" applyBorder="1" applyAlignment="1" applyProtection="1">
      <alignment horizontal="right"/>
    </xf>
    <xf numFmtId="165" fontId="41" fillId="0" borderId="24" xfId="50" quotePrefix="1" applyNumberFormat="1" applyFont="1" applyFill="1" applyBorder="1" applyAlignment="1" applyProtection="1">
      <alignment horizontal="right"/>
    </xf>
    <xf numFmtId="165" fontId="41" fillId="0" borderId="13" xfId="50" quotePrefix="1" applyNumberFormat="1" applyFont="1" applyFill="1" applyBorder="1" applyAlignment="1" applyProtection="1">
      <alignment horizontal="right"/>
    </xf>
    <xf numFmtId="9" fontId="41" fillId="0" borderId="0" xfId="50" quotePrefix="1" applyNumberFormat="1" applyFont="1" applyFill="1" applyBorder="1" applyAlignment="1" applyProtection="1">
      <alignment horizontal="right"/>
    </xf>
    <xf numFmtId="165" fontId="42" fillId="0" borderId="0" xfId="50" quotePrefix="1" applyNumberFormat="1" applyFont="1" applyFill="1" applyBorder="1" applyAlignment="1" applyProtection="1">
      <alignment horizontal="right"/>
    </xf>
    <xf numFmtId="165" fontId="41" fillId="9" borderId="0" xfId="0" applyNumberFormat="1" applyFont="1" applyFill="1" applyBorder="1"/>
    <xf numFmtId="37" fontId="45" fillId="0" borderId="0" xfId="0" applyFont="1" applyFill="1" applyBorder="1" applyAlignment="1" applyProtection="1">
      <alignment horizontal="left"/>
    </xf>
    <xf numFmtId="165" fontId="26" fillId="0" borderId="24" xfId="50" quotePrefix="1" applyFont="1" applyFill="1" applyBorder="1" applyAlignment="1" applyProtection="1">
      <alignment horizontal="right"/>
    </xf>
    <xf numFmtId="165" fontId="26" fillId="0" borderId="0" xfId="50" quotePrefix="1" applyFont="1" applyFill="1" applyBorder="1" applyAlignment="1" applyProtection="1">
      <alignment horizontal="right"/>
    </xf>
    <xf numFmtId="37" fontId="26" fillId="0" borderId="13" xfId="29" quotePrefix="1" applyFont="1" applyFill="1" applyBorder="1" applyAlignment="1" applyProtection="1">
      <alignment horizontal="right"/>
    </xf>
    <xf numFmtId="37" fontId="26" fillId="0" borderId="0" xfId="29" quotePrefix="1" applyFont="1" applyFill="1" applyBorder="1" applyAlignment="1" applyProtection="1">
      <alignment horizontal="right"/>
    </xf>
    <xf numFmtId="39" fontId="26" fillId="0" borderId="0" xfId="29" applyNumberFormat="1" applyFont="1" applyFill="1" applyBorder="1" applyAlignment="1" applyProtection="1">
      <alignment horizontal="right"/>
    </xf>
    <xf numFmtId="165" fontId="26" fillId="0" borderId="13" xfId="50" quotePrefix="1" applyFont="1" applyFill="1" applyBorder="1" applyAlignment="1" applyProtection="1">
      <alignment horizontal="right"/>
    </xf>
    <xf numFmtId="166" fontId="6" fillId="0" borderId="0" xfId="29" applyNumberFormat="1" applyFont="1" applyFill="1" applyBorder="1" applyAlignment="1" applyProtection="1">
      <alignment horizontal="left"/>
    </xf>
    <xf numFmtId="183" fontId="26" fillId="0" borderId="24" xfId="29" applyNumberFormat="1" applyFont="1" applyFill="1" applyBorder="1" applyProtection="1">
      <protection locked="0"/>
    </xf>
    <xf numFmtId="183" fontId="6" fillId="0" borderId="24" xfId="29" applyNumberFormat="1" applyFont="1" applyFill="1" applyBorder="1" applyProtection="1">
      <protection locked="0"/>
    </xf>
    <xf numFmtId="183" fontId="26" fillId="0" borderId="13" xfId="29" applyNumberFormat="1" applyFont="1" applyFill="1" applyBorder="1"/>
    <xf numFmtId="183" fontId="6" fillId="0" borderId="13" xfId="29" applyNumberFormat="1" applyFont="1" applyFill="1" applyBorder="1" applyProtection="1">
      <protection locked="0"/>
    </xf>
    <xf numFmtId="183" fontId="26" fillId="0" borderId="13" xfId="29" applyNumberFormat="1" applyFont="1" applyFill="1" applyBorder="1" applyProtection="1">
      <protection locked="0"/>
    </xf>
    <xf numFmtId="183" fontId="6" fillId="0" borderId="0" xfId="29" applyNumberFormat="1" applyFont="1" applyFill="1" applyBorder="1" applyProtection="1">
      <protection locked="0"/>
    </xf>
    <xf numFmtId="183" fontId="6" fillId="0" borderId="13" xfId="29" quotePrefix="1" applyNumberFormat="1" applyFont="1" applyFill="1" applyBorder="1" applyAlignment="1" applyProtection="1">
      <alignment horizontal="right"/>
    </xf>
    <xf numFmtId="183" fontId="6" fillId="0" borderId="0" xfId="29" quotePrefix="1" applyNumberFormat="1" applyFont="1" applyFill="1" applyBorder="1" applyAlignment="1" applyProtection="1">
      <alignment horizontal="right"/>
    </xf>
    <xf numFmtId="166" fontId="6" fillId="0" borderId="0" xfId="29" quotePrefix="1" applyNumberFormat="1" applyFont="1" applyFill="1" applyBorder="1" applyAlignment="1" applyProtection="1">
      <alignment horizontal="right"/>
    </xf>
    <xf numFmtId="166" fontId="6" fillId="0" borderId="0" xfId="29" applyNumberFormat="1" applyFont="1" applyBorder="1" applyAlignment="1" applyProtection="1">
      <alignment horizontal="left"/>
    </xf>
    <xf numFmtId="166" fontId="26" fillId="0" borderId="24" xfId="29" applyNumberFormat="1" applyFont="1" applyFill="1" applyBorder="1"/>
    <xf numFmtId="166" fontId="26" fillId="0" borderId="24" xfId="29" applyNumberFormat="1" applyFont="1" applyFill="1" applyBorder="1" applyProtection="1">
      <protection locked="0"/>
    </xf>
    <xf numFmtId="166" fontId="26" fillId="0" borderId="13" xfId="29" applyNumberFormat="1" applyFont="1" applyFill="1" applyBorder="1" applyProtection="1">
      <protection locked="0"/>
    </xf>
    <xf numFmtId="166" fontId="26" fillId="0" borderId="0" xfId="29" applyNumberFormat="1" applyFont="1" applyFill="1" applyBorder="1" applyProtection="1">
      <protection locked="0"/>
    </xf>
    <xf numFmtId="166" fontId="26" fillId="0" borderId="13" xfId="29" applyNumberFormat="1" applyFont="1" applyFill="1" applyBorder="1"/>
    <xf numFmtId="37" fontId="6" fillId="0" borderId="0" xfId="0" applyFont="1" applyFill="1" applyBorder="1" applyAlignment="1" applyProtection="1">
      <alignment horizontal="left"/>
    </xf>
    <xf numFmtId="166" fontId="26" fillId="0" borderId="24" xfId="0" applyNumberFormat="1" applyFont="1" applyFill="1" applyBorder="1" applyAlignment="1" applyProtection="1">
      <alignment horizontal="right"/>
    </xf>
    <xf numFmtId="166" fontId="26" fillId="0" borderId="0" xfId="0" applyNumberFormat="1" applyFont="1" applyFill="1" applyBorder="1" applyAlignment="1" applyProtection="1">
      <alignment horizontal="right"/>
    </xf>
    <xf numFmtId="37" fontId="26" fillId="0" borderId="0" xfId="0" applyFont="1" applyFill="1" applyBorder="1" applyAlignment="1" applyProtection="1">
      <alignment horizontal="right"/>
    </xf>
    <xf numFmtId="37" fontId="26" fillId="0" borderId="24" xfId="0" applyFont="1" applyFill="1" applyBorder="1" applyAlignment="1" applyProtection="1">
      <alignment horizontal="right"/>
    </xf>
    <xf numFmtId="37" fontId="6" fillId="0" borderId="0" xfId="0" applyFont="1" applyFill="1" applyBorder="1" applyAlignment="1" applyProtection="1">
      <alignment horizontal="right"/>
    </xf>
    <xf numFmtId="7" fontId="39" fillId="0" borderId="0" xfId="0" applyNumberFormat="1" applyFont="1" applyFill="1" applyBorder="1" applyAlignment="1" applyProtection="1">
      <alignment horizontal="right"/>
    </xf>
    <xf numFmtId="183" fontId="39" fillId="0" borderId="0" xfId="29" applyNumberFormat="1" applyFont="1" applyFill="1" applyBorder="1"/>
    <xf numFmtId="183" fontId="39" fillId="0" borderId="13" xfId="29" applyNumberFormat="1" applyFont="1" applyFill="1" applyBorder="1"/>
    <xf numFmtId="7" fontId="39" fillId="0" borderId="0" xfId="0" applyNumberFormat="1" applyFont="1" applyFill="1" applyBorder="1" applyProtection="1"/>
    <xf numFmtId="7" fontId="39" fillId="9" borderId="0" xfId="0" applyNumberFormat="1" applyFont="1" applyFill="1" applyBorder="1"/>
    <xf numFmtId="169" fontId="26" fillId="0" borderId="13" xfId="0" applyNumberFormat="1" applyFont="1" applyFill="1" applyBorder="1" applyAlignment="1" applyProtection="1">
      <alignment horizontal="right"/>
    </xf>
    <xf numFmtId="169" fontId="26" fillId="0" borderId="0" xfId="0" applyNumberFormat="1" applyFont="1" applyFill="1" applyBorder="1" applyAlignment="1" applyProtection="1">
      <alignment horizontal="right"/>
    </xf>
    <xf numFmtId="165" fontId="26" fillId="0" borderId="13" xfId="50" applyFont="1" applyFill="1" applyBorder="1" applyAlignment="1" applyProtection="1">
      <alignment horizontal="right"/>
    </xf>
    <xf numFmtId="37" fontId="26" fillId="0" borderId="13" xfId="0" applyFont="1" applyFill="1" applyBorder="1" applyAlignment="1" applyProtection="1">
      <alignment horizontal="right"/>
    </xf>
    <xf numFmtId="183" fontId="8" fillId="0" borderId="24" xfId="0" applyNumberFormat="1" applyFont="1" applyFill="1" applyBorder="1" applyProtection="1"/>
    <xf numFmtId="183" fontId="8" fillId="0" borderId="0" xfId="0" applyNumberFormat="1" applyFont="1" applyFill="1" applyBorder="1" applyProtection="1"/>
    <xf numFmtId="183" fontId="8" fillId="0" borderId="13" xfId="0" applyNumberFormat="1" applyFont="1" applyFill="1" applyBorder="1" applyProtection="1"/>
    <xf numFmtId="9" fontId="8" fillId="0" borderId="0" xfId="0" applyNumberFormat="1" applyFont="1" applyFill="1" applyBorder="1" applyProtection="1"/>
    <xf numFmtId="183" fontId="6" fillId="0" borderId="24" xfId="0" applyNumberFormat="1" applyFont="1" applyFill="1" applyBorder="1" applyProtection="1"/>
    <xf numFmtId="183" fontId="6" fillId="0" borderId="0" xfId="0" applyNumberFormat="1" applyFont="1" applyFill="1" applyBorder="1" applyProtection="1"/>
    <xf numFmtId="183" fontId="6" fillId="0" borderId="13" xfId="0" applyNumberFormat="1" applyFont="1" applyFill="1" applyBorder="1" applyProtection="1"/>
    <xf numFmtId="183" fontId="39" fillId="0" borderId="0" xfId="29" applyNumberFormat="1" applyFont="1" applyFill="1" applyBorder="1" applyProtection="1"/>
    <xf numFmtId="183" fontId="26" fillId="0" borderId="24" xfId="0" applyNumberFormat="1" applyFont="1" applyFill="1" applyBorder="1" applyProtection="1"/>
    <xf numFmtId="183" fontId="26" fillId="0" borderId="0" xfId="0" applyNumberFormat="1" applyFont="1" applyFill="1" applyBorder="1" applyProtection="1"/>
    <xf numFmtId="183" fontId="26" fillId="0" borderId="13" xfId="0" applyNumberFormat="1" applyFont="1" applyFill="1" applyBorder="1" applyProtection="1"/>
    <xf numFmtId="183" fontId="26" fillId="0" borderId="13" xfId="0" applyNumberFormat="1" applyFont="1" applyFill="1" applyBorder="1" applyAlignment="1" applyProtection="1">
      <alignment horizontal="right"/>
    </xf>
    <xf numFmtId="183" fontId="26" fillId="0" borderId="0" xfId="0" applyNumberFormat="1" applyFont="1" applyFill="1" applyBorder="1" applyAlignment="1" applyProtection="1">
      <alignment horizontal="right"/>
    </xf>
    <xf numFmtId="183" fontId="6" fillId="0" borderId="24" xfId="30" quotePrefix="1" applyNumberFormat="1" applyFont="1" applyFill="1" applyBorder="1" applyAlignment="1" applyProtection="1">
      <alignment horizontal="right"/>
    </xf>
    <xf numFmtId="183" fontId="6" fillId="0" borderId="0" xfId="30" quotePrefix="1" applyNumberFormat="1" applyFont="1" applyFill="1" applyBorder="1" applyAlignment="1" applyProtection="1">
      <alignment horizontal="right"/>
    </xf>
    <xf numFmtId="183" fontId="6" fillId="0" borderId="13" xfId="30" quotePrefix="1" applyNumberFormat="1" applyFont="1" applyFill="1" applyBorder="1" applyAlignment="1" applyProtection="1">
      <alignment horizontal="right"/>
    </xf>
    <xf numFmtId="5" fontId="6" fillId="0" borderId="0" xfId="30" quotePrefix="1" applyFont="1" applyFill="1" applyBorder="1" applyAlignment="1" applyProtection="1">
      <alignment horizontal="right"/>
    </xf>
    <xf numFmtId="164" fontId="26" fillId="0" borderId="24" xfId="0" quotePrefix="1" applyNumberFormat="1" applyFont="1" applyFill="1" applyBorder="1" applyAlignment="1" applyProtection="1">
      <alignment horizontal="right"/>
    </xf>
    <xf numFmtId="165" fontId="6" fillId="0" borderId="13" xfId="50" quotePrefix="1" applyFont="1" applyFill="1" applyBorder="1" applyAlignment="1" applyProtection="1">
      <alignment horizontal="right"/>
    </xf>
    <xf numFmtId="164" fontId="26" fillId="0" borderId="24" xfId="0" applyNumberFormat="1" applyFont="1" applyFill="1" applyBorder="1" applyAlignment="1" applyProtection="1">
      <alignment horizontal="right"/>
    </xf>
    <xf numFmtId="37" fontId="26" fillId="0" borderId="0" xfId="29" applyFont="1" applyFill="1" applyBorder="1" applyAlignment="1" applyProtection="1">
      <alignment horizontal="right"/>
    </xf>
    <xf numFmtId="164" fontId="26" fillId="0" borderId="13" xfId="0" applyNumberFormat="1" applyFont="1" applyFill="1" applyBorder="1" applyAlignment="1" applyProtection="1">
      <alignment horizontal="right"/>
    </xf>
    <xf numFmtId="164" fontId="26" fillId="0" borderId="0" xfId="0" applyNumberFormat="1" applyFont="1" applyFill="1" applyBorder="1" applyAlignment="1" applyProtection="1">
      <alignment horizontal="right"/>
    </xf>
    <xf numFmtId="9" fontId="26" fillId="0" borderId="24" xfId="0" applyNumberFormat="1" applyFont="1" applyFill="1" applyBorder="1" applyProtection="1"/>
    <xf numFmtId="9" fontId="26" fillId="0" borderId="0" xfId="0" applyNumberFormat="1" applyFont="1" applyFill="1" applyBorder="1" applyProtection="1"/>
    <xf numFmtId="9" fontId="26" fillId="0" borderId="13" xfId="0" applyNumberFormat="1" applyFont="1" applyFill="1" applyBorder="1" applyProtection="1"/>
    <xf numFmtId="165" fontId="26" fillId="0" borderId="0" xfId="0" applyNumberFormat="1" applyFont="1" applyFill="1" applyBorder="1" applyProtection="1"/>
    <xf numFmtId="5" fontId="6" fillId="0" borderId="0" xfId="0" applyNumberFormat="1" applyFont="1" applyFill="1" applyBorder="1" applyProtection="1"/>
    <xf numFmtId="37" fontId="6" fillId="0" borderId="24" xfId="29" quotePrefix="1" applyNumberFormat="1" applyFont="1" applyBorder="1" applyAlignment="1" applyProtection="1">
      <alignment horizontal="left"/>
    </xf>
    <xf numFmtId="183" fontId="6" fillId="0" borderId="23" xfId="29" applyNumberFormat="1" applyFont="1" applyFill="1" applyBorder="1" applyProtection="1"/>
    <xf numFmtId="183" fontId="6" fillId="0" borderId="21" xfId="29" applyNumberFormat="1" applyFont="1" applyFill="1" applyBorder="1" applyProtection="1"/>
    <xf numFmtId="183" fontId="6" fillId="0" borderId="19" xfId="29" applyNumberFormat="1" applyFont="1" applyFill="1" applyBorder="1" applyProtection="1"/>
    <xf numFmtId="37" fontId="6" fillId="0" borderId="0" xfId="29" applyFont="1" applyFill="1" applyBorder="1" applyProtection="1"/>
    <xf numFmtId="37" fontId="8" fillId="0" borderId="9" xfId="0" applyFont="1" applyFill="1" applyBorder="1" applyAlignment="1" applyProtection="1">
      <alignment horizontal="left"/>
    </xf>
    <xf numFmtId="183" fontId="6" fillId="0" borderId="14" xfId="0" applyNumberFormat="1" applyFont="1" applyFill="1" applyBorder="1" applyProtection="1"/>
    <xf numFmtId="183" fontId="6" fillId="0" borderId="16" xfId="0" applyNumberFormat="1" applyFont="1" applyFill="1" applyBorder="1" applyProtection="1"/>
    <xf numFmtId="183" fontId="6" fillId="0" borderId="25" xfId="0" applyNumberFormat="1" applyFont="1" applyFill="1" applyBorder="1" applyProtection="1"/>
    <xf numFmtId="183" fontId="8" fillId="0" borderId="10" xfId="30" applyNumberFormat="1" applyFont="1" applyFill="1" applyBorder="1" applyProtection="1"/>
    <xf numFmtId="183" fontId="8" fillId="0" borderId="9" xfId="30" applyNumberFormat="1" applyFont="1" applyFill="1" applyBorder="1" applyProtection="1"/>
    <xf numFmtId="183" fontId="8" fillId="0" borderId="11" xfId="30" applyNumberFormat="1" applyFont="1" applyFill="1" applyBorder="1" applyProtection="1"/>
    <xf numFmtId="5" fontId="6" fillId="0" borderId="0" xfId="30" applyFont="1" applyFill="1" applyBorder="1" applyProtection="1"/>
    <xf numFmtId="183" fontId="47" fillId="0" borderId="0" xfId="30" applyNumberFormat="1" applyFont="1" applyFill="1" applyBorder="1" applyProtection="1"/>
    <xf numFmtId="165" fontId="41" fillId="0" borderId="0" xfId="50" applyFont="1" applyFill="1" applyBorder="1" applyProtection="1"/>
    <xf numFmtId="165" fontId="41" fillId="0" borderId="13" xfId="50" applyFont="1" applyFill="1" applyBorder="1" applyProtection="1"/>
    <xf numFmtId="5" fontId="41" fillId="0" borderId="0" xfId="30" applyFont="1" applyFill="1" applyBorder="1" applyProtection="1"/>
    <xf numFmtId="5" fontId="8" fillId="0" borderId="0" xfId="30" applyFont="1" applyFill="1" applyBorder="1" applyProtection="1"/>
    <xf numFmtId="165" fontId="26" fillId="0" borderId="0" xfId="30" applyNumberFormat="1" applyFont="1" applyFill="1" applyBorder="1" applyProtection="1"/>
    <xf numFmtId="5" fontId="26" fillId="0" borderId="13" xfId="30" applyFont="1" applyFill="1" applyBorder="1" applyProtection="1"/>
    <xf numFmtId="5" fontId="26" fillId="0" borderId="0" xfId="30" applyFont="1" applyFill="1" applyBorder="1" applyProtection="1"/>
    <xf numFmtId="37" fontId="26" fillId="0" borderId="24" xfId="29" quotePrefix="1" applyFont="1" applyFill="1" applyBorder="1" applyAlignment="1" applyProtection="1"/>
    <xf numFmtId="37" fontId="26" fillId="0" borderId="0" xfId="29" quotePrefix="1" applyFont="1" applyFill="1" applyBorder="1" applyAlignment="1" applyProtection="1"/>
    <xf numFmtId="37" fontId="6" fillId="0" borderId="13" xfId="29" applyFont="1" applyFill="1" applyBorder="1" applyProtection="1"/>
    <xf numFmtId="37" fontId="26" fillId="0" borderId="13" xfId="29" quotePrefix="1" applyFont="1" applyFill="1" applyBorder="1" applyAlignment="1" applyProtection="1"/>
    <xf numFmtId="37" fontId="50" fillId="0" borderId="0" xfId="29" quotePrefix="1" applyFont="1" applyFill="1" applyBorder="1" applyAlignment="1" applyProtection="1"/>
    <xf numFmtId="37" fontId="45" fillId="0" borderId="0" xfId="29" quotePrefix="1" applyFont="1" applyFill="1" applyBorder="1" applyAlignment="1" applyProtection="1"/>
    <xf numFmtId="37" fontId="8" fillId="0" borderId="0" xfId="29" applyFont="1" applyBorder="1" applyAlignment="1" applyProtection="1">
      <alignment horizontal="left"/>
    </xf>
    <xf numFmtId="37" fontId="8" fillId="0" borderId="9" xfId="29" applyFont="1" applyFill="1" applyBorder="1" applyAlignment="1" applyProtection="1">
      <alignment horizontal="left"/>
    </xf>
    <xf numFmtId="37" fontId="8" fillId="0" borderId="10" xfId="29" applyFont="1" applyFill="1" applyBorder="1" applyAlignment="1" applyProtection="1">
      <alignment horizontal="left"/>
    </xf>
    <xf numFmtId="164" fontId="8" fillId="0" borderId="9" xfId="0" applyNumberFormat="1" applyFont="1" applyFill="1" applyBorder="1" applyAlignment="1" applyProtection="1">
      <alignment horizontal="right"/>
    </xf>
    <xf numFmtId="164" fontId="8" fillId="0" borderId="10" xfId="0" applyNumberFormat="1" applyFont="1" applyFill="1" applyBorder="1" applyAlignment="1" applyProtection="1">
      <alignment horizontal="right"/>
    </xf>
    <xf numFmtId="164" fontId="8" fillId="0" borderId="11" xfId="0" applyNumberFormat="1" applyFont="1" applyFill="1" applyBorder="1" applyAlignment="1" applyProtection="1">
      <alignment horizontal="right"/>
    </xf>
    <xf numFmtId="164" fontId="8" fillId="0" borderId="0" xfId="0" applyNumberFormat="1" applyFont="1" applyFill="1" applyBorder="1" applyAlignment="1" applyProtection="1">
      <alignment horizontal="right"/>
    </xf>
    <xf numFmtId="164" fontId="6" fillId="0" borderId="0" xfId="0" applyNumberFormat="1" applyFont="1" applyFill="1" applyBorder="1" applyAlignment="1" applyProtection="1">
      <alignment horizontal="left"/>
    </xf>
    <xf numFmtId="37" fontId="6" fillId="0" borderId="24" xfId="29" quotePrefix="1" applyFont="1" applyFill="1" applyBorder="1" applyAlignment="1" applyProtection="1">
      <alignment horizontal="right"/>
    </xf>
    <xf numFmtId="37" fontId="6" fillId="0" borderId="13" xfId="29" quotePrefix="1" applyFont="1" applyFill="1" applyBorder="1" applyAlignment="1" applyProtection="1">
      <alignment horizontal="right"/>
    </xf>
    <xf numFmtId="37" fontId="6" fillId="0" borderId="13" xfId="29" quotePrefix="1" applyFont="1" applyFill="1" applyBorder="1" applyAlignment="1" applyProtection="1"/>
    <xf numFmtId="37" fontId="6" fillId="0" borderId="0" xfId="29" quotePrefix="1" applyFont="1" applyFill="1" applyBorder="1" applyAlignment="1" applyProtection="1">
      <alignment horizontal="right"/>
    </xf>
    <xf numFmtId="37" fontId="6" fillId="0" borderId="24" xfId="29" quotePrefix="1" applyFont="1" applyFill="1" applyBorder="1" applyAlignment="1" applyProtection="1"/>
    <xf numFmtId="37" fontId="6" fillId="0" borderId="24" xfId="0" applyFont="1" applyFill="1" applyBorder="1"/>
    <xf numFmtId="5" fontId="6" fillId="0" borderId="0" xfId="30" applyFont="1" applyFill="1" applyBorder="1"/>
    <xf numFmtId="5" fontId="8" fillId="0" borderId="0" xfId="30" applyFont="1" applyFill="1" applyBorder="1" applyAlignment="1" applyProtection="1">
      <alignment horizontal="left"/>
    </xf>
    <xf numFmtId="5" fontId="26" fillId="0" borderId="24" xfId="30" quotePrefix="1" applyFont="1" applyFill="1" applyBorder="1" applyAlignment="1" applyProtection="1"/>
    <xf numFmtId="5" fontId="26" fillId="0" borderId="0" xfId="30" quotePrefix="1" applyFont="1" applyFill="1" applyBorder="1" applyAlignment="1" applyProtection="1"/>
    <xf numFmtId="5" fontId="26" fillId="0" borderId="13" xfId="30" quotePrefix="1" applyFont="1" applyFill="1" applyBorder="1" applyAlignment="1" applyProtection="1"/>
    <xf numFmtId="5" fontId="6" fillId="0" borderId="13" xfId="30" quotePrefix="1" applyFont="1" applyFill="1" applyBorder="1" applyAlignment="1" applyProtection="1"/>
    <xf numFmtId="5" fontId="6" fillId="0" borderId="0" xfId="30" quotePrefix="1" applyFont="1" applyFill="1" applyBorder="1" applyAlignment="1" applyProtection="1"/>
    <xf numFmtId="5" fontId="45" fillId="0" borderId="0" xfId="30" quotePrefix="1" applyFont="1" applyFill="1" applyBorder="1" applyAlignment="1" applyProtection="1"/>
    <xf numFmtId="5" fontId="6" fillId="9" borderId="0" xfId="30" applyFont="1" applyFill="1" applyBorder="1"/>
    <xf numFmtId="9" fontId="26" fillId="0" borderId="13" xfId="29" quotePrefix="1" applyNumberFormat="1" applyFont="1" applyFill="1" applyBorder="1" applyAlignment="1" applyProtection="1"/>
    <xf numFmtId="165" fontId="26" fillId="0" borderId="0" xfId="50" applyNumberFormat="1" applyFont="1" applyFill="1" applyBorder="1" applyAlignment="1" applyProtection="1">
      <alignment horizontal="right"/>
    </xf>
    <xf numFmtId="165" fontId="26" fillId="0" borderId="13" xfId="50" applyNumberFormat="1" applyFont="1" applyFill="1" applyBorder="1" applyAlignment="1" applyProtection="1">
      <alignment horizontal="right"/>
    </xf>
    <xf numFmtId="165" fontId="6" fillId="0" borderId="13" xfId="50" applyNumberFormat="1" applyFont="1" applyFill="1" applyBorder="1" applyAlignment="1" applyProtection="1">
      <alignment horizontal="right"/>
    </xf>
    <xf numFmtId="165" fontId="6" fillId="0" borderId="0" xfId="50" applyNumberFormat="1" applyFont="1" applyFill="1" applyBorder="1" applyAlignment="1" applyProtection="1">
      <alignment horizontal="right"/>
    </xf>
    <xf numFmtId="5" fontId="6" fillId="0" borderId="13" xfId="30" applyFont="1" applyFill="1" applyBorder="1" applyProtection="1"/>
    <xf numFmtId="5" fontId="6" fillId="0" borderId="24" xfId="30" quotePrefix="1" applyFont="1" applyFill="1" applyBorder="1" applyAlignment="1" applyProtection="1"/>
    <xf numFmtId="37" fontId="47" fillId="0" borderId="0" xfId="29" applyFont="1" applyFill="1" applyBorder="1" applyAlignment="1" applyProtection="1">
      <alignment horizontal="left"/>
    </xf>
    <xf numFmtId="37" fontId="42" fillId="0" borderId="24" xfId="29" quotePrefix="1" applyFont="1" applyFill="1" applyBorder="1" applyAlignment="1" applyProtection="1"/>
    <xf numFmtId="37" fontId="42" fillId="0" borderId="0" xfId="29" quotePrefix="1" applyFont="1" applyFill="1" applyBorder="1" applyAlignment="1" applyProtection="1"/>
    <xf numFmtId="165" fontId="42" fillId="0" borderId="0" xfId="50" quotePrefix="1" applyFont="1" applyFill="1" applyBorder="1" applyAlignment="1" applyProtection="1"/>
    <xf numFmtId="165" fontId="42" fillId="0" borderId="13" xfId="50" quotePrefix="1" applyFont="1" applyFill="1" applyBorder="1" applyAlignment="1" applyProtection="1">
      <alignment horizontal="right"/>
    </xf>
    <xf numFmtId="165" fontId="42" fillId="0" borderId="13" xfId="50" quotePrefix="1" applyFont="1" applyFill="1" applyBorder="1" applyAlignment="1" applyProtection="1"/>
    <xf numFmtId="37" fontId="46" fillId="0" borderId="0" xfId="29" quotePrefix="1" applyFont="1" applyFill="1" applyBorder="1" applyAlignment="1" applyProtection="1"/>
    <xf numFmtId="37" fontId="6" fillId="0" borderId="0" xfId="29" applyFont="1" applyFill="1" applyBorder="1" applyAlignment="1" applyProtection="1">
      <alignment horizontal="left"/>
    </xf>
    <xf numFmtId="183" fontId="43" fillId="0" borderId="24" xfId="30" quotePrefix="1" applyNumberFormat="1" applyFont="1" applyFill="1" applyBorder="1" applyAlignment="1" applyProtection="1"/>
    <xf numFmtId="183" fontId="43" fillId="0" borderId="0" xfId="30" quotePrefix="1" applyNumberFormat="1" applyFont="1" applyFill="1" applyBorder="1" applyAlignment="1" applyProtection="1"/>
    <xf numFmtId="183" fontId="43" fillId="0" borderId="0" xfId="30" applyNumberFormat="1" applyFont="1" applyFill="1" applyBorder="1" applyAlignment="1" applyProtection="1"/>
    <xf numFmtId="183" fontId="8" fillId="0" borderId="13" xfId="30" quotePrefix="1" applyNumberFormat="1" applyFont="1" applyFill="1" applyBorder="1" applyAlignment="1" applyProtection="1"/>
    <xf numFmtId="183" fontId="8" fillId="0" borderId="0" xfId="30" quotePrefix="1" applyNumberFormat="1" applyFont="1" applyFill="1" applyBorder="1" applyAlignment="1" applyProtection="1"/>
    <xf numFmtId="168" fontId="44" fillId="0" borderId="0" xfId="30" quotePrefix="1" applyNumberFormat="1" applyFont="1" applyFill="1" applyBorder="1" applyAlignment="1" applyProtection="1"/>
    <xf numFmtId="37" fontId="44" fillId="0" borderId="0" xfId="29" quotePrefix="1" applyFont="1" applyFill="1" applyBorder="1" applyAlignment="1" applyProtection="1"/>
    <xf numFmtId="165" fontId="41" fillId="0" borderId="24" xfId="50" quotePrefix="1" applyFont="1" applyFill="1" applyBorder="1" applyAlignment="1" applyProtection="1"/>
    <xf numFmtId="165" fontId="41" fillId="0" borderId="0" xfId="50" quotePrefix="1" applyFont="1" applyFill="1" applyBorder="1" applyAlignment="1" applyProtection="1"/>
    <xf numFmtId="165" fontId="41" fillId="0" borderId="13" xfId="50" quotePrefix="1" applyFont="1" applyFill="1" applyBorder="1" applyAlignment="1" applyProtection="1"/>
    <xf numFmtId="166" fontId="26" fillId="0" borderId="13" xfId="0" applyNumberFormat="1" applyFont="1" applyFill="1" applyBorder="1" applyAlignment="1" applyProtection="1">
      <alignment horizontal="right"/>
    </xf>
    <xf numFmtId="166" fontId="6" fillId="0" borderId="0" xfId="0" applyNumberFormat="1" applyFont="1" applyFill="1" applyBorder="1" applyAlignment="1" applyProtection="1">
      <alignment horizontal="right"/>
    </xf>
    <xf numFmtId="183" fontId="8" fillId="0" borderId="24" xfId="30" quotePrefix="1" applyNumberFormat="1" applyFont="1" applyFill="1" applyBorder="1" applyAlignment="1" applyProtection="1">
      <alignment horizontal="right"/>
    </xf>
    <xf numFmtId="183" fontId="8" fillId="0" borderId="0" xfId="30" quotePrefix="1" applyNumberFormat="1" applyFont="1" applyFill="1" applyBorder="1" applyAlignment="1" applyProtection="1">
      <alignment horizontal="right"/>
    </xf>
    <xf numFmtId="37" fontId="41" fillId="0" borderId="0" xfId="29" applyFont="1" applyFill="1" applyBorder="1" applyAlignment="1" applyProtection="1">
      <alignment horizontal="left" indent="1"/>
    </xf>
    <xf numFmtId="168" fontId="46" fillId="0" borderId="0" xfId="30" quotePrefix="1" applyNumberFormat="1" applyFont="1" applyFill="1" applyBorder="1" applyAlignment="1" applyProtection="1"/>
    <xf numFmtId="165" fontId="26" fillId="0" borderId="13" xfId="50" quotePrefix="1" applyFont="1" applyFill="1" applyBorder="1" applyAlignment="1" applyProtection="1"/>
    <xf numFmtId="165" fontId="26" fillId="0" borderId="0" xfId="50" quotePrefix="1" applyFont="1" applyFill="1" applyBorder="1" applyAlignment="1" applyProtection="1"/>
    <xf numFmtId="168" fontId="26" fillId="0" borderId="13" xfId="29" quotePrefix="1" applyNumberFormat="1" applyFont="1" applyFill="1" applyBorder="1" applyAlignment="1" applyProtection="1"/>
    <xf numFmtId="168" fontId="26" fillId="0" borderId="0" xfId="29" quotePrefix="1" applyNumberFormat="1" applyFont="1" applyFill="1" applyBorder="1" applyAlignment="1" applyProtection="1"/>
    <xf numFmtId="165" fontId="46" fillId="0" borderId="0" xfId="50" quotePrefix="1" applyFont="1" applyFill="1" applyBorder="1" applyAlignment="1" applyProtection="1"/>
    <xf numFmtId="165" fontId="41" fillId="0" borderId="24" xfId="30" quotePrefix="1" applyNumberFormat="1" applyFont="1" applyFill="1" applyBorder="1" applyAlignment="1" applyProtection="1">
      <alignment horizontal="right"/>
    </xf>
    <xf numFmtId="165" fontId="41" fillId="0" borderId="0" xfId="30" quotePrefix="1" applyNumberFormat="1" applyFont="1" applyFill="1" applyBorder="1" applyAlignment="1" applyProtection="1">
      <alignment horizontal="right"/>
    </xf>
    <xf numFmtId="165" fontId="42" fillId="0" borderId="0" xfId="30" applyNumberFormat="1" applyFont="1" applyFill="1" applyBorder="1" applyAlignment="1" applyProtection="1">
      <alignment horizontal="right"/>
    </xf>
    <xf numFmtId="165" fontId="41" fillId="0" borderId="13" xfId="30" quotePrefix="1" applyNumberFormat="1" applyFont="1" applyFill="1" applyBorder="1" applyAlignment="1" applyProtection="1">
      <alignment horizontal="right"/>
    </xf>
    <xf numFmtId="37" fontId="18" fillId="0" borderId="24" xfId="0" applyFont="1" applyFill="1" applyBorder="1"/>
    <xf numFmtId="37" fontId="18" fillId="0" borderId="13" xfId="0" applyFont="1" applyFill="1" applyBorder="1"/>
    <xf numFmtId="183" fontId="6" fillId="0" borderId="24" xfId="30" quotePrefix="1" applyNumberFormat="1" applyFont="1" applyFill="1" applyBorder="1" applyAlignment="1" applyProtection="1"/>
    <xf numFmtId="183" fontId="6" fillId="0" borderId="0" xfId="30" quotePrefix="1" applyNumberFormat="1" applyFont="1" applyFill="1" applyBorder="1" applyAlignment="1" applyProtection="1"/>
    <xf numFmtId="183" fontId="6" fillId="0" borderId="24" xfId="30" applyNumberFormat="1" applyFont="1" applyFill="1" applyBorder="1" applyProtection="1"/>
    <xf numFmtId="183" fontId="26" fillId="0" borderId="0" xfId="30" quotePrefix="1" applyNumberFormat="1" applyFont="1" applyFill="1" applyBorder="1" applyAlignment="1" applyProtection="1"/>
    <xf numFmtId="183" fontId="26" fillId="0" borderId="24" xfId="30" quotePrefix="1" applyNumberFormat="1" applyFont="1" applyFill="1" applyBorder="1" applyAlignment="1" applyProtection="1"/>
    <xf numFmtId="183" fontId="6" fillId="0" borderId="13" xfId="30" applyNumberFormat="1" applyFont="1" applyFill="1" applyBorder="1" applyProtection="1"/>
    <xf numFmtId="183" fontId="26" fillId="0" borderId="13" xfId="30" applyNumberFormat="1" applyFont="1" applyFill="1" applyBorder="1" applyProtection="1"/>
    <xf numFmtId="183" fontId="26" fillId="0" borderId="13" xfId="30" quotePrefix="1" applyNumberFormat="1" applyFont="1" applyFill="1" applyBorder="1" applyAlignment="1" applyProtection="1"/>
    <xf numFmtId="183" fontId="6" fillId="0" borderId="13" xfId="30" quotePrefix="1" applyNumberFormat="1" applyFont="1" applyFill="1" applyBorder="1" applyAlignment="1" applyProtection="1"/>
    <xf numFmtId="168" fontId="6" fillId="0" borderId="0" xfId="30" quotePrefix="1" applyNumberFormat="1" applyFont="1" applyFill="1" applyBorder="1" applyAlignment="1" applyProtection="1"/>
    <xf numFmtId="168" fontId="45" fillId="0" borderId="0" xfId="30" quotePrefix="1" applyNumberFormat="1" applyFont="1" applyFill="1" applyBorder="1" applyAlignment="1" applyProtection="1"/>
    <xf numFmtId="165" fontId="6" fillId="0" borderId="24" xfId="50" quotePrefix="1" applyFont="1" applyFill="1" applyBorder="1" applyAlignment="1" applyProtection="1"/>
    <xf numFmtId="165" fontId="6" fillId="0" borderId="0" xfId="50" quotePrefix="1" applyFont="1" applyFill="1" applyBorder="1" applyAlignment="1" applyProtection="1"/>
    <xf numFmtId="165" fontId="6" fillId="0" borderId="24" xfId="50" applyFont="1" applyFill="1" applyBorder="1" applyProtection="1"/>
    <xf numFmtId="165" fontId="6" fillId="0" borderId="13" xfId="50" applyFont="1" applyFill="1" applyBorder="1" applyProtection="1"/>
    <xf numFmtId="165" fontId="45" fillId="0" borderId="0" xfId="50" quotePrefix="1" applyFont="1" applyFill="1" applyBorder="1" applyAlignment="1" applyProtection="1"/>
    <xf numFmtId="165" fontId="26" fillId="0" borderId="24" xfId="50" quotePrefix="1" applyFont="1" applyFill="1" applyBorder="1" applyAlignment="1" applyProtection="1"/>
    <xf numFmtId="164" fontId="6" fillId="0" borderId="24" xfId="0" applyNumberFormat="1" applyFont="1" applyFill="1" applyBorder="1" applyAlignment="1" applyProtection="1">
      <alignment horizontal="right"/>
    </xf>
    <xf numFmtId="37" fontId="6" fillId="0" borderId="24" xfId="0" applyNumberFormat="1" applyFont="1" applyFill="1" applyBorder="1" applyAlignment="1" applyProtection="1">
      <alignment horizontal="right"/>
    </xf>
    <xf numFmtId="37" fontId="6" fillId="0" borderId="0" xfId="0" applyNumberFormat="1" applyFont="1" applyFill="1" applyBorder="1" applyAlignment="1" applyProtection="1">
      <alignment horizontal="right"/>
    </xf>
    <xf numFmtId="37" fontId="26" fillId="0" borderId="0" xfId="0" applyNumberFormat="1" applyFont="1" applyFill="1" applyBorder="1" applyAlignment="1" applyProtection="1">
      <alignment horizontal="right"/>
    </xf>
    <xf numFmtId="37" fontId="26" fillId="0" borderId="0" xfId="29" applyFont="1" applyFill="1" applyBorder="1" applyProtection="1"/>
    <xf numFmtId="5" fontId="8" fillId="0" borderId="17" xfId="29" applyNumberFormat="1" applyFont="1" applyFill="1" applyBorder="1" applyAlignment="1" applyProtection="1">
      <alignment horizontal="left"/>
    </xf>
    <xf numFmtId="5" fontId="6" fillId="0" borderId="24" xfId="30" quotePrefix="1" applyNumberFormat="1" applyFont="1" applyFill="1" applyBorder="1" applyAlignment="1" applyProtection="1"/>
    <xf numFmtId="5" fontId="6" fillId="0" borderId="0" xfId="30" quotePrefix="1" applyNumberFormat="1" applyFont="1" applyFill="1" applyBorder="1" applyAlignment="1" applyProtection="1"/>
    <xf numFmtId="5" fontId="6" fillId="0" borderId="24" xfId="30" applyNumberFormat="1" applyFont="1" applyFill="1" applyBorder="1" applyProtection="1"/>
    <xf numFmtId="5" fontId="6" fillId="0" borderId="13" xfId="30" quotePrefix="1" applyNumberFormat="1" applyFont="1" applyFill="1" applyBorder="1" applyAlignment="1" applyProtection="1"/>
    <xf numFmtId="165" fontId="42" fillId="0" borderId="24" xfId="50" quotePrefix="1" applyFont="1" applyFill="1" applyBorder="1" applyAlignment="1" applyProtection="1"/>
    <xf numFmtId="165" fontId="42" fillId="0" borderId="24" xfId="50" applyFont="1" applyFill="1" applyBorder="1" applyProtection="1"/>
    <xf numFmtId="164" fontId="41" fillId="0" borderId="0" xfId="0" applyNumberFormat="1" applyFont="1" applyFill="1" applyBorder="1" applyAlignment="1" applyProtection="1">
      <alignment horizontal="right"/>
    </xf>
    <xf numFmtId="37" fontId="53" fillId="0" borderId="0" xfId="29" applyFont="1" applyFill="1" applyBorder="1" applyAlignment="1" applyProtection="1">
      <alignment horizontal="left"/>
    </xf>
    <xf numFmtId="183" fontId="43" fillId="0" borderId="0" xfId="30" applyNumberFormat="1" applyFont="1" applyFill="1" applyBorder="1" applyProtection="1"/>
    <xf numFmtId="168" fontId="43" fillId="0" borderId="0" xfId="30" applyNumberFormat="1" applyFont="1" applyFill="1" applyBorder="1" applyProtection="1"/>
    <xf numFmtId="168" fontId="43" fillId="0" borderId="13" xfId="30" applyNumberFormat="1" applyFont="1" applyFill="1" applyBorder="1" applyProtection="1"/>
    <xf numFmtId="165" fontId="44" fillId="0" borderId="0" xfId="50" quotePrefix="1" applyFont="1" applyFill="1" applyBorder="1" applyAlignment="1" applyProtection="1"/>
    <xf numFmtId="165" fontId="42" fillId="0" borderId="0" xfId="50" applyFont="1" applyFill="1" applyBorder="1" applyProtection="1"/>
    <xf numFmtId="165" fontId="42" fillId="0" borderId="13" xfId="50" applyFont="1" applyFill="1" applyBorder="1" applyProtection="1"/>
    <xf numFmtId="168" fontId="26" fillId="0" borderId="24" xfId="30" applyNumberFormat="1" applyFont="1" applyFill="1" applyBorder="1" applyProtection="1"/>
    <xf numFmtId="168" fontId="26" fillId="0" borderId="0" xfId="30" applyNumberFormat="1" applyFont="1" applyFill="1" applyBorder="1" applyProtection="1"/>
    <xf numFmtId="168" fontId="26" fillId="0" borderId="13" xfId="30" applyNumberFormat="1" applyFont="1" applyFill="1" applyBorder="1" applyProtection="1"/>
    <xf numFmtId="168" fontId="6" fillId="0" borderId="0" xfId="30" applyNumberFormat="1" applyFont="1" applyFill="1" applyBorder="1" applyProtection="1"/>
    <xf numFmtId="183" fontId="6" fillId="0" borderId="0" xfId="30" applyNumberFormat="1" applyFont="1" applyFill="1" applyBorder="1" applyProtection="1"/>
    <xf numFmtId="183" fontId="26" fillId="0" borderId="0" xfId="30" applyNumberFormat="1" applyFont="1" applyFill="1" applyBorder="1" applyProtection="1"/>
    <xf numFmtId="183" fontId="26" fillId="0" borderId="24" xfId="50" quotePrefix="1" applyNumberFormat="1" applyFont="1" applyFill="1" applyBorder="1" applyAlignment="1" applyProtection="1"/>
    <xf numFmtId="183" fontId="26" fillId="0" borderId="0" xfId="50" quotePrefix="1" applyNumberFormat="1" applyFont="1" applyFill="1" applyBorder="1" applyAlignment="1" applyProtection="1"/>
    <xf numFmtId="183" fontId="6" fillId="0" borderId="24" xfId="29" quotePrefix="1" applyNumberFormat="1" applyFont="1" applyFill="1" applyBorder="1" applyAlignment="1" applyProtection="1"/>
    <xf numFmtId="183" fontId="6" fillId="0" borderId="0" xfId="29" quotePrefix="1" applyNumberFormat="1" applyFont="1" applyFill="1" applyBorder="1" applyAlignment="1" applyProtection="1"/>
    <xf numFmtId="183" fontId="6" fillId="3" borderId="24" xfId="29" quotePrefix="1" applyNumberFormat="1" applyFont="1" applyFill="1" applyBorder="1" applyAlignment="1" applyProtection="1"/>
    <xf numFmtId="183" fontId="6" fillId="3" borderId="0" xfId="29" quotePrefix="1" applyNumberFormat="1" applyFont="1" applyFill="1" applyBorder="1" applyAlignment="1" applyProtection="1"/>
    <xf numFmtId="183" fontId="6" fillId="3" borderId="13" xfId="29" applyNumberFormat="1" applyFont="1" applyFill="1" applyBorder="1" applyProtection="1"/>
    <xf numFmtId="168" fontId="26" fillId="0" borderId="13" xfId="29" applyNumberFormat="1" applyFont="1" applyFill="1" applyBorder="1" applyProtection="1"/>
    <xf numFmtId="168" fontId="26" fillId="0" borderId="0" xfId="29" applyNumberFormat="1" applyFont="1" applyFill="1" applyBorder="1" applyProtection="1"/>
    <xf numFmtId="168" fontId="45" fillId="0" borderId="0" xfId="29" quotePrefix="1" applyNumberFormat="1" applyFont="1" applyFill="1" applyBorder="1" applyAlignment="1" applyProtection="1"/>
    <xf numFmtId="37" fontId="6" fillId="0" borderId="0" xfId="29" applyFont="1" applyFill="1" applyBorder="1" applyAlignment="1" applyProtection="1">
      <alignment horizontal="left" indent="1"/>
    </xf>
    <xf numFmtId="183" fontId="26" fillId="3" borderId="0" xfId="29" quotePrefix="1" applyNumberFormat="1" applyFont="1" applyFill="1" applyBorder="1" applyAlignment="1" applyProtection="1"/>
    <xf numFmtId="166" fontId="26" fillId="0" borderId="0" xfId="29" quotePrefix="1" applyNumberFormat="1" applyFont="1" applyFill="1" applyBorder="1" applyAlignment="1" applyProtection="1"/>
    <xf numFmtId="166" fontId="26" fillId="0" borderId="13" xfId="29" applyNumberFormat="1" applyFont="1" applyFill="1" applyBorder="1" applyProtection="1"/>
    <xf numFmtId="166" fontId="26" fillId="0" borderId="0" xfId="29" applyNumberFormat="1" applyFont="1" applyFill="1" applyBorder="1" applyProtection="1"/>
    <xf numFmtId="166" fontId="26" fillId="0" borderId="13" xfId="29" quotePrefix="1" applyNumberFormat="1" applyFont="1" applyFill="1" applyBorder="1" applyAlignment="1" applyProtection="1"/>
    <xf numFmtId="166" fontId="50" fillId="0" borderId="0" xfId="29" quotePrefix="1" applyNumberFormat="1" applyFont="1" applyFill="1" applyBorder="1" applyAlignment="1" applyProtection="1"/>
    <xf numFmtId="183" fontId="6" fillId="3" borderId="13" xfId="29" quotePrefix="1" applyNumberFormat="1" applyFont="1" applyFill="1" applyBorder="1" applyAlignment="1" applyProtection="1"/>
    <xf numFmtId="164" fontId="43" fillId="0" borderId="10" xfId="0" applyNumberFormat="1" applyFont="1" applyFill="1" applyBorder="1" applyAlignment="1" applyProtection="1">
      <alignment horizontal="right"/>
    </xf>
    <xf numFmtId="164" fontId="43" fillId="0" borderId="11" xfId="0" applyNumberFormat="1" applyFont="1" applyFill="1" applyBorder="1" applyAlignment="1" applyProtection="1">
      <alignment horizontal="right"/>
    </xf>
    <xf numFmtId="164" fontId="43" fillId="0" borderId="0" xfId="0" applyNumberFormat="1" applyFont="1" applyFill="1" applyBorder="1" applyAlignment="1" applyProtection="1">
      <alignment horizontal="right"/>
    </xf>
    <xf numFmtId="37" fontId="6" fillId="0" borderId="13" xfId="0" applyNumberFormat="1" applyFont="1" applyFill="1" applyBorder="1" applyAlignment="1" applyProtection="1">
      <alignment horizontal="right"/>
    </xf>
    <xf numFmtId="37" fontId="26" fillId="0" borderId="13" xfId="0" applyNumberFormat="1" applyFont="1" applyFill="1" applyBorder="1" applyAlignment="1" applyProtection="1">
      <alignment horizontal="right"/>
    </xf>
    <xf numFmtId="5" fontId="8" fillId="0" borderId="0" xfId="29" applyNumberFormat="1" applyFont="1" applyFill="1" applyBorder="1" applyAlignment="1" applyProtection="1">
      <alignment horizontal="left"/>
    </xf>
    <xf numFmtId="5" fontId="26" fillId="0" borderId="13" xfId="30" quotePrefix="1" applyNumberFormat="1" applyFont="1" applyFill="1" applyBorder="1" applyAlignment="1" applyProtection="1"/>
    <xf numFmtId="5" fontId="26" fillId="0" borderId="0" xfId="30" quotePrefix="1" applyNumberFormat="1" applyFont="1" applyFill="1" applyBorder="1" applyAlignment="1" applyProtection="1"/>
    <xf numFmtId="183" fontId="8" fillId="0" borderId="0" xfId="29" applyNumberFormat="1" applyFont="1" applyFill="1" applyBorder="1" applyAlignment="1" applyProtection="1">
      <alignment horizontal="left"/>
    </xf>
    <xf numFmtId="166" fontId="45" fillId="0" borderId="0" xfId="50" quotePrefix="1" applyNumberFormat="1" applyFont="1" applyFill="1" applyBorder="1" applyAlignment="1" applyProtection="1"/>
    <xf numFmtId="166" fontId="45" fillId="0" borderId="0" xfId="29" quotePrefix="1" applyNumberFormat="1" applyFont="1" applyFill="1" applyBorder="1" applyAlignment="1" applyProtection="1"/>
    <xf numFmtId="183" fontId="43" fillId="0" borderId="24" xfId="0" applyNumberFormat="1" applyFont="1" applyFill="1" applyBorder="1" applyAlignment="1" applyProtection="1">
      <alignment horizontal="right"/>
    </xf>
    <xf numFmtId="183" fontId="8" fillId="0" borderId="24" xfId="0" applyNumberFormat="1" applyFont="1" applyFill="1" applyBorder="1" applyAlignment="1" applyProtection="1">
      <alignment horizontal="right"/>
    </xf>
    <xf numFmtId="183" fontId="8" fillId="0" borderId="0" xfId="0" applyNumberFormat="1" applyFont="1" applyFill="1" applyBorder="1" applyAlignment="1" applyProtection="1">
      <alignment horizontal="right"/>
    </xf>
    <xf numFmtId="183" fontId="43" fillId="0" borderId="0" xfId="0" applyNumberFormat="1" applyFont="1" applyFill="1" applyBorder="1" applyAlignment="1" applyProtection="1">
      <alignment horizontal="right"/>
    </xf>
    <xf numFmtId="183" fontId="8" fillId="0" borderId="13" xfId="0" applyNumberFormat="1" applyFont="1" applyFill="1" applyBorder="1" applyAlignment="1" applyProtection="1">
      <alignment horizontal="right"/>
    </xf>
    <xf numFmtId="168" fontId="43" fillId="0" borderId="0" xfId="0" applyNumberFormat="1" applyFont="1" applyFill="1" applyBorder="1" applyAlignment="1" applyProtection="1">
      <alignment horizontal="right"/>
    </xf>
    <xf numFmtId="168" fontId="43" fillId="0" borderId="13" xfId="0" applyNumberFormat="1" applyFont="1" applyFill="1" applyBorder="1" applyAlignment="1" applyProtection="1">
      <alignment horizontal="right"/>
    </xf>
    <xf numFmtId="165" fontId="42" fillId="0" borderId="0" xfId="50" applyFont="1" applyFill="1" applyBorder="1" applyAlignment="1" applyProtection="1">
      <alignment horizontal="right"/>
    </xf>
    <xf numFmtId="165" fontId="42" fillId="0" borderId="13" xfId="50" applyFont="1" applyFill="1" applyBorder="1" applyAlignment="1" applyProtection="1">
      <alignment horizontal="right"/>
    </xf>
    <xf numFmtId="183" fontId="8" fillId="0" borderId="24" xfId="30" quotePrefix="1" applyNumberFormat="1" applyFont="1" applyFill="1" applyBorder="1" applyAlignment="1" applyProtection="1"/>
    <xf numFmtId="168" fontId="43" fillId="0" borderId="0" xfId="30" quotePrefix="1" applyNumberFormat="1" applyFont="1" applyFill="1" applyBorder="1" applyAlignment="1" applyProtection="1"/>
    <xf numFmtId="168" fontId="43" fillId="0" borderId="13" xfId="30" quotePrefix="1" applyNumberFormat="1" applyFont="1" applyFill="1" applyBorder="1" applyAlignment="1" applyProtection="1"/>
    <xf numFmtId="168" fontId="26" fillId="0" borderId="24" xfId="0" applyNumberFormat="1" applyFont="1" applyFill="1" applyBorder="1" applyAlignment="1" applyProtection="1">
      <alignment horizontal="right"/>
    </xf>
    <xf numFmtId="168" fontId="26" fillId="0" borderId="0" xfId="0" applyNumberFormat="1" applyFont="1" applyFill="1" applyBorder="1" applyAlignment="1" applyProtection="1">
      <alignment horizontal="right"/>
    </xf>
    <xf numFmtId="168" fontId="26" fillId="0" borderId="13" xfId="0" applyNumberFormat="1" applyFont="1" applyFill="1" applyBorder="1" applyAlignment="1" applyProtection="1">
      <alignment horizontal="right"/>
    </xf>
    <xf numFmtId="183" fontId="26" fillId="0" borderId="24" xfId="30" applyNumberFormat="1" applyFont="1" applyFill="1" applyBorder="1" applyProtection="1"/>
    <xf numFmtId="168" fontId="26" fillId="0" borderId="0" xfId="30" quotePrefix="1" applyNumberFormat="1" applyFont="1" applyFill="1" applyBorder="1" applyAlignment="1" applyProtection="1"/>
    <xf numFmtId="37" fontId="41" fillId="0" borderId="0" xfId="29" applyFont="1" applyBorder="1" applyAlignment="1" applyProtection="1">
      <alignment horizontal="left" indent="1"/>
    </xf>
    <xf numFmtId="168" fontId="6" fillId="0" borderId="0" xfId="29" applyNumberFormat="1" applyFont="1" applyFill="1" applyBorder="1" applyAlignment="1" applyProtection="1">
      <alignment horizontal="left"/>
    </xf>
    <xf numFmtId="183" fontId="26" fillId="3" borderId="0" xfId="30" quotePrefix="1" applyNumberFormat="1" applyFont="1" applyFill="1" applyBorder="1" applyAlignment="1" applyProtection="1"/>
    <xf numFmtId="183" fontId="6" fillId="3" borderId="0" xfId="30" quotePrefix="1" applyNumberFormat="1" applyFont="1" applyFill="1" applyBorder="1" applyAlignment="1" applyProtection="1"/>
    <xf numFmtId="183" fontId="6" fillId="3" borderId="13" xfId="30" quotePrefix="1" applyNumberFormat="1" applyFont="1" applyFill="1" applyBorder="1" applyAlignment="1" applyProtection="1"/>
    <xf numFmtId="166" fontId="6" fillId="0" borderId="0" xfId="29" applyNumberFormat="1" applyFont="1" applyFill="1" applyBorder="1" applyAlignment="1" applyProtection="1">
      <alignment horizontal="left" indent="1"/>
    </xf>
    <xf numFmtId="166" fontId="8" fillId="0" borderId="0" xfId="29" applyNumberFormat="1" applyFont="1" applyFill="1" applyBorder="1" applyAlignment="1" applyProtection="1">
      <alignment horizontal="left"/>
    </xf>
    <xf numFmtId="183" fontId="26" fillId="3" borderId="13" xfId="30" quotePrefix="1" applyNumberFormat="1" applyFont="1" applyFill="1" applyBorder="1" applyAlignment="1" applyProtection="1"/>
    <xf numFmtId="165" fontId="8" fillId="0" borderId="11" xfId="50" applyFont="1" applyFill="1" applyBorder="1" applyAlignment="1" applyProtection="1">
      <alignment horizontal="right"/>
    </xf>
    <xf numFmtId="183" fontId="26" fillId="0" borderId="24" xfId="29" quotePrefix="1" applyNumberFormat="1" applyFont="1" applyFill="1" applyBorder="1" applyAlignment="1" applyProtection="1"/>
    <xf numFmtId="183" fontId="47" fillId="0" borderId="0" xfId="29" applyNumberFormat="1" applyFont="1" applyFill="1" applyBorder="1" applyAlignment="1" applyProtection="1">
      <alignment horizontal="left"/>
    </xf>
    <xf numFmtId="165" fontId="54" fillId="0" borderId="0" xfId="50" quotePrefix="1" applyFont="1" applyFill="1" applyBorder="1" applyAlignment="1" applyProtection="1"/>
    <xf numFmtId="37" fontId="54" fillId="0" borderId="0" xfId="29" quotePrefix="1" applyFont="1" applyFill="1" applyBorder="1" applyAlignment="1" applyProtection="1"/>
    <xf numFmtId="9" fontId="26" fillId="0" borderId="24" xfId="30" applyNumberFormat="1" applyFont="1" applyFill="1" applyBorder="1" applyProtection="1"/>
    <xf numFmtId="9" fontId="26" fillId="0" borderId="0" xfId="30" applyNumberFormat="1" applyFont="1" applyFill="1" applyBorder="1" applyProtection="1"/>
    <xf numFmtId="166" fontId="26" fillId="0" borderId="0" xfId="0" applyNumberFormat="1" applyFont="1" applyFill="1" applyBorder="1" applyAlignment="1" applyProtection="1"/>
    <xf numFmtId="171" fontId="26" fillId="0" borderId="0" xfId="50" applyNumberFormat="1" applyFont="1" applyFill="1" applyBorder="1" applyAlignment="1" applyProtection="1"/>
    <xf numFmtId="171" fontId="26" fillId="0" borderId="0" xfId="0" applyNumberFormat="1" applyFont="1" applyFill="1" applyBorder="1" applyAlignment="1" applyProtection="1"/>
    <xf numFmtId="166" fontId="26" fillId="0" borderId="13" xfId="0" applyNumberFormat="1" applyFont="1" applyFill="1" applyBorder="1" applyAlignment="1" applyProtection="1"/>
    <xf numFmtId="184" fontId="6" fillId="0" borderId="0" xfId="30" applyNumberFormat="1" applyFont="1" applyFill="1" applyBorder="1" applyProtection="1"/>
    <xf numFmtId="168" fontId="55" fillId="0" borderId="0" xfId="30" quotePrefix="1" applyNumberFormat="1" applyFont="1" applyFill="1" applyBorder="1" applyAlignment="1" applyProtection="1"/>
    <xf numFmtId="168" fontId="8" fillId="0" borderId="0" xfId="30" quotePrefix="1" applyNumberFormat="1" applyFont="1" applyFill="1" applyBorder="1" applyAlignment="1" applyProtection="1"/>
    <xf numFmtId="168" fontId="56" fillId="0" borderId="0" xfId="30" quotePrefix="1" applyNumberFormat="1" applyFont="1" applyFill="1" applyBorder="1" applyAlignment="1" applyProtection="1"/>
    <xf numFmtId="168" fontId="57" fillId="0" borderId="0" xfId="30" quotePrefix="1" applyNumberFormat="1" applyFont="1" applyFill="1" applyBorder="1" applyAlignment="1" applyProtection="1"/>
    <xf numFmtId="168" fontId="26" fillId="0" borderId="24" xfId="30" quotePrefix="1" applyNumberFormat="1" applyFont="1" applyFill="1" applyBorder="1" applyAlignment="1" applyProtection="1"/>
    <xf numFmtId="176" fontId="26" fillId="0" borderId="24" xfId="30" quotePrefix="1" applyNumberFormat="1" applyFont="1" applyFill="1" applyBorder="1" applyAlignment="1" applyProtection="1"/>
    <xf numFmtId="172" fontId="26" fillId="0" borderId="0" xfId="30" quotePrefix="1" applyNumberFormat="1" applyFont="1" applyFill="1" applyBorder="1" applyAlignment="1" applyProtection="1"/>
    <xf numFmtId="168" fontId="26" fillId="0" borderId="13" xfId="30" quotePrefix="1" applyNumberFormat="1" applyFont="1" applyFill="1" applyBorder="1" applyAlignment="1" applyProtection="1"/>
    <xf numFmtId="166" fontId="26" fillId="0" borderId="0" xfId="30" quotePrefix="1" applyNumberFormat="1" applyFont="1" applyFill="1" applyBorder="1" applyAlignment="1" applyProtection="1"/>
    <xf numFmtId="37" fontId="6" fillId="0" borderId="0" xfId="29" applyNumberFormat="1" applyFont="1" applyBorder="1" applyAlignment="1" applyProtection="1">
      <alignment horizontal="left"/>
    </xf>
    <xf numFmtId="37" fontId="8" fillId="0" borderId="0" xfId="29" applyNumberFormat="1" applyFont="1" applyFill="1" applyBorder="1" applyAlignment="1" applyProtection="1">
      <alignment horizontal="left"/>
    </xf>
    <xf numFmtId="37" fontId="6" fillId="0" borderId="14" xfId="0" applyNumberFormat="1" applyFont="1" applyFill="1" applyBorder="1" applyAlignment="1" applyProtection="1">
      <alignment horizontal="right"/>
    </xf>
    <xf numFmtId="37" fontId="6" fillId="0" borderId="16" xfId="0" applyNumberFormat="1" applyFont="1" applyFill="1" applyBorder="1" applyAlignment="1" applyProtection="1">
      <alignment horizontal="right"/>
    </xf>
    <xf numFmtId="37" fontId="6" fillId="0" borderId="13" xfId="29" applyNumberFormat="1" applyFont="1" applyFill="1" applyBorder="1" applyProtection="1"/>
    <xf numFmtId="37" fontId="6" fillId="0" borderId="0" xfId="29" applyNumberFormat="1" applyFont="1" applyFill="1" applyBorder="1" applyProtection="1"/>
    <xf numFmtId="37" fontId="45" fillId="0" borderId="0" xfId="50" quotePrefix="1" applyNumberFormat="1" applyFont="1" applyFill="1" applyBorder="1" applyAlignment="1" applyProtection="1"/>
    <xf numFmtId="37" fontId="45" fillId="0" borderId="0" xfId="29" quotePrefix="1" applyNumberFormat="1" applyFont="1" applyFill="1" applyBorder="1" applyAlignment="1" applyProtection="1"/>
    <xf numFmtId="37" fontId="6" fillId="9" borderId="0" xfId="0" applyNumberFormat="1" applyFont="1" applyFill="1" applyBorder="1"/>
    <xf numFmtId="37" fontId="6" fillId="0" borderId="0" xfId="29" applyNumberFormat="1" applyFont="1" applyFill="1" applyBorder="1" applyAlignment="1" applyProtection="1">
      <alignment horizontal="left"/>
    </xf>
    <xf numFmtId="37" fontId="40" fillId="0" borderId="0" xfId="29" applyFont="1" applyFill="1" applyBorder="1" applyAlignment="1" applyProtection="1">
      <alignment horizontal="left"/>
    </xf>
    <xf numFmtId="41" fontId="39" fillId="0" borderId="0" xfId="29" applyNumberFormat="1" applyFont="1" applyFill="1" applyBorder="1" applyProtection="1"/>
    <xf numFmtId="164" fontId="39" fillId="0" borderId="0" xfId="0" applyNumberFormat="1" applyFont="1" applyFill="1" applyBorder="1" applyAlignment="1" applyProtection="1">
      <alignment horizontal="right"/>
    </xf>
    <xf numFmtId="165" fontId="58" fillId="0" borderId="0" xfId="50" quotePrefix="1" applyFont="1" applyFill="1" applyBorder="1" applyAlignment="1" applyProtection="1"/>
    <xf numFmtId="37" fontId="58" fillId="0" borderId="0" xfId="29" quotePrefix="1" applyFont="1" applyFill="1" applyBorder="1" applyAlignment="1" applyProtection="1"/>
    <xf numFmtId="37" fontId="6" fillId="0" borderId="0" xfId="29" applyNumberFormat="1" applyFont="1" applyFill="1" applyBorder="1" applyAlignment="1" applyProtection="1">
      <alignment horizontal="left" indent="1"/>
    </xf>
    <xf numFmtId="37" fontId="6" fillId="0" borderId="24" xfId="29" quotePrefix="1" applyNumberFormat="1" applyFont="1" applyFill="1" applyBorder="1" applyAlignment="1" applyProtection="1"/>
    <xf numFmtId="37" fontId="6" fillId="0" borderId="0" xfId="29" quotePrefix="1" applyNumberFormat="1" applyFont="1" applyFill="1" applyBorder="1" applyAlignment="1" applyProtection="1"/>
    <xf numFmtId="41" fontId="6" fillId="0" borderId="0" xfId="0" applyNumberFormat="1" applyFont="1" applyFill="1" applyBorder="1" applyAlignment="1" applyProtection="1">
      <alignment horizontal="right"/>
    </xf>
    <xf numFmtId="41" fontId="26" fillId="0" borderId="24" xfId="0" applyNumberFormat="1" applyFont="1" applyFill="1" applyBorder="1" applyAlignment="1" applyProtection="1">
      <alignment horizontal="right"/>
    </xf>
    <xf numFmtId="41" fontId="6" fillId="0" borderId="13" xfId="29" applyNumberFormat="1" applyFont="1" applyFill="1" applyBorder="1" applyProtection="1"/>
    <xf numFmtId="41" fontId="26" fillId="0" borderId="0" xfId="0" applyNumberFormat="1" applyFont="1" applyFill="1" applyBorder="1" applyAlignment="1" applyProtection="1">
      <alignment horizontal="right"/>
    </xf>
    <xf numFmtId="41" fontId="6" fillId="0" borderId="0" xfId="29" applyNumberFormat="1" applyFont="1" applyFill="1" applyBorder="1" applyProtection="1"/>
    <xf numFmtId="41" fontId="6" fillId="0" borderId="13" xfId="0" applyNumberFormat="1" applyFont="1" applyFill="1" applyBorder="1" applyAlignment="1" applyProtection="1">
      <alignment horizontal="right"/>
    </xf>
    <xf numFmtId="37" fontId="26" fillId="0" borderId="0" xfId="29" quotePrefix="1" applyNumberFormat="1" applyFont="1" applyFill="1" applyBorder="1" applyAlignment="1" applyProtection="1"/>
    <xf numFmtId="37" fontId="26" fillId="0" borderId="24" xfId="29" quotePrefix="1" applyNumberFormat="1" applyFont="1" applyFill="1" applyBorder="1" applyAlignment="1" applyProtection="1"/>
    <xf numFmtId="37" fontId="26" fillId="0" borderId="0" xfId="0" applyNumberFormat="1" applyFont="1" applyFill="1" applyBorder="1"/>
    <xf numFmtId="37" fontId="26" fillId="0" borderId="0" xfId="50" quotePrefix="1" applyNumberFormat="1" applyFont="1" applyFill="1" applyBorder="1" applyAlignment="1" applyProtection="1"/>
    <xf numFmtId="37" fontId="6" fillId="0" borderId="24" xfId="50" quotePrefix="1" applyNumberFormat="1" applyFont="1" applyFill="1" applyBorder="1" applyAlignment="1" applyProtection="1"/>
    <xf numFmtId="37" fontId="6" fillId="0" borderId="0" xfId="50" quotePrefix="1" applyNumberFormat="1" applyFont="1" applyFill="1" applyBorder="1" applyAlignment="1" applyProtection="1"/>
    <xf numFmtId="37" fontId="41" fillId="0" borderId="0" xfId="29" applyFont="1" applyFill="1" applyBorder="1" applyAlignment="1" applyProtection="1">
      <alignment horizontal="left"/>
    </xf>
    <xf numFmtId="166" fontId="47" fillId="0" borderId="0" xfId="29" applyNumberFormat="1" applyFont="1" applyFill="1" applyBorder="1" applyAlignment="1" applyProtection="1">
      <alignment horizontal="left"/>
    </xf>
    <xf numFmtId="166" fontId="26" fillId="0" borderId="13" xfId="30" applyNumberFormat="1" applyFont="1" applyFill="1" applyBorder="1" applyProtection="1"/>
    <xf numFmtId="166" fontId="26" fillId="0" borderId="0" xfId="30" applyNumberFormat="1" applyFont="1" applyFill="1" applyBorder="1" applyProtection="1"/>
    <xf numFmtId="166" fontId="26" fillId="0" borderId="13" xfId="30" quotePrefix="1" applyNumberFormat="1" applyFont="1" applyFill="1" applyBorder="1" applyAlignment="1" applyProtection="1"/>
    <xf numFmtId="166" fontId="6" fillId="0" borderId="24" xfId="30" applyNumberFormat="1" applyFont="1" applyFill="1" applyBorder="1" applyProtection="1"/>
    <xf numFmtId="166" fontId="6" fillId="0" borderId="24" xfId="0" applyNumberFormat="1" applyFont="1" applyFill="1" applyBorder="1" applyAlignment="1" applyProtection="1">
      <alignment horizontal="right"/>
    </xf>
    <xf numFmtId="166" fontId="6" fillId="0" borderId="13" xfId="29" applyNumberFormat="1" applyFont="1" applyFill="1" applyBorder="1" applyProtection="1"/>
    <xf numFmtId="166" fontId="6" fillId="0" borderId="13" xfId="0" applyNumberFormat="1" applyFont="1" applyFill="1" applyBorder="1" applyAlignment="1" applyProtection="1">
      <alignment horizontal="right"/>
    </xf>
    <xf numFmtId="166" fontId="6" fillId="0" borderId="0" xfId="30" quotePrefix="1" applyNumberFormat="1" applyFont="1" applyFill="1" applyBorder="1" applyAlignment="1" applyProtection="1"/>
    <xf numFmtId="5" fontId="39" fillId="0" borderId="0" xfId="30" applyFont="1" applyFill="1" applyBorder="1" applyAlignment="1" applyProtection="1">
      <alignment horizontal="left"/>
    </xf>
    <xf numFmtId="5" fontId="40" fillId="0" borderId="0" xfId="30" applyFont="1" applyFill="1" applyBorder="1" applyAlignment="1" applyProtection="1">
      <alignment horizontal="left"/>
    </xf>
    <xf numFmtId="183" fontId="39" fillId="0" borderId="0" xfId="30" applyNumberFormat="1" applyFont="1" applyFill="1" applyBorder="1" applyAlignment="1" applyProtection="1">
      <alignment horizontal="right"/>
    </xf>
    <xf numFmtId="168" fontId="39" fillId="0" borderId="0" xfId="30" applyNumberFormat="1" applyFont="1" applyFill="1" applyBorder="1" applyAlignment="1" applyProtection="1">
      <alignment horizontal="right"/>
    </xf>
    <xf numFmtId="168" fontId="39" fillId="0" borderId="0" xfId="30" applyNumberFormat="1" applyFont="1" applyFill="1" applyBorder="1" applyAlignment="1" applyProtection="1"/>
    <xf numFmtId="37" fontId="39" fillId="0" borderId="0" xfId="0" applyFont="1" applyBorder="1"/>
    <xf numFmtId="9" fontId="26" fillId="0" borderId="0" xfId="0" applyNumberFormat="1" applyFont="1" applyFill="1" applyBorder="1" applyAlignment="1" applyProtection="1">
      <alignment horizontal="right"/>
    </xf>
    <xf numFmtId="165" fontId="6" fillId="0" borderId="0" xfId="50" applyFont="1" applyFill="1" applyBorder="1" applyAlignment="1" applyProtection="1">
      <alignment horizontal="left"/>
    </xf>
    <xf numFmtId="165" fontId="8" fillId="0" borderId="0" xfId="50" applyFont="1" applyFill="1" applyBorder="1" applyAlignment="1" applyProtection="1">
      <alignment horizontal="left"/>
    </xf>
    <xf numFmtId="165" fontId="6" fillId="0" borderId="0" xfId="50" applyFont="1" applyFill="1" applyBorder="1" applyAlignment="1" applyProtection="1">
      <alignment horizontal="right"/>
    </xf>
    <xf numFmtId="165" fontId="26" fillId="0" borderId="0" xfId="50" applyFont="1" applyFill="1" applyBorder="1" applyAlignment="1" applyProtection="1">
      <alignment horizontal="right"/>
    </xf>
    <xf numFmtId="165" fontId="6" fillId="9" borderId="0" xfId="50" applyFont="1" applyFill="1" applyBorder="1"/>
    <xf numFmtId="165" fontId="39" fillId="0" borderId="0" xfId="50" applyFont="1" applyFill="1" applyBorder="1" applyAlignment="1" applyProtection="1">
      <alignment horizontal="right"/>
    </xf>
    <xf numFmtId="165" fontId="39" fillId="0" borderId="0" xfId="50" quotePrefix="1" applyFont="1" applyFill="1" applyBorder="1" applyAlignment="1" applyProtection="1"/>
    <xf numFmtId="165" fontId="39" fillId="9" borderId="0" xfId="50" applyFont="1" applyFill="1" applyBorder="1"/>
    <xf numFmtId="165" fontId="47" fillId="0" borderId="0" xfId="50" applyFont="1" applyFill="1" applyBorder="1" applyAlignment="1" applyProtection="1">
      <alignment horizontal="left"/>
    </xf>
    <xf numFmtId="165" fontId="41" fillId="9" borderId="0" xfId="50" applyFont="1" applyFill="1" applyBorder="1"/>
    <xf numFmtId="165" fontId="41" fillId="7" borderId="0" xfId="50" applyFont="1" applyFill="1" applyBorder="1"/>
    <xf numFmtId="165" fontId="45" fillId="0" borderId="0" xfId="0" applyNumberFormat="1" applyFont="1" applyFill="1" applyBorder="1"/>
    <xf numFmtId="9" fontId="26" fillId="0" borderId="13" xfId="0" applyNumberFormat="1" applyFont="1" applyFill="1" applyBorder="1" applyAlignment="1" applyProtection="1">
      <alignment horizontal="right"/>
    </xf>
    <xf numFmtId="165" fontId="26" fillId="0" borderId="13" xfId="0" applyNumberFormat="1" applyFont="1" applyFill="1" applyBorder="1" applyAlignment="1" applyProtection="1">
      <alignment horizontal="right"/>
    </xf>
    <xf numFmtId="165" fontId="26" fillId="0" borderId="0" xfId="0" applyNumberFormat="1" applyFont="1" applyFill="1" applyBorder="1" applyAlignment="1" applyProtection="1">
      <alignment horizontal="right"/>
    </xf>
    <xf numFmtId="166" fontId="26" fillId="0" borderId="24" xfId="50" applyNumberFormat="1" applyFont="1" applyFill="1" applyBorder="1" applyAlignment="1" applyProtection="1">
      <alignment horizontal="right"/>
    </xf>
    <xf numFmtId="166" fontId="26" fillId="0" borderId="0" xfId="50" applyNumberFormat="1" applyFont="1" applyFill="1" applyBorder="1" applyAlignment="1" applyProtection="1">
      <alignment horizontal="right"/>
    </xf>
    <xf numFmtId="166" fontId="26" fillId="0" borderId="13" xfId="50" applyNumberFormat="1" applyFont="1" applyFill="1" applyBorder="1" applyAlignment="1" applyProtection="1">
      <alignment horizontal="right"/>
    </xf>
    <xf numFmtId="5" fontId="8" fillId="0" borderId="24" xfId="30" applyNumberFormat="1" applyFont="1" applyFill="1" applyBorder="1" applyProtection="1"/>
    <xf numFmtId="5" fontId="8" fillId="0" borderId="17" xfId="30" applyNumberFormat="1" applyFont="1" applyFill="1" applyBorder="1" applyProtection="1"/>
    <xf numFmtId="5" fontId="8" fillId="0" borderId="13" xfId="30" applyNumberFormat="1" applyFont="1" applyFill="1" applyBorder="1" applyProtection="1"/>
    <xf numFmtId="5" fontId="8" fillId="0" borderId="0" xfId="30" applyFont="1" applyFill="1" applyBorder="1"/>
    <xf numFmtId="165" fontId="47" fillId="0" borderId="0" xfId="29" applyNumberFormat="1" applyFont="1" applyFill="1" applyBorder="1" applyAlignment="1" applyProtection="1">
      <alignment horizontal="left"/>
    </xf>
    <xf numFmtId="165" fontId="41" fillId="0" borderId="0" xfId="0" applyNumberFormat="1" applyFont="1" applyFill="1" applyBorder="1" applyAlignment="1" applyProtection="1">
      <alignment horizontal="right"/>
    </xf>
    <xf numFmtId="165" fontId="46" fillId="0" borderId="0" xfId="50" quotePrefix="1" applyNumberFormat="1" applyFont="1" applyFill="1" applyBorder="1" applyAlignment="1" applyProtection="1"/>
    <xf numFmtId="165" fontId="46" fillId="0" borderId="0" xfId="29" quotePrefix="1" applyNumberFormat="1" applyFont="1" applyFill="1" applyBorder="1" applyAlignment="1" applyProtection="1"/>
    <xf numFmtId="166" fontId="6" fillId="0" borderId="0" xfId="0" applyNumberFormat="1" applyFont="1" applyBorder="1" applyAlignment="1">
      <alignment horizontal="left" indent="1"/>
    </xf>
    <xf numFmtId="166" fontId="6" fillId="0" borderId="24" xfId="50" applyNumberFormat="1" applyFont="1" applyFill="1" applyBorder="1" applyProtection="1"/>
    <xf numFmtId="166" fontId="6" fillId="0" borderId="0" xfId="50" applyNumberFormat="1" applyFont="1" applyFill="1" applyBorder="1" applyProtection="1"/>
    <xf numFmtId="166" fontId="6" fillId="0" borderId="17" xfId="50" applyNumberFormat="1" applyFont="1" applyFill="1" applyBorder="1" applyProtection="1"/>
    <xf numFmtId="166" fontId="6" fillId="0" borderId="13" xfId="50" applyNumberFormat="1" applyFont="1" applyFill="1" applyBorder="1" applyProtection="1"/>
    <xf numFmtId="166" fontId="6" fillId="0" borderId="0" xfId="50" quotePrefix="1" applyNumberFormat="1" applyFont="1" applyFill="1" applyBorder="1" applyAlignment="1" applyProtection="1"/>
    <xf numFmtId="166" fontId="6" fillId="0" borderId="13" xfId="50" quotePrefix="1" applyNumberFormat="1" applyFont="1" applyFill="1" applyBorder="1" applyAlignment="1" applyProtection="1"/>
    <xf numFmtId="165" fontId="8" fillId="0" borderId="0" xfId="29" applyNumberFormat="1" applyFont="1" applyFill="1" applyBorder="1" applyAlignment="1" applyProtection="1">
      <alignment horizontal="left"/>
    </xf>
    <xf numFmtId="165" fontId="6" fillId="0" borderId="13" xfId="50" quotePrefix="1" applyFont="1" applyFill="1" applyBorder="1" applyAlignment="1" applyProtection="1"/>
    <xf numFmtId="165" fontId="6" fillId="0" borderId="0" xfId="0" applyNumberFormat="1" applyFont="1" applyFill="1" applyBorder="1" applyAlignment="1" applyProtection="1">
      <alignment horizontal="right"/>
    </xf>
    <xf numFmtId="165" fontId="45" fillId="0" borderId="0" xfId="50" quotePrefix="1" applyNumberFormat="1" applyFont="1" applyFill="1" applyBorder="1" applyAlignment="1" applyProtection="1"/>
    <xf numFmtId="165" fontId="45" fillId="0" borderId="0" xfId="29" quotePrefix="1" applyNumberFormat="1" applyFont="1" applyFill="1" applyBorder="1" applyAlignment="1" applyProtection="1"/>
    <xf numFmtId="165" fontId="6" fillId="9" borderId="0" xfId="0" applyNumberFormat="1" applyFont="1" applyFill="1" applyBorder="1"/>
    <xf numFmtId="165" fontId="6" fillId="7" borderId="0" xfId="0" applyNumberFormat="1" applyFont="1" applyFill="1" applyBorder="1"/>
    <xf numFmtId="9" fontId="26" fillId="0" borderId="13" xfId="30" quotePrefix="1" applyNumberFormat="1" applyFont="1" applyFill="1" applyBorder="1" applyAlignment="1" applyProtection="1"/>
    <xf numFmtId="9" fontId="26" fillId="0" borderId="0" xfId="30" quotePrefix="1" applyNumberFormat="1" applyFont="1" applyFill="1" applyBorder="1" applyAlignment="1" applyProtection="1"/>
    <xf numFmtId="165" fontId="26" fillId="0" borderId="0" xfId="30" quotePrefix="1" applyNumberFormat="1" applyFont="1" applyFill="1" applyBorder="1" applyAlignment="1" applyProtection="1"/>
    <xf numFmtId="183" fontId="6" fillId="0" borderId="13" xfId="29" quotePrefix="1" applyNumberFormat="1" applyFont="1" applyFill="1" applyBorder="1" applyAlignment="1" applyProtection="1"/>
    <xf numFmtId="41" fontId="6" fillId="0" borderId="14" xfId="29" quotePrefix="1" applyNumberFormat="1" applyFont="1" applyFill="1" applyBorder="1" applyAlignment="1" applyProtection="1"/>
    <xf numFmtId="41" fontId="6" fillId="0" borderId="16" xfId="29" quotePrefix="1" applyNumberFormat="1" applyFont="1" applyFill="1" applyBorder="1" applyAlignment="1" applyProtection="1"/>
    <xf numFmtId="41" fontId="6" fillId="0" borderId="13" xfId="29" quotePrefix="1" applyNumberFormat="1" applyFont="1" applyFill="1" applyBorder="1" applyAlignment="1" applyProtection="1"/>
    <xf numFmtId="41" fontId="6" fillId="0" borderId="0" xfId="29" quotePrefix="1" applyNumberFormat="1" applyFont="1" applyFill="1" applyBorder="1" applyAlignment="1" applyProtection="1"/>
    <xf numFmtId="41" fontId="6" fillId="0" borderId="24" xfId="29" quotePrefix="1" applyNumberFormat="1" applyFont="1" applyFill="1" applyBorder="1" applyAlignment="1" applyProtection="1"/>
    <xf numFmtId="37" fontId="6" fillId="0" borderId="0" xfId="29" applyFont="1" applyFill="1" applyBorder="1" applyAlignment="1" applyProtection="1"/>
    <xf numFmtId="9" fontId="6" fillId="0" borderId="0" xfId="29" applyNumberFormat="1" applyFont="1" applyFill="1" applyBorder="1" applyAlignment="1" applyProtection="1">
      <alignment horizontal="left"/>
    </xf>
    <xf numFmtId="9" fontId="6" fillId="0" borderId="0" xfId="0" applyNumberFormat="1" applyFont="1" applyFill="1" applyBorder="1" applyAlignment="1" applyProtection="1">
      <alignment horizontal="left"/>
    </xf>
    <xf numFmtId="9" fontId="26" fillId="0" borderId="0" xfId="50" quotePrefix="1" applyNumberFormat="1" applyFont="1" applyFill="1" applyBorder="1" applyAlignment="1" applyProtection="1"/>
    <xf numFmtId="165" fontId="26" fillId="0" borderId="0" xfId="50" quotePrefix="1" applyNumberFormat="1" applyFont="1" applyFill="1" applyBorder="1" applyAlignment="1" applyProtection="1"/>
    <xf numFmtId="165" fontId="26" fillId="0" borderId="24" xfId="29" quotePrefix="1" applyNumberFormat="1" applyFont="1" applyFill="1" applyBorder="1" applyAlignment="1" applyProtection="1"/>
    <xf numFmtId="165" fontId="26" fillId="0" borderId="0" xfId="29" quotePrefix="1" applyNumberFormat="1" applyFont="1" applyFill="1" applyBorder="1" applyAlignment="1" applyProtection="1"/>
    <xf numFmtId="165" fontId="6" fillId="0" borderId="13" xfId="50" applyNumberFormat="1" applyFont="1" applyFill="1" applyBorder="1" applyProtection="1"/>
    <xf numFmtId="165" fontId="26" fillId="0" borderId="13" xfId="50" applyNumberFormat="1" applyFont="1" applyFill="1" applyBorder="1" applyProtection="1"/>
    <xf numFmtId="165" fontId="50" fillId="0" borderId="0" xfId="29" quotePrefix="1" applyNumberFormat="1" applyFont="1" applyFill="1" applyBorder="1" applyAlignment="1" applyProtection="1"/>
    <xf numFmtId="165" fontId="6" fillId="0" borderId="0" xfId="50" applyNumberFormat="1" applyFont="1" applyFill="1" applyBorder="1" applyProtection="1"/>
    <xf numFmtId="165" fontId="6" fillId="0" borderId="13" xfId="29" quotePrefix="1" applyNumberFormat="1" applyFont="1" applyFill="1" applyBorder="1" applyAlignment="1" applyProtection="1"/>
    <xf numFmtId="165" fontId="6" fillId="0" borderId="0" xfId="29" quotePrefix="1" applyNumberFormat="1" applyFont="1" applyFill="1" applyBorder="1" applyAlignment="1" applyProtection="1"/>
    <xf numFmtId="9" fontId="6" fillId="0" borderId="0" xfId="0" applyNumberFormat="1" applyFont="1" applyFill="1" applyBorder="1"/>
    <xf numFmtId="168" fontId="6" fillId="0" borderId="24" xfId="30" applyNumberFormat="1" applyFont="1" applyFill="1" applyBorder="1" applyProtection="1"/>
    <xf numFmtId="168" fontId="6" fillId="0" borderId="17" xfId="30" applyNumberFormat="1" applyFont="1" applyFill="1" applyBorder="1" applyProtection="1"/>
    <xf numFmtId="168" fontId="6" fillId="0" borderId="13" xfId="30" applyNumberFormat="1" applyFont="1" applyFill="1" applyBorder="1" applyProtection="1"/>
    <xf numFmtId="5" fontId="6" fillId="0" borderId="0" xfId="29" applyNumberFormat="1" applyFont="1" applyFill="1" applyBorder="1" applyAlignment="1" applyProtection="1">
      <alignment horizontal="left"/>
    </xf>
    <xf numFmtId="5" fontId="6" fillId="0" borderId="0" xfId="0" applyNumberFormat="1" applyFont="1" applyFill="1" applyBorder="1" applyAlignment="1" applyProtection="1">
      <alignment horizontal="left"/>
    </xf>
    <xf numFmtId="5" fontId="26" fillId="0" borderId="0" xfId="50" quotePrefix="1" applyNumberFormat="1" applyFont="1" applyFill="1" applyBorder="1" applyAlignment="1" applyProtection="1"/>
    <xf numFmtId="5" fontId="6" fillId="0" borderId="0" xfId="30" applyNumberFormat="1" applyFont="1" applyFill="1" applyBorder="1" applyProtection="1"/>
    <xf numFmtId="5" fontId="6" fillId="0" borderId="13" xfId="30" applyNumberFormat="1" applyFont="1" applyFill="1" applyBorder="1" applyProtection="1"/>
    <xf numFmtId="5" fontId="45" fillId="0" borderId="0" xfId="30" quotePrefix="1" applyNumberFormat="1" applyFont="1" applyFill="1" applyBorder="1" applyAlignment="1" applyProtection="1"/>
    <xf numFmtId="5" fontId="6" fillId="9" borderId="0" xfId="0" applyNumberFormat="1" applyFont="1" applyFill="1" applyBorder="1"/>
    <xf numFmtId="5" fontId="6" fillId="0" borderId="0" xfId="0" applyNumberFormat="1" applyFont="1" applyBorder="1"/>
    <xf numFmtId="37" fontId="41" fillId="0" borderId="0" xfId="0" applyFont="1" applyFill="1" applyBorder="1" applyAlignment="1" applyProtection="1">
      <alignment horizontal="left"/>
    </xf>
    <xf numFmtId="39" fontId="26" fillId="0" borderId="13" xfId="29" quotePrefix="1" applyNumberFormat="1" applyFont="1" applyFill="1" applyBorder="1" applyAlignment="1" applyProtection="1"/>
    <xf numFmtId="9" fontId="26" fillId="0" borderId="0" xfId="29" quotePrefix="1" applyNumberFormat="1" applyFont="1" applyFill="1" applyBorder="1" applyAlignment="1" applyProtection="1"/>
    <xf numFmtId="10" fontId="26" fillId="0" borderId="0" xfId="29" quotePrefix="1" applyNumberFormat="1" applyFont="1" applyFill="1" applyBorder="1" applyAlignment="1" applyProtection="1"/>
    <xf numFmtId="2" fontId="26" fillId="0" borderId="13" xfId="29" quotePrefix="1" applyNumberFormat="1" applyFont="1" applyFill="1" applyBorder="1" applyAlignment="1" applyProtection="1"/>
    <xf numFmtId="2" fontId="26" fillId="0" borderId="0" xfId="29" quotePrefix="1" applyNumberFormat="1" applyFont="1" applyFill="1" applyBorder="1" applyAlignment="1" applyProtection="1"/>
    <xf numFmtId="183" fontId="26" fillId="0" borderId="0" xfId="30" applyNumberFormat="1" applyFont="1" applyFill="1" applyBorder="1" applyAlignment="1" applyProtection="1"/>
    <xf numFmtId="183" fontId="8" fillId="0" borderId="0" xfId="29" quotePrefix="1" applyNumberFormat="1" applyFont="1" applyFill="1" applyBorder="1" applyAlignment="1" applyProtection="1"/>
    <xf numFmtId="183" fontId="43" fillId="0" borderId="0" xfId="29" quotePrefix="1" applyNumberFormat="1" applyFont="1" applyFill="1" applyBorder="1" applyAlignment="1" applyProtection="1"/>
    <xf numFmtId="183" fontId="43" fillId="0" borderId="24" xfId="29" quotePrefix="1" applyNumberFormat="1" applyFont="1" applyFill="1" applyBorder="1" applyAlignment="1" applyProtection="1"/>
    <xf numFmtId="183" fontId="8" fillId="0" borderId="13" xfId="29" quotePrefix="1" applyNumberFormat="1" applyFont="1" applyFill="1" applyBorder="1" applyAlignment="1" applyProtection="1"/>
    <xf numFmtId="168" fontId="8" fillId="0" borderId="0" xfId="29" quotePrefix="1" applyNumberFormat="1" applyFont="1" applyFill="1" applyBorder="1" applyAlignment="1" applyProtection="1"/>
    <xf numFmtId="165" fontId="43" fillId="0" borderId="0" xfId="50" quotePrefix="1" applyFont="1" applyFill="1" applyBorder="1" applyAlignment="1" applyProtection="1"/>
    <xf numFmtId="166" fontId="26" fillId="0" borderId="0" xfId="29" applyNumberFormat="1" applyFont="1" applyFill="1" applyBorder="1" applyAlignment="1" applyProtection="1"/>
    <xf numFmtId="37" fontId="41" fillId="0" borderId="0" xfId="29" quotePrefix="1" applyFont="1" applyFill="1" applyBorder="1" applyAlignment="1" applyProtection="1"/>
    <xf numFmtId="166" fontId="6" fillId="0" borderId="0" xfId="0" applyNumberFormat="1" applyFont="1" applyFill="1" applyBorder="1" applyAlignment="1" applyProtection="1">
      <alignment horizontal="left"/>
    </xf>
    <xf numFmtId="166" fontId="26" fillId="0" borderId="0" xfId="50" quotePrefix="1" applyNumberFormat="1" applyFont="1" applyFill="1" applyBorder="1" applyAlignment="1" applyProtection="1"/>
    <xf numFmtId="168" fontId="26" fillId="0" borderId="0" xfId="29" applyNumberFormat="1" applyFont="1" applyFill="1" applyBorder="1" applyAlignment="1" applyProtection="1"/>
    <xf numFmtId="168" fontId="8" fillId="0" borderId="0" xfId="29" applyNumberFormat="1" applyFont="1" applyFill="1" applyBorder="1" applyAlignment="1" applyProtection="1">
      <alignment horizontal="left"/>
    </xf>
    <xf numFmtId="168" fontId="45" fillId="0" borderId="0" xfId="50" quotePrefix="1" applyNumberFormat="1" applyFont="1" applyFill="1" applyBorder="1" applyAlignment="1" applyProtection="1"/>
    <xf numFmtId="165" fontId="6" fillId="0" borderId="0" xfId="50" quotePrefix="1" applyNumberFormat="1" applyFont="1" applyFill="1" applyBorder="1" applyAlignment="1" applyProtection="1"/>
    <xf numFmtId="165" fontId="26" fillId="0" borderId="13" xfId="50" quotePrefix="1" applyNumberFormat="1" applyFont="1" applyFill="1" applyBorder="1" applyAlignment="1" applyProtection="1"/>
    <xf numFmtId="165" fontId="6" fillId="0" borderId="13" xfId="50" quotePrefix="1" applyNumberFormat="1" applyFont="1" applyFill="1" applyBorder="1" applyAlignment="1" applyProtection="1"/>
    <xf numFmtId="183" fontId="6" fillId="0" borderId="17" xfId="30" applyNumberFormat="1" applyFont="1" applyFill="1" applyBorder="1" applyProtection="1"/>
    <xf numFmtId="5" fontId="50" fillId="0" borderId="0" xfId="30" quotePrefix="1" applyFont="1" applyFill="1" applyBorder="1" applyAlignment="1" applyProtection="1"/>
    <xf numFmtId="166" fontId="6" fillId="0" borderId="0" xfId="30" applyNumberFormat="1" applyFont="1" applyFill="1" applyBorder="1" applyAlignment="1" applyProtection="1">
      <alignment horizontal="left"/>
    </xf>
    <xf numFmtId="183" fontId="26" fillId="0" borderId="0" xfId="29" applyNumberFormat="1" applyFont="1" applyFill="1" applyBorder="1" applyProtection="1">
      <protection locked="0"/>
    </xf>
    <xf numFmtId="183" fontId="6" fillId="0" borderId="24" xfId="50" applyNumberFormat="1" applyFont="1" applyFill="1" applyBorder="1" applyProtection="1">
      <protection locked="0"/>
    </xf>
    <xf numFmtId="183" fontId="6" fillId="0" borderId="0" xfId="50" applyNumberFormat="1" applyFont="1" applyFill="1" applyBorder="1" applyProtection="1">
      <protection locked="0"/>
    </xf>
    <xf numFmtId="183" fontId="6" fillId="0" borderId="17" xfId="50" applyNumberFormat="1" applyFont="1" applyFill="1" applyBorder="1" applyProtection="1">
      <protection locked="0"/>
    </xf>
    <xf numFmtId="183" fontId="6" fillId="0" borderId="13" xfId="50" applyNumberFormat="1" applyFont="1" applyFill="1" applyBorder="1" applyProtection="1">
      <protection locked="0"/>
    </xf>
    <xf numFmtId="166" fontId="50" fillId="0" borderId="0" xfId="50" applyNumberFormat="1" applyFont="1" applyFill="1" applyBorder="1" applyProtection="1">
      <protection locked="0"/>
    </xf>
    <xf numFmtId="165" fontId="6" fillId="0" borderId="0" xfId="0" applyNumberFormat="1" applyFont="1" applyFill="1" applyBorder="1" applyAlignment="1" applyProtection="1">
      <alignment horizontal="left"/>
    </xf>
    <xf numFmtId="165" fontId="26" fillId="0" borderId="24" xfId="50" quotePrefix="1" applyNumberFormat="1" applyFont="1" applyFill="1" applyBorder="1" applyAlignment="1" applyProtection="1"/>
    <xf numFmtId="165" fontId="6" fillId="0" borderId="0" xfId="30" quotePrefix="1" applyNumberFormat="1" applyFont="1" applyFill="1" applyBorder="1" applyAlignment="1" applyProtection="1"/>
    <xf numFmtId="165" fontId="6" fillId="0" borderId="0" xfId="0" applyNumberFormat="1" applyFont="1" applyBorder="1"/>
    <xf numFmtId="165" fontId="6" fillId="0" borderId="0" xfId="0" applyNumberFormat="1" applyFont="1" applyFill="1" applyBorder="1"/>
    <xf numFmtId="168" fontId="50" fillId="0" borderId="0" xfId="30" quotePrefix="1" applyNumberFormat="1" applyFont="1" applyFill="1" applyBorder="1" applyAlignment="1" applyProtection="1"/>
    <xf numFmtId="10" fontId="26" fillId="0" borderId="0" xfId="50" applyNumberFormat="1" applyFont="1" applyFill="1" applyBorder="1" applyAlignment="1" applyProtection="1"/>
    <xf numFmtId="168" fontId="6" fillId="0" borderId="0" xfId="0" applyNumberFormat="1" applyFont="1" applyFill="1" applyBorder="1"/>
    <xf numFmtId="166" fontId="45" fillId="0" borderId="0" xfId="30" quotePrefix="1" applyNumberFormat="1" applyFont="1" applyFill="1" applyBorder="1" applyAlignment="1" applyProtection="1"/>
    <xf numFmtId="165" fontId="41" fillId="0" borderId="0" xfId="50" quotePrefix="1" applyNumberFormat="1" applyFont="1" applyFill="1" applyBorder="1" applyAlignment="1" applyProtection="1"/>
    <xf numFmtId="165" fontId="41" fillId="0" borderId="24" xfId="50" quotePrefix="1" applyNumberFormat="1" applyFont="1" applyFill="1" applyBorder="1" applyAlignment="1" applyProtection="1"/>
    <xf numFmtId="165" fontId="41" fillId="0" borderId="13" xfId="50" quotePrefix="1" applyNumberFormat="1" applyFont="1" applyFill="1" applyBorder="1" applyAlignment="1" applyProtection="1"/>
    <xf numFmtId="9" fontId="46" fillId="0" borderId="0" xfId="50" quotePrefix="1" applyNumberFormat="1" applyFont="1" applyFill="1" applyBorder="1" applyAlignment="1" applyProtection="1"/>
    <xf numFmtId="165" fontId="42" fillId="0" borderId="24" xfId="50" quotePrefix="1" applyNumberFormat="1" applyFont="1" applyFill="1" applyBorder="1" applyAlignment="1" applyProtection="1"/>
    <xf numFmtId="9" fontId="42" fillId="0" borderId="0" xfId="50" quotePrefix="1" applyNumberFormat="1" applyFont="1" applyFill="1" applyBorder="1" applyAlignment="1" applyProtection="1"/>
    <xf numFmtId="165" fontId="42" fillId="0" borderId="0" xfId="50" quotePrefix="1" applyNumberFormat="1" applyFont="1" applyFill="1" applyBorder="1" applyAlignment="1" applyProtection="1"/>
    <xf numFmtId="9" fontId="42" fillId="0" borderId="13" xfId="50" quotePrefix="1" applyNumberFormat="1" applyFont="1" applyFill="1" applyBorder="1" applyAlignment="1" applyProtection="1"/>
    <xf numFmtId="166" fontId="42" fillId="0" borderId="0" xfId="30" quotePrefix="1" applyNumberFormat="1" applyFont="1" applyFill="1" applyBorder="1" applyAlignment="1" applyProtection="1"/>
    <xf numFmtId="183" fontId="6" fillId="0" borderId="17" xfId="30" quotePrefix="1" applyNumberFormat="1" applyFont="1" applyFill="1" applyBorder="1" applyAlignment="1" applyProtection="1"/>
    <xf numFmtId="180" fontId="6" fillId="9" borderId="0" xfId="0" applyNumberFormat="1" applyFont="1" applyFill="1" applyBorder="1"/>
    <xf numFmtId="37" fontId="43" fillId="0" borderId="0" xfId="0" applyFont="1" applyFill="1" applyBorder="1" applyProtection="1"/>
    <xf numFmtId="167" fontId="26" fillId="0" borderId="0" xfId="0" applyNumberFormat="1" applyFont="1" applyFill="1" applyBorder="1" applyProtection="1"/>
    <xf numFmtId="167" fontId="26" fillId="0" borderId="13" xfId="0" applyNumberFormat="1" applyFont="1" applyFill="1" applyBorder="1" applyProtection="1"/>
    <xf numFmtId="5" fontId="6" fillId="0" borderId="0" xfId="30" applyFont="1" applyFill="1" applyBorder="1" applyAlignment="1" applyProtection="1">
      <alignment horizontal="left" indent="1"/>
    </xf>
    <xf numFmtId="5" fontId="6" fillId="0" borderId="0" xfId="30" applyFont="1" applyFill="1" applyBorder="1" applyAlignment="1" applyProtection="1">
      <alignment horizontal="left"/>
    </xf>
    <xf numFmtId="37" fontId="6" fillId="0" borderId="0" xfId="29" applyFont="1" applyFill="1" applyBorder="1"/>
    <xf numFmtId="37" fontId="26" fillId="0" borderId="0" xfId="29" applyFont="1" applyFill="1" applyBorder="1" applyProtection="1">
      <protection locked="0"/>
    </xf>
    <xf numFmtId="183" fontId="49" fillId="0" borderId="0" xfId="0" applyNumberFormat="1" applyFont="1" applyFill="1" applyBorder="1"/>
    <xf numFmtId="183" fontId="49" fillId="0" borderId="0" xfId="29" applyNumberFormat="1" applyFont="1" applyFill="1" applyBorder="1"/>
    <xf numFmtId="184" fontId="26" fillId="0" borderId="0" xfId="0" applyNumberFormat="1" applyFont="1" applyFill="1" applyBorder="1" applyProtection="1"/>
    <xf numFmtId="168" fontId="6" fillId="0" borderId="0" xfId="0" applyNumberFormat="1" applyFont="1" applyFill="1" applyBorder="1" applyAlignment="1" applyProtection="1">
      <alignment horizontal="left"/>
    </xf>
    <xf numFmtId="168" fontId="50" fillId="0" borderId="0" xfId="0" applyNumberFormat="1" applyFont="1" applyFill="1" applyBorder="1"/>
    <xf numFmtId="166" fontId="6" fillId="0" borderId="0" xfId="30" applyNumberFormat="1" applyFont="1" applyFill="1" applyBorder="1" applyProtection="1"/>
    <xf numFmtId="183" fontId="26" fillId="0" borderId="13" xfId="30" applyNumberFormat="1" applyFont="1" applyFill="1" applyBorder="1"/>
    <xf numFmtId="168" fontId="50" fillId="0" borderId="0" xfId="30" applyNumberFormat="1" applyFont="1" applyFill="1" applyBorder="1"/>
    <xf numFmtId="166" fontId="6" fillId="0" borderId="13" xfId="30" applyNumberFormat="1" applyFont="1" applyFill="1" applyBorder="1" applyProtection="1"/>
    <xf numFmtId="166" fontId="6" fillId="9" borderId="0" xfId="30" applyNumberFormat="1" applyFont="1" applyFill="1" applyBorder="1"/>
    <xf numFmtId="183" fontId="39" fillId="0" borderId="0" xfId="0" applyNumberFormat="1" applyFont="1" applyFill="1" applyBorder="1"/>
    <xf numFmtId="169" fontId="43" fillId="0" borderId="0" xfId="0" applyNumberFormat="1" applyFont="1" applyFill="1" applyBorder="1" applyProtection="1"/>
    <xf numFmtId="37" fontId="43" fillId="0" borderId="0" xfId="0" applyFont="1" applyFill="1" applyBorder="1" applyAlignment="1" applyProtection="1">
      <alignment horizontal="centerContinuous"/>
    </xf>
    <xf numFmtId="168" fontId="50" fillId="0" borderId="0" xfId="30" applyNumberFormat="1" applyFont="1" applyFill="1" applyBorder="1" applyAlignment="1" applyProtection="1">
      <alignment horizontal="left"/>
    </xf>
    <xf numFmtId="183" fontId="26" fillId="0" borderId="13" xfId="50" applyNumberFormat="1" applyFont="1" applyFill="1" applyBorder="1" applyProtection="1"/>
    <xf numFmtId="183" fontId="26" fillId="0" borderId="13" xfId="29" applyNumberFormat="1" applyFont="1" applyFill="1" applyBorder="1" applyProtection="1"/>
    <xf numFmtId="166" fontId="6" fillId="0" borderId="0" xfId="29" applyNumberFormat="1" applyFont="1" applyFill="1" applyBorder="1"/>
    <xf numFmtId="37" fontId="52" fillId="0" borderId="0" xfId="0" applyFont="1" applyFill="1" applyBorder="1" applyAlignment="1" applyProtection="1">
      <alignment horizontal="left"/>
    </xf>
    <xf numFmtId="168" fontId="6" fillId="0" borderId="0" xfId="29" applyNumberFormat="1" applyFont="1" applyFill="1" applyBorder="1" applyAlignment="1" applyProtection="1">
      <alignment horizontal="left" indent="1"/>
    </xf>
    <xf numFmtId="168" fontId="6" fillId="0" borderId="0" xfId="29" applyNumberFormat="1" applyFont="1" applyFill="1" applyBorder="1"/>
    <xf numFmtId="168" fontId="6" fillId="9" borderId="0" xfId="29" applyNumberFormat="1" applyFont="1" applyFill="1" applyBorder="1"/>
    <xf numFmtId="39" fontId="43" fillId="0" borderId="0" xfId="0" applyNumberFormat="1" applyFont="1" applyFill="1" applyBorder="1" applyProtection="1"/>
    <xf numFmtId="178" fontId="26" fillId="0" borderId="24" xfId="50" applyNumberFormat="1" applyFont="1" applyFill="1" applyBorder="1" applyProtection="1"/>
    <xf numFmtId="178" fontId="26" fillId="0" borderId="0" xfId="50" applyNumberFormat="1" applyFont="1" applyFill="1" applyBorder="1" applyProtection="1"/>
    <xf numFmtId="178" fontId="6" fillId="0" borderId="13" xfId="0" applyNumberFormat="1" applyFont="1" applyFill="1" applyBorder="1" applyProtection="1"/>
    <xf numFmtId="178" fontId="26" fillId="0" borderId="0" xfId="50" applyNumberFormat="1" applyFont="1" applyFill="1"/>
    <xf numFmtId="178" fontId="6" fillId="0" borderId="0" xfId="50" applyNumberFormat="1" applyFont="1" applyFill="1" applyBorder="1" applyProtection="1"/>
    <xf numFmtId="178" fontId="6" fillId="0" borderId="24" xfId="0" applyNumberFormat="1" applyFont="1" applyFill="1" applyBorder="1" applyProtection="1"/>
    <xf numFmtId="178" fontId="6" fillId="0" borderId="0" xfId="0" applyNumberFormat="1" applyFont="1" applyFill="1" applyBorder="1" applyProtection="1"/>
    <xf numFmtId="10" fontId="26" fillId="0" borderId="0" xfId="50" applyNumberFormat="1" applyFont="1" applyFill="1" applyBorder="1" applyProtection="1"/>
    <xf numFmtId="168" fontId="6" fillId="0" borderId="0" xfId="29" applyNumberFormat="1" applyFont="1" applyFill="1" applyBorder="1" applyProtection="1"/>
    <xf numFmtId="168" fontId="18" fillId="0" borderId="0" xfId="0" applyNumberFormat="1" applyFont="1" applyBorder="1"/>
    <xf numFmtId="165" fontId="50" fillId="0" borderId="0" xfId="50" applyFont="1" applyFill="1" applyBorder="1" applyProtection="1"/>
    <xf numFmtId="166" fontId="50" fillId="0" borderId="0" xfId="29" applyNumberFormat="1" applyFont="1" applyFill="1" applyBorder="1" applyProtection="1"/>
    <xf numFmtId="37" fontId="6" fillId="0" borderId="24" xfId="0" applyFont="1" applyFill="1" applyBorder="1" applyProtection="1"/>
    <xf numFmtId="166" fontId="26" fillId="0" borderId="24" xfId="50" applyNumberFormat="1" applyFont="1" applyFill="1" applyBorder="1" applyProtection="1">
      <protection locked="0"/>
    </xf>
    <xf numFmtId="166" fontId="26" fillId="0" borderId="0" xfId="50" applyNumberFormat="1" applyFont="1" applyFill="1" applyBorder="1" applyProtection="1">
      <protection locked="0"/>
    </xf>
    <xf numFmtId="166" fontId="26" fillId="0" borderId="13" xfId="50" applyNumberFormat="1" applyFont="1" applyFill="1" applyBorder="1" applyProtection="1">
      <protection locked="0"/>
    </xf>
    <xf numFmtId="166" fontId="6" fillId="0" borderId="0" xfId="29" quotePrefix="1" applyNumberFormat="1" applyFont="1" applyFill="1" applyBorder="1" applyAlignment="1" applyProtection="1"/>
    <xf numFmtId="183" fontId="6" fillId="0" borderId="13" xfId="30" applyNumberFormat="1" applyFont="1" applyFill="1" applyBorder="1" applyProtection="1">
      <protection locked="0"/>
    </xf>
    <xf numFmtId="183" fontId="6" fillId="0" borderId="0" xfId="30" applyNumberFormat="1" applyFont="1" applyFill="1" applyBorder="1" applyProtection="1">
      <protection locked="0"/>
    </xf>
    <xf numFmtId="168" fontId="6" fillId="0" borderId="0" xfId="30" applyNumberFormat="1" applyFont="1" applyFill="1" applyBorder="1" applyProtection="1">
      <protection locked="0"/>
    </xf>
    <xf numFmtId="166" fontId="6" fillId="0" borderId="0" xfId="29" applyNumberFormat="1" applyFont="1" applyFill="1" applyBorder="1" applyProtection="1">
      <protection locked="0"/>
    </xf>
    <xf numFmtId="166" fontId="50" fillId="0" borderId="0" xfId="29" applyNumberFormat="1" applyFont="1" applyFill="1" applyBorder="1" applyProtection="1">
      <protection locked="0"/>
    </xf>
    <xf numFmtId="166" fontId="26" fillId="0" borderId="0" xfId="30" applyNumberFormat="1" applyFont="1" applyFill="1" applyBorder="1" applyProtection="1">
      <protection locked="0"/>
    </xf>
    <xf numFmtId="37" fontId="26" fillId="0" borderId="24" xfId="0" applyNumberFormat="1" applyFont="1" applyFill="1" applyBorder="1" applyProtection="1"/>
    <xf numFmtId="37" fontId="26" fillId="0" borderId="0" xfId="0" applyNumberFormat="1" applyFont="1" applyFill="1" applyBorder="1" applyProtection="1"/>
    <xf numFmtId="37" fontId="26" fillId="0" borderId="13" xfId="0" applyNumberFormat="1" applyFont="1" applyFill="1" applyBorder="1" applyProtection="1"/>
    <xf numFmtId="37" fontId="26" fillId="0" borderId="0" xfId="0" applyNumberFormat="1" applyFont="1" applyFill="1" applyBorder="1" applyProtection="1">
      <protection locked="0"/>
    </xf>
    <xf numFmtId="37" fontId="26" fillId="0" borderId="13" xfId="0" applyNumberFormat="1" applyFont="1" applyFill="1" applyBorder="1" applyProtection="1">
      <protection locked="0"/>
    </xf>
    <xf numFmtId="165" fontId="18" fillId="0" borderId="0" xfId="50" applyFont="1" applyFill="1" applyBorder="1"/>
    <xf numFmtId="166" fontId="8" fillId="0" borderId="0" xfId="0" applyNumberFormat="1" applyFont="1" applyFill="1" applyBorder="1"/>
    <xf numFmtId="166" fontId="8" fillId="0" borderId="13" xfId="0" applyNumberFormat="1" applyFont="1" applyFill="1" applyBorder="1"/>
    <xf numFmtId="166" fontId="8" fillId="0" borderId="24" xfId="0" applyNumberFormat="1" applyFont="1" applyFill="1" applyBorder="1"/>
    <xf numFmtId="166" fontId="8" fillId="0" borderId="0" xfId="0" applyNumberFormat="1" applyFont="1" applyBorder="1"/>
    <xf numFmtId="37" fontId="8" fillId="0" borderId="13" xfId="0" applyFont="1" applyFill="1" applyBorder="1"/>
    <xf numFmtId="37" fontId="8" fillId="0" borderId="24" xfId="0" applyFont="1" applyFill="1" applyBorder="1"/>
    <xf numFmtId="166" fontId="6" fillId="0" borderId="13" xfId="0" applyNumberFormat="1" applyFont="1" applyFill="1" applyBorder="1"/>
    <xf numFmtId="166" fontId="6" fillId="0" borderId="24" xfId="0" applyNumberFormat="1" applyFont="1" applyFill="1" applyBorder="1"/>
    <xf numFmtId="185" fontId="6" fillId="0" borderId="13" xfId="0" applyNumberFormat="1" applyFont="1" applyFill="1" applyBorder="1" applyAlignment="1" applyProtection="1">
      <alignment horizontal="right"/>
    </xf>
    <xf numFmtId="185" fontId="6" fillId="0" borderId="0" xfId="0" applyNumberFormat="1" applyFont="1" applyFill="1" applyBorder="1" applyAlignment="1" applyProtection="1">
      <alignment horizontal="right"/>
    </xf>
    <xf numFmtId="39" fontId="6" fillId="0" borderId="13" xfId="0" applyNumberFormat="1" applyFont="1" applyFill="1" applyBorder="1" applyAlignment="1" applyProtection="1">
      <alignment horizontal="right"/>
    </xf>
    <xf numFmtId="39" fontId="6" fillId="0" borderId="0" xfId="0" applyNumberFormat="1" applyFont="1" applyFill="1" applyBorder="1" applyAlignment="1" applyProtection="1">
      <alignment horizontal="right"/>
    </xf>
    <xf numFmtId="175" fontId="6" fillId="0" borderId="0" xfId="0" applyNumberFormat="1" applyFont="1" applyFill="1" applyBorder="1" applyAlignment="1" applyProtection="1">
      <alignment horizontal="right"/>
    </xf>
    <xf numFmtId="175" fontId="26" fillId="0" borderId="13" xfId="0" applyNumberFormat="1" applyFont="1" applyFill="1" applyBorder="1" applyAlignment="1" applyProtection="1">
      <alignment horizontal="right"/>
    </xf>
    <xf numFmtId="175" fontId="26" fillId="0" borderId="0" xfId="0" applyNumberFormat="1" applyFont="1" applyFill="1" applyBorder="1" applyAlignment="1" applyProtection="1">
      <alignment horizontal="right"/>
    </xf>
    <xf numFmtId="166" fontId="50" fillId="0" borderId="0" xfId="0" applyNumberFormat="1" applyFont="1" applyFill="1" applyBorder="1" applyAlignment="1" applyProtection="1">
      <alignment horizontal="right"/>
    </xf>
    <xf numFmtId="180" fontId="8" fillId="0" borderId="0" xfId="30" applyNumberFormat="1" applyFont="1" applyFill="1" applyBorder="1" applyAlignment="1" applyProtection="1">
      <alignment horizontal="left"/>
    </xf>
    <xf numFmtId="180" fontId="6" fillId="0" borderId="24" xfId="0" applyNumberFormat="1" applyFont="1" applyFill="1" applyBorder="1" applyAlignment="1" applyProtection="1">
      <alignment horizontal="right"/>
    </xf>
    <xf numFmtId="180" fontId="6" fillId="0" borderId="0" xfId="0" applyNumberFormat="1" applyFont="1" applyFill="1" applyBorder="1" applyAlignment="1" applyProtection="1">
      <alignment horizontal="right"/>
    </xf>
    <xf numFmtId="180" fontId="6" fillId="0" borderId="13" xfId="0" applyNumberFormat="1" applyFont="1" applyFill="1" applyBorder="1" applyAlignment="1" applyProtection="1">
      <alignment horizontal="right"/>
    </xf>
    <xf numFmtId="180" fontId="26" fillId="0" borderId="0" xfId="0" applyNumberFormat="1" applyFont="1" applyFill="1" applyBorder="1" applyAlignment="1" applyProtection="1">
      <alignment horizontal="right"/>
    </xf>
    <xf numFmtId="180" fontId="26" fillId="0" borderId="13" xfId="0" applyNumberFormat="1" applyFont="1" applyFill="1" applyBorder="1" applyAlignment="1" applyProtection="1">
      <alignment horizontal="right"/>
    </xf>
    <xf numFmtId="180" fontId="6" fillId="0" borderId="0" xfId="0" applyNumberFormat="1" applyFont="1" applyFill="1" applyBorder="1" applyProtection="1"/>
    <xf numFmtId="5" fontId="47" fillId="0" borderId="0" xfId="30" applyFont="1" applyFill="1" applyBorder="1" applyAlignment="1" applyProtection="1">
      <alignment horizontal="left"/>
    </xf>
    <xf numFmtId="166" fontId="41" fillId="0" borderId="24" xfId="0" applyNumberFormat="1" applyFont="1" applyFill="1" applyBorder="1" applyAlignment="1" applyProtection="1">
      <alignment horizontal="right"/>
    </xf>
    <xf numFmtId="166" fontId="41" fillId="0" borderId="0" xfId="0" applyNumberFormat="1" applyFont="1" applyFill="1" applyBorder="1" applyAlignment="1" applyProtection="1">
      <alignment horizontal="right"/>
    </xf>
    <xf numFmtId="166" fontId="41" fillId="0" borderId="13" xfId="0" applyNumberFormat="1" applyFont="1" applyFill="1" applyBorder="1" applyAlignment="1" applyProtection="1">
      <alignment horizontal="right"/>
    </xf>
    <xf numFmtId="175" fontId="41" fillId="0" borderId="0" xfId="0" applyNumberFormat="1" applyFont="1" applyFill="1" applyBorder="1" applyAlignment="1" applyProtection="1">
      <alignment horizontal="right"/>
    </xf>
    <xf numFmtId="37" fontId="45" fillId="0" borderId="0" xfId="0" applyFont="1" applyFill="1" applyBorder="1"/>
    <xf numFmtId="1" fontId="8" fillId="7" borderId="19" xfId="0" applyNumberFormat="1" applyFont="1" applyFill="1" applyBorder="1" applyAlignment="1" applyProtection="1">
      <alignment horizontal="right"/>
    </xf>
    <xf numFmtId="173" fontId="6" fillId="0" borderId="0" xfId="29" quotePrefix="1" applyNumberFormat="1" applyFont="1" applyFill="1" applyBorder="1" applyAlignment="1" applyProtection="1"/>
    <xf numFmtId="1" fontId="8" fillId="7" borderId="21" xfId="0" applyNumberFormat="1" applyFont="1" applyFill="1" applyBorder="1" applyAlignment="1" applyProtection="1">
      <alignment horizontal="right"/>
    </xf>
    <xf numFmtId="37" fontId="8" fillId="7" borderId="11" xfId="0" applyFont="1" applyFill="1" applyBorder="1" applyAlignment="1" applyProtection="1">
      <alignment horizontal="left"/>
    </xf>
    <xf numFmtId="166" fontId="39" fillId="0" borderId="0" xfId="29" applyNumberFormat="1" applyFont="1" applyBorder="1" applyAlignment="1" applyProtection="1">
      <alignment horizontal="left"/>
    </xf>
    <xf numFmtId="166" fontId="6" fillId="0" borderId="0" xfId="0" applyNumberFormat="1" applyFont="1" applyBorder="1" applyAlignment="1" applyProtection="1">
      <alignment horizontal="left"/>
    </xf>
    <xf numFmtId="166" fontId="39" fillId="0" borderId="0" xfId="44" applyNumberFormat="1" applyFont="1" applyBorder="1" applyAlignment="1">
      <alignment horizontal="left"/>
    </xf>
    <xf numFmtId="168" fontId="6" fillId="0" borderId="0" xfId="0" applyNumberFormat="1" applyFont="1" applyFill="1" applyBorder="1" applyAlignment="1" applyProtection="1"/>
    <xf numFmtId="168" fontId="6" fillId="0" borderId="13" xfId="0" applyNumberFormat="1" applyFont="1" applyFill="1" applyBorder="1" applyAlignment="1" applyProtection="1"/>
    <xf numFmtId="37" fontId="8" fillId="0" borderId="14" xfId="0" applyFont="1" applyBorder="1" applyAlignment="1" applyProtection="1">
      <alignment horizontal="left"/>
    </xf>
    <xf numFmtId="37" fontId="41" fillId="0" borderId="16" xfId="0" applyFont="1" applyFill="1" applyBorder="1" applyAlignment="1" applyProtection="1">
      <alignment horizontal="centerContinuous"/>
    </xf>
    <xf numFmtId="165" fontId="26" fillId="0" borderId="14" xfId="50" applyFont="1" applyFill="1" applyBorder="1" applyAlignment="1" applyProtection="1"/>
    <xf numFmtId="165" fontId="26" fillId="0" borderId="16" xfId="50" applyFont="1" applyFill="1" applyBorder="1" applyAlignment="1" applyProtection="1"/>
    <xf numFmtId="165" fontId="26" fillId="0" borderId="25" xfId="50" applyFont="1" applyFill="1" applyBorder="1" applyAlignment="1" applyProtection="1"/>
    <xf numFmtId="37" fontId="6" fillId="0" borderId="24" xfId="0" applyFont="1" applyBorder="1" applyAlignment="1" applyProtection="1">
      <alignment horizontal="left"/>
    </xf>
    <xf numFmtId="37" fontId="8" fillId="7" borderId="23" xfId="0" applyFont="1" applyFill="1" applyBorder="1" applyAlignment="1" applyProtection="1"/>
    <xf numFmtId="37" fontId="8" fillId="7" borderId="21" xfId="0" applyFont="1" applyFill="1" applyBorder="1" applyAlignment="1" applyProtection="1">
      <alignment horizontal="left"/>
    </xf>
    <xf numFmtId="1" fontId="8" fillId="7" borderId="23" xfId="0" applyNumberFormat="1" applyFont="1" applyFill="1" applyBorder="1" applyAlignment="1" applyProtection="1">
      <alignment horizontal="right"/>
    </xf>
    <xf numFmtId="37" fontId="8" fillId="0" borderId="24" xfId="0" applyFont="1" applyFill="1" applyBorder="1" applyAlignment="1" applyProtection="1"/>
    <xf numFmtId="37" fontId="8" fillId="0" borderId="24" xfId="0" applyFont="1" applyFill="1" applyBorder="1" applyAlignment="1" applyProtection="1">
      <alignment horizontal="left"/>
    </xf>
    <xf numFmtId="168" fontId="6" fillId="0" borderId="13" xfId="0" applyNumberFormat="1" applyFont="1" applyFill="1" applyBorder="1" applyProtection="1"/>
    <xf numFmtId="168" fontId="8" fillId="0" borderId="11" xfId="30" applyNumberFormat="1" applyFont="1" applyFill="1" applyBorder="1" applyProtection="1"/>
    <xf numFmtId="168" fontId="8" fillId="0" borderId="10" xfId="30" applyNumberFormat="1" applyFont="1" applyFill="1" applyBorder="1" applyProtection="1"/>
    <xf numFmtId="37" fontId="6" fillId="0" borderId="24" xfId="0" applyFont="1" applyFill="1" applyBorder="1" applyAlignment="1" applyProtection="1">
      <alignment horizontal="left"/>
    </xf>
    <xf numFmtId="7" fontId="6" fillId="0" borderId="24" xfId="30" applyNumberFormat="1" applyFont="1" applyFill="1" applyBorder="1" applyProtection="1"/>
    <xf numFmtId="7" fontId="6" fillId="0" borderId="0" xfId="30" applyNumberFormat="1" applyFont="1" applyFill="1" applyBorder="1" applyProtection="1"/>
    <xf numFmtId="7" fontId="6" fillId="0" borderId="13" xfId="30" applyNumberFormat="1" applyFont="1" applyFill="1" applyBorder="1" applyProtection="1"/>
    <xf numFmtId="37" fontId="6" fillId="0" borderId="21" xfId="0" applyFont="1" applyFill="1" applyBorder="1" applyAlignment="1" applyProtection="1">
      <alignment horizontal="left"/>
    </xf>
    <xf numFmtId="5" fontId="8" fillId="0" borderId="9" xfId="30" applyFont="1" applyFill="1" applyBorder="1" applyAlignment="1" applyProtection="1">
      <alignment horizontal="left"/>
    </xf>
    <xf numFmtId="5" fontId="6" fillId="0" borderId="10" xfId="30" applyFont="1" applyFill="1" applyBorder="1" applyAlignment="1" applyProtection="1">
      <alignment horizontal="left"/>
    </xf>
    <xf numFmtId="183" fontId="6" fillId="0" borderId="9" xfId="30" applyNumberFormat="1" applyFont="1" applyFill="1" applyBorder="1" applyProtection="1"/>
    <xf numFmtId="183" fontId="6" fillId="0" borderId="10" xfId="30" applyNumberFormat="1" applyFont="1" applyFill="1" applyBorder="1" applyProtection="1"/>
    <xf numFmtId="183" fontId="6" fillId="0" borderId="11" xfId="30" applyNumberFormat="1" applyFont="1" applyFill="1" applyBorder="1" applyProtection="1"/>
    <xf numFmtId="37" fontId="6" fillId="0" borderId="10" xfId="0" applyFont="1" applyFill="1" applyBorder="1" applyAlignment="1" applyProtection="1">
      <alignment horizontal="left"/>
    </xf>
    <xf numFmtId="5" fontId="8" fillId="0" borderId="10" xfId="30" applyFont="1" applyFill="1" applyBorder="1" applyAlignment="1" applyProtection="1">
      <alignment horizontal="left"/>
    </xf>
    <xf numFmtId="5" fontId="6" fillId="0" borderId="24" xfId="30" applyFont="1" applyFill="1" applyBorder="1" applyAlignment="1" applyProtection="1">
      <alignment horizontal="left"/>
    </xf>
    <xf numFmtId="37" fontId="6" fillId="0" borderId="24" xfId="29" applyFont="1" applyFill="1" applyBorder="1" applyAlignment="1" applyProtection="1">
      <alignment horizontal="left"/>
    </xf>
    <xf numFmtId="5" fontId="6" fillId="0" borderId="24" xfId="30" applyFont="1" applyFill="1" applyBorder="1" applyAlignment="1" applyProtection="1">
      <alignment horizontal="left" indent="1"/>
    </xf>
    <xf numFmtId="166" fontId="6" fillId="0" borderId="24" xfId="30" applyNumberFormat="1" applyFont="1" applyFill="1" applyBorder="1" applyAlignment="1" applyProtection="1">
      <alignment horizontal="left"/>
    </xf>
    <xf numFmtId="5" fontId="8" fillId="0" borderId="23" xfId="30" applyFont="1" applyFill="1" applyBorder="1" applyAlignment="1" applyProtection="1">
      <alignment horizontal="left"/>
    </xf>
    <xf numFmtId="168" fontId="8" fillId="0" borderId="19" xfId="30" applyNumberFormat="1" applyFont="1" applyFill="1" applyBorder="1" applyProtection="1"/>
    <xf numFmtId="168" fontId="8" fillId="0" borderId="21" xfId="30" applyNumberFormat="1" applyFont="1" applyFill="1" applyBorder="1" applyProtection="1"/>
    <xf numFmtId="5" fontId="6" fillId="0" borderId="24" xfId="30" applyFont="1" applyFill="1" applyBorder="1" applyAlignment="1" applyProtection="1"/>
    <xf numFmtId="5" fontId="8" fillId="0" borderId="24" xfId="30" applyFont="1" applyFill="1" applyBorder="1" applyAlignment="1" applyProtection="1">
      <alignment horizontal="left"/>
    </xf>
    <xf numFmtId="37" fontId="40" fillId="0" borderId="24" xfId="0" applyFont="1" applyFill="1" applyBorder="1" applyAlignment="1" applyProtection="1">
      <alignment horizontal="left"/>
    </xf>
    <xf numFmtId="37" fontId="6" fillId="0" borderId="24" xfId="0" applyFont="1" applyFill="1" applyBorder="1" applyAlignment="1" applyProtection="1">
      <alignment horizontal="left" indent="1"/>
    </xf>
    <xf numFmtId="5" fontId="6" fillId="0" borderId="21" xfId="30" applyFont="1" applyFill="1" applyBorder="1" applyAlignment="1" applyProtection="1">
      <alignment horizontal="left"/>
    </xf>
    <xf numFmtId="37" fontId="6" fillId="0" borderId="21" xfId="0" applyFont="1" applyFill="1" applyBorder="1" applyAlignment="1" applyProtection="1">
      <alignment horizontal="centerContinuous"/>
    </xf>
    <xf numFmtId="165" fontId="6" fillId="0" borderId="23" xfId="50" applyFont="1" applyFill="1" applyBorder="1" applyAlignment="1" applyProtection="1"/>
    <xf numFmtId="165" fontId="6" fillId="0" borderId="21" xfId="50" applyFont="1" applyFill="1" applyBorder="1" applyAlignment="1" applyProtection="1"/>
    <xf numFmtId="165" fontId="6" fillId="0" borderId="19" xfId="50" applyFont="1" applyFill="1" applyBorder="1" applyAlignment="1" applyProtection="1"/>
    <xf numFmtId="37" fontId="6" fillId="0" borderId="21" xfId="0" applyFont="1" applyBorder="1" applyAlignment="1" applyProtection="1">
      <alignment horizontal="left"/>
    </xf>
    <xf numFmtId="5" fontId="26" fillId="0" borderId="10" xfId="30" applyFont="1" applyFill="1" applyBorder="1" applyProtection="1"/>
    <xf numFmtId="168" fontId="8" fillId="4" borderId="9" xfId="0" applyNumberFormat="1" applyFont="1" applyFill="1" applyBorder="1" applyAlignment="1" applyProtection="1">
      <alignment horizontal="left"/>
    </xf>
    <xf numFmtId="168" fontId="47" fillId="4" borderId="10" xfId="0" applyNumberFormat="1" applyFont="1" applyFill="1" applyBorder="1" applyAlignment="1" applyProtection="1">
      <alignment horizontal="centerContinuous"/>
    </xf>
    <xf numFmtId="183" fontId="8" fillId="4" borderId="10" xfId="30" applyNumberFormat="1" applyFont="1" applyFill="1" applyBorder="1" applyAlignment="1" applyProtection="1"/>
    <xf numFmtId="37" fontId="8" fillId="4" borderId="9" xfId="0" applyFont="1" applyFill="1" applyBorder="1" applyAlignment="1" applyProtection="1">
      <alignment horizontal="left"/>
    </xf>
    <xf numFmtId="168" fontId="43" fillId="4" borderId="10" xfId="30" applyNumberFormat="1" applyFont="1" applyFill="1" applyBorder="1" applyAlignment="1" applyProtection="1"/>
    <xf numFmtId="7" fontId="8" fillId="4" borderId="14" xfId="30" applyNumberFormat="1" applyFont="1" applyFill="1" applyBorder="1"/>
    <xf numFmtId="7" fontId="8" fillId="4" borderId="16" xfId="30" applyNumberFormat="1" applyFont="1" applyFill="1" applyBorder="1"/>
    <xf numFmtId="7" fontId="8" fillId="4" borderId="25" xfId="30" applyNumberFormat="1" applyFont="1" applyFill="1" applyBorder="1"/>
    <xf numFmtId="7" fontId="8" fillId="4" borderId="0" xfId="30" applyNumberFormat="1" applyFont="1" applyFill="1" applyBorder="1"/>
    <xf numFmtId="166" fontId="41" fillId="0" borderId="17" xfId="0" applyNumberFormat="1" applyFont="1" applyFill="1" applyBorder="1" applyAlignment="1" applyProtection="1">
      <alignment horizontal="right"/>
    </xf>
    <xf numFmtId="5" fontId="6" fillId="0" borderId="24" xfId="30" applyFont="1" applyFill="1" applyBorder="1" applyProtection="1"/>
    <xf numFmtId="166" fontId="8" fillId="0" borderId="24" xfId="30" applyNumberFormat="1" applyFont="1" applyFill="1" applyBorder="1" applyProtection="1"/>
    <xf numFmtId="5" fontId="8" fillId="0" borderId="24" xfId="30" applyFont="1" applyFill="1" applyBorder="1" applyProtection="1"/>
    <xf numFmtId="5" fontId="40" fillId="0" borderId="24" xfId="30" applyFont="1" applyFill="1" applyBorder="1" applyAlignment="1" applyProtection="1">
      <alignment horizontal="left"/>
    </xf>
    <xf numFmtId="5" fontId="40" fillId="0" borderId="24" xfId="30" applyFont="1" applyFill="1" applyBorder="1" applyProtection="1"/>
    <xf numFmtId="5" fontId="47" fillId="0" borderId="21" xfId="30" applyFont="1" applyFill="1" applyBorder="1" applyAlignment="1" applyProtection="1">
      <alignment horizontal="left"/>
    </xf>
    <xf numFmtId="166" fontId="41" fillId="0" borderId="23" xfId="0" applyNumberFormat="1" applyFont="1" applyFill="1" applyBorder="1" applyAlignment="1" applyProtection="1">
      <alignment horizontal="right"/>
    </xf>
    <xf numFmtId="166" fontId="41" fillId="0" borderId="21" xfId="0" applyNumberFormat="1" applyFont="1" applyFill="1" applyBorder="1" applyAlignment="1" applyProtection="1">
      <alignment horizontal="right"/>
    </xf>
    <xf numFmtId="166" fontId="41" fillId="0" borderId="19" xfId="0" applyNumberFormat="1" applyFont="1" applyFill="1" applyBorder="1" applyAlignment="1" applyProtection="1">
      <alignment horizontal="right"/>
    </xf>
    <xf numFmtId="168" fontId="6" fillId="0" borderId="13" xfId="0" applyNumberFormat="1" applyFont="1" applyFill="1" applyBorder="1" applyAlignment="1" applyProtection="1">
      <alignment horizontal="right"/>
    </xf>
    <xf numFmtId="168" fontId="6" fillId="0" borderId="0" xfId="0" applyNumberFormat="1" applyFont="1" applyFill="1" applyBorder="1" applyAlignment="1" applyProtection="1">
      <alignment horizontal="right"/>
    </xf>
    <xf numFmtId="0" fontId="26" fillId="0" borderId="0" xfId="43" applyFont="1" applyAlignment="1">
      <alignment horizontal="right" vertical="center"/>
    </xf>
    <xf numFmtId="37" fontId="49" fillId="0" borderId="0" xfId="36" applyNumberFormat="1" applyFont="1" applyAlignment="1" applyProtection="1"/>
    <xf numFmtId="17" fontId="26" fillId="0" borderId="0" xfId="43" applyNumberFormat="1" applyFont="1" applyBorder="1" applyAlignment="1">
      <alignment horizontal="right"/>
    </xf>
    <xf numFmtId="37" fontId="6" fillId="0" borderId="0" xfId="0" applyFont="1" applyAlignment="1"/>
    <xf numFmtId="0" fontId="6" fillId="0" borderId="0" xfId="47" applyFont="1" applyAlignment="1">
      <alignment horizontal="right"/>
    </xf>
    <xf numFmtId="0" fontId="39" fillId="0" borderId="0" xfId="47" applyFont="1" applyAlignment="1">
      <alignment horizontal="right"/>
    </xf>
    <xf numFmtId="165" fontId="6" fillId="0" borderId="0" xfId="50" applyFont="1" applyAlignment="1">
      <alignment horizontal="left"/>
    </xf>
    <xf numFmtId="165" fontId="6" fillId="0" borderId="0" xfId="50" applyFont="1" applyAlignment="1">
      <alignment horizontal="center"/>
    </xf>
    <xf numFmtId="181" fontId="6" fillId="0" borderId="0" xfId="0" applyNumberFormat="1" applyFont="1"/>
    <xf numFmtId="166" fontId="6" fillId="0" borderId="0" xfId="50" applyNumberFormat="1" applyFont="1" applyAlignment="1">
      <alignment horizontal="left"/>
    </xf>
    <xf numFmtId="166" fontId="6" fillId="0" borderId="0" xfId="50" applyNumberFormat="1" applyFont="1" applyAlignment="1">
      <alignment horizontal="center"/>
    </xf>
    <xf numFmtId="37" fontId="6" fillId="0" borderId="0" xfId="50" applyNumberFormat="1" applyFont="1" applyAlignment="1">
      <alignment horizontal="left"/>
    </xf>
    <xf numFmtId="37" fontId="6" fillId="0" borderId="0" xfId="50" applyNumberFormat="1" applyFont="1" applyAlignment="1">
      <alignment horizontal="center"/>
    </xf>
    <xf numFmtId="171" fontId="6" fillId="0" borderId="0" xfId="0" applyNumberFormat="1" applyFont="1"/>
    <xf numFmtId="164" fontId="26" fillId="0" borderId="16" xfId="0" quotePrefix="1" applyNumberFormat="1" applyFont="1" applyFill="1" applyBorder="1" applyAlignment="1" applyProtection="1">
      <alignment horizontal="right"/>
    </xf>
    <xf numFmtId="164" fontId="26" fillId="0" borderId="16" xfId="0" quotePrefix="1" applyNumberFormat="1" applyFont="1" applyBorder="1" applyAlignment="1" applyProtection="1">
      <alignment horizontal="right"/>
    </xf>
    <xf numFmtId="164" fontId="26" fillId="6" borderId="25" xfId="0" applyNumberFormat="1" applyFont="1" applyFill="1" applyBorder="1" applyAlignment="1" applyProtection="1">
      <alignment horizontal="right"/>
    </xf>
    <xf numFmtId="164" fontId="26" fillId="0" borderId="16" xfId="0" applyNumberFormat="1" applyFont="1" applyFill="1" applyBorder="1" applyAlignment="1" applyProtection="1">
      <alignment horizontal="right"/>
    </xf>
    <xf numFmtId="164" fontId="6" fillId="6" borderId="25" xfId="0" applyNumberFormat="1" applyFont="1" applyFill="1" applyBorder="1" applyAlignment="1" applyProtection="1">
      <alignment horizontal="right"/>
    </xf>
    <xf numFmtId="164" fontId="6" fillId="0" borderId="16" xfId="0" quotePrefix="1" applyNumberFormat="1" applyFont="1" applyBorder="1" applyAlignment="1" applyProtection="1">
      <alignment horizontal="right"/>
    </xf>
    <xf numFmtId="164" fontId="6" fillId="0" borderId="25" xfId="0" applyNumberFormat="1" applyFont="1" applyBorder="1" applyAlignment="1" applyProtection="1">
      <alignment horizontal="right"/>
    </xf>
    <xf numFmtId="173" fontId="26" fillId="0" borderId="0" xfId="29" quotePrefix="1" applyNumberFormat="1" applyFont="1" applyBorder="1" applyAlignment="1" applyProtection="1"/>
    <xf numFmtId="173" fontId="26" fillId="0" borderId="0" xfId="29" applyNumberFormat="1" applyFont="1" applyBorder="1" applyAlignment="1" applyProtection="1"/>
    <xf numFmtId="173" fontId="6" fillId="0" borderId="13" xfId="29" quotePrefix="1" applyNumberFormat="1" applyFont="1" applyBorder="1" applyAlignment="1" applyProtection="1"/>
    <xf numFmtId="173" fontId="26" fillId="0" borderId="13" xfId="29" quotePrefix="1" applyNumberFormat="1" applyFont="1" applyBorder="1" applyAlignment="1" applyProtection="1"/>
    <xf numFmtId="37" fontId="8" fillId="0" borderId="0" xfId="29" applyFont="1" applyAlignment="1" applyProtection="1">
      <alignment horizontal="left"/>
    </xf>
    <xf numFmtId="37" fontId="50" fillId="0" borderId="21" xfId="29" quotePrefix="1" applyFont="1" applyBorder="1" applyAlignment="1" applyProtection="1"/>
    <xf numFmtId="37" fontId="45" fillId="0" borderId="21" xfId="29" quotePrefix="1" applyFont="1" applyBorder="1" applyAlignment="1" applyProtection="1"/>
    <xf numFmtId="37" fontId="45" fillId="0" borderId="19" xfId="29" quotePrefix="1" applyFont="1" applyBorder="1" applyAlignment="1" applyProtection="1"/>
    <xf numFmtId="37" fontId="50" fillId="0" borderId="19" xfId="29" quotePrefix="1" applyFont="1" applyBorder="1" applyAlignment="1" applyProtection="1"/>
    <xf numFmtId="37" fontId="6" fillId="0" borderId="0" xfId="0" applyFont="1" applyFill="1"/>
    <xf numFmtId="37" fontId="6" fillId="0" borderId="0" xfId="0" applyFont="1" applyFill="1" applyAlignment="1">
      <alignment horizontal="left"/>
    </xf>
    <xf numFmtId="5" fontId="26" fillId="0" borderId="0" xfId="30" applyFont="1"/>
    <xf numFmtId="5" fontId="26" fillId="0" borderId="13" xfId="30" applyFont="1" applyBorder="1"/>
    <xf numFmtId="165" fontId="26" fillId="0" borderId="0" xfId="50" applyFont="1"/>
    <xf numFmtId="165" fontId="26" fillId="0" borderId="13" xfId="50" applyFont="1" applyBorder="1"/>
    <xf numFmtId="7" fontId="26" fillId="0" borderId="0" xfId="30" applyNumberFormat="1" applyFont="1"/>
    <xf numFmtId="7" fontId="26" fillId="0" borderId="13" xfId="30" applyNumberFormat="1" applyFont="1" applyBorder="1"/>
    <xf numFmtId="7" fontId="26" fillId="0" borderId="0" xfId="30" applyNumberFormat="1" applyFont="1" applyBorder="1"/>
    <xf numFmtId="37" fontId="8" fillId="0" borderId="0" xfId="0" applyFont="1" applyFill="1"/>
    <xf numFmtId="168" fontId="6" fillId="0" borderId="0" xfId="30" applyNumberFormat="1" applyFont="1"/>
    <xf numFmtId="168" fontId="6" fillId="0" borderId="13" xfId="30" applyNumberFormat="1" applyFont="1" applyBorder="1"/>
    <xf numFmtId="37" fontId="26" fillId="0" borderId="0" xfId="29" quotePrefix="1" applyNumberFormat="1" applyFont="1" applyBorder="1" applyAlignment="1" applyProtection="1"/>
    <xf numFmtId="37" fontId="45" fillId="0" borderId="0" xfId="29" quotePrefix="1" applyNumberFormat="1" applyFont="1" applyBorder="1" applyAlignment="1" applyProtection="1"/>
    <xf numFmtId="37" fontId="45" fillId="0" borderId="13" xfId="29" quotePrefix="1" applyNumberFormat="1" applyFont="1" applyFill="1" applyBorder="1" applyAlignment="1" applyProtection="1"/>
    <xf numFmtId="37" fontId="45" fillId="0" borderId="13" xfId="29" quotePrefix="1" applyNumberFormat="1" applyFont="1" applyBorder="1" applyAlignment="1" applyProtection="1"/>
    <xf numFmtId="37" fontId="6" fillId="0" borderId="0" xfId="29" applyFont="1" applyAlignment="1" applyProtection="1">
      <alignment horizontal="left"/>
    </xf>
    <xf numFmtId="165" fontId="26" fillId="0" borderId="0" xfId="50" quotePrefix="1" applyFont="1" applyBorder="1" applyAlignment="1" applyProtection="1"/>
    <xf numFmtId="165" fontId="26" fillId="0" borderId="13" xfId="50" quotePrefix="1" applyFont="1" applyBorder="1" applyAlignment="1" applyProtection="1"/>
    <xf numFmtId="166" fontId="6" fillId="0" borderId="13" xfId="29" applyNumberFormat="1" applyFont="1" applyBorder="1"/>
    <xf numFmtId="166" fontId="6" fillId="0" borderId="0" xfId="29" applyNumberFormat="1" applyFont="1"/>
    <xf numFmtId="168" fontId="26" fillId="0" borderId="0" xfId="30" applyNumberFormat="1" applyFont="1"/>
    <xf numFmtId="168" fontId="26" fillId="0" borderId="13" xfId="30" applyNumberFormat="1" applyFont="1" applyBorder="1"/>
    <xf numFmtId="168" fontId="26" fillId="0" borderId="0" xfId="30" applyNumberFormat="1" applyFont="1" applyBorder="1"/>
    <xf numFmtId="37" fontId="52" fillId="0" borderId="0" xfId="0" applyFont="1"/>
    <xf numFmtId="166" fontId="26" fillId="0" borderId="0" xfId="0" applyNumberFormat="1" applyFont="1" applyAlignment="1">
      <alignment horizontal="right"/>
    </xf>
    <xf numFmtId="165" fontId="50" fillId="0" borderId="0" xfId="50" applyFont="1"/>
    <xf numFmtId="165" fontId="50" fillId="0" borderId="13" xfId="50" applyFont="1" applyBorder="1"/>
    <xf numFmtId="9" fontId="6" fillId="0" borderId="0" xfId="29" applyNumberFormat="1" applyFont="1"/>
    <xf numFmtId="9" fontId="6" fillId="0" borderId="13" xfId="29" applyNumberFormat="1" applyFont="1" applyBorder="1"/>
    <xf numFmtId="166" fontId="6" fillId="0" borderId="0" xfId="0" applyNumberFormat="1" applyFont="1" applyFill="1"/>
    <xf numFmtId="166" fontId="6" fillId="0" borderId="0" xfId="30" applyNumberFormat="1" applyFont="1"/>
    <xf numFmtId="166" fontId="6" fillId="0" borderId="13" xfId="30" applyNumberFormat="1" applyFont="1" applyBorder="1"/>
    <xf numFmtId="9" fontId="26" fillId="0" borderId="0" xfId="30" applyNumberFormat="1" applyFont="1" applyBorder="1"/>
    <xf numFmtId="9" fontId="26" fillId="0" borderId="13" xfId="30" applyNumberFormat="1" applyFont="1" applyBorder="1"/>
    <xf numFmtId="168" fontId="50" fillId="0" borderId="0" xfId="30" applyNumberFormat="1" applyFont="1"/>
    <xf numFmtId="168" fontId="50" fillId="0" borderId="13" xfId="30" applyNumberFormat="1" applyFont="1" applyBorder="1"/>
    <xf numFmtId="9" fontId="6" fillId="0" borderId="0" xfId="30" applyNumberFormat="1" applyFont="1" applyBorder="1"/>
    <xf numFmtId="9" fontId="6" fillId="0" borderId="13" xfId="30" applyNumberFormat="1" applyFont="1" applyBorder="1"/>
    <xf numFmtId="5" fontId="26" fillId="0" borderId="0" xfId="30" applyFont="1" applyBorder="1"/>
    <xf numFmtId="166" fontId="26" fillId="0" borderId="0" xfId="0" applyNumberFormat="1" applyFont="1"/>
    <xf numFmtId="166" fontId="26" fillId="0" borderId="0" xfId="0" applyNumberFormat="1" applyFont="1" applyBorder="1"/>
    <xf numFmtId="166" fontId="26" fillId="0" borderId="13" xfId="0" applyNumberFormat="1" applyFont="1" applyBorder="1"/>
    <xf numFmtId="37" fontId="26" fillId="0" borderId="0" xfId="0" applyFont="1" applyBorder="1"/>
    <xf numFmtId="37" fontId="17" fillId="0" borderId="0" xfId="0" applyFont="1" applyAlignment="1">
      <alignment horizontal="left"/>
    </xf>
    <xf numFmtId="37" fontId="26" fillId="0" borderId="0" xfId="0" applyFont="1" applyFill="1" applyAlignment="1">
      <alignment horizontal="right"/>
    </xf>
    <xf numFmtId="37" fontId="26" fillId="0" borderId="0" xfId="0" applyFont="1" applyFill="1" applyBorder="1" applyAlignment="1">
      <alignment horizontal="right"/>
    </xf>
    <xf numFmtId="37" fontId="26" fillId="0" borderId="13" xfId="0" applyFont="1" applyFill="1" applyBorder="1" applyAlignment="1">
      <alignment horizontal="right"/>
    </xf>
    <xf numFmtId="37" fontId="26" fillId="0" borderId="24" xfId="0" applyFont="1" applyBorder="1"/>
    <xf numFmtId="165" fontId="26" fillId="0" borderId="0" xfId="50" applyFont="1" applyBorder="1"/>
    <xf numFmtId="166" fontId="6" fillId="0" borderId="17" xfId="29" applyNumberFormat="1" applyFont="1" applyBorder="1"/>
    <xf numFmtId="168" fontId="6" fillId="0" borderId="13" xfId="30" applyNumberFormat="1" applyFont="1" applyFill="1" applyBorder="1"/>
    <xf numFmtId="0" fontId="17" fillId="0" borderId="0" xfId="0" applyNumberFormat="1" applyFont="1" applyAlignment="1">
      <alignment horizontal="center"/>
    </xf>
    <xf numFmtId="166" fontId="6" fillId="0" borderId="24" xfId="0" applyNumberFormat="1" applyFont="1" applyBorder="1"/>
    <xf numFmtId="37" fontId="17" fillId="0" borderId="0" xfId="0" applyFont="1" applyAlignment="1">
      <alignment horizontal="center"/>
    </xf>
    <xf numFmtId="166" fontId="50" fillId="0" borderId="0" xfId="0" applyNumberFormat="1" applyFont="1" applyBorder="1"/>
    <xf numFmtId="7" fontId="6" fillId="0" borderId="0" xfId="30" applyNumberFormat="1" applyFont="1"/>
    <xf numFmtId="7" fontId="6" fillId="0" borderId="13" xfId="30" applyNumberFormat="1" applyFont="1" applyBorder="1"/>
    <xf numFmtId="39" fontId="6" fillId="0" borderId="0" xfId="0" applyNumberFormat="1" applyFont="1" applyBorder="1"/>
    <xf numFmtId="168" fontId="6" fillId="0" borderId="17" xfId="30" applyNumberFormat="1" applyFont="1" applyBorder="1"/>
    <xf numFmtId="9" fontId="26" fillId="0" borderId="0" xfId="30" applyNumberFormat="1" applyFont="1"/>
    <xf numFmtId="9" fontId="26" fillId="0" borderId="17" xfId="30" applyNumberFormat="1" applyFont="1" applyBorder="1"/>
    <xf numFmtId="5" fontId="26" fillId="0" borderId="17" xfId="30" applyFont="1" applyBorder="1"/>
    <xf numFmtId="37" fontId="26" fillId="0" borderId="13" xfId="0" applyFont="1" applyBorder="1" applyAlignment="1">
      <alignment horizontal="right"/>
    </xf>
    <xf numFmtId="37" fontId="26" fillId="0" borderId="0" xfId="0" applyFont="1" applyBorder="1" applyAlignment="1">
      <alignment horizontal="right"/>
    </xf>
    <xf numFmtId="37" fontId="26" fillId="0" borderId="17" xfId="0" applyFont="1" applyBorder="1" applyAlignment="1">
      <alignment horizontal="right"/>
    </xf>
    <xf numFmtId="165" fontId="26" fillId="0" borderId="13" xfId="30" applyNumberFormat="1" applyFont="1" applyBorder="1"/>
    <xf numFmtId="165" fontId="26" fillId="0" borderId="0" xfId="30" applyNumberFormat="1" applyFont="1" applyBorder="1"/>
    <xf numFmtId="165" fontId="26" fillId="0" borderId="17" xfId="30" applyNumberFormat="1" applyFont="1" applyBorder="1"/>
    <xf numFmtId="168" fontId="6" fillId="0" borderId="17" xfId="30" applyNumberFormat="1" applyFont="1" applyFill="1" applyBorder="1"/>
    <xf numFmtId="37" fontId="6" fillId="3" borderId="0" xfId="0" applyFont="1" applyFill="1"/>
    <xf numFmtId="168" fontId="50" fillId="0" borderId="0" xfId="30" applyNumberFormat="1" applyFont="1" applyBorder="1"/>
    <xf numFmtId="168" fontId="50" fillId="0" borderId="17" xfId="30" applyNumberFormat="1" applyFont="1" applyBorder="1"/>
    <xf numFmtId="39" fontId="50" fillId="0" borderId="13" xfId="30" applyNumberFormat="1" applyFont="1" applyBorder="1"/>
    <xf numFmtId="39" fontId="50" fillId="0" borderId="0" xfId="30" applyNumberFormat="1" applyFont="1" applyBorder="1"/>
    <xf numFmtId="39" fontId="50" fillId="0" borderId="17" xfId="30" applyNumberFormat="1" applyFont="1" applyBorder="1"/>
    <xf numFmtId="9" fontId="6" fillId="0" borderId="13" xfId="0" applyNumberFormat="1" applyFont="1" applyBorder="1"/>
    <xf numFmtId="9" fontId="6" fillId="0" borderId="0" xfId="0" applyNumberFormat="1" applyFont="1" applyBorder="1"/>
    <xf numFmtId="9" fontId="6" fillId="0" borderId="17" xfId="0" applyNumberFormat="1" applyFont="1" applyBorder="1"/>
    <xf numFmtId="9" fontId="6" fillId="0" borderId="0" xfId="0" applyNumberFormat="1" applyFont="1"/>
    <xf numFmtId="10" fontId="6" fillId="0" borderId="0" xfId="0" applyNumberFormat="1" applyFont="1"/>
    <xf numFmtId="10" fontId="26" fillId="0" borderId="0" xfId="50" applyNumberFormat="1" applyFont="1"/>
    <xf numFmtId="10" fontId="26" fillId="0" borderId="13" xfId="50" applyNumberFormat="1" applyFont="1" applyBorder="1"/>
    <xf numFmtId="9" fontId="6" fillId="0" borderId="13" xfId="50" applyNumberFormat="1" applyFont="1" applyBorder="1"/>
    <xf numFmtId="10" fontId="26" fillId="0" borderId="0" xfId="50" applyNumberFormat="1" applyFont="1" applyBorder="1"/>
    <xf numFmtId="10" fontId="6" fillId="0" borderId="13" xfId="50" applyNumberFormat="1" applyFont="1" applyBorder="1"/>
    <xf numFmtId="10" fontId="26" fillId="0" borderId="24" xfId="50" applyNumberFormat="1" applyFont="1" applyBorder="1"/>
    <xf numFmtId="10" fontId="26" fillId="0" borderId="17" xfId="50" applyNumberFormat="1" applyFont="1" applyBorder="1"/>
    <xf numFmtId="165" fontId="6" fillId="0" borderId="0" xfId="0" applyNumberFormat="1" applyFont="1"/>
    <xf numFmtId="165" fontId="6" fillId="0" borderId="13" xfId="0" applyNumberFormat="1" applyFont="1" applyBorder="1"/>
    <xf numFmtId="37" fontId="40" fillId="0" borderId="0" xfId="0" applyFont="1" applyFill="1" applyBorder="1"/>
    <xf numFmtId="179" fontId="8" fillId="0" borderId="21" xfId="0" applyNumberFormat="1" applyFont="1" applyFill="1" applyBorder="1" applyAlignment="1">
      <alignment horizontal="center"/>
    </xf>
    <xf numFmtId="183" fontId="39" fillId="0" borderId="0" xfId="0" applyNumberFormat="1" applyFont="1" applyFill="1"/>
    <xf numFmtId="41" fontId="8" fillId="0" borderId="0" xfId="0" applyNumberFormat="1" applyFont="1" applyFill="1" applyBorder="1"/>
    <xf numFmtId="185" fontId="6" fillId="0" borderId="0" xfId="0" applyNumberFormat="1" applyFont="1" applyFill="1" applyBorder="1"/>
    <xf numFmtId="41" fontId="39" fillId="0" borderId="0" xfId="0" applyNumberFormat="1" applyFont="1" applyFill="1"/>
    <xf numFmtId="0" fontId="6" fillId="0" borderId="14" xfId="42" applyFont="1" applyBorder="1" applyAlignment="1">
      <alignment vertical="center"/>
    </xf>
    <xf numFmtId="165" fontId="26" fillId="0" borderId="15" xfId="50" applyFont="1" applyFill="1" applyBorder="1"/>
    <xf numFmtId="0" fontId="6" fillId="0" borderId="24" xfId="42" applyFont="1" applyBorder="1" applyAlignment="1">
      <alignment vertical="center"/>
    </xf>
    <xf numFmtId="165" fontId="26" fillId="0" borderId="17" xfId="50" applyFont="1" applyFill="1" applyBorder="1"/>
    <xf numFmtId="177" fontId="6" fillId="0" borderId="17" xfId="0" applyNumberFormat="1" applyFont="1" applyFill="1" applyBorder="1"/>
    <xf numFmtId="37" fontId="6" fillId="0" borderId="23" xfId="0" applyFont="1" applyFill="1" applyBorder="1"/>
    <xf numFmtId="37" fontId="8" fillId="0" borderId="0" xfId="0" applyFont="1" applyFill="1" applyProtection="1"/>
    <xf numFmtId="37" fontId="8" fillId="0" borderId="0" xfId="0" applyFont="1" applyAlignment="1">
      <alignment horizontal="center"/>
    </xf>
    <xf numFmtId="179" fontId="8" fillId="0" borderId="21" xfId="0" applyNumberFormat="1" applyFont="1" applyBorder="1" applyAlignment="1">
      <alignment horizontal="left"/>
    </xf>
    <xf numFmtId="37" fontId="8" fillId="0" borderId="21" xfId="0" applyFont="1" applyBorder="1" applyAlignment="1">
      <alignment horizontal="left"/>
    </xf>
    <xf numFmtId="179" fontId="8" fillId="0" borderId="21" xfId="0" applyNumberFormat="1" applyFont="1" applyBorder="1" applyAlignment="1">
      <alignment horizontal="center"/>
    </xf>
    <xf numFmtId="37" fontId="8" fillId="7" borderId="0" xfId="0" applyFont="1" applyFill="1"/>
    <xf numFmtId="165" fontId="6" fillId="0" borderId="0" xfId="50" applyNumberFormat="1" applyFont="1"/>
    <xf numFmtId="7" fontId="8" fillId="0" borderId="0" xfId="30" applyNumberFormat="1" applyFont="1"/>
    <xf numFmtId="180" fontId="43" fillId="0" borderId="0" xfId="0" applyNumberFormat="1" applyFont="1"/>
    <xf numFmtId="180" fontId="8" fillId="0" borderId="0" xfId="0" applyNumberFormat="1" applyFont="1"/>
    <xf numFmtId="37" fontId="8" fillId="0" borderId="2" xfId="0" applyFont="1" applyBorder="1" applyAlignment="1">
      <alignment horizontal="right"/>
    </xf>
    <xf numFmtId="7" fontId="8" fillId="0" borderId="3" xfId="30" applyNumberFormat="1" applyFont="1" applyBorder="1"/>
    <xf numFmtId="37" fontId="8" fillId="0" borderId="4" xfId="0" applyFont="1" applyBorder="1" applyAlignment="1">
      <alignment horizontal="right"/>
    </xf>
    <xf numFmtId="7" fontId="8" fillId="0" borderId="5" xfId="30" applyNumberFormat="1" applyFont="1" applyBorder="1"/>
    <xf numFmtId="37" fontId="8" fillId="0" borderId="6" xfId="0" applyFont="1" applyBorder="1" applyAlignment="1">
      <alignment horizontal="right"/>
    </xf>
    <xf numFmtId="7" fontId="8" fillId="0" borderId="7" xfId="30" applyNumberFormat="1" applyFont="1" applyBorder="1"/>
    <xf numFmtId="179" fontId="8" fillId="0" borderId="21" xfId="0" applyNumberFormat="1" applyFont="1" applyBorder="1"/>
    <xf numFmtId="7" fontId="6" fillId="0" borderId="0" xfId="0" applyNumberFormat="1" applyFont="1"/>
    <xf numFmtId="177" fontId="6" fillId="0" borderId="22" xfId="0" applyNumberFormat="1" applyFont="1" applyFill="1" applyBorder="1"/>
    <xf numFmtId="5" fontId="8" fillId="0" borderId="0" xfId="0" applyNumberFormat="1" applyFont="1" applyBorder="1"/>
    <xf numFmtId="5" fontId="8" fillId="0" borderId="21" xfId="0" applyNumberFormat="1" applyFont="1" applyBorder="1"/>
    <xf numFmtId="175" fontId="8" fillId="0" borderId="0" xfId="0" applyNumberFormat="1" applyFont="1" applyBorder="1"/>
    <xf numFmtId="37" fontId="8" fillId="0" borderId="0" xfId="0" applyNumberFormat="1" applyFont="1" applyBorder="1"/>
    <xf numFmtId="175" fontId="6" fillId="0" borderId="0" xfId="0" applyNumberFormat="1" applyFont="1" applyBorder="1"/>
    <xf numFmtId="175" fontId="8" fillId="0" borderId="26" xfId="0" applyNumberFormat="1" applyFont="1" applyBorder="1"/>
    <xf numFmtId="5" fontId="8" fillId="0" borderId="27" xfId="0" applyNumberFormat="1" applyFont="1" applyBorder="1"/>
    <xf numFmtId="5" fontId="8" fillId="4" borderId="28" xfId="0" applyNumberFormat="1" applyFont="1" applyFill="1" applyBorder="1"/>
    <xf numFmtId="5" fontId="8" fillId="0" borderId="29" xfId="0" applyNumberFormat="1" applyFont="1" applyBorder="1"/>
    <xf numFmtId="175" fontId="8" fillId="0" borderId="27" xfId="0" applyNumberFormat="1" applyFont="1" applyBorder="1"/>
    <xf numFmtId="37" fontId="8" fillId="0" borderId="27" xfId="0" applyNumberFormat="1" applyFont="1" applyBorder="1"/>
    <xf numFmtId="7" fontId="8" fillId="4" borderId="30" xfId="0" applyNumberFormat="1" applyFont="1" applyFill="1" applyBorder="1"/>
    <xf numFmtId="37" fontId="8" fillId="0" borderId="0" xfId="0" applyFont="1" applyBorder="1" applyAlignment="1">
      <alignment horizontal="centerContinuous"/>
    </xf>
    <xf numFmtId="37" fontId="6" fillId="0" borderId="21" xfId="0" applyFont="1" applyBorder="1" applyAlignment="1">
      <alignment horizontal="centerContinuous"/>
    </xf>
    <xf numFmtId="37" fontId="8" fillId="0" borderId="21" xfId="0" applyFont="1" applyBorder="1" applyAlignment="1">
      <alignment horizontal="centerContinuous"/>
    </xf>
    <xf numFmtId="37" fontId="6" fillId="0" borderId="25" xfId="0" applyFont="1" applyBorder="1"/>
    <xf numFmtId="37" fontId="8" fillId="0" borderId="19" xfId="0" applyFont="1" applyBorder="1" applyAlignment="1">
      <alignment horizontal="right"/>
    </xf>
    <xf numFmtId="37" fontId="8" fillId="0" borderId="23" xfId="0" applyFont="1" applyBorder="1" applyAlignment="1">
      <alignment horizontal="right"/>
    </xf>
    <xf numFmtId="168" fontId="6" fillId="0" borderId="13" xfId="0" applyNumberFormat="1" applyFont="1" applyBorder="1"/>
    <xf numFmtId="168" fontId="26" fillId="0" borderId="0" xfId="0" applyNumberFormat="1" applyFont="1" applyBorder="1"/>
    <xf numFmtId="37" fontId="6" fillId="4" borderId="10" xfId="0" applyFont="1" applyFill="1" applyBorder="1"/>
    <xf numFmtId="9" fontId="6" fillId="0" borderId="0" xfId="50" applyNumberFormat="1" applyFont="1" applyAlignment="1">
      <alignment horizontal="right"/>
    </xf>
    <xf numFmtId="168" fontId="6" fillId="0" borderId="0" xfId="0" applyNumberFormat="1" applyFont="1"/>
    <xf numFmtId="168" fontId="6" fillId="4" borderId="10" xfId="0" applyNumberFormat="1" applyFont="1" applyFill="1" applyBorder="1"/>
    <xf numFmtId="168" fontId="26" fillId="0" borderId="13" xfId="0" applyNumberFormat="1" applyFont="1" applyBorder="1"/>
    <xf numFmtId="9" fontId="8" fillId="4" borderId="10" xfId="50" applyNumberFormat="1" applyFont="1" applyFill="1" applyBorder="1"/>
    <xf numFmtId="168" fontId="8" fillId="4" borderId="11" xfId="0" applyNumberFormat="1" applyFont="1" applyFill="1" applyBorder="1"/>
    <xf numFmtId="168" fontId="8" fillId="4" borderId="10" xfId="0" applyNumberFormat="1" applyFont="1" applyFill="1" applyBorder="1"/>
    <xf numFmtId="9" fontId="8" fillId="4" borderId="12" xfId="50" applyNumberFormat="1" applyFont="1" applyFill="1" applyBorder="1" applyAlignment="1">
      <alignment horizontal="right"/>
    </xf>
    <xf numFmtId="9" fontId="6" fillId="0" borderId="0" xfId="0" applyNumberFormat="1" applyFont="1" applyBorder="1" applyAlignment="1">
      <alignment horizontal="right"/>
    </xf>
    <xf numFmtId="166" fontId="8" fillId="0" borderId="13" xfId="0" applyNumberFormat="1" applyFont="1" applyBorder="1"/>
    <xf numFmtId="9" fontId="8" fillId="0" borderId="0" xfId="50" applyNumberFormat="1" applyFont="1" applyAlignment="1">
      <alignment horizontal="right"/>
    </xf>
    <xf numFmtId="9" fontId="8" fillId="0" borderId="0" xfId="50" applyNumberFormat="1" applyFont="1" applyBorder="1"/>
    <xf numFmtId="9" fontId="6" fillId="0" borderId="0" xfId="0" applyNumberFormat="1" applyFont="1" applyAlignment="1">
      <alignment horizontal="right"/>
    </xf>
    <xf numFmtId="166" fontId="8" fillId="0" borderId="11" xfId="0" applyNumberFormat="1" applyFont="1" applyBorder="1"/>
    <xf numFmtId="166" fontId="8" fillId="0" borderId="10" xfId="0" applyNumberFormat="1" applyFont="1" applyBorder="1"/>
    <xf numFmtId="9" fontId="8" fillId="0" borderId="10" xfId="50" applyNumberFormat="1" applyFont="1" applyBorder="1"/>
    <xf numFmtId="168" fontId="6" fillId="0" borderId="10" xfId="0" applyNumberFormat="1" applyFont="1" applyBorder="1"/>
    <xf numFmtId="9" fontId="8" fillId="0" borderId="12" xfId="50" applyNumberFormat="1" applyFont="1" applyBorder="1" applyAlignment="1">
      <alignment horizontal="right"/>
    </xf>
    <xf numFmtId="37" fontId="8" fillId="4" borderId="14" xfId="0" applyFont="1" applyFill="1" applyBorder="1"/>
    <xf numFmtId="37" fontId="6" fillId="4" borderId="16" xfId="0" applyFont="1" applyFill="1" applyBorder="1"/>
    <xf numFmtId="165" fontId="8" fillId="4" borderId="25" xfId="50" applyNumberFormat="1" applyFont="1" applyFill="1" applyBorder="1"/>
    <xf numFmtId="165" fontId="8" fillId="4" borderId="16" xfId="50" applyNumberFormat="1" applyFont="1" applyFill="1" applyBorder="1"/>
    <xf numFmtId="165" fontId="6" fillId="4" borderId="16" xfId="50" applyFont="1" applyFill="1" applyBorder="1"/>
    <xf numFmtId="165" fontId="6" fillId="4" borderId="15" xfId="50" applyFont="1" applyFill="1" applyBorder="1"/>
    <xf numFmtId="37" fontId="6" fillId="4" borderId="0" xfId="0" applyFont="1" applyFill="1" applyBorder="1"/>
    <xf numFmtId="165" fontId="6" fillId="4" borderId="13" xfId="50" applyNumberFormat="1" applyFont="1" applyFill="1" applyBorder="1"/>
    <xf numFmtId="165" fontId="6" fillId="4" borderId="0" xfId="50" applyNumberFormat="1" applyFont="1" applyFill="1" applyBorder="1"/>
    <xf numFmtId="165" fontId="6" fillId="4" borderId="0" xfId="50" applyFont="1" applyFill="1" applyBorder="1"/>
    <xf numFmtId="165" fontId="6" fillId="4" borderId="17" xfId="50" applyFont="1" applyFill="1" applyBorder="1"/>
    <xf numFmtId="37" fontId="6" fillId="4" borderId="21" xfId="0" applyFont="1" applyFill="1" applyBorder="1"/>
    <xf numFmtId="165" fontId="6" fillId="4" borderId="19" xfId="50" applyNumberFormat="1" applyFont="1" applyFill="1" applyBorder="1"/>
    <xf numFmtId="165" fontId="6" fillId="4" borderId="21" xfId="50" applyNumberFormat="1" applyFont="1" applyFill="1" applyBorder="1"/>
    <xf numFmtId="165" fontId="6" fillId="4" borderId="21" xfId="50" applyFont="1" applyFill="1" applyBorder="1"/>
    <xf numFmtId="165" fontId="6" fillId="4" borderId="22" xfId="50" applyFont="1" applyFill="1" applyBorder="1"/>
    <xf numFmtId="37" fontId="0" fillId="0" borderId="0" xfId="0" applyBorder="1"/>
    <xf numFmtId="37" fontId="6" fillId="4" borderId="24" xfId="0" applyFont="1" applyFill="1" applyBorder="1" applyAlignment="1" applyProtection="1">
      <alignment horizontal="left"/>
    </xf>
    <xf numFmtId="37" fontId="6" fillId="4" borderId="23" xfId="0" applyFont="1" applyFill="1" applyBorder="1" applyAlignment="1" applyProtection="1">
      <alignment horizontal="left"/>
    </xf>
    <xf numFmtId="183" fontId="8" fillId="0" borderId="0" xfId="29" applyNumberFormat="1" applyFont="1" applyFill="1" applyBorder="1"/>
    <xf numFmtId="183" fontId="8" fillId="0" borderId="13" xfId="29" applyNumberFormat="1" applyFont="1" applyFill="1" applyBorder="1"/>
    <xf numFmtId="183" fontId="43" fillId="0" borderId="13" xfId="29" applyNumberFormat="1" applyFont="1" applyFill="1" applyBorder="1"/>
    <xf numFmtId="166" fontId="43" fillId="0" borderId="13" xfId="0" applyNumberFormat="1" applyFont="1" applyBorder="1"/>
    <xf numFmtId="166" fontId="43" fillId="0" borderId="11" xfId="0" applyNumberFormat="1" applyFont="1" applyBorder="1"/>
    <xf numFmtId="7" fontId="43" fillId="4" borderId="11" xfId="0" applyNumberFormat="1" applyFont="1" applyFill="1" applyBorder="1"/>
    <xf numFmtId="165" fontId="43" fillId="4" borderId="25" xfId="50" applyNumberFormat="1" applyFont="1" applyFill="1" applyBorder="1"/>
    <xf numFmtId="165" fontId="26" fillId="4" borderId="13" xfId="50" applyNumberFormat="1" applyFont="1" applyFill="1" applyBorder="1"/>
    <xf numFmtId="165" fontId="26" fillId="4" borderId="19" xfId="50" applyNumberFormat="1" applyFont="1" applyFill="1" applyBorder="1"/>
    <xf numFmtId="168" fontId="43" fillId="4" borderId="11" xfId="0" applyNumberFormat="1" applyFont="1" applyFill="1" applyBorder="1"/>
    <xf numFmtId="9" fontId="39" fillId="0" borderId="0" xfId="50" applyNumberFormat="1" applyFont="1"/>
    <xf numFmtId="9" fontId="39" fillId="0" borderId="0" xfId="50" applyNumberFormat="1" applyFont="1" applyAlignment="1">
      <alignment horizontal="right"/>
    </xf>
    <xf numFmtId="183" fontId="8" fillId="0" borderId="24" xfId="29" applyNumberFormat="1" applyFont="1" applyFill="1" applyBorder="1"/>
    <xf numFmtId="9" fontId="8" fillId="4" borderId="12" xfId="50" applyNumberFormat="1" applyFont="1" applyFill="1" applyBorder="1"/>
    <xf numFmtId="37" fontId="6" fillId="0" borderId="21" xfId="0" applyFont="1" applyBorder="1" applyAlignment="1">
      <alignment horizontal="right"/>
    </xf>
    <xf numFmtId="39" fontId="26" fillId="0" borderId="0" xfId="0" applyNumberFormat="1" applyFont="1"/>
    <xf numFmtId="37" fontId="39" fillId="0" borderId="0" xfId="45" applyFont="1"/>
    <xf numFmtId="0" fontId="39" fillId="0" borderId="0" xfId="45" applyNumberFormat="1" applyFont="1" applyAlignment="1">
      <alignment horizontal="right"/>
    </xf>
    <xf numFmtId="37" fontId="6" fillId="0" borderId="0" xfId="45" applyFont="1"/>
    <xf numFmtId="166" fontId="6" fillId="0" borderId="0" xfId="45" applyNumberFormat="1" applyFont="1" applyBorder="1" applyAlignment="1">
      <alignment horizontal="right"/>
    </xf>
    <xf numFmtId="166" fontId="6" fillId="0" borderId="0" xfId="45" applyNumberFormat="1" applyFont="1" applyFill="1" applyBorder="1" applyAlignment="1">
      <alignment horizontal="right"/>
    </xf>
    <xf numFmtId="37" fontId="6" fillId="0" borderId="0" xfId="45" applyNumberFormat="1" applyFont="1" applyBorder="1" applyAlignment="1">
      <alignment horizontal="right"/>
    </xf>
    <xf numFmtId="37" fontId="6" fillId="0" borderId="0" xfId="45" applyNumberFormat="1" applyFont="1" applyFill="1" applyBorder="1" applyAlignment="1">
      <alignment horizontal="right"/>
    </xf>
    <xf numFmtId="166" fontId="61" fillId="0" borderId="0" xfId="0" applyNumberFormat="1" applyFont="1" applyBorder="1"/>
    <xf numFmtId="37" fontId="6" fillId="0" borderId="0" xfId="45" applyFont="1" applyFill="1" applyBorder="1" applyAlignment="1">
      <alignment horizontal="right"/>
    </xf>
    <xf numFmtId="5" fontId="6" fillId="0" borderId="0" xfId="34" applyFont="1" applyBorder="1"/>
    <xf numFmtId="5" fontId="6" fillId="0" borderId="0" xfId="34" applyFont="1"/>
    <xf numFmtId="165" fontId="6" fillId="0" borderId="0" xfId="53" applyFont="1"/>
    <xf numFmtId="171" fontId="6" fillId="0" borderId="0" xfId="40" applyNumberFormat="1" applyFont="1"/>
    <xf numFmtId="165" fontId="41" fillId="0" borderId="16" xfId="50" applyFont="1" applyFill="1" applyBorder="1" applyAlignment="1" applyProtection="1"/>
    <xf numFmtId="165" fontId="41" fillId="0" borderId="15" xfId="50" applyFont="1" applyFill="1" applyBorder="1" applyAlignment="1" applyProtection="1"/>
    <xf numFmtId="165" fontId="41" fillId="0" borderId="25" xfId="50" applyFont="1" applyFill="1" applyBorder="1" applyAlignment="1" applyProtection="1"/>
    <xf numFmtId="166" fontId="62" fillId="0" borderId="0" xfId="0" applyNumberFormat="1" applyFont="1" applyFill="1" applyBorder="1"/>
    <xf numFmtId="37" fontId="49" fillId="0" borderId="0" xfId="29" applyNumberFormat="1" applyFont="1" applyFill="1" applyBorder="1"/>
    <xf numFmtId="5" fontId="6" fillId="0" borderId="0" xfId="34" applyFont="1" applyFill="1" applyBorder="1"/>
    <xf numFmtId="166" fontId="6" fillId="0" borderId="0" xfId="50" applyNumberFormat="1" applyFont="1"/>
    <xf numFmtId="168" fontId="26" fillId="0" borderId="0" xfId="0" applyNumberFormat="1" applyFont="1" applyFill="1" applyBorder="1" applyAlignment="1">
      <alignment horizontal="center"/>
    </xf>
    <xf numFmtId="37" fontId="6" fillId="0" borderId="0" xfId="0" applyNumberFormat="1" applyFont="1" applyFill="1"/>
    <xf numFmtId="5" fontId="8" fillId="7" borderId="10" xfId="30" applyFont="1" applyFill="1" applyBorder="1" applyAlignment="1" applyProtection="1">
      <alignment horizontal="left"/>
    </xf>
    <xf numFmtId="165" fontId="26" fillId="7" borderId="10" xfId="50" applyFont="1" applyFill="1" applyBorder="1" applyAlignment="1" applyProtection="1"/>
    <xf numFmtId="5" fontId="8" fillId="7" borderId="9" xfId="30" applyFont="1" applyFill="1" applyBorder="1" applyAlignment="1" applyProtection="1">
      <alignment horizontal="left"/>
    </xf>
    <xf numFmtId="168" fontId="8" fillId="4" borderId="9" xfId="30" applyNumberFormat="1" applyFont="1" applyFill="1" applyBorder="1" applyAlignment="1" applyProtection="1">
      <alignment horizontal="left"/>
    </xf>
    <xf numFmtId="168" fontId="8" fillId="4" borderId="10" xfId="30" applyNumberFormat="1" applyFont="1" applyFill="1" applyBorder="1"/>
    <xf numFmtId="183" fontId="8" fillId="4" borderId="10" xfId="30" applyNumberFormat="1" applyFont="1" applyFill="1" applyBorder="1"/>
    <xf numFmtId="37" fontId="6" fillId="0" borderId="24" xfId="29" quotePrefix="1" applyNumberFormat="1" applyFont="1" applyFill="1" applyBorder="1" applyAlignment="1" applyProtection="1">
      <alignment horizontal="left"/>
    </xf>
    <xf numFmtId="9" fontId="26" fillId="0" borderId="21" xfId="0" applyNumberFormat="1" applyFont="1" applyFill="1" applyBorder="1" applyProtection="1"/>
    <xf numFmtId="37" fontId="6" fillId="2" borderId="0" xfId="0" applyFont="1" applyFill="1"/>
    <xf numFmtId="37" fontId="6" fillId="0" borderId="23" xfId="0" applyFont="1" applyBorder="1" applyAlignment="1" applyProtection="1">
      <alignment horizontal="left"/>
    </xf>
    <xf numFmtId="37" fontId="8" fillId="0" borderId="21" xfId="0" applyFont="1" applyBorder="1" applyAlignment="1">
      <alignment horizontal="center"/>
    </xf>
    <xf numFmtId="165" fontId="6" fillId="0" borderId="0" xfId="50" applyFont="1" applyFill="1"/>
    <xf numFmtId="183" fontId="6" fillId="0" borderId="13" xfId="0" applyNumberFormat="1" applyFont="1" applyBorder="1"/>
    <xf numFmtId="5" fontId="26" fillId="0" borderId="13" xfId="0" applyNumberFormat="1" applyFont="1" applyBorder="1"/>
    <xf numFmtId="5" fontId="26" fillId="0" borderId="0" xfId="0" applyNumberFormat="1" applyFont="1"/>
    <xf numFmtId="185" fontId="26" fillId="0" borderId="13" xfId="0" applyNumberFormat="1" applyFont="1" applyFill="1" applyBorder="1" applyProtection="1"/>
    <xf numFmtId="165" fontId="41" fillId="0" borderId="17" xfId="50" quotePrefix="1" applyNumberFormat="1" applyFont="1" applyFill="1" applyBorder="1" applyAlignment="1" applyProtection="1"/>
    <xf numFmtId="183" fontId="26" fillId="0" borderId="0" xfId="50" applyNumberFormat="1" applyFont="1" applyFill="1" applyBorder="1" applyProtection="1">
      <protection locked="0"/>
    </xf>
    <xf numFmtId="168" fontId="6" fillId="0" borderId="13" xfId="30" quotePrefix="1" applyNumberFormat="1" applyFont="1" applyFill="1" applyBorder="1" applyAlignment="1" applyProtection="1"/>
    <xf numFmtId="183" fontId="26" fillId="0" borderId="17" xfId="30" quotePrefix="1" applyNumberFormat="1" applyFont="1" applyFill="1" applyBorder="1" applyAlignment="1" applyProtection="1"/>
    <xf numFmtId="37" fontId="63" fillId="0" borderId="0" xfId="0" applyFont="1"/>
    <xf numFmtId="37" fontId="8" fillId="7" borderId="9" xfId="29" applyFont="1" applyFill="1" applyBorder="1" applyAlignment="1" applyProtection="1">
      <alignment horizontal="left"/>
    </xf>
    <xf numFmtId="37" fontId="8" fillId="7" borderId="10" xfId="29" applyFont="1" applyFill="1" applyBorder="1" applyAlignment="1" applyProtection="1">
      <alignment horizontal="left"/>
    </xf>
    <xf numFmtId="164" fontId="8" fillId="7" borderId="9" xfId="0" applyNumberFormat="1" applyFont="1" applyFill="1" applyBorder="1" applyAlignment="1" applyProtection="1">
      <alignment horizontal="right"/>
    </xf>
    <xf numFmtId="164" fontId="8" fillId="7" borderId="10" xfId="0" applyNumberFormat="1" applyFont="1" applyFill="1" applyBorder="1" applyAlignment="1" applyProtection="1">
      <alignment horizontal="right"/>
    </xf>
    <xf numFmtId="164" fontId="8" fillId="7" borderId="11" xfId="0" applyNumberFormat="1" applyFont="1" applyFill="1" applyBorder="1" applyAlignment="1" applyProtection="1">
      <alignment horizontal="right"/>
    </xf>
    <xf numFmtId="37" fontId="8" fillId="7" borderId="9" xfId="0" applyFont="1" applyFill="1" applyBorder="1" applyAlignment="1" applyProtection="1">
      <alignment horizontal="left"/>
    </xf>
    <xf numFmtId="166" fontId="64" fillId="0" borderId="0" xfId="0" applyNumberFormat="1" applyFont="1" applyBorder="1"/>
    <xf numFmtId="37" fontId="26" fillId="0" borderId="0" xfId="45" applyFont="1" applyFill="1" applyBorder="1" applyAlignment="1">
      <alignment horizontal="right"/>
    </xf>
    <xf numFmtId="37" fontId="8" fillId="0" borderId="23" xfId="0" applyFont="1" applyFill="1" applyBorder="1" applyAlignment="1">
      <alignment horizontal="right"/>
    </xf>
    <xf numFmtId="166" fontId="8" fillId="0" borderId="10" xfId="0" applyNumberFormat="1" applyFont="1" applyFill="1" applyBorder="1"/>
    <xf numFmtId="37" fontId="6" fillId="0" borderId="21" xfId="0" applyFont="1" applyFill="1" applyBorder="1" applyAlignment="1">
      <alignment horizontal="centerContinuous"/>
    </xf>
    <xf numFmtId="166" fontId="8" fillId="4" borderId="10" xfId="0" applyNumberFormat="1" applyFont="1" applyFill="1" applyBorder="1"/>
    <xf numFmtId="165" fontId="0" fillId="0" borderId="0" xfId="50" applyFont="1"/>
    <xf numFmtId="39" fontId="26" fillId="0" borderId="0" xfId="29" quotePrefix="1" applyNumberFormat="1" applyFont="1" applyFill="1" applyBorder="1" applyAlignment="1" applyProtection="1">
      <alignment horizontal="right"/>
    </xf>
    <xf numFmtId="185" fontId="6" fillId="0" borderId="0" xfId="30" applyNumberFormat="1" applyFont="1" applyFill="1" applyBorder="1" applyProtection="1"/>
    <xf numFmtId="185" fontId="26" fillId="0" borderId="0" xfId="30" applyNumberFormat="1" applyFont="1" applyFill="1" applyBorder="1" applyProtection="1"/>
    <xf numFmtId="184" fontId="6" fillId="0" borderId="13" xfId="30" applyNumberFormat="1" applyFont="1" applyFill="1" applyBorder="1" applyProtection="1"/>
    <xf numFmtId="187" fontId="26" fillId="0" borderId="0" xfId="0" applyNumberFormat="1" applyFont="1" applyFill="1" applyBorder="1" applyAlignment="1">
      <alignment horizontal="center"/>
    </xf>
    <xf numFmtId="187" fontId="26" fillId="0" borderId="21" xfId="0" applyNumberFormat="1" applyFont="1" applyFill="1" applyBorder="1" applyAlignment="1">
      <alignment horizontal="center"/>
    </xf>
    <xf numFmtId="2" fontId="3" fillId="7" borderId="0" xfId="35" applyNumberFormat="1" applyFont="1" applyFill="1" applyBorder="1" applyAlignment="1">
      <alignment horizontal="right"/>
    </xf>
    <xf numFmtId="166" fontId="8" fillId="0" borderId="0" xfId="0" applyNumberFormat="1" applyFont="1"/>
    <xf numFmtId="166" fontId="8" fillId="4" borderId="12" xfId="0" applyNumberFormat="1" applyFont="1" applyFill="1" applyBorder="1"/>
    <xf numFmtId="7" fontId="6" fillId="0" borderId="0" xfId="0" applyNumberFormat="1" applyFont="1" applyBorder="1"/>
    <xf numFmtId="7" fontId="26" fillId="0" borderId="0" xfId="0" applyNumberFormat="1" applyFont="1" applyBorder="1"/>
    <xf numFmtId="177" fontId="26" fillId="0" borderId="0" xfId="0" applyNumberFormat="1" applyFont="1" applyBorder="1"/>
    <xf numFmtId="166" fontId="43" fillId="4" borderId="10" xfId="0" applyNumberFormat="1" applyFont="1" applyFill="1" applyBorder="1"/>
    <xf numFmtId="166" fontId="8" fillId="0" borderId="12" xfId="0" applyNumberFormat="1" applyFont="1" applyBorder="1"/>
    <xf numFmtId="7" fontId="8" fillId="4" borderId="10" xfId="30" applyNumberFormat="1" applyFont="1" applyFill="1" applyBorder="1"/>
    <xf numFmtId="7" fontId="43" fillId="4" borderId="10" xfId="0" applyNumberFormat="1" applyFont="1" applyFill="1" applyBorder="1"/>
    <xf numFmtId="37" fontId="26" fillId="0" borderId="11" xfId="0" applyFont="1" applyBorder="1"/>
    <xf numFmtId="165" fontId="26" fillId="0" borderId="11" xfId="50" applyFont="1" applyBorder="1"/>
    <xf numFmtId="165" fontId="26" fillId="0" borderId="19" xfId="50" applyFont="1" applyBorder="1"/>
    <xf numFmtId="179" fontId="43" fillId="0" borderId="11" xfId="50" applyNumberFormat="1" applyFont="1" applyBorder="1" applyAlignment="1">
      <alignment horizontal="right"/>
    </xf>
    <xf numFmtId="187" fontId="8" fillId="0" borderId="0" xfId="0" applyNumberFormat="1" applyFont="1" applyFill="1" applyBorder="1" applyAlignment="1">
      <alignment horizontal="center"/>
    </xf>
    <xf numFmtId="187" fontId="6" fillId="0" borderId="0" xfId="0" applyNumberFormat="1" applyFont="1" applyFill="1" applyBorder="1" applyAlignment="1">
      <alignment horizontal="center"/>
    </xf>
    <xf numFmtId="37" fontId="40" fillId="0" borderId="0" xfId="0" applyFont="1" applyBorder="1"/>
    <xf numFmtId="39" fontId="6" fillId="0" borderId="0" xfId="0" applyNumberFormat="1" applyFont="1"/>
    <xf numFmtId="166" fontId="8" fillId="0" borderId="0" xfId="0" applyNumberFormat="1" applyFont="1" applyFill="1"/>
    <xf numFmtId="37" fontId="24" fillId="0" borderId="0" xfId="0" applyFont="1"/>
    <xf numFmtId="165" fontId="8" fillId="0" borderId="21" xfId="50" applyFont="1" applyBorder="1" applyAlignment="1">
      <alignment horizontal="center"/>
    </xf>
    <xf numFmtId="7" fontId="6" fillId="0" borderId="14" xfId="0" applyNumberFormat="1" applyFont="1" applyFill="1" applyBorder="1" applyAlignment="1">
      <alignment horizontal="center"/>
    </xf>
    <xf numFmtId="7" fontId="6" fillId="0" borderId="0" xfId="0" applyNumberFormat="1" applyFont="1" applyFill="1" applyAlignment="1">
      <alignment horizontal="center"/>
    </xf>
    <xf numFmtId="7" fontId="6" fillId="0" borderId="0" xfId="0" applyNumberFormat="1" applyFont="1" applyAlignment="1">
      <alignment horizontal="center"/>
    </xf>
    <xf numFmtId="39" fontId="6" fillId="0" borderId="24" xfId="0" applyNumberFormat="1" applyFont="1" applyFill="1" applyBorder="1" applyAlignment="1">
      <alignment horizontal="center"/>
    </xf>
    <xf numFmtId="39" fontId="6" fillId="0" borderId="0" xfId="0" applyNumberFormat="1" applyFont="1" applyFill="1" applyAlignment="1">
      <alignment horizontal="center"/>
    </xf>
    <xf numFmtId="39" fontId="6" fillId="0" borderId="0" xfId="0" applyNumberFormat="1" applyFont="1" applyAlignment="1">
      <alignment horizontal="center"/>
    </xf>
    <xf numFmtId="39" fontId="6" fillId="4" borderId="24" xfId="0" applyNumberFormat="1" applyFont="1" applyFill="1" applyBorder="1" applyAlignment="1">
      <alignment horizontal="center"/>
    </xf>
    <xf numFmtId="39" fontId="6" fillId="4" borderId="0" xfId="0" applyNumberFormat="1" applyFont="1" applyFill="1" applyAlignment="1">
      <alignment horizontal="center"/>
    </xf>
    <xf numFmtId="39" fontId="6" fillId="0" borderId="24" xfId="0" applyNumberFormat="1" applyFont="1" applyBorder="1" applyAlignment="1">
      <alignment horizontal="center"/>
    </xf>
    <xf numFmtId="168" fontId="26" fillId="0" borderId="0" xfId="0" applyNumberFormat="1" applyFont="1"/>
    <xf numFmtId="37" fontId="41" fillId="0" borderId="0" xfId="0" applyFont="1" applyFill="1" applyBorder="1" applyAlignment="1" applyProtection="1">
      <alignment horizontal="left" indent="1"/>
    </xf>
    <xf numFmtId="166" fontId="39" fillId="0" borderId="0" xfId="44" applyNumberFormat="1" applyFont="1" applyFill="1" applyBorder="1" applyAlignment="1">
      <alignment horizontal="left"/>
    </xf>
    <xf numFmtId="5" fontId="8" fillId="0" borderId="0" xfId="0" applyNumberFormat="1" applyFont="1"/>
    <xf numFmtId="37" fontId="8" fillId="0" borderId="0" xfId="0" applyNumberFormat="1" applyFont="1"/>
    <xf numFmtId="37" fontId="39" fillId="0" borderId="0" xfId="29" applyFont="1" applyFill="1" applyBorder="1"/>
    <xf numFmtId="41" fontId="6" fillId="0" borderId="0" xfId="0" applyNumberFormat="1" applyFont="1" applyFill="1" applyBorder="1" applyProtection="1"/>
    <xf numFmtId="41" fontId="8" fillId="0" borderId="0" xfId="0" applyNumberFormat="1" applyFont="1" applyFill="1" applyBorder="1" applyProtection="1"/>
    <xf numFmtId="166" fontId="43" fillId="0" borderId="0" xfId="0" applyNumberFormat="1" applyFont="1"/>
    <xf numFmtId="166" fontId="43" fillId="0" borderId="10" xfId="0" applyNumberFormat="1" applyFont="1" applyBorder="1"/>
    <xf numFmtId="37" fontId="8" fillId="0" borderId="11" xfId="0" applyFont="1" applyBorder="1" applyAlignment="1">
      <alignment horizontal="right"/>
    </xf>
    <xf numFmtId="5" fontId="8" fillId="4" borderId="11" xfId="0" applyNumberFormat="1" applyFont="1" applyFill="1" applyBorder="1"/>
    <xf numFmtId="166" fontId="6" fillId="0" borderId="0" xfId="44" applyNumberFormat="1" applyFont="1" applyFill="1" applyBorder="1" applyAlignment="1">
      <alignment horizontal="left"/>
    </xf>
    <xf numFmtId="41" fontId="6" fillId="0" borderId="13" xfId="0" applyNumberFormat="1" applyFont="1" applyFill="1" applyBorder="1" applyProtection="1"/>
    <xf numFmtId="165" fontId="47" fillId="0" borderId="0" xfId="0" applyNumberFormat="1" applyFont="1" applyFill="1" applyBorder="1" applyAlignment="1">
      <alignment horizontal="left" indent="1"/>
    </xf>
    <xf numFmtId="165" fontId="47" fillId="0" borderId="0" xfId="50" applyFont="1"/>
    <xf numFmtId="165" fontId="47" fillId="0" borderId="13" xfId="50" applyFont="1" applyBorder="1"/>
    <xf numFmtId="37" fontId="47" fillId="0" borderId="0" xfId="0" applyFont="1" applyFill="1" applyBorder="1" applyAlignment="1">
      <alignment horizontal="left" indent="1"/>
    </xf>
    <xf numFmtId="165" fontId="8" fillId="0" borderId="0" xfId="50" applyFont="1" applyAlignment="1">
      <alignment horizontal="centerContinuous"/>
    </xf>
    <xf numFmtId="165" fontId="8" fillId="0" borderId="10" xfId="50" applyFont="1" applyBorder="1"/>
    <xf numFmtId="39" fontId="6" fillId="0" borderId="24" xfId="0" applyNumberFormat="1" applyFont="1" applyBorder="1"/>
    <xf numFmtId="7" fontId="6" fillId="0" borderId="14" xfId="0" applyNumberFormat="1" applyFont="1" applyBorder="1"/>
    <xf numFmtId="9" fontId="6" fillId="0" borderId="14" xfId="50" applyNumberFormat="1" applyFont="1" applyBorder="1"/>
    <xf numFmtId="9" fontId="8" fillId="0" borderId="13" xfId="50" applyNumberFormat="1" applyFont="1" applyBorder="1"/>
    <xf numFmtId="9" fontId="6" fillId="4" borderId="0" xfId="50" applyNumberFormat="1" applyFont="1" applyFill="1" applyBorder="1"/>
    <xf numFmtId="165" fontId="8" fillId="4" borderId="10" xfId="50" applyFont="1" applyFill="1" applyBorder="1"/>
    <xf numFmtId="178" fontId="40" fillId="0" borderId="0" xfId="50" applyNumberFormat="1" applyFont="1" applyFill="1" applyBorder="1" applyProtection="1"/>
    <xf numFmtId="10" fontId="6" fillId="0" borderId="0" xfId="50" applyNumberFormat="1" applyFont="1" applyFill="1" applyBorder="1" applyProtection="1"/>
    <xf numFmtId="183" fontId="26" fillId="0" borderId="0" xfId="29" applyNumberFormat="1" applyFont="1" applyFill="1" applyBorder="1" applyAlignment="1" applyProtection="1">
      <alignment horizontal="left"/>
    </xf>
    <xf numFmtId="183" fontId="8" fillId="0" borderId="0" xfId="29" applyNumberFormat="1" applyFont="1" applyFill="1" applyBorder="1" applyProtection="1"/>
    <xf numFmtId="5" fontId="6" fillId="0" borderId="19" xfId="0" applyNumberFormat="1" applyFont="1" applyBorder="1"/>
    <xf numFmtId="175" fontId="6" fillId="0" borderId="13" xfId="0" applyNumberFormat="1" applyFont="1" applyBorder="1"/>
    <xf numFmtId="5" fontId="8" fillId="0" borderId="23" xfId="0" applyNumberFormat="1" applyFont="1" applyBorder="1"/>
    <xf numFmtId="37" fontId="43" fillId="4" borderId="11" xfId="0" applyNumberFormat="1" applyFont="1" applyFill="1" applyBorder="1"/>
    <xf numFmtId="165" fontId="26" fillId="0" borderId="10" xfId="50" applyFont="1" applyFill="1" applyBorder="1" applyProtection="1"/>
    <xf numFmtId="165" fontId="18" fillId="0" borderId="13" xfId="50" applyFont="1" applyFill="1" applyBorder="1"/>
    <xf numFmtId="165" fontId="6" fillId="3" borderId="21" xfId="50" applyNumberFormat="1" applyFont="1" applyFill="1" applyBorder="1"/>
    <xf numFmtId="39" fontId="26" fillId="0" borderId="0" xfId="0" applyNumberFormat="1" applyFont="1" applyFill="1" applyBorder="1" applyAlignment="1" applyProtection="1">
      <alignment horizontal="center"/>
    </xf>
    <xf numFmtId="37" fontId="26" fillId="0" borderId="0" xfId="29" applyNumberFormat="1" applyFont="1" applyFill="1" applyBorder="1" applyProtection="1"/>
    <xf numFmtId="37" fontId="26" fillId="0" borderId="21" xfId="0" applyFont="1" applyFill="1" applyBorder="1" applyProtection="1"/>
    <xf numFmtId="165" fontId="43" fillId="4" borderId="16" xfId="50" applyNumberFormat="1" applyFont="1" applyFill="1" applyBorder="1"/>
    <xf numFmtId="39" fontId="6" fillId="0" borderId="0" xfId="0" applyNumberFormat="1" applyFont="1" applyFill="1" applyBorder="1"/>
    <xf numFmtId="37" fontId="6" fillId="0" borderId="0" xfId="29" applyFont="1"/>
    <xf numFmtId="167" fontId="26" fillId="0" borderId="0" xfId="0" applyNumberFormat="1" applyFont="1" applyFill="1" applyBorder="1" applyAlignment="1" applyProtection="1">
      <alignment horizontal="center"/>
    </xf>
    <xf numFmtId="37" fontId="6" fillId="0" borderId="0" xfId="0" applyFont="1" applyAlignment="1">
      <alignment horizontal="centerContinuous"/>
    </xf>
    <xf numFmtId="179" fontId="8" fillId="0" borderId="0" xfId="29" applyNumberFormat="1" applyFont="1" applyAlignment="1">
      <alignment horizontal="centerContinuous"/>
    </xf>
    <xf numFmtId="37" fontId="40" fillId="0" borderId="0" xfId="0" applyFont="1" applyAlignment="1">
      <alignment horizontal="center"/>
    </xf>
    <xf numFmtId="165" fontId="26" fillId="0" borderId="0" xfId="50" applyFont="1" applyAlignment="1">
      <alignment horizontal="center"/>
    </xf>
    <xf numFmtId="165" fontId="45" fillId="0" borderId="0" xfId="50" applyFont="1" applyAlignment="1">
      <alignment horizontal="center"/>
    </xf>
    <xf numFmtId="5" fontId="6" fillId="0" borderId="0" xfId="30" applyFont="1" applyAlignment="1">
      <alignment horizontal="center"/>
    </xf>
    <xf numFmtId="5" fontId="6" fillId="0" borderId="0" xfId="30" quotePrefix="1" applyFont="1" applyAlignment="1">
      <alignment horizontal="center"/>
    </xf>
    <xf numFmtId="165" fontId="44" fillId="4" borderId="16" xfId="50" applyNumberFormat="1" applyFont="1" applyFill="1" applyBorder="1"/>
    <xf numFmtId="7" fontId="26" fillId="0" borderId="0" xfId="0" applyNumberFormat="1" applyFont="1"/>
    <xf numFmtId="41" fontId="26" fillId="0" borderId="0" xfId="29" applyNumberFormat="1" applyFont="1" applyFill="1" applyBorder="1" applyProtection="1"/>
    <xf numFmtId="166" fontId="0" fillId="0" borderId="0" xfId="0" applyNumberFormat="1"/>
    <xf numFmtId="167" fontId="0" fillId="0" borderId="0" xfId="0" applyNumberFormat="1"/>
    <xf numFmtId="39" fontId="0" fillId="0" borderId="0" xfId="0" applyNumberFormat="1" applyBorder="1"/>
    <xf numFmtId="10" fontId="0" fillId="0" borderId="0" xfId="50" applyNumberFormat="1" applyFont="1" applyBorder="1"/>
    <xf numFmtId="10" fontId="0" fillId="0" borderId="0" xfId="50" applyNumberFormat="1" applyFont="1"/>
    <xf numFmtId="168" fontId="43" fillId="4" borderId="10" xfId="0" applyNumberFormat="1" applyFont="1" applyFill="1" applyBorder="1"/>
    <xf numFmtId="166" fontId="43" fillId="0" borderId="10" xfId="0" applyNumberFormat="1" applyFont="1" applyFill="1" applyBorder="1"/>
    <xf numFmtId="37" fontId="45" fillId="0" borderId="21" xfId="0" applyFont="1" applyBorder="1" applyAlignment="1" applyProtection="1">
      <alignment horizontal="left"/>
    </xf>
    <xf numFmtId="165" fontId="26" fillId="0" borderId="21" xfId="0" applyNumberFormat="1" applyFont="1" applyFill="1" applyBorder="1" applyProtection="1"/>
    <xf numFmtId="165" fontId="26" fillId="0" borderId="21" xfId="30" applyNumberFormat="1" applyFont="1" applyFill="1" applyBorder="1" applyProtection="1"/>
    <xf numFmtId="7" fontId="26" fillId="0" borderId="21" xfId="30" applyNumberFormat="1" applyFont="1" applyFill="1" applyBorder="1" applyProtection="1"/>
    <xf numFmtId="184" fontId="26" fillId="0" borderId="0" xfId="30" applyNumberFormat="1" applyFont="1" applyFill="1" applyBorder="1" applyProtection="1"/>
    <xf numFmtId="5" fontId="8" fillId="0" borderId="0" xfId="30" quotePrefix="1" applyFont="1" applyFill="1" applyBorder="1" applyAlignment="1" applyProtection="1"/>
    <xf numFmtId="37" fontId="6" fillId="3" borderId="0" xfId="0" applyFont="1" applyFill="1" applyBorder="1" applyProtection="1"/>
    <xf numFmtId="183" fontId="26" fillId="0" borderId="0" xfId="0" applyNumberFormat="1" applyFont="1" applyBorder="1"/>
    <xf numFmtId="183" fontId="6" fillId="3" borderId="0" xfId="0" applyNumberFormat="1" applyFont="1" applyFill="1" applyBorder="1"/>
    <xf numFmtId="183" fontId="6" fillId="0" borderId="0" xfId="0" applyNumberFormat="1" applyFont="1"/>
    <xf numFmtId="183" fontId="6" fillId="3" borderId="0" xfId="0" applyNumberFormat="1" applyFont="1" applyFill="1"/>
    <xf numFmtId="0" fontId="6" fillId="0" borderId="0" xfId="0" applyNumberFormat="1" applyFont="1" applyAlignment="1">
      <alignment horizontal="left" indent="1"/>
    </xf>
    <xf numFmtId="166" fontId="6" fillId="0" borderId="0" xfId="29" applyNumberFormat="1" applyFont="1" applyAlignment="1">
      <alignment horizontal="left" indent="1"/>
    </xf>
    <xf numFmtId="166" fontId="26" fillId="0" borderId="0" xfId="29" applyNumberFormat="1" applyFont="1"/>
    <xf numFmtId="37" fontId="8" fillId="7" borderId="10" xfId="0" applyFont="1" applyFill="1" applyBorder="1" applyAlignment="1">
      <alignment horizontal="right"/>
    </xf>
    <xf numFmtId="0" fontId="8" fillId="7" borderId="11" xfId="0" applyNumberFormat="1" applyFont="1" applyFill="1" applyBorder="1" applyAlignment="1">
      <alignment horizontal="right"/>
    </xf>
    <xf numFmtId="37" fontId="8" fillId="7" borderId="12" xfId="0" applyFont="1" applyFill="1" applyBorder="1" applyAlignment="1">
      <alignment horizontal="right"/>
    </xf>
    <xf numFmtId="0" fontId="8" fillId="0" borderId="13" xfId="0" applyNumberFormat="1" applyFont="1" applyFill="1" applyBorder="1" applyAlignment="1">
      <alignment horizontal="right"/>
    </xf>
    <xf numFmtId="37" fontId="8" fillId="7" borderId="9" xfId="0" applyFont="1" applyFill="1" applyBorder="1"/>
    <xf numFmtId="166" fontId="8" fillId="0" borderId="0" xfId="29" applyNumberFormat="1" applyFont="1" applyAlignment="1">
      <alignment horizontal="left"/>
    </xf>
    <xf numFmtId="184" fontId="6" fillId="0" borderId="0" xfId="29" applyNumberFormat="1" applyFont="1" applyFill="1" applyBorder="1"/>
    <xf numFmtId="165" fontId="8" fillId="4" borderId="13" xfId="50" applyFont="1" applyFill="1" applyBorder="1"/>
    <xf numFmtId="0" fontId="40" fillId="0" borderId="0" xfId="0" applyNumberFormat="1" applyFont="1" applyBorder="1" applyAlignment="1">
      <alignment horizontal="right"/>
    </xf>
    <xf numFmtId="9" fontId="39" fillId="0" borderId="0" xfId="50" applyNumberFormat="1" applyFont="1" applyBorder="1"/>
    <xf numFmtId="183" fontId="43" fillId="0" borderId="0" xfId="29" applyNumberFormat="1" applyFont="1" applyFill="1" applyBorder="1"/>
    <xf numFmtId="37" fontId="6" fillId="0" borderId="11" xfId="0" applyFont="1" applyBorder="1"/>
    <xf numFmtId="166" fontId="64" fillId="0" borderId="0" xfId="0" applyNumberFormat="1" applyFont="1" applyFill="1" applyBorder="1"/>
    <xf numFmtId="37" fontId="26" fillId="0" borderId="0" xfId="0" applyFont="1" applyFill="1"/>
    <xf numFmtId="165" fontId="6" fillId="0" borderId="0" xfId="50" applyFont="1" applyFill="1" applyBorder="1"/>
    <xf numFmtId="183" fontId="26" fillId="0" borderId="13" xfId="29" quotePrefix="1" applyNumberFormat="1" applyFont="1" applyFill="1" applyBorder="1" applyAlignment="1" applyProtection="1"/>
    <xf numFmtId="166" fontId="6" fillId="0" borderId="13" xfId="29" quotePrefix="1" applyNumberFormat="1" applyFont="1" applyFill="1" applyBorder="1" applyAlignment="1" applyProtection="1"/>
    <xf numFmtId="5" fontId="8" fillId="4" borderId="12" xfId="0" quotePrefix="1" applyNumberFormat="1" applyFont="1" applyFill="1" applyBorder="1"/>
    <xf numFmtId="10" fontId="59" fillId="0" borderId="0" xfId="50" applyNumberFormat="1" applyFont="1" applyBorder="1"/>
    <xf numFmtId="10" fontId="59" fillId="0" borderId="0" xfId="50" applyNumberFormat="1" applyFont="1"/>
    <xf numFmtId="165" fontId="59" fillId="0" borderId="0" xfId="50" applyFont="1"/>
    <xf numFmtId="37" fontId="6" fillId="0" borderId="16" xfId="0" applyFont="1" applyFill="1" applyBorder="1" applyAlignment="1" applyProtection="1">
      <alignment horizontal="left"/>
    </xf>
    <xf numFmtId="165" fontId="26" fillId="0" borderId="16" xfId="50" quotePrefix="1" applyFont="1" applyFill="1" applyBorder="1" applyAlignment="1" applyProtection="1"/>
    <xf numFmtId="37" fontId="1" fillId="0" borderId="0" xfId="0" applyFont="1"/>
    <xf numFmtId="37" fontId="1" fillId="0" borderId="21" xfId="0" applyFont="1" applyBorder="1"/>
    <xf numFmtId="37" fontId="1" fillId="0" borderId="0" xfId="0" applyFont="1" applyBorder="1"/>
    <xf numFmtId="37" fontId="1" fillId="0" borderId="0" xfId="0" applyFont="1" applyBorder="1" applyAlignment="1">
      <alignment horizontal="center"/>
    </xf>
    <xf numFmtId="10" fontId="6" fillId="0" borderId="0" xfId="50" quotePrefix="1" applyNumberFormat="1" applyFont="1" applyFill="1" applyBorder="1" applyAlignment="1" applyProtection="1"/>
    <xf numFmtId="9" fontId="26" fillId="0" borderId="0" xfId="50" applyNumberFormat="1" applyFont="1"/>
    <xf numFmtId="0" fontId="6" fillId="0" borderId="0" xfId="0" applyNumberFormat="1" applyFont="1" applyAlignment="1">
      <alignment horizontal="right"/>
    </xf>
    <xf numFmtId="0" fontId="6" fillId="0" borderId="21" xfId="0" applyNumberFormat="1" applyFont="1" applyBorder="1" applyAlignment="1">
      <alignment horizontal="right"/>
    </xf>
    <xf numFmtId="37" fontId="6" fillId="4" borderId="15" xfId="0" applyFont="1" applyFill="1" applyBorder="1"/>
    <xf numFmtId="37" fontId="8" fillId="4" borderId="23" xfId="0" applyFont="1" applyFill="1" applyBorder="1"/>
    <xf numFmtId="37" fontId="6" fillId="4" borderId="22" xfId="0" applyFont="1" applyFill="1" applyBorder="1"/>
    <xf numFmtId="189" fontId="26" fillId="0" borderId="0" xfId="29" applyNumberFormat="1" applyFont="1"/>
    <xf numFmtId="189" fontId="6" fillId="0" borderId="0" xfId="29" applyNumberFormat="1" applyFont="1"/>
    <xf numFmtId="189" fontId="6" fillId="2" borderId="0" xfId="29" applyNumberFormat="1" applyFont="1" applyFill="1"/>
    <xf numFmtId="168" fontId="8" fillId="4" borderId="12" xfId="30" applyNumberFormat="1" applyFont="1" applyFill="1" applyBorder="1"/>
    <xf numFmtId="165" fontId="8" fillId="0" borderId="0" xfId="50" applyFont="1" applyFill="1" applyBorder="1" applyAlignment="1" applyProtection="1">
      <alignment horizontal="right"/>
    </xf>
    <xf numFmtId="10" fontId="8" fillId="0" borderId="0" xfId="50" applyNumberFormat="1" applyFont="1" applyFill="1" applyBorder="1" applyAlignment="1" applyProtection="1">
      <alignment horizontal="right"/>
    </xf>
    <xf numFmtId="168" fontId="41" fillId="0" borderId="0" xfId="30" applyNumberFormat="1" applyFont="1" applyFill="1" applyBorder="1" applyAlignment="1" applyProtection="1"/>
    <xf numFmtId="5" fontId="1" fillId="0" borderId="0" xfId="30" applyFont="1" applyBorder="1" applyAlignment="1">
      <alignment horizontal="center"/>
    </xf>
    <xf numFmtId="7" fontId="1" fillId="0" borderId="0" xfId="30" applyNumberFormat="1" applyFont="1" applyBorder="1" applyAlignment="1">
      <alignment horizontal="center"/>
    </xf>
    <xf numFmtId="189" fontId="6" fillId="0" borderId="0" xfId="0" applyNumberFormat="1" applyFont="1"/>
    <xf numFmtId="189" fontId="39" fillId="0" borderId="0" xfId="0" applyNumberFormat="1" applyFont="1"/>
    <xf numFmtId="189" fontId="26" fillId="0" borderId="0" xfId="0" applyNumberFormat="1" applyFont="1"/>
    <xf numFmtId="189" fontId="8" fillId="0" borderId="0" xfId="0" applyNumberFormat="1" applyFont="1" applyBorder="1"/>
    <xf numFmtId="189" fontId="8" fillId="4" borderId="12" xfId="0" applyNumberFormat="1" applyFont="1" applyFill="1" applyBorder="1"/>
    <xf numFmtId="168" fontId="8" fillId="0" borderId="0" xfId="30" applyNumberFormat="1" applyFont="1"/>
    <xf numFmtId="2" fontId="36" fillId="0" borderId="19" xfId="35" applyNumberFormat="1" applyFont="1" applyFill="1" applyBorder="1" applyAlignment="1">
      <alignment wrapText="1"/>
    </xf>
    <xf numFmtId="2" fontId="3" fillId="7" borderId="31" xfId="35" applyNumberFormat="1" applyFont="1" applyFill="1" applyBorder="1" applyAlignment="1">
      <alignment horizontal="right"/>
    </xf>
    <xf numFmtId="182" fontId="36" fillId="0" borderId="21" xfId="35" applyNumberFormat="1" applyFont="1" applyFill="1" applyBorder="1" applyAlignment="1">
      <alignment horizontal="right"/>
    </xf>
    <xf numFmtId="183" fontId="39" fillId="0" borderId="0" xfId="30" quotePrefix="1" applyNumberFormat="1" applyFont="1" applyFill="1" applyBorder="1" applyAlignment="1" applyProtection="1"/>
    <xf numFmtId="168" fontId="62" fillId="0" borderId="0" xfId="30" quotePrefix="1" applyNumberFormat="1" applyFont="1" applyFill="1" applyBorder="1" applyAlignment="1" applyProtection="1"/>
    <xf numFmtId="168" fontId="58" fillId="0" borderId="0" xfId="50" quotePrefix="1" applyNumberFormat="1" applyFont="1" applyFill="1" applyBorder="1" applyAlignment="1" applyProtection="1"/>
    <xf numFmtId="168" fontId="58" fillId="0" borderId="0" xfId="29" quotePrefix="1" applyNumberFormat="1" applyFont="1" applyFill="1" applyBorder="1" applyAlignment="1" applyProtection="1"/>
    <xf numFmtId="168" fontId="39" fillId="9" borderId="0" xfId="0" applyNumberFormat="1" applyFont="1" applyFill="1" applyBorder="1"/>
    <xf numFmtId="10" fontId="43" fillId="0" borderId="0" xfId="50" applyNumberFormat="1" applyFont="1" applyFill="1" applyBorder="1" applyAlignment="1" applyProtection="1"/>
    <xf numFmtId="9" fontId="50" fillId="0" borderId="0" xfId="0" applyNumberFormat="1" applyFont="1" applyFill="1" applyBorder="1" applyProtection="1"/>
    <xf numFmtId="183" fontId="49" fillId="0" borderId="0" xfId="29" applyNumberFormat="1" applyFont="1" applyFill="1" applyBorder="1" applyProtection="1">
      <protection locked="0"/>
    </xf>
    <xf numFmtId="166" fontId="39" fillId="0" borderId="0" xfId="29" applyNumberFormat="1" applyFont="1" applyFill="1" applyBorder="1" applyProtection="1">
      <protection locked="0"/>
    </xf>
    <xf numFmtId="166" fontId="62" fillId="0" borderId="0" xfId="29" applyNumberFormat="1" applyFont="1" applyFill="1" applyBorder="1" applyProtection="1">
      <protection locked="0"/>
    </xf>
    <xf numFmtId="183" fontId="26" fillId="3" borderId="24" xfId="29" applyNumberFormat="1" applyFont="1" applyFill="1" applyBorder="1" applyProtection="1"/>
    <xf numFmtId="168" fontId="8" fillId="0" borderId="13" xfId="30" applyNumberFormat="1" applyFont="1" applyFill="1" applyBorder="1" applyProtection="1"/>
    <xf numFmtId="168" fontId="8" fillId="0" borderId="25" xfId="30" applyNumberFormat="1" applyFont="1" applyFill="1" applyBorder="1" applyProtection="1"/>
    <xf numFmtId="183" fontId="39" fillId="0" borderId="24" xfId="30" applyNumberFormat="1" applyFont="1" applyFill="1" applyBorder="1" applyProtection="1"/>
    <xf numFmtId="183" fontId="39" fillId="0" borderId="0" xfId="30" applyNumberFormat="1" applyFont="1" applyFill="1" applyBorder="1" applyProtection="1"/>
    <xf numFmtId="183" fontId="39" fillId="0" borderId="13" xfId="30" applyNumberFormat="1" applyFont="1" applyFill="1" applyBorder="1" applyProtection="1"/>
    <xf numFmtId="183" fontId="40" fillId="0" borderId="0" xfId="30" applyNumberFormat="1" applyFont="1" applyFill="1" applyBorder="1" applyProtection="1"/>
    <xf numFmtId="5" fontId="39" fillId="0" borderId="0" xfId="30" applyFont="1" applyFill="1" applyBorder="1" applyProtection="1"/>
    <xf numFmtId="9" fontId="39" fillId="0" borderId="0" xfId="0" applyNumberFormat="1" applyFont="1" applyFill="1" applyBorder="1" applyProtection="1"/>
    <xf numFmtId="166" fontId="8" fillId="0" borderId="0" xfId="30" applyNumberFormat="1" applyFont="1" applyFill="1" applyBorder="1" applyAlignment="1" applyProtection="1">
      <alignment horizontal="left"/>
    </xf>
    <xf numFmtId="166" fontId="40" fillId="0" borderId="0" xfId="30" applyNumberFormat="1" applyFont="1" applyFill="1" applyBorder="1" applyAlignment="1" applyProtection="1">
      <alignment horizontal="left"/>
    </xf>
    <xf numFmtId="166" fontId="6" fillId="0" borderId="0" xfId="30" applyNumberFormat="1" applyFont="1" applyFill="1" applyBorder="1" applyAlignment="1" applyProtection="1">
      <alignment horizontal="left" indent="1"/>
    </xf>
    <xf numFmtId="166" fontId="39" fillId="0" borderId="0" xfId="30" applyNumberFormat="1" applyFont="1" applyFill="1" applyBorder="1" applyAlignment="1" applyProtection="1">
      <alignment horizontal="left"/>
    </xf>
    <xf numFmtId="183" fontId="8" fillId="0" borderId="24" xfId="50" applyNumberFormat="1" applyFont="1" applyFill="1" applyBorder="1" applyProtection="1">
      <protection locked="0"/>
    </xf>
    <xf numFmtId="183" fontId="8" fillId="0" borderId="0" xfId="50" applyNumberFormat="1" applyFont="1" applyFill="1" applyBorder="1" applyProtection="1">
      <protection locked="0"/>
    </xf>
    <xf numFmtId="183" fontId="8" fillId="0" borderId="13" xfId="50" applyNumberFormat="1" applyFont="1" applyFill="1" applyBorder="1" applyProtection="1">
      <protection locked="0"/>
    </xf>
    <xf numFmtId="185" fontId="6" fillId="0" borderId="0" xfId="50" applyNumberFormat="1" applyFont="1" applyFill="1" applyBorder="1" applyProtection="1">
      <protection locked="0"/>
    </xf>
    <xf numFmtId="185" fontId="6" fillId="0" borderId="13" xfId="50" applyNumberFormat="1" applyFont="1" applyFill="1" applyBorder="1" applyProtection="1">
      <protection locked="0"/>
    </xf>
    <xf numFmtId="185" fontId="26" fillId="0" borderId="0" xfId="50" applyNumberFormat="1" applyFont="1" applyFill="1" applyBorder="1" applyProtection="1">
      <protection locked="0"/>
    </xf>
    <xf numFmtId="166" fontId="39" fillId="0" borderId="0" xfId="30" applyNumberFormat="1" applyFont="1" applyFill="1" applyBorder="1" applyAlignment="1" applyProtection="1">
      <alignment horizontal="left" indent="1"/>
    </xf>
    <xf numFmtId="183" fontId="39" fillId="0" borderId="24" xfId="50" applyNumberFormat="1" applyFont="1" applyFill="1" applyBorder="1" applyProtection="1">
      <protection locked="0"/>
    </xf>
    <xf numFmtId="183" fontId="39" fillId="0" borderId="0" xfId="50" applyNumberFormat="1" applyFont="1" applyFill="1" applyBorder="1" applyProtection="1">
      <protection locked="0"/>
    </xf>
    <xf numFmtId="183" fontId="39" fillId="0" borderId="13" xfId="50" applyNumberFormat="1" applyFont="1" applyFill="1" applyBorder="1" applyProtection="1">
      <protection locked="0"/>
    </xf>
    <xf numFmtId="185" fontId="39" fillId="0" borderId="0" xfId="50" applyNumberFormat="1" applyFont="1" applyFill="1" applyBorder="1" applyProtection="1">
      <protection locked="0"/>
    </xf>
    <xf numFmtId="185" fontId="39" fillId="0" borderId="13" xfId="50" applyNumberFormat="1" applyFont="1" applyFill="1" applyBorder="1" applyProtection="1">
      <protection locked="0"/>
    </xf>
    <xf numFmtId="183" fontId="49" fillId="0" borderId="0" xfId="50" applyNumberFormat="1" applyFont="1" applyFill="1" applyBorder="1" applyProtection="1">
      <protection locked="0"/>
    </xf>
    <xf numFmtId="166" fontId="8" fillId="3" borderId="0" xfId="30" applyNumberFormat="1" applyFont="1" applyFill="1" applyBorder="1" applyAlignment="1" applyProtection="1">
      <alignment horizontal="left"/>
    </xf>
    <xf numFmtId="166" fontId="6" fillId="3" borderId="0" xfId="30" applyNumberFormat="1" applyFont="1" applyFill="1" applyBorder="1" applyAlignment="1" applyProtection="1">
      <alignment horizontal="left"/>
    </xf>
    <xf numFmtId="37" fontId="25" fillId="0" borderId="0" xfId="0" applyFont="1"/>
    <xf numFmtId="37" fontId="18" fillId="0" borderId="0" xfId="0" applyFont="1" applyAlignment="1">
      <alignment wrapText="1"/>
    </xf>
    <xf numFmtId="37" fontId="71" fillId="0" borderId="0" xfId="0" applyFont="1" applyAlignment="1">
      <alignment wrapText="1"/>
    </xf>
    <xf numFmtId="37" fontId="70" fillId="0" borderId="0" xfId="0" applyFont="1" applyAlignment="1">
      <alignment horizontal="center" wrapText="1"/>
    </xf>
    <xf numFmtId="37" fontId="70" fillId="0" borderId="32" xfId="0" applyFont="1" applyBorder="1" applyAlignment="1">
      <alignment horizontal="center" wrapText="1"/>
    </xf>
    <xf numFmtId="37" fontId="6" fillId="10" borderId="0" xfId="0" applyFont="1" applyFill="1" applyAlignment="1">
      <alignment horizontal="left" vertical="top" wrapText="1" indent="1"/>
    </xf>
    <xf numFmtId="37" fontId="71" fillId="10" borderId="0" xfId="0" applyFont="1" applyFill="1" applyAlignment="1">
      <alignment wrapText="1"/>
    </xf>
    <xf numFmtId="37" fontId="6" fillId="10" borderId="0" xfId="0" applyFont="1" applyFill="1" applyAlignment="1">
      <alignment horizontal="center" wrapText="1"/>
    </xf>
    <xf numFmtId="37" fontId="6" fillId="0" borderId="0" xfId="0" applyFont="1" applyAlignment="1">
      <alignment horizontal="left" vertical="top" wrapText="1" indent="1"/>
    </xf>
    <xf numFmtId="37" fontId="6" fillId="0" borderId="0" xfId="0" applyFont="1" applyAlignment="1">
      <alignment horizontal="center" wrapText="1"/>
    </xf>
    <xf numFmtId="37" fontId="70" fillId="0" borderId="0" xfId="0" applyFont="1" applyAlignment="1">
      <alignment horizontal="center"/>
    </xf>
    <xf numFmtId="37" fontId="70" fillId="0" borderId="32" xfId="0" applyFont="1" applyBorder="1" applyAlignment="1">
      <alignment horizontal="center"/>
    </xf>
    <xf numFmtId="37" fontId="6" fillId="0" borderId="0" xfId="0" applyFont="1" applyAlignment="1">
      <alignment horizontal="center" vertical="top" wrapText="1"/>
    </xf>
    <xf numFmtId="37" fontId="39" fillId="0" borderId="0" xfId="0" applyFont="1" applyAlignment="1">
      <alignment horizontal="center" wrapText="1"/>
    </xf>
    <xf numFmtId="166" fontId="66" fillId="3" borderId="0" xfId="0" applyNumberFormat="1" applyFont="1" applyFill="1" applyBorder="1"/>
    <xf numFmtId="37" fontId="73" fillId="0" borderId="0" xfId="0" applyFont="1" applyFill="1" applyBorder="1" applyAlignment="1">
      <alignment horizontal="center" wrapText="1"/>
    </xf>
    <xf numFmtId="37" fontId="74" fillId="0" borderId="0" xfId="0" applyFont="1" applyFill="1" applyBorder="1" applyAlignment="1">
      <alignment wrapText="1"/>
    </xf>
    <xf numFmtId="37" fontId="73" fillId="0" borderId="0" xfId="0" applyFont="1" applyFill="1" applyBorder="1" applyAlignment="1">
      <alignment horizontal="right" wrapText="1"/>
    </xf>
    <xf numFmtId="37" fontId="74" fillId="0" borderId="0" xfId="0" applyFont="1" applyFill="1" applyBorder="1" applyAlignment="1">
      <alignment horizontal="left" wrapText="1"/>
    </xf>
    <xf numFmtId="37" fontId="6" fillId="0" borderId="0" xfId="0" applyFont="1" applyFill="1" applyAlignment="1">
      <alignment horizontal="left" wrapText="1"/>
    </xf>
    <xf numFmtId="37" fontId="6" fillId="0" borderId="0" xfId="0" applyFont="1" applyFill="1" applyBorder="1" applyAlignment="1">
      <alignment horizontal="left" wrapText="1" indent="1"/>
    </xf>
    <xf numFmtId="39" fontId="41" fillId="0" borderId="0" xfId="0" applyNumberFormat="1" applyFont="1" applyFill="1" applyBorder="1" applyAlignment="1" applyProtection="1">
      <alignment horizontal="right"/>
    </xf>
    <xf numFmtId="37" fontId="6" fillId="0" borderId="0" xfId="0" applyFont="1" applyFill="1" applyAlignment="1">
      <alignment horizontal="left" indent="1"/>
    </xf>
    <xf numFmtId="37" fontId="41" fillId="0" borderId="0" xfId="0" applyFont="1" applyFill="1" applyAlignment="1">
      <alignment horizontal="left"/>
    </xf>
    <xf numFmtId="183" fontId="41" fillId="0" borderId="0" xfId="30" quotePrefix="1" applyNumberFormat="1" applyFont="1" applyFill="1" applyBorder="1" applyAlignment="1" applyProtection="1">
      <alignment horizontal="right"/>
    </xf>
    <xf numFmtId="183" fontId="41" fillId="0" borderId="13" xfId="30" quotePrefix="1" applyNumberFormat="1" applyFont="1" applyFill="1" applyBorder="1" applyAlignment="1" applyProtection="1">
      <alignment horizontal="right"/>
    </xf>
    <xf numFmtId="165" fontId="26" fillId="0" borderId="21" xfId="50" quotePrefix="1" applyFont="1" applyFill="1" applyBorder="1" applyAlignment="1" applyProtection="1"/>
    <xf numFmtId="183" fontId="6" fillId="0" borderId="19" xfId="30" quotePrefix="1" applyNumberFormat="1" applyFont="1" applyFill="1" applyBorder="1" applyAlignment="1" applyProtection="1"/>
    <xf numFmtId="175" fontId="6" fillId="0" borderId="13" xfId="29" quotePrefix="1" applyNumberFormat="1" applyFont="1" applyFill="1" applyBorder="1" applyAlignment="1" applyProtection="1"/>
    <xf numFmtId="175" fontId="6" fillId="0" borderId="0" xfId="50" quotePrefix="1" applyNumberFormat="1" applyFont="1" applyFill="1" applyBorder="1" applyAlignment="1" applyProtection="1"/>
    <xf numFmtId="180" fontId="6" fillId="0" borderId="24" xfId="30" applyNumberFormat="1" applyFont="1" applyFill="1" applyBorder="1" applyProtection="1"/>
    <xf numFmtId="5" fontId="41" fillId="0" borderId="24" xfId="30" applyFont="1" applyFill="1" applyBorder="1" applyProtection="1"/>
    <xf numFmtId="5" fontId="41" fillId="0" borderId="23" xfId="30" applyFont="1" applyFill="1" applyBorder="1" applyProtection="1"/>
    <xf numFmtId="164" fontId="26" fillId="0" borderId="25" xfId="0" applyNumberFormat="1" applyFont="1" applyFill="1" applyBorder="1" applyAlignment="1" applyProtection="1">
      <alignment horizontal="right"/>
    </xf>
    <xf numFmtId="9" fontId="26" fillId="0" borderId="19" xfId="0" applyNumberFormat="1" applyFont="1" applyFill="1" applyBorder="1" applyProtection="1"/>
    <xf numFmtId="1" fontId="8" fillId="0" borderId="25" xfId="30" applyNumberFormat="1" applyFont="1" applyFill="1" applyBorder="1" applyAlignment="1" applyProtection="1">
      <alignment horizontal="right"/>
    </xf>
    <xf numFmtId="37" fontId="26" fillId="0" borderId="25" xfId="0" applyFont="1" applyFill="1" applyBorder="1" applyProtection="1"/>
    <xf numFmtId="166" fontId="26" fillId="0" borderId="25" xfId="50" applyNumberFormat="1" applyFont="1" applyFill="1" applyBorder="1" applyProtection="1">
      <protection locked="0"/>
    </xf>
    <xf numFmtId="37" fontId="18" fillId="0" borderId="17" xfId="0" applyFont="1" applyFill="1" applyBorder="1"/>
    <xf numFmtId="37" fontId="18" fillId="0" borderId="13" xfId="0" applyFont="1" applyBorder="1"/>
    <xf numFmtId="37" fontId="6" fillId="0" borderId="0" xfId="29" applyFont="1" applyFill="1" applyBorder="1" applyAlignment="1" applyProtection="1">
      <alignment horizontal="right"/>
    </xf>
    <xf numFmtId="183" fontId="6" fillId="0" borderId="24" xfId="0" applyNumberFormat="1" applyFont="1" applyFill="1" applyBorder="1"/>
    <xf numFmtId="183" fontId="6" fillId="0" borderId="19" xfId="30" quotePrefix="1" applyNumberFormat="1" applyFont="1" applyFill="1" applyBorder="1" applyAlignment="1" applyProtection="1">
      <alignment horizontal="right"/>
    </xf>
    <xf numFmtId="165" fontId="26" fillId="0" borderId="24" xfId="0" applyNumberFormat="1" applyFont="1" applyFill="1" applyBorder="1" applyAlignment="1" applyProtection="1">
      <alignment horizontal="right"/>
    </xf>
    <xf numFmtId="37" fontId="6" fillId="0" borderId="25" xfId="29" applyFont="1" applyFill="1" applyBorder="1" applyProtection="1"/>
    <xf numFmtId="168" fontId="41" fillId="0" borderId="0" xfId="29" applyNumberFormat="1" applyFont="1" applyFill="1" applyBorder="1" applyAlignment="1" applyProtection="1">
      <alignment horizontal="left" indent="1"/>
    </xf>
    <xf numFmtId="175" fontId="6" fillId="0" borderId="13" xfId="50" quotePrefix="1" applyNumberFormat="1" applyFont="1" applyFill="1" applyBorder="1" applyAlignment="1" applyProtection="1"/>
    <xf numFmtId="37" fontId="8" fillId="4" borderId="9" xfId="29" applyFont="1" applyFill="1" applyBorder="1" applyAlignment="1" applyProtection="1">
      <alignment horizontal="left"/>
    </xf>
    <xf numFmtId="37" fontId="8" fillId="4" borderId="10" xfId="0" applyFont="1" applyFill="1" applyBorder="1" applyAlignment="1" applyProtection="1">
      <alignment horizontal="left"/>
    </xf>
    <xf numFmtId="183" fontId="43" fillId="4" borderId="9" xfId="29" quotePrefix="1" applyNumberFormat="1" applyFont="1" applyFill="1" applyBorder="1" applyAlignment="1" applyProtection="1"/>
    <xf numFmtId="183" fontId="8" fillId="4" borderId="10" xfId="29" quotePrefix="1" applyNumberFormat="1" applyFont="1" applyFill="1" applyBorder="1" applyAlignment="1" applyProtection="1"/>
    <xf numFmtId="183" fontId="8" fillId="4" borderId="11" xfId="29" quotePrefix="1" applyNumberFormat="1" applyFont="1" applyFill="1" applyBorder="1" applyAlignment="1" applyProtection="1"/>
    <xf numFmtId="183" fontId="8" fillId="4" borderId="9" xfId="30" applyNumberFormat="1" applyFont="1" applyFill="1" applyBorder="1" applyProtection="1"/>
    <xf numFmtId="183" fontId="8" fillId="4" borderId="10" xfId="30" applyNumberFormat="1" applyFont="1" applyFill="1" applyBorder="1" applyProtection="1"/>
    <xf numFmtId="183" fontId="8" fillId="4" borderId="11" xfId="30" applyNumberFormat="1" applyFont="1" applyFill="1" applyBorder="1" applyProtection="1"/>
    <xf numFmtId="37" fontId="8" fillId="4" borderId="10" xfId="29" applyFont="1" applyFill="1" applyBorder="1" applyAlignment="1" applyProtection="1">
      <alignment horizontal="left"/>
    </xf>
    <xf numFmtId="183" fontId="8" fillId="4" borderId="9" xfId="30" quotePrefix="1" applyNumberFormat="1" applyFont="1" applyFill="1" applyBorder="1" applyAlignment="1" applyProtection="1"/>
    <xf numFmtId="183" fontId="8" fillId="4" borderId="10" xfId="30" quotePrefix="1" applyNumberFormat="1" applyFont="1" applyFill="1" applyBorder="1" applyAlignment="1" applyProtection="1"/>
    <xf numFmtId="183" fontId="8" fillId="4" borderId="11" xfId="30" quotePrefix="1" applyNumberFormat="1" applyFont="1" applyFill="1" applyBorder="1" applyAlignment="1" applyProtection="1"/>
    <xf numFmtId="183" fontId="39" fillId="0" borderId="0" xfId="29" quotePrefix="1" applyNumberFormat="1" applyFont="1" applyFill="1" applyBorder="1" applyAlignment="1" applyProtection="1"/>
    <xf numFmtId="166" fontId="62" fillId="0" borderId="0" xfId="29" quotePrefix="1" applyNumberFormat="1" applyFont="1" applyFill="1" applyBorder="1" applyAlignment="1" applyProtection="1"/>
    <xf numFmtId="165" fontId="49" fillId="0" borderId="0" xfId="50" quotePrefix="1" applyFont="1" applyFill="1" applyBorder="1" applyAlignment="1" applyProtection="1"/>
    <xf numFmtId="37" fontId="6" fillId="0" borderId="17" xfId="0" applyFont="1" applyFill="1" applyBorder="1" applyProtection="1"/>
    <xf numFmtId="180" fontId="26" fillId="0" borderId="24" xfId="0" applyNumberFormat="1" applyFont="1" applyFill="1" applyBorder="1" applyAlignment="1" applyProtection="1">
      <alignment horizontal="right"/>
    </xf>
    <xf numFmtId="189" fontId="6" fillId="0" borderId="0" xfId="29" applyNumberFormat="1" applyFont="1" applyFill="1" applyBorder="1" applyAlignment="1" applyProtection="1">
      <alignment horizontal="right"/>
    </xf>
    <xf numFmtId="189" fontId="6" fillId="0" borderId="13" xfId="29" applyNumberFormat="1" applyFont="1" applyFill="1" applyBorder="1" applyAlignment="1" applyProtection="1">
      <alignment horizontal="right"/>
    </xf>
    <xf numFmtId="180" fontId="41" fillId="0" borderId="24" xfId="30" applyNumberFormat="1" applyFont="1" applyFill="1" applyBorder="1" applyProtection="1"/>
    <xf numFmtId="168" fontId="6" fillId="0" borderId="24" xfId="0" applyNumberFormat="1" applyFont="1" applyFill="1" applyBorder="1" applyProtection="1"/>
    <xf numFmtId="168" fontId="8" fillId="0" borderId="9" xfId="30" applyNumberFormat="1" applyFont="1" applyFill="1" applyBorder="1" applyProtection="1"/>
    <xf numFmtId="168" fontId="8" fillId="0" borderId="14" xfId="30" applyNumberFormat="1" applyFont="1" applyFill="1" applyBorder="1" applyProtection="1"/>
    <xf numFmtId="5" fontId="48" fillId="0" borderId="24" xfId="30" applyFont="1" applyFill="1" applyBorder="1" applyAlignment="1" applyProtection="1">
      <alignment horizontal="left"/>
    </xf>
    <xf numFmtId="5" fontId="48" fillId="0" borderId="24" xfId="30" applyFont="1" applyFill="1" applyBorder="1" applyProtection="1"/>
    <xf numFmtId="179" fontId="8" fillId="0" borderId="21" xfId="0" applyNumberFormat="1" applyFont="1" applyBorder="1" applyAlignment="1">
      <alignment horizontal="right"/>
    </xf>
    <xf numFmtId="179" fontId="8" fillId="0" borderId="21" xfId="0" quotePrefix="1" applyNumberFormat="1" applyFont="1" applyBorder="1" applyAlignment="1">
      <alignment horizontal="right"/>
    </xf>
    <xf numFmtId="37" fontId="8" fillId="0" borderId="10" xfId="0" applyFont="1" applyBorder="1"/>
    <xf numFmtId="7" fontId="8" fillId="0" borderId="10" xfId="30" applyNumberFormat="1" applyFont="1" applyBorder="1"/>
    <xf numFmtId="180" fontId="8" fillId="0" borderId="12" xfId="0" applyNumberFormat="1" applyFont="1" applyBorder="1"/>
    <xf numFmtId="7" fontId="8" fillId="4" borderId="28" xfId="30" applyNumberFormat="1" applyFont="1" applyFill="1" applyBorder="1"/>
    <xf numFmtId="39" fontId="26" fillId="0" borderId="13" xfId="0" applyNumberFormat="1" applyFont="1" applyFill="1" applyBorder="1" applyAlignment="1" applyProtection="1">
      <alignment horizontal="right"/>
    </xf>
    <xf numFmtId="170" fontId="26" fillId="0" borderId="0" xfId="30" quotePrefix="1" applyNumberFormat="1" applyFont="1" applyFill="1" applyBorder="1" applyAlignment="1" applyProtection="1"/>
    <xf numFmtId="37" fontId="8" fillId="0" borderId="0" xfId="0" applyFont="1" applyAlignment="1">
      <alignment horizontal="left"/>
    </xf>
    <xf numFmtId="41" fontId="6" fillId="0" borderId="0" xfId="0" applyNumberFormat="1" applyFont="1"/>
    <xf numFmtId="183" fontId="26" fillId="0" borderId="0" xfId="0" applyNumberFormat="1" applyFont="1"/>
    <xf numFmtId="165" fontId="6" fillId="0" borderId="19" xfId="50" applyFont="1" applyBorder="1"/>
    <xf numFmtId="183" fontId="43" fillId="0" borderId="0" xfId="0" applyNumberFormat="1" applyFont="1"/>
    <xf numFmtId="183" fontId="8" fillId="0" borderId="19" xfId="0" applyNumberFormat="1" applyFont="1" applyBorder="1"/>
    <xf numFmtId="183" fontId="8" fillId="0" borderId="0" xfId="0" applyNumberFormat="1" applyFont="1"/>
    <xf numFmtId="183" fontId="8" fillId="0" borderId="13" xfId="0" applyNumberFormat="1" applyFont="1" applyBorder="1"/>
    <xf numFmtId="183" fontId="49" fillId="0" borderId="0" xfId="0" applyNumberFormat="1" applyFont="1"/>
    <xf numFmtId="183" fontId="39" fillId="0" borderId="13" xfId="0" applyNumberFormat="1" applyFont="1" applyBorder="1"/>
    <xf numFmtId="165" fontId="8" fillId="0" borderId="13" xfId="50" applyFont="1" applyBorder="1"/>
    <xf numFmtId="183" fontId="26" fillId="2" borderId="0" xfId="0" applyNumberFormat="1" applyFont="1" applyFill="1"/>
    <xf numFmtId="183" fontId="49" fillId="2" borderId="0" xfId="0" applyNumberFormat="1" applyFont="1" applyFill="1"/>
    <xf numFmtId="183" fontId="6" fillId="0" borderId="0" xfId="0" applyNumberFormat="1" applyFont="1" applyBorder="1"/>
    <xf numFmtId="183" fontId="39" fillId="0" borderId="0" xfId="0" applyNumberFormat="1" applyFont="1" applyBorder="1"/>
    <xf numFmtId="183" fontId="8" fillId="0" borderId="0" xfId="0" applyNumberFormat="1" applyFont="1" applyBorder="1"/>
    <xf numFmtId="165" fontId="8" fillId="0" borderId="0" xfId="50" applyFont="1" applyBorder="1"/>
    <xf numFmtId="181" fontId="8" fillId="0" borderId="21" xfId="0" applyNumberFormat="1" applyFont="1" applyBorder="1"/>
    <xf numFmtId="183" fontId="8" fillId="0" borderId="0" xfId="0" applyNumberFormat="1" applyFont="1" applyFill="1" applyBorder="1"/>
    <xf numFmtId="37" fontId="8" fillId="0" borderId="10" xfId="0" applyFont="1" applyBorder="1" applyAlignment="1">
      <alignment horizontal="right"/>
    </xf>
    <xf numFmtId="37" fontId="75" fillId="0" borderId="0" xfId="0" applyFont="1" applyBorder="1" applyAlignment="1">
      <alignment horizontal="center"/>
    </xf>
    <xf numFmtId="37" fontId="75" fillId="0" borderId="0" xfId="0" applyFont="1" applyAlignment="1">
      <alignment horizontal="center"/>
    </xf>
    <xf numFmtId="10" fontId="6" fillId="0" borderId="0" xfId="50" applyNumberFormat="1" applyFont="1" applyFill="1" applyBorder="1" applyAlignment="1" applyProtection="1">
      <alignment horizontal="right"/>
    </xf>
    <xf numFmtId="39" fontId="0" fillId="0" borderId="0" xfId="0" applyNumberFormat="1"/>
    <xf numFmtId="10" fontId="39" fillId="0" borderId="0" xfId="50" applyNumberFormat="1" applyFont="1" applyFill="1" applyBorder="1"/>
    <xf numFmtId="167" fontId="6" fillId="0" borderId="0" xfId="0" applyNumberFormat="1" applyFont="1" applyFill="1" applyBorder="1" applyAlignment="1" applyProtection="1">
      <alignment horizontal="center"/>
    </xf>
    <xf numFmtId="185" fontId="26" fillId="0" borderId="19" xfId="29" quotePrefix="1" applyNumberFormat="1" applyFont="1" applyFill="1" applyBorder="1" applyAlignment="1" applyProtection="1"/>
    <xf numFmtId="165" fontId="46" fillId="0" borderId="13" xfId="50" quotePrefix="1" applyFont="1" applyFill="1" applyBorder="1" applyAlignment="1" applyProtection="1"/>
    <xf numFmtId="185" fontId="8" fillId="0" borderId="13" xfId="30" quotePrefix="1" applyNumberFormat="1" applyFont="1" applyFill="1" applyBorder="1" applyAlignment="1" applyProtection="1"/>
    <xf numFmtId="183" fontId="45" fillId="0" borderId="0" xfId="0" applyNumberFormat="1" applyFont="1"/>
    <xf numFmtId="183" fontId="58" fillId="0" borderId="0" xfId="0" applyNumberFormat="1" applyFont="1"/>
    <xf numFmtId="183" fontId="45" fillId="0" borderId="0" xfId="0" applyNumberFormat="1" applyFont="1" applyFill="1" applyBorder="1"/>
    <xf numFmtId="183" fontId="44" fillId="0" borderId="0" xfId="0" applyNumberFormat="1" applyFont="1" applyFill="1" applyBorder="1"/>
    <xf numFmtId="166" fontId="45" fillId="0" borderId="0" xfId="0" applyNumberFormat="1" applyFont="1" applyFill="1" applyBorder="1"/>
    <xf numFmtId="166" fontId="26" fillId="0" borderId="0" xfId="0" applyNumberFormat="1" applyFont="1" applyFill="1" applyBorder="1" applyProtection="1"/>
    <xf numFmtId="37" fontId="8" fillId="0" borderId="0" xfId="0" applyFont="1" applyBorder="1" applyAlignment="1">
      <alignment horizontal="center"/>
    </xf>
    <xf numFmtId="37" fontId="75" fillId="3" borderId="0" xfId="0" applyFont="1" applyFill="1" applyBorder="1" applyAlignment="1">
      <alignment horizontal="center"/>
    </xf>
    <xf numFmtId="37" fontId="75" fillId="3" borderId="0" xfId="0" applyFont="1" applyFill="1" applyAlignment="1">
      <alignment horizontal="center"/>
    </xf>
    <xf numFmtId="39" fontId="18" fillId="0" borderId="0" xfId="0" applyNumberFormat="1" applyFont="1" applyFill="1" applyBorder="1"/>
    <xf numFmtId="183" fontId="43" fillId="4" borderId="10" xfId="29" quotePrefix="1" applyNumberFormat="1" applyFont="1" applyFill="1" applyBorder="1" applyAlignment="1" applyProtection="1"/>
    <xf numFmtId="183" fontId="45" fillId="0" borderId="0" xfId="29" quotePrefix="1" applyNumberFormat="1" applyFont="1" applyFill="1" applyBorder="1" applyAlignment="1" applyProtection="1"/>
    <xf numFmtId="184" fontId="8" fillId="0" borderId="0" xfId="30" applyNumberFormat="1" applyFont="1" applyFill="1" applyBorder="1" applyProtection="1"/>
    <xf numFmtId="168" fontId="8" fillId="7" borderId="12" xfId="0" applyNumberFormat="1" applyFont="1" applyFill="1" applyBorder="1"/>
    <xf numFmtId="10" fontId="6" fillId="0" borderId="0" xfId="50" applyNumberFormat="1" applyFont="1"/>
    <xf numFmtId="37" fontId="40" fillId="0" borderId="0" xfId="0" applyFont="1" applyAlignment="1">
      <alignment horizontal="right"/>
    </xf>
    <xf numFmtId="7" fontId="8" fillId="7" borderId="10" xfId="0" applyNumberFormat="1" applyFont="1" applyFill="1" applyBorder="1"/>
    <xf numFmtId="7" fontId="8" fillId="7" borderId="12" xfId="0" applyNumberFormat="1" applyFont="1" applyFill="1" applyBorder="1"/>
    <xf numFmtId="166" fontId="45" fillId="0" borderId="0" xfId="0" applyNumberFormat="1" applyFont="1"/>
    <xf numFmtId="166" fontId="39" fillId="0" borderId="0" xfId="0" applyNumberFormat="1" applyFont="1"/>
    <xf numFmtId="37" fontId="49" fillId="0" borderId="0" xfId="0" applyFont="1"/>
    <xf numFmtId="177" fontId="26" fillId="0" borderId="21" xfId="0" applyNumberFormat="1" applyFont="1" applyBorder="1"/>
    <xf numFmtId="39" fontId="26" fillId="0" borderId="0" xfId="0" applyNumberFormat="1" applyFont="1" applyAlignment="1">
      <alignment horizontal="right"/>
    </xf>
    <xf numFmtId="168" fontId="59" fillId="0" borderId="0" xfId="50" applyNumberFormat="1" applyFont="1"/>
    <xf numFmtId="167" fontId="6" fillId="0" borderId="0" xfId="0" applyNumberFormat="1" applyFont="1"/>
    <xf numFmtId="167" fontId="6" fillId="0" borderId="0" xfId="0" applyNumberFormat="1" applyFont="1" applyFill="1"/>
    <xf numFmtId="0" fontId="24" fillId="0" borderId="0" xfId="0" applyNumberFormat="1" applyFont="1" applyFill="1" applyBorder="1" applyAlignment="1">
      <alignment horizontal="right"/>
    </xf>
    <xf numFmtId="166" fontId="55" fillId="0" borderId="24" xfId="50" applyNumberFormat="1" applyFont="1" applyFill="1" applyBorder="1" applyProtection="1"/>
    <xf numFmtId="166" fontId="55" fillId="0" borderId="0" xfId="50" applyNumberFormat="1" applyFont="1" applyFill="1" applyBorder="1" applyProtection="1"/>
    <xf numFmtId="183" fontId="50" fillId="0" borderId="13" xfId="30" applyNumberFormat="1" applyFont="1" applyFill="1" applyBorder="1" applyAlignment="1" applyProtection="1"/>
    <xf numFmtId="168" fontId="77" fillId="0" borderId="0" xfId="30" quotePrefix="1" applyNumberFormat="1" applyFont="1" applyFill="1" applyBorder="1" applyAlignment="1" applyProtection="1"/>
    <xf numFmtId="165" fontId="55" fillId="0" borderId="0" xfId="50" applyFont="1" applyFill="1" applyBorder="1" applyAlignment="1" applyProtection="1">
      <alignment horizontal="right"/>
    </xf>
    <xf numFmtId="165" fontId="55" fillId="0" borderId="24" xfId="50" applyFont="1" applyFill="1" applyBorder="1" applyAlignment="1" applyProtection="1">
      <alignment horizontal="right"/>
    </xf>
    <xf numFmtId="166" fontId="55" fillId="0" borderId="0" xfId="0" applyNumberFormat="1" applyFont="1" applyFill="1" applyBorder="1" applyAlignment="1" applyProtection="1">
      <alignment horizontal="right"/>
    </xf>
    <xf numFmtId="166" fontId="55" fillId="0" borderId="24" xfId="0" applyNumberFormat="1" applyFont="1" applyFill="1" applyBorder="1" applyAlignment="1" applyProtection="1">
      <alignment horizontal="right"/>
    </xf>
    <xf numFmtId="166" fontId="55" fillId="0" borderId="17" xfId="0" applyNumberFormat="1" applyFont="1" applyFill="1" applyBorder="1" applyAlignment="1" applyProtection="1">
      <alignment horizontal="right"/>
    </xf>
    <xf numFmtId="168" fontId="6" fillId="0" borderId="13" xfId="29" applyNumberFormat="1" applyFont="1" applyFill="1" applyBorder="1" applyProtection="1"/>
    <xf numFmtId="183" fontId="50" fillId="0" borderId="13" xfId="30" applyNumberFormat="1" applyFont="1" applyFill="1" applyBorder="1" applyProtection="1"/>
    <xf numFmtId="183" fontId="39" fillId="0" borderId="0" xfId="50" quotePrefix="1" applyNumberFormat="1" applyFont="1" applyFill="1" applyBorder="1" applyAlignment="1" applyProtection="1"/>
    <xf numFmtId="168" fontId="6" fillId="0" borderId="24" xfId="0" applyNumberFormat="1" applyFont="1" applyFill="1" applyBorder="1" applyAlignment="1" applyProtection="1">
      <alignment horizontal="right"/>
    </xf>
    <xf numFmtId="168" fontId="6" fillId="0" borderId="17" xfId="0" applyNumberFormat="1" applyFont="1" applyFill="1" applyBorder="1" applyAlignment="1" applyProtection="1">
      <alignment horizontal="right"/>
    </xf>
    <xf numFmtId="5" fontId="8" fillId="0" borderId="0" xfId="0" applyNumberFormat="1" applyFont="1" applyFill="1" applyBorder="1" applyAlignment="1" applyProtection="1">
      <alignment horizontal="right"/>
    </xf>
    <xf numFmtId="5" fontId="44" fillId="0" borderId="0" xfId="50" quotePrefix="1" applyNumberFormat="1" applyFont="1" applyFill="1" applyBorder="1" applyAlignment="1" applyProtection="1"/>
    <xf numFmtId="5" fontId="44" fillId="0" borderId="0" xfId="29" quotePrefix="1" applyNumberFormat="1" applyFont="1" applyFill="1" applyBorder="1" applyAlignment="1" applyProtection="1"/>
    <xf numFmtId="5" fontId="8" fillId="9" borderId="0" xfId="0" applyNumberFormat="1" applyFont="1" applyFill="1" applyBorder="1"/>
    <xf numFmtId="188" fontId="6" fillId="0" borderId="0" xfId="29" applyNumberFormat="1" applyFont="1" applyBorder="1" applyAlignment="1" applyProtection="1">
      <alignment horizontal="left"/>
    </xf>
    <xf numFmtId="188" fontId="26" fillId="0" borderId="0" xfId="29" quotePrefix="1" applyNumberFormat="1" applyFont="1" applyFill="1" applyBorder="1" applyAlignment="1" applyProtection="1"/>
    <xf numFmtId="188" fontId="6" fillId="0" borderId="0" xfId="29" quotePrefix="1" applyNumberFormat="1" applyFont="1" applyFill="1" applyBorder="1" applyAlignment="1" applyProtection="1"/>
    <xf numFmtId="188" fontId="50" fillId="0" borderId="0" xfId="29" quotePrefix="1" applyNumberFormat="1" applyFont="1" applyFill="1" applyBorder="1" applyAlignment="1" applyProtection="1"/>
    <xf numFmtId="188" fontId="45" fillId="0" borderId="0" xfId="29" quotePrefix="1" applyNumberFormat="1" applyFont="1" applyFill="1" applyBorder="1" applyAlignment="1" applyProtection="1"/>
    <xf numFmtId="188" fontId="6" fillId="9" borderId="0" xfId="0" applyNumberFormat="1" applyFont="1" applyFill="1" applyBorder="1"/>
    <xf numFmtId="7" fontId="26" fillId="0" borderId="13" xfId="30" quotePrefix="1" applyNumberFormat="1" applyFont="1" applyFill="1" applyBorder="1" applyAlignment="1" applyProtection="1">
      <alignment horizontal="right"/>
    </xf>
    <xf numFmtId="188" fontId="6" fillId="0" borderId="0" xfId="29" applyNumberFormat="1" applyFont="1" applyFill="1" applyBorder="1" applyAlignment="1" applyProtection="1">
      <alignment horizontal="left"/>
    </xf>
    <xf numFmtId="184" fontId="26" fillId="0" borderId="0" xfId="29" applyNumberFormat="1" applyFont="1" applyFill="1" applyBorder="1" applyProtection="1"/>
    <xf numFmtId="190" fontId="8" fillId="0" borderId="23" xfId="30" applyNumberFormat="1" applyFont="1" applyFill="1" applyBorder="1" applyProtection="1"/>
    <xf numFmtId="190" fontId="8" fillId="0" borderId="21" xfId="30" applyNumberFormat="1" applyFont="1" applyFill="1" applyBorder="1" applyProtection="1"/>
    <xf numFmtId="190" fontId="8" fillId="0" borderId="19" xfId="30" applyNumberFormat="1" applyFont="1" applyFill="1" applyBorder="1" applyProtection="1"/>
    <xf numFmtId="164" fontId="6" fillId="0" borderId="14" xfId="0" quotePrefix="1" applyNumberFormat="1" applyFont="1" applyBorder="1" applyAlignment="1" applyProtection="1">
      <alignment horizontal="right"/>
    </xf>
    <xf numFmtId="173" fontId="26" fillId="0" borderId="24" xfId="29" quotePrefix="1" applyNumberFormat="1" applyFont="1" applyBorder="1" applyAlignment="1" applyProtection="1"/>
    <xf numFmtId="173" fontId="26" fillId="0" borderId="17" xfId="29" applyNumberFormat="1" applyFont="1" applyBorder="1" applyAlignment="1" applyProtection="1"/>
    <xf numFmtId="37" fontId="45" fillId="0" borderId="23" xfId="29" quotePrefix="1" applyFont="1" applyBorder="1" applyAlignment="1" applyProtection="1"/>
    <xf numFmtId="37" fontId="45" fillId="0" borderId="22" xfId="29" quotePrefix="1" applyFont="1" applyBorder="1" applyAlignment="1" applyProtection="1"/>
    <xf numFmtId="166" fontId="42" fillId="0" borderId="24" xfId="50" applyNumberFormat="1" applyFont="1" applyFill="1" applyBorder="1" applyAlignment="1" applyProtection="1">
      <alignment horizontal="right"/>
    </xf>
    <xf numFmtId="166" fontId="42" fillId="0" borderId="0" xfId="50" applyNumberFormat="1" applyFont="1" applyFill="1" applyBorder="1" applyAlignment="1" applyProtection="1">
      <alignment horizontal="right"/>
    </xf>
    <xf numFmtId="166" fontId="42" fillId="0" borderId="13" xfId="50" applyNumberFormat="1" applyFont="1" applyFill="1" applyBorder="1" applyAlignment="1" applyProtection="1">
      <alignment horizontal="right"/>
    </xf>
    <xf numFmtId="183" fontId="39" fillId="2" borderId="0" xfId="0" applyNumberFormat="1" applyFont="1" applyFill="1"/>
    <xf numFmtId="37" fontId="42" fillId="0" borderId="0" xfId="50" applyNumberFormat="1" applyFont="1" applyFill="1" applyBorder="1" applyAlignment="1" applyProtection="1">
      <alignment horizontal="right"/>
    </xf>
    <xf numFmtId="165" fontId="41" fillId="0" borderId="0" xfId="0" applyNumberFormat="1" applyFont="1" applyFill="1" applyBorder="1" applyAlignment="1">
      <alignment horizontal="left"/>
    </xf>
    <xf numFmtId="165" fontId="26" fillId="0" borderId="24" xfId="50" applyNumberFormat="1" applyFont="1" applyFill="1" applyBorder="1" applyAlignment="1" applyProtection="1">
      <alignment horizontal="right"/>
    </xf>
    <xf numFmtId="165" fontId="26" fillId="0" borderId="17" xfId="0" applyNumberFormat="1" applyFont="1" applyFill="1" applyBorder="1" applyAlignment="1" applyProtection="1">
      <alignment horizontal="right"/>
    </xf>
    <xf numFmtId="166" fontId="6" fillId="0" borderId="0" xfId="44" applyNumberFormat="1" applyFont="1" applyBorder="1" applyAlignment="1">
      <alignment horizontal="left"/>
    </xf>
    <xf numFmtId="183" fontId="39" fillId="0" borderId="0" xfId="0" applyNumberFormat="1" applyFont="1"/>
    <xf numFmtId="7" fontId="6" fillId="0" borderId="0" xfId="0" applyNumberFormat="1" applyFont="1" applyFill="1" applyBorder="1" applyAlignment="1" applyProtection="1">
      <alignment horizontal="left"/>
    </xf>
    <xf numFmtId="41" fontId="6" fillId="0" borderId="24" xfId="29" applyNumberFormat="1" applyFont="1" applyFill="1" applyBorder="1" applyProtection="1"/>
    <xf numFmtId="183" fontId="26" fillId="0" borderId="24" xfId="30" applyNumberFormat="1" applyFont="1" applyFill="1" applyBorder="1" applyAlignment="1" applyProtection="1">
      <alignment horizontal="right"/>
    </xf>
    <xf numFmtId="183" fontId="26" fillId="0" borderId="0" xfId="30" applyNumberFormat="1" applyFont="1" applyFill="1" applyBorder="1" applyAlignment="1" applyProtection="1">
      <alignment horizontal="right"/>
    </xf>
    <xf numFmtId="183" fontId="6" fillId="0" borderId="0" xfId="50" quotePrefix="1" applyNumberFormat="1" applyFont="1" applyFill="1" applyBorder="1" applyAlignment="1" applyProtection="1"/>
    <xf numFmtId="183" fontId="45" fillId="0" borderId="13" xfId="30" quotePrefix="1" applyNumberFormat="1" applyFont="1" applyFill="1" applyBorder="1" applyAlignment="1" applyProtection="1"/>
    <xf numFmtId="183" fontId="6" fillId="0" borderId="17" xfId="30" applyNumberFormat="1" applyFont="1" applyFill="1" applyBorder="1" applyAlignment="1" applyProtection="1">
      <alignment horizontal="right"/>
    </xf>
    <xf numFmtId="183" fontId="6" fillId="0" borderId="24" xfId="30" applyNumberFormat="1" applyFont="1" applyFill="1" applyBorder="1" applyAlignment="1" applyProtection="1">
      <alignment horizontal="right"/>
    </xf>
    <xf numFmtId="183" fontId="6" fillId="0" borderId="0" xfId="0" applyNumberFormat="1" applyFont="1" applyFill="1"/>
    <xf numFmtId="41" fontId="6" fillId="0" borderId="0" xfId="0" applyNumberFormat="1" applyFont="1" applyFill="1"/>
    <xf numFmtId="41" fontId="39" fillId="0" borderId="0" xfId="0" applyNumberFormat="1" applyFont="1" applyFill="1" applyBorder="1" applyAlignment="1" applyProtection="1">
      <alignment horizontal="right"/>
    </xf>
    <xf numFmtId="41" fontId="39" fillId="0" borderId="13" xfId="0" applyNumberFormat="1" applyFont="1" applyFill="1" applyBorder="1" applyAlignment="1" applyProtection="1">
      <alignment horizontal="right"/>
    </xf>
    <xf numFmtId="165" fontId="42" fillId="0" borderId="0" xfId="50" applyFont="1" applyFill="1" applyBorder="1" applyAlignment="1" applyProtection="1">
      <alignment horizontal="right" vertical="top"/>
    </xf>
    <xf numFmtId="37" fontId="46" fillId="0" borderId="0" xfId="0" applyFont="1" applyFill="1" applyBorder="1" applyAlignment="1" applyProtection="1">
      <alignment horizontal="left" vertical="top"/>
    </xf>
    <xf numFmtId="7" fontId="42" fillId="0" borderId="24" xfId="50" applyNumberFormat="1" applyFont="1" applyFill="1" applyBorder="1" applyAlignment="1" applyProtection="1">
      <alignment horizontal="right" vertical="top"/>
    </xf>
    <xf numFmtId="7" fontId="42" fillId="0" borderId="0" xfId="50" applyNumberFormat="1" applyFont="1" applyFill="1" applyBorder="1" applyAlignment="1" applyProtection="1">
      <alignment horizontal="right" vertical="top"/>
    </xf>
    <xf numFmtId="165" fontId="42" fillId="0" borderId="0" xfId="50" quotePrefix="1" applyFont="1" applyFill="1" applyBorder="1" applyAlignment="1" applyProtection="1">
      <alignment horizontal="right" vertical="top"/>
    </xf>
    <xf numFmtId="165" fontId="42" fillId="0" borderId="13" xfId="50" applyFont="1" applyFill="1" applyBorder="1" applyAlignment="1" applyProtection="1">
      <alignment horizontal="right" vertical="top"/>
    </xf>
    <xf numFmtId="165" fontId="41" fillId="0" borderId="0" xfId="50" quotePrefix="1" applyFont="1" applyFill="1" applyBorder="1" applyAlignment="1" applyProtection="1">
      <alignment horizontal="right" vertical="top"/>
    </xf>
    <xf numFmtId="165" fontId="41" fillId="0" borderId="13" xfId="50" quotePrefix="1" applyFont="1" applyFill="1" applyBorder="1" applyAlignment="1" applyProtection="1">
      <alignment horizontal="right" vertical="top"/>
    </xf>
    <xf numFmtId="37" fontId="41" fillId="9" borderId="0" xfId="0" applyFont="1" applyFill="1" applyBorder="1" applyAlignment="1">
      <alignment vertical="top"/>
    </xf>
    <xf numFmtId="166" fontId="41" fillId="0" borderId="0" xfId="50" applyNumberFormat="1" applyFont="1" applyFill="1" applyBorder="1" applyAlignment="1" applyProtection="1">
      <alignment horizontal="right"/>
    </xf>
    <xf numFmtId="165" fontId="6" fillId="0" borderId="0" xfId="50" applyFont="1" applyFill="1" applyBorder="1" applyAlignment="1" applyProtection="1">
      <alignment horizontal="center"/>
    </xf>
    <xf numFmtId="165" fontId="41" fillId="0" borderId="0" xfId="50" applyFont="1" applyFill="1" applyBorder="1" applyAlignment="1" applyProtection="1">
      <alignment horizontal="right" vertical="top"/>
    </xf>
    <xf numFmtId="166" fontId="6" fillId="0" borderId="24" xfId="0" applyNumberFormat="1" applyFont="1" applyFill="1" applyBorder="1" applyAlignment="1" applyProtection="1"/>
    <xf numFmtId="166" fontId="6" fillId="0" borderId="13" xfId="0" applyNumberFormat="1" applyFont="1" applyFill="1" applyBorder="1" applyAlignment="1" applyProtection="1"/>
    <xf numFmtId="168" fontId="8" fillId="4" borderId="9" xfId="30" applyNumberFormat="1" applyFont="1" applyFill="1" applyBorder="1" applyAlignment="1" applyProtection="1"/>
    <xf numFmtId="168" fontId="8" fillId="4" borderId="10" xfId="30" applyNumberFormat="1" applyFont="1" applyFill="1" applyBorder="1" applyAlignment="1" applyProtection="1"/>
    <xf numFmtId="168" fontId="8" fillId="4" borderId="11" xfId="30" applyNumberFormat="1" applyFont="1" applyFill="1" applyBorder="1" applyAlignment="1" applyProtection="1"/>
    <xf numFmtId="165" fontId="41" fillId="0" borderId="0" xfId="50" applyNumberFormat="1" applyFont="1" applyFill="1" applyBorder="1" applyAlignment="1" applyProtection="1"/>
    <xf numFmtId="165" fontId="41" fillId="0" borderId="13" xfId="50" applyNumberFormat="1" applyFont="1" applyFill="1" applyBorder="1" applyAlignment="1" applyProtection="1"/>
    <xf numFmtId="165" fontId="41" fillId="0" borderId="0" xfId="0" applyNumberFormat="1" applyFont="1" applyFill="1" applyBorder="1" applyProtection="1"/>
    <xf numFmtId="168" fontId="6" fillId="0" borderId="0" xfId="50" applyNumberFormat="1" applyFont="1" applyFill="1" applyBorder="1" applyProtection="1"/>
    <xf numFmtId="166" fontId="39" fillId="0" borderId="0" xfId="50" applyNumberFormat="1" applyFont="1" applyFill="1" applyBorder="1" applyProtection="1"/>
    <xf numFmtId="166" fontId="26" fillId="0" borderId="13" xfId="29" applyNumberFormat="1" applyFont="1" applyFill="1" applyBorder="1" applyAlignment="1" applyProtection="1"/>
    <xf numFmtId="166" fontId="6" fillId="0" borderId="0" xfId="50" applyNumberFormat="1" applyFont="1" applyFill="1" applyBorder="1" applyAlignment="1" applyProtection="1"/>
    <xf numFmtId="168" fontId="8" fillId="0" borderId="24" xfId="30" applyNumberFormat="1" applyFont="1" applyFill="1" applyBorder="1" applyProtection="1"/>
    <xf numFmtId="168" fontId="8" fillId="0" borderId="0" xfId="0" applyNumberFormat="1" applyFont="1" applyFill="1" applyBorder="1" applyAlignment="1" applyProtection="1">
      <alignment horizontal="left"/>
    </xf>
    <xf numFmtId="168" fontId="8" fillId="0" borderId="13" xfId="0" applyNumberFormat="1" applyFont="1" applyFill="1" applyBorder="1" applyProtection="1"/>
    <xf numFmtId="168" fontId="8" fillId="4" borderId="9" xfId="30" applyNumberFormat="1" applyFont="1" applyFill="1" applyBorder="1"/>
    <xf numFmtId="168" fontId="8" fillId="4" borderId="11" xfId="30" applyNumberFormat="1" applyFont="1" applyFill="1" applyBorder="1"/>
    <xf numFmtId="168" fontId="8" fillId="4" borderId="21" xfId="30" applyNumberFormat="1" applyFont="1" applyFill="1" applyBorder="1"/>
    <xf numFmtId="168" fontId="8" fillId="0" borderId="9" xfId="29" applyNumberFormat="1" applyFont="1" applyFill="1" applyBorder="1"/>
    <xf numFmtId="168" fontId="8" fillId="0" borderId="9" xfId="30" applyNumberFormat="1" applyFont="1" applyFill="1" applyBorder="1"/>
    <xf numFmtId="168" fontId="8" fillId="0" borderId="12" xfId="30" applyNumberFormat="1" applyFont="1" applyFill="1" applyBorder="1"/>
    <xf numFmtId="168" fontId="8" fillId="0" borderId="11" xfId="30" applyNumberFormat="1" applyFont="1" applyFill="1" applyBorder="1"/>
    <xf numFmtId="168" fontId="8" fillId="0" borderId="16" xfId="30" applyNumberFormat="1" applyFont="1" applyFill="1" applyBorder="1"/>
    <xf numFmtId="168" fontId="51" fillId="0" borderId="0" xfId="0" applyNumberFormat="1" applyFont="1" applyFill="1" applyBorder="1"/>
    <xf numFmtId="168" fontId="50" fillId="0" borderId="0" xfId="29" applyNumberFormat="1" applyFont="1" applyFill="1" applyBorder="1"/>
    <xf numFmtId="7" fontId="8" fillId="4" borderId="14" xfId="30" applyNumberFormat="1" applyFont="1" applyFill="1" applyBorder="1" applyAlignment="1" applyProtection="1">
      <alignment horizontal="left"/>
    </xf>
    <xf numFmtId="7" fontId="8" fillId="0" borderId="0" xfId="30" applyNumberFormat="1" applyFont="1" applyFill="1" applyBorder="1"/>
    <xf numFmtId="7" fontId="8" fillId="9" borderId="0" xfId="30" applyNumberFormat="1" applyFont="1" applyFill="1" applyBorder="1"/>
    <xf numFmtId="7" fontId="8" fillId="4" borderId="24" xfId="30" applyNumberFormat="1" applyFont="1" applyFill="1" applyBorder="1" applyAlignment="1" applyProtection="1">
      <alignment horizontal="left"/>
    </xf>
    <xf numFmtId="168" fontId="6" fillId="0" borderId="24" xfId="29" applyNumberFormat="1" applyFont="1" applyBorder="1" applyAlignment="1" applyProtection="1">
      <alignment horizontal="left"/>
    </xf>
    <xf numFmtId="168" fontId="8" fillId="0" borderId="9" xfId="0" applyNumberFormat="1" applyFont="1" applyFill="1" applyBorder="1" applyAlignment="1" applyProtection="1">
      <alignment horizontal="left"/>
    </xf>
    <xf numFmtId="168" fontId="8" fillId="0" borderId="10" xfId="0" applyNumberFormat="1" applyFont="1" applyFill="1" applyBorder="1" applyAlignment="1" applyProtection="1">
      <alignment horizontal="left"/>
    </xf>
    <xf numFmtId="168" fontId="8" fillId="0" borderId="9" xfId="0" applyNumberFormat="1" applyFont="1" applyFill="1" applyBorder="1" applyProtection="1"/>
    <xf numFmtId="168" fontId="8" fillId="0" borderId="21" xfId="0" applyNumberFormat="1" applyFont="1" applyFill="1" applyBorder="1" applyProtection="1"/>
    <xf numFmtId="168" fontId="8" fillId="0" borderId="10" xfId="0" applyNumberFormat="1" applyFont="1" applyFill="1" applyBorder="1" applyProtection="1"/>
    <xf numFmtId="168" fontId="8" fillId="0" borderId="11" xfId="0" applyNumberFormat="1" applyFont="1" applyFill="1" applyBorder="1" applyProtection="1"/>
    <xf numFmtId="168" fontId="8" fillId="0" borderId="24" xfId="0" applyNumberFormat="1" applyFont="1" applyFill="1" applyBorder="1" applyAlignment="1" applyProtection="1">
      <alignment horizontal="left"/>
    </xf>
    <xf numFmtId="165" fontId="6" fillId="0" borderId="16" xfId="50" applyFont="1" applyFill="1" applyBorder="1" applyAlignment="1" applyProtection="1"/>
    <xf numFmtId="164" fontId="6" fillId="0" borderId="0" xfId="0" quotePrefix="1" applyNumberFormat="1" applyFont="1" applyFill="1" applyBorder="1" applyAlignment="1" applyProtection="1">
      <alignment horizontal="right"/>
    </xf>
    <xf numFmtId="165" fontId="6" fillId="0" borderId="21" xfId="30" applyNumberFormat="1" applyFont="1" applyFill="1" applyBorder="1" applyProtection="1"/>
    <xf numFmtId="168" fontId="6" fillId="0" borderId="0" xfId="29" quotePrefix="1" applyNumberFormat="1" applyFont="1" applyFill="1" applyBorder="1" applyAlignment="1" applyProtection="1"/>
    <xf numFmtId="168" fontId="8" fillId="0" borderId="0" xfId="0" applyNumberFormat="1" applyFont="1" applyFill="1" applyBorder="1" applyAlignment="1" applyProtection="1">
      <alignment horizontal="right"/>
    </xf>
    <xf numFmtId="9" fontId="6" fillId="0" borderId="0" xfId="30" quotePrefix="1" applyNumberFormat="1" applyFont="1" applyFill="1" applyBorder="1" applyAlignment="1" applyProtection="1"/>
    <xf numFmtId="2" fontId="6" fillId="0" borderId="0" xfId="29" quotePrefix="1" applyNumberFormat="1" applyFont="1" applyFill="1" applyBorder="1" applyAlignment="1" applyProtection="1"/>
    <xf numFmtId="9" fontId="6" fillId="0" borderId="0" xfId="29" quotePrefix="1" applyNumberFormat="1" applyFont="1" applyFill="1" applyBorder="1" applyAlignment="1" applyProtection="1"/>
    <xf numFmtId="9" fontId="41" fillId="0" borderId="0" xfId="50" quotePrefix="1" applyNumberFormat="1" applyFont="1" applyFill="1" applyBorder="1" applyAlignment="1" applyProtection="1"/>
    <xf numFmtId="165" fontId="6" fillId="0" borderId="16" xfId="50" quotePrefix="1" applyFont="1" applyFill="1" applyBorder="1" applyAlignment="1" applyProtection="1"/>
    <xf numFmtId="167" fontId="6" fillId="0" borderId="0" xfId="0" applyNumberFormat="1" applyFont="1" applyFill="1" applyBorder="1" applyProtection="1"/>
    <xf numFmtId="184" fontId="6" fillId="0" borderId="0" xfId="0" applyNumberFormat="1" applyFont="1" applyFill="1" applyBorder="1" applyProtection="1"/>
    <xf numFmtId="183" fontId="6" fillId="0" borderId="0" xfId="50" applyNumberFormat="1" applyFont="1" applyFill="1" applyBorder="1" applyProtection="1"/>
    <xf numFmtId="184" fontId="6" fillId="0" borderId="0" xfId="29" applyNumberFormat="1" applyFont="1" applyFill="1" applyBorder="1" applyProtection="1"/>
    <xf numFmtId="166" fontId="6" fillId="0" borderId="0" xfId="50" applyNumberFormat="1" applyFont="1" applyFill="1" applyBorder="1" applyProtection="1">
      <protection locked="0"/>
    </xf>
    <xf numFmtId="37" fontId="6" fillId="0" borderId="0" xfId="0" applyNumberFormat="1" applyFont="1" applyFill="1" applyBorder="1" applyProtection="1">
      <protection locked="0"/>
    </xf>
    <xf numFmtId="1" fontId="8" fillId="7" borderId="12" xfId="0" applyNumberFormat="1" applyFont="1" applyFill="1" applyBorder="1" applyAlignment="1" applyProtection="1">
      <alignment horizontal="right"/>
    </xf>
    <xf numFmtId="165" fontId="8" fillId="0" borderId="17" xfId="50" applyFont="1" applyFill="1" applyBorder="1" applyAlignment="1" applyProtection="1">
      <alignment horizontal="right"/>
    </xf>
    <xf numFmtId="10" fontId="8" fillId="0" borderId="17" xfId="50" applyNumberFormat="1" applyFont="1" applyFill="1" applyBorder="1" applyAlignment="1" applyProtection="1">
      <alignment horizontal="right"/>
    </xf>
    <xf numFmtId="168" fontId="6" fillId="0" borderId="24" xfId="0" applyNumberFormat="1" applyFont="1" applyBorder="1" applyAlignment="1" applyProtection="1">
      <alignment horizontal="left"/>
    </xf>
    <xf numFmtId="183" fontId="6" fillId="0" borderId="17" xfId="30" applyNumberFormat="1" applyFont="1" applyFill="1" applyBorder="1" applyAlignment="1" applyProtection="1"/>
    <xf numFmtId="168" fontId="6" fillId="0" borderId="17" xfId="0" applyNumberFormat="1" applyFont="1" applyFill="1" applyBorder="1" applyAlignment="1" applyProtection="1"/>
    <xf numFmtId="166" fontId="6" fillId="0" borderId="24" xfId="0" applyNumberFormat="1" applyFont="1" applyBorder="1" applyAlignment="1" applyProtection="1">
      <alignment horizontal="left"/>
    </xf>
    <xf numFmtId="166" fontId="6" fillId="0" borderId="17" xfId="0" applyNumberFormat="1" applyFont="1" applyFill="1" applyBorder="1" applyAlignment="1" applyProtection="1"/>
    <xf numFmtId="168" fontId="8" fillId="4" borderId="12" xfId="30" applyNumberFormat="1" applyFont="1" applyFill="1" applyBorder="1" applyAlignment="1" applyProtection="1"/>
    <xf numFmtId="165" fontId="41" fillId="0" borderId="17" xfId="50" applyNumberFormat="1" applyFont="1" applyFill="1" applyBorder="1" applyAlignment="1" applyProtection="1"/>
    <xf numFmtId="165" fontId="6" fillId="0" borderId="17" xfId="50" applyFont="1" applyFill="1" applyBorder="1" applyAlignment="1" applyProtection="1">
      <alignment horizontal="center"/>
    </xf>
    <xf numFmtId="166" fontId="6" fillId="0" borderId="24" xfId="29" applyNumberFormat="1" applyFont="1" applyBorder="1" applyAlignment="1" applyProtection="1">
      <alignment horizontal="left"/>
    </xf>
    <xf numFmtId="166" fontId="39" fillId="0" borderId="24" xfId="29" applyNumberFormat="1" applyFont="1" applyBorder="1" applyAlignment="1" applyProtection="1">
      <alignment horizontal="left"/>
    </xf>
    <xf numFmtId="168" fontId="8" fillId="0" borderId="24" xfId="0" applyNumberFormat="1" applyFont="1" applyBorder="1" applyAlignment="1" applyProtection="1">
      <alignment horizontal="left"/>
    </xf>
    <xf numFmtId="37" fontId="41" fillId="0" borderId="24" xfId="0" applyFont="1" applyBorder="1" applyAlignment="1" applyProtection="1">
      <alignment horizontal="left" indent="1"/>
    </xf>
    <xf numFmtId="165" fontId="41" fillId="0" borderId="17" xfId="50" applyFont="1" applyFill="1" applyBorder="1" applyAlignment="1" applyProtection="1"/>
    <xf numFmtId="37" fontId="8" fillId="0" borderId="24" xfId="0" applyFont="1" applyBorder="1" applyAlignment="1" applyProtection="1">
      <alignment horizontal="centerContinuous"/>
    </xf>
    <xf numFmtId="166" fontId="6" fillId="0" borderId="17" xfId="0" applyNumberFormat="1" applyFont="1" applyFill="1" applyBorder="1" applyAlignment="1" applyProtection="1">
      <alignment horizontal="right"/>
    </xf>
    <xf numFmtId="166" fontId="6" fillId="0" borderId="24" xfId="29" applyNumberFormat="1" applyFont="1" applyFill="1" applyBorder="1" applyAlignment="1" applyProtection="1">
      <alignment horizontal="left"/>
    </xf>
    <xf numFmtId="166" fontId="6" fillId="0" borderId="17" xfId="29" applyNumberFormat="1" applyFont="1" applyFill="1" applyBorder="1" applyAlignment="1" applyProtection="1"/>
    <xf numFmtId="165" fontId="41" fillId="0" borderId="17" xfId="50" applyFont="1" applyFill="1" applyBorder="1" applyAlignment="1" applyProtection="1">
      <alignment horizontal="right"/>
    </xf>
    <xf numFmtId="165" fontId="41" fillId="0" borderId="24" xfId="0" applyNumberFormat="1" applyFont="1" applyFill="1" applyBorder="1" applyAlignment="1">
      <alignment horizontal="left"/>
    </xf>
    <xf numFmtId="166" fontId="41" fillId="0" borderId="17" xfId="50" applyNumberFormat="1" applyFont="1" applyFill="1" applyBorder="1" applyAlignment="1" applyProtection="1">
      <alignment horizontal="right"/>
    </xf>
    <xf numFmtId="183" fontId="6" fillId="0" borderId="17" xfId="29" applyNumberFormat="1" applyFont="1" applyFill="1" applyBorder="1" applyProtection="1"/>
    <xf numFmtId="166" fontId="6" fillId="0" borderId="24" xfId="44" applyNumberFormat="1" applyFont="1" applyBorder="1" applyAlignment="1">
      <alignment horizontal="left"/>
    </xf>
    <xf numFmtId="183" fontId="6" fillId="0" borderId="17" xfId="0" applyNumberFormat="1" applyFont="1" applyFill="1" applyBorder="1" applyProtection="1"/>
    <xf numFmtId="168" fontId="8" fillId="0" borderId="17" xfId="30" applyNumberFormat="1" applyFont="1" applyFill="1" applyBorder="1" applyProtection="1"/>
    <xf numFmtId="165" fontId="41" fillId="0" borderId="17" xfId="50" applyNumberFormat="1" applyFont="1" applyFill="1" applyBorder="1" applyProtection="1"/>
    <xf numFmtId="166" fontId="6" fillId="0" borderId="17" xfId="0" applyNumberFormat="1" applyFont="1" applyFill="1" applyBorder="1"/>
    <xf numFmtId="183" fontId="6" fillId="0" borderId="17" xfId="30" applyNumberFormat="1" applyFont="1" applyFill="1" applyBorder="1"/>
    <xf numFmtId="183" fontId="6" fillId="0" borderId="17" xfId="29" applyNumberFormat="1" applyFont="1" applyFill="1" applyBorder="1"/>
    <xf numFmtId="168" fontId="8" fillId="0" borderId="17" xfId="0" applyNumberFormat="1" applyFont="1" applyFill="1" applyBorder="1" applyProtection="1"/>
    <xf numFmtId="183" fontId="6" fillId="0" borderId="17" xfId="0" applyNumberFormat="1" applyFont="1" applyFill="1" applyBorder="1"/>
    <xf numFmtId="37" fontId="6" fillId="0" borderId="24" xfId="29" applyFont="1" applyFill="1" applyBorder="1" applyAlignment="1">
      <alignment horizontal="left"/>
    </xf>
    <xf numFmtId="37" fontId="8" fillId="0" borderId="24" xfId="29" applyFont="1" applyFill="1" applyBorder="1"/>
    <xf numFmtId="183" fontId="8" fillId="0" borderId="17" xfId="30" applyNumberFormat="1" applyFont="1" applyFill="1" applyBorder="1"/>
    <xf numFmtId="37" fontId="6" fillId="0" borderId="24" xfId="29" applyFont="1" applyFill="1" applyBorder="1"/>
    <xf numFmtId="183" fontId="6" fillId="0" borderId="22" xfId="30" applyNumberFormat="1" applyFont="1" applyFill="1" applyBorder="1"/>
    <xf numFmtId="7" fontId="8" fillId="4" borderId="15" xfId="30" applyNumberFormat="1" applyFont="1" applyFill="1" applyBorder="1"/>
    <xf numFmtId="7" fontId="8" fillId="4" borderId="17" xfId="30" applyNumberFormat="1" applyFont="1" applyFill="1" applyBorder="1"/>
    <xf numFmtId="165" fontId="41" fillId="0" borderId="17" xfId="50" quotePrefix="1" applyFont="1" applyFill="1" applyBorder="1" applyAlignment="1" applyProtection="1">
      <alignment horizontal="right"/>
    </xf>
    <xf numFmtId="165" fontId="41" fillId="0" borderId="22" xfId="50" quotePrefix="1" applyFont="1" applyFill="1" applyBorder="1" applyAlignment="1" applyProtection="1">
      <alignment horizontal="right"/>
    </xf>
    <xf numFmtId="165" fontId="41" fillId="0" borderId="24" xfId="0" applyNumberFormat="1" applyFont="1" applyFill="1" applyBorder="1" applyAlignment="1">
      <alignment horizontal="left" vertical="top"/>
    </xf>
    <xf numFmtId="165" fontId="41" fillId="0" borderId="17" xfId="50" applyFont="1" applyFill="1" applyBorder="1" applyAlignment="1" applyProtection="1">
      <alignment horizontal="right" vertical="top"/>
    </xf>
    <xf numFmtId="174" fontId="45" fillId="0" borderId="24" xfId="0" applyNumberFormat="1" applyFont="1" applyBorder="1" applyAlignment="1" applyProtection="1">
      <alignment horizontal="left"/>
    </xf>
    <xf numFmtId="7" fontId="6" fillId="0" borderId="17" xfId="30" quotePrefix="1" applyNumberFormat="1" applyFont="1" applyFill="1" applyBorder="1" applyAlignment="1" applyProtection="1">
      <alignment horizontal="right"/>
    </xf>
    <xf numFmtId="165" fontId="46" fillId="0" borderId="24" xfId="0" applyNumberFormat="1" applyFont="1" applyBorder="1" applyAlignment="1" applyProtection="1">
      <alignment horizontal="left" indent="1"/>
    </xf>
    <xf numFmtId="165" fontId="41" fillId="0" borderId="17" xfId="50" quotePrefix="1" applyNumberFormat="1" applyFont="1" applyFill="1" applyBorder="1" applyAlignment="1" applyProtection="1">
      <alignment horizontal="right"/>
    </xf>
    <xf numFmtId="37" fontId="45" fillId="0" borderId="24" xfId="0" applyFont="1" applyFill="1" applyBorder="1" applyAlignment="1" applyProtection="1">
      <alignment horizontal="left"/>
    </xf>
    <xf numFmtId="37" fontId="6" fillId="0" borderId="17" xfId="29" quotePrefix="1" applyFont="1" applyFill="1" applyBorder="1" applyAlignment="1" applyProtection="1">
      <alignment horizontal="right"/>
    </xf>
    <xf numFmtId="183" fontId="6" fillId="0" borderId="17" xfId="29" applyNumberFormat="1" applyFont="1" applyFill="1" applyBorder="1" applyProtection="1">
      <protection locked="0"/>
    </xf>
    <xf numFmtId="166" fontId="6" fillId="0" borderId="17" xfId="29" applyNumberFormat="1" applyFont="1" applyFill="1" applyBorder="1"/>
    <xf numFmtId="7" fontId="6" fillId="0" borderId="24" xfId="0" applyNumberFormat="1" applyFont="1" applyBorder="1" applyAlignment="1" applyProtection="1">
      <alignment horizontal="left"/>
    </xf>
    <xf numFmtId="37" fontId="6" fillId="0" borderId="17" xfId="0" applyFont="1" applyFill="1" applyBorder="1" applyAlignment="1" applyProtection="1">
      <alignment horizontal="right"/>
    </xf>
    <xf numFmtId="183" fontId="8" fillId="0" borderId="17" xfId="0" applyNumberFormat="1" applyFont="1" applyFill="1" applyBorder="1" applyProtection="1"/>
    <xf numFmtId="37" fontId="8" fillId="0" borderId="24" xfId="0" applyFont="1" applyBorder="1" applyProtection="1"/>
    <xf numFmtId="37" fontId="52" fillId="0" borderId="24" xfId="0" applyFont="1" applyBorder="1" applyProtection="1"/>
    <xf numFmtId="165" fontId="6" fillId="0" borderId="15" xfId="50" applyFont="1" applyFill="1" applyBorder="1" applyAlignment="1" applyProtection="1"/>
    <xf numFmtId="165" fontId="6" fillId="0" borderId="17" xfId="50" applyFont="1" applyFill="1" applyBorder="1" applyAlignment="1" applyProtection="1"/>
    <xf numFmtId="165" fontId="6" fillId="0" borderId="22" xfId="50" applyFont="1" applyFill="1" applyBorder="1" applyAlignment="1" applyProtection="1"/>
    <xf numFmtId="1" fontId="8" fillId="0" borderId="17" xfId="30" applyNumberFormat="1" applyFont="1" applyFill="1" applyBorder="1" applyAlignment="1" applyProtection="1">
      <alignment horizontal="right"/>
    </xf>
    <xf numFmtId="168" fontId="6" fillId="0" borderId="17" xfId="0" applyNumberFormat="1" applyFont="1" applyFill="1" applyBorder="1" applyProtection="1"/>
    <xf numFmtId="183" fontId="6" fillId="0" borderId="22" xfId="29" applyNumberFormat="1" applyFont="1" applyFill="1" applyBorder="1" applyProtection="1"/>
    <xf numFmtId="168" fontId="8" fillId="0" borderId="12" xfId="0" applyNumberFormat="1" applyFont="1" applyFill="1" applyBorder="1" applyProtection="1"/>
    <xf numFmtId="183" fontId="6" fillId="0" borderId="15" xfId="0" applyNumberFormat="1" applyFont="1" applyFill="1" applyBorder="1" applyProtection="1"/>
    <xf numFmtId="168" fontId="8" fillId="0" borderId="12" xfId="30" applyNumberFormat="1" applyFont="1" applyFill="1" applyBorder="1" applyProtection="1"/>
    <xf numFmtId="183" fontId="8" fillId="0" borderId="17" xfId="30" applyNumberFormat="1" applyFont="1" applyFill="1" applyBorder="1" applyProtection="1"/>
    <xf numFmtId="7" fontId="6" fillId="0" borderId="17" xfId="30" applyNumberFormat="1" applyFont="1" applyFill="1" applyBorder="1" applyProtection="1"/>
    <xf numFmtId="37" fontId="6" fillId="0" borderId="24" xfId="29" applyFont="1" applyBorder="1" applyAlignment="1" applyProtection="1">
      <alignment horizontal="left"/>
    </xf>
    <xf numFmtId="37" fontId="6" fillId="0" borderId="17" xfId="29" quotePrefix="1" applyFont="1" applyFill="1" applyBorder="1" applyAlignment="1" applyProtection="1"/>
    <xf numFmtId="37" fontId="6" fillId="0" borderId="24" xfId="29" applyFont="1" applyBorder="1" applyAlignment="1" applyProtection="1">
      <alignment horizontal="left" indent="1"/>
    </xf>
    <xf numFmtId="5" fontId="6" fillId="0" borderId="24" xfId="30" applyFont="1" applyFill="1" applyBorder="1"/>
    <xf numFmtId="5" fontId="6" fillId="0" borderId="17" xfId="30" quotePrefix="1" applyFont="1" applyFill="1" applyBorder="1" applyAlignment="1" applyProtection="1"/>
    <xf numFmtId="165" fontId="6" fillId="0" borderId="17" xfId="50" applyNumberFormat="1" applyFont="1" applyFill="1" applyBorder="1" applyAlignment="1" applyProtection="1">
      <alignment horizontal="right"/>
    </xf>
    <xf numFmtId="165" fontId="41" fillId="0" borderId="17" xfId="50" quotePrefix="1" applyFont="1" applyFill="1" applyBorder="1" applyAlignment="1" applyProtection="1"/>
    <xf numFmtId="37" fontId="8" fillId="0" borderId="24" xfId="29" applyFont="1" applyFill="1" applyBorder="1" applyAlignment="1" applyProtection="1">
      <alignment horizontal="left"/>
    </xf>
    <xf numFmtId="183" fontId="8" fillId="0" borderId="17" xfId="30" quotePrefix="1" applyNumberFormat="1" applyFont="1" applyFill="1" applyBorder="1" applyAlignment="1" applyProtection="1"/>
    <xf numFmtId="37" fontId="41" fillId="0" borderId="24" xfId="29" applyFont="1" applyFill="1" applyBorder="1" applyAlignment="1" applyProtection="1">
      <alignment horizontal="left" indent="1"/>
    </xf>
    <xf numFmtId="165" fontId="6" fillId="0" borderId="17" xfId="50" quotePrefix="1" applyFont="1" applyFill="1" applyBorder="1" applyAlignment="1" applyProtection="1"/>
    <xf numFmtId="37" fontId="18" fillId="0" borderId="24" xfId="0" applyFont="1" applyBorder="1"/>
    <xf numFmtId="165" fontId="6" fillId="0" borderId="17" xfId="50" quotePrefix="1" applyFont="1" applyFill="1" applyBorder="1" applyAlignment="1" applyProtection="1">
      <alignment horizontal="right"/>
    </xf>
    <xf numFmtId="164" fontId="6" fillId="0" borderId="17" xfId="0" applyNumberFormat="1" applyFont="1" applyFill="1" applyBorder="1" applyAlignment="1" applyProtection="1">
      <alignment horizontal="right"/>
    </xf>
    <xf numFmtId="37" fontId="53" fillId="0" borderId="24" xfId="29" applyFont="1" applyFill="1" applyBorder="1" applyAlignment="1" applyProtection="1">
      <alignment horizontal="left"/>
    </xf>
    <xf numFmtId="165" fontId="41" fillId="0" borderId="17" xfId="50" applyFont="1" applyFill="1" applyBorder="1" applyProtection="1"/>
    <xf numFmtId="37" fontId="41" fillId="0" borderId="24" xfId="0" applyFont="1" applyFill="1" applyBorder="1" applyAlignment="1">
      <alignment horizontal="left" indent="1"/>
    </xf>
    <xf numFmtId="168" fontId="6" fillId="0" borderId="17" xfId="29" quotePrefix="1" applyNumberFormat="1" applyFont="1" applyFill="1" applyBorder="1" applyAlignment="1" applyProtection="1"/>
    <xf numFmtId="166" fontId="6" fillId="0" borderId="17" xfId="29" quotePrefix="1" applyNumberFormat="1" applyFont="1" applyFill="1" applyBorder="1" applyAlignment="1" applyProtection="1"/>
    <xf numFmtId="37" fontId="8" fillId="0" borderId="24" xfId="29" applyFont="1" applyBorder="1" applyAlignment="1" applyProtection="1">
      <alignment horizontal="left"/>
    </xf>
    <xf numFmtId="37" fontId="6" fillId="0" borderId="17" xfId="0" applyNumberFormat="1" applyFont="1" applyFill="1" applyBorder="1" applyAlignment="1" applyProtection="1">
      <alignment horizontal="right"/>
    </xf>
    <xf numFmtId="168" fontId="8" fillId="0" borderId="17" xfId="0" applyNumberFormat="1" applyFont="1" applyFill="1" applyBorder="1" applyAlignment="1" applyProtection="1">
      <alignment horizontal="right"/>
    </xf>
    <xf numFmtId="168" fontId="8" fillId="0" borderId="17" xfId="30" quotePrefix="1" applyNumberFormat="1" applyFont="1" applyFill="1" applyBorder="1" applyAlignment="1" applyProtection="1"/>
    <xf numFmtId="37" fontId="41" fillId="0" borderId="24" xfId="29" applyFont="1" applyBorder="1" applyAlignment="1" applyProtection="1">
      <alignment horizontal="left" indent="1"/>
    </xf>
    <xf numFmtId="168" fontId="6" fillId="0" borderId="24" xfId="29" applyNumberFormat="1" applyFont="1" applyFill="1" applyBorder="1" applyAlignment="1" applyProtection="1">
      <alignment horizontal="left"/>
    </xf>
    <xf numFmtId="166" fontId="6" fillId="0" borderId="24" xfId="29" applyNumberFormat="1" applyFont="1" applyFill="1" applyBorder="1" applyAlignment="1" applyProtection="1">
      <alignment horizontal="left" indent="1"/>
    </xf>
    <xf numFmtId="37" fontId="6" fillId="0" borderId="17" xfId="29" applyFont="1" applyFill="1" applyBorder="1" applyProtection="1"/>
    <xf numFmtId="183" fontId="6" fillId="0" borderId="17" xfId="0" applyNumberFormat="1" applyFont="1" applyFill="1" applyBorder="1" applyAlignment="1" applyProtection="1">
      <alignment horizontal="right"/>
    </xf>
    <xf numFmtId="184" fontId="6" fillId="0" borderId="17" xfId="30" applyNumberFormat="1" applyFont="1" applyFill="1" applyBorder="1" applyProtection="1"/>
    <xf numFmtId="5" fontId="6" fillId="0" borderId="17" xfId="30" quotePrefix="1" applyNumberFormat="1" applyFont="1" applyFill="1" applyBorder="1" applyAlignment="1" applyProtection="1"/>
    <xf numFmtId="168" fontId="6" fillId="0" borderId="17" xfId="30" quotePrefix="1" applyNumberFormat="1" applyFont="1" applyFill="1" applyBorder="1" applyAlignment="1" applyProtection="1"/>
    <xf numFmtId="37" fontId="6" fillId="0" borderId="24" xfId="29" applyNumberFormat="1" applyFont="1" applyBorder="1" applyAlignment="1" applyProtection="1">
      <alignment horizontal="left"/>
    </xf>
    <xf numFmtId="37" fontId="6" fillId="0" borderId="17" xfId="29" applyNumberFormat="1" applyFont="1" applyFill="1" applyBorder="1" applyProtection="1"/>
    <xf numFmtId="37" fontId="6" fillId="0" borderId="24" xfId="29" applyNumberFormat="1" applyFont="1" applyFill="1" applyBorder="1" applyAlignment="1" applyProtection="1">
      <alignment horizontal="left"/>
    </xf>
    <xf numFmtId="41" fontId="6" fillId="0" borderId="17" xfId="29" applyNumberFormat="1" applyFont="1" applyFill="1" applyBorder="1" applyProtection="1"/>
    <xf numFmtId="37" fontId="6" fillId="0" borderId="24" xfId="29" applyNumberFormat="1" applyFont="1" applyFill="1" applyBorder="1" applyAlignment="1" applyProtection="1">
      <alignment horizontal="left" indent="1"/>
    </xf>
    <xf numFmtId="37" fontId="6" fillId="0" borderId="17" xfId="29" quotePrefix="1" applyNumberFormat="1" applyFont="1" applyFill="1" applyBorder="1" applyAlignment="1" applyProtection="1"/>
    <xf numFmtId="41" fontId="6" fillId="0" borderId="17" xfId="0" applyNumberFormat="1" applyFont="1" applyFill="1" applyBorder="1" applyAlignment="1" applyProtection="1">
      <alignment horizontal="right"/>
    </xf>
    <xf numFmtId="37" fontId="47" fillId="0" borderId="24" xfId="29" applyFont="1" applyFill="1" applyBorder="1" applyAlignment="1" applyProtection="1">
      <alignment horizontal="left"/>
    </xf>
    <xf numFmtId="37" fontId="6" fillId="0" borderId="17" xfId="50" quotePrefix="1" applyNumberFormat="1" applyFont="1" applyFill="1" applyBorder="1" applyAlignment="1" applyProtection="1"/>
    <xf numFmtId="37" fontId="41" fillId="0" borderId="24" xfId="29" applyFont="1" applyFill="1" applyBorder="1" applyAlignment="1" applyProtection="1">
      <alignment horizontal="left"/>
    </xf>
    <xf numFmtId="166" fontId="47" fillId="0" borderId="24" xfId="29" applyNumberFormat="1" applyFont="1" applyFill="1" applyBorder="1" applyAlignment="1" applyProtection="1">
      <alignment horizontal="left"/>
    </xf>
    <xf numFmtId="168" fontId="6" fillId="0" borderId="24" xfId="29" applyNumberFormat="1" applyFont="1" applyFill="1" applyBorder="1" applyAlignment="1" applyProtection="1">
      <alignment horizontal="left" indent="1"/>
    </xf>
    <xf numFmtId="165" fontId="6" fillId="0" borderId="17" xfId="50" applyFont="1" applyFill="1" applyBorder="1" applyAlignment="1" applyProtection="1">
      <alignment horizontal="right"/>
    </xf>
    <xf numFmtId="165" fontId="6" fillId="0" borderId="24" xfId="50" applyFont="1" applyFill="1" applyBorder="1" applyAlignment="1" applyProtection="1">
      <alignment horizontal="left"/>
    </xf>
    <xf numFmtId="165" fontId="45" fillId="0" borderId="24" xfId="0" applyNumberFormat="1" applyFont="1" applyFill="1" applyBorder="1"/>
    <xf numFmtId="165" fontId="6" fillId="0" borderId="17" xfId="0" applyNumberFormat="1" applyFont="1" applyFill="1" applyBorder="1" applyAlignment="1" applyProtection="1">
      <alignment horizontal="right"/>
    </xf>
    <xf numFmtId="183" fontId="6" fillId="0" borderId="17" xfId="50" quotePrefix="1" applyNumberFormat="1" applyFont="1" applyFill="1" applyBorder="1" applyAlignment="1" applyProtection="1"/>
    <xf numFmtId="5" fontId="8" fillId="0" borderId="24" xfId="29" applyNumberFormat="1" applyFont="1" applyFill="1" applyBorder="1" applyAlignment="1" applyProtection="1">
      <alignment horizontal="left"/>
    </xf>
    <xf numFmtId="5" fontId="8" fillId="0" borderId="24" xfId="30" applyFont="1" applyFill="1" applyBorder="1"/>
    <xf numFmtId="166" fontId="6" fillId="0" borderId="24" xfId="0" applyNumberFormat="1" applyFont="1" applyBorder="1" applyAlignment="1">
      <alignment horizontal="left" indent="1"/>
    </xf>
    <xf numFmtId="165" fontId="6" fillId="0" borderId="17" xfId="50" applyFont="1" applyFill="1" applyBorder="1" applyProtection="1"/>
    <xf numFmtId="9" fontId="6" fillId="0" borderId="17" xfId="30" quotePrefix="1" applyNumberFormat="1" applyFont="1" applyFill="1" applyBorder="1" applyAlignment="1" applyProtection="1"/>
    <xf numFmtId="183" fontId="6" fillId="0" borderId="17" xfId="29" quotePrefix="1" applyNumberFormat="1" applyFont="1" applyFill="1" applyBorder="1" applyAlignment="1" applyProtection="1"/>
    <xf numFmtId="41" fontId="6" fillId="0" borderId="17" xfId="29" quotePrefix="1" applyNumberFormat="1" applyFont="1" applyFill="1" applyBorder="1" applyAlignment="1" applyProtection="1"/>
    <xf numFmtId="9" fontId="6" fillId="0" borderId="24" xfId="29" applyNumberFormat="1" applyFont="1" applyFill="1" applyBorder="1" applyAlignment="1" applyProtection="1">
      <alignment horizontal="left"/>
    </xf>
    <xf numFmtId="165" fontId="6" fillId="0" borderId="17" xfId="50" applyNumberFormat="1" applyFont="1" applyFill="1" applyBorder="1" applyProtection="1"/>
    <xf numFmtId="5" fontId="6" fillId="0" borderId="24" xfId="29" applyNumberFormat="1" applyFont="1" applyFill="1" applyBorder="1" applyAlignment="1" applyProtection="1">
      <alignment horizontal="left"/>
    </xf>
    <xf numFmtId="37" fontId="40" fillId="0" borderId="24" xfId="29" applyFont="1" applyFill="1" applyBorder="1" applyAlignment="1" applyProtection="1">
      <alignment horizontal="left"/>
    </xf>
    <xf numFmtId="2" fontId="6" fillId="0" borderId="17" xfId="29" quotePrefix="1" applyNumberFormat="1" applyFont="1" applyFill="1" applyBorder="1" applyAlignment="1" applyProtection="1"/>
    <xf numFmtId="183" fontId="8" fillId="0" borderId="17" xfId="29" quotePrefix="1" applyNumberFormat="1" applyFont="1" applyFill="1" applyBorder="1" applyAlignment="1" applyProtection="1"/>
    <xf numFmtId="183" fontId="8" fillId="4" borderId="12" xfId="29" quotePrefix="1" applyNumberFormat="1" applyFont="1" applyFill="1" applyBorder="1" applyAlignment="1" applyProtection="1"/>
    <xf numFmtId="9" fontId="6" fillId="0" borderId="17" xfId="29" quotePrefix="1" applyNumberFormat="1" applyFont="1" applyFill="1" applyBorder="1" applyAlignment="1" applyProtection="1"/>
    <xf numFmtId="183" fontId="8" fillId="4" borderId="12" xfId="30" applyNumberFormat="1" applyFont="1" applyFill="1" applyBorder="1" applyProtection="1"/>
    <xf numFmtId="183" fontId="8" fillId="4" borderId="12" xfId="30" quotePrefix="1" applyNumberFormat="1" applyFont="1" applyFill="1" applyBorder="1" applyAlignment="1" applyProtection="1"/>
    <xf numFmtId="165" fontId="6" fillId="0" borderId="17" xfId="50" quotePrefix="1" applyNumberFormat="1" applyFont="1" applyFill="1" applyBorder="1" applyAlignment="1" applyProtection="1"/>
    <xf numFmtId="165" fontId="6" fillId="0" borderId="24" xfId="0" applyNumberFormat="1" applyFont="1" applyFill="1" applyBorder="1" applyAlignment="1" applyProtection="1">
      <alignment horizontal="left"/>
    </xf>
    <xf numFmtId="168" fontId="8" fillId="0" borderId="24" xfId="29" applyNumberFormat="1" applyFont="1" applyFill="1" applyBorder="1" applyAlignment="1" applyProtection="1">
      <alignment horizontal="left"/>
    </xf>
    <xf numFmtId="9" fontId="41" fillId="0" borderId="17" xfId="50" quotePrefix="1" applyNumberFormat="1" applyFont="1" applyFill="1" applyBorder="1" applyAlignment="1" applyProtection="1"/>
    <xf numFmtId="168" fontId="41" fillId="0" borderId="24" xfId="29" applyNumberFormat="1" applyFont="1" applyFill="1" applyBorder="1" applyAlignment="1" applyProtection="1">
      <alignment horizontal="left" indent="1"/>
    </xf>
    <xf numFmtId="183" fontId="41" fillId="0" borderId="17" xfId="30" quotePrefix="1" applyNumberFormat="1" applyFont="1" applyFill="1" applyBorder="1" applyAlignment="1" applyProtection="1">
      <alignment horizontal="right"/>
    </xf>
    <xf numFmtId="175" fontId="6" fillId="0" borderId="17" xfId="50" quotePrefix="1" applyNumberFormat="1" applyFont="1" applyFill="1" applyBorder="1" applyAlignment="1" applyProtection="1"/>
    <xf numFmtId="168" fontId="6" fillId="0" borderId="23" xfId="29" applyNumberFormat="1" applyFont="1" applyFill="1" applyBorder="1" applyAlignment="1" applyProtection="1">
      <alignment horizontal="left"/>
    </xf>
    <xf numFmtId="183" fontId="6" fillId="0" borderId="21" xfId="30" quotePrefix="1" applyNumberFormat="1" applyFont="1" applyFill="1" applyBorder="1" applyAlignment="1" applyProtection="1"/>
    <xf numFmtId="183" fontId="6" fillId="0" borderId="22" xfId="30" quotePrefix="1" applyNumberFormat="1" applyFont="1" applyFill="1" applyBorder="1" applyAlignment="1" applyProtection="1"/>
    <xf numFmtId="37" fontId="6" fillId="0" borderId="22" xfId="29" quotePrefix="1" applyFont="1" applyFill="1" applyBorder="1" applyAlignment="1" applyProtection="1"/>
    <xf numFmtId="37" fontId="8" fillId="0" borderId="23" xfId="29" applyFont="1" applyBorder="1" applyAlignment="1" applyProtection="1">
      <alignment horizontal="left"/>
    </xf>
    <xf numFmtId="183" fontId="6" fillId="0" borderId="17" xfId="50" applyNumberFormat="1" applyFont="1" applyFill="1" applyBorder="1" applyProtection="1"/>
    <xf numFmtId="37" fontId="8" fillId="0" borderId="24" xfId="0" applyFont="1" applyFill="1" applyBorder="1" applyProtection="1"/>
    <xf numFmtId="168" fontId="8" fillId="0" borderId="22" xfId="30" applyNumberFormat="1" applyFont="1" applyFill="1" applyBorder="1" applyProtection="1"/>
    <xf numFmtId="167" fontId="6" fillId="0" borderId="17" xfId="0" applyNumberFormat="1" applyFont="1" applyFill="1" applyBorder="1" applyProtection="1"/>
    <xf numFmtId="183" fontId="8" fillId="0" borderId="12" xfId="30" applyNumberFormat="1" applyFont="1" applyFill="1" applyBorder="1" applyProtection="1"/>
    <xf numFmtId="184" fontId="6" fillId="0" borderId="17" xfId="0" applyNumberFormat="1" applyFont="1" applyFill="1" applyBorder="1" applyProtection="1"/>
    <xf numFmtId="166" fontId="6" fillId="0" borderId="17" xfId="30" applyNumberFormat="1" applyFont="1" applyFill="1" applyBorder="1" applyProtection="1"/>
    <xf numFmtId="37" fontId="52" fillId="0" borderId="24" xfId="0" applyFont="1" applyFill="1" applyBorder="1" applyAlignment="1" applyProtection="1">
      <alignment horizontal="left"/>
    </xf>
    <xf numFmtId="178" fontId="6" fillId="0" borderId="17" xfId="50" applyNumberFormat="1" applyFont="1" applyFill="1" applyBorder="1" applyProtection="1"/>
    <xf numFmtId="178" fontId="6" fillId="0" borderId="17" xfId="0" applyNumberFormat="1" applyFont="1" applyFill="1" applyBorder="1" applyProtection="1"/>
    <xf numFmtId="37" fontId="39" fillId="0" borderId="24" xfId="0" applyFont="1" applyFill="1" applyBorder="1" applyProtection="1"/>
    <xf numFmtId="183" fontId="6" fillId="0" borderId="17" xfId="30" quotePrefix="1" applyNumberFormat="1" applyFont="1" applyFill="1" applyBorder="1" applyAlignment="1" applyProtection="1">
      <alignment horizontal="right"/>
    </xf>
    <xf numFmtId="166" fontId="6" fillId="0" borderId="17" xfId="50" applyNumberFormat="1" applyFont="1" applyFill="1" applyBorder="1" applyProtection="1">
      <protection locked="0"/>
    </xf>
    <xf numFmtId="183" fontId="6" fillId="0" borderId="17" xfId="30" applyNumberFormat="1" applyFont="1" applyFill="1" applyBorder="1" applyProtection="1">
      <protection locked="0"/>
    </xf>
    <xf numFmtId="166" fontId="6" fillId="0" borderId="17" xfId="29" applyNumberFormat="1" applyFont="1" applyFill="1" applyBorder="1" applyProtection="1">
      <protection locked="0"/>
    </xf>
    <xf numFmtId="37" fontId="6" fillId="0" borderId="17" xfId="0" applyNumberFormat="1" applyFont="1" applyFill="1" applyBorder="1" applyProtection="1">
      <protection locked="0"/>
    </xf>
    <xf numFmtId="166" fontId="8" fillId="0" borderId="17" xfId="0" applyNumberFormat="1" applyFont="1" applyFill="1" applyBorder="1"/>
    <xf numFmtId="37" fontId="8" fillId="0" borderId="17" xfId="0" applyFont="1" applyFill="1" applyBorder="1"/>
    <xf numFmtId="185" fontId="6" fillId="0" borderId="17" xfId="0" applyNumberFormat="1" applyFont="1" applyFill="1" applyBorder="1" applyAlignment="1" applyProtection="1">
      <alignment horizontal="right"/>
    </xf>
    <xf numFmtId="39" fontId="6" fillId="0" borderId="17" xfId="0" applyNumberFormat="1" applyFont="1" applyFill="1" applyBorder="1" applyAlignment="1" applyProtection="1">
      <alignment horizontal="right"/>
    </xf>
    <xf numFmtId="175" fontId="6" fillId="0" borderId="17" xfId="0" applyNumberFormat="1" applyFont="1" applyFill="1" applyBorder="1" applyAlignment="1" applyProtection="1">
      <alignment horizontal="right"/>
    </xf>
    <xf numFmtId="37" fontId="6" fillId="0" borderId="17" xfId="29" applyFont="1" applyFill="1" applyBorder="1" applyAlignment="1" applyProtection="1">
      <alignment horizontal="right"/>
    </xf>
    <xf numFmtId="189" fontId="6" fillId="0" borderId="17" xfId="29" applyNumberFormat="1" applyFont="1" applyFill="1" applyBorder="1" applyAlignment="1" applyProtection="1">
      <alignment horizontal="right"/>
    </xf>
    <xf numFmtId="180" fontId="6" fillId="0" borderId="17" xfId="0" applyNumberFormat="1" applyFont="1" applyFill="1" applyBorder="1" applyAlignment="1" applyProtection="1">
      <alignment horizontal="right"/>
    </xf>
    <xf numFmtId="166" fontId="41" fillId="0" borderId="22" xfId="0" applyNumberFormat="1" applyFont="1" applyFill="1" applyBorder="1" applyAlignment="1" applyProtection="1">
      <alignment horizontal="right"/>
    </xf>
    <xf numFmtId="166" fontId="66" fillId="0" borderId="24" xfId="0" applyNumberFormat="1" applyFont="1" applyFill="1" applyBorder="1"/>
    <xf numFmtId="166" fontId="40" fillId="0" borderId="24" xfId="30" applyNumberFormat="1" applyFont="1" applyFill="1" applyBorder="1" applyAlignment="1" applyProtection="1">
      <alignment horizontal="left"/>
    </xf>
    <xf numFmtId="166" fontId="6" fillId="0" borderId="24" xfId="30" applyNumberFormat="1" applyFont="1" applyFill="1" applyBorder="1" applyAlignment="1" applyProtection="1">
      <alignment horizontal="left" indent="1"/>
    </xf>
    <xf numFmtId="166" fontId="8" fillId="0" borderId="24" xfId="30" applyNumberFormat="1" applyFont="1" applyFill="1" applyBorder="1" applyAlignment="1" applyProtection="1">
      <alignment horizontal="left"/>
    </xf>
    <xf numFmtId="183" fontId="8" fillId="0" borderId="17" xfId="50" applyNumberFormat="1" applyFont="1" applyFill="1" applyBorder="1" applyProtection="1">
      <protection locked="0"/>
    </xf>
    <xf numFmtId="185" fontId="6" fillId="0" borderId="17" xfId="50" applyNumberFormat="1" applyFont="1" applyFill="1" applyBorder="1" applyProtection="1">
      <protection locked="0"/>
    </xf>
    <xf numFmtId="9" fontId="6" fillId="0" borderId="17" xfId="0" applyNumberFormat="1" applyFont="1" applyFill="1" applyBorder="1" applyProtection="1"/>
    <xf numFmtId="164" fontId="8" fillId="7" borderId="12" xfId="0" applyNumberFormat="1" applyFont="1" applyFill="1" applyBorder="1" applyAlignment="1" applyProtection="1">
      <alignment horizontal="right"/>
    </xf>
    <xf numFmtId="183" fontId="45" fillId="0" borderId="13" xfId="29" quotePrefix="1" applyNumberFormat="1" applyFont="1" applyFill="1" applyBorder="1" applyAlignment="1" applyProtection="1"/>
    <xf numFmtId="185" fontId="26" fillId="0" borderId="13" xfId="29" quotePrefix="1" applyNumberFormat="1" applyFont="1" applyFill="1" applyBorder="1" applyAlignment="1" applyProtection="1"/>
    <xf numFmtId="37" fontId="61" fillId="0" borderId="0" xfId="0" applyFont="1"/>
    <xf numFmtId="37" fontId="61" fillId="0" borderId="0" xfId="0" applyFont="1" applyAlignment="1">
      <alignment horizontal="center"/>
    </xf>
    <xf numFmtId="37" fontId="64" fillId="0" borderId="0" xfId="29" applyNumberFormat="1" applyFont="1"/>
    <xf numFmtId="37" fontId="64" fillId="0" borderId="0" xfId="29" applyNumberFormat="1" applyFont="1" applyBorder="1"/>
    <xf numFmtId="37" fontId="64" fillId="0" borderId="13" xfId="29" applyNumberFormat="1" applyFont="1" applyBorder="1"/>
    <xf numFmtId="37" fontId="64" fillId="0" borderId="0" xfId="0" applyFont="1"/>
    <xf numFmtId="37" fontId="64" fillId="0" borderId="0" xfId="0" applyFont="1" applyBorder="1"/>
    <xf numFmtId="37" fontId="64" fillId="0" borderId="13" xfId="0" applyFont="1" applyBorder="1"/>
    <xf numFmtId="37" fontId="61" fillId="0" borderId="0" xfId="0" applyFont="1" applyBorder="1"/>
    <xf numFmtId="37" fontId="61" fillId="0" borderId="13" xfId="0" applyFont="1" applyBorder="1"/>
    <xf numFmtId="165" fontId="64" fillId="0" borderId="0" xfId="50" applyFont="1"/>
    <xf numFmtId="165" fontId="64" fillId="0" borderId="0" xfId="50" applyFont="1" applyBorder="1"/>
    <xf numFmtId="165" fontId="64" fillId="0" borderId="13" xfId="50" applyFont="1" applyBorder="1"/>
    <xf numFmtId="7" fontId="64" fillId="0" borderId="0" xfId="30" applyNumberFormat="1" applyFont="1"/>
    <xf numFmtId="7" fontId="64" fillId="0" borderId="0" xfId="30" applyNumberFormat="1" applyFont="1" applyBorder="1"/>
    <xf numFmtId="7" fontId="64" fillId="0" borderId="13" xfId="30" applyNumberFormat="1" applyFont="1" applyBorder="1"/>
    <xf numFmtId="39" fontId="61" fillId="0" borderId="0" xfId="0" applyNumberFormat="1" applyFont="1" applyBorder="1"/>
    <xf numFmtId="166" fontId="61" fillId="0" borderId="13" xfId="0" applyNumberFormat="1" applyFont="1" applyBorder="1"/>
    <xf numFmtId="166" fontId="61" fillId="6" borderId="0" xfId="0" applyNumberFormat="1" applyFont="1" applyFill="1" applyBorder="1" applyAlignment="1" applyProtection="1">
      <alignment horizontal="right"/>
    </xf>
    <xf numFmtId="166" fontId="61" fillId="6" borderId="13" xfId="0" applyNumberFormat="1" applyFont="1" applyFill="1" applyBorder="1" applyAlignment="1" applyProtection="1">
      <alignment horizontal="right"/>
    </xf>
    <xf numFmtId="168" fontId="61" fillId="0" borderId="0" xfId="30" applyNumberFormat="1" applyFont="1"/>
    <xf numFmtId="168" fontId="61" fillId="0" borderId="13" xfId="30" applyNumberFormat="1" applyFont="1" applyBorder="1"/>
    <xf numFmtId="165" fontId="42" fillId="0" borderId="13" xfId="50" quotePrefix="1" applyNumberFormat="1" applyFont="1" applyFill="1" applyBorder="1" applyAlignment="1" applyProtection="1"/>
    <xf numFmtId="165" fontId="46" fillId="0" borderId="13" xfId="50" quotePrefix="1" applyNumberFormat="1" applyFont="1" applyFill="1" applyBorder="1" applyAlignment="1" applyProtection="1"/>
    <xf numFmtId="183" fontId="55" fillId="0" borderId="0" xfId="29" quotePrefix="1" applyNumberFormat="1" applyFont="1" applyFill="1" applyBorder="1" applyAlignment="1" applyProtection="1"/>
    <xf numFmtId="185" fontId="26" fillId="0" borderId="0" xfId="29" quotePrefix="1" applyNumberFormat="1" applyFont="1" applyFill="1" applyBorder="1" applyAlignment="1" applyProtection="1"/>
    <xf numFmtId="183" fontId="44" fillId="0" borderId="0" xfId="30" quotePrefix="1" applyNumberFormat="1" applyFont="1" applyFill="1" applyBorder="1" applyAlignment="1" applyProtection="1"/>
    <xf numFmtId="185" fontId="6" fillId="0" borderId="0" xfId="29" applyNumberFormat="1" applyFont="1" applyFill="1" applyBorder="1" applyAlignment="1" applyProtection="1"/>
    <xf numFmtId="7" fontId="8" fillId="0" borderId="0" xfId="30" applyNumberFormat="1" applyFont="1" applyFill="1" applyBorder="1" applyProtection="1"/>
    <xf numFmtId="41" fontId="26" fillId="0" borderId="0" xfId="29" quotePrefix="1" applyNumberFormat="1" applyFont="1" applyFill="1" applyBorder="1" applyAlignment="1" applyProtection="1"/>
    <xf numFmtId="41" fontId="45" fillId="0" borderId="0" xfId="29" quotePrefix="1" applyNumberFormat="1" applyFont="1" applyFill="1" applyBorder="1" applyAlignment="1" applyProtection="1"/>
    <xf numFmtId="41" fontId="26" fillId="0" borderId="13" xfId="29" quotePrefix="1" applyNumberFormat="1" applyFont="1" applyFill="1" applyBorder="1" applyAlignment="1" applyProtection="1"/>
    <xf numFmtId="41" fontId="45" fillId="0" borderId="13" xfId="29" quotePrefix="1" applyNumberFormat="1" applyFont="1" applyFill="1" applyBorder="1" applyAlignment="1" applyProtection="1"/>
    <xf numFmtId="185" fontId="6" fillId="0" borderId="0" xfId="29" quotePrefix="1" applyNumberFormat="1" applyFont="1" applyFill="1" applyBorder="1" applyAlignment="1" applyProtection="1"/>
    <xf numFmtId="183" fontId="44" fillId="0" borderId="13" xfId="29" quotePrefix="1" applyNumberFormat="1" applyFont="1" applyFill="1" applyBorder="1" applyAlignment="1" applyProtection="1"/>
    <xf numFmtId="183" fontId="26" fillId="0" borderId="17" xfId="29" applyNumberFormat="1" applyFont="1" applyFill="1" applyBorder="1" applyProtection="1">
      <protection locked="0"/>
    </xf>
    <xf numFmtId="165" fontId="26" fillId="0" borderId="0" xfId="50" applyFont="1" applyFill="1" applyBorder="1" applyProtection="1">
      <protection locked="0"/>
    </xf>
    <xf numFmtId="177" fontId="45" fillId="0" borderId="0" xfId="0" applyNumberFormat="1" applyFont="1" applyBorder="1"/>
    <xf numFmtId="39" fontId="18" fillId="0" borderId="0" xfId="0" applyNumberFormat="1" applyFont="1"/>
    <xf numFmtId="1" fontId="8" fillId="0" borderId="10" xfId="0" applyNumberFormat="1" applyFont="1" applyFill="1" applyBorder="1" applyAlignment="1" applyProtection="1">
      <alignment horizontal="right"/>
    </xf>
    <xf numFmtId="1" fontId="8" fillId="0" borderId="11" xfId="0" applyNumberFormat="1" applyFont="1" applyFill="1" applyBorder="1" applyAlignment="1" applyProtection="1">
      <alignment horizontal="right"/>
    </xf>
    <xf numFmtId="180" fontId="77" fillId="0" borderId="0" xfId="0" applyNumberFormat="1" applyFont="1" applyFill="1" applyBorder="1" applyAlignment="1" applyProtection="1">
      <alignment horizontal="right"/>
    </xf>
    <xf numFmtId="180" fontId="77" fillId="0" borderId="13" xfId="0" applyNumberFormat="1" applyFont="1" applyFill="1" applyBorder="1" applyAlignment="1" applyProtection="1">
      <alignment horizontal="right"/>
    </xf>
    <xf numFmtId="183" fontId="6" fillId="0" borderId="9" xfId="29" quotePrefix="1" applyNumberFormat="1" applyFont="1" applyFill="1" applyBorder="1" applyAlignment="1" applyProtection="1"/>
    <xf numFmtId="183" fontId="6" fillId="0" borderId="10" xfId="29" quotePrefix="1" applyNumberFormat="1" applyFont="1" applyFill="1" applyBorder="1" applyAlignment="1" applyProtection="1"/>
    <xf numFmtId="183" fontId="6" fillId="0" borderId="11" xfId="29" quotePrefix="1" applyNumberFormat="1" applyFont="1" applyFill="1" applyBorder="1" applyAlignment="1" applyProtection="1"/>
    <xf numFmtId="183" fontId="8" fillId="0" borderId="10" xfId="29" quotePrefix="1" applyNumberFormat="1" applyFont="1" applyFill="1" applyBorder="1" applyAlignment="1" applyProtection="1"/>
    <xf numFmtId="183" fontId="44" fillId="0" borderId="11" xfId="29" quotePrefix="1" applyNumberFormat="1" applyFont="1" applyFill="1" applyBorder="1" applyAlignment="1" applyProtection="1"/>
    <xf numFmtId="5" fontId="26" fillId="0" borderId="0" xfId="0" applyNumberFormat="1" applyFont="1" applyBorder="1"/>
    <xf numFmtId="5" fontId="26" fillId="0" borderId="17" xfId="0" applyNumberFormat="1" applyFont="1" applyBorder="1"/>
    <xf numFmtId="37" fontId="6" fillId="0" borderId="24" xfId="0" applyFont="1" applyBorder="1" applyAlignment="1">
      <alignment horizontal="left" indent="1"/>
    </xf>
    <xf numFmtId="9" fontId="26" fillId="0" borderId="0" xfId="0" applyNumberFormat="1" applyFont="1" applyBorder="1"/>
    <xf numFmtId="9" fontId="26" fillId="0" borderId="17" xfId="0" applyNumberFormat="1" applyFont="1" applyBorder="1"/>
    <xf numFmtId="5" fontId="6" fillId="0" borderId="17" xfId="0" applyNumberFormat="1" applyFont="1" applyBorder="1"/>
    <xf numFmtId="191" fontId="26" fillId="0" borderId="0" xfId="0" applyNumberFormat="1" applyFont="1" applyBorder="1"/>
    <xf numFmtId="191" fontId="26" fillId="0" borderId="17" xfId="0" applyNumberFormat="1" applyFont="1" applyBorder="1"/>
    <xf numFmtId="37" fontId="8" fillId="0" borderId="12" xfId="0" applyFont="1" applyBorder="1" applyAlignment="1">
      <alignment horizontal="right"/>
    </xf>
    <xf numFmtId="7" fontId="8" fillId="7" borderId="9" xfId="0" applyNumberFormat="1" applyFont="1" applyFill="1" applyBorder="1"/>
    <xf numFmtId="37" fontId="48" fillId="0" borderId="24" xfId="0" applyFont="1" applyBorder="1"/>
    <xf numFmtId="37" fontId="26" fillId="0" borderId="0" xfId="0" applyNumberFormat="1" applyFont="1" applyBorder="1"/>
    <xf numFmtId="37" fontId="26" fillId="0" borderId="17" xfId="0" applyNumberFormat="1" applyFont="1" applyBorder="1"/>
    <xf numFmtId="166" fontId="6" fillId="11" borderId="0" xfId="29" applyNumberFormat="1" applyFont="1" applyFill="1" applyBorder="1" applyAlignment="1" applyProtection="1">
      <alignment horizontal="left"/>
    </xf>
    <xf numFmtId="37" fontId="6" fillId="11" borderId="0" xfId="0" applyFont="1" applyFill="1" applyBorder="1" applyAlignment="1" applyProtection="1">
      <alignment horizontal="left"/>
    </xf>
    <xf numFmtId="37" fontId="8" fillId="11" borderId="0" xfId="0" applyFont="1" applyFill="1" applyBorder="1" applyProtection="1"/>
    <xf numFmtId="9" fontId="26" fillId="11" borderId="24" xfId="0" applyNumberFormat="1" applyFont="1" applyFill="1" applyBorder="1" applyProtection="1"/>
    <xf numFmtId="9" fontId="26" fillId="11" borderId="0" xfId="0" applyNumberFormat="1" applyFont="1" applyFill="1" applyBorder="1" applyProtection="1"/>
    <xf numFmtId="9" fontId="26" fillId="11" borderId="13" xfId="0" applyNumberFormat="1" applyFont="1" applyFill="1" applyBorder="1" applyProtection="1"/>
    <xf numFmtId="37" fontId="26" fillId="11" borderId="0" xfId="29" applyFont="1" applyFill="1" applyBorder="1" applyProtection="1"/>
    <xf numFmtId="9" fontId="26" fillId="11" borderId="17" xfId="0" applyNumberFormat="1" applyFont="1" applyFill="1" applyBorder="1" applyProtection="1"/>
    <xf numFmtId="37" fontId="8" fillId="11" borderId="24" xfId="0" applyFont="1" applyFill="1" applyBorder="1" applyProtection="1"/>
    <xf numFmtId="9" fontId="6" fillId="11" borderId="0" xfId="0" applyNumberFormat="1" applyFont="1" applyFill="1" applyBorder="1" applyProtection="1"/>
    <xf numFmtId="9" fontId="6" fillId="11" borderId="17" xfId="0" applyNumberFormat="1" applyFont="1" applyFill="1" applyBorder="1" applyProtection="1"/>
    <xf numFmtId="37" fontId="18" fillId="11" borderId="0" xfId="0" applyFont="1" applyFill="1" applyBorder="1"/>
    <xf numFmtId="166" fontId="6" fillId="11" borderId="24" xfId="0" applyNumberFormat="1" applyFont="1" applyFill="1" applyBorder="1" applyProtection="1"/>
    <xf numFmtId="166" fontId="6" fillId="11" borderId="0" xfId="0" applyNumberFormat="1" applyFont="1" applyFill="1" applyBorder="1" applyProtection="1"/>
    <xf numFmtId="166" fontId="6" fillId="11" borderId="13" xfId="0" applyNumberFormat="1" applyFont="1" applyFill="1" applyBorder="1" applyProtection="1"/>
    <xf numFmtId="166" fontId="6" fillId="11" borderId="0" xfId="29" applyNumberFormat="1" applyFont="1" applyFill="1" applyBorder="1" applyProtection="1"/>
    <xf numFmtId="166" fontId="6" fillId="11" borderId="17" xfId="0" applyNumberFormat="1" applyFont="1" applyFill="1" applyBorder="1" applyProtection="1"/>
    <xf numFmtId="168" fontId="45" fillId="0" borderId="13" xfId="0" applyNumberFormat="1" applyFont="1" applyBorder="1"/>
    <xf numFmtId="166" fontId="45" fillId="0" borderId="13" xfId="0" applyNumberFormat="1" applyFont="1" applyBorder="1"/>
    <xf numFmtId="168" fontId="44" fillId="4" borderId="11" xfId="0" applyNumberFormat="1" applyFont="1" applyFill="1" applyBorder="1"/>
    <xf numFmtId="165" fontId="45" fillId="0" borderId="13" xfId="50" applyFont="1" applyBorder="1"/>
    <xf numFmtId="37" fontId="45" fillId="0" borderId="13" xfId="0" applyFont="1" applyBorder="1"/>
    <xf numFmtId="183" fontId="55" fillId="0" borderId="0" xfId="30" quotePrefix="1" applyNumberFormat="1" applyFont="1" applyFill="1" applyBorder="1" applyAlignment="1" applyProtection="1"/>
    <xf numFmtId="183" fontId="45" fillId="0" borderId="13" xfId="29" applyNumberFormat="1" applyFont="1" applyFill="1" applyBorder="1"/>
    <xf numFmtId="183" fontId="58" fillId="0" borderId="13" xfId="29" applyNumberFormat="1" applyFont="1" applyFill="1" applyBorder="1"/>
    <xf numFmtId="183" fontId="44" fillId="0" borderId="13" xfId="29" applyNumberFormat="1" applyFont="1" applyFill="1" applyBorder="1"/>
    <xf numFmtId="166" fontId="44" fillId="0" borderId="13" xfId="0" applyNumberFormat="1" applyFont="1" applyBorder="1"/>
    <xf numFmtId="166" fontId="44" fillId="0" borderId="11" xfId="0" applyNumberFormat="1" applyFont="1" applyBorder="1"/>
    <xf numFmtId="7" fontId="44" fillId="4" borderId="11" xfId="0" applyNumberFormat="1" applyFont="1" applyFill="1" applyBorder="1"/>
    <xf numFmtId="183" fontId="56" fillId="0" borderId="0" xfId="30" applyNumberFormat="1" applyFont="1" applyFill="1" applyBorder="1" applyProtection="1"/>
    <xf numFmtId="183" fontId="56" fillId="0" borderId="0" xfId="30" quotePrefix="1" applyNumberFormat="1" applyFont="1" applyFill="1" applyBorder="1" applyAlignment="1" applyProtection="1"/>
    <xf numFmtId="183" fontId="55" fillId="0" borderId="0" xfId="29" applyNumberFormat="1" applyFont="1" applyFill="1" applyBorder="1"/>
    <xf numFmtId="165" fontId="6" fillId="0" borderId="0" xfId="50" applyFont="1" applyFill="1" applyBorder="1" applyAlignment="1" applyProtection="1">
      <alignment horizontal="left" indent="1"/>
    </xf>
    <xf numFmtId="183" fontId="77" fillId="0" borderId="24" xfId="0" applyNumberFormat="1" applyFont="1" applyFill="1" applyBorder="1"/>
    <xf numFmtId="166" fontId="6" fillId="0" borderId="0" xfId="50" applyNumberFormat="1" applyFont="1" applyFill="1" applyBorder="1" applyAlignment="1" applyProtection="1">
      <alignment horizontal="left"/>
    </xf>
    <xf numFmtId="166" fontId="8" fillId="0" borderId="0" xfId="50" applyNumberFormat="1" applyFont="1" applyFill="1" applyBorder="1" applyAlignment="1" applyProtection="1">
      <alignment horizontal="left"/>
    </xf>
    <xf numFmtId="166" fontId="6" fillId="0" borderId="24" xfId="50" applyNumberFormat="1" applyFont="1" applyFill="1" applyBorder="1" applyAlignment="1" applyProtection="1">
      <alignment horizontal="right"/>
    </xf>
    <xf numFmtId="166" fontId="6" fillId="0" borderId="0" xfId="50" applyNumberFormat="1" applyFont="1" applyFill="1" applyBorder="1" applyAlignment="1" applyProtection="1">
      <alignment horizontal="right"/>
    </xf>
    <xf numFmtId="166" fontId="6" fillId="0" borderId="13" xfId="50" applyNumberFormat="1" applyFont="1" applyFill="1" applyBorder="1" applyAlignment="1" applyProtection="1">
      <alignment horizontal="right"/>
    </xf>
    <xf numFmtId="166" fontId="6" fillId="0" borderId="24" xfId="50" applyNumberFormat="1" applyFont="1" applyFill="1" applyBorder="1" applyAlignment="1" applyProtection="1">
      <alignment horizontal="left"/>
    </xf>
    <xf numFmtId="166" fontId="6" fillId="0" borderId="17" xfId="50" applyNumberFormat="1" applyFont="1" applyFill="1" applyBorder="1" applyAlignment="1" applyProtection="1"/>
    <xf numFmtId="166" fontId="26" fillId="0" borderId="0" xfId="50" applyNumberFormat="1" applyFont="1" applyFill="1" applyBorder="1" applyAlignment="1" applyProtection="1"/>
    <xf numFmtId="166" fontId="6" fillId="9" borderId="0" xfId="50" applyNumberFormat="1" applyFont="1" applyFill="1" applyBorder="1"/>
    <xf numFmtId="183" fontId="77" fillId="0" borderId="0" xfId="29" quotePrefix="1" applyNumberFormat="1" applyFont="1" applyFill="1" applyBorder="1" applyAlignment="1" applyProtection="1"/>
    <xf numFmtId="183" fontId="77" fillId="0" borderId="13" xfId="29" quotePrefix="1" applyNumberFormat="1" applyFont="1" applyFill="1" applyBorder="1" applyAlignment="1" applyProtection="1"/>
    <xf numFmtId="183" fontId="55" fillId="0" borderId="0" xfId="29" applyNumberFormat="1" applyFont="1" applyFill="1" applyBorder="1" applyProtection="1"/>
    <xf numFmtId="166" fontId="26" fillId="0" borderId="24" xfId="30" applyNumberFormat="1" applyFont="1" applyFill="1" applyBorder="1" applyProtection="1"/>
    <xf numFmtId="166" fontId="26" fillId="0" borderId="24" xfId="29" applyNumberFormat="1" applyFont="1" applyFill="1" applyBorder="1" applyProtection="1"/>
    <xf numFmtId="166" fontId="6" fillId="0" borderId="17" xfId="29" applyNumberFormat="1" applyFont="1" applyFill="1" applyBorder="1" applyProtection="1"/>
    <xf numFmtId="166" fontId="6" fillId="0" borderId="24" xfId="0" applyNumberFormat="1" applyFont="1" applyFill="1" applyBorder="1" applyAlignment="1" applyProtection="1">
      <alignment horizontal="left" indent="1"/>
    </xf>
    <xf numFmtId="166" fontId="6" fillId="0" borderId="13" xfId="29" applyNumberFormat="1" applyFont="1" applyFill="1" applyBorder="1"/>
    <xf numFmtId="166" fontId="39" fillId="0" borderId="0" xfId="29" applyNumberFormat="1" applyFont="1" applyFill="1" applyBorder="1"/>
    <xf numFmtId="168" fontId="6" fillId="0" borderId="0" xfId="50" applyNumberFormat="1" applyFont="1" applyFill="1" applyBorder="1" applyAlignment="1" applyProtection="1">
      <alignment horizontal="left"/>
    </xf>
    <xf numFmtId="168" fontId="8" fillId="0" borderId="0" xfId="50" applyNumberFormat="1" applyFont="1" applyFill="1" applyBorder="1" applyAlignment="1" applyProtection="1">
      <alignment horizontal="left"/>
    </xf>
    <xf numFmtId="168" fontId="6" fillId="0" borderId="24" xfId="50" applyNumberFormat="1" applyFont="1" applyFill="1" applyBorder="1" applyAlignment="1" applyProtection="1">
      <alignment horizontal="right"/>
    </xf>
    <xf numFmtId="168" fontId="6" fillId="0" borderId="0" xfId="50" applyNumberFormat="1" applyFont="1" applyFill="1" applyBorder="1" applyAlignment="1" applyProtection="1">
      <alignment horizontal="right"/>
    </xf>
    <xf numFmtId="168" fontId="6" fillId="0" borderId="13" xfId="50" applyNumberFormat="1" applyFont="1" applyFill="1" applyBorder="1" applyAlignment="1" applyProtection="1">
      <alignment horizontal="right"/>
    </xf>
    <xf numFmtId="168" fontId="6" fillId="0" borderId="0" xfId="50" applyNumberFormat="1" applyFont="1" applyFill="1" applyBorder="1" applyAlignment="1" applyProtection="1"/>
    <xf numFmtId="168" fontId="26" fillId="0" borderId="13" xfId="50" applyNumberFormat="1" applyFont="1" applyFill="1" applyBorder="1" applyAlignment="1" applyProtection="1">
      <alignment horizontal="right"/>
    </xf>
    <xf numFmtId="168" fontId="26" fillId="0" borderId="0" xfId="50" applyNumberFormat="1" applyFont="1" applyFill="1" applyBorder="1" applyAlignment="1" applyProtection="1"/>
    <xf numFmtId="168" fontId="6" fillId="0" borderId="24" xfId="50" applyNumberFormat="1" applyFont="1" applyFill="1" applyBorder="1" applyAlignment="1" applyProtection="1">
      <alignment horizontal="left"/>
    </xf>
    <xf numFmtId="168" fontId="6" fillId="0" borderId="17" xfId="50" applyNumberFormat="1" applyFont="1" applyFill="1" applyBorder="1" applyAlignment="1" applyProtection="1"/>
    <xf numFmtId="168" fontId="6" fillId="9" borderId="0" xfId="50" applyNumberFormat="1" applyFont="1" applyFill="1" applyBorder="1"/>
    <xf numFmtId="192" fontId="6" fillId="0" borderId="0" xfId="0" applyNumberFormat="1" applyFont="1" applyFill="1" applyBorder="1"/>
    <xf numFmtId="165" fontId="26" fillId="0" borderId="13" xfId="29" quotePrefix="1" applyNumberFormat="1" applyFont="1" applyFill="1" applyBorder="1" applyAlignment="1" applyProtection="1"/>
    <xf numFmtId="183" fontId="26" fillId="0" borderId="13" xfId="29" quotePrefix="1" applyNumberFormat="1" applyFont="1" applyFill="1" applyBorder="1" applyAlignment="1" applyProtection="1">
      <alignment horizontal="right"/>
    </xf>
    <xf numFmtId="37" fontId="78" fillId="0" borderId="0" xfId="0" applyFont="1"/>
    <xf numFmtId="37" fontId="5" fillId="0" borderId="0" xfId="0" applyFont="1"/>
    <xf numFmtId="0" fontId="5" fillId="0" borderId="21" xfId="0" applyNumberFormat="1" applyFont="1" applyFill="1" applyBorder="1" applyAlignment="1">
      <alignment horizontal="right"/>
    </xf>
    <xf numFmtId="0" fontId="78" fillId="0" borderId="21" xfId="0" applyNumberFormat="1" applyFont="1" applyFill="1" applyBorder="1" applyAlignment="1">
      <alignment horizontal="right"/>
    </xf>
    <xf numFmtId="37" fontId="5" fillId="0" borderId="0" xfId="0" applyFont="1" applyFill="1" applyBorder="1"/>
    <xf numFmtId="0" fontId="78" fillId="0" borderId="0" xfId="0" applyNumberFormat="1" applyFont="1" applyFill="1" applyBorder="1" applyAlignment="1">
      <alignment horizontal="right"/>
    </xf>
    <xf numFmtId="37" fontId="79" fillId="0" borderId="0" xfId="0" applyFont="1" applyFill="1" applyBorder="1"/>
    <xf numFmtId="37" fontId="5" fillId="0" borderId="0" xfId="0" quotePrefix="1" applyFont="1" applyFill="1" applyBorder="1"/>
    <xf numFmtId="5" fontId="5" fillId="0" borderId="0" xfId="0" applyNumberFormat="1" applyFont="1" applyFill="1" applyBorder="1"/>
    <xf numFmtId="41" fontId="5" fillId="0" borderId="0" xfId="0" applyNumberFormat="1" applyFont="1"/>
    <xf numFmtId="179" fontId="78" fillId="0" borderId="0" xfId="0" applyNumberFormat="1" applyFont="1" applyFill="1" applyBorder="1"/>
    <xf numFmtId="37" fontId="78" fillId="7" borderId="0" xfId="0" quotePrefix="1" applyFont="1" applyFill="1" applyBorder="1"/>
    <xf numFmtId="37" fontId="60" fillId="7" borderId="0" xfId="0" applyFont="1" applyFill="1" applyBorder="1"/>
    <xf numFmtId="5" fontId="78" fillId="7" borderId="0" xfId="0" applyNumberFormat="1" applyFont="1" applyFill="1" applyBorder="1"/>
    <xf numFmtId="37" fontId="78" fillId="0" borderId="0" xfId="0" applyFont="1" applyFill="1" applyBorder="1"/>
    <xf numFmtId="37" fontId="80" fillId="0" borderId="0" xfId="0" applyFont="1" applyFill="1" applyBorder="1"/>
    <xf numFmtId="37" fontId="60" fillId="0" borderId="0" xfId="0" applyFont="1" applyFill="1" applyBorder="1"/>
    <xf numFmtId="37" fontId="78" fillId="7" borderId="0" xfId="0" applyFont="1" applyFill="1" applyBorder="1"/>
    <xf numFmtId="165" fontId="5" fillId="0" borderId="0" xfId="50" applyFont="1" applyFill="1" applyBorder="1"/>
    <xf numFmtId="165" fontId="78" fillId="0" borderId="0" xfId="50" applyFont="1" applyFill="1" applyBorder="1"/>
    <xf numFmtId="183" fontId="5" fillId="0" borderId="0" xfId="0" applyNumberFormat="1" applyFont="1" applyFill="1" applyBorder="1"/>
    <xf numFmtId="37" fontId="81" fillId="0" borderId="0" xfId="0" applyFont="1" applyFill="1" applyBorder="1" applyAlignment="1">
      <alignment horizontal="left" indent="1"/>
    </xf>
    <xf numFmtId="41" fontId="5" fillId="0" borderId="0" xfId="0" applyNumberFormat="1" applyFont="1" applyFill="1" applyBorder="1"/>
    <xf numFmtId="41" fontId="78" fillId="0" borderId="0" xfId="0" applyNumberFormat="1" applyFont="1" applyFill="1" applyBorder="1"/>
    <xf numFmtId="41" fontId="60" fillId="0" borderId="0" xfId="0" applyNumberFormat="1" applyFont="1" applyFill="1" applyBorder="1"/>
    <xf numFmtId="185" fontId="5" fillId="0" borderId="0" xfId="0" applyNumberFormat="1" applyFont="1" applyFill="1" applyBorder="1"/>
    <xf numFmtId="183" fontId="39" fillId="0" borderId="13" xfId="29" applyNumberFormat="1" applyFont="1" applyFill="1" applyBorder="1" applyAlignment="1" applyProtection="1">
      <alignment horizontal="right"/>
    </xf>
    <xf numFmtId="168" fontId="6" fillId="0" borderId="24" xfId="29" quotePrefix="1" applyNumberFormat="1" applyFont="1" applyFill="1" applyBorder="1" applyAlignment="1" applyProtection="1"/>
    <xf numFmtId="168" fontId="6" fillId="0" borderId="13" xfId="29" quotePrefix="1" applyNumberFormat="1" applyFont="1" applyFill="1" applyBorder="1" applyAlignment="1" applyProtection="1"/>
    <xf numFmtId="168" fontId="41" fillId="0" borderId="0" xfId="50" applyNumberFormat="1" applyFont="1" applyFill="1" applyBorder="1" applyAlignment="1" applyProtection="1"/>
    <xf numFmtId="166" fontId="6" fillId="0" borderId="24" xfId="29" quotePrefix="1" applyNumberFormat="1" applyFont="1" applyFill="1" applyBorder="1" applyAlignment="1" applyProtection="1"/>
    <xf numFmtId="166" fontId="41" fillId="0" borderId="0" xfId="50" applyNumberFormat="1" applyFont="1" applyFill="1" applyBorder="1" applyAlignment="1" applyProtection="1"/>
    <xf numFmtId="165" fontId="6" fillId="0" borderId="24" xfId="29" applyNumberFormat="1" applyFont="1" applyFill="1" applyBorder="1" applyAlignment="1" applyProtection="1">
      <alignment horizontal="left"/>
    </xf>
    <xf numFmtId="165" fontId="6" fillId="0" borderId="17" xfId="29" quotePrefix="1" applyNumberFormat="1" applyFont="1" applyFill="1" applyBorder="1" applyAlignment="1" applyProtection="1"/>
    <xf numFmtId="165" fontId="6" fillId="0" borderId="0" xfId="29" applyNumberFormat="1" applyFont="1" applyFill="1" applyBorder="1" applyAlignment="1" applyProtection="1">
      <alignment horizontal="left"/>
    </xf>
    <xf numFmtId="165" fontId="6" fillId="0" borderId="24" xfId="29" quotePrefix="1" applyNumberFormat="1" applyFont="1" applyFill="1" applyBorder="1" applyAlignment="1" applyProtection="1"/>
    <xf numFmtId="165" fontId="77" fillId="0" borderId="13" xfId="29" quotePrefix="1" applyNumberFormat="1" applyFont="1" applyFill="1" applyBorder="1" applyAlignment="1" applyProtection="1"/>
    <xf numFmtId="165" fontId="45" fillId="0" borderId="13" xfId="50" quotePrefix="1" applyFont="1" applyFill="1" applyBorder="1" applyAlignment="1" applyProtection="1"/>
    <xf numFmtId="168" fontId="45" fillId="0" borderId="13" xfId="29" quotePrefix="1" applyNumberFormat="1" applyFont="1" applyFill="1" applyBorder="1" applyAlignment="1" applyProtection="1"/>
    <xf numFmtId="165" fontId="45" fillId="0" borderId="13" xfId="29" quotePrefix="1" applyNumberFormat="1" applyFont="1" applyFill="1" applyBorder="1" applyAlignment="1" applyProtection="1"/>
    <xf numFmtId="166" fontId="6" fillId="0" borderId="24" xfId="50" quotePrefix="1" applyNumberFormat="1" applyFont="1" applyFill="1" applyBorder="1" applyAlignment="1" applyProtection="1"/>
    <xf numFmtId="166" fontId="45" fillId="0" borderId="13" xfId="50" quotePrefix="1" applyNumberFormat="1" applyFont="1" applyFill="1" applyBorder="1" applyAlignment="1" applyProtection="1"/>
    <xf numFmtId="166" fontId="6" fillId="0" borderId="17" xfId="50" quotePrefix="1" applyNumberFormat="1" applyFont="1" applyFill="1" applyBorder="1" applyAlignment="1" applyProtection="1"/>
    <xf numFmtId="166" fontId="6" fillId="0" borderId="0" xfId="50" applyNumberFormat="1" applyFont="1" applyFill="1" applyBorder="1"/>
    <xf numFmtId="37" fontId="6" fillId="0" borderId="16" xfId="0" applyFont="1" applyBorder="1" applyAlignment="1">
      <alignment horizontal="right"/>
    </xf>
    <xf numFmtId="165" fontId="6" fillId="0" borderId="15" xfId="50" applyFont="1" applyBorder="1" applyAlignment="1">
      <alignment horizontal="right"/>
    </xf>
    <xf numFmtId="165" fontId="6" fillId="0" borderId="22" xfId="50" applyFont="1" applyBorder="1" applyAlignment="1">
      <alignment horizontal="right"/>
    </xf>
    <xf numFmtId="165" fontId="6" fillId="0" borderId="17" xfId="50" applyFont="1" applyBorder="1"/>
    <xf numFmtId="5" fontId="6" fillId="0" borderId="24" xfId="0" applyNumberFormat="1" applyFont="1" applyBorder="1"/>
    <xf numFmtId="165" fontId="26" fillId="0" borderId="17" xfId="50" applyFont="1" applyBorder="1" applyAlignment="1">
      <alignment horizontal="right"/>
    </xf>
    <xf numFmtId="165" fontId="39" fillId="0" borderId="17" xfId="50" applyFont="1" applyBorder="1" applyAlignment="1">
      <alignment horizontal="right"/>
    </xf>
    <xf numFmtId="183" fontId="50" fillId="0" borderId="13" xfId="29" applyNumberFormat="1" applyFont="1" applyFill="1" applyBorder="1" applyAlignment="1" applyProtection="1"/>
    <xf numFmtId="168" fontId="40" fillId="0" borderId="0" xfId="29" applyNumberFormat="1" applyFont="1" applyFill="1" applyBorder="1" applyAlignment="1" applyProtection="1">
      <alignment horizontal="left"/>
    </xf>
    <xf numFmtId="5" fontId="26" fillId="0" borderId="0" xfId="0" applyNumberFormat="1" applyFont="1" applyBorder="1" applyAlignment="1">
      <alignment horizontal="right"/>
    </xf>
    <xf numFmtId="165" fontId="76" fillId="0" borderId="13" xfId="50" quotePrefix="1" applyFont="1" applyFill="1" applyBorder="1" applyAlignment="1" applyProtection="1"/>
    <xf numFmtId="183" fontId="45" fillId="0" borderId="17" xfId="29" quotePrefix="1" applyNumberFormat="1" applyFont="1" applyFill="1" applyBorder="1" applyAlignment="1" applyProtection="1"/>
    <xf numFmtId="165" fontId="46" fillId="0" borderId="17" xfId="50" quotePrefix="1" applyFont="1" applyFill="1" applyBorder="1" applyAlignment="1" applyProtection="1"/>
    <xf numFmtId="183" fontId="26" fillId="0" borderId="17" xfId="29" quotePrefix="1" applyNumberFormat="1" applyFont="1" applyFill="1" applyBorder="1" applyAlignment="1" applyProtection="1"/>
    <xf numFmtId="165" fontId="57" fillId="0" borderId="13" xfId="50" quotePrefix="1" applyFont="1" applyFill="1" applyBorder="1" applyAlignment="1" applyProtection="1"/>
    <xf numFmtId="1" fontId="6" fillId="0" borderId="0" xfId="0" applyNumberFormat="1" applyFont="1"/>
    <xf numFmtId="1" fontId="6" fillId="0" borderId="0" xfId="50" applyNumberFormat="1" applyFont="1"/>
    <xf numFmtId="165" fontId="41" fillId="0" borderId="0" xfId="29" applyNumberFormat="1" applyFont="1" applyFill="1" applyBorder="1" applyAlignment="1" applyProtection="1">
      <alignment horizontal="left" indent="1"/>
    </xf>
    <xf numFmtId="1" fontId="6" fillId="0" borderId="9" xfId="0" applyNumberFormat="1" applyFont="1" applyBorder="1"/>
    <xf numFmtId="1" fontId="6" fillId="0" borderId="10" xfId="0" applyNumberFormat="1" applyFont="1" applyBorder="1"/>
    <xf numFmtId="37" fontId="50" fillId="0" borderId="0" xfId="0" applyFont="1" applyBorder="1"/>
    <xf numFmtId="165" fontId="6" fillId="0" borderId="17" xfId="0" applyNumberFormat="1" applyFont="1" applyBorder="1"/>
    <xf numFmtId="168" fontId="6" fillId="0" borderId="0" xfId="50" applyNumberFormat="1" applyFont="1"/>
    <xf numFmtId="168" fontId="6" fillId="0" borderId="14" xfId="0" applyNumberFormat="1" applyFont="1" applyBorder="1"/>
    <xf numFmtId="168" fontId="6" fillId="0" borderId="16" xfId="0" applyNumberFormat="1" applyFont="1" applyBorder="1"/>
    <xf numFmtId="168" fontId="6" fillId="0" borderId="15" xfId="0" applyNumberFormat="1" applyFont="1" applyBorder="1"/>
    <xf numFmtId="168" fontId="8" fillId="0" borderId="24" xfId="0" applyNumberFormat="1" applyFont="1" applyBorder="1"/>
    <xf numFmtId="168" fontId="8" fillId="0" borderId="17" xfId="0" applyNumberFormat="1" applyFont="1" applyBorder="1"/>
    <xf numFmtId="37" fontId="39" fillId="0" borderId="17" xfId="0" applyFont="1" applyBorder="1" applyAlignment="1">
      <alignment horizontal="right"/>
    </xf>
    <xf numFmtId="165" fontId="6" fillId="0" borderId="24" xfId="0" applyNumberFormat="1" applyFont="1" applyBorder="1" applyAlignment="1">
      <alignment horizontal="left"/>
    </xf>
    <xf numFmtId="166" fontId="6" fillId="4" borderId="0" xfId="0" applyNumberFormat="1" applyFont="1" applyFill="1"/>
    <xf numFmtId="166" fontId="8" fillId="4" borderId="0" xfId="29" applyNumberFormat="1" applyFont="1" applyFill="1" applyBorder="1" applyAlignment="1" applyProtection="1">
      <alignment horizontal="left"/>
    </xf>
    <xf numFmtId="183" fontId="39" fillId="0" borderId="0" xfId="29" applyNumberFormat="1" applyFont="1" applyFill="1" applyBorder="1" applyAlignment="1" applyProtection="1">
      <alignment horizontal="right"/>
    </xf>
    <xf numFmtId="183" fontId="39" fillId="0" borderId="17" xfId="29" applyNumberFormat="1" applyFont="1" applyFill="1" applyBorder="1" applyAlignment="1" applyProtection="1">
      <alignment horizontal="right"/>
    </xf>
    <xf numFmtId="166" fontId="6" fillId="4" borderId="24" xfId="29" quotePrefix="1" applyNumberFormat="1" applyFont="1" applyFill="1" applyBorder="1" applyAlignment="1" applyProtection="1"/>
    <xf numFmtId="166" fontId="6" fillId="4" borderId="0" xfId="29" quotePrefix="1" applyNumberFormat="1" applyFont="1" applyFill="1" applyBorder="1" applyAlignment="1" applyProtection="1"/>
    <xf numFmtId="166" fontId="6" fillId="4" borderId="13" xfId="29" quotePrefix="1" applyNumberFormat="1" applyFont="1" applyFill="1" applyBorder="1" applyAlignment="1" applyProtection="1"/>
    <xf numFmtId="166" fontId="41" fillId="4" borderId="0" xfId="50" applyNumberFormat="1" applyFont="1" applyFill="1" applyBorder="1" applyAlignment="1" applyProtection="1"/>
    <xf numFmtId="166" fontId="26" fillId="4" borderId="0" xfId="29" quotePrefix="1" applyNumberFormat="1" applyFont="1" applyFill="1" applyBorder="1" applyAlignment="1" applyProtection="1"/>
    <xf numFmtId="166" fontId="26" fillId="4" borderId="13" xfId="29" quotePrefix="1" applyNumberFormat="1" applyFont="1" applyFill="1" applyBorder="1" applyAlignment="1" applyProtection="1"/>
    <xf numFmtId="166" fontId="6" fillId="4" borderId="0" xfId="29" applyNumberFormat="1" applyFont="1" applyFill="1" applyBorder="1" applyAlignment="1" applyProtection="1"/>
    <xf numFmtId="168" fontId="45" fillId="0" borderId="0" xfId="50" applyNumberFormat="1" applyFont="1" applyFill="1" applyBorder="1" applyAlignment="1" applyProtection="1"/>
    <xf numFmtId="166" fontId="45" fillId="4" borderId="0" xfId="29" quotePrefix="1" applyNumberFormat="1" applyFont="1" applyFill="1" applyBorder="1" applyAlignment="1" applyProtection="1"/>
    <xf numFmtId="166" fontId="45" fillId="4" borderId="0" xfId="50" applyNumberFormat="1" applyFont="1" applyFill="1" applyBorder="1" applyAlignment="1" applyProtection="1"/>
    <xf numFmtId="166" fontId="45" fillId="0" borderId="0" xfId="50" applyNumberFormat="1" applyFont="1" applyFill="1" applyBorder="1" applyAlignment="1" applyProtection="1"/>
    <xf numFmtId="165" fontId="45" fillId="0" borderId="17" xfId="50" quotePrefix="1" applyFont="1" applyFill="1" applyBorder="1" applyAlignment="1" applyProtection="1"/>
    <xf numFmtId="168" fontId="45" fillId="0" borderId="17" xfId="29" quotePrefix="1" applyNumberFormat="1" applyFont="1" applyFill="1" applyBorder="1" applyAlignment="1" applyProtection="1"/>
    <xf numFmtId="166" fontId="45" fillId="0" borderId="17" xfId="50" quotePrefix="1" applyNumberFormat="1" applyFont="1" applyFill="1" applyBorder="1" applyAlignment="1" applyProtection="1"/>
    <xf numFmtId="165" fontId="46" fillId="0" borderId="17" xfId="50" quotePrefix="1" applyNumberFormat="1" applyFont="1" applyFill="1" applyBorder="1" applyAlignment="1" applyProtection="1"/>
    <xf numFmtId="165" fontId="57" fillId="0" borderId="0" xfId="50" quotePrefix="1" applyFont="1" applyFill="1" applyBorder="1" applyAlignment="1" applyProtection="1"/>
    <xf numFmtId="165" fontId="57" fillId="0" borderId="17" xfId="50" quotePrefix="1" applyFont="1" applyFill="1" applyBorder="1" applyAlignment="1" applyProtection="1"/>
    <xf numFmtId="5" fontId="26" fillId="0" borderId="0" xfId="0" applyNumberFormat="1" applyFont="1" applyFill="1" applyBorder="1"/>
    <xf numFmtId="5" fontId="26" fillId="0" borderId="17" xfId="0" applyNumberFormat="1" applyFont="1" applyFill="1" applyBorder="1"/>
    <xf numFmtId="9" fontId="26" fillId="0" borderId="0" xfId="0" applyNumberFormat="1" applyFont="1" applyFill="1" applyBorder="1"/>
    <xf numFmtId="9" fontId="26" fillId="0" borderId="17" xfId="0" applyNumberFormat="1" applyFont="1" applyFill="1" applyBorder="1"/>
    <xf numFmtId="9" fontId="55" fillId="0" borderId="0" xfId="0" applyNumberFormat="1" applyFont="1" applyBorder="1"/>
    <xf numFmtId="9" fontId="55" fillId="0" borderId="17" xfId="0" applyNumberFormat="1" applyFont="1" applyBorder="1"/>
    <xf numFmtId="9" fontId="55" fillId="0" borderId="0" xfId="0" applyNumberFormat="1" applyFont="1" applyFill="1" applyBorder="1"/>
    <xf numFmtId="9" fontId="55" fillId="0" borderId="17" xfId="0" applyNumberFormat="1" applyFont="1" applyFill="1" applyBorder="1"/>
    <xf numFmtId="5" fontId="6" fillId="0" borderId="0" xfId="30" applyFont="1" applyFill="1" applyBorder="1" applyAlignment="1" applyProtection="1">
      <alignment horizontal="center"/>
    </xf>
    <xf numFmtId="1" fontId="6" fillId="0" borderId="10" xfId="0" applyNumberFormat="1" applyFont="1" applyBorder="1" applyAlignment="1">
      <alignment horizontal="right"/>
    </xf>
    <xf numFmtId="1" fontId="6" fillId="0" borderId="12" xfId="0" applyNumberFormat="1" applyFont="1" applyBorder="1" applyAlignment="1">
      <alignment horizontal="right"/>
    </xf>
    <xf numFmtId="165" fontId="6" fillId="0" borderId="0" xfId="50" applyFont="1" applyBorder="1" applyAlignment="1">
      <alignment horizontal="right"/>
    </xf>
    <xf numFmtId="165" fontId="39" fillId="0" borderId="0" xfId="50" applyFont="1" applyBorder="1" applyAlignment="1">
      <alignment horizontal="right"/>
    </xf>
    <xf numFmtId="165" fontId="26" fillId="0" borderId="0" xfId="50" applyFont="1" applyBorder="1" applyAlignment="1">
      <alignment horizontal="right"/>
    </xf>
    <xf numFmtId="183" fontId="77" fillId="0" borderId="0" xfId="30" quotePrefix="1" applyNumberFormat="1" applyFont="1" applyFill="1" applyBorder="1" applyAlignment="1" applyProtection="1"/>
    <xf numFmtId="183" fontId="77" fillId="0" borderId="13" xfId="30" quotePrefix="1" applyNumberFormat="1" applyFont="1" applyFill="1" applyBorder="1" applyAlignment="1" applyProtection="1"/>
    <xf numFmtId="166" fontId="77" fillId="0" borderId="13" xfId="50" quotePrefix="1" applyNumberFormat="1" applyFont="1" applyFill="1" applyBorder="1" applyAlignment="1" applyProtection="1"/>
    <xf numFmtId="183" fontId="50" fillId="0" borderId="0" xfId="30" quotePrefix="1" applyNumberFormat="1" applyFont="1" applyFill="1" applyBorder="1" applyAlignment="1" applyProtection="1"/>
    <xf numFmtId="165" fontId="55" fillId="0" borderId="13" xfId="50" applyFont="1" applyFill="1" applyBorder="1" applyAlignment="1" applyProtection="1">
      <alignment horizontal="right"/>
    </xf>
    <xf numFmtId="165" fontId="55" fillId="0" borderId="0" xfId="50" applyFont="1" applyFill="1" applyBorder="1" applyAlignment="1" applyProtection="1"/>
    <xf numFmtId="165" fontId="41" fillId="0" borderId="0" xfId="50" applyFont="1" applyBorder="1" applyAlignment="1">
      <alignment horizontal="left" indent="2"/>
    </xf>
    <xf numFmtId="165" fontId="6" fillId="0" borderId="24" xfId="50" applyFont="1" applyBorder="1" applyAlignment="1">
      <alignment horizontal="left" indent="1"/>
    </xf>
    <xf numFmtId="183" fontId="41" fillId="0" borderId="24" xfId="29" quotePrefix="1" applyNumberFormat="1" applyFont="1" applyFill="1" applyBorder="1" applyAlignment="1" applyProtection="1"/>
    <xf numFmtId="183" fontId="41" fillId="0" borderId="0" xfId="29" quotePrefix="1" applyNumberFormat="1" applyFont="1" applyFill="1" applyBorder="1" applyAlignment="1" applyProtection="1"/>
    <xf numFmtId="183" fontId="41" fillId="0" borderId="13" xfId="29" quotePrefix="1" applyNumberFormat="1" applyFont="1" applyFill="1" applyBorder="1" applyAlignment="1" applyProtection="1"/>
    <xf numFmtId="183" fontId="41" fillId="0" borderId="17" xfId="29" quotePrefix="1" applyNumberFormat="1" applyFont="1" applyFill="1" applyBorder="1" applyAlignment="1" applyProtection="1"/>
    <xf numFmtId="168" fontId="46" fillId="0" borderId="0" xfId="29" quotePrefix="1" applyNumberFormat="1" applyFont="1" applyFill="1" applyBorder="1" applyAlignment="1" applyProtection="1"/>
    <xf numFmtId="37" fontId="41" fillId="0" borderId="0" xfId="0" applyFont="1" applyFill="1" applyBorder="1"/>
    <xf numFmtId="165" fontId="76" fillId="0" borderId="13" xfId="50" quotePrefix="1" applyNumberFormat="1" applyFont="1" applyFill="1" applyBorder="1" applyAlignment="1" applyProtection="1"/>
    <xf numFmtId="165" fontId="41" fillId="0" borderId="0" xfId="50" applyFont="1" applyFill="1" applyBorder="1" applyAlignment="1" applyProtection="1">
      <alignment horizontal="left" indent="1"/>
    </xf>
    <xf numFmtId="39" fontId="8" fillId="0" borderId="0" xfId="0" applyNumberFormat="1" applyFont="1" applyFill="1" applyBorder="1"/>
    <xf numFmtId="168" fontId="26" fillId="0" borderId="21" xfId="0" applyNumberFormat="1" applyFont="1" applyFill="1" applyBorder="1" applyProtection="1"/>
    <xf numFmtId="168" fontId="8" fillId="0" borderId="10" xfId="30" applyNumberFormat="1" applyFont="1" applyFill="1" applyBorder="1" applyAlignment="1" applyProtection="1">
      <alignment horizontal="left"/>
    </xf>
    <xf numFmtId="0" fontId="6" fillId="0" borderId="0" xfId="0" applyNumberFormat="1" applyFont="1" applyAlignment="1">
      <alignment horizontal="left"/>
    </xf>
    <xf numFmtId="7" fontId="8" fillId="0" borderId="24" xfId="0" applyNumberFormat="1" applyFont="1" applyFill="1" applyBorder="1"/>
    <xf numFmtId="7" fontId="8" fillId="0" borderId="17" xfId="0" applyNumberFormat="1" applyFont="1" applyFill="1" applyBorder="1"/>
    <xf numFmtId="7" fontId="6" fillId="0" borderId="24" xfId="0" applyNumberFormat="1" applyFont="1" applyFill="1" applyBorder="1"/>
    <xf numFmtId="7" fontId="8" fillId="0" borderId="14" xfId="0" applyNumberFormat="1" applyFont="1" applyFill="1" applyBorder="1"/>
    <xf numFmtId="7" fontId="41" fillId="0" borderId="9" xfId="0" applyNumberFormat="1" applyFont="1" applyFill="1" applyBorder="1"/>
    <xf numFmtId="165" fontId="41" fillId="0" borderId="10" xfId="50" applyFont="1" applyFill="1" applyBorder="1"/>
    <xf numFmtId="165" fontId="41" fillId="0" borderId="12" xfId="50" applyFont="1" applyFill="1" applyBorder="1"/>
    <xf numFmtId="166" fontId="6" fillId="0" borderId="0" xfId="29" applyNumberFormat="1" applyFont="1" applyFill="1"/>
    <xf numFmtId="7" fontId="6" fillId="0" borderId="0" xfId="0" applyNumberFormat="1" applyFont="1" applyFill="1"/>
    <xf numFmtId="191" fontId="26" fillId="0" borderId="0" xfId="0" applyNumberFormat="1" applyFont="1" applyFill="1" applyBorder="1"/>
    <xf numFmtId="5" fontId="6" fillId="0" borderId="0" xfId="0" applyNumberFormat="1" applyFont="1" applyFill="1"/>
    <xf numFmtId="1" fontId="6" fillId="0" borderId="0" xfId="0" applyNumberFormat="1" applyFont="1" applyFill="1"/>
    <xf numFmtId="168" fontId="6" fillId="0" borderId="0" xfId="0" applyNumberFormat="1" applyFont="1" applyFill="1"/>
    <xf numFmtId="165" fontId="6" fillId="0" borderId="0" xfId="0" applyNumberFormat="1" applyFont="1" applyFill="1"/>
    <xf numFmtId="7" fontId="8" fillId="0" borderId="16" xfId="0" applyNumberFormat="1" applyFont="1" applyFill="1" applyBorder="1" applyAlignment="1">
      <alignment horizontal="right"/>
    </xf>
    <xf numFmtId="183" fontId="49" fillId="0" borderId="13" xfId="29" applyNumberFormat="1" applyFont="1" applyFill="1" applyBorder="1"/>
    <xf numFmtId="7" fontId="8" fillId="0" borderId="15" xfId="0" applyNumberFormat="1" applyFont="1" applyFill="1" applyBorder="1" applyAlignment="1">
      <alignment horizontal="right"/>
    </xf>
    <xf numFmtId="7" fontId="8" fillId="0" borderId="23" xfId="0" applyNumberFormat="1" applyFont="1" applyFill="1" applyBorder="1"/>
    <xf numFmtId="7" fontId="8" fillId="0" borderId="21" xfId="0" applyNumberFormat="1" applyFont="1" applyFill="1" applyBorder="1"/>
    <xf numFmtId="7" fontId="8" fillId="0" borderId="22" xfId="0" applyNumberFormat="1" applyFont="1" applyFill="1" applyBorder="1"/>
    <xf numFmtId="7" fontId="8" fillId="0" borderId="9" xfId="0" applyNumberFormat="1" applyFont="1" applyFill="1" applyBorder="1"/>
    <xf numFmtId="9" fontId="8" fillId="0" borderId="10" xfId="50" applyNumberFormat="1" applyFont="1" applyFill="1" applyBorder="1"/>
    <xf numFmtId="9" fontId="8" fillId="0" borderId="12" xfId="50" applyNumberFormat="1" applyFont="1" applyFill="1" applyBorder="1"/>
    <xf numFmtId="9" fontId="6" fillId="0" borderId="0" xfId="50" applyNumberFormat="1" applyFont="1" applyFill="1" applyBorder="1"/>
    <xf numFmtId="9" fontId="6" fillId="0" borderId="17" xfId="50" applyNumberFormat="1" applyFont="1" applyFill="1" applyBorder="1"/>
    <xf numFmtId="165" fontId="6" fillId="0" borderId="0" xfId="50" applyNumberFormat="1" applyFont="1" applyFill="1" applyBorder="1"/>
    <xf numFmtId="165" fontId="43" fillId="4" borderId="13" xfId="50" applyFont="1" applyFill="1" applyBorder="1"/>
    <xf numFmtId="168" fontId="44" fillId="0" borderId="13" xfId="29" applyNumberFormat="1" applyFont="1" applyFill="1" applyBorder="1"/>
    <xf numFmtId="168" fontId="8" fillId="0" borderId="0" xfId="29" applyNumberFormat="1" applyFont="1" applyFill="1" applyBorder="1"/>
    <xf numFmtId="168" fontId="43" fillId="0" borderId="13" xfId="29" applyNumberFormat="1" applyFont="1" applyFill="1" applyBorder="1"/>
    <xf numFmtId="168" fontId="43" fillId="0" borderId="13" xfId="0" applyNumberFormat="1" applyFont="1" applyBorder="1"/>
    <xf numFmtId="168" fontId="8" fillId="0" borderId="0" xfId="0" applyNumberFormat="1" applyFont="1" applyFill="1" applyBorder="1"/>
    <xf numFmtId="168" fontId="44" fillId="0" borderId="13" xfId="0" applyNumberFormat="1" applyFont="1" applyBorder="1"/>
    <xf numFmtId="168" fontId="8" fillId="0" borderId="10" xfId="0" applyNumberFormat="1" applyFont="1" applyBorder="1"/>
    <xf numFmtId="168" fontId="43" fillId="0" borderId="11" xfId="0" applyNumberFormat="1" applyFont="1" applyBorder="1"/>
    <xf numFmtId="168" fontId="8" fillId="0" borderId="10" xfId="0" applyNumberFormat="1" applyFont="1" applyFill="1" applyBorder="1"/>
    <xf numFmtId="168" fontId="44" fillId="0" borderId="11" xfId="0" applyNumberFormat="1" applyFont="1" applyBorder="1"/>
    <xf numFmtId="168" fontId="44" fillId="0" borderId="13" xfId="0" applyNumberFormat="1" applyFont="1" applyFill="1" applyBorder="1"/>
    <xf numFmtId="9" fontId="8" fillId="0" borderId="0" xfId="50" applyNumberFormat="1" applyFont="1" applyFill="1" applyBorder="1"/>
    <xf numFmtId="168" fontId="43" fillId="0" borderId="13" xfId="0" applyNumberFormat="1" applyFont="1" applyFill="1" applyBorder="1"/>
    <xf numFmtId="10" fontId="59" fillId="0" borderId="0" xfId="50" applyNumberFormat="1" applyFont="1" applyFill="1" applyBorder="1"/>
    <xf numFmtId="168" fontId="26" fillId="0" borderId="0" xfId="0" applyNumberFormat="1" applyFont="1" applyFill="1"/>
    <xf numFmtId="37" fontId="63" fillId="0" borderId="0" xfId="0" applyFont="1" applyFill="1"/>
    <xf numFmtId="166" fontId="26" fillId="0" borderId="0" xfId="0" applyNumberFormat="1" applyFont="1" applyFill="1" applyAlignment="1">
      <alignment horizontal="right"/>
    </xf>
    <xf numFmtId="37" fontId="0" fillId="0" borderId="0" xfId="0" applyFill="1"/>
    <xf numFmtId="165" fontId="41" fillId="0" borderId="0" xfId="0" applyNumberFormat="1" applyFont="1" applyFill="1" applyBorder="1"/>
    <xf numFmtId="165" fontId="82" fillId="0" borderId="0" xfId="50" applyNumberFormat="1" applyFont="1" applyFill="1" applyBorder="1"/>
    <xf numFmtId="165" fontId="83" fillId="0" borderId="0" xfId="0" applyNumberFormat="1" applyFont="1" applyFill="1"/>
    <xf numFmtId="165" fontId="42" fillId="0" borderId="0" xfId="0" applyNumberFormat="1" applyFont="1" applyFill="1" applyAlignment="1">
      <alignment horizontal="right"/>
    </xf>
    <xf numFmtId="165" fontId="82" fillId="0" borderId="0" xfId="0" applyNumberFormat="1" applyFont="1" applyFill="1"/>
    <xf numFmtId="165" fontId="41" fillId="0" borderId="0" xfId="0" applyNumberFormat="1" applyFont="1" applyFill="1"/>
    <xf numFmtId="165" fontId="46" fillId="0" borderId="13" xfId="0" applyNumberFormat="1" applyFont="1" applyFill="1" applyBorder="1"/>
    <xf numFmtId="165" fontId="41" fillId="0" borderId="13" xfId="0" applyNumberFormat="1" applyFont="1" applyFill="1" applyBorder="1"/>
    <xf numFmtId="183" fontId="6" fillId="0" borderId="0" xfId="29" applyNumberFormat="1" applyFont="1" applyFill="1" applyBorder="1" applyAlignment="1" applyProtection="1">
      <alignment horizontal="left"/>
    </xf>
    <xf numFmtId="183" fontId="6" fillId="0" borderId="24" xfId="29" applyNumberFormat="1" applyFont="1" applyFill="1" applyBorder="1" applyAlignment="1" applyProtection="1">
      <alignment horizontal="left"/>
    </xf>
    <xf numFmtId="183" fontId="45" fillId="0" borderId="0" xfId="50" quotePrefix="1" applyNumberFormat="1" applyFont="1" applyFill="1" applyBorder="1" applyAlignment="1" applyProtection="1"/>
    <xf numFmtId="165" fontId="55" fillId="0" borderId="0" xfId="50" quotePrefix="1" applyFont="1" applyFill="1" applyBorder="1" applyAlignment="1" applyProtection="1"/>
    <xf numFmtId="7" fontId="75" fillId="0" borderId="0" xfId="30" applyNumberFormat="1" applyFont="1" applyBorder="1" applyAlignment="1">
      <alignment horizontal="center"/>
    </xf>
    <xf numFmtId="168" fontId="0" fillId="0" borderId="0" xfId="0" applyNumberFormat="1"/>
    <xf numFmtId="168" fontId="1" fillId="0" borderId="0" xfId="0" applyNumberFormat="1" applyFont="1"/>
    <xf numFmtId="168" fontId="75" fillId="0" borderId="0" xfId="0" applyNumberFormat="1" applyFont="1" applyAlignment="1">
      <alignment horizontal="center"/>
    </xf>
    <xf numFmtId="168" fontId="1" fillId="0" borderId="0" xfId="0" applyNumberFormat="1" applyFont="1" applyBorder="1"/>
    <xf numFmtId="168" fontId="1" fillId="0" borderId="0" xfId="0" applyNumberFormat="1" applyFont="1" applyBorder="1" applyAlignment="1">
      <alignment horizontal="center"/>
    </xf>
    <xf numFmtId="168" fontId="1" fillId="0" borderId="0" xfId="30" applyNumberFormat="1" applyFont="1" applyBorder="1" applyAlignment="1">
      <alignment horizontal="center"/>
    </xf>
    <xf numFmtId="168" fontId="75" fillId="0" borderId="0" xfId="0" applyNumberFormat="1" applyFont="1" applyBorder="1" applyAlignment="1">
      <alignment horizontal="center"/>
    </xf>
    <xf numFmtId="168" fontId="59" fillId="0" borderId="0" xfId="0" applyNumberFormat="1" applyFont="1"/>
    <xf numFmtId="183" fontId="43" fillId="0" borderId="10" xfId="29" quotePrefix="1" applyNumberFormat="1" applyFont="1" applyFill="1" applyBorder="1" applyAlignment="1" applyProtection="1"/>
    <xf numFmtId="183" fontId="50" fillId="0" borderId="0" xfId="29" quotePrefix="1" applyNumberFormat="1" applyFont="1" applyFill="1" applyBorder="1" applyAlignment="1" applyProtection="1"/>
    <xf numFmtId="168" fontId="26" fillId="0" borderId="0" xfId="0" applyNumberFormat="1" applyFont="1" applyAlignment="1">
      <alignment horizontal="center"/>
    </xf>
    <xf numFmtId="166" fontId="41" fillId="0" borderId="0" xfId="0" applyNumberFormat="1" applyFont="1" applyFill="1"/>
    <xf numFmtId="165" fontId="57" fillId="0" borderId="0" xfId="50" applyFont="1" applyFill="1" applyBorder="1" applyAlignment="1" applyProtection="1"/>
    <xf numFmtId="165" fontId="55" fillId="0" borderId="13" xfId="50" quotePrefix="1" applyNumberFormat="1" applyFont="1" applyFill="1" applyBorder="1" applyAlignment="1" applyProtection="1"/>
    <xf numFmtId="165" fontId="41" fillId="0" borderId="24" xfId="50" applyFont="1" applyFill="1" applyBorder="1" applyAlignment="1" applyProtection="1">
      <alignment horizontal="left"/>
    </xf>
    <xf numFmtId="10" fontId="41" fillId="0" borderId="0" xfId="50" applyNumberFormat="1" applyFont="1" applyFill="1" applyBorder="1" applyAlignment="1" applyProtection="1">
      <alignment horizontal="left" indent="1"/>
    </xf>
    <xf numFmtId="10" fontId="8" fillId="0" borderId="0" xfId="50" applyNumberFormat="1" applyFont="1" applyFill="1" applyBorder="1" applyAlignment="1" applyProtection="1">
      <alignment horizontal="left"/>
    </xf>
    <xf numFmtId="10" fontId="26" fillId="0" borderId="0" xfId="50" applyNumberFormat="1" applyFont="1" applyFill="1" applyBorder="1" applyAlignment="1" applyProtection="1">
      <alignment horizontal="right"/>
    </xf>
    <xf numFmtId="10" fontId="6" fillId="0" borderId="24" xfId="50" applyNumberFormat="1" applyFont="1" applyFill="1" applyBorder="1" applyAlignment="1" applyProtection="1">
      <alignment horizontal="left"/>
    </xf>
    <xf numFmtId="10" fontId="6" fillId="0" borderId="17" xfId="50" applyNumberFormat="1" applyFont="1" applyFill="1" applyBorder="1" applyAlignment="1" applyProtection="1">
      <alignment horizontal="right"/>
    </xf>
    <xf numFmtId="10" fontId="45" fillId="0" borderId="0" xfId="50" quotePrefix="1" applyNumberFormat="1" applyFont="1" applyFill="1" applyBorder="1" applyAlignment="1" applyProtection="1"/>
    <xf numFmtId="10" fontId="6" fillId="9" borderId="0" xfId="50" applyNumberFormat="1" applyFont="1" applyFill="1" applyBorder="1"/>
    <xf numFmtId="10" fontId="77" fillId="0" borderId="24" xfId="50" applyNumberFormat="1" applyFont="1" applyFill="1" applyBorder="1" applyAlignment="1" applyProtection="1">
      <alignment horizontal="right"/>
    </xf>
    <xf numFmtId="10" fontId="77" fillId="0" borderId="0" xfId="50" applyNumberFormat="1" applyFont="1" applyFill="1" applyBorder="1" applyAlignment="1" applyProtection="1">
      <alignment horizontal="right"/>
    </xf>
    <xf numFmtId="10" fontId="77" fillId="0" borderId="13" xfId="50" applyNumberFormat="1" applyFont="1" applyFill="1" applyBorder="1" applyAlignment="1" applyProtection="1">
      <alignment horizontal="right"/>
    </xf>
    <xf numFmtId="37" fontId="39" fillId="0" borderId="13" xfId="0" applyFont="1" applyBorder="1" applyAlignment="1">
      <alignment horizontal="right"/>
    </xf>
    <xf numFmtId="168" fontId="6" fillId="0" borderId="24" xfId="0" applyNumberFormat="1" applyFont="1" applyBorder="1"/>
    <xf numFmtId="168" fontId="26" fillId="0" borderId="17" xfId="0" applyNumberFormat="1" applyFont="1" applyBorder="1"/>
    <xf numFmtId="166" fontId="26" fillId="0" borderId="17" xfId="0" applyNumberFormat="1" applyFont="1" applyBorder="1"/>
    <xf numFmtId="168" fontId="6" fillId="0" borderId="17" xfId="0" applyNumberFormat="1" applyFont="1" applyBorder="1"/>
    <xf numFmtId="165" fontId="41" fillId="0" borderId="0" xfId="50" applyFont="1" applyFill="1"/>
    <xf numFmtId="37" fontId="41" fillId="0" borderId="0" xfId="0" applyFont="1" applyFill="1"/>
    <xf numFmtId="165" fontId="41" fillId="0" borderId="24" xfId="50" applyFont="1" applyBorder="1" applyAlignment="1">
      <alignment horizontal="left" indent="1"/>
    </xf>
    <xf numFmtId="165" fontId="41" fillId="0" borderId="0" xfId="50" applyFont="1" applyBorder="1"/>
    <xf numFmtId="165" fontId="41" fillId="0" borderId="17" xfId="50" applyFont="1" applyBorder="1"/>
    <xf numFmtId="37" fontId="40" fillId="0" borderId="24" xfId="0" applyFont="1" applyBorder="1"/>
    <xf numFmtId="10" fontId="6" fillId="0" borderId="0" xfId="50" applyNumberFormat="1" applyFont="1" applyFill="1"/>
    <xf numFmtId="10" fontId="6" fillId="0" borderId="24" xfId="50" applyNumberFormat="1" applyFont="1" applyBorder="1" applyAlignment="1">
      <alignment horizontal="left" indent="1"/>
    </xf>
    <xf numFmtId="37" fontId="6" fillId="0" borderId="9" xfId="0" applyFont="1" applyBorder="1"/>
    <xf numFmtId="0" fontId="6" fillId="0" borderId="11" xfId="0" applyNumberFormat="1" applyFont="1" applyBorder="1" applyAlignment="1">
      <alignment horizontal="right"/>
    </xf>
    <xf numFmtId="0" fontId="6" fillId="0" borderId="10" xfId="0" applyNumberFormat="1" applyFont="1" applyBorder="1" applyAlignment="1">
      <alignment horizontal="right"/>
    </xf>
    <xf numFmtId="0" fontId="6" fillId="0" borderId="12" xfId="0" applyNumberFormat="1" applyFont="1" applyBorder="1" applyAlignment="1">
      <alignment horizontal="right"/>
    </xf>
    <xf numFmtId="37" fontId="6" fillId="0" borderId="10" xfId="0" applyFont="1" applyBorder="1" applyAlignment="1">
      <alignment horizontal="right"/>
    </xf>
    <xf numFmtId="37" fontId="6" fillId="0" borderId="11" xfId="0" applyFont="1" applyBorder="1" applyAlignment="1">
      <alignment horizontal="right"/>
    </xf>
    <xf numFmtId="165" fontId="41" fillId="0" borderId="23" xfId="0" applyNumberFormat="1" applyFont="1" applyFill="1" applyBorder="1" applyAlignment="1" applyProtection="1">
      <alignment horizontal="left" indent="1"/>
    </xf>
    <xf numFmtId="165" fontId="41" fillId="0" borderId="21" xfId="0" applyNumberFormat="1" applyFont="1" applyFill="1" applyBorder="1" applyAlignment="1" applyProtection="1">
      <alignment horizontal="left"/>
    </xf>
    <xf numFmtId="165" fontId="41" fillId="0" borderId="23" xfId="30" applyNumberFormat="1" applyFont="1" applyFill="1" applyBorder="1" applyProtection="1"/>
    <xf numFmtId="165" fontId="41" fillId="0" borderId="21" xfId="30" applyNumberFormat="1" applyFont="1" applyFill="1" applyBorder="1" applyProtection="1"/>
    <xf numFmtId="165" fontId="41" fillId="0" borderId="19" xfId="30" applyNumberFormat="1" applyFont="1" applyFill="1" applyBorder="1" applyProtection="1"/>
    <xf numFmtId="165" fontId="47" fillId="0" borderId="0" xfId="30" applyNumberFormat="1" applyFont="1" applyFill="1" applyBorder="1" applyProtection="1"/>
    <xf numFmtId="165" fontId="47" fillId="0" borderId="0" xfId="0" applyNumberFormat="1" applyFont="1" applyFill="1" applyBorder="1" applyProtection="1"/>
    <xf numFmtId="165" fontId="47" fillId="9" borderId="0" xfId="0" applyNumberFormat="1" applyFont="1" applyFill="1" applyBorder="1"/>
    <xf numFmtId="165" fontId="41" fillId="0" borderId="24" xfId="0" applyNumberFormat="1" applyFont="1" applyFill="1" applyBorder="1" applyAlignment="1" applyProtection="1">
      <alignment horizontal="left" indent="1"/>
    </xf>
    <xf numFmtId="165" fontId="41" fillId="0" borderId="0" xfId="0" applyNumberFormat="1" applyFont="1" applyFill="1" applyBorder="1" applyAlignment="1" applyProtection="1">
      <alignment horizontal="left"/>
    </xf>
    <xf numFmtId="165" fontId="41" fillId="0" borderId="24" xfId="30" applyNumberFormat="1" applyFont="1" applyFill="1" applyBorder="1" applyProtection="1"/>
    <xf numFmtId="165" fontId="41" fillId="0" borderId="0" xfId="30" applyNumberFormat="1" applyFont="1" applyFill="1" applyBorder="1" applyProtection="1"/>
    <xf numFmtId="165" fontId="41" fillId="0" borderId="13" xfId="30" applyNumberFormat="1" applyFont="1" applyFill="1" applyBorder="1" applyProtection="1"/>
    <xf numFmtId="165" fontId="41" fillId="0" borderId="24" xfId="0" applyNumberFormat="1" applyFont="1" applyFill="1" applyBorder="1" applyAlignment="1" applyProtection="1">
      <alignment horizontal="left"/>
    </xf>
    <xf numFmtId="165" fontId="41" fillId="0" borderId="17" xfId="30" applyNumberFormat="1" applyFont="1" applyFill="1" applyBorder="1" applyProtection="1"/>
    <xf numFmtId="183" fontId="58" fillId="0" borderId="0" xfId="0" applyNumberFormat="1" applyFont="1" applyAlignment="1">
      <alignment horizontal="right"/>
    </xf>
    <xf numFmtId="165" fontId="6" fillId="7" borderId="13" xfId="0" applyNumberFormat="1" applyFont="1" applyFill="1" applyBorder="1"/>
    <xf numFmtId="165" fontId="47" fillId="7" borderId="24" xfId="0" applyNumberFormat="1" applyFont="1" applyFill="1" applyBorder="1"/>
    <xf numFmtId="165" fontId="8" fillId="7" borderId="13" xfId="0" applyNumberFormat="1" applyFont="1" applyFill="1" applyBorder="1"/>
    <xf numFmtId="165" fontId="8" fillId="7" borderId="0" xfId="0" applyNumberFormat="1" applyFont="1" applyFill="1" applyBorder="1"/>
    <xf numFmtId="165" fontId="8" fillId="7" borderId="17" xfId="0" applyNumberFormat="1" applyFont="1" applyFill="1" applyBorder="1"/>
    <xf numFmtId="165" fontId="41" fillId="7" borderId="24" xfId="50" applyFont="1" applyFill="1" applyBorder="1" applyAlignment="1">
      <alignment horizontal="left" indent="1"/>
    </xf>
    <xf numFmtId="165" fontId="41" fillId="7" borderId="13" xfId="50" applyFont="1" applyFill="1" applyBorder="1"/>
    <xf numFmtId="165" fontId="47" fillId="7" borderId="24" xfId="0" applyNumberFormat="1" applyFont="1" applyFill="1" applyBorder="1" applyAlignment="1">
      <alignment horizontal="left" indent="1"/>
    </xf>
    <xf numFmtId="165" fontId="8" fillId="7" borderId="13" xfId="50" applyNumberFormat="1" applyFont="1" applyFill="1" applyBorder="1"/>
    <xf numFmtId="165" fontId="8" fillId="7" borderId="0" xfId="50" applyNumberFormat="1" applyFont="1" applyFill="1" applyBorder="1"/>
    <xf numFmtId="165" fontId="8" fillId="7" borderId="17" xfId="50" applyNumberFormat="1" applyFont="1" applyFill="1" applyBorder="1"/>
    <xf numFmtId="37" fontId="6" fillId="0" borderId="0" xfId="41" applyFont="1"/>
    <xf numFmtId="37" fontId="51" fillId="0" borderId="0" xfId="41" applyFont="1"/>
    <xf numFmtId="37" fontId="8" fillId="0" borderId="21" xfId="41" applyFont="1" applyBorder="1"/>
    <xf numFmtId="179" fontId="8" fillId="0" borderId="21" xfId="41" applyNumberFormat="1" applyFont="1" applyBorder="1" applyAlignment="1">
      <alignment horizontal="right"/>
    </xf>
    <xf numFmtId="37" fontId="41" fillId="0" borderId="0" xfId="41" applyFont="1"/>
    <xf numFmtId="7" fontId="6" fillId="0" borderId="0" xfId="41" applyNumberFormat="1" applyFont="1" applyFill="1"/>
    <xf numFmtId="37" fontId="6" fillId="0" borderId="0" xfId="41" applyFont="1" applyFill="1"/>
    <xf numFmtId="37" fontId="41" fillId="0" borderId="0" xfId="41" applyFont="1" applyFill="1"/>
    <xf numFmtId="9" fontId="41" fillId="0" borderId="0" xfId="52" applyFont="1" applyFill="1"/>
    <xf numFmtId="37" fontId="8" fillId="0" borderId="0" xfId="41" applyFont="1"/>
    <xf numFmtId="37" fontId="6" fillId="0" borderId="21" xfId="41" applyFont="1" applyFill="1" applyBorder="1"/>
    <xf numFmtId="1" fontId="8" fillId="0" borderId="15" xfId="30" applyNumberFormat="1" applyFont="1" applyFill="1" applyBorder="1" applyAlignment="1" applyProtection="1">
      <alignment horizontal="right"/>
    </xf>
    <xf numFmtId="166" fontId="26" fillId="0" borderId="17" xfId="29" applyNumberFormat="1" applyFont="1" applyFill="1" applyBorder="1"/>
    <xf numFmtId="37" fontId="26" fillId="0" borderId="17" xfId="0" applyFont="1" applyFill="1" applyBorder="1" applyAlignment="1" applyProtection="1">
      <alignment horizontal="right"/>
    </xf>
    <xf numFmtId="183" fontId="26" fillId="0" borderId="17" xfId="0" applyNumberFormat="1" applyFont="1" applyFill="1" applyBorder="1" applyProtection="1"/>
    <xf numFmtId="165" fontId="26" fillId="0" borderId="15" xfId="50" applyFont="1" applyFill="1" applyBorder="1" applyAlignment="1" applyProtection="1"/>
    <xf numFmtId="177" fontId="6" fillId="0" borderId="0" xfId="41" applyNumberFormat="1" applyFont="1"/>
    <xf numFmtId="179" fontId="8" fillId="0" borderId="11" xfId="41" applyNumberFormat="1" applyFont="1" applyBorder="1" applyAlignment="1">
      <alignment horizontal="right"/>
    </xf>
    <xf numFmtId="37" fontId="6" fillId="0" borderId="13" xfId="41" applyFont="1" applyFill="1" applyBorder="1"/>
    <xf numFmtId="37" fontId="41" fillId="0" borderId="13" xfId="41" applyFont="1" applyFill="1" applyBorder="1"/>
    <xf numFmtId="37" fontId="41" fillId="0" borderId="13" xfId="0" applyFont="1" applyFill="1" applyBorder="1"/>
    <xf numFmtId="7" fontId="6" fillId="0" borderId="13" xfId="41" applyNumberFormat="1" applyFont="1" applyFill="1" applyBorder="1"/>
    <xf numFmtId="37" fontId="6" fillId="0" borderId="19" xfId="41" applyFont="1" applyFill="1" applyBorder="1"/>
    <xf numFmtId="177" fontId="6" fillId="0" borderId="13" xfId="41" applyNumberFormat="1" applyFont="1" applyBorder="1"/>
    <xf numFmtId="37" fontId="6" fillId="0" borderId="13" xfId="41" applyFont="1" applyBorder="1"/>
    <xf numFmtId="9" fontId="41" fillId="0" borderId="13" xfId="52" applyFont="1" applyFill="1" applyBorder="1"/>
    <xf numFmtId="165" fontId="41" fillId="0" borderId="13" xfId="50" applyFont="1" applyFill="1" applyBorder="1"/>
    <xf numFmtId="183" fontId="77" fillId="0" borderId="0" xfId="30" applyNumberFormat="1" applyFont="1" applyFill="1" applyBorder="1" applyProtection="1"/>
    <xf numFmtId="183" fontId="77" fillId="0" borderId="17" xfId="29" quotePrefix="1" applyNumberFormat="1" applyFont="1" applyFill="1" applyBorder="1" applyAlignment="1" applyProtection="1"/>
    <xf numFmtId="183" fontId="77" fillId="0" borderId="13" xfId="29" quotePrefix="1" applyNumberFormat="1" applyFont="1" applyFill="1" applyBorder="1" applyAlignment="1" applyProtection="1">
      <alignment horizontal="right"/>
    </xf>
    <xf numFmtId="165" fontId="76" fillId="0" borderId="13" xfId="50" applyFont="1" applyFill="1" applyBorder="1" applyProtection="1"/>
    <xf numFmtId="168" fontId="8" fillId="4" borderId="9" xfId="0" applyNumberFormat="1" applyFont="1" applyFill="1" applyBorder="1"/>
    <xf numFmtId="166" fontId="26" fillId="0" borderId="0" xfId="0" quotePrefix="1" applyNumberFormat="1" applyFont="1" applyAlignment="1">
      <alignment horizontal="right"/>
    </xf>
    <xf numFmtId="183" fontId="51" fillId="0" borderId="0" xfId="30" applyNumberFormat="1" applyFont="1" applyFill="1" applyBorder="1" applyAlignment="1" applyProtection="1"/>
    <xf numFmtId="5" fontId="8" fillId="0" borderId="0" xfId="0" applyNumberFormat="1" applyFont="1" applyFill="1" applyBorder="1"/>
    <xf numFmtId="192" fontId="6" fillId="0" borderId="24" xfId="30" applyNumberFormat="1" applyFont="1" applyFill="1" applyBorder="1" applyProtection="1"/>
    <xf numFmtId="192" fontId="8" fillId="0" borderId="0" xfId="30" applyNumberFormat="1" applyFont="1" applyFill="1" applyBorder="1" applyAlignment="1" applyProtection="1">
      <alignment horizontal="left"/>
    </xf>
    <xf numFmtId="192" fontId="6" fillId="0" borderId="24" xfId="0" applyNumberFormat="1" applyFont="1" applyFill="1" applyBorder="1" applyAlignment="1" applyProtection="1">
      <alignment horizontal="right"/>
    </xf>
    <xf numFmtId="192" fontId="6" fillId="0" borderId="0" xfId="0" applyNumberFormat="1" applyFont="1" applyFill="1" applyBorder="1" applyAlignment="1" applyProtection="1">
      <alignment horizontal="right"/>
    </xf>
    <xf numFmtId="192" fontId="6" fillId="0" borderId="13" xfId="0" applyNumberFormat="1" applyFont="1" applyFill="1" applyBorder="1" applyAlignment="1" applyProtection="1">
      <alignment horizontal="right"/>
    </xf>
    <xf numFmtId="192" fontId="6" fillId="0" borderId="17" xfId="0" applyNumberFormat="1" applyFont="1" applyFill="1" applyBorder="1" applyAlignment="1" applyProtection="1">
      <alignment horizontal="right"/>
    </xf>
    <xf numFmtId="192" fontId="6" fillId="0" borderId="0" xfId="0" applyNumberFormat="1" applyFont="1" applyFill="1" applyBorder="1" applyProtection="1"/>
    <xf numFmtId="192" fontId="6" fillId="9" borderId="0" xfId="0" applyNumberFormat="1" applyFont="1" applyFill="1" applyBorder="1"/>
    <xf numFmtId="192" fontId="0" fillId="0" borderId="0" xfId="0" applyNumberFormat="1"/>
    <xf numFmtId="5" fontId="6" fillId="0" borderId="14" xfId="0" applyNumberFormat="1" applyFont="1" applyBorder="1"/>
    <xf numFmtId="5" fontId="26" fillId="0" borderId="16" xfId="0" applyNumberFormat="1" applyFont="1" applyBorder="1"/>
    <xf numFmtId="37" fontId="26" fillId="0" borderId="17" xfId="0" applyFont="1" applyBorder="1"/>
    <xf numFmtId="37" fontId="55" fillId="0" borderId="0" xfId="0" applyFont="1" applyBorder="1"/>
    <xf numFmtId="37" fontId="55" fillId="0" borderId="17" xfId="0" applyFont="1" applyBorder="1"/>
    <xf numFmtId="37" fontId="6" fillId="0" borderId="23" xfId="0" applyFont="1" applyBorder="1" applyAlignment="1">
      <alignment horizontal="left" indent="1"/>
    </xf>
    <xf numFmtId="5" fontId="26" fillId="0" borderId="15" xfId="0" applyNumberFormat="1" applyFont="1" applyBorder="1"/>
    <xf numFmtId="37" fontId="26" fillId="0" borderId="17" xfId="0" applyFont="1" applyFill="1" applyBorder="1"/>
    <xf numFmtId="183" fontId="6" fillId="3" borderId="0" xfId="29" applyNumberFormat="1" applyFont="1" applyFill="1" applyBorder="1" applyProtection="1"/>
    <xf numFmtId="183" fontId="26" fillId="3" borderId="0" xfId="29" applyNumberFormat="1" applyFont="1" applyFill="1" applyBorder="1" applyProtection="1"/>
    <xf numFmtId="183" fontId="50" fillId="0" borderId="13" xfId="29" applyNumberFormat="1" applyFont="1" applyFill="1" applyBorder="1"/>
    <xf numFmtId="165" fontId="41" fillId="7" borderId="23" xfId="50" applyFont="1" applyFill="1" applyBorder="1" applyAlignment="1">
      <alignment horizontal="left" indent="1"/>
    </xf>
    <xf numFmtId="165" fontId="41" fillId="7" borderId="21" xfId="50" applyFont="1" applyFill="1" applyBorder="1"/>
    <xf numFmtId="165" fontId="41" fillId="7" borderId="19" xfId="50" applyFont="1" applyFill="1" applyBorder="1"/>
    <xf numFmtId="183" fontId="45" fillId="0" borderId="0" xfId="0" applyNumberFormat="1" applyFont="1" applyFill="1"/>
    <xf numFmtId="183" fontId="43" fillId="0" borderId="0" xfId="0" applyNumberFormat="1" applyFont="1" applyFill="1"/>
    <xf numFmtId="181" fontId="8" fillId="0" borderId="21" xfId="0" applyNumberFormat="1" applyFont="1" applyFill="1" applyBorder="1"/>
    <xf numFmtId="37" fontId="8" fillId="0" borderId="11" xfId="0" applyFont="1" applyFill="1" applyBorder="1" applyAlignment="1">
      <alignment horizontal="right"/>
    </xf>
    <xf numFmtId="37" fontId="6" fillId="0" borderId="0" xfId="0" applyFont="1" applyFill="1" applyBorder="1" applyAlignment="1">
      <alignment horizontal="right"/>
    </xf>
    <xf numFmtId="183" fontId="58" fillId="0" borderId="0" xfId="0" applyNumberFormat="1" applyFont="1" applyFill="1"/>
    <xf numFmtId="183" fontId="58" fillId="0" borderId="0" xfId="0" applyNumberFormat="1" applyFont="1" applyFill="1" applyAlignment="1">
      <alignment horizontal="right"/>
    </xf>
    <xf numFmtId="183" fontId="8" fillId="0" borderId="0" xfId="0" applyNumberFormat="1" applyFont="1" applyFill="1"/>
    <xf numFmtId="165" fontId="8" fillId="0" borderId="0" xfId="50" applyFont="1" applyFill="1" applyBorder="1"/>
    <xf numFmtId="183" fontId="49" fillId="0" borderId="0" xfId="0" applyNumberFormat="1" applyFont="1" applyFill="1"/>
    <xf numFmtId="183" fontId="8" fillId="0" borderId="13" xfId="0" applyNumberFormat="1" applyFont="1" applyFill="1" applyBorder="1"/>
    <xf numFmtId="183" fontId="26" fillId="0" borderId="0" xfId="0" applyNumberFormat="1" applyFont="1" applyFill="1"/>
    <xf numFmtId="183" fontId="8" fillId="0" borderId="19" xfId="0" applyNumberFormat="1" applyFont="1" applyFill="1" applyBorder="1"/>
    <xf numFmtId="165" fontId="6" fillId="0" borderId="13" xfId="50" applyFont="1" applyFill="1" applyBorder="1"/>
    <xf numFmtId="165" fontId="8" fillId="0" borderId="0" xfId="50" applyFont="1" applyFill="1"/>
    <xf numFmtId="165" fontId="8" fillId="0" borderId="13" xfId="50" applyFont="1" applyFill="1" applyBorder="1"/>
    <xf numFmtId="165" fontId="6" fillId="0" borderId="19" xfId="50" applyFont="1" applyFill="1" applyBorder="1"/>
    <xf numFmtId="0" fontId="6" fillId="0" borderId="9" xfId="0" applyNumberFormat="1" applyFont="1" applyBorder="1" applyAlignment="1">
      <alignment horizontal="right"/>
    </xf>
    <xf numFmtId="168" fontId="26" fillId="0" borderId="24" xfId="0" applyNumberFormat="1" applyFont="1" applyBorder="1"/>
    <xf numFmtId="166" fontId="26" fillId="0" borderId="24" xfId="0" applyNumberFormat="1" applyFont="1" applyBorder="1"/>
    <xf numFmtId="37" fontId="39" fillId="0" borderId="24" xfId="0" applyFont="1" applyBorder="1" applyAlignment="1">
      <alignment horizontal="right"/>
    </xf>
    <xf numFmtId="165" fontId="8" fillId="7" borderId="24" xfId="0" applyNumberFormat="1" applyFont="1" applyFill="1" applyBorder="1"/>
    <xf numFmtId="165" fontId="8" fillId="7" borderId="24" xfId="50" applyNumberFormat="1" applyFont="1" applyFill="1" applyBorder="1"/>
    <xf numFmtId="168" fontId="26" fillId="0" borderId="15" xfId="0" applyNumberFormat="1" applyFont="1" applyBorder="1"/>
    <xf numFmtId="165" fontId="47" fillId="7" borderId="23" xfId="0" applyNumberFormat="1" applyFont="1" applyFill="1" applyBorder="1" applyAlignment="1">
      <alignment horizontal="left" indent="1"/>
    </xf>
    <xf numFmtId="165" fontId="8" fillId="7" borderId="19" xfId="0" applyNumberFormat="1" applyFont="1" applyFill="1" applyBorder="1"/>
    <xf numFmtId="165" fontId="8" fillId="7" borderId="21" xfId="0" applyNumberFormat="1" applyFont="1" applyFill="1" applyBorder="1"/>
    <xf numFmtId="165" fontId="8" fillId="7" borderId="19" xfId="50" applyNumberFormat="1" applyFont="1" applyFill="1" applyBorder="1"/>
    <xf numFmtId="165" fontId="8" fillId="7" borderId="21" xfId="50" applyNumberFormat="1" applyFont="1" applyFill="1" applyBorder="1"/>
    <xf numFmtId="165" fontId="8" fillId="7" borderId="23" xfId="50" applyNumberFormat="1" applyFont="1" applyFill="1" applyBorder="1"/>
    <xf numFmtId="165" fontId="8" fillId="7" borderId="22" xfId="50" applyNumberFormat="1" applyFont="1" applyFill="1" applyBorder="1"/>
    <xf numFmtId="164" fontId="8" fillId="7" borderId="10" xfId="0" quotePrefix="1" applyNumberFormat="1" applyFont="1" applyFill="1" applyBorder="1" applyAlignment="1" applyProtection="1">
      <alignment horizontal="right"/>
    </xf>
    <xf numFmtId="164" fontId="8" fillId="7" borderId="11" xfId="0" quotePrefix="1" applyNumberFormat="1" applyFont="1" applyFill="1" applyBorder="1" applyAlignment="1" applyProtection="1">
      <alignment horizontal="right"/>
    </xf>
    <xf numFmtId="164" fontId="8" fillId="7" borderId="9" xfId="0" quotePrefix="1" applyNumberFormat="1" applyFont="1" applyFill="1" applyBorder="1" applyAlignment="1" applyProtection="1">
      <alignment horizontal="right"/>
    </xf>
    <xf numFmtId="164" fontId="8" fillId="7" borderId="12" xfId="0" quotePrefix="1" applyNumberFormat="1" applyFont="1" applyFill="1" applyBorder="1" applyAlignment="1" applyProtection="1">
      <alignment horizontal="right"/>
    </xf>
    <xf numFmtId="168" fontId="26" fillId="0" borderId="0" xfId="30" applyNumberFormat="1" applyFont="1" applyFill="1" applyBorder="1" applyProtection="1">
      <protection locked="0"/>
    </xf>
    <xf numFmtId="168" fontId="6" fillId="0" borderId="0" xfId="50" quotePrefix="1" applyNumberFormat="1" applyFont="1" applyFill="1" applyBorder="1" applyAlignment="1" applyProtection="1"/>
    <xf numFmtId="166" fontId="50" fillId="0" borderId="0" xfId="30" applyNumberFormat="1" applyFont="1" applyFill="1" applyBorder="1" applyProtection="1">
      <protection locked="0"/>
    </xf>
    <xf numFmtId="168" fontId="6" fillId="0" borderId="0" xfId="50" applyNumberFormat="1" applyFont="1" applyBorder="1" applyAlignment="1" applyProtection="1">
      <alignment horizontal="left"/>
    </xf>
    <xf numFmtId="166" fontId="6" fillId="0" borderId="0" xfId="50" applyNumberFormat="1" applyFont="1" applyBorder="1" applyAlignment="1" applyProtection="1">
      <alignment horizontal="left"/>
    </xf>
    <xf numFmtId="183" fontId="39" fillId="0" borderId="0" xfId="0" applyNumberFormat="1" applyFont="1" applyFill="1" applyBorder="1" applyAlignment="1" applyProtection="1">
      <alignment horizontal="right"/>
    </xf>
    <xf numFmtId="183" fontId="39" fillId="0" borderId="13" xfId="0" applyNumberFormat="1" applyFont="1" applyFill="1" applyBorder="1" applyAlignment="1" applyProtection="1">
      <alignment horizontal="right"/>
    </xf>
    <xf numFmtId="37" fontId="40" fillId="0" borderId="0" xfId="0" applyFont="1" applyFill="1" applyAlignment="1" applyProtection="1">
      <alignment horizontal="left"/>
    </xf>
    <xf numFmtId="0" fontId="6" fillId="0" borderId="0" xfId="50" applyNumberFormat="1" applyFont="1" applyBorder="1" applyAlignment="1" applyProtection="1">
      <alignment horizontal="left"/>
    </xf>
    <xf numFmtId="165" fontId="45" fillId="0" borderId="13" xfId="50" applyFont="1" applyFill="1" applyBorder="1" applyProtection="1"/>
    <xf numFmtId="165" fontId="45" fillId="0" borderId="0" xfId="50" applyFont="1" applyFill="1" applyBorder="1" applyProtection="1"/>
    <xf numFmtId="183" fontId="39" fillId="0" borderId="24" xfId="0" applyNumberFormat="1" applyFont="1" applyFill="1" applyBorder="1" applyAlignment="1" applyProtection="1">
      <alignment horizontal="right"/>
    </xf>
    <xf numFmtId="165" fontId="8" fillId="0" borderId="0" xfId="50" applyFont="1" applyFill="1" applyBorder="1" applyProtection="1"/>
    <xf numFmtId="165" fontId="44" fillId="0" borderId="13" xfId="50" applyFont="1" applyFill="1" applyBorder="1" applyProtection="1"/>
    <xf numFmtId="165" fontId="6" fillId="0" borderId="0" xfId="0" applyNumberFormat="1" applyFont="1" applyFill="1" applyAlignment="1" applyProtection="1">
      <alignment horizontal="left"/>
    </xf>
    <xf numFmtId="165" fontId="6" fillId="0" borderId="13" xfId="0" applyNumberFormat="1" applyFont="1" applyFill="1" applyBorder="1" applyAlignment="1" applyProtection="1">
      <alignment horizontal="right"/>
    </xf>
    <xf numFmtId="165" fontId="44" fillId="0" borderId="0" xfId="29" applyNumberFormat="1" applyFont="1" applyFill="1" applyBorder="1" applyProtection="1"/>
    <xf numFmtId="165" fontId="44" fillId="0" borderId="13" xfId="29" applyNumberFormat="1" applyFont="1" applyFill="1" applyBorder="1" applyProtection="1"/>
    <xf numFmtId="168" fontId="6" fillId="0" borderId="13" xfId="0" applyNumberFormat="1" applyFont="1" applyFill="1" applyBorder="1"/>
    <xf numFmtId="39" fontId="6" fillId="0" borderId="0" xfId="0" applyNumberFormat="1" applyFont="1" applyFill="1"/>
    <xf numFmtId="183" fontId="8" fillId="0" borderId="0" xfId="0" applyNumberFormat="1" applyFont="1" applyFill="1" applyAlignment="1">
      <alignment horizontal="left" indent="1"/>
    </xf>
    <xf numFmtId="5" fontId="8" fillId="7" borderId="10" xfId="0" applyNumberFormat="1" applyFont="1" applyFill="1" applyBorder="1"/>
    <xf numFmtId="5" fontId="8" fillId="7" borderId="12" xfId="0" applyNumberFormat="1" applyFont="1" applyFill="1" applyBorder="1"/>
    <xf numFmtId="165" fontId="6" fillId="0" borderId="0" xfId="50" applyFont="1" applyFill="1" applyAlignment="1">
      <alignment horizontal="right"/>
    </xf>
    <xf numFmtId="37" fontId="59" fillId="0" borderId="0" xfId="0" applyFont="1"/>
    <xf numFmtId="165" fontId="46" fillId="0" borderId="0" xfId="50" applyFont="1" applyFill="1" applyBorder="1" applyProtection="1"/>
    <xf numFmtId="168" fontId="55" fillId="0" borderId="0" xfId="30" applyNumberFormat="1" applyFont="1" applyFill="1" applyBorder="1" applyProtection="1"/>
    <xf numFmtId="168" fontId="55" fillId="0" borderId="24" xfId="30" applyNumberFormat="1" applyFont="1" applyFill="1" applyBorder="1" applyProtection="1"/>
    <xf numFmtId="169" fontId="6" fillId="0" borderId="0" xfId="29" quotePrefix="1" applyNumberFormat="1" applyFont="1" applyFill="1" applyBorder="1" applyAlignment="1" applyProtection="1"/>
    <xf numFmtId="166" fontId="41" fillId="0" borderId="15" xfId="0" applyNumberFormat="1" applyFont="1" applyFill="1" applyBorder="1" applyAlignment="1" applyProtection="1">
      <alignment horizontal="right"/>
    </xf>
    <xf numFmtId="183" fontId="55" fillId="0" borderId="0" xfId="29" applyNumberFormat="1" applyFont="1" applyFill="1" applyBorder="1" applyProtection="1">
      <protection locked="0"/>
    </xf>
    <xf numFmtId="179" fontId="8" fillId="0" borderId="21" xfId="0" applyNumberFormat="1" applyFont="1" applyFill="1" applyBorder="1" applyAlignment="1">
      <alignment horizontal="right"/>
    </xf>
    <xf numFmtId="37" fontId="1" fillId="0" borderId="24" xfId="0" applyFont="1" applyBorder="1" applyAlignment="1">
      <alignment horizontal="left" indent="1"/>
    </xf>
    <xf numFmtId="5" fontId="1" fillId="0" borderId="0" xfId="0" applyNumberFormat="1" applyFont="1" applyFill="1" applyBorder="1"/>
    <xf numFmtId="37" fontId="8" fillId="0" borderId="10" xfId="0" applyFont="1" applyFill="1" applyBorder="1" applyAlignment="1">
      <alignment horizontal="right"/>
    </xf>
    <xf numFmtId="37" fontId="8" fillId="0" borderId="12" xfId="0" applyFont="1" applyFill="1" applyBorder="1" applyAlignment="1">
      <alignment horizontal="right"/>
    </xf>
    <xf numFmtId="5" fontId="6" fillId="0" borderId="17" xfId="0" applyNumberFormat="1" applyFont="1" applyFill="1" applyBorder="1"/>
    <xf numFmtId="37" fontId="6" fillId="0" borderId="17" xfId="0" applyFont="1" applyFill="1" applyBorder="1"/>
    <xf numFmtId="9" fontId="6" fillId="0" borderId="17" xfId="0" applyNumberFormat="1" applyFont="1" applyFill="1" applyBorder="1"/>
    <xf numFmtId="191" fontId="26" fillId="0" borderId="17" xfId="0" applyNumberFormat="1" applyFont="1" applyFill="1" applyBorder="1"/>
    <xf numFmtId="37" fontId="6" fillId="0" borderId="17" xfId="0" applyNumberFormat="1" applyFont="1" applyFill="1" applyBorder="1"/>
    <xf numFmtId="5" fontId="8" fillId="7" borderId="10" xfId="30" applyNumberFormat="1" applyFont="1" applyFill="1" applyBorder="1"/>
    <xf numFmtId="5" fontId="8" fillId="7" borderId="12" xfId="30" applyNumberFormat="1" applyFont="1" applyFill="1" applyBorder="1"/>
    <xf numFmtId="166" fontId="1" fillId="0" borderId="0" xfId="0" applyNumberFormat="1" applyFont="1" applyFill="1"/>
    <xf numFmtId="165" fontId="84" fillId="0" borderId="13" xfId="50" quotePrefix="1" applyFont="1" applyFill="1" applyBorder="1" applyAlignment="1" applyProtection="1"/>
    <xf numFmtId="37" fontId="8" fillId="6" borderId="14" xfId="0" applyFont="1" applyFill="1" applyBorder="1"/>
    <xf numFmtId="37" fontId="8" fillId="6" borderId="10" xfId="0" applyFont="1" applyFill="1" applyBorder="1" applyAlignment="1">
      <alignment horizontal="centerContinuous"/>
    </xf>
    <xf numFmtId="37" fontId="6" fillId="6" borderId="10" xfId="0" applyFont="1" applyFill="1" applyBorder="1" applyAlignment="1">
      <alignment horizontal="centerContinuous"/>
    </xf>
    <xf numFmtId="37" fontId="6" fillId="6" borderId="12" xfId="0" applyFont="1" applyFill="1" applyBorder="1" applyAlignment="1">
      <alignment horizontal="centerContinuous"/>
    </xf>
    <xf numFmtId="37" fontId="6" fillId="6" borderId="24" xfId="0" applyFont="1" applyFill="1" applyBorder="1"/>
    <xf numFmtId="37" fontId="6" fillId="6" borderId="0" xfId="0" applyFont="1" applyFill="1" applyBorder="1"/>
    <xf numFmtId="37" fontId="6" fillId="6" borderId="17" xfId="0" applyFont="1" applyFill="1" applyBorder="1"/>
    <xf numFmtId="37" fontId="40" fillId="6" borderId="24" xfId="0" applyFont="1" applyFill="1" applyBorder="1"/>
    <xf numFmtId="37" fontId="1" fillId="6" borderId="24" xfId="0" applyFont="1" applyFill="1" applyBorder="1"/>
    <xf numFmtId="5" fontId="85" fillId="6" borderId="0" xfId="0" applyNumberFormat="1" applyFont="1" applyFill="1" applyBorder="1"/>
    <xf numFmtId="5" fontId="85" fillId="6" borderId="17" xfId="0" applyNumberFormat="1" applyFont="1" applyFill="1" applyBorder="1"/>
    <xf numFmtId="165" fontId="85" fillId="6" borderId="0" xfId="50" applyNumberFormat="1" applyFont="1" applyFill="1" applyBorder="1"/>
    <xf numFmtId="165" fontId="85" fillId="6" borderId="17" xfId="50" applyNumberFormat="1" applyFont="1" applyFill="1" applyBorder="1"/>
    <xf numFmtId="5" fontId="6" fillId="6" borderId="0" xfId="0" applyNumberFormat="1" applyFont="1" applyFill="1" applyBorder="1"/>
    <xf numFmtId="5" fontId="6" fillId="6" borderId="17" xfId="0" applyNumberFormat="1" applyFont="1" applyFill="1" applyBorder="1"/>
    <xf numFmtId="37" fontId="8" fillId="6" borderId="24" xfId="0" applyFont="1" applyFill="1" applyBorder="1"/>
    <xf numFmtId="7" fontId="8" fillId="6" borderId="0" xfId="30" applyNumberFormat="1" applyFont="1" applyFill="1" applyBorder="1"/>
    <xf numFmtId="7" fontId="8" fillId="6" borderId="17" xfId="30" applyNumberFormat="1" applyFont="1" applyFill="1" applyBorder="1"/>
    <xf numFmtId="165" fontId="86" fillId="0" borderId="0" xfId="50" applyFont="1"/>
    <xf numFmtId="165" fontId="85" fillId="0" borderId="0" xfId="50" applyFont="1"/>
    <xf numFmtId="5" fontId="1" fillId="6" borderId="24" xfId="0" applyNumberFormat="1" applyFont="1" applyFill="1" applyBorder="1"/>
    <xf numFmtId="37" fontId="8" fillId="6" borderId="0" xfId="0" applyFont="1" applyFill="1" applyBorder="1" applyAlignment="1">
      <alignment horizontal="right"/>
    </xf>
    <xf numFmtId="37" fontId="8" fillId="6" borderId="17" xfId="0" applyFont="1" applyFill="1" applyBorder="1" applyAlignment="1">
      <alignment horizontal="right"/>
    </xf>
    <xf numFmtId="168" fontId="1" fillId="0" borderId="0" xfId="29" quotePrefix="1" applyNumberFormat="1" applyFont="1" applyFill="1" applyBorder="1" applyAlignment="1" applyProtection="1"/>
    <xf numFmtId="168" fontId="1" fillId="0" borderId="13" xfId="29" quotePrefix="1" applyNumberFormat="1" applyFont="1" applyFill="1" applyBorder="1" applyAlignment="1" applyProtection="1"/>
    <xf numFmtId="193" fontId="6" fillId="0" borderId="0" xfId="0" applyNumberFormat="1" applyFont="1"/>
    <xf numFmtId="37" fontId="1" fillId="0" borderId="0" xfId="29" applyFont="1" applyFill="1" applyBorder="1" applyAlignment="1" applyProtection="1">
      <alignment horizontal="left"/>
    </xf>
    <xf numFmtId="168" fontId="1" fillId="0" borderId="0" xfId="29" applyNumberFormat="1" applyFont="1" applyFill="1" applyBorder="1" applyAlignment="1" applyProtection="1">
      <alignment horizontal="left"/>
    </xf>
    <xf numFmtId="183" fontId="1" fillId="0" borderId="13" xfId="29" quotePrefix="1" applyNumberFormat="1" applyFont="1" applyFill="1" applyBorder="1" applyAlignment="1" applyProtection="1"/>
    <xf numFmtId="165" fontId="88" fillId="0" borderId="0" xfId="50" applyFont="1" applyFill="1" applyBorder="1" applyProtection="1"/>
    <xf numFmtId="168" fontId="85" fillId="0" borderId="0" xfId="0" applyNumberFormat="1" applyFont="1" applyBorder="1"/>
    <xf numFmtId="168" fontId="85" fillId="0" borderId="13" xfId="0" applyNumberFormat="1" applyFont="1" applyBorder="1"/>
    <xf numFmtId="7" fontId="8" fillId="4" borderId="23" xfId="30" applyNumberFormat="1" applyFont="1" applyFill="1" applyBorder="1" applyAlignment="1" applyProtection="1">
      <alignment horizontal="left"/>
    </xf>
    <xf numFmtId="7" fontId="8" fillId="4" borderId="21" xfId="30" applyNumberFormat="1" applyFont="1" applyFill="1" applyBorder="1"/>
    <xf numFmtId="7" fontId="8" fillId="4" borderId="23" xfId="30" applyNumberFormat="1" applyFont="1" applyFill="1" applyBorder="1"/>
    <xf numFmtId="7" fontId="8" fillId="4" borderId="19" xfId="30" applyNumberFormat="1" applyFont="1" applyFill="1" applyBorder="1"/>
    <xf numFmtId="7" fontId="8" fillId="4" borderId="22" xfId="30" applyNumberFormat="1" applyFont="1" applyFill="1" applyBorder="1"/>
    <xf numFmtId="9" fontId="89" fillId="0" borderId="0" xfId="30" quotePrefix="1" applyNumberFormat="1" applyFont="1" applyFill="1" applyBorder="1" applyAlignment="1" applyProtection="1"/>
    <xf numFmtId="183" fontId="86" fillId="0" borderId="0" xfId="29" quotePrefix="1" applyNumberFormat="1" applyFont="1" applyFill="1" applyBorder="1" applyAlignment="1" applyProtection="1"/>
    <xf numFmtId="166" fontId="1" fillId="0" borderId="0" xfId="0" applyNumberFormat="1" applyFont="1" applyFill="1" applyBorder="1" applyAlignment="1" applyProtection="1">
      <alignment horizontal="right"/>
    </xf>
    <xf numFmtId="165" fontId="1" fillId="0" borderId="0" xfId="50" quotePrefix="1" applyFont="1" applyFill="1" applyBorder="1" applyAlignment="1" applyProtection="1"/>
    <xf numFmtId="168" fontId="1" fillId="0" borderId="0" xfId="29" applyNumberFormat="1" applyFont="1" applyFill="1" applyBorder="1" applyAlignment="1" applyProtection="1">
      <alignment horizontal="left" indent="1"/>
    </xf>
    <xf numFmtId="0" fontId="40" fillId="0" borderId="0" xfId="0" applyNumberFormat="1" applyFont="1" applyBorder="1" applyAlignment="1">
      <alignment horizontal="left"/>
    </xf>
    <xf numFmtId="177" fontId="26" fillId="0" borderId="0" xfId="0" applyNumberFormat="1" applyFont="1" applyFill="1" applyBorder="1" applyAlignment="1">
      <alignment horizontal="right"/>
    </xf>
    <xf numFmtId="166" fontId="1" fillId="0" borderId="0" xfId="0" applyNumberFormat="1" applyFont="1"/>
    <xf numFmtId="166" fontId="26" fillId="0" borderId="0" xfId="0" applyNumberFormat="1" applyFont="1" applyFill="1"/>
    <xf numFmtId="37" fontId="1" fillId="0" borderId="0" xfId="0" applyFont="1" applyFill="1"/>
    <xf numFmtId="37" fontId="1" fillId="0" borderId="24" xfId="0" applyFont="1" applyBorder="1"/>
    <xf numFmtId="168" fontId="1" fillId="0" borderId="17" xfId="0" applyNumberFormat="1" applyFont="1" applyBorder="1"/>
    <xf numFmtId="37" fontId="1" fillId="0" borderId="17" xfId="0" applyFont="1" applyBorder="1"/>
    <xf numFmtId="168" fontId="8" fillId="7" borderId="10" xfId="0" applyNumberFormat="1" applyFont="1" applyFill="1" applyBorder="1"/>
    <xf numFmtId="166" fontId="1" fillId="0" borderId="0" xfId="0" applyNumberFormat="1" applyFont="1" applyBorder="1"/>
    <xf numFmtId="166" fontId="1" fillId="0" borderId="17" xfId="0" applyNumberFormat="1" applyFont="1" applyBorder="1"/>
    <xf numFmtId="37" fontId="40" fillId="0" borderId="14" xfId="0" applyFont="1" applyBorder="1"/>
    <xf numFmtId="0" fontId="8" fillId="0" borderId="16" xfId="0" applyNumberFormat="1" applyFont="1" applyBorder="1" applyAlignment="1">
      <alignment horizontal="right"/>
    </xf>
    <xf numFmtId="0" fontId="8" fillId="0" borderId="15" xfId="0" applyNumberFormat="1" applyFont="1" applyBorder="1" applyAlignment="1">
      <alignment horizontal="right"/>
    </xf>
    <xf numFmtId="37" fontId="39" fillId="0" borderId="24" xfId="0" applyFont="1" applyBorder="1"/>
    <xf numFmtId="183" fontId="39" fillId="0" borderId="0" xfId="0" applyNumberFormat="1" applyFont="1" applyBorder="1" applyAlignment="1">
      <alignment horizontal="right"/>
    </xf>
    <xf numFmtId="183" fontId="39" fillId="0" borderId="17" xfId="0" applyNumberFormat="1" applyFont="1" applyBorder="1" applyAlignment="1">
      <alignment horizontal="right"/>
    </xf>
    <xf numFmtId="191" fontId="6" fillId="0" borderId="0" xfId="0" applyNumberFormat="1" applyFont="1"/>
    <xf numFmtId="191" fontId="1" fillId="0" borderId="24" xfId="0" applyNumberFormat="1" applyFont="1" applyBorder="1" applyAlignment="1">
      <alignment horizontal="left" indent="1"/>
    </xf>
    <xf numFmtId="168" fontId="90" fillId="0" borderId="0" xfId="0" applyNumberFormat="1" applyFont="1"/>
    <xf numFmtId="166" fontId="90" fillId="0" borderId="0" xfId="0" applyNumberFormat="1" applyFont="1"/>
    <xf numFmtId="166" fontId="90" fillId="0" borderId="0" xfId="0" applyNumberFormat="1" applyFont="1" applyFill="1"/>
    <xf numFmtId="191" fontId="1" fillId="0" borderId="0" xfId="0" applyNumberFormat="1" applyFont="1"/>
    <xf numFmtId="191" fontId="1" fillId="0" borderId="0" xfId="0" applyNumberFormat="1" applyFont="1" applyFill="1"/>
    <xf numFmtId="191" fontId="8" fillId="0" borderId="0" xfId="0" applyNumberFormat="1" applyFont="1"/>
    <xf numFmtId="191" fontId="91" fillId="0" borderId="0" xfId="0" applyNumberFormat="1" applyFont="1"/>
    <xf numFmtId="191" fontId="92" fillId="0" borderId="0" xfId="0" applyNumberFormat="1" applyFont="1"/>
    <xf numFmtId="168" fontId="8" fillId="7" borderId="9" xfId="0" applyNumberFormat="1" applyFont="1" applyFill="1" applyBorder="1"/>
    <xf numFmtId="168" fontId="1" fillId="0" borderId="0" xfId="0" applyNumberFormat="1" applyFont="1" applyFill="1"/>
    <xf numFmtId="177" fontId="45" fillId="0" borderId="0" xfId="0" applyNumberFormat="1" applyFont="1" applyFill="1" applyBorder="1" applyAlignment="1">
      <alignment horizontal="right"/>
    </xf>
    <xf numFmtId="191" fontId="90" fillId="0" borderId="0" xfId="0" applyNumberFormat="1" applyFont="1"/>
    <xf numFmtId="191" fontId="93" fillId="0" borderId="0" xfId="0" applyNumberFormat="1" applyFont="1"/>
    <xf numFmtId="7" fontId="85" fillId="0" borderId="0" xfId="0" applyNumberFormat="1" applyFont="1"/>
    <xf numFmtId="191" fontId="85" fillId="0" borderId="0" xfId="0" applyNumberFormat="1" applyFont="1" applyBorder="1"/>
    <xf numFmtId="191" fontId="94" fillId="0" borderId="0" xfId="0" applyNumberFormat="1" applyFont="1" applyBorder="1"/>
    <xf numFmtId="191" fontId="94" fillId="0" borderId="17" xfId="0" applyNumberFormat="1" applyFont="1" applyBorder="1"/>
    <xf numFmtId="168" fontId="94" fillId="0" borderId="0" xfId="0" applyNumberFormat="1" applyFont="1" applyBorder="1"/>
    <xf numFmtId="168" fontId="94" fillId="0" borderId="17" xfId="0" applyNumberFormat="1" applyFont="1" applyBorder="1"/>
    <xf numFmtId="5" fontId="85" fillId="0" borderId="0" xfId="0" applyNumberFormat="1" applyFont="1"/>
    <xf numFmtId="37" fontId="1" fillId="0" borderId="0" xfId="0" applyFont="1" applyAlignment="1">
      <alignment horizontal="left" indent="1"/>
    </xf>
    <xf numFmtId="191" fontId="90" fillId="0" borderId="0" xfId="0" applyNumberFormat="1" applyFont="1" applyFill="1"/>
    <xf numFmtId="166" fontId="1" fillId="0" borderId="0" xfId="0" applyNumberFormat="1" applyFont="1" applyFill="1" applyBorder="1"/>
    <xf numFmtId="166" fontId="1" fillId="0" borderId="17" xfId="0" applyNumberFormat="1" applyFont="1" applyFill="1" applyBorder="1"/>
    <xf numFmtId="7" fontId="8" fillId="9" borderId="0" xfId="0" applyNumberFormat="1" applyFont="1" applyFill="1" applyBorder="1"/>
    <xf numFmtId="37" fontId="8" fillId="9" borderId="14" xfId="0" applyFont="1" applyFill="1" applyBorder="1"/>
    <xf numFmtId="7" fontId="8" fillId="9" borderId="16" xfId="0" applyNumberFormat="1" applyFont="1" applyFill="1" applyBorder="1"/>
    <xf numFmtId="7" fontId="8" fillId="9" borderId="15" xfId="0" applyNumberFormat="1" applyFont="1" applyFill="1" applyBorder="1"/>
    <xf numFmtId="37" fontId="8" fillId="9" borderId="24" xfId="0" applyFont="1" applyFill="1" applyBorder="1"/>
    <xf numFmtId="7" fontId="8" fillId="9" borderId="17" xfId="0" applyNumberFormat="1" applyFont="1" applyFill="1" applyBorder="1"/>
    <xf numFmtId="37" fontId="8" fillId="9" borderId="23" xfId="0" applyFont="1" applyFill="1" applyBorder="1"/>
    <xf numFmtId="193" fontId="8" fillId="9" borderId="21" xfId="0" applyNumberFormat="1" applyFont="1" applyFill="1" applyBorder="1"/>
    <xf numFmtId="193" fontId="8" fillId="9" borderId="22" xfId="0" applyNumberFormat="1" applyFont="1" applyFill="1" applyBorder="1"/>
    <xf numFmtId="166" fontId="1" fillId="0" borderId="0" xfId="0" applyNumberFormat="1" applyFont="1" applyBorder="1" applyAlignment="1">
      <alignment horizontal="right"/>
    </xf>
    <xf numFmtId="166" fontId="1" fillId="0" borderId="17" xfId="0" applyNumberFormat="1" applyFont="1" applyBorder="1" applyAlignment="1">
      <alignment horizontal="right"/>
    </xf>
    <xf numFmtId="168" fontId="1" fillId="0" borderId="0" xfId="0" applyNumberFormat="1" applyFont="1" applyFill="1" applyBorder="1"/>
    <xf numFmtId="168" fontId="1" fillId="0" borderId="17" xfId="0" applyNumberFormat="1" applyFont="1" applyFill="1" applyBorder="1"/>
    <xf numFmtId="166" fontId="85" fillId="0" borderId="0" xfId="0" applyNumberFormat="1" applyFont="1" applyBorder="1"/>
    <xf numFmtId="166" fontId="85" fillId="0" borderId="0" xfId="0" applyNumberFormat="1" applyFont="1" applyFill="1" applyBorder="1"/>
    <xf numFmtId="166" fontId="85" fillId="0" borderId="22" xfId="0" applyNumberFormat="1" applyFont="1" applyFill="1" applyBorder="1"/>
    <xf numFmtId="166" fontId="93" fillId="0" borderId="0" xfId="0" applyNumberFormat="1" applyFont="1" applyBorder="1"/>
    <xf numFmtId="166" fontId="93" fillId="0" borderId="0" xfId="0" applyNumberFormat="1" applyFont="1" applyFill="1" applyBorder="1"/>
    <xf numFmtId="166" fontId="93" fillId="0" borderId="17" xfId="0" applyNumberFormat="1" applyFont="1" applyFill="1" applyBorder="1"/>
    <xf numFmtId="165" fontId="93" fillId="0" borderId="0" xfId="50" applyFont="1"/>
    <xf numFmtId="7" fontId="1" fillId="0" borderId="0" xfId="0" applyNumberFormat="1" applyFont="1"/>
    <xf numFmtId="7" fontId="1" fillId="0" borderId="0" xfId="0" applyNumberFormat="1" applyFont="1" applyFill="1" applyBorder="1"/>
    <xf numFmtId="5" fontId="1" fillId="0" borderId="0" xfId="0" applyNumberFormat="1" applyFont="1"/>
    <xf numFmtId="37" fontId="1" fillId="0" borderId="14" xfId="0" applyFont="1" applyFill="1" applyBorder="1"/>
    <xf numFmtId="165" fontId="1" fillId="0" borderId="16" xfId="50" applyFont="1" applyFill="1" applyBorder="1"/>
    <xf numFmtId="165" fontId="1" fillId="0" borderId="15" xfId="50" applyFont="1" applyFill="1" applyBorder="1"/>
    <xf numFmtId="7" fontId="1" fillId="0" borderId="24" xfId="0" applyNumberFormat="1" applyFont="1" applyFill="1" applyBorder="1"/>
    <xf numFmtId="7" fontId="1" fillId="0" borderId="17" xfId="0" applyNumberFormat="1" applyFont="1" applyFill="1" applyBorder="1"/>
    <xf numFmtId="5" fontId="1" fillId="0" borderId="24" xfId="0" applyNumberFormat="1" applyFont="1" applyBorder="1"/>
    <xf numFmtId="5" fontId="1" fillId="0" borderId="0" xfId="0" applyNumberFormat="1" applyFont="1" applyBorder="1"/>
    <xf numFmtId="5" fontId="1" fillId="0" borderId="17" xfId="0" applyNumberFormat="1" applyFont="1" applyBorder="1"/>
    <xf numFmtId="37" fontId="1" fillId="0" borderId="23" xfId="0" applyFont="1" applyFill="1" applyBorder="1"/>
    <xf numFmtId="165" fontId="1" fillId="0" borderId="21" xfId="50" applyFont="1" applyFill="1" applyBorder="1"/>
    <xf numFmtId="165" fontId="1" fillId="0" borderId="22" xfId="50" applyFont="1" applyFill="1" applyBorder="1"/>
    <xf numFmtId="166" fontId="1" fillId="0" borderId="24" xfId="0" applyNumberFormat="1" applyFont="1" applyBorder="1"/>
    <xf numFmtId="5" fontId="1" fillId="0" borderId="0" xfId="0" applyNumberFormat="1" applyFont="1" applyFill="1"/>
    <xf numFmtId="168" fontId="1" fillId="0" borderId="24" xfId="0" applyNumberFormat="1" applyFont="1" applyBorder="1"/>
    <xf numFmtId="7" fontId="1" fillId="0" borderId="0" xfId="0" applyNumberFormat="1" applyFont="1" applyBorder="1"/>
    <xf numFmtId="165" fontId="1" fillId="0" borderId="0" xfId="50" applyFont="1" applyFill="1"/>
    <xf numFmtId="7" fontId="1" fillId="0" borderId="24" xfId="0" applyNumberFormat="1" applyFont="1" applyBorder="1"/>
    <xf numFmtId="7" fontId="1" fillId="0" borderId="17" xfId="0" applyNumberFormat="1" applyFont="1" applyBorder="1"/>
    <xf numFmtId="5" fontId="1" fillId="0" borderId="24" xfId="0" applyNumberFormat="1" applyFont="1" applyFill="1" applyBorder="1"/>
    <xf numFmtId="5" fontId="1" fillId="0" borderId="17" xfId="0" applyNumberFormat="1" applyFont="1" applyFill="1" applyBorder="1"/>
    <xf numFmtId="165" fontId="1" fillId="0" borderId="23" xfId="50" applyFont="1" applyFill="1" applyBorder="1" applyAlignment="1">
      <alignment horizontal="left" indent="1"/>
    </xf>
    <xf numFmtId="193" fontId="93" fillId="0" borderId="0" xfId="0" applyNumberFormat="1" applyFont="1" applyFill="1"/>
    <xf numFmtId="37" fontId="1" fillId="0" borderId="24" xfId="0" applyFont="1" applyBorder="1" applyAlignment="1">
      <alignment horizontal="left" indent="2"/>
    </xf>
    <xf numFmtId="5" fontId="8" fillId="0" borderId="10" xfId="0" applyNumberFormat="1" applyFont="1" applyBorder="1"/>
    <xf numFmtId="5" fontId="8" fillId="0" borderId="12" xfId="0" applyNumberFormat="1" applyFont="1" applyBorder="1"/>
    <xf numFmtId="5" fontId="8" fillId="0" borderId="17" xfId="0" applyNumberFormat="1" applyFont="1" applyFill="1" applyBorder="1"/>
    <xf numFmtId="37" fontId="1" fillId="0" borderId="24" xfId="0" applyFont="1" applyFill="1" applyBorder="1"/>
    <xf numFmtId="37" fontId="8" fillId="0" borderId="22" xfId="0" applyFont="1" applyBorder="1" applyAlignment="1">
      <alignment horizontal="right"/>
    </xf>
    <xf numFmtId="166" fontId="85" fillId="0" borderId="17" xfId="0" applyNumberFormat="1" applyFont="1" applyBorder="1"/>
    <xf numFmtId="193" fontId="85" fillId="0" borderId="0" xfId="0" applyNumberFormat="1" applyFont="1" applyBorder="1"/>
    <xf numFmtId="193" fontId="85" fillId="0" borderId="17" xfId="0" applyNumberFormat="1" applyFont="1" applyBorder="1"/>
    <xf numFmtId="183" fontId="39" fillId="0" borderId="17" xfId="0" applyNumberFormat="1" applyFont="1" applyBorder="1"/>
    <xf numFmtId="193" fontId="1" fillId="0" borderId="0" xfId="0" applyNumberFormat="1" applyFont="1" applyBorder="1"/>
    <xf numFmtId="193" fontId="1" fillId="0" borderId="17" xfId="0" applyNumberFormat="1" applyFont="1" applyBorder="1"/>
    <xf numFmtId="7" fontId="85" fillId="0" borderId="0" xfId="0" applyNumberFormat="1" applyFont="1" applyBorder="1"/>
    <xf numFmtId="7" fontId="85" fillId="0" borderId="17" xfId="0" applyNumberFormat="1" applyFont="1" applyBorder="1"/>
    <xf numFmtId="193" fontId="8" fillId="0" borderId="0" xfId="0" applyNumberFormat="1" applyFont="1" applyBorder="1"/>
    <xf numFmtId="193" fontId="8" fillId="0" borderId="17" xfId="0" applyNumberFormat="1" applyFont="1" applyBorder="1"/>
    <xf numFmtId="37" fontId="41" fillId="0" borderId="24" xfId="0" applyFont="1" applyBorder="1"/>
    <xf numFmtId="37" fontId="87" fillId="0" borderId="0" xfId="0" applyFont="1" applyBorder="1"/>
    <xf numFmtId="37" fontId="87" fillId="0" borderId="17" xfId="0" applyFont="1" applyBorder="1"/>
    <xf numFmtId="37" fontId="8" fillId="0" borderId="23" xfId="0" applyFont="1" applyBorder="1"/>
    <xf numFmtId="193" fontId="8" fillId="0" borderId="21" xfId="0" applyNumberFormat="1" applyFont="1" applyBorder="1"/>
    <xf numFmtId="193" fontId="8" fillId="0" borderId="22" xfId="0" applyNumberFormat="1" applyFont="1" applyBorder="1"/>
    <xf numFmtId="37" fontId="6" fillId="7" borderId="10" xfId="0" applyFont="1" applyFill="1" applyBorder="1"/>
    <xf numFmtId="37" fontId="6" fillId="7" borderId="12" xfId="0" applyFont="1" applyFill="1" applyBorder="1"/>
    <xf numFmtId="37" fontId="8" fillId="7" borderId="10" xfId="0" applyFont="1" applyFill="1" applyBorder="1"/>
    <xf numFmtId="37" fontId="8" fillId="7" borderId="12" xfId="0" applyFont="1" applyFill="1" applyBorder="1"/>
    <xf numFmtId="193" fontId="85" fillId="0" borderId="0" xfId="0" applyNumberFormat="1" applyFont="1"/>
    <xf numFmtId="166" fontId="85" fillId="0" borderId="0" xfId="0" applyNumberFormat="1" applyFont="1"/>
    <xf numFmtId="39" fontId="85" fillId="0" borderId="0" xfId="0" applyNumberFormat="1" applyFont="1"/>
    <xf numFmtId="165" fontId="1" fillId="0" borderId="0" xfId="50" applyFont="1"/>
    <xf numFmtId="7" fontId="86" fillId="0" borderId="0" xfId="0" applyNumberFormat="1" applyFont="1"/>
    <xf numFmtId="37" fontId="1" fillId="6" borderId="14" xfId="0" applyFont="1" applyFill="1" applyBorder="1"/>
    <xf numFmtId="37" fontId="1" fillId="6" borderId="16" xfId="0" applyFont="1" applyFill="1" applyBorder="1"/>
    <xf numFmtId="37" fontId="1" fillId="6" borderId="15" xfId="0" applyFont="1" applyFill="1" applyBorder="1"/>
    <xf numFmtId="5" fontId="1" fillId="6" borderId="0" xfId="0" applyNumberFormat="1" applyFont="1" applyFill="1" applyBorder="1"/>
    <xf numFmtId="5" fontId="1" fillId="6" borderId="17" xfId="0" applyNumberFormat="1" applyFont="1" applyFill="1" applyBorder="1"/>
    <xf numFmtId="37" fontId="1" fillId="6" borderId="0" xfId="0" applyFont="1" applyFill="1" applyBorder="1"/>
    <xf numFmtId="37" fontId="1" fillId="6" borderId="17" xfId="0" applyFont="1" applyFill="1" applyBorder="1"/>
    <xf numFmtId="7" fontId="8" fillId="6" borderId="0" xfId="0" applyNumberFormat="1" applyFont="1" applyFill="1" applyBorder="1"/>
    <xf numFmtId="7" fontId="8" fillId="6" borderId="17" xfId="0" applyNumberFormat="1" applyFont="1" applyFill="1" applyBorder="1"/>
    <xf numFmtId="37" fontId="8" fillId="6" borderId="23" xfId="0" applyFont="1" applyFill="1" applyBorder="1"/>
    <xf numFmtId="7" fontId="8" fillId="6" borderId="21" xfId="0" applyNumberFormat="1" applyFont="1" applyFill="1" applyBorder="1"/>
    <xf numFmtId="7" fontId="8" fillId="6" borderId="22" xfId="0" applyNumberFormat="1" applyFont="1" applyFill="1" applyBorder="1"/>
    <xf numFmtId="1" fontId="8" fillId="7" borderId="10" xfId="0" quotePrefix="1" applyNumberFormat="1" applyFont="1" applyFill="1" applyBorder="1" applyAlignment="1" applyProtection="1">
      <alignment horizontal="right"/>
    </xf>
    <xf numFmtId="179" fontId="8" fillId="0" borderId="21" xfId="0" quotePrefix="1" applyNumberFormat="1" applyFont="1" applyFill="1" applyBorder="1" applyAlignment="1">
      <alignment horizontal="right"/>
    </xf>
    <xf numFmtId="183" fontId="1" fillId="0" borderId="13" xfId="29" applyNumberFormat="1" applyFont="1" applyFill="1" applyBorder="1" applyProtection="1">
      <protection locked="0"/>
    </xf>
    <xf numFmtId="37" fontId="1" fillId="0" borderId="10" xfId="0" applyFont="1" applyBorder="1" applyAlignment="1">
      <alignment horizontal="right"/>
    </xf>
    <xf numFmtId="37" fontId="1" fillId="0" borderId="11" xfId="0" applyFont="1" applyBorder="1" applyAlignment="1">
      <alignment horizontal="right"/>
    </xf>
    <xf numFmtId="168" fontId="1" fillId="0" borderId="13" xfId="0" applyNumberFormat="1" applyFont="1" applyBorder="1"/>
    <xf numFmtId="14" fontId="6" fillId="0" borderId="0" xfId="0" applyNumberFormat="1" applyFont="1"/>
    <xf numFmtId="37" fontId="8" fillId="0" borderId="16" xfId="0" applyFont="1" applyBorder="1" applyAlignment="1">
      <alignment horizontal="right"/>
    </xf>
    <xf numFmtId="37" fontId="8" fillId="0" borderId="15" xfId="0" applyFont="1" applyBorder="1" applyAlignment="1">
      <alignment horizontal="right"/>
    </xf>
    <xf numFmtId="37" fontId="1" fillId="0" borderId="0" xfId="0" applyFont="1" applyBorder="1" applyAlignment="1">
      <alignment horizontal="right"/>
    </xf>
    <xf numFmtId="165" fontId="6" fillId="0" borderId="17" xfId="50" applyFont="1" applyFill="1" applyBorder="1"/>
    <xf numFmtId="165" fontId="1" fillId="0" borderId="0" xfId="50" applyFont="1" applyBorder="1"/>
    <xf numFmtId="165" fontId="8" fillId="0" borderId="21" xfId="50" applyFont="1" applyBorder="1"/>
    <xf numFmtId="165" fontId="8" fillId="0" borderId="17" xfId="50" applyFont="1" applyBorder="1"/>
    <xf numFmtId="165" fontId="8" fillId="4" borderId="21" xfId="50" applyFont="1" applyFill="1" applyBorder="1"/>
    <xf numFmtId="37" fontId="8" fillId="0" borderId="33" xfId="0" applyFont="1" applyBorder="1" applyAlignment="1">
      <alignment horizontal="right"/>
    </xf>
    <xf numFmtId="165" fontId="6" fillId="0" borderId="34" xfId="50" applyFont="1" applyBorder="1"/>
    <xf numFmtId="165" fontId="6" fillId="4" borderId="34" xfId="50" applyFont="1" applyFill="1" applyBorder="1"/>
    <xf numFmtId="165" fontId="8" fillId="0" borderId="34" xfId="50" applyFont="1" applyBorder="1"/>
    <xf numFmtId="37" fontId="6" fillId="0" borderId="34" xfId="0" applyFont="1" applyBorder="1"/>
    <xf numFmtId="165" fontId="6" fillId="0" borderId="34" xfId="50" applyFont="1" applyFill="1" applyBorder="1"/>
    <xf numFmtId="191" fontId="6" fillId="0" borderId="0" xfId="0" applyNumberFormat="1" applyFont="1" applyBorder="1"/>
    <xf numFmtId="165" fontId="1" fillId="0" borderId="0" xfId="50" applyFont="1" applyFill="1" applyBorder="1"/>
    <xf numFmtId="14" fontId="6" fillId="0" borderId="0" xfId="0" applyNumberFormat="1" applyFont="1" applyBorder="1"/>
    <xf numFmtId="37" fontId="1" fillId="0" borderId="34" xfId="0" applyFont="1" applyBorder="1" applyAlignment="1">
      <alignment horizontal="right"/>
    </xf>
    <xf numFmtId="165" fontId="6" fillId="0" borderId="34" xfId="50" applyFont="1" applyBorder="1" applyAlignment="1">
      <alignment horizontal="right"/>
    </xf>
    <xf numFmtId="165" fontId="1" fillId="0" borderId="17" xfId="50" applyFont="1" applyBorder="1" applyAlignment="1">
      <alignment horizontal="right"/>
    </xf>
    <xf numFmtId="37" fontId="8" fillId="0" borderId="35" xfId="0" applyFont="1" applyBorder="1" applyAlignment="1">
      <alignment horizontal="right"/>
    </xf>
    <xf numFmtId="165" fontId="8" fillId="0" borderId="36" xfId="50" applyFont="1" applyBorder="1"/>
    <xf numFmtId="165" fontId="1" fillId="0" borderId="0" xfId="50" applyFont="1" applyFill="1" applyBorder="1" applyAlignment="1">
      <alignment horizontal="right"/>
    </xf>
    <xf numFmtId="165" fontId="8" fillId="0" borderId="22" xfId="50" applyFont="1" applyBorder="1" applyAlignment="1">
      <alignment horizontal="right"/>
    </xf>
    <xf numFmtId="37" fontId="1" fillId="0" borderId="0" xfId="0" applyFont="1" applyBorder="1" applyAlignment="1" applyProtection="1">
      <alignment horizontal="left"/>
    </xf>
    <xf numFmtId="183" fontId="99" fillId="0" borderId="0" xfId="30" applyNumberFormat="1" applyFont="1" applyFill="1" applyBorder="1" applyProtection="1"/>
    <xf numFmtId="183" fontId="99" fillId="0" borderId="0" xfId="30" quotePrefix="1" applyNumberFormat="1" applyFont="1" applyFill="1" applyBorder="1" applyAlignment="1" applyProtection="1"/>
    <xf numFmtId="183" fontId="99" fillId="0" borderId="10" xfId="29" quotePrefix="1" applyNumberFormat="1" applyFont="1" applyFill="1" applyBorder="1" applyAlignment="1" applyProtection="1"/>
    <xf numFmtId="183" fontId="100" fillId="0" borderId="0" xfId="29" applyNumberFormat="1" applyFont="1" applyFill="1" applyBorder="1" applyAlignment="1" applyProtection="1"/>
    <xf numFmtId="183" fontId="99" fillId="0" borderId="0" xfId="29" quotePrefix="1" applyNumberFormat="1" applyFont="1" applyFill="1" applyBorder="1" applyAlignment="1" applyProtection="1"/>
    <xf numFmtId="183" fontId="99" fillId="4" borderId="10" xfId="29" quotePrefix="1" applyNumberFormat="1" applyFont="1" applyFill="1" applyBorder="1" applyAlignment="1" applyProtection="1"/>
    <xf numFmtId="165" fontId="101" fillId="0" borderId="0" xfId="50" applyFont="1" applyFill="1" applyBorder="1" applyProtection="1"/>
    <xf numFmtId="183" fontId="100" fillId="0" borderId="0" xfId="30" applyNumberFormat="1" applyFont="1" applyFill="1" applyBorder="1" applyProtection="1"/>
    <xf numFmtId="37" fontId="1" fillId="0" borderId="0" xfId="29" applyFont="1" applyFill="1" applyBorder="1" applyAlignment="1" applyProtection="1">
      <alignment horizontal="left" indent="1"/>
    </xf>
    <xf numFmtId="37" fontId="1" fillId="0" borderId="0" xfId="0" applyFont="1" applyFill="1" applyBorder="1"/>
    <xf numFmtId="166" fontId="100" fillId="0" borderId="0" xfId="29" quotePrefix="1" applyNumberFormat="1" applyFont="1" applyFill="1" applyBorder="1" applyAlignment="1" applyProtection="1"/>
    <xf numFmtId="166" fontId="1" fillId="0" borderId="0" xfId="29" quotePrefix="1" applyNumberFormat="1" applyFont="1" applyFill="1" applyBorder="1" applyAlignment="1" applyProtection="1"/>
    <xf numFmtId="166" fontId="1" fillId="0" borderId="13" xfId="29" quotePrefix="1" applyNumberFormat="1" applyFont="1" applyFill="1" applyBorder="1" applyAlignment="1" applyProtection="1"/>
    <xf numFmtId="183" fontId="1" fillId="0" borderId="0" xfId="30" quotePrefix="1" applyNumberFormat="1" applyFont="1" applyFill="1" applyBorder="1" applyAlignment="1" applyProtection="1"/>
    <xf numFmtId="183" fontId="1" fillId="0" borderId="0" xfId="29" quotePrefix="1" applyNumberFormat="1" applyFont="1" applyFill="1" applyBorder="1" applyAlignment="1" applyProtection="1"/>
    <xf numFmtId="183" fontId="1" fillId="0" borderId="17" xfId="29" quotePrefix="1" applyNumberFormat="1" applyFont="1" applyFill="1" applyBorder="1" applyAlignment="1" applyProtection="1"/>
    <xf numFmtId="183" fontId="1" fillId="0" borderId="13" xfId="30" quotePrefix="1" applyNumberFormat="1" applyFont="1" applyFill="1" applyBorder="1" applyAlignment="1" applyProtection="1"/>
    <xf numFmtId="4" fontId="41" fillId="0" borderId="0" xfId="50" applyNumberFormat="1" applyFont="1" applyFill="1" applyBorder="1" applyAlignment="1" applyProtection="1"/>
    <xf numFmtId="166" fontId="1" fillId="0" borderId="24" xfId="0" applyNumberFormat="1" applyFont="1" applyBorder="1" applyAlignment="1" applyProtection="1">
      <alignment horizontal="left"/>
    </xf>
    <xf numFmtId="183" fontId="102" fillId="0" borderId="0" xfId="30" applyNumberFormat="1" applyFont="1" applyFill="1" applyBorder="1" applyAlignment="1" applyProtection="1"/>
    <xf numFmtId="183" fontId="100" fillId="0" borderId="0" xfId="29" applyNumberFormat="1" applyFont="1" applyFill="1" applyBorder="1" applyProtection="1">
      <protection locked="0"/>
    </xf>
    <xf numFmtId="37" fontId="8" fillId="0" borderId="9" xfId="0" applyFont="1" applyFill="1" applyBorder="1"/>
    <xf numFmtId="37" fontId="8" fillId="0" borderId="10" xfId="0" applyFont="1" applyFill="1" applyBorder="1" applyAlignment="1" applyProtection="1">
      <alignment horizontal="left"/>
    </xf>
    <xf numFmtId="165" fontId="43" fillId="0" borderId="9" xfId="50" quotePrefix="1" applyFont="1" applyFill="1" applyBorder="1" applyAlignment="1" applyProtection="1"/>
    <xf numFmtId="165" fontId="43" fillId="0" borderId="10" xfId="50" quotePrefix="1" applyFont="1" applyFill="1" applyBorder="1" applyAlignment="1" applyProtection="1"/>
    <xf numFmtId="37" fontId="43" fillId="0" borderId="10" xfId="29" quotePrefix="1" applyFont="1" applyFill="1" applyBorder="1" applyAlignment="1" applyProtection="1"/>
    <xf numFmtId="37" fontId="43" fillId="0" borderId="11" xfId="29" quotePrefix="1" applyFont="1" applyFill="1" applyBorder="1" applyAlignment="1" applyProtection="1"/>
    <xf numFmtId="166" fontId="43" fillId="0" borderId="11" xfId="29" quotePrefix="1" applyNumberFormat="1" applyFont="1" applyFill="1" applyBorder="1" applyAlignment="1" applyProtection="1"/>
    <xf numFmtId="168" fontId="43" fillId="0" borderId="10" xfId="30" quotePrefix="1" applyNumberFormat="1" applyFont="1" applyFill="1" applyBorder="1" applyAlignment="1" applyProtection="1"/>
    <xf numFmtId="166" fontId="43" fillId="0" borderId="10" xfId="29" quotePrefix="1" applyNumberFormat="1" applyFont="1" applyFill="1" applyBorder="1" applyAlignment="1" applyProtection="1"/>
    <xf numFmtId="9" fontId="43" fillId="0" borderId="11" xfId="29" quotePrefix="1" applyNumberFormat="1" applyFont="1" applyFill="1" applyBorder="1" applyAlignment="1" applyProtection="1"/>
    <xf numFmtId="9" fontId="43" fillId="0" borderId="10" xfId="29" quotePrefix="1" applyNumberFormat="1" applyFont="1" applyFill="1" applyBorder="1" applyAlignment="1" applyProtection="1"/>
    <xf numFmtId="166" fontId="8" fillId="0" borderId="10" xfId="29" quotePrefix="1" applyNumberFormat="1" applyFont="1" applyFill="1" applyBorder="1" applyAlignment="1" applyProtection="1"/>
    <xf numFmtId="166" fontId="8" fillId="0" borderId="11" xfId="29" quotePrefix="1" applyNumberFormat="1" applyFont="1" applyFill="1" applyBorder="1" applyAlignment="1" applyProtection="1"/>
    <xf numFmtId="37" fontId="1" fillId="0" borderId="21" xfId="41" applyFont="1" applyBorder="1"/>
    <xf numFmtId="5" fontId="1" fillId="0" borderId="24" xfId="30" applyFont="1" applyFill="1" applyBorder="1" applyAlignment="1" applyProtection="1">
      <alignment horizontal="left" indent="1"/>
    </xf>
    <xf numFmtId="183" fontId="1" fillId="0" borderId="24" xfId="30" applyNumberFormat="1" applyFont="1" applyFill="1" applyBorder="1" applyAlignment="1" applyProtection="1">
      <alignment horizontal="right"/>
    </xf>
    <xf numFmtId="183" fontId="1" fillId="0" borderId="0" xfId="30" applyNumberFormat="1" applyFont="1" applyFill="1" applyBorder="1" applyAlignment="1" applyProtection="1">
      <alignment horizontal="right"/>
    </xf>
    <xf numFmtId="183" fontId="39" fillId="0" borderId="24" xfId="29" applyNumberFormat="1" applyFont="1" applyFill="1" applyBorder="1" applyAlignment="1" applyProtection="1">
      <alignment horizontal="right"/>
    </xf>
    <xf numFmtId="165" fontId="1" fillId="0" borderId="0" xfId="29" quotePrefix="1" applyNumberFormat="1" applyFont="1" applyFill="1" applyBorder="1" applyAlignment="1" applyProtection="1"/>
    <xf numFmtId="165" fontId="45" fillId="0" borderId="24" xfId="50" quotePrefix="1" applyFont="1" applyFill="1" applyBorder="1" applyAlignment="1" applyProtection="1"/>
    <xf numFmtId="168" fontId="100" fillId="0" borderId="24" xfId="29" quotePrefix="1" applyNumberFormat="1" applyFont="1" applyFill="1" applyBorder="1" applyAlignment="1" applyProtection="1"/>
    <xf numFmtId="166" fontId="100" fillId="0" borderId="24" xfId="50" quotePrefix="1" applyNumberFormat="1" applyFont="1" applyFill="1" applyBorder="1" applyAlignment="1" applyProtection="1"/>
    <xf numFmtId="168" fontId="45" fillId="0" borderId="24" xfId="29" quotePrefix="1" applyNumberFormat="1" applyFont="1" applyFill="1" applyBorder="1" applyAlignment="1" applyProtection="1"/>
    <xf numFmtId="166" fontId="45" fillId="0" borderId="24" xfId="50" quotePrefix="1" applyNumberFormat="1" applyFont="1" applyFill="1" applyBorder="1" applyAlignment="1" applyProtection="1"/>
    <xf numFmtId="183" fontId="45" fillId="0" borderId="24" xfId="29" quotePrefix="1" applyNumberFormat="1" applyFont="1" applyFill="1" applyBorder="1" applyAlignment="1" applyProtection="1"/>
    <xf numFmtId="165" fontId="46" fillId="0" borderId="24" xfId="50" quotePrefix="1" applyNumberFormat="1" applyFont="1" applyFill="1" applyBorder="1" applyAlignment="1" applyProtection="1"/>
    <xf numFmtId="168" fontId="102" fillId="0" borderId="24" xfId="29" quotePrefix="1" applyNumberFormat="1" applyFont="1" applyFill="1" applyBorder="1" applyAlignment="1" applyProtection="1"/>
    <xf numFmtId="168" fontId="6" fillId="0" borderId="24" xfId="30" quotePrefix="1" applyNumberFormat="1" applyFont="1" applyFill="1" applyBorder="1" applyAlignment="1" applyProtection="1"/>
    <xf numFmtId="165" fontId="57" fillId="0" borderId="24" xfId="50" quotePrefix="1" applyFont="1" applyFill="1" applyBorder="1" applyAlignment="1" applyProtection="1"/>
    <xf numFmtId="165" fontId="46" fillId="0" borderId="24" xfId="50" quotePrefix="1" applyFont="1" applyFill="1" applyBorder="1" applyAlignment="1" applyProtection="1"/>
    <xf numFmtId="183" fontId="8" fillId="0" borderId="24" xfId="29" quotePrefix="1" applyNumberFormat="1" applyFont="1" applyFill="1" applyBorder="1" applyAlignment="1" applyProtection="1"/>
    <xf numFmtId="4" fontId="101" fillId="0" borderId="0" xfId="50" applyNumberFormat="1" applyFont="1" applyFill="1" applyBorder="1" applyProtection="1"/>
    <xf numFmtId="4" fontId="88" fillId="0" borderId="0" xfId="50" applyNumberFormat="1" applyFont="1" applyFill="1" applyBorder="1" applyProtection="1"/>
    <xf numFmtId="183" fontId="108" fillId="0" borderId="0" xfId="30" applyNumberFormat="1" applyFont="1" applyFill="1" applyBorder="1" applyProtection="1"/>
    <xf numFmtId="183" fontId="109" fillId="0" borderId="0" xfId="30" quotePrefix="1" applyNumberFormat="1" applyFont="1" applyFill="1" applyBorder="1" applyAlignment="1" applyProtection="1"/>
    <xf numFmtId="183" fontId="1" fillId="0" borderId="0" xfId="29" applyNumberFormat="1" applyFont="1" applyFill="1" applyBorder="1"/>
    <xf numFmtId="184" fontId="6" fillId="0" borderId="0" xfId="0" applyNumberFormat="1" applyFont="1" applyFill="1" applyBorder="1"/>
    <xf numFmtId="183" fontId="49" fillId="0" borderId="0" xfId="29" quotePrefix="1" applyNumberFormat="1" applyFont="1" applyFill="1" applyBorder="1" applyProtection="1">
      <protection locked="0"/>
    </xf>
    <xf numFmtId="166" fontId="108" fillId="0" borderId="0" xfId="0" applyNumberFormat="1" applyFont="1" applyFill="1" applyBorder="1" applyAlignment="1" applyProtection="1">
      <alignment horizontal="right"/>
    </xf>
    <xf numFmtId="183" fontId="108" fillId="0" borderId="0" xfId="29" quotePrefix="1" applyNumberFormat="1" applyFont="1" applyFill="1" applyBorder="1" applyAlignment="1" applyProtection="1"/>
    <xf numFmtId="41" fontId="110" fillId="0" borderId="0" xfId="29" quotePrefix="1" applyNumberFormat="1" applyFont="1" applyFill="1" applyBorder="1" applyAlignment="1" applyProtection="1"/>
    <xf numFmtId="41" fontId="110" fillId="0" borderId="13" xfId="29" quotePrefix="1" applyNumberFormat="1" applyFont="1" applyFill="1" applyBorder="1" applyAlignment="1" applyProtection="1"/>
    <xf numFmtId="183" fontId="108" fillId="0" borderId="0" xfId="30" applyNumberFormat="1" applyFont="1" applyFill="1" applyBorder="1" applyAlignment="1" applyProtection="1"/>
    <xf numFmtId="37" fontId="108" fillId="0" borderId="0" xfId="29" applyNumberFormat="1" applyFont="1" applyFill="1" applyBorder="1" applyProtection="1"/>
    <xf numFmtId="37" fontId="110" fillId="0" borderId="13" xfId="29" quotePrefix="1" applyFont="1" applyFill="1" applyBorder="1" applyAlignment="1" applyProtection="1"/>
    <xf numFmtId="168" fontId="108" fillId="0" borderId="0" xfId="29" quotePrefix="1" applyNumberFormat="1" applyFont="1" applyFill="1" applyBorder="1" applyAlignment="1" applyProtection="1"/>
    <xf numFmtId="166" fontId="109" fillId="0" borderId="0" xfId="50" quotePrefix="1" applyNumberFormat="1" applyFont="1" applyFill="1" applyBorder="1" applyAlignment="1" applyProtection="1"/>
    <xf numFmtId="37" fontId="26" fillId="0" borderId="0" xfId="0" applyNumberFormat="1" applyFont="1" applyFill="1"/>
    <xf numFmtId="4" fontId="26" fillId="0" borderId="13" xfId="0" applyNumberFormat="1" applyFont="1" applyFill="1" applyBorder="1" applyAlignment="1" applyProtection="1">
      <alignment horizontal="center"/>
    </xf>
    <xf numFmtId="168" fontId="109" fillId="0" borderId="24" xfId="29" quotePrefix="1" applyNumberFormat="1" applyFont="1" applyFill="1" applyBorder="1" applyAlignment="1" applyProtection="1"/>
    <xf numFmtId="168" fontId="109" fillId="0" borderId="0" xfId="29" quotePrefix="1" applyNumberFormat="1" applyFont="1" applyFill="1" applyBorder="1" applyAlignment="1" applyProtection="1"/>
    <xf numFmtId="168" fontId="109" fillId="0" borderId="17" xfId="29" quotePrefix="1" applyNumberFormat="1" applyFont="1" applyFill="1" applyBorder="1" applyAlignment="1" applyProtection="1"/>
    <xf numFmtId="166" fontId="109" fillId="0" borderId="24" xfId="50" quotePrefix="1" applyNumberFormat="1" applyFont="1" applyFill="1" applyBorder="1" applyAlignment="1" applyProtection="1"/>
    <xf numFmtId="166" fontId="109" fillId="0" borderId="17" xfId="50" quotePrefix="1" applyNumberFormat="1" applyFont="1" applyFill="1" applyBorder="1" applyAlignment="1" applyProtection="1"/>
    <xf numFmtId="168" fontId="109" fillId="0" borderId="13" xfId="29" quotePrefix="1" applyNumberFormat="1" applyFont="1" applyFill="1" applyBorder="1" applyAlignment="1" applyProtection="1"/>
    <xf numFmtId="166" fontId="109" fillId="0" borderId="13" xfId="50" quotePrefix="1" applyNumberFormat="1" applyFont="1" applyFill="1" applyBorder="1" applyAlignment="1" applyProtection="1"/>
    <xf numFmtId="183" fontId="111" fillId="4" borderId="10" xfId="29" quotePrefix="1" applyNumberFormat="1" applyFont="1" applyFill="1" applyBorder="1" applyAlignment="1" applyProtection="1"/>
    <xf numFmtId="4" fontId="41" fillId="0" borderId="13" xfId="50" applyNumberFormat="1" applyFont="1" applyFill="1" applyBorder="1" applyAlignment="1" applyProtection="1"/>
    <xf numFmtId="183" fontId="108" fillId="0" borderId="0" xfId="0" applyNumberFormat="1" applyFont="1" applyFill="1" applyBorder="1"/>
    <xf numFmtId="168" fontId="102" fillId="0" borderId="0" xfId="29" quotePrefix="1" applyNumberFormat="1" applyFont="1" applyFill="1" applyBorder="1" applyAlignment="1" applyProtection="1"/>
    <xf numFmtId="4" fontId="6" fillId="0" borderId="0" xfId="50" applyNumberFormat="1" applyFont="1" applyFill="1" applyBorder="1" applyProtection="1"/>
    <xf numFmtId="183" fontId="108" fillId="0" borderId="0" xfId="29" applyNumberFormat="1" applyFont="1" applyFill="1" applyBorder="1" applyAlignment="1" applyProtection="1"/>
    <xf numFmtId="165" fontId="108" fillId="0" borderId="17" xfId="50" applyNumberFormat="1" applyFont="1" applyBorder="1"/>
    <xf numFmtId="193" fontId="6" fillId="0" borderId="17" xfId="0" applyNumberFormat="1" applyFont="1" applyBorder="1"/>
    <xf numFmtId="39" fontId="6" fillId="0" borderId="17" xfId="0" applyNumberFormat="1" applyFont="1" applyBorder="1"/>
    <xf numFmtId="7" fontId="108" fillId="0" borderId="17" xfId="0" applyNumberFormat="1" applyFont="1" applyBorder="1"/>
    <xf numFmtId="37" fontId="1" fillId="0" borderId="23" xfId="0" applyFont="1" applyBorder="1"/>
    <xf numFmtId="9" fontId="41" fillId="0" borderId="22" xfId="50" applyNumberFormat="1" applyFont="1" applyBorder="1"/>
    <xf numFmtId="5" fontId="26" fillId="6" borderId="0" xfId="0" applyNumberFormat="1" applyFont="1" applyFill="1" applyBorder="1"/>
    <xf numFmtId="166" fontId="108" fillId="4" borderId="0" xfId="29" quotePrefix="1" applyNumberFormat="1" applyFont="1" applyFill="1" applyBorder="1" applyAlignment="1" applyProtection="1"/>
    <xf numFmtId="166" fontId="108" fillId="4" borderId="0" xfId="50" applyNumberFormat="1" applyFont="1" applyFill="1" applyBorder="1" applyAlignment="1" applyProtection="1"/>
    <xf numFmtId="166" fontId="108" fillId="0" borderId="0" xfId="29" quotePrefix="1" applyNumberFormat="1" applyFont="1" applyFill="1" applyBorder="1" applyAlignment="1" applyProtection="1"/>
    <xf numFmtId="166" fontId="108" fillId="0" borderId="0" xfId="50" applyNumberFormat="1" applyFont="1" applyFill="1" applyBorder="1" applyAlignment="1" applyProtection="1"/>
    <xf numFmtId="37" fontId="8" fillId="0" borderId="21" xfId="0" applyFont="1" applyBorder="1" applyAlignment="1">
      <alignment horizontal="right" wrapText="1"/>
    </xf>
    <xf numFmtId="37" fontId="8" fillId="0" borderId="22" xfId="0" applyFont="1" applyBorder="1"/>
    <xf numFmtId="37" fontId="1" fillId="0" borderId="24" xfId="29" applyFont="1" applyFill="1" applyBorder="1" applyAlignment="1" applyProtection="1">
      <alignment horizontal="left"/>
    </xf>
    <xf numFmtId="5" fontId="108" fillId="0" borderId="0" xfId="0" applyNumberFormat="1" applyFont="1" applyBorder="1"/>
    <xf numFmtId="178" fontId="108" fillId="0" borderId="0" xfId="50" applyNumberFormat="1" applyFont="1" applyBorder="1"/>
    <xf numFmtId="37" fontId="108" fillId="0" borderId="0" xfId="0" applyFont="1" applyBorder="1"/>
    <xf numFmtId="37" fontId="1" fillId="0" borderId="0" xfId="0" applyNumberFormat="1" applyFont="1" applyBorder="1"/>
    <xf numFmtId="5" fontId="8" fillId="0" borderId="15" xfId="0" applyNumberFormat="1" applyFont="1" applyBorder="1"/>
    <xf numFmtId="37" fontId="8" fillId="0" borderId="17" xfId="0" applyFont="1" applyBorder="1"/>
    <xf numFmtId="7" fontId="8" fillId="0" borderId="22" xfId="0" applyNumberFormat="1" applyFont="1" applyBorder="1"/>
    <xf numFmtId="37" fontId="8" fillId="0" borderId="16" xfId="0" applyFont="1" applyBorder="1"/>
    <xf numFmtId="37" fontId="108" fillId="0" borderId="0" xfId="0" applyFont="1"/>
    <xf numFmtId="37" fontId="1" fillId="0" borderId="0" xfId="0" applyFont="1" applyAlignment="1">
      <alignment horizontal="right"/>
    </xf>
    <xf numFmtId="178" fontId="108" fillId="0" borderId="0" xfId="50" applyNumberFormat="1" applyFont="1" applyBorder="1" applyAlignment="1">
      <alignment horizontal="right"/>
    </xf>
    <xf numFmtId="5" fontId="108" fillId="0" borderId="0" xfId="0" applyNumberFormat="1" applyFont="1"/>
    <xf numFmtId="178" fontId="1" fillId="0" borderId="0" xfId="50" applyNumberFormat="1" applyFont="1" applyBorder="1" applyAlignment="1">
      <alignment horizontal="right"/>
    </xf>
    <xf numFmtId="183" fontId="108" fillId="0" borderId="0" xfId="29" applyNumberFormat="1" applyFont="1" applyFill="1" applyBorder="1"/>
    <xf numFmtId="183" fontId="108" fillId="0" borderId="0" xfId="29" applyNumberFormat="1" applyFont="1" applyFill="1" applyBorder="1" applyProtection="1"/>
    <xf numFmtId="7" fontId="8" fillId="0" borderId="0" xfId="30" applyNumberFormat="1" applyFont="1" applyBorder="1"/>
    <xf numFmtId="39" fontId="8" fillId="0" borderId="9" xfId="0" applyNumberFormat="1" applyFont="1" applyBorder="1"/>
    <xf numFmtId="165" fontId="108" fillId="0" borderId="0" xfId="50" applyFont="1"/>
    <xf numFmtId="37" fontId="6" fillId="0" borderId="14" xfId="29" applyFont="1" applyFill="1" applyBorder="1" applyProtection="1"/>
    <xf numFmtId="37" fontId="6" fillId="0" borderId="16" xfId="29" applyFont="1" applyFill="1" applyBorder="1" applyProtection="1"/>
    <xf numFmtId="37" fontId="6" fillId="0" borderId="15" xfId="29" applyFont="1" applyFill="1" applyBorder="1" applyProtection="1"/>
    <xf numFmtId="37" fontId="6" fillId="0" borderId="24" xfId="29" applyFont="1" applyFill="1" applyBorder="1" applyProtection="1"/>
    <xf numFmtId="164" fontId="26" fillId="0" borderId="17" xfId="0" applyNumberFormat="1" applyFont="1" applyFill="1" applyBorder="1" applyAlignment="1" applyProtection="1">
      <alignment horizontal="right"/>
    </xf>
    <xf numFmtId="183" fontId="26" fillId="0" borderId="17" xfId="0" applyNumberFormat="1" applyFont="1" applyFill="1" applyBorder="1" applyAlignment="1" applyProtection="1">
      <alignment horizontal="right"/>
    </xf>
    <xf numFmtId="165" fontId="42" fillId="0" borderId="17" xfId="50" applyFont="1" applyFill="1" applyBorder="1" applyProtection="1"/>
    <xf numFmtId="166" fontId="26" fillId="0" borderId="17" xfId="0" applyNumberFormat="1" applyFont="1" applyFill="1" applyBorder="1" applyAlignment="1" applyProtection="1">
      <alignment horizontal="right"/>
    </xf>
    <xf numFmtId="10" fontId="77" fillId="0" borderId="17" xfId="50" applyNumberFormat="1" applyFont="1" applyFill="1" applyBorder="1" applyAlignment="1" applyProtection="1">
      <alignment horizontal="right"/>
    </xf>
    <xf numFmtId="166" fontId="26" fillId="0" borderId="24" xfId="0" applyNumberFormat="1" applyFont="1" applyFill="1" applyBorder="1" applyAlignment="1" applyProtection="1"/>
    <xf numFmtId="166" fontId="26" fillId="0" borderId="17" xfId="0" applyNumberFormat="1" applyFont="1" applyFill="1" applyBorder="1" applyAlignment="1" applyProtection="1"/>
    <xf numFmtId="168" fontId="26" fillId="0" borderId="17" xfId="30" applyNumberFormat="1" applyFont="1" applyFill="1" applyBorder="1" applyProtection="1"/>
    <xf numFmtId="165" fontId="26" fillId="0" borderId="17" xfId="50" quotePrefix="1" applyFont="1" applyFill="1" applyBorder="1" applyAlignment="1" applyProtection="1"/>
    <xf numFmtId="41" fontId="26" fillId="0" borderId="17" xfId="29" quotePrefix="1" applyNumberFormat="1" applyFont="1" applyFill="1" applyBorder="1" applyAlignment="1" applyProtection="1"/>
    <xf numFmtId="165" fontId="26" fillId="0" borderId="23" xfId="50" quotePrefix="1" applyFont="1" applyFill="1" applyBorder="1" applyAlignment="1" applyProtection="1"/>
    <xf numFmtId="165" fontId="26" fillId="0" borderId="22" xfId="50" quotePrefix="1" applyFont="1" applyFill="1" applyBorder="1" applyAlignment="1" applyProtection="1"/>
    <xf numFmtId="37" fontId="26" fillId="0" borderId="17" xfId="29" quotePrefix="1" applyFont="1" applyFill="1" applyBorder="1" applyAlignment="1" applyProtection="1"/>
    <xf numFmtId="165" fontId="42" fillId="0" borderId="17" xfId="50" quotePrefix="1" applyFont="1" applyFill="1" applyBorder="1" applyAlignment="1" applyProtection="1"/>
    <xf numFmtId="168" fontId="26" fillId="0" borderId="17" xfId="30" quotePrefix="1" applyNumberFormat="1" applyFont="1" applyFill="1" applyBorder="1" applyAlignment="1" applyProtection="1"/>
    <xf numFmtId="37" fontId="6" fillId="0" borderId="14" xfId="29" applyNumberFormat="1" applyFont="1" applyFill="1" applyBorder="1" applyProtection="1"/>
    <xf numFmtId="37" fontId="6" fillId="0" borderId="16" xfId="29" applyNumberFormat="1" applyFont="1" applyFill="1" applyBorder="1" applyProtection="1"/>
    <xf numFmtId="37" fontId="6" fillId="0" borderId="15" xfId="29" applyNumberFormat="1" applyFont="1" applyFill="1" applyBorder="1" applyProtection="1"/>
    <xf numFmtId="37" fontId="6" fillId="0" borderId="24" xfId="29" applyNumberFormat="1" applyFont="1" applyFill="1" applyBorder="1" applyProtection="1"/>
    <xf numFmtId="41" fontId="6" fillId="0" borderId="24" xfId="0" applyNumberFormat="1" applyFont="1" applyFill="1" applyBorder="1" applyAlignment="1" applyProtection="1">
      <alignment horizontal="right"/>
    </xf>
    <xf numFmtId="183" fontId="6" fillId="0" borderId="24" xfId="50" quotePrefix="1" applyNumberFormat="1" applyFont="1" applyFill="1" applyBorder="1" applyAlignment="1" applyProtection="1"/>
    <xf numFmtId="168" fontId="26" fillId="0" borderId="24" xfId="29" quotePrefix="1" applyNumberFormat="1" applyFont="1" applyFill="1" applyBorder="1" applyAlignment="1" applyProtection="1"/>
    <xf numFmtId="168" fontId="26" fillId="0" borderId="17" xfId="29" quotePrefix="1" applyNumberFormat="1" applyFont="1" applyFill="1" applyBorder="1" applyAlignment="1" applyProtection="1"/>
    <xf numFmtId="183" fontId="26" fillId="0" borderId="23" xfId="29" quotePrefix="1" applyNumberFormat="1" applyFont="1" applyFill="1" applyBorder="1" applyAlignment="1" applyProtection="1"/>
    <xf numFmtId="183" fontId="26" fillId="0" borderId="21" xfId="29" quotePrefix="1" applyNumberFormat="1" applyFont="1" applyFill="1" applyBorder="1" applyAlignment="1" applyProtection="1"/>
    <xf numFmtId="183" fontId="26" fillId="0" borderId="22" xfId="29" quotePrefix="1" applyNumberFormat="1" applyFont="1" applyFill="1" applyBorder="1" applyAlignment="1" applyProtection="1"/>
    <xf numFmtId="5" fontId="26" fillId="0" borderId="24" xfId="30" applyFont="1" applyBorder="1"/>
    <xf numFmtId="165" fontId="26" fillId="0" borderId="24" xfId="50" applyFont="1" applyBorder="1"/>
    <xf numFmtId="165" fontId="26" fillId="0" borderId="17" xfId="50" applyFont="1" applyBorder="1"/>
    <xf numFmtId="7" fontId="26" fillId="0" borderId="24" xfId="30" applyNumberFormat="1" applyFont="1" applyBorder="1"/>
    <xf numFmtId="7" fontId="26" fillId="0" borderId="17" xfId="30" applyNumberFormat="1" applyFont="1" applyBorder="1"/>
    <xf numFmtId="168" fontId="6" fillId="0" borderId="24" xfId="30" applyNumberFormat="1" applyFont="1" applyBorder="1"/>
    <xf numFmtId="165" fontId="26" fillId="0" borderId="24" xfId="50" quotePrefix="1" applyFont="1" applyBorder="1" applyAlignment="1" applyProtection="1"/>
    <xf numFmtId="165" fontId="26" fillId="0" borderId="17" xfId="50" quotePrefix="1" applyFont="1" applyBorder="1" applyAlignment="1" applyProtection="1"/>
    <xf numFmtId="166" fontId="6" fillId="0" borderId="24" xfId="29" applyNumberFormat="1" applyFont="1" applyBorder="1"/>
    <xf numFmtId="168" fontId="26" fillId="0" borderId="24" xfId="30" applyNumberFormat="1" applyFont="1" applyBorder="1"/>
    <xf numFmtId="168" fontId="26" fillId="0" borderId="17" xfId="30" applyNumberFormat="1" applyFont="1" applyBorder="1"/>
    <xf numFmtId="165" fontId="50" fillId="0" borderId="24" xfId="50" applyFont="1" applyBorder="1"/>
    <xf numFmtId="165" fontId="50" fillId="0" borderId="0" xfId="50" applyFont="1" applyBorder="1"/>
    <xf numFmtId="165" fontId="50" fillId="0" borderId="17" xfId="50" applyFont="1" applyBorder="1"/>
    <xf numFmtId="9" fontId="6" fillId="0" borderId="24" xfId="29" applyNumberFormat="1" applyFont="1" applyBorder="1"/>
    <xf numFmtId="9" fontId="6" fillId="0" borderId="0" xfId="29" applyNumberFormat="1" applyFont="1" applyBorder="1"/>
    <xf numFmtId="9" fontId="6" fillId="0" borderId="17" xfId="29" applyNumberFormat="1" applyFont="1" applyBorder="1"/>
    <xf numFmtId="166" fontId="6" fillId="0" borderId="24" xfId="30" applyNumberFormat="1" applyFont="1" applyBorder="1"/>
    <xf numFmtId="166" fontId="6" fillId="0" borderId="0" xfId="30" applyNumberFormat="1" applyFont="1" applyBorder="1"/>
    <xf numFmtId="166" fontId="6" fillId="0" borderId="17" xfId="30" applyNumberFormat="1" applyFont="1" applyBorder="1"/>
    <xf numFmtId="168" fontId="50" fillId="0" borderId="24" xfId="30" applyNumberFormat="1" applyFont="1" applyBorder="1"/>
    <xf numFmtId="9" fontId="6" fillId="0" borderId="24" xfId="30" applyNumberFormat="1" applyFont="1" applyBorder="1"/>
    <xf numFmtId="9" fontId="6" fillId="0" borderId="17" xfId="30" applyNumberFormat="1" applyFont="1" applyBorder="1"/>
    <xf numFmtId="37" fontId="26" fillId="0" borderId="24" xfId="0" applyFont="1" applyFill="1" applyBorder="1" applyAlignment="1">
      <alignment horizontal="right"/>
    </xf>
    <xf numFmtId="37" fontId="26" fillId="0" borderId="17" xfId="0" applyFont="1" applyFill="1" applyBorder="1" applyAlignment="1">
      <alignment horizontal="right"/>
    </xf>
    <xf numFmtId="37" fontId="45" fillId="0" borderId="24" xfId="29" quotePrefix="1" applyNumberFormat="1" applyFont="1" applyBorder="1" applyAlignment="1" applyProtection="1"/>
    <xf numFmtId="37" fontId="45" fillId="0" borderId="17" xfId="29" quotePrefix="1" applyNumberFormat="1" applyFont="1" applyBorder="1" applyAlignment="1" applyProtection="1"/>
    <xf numFmtId="7" fontId="6" fillId="0" borderId="24" xfId="30" applyNumberFormat="1" applyFont="1" applyBorder="1"/>
    <xf numFmtId="7" fontId="6" fillId="0" borderId="0" xfId="30" applyNumberFormat="1" applyFont="1" applyBorder="1"/>
    <xf numFmtId="7" fontId="6" fillId="0" borderId="17" xfId="30" applyNumberFormat="1" applyFont="1" applyBorder="1"/>
    <xf numFmtId="37" fontId="64" fillId="0" borderId="24" xfId="29" applyNumberFormat="1" applyFont="1" applyBorder="1"/>
    <xf numFmtId="37" fontId="64" fillId="0" borderId="17" xfId="29" applyNumberFormat="1" applyFont="1" applyBorder="1"/>
    <xf numFmtId="37" fontId="64" fillId="0" borderId="24" xfId="0" applyFont="1" applyBorder="1"/>
    <xf numFmtId="37" fontId="64" fillId="0" borderId="17" xfId="0" applyFont="1" applyBorder="1"/>
    <xf numFmtId="37" fontId="61" fillId="0" borderId="24" xfId="0" applyFont="1" applyBorder="1"/>
    <xf numFmtId="37" fontId="61" fillId="0" borderId="17" xfId="0" applyFont="1" applyBorder="1"/>
    <xf numFmtId="165" fontId="64" fillId="0" borderId="24" xfId="50" applyFont="1" applyBorder="1"/>
    <xf numFmtId="165" fontId="64" fillId="0" borderId="17" xfId="50" applyFont="1" applyBorder="1"/>
    <xf numFmtId="7" fontId="64" fillId="0" borderId="24" xfId="30" applyNumberFormat="1" applyFont="1" applyBorder="1"/>
    <xf numFmtId="7" fontId="64" fillId="0" borderId="17" xfId="30" applyNumberFormat="1" applyFont="1" applyBorder="1"/>
    <xf numFmtId="39" fontId="61" fillId="0" borderId="24" xfId="0" applyNumberFormat="1" applyFont="1" applyBorder="1"/>
    <xf numFmtId="39" fontId="61" fillId="0" borderId="17" xfId="0" applyNumberFormat="1" applyFont="1" applyBorder="1"/>
    <xf numFmtId="166" fontId="61" fillId="6" borderId="24" xfId="0" applyNumberFormat="1" applyFont="1" applyFill="1" applyBorder="1" applyAlignment="1" applyProtection="1">
      <alignment horizontal="right"/>
    </xf>
    <xf numFmtId="166" fontId="61" fillId="6" borderId="17" xfId="0" applyNumberFormat="1" applyFont="1" applyFill="1" applyBorder="1" applyAlignment="1" applyProtection="1">
      <alignment horizontal="right"/>
    </xf>
    <xf numFmtId="168" fontId="61" fillId="0" borderId="24" xfId="30" applyNumberFormat="1" applyFont="1" applyBorder="1"/>
    <xf numFmtId="168" fontId="61" fillId="0" borderId="0" xfId="30" applyNumberFormat="1" applyFont="1" applyBorder="1"/>
    <xf numFmtId="168" fontId="61" fillId="0" borderId="17" xfId="30" applyNumberFormat="1" applyFont="1" applyBorder="1"/>
    <xf numFmtId="166" fontId="61" fillId="0" borderId="24" xfId="0" applyNumberFormat="1" applyFont="1" applyBorder="1"/>
    <xf numFmtId="166" fontId="61" fillId="0" borderId="17" xfId="0" applyNumberFormat="1" applyFont="1" applyBorder="1"/>
    <xf numFmtId="9" fontId="26" fillId="0" borderId="24" xfId="30" applyNumberFormat="1" applyFont="1" applyBorder="1"/>
    <xf numFmtId="37" fontId="26" fillId="0" borderId="24" xfId="0" applyFont="1" applyBorder="1" applyAlignment="1">
      <alignment horizontal="right"/>
    </xf>
    <xf numFmtId="165" fontId="26" fillId="0" borderId="24" xfId="30" applyNumberFormat="1" applyFont="1" applyBorder="1"/>
    <xf numFmtId="168" fontId="6" fillId="0" borderId="24" xfId="30" applyNumberFormat="1" applyFont="1" applyFill="1" applyBorder="1"/>
    <xf numFmtId="39" fontId="50" fillId="0" borderId="24" xfId="30" applyNumberFormat="1" applyFont="1" applyBorder="1"/>
    <xf numFmtId="9" fontId="6" fillId="0" borderId="24" xfId="0" applyNumberFormat="1" applyFont="1" applyBorder="1"/>
    <xf numFmtId="37" fontId="0" fillId="0" borderId="24" xfId="0" applyBorder="1"/>
    <xf numFmtId="37" fontId="0" fillId="0" borderId="17" xfId="0" applyBorder="1"/>
    <xf numFmtId="183" fontId="26" fillId="0" borderId="14" xfId="29" quotePrefix="1" applyNumberFormat="1" applyFont="1" applyFill="1" applyBorder="1" applyAlignment="1" applyProtection="1"/>
    <xf numFmtId="183" fontId="26" fillId="0" borderId="16" xfId="29" quotePrefix="1" applyNumberFormat="1" applyFont="1" applyFill="1" applyBorder="1" applyAlignment="1" applyProtection="1"/>
    <xf numFmtId="183" fontId="26" fillId="0" borderId="15" xfId="29" quotePrefix="1" applyNumberFormat="1" applyFont="1" applyFill="1" applyBorder="1" applyAlignment="1" applyProtection="1"/>
    <xf numFmtId="165" fontId="42" fillId="0" borderId="17" xfId="50" quotePrefix="1" applyNumberFormat="1" applyFont="1" applyFill="1" applyBorder="1" applyAlignment="1" applyProtection="1"/>
    <xf numFmtId="165" fontId="87" fillId="0" borderId="24" xfId="50" quotePrefix="1" applyFont="1" applyFill="1" applyBorder="1" applyAlignment="1" applyProtection="1"/>
    <xf numFmtId="165" fontId="87" fillId="0" borderId="0" xfId="50" quotePrefix="1" applyFont="1" applyFill="1" applyBorder="1" applyAlignment="1" applyProtection="1"/>
    <xf numFmtId="165" fontId="87" fillId="0" borderId="17" xfId="50" quotePrefix="1" applyFont="1" applyFill="1" applyBorder="1" applyAlignment="1" applyProtection="1"/>
    <xf numFmtId="165" fontId="57" fillId="0" borderId="17" xfId="50" applyFont="1" applyFill="1" applyBorder="1" applyAlignment="1" applyProtection="1"/>
    <xf numFmtId="41" fontId="45" fillId="0" borderId="24" xfId="29" quotePrefix="1" applyNumberFormat="1" applyFont="1" applyFill="1" applyBorder="1" applyAlignment="1" applyProtection="1"/>
    <xf numFmtId="41" fontId="45" fillId="0" borderId="17" xfId="29" quotePrefix="1" applyNumberFormat="1" applyFont="1" applyFill="1" applyBorder="1" applyAlignment="1" applyProtection="1"/>
    <xf numFmtId="185" fontId="26" fillId="0" borderId="24" xfId="29" quotePrefix="1" applyNumberFormat="1" applyFont="1" applyFill="1" applyBorder="1" applyAlignment="1" applyProtection="1"/>
    <xf numFmtId="185" fontId="26" fillId="0" borderId="17" xfId="29" quotePrefix="1" applyNumberFormat="1" applyFont="1" applyFill="1" applyBorder="1" applyAlignment="1" applyProtection="1"/>
    <xf numFmtId="183" fontId="1" fillId="0" borderId="24" xfId="29" quotePrefix="1" applyNumberFormat="1" applyFont="1" applyFill="1" applyBorder="1" applyAlignment="1" applyProtection="1"/>
    <xf numFmtId="183" fontId="8" fillId="0" borderId="12" xfId="29" quotePrefix="1" applyNumberFormat="1" applyFont="1" applyFill="1" applyBorder="1" applyAlignment="1" applyProtection="1"/>
    <xf numFmtId="1" fontId="8" fillId="0" borderId="9" xfId="0" applyNumberFormat="1" applyFont="1" applyFill="1" applyBorder="1" applyAlignment="1" applyProtection="1">
      <alignment horizontal="right"/>
    </xf>
    <xf numFmtId="1" fontId="8" fillId="0" borderId="12" xfId="0" applyNumberFormat="1" applyFont="1" applyFill="1" applyBorder="1" applyAlignment="1" applyProtection="1">
      <alignment horizontal="right"/>
    </xf>
    <xf numFmtId="183" fontId="50" fillId="0" borderId="24" xfId="29" applyNumberFormat="1" applyFont="1" applyFill="1" applyBorder="1" applyAlignment="1" applyProtection="1"/>
    <xf numFmtId="183" fontId="50" fillId="0" borderId="0" xfId="29" applyNumberFormat="1" applyFont="1" applyFill="1" applyBorder="1" applyAlignment="1" applyProtection="1"/>
    <xf numFmtId="183" fontId="50" fillId="0" borderId="17" xfId="29" applyNumberFormat="1" applyFont="1" applyFill="1" applyBorder="1" applyAlignment="1" applyProtection="1"/>
    <xf numFmtId="166" fontId="45" fillId="4" borderId="24" xfId="29" quotePrefix="1" applyNumberFormat="1" applyFont="1" applyFill="1" applyBorder="1" applyAlignment="1" applyProtection="1"/>
    <xf numFmtId="166" fontId="45" fillId="4" borderId="17" xfId="29" quotePrefix="1" applyNumberFormat="1" applyFont="1" applyFill="1" applyBorder="1" applyAlignment="1" applyProtection="1"/>
    <xf numFmtId="166" fontId="45" fillId="0" borderId="24" xfId="29" quotePrefix="1" applyNumberFormat="1" applyFont="1" applyFill="1" applyBorder="1" applyAlignment="1" applyProtection="1"/>
    <xf numFmtId="166" fontId="45" fillId="0" borderId="17" xfId="29" quotePrefix="1" applyNumberFormat="1" applyFont="1" applyFill="1" applyBorder="1" applyAlignment="1" applyProtection="1"/>
    <xf numFmtId="166" fontId="26" fillId="4" borderId="24" xfId="29" quotePrefix="1" applyNumberFormat="1" applyFont="1" applyFill="1" applyBorder="1" applyAlignment="1" applyProtection="1"/>
    <xf numFmtId="166" fontId="26" fillId="4" borderId="17" xfId="29" quotePrefix="1" applyNumberFormat="1" applyFont="1" applyFill="1" applyBorder="1" applyAlignment="1" applyProtection="1"/>
    <xf numFmtId="166" fontId="26" fillId="0" borderId="24" xfId="29" quotePrefix="1" applyNumberFormat="1" applyFont="1" applyFill="1" applyBorder="1" applyAlignment="1" applyProtection="1"/>
    <xf numFmtId="166" fontId="26" fillId="0" borderId="17" xfId="29" quotePrefix="1" applyNumberFormat="1" applyFont="1" applyFill="1" applyBorder="1" applyAlignment="1" applyProtection="1"/>
    <xf numFmtId="168" fontId="1" fillId="0" borderId="24" xfId="29" quotePrefix="1" applyNumberFormat="1" applyFont="1" applyFill="1" applyBorder="1" applyAlignment="1" applyProtection="1"/>
    <xf numFmtId="168" fontId="1" fillId="0" borderId="17" xfId="29" quotePrefix="1" applyNumberFormat="1" applyFont="1" applyFill="1" applyBorder="1" applyAlignment="1" applyProtection="1"/>
    <xf numFmtId="165" fontId="77" fillId="0" borderId="0" xfId="29" quotePrefix="1" applyNumberFormat="1" applyFont="1" applyFill="1" applyBorder="1" applyAlignment="1" applyProtection="1"/>
    <xf numFmtId="165" fontId="26" fillId="0" borderId="17" xfId="29" quotePrefix="1" applyNumberFormat="1" applyFont="1" applyFill="1" applyBorder="1" applyAlignment="1" applyProtection="1"/>
    <xf numFmtId="165" fontId="84" fillId="0" borderId="0" xfId="50" quotePrefix="1" applyFont="1" applyFill="1" applyBorder="1" applyAlignment="1" applyProtection="1"/>
    <xf numFmtId="165" fontId="84" fillId="0" borderId="17" xfId="50" quotePrefix="1" applyFont="1" applyFill="1" applyBorder="1" applyAlignment="1" applyProtection="1"/>
    <xf numFmtId="183" fontId="1" fillId="0" borderId="24" xfId="30" quotePrefix="1" applyNumberFormat="1" applyFont="1" applyFill="1" applyBorder="1" applyAlignment="1" applyProtection="1"/>
    <xf numFmtId="183" fontId="1" fillId="0" borderId="17" xfId="30" quotePrefix="1" applyNumberFormat="1" applyFont="1" applyFill="1" applyBorder="1" applyAlignment="1" applyProtection="1"/>
    <xf numFmtId="183" fontId="8" fillId="0" borderId="22" xfId="30" quotePrefix="1" applyNumberFormat="1" applyFont="1" applyFill="1" applyBorder="1" applyAlignment="1" applyProtection="1"/>
    <xf numFmtId="10" fontId="26" fillId="0" borderId="0" xfId="50" applyNumberFormat="1" applyFont="1" applyFill="1" applyBorder="1"/>
    <xf numFmtId="165" fontId="26" fillId="0" borderId="0" xfId="50" applyFont="1" applyFill="1" applyBorder="1"/>
    <xf numFmtId="165" fontId="50" fillId="0" borderId="0" xfId="50" applyFont="1" applyFill="1" applyBorder="1"/>
    <xf numFmtId="168" fontId="26" fillId="0" borderId="0" xfId="30" applyNumberFormat="1" applyFont="1" applyFill="1" applyBorder="1"/>
    <xf numFmtId="2" fontId="26" fillId="0" borderId="24" xfId="29" quotePrefix="1" applyNumberFormat="1" applyFont="1" applyFill="1" applyBorder="1" applyAlignment="1" applyProtection="1"/>
    <xf numFmtId="2" fontId="26" fillId="0" borderId="17" xfId="29" quotePrefix="1" applyNumberFormat="1" applyFont="1" applyFill="1" applyBorder="1" applyAlignment="1" applyProtection="1"/>
    <xf numFmtId="183" fontId="1" fillId="0" borderId="17" xfId="30" applyNumberFormat="1" applyFont="1" applyFill="1" applyBorder="1" applyAlignment="1" applyProtection="1"/>
    <xf numFmtId="37" fontId="41" fillId="0" borderId="0" xfId="29" applyFont="1" applyFill="1" applyBorder="1" applyProtection="1"/>
    <xf numFmtId="166" fontId="1" fillId="0" borderId="17" xfId="29" quotePrefix="1" applyNumberFormat="1" applyFont="1" applyFill="1" applyBorder="1" applyAlignment="1" applyProtection="1"/>
    <xf numFmtId="9" fontId="26" fillId="0" borderId="24" xfId="29" quotePrefix="1" applyNumberFormat="1" applyFont="1" applyFill="1" applyBorder="1" applyAlignment="1" applyProtection="1"/>
    <xf numFmtId="9" fontId="26" fillId="0" borderId="17" xfId="29" quotePrefix="1" applyNumberFormat="1" applyFont="1" applyFill="1" applyBorder="1" applyAlignment="1" applyProtection="1"/>
    <xf numFmtId="166" fontId="8" fillId="0" borderId="9" xfId="29" quotePrefix="1" applyNumberFormat="1" applyFont="1" applyFill="1" applyBorder="1" applyAlignment="1" applyProtection="1"/>
    <xf numFmtId="166" fontId="8" fillId="0" borderId="12" xfId="29" quotePrefix="1" applyNumberFormat="1" applyFont="1" applyFill="1" applyBorder="1" applyAlignment="1" applyProtection="1"/>
    <xf numFmtId="165" fontId="6" fillId="0" borderId="24" xfId="50" quotePrefix="1" applyNumberFormat="1" applyFont="1" applyFill="1" applyBorder="1" applyAlignment="1" applyProtection="1"/>
    <xf numFmtId="183" fontId="77" fillId="0" borderId="24" xfId="30" applyNumberFormat="1" applyFont="1" applyFill="1" applyBorder="1" applyProtection="1"/>
    <xf numFmtId="183" fontId="77" fillId="0" borderId="17" xfId="30" applyNumberFormat="1" applyFont="1" applyFill="1" applyBorder="1" applyProtection="1"/>
    <xf numFmtId="183" fontId="26" fillId="0" borderId="17" xfId="30" applyNumberFormat="1" applyFont="1" applyFill="1" applyBorder="1" applyProtection="1"/>
    <xf numFmtId="165" fontId="26" fillId="0" borderId="17" xfId="50" quotePrefix="1" applyNumberFormat="1" applyFont="1" applyFill="1" applyBorder="1" applyAlignment="1" applyProtection="1"/>
    <xf numFmtId="9" fontId="42" fillId="0" borderId="24" xfId="50" quotePrefix="1" applyNumberFormat="1" applyFont="1" applyFill="1" applyBorder="1" applyAlignment="1" applyProtection="1"/>
    <xf numFmtId="9" fontId="42" fillId="0" borderId="17" xfId="50" quotePrefix="1" applyNumberFormat="1" applyFont="1" applyFill="1" applyBorder="1" applyAlignment="1" applyProtection="1"/>
    <xf numFmtId="183" fontId="50" fillId="0" borderId="24" xfId="30" applyNumberFormat="1" applyFont="1" applyFill="1" applyBorder="1" applyAlignment="1" applyProtection="1"/>
    <xf numFmtId="183" fontId="50" fillId="0" borderId="0" xfId="30" applyNumberFormat="1" applyFont="1" applyFill="1" applyBorder="1" applyAlignment="1" applyProtection="1"/>
    <xf numFmtId="183" fontId="50" fillId="0" borderId="17" xfId="30" applyNumberFormat="1" applyFont="1" applyFill="1" applyBorder="1" applyAlignment="1" applyProtection="1"/>
    <xf numFmtId="183" fontId="77" fillId="0" borderId="24" xfId="30" quotePrefix="1" applyNumberFormat="1" applyFont="1" applyFill="1" applyBorder="1" applyAlignment="1" applyProtection="1"/>
    <xf numFmtId="183" fontId="77" fillId="0" borderId="17" xfId="30" quotePrefix="1" applyNumberFormat="1" applyFont="1" applyFill="1" applyBorder="1" applyAlignment="1" applyProtection="1"/>
    <xf numFmtId="183" fontId="41" fillId="0" borderId="24" xfId="30" quotePrefix="1" applyNumberFormat="1" applyFont="1" applyFill="1" applyBorder="1" applyAlignment="1" applyProtection="1">
      <alignment horizontal="right"/>
    </xf>
    <xf numFmtId="175" fontId="6" fillId="0" borderId="24" xfId="50" quotePrefix="1" applyNumberFormat="1" applyFont="1" applyFill="1" applyBorder="1" applyAlignment="1" applyProtection="1"/>
    <xf numFmtId="183" fontId="6" fillId="0" borderId="23" xfId="30" quotePrefix="1" applyNumberFormat="1" applyFont="1" applyFill="1" applyBorder="1" applyAlignment="1" applyProtection="1"/>
    <xf numFmtId="37" fontId="6" fillId="0" borderId="14" xfId="29" quotePrefix="1" applyFont="1" applyFill="1" applyBorder="1" applyAlignment="1" applyProtection="1"/>
    <xf numFmtId="37" fontId="6" fillId="0" borderId="16" xfId="29" quotePrefix="1" applyFont="1" applyFill="1" applyBorder="1" applyAlignment="1" applyProtection="1"/>
    <xf numFmtId="37" fontId="6" fillId="0" borderId="15" xfId="29" quotePrefix="1" applyFont="1" applyFill="1" applyBorder="1" applyAlignment="1" applyProtection="1"/>
    <xf numFmtId="165" fontId="6" fillId="0" borderId="24" xfId="50" applyNumberFormat="1" applyFont="1" applyFill="1" applyBorder="1" applyAlignment="1" applyProtection="1">
      <alignment horizontal="right"/>
    </xf>
    <xf numFmtId="165" fontId="6" fillId="0" borderId="24" xfId="50" quotePrefix="1" applyFont="1" applyFill="1" applyBorder="1" applyAlignment="1" applyProtection="1">
      <alignment horizontal="right"/>
    </xf>
    <xf numFmtId="164" fontId="8" fillId="0" borderId="12" xfId="0" applyNumberFormat="1" applyFont="1" applyFill="1" applyBorder="1" applyAlignment="1" applyProtection="1">
      <alignment horizontal="right"/>
    </xf>
    <xf numFmtId="5" fontId="26" fillId="0" borderId="17" xfId="30" quotePrefix="1" applyFont="1" applyFill="1" applyBorder="1" applyAlignment="1" applyProtection="1"/>
    <xf numFmtId="168" fontId="43" fillId="0" borderId="24" xfId="30" applyNumberFormat="1" applyFont="1" applyFill="1" applyBorder="1" applyProtection="1"/>
    <xf numFmtId="168" fontId="43" fillId="0" borderId="17" xfId="30" applyNumberFormat="1" applyFont="1" applyFill="1" applyBorder="1" applyProtection="1"/>
    <xf numFmtId="164" fontId="43" fillId="0" borderId="9" xfId="0" applyNumberFormat="1" applyFont="1" applyFill="1" applyBorder="1" applyAlignment="1" applyProtection="1">
      <alignment horizontal="right"/>
    </xf>
    <xf numFmtId="164" fontId="43" fillId="0" borderId="12" xfId="0" applyNumberFormat="1" applyFont="1" applyFill="1" applyBorder="1" applyAlignment="1" applyProtection="1">
      <alignment horizontal="right"/>
    </xf>
    <xf numFmtId="37" fontId="26" fillId="0" borderId="24" xfId="0" applyNumberFormat="1" applyFont="1" applyFill="1" applyBorder="1" applyAlignment="1" applyProtection="1">
      <alignment horizontal="right"/>
    </xf>
    <xf numFmtId="37" fontId="26" fillId="0" borderId="17" xfId="0" applyNumberFormat="1" applyFont="1" applyFill="1" applyBorder="1" applyAlignment="1" applyProtection="1">
      <alignment horizontal="right"/>
    </xf>
    <xf numFmtId="168" fontId="43" fillId="0" borderId="24" xfId="0" applyNumberFormat="1" applyFont="1" applyFill="1" applyBorder="1" applyAlignment="1" applyProtection="1">
      <alignment horizontal="right"/>
    </xf>
    <xf numFmtId="168" fontId="43" fillId="0" borderId="17" xfId="0" applyNumberFormat="1" applyFont="1" applyFill="1" applyBorder="1" applyAlignment="1" applyProtection="1">
      <alignment horizontal="right"/>
    </xf>
    <xf numFmtId="165" fontId="42" fillId="0" borderId="17" xfId="50" applyFont="1" applyFill="1" applyBorder="1" applyAlignment="1" applyProtection="1">
      <alignment horizontal="right"/>
    </xf>
    <xf numFmtId="168" fontId="43" fillId="0" borderId="24" xfId="30" quotePrefix="1" applyNumberFormat="1" applyFont="1" applyFill="1" applyBorder="1" applyAlignment="1" applyProtection="1"/>
    <xf numFmtId="168" fontId="43" fillId="0" borderId="17" xfId="30" quotePrefix="1" applyNumberFormat="1" applyFont="1" applyFill="1" applyBorder="1" applyAlignment="1" applyProtection="1"/>
    <xf numFmtId="1" fontId="8" fillId="0" borderId="14" xfId="30" applyNumberFormat="1" applyFont="1" applyFill="1" applyBorder="1" applyAlignment="1" applyProtection="1">
      <alignment horizontal="right"/>
    </xf>
    <xf numFmtId="1" fontId="8" fillId="0" borderId="16" xfId="30" applyNumberFormat="1" applyFont="1" applyFill="1" applyBorder="1" applyAlignment="1" applyProtection="1">
      <alignment horizontal="right"/>
    </xf>
    <xf numFmtId="37" fontId="41" fillId="0" borderId="24" xfId="29" applyFont="1" applyFill="1" applyBorder="1" applyProtection="1"/>
    <xf numFmtId="166" fontId="26" fillId="0" borderId="14" xfId="50" applyNumberFormat="1" applyFont="1" applyFill="1" applyBorder="1" applyProtection="1">
      <protection locked="0"/>
    </xf>
    <xf numFmtId="166" fontId="26" fillId="0" borderId="16" xfId="50" applyNumberFormat="1" applyFont="1" applyFill="1" applyBorder="1" applyProtection="1">
      <protection locked="0"/>
    </xf>
    <xf numFmtId="166" fontId="26" fillId="0" borderId="15" xfId="50" applyNumberFormat="1" applyFont="1" applyFill="1" applyBorder="1" applyProtection="1">
      <protection locked="0"/>
    </xf>
    <xf numFmtId="183" fontId="77" fillId="0" borderId="24" xfId="29" quotePrefix="1" applyNumberFormat="1" applyFont="1" applyFill="1" applyBorder="1" applyAlignment="1" applyProtection="1"/>
    <xf numFmtId="183" fontId="6" fillId="0" borderId="24" xfId="30" applyNumberFormat="1" applyFont="1" applyFill="1" applyBorder="1" applyProtection="1">
      <protection locked="0"/>
    </xf>
    <xf numFmtId="183" fontId="1" fillId="0" borderId="24" xfId="29" applyNumberFormat="1" applyFont="1" applyFill="1" applyBorder="1" applyProtection="1">
      <protection locked="0"/>
    </xf>
    <xf numFmtId="183" fontId="1" fillId="0" borderId="0" xfId="29" applyNumberFormat="1" applyFont="1" applyFill="1" applyBorder="1" applyProtection="1">
      <protection locked="0"/>
    </xf>
    <xf numFmtId="183" fontId="1" fillId="0" borderId="17" xfId="29" applyNumberFormat="1" applyFont="1" applyFill="1" applyBorder="1" applyProtection="1">
      <protection locked="0"/>
    </xf>
    <xf numFmtId="166" fontId="26" fillId="0" borderId="17" xfId="29" applyNumberFormat="1" applyFont="1" applyFill="1" applyBorder="1" applyProtection="1">
      <protection locked="0"/>
    </xf>
    <xf numFmtId="165" fontId="26" fillId="0" borderId="17" xfId="50" applyFont="1" applyFill="1" applyBorder="1" applyAlignment="1" applyProtection="1"/>
    <xf numFmtId="37" fontId="26" fillId="0" borderId="24" xfId="0" applyNumberFormat="1" applyFont="1" applyFill="1" applyBorder="1" applyProtection="1">
      <protection locked="0"/>
    </xf>
    <xf numFmtId="37" fontId="26" fillId="0" borderId="17" xfId="0" applyNumberFormat="1" applyFont="1" applyFill="1" applyBorder="1" applyProtection="1">
      <protection locked="0"/>
    </xf>
    <xf numFmtId="168" fontId="6" fillId="0" borderId="24" xfId="50" applyNumberFormat="1" applyFont="1" applyFill="1" applyBorder="1" applyAlignment="1" applyProtection="1"/>
    <xf numFmtId="166" fontId="6" fillId="0" borderId="24" xfId="50" applyNumberFormat="1" applyFont="1" applyFill="1" applyBorder="1" applyAlignment="1" applyProtection="1"/>
    <xf numFmtId="168" fontId="6" fillId="0" borderId="17" xfId="50" applyNumberFormat="1" applyFont="1" applyFill="1" applyBorder="1" applyAlignment="1" applyProtection="1">
      <alignment horizontal="right"/>
    </xf>
    <xf numFmtId="185" fontId="6" fillId="0" borderId="24" xfId="0" applyNumberFormat="1" applyFont="1" applyFill="1" applyBorder="1" applyAlignment="1" applyProtection="1">
      <alignment horizontal="right"/>
    </xf>
    <xf numFmtId="39" fontId="6" fillId="0" borderId="24" xfId="0" applyNumberFormat="1" applyFont="1" applyFill="1" applyBorder="1" applyAlignment="1" applyProtection="1">
      <alignment horizontal="right"/>
    </xf>
    <xf numFmtId="175" fontId="26" fillId="0" borderId="24" xfId="0" applyNumberFormat="1" applyFont="1" applyFill="1" applyBorder="1" applyAlignment="1" applyProtection="1">
      <alignment horizontal="right"/>
    </xf>
    <xf numFmtId="175" fontId="26" fillId="0" borderId="17" xfId="0" applyNumberFormat="1" applyFont="1" applyFill="1" applyBorder="1" applyAlignment="1" applyProtection="1">
      <alignment horizontal="right"/>
    </xf>
    <xf numFmtId="180" fontId="26" fillId="0" borderId="17" xfId="0" applyNumberFormat="1" applyFont="1" applyFill="1" applyBorder="1" applyAlignment="1" applyProtection="1">
      <alignment horizontal="right"/>
    </xf>
    <xf numFmtId="183" fontId="39" fillId="0" borderId="17" xfId="50" applyNumberFormat="1" applyFont="1" applyFill="1" applyBorder="1" applyProtection="1">
      <protection locked="0"/>
    </xf>
    <xf numFmtId="178" fontId="26" fillId="0" borderId="17" xfId="50" applyNumberFormat="1" applyFont="1" applyFill="1" applyBorder="1" applyProtection="1"/>
    <xf numFmtId="183" fontId="6" fillId="0" borderId="23" xfId="30" quotePrefix="1" applyNumberFormat="1" applyFont="1" applyFill="1" applyBorder="1" applyAlignment="1" applyProtection="1">
      <alignment horizontal="right"/>
    </xf>
    <xf numFmtId="183" fontId="6" fillId="0" borderId="21" xfId="30" quotePrefix="1" applyNumberFormat="1" applyFont="1" applyFill="1" applyBorder="1" applyAlignment="1" applyProtection="1">
      <alignment horizontal="right"/>
    </xf>
    <xf numFmtId="183" fontId="6" fillId="0" borderId="22" xfId="30" quotePrefix="1" applyNumberFormat="1" applyFont="1" applyFill="1" applyBorder="1" applyAlignment="1" applyProtection="1">
      <alignment horizontal="right"/>
    </xf>
    <xf numFmtId="168" fontId="8" fillId="4" borderId="23" xfId="30" applyNumberFormat="1" applyFont="1" applyFill="1" applyBorder="1"/>
    <xf numFmtId="7" fontId="26" fillId="0" borderId="17" xfId="30" quotePrefix="1" applyNumberFormat="1" applyFont="1" applyFill="1" applyBorder="1" applyAlignment="1" applyProtection="1">
      <alignment horizontal="right"/>
    </xf>
    <xf numFmtId="183" fontId="26" fillId="0" borderId="23" xfId="0" applyNumberFormat="1" applyFont="1" applyFill="1" applyBorder="1" applyProtection="1"/>
    <xf numFmtId="183" fontId="26" fillId="0" borderId="21" xfId="0" applyNumberFormat="1" applyFont="1" applyFill="1" applyBorder="1" applyProtection="1"/>
    <xf numFmtId="183" fontId="26" fillId="0" borderId="22" xfId="0" applyNumberFormat="1" applyFont="1" applyFill="1" applyBorder="1" applyProtection="1"/>
    <xf numFmtId="168" fontId="8" fillId="0" borderId="16" xfId="30" applyNumberFormat="1" applyFont="1" applyFill="1" applyBorder="1" applyProtection="1"/>
    <xf numFmtId="168" fontId="8" fillId="0" borderId="15" xfId="30" applyNumberFormat="1" applyFont="1" applyFill="1" applyBorder="1" applyProtection="1"/>
    <xf numFmtId="165" fontId="41" fillId="0" borderId="22" xfId="30" applyNumberFormat="1" applyFont="1" applyFill="1" applyBorder="1" applyProtection="1"/>
    <xf numFmtId="168" fontId="6" fillId="0" borderId="17" xfId="0" applyNumberFormat="1" applyFont="1" applyFill="1" applyBorder="1"/>
    <xf numFmtId="183" fontId="39" fillId="0" borderId="17" xfId="0" applyNumberFormat="1" applyFont="1" applyFill="1" applyBorder="1" applyAlignment="1" applyProtection="1">
      <alignment horizontal="right"/>
    </xf>
    <xf numFmtId="165" fontId="45" fillId="0" borderId="17" xfId="50" applyFont="1" applyFill="1" applyBorder="1" applyProtection="1"/>
    <xf numFmtId="165" fontId="8" fillId="0" borderId="17" xfId="50" applyFont="1" applyFill="1" applyBorder="1" applyProtection="1"/>
    <xf numFmtId="165" fontId="44" fillId="0" borderId="24" xfId="50" applyFont="1" applyFill="1" applyBorder="1" applyProtection="1"/>
    <xf numFmtId="165" fontId="44" fillId="0" borderId="0" xfId="50" applyFont="1" applyFill="1" applyBorder="1" applyProtection="1"/>
    <xf numFmtId="165" fontId="44" fillId="0" borderId="17" xfId="50" applyFont="1" applyFill="1" applyBorder="1" applyProtection="1"/>
    <xf numFmtId="165" fontId="44" fillId="0" borderId="17" xfId="29" applyNumberFormat="1" applyFont="1" applyFill="1" applyBorder="1" applyProtection="1"/>
    <xf numFmtId="164" fontId="26" fillId="0" borderId="14" xfId="0" applyNumberFormat="1" applyFont="1" applyFill="1" applyBorder="1" applyAlignment="1" applyProtection="1">
      <alignment horizontal="right"/>
    </xf>
    <xf numFmtId="164" fontId="26" fillId="0" borderId="15" xfId="0" applyNumberFormat="1" applyFont="1" applyFill="1" applyBorder="1" applyAlignment="1" applyProtection="1">
      <alignment horizontal="right"/>
    </xf>
    <xf numFmtId="9" fontId="26" fillId="0" borderId="23" xfId="0" applyNumberFormat="1" applyFont="1" applyFill="1" applyBorder="1" applyProtection="1"/>
    <xf numFmtId="9" fontId="26" fillId="0" borderId="22" xfId="0" applyNumberFormat="1" applyFont="1" applyFill="1" applyBorder="1" applyProtection="1"/>
    <xf numFmtId="183" fontId="26" fillId="0" borderId="17" xfId="29" applyNumberFormat="1" applyFont="1" applyFill="1" applyBorder="1" applyProtection="1"/>
    <xf numFmtId="183" fontId="26" fillId="0" borderId="17" xfId="0" applyNumberFormat="1" applyFont="1" applyFill="1" applyBorder="1"/>
    <xf numFmtId="183" fontId="26" fillId="0" borderId="17" xfId="30" applyNumberFormat="1" applyFont="1" applyFill="1" applyBorder="1"/>
    <xf numFmtId="37" fontId="26" fillId="0" borderId="14" xfId="0" applyFont="1" applyFill="1" applyBorder="1" applyProtection="1"/>
    <xf numFmtId="37" fontId="26" fillId="0" borderId="16" xfId="0" applyFont="1" applyFill="1" applyBorder="1" applyProtection="1"/>
    <xf numFmtId="37" fontId="26" fillId="0" borderId="15" xfId="0" applyFont="1" applyFill="1" applyBorder="1" applyProtection="1"/>
    <xf numFmtId="168" fontId="6" fillId="0" borderId="14" xfId="0" applyNumberFormat="1" applyFont="1" applyFill="1" applyBorder="1" applyAlignment="1" applyProtection="1">
      <alignment horizontal="right"/>
    </xf>
    <xf numFmtId="168" fontId="6" fillId="0" borderId="16" xfId="0" applyNumberFormat="1" applyFont="1" applyFill="1" applyBorder="1" applyAlignment="1" applyProtection="1">
      <alignment horizontal="right"/>
    </xf>
    <xf numFmtId="168" fontId="6" fillId="0" borderId="15" xfId="0" applyNumberFormat="1" applyFont="1" applyFill="1" applyBorder="1" applyAlignment="1" applyProtection="1">
      <alignment horizontal="right"/>
    </xf>
    <xf numFmtId="37" fontId="6" fillId="0" borderId="24" xfId="29" applyFont="1" applyFill="1" applyBorder="1" applyAlignment="1" applyProtection="1">
      <alignment horizontal="right"/>
    </xf>
    <xf numFmtId="189" fontId="6" fillId="0" borderId="24" xfId="29" applyNumberFormat="1" applyFont="1" applyFill="1" applyBorder="1" applyAlignment="1" applyProtection="1">
      <alignment horizontal="right"/>
    </xf>
    <xf numFmtId="37" fontId="18" fillId="0" borderId="23" xfId="0" applyFont="1" applyFill="1" applyBorder="1"/>
    <xf numFmtId="37" fontId="18" fillId="0" borderId="21" xfId="0" applyFont="1" applyFill="1" applyBorder="1"/>
    <xf numFmtId="37" fontId="18" fillId="0" borderId="22" xfId="0" applyFont="1" applyFill="1" applyBorder="1"/>
    <xf numFmtId="37" fontId="6" fillId="0" borderId="14" xfId="41" applyFont="1" applyFill="1" applyBorder="1"/>
    <xf numFmtId="37" fontId="6" fillId="0" borderId="16" xfId="41" applyFont="1" applyFill="1" applyBorder="1"/>
    <xf numFmtId="37" fontId="6" fillId="0" borderId="15" xfId="41" applyFont="1" applyFill="1" applyBorder="1"/>
    <xf numFmtId="9" fontId="41" fillId="0" borderId="24" xfId="52" applyFont="1" applyFill="1" applyBorder="1"/>
    <xf numFmtId="9" fontId="41" fillId="0" borderId="0" xfId="52" applyFont="1" applyFill="1" applyBorder="1"/>
    <xf numFmtId="9" fontId="41" fillId="0" borderId="17" xfId="52" applyFont="1" applyFill="1" applyBorder="1"/>
    <xf numFmtId="165" fontId="41" fillId="0" borderId="24" xfId="50" applyFont="1" applyFill="1" applyBorder="1"/>
    <xf numFmtId="165" fontId="41" fillId="0" borderId="17" xfId="50" applyFont="1" applyFill="1" applyBorder="1"/>
    <xf numFmtId="37" fontId="6" fillId="0" borderId="24" xfId="41" applyFont="1" applyFill="1" applyBorder="1"/>
    <xf numFmtId="37" fontId="6" fillId="0" borderId="0" xfId="41" applyFont="1" applyFill="1" applyBorder="1"/>
    <xf numFmtId="37" fontId="6" fillId="0" borderId="17" xfId="41" applyFont="1" applyFill="1" applyBorder="1"/>
    <xf numFmtId="7" fontId="6" fillId="0" borderId="24" xfId="41" applyNumberFormat="1" applyFont="1" applyFill="1" applyBorder="1"/>
    <xf numFmtId="7" fontId="6" fillId="0" borderId="0" xfId="41" applyNumberFormat="1" applyFont="1" applyFill="1" applyBorder="1"/>
    <xf numFmtId="7" fontId="6" fillId="0" borderId="17" xfId="41" applyNumberFormat="1" applyFont="1" applyFill="1" applyBorder="1"/>
    <xf numFmtId="37" fontId="6" fillId="0" borderId="23" xfId="41" applyFont="1" applyFill="1" applyBorder="1"/>
    <xf numFmtId="37" fontId="6" fillId="0" borderId="22" xfId="41" applyFont="1" applyFill="1" applyBorder="1"/>
    <xf numFmtId="177" fontId="6" fillId="0" borderId="24" xfId="41" applyNumberFormat="1" applyFont="1" applyBorder="1"/>
    <xf numFmtId="177" fontId="6" fillId="0" borderId="0" xfId="41" applyNumberFormat="1" applyFont="1" applyBorder="1"/>
    <xf numFmtId="177" fontId="6" fillId="0" borderId="17" xfId="41" applyNumberFormat="1" applyFont="1" applyBorder="1"/>
    <xf numFmtId="37" fontId="6" fillId="0" borderId="24" xfId="41" applyFont="1" applyBorder="1"/>
    <xf numFmtId="37" fontId="6" fillId="0" borderId="0" xfId="41" applyFont="1" applyBorder="1"/>
    <xf numFmtId="37" fontId="6" fillId="0" borderId="17" xfId="41" applyFont="1" applyBorder="1"/>
    <xf numFmtId="37" fontId="26" fillId="0" borderId="14" xfId="29" quotePrefix="1" applyFont="1" applyFill="1" applyBorder="1" applyAlignment="1" applyProtection="1"/>
    <xf numFmtId="37" fontId="26" fillId="0" borderId="16" xfId="29" quotePrefix="1" applyFont="1" applyFill="1" applyBorder="1" applyAlignment="1" applyProtection="1"/>
    <xf numFmtId="37" fontId="26" fillId="0" borderId="15" xfId="29" quotePrefix="1" applyFont="1" applyFill="1" applyBorder="1" applyAlignment="1" applyProtection="1"/>
    <xf numFmtId="5" fontId="26" fillId="0" borderId="21" xfId="30" applyFont="1" applyFill="1" applyBorder="1" applyProtection="1"/>
    <xf numFmtId="183" fontId="8" fillId="0" borderId="24" xfId="0" applyNumberFormat="1" applyFont="1" applyFill="1" applyBorder="1"/>
    <xf numFmtId="183" fontId="8" fillId="0" borderId="17" xfId="0" applyNumberFormat="1" applyFont="1" applyFill="1" applyBorder="1"/>
    <xf numFmtId="165" fontId="57" fillId="0" borderId="0" xfId="50" quotePrefix="1" applyNumberFormat="1" applyFont="1" applyFill="1" applyBorder="1" applyAlignment="1" applyProtection="1"/>
    <xf numFmtId="165" fontId="57" fillId="0" borderId="17" xfId="50" quotePrefix="1" applyNumberFormat="1" applyFont="1" applyFill="1" applyBorder="1" applyAlignment="1" applyProtection="1"/>
    <xf numFmtId="165" fontId="77" fillId="0" borderId="13" xfId="50" quotePrefix="1" applyFont="1" applyFill="1" applyBorder="1" applyAlignment="1" applyProtection="1"/>
    <xf numFmtId="165" fontId="26" fillId="0" borderId="17" xfId="50" applyFont="1" applyFill="1" applyBorder="1" applyAlignment="1" applyProtection="1">
      <alignment horizontal="right"/>
    </xf>
    <xf numFmtId="166" fontId="55" fillId="0" borderId="24" xfId="29" quotePrefix="1" applyNumberFormat="1" applyFont="1" applyFill="1" applyBorder="1" applyAlignment="1" applyProtection="1"/>
    <xf numFmtId="166" fontId="55" fillId="0" borderId="0" xfId="29" quotePrefix="1" applyNumberFormat="1" applyFont="1" applyFill="1" applyBorder="1" applyAlignment="1" applyProtection="1"/>
    <xf numFmtId="165" fontId="48" fillId="0" borderId="0" xfId="0" applyNumberFormat="1" applyFont="1" applyBorder="1" applyAlignment="1">
      <alignment horizontal="left"/>
    </xf>
    <xf numFmtId="183" fontId="113" fillId="0" borderId="24" xfId="30" applyNumberFormat="1" applyFont="1" applyFill="1" applyBorder="1" applyProtection="1"/>
    <xf numFmtId="183" fontId="113" fillId="0" borderId="0" xfId="30" applyNumberFormat="1" applyFont="1" applyFill="1" applyBorder="1" applyProtection="1"/>
    <xf numFmtId="183" fontId="1" fillId="0" borderId="24" xfId="30" applyNumberFormat="1" applyFont="1" applyFill="1" applyBorder="1" applyProtection="1"/>
    <xf numFmtId="183" fontId="1" fillId="0" borderId="0" xfId="30" applyNumberFormat="1" applyFont="1" applyFill="1" applyBorder="1" applyProtection="1"/>
    <xf numFmtId="4" fontId="6" fillId="0" borderId="0" xfId="50" quotePrefix="1" applyNumberFormat="1" applyFont="1" applyFill="1" applyBorder="1" applyAlignment="1" applyProtection="1"/>
    <xf numFmtId="183" fontId="1" fillId="0" borderId="13" xfId="29" applyNumberFormat="1" applyFont="1" applyFill="1" applyBorder="1"/>
    <xf numFmtId="166" fontId="6" fillId="3" borderId="13" xfId="0" applyNumberFormat="1" applyFont="1" applyFill="1" applyBorder="1" applyAlignment="1" applyProtection="1">
      <alignment horizontal="right"/>
    </xf>
    <xf numFmtId="166" fontId="6" fillId="3" borderId="0" xfId="0" applyNumberFormat="1" applyFont="1" applyFill="1" applyBorder="1" applyAlignment="1" applyProtection="1">
      <alignment horizontal="right"/>
    </xf>
    <xf numFmtId="166" fontId="6" fillId="3" borderId="17" xfId="0" applyNumberFormat="1" applyFont="1" applyFill="1" applyBorder="1" applyAlignment="1" applyProtection="1">
      <alignment horizontal="right"/>
    </xf>
    <xf numFmtId="166" fontId="39" fillId="3" borderId="0" xfId="0" applyNumberFormat="1" applyFont="1" applyFill="1" applyBorder="1" applyAlignment="1" applyProtection="1"/>
    <xf numFmtId="166" fontId="39" fillId="3" borderId="0" xfId="50" applyNumberFormat="1" applyFont="1" applyFill="1" applyBorder="1" applyAlignment="1" applyProtection="1"/>
    <xf numFmtId="166" fontId="6" fillId="3" borderId="24" xfId="0" applyNumberFormat="1" applyFont="1" applyFill="1" applyBorder="1" applyAlignment="1" applyProtection="1">
      <alignment horizontal="left"/>
    </xf>
    <xf numFmtId="166" fontId="39" fillId="3" borderId="0" xfId="50" applyNumberFormat="1" applyFont="1" applyFill="1" applyBorder="1" applyProtection="1"/>
    <xf numFmtId="166" fontId="39" fillId="3" borderId="0" xfId="0" applyNumberFormat="1" applyFont="1" applyFill="1" applyBorder="1" applyProtection="1"/>
    <xf numFmtId="166" fontId="39" fillId="3" borderId="0" xfId="0" applyNumberFormat="1" applyFont="1" applyFill="1" applyBorder="1"/>
    <xf numFmtId="37" fontId="0" fillId="3" borderId="0" xfId="0" applyFill="1"/>
    <xf numFmtId="183" fontId="113" fillId="0" borderId="19" xfId="30" applyNumberFormat="1" applyFont="1" applyFill="1" applyBorder="1"/>
    <xf numFmtId="168" fontId="1" fillId="0" borderId="13" xfId="50" applyNumberFormat="1" applyFont="1" applyFill="1" applyBorder="1" applyAlignment="1" applyProtection="1"/>
    <xf numFmtId="183" fontId="113" fillId="0" borderId="0" xfId="29" quotePrefix="1" applyNumberFormat="1" applyFont="1" applyFill="1" applyBorder="1" applyAlignment="1" applyProtection="1"/>
    <xf numFmtId="168" fontId="1" fillId="0" borderId="17" xfId="50" applyNumberFormat="1" applyFont="1" applyFill="1" applyBorder="1" applyAlignment="1" applyProtection="1"/>
    <xf numFmtId="168" fontId="1" fillId="0" borderId="0" xfId="50" applyNumberFormat="1" applyFont="1" applyFill="1" applyBorder="1" applyAlignment="1" applyProtection="1"/>
    <xf numFmtId="168" fontId="1" fillId="0" borderId="24" xfId="0" applyNumberFormat="1" applyFont="1" applyFill="1" applyBorder="1" applyAlignment="1">
      <alignment horizontal="left"/>
    </xf>
    <xf numFmtId="168" fontId="1" fillId="0" borderId="0" xfId="50" applyNumberFormat="1" applyFont="1" applyFill="1" applyBorder="1" applyAlignment="1" applyProtection="1">
      <alignment horizontal="right"/>
    </xf>
    <xf numFmtId="168" fontId="1" fillId="0" borderId="17" xfId="50" applyNumberFormat="1" applyFont="1" applyFill="1" applyBorder="1" applyAlignment="1" applyProtection="1">
      <alignment horizontal="right"/>
    </xf>
    <xf numFmtId="168" fontId="1" fillId="0" borderId="0" xfId="0" applyNumberFormat="1" applyFont="1" applyFill="1" applyBorder="1" applyProtection="1"/>
    <xf numFmtId="168" fontId="1" fillId="9" borderId="0" xfId="0" applyNumberFormat="1" applyFont="1" applyFill="1" applyBorder="1"/>
    <xf numFmtId="166" fontId="1" fillId="0" borderId="0" xfId="29" applyNumberFormat="1" applyFont="1" applyFill="1" applyBorder="1" applyAlignment="1" applyProtection="1">
      <alignment horizontal="left"/>
    </xf>
    <xf numFmtId="166" fontId="113" fillId="0" borderId="0" xfId="29" quotePrefix="1" applyNumberFormat="1" applyFont="1" applyFill="1" applyBorder="1" applyAlignment="1" applyProtection="1"/>
    <xf numFmtId="166" fontId="1" fillId="0" borderId="24" xfId="0" applyNumberFormat="1" applyFont="1" applyFill="1" applyBorder="1" applyAlignment="1" applyProtection="1">
      <alignment horizontal="left"/>
    </xf>
    <xf numFmtId="166" fontId="39" fillId="0" borderId="0" xfId="50" applyNumberFormat="1" applyFont="1" applyFill="1" applyBorder="1" applyAlignment="1" applyProtection="1"/>
    <xf numFmtId="166" fontId="6" fillId="0" borderId="24" xfId="0" applyNumberFormat="1" applyFont="1" applyFill="1" applyBorder="1" applyAlignment="1" applyProtection="1">
      <alignment horizontal="left"/>
    </xf>
    <xf numFmtId="166" fontId="6" fillId="0" borderId="24" xfId="44" applyNumberFormat="1" applyFont="1" applyFill="1" applyBorder="1" applyAlignment="1">
      <alignment horizontal="left"/>
    </xf>
    <xf numFmtId="37" fontId="1" fillId="0" borderId="0" xfId="0" quotePrefix="1" applyFont="1"/>
    <xf numFmtId="2" fontId="41" fillId="0" borderId="0" xfId="50" quotePrefix="1" applyNumberFormat="1" applyFont="1" applyFill="1" applyBorder="1" applyAlignment="1" applyProtection="1">
      <alignment horizontal="right" vertical="top"/>
    </xf>
    <xf numFmtId="2" fontId="41" fillId="0" borderId="13" xfId="50" quotePrefix="1" applyNumberFormat="1" applyFont="1" applyFill="1" applyBorder="1" applyAlignment="1" applyProtection="1">
      <alignment horizontal="right" vertical="top"/>
    </xf>
    <xf numFmtId="2" fontId="41" fillId="0" borderId="24" xfId="50" quotePrefix="1" applyNumberFormat="1" applyFont="1" applyFill="1" applyBorder="1" applyAlignment="1" applyProtection="1">
      <alignment horizontal="right" vertical="top"/>
    </xf>
    <xf numFmtId="2" fontId="41" fillId="0" borderId="17" xfId="50" quotePrefix="1" applyNumberFormat="1" applyFont="1" applyFill="1" applyBorder="1" applyAlignment="1" applyProtection="1">
      <alignment horizontal="right" vertical="top"/>
    </xf>
    <xf numFmtId="37" fontId="114" fillId="0" borderId="0" xfId="41" applyFont="1" applyFill="1"/>
    <xf numFmtId="37" fontId="1" fillId="0" borderId="24" xfId="0" applyFont="1" applyFill="1" applyBorder="1" applyAlignment="1" applyProtection="1">
      <alignment horizontal="left" indent="1"/>
    </xf>
    <xf numFmtId="183" fontId="114" fillId="0" borderId="24" xfId="30" applyNumberFormat="1" applyFont="1" applyFill="1" applyBorder="1" applyProtection="1"/>
    <xf numFmtId="37" fontId="114" fillId="0" borderId="0" xfId="41" applyFont="1"/>
    <xf numFmtId="183" fontId="115" fillId="0" borderId="0" xfId="30" applyNumberFormat="1" applyFont="1" applyFill="1" applyBorder="1" applyProtection="1"/>
    <xf numFmtId="183" fontId="113" fillId="0" borderId="0" xfId="30" applyNumberFormat="1" applyFont="1" applyFill="1" applyBorder="1" applyAlignment="1" applyProtection="1"/>
    <xf numFmtId="165" fontId="55" fillId="0" borderId="21" xfId="50" quotePrefix="1" applyFont="1" applyFill="1" applyBorder="1" applyAlignment="1" applyProtection="1"/>
    <xf numFmtId="183" fontId="123" fillId="0" borderId="13" xfId="29" applyNumberFormat="1" applyFont="1" applyFill="1" applyBorder="1"/>
    <xf numFmtId="166" fontId="1" fillId="4" borderId="13" xfId="29" quotePrefix="1" applyNumberFormat="1" applyFont="1" applyFill="1" applyBorder="1" applyAlignment="1" applyProtection="1"/>
    <xf numFmtId="165" fontId="123" fillId="0" borderId="24" xfId="29" quotePrefix="1" applyNumberFormat="1" applyFont="1" applyFill="1" applyBorder="1" applyAlignment="1" applyProtection="1"/>
    <xf numFmtId="4" fontId="41" fillId="0" borderId="0" xfId="50" applyNumberFormat="1" applyFont="1" applyFill="1" applyBorder="1" applyProtection="1"/>
    <xf numFmtId="4" fontId="41" fillId="0" borderId="13" xfId="50" quotePrefix="1" applyNumberFormat="1" applyFont="1" applyFill="1" applyBorder="1" applyAlignment="1" applyProtection="1"/>
    <xf numFmtId="39" fontId="124" fillId="0" borderId="0" xfId="0" applyNumberFormat="1" applyFont="1"/>
    <xf numFmtId="193" fontId="18" fillId="0" borderId="0" xfId="0" applyNumberFormat="1" applyFont="1"/>
    <xf numFmtId="165" fontId="43" fillId="4" borderId="25" xfId="50" applyFont="1" applyFill="1" applyBorder="1"/>
    <xf numFmtId="37" fontId="1" fillId="4" borderId="23" xfId="0" applyFont="1" applyFill="1" applyBorder="1" applyAlignment="1" applyProtection="1">
      <alignment horizontal="left"/>
    </xf>
    <xf numFmtId="183" fontId="125" fillId="4" borderId="10" xfId="29" quotePrefix="1" applyNumberFormat="1" applyFont="1" applyFill="1" applyBorder="1" applyAlignment="1" applyProtection="1"/>
    <xf numFmtId="166" fontId="123" fillId="0" borderId="0" xfId="29" quotePrefix="1" applyNumberFormat="1" applyFont="1" applyFill="1" applyBorder="1" applyAlignment="1" applyProtection="1"/>
    <xf numFmtId="7" fontId="26" fillId="0" borderId="0" xfId="30" quotePrefix="1" applyNumberFormat="1" applyFont="1" applyFill="1" applyBorder="1" applyAlignment="1" applyProtection="1"/>
    <xf numFmtId="183" fontId="123" fillId="0" borderId="0" xfId="29" quotePrefix="1" applyNumberFormat="1" applyFont="1" applyFill="1" applyBorder="1" applyAlignment="1" applyProtection="1"/>
    <xf numFmtId="183" fontId="123" fillId="0" borderId="24" xfId="29" quotePrefix="1" applyNumberFormat="1" applyFont="1" applyFill="1" applyBorder="1" applyAlignment="1" applyProtection="1"/>
    <xf numFmtId="183" fontId="126" fillId="0" borderId="0" xfId="30" applyNumberFormat="1" applyFont="1" applyFill="1" applyBorder="1" applyProtection="1"/>
    <xf numFmtId="183" fontId="123" fillId="0" borderId="24" xfId="30" applyNumberFormat="1" applyFont="1" applyFill="1" applyBorder="1" applyProtection="1"/>
    <xf numFmtId="183" fontId="1" fillId="0" borderId="13" xfId="30" applyNumberFormat="1" applyFont="1" applyFill="1" applyBorder="1" applyProtection="1"/>
    <xf numFmtId="183" fontId="126" fillId="0" borderId="13" xfId="30" applyNumberFormat="1" applyFont="1" applyFill="1" applyBorder="1" applyProtection="1"/>
    <xf numFmtId="165" fontId="127" fillId="0" borderId="0" xfId="50" applyFont="1" applyFill="1" applyBorder="1" applyProtection="1"/>
    <xf numFmtId="165" fontId="127" fillId="0" borderId="0" xfId="50" applyFont="1" applyFill="1" applyBorder="1" applyAlignment="1" applyProtection="1"/>
    <xf numFmtId="183" fontId="126" fillId="0" borderId="0" xfId="29" quotePrefix="1" applyNumberFormat="1" applyFont="1" applyFill="1" applyBorder="1" applyAlignment="1" applyProtection="1"/>
    <xf numFmtId="166" fontId="123" fillId="0" borderId="24" xfId="0" applyNumberFormat="1" applyFont="1" applyFill="1" applyBorder="1" applyAlignment="1" applyProtection="1">
      <alignment horizontal="right"/>
    </xf>
    <xf numFmtId="37" fontId="123" fillId="0" borderId="24" xfId="29" applyNumberFormat="1" applyFont="1" applyFill="1" applyBorder="1" applyProtection="1"/>
    <xf numFmtId="41" fontId="123" fillId="0" borderId="24" xfId="29" quotePrefix="1" applyNumberFormat="1" applyFont="1" applyFill="1" applyBorder="1" applyAlignment="1" applyProtection="1"/>
    <xf numFmtId="183" fontId="123" fillId="0" borderId="24" xfId="30" applyNumberFormat="1" applyFont="1" applyFill="1" applyBorder="1" applyAlignment="1" applyProtection="1">
      <alignment horizontal="right"/>
    </xf>
    <xf numFmtId="183" fontId="123" fillId="0" borderId="24" xfId="30" applyNumberFormat="1" applyFont="1" applyFill="1" applyBorder="1" applyAlignment="1" applyProtection="1"/>
    <xf numFmtId="166" fontId="123" fillId="4" borderId="24" xfId="29" quotePrefix="1" applyNumberFormat="1" applyFont="1" applyFill="1" applyBorder="1" applyAlignment="1" applyProtection="1"/>
    <xf numFmtId="167" fontId="41" fillId="12" borderId="0" xfId="0" applyNumberFormat="1" applyFont="1" applyFill="1" applyBorder="1" applyAlignment="1" applyProtection="1">
      <alignment horizontal="left"/>
    </xf>
    <xf numFmtId="167" fontId="41" fillId="12" borderId="0" xfId="0" applyNumberFormat="1" applyFont="1" applyFill="1" applyBorder="1" applyProtection="1"/>
    <xf numFmtId="167" fontId="6" fillId="9" borderId="0" xfId="0" applyNumberFormat="1" applyFont="1" applyFill="1" applyBorder="1"/>
    <xf numFmtId="168" fontId="8" fillId="0" borderId="13" xfId="30" quotePrefix="1" applyNumberFormat="1" applyFont="1" applyFill="1" applyBorder="1" applyAlignment="1" applyProtection="1"/>
    <xf numFmtId="168" fontId="44" fillId="0" borderId="0" xfId="50" quotePrefix="1" applyNumberFormat="1" applyFont="1" applyFill="1" applyBorder="1" applyAlignment="1" applyProtection="1"/>
    <xf numFmtId="168" fontId="44" fillId="0" borderId="0" xfId="29" quotePrefix="1" applyNumberFormat="1" applyFont="1" applyFill="1" applyBorder="1" applyAlignment="1" applyProtection="1"/>
    <xf numFmtId="3" fontId="26" fillId="0" borderId="13" xfId="30" applyNumberFormat="1" applyFont="1" applyFill="1" applyBorder="1" applyProtection="1"/>
    <xf numFmtId="4" fontId="26" fillId="0" borderId="0" xfId="0" applyNumberFormat="1" applyFont="1" applyFill="1" applyBorder="1" applyProtection="1"/>
    <xf numFmtId="3" fontId="26" fillId="0" borderId="0" xfId="0" applyNumberFormat="1" applyFont="1" applyFill="1" applyBorder="1" applyProtection="1"/>
    <xf numFmtId="183" fontId="26" fillId="0" borderId="21" xfId="30" applyNumberFormat="1" applyFont="1" applyFill="1" applyBorder="1" applyProtection="1"/>
    <xf numFmtId="183" fontId="108" fillId="0" borderId="21" xfId="30" applyNumberFormat="1" applyFont="1" applyFill="1" applyBorder="1" applyProtection="1"/>
    <xf numFmtId="183" fontId="123" fillId="0" borderId="0" xfId="29" applyNumberFormat="1" applyFont="1" applyFill="1" applyBorder="1" applyProtection="1"/>
    <xf numFmtId="183" fontId="1" fillId="0" borderId="13" xfId="0" applyNumberFormat="1" applyFont="1" applyFill="1" applyBorder="1"/>
    <xf numFmtId="4" fontId="6" fillId="0" borderId="0" xfId="50" applyNumberFormat="1" applyFont="1" applyFill="1" applyBorder="1" applyAlignment="1" applyProtection="1">
      <alignment horizontal="left"/>
    </xf>
    <xf numFmtId="37" fontId="1" fillId="0" borderId="24" xfId="29" applyFont="1" applyFill="1" applyBorder="1" applyAlignment="1" applyProtection="1">
      <alignment horizontal="left" indent="1"/>
    </xf>
    <xf numFmtId="166" fontId="123" fillId="0" borderId="0" xfId="0" applyNumberFormat="1" applyFont="1" applyFill="1" applyBorder="1" applyAlignment="1" applyProtection="1">
      <alignment horizontal="right"/>
    </xf>
    <xf numFmtId="165" fontId="128" fillId="0" borderId="0" xfId="50" applyFont="1" applyFill="1" applyBorder="1" applyAlignment="1" applyProtection="1">
      <alignment horizontal="right"/>
    </xf>
    <xf numFmtId="183" fontId="77" fillId="0" borderId="13" xfId="0" applyNumberFormat="1" applyFont="1" applyFill="1" applyBorder="1"/>
    <xf numFmtId="37" fontId="1" fillId="0" borderId="13" xfId="0" applyFont="1" applyBorder="1"/>
    <xf numFmtId="5" fontId="1" fillId="0" borderId="13" xfId="0" applyNumberFormat="1" applyFont="1" applyBorder="1"/>
    <xf numFmtId="37" fontId="1" fillId="0" borderId="13" xfId="0" applyNumberFormat="1" applyFont="1" applyBorder="1"/>
    <xf numFmtId="37" fontId="1" fillId="0" borderId="13" xfId="0" applyFont="1" applyBorder="1" applyAlignment="1">
      <alignment horizontal="right"/>
    </xf>
    <xf numFmtId="37" fontId="1" fillId="0" borderId="0" xfId="0" applyFont="1" applyBorder="1" applyAlignment="1">
      <alignment horizontal="left" indent="1"/>
    </xf>
    <xf numFmtId="165" fontId="1" fillId="0" borderId="13" xfId="51" applyFont="1" applyBorder="1"/>
    <xf numFmtId="165" fontId="1" fillId="0" borderId="0" xfId="51" applyFont="1" applyBorder="1"/>
    <xf numFmtId="37" fontId="1" fillId="0" borderId="19" xfId="0" applyFont="1" applyBorder="1"/>
    <xf numFmtId="37" fontId="0" fillId="0" borderId="13" xfId="0" applyBorder="1"/>
    <xf numFmtId="164" fontId="1" fillId="0" borderId="14" xfId="0" quotePrefix="1" applyNumberFormat="1" applyFont="1" applyBorder="1" applyAlignment="1" applyProtection="1">
      <alignment horizontal="right"/>
    </xf>
    <xf numFmtId="164" fontId="1" fillId="0" borderId="16" xfId="0" quotePrefix="1" applyNumberFormat="1" applyFont="1" applyBorder="1" applyAlignment="1" applyProtection="1">
      <alignment horizontal="right"/>
    </xf>
    <xf numFmtId="164" fontId="1" fillId="0" borderId="15" xfId="0" quotePrefix="1" applyNumberFormat="1" applyFont="1" applyBorder="1" applyAlignment="1" applyProtection="1">
      <alignment horizontal="right"/>
    </xf>
    <xf numFmtId="164" fontId="1" fillId="0" borderId="25" xfId="0" applyNumberFormat="1" applyFont="1" applyBorder="1" applyAlignment="1" applyProtection="1">
      <alignment horizontal="right"/>
    </xf>
    <xf numFmtId="37" fontId="1" fillId="0" borderId="0" xfId="29" applyNumberFormat="1" applyFont="1" applyFill="1" applyBorder="1" applyProtection="1"/>
    <xf numFmtId="37" fontId="1" fillId="0" borderId="17" xfId="29" applyNumberFormat="1" applyFont="1" applyFill="1" applyBorder="1" applyProtection="1"/>
    <xf numFmtId="166" fontId="1" fillId="4" borderId="17" xfId="29" quotePrefix="1" applyNumberFormat="1" applyFont="1" applyFill="1" applyBorder="1" applyAlignment="1" applyProtection="1"/>
    <xf numFmtId="165" fontId="50" fillId="13" borderId="0" xfId="50" applyFont="1" applyFill="1" applyBorder="1"/>
    <xf numFmtId="37" fontId="45" fillId="0" borderId="23" xfId="29" quotePrefix="1" applyFont="1" applyFill="1" applyBorder="1" applyAlignment="1" applyProtection="1"/>
    <xf numFmtId="39" fontId="61" fillId="0" borderId="24" xfId="0" applyNumberFormat="1" applyFont="1" applyFill="1" applyBorder="1"/>
    <xf numFmtId="166" fontId="61" fillId="0" borderId="24" xfId="0" applyNumberFormat="1" applyFont="1" applyFill="1" applyBorder="1"/>
    <xf numFmtId="183" fontId="126" fillId="0" borderId="17" xfId="29" applyNumberFormat="1" applyFont="1" applyFill="1" applyBorder="1" applyAlignment="1" applyProtection="1"/>
    <xf numFmtId="183" fontId="1" fillId="0" borderId="13" xfId="30" applyNumberFormat="1" applyFont="1" applyFill="1" applyBorder="1"/>
    <xf numFmtId="37" fontId="126" fillId="0" borderId="0" xfId="29" applyNumberFormat="1" applyFont="1" applyFill="1" applyBorder="1" applyProtection="1"/>
    <xf numFmtId="37" fontId="126" fillId="0" borderId="17" xfId="29" applyNumberFormat="1" applyFont="1" applyFill="1" applyBorder="1" applyProtection="1"/>
    <xf numFmtId="37" fontId="123" fillId="0" borderId="0" xfId="29" applyNumberFormat="1" applyFont="1" applyFill="1" applyBorder="1" applyProtection="1"/>
    <xf numFmtId="41" fontId="123" fillId="0" borderId="0" xfId="29" quotePrefix="1" applyNumberFormat="1" applyFont="1" applyFill="1" applyBorder="1" applyAlignment="1" applyProtection="1"/>
    <xf numFmtId="166" fontId="123" fillId="4" borderId="0" xfId="29" quotePrefix="1" applyNumberFormat="1" applyFont="1" applyFill="1" applyBorder="1" applyAlignment="1" applyProtection="1"/>
    <xf numFmtId="168" fontId="123" fillId="0" borderId="0" xfId="29" quotePrefix="1" applyNumberFormat="1" applyFont="1" applyFill="1" applyBorder="1" applyAlignment="1" applyProtection="1"/>
    <xf numFmtId="165" fontId="128" fillId="0" borderId="0" xfId="50" quotePrefix="1" applyFont="1" applyFill="1" applyBorder="1" applyAlignment="1" applyProtection="1"/>
    <xf numFmtId="165" fontId="128" fillId="0" borderId="0" xfId="50" applyNumberFormat="1" applyFont="1" applyFill="1" applyBorder="1" applyAlignment="1" applyProtection="1"/>
    <xf numFmtId="165" fontId="123" fillId="0" borderId="0" xfId="29" quotePrefix="1" applyNumberFormat="1" applyFont="1" applyFill="1" applyBorder="1" applyAlignment="1" applyProtection="1"/>
    <xf numFmtId="165" fontId="123" fillId="0" borderId="17" xfId="29" quotePrefix="1" applyNumberFormat="1" applyFont="1" applyFill="1" applyBorder="1" applyAlignment="1" applyProtection="1"/>
    <xf numFmtId="183" fontId="123" fillId="0" borderId="0" xfId="30" applyNumberFormat="1" applyFont="1" applyFill="1" applyBorder="1" applyAlignment="1" applyProtection="1"/>
    <xf numFmtId="41" fontId="126" fillId="0" borderId="0" xfId="29" quotePrefix="1" applyNumberFormat="1" applyFont="1" applyFill="1" applyBorder="1" applyAlignment="1" applyProtection="1"/>
    <xf numFmtId="41" fontId="126" fillId="0" borderId="17" xfId="29" quotePrefix="1" applyNumberFormat="1" applyFont="1" applyFill="1" applyBorder="1" applyAlignment="1" applyProtection="1"/>
    <xf numFmtId="183" fontId="123" fillId="0" borderId="13" xfId="29" quotePrefix="1" applyNumberFormat="1" applyFont="1" applyFill="1" applyBorder="1" applyAlignment="1" applyProtection="1"/>
    <xf numFmtId="165" fontId="129" fillId="0" borderId="0" xfId="50" applyFont="1" applyFill="1" applyBorder="1" applyProtection="1"/>
    <xf numFmtId="165" fontId="130" fillId="0" borderId="13" xfId="50" applyNumberFormat="1" applyFont="1" applyFill="1" applyBorder="1" applyProtection="1"/>
    <xf numFmtId="183" fontId="123" fillId="0" borderId="0" xfId="30" quotePrefix="1" applyNumberFormat="1" applyFont="1" applyFill="1" applyBorder="1" applyAlignment="1" applyProtection="1"/>
    <xf numFmtId="183" fontId="123" fillId="0" borderId="17" xfId="30" quotePrefix="1" applyNumberFormat="1" applyFont="1" applyFill="1" applyBorder="1" applyAlignment="1" applyProtection="1"/>
    <xf numFmtId="183" fontId="123" fillId="0" borderId="0" xfId="29" applyNumberFormat="1" applyFont="1" applyFill="1" applyBorder="1"/>
    <xf numFmtId="183" fontId="123" fillId="0" borderId="0" xfId="0" applyNumberFormat="1" applyFont="1" applyFill="1" applyBorder="1"/>
    <xf numFmtId="183" fontId="123" fillId="0" borderId="0" xfId="29" applyNumberFormat="1" applyFont="1" applyFill="1" applyBorder="1" applyProtection="1">
      <protection locked="0"/>
    </xf>
    <xf numFmtId="166" fontId="123" fillId="0" borderId="0" xfId="50" applyNumberFormat="1" applyFont="1" applyFill="1" applyBorder="1" applyAlignment="1" applyProtection="1"/>
    <xf numFmtId="37" fontId="1" fillId="0" borderId="24" xfId="0" applyNumberFormat="1" applyFont="1" applyBorder="1"/>
    <xf numFmtId="37" fontId="1" fillId="0" borderId="24" xfId="0" applyFont="1" applyBorder="1" applyAlignment="1">
      <alignment horizontal="right"/>
    </xf>
    <xf numFmtId="165" fontId="1" fillId="0" borderId="24" xfId="51" applyFont="1" applyBorder="1"/>
    <xf numFmtId="37" fontId="1" fillId="0" borderId="17" xfId="0" applyNumberFormat="1" applyFont="1" applyBorder="1"/>
    <xf numFmtId="37" fontId="1" fillId="0" borderId="17" xfId="0" applyFont="1" applyBorder="1" applyAlignment="1">
      <alignment horizontal="right"/>
    </xf>
    <xf numFmtId="165" fontId="1" fillId="0" borderId="17" xfId="51" applyFont="1" applyBorder="1"/>
    <xf numFmtId="166" fontId="1" fillId="0" borderId="0" xfId="44" applyNumberFormat="1" applyFont="1" applyBorder="1" applyAlignment="1">
      <alignment horizontal="left"/>
    </xf>
    <xf numFmtId="37" fontId="1" fillId="0" borderId="0" xfId="0" applyFont="1" applyFill="1" applyBorder="1" applyAlignment="1" applyProtection="1">
      <alignment horizontal="left"/>
    </xf>
    <xf numFmtId="183" fontId="125" fillId="0" borderId="0" xfId="30" applyNumberFormat="1" applyFont="1" applyFill="1" applyBorder="1" applyProtection="1"/>
    <xf numFmtId="183" fontId="125" fillId="0" borderId="10" xfId="29" quotePrefix="1" applyNumberFormat="1" applyFont="1" applyFill="1" applyBorder="1" applyAlignment="1" applyProtection="1"/>
    <xf numFmtId="183" fontId="123" fillId="0" borderId="21" xfId="30" applyNumberFormat="1" applyFont="1" applyFill="1" applyBorder="1" applyProtection="1"/>
    <xf numFmtId="183" fontId="123" fillId="0" borderId="0" xfId="29" applyNumberFormat="1" applyFont="1" applyFill="1" applyBorder="1" applyAlignment="1" applyProtection="1"/>
    <xf numFmtId="4" fontId="41" fillId="0" borderId="13" xfId="50" applyNumberFormat="1" applyFont="1" applyFill="1" applyBorder="1" applyProtection="1"/>
    <xf numFmtId="178" fontId="126" fillId="0" borderId="13" xfId="50" applyNumberFormat="1" applyFont="1" applyFill="1" applyBorder="1" applyProtection="1"/>
    <xf numFmtId="166" fontId="131" fillId="4" borderId="13" xfId="29" quotePrefix="1" applyNumberFormat="1" applyFont="1" applyFill="1" applyBorder="1" applyAlignment="1" applyProtection="1"/>
    <xf numFmtId="10" fontId="26" fillId="0" borderId="0" xfId="50" quotePrefix="1" applyNumberFormat="1" applyFont="1" applyFill="1" applyBorder="1" applyAlignment="1" applyProtection="1"/>
    <xf numFmtId="166" fontId="123" fillId="4" borderId="17" xfId="29" quotePrefix="1" applyNumberFormat="1" applyFont="1" applyFill="1" applyBorder="1" applyAlignment="1" applyProtection="1"/>
    <xf numFmtId="165" fontId="1" fillId="0" borderId="17" xfId="50" quotePrefix="1" applyFont="1" applyFill="1" applyBorder="1" applyAlignment="1" applyProtection="1"/>
    <xf numFmtId="37" fontId="1" fillId="0" borderId="0" xfId="0" applyFont="1" applyAlignment="1">
      <alignment horizontal="center"/>
    </xf>
    <xf numFmtId="37" fontId="39" fillId="0" borderId="14" xfId="0" applyFont="1" applyBorder="1"/>
    <xf numFmtId="179" fontId="40" fillId="0" borderId="16" xfId="0" applyNumberFormat="1" applyFont="1" applyBorder="1" applyAlignment="1">
      <alignment horizontal="right"/>
    </xf>
    <xf numFmtId="37" fontId="40" fillId="0" borderId="16" xfId="0" applyFont="1" applyBorder="1" applyAlignment="1">
      <alignment horizontal="right"/>
    </xf>
    <xf numFmtId="37" fontId="40" fillId="0" borderId="15" xfId="0" applyFont="1" applyBorder="1" applyAlignment="1">
      <alignment horizontal="right"/>
    </xf>
    <xf numFmtId="196" fontId="1" fillId="0" borderId="0" xfId="0" applyNumberFormat="1" applyFont="1" applyBorder="1" applyAlignment="1">
      <alignment horizontal="right"/>
    </xf>
    <xf numFmtId="196" fontId="123" fillId="0" borderId="0" xfId="0" applyNumberFormat="1" applyFont="1" applyBorder="1" applyAlignment="1">
      <alignment horizontal="right"/>
    </xf>
    <xf numFmtId="196" fontId="123" fillId="0" borderId="17" xfId="0" applyNumberFormat="1" applyFont="1" applyBorder="1" applyAlignment="1">
      <alignment horizontal="right"/>
    </xf>
    <xf numFmtId="179" fontId="1" fillId="0" borderId="0" xfId="0" applyNumberFormat="1" applyFont="1" applyBorder="1" applyAlignment="1">
      <alignment horizontal="right"/>
    </xf>
    <xf numFmtId="165" fontId="1" fillId="0" borderId="0" xfId="50" applyFont="1" applyBorder="1" applyAlignment="1">
      <alignment horizontal="right"/>
    </xf>
    <xf numFmtId="179" fontId="8" fillId="0" borderId="0" xfId="0" applyNumberFormat="1" applyFont="1" applyBorder="1" applyAlignment="1">
      <alignment horizontal="right"/>
    </xf>
    <xf numFmtId="179" fontId="8" fillId="0" borderId="17" xfId="0" applyNumberFormat="1" applyFont="1" applyBorder="1" applyAlignment="1">
      <alignment horizontal="right"/>
    </xf>
    <xf numFmtId="196" fontId="1" fillId="0" borderId="17" xfId="0" applyNumberFormat="1" applyFont="1" applyBorder="1" applyAlignment="1">
      <alignment horizontal="right"/>
    </xf>
    <xf numFmtId="9" fontId="6" fillId="0" borderId="17" xfId="50" applyNumberFormat="1" applyFont="1" applyBorder="1"/>
    <xf numFmtId="9" fontId="6" fillId="0" borderId="21" xfId="50" applyNumberFormat="1" applyFont="1" applyBorder="1"/>
    <xf numFmtId="9" fontId="6" fillId="0" borderId="22" xfId="50" applyNumberFormat="1" applyFont="1" applyBorder="1"/>
    <xf numFmtId="37" fontId="1" fillId="0" borderId="14" xfId="0" applyFont="1" applyBorder="1"/>
    <xf numFmtId="196" fontId="1" fillId="0" borderId="16" xfId="0" applyNumberFormat="1" applyFont="1" applyBorder="1" applyAlignment="1">
      <alignment horizontal="right"/>
    </xf>
    <xf numFmtId="196" fontId="1" fillId="0" borderId="15" xfId="0" applyNumberFormat="1" applyFont="1" applyBorder="1" applyAlignment="1">
      <alignment horizontal="right"/>
    </xf>
    <xf numFmtId="37" fontId="1" fillId="0" borderId="23" xfId="0" applyFont="1" applyBorder="1" applyAlignment="1">
      <alignment horizontal="left" indent="1"/>
    </xf>
    <xf numFmtId="166" fontId="85" fillId="0" borderId="21" xfId="0" applyNumberFormat="1" applyFont="1" applyFill="1" applyBorder="1"/>
    <xf numFmtId="4" fontId="114" fillId="0" borderId="0" xfId="50" applyNumberFormat="1" applyFont="1" applyFill="1" applyBorder="1" applyAlignment="1" applyProtection="1">
      <alignment horizontal="center"/>
    </xf>
    <xf numFmtId="168" fontId="123" fillId="0" borderId="13" xfId="0" applyNumberFormat="1" applyFont="1" applyBorder="1"/>
    <xf numFmtId="166" fontId="123" fillId="0" borderId="13" xfId="0" applyNumberFormat="1" applyFont="1" applyBorder="1"/>
    <xf numFmtId="168" fontId="125" fillId="4" borderId="11" xfId="0" applyNumberFormat="1" applyFont="1" applyFill="1" applyBorder="1"/>
    <xf numFmtId="37" fontId="123" fillId="0" borderId="13" xfId="0" applyFont="1" applyBorder="1"/>
    <xf numFmtId="165" fontId="129" fillId="0" borderId="13" xfId="0" applyNumberFormat="1" applyFont="1" applyFill="1" applyBorder="1"/>
    <xf numFmtId="168" fontId="125" fillId="0" borderId="13" xfId="0" applyNumberFormat="1" applyFont="1" applyFill="1" applyBorder="1"/>
    <xf numFmtId="183" fontId="132" fillId="0" borderId="13" xfId="29" applyNumberFormat="1" applyFont="1" applyFill="1" applyBorder="1"/>
    <xf numFmtId="168" fontId="125" fillId="0" borderId="13" xfId="29" applyNumberFormat="1" applyFont="1" applyFill="1" applyBorder="1"/>
    <xf numFmtId="168" fontId="125" fillId="0" borderId="13" xfId="0" applyNumberFormat="1" applyFont="1" applyBorder="1"/>
    <xf numFmtId="168" fontId="125" fillId="0" borderId="11" xfId="0" applyNumberFormat="1" applyFont="1" applyBorder="1"/>
    <xf numFmtId="7" fontId="125" fillId="4" borderId="11" xfId="0" applyNumberFormat="1" applyFont="1" applyFill="1" applyBorder="1"/>
    <xf numFmtId="37" fontId="123" fillId="0" borderId="19" xfId="0" applyFont="1" applyBorder="1"/>
    <xf numFmtId="165" fontId="125" fillId="4" borderId="25" xfId="50" applyNumberFormat="1" applyFont="1" applyFill="1" applyBorder="1"/>
    <xf numFmtId="165" fontId="123" fillId="4" borderId="13" xfId="50" applyNumberFormat="1" applyFont="1" applyFill="1" applyBorder="1"/>
    <xf numFmtId="165" fontId="123" fillId="4" borderId="19" xfId="50" applyNumberFormat="1" applyFont="1" applyFill="1" applyBorder="1"/>
    <xf numFmtId="165" fontId="26" fillId="0" borderId="0" xfId="50" applyNumberFormat="1" applyFont="1" applyFill="1" applyBorder="1" applyAlignment="1" applyProtection="1">
      <alignment horizontal="center"/>
    </xf>
    <xf numFmtId="183" fontId="1" fillId="0" borderId="17" xfId="29" applyNumberFormat="1" applyFont="1" applyFill="1" applyBorder="1" applyProtection="1"/>
    <xf numFmtId="178" fontId="123" fillId="0" borderId="13" xfId="50" applyNumberFormat="1" applyFont="1" applyFill="1" applyBorder="1" applyProtection="1"/>
    <xf numFmtId="183" fontId="131" fillId="0" borderId="0" xfId="29" applyNumberFormat="1" applyFont="1" applyFill="1" applyBorder="1" applyProtection="1"/>
    <xf numFmtId="166" fontId="126" fillId="0" borderId="0" xfId="50" quotePrefix="1" applyNumberFormat="1" applyFont="1" applyFill="1" applyBorder="1" applyAlignment="1" applyProtection="1"/>
    <xf numFmtId="195" fontId="6" fillId="0" borderId="0" xfId="50" quotePrefix="1" applyNumberFormat="1" applyFont="1" applyFill="1" applyBorder="1" applyAlignment="1" applyProtection="1"/>
    <xf numFmtId="168" fontId="123" fillId="0" borderId="0" xfId="30" quotePrefix="1" applyNumberFormat="1" applyFont="1" applyFill="1" applyBorder="1" applyAlignment="1" applyProtection="1"/>
    <xf numFmtId="183" fontId="128" fillId="0" borderId="0" xfId="30" quotePrefix="1" applyNumberFormat="1" applyFont="1" applyFill="1" applyBorder="1" applyAlignment="1" applyProtection="1"/>
    <xf numFmtId="168" fontId="133" fillId="0" borderId="0" xfId="30" applyNumberFormat="1" applyFont="1" applyFill="1" applyBorder="1" applyProtection="1"/>
    <xf numFmtId="168" fontId="133" fillId="0" borderId="17" xfId="30" applyNumberFormat="1" applyFont="1" applyFill="1" applyBorder="1" applyProtection="1"/>
    <xf numFmtId="168" fontId="133" fillId="0" borderId="13" xfId="30" applyNumberFormat="1" applyFont="1" applyFill="1" applyBorder="1" applyProtection="1"/>
    <xf numFmtId="37" fontId="1" fillId="0" borderId="0" xfId="29" quotePrefix="1" applyFont="1" applyFill="1" applyBorder="1" applyAlignment="1" applyProtection="1">
      <alignment horizontal="right"/>
    </xf>
    <xf numFmtId="166" fontId="123" fillId="0" borderId="13" xfId="0" applyNumberFormat="1" applyFont="1" applyFill="1" applyBorder="1" applyAlignment="1" applyProtection="1">
      <alignment horizontal="right"/>
    </xf>
    <xf numFmtId="183" fontId="123" fillId="0" borderId="17" xfId="30" applyNumberFormat="1" applyFont="1" applyFill="1" applyBorder="1" applyProtection="1"/>
    <xf numFmtId="183" fontId="123" fillId="0" borderId="13" xfId="30" applyNumberFormat="1" applyFont="1" applyFill="1" applyBorder="1" applyProtection="1"/>
    <xf numFmtId="183" fontId="1" fillId="0" borderId="0" xfId="0" applyNumberFormat="1" applyFont="1" applyFill="1" applyBorder="1"/>
    <xf numFmtId="37" fontId="8" fillId="9" borderId="9" xfId="0" applyFont="1" applyFill="1" applyBorder="1"/>
    <xf numFmtId="7" fontId="8" fillId="9" borderId="10" xfId="0" applyNumberFormat="1" applyFont="1" applyFill="1" applyBorder="1"/>
    <xf numFmtId="7" fontId="8" fillId="9" borderId="12" xfId="0" applyNumberFormat="1" applyFont="1" applyFill="1" applyBorder="1"/>
    <xf numFmtId="37" fontId="1" fillId="0" borderId="9" xfId="0" applyFont="1" applyBorder="1"/>
    <xf numFmtId="37" fontId="1" fillId="0" borderId="12" xfId="0" applyFont="1" applyBorder="1" applyAlignment="1">
      <alignment horizontal="right"/>
    </xf>
    <xf numFmtId="37" fontId="1" fillId="0" borderId="22" xfId="0" quotePrefix="1" applyFont="1" applyBorder="1" applyAlignment="1">
      <alignment horizontal="right"/>
    </xf>
    <xf numFmtId="5" fontId="1" fillId="0" borderId="17" xfId="0" applyNumberFormat="1" applyFont="1" applyBorder="1" applyAlignment="1">
      <alignment horizontal="right"/>
    </xf>
    <xf numFmtId="37" fontId="134" fillId="0" borderId="14" xfId="0" applyFont="1" applyBorder="1"/>
    <xf numFmtId="37" fontId="134" fillId="0" borderId="16" xfId="0" applyFont="1" applyBorder="1"/>
    <xf numFmtId="37" fontId="134" fillId="0" borderId="16" xfId="0" applyFont="1" applyBorder="1" applyAlignment="1">
      <alignment horizontal="right"/>
    </xf>
    <xf numFmtId="37" fontId="134" fillId="0" borderId="15" xfId="0" applyFont="1" applyBorder="1" applyAlignment="1">
      <alignment horizontal="right"/>
    </xf>
    <xf numFmtId="37" fontId="135" fillId="0" borderId="24" xfId="0" applyFont="1" applyBorder="1"/>
    <xf numFmtId="7" fontId="136" fillId="0" borderId="0" xfId="0" applyNumberFormat="1" applyFont="1" applyBorder="1"/>
    <xf numFmtId="37" fontId="136" fillId="0" borderId="0" xfId="0" applyFont="1" applyBorder="1" applyAlignment="1">
      <alignment horizontal="right" vertical="center"/>
    </xf>
    <xf numFmtId="165" fontId="136" fillId="0" borderId="0" xfId="50" applyFont="1" applyBorder="1"/>
    <xf numFmtId="7" fontId="136" fillId="0" borderId="17" xfId="0" applyNumberFormat="1" applyFont="1" applyBorder="1"/>
    <xf numFmtId="37" fontId="136" fillId="0" borderId="0" xfId="0" applyFont="1" applyBorder="1"/>
    <xf numFmtId="7" fontId="8" fillId="0" borderId="21" xfId="0" applyNumberFormat="1" applyFont="1" applyBorder="1"/>
    <xf numFmtId="183" fontId="123" fillId="0" borderId="0" xfId="30" applyNumberFormat="1" applyFont="1" applyFill="1" applyBorder="1" applyProtection="1"/>
    <xf numFmtId="4" fontId="6" fillId="0" borderId="13" xfId="50" applyNumberFormat="1" applyFont="1" applyFill="1" applyBorder="1" applyProtection="1"/>
    <xf numFmtId="166" fontId="131" fillId="0" borderId="0" xfId="29" quotePrefix="1" applyNumberFormat="1" applyFont="1" applyFill="1" applyBorder="1" applyAlignment="1" applyProtection="1"/>
    <xf numFmtId="5" fontId="131" fillId="0" borderId="0" xfId="30" quotePrefix="1" applyNumberFormat="1" applyFont="1" applyFill="1" applyBorder="1" applyAlignment="1" applyProtection="1"/>
    <xf numFmtId="183" fontId="131" fillId="0" borderId="0" xfId="30" applyNumberFormat="1" applyFont="1" applyFill="1" applyBorder="1" applyAlignment="1" applyProtection="1"/>
    <xf numFmtId="183" fontId="131" fillId="0" borderId="0" xfId="29" applyNumberFormat="1" applyFont="1" applyFill="1" applyBorder="1" applyAlignment="1" applyProtection="1"/>
    <xf numFmtId="183" fontId="131" fillId="0" borderId="0" xfId="30" quotePrefix="1" applyNumberFormat="1" applyFont="1" applyFill="1" applyBorder="1" applyAlignment="1" applyProtection="1"/>
    <xf numFmtId="183" fontId="131" fillId="0" borderId="0" xfId="30" applyNumberFormat="1" applyFont="1" applyFill="1" applyBorder="1" applyProtection="1"/>
    <xf numFmtId="168" fontId="123" fillId="0" borderId="0" xfId="0" applyNumberFormat="1" applyFont="1" applyBorder="1"/>
    <xf numFmtId="168" fontId="123" fillId="0" borderId="17" xfId="0" applyNumberFormat="1" applyFont="1" applyBorder="1"/>
    <xf numFmtId="168" fontId="128" fillId="0" borderId="0" xfId="0" applyNumberFormat="1" applyFont="1" applyBorder="1"/>
    <xf numFmtId="168" fontId="128" fillId="0" borderId="17" xfId="0" applyNumberFormat="1" applyFont="1" applyBorder="1"/>
    <xf numFmtId="5" fontId="123" fillId="0" borderId="0" xfId="0" applyNumberFormat="1" applyFont="1" applyBorder="1"/>
    <xf numFmtId="37" fontId="123" fillId="0" borderId="0" xfId="0" applyNumberFormat="1" applyFont="1" applyBorder="1"/>
    <xf numFmtId="37" fontId="6" fillId="0" borderId="12" xfId="0" applyFont="1" applyBorder="1"/>
    <xf numFmtId="37" fontId="8" fillId="0" borderId="10" xfId="0" applyFont="1" applyBorder="1" applyAlignment="1">
      <alignment horizontal="right" wrapText="1"/>
    </xf>
    <xf numFmtId="37" fontId="8" fillId="0" borderId="12" xfId="0" applyFont="1" applyBorder="1" applyAlignment="1">
      <alignment horizontal="right" wrapText="1"/>
    </xf>
    <xf numFmtId="37" fontId="123" fillId="0" borderId="0" xfId="0" applyFont="1" applyBorder="1"/>
    <xf numFmtId="37" fontId="8" fillId="0" borderId="9" xfId="0" applyFont="1" applyBorder="1" applyAlignment="1">
      <alignment wrapText="1"/>
    </xf>
    <xf numFmtId="5" fontId="6" fillId="0" borderId="10" xfId="0" applyNumberFormat="1" applyFont="1" applyBorder="1"/>
    <xf numFmtId="168" fontId="1" fillId="0" borderId="24" xfId="29" applyNumberFormat="1" applyFont="1" applyFill="1" applyBorder="1" applyAlignment="1" applyProtection="1">
      <alignment horizontal="left" indent="1"/>
    </xf>
    <xf numFmtId="166" fontId="6" fillId="0" borderId="23" xfId="0" applyNumberFormat="1" applyFont="1" applyFill="1" applyBorder="1" applyAlignment="1" applyProtection="1">
      <alignment horizontal="right"/>
    </xf>
    <xf numFmtId="166" fontId="137" fillId="0" borderId="0" xfId="0" applyNumberFormat="1" applyFont="1" applyFill="1" applyBorder="1" applyAlignment="1" applyProtection="1">
      <alignment horizontal="center"/>
    </xf>
    <xf numFmtId="166" fontId="45" fillId="3" borderId="0" xfId="29" quotePrefix="1" applyNumberFormat="1" applyFont="1" applyFill="1" applyBorder="1" applyAlignment="1" applyProtection="1"/>
    <xf numFmtId="166" fontId="138" fillId="0" borderId="0" xfId="0" applyNumberFormat="1" applyFont="1" applyFill="1" applyBorder="1" applyAlignment="1" applyProtection="1">
      <alignment horizontal="center"/>
    </xf>
    <xf numFmtId="165" fontId="138" fillId="0" borderId="0" xfId="50" applyFont="1" applyFill="1" applyBorder="1" applyAlignment="1" applyProtection="1">
      <alignment horizontal="center"/>
    </xf>
    <xf numFmtId="188" fontId="138" fillId="0" borderId="0" xfId="29" quotePrefix="1" applyNumberFormat="1" applyFont="1" applyFill="1" applyBorder="1" applyAlignment="1" applyProtection="1"/>
    <xf numFmtId="37" fontId="138" fillId="0" borderId="0" xfId="29" applyFont="1" applyFill="1" applyBorder="1" applyProtection="1"/>
    <xf numFmtId="183" fontId="138" fillId="0" borderId="13" xfId="30" applyNumberFormat="1" applyFont="1" applyFill="1" applyBorder="1" applyAlignment="1" applyProtection="1"/>
    <xf numFmtId="166" fontId="138" fillId="0" borderId="13" xfId="0" applyNumberFormat="1" applyFont="1" applyFill="1" applyBorder="1" applyAlignment="1" applyProtection="1"/>
    <xf numFmtId="183" fontId="138" fillId="0" borderId="13" xfId="29" applyNumberFormat="1" applyFont="1" applyFill="1" applyBorder="1" applyAlignment="1" applyProtection="1"/>
    <xf numFmtId="183" fontId="141" fillId="0" borderId="13" xfId="29" applyNumberFormat="1" applyFont="1" applyFill="1" applyBorder="1" applyAlignment="1" applyProtection="1"/>
    <xf numFmtId="183" fontId="139" fillId="0" borderId="13" xfId="30" applyNumberFormat="1" applyFont="1" applyFill="1" applyBorder="1" applyAlignment="1" applyProtection="1"/>
    <xf numFmtId="165" fontId="140" fillId="0" borderId="13" xfId="50" applyFont="1" applyFill="1" applyBorder="1" applyAlignment="1" applyProtection="1"/>
    <xf numFmtId="165" fontId="138" fillId="0" borderId="13" xfId="50" applyFont="1" applyFill="1" applyBorder="1" applyProtection="1"/>
    <xf numFmtId="165" fontId="138" fillId="0" borderId="13" xfId="50" applyFont="1" applyFill="1" applyBorder="1" applyAlignment="1" applyProtection="1">
      <alignment horizontal="right"/>
    </xf>
    <xf numFmtId="168" fontId="138" fillId="0" borderId="13" xfId="0" applyNumberFormat="1" applyFont="1" applyFill="1" applyBorder="1" applyAlignment="1" applyProtection="1">
      <alignment horizontal="right"/>
    </xf>
    <xf numFmtId="166" fontId="138" fillId="0" borderId="13" xfId="0" applyNumberFormat="1" applyFont="1" applyFill="1" applyBorder="1" applyAlignment="1" applyProtection="1">
      <alignment horizontal="right"/>
    </xf>
    <xf numFmtId="165" fontId="140" fillId="0" borderId="13" xfId="50" quotePrefix="1" applyFont="1" applyFill="1" applyBorder="1" applyAlignment="1" applyProtection="1">
      <alignment horizontal="right"/>
    </xf>
    <xf numFmtId="183" fontId="138" fillId="0" borderId="13" xfId="0" applyNumberFormat="1" applyFont="1" applyFill="1" applyBorder="1" applyProtection="1"/>
    <xf numFmtId="168" fontId="139" fillId="0" borderId="13" xfId="30" applyNumberFormat="1" applyFont="1" applyFill="1" applyBorder="1" applyProtection="1"/>
    <xf numFmtId="166" fontId="138" fillId="0" borderId="13" xfId="0" applyNumberFormat="1" applyFont="1" applyFill="1" applyBorder="1"/>
    <xf numFmtId="183" fontId="138" fillId="0" borderId="13" xfId="0" applyNumberFormat="1" applyFont="1" applyFill="1" applyBorder="1"/>
    <xf numFmtId="183" fontId="138" fillId="0" borderId="13" xfId="29" applyNumberFormat="1" applyFont="1" applyFill="1" applyBorder="1"/>
    <xf numFmtId="168" fontId="139" fillId="0" borderId="11" xfId="30" applyNumberFormat="1" applyFont="1" applyFill="1" applyBorder="1"/>
    <xf numFmtId="183" fontId="139" fillId="0" borderId="13" xfId="30" applyNumberFormat="1" applyFont="1" applyFill="1" applyBorder="1"/>
    <xf numFmtId="183" fontId="138" fillId="0" borderId="13" xfId="30" applyNumberFormat="1" applyFont="1" applyFill="1" applyBorder="1"/>
    <xf numFmtId="168" fontId="139" fillId="4" borderId="11" xfId="30" applyNumberFormat="1" applyFont="1" applyFill="1" applyBorder="1"/>
    <xf numFmtId="7" fontId="139" fillId="4" borderId="25" xfId="30" applyNumberFormat="1" applyFont="1" applyFill="1" applyBorder="1"/>
    <xf numFmtId="7" fontId="139" fillId="4" borderId="19" xfId="30" applyNumberFormat="1" applyFont="1" applyFill="1" applyBorder="1"/>
    <xf numFmtId="165" fontId="140" fillId="0" borderId="19" xfId="50" quotePrefix="1" applyFont="1" applyFill="1" applyBorder="1" applyAlignment="1" applyProtection="1">
      <alignment horizontal="right"/>
    </xf>
    <xf numFmtId="2" fontId="140" fillId="0" borderId="13" xfId="50" quotePrefix="1" applyNumberFormat="1" applyFont="1" applyFill="1" applyBorder="1" applyAlignment="1" applyProtection="1">
      <alignment horizontal="right" vertical="top"/>
    </xf>
    <xf numFmtId="7" fontId="138" fillId="0" borderId="13" xfId="30" quotePrefix="1" applyNumberFormat="1" applyFont="1" applyFill="1" applyBorder="1" applyAlignment="1" applyProtection="1">
      <alignment horizontal="right"/>
    </xf>
    <xf numFmtId="165" fontId="140" fillId="0" borderId="13" xfId="50" quotePrefix="1" applyNumberFormat="1" applyFont="1" applyFill="1" applyBorder="1" applyAlignment="1" applyProtection="1">
      <alignment horizontal="right"/>
    </xf>
    <xf numFmtId="166" fontId="138" fillId="0" borderId="13" xfId="29" applyNumberFormat="1" applyFont="1" applyFill="1" applyBorder="1"/>
    <xf numFmtId="183" fontId="138" fillId="0" borderId="13" xfId="0" applyNumberFormat="1" applyFont="1" applyFill="1" applyBorder="1" applyAlignment="1" applyProtection="1">
      <alignment horizontal="right"/>
    </xf>
    <xf numFmtId="37" fontId="138" fillId="0" borderId="13" xfId="0" applyFont="1" applyFill="1" applyBorder="1" applyAlignment="1" applyProtection="1">
      <alignment horizontal="right"/>
    </xf>
    <xf numFmtId="183" fontId="139" fillId="0" borderId="13" xfId="0" applyNumberFormat="1" applyFont="1" applyFill="1" applyBorder="1" applyProtection="1"/>
    <xf numFmtId="165" fontId="138" fillId="0" borderId="25" xfId="50" applyFont="1" applyFill="1" applyBorder="1" applyAlignment="1" applyProtection="1"/>
    <xf numFmtId="165" fontId="140" fillId="0" borderId="13" xfId="50" applyFont="1" applyFill="1" applyBorder="1" applyAlignment="1" applyProtection="1">
      <alignment horizontal="right"/>
    </xf>
    <xf numFmtId="165" fontId="138" fillId="0" borderId="13" xfId="50" applyFont="1" applyFill="1" applyBorder="1" applyAlignment="1" applyProtection="1"/>
    <xf numFmtId="165" fontId="138" fillId="0" borderId="19" xfId="50" applyFont="1" applyFill="1" applyBorder="1" applyAlignment="1" applyProtection="1"/>
    <xf numFmtId="164" fontId="138" fillId="0" borderId="25" xfId="0" applyNumberFormat="1" applyFont="1" applyFill="1" applyBorder="1" applyAlignment="1" applyProtection="1">
      <alignment horizontal="right"/>
    </xf>
    <xf numFmtId="9" fontId="138" fillId="0" borderId="19" xfId="0" applyNumberFormat="1" applyFont="1" applyFill="1" applyBorder="1" applyProtection="1"/>
    <xf numFmtId="1" fontId="139" fillId="7" borderId="11" xfId="0" applyNumberFormat="1" applyFont="1" applyFill="1" applyBorder="1" applyAlignment="1" applyProtection="1">
      <alignment horizontal="right"/>
    </xf>
    <xf numFmtId="1" fontId="139" fillId="0" borderId="13" xfId="30" applyNumberFormat="1" applyFont="1" applyFill="1" applyBorder="1" applyAlignment="1" applyProtection="1">
      <alignment horizontal="right"/>
    </xf>
    <xf numFmtId="168" fontId="138" fillId="0" borderId="13" xfId="0" applyNumberFormat="1" applyFont="1" applyFill="1" applyBorder="1" applyProtection="1"/>
    <xf numFmtId="183" fontId="138" fillId="0" borderId="19" xfId="29" applyNumberFormat="1" applyFont="1" applyFill="1" applyBorder="1" applyProtection="1"/>
    <xf numFmtId="168" fontId="139" fillId="0" borderId="11" xfId="0" applyNumberFormat="1" applyFont="1" applyFill="1" applyBorder="1" applyProtection="1"/>
    <xf numFmtId="183" fontId="138" fillId="0" borderId="13" xfId="29" applyNumberFormat="1" applyFont="1" applyFill="1" applyBorder="1" applyProtection="1"/>
    <xf numFmtId="168" fontId="139" fillId="0" borderId="11" xfId="30" applyNumberFormat="1" applyFont="1" applyFill="1" applyBorder="1" applyProtection="1"/>
    <xf numFmtId="168" fontId="139" fillId="0" borderId="14" xfId="30" applyNumberFormat="1" applyFont="1" applyFill="1" applyBorder="1" applyProtection="1"/>
    <xf numFmtId="168" fontId="138" fillId="0" borderId="13" xfId="30" applyNumberFormat="1" applyFont="1" applyFill="1" applyBorder="1" applyProtection="1"/>
    <xf numFmtId="183" fontId="138" fillId="0" borderId="13" xfId="30" applyNumberFormat="1" applyFont="1" applyFill="1" applyBorder="1" applyProtection="1"/>
    <xf numFmtId="183" fontId="139" fillId="0" borderId="24" xfId="30" applyNumberFormat="1" applyFont="1" applyFill="1" applyBorder="1" applyProtection="1"/>
    <xf numFmtId="165" fontId="140" fillId="0" borderId="23" xfId="30" applyNumberFormat="1" applyFont="1" applyFill="1" applyBorder="1" applyProtection="1"/>
    <xf numFmtId="164" fontId="139" fillId="7" borderId="11" xfId="0" quotePrefix="1" applyNumberFormat="1" applyFont="1" applyFill="1" applyBorder="1" applyAlignment="1" applyProtection="1">
      <alignment horizontal="right"/>
    </xf>
    <xf numFmtId="37" fontId="138" fillId="0" borderId="13" xfId="0" applyFont="1" applyBorder="1"/>
    <xf numFmtId="183" fontId="141" fillId="0" borderId="24" xfId="0" applyNumberFormat="1" applyFont="1" applyFill="1" applyBorder="1" applyAlignment="1" applyProtection="1">
      <alignment horizontal="right"/>
    </xf>
    <xf numFmtId="165" fontId="139" fillId="0" borderId="13" xfId="50" applyFont="1" applyFill="1" applyBorder="1" applyProtection="1"/>
    <xf numFmtId="165" fontId="138" fillId="0" borderId="13" xfId="0" applyNumberFormat="1" applyFont="1" applyFill="1" applyBorder="1" applyAlignment="1" applyProtection="1">
      <alignment horizontal="right"/>
    </xf>
    <xf numFmtId="165" fontId="139" fillId="0" borderId="13" xfId="29" applyNumberFormat="1" applyFont="1" applyFill="1" applyBorder="1" applyProtection="1"/>
    <xf numFmtId="183" fontId="139" fillId="0" borderId="19" xfId="0" applyNumberFormat="1" applyFont="1" applyFill="1" applyBorder="1"/>
    <xf numFmtId="5" fontId="138" fillId="0" borderId="10" xfId="30" applyFont="1" applyFill="1" applyBorder="1" applyProtection="1"/>
    <xf numFmtId="37" fontId="138" fillId="0" borderId="13" xfId="29" quotePrefix="1" applyFont="1" applyFill="1" applyBorder="1" applyAlignment="1" applyProtection="1"/>
    <xf numFmtId="37" fontId="138" fillId="0" borderId="13" xfId="29" quotePrefix="1" applyFont="1" applyFill="1" applyBorder="1" applyAlignment="1" applyProtection="1">
      <alignment horizontal="right"/>
    </xf>
    <xf numFmtId="5" fontId="138" fillId="0" borderId="13" xfId="30" quotePrefix="1" applyFont="1" applyFill="1" applyBorder="1" applyAlignment="1" applyProtection="1"/>
    <xf numFmtId="165" fontId="138" fillId="0" borderId="13" xfId="50" applyNumberFormat="1" applyFont="1" applyFill="1" applyBorder="1" applyAlignment="1" applyProtection="1">
      <alignment horizontal="right"/>
    </xf>
    <xf numFmtId="165" fontId="140" fillId="0" borderId="13" xfId="50" quotePrefix="1" applyFont="1" applyFill="1" applyBorder="1" applyAlignment="1" applyProtection="1"/>
    <xf numFmtId="183" fontId="139" fillId="0" borderId="13" xfId="30" quotePrefix="1" applyNumberFormat="1" applyFont="1" applyFill="1" applyBorder="1" applyAlignment="1" applyProtection="1"/>
    <xf numFmtId="168" fontId="138" fillId="0" borderId="13" xfId="29" quotePrefix="1" applyNumberFormat="1" applyFont="1" applyFill="1" applyBorder="1" applyAlignment="1" applyProtection="1"/>
    <xf numFmtId="165" fontId="140" fillId="0" borderId="13" xfId="30" quotePrefix="1" applyNumberFormat="1" applyFont="1" applyFill="1" applyBorder="1" applyAlignment="1" applyProtection="1">
      <alignment horizontal="right"/>
    </xf>
    <xf numFmtId="37" fontId="142" fillId="0" borderId="13" xfId="0" applyFont="1" applyFill="1" applyBorder="1"/>
    <xf numFmtId="183" fontId="138" fillId="0" borderId="13" xfId="30" quotePrefix="1" applyNumberFormat="1" applyFont="1" applyFill="1" applyBorder="1" applyAlignment="1" applyProtection="1"/>
    <xf numFmtId="165" fontId="138" fillId="0" borderId="13" xfId="50" quotePrefix="1" applyFont="1" applyFill="1" applyBorder="1" applyAlignment="1" applyProtection="1">
      <alignment horizontal="right"/>
    </xf>
    <xf numFmtId="165" fontId="138" fillId="0" borderId="13" xfId="50" quotePrefix="1" applyFont="1" applyFill="1" applyBorder="1" applyAlignment="1" applyProtection="1"/>
    <xf numFmtId="164" fontId="139" fillId="0" borderId="11" xfId="0" applyNumberFormat="1" applyFont="1" applyFill="1" applyBorder="1" applyAlignment="1" applyProtection="1">
      <alignment horizontal="right"/>
    </xf>
    <xf numFmtId="164" fontId="138" fillId="0" borderId="13" xfId="0" applyNumberFormat="1" applyFont="1" applyFill="1" applyBorder="1" applyAlignment="1" applyProtection="1">
      <alignment horizontal="right"/>
    </xf>
    <xf numFmtId="165" fontId="140" fillId="0" borderId="13" xfId="50" applyFont="1" applyFill="1" applyBorder="1" applyProtection="1"/>
    <xf numFmtId="166" fontId="138" fillId="0" borderId="13" xfId="29" quotePrefix="1" applyNumberFormat="1" applyFont="1" applyFill="1" applyBorder="1" applyAlignment="1" applyProtection="1"/>
    <xf numFmtId="37" fontId="138" fillId="0" borderId="13" xfId="0" applyNumberFormat="1" applyFont="1" applyFill="1" applyBorder="1" applyAlignment="1" applyProtection="1">
      <alignment horizontal="right"/>
    </xf>
    <xf numFmtId="168" fontId="139" fillId="0" borderId="13" xfId="0" applyNumberFormat="1" applyFont="1" applyFill="1" applyBorder="1" applyAlignment="1" applyProtection="1">
      <alignment horizontal="right"/>
    </xf>
    <xf numFmtId="168" fontId="139" fillId="0" borderId="13" xfId="30" quotePrefix="1" applyNumberFormat="1" applyFont="1" applyFill="1" applyBorder="1" applyAlignment="1" applyProtection="1"/>
    <xf numFmtId="37" fontId="138" fillId="0" borderId="13" xfId="29" applyFont="1" applyFill="1" applyBorder="1" applyProtection="1"/>
    <xf numFmtId="183" fontId="139" fillId="0" borderId="13" xfId="30" applyNumberFormat="1" applyFont="1" applyFill="1" applyBorder="1" applyProtection="1"/>
    <xf numFmtId="10" fontId="138" fillId="0" borderId="13" xfId="50" applyNumberFormat="1" applyFont="1" applyFill="1" applyBorder="1" applyAlignment="1" applyProtection="1">
      <alignment horizontal="right"/>
    </xf>
    <xf numFmtId="4" fontId="138" fillId="0" borderId="13" xfId="50" applyNumberFormat="1" applyFont="1" applyFill="1" applyBorder="1" applyProtection="1"/>
    <xf numFmtId="4" fontId="140" fillId="0" borderId="13" xfId="50" applyNumberFormat="1" applyFont="1" applyFill="1" applyBorder="1" applyProtection="1"/>
    <xf numFmtId="165" fontId="138" fillId="0" borderId="24" xfId="50" quotePrefix="1" applyFont="1" applyFill="1" applyBorder="1" applyAlignment="1" applyProtection="1"/>
    <xf numFmtId="183" fontId="138" fillId="0" borderId="24" xfId="0" applyNumberFormat="1" applyFont="1" applyFill="1" applyBorder="1" applyAlignment="1" applyProtection="1">
      <alignment horizontal="right"/>
    </xf>
    <xf numFmtId="166" fontId="138" fillId="0" borderId="24" xfId="0" applyNumberFormat="1" applyFont="1" applyFill="1" applyBorder="1" applyAlignment="1" applyProtection="1">
      <alignment horizontal="right"/>
    </xf>
    <xf numFmtId="168" fontId="138" fillId="0" borderId="24" xfId="30" quotePrefix="1" applyNumberFormat="1" applyFont="1" applyFill="1" applyBorder="1" applyAlignment="1" applyProtection="1"/>
    <xf numFmtId="4" fontId="140" fillId="0" borderId="13" xfId="50" quotePrefix="1" applyNumberFormat="1" applyFont="1" applyFill="1" applyBorder="1" applyAlignment="1" applyProtection="1"/>
    <xf numFmtId="41" fontId="138" fillId="0" borderId="13" xfId="29" quotePrefix="1" applyNumberFormat="1" applyFont="1" applyFill="1" applyBorder="1" applyAlignment="1" applyProtection="1"/>
    <xf numFmtId="37" fontId="138" fillId="0" borderId="13" xfId="29" applyNumberFormat="1" applyFont="1" applyFill="1" applyBorder="1" applyProtection="1"/>
    <xf numFmtId="41" fontId="138" fillId="0" borderId="13" xfId="0" applyNumberFormat="1" applyFont="1" applyFill="1" applyBorder="1" applyAlignment="1" applyProtection="1">
      <alignment horizontal="right"/>
    </xf>
    <xf numFmtId="183" fontId="138" fillId="0" borderId="13" xfId="30" applyNumberFormat="1" applyFont="1" applyFill="1" applyBorder="1" applyAlignment="1" applyProtection="1">
      <alignment horizontal="right"/>
    </xf>
    <xf numFmtId="5" fontId="139" fillId="0" borderId="17" xfId="30" applyNumberFormat="1" applyFont="1" applyFill="1" applyBorder="1" applyProtection="1"/>
    <xf numFmtId="5" fontId="139" fillId="0" borderId="13" xfId="30" applyNumberFormat="1" applyFont="1" applyFill="1" applyBorder="1" applyProtection="1"/>
    <xf numFmtId="165" fontId="140" fillId="0" borderId="24" xfId="50" quotePrefix="1" applyFont="1" applyFill="1" applyBorder="1" applyAlignment="1" applyProtection="1"/>
    <xf numFmtId="166" fontId="138" fillId="0" borderId="13" xfId="50" applyNumberFormat="1" applyFont="1" applyFill="1" applyBorder="1" applyProtection="1"/>
    <xf numFmtId="166" fontId="138" fillId="0" borderId="13" xfId="50" quotePrefix="1" applyNumberFormat="1" applyFont="1" applyFill="1" applyBorder="1" applyAlignment="1" applyProtection="1"/>
    <xf numFmtId="168" fontId="138" fillId="0" borderId="13" xfId="30" quotePrefix="1" applyNumberFormat="1" applyFont="1" applyFill="1" applyBorder="1" applyAlignment="1" applyProtection="1"/>
    <xf numFmtId="183" fontId="138" fillId="0" borderId="13" xfId="29" quotePrefix="1" applyNumberFormat="1" applyFont="1" applyFill="1" applyBorder="1" applyAlignment="1" applyProtection="1"/>
    <xf numFmtId="165" fontId="140" fillId="0" borderId="13" xfId="50" quotePrefix="1" applyNumberFormat="1" applyFont="1" applyFill="1" applyBorder="1" applyAlignment="1" applyProtection="1"/>
    <xf numFmtId="183" fontId="141" fillId="0" borderId="13" xfId="29" applyNumberFormat="1" applyFont="1" applyFill="1" applyBorder="1" applyAlignment="1" applyProtection="1">
      <alignment horizontal="right"/>
    </xf>
    <xf numFmtId="185" fontId="138" fillId="0" borderId="13" xfId="29" quotePrefix="1" applyNumberFormat="1" applyFont="1" applyFill="1" applyBorder="1" applyAlignment="1" applyProtection="1"/>
    <xf numFmtId="183" fontId="139" fillId="0" borderId="13" xfId="29" quotePrefix="1" applyNumberFormat="1" applyFont="1" applyFill="1" applyBorder="1" applyAlignment="1" applyProtection="1"/>
    <xf numFmtId="183" fontId="139" fillId="0" borderId="11" xfId="29" quotePrefix="1" applyNumberFormat="1" applyFont="1" applyFill="1" applyBorder="1" applyAlignment="1" applyProtection="1"/>
    <xf numFmtId="1" fontId="139" fillId="0" borderId="11" xfId="0" applyNumberFormat="1" applyFont="1" applyFill="1" applyBorder="1" applyAlignment="1" applyProtection="1">
      <alignment horizontal="right"/>
    </xf>
    <xf numFmtId="166" fontId="138" fillId="4" borderId="13" xfId="29" quotePrefix="1" applyNumberFormat="1" applyFont="1" applyFill="1" applyBorder="1" applyAlignment="1" applyProtection="1"/>
    <xf numFmtId="165" fontId="138" fillId="0" borderId="13" xfId="29" quotePrefix="1" applyNumberFormat="1" applyFont="1" applyFill="1" applyBorder="1" applyAlignment="1" applyProtection="1"/>
    <xf numFmtId="165" fontId="138" fillId="0" borderId="17" xfId="29" quotePrefix="1" applyNumberFormat="1" applyFont="1" applyFill="1" applyBorder="1" applyAlignment="1" applyProtection="1"/>
    <xf numFmtId="37" fontId="138" fillId="0" borderId="25" xfId="29" applyFont="1" applyFill="1" applyBorder="1" applyProtection="1"/>
    <xf numFmtId="5" fontId="138" fillId="0" borderId="13" xfId="30" applyNumberFormat="1" applyFont="1" applyFill="1" applyBorder="1" applyProtection="1"/>
    <xf numFmtId="2" fontId="138" fillId="0" borderId="13" xfId="29" quotePrefix="1" applyNumberFormat="1" applyFont="1" applyFill="1" applyBorder="1" applyAlignment="1" applyProtection="1"/>
    <xf numFmtId="183" fontId="139" fillId="4" borderId="11" xfId="29" quotePrefix="1" applyNumberFormat="1" applyFont="1" applyFill="1" applyBorder="1" applyAlignment="1" applyProtection="1"/>
    <xf numFmtId="4" fontId="140" fillId="0" borderId="13" xfId="50" applyNumberFormat="1" applyFont="1" applyFill="1" applyBorder="1" applyAlignment="1" applyProtection="1"/>
    <xf numFmtId="166" fontId="139" fillId="0" borderId="11" xfId="29" quotePrefix="1" applyNumberFormat="1" applyFont="1" applyFill="1" applyBorder="1" applyAlignment="1" applyProtection="1"/>
    <xf numFmtId="183" fontId="139" fillId="4" borderId="11" xfId="30" applyNumberFormat="1" applyFont="1" applyFill="1" applyBorder="1" applyProtection="1"/>
    <xf numFmtId="183" fontId="139" fillId="4" borderId="11" xfId="30" quotePrefix="1" applyNumberFormat="1" applyFont="1" applyFill="1" applyBorder="1" applyAlignment="1" applyProtection="1"/>
    <xf numFmtId="165" fontId="138" fillId="0" borderId="13" xfId="50" quotePrefix="1" applyNumberFormat="1" applyFont="1" applyFill="1" applyBorder="1" applyAlignment="1" applyProtection="1"/>
    <xf numFmtId="165" fontId="138" fillId="0" borderId="17" xfId="50" quotePrefix="1" applyNumberFormat="1" applyFont="1" applyFill="1" applyBorder="1" applyAlignment="1" applyProtection="1"/>
    <xf numFmtId="183" fontId="138" fillId="0" borderId="17" xfId="30" applyNumberFormat="1" applyFont="1" applyFill="1" applyBorder="1" applyProtection="1"/>
    <xf numFmtId="183" fontId="138" fillId="0" borderId="13" xfId="50" applyNumberFormat="1" applyFont="1" applyFill="1" applyBorder="1" applyProtection="1">
      <protection locked="0"/>
    </xf>
    <xf numFmtId="166" fontId="138" fillId="0" borderId="13" xfId="0" applyNumberFormat="1" applyFont="1" applyBorder="1"/>
    <xf numFmtId="183" fontId="138" fillId="0" borderId="0" xfId="30" quotePrefix="1" applyNumberFormat="1" applyFont="1" applyFill="1" applyBorder="1" applyAlignment="1" applyProtection="1"/>
    <xf numFmtId="183" fontId="140" fillId="0" borderId="13" xfId="30" quotePrefix="1" applyNumberFormat="1" applyFont="1" applyFill="1" applyBorder="1" applyAlignment="1" applyProtection="1">
      <alignment horizontal="right"/>
    </xf>
    <xf numFmtId="175" fontId="138" fillId="0" borderId="13" xfId="29" quotePrefix="1" applyNumberFormat="1" applyFont="1" applyFill="1" applyBorder="1" applyAlignment="1" applyProtection="1"/>
    <xf numFmtId="183" fontId="138" fillId="0" borderId="19" xfId="30" quotePrefix="1" applyNumberFormat="1" applyFont="1" applyFill="1" applyBorder="1" applyAlignment="1" applyProtection="1"/>
    <xf numFmtId="165" fontId="138" fillId="0" borderId="0" xfId="50" quotePrefix="1" applyFont="1" applyFill="1" applyBorder="1" applyAlignment="1" applyProtection="1"/>
    <xf numFmtId="37" fontId="138" fillId="0" borderId="13" xfId="0" applyFont="1" applyFill="1" applyBorder="1" applyProtection="1"/>
    <xf numFmtId="183" fontId="139" fillId="0" borderId="11" xfId="30" applyNumberFormat="1" applyFont="1" applyFill="1" applyBorder="1" applyProtection="1"/>
    <xf numFmtId="166" fontId="138" fillId="0" borderId="13" xfId="30" applyNumberFormat="1" applyFont="1" applyFill="1" applyBorder="1" applyProtection="1"/>
    <xf numFmtId="37" fontId="138" fillId="0" borderId="0" xfId="0" applyFont="1" applyFill="1" applyBorder="1" applyProtection="1"/>
    <xf numFmtId="166" fontId="138" fillId="0" borderId="13" xfId="29" applyNumberFormat="1" applyFont="1" applyFill="1" applyBorder="1" applyProtection="1"/>
    <xf numFmtId="183" fontId="138" fillId="0" borderId="13" xfId="50" applyNumberFormat="1" applyFont="1" applyFill="1" applyBorder="1" applyProtection="1"/>
    <xf numFmtId="168" fontId="139" fillId="0" borderId="19" xfId="30" applyNumberFormat="1" applyFont="1" applyFill="1" applyBorder="1" applyProtection="1"/>
    <xf numFmtId="183" fontId="138" fillId="0" borderId="0" xfId="0" applyNumberFormat="1" applyFont="1" applyFill="1" applyBorder="1" applyProtection="1"/>
    <xf numFmtId="167" fontId="140" fillId="12" borderId="0" xfId="0" applyNumberFormat="1" applyFont="1" applyFill="1" applyBorder="1" applyProtection="1"/>
    <xf numFmtId="178" fontId="138" fillId="0" borderId="13" xfId="0" applyNumberFormat="1" applyFont="1" applyFill="1" applyBorder="1" applyProtection="1"/>
    <xf numFmtId="183" fontId="138" fillId="0" borderId="13" xfId="29" applyNumberFormat="1" applyFont="1" applyFill="1" applyBorder="1" applyProtection="1">
      <protection locked="0"/>
    </xf>
    <xf numFmtId="183" fontId="138" fillId="0" borderId="13" xfId="30" quotePrefix="1" applyNumberFormat="1" applyFont="1" applyFill="1" applyBorder="1" applyAlignment="1" applyProtection="1">
      <alignment horizontal="right"/>
    </xf>
    <xf numFmtId="166" fontId="138" fillId="0" borderId="13" xfId="50" applyNumberFormat="1" applyFont="1" applyFill="1" applyBorder="1" applyProtection="1">
      <protection locked="0"/>
    </xf>
    <xf numFmtId="183" fontId="138" fillId="0" borderId="13" xfId="30" applyNumberFormat="1" applyFont="1" applyFill="1" applyBorder="1" applyProtection="1">
      <protection locked="0"/>
    </xf>
    <xf numFmtId="166" fontId="138" fillId="0" borderId="13" xfId="29" applyNumberFormat="1" applyFont="1" applyFill="1" applyBorder="1" applyProtection="1">
      <protection locked="0"/>
    </xf>
    <xf numFmtId="37" fontId="138" fillId="0" borderId="13" xfId="0" applyNumberFormat="1" applyFont="1" applyFill="1" applyBorder="1" applyProtection="1">
      <protection locked="0"/>
    </xf>
    <xf numFmtId="168" fontId="138" fillId="0" borderId="13" xfId="50" applyNumberFormat="1" applyFont="1" applyFill="1" applyBorder="1" applyAlignment="1" applyProtection="1">
      <alignment horizontal="right"/>
    </xf>
    <xf numFmtId="166" fontId="138" fillId="0" borderId="13" xfId="50" applyNumberFormat="1" applyFont="1" applyFill="1" applyBorder="1" applyAlignment="1" applyProtection="1">
      <alignment horizontal="right"/>
    </xf>
    <xf numFmtId="166" fontId="139" fillId="0" borderId="13" xfId="0" applyNumberFormat="1" applyFont="1" applyFill="1" applyBorder="1"/>
    <xf numFmtId="37" fontId="139" fillId="0" borderId="13" xfId="0" applyFont="1" applyFill="1" applyBorder="1"/>
    <xf numFmtId="185" fontId="138" fillId="0" borderId="13" xfId="0" applyNumberFormat="1" applyFont="1" applyFill="1" applyBorder="1" applyAlignment="1" applyProtection="1">
      <alignment horizontal="right"/>
    </xf>
    <xf numFmtId="39" fontId="138" fillId="0" borderId="13" xfId="0" applyNumberFormat="1" applyFont="1" applyFill="1" applyBorder="1" applyAlignment="1" applyProtection="1">
      <alignment horizontal="right"/>
    </xf>
    <xf numFmtId="192" fontId="138" fillId="0" borderId="13" xfId="0" applyNumberFormat="1" applyFont="1" applyFill="1" applyBorder="1" applyAlignment="1" applyProtection="1">
      <alignment horizontal="right"/>
    </xf>
    <xf numFmtId="175" fontId="138" fillId="0" borderId="13" xfId="0" applyNumberFormat="1" applyFont="1" applyFill="1" applyBorder="1" applyAlignment="1" applyProtection="1">
      <alignment horizontal="right"/>
    </xf>
    <xf numFmtId="189" fontId="138" fillId="0" borderId="13" xfId="29" applyNumberFormat="1" applyFont="1" applyFill="1" applyBorder="1" applyAlignment="1" applyProtection="1">
      <alignment horizontal="right"/>
    </xf>
    <xf numFmtId="180" fontId="138" fillId="0" borderId="13" xfId="0" applyNumberFormat="1" applyFont="1" applyFill="1" applyBorder="1" applyAlignment="1" applyProtection="1">
      <alignment horizontal="right"/>
    </xf>
    <xf numFmtId="166" fontId="140" fillId="0" borderId="24" xfId="0" applyNumberFormat="1" applyFont="1" applyFill="1" applyBorder="1" applyAlignment="1" applyProtection="1">
      <alignment horizontal="right"/>
    </xf>
    <xf numFmtId="166" fontId="140" fillId="0" borderId="13" xfId="0" applyNumberFormat="1" applyFont="1" applyFill="1" applyBorder="1" applyAlignment="1" applyProtection="1">
      <alignment horizontal="right"/>
    </xf>
    <xf numFmtId="180" fontId="138" fillId="0" borderId="24" xfId="0" applyNumberFormat="1" applyFont="1" applyFill="1" applyBorder="1" applyAlignment="1" applyProtection="1">
      <alignment horizontal="right"/>
    </xf>
    <xf numFmtId="166" fontId="140" fillId="0" borderId="19" xfId="0" applyNumberFormat="1" applyFont="1" applyFill="1" applyBorder="1" applyAlignment="1" applyProtection="1">
      <alignment horizontal="right"/>
    </xf>
    <xf numFmtId="183" fontId="141" fillId="0" borderId="13" xfId="50" applyNumberFormat="1" applyFont="1" applyFill="1" applyBorder="1" applyProtection="1">
      <protection locked="0"/>
    </xf>
    <xf numFmtId="183" fontId="139" fillId="0" borderId="13" xfId="50" applyNumberFormat="1" applyFont="1" applyFill="1" applyBorder="1" applyProtection="1">
      <protection locked="0"/>
    </xf>
    <xf numFmtId="9" fontId="138" fillId="11" borderId="13" xfId="0" applyNumberFormat="1" applyFont="1" applyFill="1" applyBorder="1" applyProtection="1"/>
    <xf numFmtId="166" fontId="138" fillId="11" borderId="13" xfId="0" applyNumberFormat="1" applyFont="1" applyFill="1" applyBorder="1" applyProtection="1"/>
    <xf numFmtId="37" fontId="143" fillId="0" borderId="0" xfId="0" applyFont="1"/>
    <xf numFmtId="166" fontId="138" fillId="4" borderId="0" xfId="29" quotePrefix="1" applyNumberFormat="1" applyFont="1" applyFill="1" applyBorder="1" applyAlignment="1" applyProtection="1"/>
    <xf numFmtId="166" fontId="138" fillId="0" borderId="0" xfId="29" quotePrefix="1" applyNumberFormat="1" applyFont="1" applyFill="1" applyBorder="1" applyAlignment="1" applyProtection="1"/>
    <xf numFmtId="164" fontId="1" fillId="0" borderId="17" xfId="0" applyNumberFormat="1" applyFont="1" applyFill="1" applyBorder="1" applyAlignment="1" applyProtection="1">
      <alignment horizontal="right"/>
    </xf>
    <xf numFmtId="167" fontId="41" fillId="0" borderId="0" xfId="0" applyNumberFormat="1" applyFont="1" applyFill="1" applyBorder="1" applyProtection="1"/>
    <xf numFmtId="37" fontId="0" fillId="0" borderId="0" xfId="0" applyFill="1" applyBorder="1"/>
    <xf numFmtId="166" fontId="1" fillId="0" borderId="0" xfId="29" applyNumberFormat="1" applyFont="1" applyFill="1" applyBorder="1" applyAlignment="1" applyProtection="1"/>
    <xf numFmtId="168" fontId="8" fillId="0" borderId="0" xfId="50" applyNumberFormat="1" applyFont="1" applyFill="1" applyBorder="1" applyAlignment="1" applyProtection="1"/>
    <xf numFmtId="164" fontId="8" fillId="0" borderId="0" xfId="0" quotePrefix="1" applyNumberFormat="1" applyFont="1" applyFill="1" applyBorder="1" applyAlignment="1" applyProtection="1">
      <alignment horizontal="right"/>
    </xf>
    <xf numFmtId="4" fontId="41" fillId="0" borderId="0" xfId="50" quotePrefix="1" applyNumberFormat="1" applyFont="1" applyFill="1" applyBorder="1" applyAlignment="1" applyProtection="1"/>
    <xf numFmtId="183" fontId="44" fillId="0" borderId="0" xfId="29" quotePrefix="1" applyNumberFormat="1" applyFont="1" applyFill="1" applyBorder="1" applyAlignment="1" applyProtection="1"/>
    <xf numFmtId="165" fontId="76" fillId="0" borderId="0" xfId="50" applyFont="1" applyFill="1" applyBorder="1" applyProtection="1"/>
    <xf numFmtId="166" fontId="8" fillId="0" borderId="0" xfId="29" quotePrefix="1" applyNumberFormat="1" applyFont="1" applyFill="1" applyBorder="1" applyAlignment="1" applyProtection="1"/>
    <xf numFmtId="175" fontId="6" fillId="0" borderId="0" xfId="29" quotePrefix="1" applyNumberFormat="1" applyFont="1" applyFill="1" applyBorder="1" applyAlignment="1" applyProtection="1"/>
    <xf numFmtId="168" fontId="139" fillId="4" borderId="11" xfId="30" applyNumberFormat="1" applyFont="1" applyFill="1" applyBorder="1" applyAlignment="1" applyProtection="1"/>
    <xf numFmtId="183" fontId="145" fillId="0" borderId="0" xfId="29" applyNumberFormat="1" applyFont="1" applyFill="1" applyBorder="1"/>
    <xf numFmtId="183" fontId="144" fillId="0" borderId="0" xfId="29" applyNumberFormat="1" applyFont="1" applyFill="1" applyBorder="1" applyProtection="1"/>
    <xf numFmtId="183" fontId="144" fillId="0" borderId="13" xfId="29" applyNumberFormat="1" applyFont="1" applyFill="1" applyBorder="1"/>
    <xf numFmtId="37" fontId="8" fillId="14" borderId="9" xfId="29" applyFont="1" applyFill="1" applyBorder="1" applyAlignment="1" applyProtection="1">
      <alignment horizontal="left"/>
    </xf>
    <xf numFmtId="37" fontId="8" fillId="14" borderId="10" xfId="29" applyFont="1" applyFill="1" applyBorder="1" applyAlignment="1" applyProtection="1">
      <alignment horizontal="left"/>
    </xf>
    <xf numFmtId="164" fontId="8" fillId="14" borderId="9" xfId="0" applyNumberFormat="1" applyFont="1" applyFill="1" applyBorder="1" applyAlignment="1" applyProtection="1">
      <alignment horizontal="right"/>
    </xf>
    <xf numFmtId="164" fontId="8" fillId="14" borderId="10" xfId="0" applyNumberFormat="1" applyFont="1" applyFill="1" applyBorder="1" applyAlignment="1" applyProtection="1">
      <alignment horizontal="right"/>
    </xf>
    <xf numFmtId="164" fontId="8" fillId="14" borderId="11" xfId="0" applyNumberFormat="1" applyFont="1" applyFill="1" applyBorder="1" applyAlignment="1" applyProtection="1">
      <alignment horizontal="right"/>
    </xf>
    <xf numFmtId="1" fontId="8" fillId="14" borderId="10" xfId="0" applyNumberFormat="1" applyFont="1" applyFill="1" applyBorder="1" applyAlignment="1" applyProtection="1">
      <alignment horizontal="right"/>
    </xf>
    <xf numFmtId="1" fontId="8" fillId="14" borderId="11" xfId="0" applyNumberFormat="1" applyFont="1" applyFill="1" applyBorder="1" applyAlignment="1" applyProtection="1">
      <alignment horizontal="right"/>
    </xf>
    <xf numFmtId="1" fontId="139" fillId="14" borderId="11" xfId="0" applyNumberFormat="1" applyFont="1" applyFill="1" applyBorder="1" applyAlignment="1" applyProtection="1">
      <alignment horizontal="right"/>
    </xf>
    <xf numFmtId="183" fontId="146" fillId="0" borderId="0" xfId="29" applyNumberFormat="1" applyFont="1" applyFill="1" applyBorder="1" applyProtection="1"/>
    <xf numFmtId="37" fontId="6" fillId="15" borderId="14" xfId="0" applyFont="1" applyFill="1" applyBorder="1"/>
    <xf numFmtId="179" fontId="8" fillId="15" borderId="16" xfId="0" applyNumberFormat="1" applyFont="1" applyFill="1" applyBorder="1"/>
    <xf numFmtId="0" fontId="8" fillId="15" borderId="16" xfId="0" applyNumberFormat="1" applyFont="1" applyFill="1" applyBorder="1" applyAlignment="1">
      <alignment horizontal="right"/>
    </xf>
    <xf numFmtId="0" fontId="8" fillId="15" borderId="15" xfId="0" applyNumberFormat="1" applyFont="1" applyFill="1" applyBorder="1" applyAlignment="1">
      <alignment horizontal="right"/>
    </xf>
    <xf numFmtId="37" fontId="6" fillId="15" borderId="24" xfId="0" applyFont="1" applyFill="1" applyBorder="1"/>
    <xf numFmtId="37" fontId="8" fillId="15" borderId="0" xfId="0" applyFont="1" applyFill="1" applyBorder="1" applyAlignment="1">
      <alignment horizontal="right"/>
    </xf>
    <xf numFmtId="37" fontId="6" fillId="15" borderId="0" xfId="0" applyFont="1" applyFill="1" applyBorder="1"/>
    <xf numFmtId="37" fontId="8" fillId="15" borderId="0" xfId="0" applyFont="1" applyFill="1" applyBorder="1" applyAlignment="1">
      <alignment horizontal="center"/>
    </xf>
    <xf numFmtId="37" fontId="8" fillId="15" borderId="17" xfId="0" applyFont="1" applyFill="1" applyBorder="1" applyAlignment="1">
      <alignment horizontal="right"/>
    </xf>
    <xf numFmtId="37" fontId="8" fillId="15" borderId="23" xfId="0" applyFont="1" applyFill="1" applyBorder="1"/>
    <xf numFmtId="37" fontId="8" fillId="15" borderId="21" xfId="0" applyFont="1" applyFill="1" applyBorder="1" applyAlignment="1">
      <alignment horizontal="right"/>
    </xf>
    <xf numFmtId="37" fontId="6" fillId="15" borderId="21" xfId="0" applyFont="1" applyFill="1" applyBorder="1"/>
    <xf numFmtId="37" fontId="8" fillId="15" borderId="21" xfId="0" applyFont="1" applyFill="1" applyBorder="1" applyAlignment="1">
      <alignment horizontal="center"/>
    </xf>
    <xf numFmtId="37" fontId="8" fillId="15" borderId="22" xfId="0" applyFont="1" applyFill="1" applyBorder="1" applyAlignment="1">
      <alignment horizontal="right"/>
    </xf>
    <xf numFmtId="5" fontId="6" fillId="15" borderId="24" xfId="30" applyFont="1" applyFill="1" applyBorder="1" applyAlignment="1" applyProtection="1">
      <alignment horizontal="left"/>
    </xf>
    <xf numFmtId="5" fontId="6" fillId="15" borderId="16" xfId="0" applyNumberFormat="1" applyFont="1" applyFill="1" applyBorder="1"/>
    <xf numFmtId="37" fontId="6" fillId="15" borderId="16" xfId="0" applyFont="1" applyFill="1" applyBorder="1" applyAlignment="1">
      <alignment horizontal="center"/>
    </xf>
    <xf numFmtId="177" fontId="26" fillId="15" borderId="16" xfId="0" applyNumberFormat="1" applyFont="1" applyFill="1" applyBorder="1" applyAlignment="1">
      <alignment horizontal="center"/>
    </xf>
    <xf numFmtId="37" fontId="6" fillId="15" borderId="16" xfId="0" quotePrefix="1" applyFont="1" applyFill="1" applyBorder="1" applyAlignment="1">
      <alignment horizontal="center"/>
    </xf>
    <xf numFmtId="5" fontId="6" fillId="15" borderId="15" xfId="0" applyNumberFormat="1" applyFont="1" applyFill="1" applyBorder="1"/>
    <xf numFmtId="37" fontId="6" fillId="15" borderId="0" xfId="0" applyNumberFormat="1" applyFont="1" applyFill="1" applyBorder="1"/>
    <xf numFmtId="37" fontId="6" fillId="15" borderId="0" xfId="0" applyFont="1" applyFill="1" applyBorder="1" applyAlignment="1">
      <alignment horizontal="center"/>
    </xf>
    <xf numFmtId="177" fontId="26" fillId="15" borderId="0" xfId="0" applyNumberFormat="1" applyFont="1" applyFill="1" applyBorder="1" applyAlignment="1">
      <alignment horizontal="center"/>
    </xf>
    <xf numFmtId="37" fontId="6" fillId="15" borderId="0" xfId="0" quotePrefix="1" applyFont="1" applyFill="1" applyBorder="1" applyAlignment="1">
      <alignment horizontal="center"/>
    </xf>
    <xf numFmtId="37" fontId="6" fillId="15" borderId="17" xfId="0" applyNumberFormat="1" applyFont="1" applyFill="1" applyBorder="1"/>
    <xf numFmtId="37" fontId="6" fillId="15" borderId="24" xfId="29" applyFont="1" applyFill="1" applyBorder="1" applyAlignment="1" applyProtection="1">
      <alignment horizontal="left"/>
    </xf>
    <xf numFmtId="37" fontId="8" fillId="15" borderId="14" xfId="29" applyFont="1" applyFill="1" applyBorder="1" applyAlignment="1" applyProtection="1">
      <alignment horizontal="left"/>
    </xf>
    <xf numFmtId="5" fontId="8" fillId="15" borderId="16" xfId="0" applyNumberFormat="1" applyFont="1" applyFill="1" applyBorder="1"/>
    <xf numFmtId="37" fontId="8" fillId="15" borderId="16" xfId="0" applyFont="1" applyFill="1" applyBorder="1" applyAlignment="1">
      <alignment horizontal="center"/>
    </xf>
    <xf numFmtId="177" fontId="8" fillId="15" borderId="16" xfId="0" applyNumberFormat="1" applyFont="1" applyFill="1" applyBorder="1" applyAlignment="1">
      <alignment horizontal="center"/>
    </xf>
    <xf numFmtId="37" fontId="8" fillId="15" borderId="16" xfId="0" quotePrefix="1" applyFont="1" applyFill="1" applyBorder="1" applyAlignment="1">
      <alignment horizontal="center"/>
    </xf>
    <xf numFmtId="5" fontId="8" fillId="15" borderId="15" xfId="0" applyNumberFormat="1" applyFont="1" applyFill="1" applyBorder="1"/>
    <xf numFmtId="37" fontId="6" fillId="15" borderId="23" xfId="0" applyFont="1" applyFill="1" applyBorder="1" applyAlignment="1">
      <alignment horizontal="left"/>
    </xf>
    <xf numFmtId="37" fontId="6" fillId="15" borderId="21" xfId="0" applyNumberFormat="1" applyFont="1" applyFill="1" applyBorder="1"/>
    <xf numFmtId="37" fontId="6" fillId="15" borderId="21" xfId="0" applyFont="1" applyFill="1" applyBorder="1" applyAlignment="1">
      <alignment horizontal="center"/>
    </xf>
    <xf numFmtId="177" fontId="6" fillId="15" borderId="21" xfId="0" applyNumberFormat="1" applyFont="1" applyFill="1" applyBorder="1" applyAlignment="1">
      <alignment horizontal="center"/>
    </xf>
    <xf numFmtId="37" fontId="6" fillId="15" borderId="21" xfId="0" quotePrefix="1" applyFont="1" applyFill="1" applyBorder="1" applyAlignment="1">
      <alignment horizontal="center"/>
    </xf>
    <xf numFmtId="37" fontId="6" fillId="15" borderId="22" xfId="0" applyNumberFormat="1" applyFont="1" applyFill="1" applyBorder="1"/>
    <xf numFmtId="37" fontId="8" fillId="15" borderId="24" xfId="0" applyFont="1" applyFill="1" applyBorder="1"/>
    <xf numFmtId="5" fontId="8" fillId="15" borderId="0" xfId="0" applyNumberFormat="1" applyFont="1" applyFill="1" applyBorder="1" applyAlignment="1">
      <alignment horizontal="right"/>
    </xf>
    <xf numFmtId="183" fontId="6" fillId="15" borderId="0" xfId="0" applyNumberFormat="1" applyFont="1" applyFill="1" applyBorder="1"/>
    <xf numFmtId="177" fontId="8" fillId="15" borderId="0" xfId="0" applyNumberFormat="1" applyFont="1" applyFill="1" applyBorder="1" applyAlignment="1">
      <alignment horizontal="center"/>
    </xf>
    <xf numFmtId="5" fontId="8" fillId="15" borderId="17" xfId="0" applyNumberFormat="1" applyFont="1" applyFill="1" applyBorder="1" applyAlignment="1">
      <alignment horizontal="right"/>
    </xf>
    <xf numFmtId="37" fontId="1" fillId="15" borderId="24" xfId="0" applyFont="1" applyFill="1" applyBorder="1" applyAlignment="1">
      <alignment horizontal="left"/>
    </xf>
    <xf numFmtId="37" fontId="1" fillId="15" borderId="17" xfId="0" applyNumberFormat="1" applyFont="1" applyFill="1" applyBorder="1"/>
    <xf numFmtId="166" fontId="39" fillId="15" borderId="0" xfId="0" applyNumberFormat="1" applyFont="1" applyFill="1" applyBorder="1"/>
    <xf numFmtId="37" fontId="39" fillId="15" borderId="0" xfId="0" applyFont="1" applyFill="1" applyBorder="1"/>
    <xf numFmtId="5" fontId="8" fillId="15" borderId="17" xfId="0" applyNumberFormat="1" applyFont="1" applyFill="1" applyBorder="1"/>
    <xf numFmtId="166" fontId="6" fillId="15" borderId="0" xfId="0" applyNumberFormat="1" applyFont="1" applyFill="1" applyBorder="1"/>
    <xf numFmtId="166" fontId="6" fillId="15" borderId="17" xfId="0" applyNumberFormat="1" applyFont="1" applyFill="1" applyBorder="1"/>
    <xf numFmtId="5" fontId="8" fillId="15" borderId="17" xfId="0" quotePrefix="1" applyNumberFormat="1" applyFont="1" applyFill="1" applyBorder="1"/>
    <xf numFmtId="37" fontId="1" fillId="15" borderId="24" xfId="0" applyFont="1" applyFill="1" applyBorder="1"/>
    <xf numFmtId="166" fontId="1" fillId="15" borderId="0" xfId="0" applyNumberFormat="1" applyFont="1" applyFill="1" applyBorder="1"/>
    <xf numFmtId="183" fontId="1" fillId="15" borderId="0" xfId="0" applyNumberFormat="1" applyFont="1" applyFill="1" applyBorder="1"/>
    <xf numFmtId="5" fontId="1" fillId="15" borderId="17" xfId="0" quotePrefix="1" applyNumberFormat="1" applyFont="1" applyFill="1" applyBorder="1"/>
    <xf numFmtId="5" fontId="8" fillId="15" borderId="22" xfId="0" quotePrefix="1" applyNumberFormat="1" applyFont="1" applyFill="1" applyBorder="1"/>
    <xf numFmtId="37" fontId="146" fillId="0" borderId="16" xfId="29" applyFont="1" applyFill="1" applyBorder="1" applyProtection="1"/>
    <xf numFmtId="37" fontId="146" fillId="0" borderId="0" xfId="29" applyFont="1" applyFill="1" applyBorder="1" applyProtection="1"/>
    <xf numFmtId="37" fontId="1" fillId="0" borderId="17" xfId="29" quotePrefix="1" applyFont="1" applyFill="1" applyBorder="1" applyAlignment="1" applyProtection="1"/>
    <xf numFmtId="37" fontId="1" fillId="0" borderId="0" xfId="29" quotePrefix="1" applyFont="1" applyFill="1" applyBorder="1" applyAlignment="1" applyProtection="1"/>
    <xf numFmtId="37" fontId="146" fillId="0" borderId="0" xfId="29" quotePrefix="1" applyFont="1" applyFill="1" applyBorder="1" applyAlignment="1" applyProtection="1"/>
    <xf numFmtId="37" fontId="8" fillId="15" borderId="24" xfId="0" applyFont="1" applyFill="1" applyBorder="1" applyAlignment="1" applyProtection="1"/>
    <xf numFmtId="37" fontId="8" fillId="15" borderId="0" xfId="0" applyFont="1" applyFill="1" applyBorder="1" applyAlignment="1" applyProtection="1">
      <alignment horizontal="left"/>
    </xf>
    <xf numFmtId="1" fontId="8" fillId="15" borderId="24" xfId="0" applyNumberFormat="1" applyFont="1" applyFill="1" applyBorder="1" applyAlignment="1" applyProtection="1">
      <alignment horizontal="right"/>
    </xf>
    <xf numFmtId="1" fontId="8" fillId="15" borderId="0" xfId="0" applyNumberFormat="1" applyFont="1" applyFill="1" applyBorder="1" applyAlignment="1" applyProtection="1">
      <alignment horizontal="right"/>
    </xf>
    <xf numFmtId="1" fontId="8" fillId="15" borderId="13" xfId="0" applyNumberFormat="1" applyFont="1" applyFill="1" applyBorder="1" applyAlignment="1" applyProtection="1">
      <alignment horizontal="right"/>
    </xf>
    <xf numFmtId="165" fontId="8" fillId="15" borderId="0" xfId="50" applyFont="1" applyFill="1" applyBorder="1" applyAlignment="1" applyProtection="1">
      <alignment horizontal="right"/>
    </xf>
    <xf numFmtId="1" fontId="8" fillId="15" borderId="13" xfId="30" applyNumberFormat="1" applyFont="1" applyFill="1" applyBorder="1" applyAlignment="1" applyProtection="1">
      <alignment horizontal="right"/>
    </xf>
    <xf numFmtId="1" fontId="8" fillId="15" borderId="0" xfId="30" applyNumberFormat="1" applyFont="1" applyFill="1" applyBorder="1" applyAlignment="1" applyProtection="1">
      <alignment horizontal="right"/>
    </xf>
    <xf numFmtId="1" fontId="8" fillId="15" borderId="25" xfId="30" applyNumberFormat="1" applyFont="1" applyFill="1" applyBorder="1" applyAlignment="1" applyProtection="1">
      <alignment horizontal="right"/>
    </xf>
    <xf numFmtId="1" fontId="8" fillId="15" borderId="14" xfId="30" applyNumberFormat="1" applyFont="1" applyFill="1" applyBorder="1" applyAlignment="1" applyProtection="1">
      <alignment horizontal="right"/>
    </xf>
    <xf numFmtId="1" fontId="8" fillId="15" borderId="16" xfId="30" applyNumberFormat="1" applyFont="1" applyFill="1" applyBorder="1" applyAlignment="1" applyProtection="1">
      <alignment horizontal="right"/>
    </xf>
    <xf numFmtId="1" fontId="8" fillId="15" borderId="15" xfId="30" applyNumberFormat="1" applyFont="1" applyFill="1" applyBorder="1" applyAlignment="1" applyProtection="1">
      <alignment horizontal="right"/>
    </xf>
    <xf numFmtId="165" fontId="8" fillId="15" borderId="25" xfId="50" applyFont="1" applyFill="1" applyBorder="1" applyAlignment="1" applyProtection="1">
      <alignment horizontal="right"/>
    </xf>
    <xf numFmtId="165" fontId="8" fillId="15" borderId="16" xfId="50" applyFont="1" applyFill="1" applyBorder="1" applyAlignment="1" applyProtection="1">
      <alignment horizontal="right"/>
    </xf>
    <xf numFmtId="165" fontId="139" fillId="15" borderId="25" xfId="50" applyFont="1" applyFill="1" applyBorder="1" applyAlignment="1" applyProtection="1">
      <alignment horizontal="right"/>
    </xf>
    <xf numFmtId="10" fontId="8" fillId="15" borderId="0" xfId="50" applyNumberFormat="1" applyFont="1" applyFill="1" applyBorder="1" applyAlignment="1" applyProtection="1">
      <alignment horizontal="right"/>
    </xf>
    <xf numFmtId="2" fontId="8" fillId="15" borderId="13" xfId="30" applyNumberFormat="1" applyFont="1" applyFill="1" applyBorder="1" applyAlignment="1" applyProtection="1">
      <alignment horizontal="right"/>
    </xf>
    <xf numFmtId="165" fontId="8" fillId="15" borderId="13" xfId="50" applyFont="1" applyFill="1" applyBorder="1" applyAlignment="1" applyProtection="1">
      <alignment horizontal="right"/>
    </xf>
    <xf numFmtId="165" fontId="1" fillId="15" borderId="0" xfId="50" applyFont="1" applyFill="1" applyBorder="1" applyAlignment="1" applyProtection="1">
      <alignment horizontal="right"/>
    </xf>
    <xf numFmtId="165" fontId="1" fillId="15" borderId="13" xfId="50" applyFont="1" applyFill="1" applyBorder="1" applyAlignment="1" applyProtection="1">
      <alignment horizontal="right"/>
    </xf>
    <xf numFmtId="165" fontId="1" fillId="15" borderId="24" xfId="50" applyFont="1" applyFill="1" applyBorder="1" applyAlignment="1" applyProtection="1">
      <alignment horizontal="right"/>
    </xf>
    <xf numFmtId="165" fontId="1" fillId="15" borderId="17" xfId="50" applyFont="1" applyFill="1" applyBorder="1" applyAlignment="1" applyProtection="1">
      <alignment horizontal="right"/>
    </xf>
    <xf numFmtId="4" fontId="1" fillId="15" borderId="0" xfId="50" applyNumberFormat="1" applyFont="1" applyFill="1" applyBorder="1" applyAlignment="1" applyProtection="1">
      <alignment horizontal="right"/>
    </xf>
    <xf numFmtId="37" fontId="6" fillId="15" borderId="24" xfId="0" applyFont="1" applyFill="1" applyBorder="1" applyAlignment="1" applyProtection="1">
      <alignment horizontal="left" indent="1"/>
    </xf>
    <xf numFmtId="37" fontId="41" fillId="15" borderId="0" xfId="0" applyFont="1" applyFill="1" applyBorder="1" applyAlignment="1" applyProtection="1">
      <alignment horizontal="centerContinuous"/>
    </xf>
    <xf numFmtId="183" fontId="6" fillId="15" borderId="24" xfId="30" applyNumberFormat="1" applyFont="1" applyFill="1" applyBorder="1" applyAlignment="1" applyProtection="1"/>
    <xf numFmtId="183" fontId="6" fillId="15" borderId="0" xfId="30" applyNumberFormat="1" applyFont="1" applyFill="1" applyBorder="1" applyAlignment="1" applyProtection="1"/>
    <xf numFmtId="183" fontId="6" fillId="15" borderId="13" xfId="30" applyNumberFormat="1" applyFont="1" applyFill="1" applyBorder="1" applyAlignment="1" applyProtection="1"/>
    <xf numFmtId="183" fontId="6" fillId="15" borderId="17" xfId="30" applyNumberFormat="1" applyFont="1" applyFill="1" applyBorder="1" applyAlignment="1" applyProtection="1"/>
    <xf numFmtId="183" fontId="138" fillId="15" borderId="13" xfId="30" applyNumberFormat="1" applyFont="1" applyFill="1" applyBorder="1" applyAlignment="1" applyProtection="1"/>
    <xf numFmtId="168" fontId="6" fillId="15" borderId="24" xfId="0" applyNumberFormat="1" applyFont="1" applyFill="1" applyBorder="1" applyAlignment="1" applyProtection="1">
      <alignment horizontal="left"/>
    </xf>
    <xf numFmtId="168" fontId="41" fillId="15" borderId="0" xfId="0" applyNumberFormat="1" applyFont="1" applyFill="1" applyBorder="1" applyAlignment="1" applyProtection="1">
      <alignment horizontal="centerContinuous"/>
    </xf>
    <xf numFmtId="168" fontId="6" fillId="15" borderId="24" xfId="0" applyNumberFormat="1" applyFont="1" applyFill="1" applyBorder="1" applyAlignment="1" applyProtection="1"/>
    <xf numFmtId="168" fontId="6" fillId="15" borderId="0" xfId="0" applyNumberFormat="1" applyFont="1" applyFill="1" applyBorder="1" applyAlignment="1" applyProtection="1"/>
    <xf numFmtId="168" fontId="6" fillId="15" borderId="13" xfId="0" applyNumberFormat="1" applyFont="1" applyFill="1" applyBorder="1" applyAlignment="1" applyProtection="1"/>
    <xf numFmtId="168" fontId="6" fillId="15" borderId="13" xfId="30" applyNumberFormat="1" applyFont="1" applyFill="1" applyBorder="1" applyAlignment="1" applyProtection="1"/>
    <xf numFmtId="168" fontId="6" fillId="15" borderId="17" xfId="0" applyNumberFormat="1" applyFont="1" applyFill="1" applyBorder="1" applyAlignment="1" applyProtection="1"/>
    <xf numFmtId="168" fontId="138" fillId="15" borderId="13" xfId="30" applyNumberFormat="1" applyFont="1" applyFill="1" applyBorder="1" applyAlignment="1" applyProtection="1"/>
    <xf numFmtId="166" fontId="6" fillId="15" borderId="24" xfId="0" applyNumberFormat="1" applyFont="1" applyFill="1" applyBorder="1" applyAlignment="1" applyProtection="1">
      <alignment horizontal="left"/>
    </xf>
    <xf numFmtId="166" fontId="41" fillId="15" borderId="0" xfId="0" applyNumberFormat="1" applyFont="1" applyFill="1" applyBorder="1" applyAlignment="1" applyProtection="1">
      <alignment horizontal="centerContinuous"/>
    </xf>
    <xf numFmtId="166" fontId="6" fillId="15" borderId="24" xfId="0" applyNumberFormat="1" applyFont="1" applyFill="1" applyBorder="1" applyAlignment="1" applyProtection="1"/>
    <xf numFmtId="166" fontId="6" fillId="15" borderId="0" xfId="0" applyNumberFormat="1" applyFont="1" applyFill="1" applyBorder="1" applyAlignment="1" applyProtection="1"/>
    <xf numFmtId="166" fontId="6" fillId="15" borderId="13" xfId="0" applyNumberFormat="1" applyFont="1" applyFill="1" applyBorder="1" applyAlignment="1" applyProtection="1"/>
    <xf numFmtId="166" fontId="6" fillId="15" borderId="17" xfId="0" applyNumberFormat="1" applyFont="1" applyFill="1" applyBorder="1" applyAlignment="1" applyProtection="1"/>
    <xf numFmtId="166" fontId="138" fillId="15" borderId="13" xfId="0" applyNumberFormat="1" applyFont="1" applyFill="1" applyBorder="1" applyAlignment="1" applyProtection="1"/>
    <xf numFmtId="166" fontId="26" fillId="15" borderId="0" xfId="0" applyNumberFormat="1" applyFont="1" applyFill="1" applyBorder="1" applyAlignment="1" applyProtection="1"/>
    <xf numFmtId="166" fontId="6" fillId="15" borderId="0" xfId="0" applyNumberFormat="1" applyFont="1" applyFill="1" applyBorder="1" applyAlignment="1" applyProtection="1">
      <alignment horizontal="right"/>
    </xf>
    <xf numFmtId="166" fontId="6" fillId="15" borderId="13" xfId="0" applyNumberFormat="1" applyFont="1" applyFill="1" applyBorder="1" applyAlignment="1" applyProtection="1">
      <alignment horizontal="right"/>
    </xf>
    <xf numFmtId="166" fontId="1" fillId="15" borderId="0" xfId="0" applyNumberFormat="1" applyFont="1" applyFill="1" applyBorder="1" applyAlignment="1" applyProtection="1">
      <alignment horizontal="right"/>
    </xf>
    <xf numFmtId="166" fontId="6" fillId="15" borderId="24" xfId="0" applyNumberFormat="1" applyFont="1" applyFill="1" applyBorder="1" applyAlignment="1" applyProtection="1">
      <alignment horizontal="right"/>
    </xf>
    <xf numFmtId="166" fontId="6" fillId="15" borderId="17" xfId="0" applyNumberFormat="1" applyFont="1" applyFill="1" applyBorder="1" applyAlignment="1" applyProtection="1">
      <alignment horizontal="right"/>
    </xf>
    <xf numFmtId="166" fontId="138" fillId="15" borderId="13" xfId="0" applyNumberFormat="1" applyFont="1" applyFill="1" applyBorder="1" applyAlignment="1" applyProtection="1">
      <alignment horizontal="right"/>
    </xf>
    <xf numFmtId="166" fontId="1" fillId="15" borderId="24" xfId="0" applyNumberFormat="1" applyFont="1" applyFill="1" applyBorder="1" applyAlignment="1" applyProtection="1">
      <alignment horizontal="left"/>
    </xf>
    <xf numFmtId="165" fontId="41" fillId="15" borderId="24" xfId="0" applyNumberFormat="1" applyFont="1" applyFill="1" applyBorder="1" applyAlignment="1">
      <alignment horizontal="left" indent="1"/>
    </xf>
    <xf numFmtId="165" fontId="41" fillId="15" borderId="0" xfId="0" applyNumberFormat="1" applyFont="1" applyFill="1" applyBorder="1" applyAlignment="1" applyProtection="1">
      <alignment horizontal="centerContinuous"/>
    </xf>
    <xf numFmtId="165" fontId="41" fillId="15" borderId="24" xfId="50" applyNumberFormat="1" applyFont="1" applyFill="1" applyBorder="1" applyAlignment="1" applyProtection="1"/>
    <xf numFmtId="165" fontId="41" fillId="15" borderId="0" xfId="50" applyNumberFormat="1" applyFont="1" applyFill="1" applyBorder="1" applyAlignment="1" applyProtection="1"/>
    <xf numFmtId="165" fontId="41" fillId="15" borderId="13" xfId="50" applyNumberFormat="1" applyFont="1" applyFill="1" applyBorder="1" applyAlignment="1" applyProtection="1">
      <alignment horizontal="right"/>
    </xf>
    <xf numFmtId="165" fontId="41" fillId="15" borderId="13" xfId="50" applyNumberFormat="1" applyFont="1" applyFill="1" applyBorder="1" applyAlignment="1" applyProtection="1"/>
    <xf numFmtId="165" fontId="140" fillId="15" borderId="13" xfId="50" applyNumberFormat="1" applyFont="1" applyFill="1" applyBorder="1" applyAlignment="1" applyProtection="1"/>
    <xf numFmtId="37" fontId="6" fillId="15" borderId="24" xfId="0" applyFont="1" applyFill="1" applyBorder="1" applyProtection="1"/>
    <xf numFmtId="37" fontId="26" fillId="15" borderId="24" xfId="0" applyFont="1" applyFill="1" applyBorder="1" applyAlignment="1" applyProtection="1">
      <alignment horizontal="centerContinuous"/>
    </xf>
    <xf numFmtId="37" fontId="26" fillId="15" borderId="0" xfId="0" applyFont="1" applyFill="1" applyBorder="1" applyAlignment="1" applyProtection="1">
      <alignment horizontal="centerContinuous"/>
    </xf>
    <xf numFmtId="166" fontId="26" fillId="15" borderId="0" xfId="0" applyNumberFormat="1" applyFont="1" applyFill="1" applyBorder="1" applyAlignment="1" applyProtection="1">
      <alignment horizontal="center"/>
    </xf>
    <xf numFmtId="165" fontId="26" fillId="15" borderId="0" xfId="50" applyFont="1" applyFill="1" applyBorder="1" applyAlignment="1" applyProtection="1">
      <alignment horizontal="center"/>
    </xf>
    <xf numFmtId="9" fontId="26" fillId="15" borderId="13" xfId="50" applyNumberFormat="1" applyFont="1" applyFill="1" applyBorder="1" applyAlignment="1" applyProtection="1">
      <alignment horizontal="center"/>
    </xf>
    <xf numFmtId="165" fontId="26" fillId="15" borderId="13" xfId="50" applyFont="1" applyFill="1" applyBorder="1" applyAlignment="1" applyProtection="1">
      <alignment horizontal="center"/>
    </xf>
    <xf numFmtId="166" fontId="26" fillId="15" borderId="13" xfId="0" applyNumberFormat="1" applyFont="1" applyFill="1" applyBorder="1" applyAlignment="1" applyProtection="1">
      <alignment horizontal="center"/>
    </xf>
    <xf numFmtId="167" fontId="26" fillId="15" borderId="13" xfId="0" applyNumberFormat="1" applyFont="1" applyFill="1" applyBorder="1" applyAlignment="1" applyProtection="1">
      <alignment horizontal="center"/>
    </xf>
    <xf numFmtId="165" fontId="114" fillId="15" borderId="0" xfId="50" applyFont="1" applyFill="1" applyBorder="1" applyAlignment="1" applyProtection="1">
      <alignment horizontal="center"/>
    </xf>
    <xf numFmtId="10" fontId="114" fillId="15" borderId="13" xfId="50" applyNumberFormat="1" applyFont="1" applyFill="1" applyBorder="1" applyAlignment="1" applyProtection="1">
      <alignment horizontal="center"/>
    </xf>
    <xf numFmtId="4" fontId="1" fillId="15" borderId="0" xfId="50" applyNumberFormat="1" applyFont="1" applyFill="1" applyBorder="1" applyAlignment="1" applyProtection="1">
      <alignment horizontal="center"/>
    </xf>
    <xf numFmtId="10" fontId="114" fillId="15" borderId="0" xfId="50" applyNumberFormat="1" applyFont="1" applyFill="1" applyBorder="1" applyAlignment="1" applyProtection="1">
      <alignment horizontal="center"/>
    </xf>
    <xf numFmtId="4" fontId="114" fillId="15" borderId="0" xfId="50" applyNumberFormat="1" applyFont="1" applyFill="1" applyBorder="1" applyAlignment="1" applyProtection="1">
      <alignment horizontal="center"/>
    </xf>
    <xf numFmtId="4" fontId="114" fillId="15" borderId="13" xfId="50" applyNumberFormat="1" applyFont="1" applyFill="1" applyBorder="1" applyAlignment="1" applyProtection="1">
      <alignment horizontal="center"/>
    </xf>
    <xf numFmtId="4" fontId="138" fillId="15" borderId="13" xfId="50" applyNumberFormat="1" applyFont="1" applyFill="1" applyBorder="1" applyAlignment="1" applyProtection="1">
      <alignment horizontal="center"/>
    </xf>
    <xf numFmtId="195" fontId="26" fillId="15" borderId="13" xfId="0" applyNumberFormat="1" applyFont="1" applyFill="1" applyBorder="1" applyAlignment="1" applyProtection="1">
      <alignment horizontal="center"/>
    </xf>
    <xf numFmtId="4" fontId="26" fillId="15" borderId="13" xfId="0" applyNumberFormat="1" applyFont="1" applyFill="1" applyBorder="1" applyAlignment="1" applyProtection="1">
      <alignment horizontal="center"/>
    </xf>
    <xf numFmtId="37" fontId="6" fillId="15" borderId="24" xfId="0" applyFont="1" applyFill="1" applyBorder="1" applyAlignment="1" applyProtection="1">
      <alignment horizontal="left"/>
    </xf>
    <xf numFmtId="183" fontId="41" fillId="15" borderId="0" xfId="0" applyNumberFormat="1" applyFont="1" applyFill="1" applyBorder="1" applyAlignment="1" applyProtection="1">
      <alignment horizontal="centerContinuous"/>
    </xf>
    <xf numFmtId="166" fontId="6" fillId="15" borderId="24" xfId="29" applyNumberFormat="1" applyFont="1" applyFill="1" applyBorder="1" applyAlignment="1" applyProtection="1">
      <alignment horizontal="left"/>
    </xf>
    <xf numFmtId="166" fontId="41" fillId="15" borderId="0" xfId="29" applyNumberFormat="1" applyFont="1" applyFill="1" applyBorder="1" applyAlignment="1" applyProtection="1">
      <alignment horizontal="centerContinuous"/>
    </xf>
    <xf numFmtId="183" fontId="6" fillId="15" borderId="24" xfId="29" applyNumberFormat="1" applyFont="1" applyFill="1" applyBorder="1" applyAlignment="1" applyProtection="1"/>
    <xf numFmtId="183" fontId="6" fillId="15" borderId="0" xfId="29" applyNumberFormat="1" applyFont="1" applyFill="1" applyBorder="1" applyAlignment="1" applyProtection="1"/>
    <xf numFmtId="183" fontId="6" fillId="15" borderId="13" xfId="29" applyNumberFormat="1" applyFont="1" applyFill="1" applyBorder="1" applyAlignment="1" applyProtection="1"/>
    <xf numFmtId="183" fontId="138" fillId="15" borderId="13" xfId="29" applyNumberFormat="1" applyFont="1" applyFill="1" applyBorder="1" applyAlignment="1" applyProtection="1"/>
    <xf numFmtId="183" fontId="6" fillId="15" borderId="17" xfId="29" applyNumberFormat="1" applyFont="1" applyFill="1" applyBorder="1" applyAlignment="1" applyProtection="1"/>
    <xf numFmtId="166" fontId="48" fillId="15" borderId="0" xfId="29" applyNumberFormat="1" applyFont="1" applyFill="1" applyBorder="1" applyAlignment="1" applyProtection="1">
      <alignment horizontal="centerContinuous"/>
    </xf>
    <xf numFmtId="166" fontId="39" fillId="15" borderId="24" xfId="29" applyNumberFormat="1" applyFont="1" applyFill="1" applyBorder="1" applyAlignment="1" applyProtection="1">
      <alignment horizontal="left"/>
    </xf>
    <xf numFmtId="183" fontId="39" fillId="15" borderId="24" xfId="29" applyNumberFormat="1" applyFont="1" applyFill="1" applyBorder="1" applyAlignment="1" applyProtection="1"/>
    <xf numFmtId="183" fontId="39" fillId="15" borderId="0" xfId="29" applyNumberFormat="1" applyFont="1" applyFill="1" applyBorder="1" applyAlignment="1" applyProtection="1"/>
    <xf numFmtId="183" fontId="39" fillId="15" borderId="13" xfId="29" applyNumberFormat="1" applyFont="1" applyFill="1" applyBorder="1" applyAlignment="1" applyProtection="1"/>
    <xf numFmtId="183" fontId="141" fillId="15" borderId="13" xfId="29" applyNumberFormat="1" applyFont="1" applyFill="1" applyBorder="1" applyAlignment="1" applyProtection="1"/>
    <xf numFmtId="183" fontId="39" fillId="15" borderId="17" xfId="29" applyNumberFormat="1" applyFont="1" applyFill="1" applyBorder="1" applyAlignment="1" applyProtection="1"/>
    <xf numFmtId="168" fontId="8" fillId="15" borderId="24" xfId="0" applyNumberFormat="1" applyFont="1" applyFill="1" applyBorder="1" applyAlignment="1" applyProtection="1">
      <alignment horizontal="left"/>
    </xf>
    <xf numFmtId="168" fontId="43" fillId="15" borderId="0" xfId="30" applyNumberFormat="1" applyFont="1" applyFill="1" applyBorder="1" applyAlignment="1" applyProtection="1"/>
    <xf numFmtId="183" fontId="8" fillId="15" borderId="24" xfId="30" applyNumberFormat="1" applyFont="1" applyFill="1" applyBorder="1" applyAlignment="1" applyProtection="1"/>
    <xf numFmtId="183" fontId="8" fillId="15" borderId="0" xfId="30" applyNumberFormat="1" applyFont="1" applyFill="1" applyBorder="1" applyAlignment="1" applyProtection="1"/>
    <xf numFmtId="183" fontId="8" fillId="15" borderId="13" xfId="30" applyNumberFormat="1" applyFont="1" applyFill="1" applyBorder="1" applyAlignment="1" applyProtection="1"/>
    <xf numFmtId="183" fontId="8" fillId="15" borderId="17" xfId="30" applyNumberFormat="1" applyFont="1" applyFill="1" applyBorder="1" applyAlignment="1" applyProtection="1"/>
    <xf numFmtId="37" fontId="41" fillId="15" borderId="24" xfId="0" applyFont="1" applyFill="1" applyBorder="1" applyAlignment="1" applyProtection="1">
      <alignment horizontal="left" indent="1"/>
    </xf>
    <xf numFmtId="165" fontId="41" fillId="15" borderId="24" xfId="50" applyFont="1" applyFill="1" applyBorder="1" applyAlignment="1" applyProtection="1"/>
    <xf numFmtId="165" fontId="41" fillId="15" borderId="0" xfId="50" applyFont="1" applyFill="1" applyBorder="1" applyAlignment="1" applyProtection="1"/>
    <xf numFmtId="165" fontId="41" fillId="15" borderId="13" xfId="50" applyFont="1" applyFill="1" applyBorder="1" applyAlignment="1" applyProtection="1"/>
    <xf numFmtId="165" fontId="140" fillId="15" borderId="13" xfId="50" applyFont="1" applyFill="1" applyBorder="1" applyAlignment="1" applyProtection="1"/>
    <xf numFmtId="165" fontId="41" fillId="15" borderId="13" xfId="50" applyFont="1" applyFill="1" applyBorder="1" applyAlignment="1" applyProtection="1">
      <alignment horizontal="right"/>
    </xf>
    <xf numFmtId="37" fontId="8" fillId="15" borderId="24" xfId="0" applyFont="1" applyFill="1" applyBorder="1" applyAlignment="1" applyProtection="1">
      <alignment horizontal="centerContinuous"/>
    </xf>
    <xf numFmtId="167" fontId="26" fillId="15" borderId="0" xfId="0" applyNumberFormat="1" applyFont="1" applyFill="1" applyBorder="1" applyAlignment="1" applyProtection="1">
      <alignment horizontal="centerContinuous"/>
    </xf>
    <xf numFmtId="165" fontId="26" fillId="15" borderId="13" xfId="50" applyFont="1" applyFill="1" applyBorder="1" applyProtection="1"/>
    <xf numFmtId="165" fontId="26" fillId="15" borderId="0" xfId="50" applyFont="1" applyFill="1" applyBorder="1" applyAlignment="1" applyProtection="1">
      <alignment horizontal="centerContinuous"/>
    </xf>
    <xf numFmtId="165" fontId="26" fillId="15" borderId="0" xfId="50" applyFont="1" applyFill="1" applyBorder="1" applyProtection="1"/>
    <xf numFmtId="37" fontId="26" fillId="15" borderId="13" xfId="0" applyFont="1" applyFill="1" applyBorder="1" applyProtection="1"/>
    <xf numFmtId="37" fontId="26" fillId="15" borderId="0" xfId="0" applyFont="1" applyFill="1" applyBorder="1" applyProtection="1"/>
    <xf numFmtId="37" fontId="26" fillId="15" borderId="24" xfId="0" applyFont="1" applyFill="1" applyBorder="1" applyProtection="1"/>
    <xf numFmtId="37" fontId="26" fillId="15" borderId="17" xfId="0" applyFont="1" applyFill="1" applyBorder="1" applyProtection="1"/>
    <xf numFmtId="165" fontId="138" fillId="15" borderId="13" xfId="50" applyFont="1" applyFill="1" applyBorder="1" applyProtection="1"/>
    <xf numFmtId="183" fontId="6" fillId="15" borderId="13" xfId="30" applyNumberFormat="1" applyFont="1" applyFill="1" applyBorder="1" applyAlignment="1" applyProtection="1">
      <alignment horizontal="right"/>
    </xf>
    <xf numFmtId="183" fontId="6" fillId="15" borderId="0" xfId="30" applyNumberFormat="1" applyFont="1" applyFill="1" applyBorder="1" applyAlignment="1" applyProtection="1">
      <alignment horizontal="right"/>
    </xf>
    <xf numFmtId="10" fontId="6" fillId="15" borderId="13" xfId="50" applyNumberFormat="1" applyFont="1" applyFill="1" applyBorder="1" applyAlignment="1" applyProtection="1">
      <alignment horizontal="right"/>
    </xf>
    <xf numFmtId="165" fontId="6" fillId="15" borderId="13" xfId="50" applyFont="1" applyFill="1" applyBorder="1" applyAlignment="1" applyProtection="1">
      <alignment horizontal="right"/>
    </xf>
    <xf numFmtId="165" fontId="6" fillId="15" borderId="24" xfId="50" applyFont="1" applyFill="1" applyBorder="1" applyAlignment="1" applyProtection="1">
      <alignment horizontal="right"/>
    </xf>
    <xf numFmtId="165" fontId="6" fillId="15" borderId="0" xfId="50" applyFont="1" applyFill="1" applyBorder="1" applyAlignment="1" applyProtection="1">
      <alignment horizontal="right"/>
    </xf>
    <xf numFmtId="165" fontId="6" fillId="15" borderId="17" xfId="50" applyFont="1" applyFill="1" applyBorder="1" applyAlignment="1" applyProtection="1">
      <alignment horizontal="right"/>
    </xf>
    <xf numFmtId="165" fontId="138" fillId="15" borderId="13" xfId="50" applyFont="1" applyFill="1" applyBorder="1" applyAlignment="1" applyProtection="1">
      <alignment horizontal="right"/>
    </xf>
    <xf numFmtId="168" fontId="6" fillId="15" borderId="13" xfId="0" applyNumberFormat="1" applyFont="1" applyFill="1" applyBorder="1" applyAlignment="1" applyProtection="1">
      <alignment horizontal="right"/>
    </xf>
    <xf numFmtId="168" fontId="6" fillId="15" borderId="0" xfId="0" applyNumberFormat="1" applyFont="1" applyFill="1" applyBorder="1" applyAlignment="1" applyProtection="1">
      <alignment horizontal="right"/>
    </xf>
    <xf numFmtId="168" fontId="1" fillId="15" borderId="0" xfId="0" applyNumberFormat="1" applyFont="1" applyFill="1" applyBorder="1" applyAlignment="1" applyProtection="1">
      <alignment horizontal="right"/>
    </xf>
    <xf numFmtId="168" fontId="6" fillId="15" borderId="24" xfId="0" applyNumberFormat="1" applyFont="1" applyFill="1" applyBorder="1" applyAlignment="1" applyProtection="1">
      <alignment horizontal="right"/>
    </xf>
    <xf numFmtId="168" fontId="6" fillId="15" borderId="17" xfId="0" applyNumberFormat="1" applyFont="1" applyFill="1" applyBorder="1" applyAlignment="1" applyProtection="1">
      <alignment horizontal="right"/>
    </xf>
    <xf numFmtId="166" fontId="26" fillId="15" borderId="0" xfId="0" applyNumberFormat="1" applyFont="1" applyFill="1" applyBorder="1" applyAlignment="1" applyProtection="1">
      <alignment horizontal="right"/>
    </xf>
    <xf numFmtId="166" fontId="1" fillId="15" borderId="24" xfId="0" applyNumberFormat="1" applyFont="1" applyFill="1" applyBorder="1" applyAlignment="1" applyProtection="1">
      <alignment horizontal="right"/>
    </xf>
    <xf numFmtId="166" fontId="1" fillId="15" borderId="17" xfId="0" applyNumberFormat="1" applyFont="1" applyFill="1" applyBorder="1" applyAlignment="1" applyProtection="1">
      <alignment horizontal="right"/>
    </xf>
    <xf numFmtId="167" fontId="6" fillId="15" borderId="0" xfId="0" applyNumberFormat="1" applyFont="1" applyFill="1" applyBorder="1" applyAlignment="1" applyProtection="1">
      <alignment horizontal="right"/>
    </xf>
    <xf numFmtId="166" fontId="109" fillId="15" borderId="0" xfId="0" applyNumberFormat="1" applyFont="1" applyFill="1" applyBorder="1" applyAlignment="1" applyProtection="1">
      <alignment horizontal="right"/>
    </xf>
    <xf numFmtId="37" fontId="0" fillId="15" borderId="0" xfId="0" applyFill="1"/>
    <xf numFmtId="165" fontId="41" fillId="15" borderId="14" xfId="50" applyFont="1" applyFill="1" applyBorder="1" applyAlignment="1" applyProtection="1"/>
    <xf numFmtId="165" fontId="41" fillId="15" borderId="16" xfId="50" applyFont="1" applyFill="1" applyBorder="1" applyAlignment="1" applyProtection="1"/>
    <xf numFmtId="165" fontId="41" fillId="15" borderId="15" xfId="50" applyFont="1" applyFill="1" applyBorder="1" applyAlignment="1" applyProtection="1"/>
    <xf numFmtId="165" fontId="41" fillId="15" borderId="25" xfId="50" applyFont="1" applyFill="1" applyBorder="1" applyAlignment="1" applyProtection="1"/>
    <xf numFmtId="165" fontId="41" fillId="15" borderId="17" xfId="50" applyFont="1" applyFill="1" applyBorder="1" applyAlignment="1" applyProtection="1"/>
    <xf numFmtId="166" fontId="26" fillId="15" borderId="24" xfId="29" applyNumberFormat="1" applyFont="1" applyFill="1" applyBorder="1" applyAlignment="1" applyProtection="1"/>
    <xf numFmtId="166" fontId="26" fillId="15" borderId="0" xfId="29" applyNumberFormat="1" applyFont="1" applyFill="1" applyBorder="1" applyAlignment="1" applyProtection="1"/>
    <xf numFmtId="166" fontId="6" fillId="15" borderId="13" xfId="29" applyNumberFormat="1" applyFont="1" applyFill="1" applyBorder="1" applyAlignment="1" applyProtection="1"/>
    <xf numFmtId="166" fontId="26" fillId="15" borderId="21" xfId="29" applyNumberFormat="1" applyFont="1" applyFill="1" applyBorder="1" applyAlignment="1" applyProtection="1"/>
    <xf numFmtId="166" fontId="1" fillId="15" borderId="13" xfId="29" applyNumberFormat="1" applyFont="1" applyFill="1" applyBorder="1" applyAlignment="1" applyProtection="1"/>
    <xf numFmtId="166" fontId="123" fillId="15" borderId="21" xfId="29" applyNumberFormat="1" applyFont="1" applyFill="1" applyBorder="1" applyAlignment="1" applyProtection="1"/>
    <xf numFmtId="166" fontId="1" fillId="15" borderId="19" xfId="29" applyNumberFormat="1" applyFont="1" applyFill="1" applyBorder="1" applyAlignment="1" applyProtection="1"/>
    <xf numFmtId="166" fontId="138" fillId="15" borderId="19" xfId="29" applyNumberFormat="1" applyFont="1" applyFill="1" applyBorder="1" applyAlignment="1" applyProtection="1"/>
    <xf numFmtId="166" fontId="26" fillId="15" borderId="13" xfId="29" applyNumberFormat="1" applyFont="1" applyFill="1" applyBorder="1" applyAlignment="1" applyProtection="1"/>
    <xf numFmtId="165" fontId="41" fillId="15" borderId="0" xfId="50" applyFont="1" applyFill="1" applyBorder="1" applyAlignment="1" applyProtection="1">
      <alignment horizontal="right"/>
    </xf>
    <xf numFmtId="165" fontId="41" fillId="15" borderId="24" xfId="50" applyFont="1" applyFill="1" applyBorder="1" applyAlignment="1" applyProtection="1">
      <alignment horizontal="right"/>
    </xf>
    <xf numFmtId="165" fontId="41" fillId="15" borderId="17" xfId="50" applyFont="1" applyFill="1" applyBorder="1" applyAlignment="1" applyProtection="1">
      <alignment horizontal="right"/>
    </xf>
    <xf numFmtId="165" fontId="41" fillId="15" borderId="24" xfId="0" applyNumberFormat="1" applyFont="1" applyFill="1" applyBorder="1" applyAlignment="1">
      <alignment horizontal="left"/>
    </xf>
    <xf numFmtId="166" fontId="41" fillId="15" borderId="24" xfId="50" applyNumberFormat="1" applyFont="1" applyFill="1" applyBorder="1" applyAlignment="1" applyProtection="1">
      <alignment horizontal="right"/>
    </xf>
    <xf numFmtId="166" fontId="41" fillId="15" borderId="0" xfId="50" applyNumberFormat="1" applyFont="1" applyFill="1" applyBorder="1" applyAlignment="1" applyProtection="1">
      <alignment horizontal="right"/>
    </xf>
    <xf numFmtId="166" fontId="41" fillId="15" borderId="13" xfId="50" applyNumberFormat="1" applyFont="1" applyFill="1" applyBorder="1" applyAlignment="1" applyProtection="1">
      <alignment horizontal="right"/>
    </xf>
    <xf numFmtId="37" fontId="41" fillId="15" borderId="0" xfId="50" applyNumberFormat="1" applyFont="1" applyFill="1" applyBorder="1" applyAlignment="1" applyProtection="1">
      <alignment horizontal="right"/>
    </xf>
    <xf numFmtId="166" fontId="42" fillId="15" borderId="0" xfId="50" applyNumberFormat="1" applyFont="1" applyFill="1" applyBorder="1" applyAlignment="1" applyProtection="1">
      <alignment horizontal="right"/>
    </xf>
    <xf numFmtId="166" fontId="42" fillId="15" borderId="13" xfId="50" applyNumberFormat="1" applyFont="1" applyFill="1" applyBorder="1" applyAlignment="1" applyProtection="1">
      <alignment horizontal="right"/>
    </xf>
    <xf numFmtId="165" fontId="66" fillId="15" borderId="0" xfId="50" applyFont="1" applyFill="1" applyBorder="1" applyAlignment="1" applyProtection="1"/>
    <xf numFmtId="165" fontId="116" fillId="15" borderId="24" xfId="0" applyNumberFormat="1" applyFont="1" applyFill="1" applyBorder="1" applyAlignment="1">
      <alignment horizontal="left"/>
    </xf>
    <xf numFmtId="166" fontId="42" fillId="15" borderId="24" xfId="50" applyNumberFormat="1" applyFont="1" applyFill="1" applyBorder="1" applyAlignment="1" applyProtection="1">
      <alignment horizontal="right"/>
    </xf>
    <xf numFmtId="37" fontId="42" fillId="15" borderId="0" xfId="50" applyNumberFormat="1" applyFont="1" applyFill="1" applyBorder="1" applyAlignment="1" applyProtection="1">
      <alignment horizontal="right"/>
    </xf>
    <xf numFmtId="165" fontId="42" fillId="15" borderId="0" xfId="50" applyFont="1" applyFill="1" applyBorder="1" applyAlignment="1" applyProtection="1">
      <alignment horizontal="right"/>
    </xf>
    <xf numFmtId="168" fontId="41" fillId="15" borderId="13" xfId="30" applyNumberFormat="1" applyFont="1" applyFill="1" applyBorder="1" applyAlignment="1" applyProtection="1"/>
    <xf numFmtId="165" fontId="42" fillId="15" borderId="0" xfId="50" quotePrefix="1" applyFont="1" applyFill="1" applyBorder="1" applyAlignment="1" applyProtection="1">
      <alignment horizontal="right"/>
    </xf>
    <xf numFmtId="165" fontId="42" fillId="15" borderId="13" xfId="50" quotePrefix="1" applyFont="1" applyFill="1" applyBorder="1" applyAlignment="1" applyProtection="1">
      <alignment horizontal="right"/>
    </xf>
    <xf numFmtId="4" fontId="42" fillId="15" borderId="0" xfId="50" quotePrefix="1" applyNumberFormat="1" applyFont="1" applyFill="1" applyBorder="1" applyAlignment="1" applyProtection="1">
      <alignment horizontal="right"/>
    </xf>
    <xf numFmtId="168" fontId="1" fillId="15" borderId="24" xfId="0" applyNumberFormat="1" applyFont="1" applyFill="1" applyBorder="1" applyAlignment="1">
      <alignment horizontal="left"/>
    </xf>
    <xf numFmtId="168" fontId="1" fillId="15" borderId="0" xfId="0" applyNumberFormat="1" applyFont="1" applyFill="1" applyBorder="1" applyAlignment="1" applyProtection="1">
      <alignment horizontal="centerContinuous"/>
    </xf>
    <xf numFmtId="168" fontId="26" fillId="15" borderId="24" xfId="50" applyNumberFormat="1" applyFont="1" applyFill="1" applyBorder="1" applyAlignment="1" applyProtection="1">
      <alignment horizontal="right"/>
    </xf>
    <xf numFmtId="168" fontId="26" fillId="15" borderId="0" xfId="50" applyNumberFormat="1" applyFont="1" applyFill="1" applyBorder="1" applyAlignment="1" applyProtection="1">
      <alignment horizontal="right"/>
    </xf>
    <xf numFmtId="168" fontId="26" fillId="15" borderId="13" xfId="50" applyNumberFormat="1" applyFont="1" applyFill="1" applyBorder="1" applyAlignment="1" applyProtection="1">
      <alignment horizontal="right"/>
    </xf>
    <xf numFmtId="168" fontId="1" fillId="15" borderId="13" xfId="50" applyNumberFormat="1" applyFont="1" applyFill="1" applyBorder="1" applyAlignment="1" applyProtection="1">
      <alignment horizontal="right"/>
    </xf>
    <xf numFmtId="168" fontId="113" fillId="15" borderId="24" xfId="50" applyNumberFormat="1" applyFont="1" applyFill="1" applyBorder="1" applyAlignment="1" applyProtection="1"/>
    <xf numFmtId="168" fontId="113" fillId="15" borderId="0" xfId="50" applyNumberFormat="1" applyFont="1" applyFill="1" applyBorder="1" applyAlignment="1" applyProtection="1"/>
    <xf numFmtId="168" fontId="113" fillId="15" borderId="17" xfId="50" applyNumberFormat="1" applyFont="1" applyFill="1" applyBorder="1" applyAlignment="1" applyProtection="1"/>
    <xf numFmtId="168" fontId="1" fillId="15" borderId="13" xfId="50" applyNumberFormat="1" applyFont="1" applyFill="1" applyBorder="1" applyAlignment="1" applyProtection="1"/>
    <xf numFmtId="168" fontId="1" fillId="15" borderId="17" xfId="50" applyNumberFormat="1" applyFont="1" applyFill="1" applyBorder="1" applyAlignment="1" applyProtection="1"/>
    <xf numFmtId="168" fontId="1" fillId="15" borderId="24" xfId="50" applyNumberFormat="1" applyFont="1" applyFill="1" applyBorder="1" applyAlignment="1" applyProtection="1"/>
    <xf numFmtId="168" fontId="1" fillId="15" borderId="0" xfId="50" applyNumberFormat="1" applyFont="1" applyFill="1" applyBorder="1" applyAlignment="1" applyProtection="1"/>
    <xf numFmtId="168" fontId="138" fillId="15" borderId="13" xfId="50" applyNumberFormat="1" applyFont="1" applyFill="1" applyBorder="1" applyAlignment="1" applyProtection="1"/>
    <xf numFmtId="168" fontId="8" fillId="15" borderId="13" xfId="50" applyNumberFormat="1" applyFont="1" applyFill="1" applyBorder="1" applyAlignment="1" applyProtection="1"/>
    <xf numFmtId="168" fontId="139" fillId="15" borderId="13" xfId="50" applyNumberFormat="1" applyFont="1" applyFill="1" applyBorder="1" applyAlignment="1" applyProtection="1"/>
    <xf numFmtId="5" fontId="41" fillId="15" borderId="0" xfId="30" applyFont="1" applyFill="1" applyBorder="1" applyAlignment="1" applyProtection="1"/>
    <xf numFmtId="4" fontId="41" fillId="15" borderId="0" xfId="50" applyNumberFormat="1" applyFont="1" applyFill="1" applyBorder="1" applyAlignment="1" applyProtection="1"/>
    <xf numFmtId="165" fontId="129" fillId="15" borderId="17" xfId="50" quotePrefix="1" applyFont="1" applyFill="1" applyBorder="1" applyAlignment="1" applyProtection="1">
      <alignment horizontal="right"/>
    </xf>
    <xf numFmtId="4" fontId="41" fillId="15" borderId="13" xfId="50" applyNumberFormat="1" applyFont="1" applyFill="1" applyBorder="1" applyAlignment="1" applyProtection="1"/>
    <xf numFmtId="178" fontId="41" fillId="15" borderId="17" xfId="50" applyNumberFormat="1" applyFont="1" applyFill="1" applyBorder="1" applyAlignment="1" applyProtection="1"/>
    <xf numFmtId="194" fontId="41" fillId="15" borderId="0" xfId="50" applyNumberFormat="1" applyFont="1" applyFill="1" applyBorder="1" applyAlignment="1" applyProtection="1"/>
    <xf numFmtId="183" fontId="26" fillId="15" borderId="24" xfId="29" applyNumberFormat="1" applyFont="1" applyFill="1" applyBorder="1" applyAlignment="1" applyProtection="1">
      <alignment horizontal="right"/>
    </xf>
    <xf numFmtId="183" fontId="26" fillId="15" borderId="0" xfId="29" applyNumberFormat="1" applyFont="1" applyFill="1" applyBorder="1" applyAlignment="1" applyProtection="1">
      <alignment horizontal="right"/>
    </xf>
    <xf numFmtId="183" fontId="26" fillId="15" borderId="0" xfId="29" applyNumberFormat="1" applyFont="1" applyFill="1" applyBorder="1" applyAlignment="1" applyProtection="1"/>
    <xf numFmtId="183" fontId="123" fillId="15" borderId="24" xfId="29" applyNumberFormat="1" applyFont="1" applyFill="1" applyBorder="1" applyAlignment="1" applyProtection="1"/>
    <xf numFmtId="183" fontId="123" fillId="15" borderId="0" xfId="29" applyNumberFormat="1" applyFont="1" applyFill="1" applyBorder="1" applyAlignment="1" applyProtection="1"/>
    <xf numFmtId="183" fontId="126" fillId="15" borderId="17" xfId="29" applyNumberFormat="1" applyFont="1" applyFill="1" applyBorder="1" applyAlignment="1" applyProtection="1"/>
    <xf numFmtId="183" fontId="26" fillId="15" borderId="24" xfId="29" applyNumberFormat="1" applyFont="1" applyFill="1" applyBorder="1" applyProtection="1"/>
    <xf numFmtId="183" fontId="26" fillId="15" borderId="0" xfId="29" applyNumberFormat="1" applyFont="1" applyFill="1" applyBorder="1" applyProtection="1"/>
    <xf numFmtId="183" fontId="6" fillId="15" borderId="13" xfId="29" applyNumberFormat="1" applyFont="1" applyFill="1" applyBorder="1" applyProtection="1"/>
    <xf numFmtId="166" fontId="6" fillId="15" borderId="24" xfId="44" applyNumberFormat="1" applyFont="1" applyFill="1" applyBorder="1" applyAlignment="1">
      <alignment horizontal="left"/>
    </xf>
    <xf numFmtId="37" fontId="6" fillId="15" borderId="0" xfId="0" applyFont="1" applyFill="1" applyBorder="1" applyAlignment="1" applyProtection="1">
      <alignment horizontal="left"/>
    </xf>
    <xf numFmtId="183" fontId="6" fillId="15" borderId="24" xfId="0" applyNumberFormat="1" applyFont="1" applyFill="1" applyBorder="1" applyProtection="1"/>
    <xf numFmtId="183" fontId="6" fillId="15" borderId="0" xfId="0" applyNumberFormat="1" applyFont="1" applyFill="1" applyBorder="1" applyProtection="1"/>
    <xf numFmtId="183" fontId="6" fillId="15" borderId="13" xfId="0" applyNumberFormat="1" applyFont="1" applyFill="1" applyBorder="1" applyProtection="1"/>
    <xf numFmtId="183" fontId="6" fillId="15" borderId="17" xfId="0" applyNumberFormat="1" applyFont="1" applyFill="1" applyBorder="1" applyProtection="1"/>
    <xf numFmtId="183" fontId="138" fillId="15" borderId="13" xfId="0" applyNumberFormat="1" applyFont="1" applyFill="1" applyBorder="1" applyProtection="1"/>
    <xf numFmtId="166" fontId="1" fillId="15" borderId="24" xfId="44" applyNumberFormat="1" applyFont="1" applyFill="1" applyBorder="1" applyAlignment="1">
      <alignment horizontal="left"/>
    </xf>
    <xf numFmtId="183" fontId="123" fillId="15" borderId="0" xfId="0" applyNumberFormat="1" applyFont="1" applyFill="1" applyBorder="1" applyProtection="1"/>
    <xf numFmtId="183" fontId="123" fillId="15" borderId="17" xfId="0" applyNumberFormat="1" applyFont="1" applyFill="1" applyBorder="1" applyProtection="1"/>
    <xf numFmtId="168" fontId="8" fillId="15" borderId="0" xfId="30" applyNumberFormat="1" applyFont="1" applyFill="1" applyBorder="1" applyProtection="1"/>
    <xf numFmtId="168" fontId="8" fillId="15" borderId="24" xfId="30" applyNumberFormat="1" applyFont="1" applyFill="1" applyBorder="1" applyProtection="1"/>
    <xf numFmtId="168" fontId="8" fillId="15" borderId="13" xfId="30" applyNumberFormat="1" applyFont="1" applyFill="1" applyBorder="1" applyProtection="1"/>
    <xf numFmtId="168" fontId="8" fillId="15" borderId="17" xfId="30" applyNumberFormat="1" applyFont="1" applyFill="1" applyBorder="1" applyProtection="1"/>
    <xf numFmtId="168" fontId="139" fillId="15" borderId="13" xfId="30" applyNumberFormat="1" applyFont="1" applyFill="1" applyBorder="1" applyProtection="1"/>
    <xf numFmtId="165" fontId="41" fillId="15" borderId="0" xfId="50" applyNumberFormat="1" applyFont="1" applyFill="1" applyBorder="1" applyProtection="1"/>
    <xf numFmtId="165" fontId="41" fillId="15" borderId="24" xfId="50" applyNumberFormat="1" applyFont="1" applyFill="1" applyBorder="1" applyProtection="1"/>
    <xf numFmtId="165" fontId="41" fillId="15" borderId="13" xfId="50" applyNumberFormat="1" applyFont="1" applyFill="1" applyBorder="1" applyProtection="1"/>
    <xf numFmtId="165" fontId="41" fillId="15" borderId="17" xfId="50" applyNumberFormat="1" applyFont="1" applyFill="1" applyBorder="1" applyProtection="1"/>
    <xf numFmtId="165" fontId="140" fillId="15" borderId="13" xfId="50" applyNumberFormat="1" applyFont="1" applyFill="1" applyBorder="1" applyProtection="1"/>
    <xf numFmtId="37" fontId="6" fillId="15" borderId="0" xfId="0" applyFont="1" applyFill="1" applyBorder="1" applyProtection="1"/>
    <xf numFmtId="37" fontId="26" fillId="15" borderId="24" xfId="0" applyFont="1" applyFill="1" applyBorder="1"/>
    <xf numFmtId="37" fontId="26" fillId="15" borderId="0" xfId="0" applyFont="1" applyFill="1" applyBorder="1"/>
    <xf numFmtId="166" fontId="26" fillId="15" borderId="0" xfId="0" applyNumberFormat="1" applyFont="1" applyFill="1" applyBorder="1"/>
    <xf numFmtId="37" fontId="26" fillId="15" borderId="13" xfId="29" applyFont="1" applyFill="1" applyBorder="1" applyProtection="1"/>
    <xf numFmtId="39" fontId="26" fillId="15" borderId="13" xfId="0" applyNumberFormat="1" applyFont="1" applyFill="1" applyBorder="1"/>
    <xf numFmtId="39" fontId="26" fillId="15" borderId="0" xfId="0" applyNumberFormat="1" applyFont="1" applyFill="1" applyBorder="1"/>
    <xf numFmtId="166" fontId="26" fillId="15" borderId="13" xfId="0" applyNumberFormat="1" applyFont="1" applyFill="1" applyBorder="1"/>
    <xf numFmtId="166" fontId="26" fillId="15" borderId="24" xfId="0" applyNumberFormat="1" applyFont="1" applyFill="1" applyBorder="1"/>
    <xf numFmtId="166" fontId="26" fillId="15" borderId="17" xfId="0" applyNumberFormat="1" applyFont="1" applyFill="1" applyBorder="1"/>
    <xf numFmtId="166" fontId="138" fillId="15" borderId="13" xfId="0" applyNumberFormat="1" applyFont="1" applyFill="1" applyBorder="1"/>
    <xf numFmtId="168" fontId="26" fillId="15" borderId="0" xfId="0" applyNumberFormat="1" applyFont="1" applyFill="1" applyBorder="1"/>
    <xf numFmtId="183" fontId="26" fillId="15" borderId="24" xfId="30" applyNumberFormat="1" applyFont="1" applyFill="1" applyBorder="1"/>
    <xf numFmtId="183" fontId="26" fillId="15" borderId="0" xfId="30" applyNumberFormat="1" applyFont="1" applyFill="1" applyBorder="1"/>
    <xf numFmtId="183" fontId="6" fillId="15" borderId="13" xfId="30" applyNumberFormat="1" applyFont="1" applyFill="1" applyBorder="1"/>
    <xf numFmtId="183" fontId="100" fillId="15" borderId="0" xfId="30" applyNumberFormat="1" applyFont="1" applyFill="1" applyBorder="1"/>
    <xf numFmtId="183" fontId="123" fillId="15" borderId="0" xfId="30" applyNumberFormat="1" applyFont="1" applyFill="1" applyBorder="1"/>
    <xf numFmtId="183" fontId="6" fillId="15" borderId="17" xfId="30" applyNumberFormat="1" applyFont="1" applyFill="1" applyBorder="1"/>
    <xf numFmtId="183" fontId="6" fillId="15" borderId="0" xfId="30" applyNumberFormat="1" applyFont="1" applyFill="1" applyBorder="1"/>
    <xf numFmtId="183" fontId="26" fillId="15" borderId="24" xfId="0" applyNumberFormat="1" applyFont="1" applyFill="1" applyBorder="1"/>
    <xf numFmtId="183" fontId="26" fillId="15" borderId="0" xfId="0" applyNumberFormat="1" applyFont="1" applyFill="1" applyBorder="1"/>
    <xf numFmtId="183" fontId="6" fillId="15" borderId="13" xfId="29" applyNumberFormat="1" applyFont="1" applyFill="1" applyBorder="1"/>
    <xf numFmtId="183" fontId="26" fillId="15" borderId="0" xfId="29" applyNumberFormat="1" applyFont="1" applyFill="1" applyBorder="1"/>
    <xf numFmtId="183" fontId="6" fillId="15" borderId="0" xfId="29" applyNumberFormat="1" applyFont="1" applyFill="1" applyBorder="1"/>
    <xf numFmtId="183" fontId="6" fillId="15" borderId="13" xfId="0" applyNumberFormat="1" applyFont="1" applyFill="1" applyBorder="1"/>
    <xf numFmtId="183" fontId="6" fillId="15" borderId="24" xfId="0" applyNumberFormat="1" applyFont="1" applyFill="1" applyBorder="1"/>
    <xf numFmtId="183" fontId="6" fillId="15" borderId="17" xfId="0" applyNumberFormat="1" applyFont="1" applyFill="1" applyBorder="1"/>
    <xf numFmtId="183" fontId="138" fillId="15" borderId="13" xfId="0" applyNumberFormat="1" applyFont="1" applyFill="1" applyBorder="1"/>
    <xf numFmtId="183" fontId="6" fillId="15" borderId="24" xfId="29" applyNumberFormat="1" applyFont="1" applyFill="1" applyBorder="1"/>
    <xf numFmtId="183" fontId="6" fillId="15" borderId="17" xfId="29" applyNumberFormat="1" applyFont="1" applyFill="1" applyBorder="1"/>
    <xf numFmtId="183" fontId="138" fillId="15" borderId="13" xfId="29" applyNumberFormat="1" applyFont="1" applyFill="1" applyBorder="1"/>
    <xf numFmtId="37" fontId="1" fillId="15" borderId="24" xfId="0" applyFont="1" applyFill="1" applyBorder="1" applyAlignment="1" applyProtection="1">
      <alignment horizontal="left"/>
    </xf>
    <xf numFmtId="183" fontId="1" fillId="15" borderId="0" xfId="29" applyNumberFormat="1" applyFont="1" applyFill="1" applyBorder="1"/>
    <xf numFmtId="183" fontId="1" fillId="15" borderId="13" xfId="29" applyNumberFormat="1" applyFont="1" applyFill="1" applyBorder="1"/>
    <xf numFmtId="183" fontId="1" fillId="15" borderId="24" xfId="29" applyNumberFormat="1" applyFont="1" applyFill="1" applyBorder="1"/>
    <xf numFmtId="183" fontId="123" fillId="15" borderId="17" xfId="29" applyNumberFormat="1" applyFont="1" applyFill="1" applyBorder="1"/>
    <xf numFmtId="183" fontId="123" fillId="15" borderId="13" xfId="29" applyNumberFormat="1" applyFont="1" applyFill="1" applyBorder="1"/>
    <xf numFmtId="183" fontId="45" fillId="15" borderId="13" xfId="0" applyNumberFormat="1" applyFont="1" applyFill="1" applyBorder="1"/>
    <xf numFmtId="183" fontId="100" fillId="15" borderId="0" xfId="29" applyNumberFormat="1" applyFont="1" applyFill="1" applyBorder="1"/>
    <xf numFmtId="183" fontId="123" fillId="15" borderId="0" xfId="29" applyNumberFormat="1" applyFont="1" applyFill="1" applyBorder="1"/>
    <xf numFmtId="168" fontId="8" fillId="15" borderId="0" xfId="0" applyNumberFormat="1" applyFont="1" applyFill="1" applyBorder="1" applyProtection="1"/>
    <xf numFmtId="168" fontId="8" fillId="15" borderId="24" xfId="0" applyNumberFormat="1" applyFont="1" applyFill="1" applyBorder="1" applyProtection="1"/>
    <xf numFmtId="168" fontId="8" fillId="15" borderId="13" xfId="0" applyNumberFormat="1" applyFont="1" applyFill="1" applyBorder="1" applyProtection="1"/>
    <xf numFmtId="168" fontId="8" fillId="15" borderId="17" xfId="0" applyNumberFormat="1" applyFont="1" applyFill="1" applyBorder="1" applyProtection="1"/>
    <xf numFmtId="168" fontId="139" fillId="15" borderId="13" xfId="0" applyNumberFormat="1" applyFont="1" applyFill="1" applyBorder="1" applyProtection="1"/>
    <xf numFmtId="183" fontId="6" fillId="15" borderId="19" xfId="0" applyNumberFormat="1" applyFont="1" applyFill="1" applyBorder="1"/>
    <xf numFmtId="183" fontId="100" fillId="15" borderId="0" xfId="0" applyNumberFormat="1" applyFont="1" applyFill="1" applyBorder="1"/>
    <xf numFmtId="183" fontId="108" fillId="15" borderId="0" xfId="0" applyNumberFormat="1" applyFont="1" applyFill="1" applyBorder="1"/>
    <xf numFmtId="183" fontId="123" fillId="15" borderId="0" xfId="0" applyNumberFormat="1" applyFont="1" applyFill="1" applyBorder="1"/>
    <xf numFmtId="183" fontId="138" fillId="15" borderId="19" xfId="0" applyNumberFormat="1" applyFont="1" applyFill="1" applyBorder="1"/>
    <xf numFmtId="37" fontId="6" fillId="15" borderId="24" xfId="29" applyFont="1" applyFill="1" applyBorder="1"/>
    <xf numFmtId="168" fontId="6" fillId="15" borderId="0" xfId="30" applyNumberFormat="1" applyFont="1" applyFill="1" applyBorder="1"/>
    <xf numFmtId="183" fontId="138" fillId="15" borderId="13" xfId="30" applyNumberFormat="1" applyFont="1" applyFill="1" applyBorder="1"/>
    <xf numFmtId="183" fontId="113" fillId="15" borderId="19" xfId="30" applyNumberFormat="1" applyFont="1" applyFill="1" applyBorder="1"/>
    <xf numFmtId="183" fontId="6" fillId="15" borderId="23" xfId="30" applyNumberFormat="1" applyFont="1" applyFill="1" applyBorder="1"/>
    <xf numFmtId="183" fontId="6" fillId="15" borderId="21" xfId="30" applyNumberFormat="1" applyFont="1" applyFill="1" applyBorder="1"/>
    <xf numFmtId="183" fontId="26" fillId="15" borderId="21" xfId="30" applyNumberFormat="1" applyFont="1" applyFill="1" applyBorder="1"/>
    <xf numFmtId="166" fontId="26" fillId="15" borderId="10" xfId="0" applyNumberFormat="1" applyFont="1" applyFill="1" applyBorder="1"/>
    <xf numFmtId="183" fontId="100" fillId="15" borderId="21" xfId="30" applyNumberFormat="1" applyFont="1" applyFill="1" applyBorder="1"/>
    <xf numFmtId="183" fontId="123" fillId="15" borderId="21" xfId="30" applyNumberFormat="1" applyFont="1" applyFill="1" applyBorder="1"/>
    <xf numFmtId="183" fontId="1" fillId="15" borderId="13" xfId="30" applyNumberFormat="1" applyFont="1" applyFill="1" applyBorder="1"/>
    <xf numFmtId="168" fontId="8" fillId="15" borderId="24" xfId="30" applyNumberFormat="1" applyFont="1" applyFill="1" applyBorder="1" applyAlignment="1" applyProtection="1">
      <alignment horizontal="left"/>
    </xf>
    <xf numFmtId="168" fontId="8" fillId="15" borderId="0" xfId="30" applyNumberFormat="1" applyFont="1" applyFill="1" applyBorder="1"/>
    <xf numFmtId="183" fontId="43" fillId="15" borderId="24" xfId="30" applyNumberFormat="1" applyFont="1" applyFill="1" applyBorder="1"/>
    <xf numFmtId="183" fontId="43" fillId="15" borderId="0" xfId="30" applyNumberFormat="1" applyFont="1" applyFill="1" applyBorder="1"/>
    <xf numFmtId="183" fontId="43" fillId="15" borderId="13" xfId="30" applyNumberFormat="1" applyFont="1" applyFill="1" applyBorder="1"/>
    <xf numFmtId="183" fontId="43" fillId="15" borderId="17" xfId="30" applyNumberFormat="1" applyFont="1" applyFill="1" applyBorder="1"/>
    <xf numFmtId="183" fontId="139" fillId="15" borderId="13" xfId="30" applyNumberFormat="1" applyFont="1" applyFill="1" applyBorder="1"/>
    <xf numFmtId="183" fontId="8" fillId="15" borderId="0" xfId="30" applyNumberFormat="1" applyFont="1" applyFill="1" applyBorder="1"/>
    <xf numFmtId="183" fontId="8" fillId="15" borderId="17" xfId="30" applyNumberFormat="1" applyFont="1" applyFill="1" applyBorder="1"/>
    <xf numFmtId="168" fontId="6" fillId="15" borderId="24" xfId="30" applyNumberFormat="1" applyFont="1" applyFill="1" applyBorder="1" applyAlignment="1" applyProtection="1">
      <alignment horizontal="left"/>
    </xf>
    <xf numFmtId="183" fontId="6" fillId="15" borderId="24" xfId="30" applyNumberFormat="1" applyFont="1" applyFill="1" applyBorder="1"/>
    <xf numFmtId="183" fontId="146" fillId="15" borderId="0" xfId="29" applyNumberFormat="1" applyFont="1" applyFill="1" applyBorder="1" applyAlignment="1" applyProtection="1"/>
    <xf numFmtId="0" fontId="1" fillId="0" borderId="0" xfId="37"/>
    <xf numFmtId="37" fontId="6" fillId="0" borderId="13" xfId="29" quotePrefix="1" applyNumberFormat="1" applyFont="1" applyFill="1" applyBorder="1" applyAlignment="1" applyProtection="1"/>
    <xf numFmtId="37" fontId="138" fillId="0" borderId="13" xfId="29" quotePrefix="1" applyNumberFormat="1" applyFont="1" applyFill="1" applyBorder="1" applyAlignment="1" applyProtection="1"/>
    <xf numFmtId="37" fontId="26" fillId="0" borderId="0" xfId="29" applyNumberFormat="1" applyFont="1" applyFill="1" applyBorder="1"/>
    <xf numFmtId="37" fontId="110" fillId="0" borderId="13" xfId="29" quotePrefix="1" applyNumberFormat="1" applyFont="1" applyFill="1" applyBorder="1" applyAlignment="1" applyProtection="1"/>
    <xf numFmtId="37" fontId="26" fillId="0" borderId="24" xfId="29" applyNumberFormat="1" applyFont="1" applyFill="1" applyBorder="1" applyProtection="1"/>
    <xf numFmtId="37" fontId="39" fillId="0" borderId="24" xfId="29" applyNumberFormat="1" applyFont="1" applyFill="1" applyBorder="1" applyAlignment="1" applyProtection="1"/>
    <xf numFmtId="37" fontId="39" fillId="0" borderId="0" xfId="29" applyNumberFormat="1" applyFont="1" applyFill="1" applyBorder="1" applyAlignment="1" applyProtection="1"/>
    <xf numFmtId="37" fontId="39" fillId="0" borderId="13" xfId="29" applyNumberFormat="1" applyFont="1" applyFill="1" applyBorder="1" applyAlignment="1" applyProtection="1"/>
    <xf numFmtId="37" fontId="39" fillId="0" borderId="17" xfId="29" applyNumberFormat="1" applyFont="1" applyFill="1" applyBorder="1" applyAlignment="1" applyProtection="1"/>
    <xf numFmtId="37" fontId="141" fillId="0" borderId="13" xfId="29" applyNumberFormat="1" applyFont="1" applyFill="1" applyBorder="1" applyAlignment="1" applyProtection="1"/>
    <xf numFmtId="37" fontId="110" fillId="0" borderId="17" xfId="29" quotePrefix="1" applyNumberFormat="1" applyFont="1" applyFill="1" applyBorder="1" applyAlignment="1" applyProtection="1"/>
    <xf numFmtId="37" fontId="148" fillId="0" borderId="0" xfId="50" quotePrefix="1" applyNumberFormat="1" applyFont="1" applyFill="1" applyBorder="1" applyAlignment="1" applyProtection="1"/>
    <xf numFmtId="37" fontId="146" fillId="0" borderId="0" xfId="29" quotePrefix="1" applyNumberFormat="1" applyFont="1" applyFill="1" applyBorder="1" applyAlignment="1" applyProtection="1"/>
    <xf numFmtId="165" fontId="1" fillId="0" borderId="24" xfId="50" applyFont="1" applyFill="1" applyBorder="1" applyAlignment="1" applyProtection="1">
      <alignment horizontal="right"/>
    </xf>
    <xf numFmtId="165" fontId="1" fillId="0" borderId="0" xfId="50" applyFont="1" applyFill="1" applyBorder="1" applyAlignment="1" applyProtection="1">
      <alignment horizontal="right"/>
    </xf>
    <xf numFmtId="165" fontId="1" fillId="0" borderId="13" xfId="50" applyFont="1" applyFill="1" applyBorder="1" applyAlignment="1" applyProtection="1">
      <alignment horizontal="right"/>
    </xf>
    <xf numFmtId="165" fontId="1" fillId="0" borderId="13" xfId="50" quotePrefix="1" applyFont="1" applyFill="1" applyBorder="1" applyAlignment="1" applyProtection="1"/>
    <xf numFmtId="165" fontId="1" fillId="0" borderId="24" xfId="50" applyFont="1" applyFill="1" applyBorder="1" applyAlignment="1" applyProtection="1">
      <alignment horizontal="left"/>
    </xf>
    <xf numFmtId="165" fontId="1" fillId="0" borderId="17" xfId="50" applyFont="1" applyFill="1" applyBorder="1" applyAlignment="1" applyProtection="1">
      <alignment horizontal="right"/>
    </xf>
    <xf numFmtId="165" fontId="39" fillId="0" borderId="0" xfId="50" applyFont="1" applyFill="1" applyBorder="1"/>
    <xf numFmtId="37" fontId="59" fillId="0" borderId="0" xfId="0" applyFont="1" applyFill="1"/>
    <xf numFmtId="168" fontId="147" fillId="0" borderId="0" xfId="30" quotePrefix="1" applyNumberFormat="1" applyFont="1" applyFill="1" applyBorder="1" applyAlignment="1" applyProtection="1"/>
    <xf numFmtId="168" fontId="149" fillId="0" borderId="0" xfId="30" quotePrefix="1" applyNumberFormat="1" applyFont="1" applyFill="1" applyBorder="1" applyAlignment="1" applyProtection="1"/>
    <xf numFmtId="168" fontId="41" fillId="0" borderId="0" xfId="29" applyNumberFormat="1" applyFont="1" applyFill="1" applyBorder="1" applyAlignment="1" applyProtection="1">
      <alignment horizontal="left"/>
    </xf>
    <xf numFmtId="168" fontId="82" fillId="0" borderId="0" xfId="0" applyNumberFormat="1" applyFont="1"/>
    <xf numFmtId="168" fontId="150" fillId="0" borderId="0" xfId="30" quotePrefix="1" applyNumberFormat="1" applyFont="1" applyFill="1" applyBorder="1" applyAlignment="1" applyProtection="1"/>
    <xf numFmtId="168" fontId="41" fillId="0" borderId="17" xfId="30" quotePrefix="1" applyNumberFormat="1" applyFont="1" applyFill="1" applyBorder="1" applyAlignment="1" applyProtection="1"/>
    <xf numFmtId="168" fontId="41" fillId="0" borderId="13" xfId="30" quotePrefix="1" applyNumberFormat="1" applyFont="1" applyFill="1" applyBorder="1" applyAlignment="1" applyProtection="1"/>
    <xf numFmtId="168" fontId="41" fillId="0" borderId="0" xfId="30" quotePrefix="1" applyNumberFormat="1" applyFont="1" applyFill="1" applyBorder="1" applyAlignment="1" applyProtection="1"/>
    <xf numFmtId="168" fontId="46" fillId="0" borderId="13" xfId="30" quotePrefix="1" applyNumberFormat="1" applyFont="1" applyFill="1" applyBorder="1" applyAlignment="1" applyProtection="1"/>
    <xf numFmtId="168" fontId="41" fillId="0" borderId="24" xfId="29" applyNumberFormat="1" applyFont="1" applyFill="1" applyBorder="1" applyAlignment="1" applyProtection="1">
      <alignment horizontal="left"/>
    </xf>
    <xf numFmtId="168" fontId="46" fillId="0" borderId="0" xfId="50" quotePrefix="1" applyNumberFormat="1" applyFont="1" applyFill="1" applyBorder="1" applyAlignment="1" applyProtection="1"/>
    <xf numFmtId="168" fontId="41" fillId="9" borderId="0" xfId="0" applyNumberFormat="1" applyFont="1" applyFill="1" applyBorder="1"/>
    <xf numFmtId="168" fontId="42" fillId="0" borderId="24" xfId="30" quotePrefix="1" applyNumberFormat="1" applyFont="1" applyFill="1" applyBorder="1" applyAlignment="1" applyProtection="1"/>
    <xf numFmtId="168" fontId="42" fillId="0" borderId="0" xfId="30" quotePrefix="1" applyNumberFormat="1" applyFont="1" applyFill="1" applyBorder="1" applyAlignment="1" applyProtection="1"/>
    <xf numFmtId="168" fontId="41" fillId="0" borderId="13" xfId="30" applyNumberFormat="1" applyFont="1" applyFill="1" applyBorder="1" applyProtection="1"/>
    <xf numFmtId="183" fontId="41" fillId="0" borderId="24" xfId="30" quotePrefix="1" applyNumberFormat="1" applyFont="1" applyFill="1" applyBorder="1" applyAlignment="1" applyProtection="1"/>
    <xf numFmtId="183" fontId="41" fillId="0" borderId="0" xfId="30" quotePrefix="1" applyNumberFormat="1" applyFont="1" applyFill="1" applyBorder="1" applyAlignment="1" applyProtection="1"/>
    <xf numFmtId="183" fontId="41" fillId="0" borderId="13" xfId="30" quotePrefix="1" applyNumberFormat="1" applyFont="1" applyFill="1" applyBorder="1" applyAlignment="1" applyProtection="1"/>
    <xf numFmtId="183" fontId="57" fillId="0" borderId="0" xfId="30" quotePrefix="1" applyNumberFormat="1" applyFont="1" applyFill="1" applyBorder="1" applyAlignment="1" applyProtection="1"/>
    <xf numFmtId="183" fontId="150" fillId="0" borderId="0" xfId="30" quotePrefix="1" applyNumberFormat="1" applyFont="1" applyFill="1" applyBorder="1" applyAlignment="1" applyProtection="1"/>
    <xf numFmtId="183" fontId="46" fillId="0" borderId="13" xfId="30" quotePrefix="1" applyNumberFormat="1" applyFont="1" applyFill="1" applyBorder="1" applyAlignment="1" applyProtection="1"/>
    <xf numFmtId="183" fontId="41" fillId="0" borderId="17" xfId="30" quotePrefix="1" applyNumberFormat="1" applyFont="1" applyFill="1" applyBorder="1" applyAlignment="1" applyProtection="1"/>
    <xf numFmtId="37" fontId="82" fillId="0" borderId="0" xfId="0" applyFont="1"/>
    <xf numFmtId="168" fontId="148" fillId="0" borderId="17" xfId="0" applyNumberFormat="1" applyFont="1" applyFill="1" applyBorder="1" applyAlignment="1" applyProtection="1">
      <alignment horizontal="right"/>
    </xf>
    <xf numFmtId="183" fontId="148" fillId="0" borderId="0" xfId="29" quotePrefix="1" applyNumberFormat="1" applyFont="1" applyFill="1" applyBorder="1" applyAlignment="1" applyProtection="1"/>
    <xf numFmtId="164" fontId="26" fillId="0" borderId="0" xfId="0" applyNumberFormat="1" applyFont="1" applyFill="1" applyBorder="1" applyAlignment="1" applyProtection="1">
      <alignment horizontal="left"/>
    </xf>
    <xf numFmtId="165" fontId="6" fillId="0" borderId="0" xfId="50" quotePrefix="1" applyFont="1" applyFill="1" applyBorder="1" applyAlignment="1" applyProtection="1">
      <alignment horizontal="left"/>
    </xf>
    <xf numFmtId="165" fontId="1" fillId="0" borderId="0" xfId="50" applyFont="1" applyFill="1" applyBorder="1" applyAlignment="1" applyProtection="1">
      <alignment horizontal="left"/>
    </xf>
    <xf numFmtId="165" fontId="39" fillId="0" borderId="0" xfId="50" applyFont="1" applyFill="1" applyBorder="1" applyAlignment="1" applyProtection="1">
      <alignment horizontal="left"/>
    </xf>
    <xf numFmtId="168" fontId="150" fillId="15" borderId="17" xfId="50" applyNumberFormat="1" applyFont="1" applyFill="1" applyBorder="1" applyAlignment="1" applyProtection="1"/>
    <xf numFmtId="37" fontId="40" fillId="0" borderId="9" xfId="0" applyFont="1" applyBorder="1"/>
    <xf numFmtId="179" fontId="8" fillId="0" borderId="11" xfId="0" applyNumberFormat="1" applyFont="1" applyBorder="1" applyAlignment="1">
      <alignment horizontal="right"/>
    </xf>
    <xf numFmtId="179" fontId="8" fillId="0" borderId="13" xfId="0" applyNumberFormat="1" applyFont="1" applyBorder="1" applyAlignment="1">
      <alignment horizontal="right"/>
    </xf>
    <xf numFmtId="165" fontId="41" fillId="0" borderId="19" xfId="50" applyFont="1" applyBorder="1"/>
    <xf numFmtId="165" fontId="41" fillId="0" borderId="21" xfId="50" applyFont="1" applyBorder="1"/>
    <xf numFmtId="179" fontId="6" fillId="0" borderId="0" xfId="0" applyNumberFormat="1" applyFont="1"/>
    <xf numFmtId="179" fontId="1" fillId="0" borderId="0" xfId="0" applyNumberFormat="1" applyFont="1" applyAlignment="1">
      <alignment horizontal="right"/>
    </xf>
    <xf numFmtId="165" fontId="1" fillId="0" borderId="0" xfId="0" applyNumberFormat="1" applyFont="1"/>
    <xf numFmtId="185" fontId="6" fillId="0" borderId="0" xfId="30" applyNumberFormat="1" applyFont="1" applyFill="1" applyBorder="1"/>
    <xf numFmtId="4" fontId="26" fillId="0" borderId="0" xfId="50" applyNumberFormat="1" applyFont="1" applyFill="1" applyBorder="1" applyAlignment="1" applyProtection="1">
      <alignment horizontal="center"/>
    </xf>
    <xf numFmtId="5" fontId="148" fillId="0" borderId="13" xfId="0" applyNumberFormat="1" applyFont="1" applyBorder="1"/>
    <xf numFmtId="37" fontId="0" fillId="0" borderId="0" xfId="0"/>
    <xf numFmtId="1" fontId="0" fillId="0" borderId="0" xfId="0" applyNumberFormat="1"/>
    <xf numFmtId="166" fontId="151" fillId="0" borderId="17" xfId="0" applyNumberFormat="1" applyFont="1" applyBorder="1"/>
    <xf numFmtId="4" fontId="139" fillId="15" borderId="13" xfId="50" applyNumberFormat="1" applyFont="1" applyFill="1" applyBorder="1" applyAlignment="1" applyProtection="1">
      <alignment horizontal="right"/>
    </xf>
    <xf numFmtId="183" fontId="147" fillId="0" borderId="0" xfId="30" applyNumberFormat="1" applyFont="1" applyFill="1" applyBorder="1" applyProtection="1"/>
    <xf numFmtId="183" fontId="152" fillId="0" borderId="17" xfId="30" applyNumberFormat="1" applyFont="1" applyFill="1" applyBorder="1" applyProtection="1"/>
    <xf numFmtId="183" fontId="146" fillId="15" borderId="17" xfId="0" applyNumberFormat="1" applyFont="1" applyFill="1" applyBorder="1"/>
    <xf numFmtId="10" fontId="26" fillId="0" borderId="17" xfId="50" quotePrefix="1" applyNumberFormat="1" applyFont="1" applyFill="1" applyBorder="1" applyAlignment="1" applyProtection="1"/>
    <xf numFmtId="165" fontId="150" fillId="0" borderId="0" xfId="50" applyFont="1" applyFill="1" applyBorder="1" applyProtection="1"/>
    <xf numFmtId="37" fontId="1" fillId="0" borderId="0" xfId="29" applyFont="1" applyFill="1" applyBorder="1" applyAlignment="1" applyProtection="1">
      <alignment horizontal="left" indent="2"/>
    </xf>
    <xf numFmtId="183" fontId="146" fillId="0" borderId="17" xfId="0" applyNumberFormat="1" applyFont="1" applyFill="1" applyBorder="1"/>
    <xf numFmtId="37" fontId="1" fillId="0" borderId="24" xfId="0" applyFont="1" applyFill="1" applyBorder="1" applyProtection="1"/>
    <xf numFmtId="37" fontId="0" fillId="0" borderId="0" xfId="0"/>
    <xf numFmtId="37" fontId="0" fillId="0" borderId="0" xfId="0"/>
    <xf numFmtId="183" fontId="148" fillId="0" borderId="0" xfId="29" applyNumberFormat="1" applyFont="1" applyFill="1" applyBorder="1" applyProtection="1"/>
    <xf numFmtId="168" fontId="18" fillId="0" borderId="0" xfId="0" applyNumberFormat="1" applyFont="1" applyFill="1" applyBorder="1"/>
    <xf numFmtId="183" fontId="152" fillId="0" borderId="0" xfId="30" applyNumberFormat="1" applyFont="1" applyFill="1" applyBorder="1" applyProtection="1"/>
    <xf numFmtId="183" fontId="146" fillId="15" borderId="23" xfId="0" applyNumberFormat="1" applyFont="1" applyFill="1" applyBorder="1"/>
    <xf numFmtId="183" fontId="146" fillId="15" borderId="21" xfId="30" applyNumberFormat="1" applyFont="1" applyFill="1" applyBorder="1"/>
    <xf numFmtId="183" fontId="153" fillId="15" borderId="0" xfId="29" applyNumberFormat="1" applyFont="1" applyFill="1" applyBorder="1" applyAlignment="1" applyProtection="1"/>
    <xf numFmtId="166" fontId="146" fillId="0" borderId="0" xfId="0" applyNumberFormat="1" applyFont="1" applyFill="1" applyBorder="1" applyAlignment="1" applyProtection="1">
      <alignment horizontal="right"/>
    </xf>
    <xf numFmtId="183" fontId="146" fillId="0" borderId="0" xfId="30" applyNumberFormat="1" applyFont="1" applyFill="1" applyBorder="1" applyAlignment="1" applyProtection="1">
      <alignment horizontal="right"/>
    </xf>
    <xf numFmtId="183" fontId="146" fillId="0" borderId="0" xfId="29" quotePrefix="1" applyNumberFormat="1" applyFont="1" applyFill="1" applyBorder="1" applyAlignment="1" applyProtection="1"/>
    <xf numFmtId="165" fontId="151" fillId="0" borderId="0" xfId="50" applyFont="1" applyFill="1" applyBorder="1" applyAlignment="1" applyProtection="1">
      <alignment horizontal="right"/>
    </xf>
    <xf numFmtId="165" fontId="151" fillId="0" borderId="0" xfId="50" quotePrefix="1" applyNumberFormat="1" applyFont="1" applyFill="1" applyBorder="1" applyAlignment="1" applyProtection="1"/>
    <xf numFmtId="7" fontId="153" fillId="0" borderId="13" xfId="30" quotePrefix="1" applyNumberFormat="1" applyFont="1" applyFill="1" applyBorder="1" applyAlignment="1" applyProtection="1">
      <alignment horizontal="right"/>
    </xf>
    <xf numFmtId="183" fontId="146" fillId="0" borderId="0" xfId="30" applyNumberFormat="1" applyFont="1" applyFill="1" applyBorder="1" applyProtection="1"/>
    <xf numFmtId="37" fontId="0" fillId="0" borderId="0" xfId="0"/>
    <xf numFmtId="166" fontId="46" fillId="0" borderId="13" xfId="0" applyNumberFormat="1" applyFont="1" applyFill="1" applyBorder="1" applyAlignment="1" applyProtection="1">
      <alignment horizontal="right"/>
    </xf>
    <xf numFmtId="5" fontId="148" fillId="0" borderId="0" xfId="0" applyNumberFormat="1" applyFont="1" applyBorder="1"/>
    <xf numFmtId="193" fontId="1" fillId="0" borderId="0" xfId="39" applyNumberFormat="1" applyFill="1"/>
    <xf numFmtId="183" fontId="146" fillId="0" borderId="13" xfId="0" applyNumberFormat="1" applyFont="1" applyFill="1" applyBorder="1" applyProtection="1"/>
    <xf numFmtId="168" fontId="45" fillId="0" borderId="13" xfId="30" applyNumberFormat="1" applyFont="1" applyFill="1" applyBorder="1" applyProtection="1"/>
    <xf numFmtId="183" fontId="45" fillId="0" borderId="13" xfId="29" applyNumberFormat="1" applyFont="1" applyFill="1" applyBorder="1" applyProtection="1"/>
    <xf numFmtId="166" fontId="45" fillId="0" borderId="13" xfId="29" applyNumberFormat="1" applyFont="1" applyFill="1" applyBorder="1" applyProtection="1"/>
    <xf numFmtId="183" fontId="58" fillId="0" borderId="13" xfId="29" applyNumberFormat="1" applyFont="1" applyFill="1" applyBorder="1" applyAlignment="1" applyProtection="1"/>
    <xf numFmtId="183" fontId="45" fillId="0" borderId="13" xfId="30" applyNumberFormat="1" applyFont="1" applyFill="1" applyBorder="1" applyProtection="1"/>
    <xf numFmtId="183" fontId="138" fillId="0" borderId="17" xfId="0" applyNumberFormat="1" applyFont="1" applyFill="1" applyBorder="1" applyProtection="1"/>
    <xf numFmtId="183" fontId="146" fillId="15" borderId="21" xfId="0" applyNumberFormat="1" applyFont="1" applyFill="1" applyBorder="1"/>
    <xf numFmtId="37" fontId="1" fillId="0" borderId="24" xfId="0" applyFont="1" applyFill="1" applyBorder="1" applyAlignment="1" applyProtection="1">
      <alignment horizontal="left"/>
    </xf>
    <xf numFmtId="183" fontId="26" fillId="0" borderId="21" xfId="0" applyNumberFormat="1" applyFont="1" applyFill="1" applyBorder="1"/>
    <xf numFmtId="183" fontId="153" fillId="0" borderId="13" xfId="0" applyNumberFormat="1" applyFont="1" applyFill="1" applyBorder="1"/>
    <xf numFmtId="37" fontId="0" fillId="0" borderId="0" xfId="0"/>
    <xf numFmtId="10" fontId="0" fillId="0" borderId="0" xfId="0" applyNumberFormat="1"/>
    <xf numFmtId="37" fontId="0" fillId="0" borderId="0" xfId="0"/>
    <xf numFmtId="183" fontId="138" fillId="0" borderId="24" xfId="30" quotePrefix="1" applyNumberFormat="1" applyFont="1" applyFill="1" applyBorder="1" applyAlignment="1" applyProtection="1"/>
    <xf numFmtId="183" fontId="126" fillId="15" borderId="13" xfId="29" applyNumberFormat="1" applyFont="1" applyFill="1" applyBorder="1" applyAlignment="1" applyProtection="1"/>
    <xf numFmtId="183" fontId="123" fillId="15" borderId="13" xfId="0" applyNumberFormat="1" applyFont="1" applyFill="1" applyBorder="1" applyProtection="1"/>
    <xf numFmtId="183" fontId="138" fillId="0" borderId="24" xfId="0" applyNumberFormat="1" applyFont="1" applyFill="1" applyBorder="1" applyProtection="1"/>
    <xf numFmtId="183" fontId="138" fillId="0" borderId="24" xfId="29" applyNumberFormat="1" applyFont="1" applyFill="1" applyBorder="1"/>
    <xf numFmtId="168" fontId="138" fillId="0" borderId="24" xfId="30" applyNumberFormat="1" applyFont="1" applyFill="1" applyBorder="1" applyProtection="1"/>
    <xf numFmtId="183" fontId="138" fillId="0" borderId="24" xfId="30" applyNumberFormat="1" applyFont="1" applyFill="1" applyBorder="1" applyProtection="1"/>
    <xf numFmtId="183" fontId="141" fillId="0" borderId="24" xfId="29" applyNumberFormat="1" applyFont="1" applyFill="1" applyBorder="1" applyAlignment="1" applyProtection="1"/>
    <xf numFmtId="168" fontId="139" fillId="0" borderId="24" xfId="30" applyNumberFormat="1" applyFont="1" applyFill="1" applyBorder="1" applyProtection="1"/>
    <xf numFmtId="7" fontId="138" fillId="0" borderId="24" xfId="30" applyNumberFormat="1" applyFont="1" applyFill="1" applyBorder="1" applyProtection="1"/>
    <xf numFmtId="165" fontId="140" fillId="0" borderId="24" xfId="30" applyNumberFormat="1" applyFont="1" applyFill="1" applyBorder="1" applyProtection="1"/>
    <xf numFmtId="37" fontId="1" fillId="0" borderId="16" xfId="29" applyFont="1" applyFill="1" applyBorder="1" applyProtection="1"/>
    <xf numFmtId="37" fontId="1" fillId="0" borderId="0" xfId="29" applyFont="1" applyFill="1" applyBorder="1" applyProtection="1"/>
    <xf numFmtId="37" fontId="138" fillId="0" borderId="24" xfId="29" quotePrefix="1" applyFont="1" applyFill="1" applyBorder="1" applyAlignment="1" applyProtection="1"/>
    <xf numFmtId="5" fontId="138" fillId="0" borderId="24" xfId="30" quotePrefix="1" applyNumberFormat="1" applyFont="1" applyFill="1" applyBorder="1" applyAlignment="1" applyProtection="1"/>
    <xf numFmtId="165" fontId="140" fillId="0" borderId="24" xfId="50" applyFont="1" applyFill="1" applyBorder="1" applyProtection="1"/>
    <xf numFmtId="41" fontId="1" fillId="0" borderId="0" xfId="29" applyNumberFormat="1" applyFont="1" applyFill="1" applyBorder="1" applyProtection="1"/>
    <xf numFmtId="41" fontId="1" fillId="0" borderId="17" xfId="29" applyNumberFormat="1" applyFont="1" applyFill="1" applyBorder="1" applyProtection="1"/>
    <xf numFmtId="166" fontId="153" fillId="0" borderId="0" xfId="50" applyNumberFormat="1" applyFont="1" applyFill="1" applyBorder="1" applyProtection="1"/>
    <xf numFmtId="166" fontId="1" fillId="4" borderId="0" xfId="29" quotePrefix="1" applyNumberFormat="1" applyFont="1" applyFill="1" applyBorder="1" applyAlignment="1" applyProtection="1"/>
    <xf numFmtId="165" fontId="154" fillId="0" borderId="0" xfId="50" quotePrefix="1" applyFont="1" applyFill="1" applyBorder="1" applyAlignment="1" applyProtection="1"/>
    <xf numFmtId="165" fontId="154" fillId="0" borderId="17" xfId="50" quotePrefix="1" applyFont="1" applyFill="1" applyBorder="1" applyAlignment="1" applyProtection="1"/>
    <xf numFmtId="165" fontId="153" fillId="0" borderId="0" xfId="29" quotePrefix="1" applyNumberFormat="1" applyFont="1" applyFill="1" applyBorder="1" applyAlignment="1" applyProtection="1"/>
    <xf numFmtId="165" fontId="153" fillId="0" borderId="17" xfId="29" quotePrefix="1" applyNumberFormat="1" applyFont="1" applyFill="1" applyBorder="1" applyAlignment="1" applyProtection="1"/>
    <xf numFmtId="165" fontId="154" fillId="0" borderId="0" xfId="50" quotePrefix="1" applyNumberFormat="1" applyFont="1" applyFill="1" applyBorder="1" applyAlignment="1" applyProtection="1"/>
    <xf numFmtId="165" fontId="154" fillId="0" borderId="17" xfId="50" quotePrefix="1" applyNumberFormat="1" applyFont="1" applyFill="1" applyBorder="1" applyAlignment="1" applyProtection="1"/>
    <xf numFmtId="183" fontId="153" fillId="15" borderId="13" xfId="29" applyNumberFormat="1" applyFont="1" applyFill="1" applyBorder="1" applyAlignment="1" applyProtection="1"/>
    <xf numFmtId="165" fontId="140" fillId="0" borderId="24" xfId="50" quotePrefix="1" applyNumberFormat="1" applyFont="1" applyFill="1" applyBorder="1" applyAlignment="1" applyProtection="1"/>
    <xf numFmtId="9" fontId="140" fillId="0" borderId="24" xfId="50" quotePrefix="1" applyNumberFormat="1" applyFont="1" applyFill="1" applyBorder="1" applyAlignment="1" applyProtection="1"/>
    <xf numFmtId="183" fontId="123" fillId="0" borderId="24" xfId="30" quotePrefix="1" applyNumberFormat="1" applyFont="1" applyFill="1" applyBorder="1" applyAlignment="1" applyProtection="1"/>
    <xf numFmtId="183" fontId="153" fillId="0" borderId="0" xfId="29" applyNumberFormat="1" applyFont="1" applyFill="1" applyBorder="1" applyProtection="1"/>
    <xf numFmtId="180" fontId="153" fillId="0" borderId="0" xfId="0" applyNumberFormat="1" applyFont="1" applyFill="1" applyBorder="1" applyAlignment="1" applyProtection="1">
      <alignment horizontal="right"/>
    </xf>
    <xf numFmtId="180" fontId="153" fillId="0" borderId="17" xfId="0" applyNumberFormat="1" applyFont="1" applyFill="1" applyBorder="1" applyAlignment="1" applyProtection="1">
      <alignment horizontal="right"/>
    </xf>
    <xf numFmtId="180" fontId="153" fillId="0" borderId="24" xfId="0" applyNumberFormat="1" applyFont="1" applyFill="1" applyBorder="1" applyAlignment="1" applyProtection="1">
      <alignment horizontal="right"/>
    </xf>
    <xf numFmtId="5" fontId="1" fillId="0" borderId="0" xfId="30" applyFont="1" applyBorder="1"/>
    <xf numFmtId="10" fontId="1" fillId="0" borderId="0" xfId="50" applyNumberFormat="1" applyFont="1" applyFill="1" applyBorder="1" applyProtection="1"/>
    <xf numFmtId="183" fontId="1" fillId="0" borderId="0" xfId="29" applyNumberFormat="1" applyFont="1" applyFill="1" applyBorder="1" applyProtection="1"/>
    <xf numFmtId="183" fontId="1" fillId="0" borderId="0" xfId="30" quotePrefix="1" applyNumberFormat="1" applyFont="1" applyFill="1" applyBorder="1" applyAlignment="1" applyProtection="1">
      <alignment horizontal="right"/>
    </xf>
    <xf numFmtId="183" fontId="1" fillId="0" borderId="0" xfId="30" applyNumberFormat="1" applyFont="1" applyFill="1" applyBorder="1" applyProtection="1">
      <protection locked="0"/>
    </xf>
    <xf numFmtId="165" fontId="1" fillId="0" borderId="0" xfId="50" applyFont="1" applyFill="1" applyBorder="1" applyAlignment="1" applyProtection="1"/>
    <xf numFmtId="166" fontId="1" fillId="0" borderId="0" xfId="50" applyNumberFormat="1" applyFont="1" applyFill="1" applyBorder="1" applyAlignment="1" applyProtection="1"/>
    <xf numFmtId="183" fontId="1" fillId="0" borderId="0" xfId="0" applyNumberFormat="1" applyFont="1" applyFill="1" applyBorder="1" applyAlignment="1" applyProtection="1">
      <alignment horizontal="right"/>
    </xf>
    <xf numFmtId="175" fontId="1" fillId="0" borderId="0" xfId="0" applyNumberFormat="1" applyFont="1" applyFill="1" applyBorder="1" applyAlignment="1" applyProtection="1">
      <alignment horizontal="right"/>
    </xf>
    <xf numFmtId="192" fontId="1" fillId="0" borderId="0" xfId="0" applyNumberFormat="1" applyFont="1" applyFill="1" applyBorder="1" applyAlignment="1" applyProtection="1">
      <alignment horizontal="right"/>
    </xf>
    <xf numFmtId="180" fontId="1" fillId="0" borderId="0" xfId="0" applyNumberFormat="1" applyFont="1" applyFill="1" applyBorder="1" applyAlignment="1" applyProtection="1">
      <alignment horizontal="right"/>
    </xf>
    <xf numFmtId="7" fontId="6" fillId="0" borderId="0" xfId="0" applyNumberFormat="1" applyFont="1" applyFill="1" applyBorder="1" applyAlignment="1" applyProtection="1"/>
    <xf numFmtId="37" fontId="1" fillId="0" borderId="13" xfId="29" quotePrefix="1" applyFont="1" applyFill="1" applyBorder="1" applyAlignment="1" applyProtection="1"/>
    <xf numFmtId="164" fontId="1" fillId="0" borderId="13" xfId="0" applyNumberFormat="1" applyFont="1" applyFill="1" applyBorder="1" applyAlignment="1" applyProtection="1">
      <alignment horizontal="right"/>
    </xf>
    <xf numFmtId="183" fontId="1" fillId="0" borderId="13" xfId="0" applyNumberFormat="1" applyFont="1" applyFill="1" applyBorder="1" applyAlignment="1" applyProtection="1">
      <alignment horizontal="right"/>
    </xf>
    <xf numFmtId="166" fontId="1" fillId="0" borderId="13" xfId="0" applyNumberFormat="1" applyFont="1" applyFill="1" applyBorder="1" applyAlignment="1" applyProtection="1">
      <alignment horizontal="right"/>
    </xf>
    <xf numFmtId="10" fontId="1" fillId="0" borderId="13" xfId="50" applyNumberFormat="1" applyFont="1" applyFill="1" applyBorder="1" applyAlignment="1" applyProtection="1">
      <alignment horizontal="right"/>
    </xf>
    <xf numFmtId="166" fontId="1" fillId="0" borderId="13" xfId="0" applyNumberFormat="1" applyFont="1" applyFill="1" applyBorder="1" applyAlignment="1" applyProtection="1"/>
    <xf numFmtId="5" fontId="1" fillId="0" borderId="13" xfId="30" quotePrefix="1" applyNumberFormat="1" applyFont="1" applyFill="1" applyBorder="1" applyAlignment="1" applyProtection="1"/>
    <xf numFmtId="168" fontId="1" fillId="0" borderId="13" xfId="30" quotePrefix="1" applyNumberFormat="1" applyFont="1" applyFill="1" applyBorder="1" applyAlignment="1" applyProtection="1"/>
    <xf numFmtId="166" fontId="1" fillId="0" borderId="13" xfId="50" applyNumberFormat="1" applyFont="1" applyFill="1" applyBorder="1" applyProtection="1"/>
    <xf numFmtId="166" fontId="1" fillId="0" borderId="13" xfId="50" quotePrefix="1" applyNumberFormat="1" applyFont="1" applyFill="1" applyBorder="1" applyAlignment="1" applyProtection="1"/>
    <xf numFmtId="165" fontId="1" fillId="0" borderId="13" xfId="50" applyFont="1" applyFill="1" applyBorder="1" applyProtection="1"/>
    <xf numFmtId="168" fontId="1" fillId="0" borderId="13" xfId="30" applyNumberFormat="1" applyFont="1" applyFill="1" applyBorder="1" applyProtection="1"/>
    <xf numFmtId="183" fontId="1" fillId="0" borderId="13" xfId="29" applyNumberFormat="1" applyFont="1" applyFill="1" applyBorder="1" applyProtection="1"/>
    <xf numFmtId="183" fontId="1" fillId="0" borderId="24" xfId="0" applyNumberFormat="1" applyFont="1" applyFill="1" applyBorder="1"/>
    <xf numFmtId="183" fontId="1" fillId="0" borderId="24" xfId="30" applyNumberFormat="1" applyFont="1" applyFill="1" applyBorder="1"/>
    <xf numFmtId="166" fontId="1" fillId="0" borderId="13" xfId="29" applyNumberFormat="1" applyFont="1" applyFill="1" applyBorder="1" applyProtection="1"/>
    <xf numFmtId="183" fontId="1" fillId="0" borderId="13" xfId="0" applyNumberFormat="1" applyFont="1" applyFill="1" applyBorder="1" applyProtection="1"/>
    <xf numFmtId="166" fontId="1" fillId="0" borderId="13" xfId="30" applyNumberFormat="1" applyFont="1" applyFill="1" applyBorder="1" applyProtection="1"/>
    <xf numFmtId="183" fontId="1" fillId="0" borderId="13" xfId="50" applyNumberFormat="1" applyFont="1" applyFill="1" applyBorder="1" applyProtection="1"/>
    <xf numFmtId="183" fontId="1" fillId="0" borderId="24" xfId="29" applyNumberFormat="1" applyFont="1" applyFill="1" applyBorder="1" applyProtection="1"/>
    <xf numFmtId="37" fontId="1" fillId="0" borderId="13" xfId="0" applyFont="1" applyFill="1" applyBorder="1" applyProtection="1"/>
    <xf numFmtId="183" fontId="1" fillId="0" borderId="13" xfId="30" applyNumberFormat="1" applyFont="1" applyFill="1" applyBorder="1" applyProtection="1">
      <protection locked="0"/>
    </xf>
    <xf numFmtId="166" fontId="1" fillId="0" borderId="13" xfId="29" applyNumberFormat="1" applyFont="1" applyFill="1" applyBorder="1" applyProtection="1">
      <protection locked="0"/>
    </xf>
    <xf numFmtId="165" fontId="1" fillId="0" borderId="13" xfId="50" applyFont="1" applyFill="1" applyBorder="1" applyAlignment="1" applyProtection="1"/>
    <xf numFmtId="37" fontId="1" fillId="0" borderId="13" xfId="0" applyNumberFormat="1" applyFont="1" applyFill="1" applyBorder="1" applyProtection="1">
      <protection locked="0"/>
    </xf>
    <xf numFmtId="168" fontId="1" fillId="0" borderId="13" xfId="50" applyNumberFormat="1" applyFont="1" applyFill="1" applyBorder="1" applyAlignment="1" applyProtection="1">
      <alignment horizontal="right"/>
    </xf>
    <xf numFmtId="166" fontId="1" fillId="0" borderId="13" xfId="50" applyNumberFormat="1" applyFont="1" applyFill="1" applyBorder="1" applyAlignment="1" applyProtection="1">
      <alignment horizontal="right"/>
    </xf>
    <xf numFmtId="168" fontId="1" fillId="0" borderId="13" xfId="0" applyNumberFormat="1" applyFont="1" applyFill="1" applyBorder="1" applyAlignment="1" applyProtection="1">
      <alignment horizontal="right"/>
    </xf>
    <xf numFmtId="183" fontId="1" fillId="0" borderId="13" xfId="30" applyNumberFormat="1" applyFont="1" applyFill="1" applyBorder="1" applyAlignment="1" applyProtection="1">
      <alignment horizontal="right"/>
    </xf>
    <xf numFmtId="166" fontId="1" fillId="0" borderId="13" xfId="0" applyNumberFormat="1" applyFont="1" applyFill="1" applyBorder="1"/>
    <xf numFmtId="185" fontId="1" fillId="0" borderId="13" xfId="0" applyNumberFormat="1" applyFont="1" applyFill="1" applyBorder="1" applyAlignment="1" applyProtection="1">
      <alignment horizontal="right"/>
    </xf>
    <xf numFmtId="39" fontId="1" fillId="0" borderId="17" xfId="0" applyNumberFormat="1" applyFont="1" applyFill="1" applyBorder="1" applyAlignment="1" applyProtection="1">
      <alignment horizontal="right"/>
    </xf>
    <xf numFmtId="192" fontId="1" fillId="0" borderId="17" xfId="0" applyNumberFormat="1" applyFont="1" applyFill="1" applyBorder="1" applyAlignment="1" applyProtection="1">
      <alignment horizontal="right"/>
    </xf>
    <xf numFmtId="175" fontId="1" fillId="0" borderId="17" xfId="0" applyNumberFormat="1" applyFont="1" applyFill="1" applyBorder="1" applyAlignment="1" applyProtection="1">
      <alignment horizontal="right"/>
    </xf>
    <xf numFmtId="166" fontId="1" fillId="0" borderId="17" xfId="0" applyNumberFormat="1" applyFont="1" applyFill="1" applyBorder="1" applyAlignment="1" applyProtection="1">
      <alignment horizontal="right"/>
    </xf>
    <xf numFmtId="37" fontId="1" fillId="0" borderId="17" xfId="0" applyNumberFormat="1" applyFont="1" applyFill="1" applyBorder="1" applyAlignment="1" applyProtection="1">
      <alignment horizontal="right"/>
    </xf>
    <xf numFmtId="189" fontId="1" fillId="0" borderId="17" xfId="29" applyNumberFormat="1" applyFont="1" applyFill="1" applyBorder="1" applyAlignment="1" applyProtection="1">
      <alignment horizontal="right"/>
    </xf>
    <xf numFmtId="180" fontId="1" fillId="0" borderId="17" xfId="0" applyNumberFormat="1" applyFont="1" applyFill="1" applyBorder="1" applyAlignment="1" applyProtection="1">
      <alignment horizontal="right"/>
    </xf>
    <xf numFmtId="180" fontId="1" fillId="0" borderId="13" xfId="0" applyNumberFormat="1" applyFont="1" applyFill="1" applyBorder="1" applyAlignment="1" applyProtection="1">
      <alignment horizontal="right"/>
    </xf>
    <xf numFmtId="0" fontId="26" fillId="11" borderId="0" xfId="0" applyNumberFormat="1" applyFont="1" applyFill="1" applyBorder="1" applyProtection="1"/>
    <xf numFmtId="0" fontId="18" fillId="0" borderId="0" xfId="0" applyNumberFormat="1" applyFont="1" applyFill="1" applyBorder="1"/>
    <xf numFmtId="183" fontId="146" fillId="0" borderId="0" xfId="0" applyNumberFormat="1" applyFont="1" applyFill="1" applyBorder="1"/>
    <xf numFmtId="37" fontId="146" fillId="0" borderId="0" xfId="29" applyNumberFormat="1" applyFont="1" applyFill="1" applyBorder="1" applyProtection="1"/>
    <xf numFmtId="37" fontId="0" fillId="0" borderId="0" xfId="0"/>
    <xf numFmtId="37" fontId="0" fillId="0" borderId="0" xfId="0"/>
    <xf numFmtId="7" fontId="6" fillId="4" borderId="24" xfId="50" applyNumberFormat="1" applyFont="1" applyFill="1" applyBorder="1"/>
    <xf numFmtId="7" fontId="6" fillId="4" borderId="0" xfId="50" applyNumberFormat="1" applyFont="1" applyFill="1" applyBorder="1"/>
    <xf numFmtId="7" fontId="6" fillId="0" borderId="24" xfId="50" applyNumberFormat="1" applyFont="1" applyBorder="1"/>
    <xf numFmtId="7" fontId="6" fillId="0" borderId="0" xfId="50" applyNumberFormat="1" applyFont="1" applyBorder="1"/>
    <xf numFmtId="183" fontId="151" fillId="0" borderId="0" xfId="29" applyNumberFormat="1" applyFont="1" applyFill="1" applyBorder="1" applyProtection="1"/>
    <xf numFmtId="183" fontId="26" fillId="0" borderId="16" xfId="0" applyNumberFormat="1" applyFont="1" applyFill="1" applyBorder="1" applyProtection="1"/>
    <xf numFmtId="184" fontId="26" fillId="0" borderId="21" xfId="29" applyNumberFormat="1" applyFont="1" applyFill="1" applyBorder="1" applyProtection="1"/>
    <xf numFmtId="166" fontId="1" fillId="0" borderId="24" xfId="29" applyNumberFormat="1" applyFont="1" applyBorder="1" applyAlignment="1" applyProtection="1">
      <alignment horizontal="left"/>
    </xf>
    <xf numFmtId="7" fontId="26" fillId="0" borderId="0" xfId="29" applyNumberFormat="1" applyFont="1" applyFill="1" applyBorder="1"/>
    <xf numFmtId="7" fontId="148" fillId="0" borderId="0" xfId="29" applyNumberFormat="1" applyFont="1" applyFill="1" applyBorder="1"/>
    <xf numFmtId="7" fontId="138" fillId="0" borderId="13" xfId="29" applyNumberFormat="1" applyFont="1" applyFill="1" applyBorder="1"/>
    <xf numFmtId="7" fontId="148" fillId="0" borderId="13" xfId="29" applyNumberFormat="1" applyFont="1" applyFill="1" applyBorder="1"/>
    <xf numFmtId="183" fontId="1" fillId="0" borderId="13" xfId="29" quotePrefix="1" applyNumberFormat="1" applyFont="1" applyFill="1" applyBorder="1" applyAlignment="1" applyProtection="1">
      <alignment horizontal="right"/>
    </xf>
    <xf numFmtId="7" fontId="6" fillId="0" borderId="0" xfId="30" applyNumberFormat="1" applyFont="1" applyAlignment="1">
      <alignment horizontal="center"/>
    </xf>
    <xf numFmtId="37" fontId="0" fillId="0" borderId="0" xfId="0"/>
    <xf numFmtId="0" fontId="6" fillId="0" borderId="0" xfId="0" applyNumberFormat="1" applyFont="1" applyBorder="1"/>
    <xf numFmtId="0" fontId="6" fillId="0" borderId="0" xfId="0" applyNumberFormat="1" applyFont="1"/>
    <xf numFmtId="37" fontId="151" fillId="0" borderId="0" xfId="29" applyNumberFormat="1" applyFont="1" applyFill="1" applyBorder="1" applyProtection="1"/>
    <xf numFmtId="0" fontId="1" fillId="0" borderId="9" xfId="0" applyNumberFormat="1" applyFont="1" applyBorder="1"/>
    <xf numFmtId="0" fontId="1" fillId="0" borderId="10" xfId="0" applyNumberFormat="1" applyFont="1" applyBorder="1" applyAlignment="1">
      <alignment horizontal="right"/>
    </xf>
    <xf numFmtId="166" fontId="146" fillId="0" borderId="0" xfId="0" applyNumberFormat="1" applyFont="1" applyBorder="1"/>
    <xf numFmtId="165" fontId="6" fillId="0" borderId="24" xfId="50" applyFont="1" applyBorder="1"/>
    <xf numFmtId="165" fontId="146" fillId="0" borderId="0" xfId="50" applyFont="1" applyBorder="1"/>
    <xf numFmtId="165" fontId="146" fillId="0" borderId="17" xfId="50" applyFont="1" applyBorder="1"/>
    <xf numFmtId="37" fontId="146" fillId="0" borderId="0" xfId="0" applyFont="1" applyBorder="1"/>
    <xf numFmtId="166" fontId="146" fillId="0" borderId="13" xfId="0" applyNumberFormat="1" applyFont="1" applyBorder="1"/>
    <xf numFmtId="37" fontId="146" fillId="0" borderId="13" xfId="0" applyFont="1" applyBorder="1"/>
    <xf numFmtId="165" fontId="146" fillId="0" borderId="13" xfId="50" applyFont="1" applyBorder="1"/>
    <xf numFmtId="183" fontId="151" fillId="0" borderId="17" xfId="29" quotePrefix="1" applyNumberFormat="1" applyFont="1" applyFill="1" applyBorder="1" applyAlignment="1" applyProtection="1"/>
    <xf numFmtId="183" fontId="151" fillId="0" borderId="0" xfId="29" quotePrefix="1" applyNumberFormat="1" applyFont="1" applyFill="1" applyBorder="1" applyAlignment="1" applyProtection="1"/>
    <xf numFmtId="165" fontId="151" fillId="0" borderId="17" xfId="50" applyFont="1" applyFill="1" applyBorder="1" applyAlignment="1" applyProtection="1">
      <alignment horizontal="right"/>
    </xf>
    <xf numFmtId="165" fontId="1" fillId="0" borderId="24" xfId="50" applyFont="1" applyBorder="1"/>
    <xf numFmtId="168" fontId="146" fillId="0" borderId="13" xfId="0" applyNumberFormat="1" applyFont="1" applyBorder="1"/>
    <xf numFmtId="41" fontId="146" fillId="0" borderId="0" xfId="0" applyNumberFormat="1" applyFont="1" applyFill="1" applyBorder="1" applyAlignment="1" applyProtection="1">
      <alignment horizontal="right"/>
    </xf>
    <xf numFmtId="37" fontId="148" fillId="0" borderId="0" xfId="29" quotePrefix="1" applyFont="1" applyFill="1" applyBorder="1" applyAlignment="1" applyProtection="1"/>
    <xf numFmtId="1" fontId="8" fillId="0" borderId="24" xfId="30" applyNumberFormat="1" applyFont="1" applyFill="1" applyBorder="1" applyAlignment="1" applyProtection="1">
      <alignment horizontal="right"/>
    </xf>
    <xf numFmtId="166" fontId="1" fillId="0" borderId="0" xfId="0" applyNumberFormat="1" applyFont="1" applyBorder="1" applyAlignment="1">
      <alignment horizontal="left"/>
    </xf>
    <xf numFmtId="166" fontId="1" fillId="0" borderId="24" xfId="50" applyNumberFormat="1" applyFont="1" applyFill="1" applyBorder="1" applyProtection="1"/>
    <xf numFmtId="166" fontId="1" fillId="0" borderId="0" xfId="50" applyNumberFormat="1" applyFont="1" applyFill="1" applyBorder="1" applyProtection="1"/>
    <xf numFmtId="166" fontId="1" fillId="0" borderId="17" xfId="50" applyNumberFormat="1" applyFont="1" applyFill="1" applyBorder="1" applyProtection="1"/>
    <xf numFmtId="166" fontId="1" fillId="0" borderId="0" xfId="50" quotePrefix="1" applyNumberFormat="1" applyFont="1" applyFill="1" applyBorder="1" applyAlignment="1" applyProtection="1"/>
    <xf numFmtId="166" fontId="1" fillId="0" borderId="24" xfId="0" applyNumberFormat="1" applyFont="1" applyBorder="1" applyAlignment="1">
      <alignment horizontal="left" indent="1"/>
    </xf>
    <xf numFmtId="166" fontId="1" fillId="9" borderId="0" xfId="0" applyNumberFormat="1" applyFont="1" applyFill="1" applyBorder="1"/>
    <xf numFmtId="166" fontId="59" fillId="0" borderId="0" xfId="0" applyNumberFormat="1" applyFont="1"/>
    <xf numFmtId="166" fontId="59" fillId="0" borderId="0" xfId="0" applyNumberFormat="1" applyFont="1" applyBorder="1"/>
    <xf numFmtId="166" fontId="146" fillId="0" borderId="0" xfId="50" applyNumberFormat="1" applyFont="1" applyFill="1" applyBorder="1" applyProtection="1"/>
    <xf numFmtId="166" fontId="153" fillId="0" borderId="17" xfId="50" applyNumberFormat="1" applyFont="1" applyFill="1" applyBorder="1" applyProtection="1"/>
    <xf numFmtId="166" fontId="151" fillId="0" borderId="13" xfId="50" quotePrefix="1" applyNumberFormat="1" applyFont="1" applyFill="1" applyBorder="1" applyAlignment="1" applyProtection="1"/>
    <xf numFmtId="191" fontId="1" fillId="0" borderId="0" xfId="0" applyNumberFormat="1" applyFont="1" applyBorder="1" applyAlignment="1">
      <alignment horizontal="left"/>
    </xf>
    <xf numFmtId="191" fontId="8" fillId="0" borderId="0" xfId="29" applyNumberFormat="1" applyFont="1" applyFill="1" applyBorder="1" applyAlignment="1" applyProtection="1">
      <alignment horizontal="left"/>
    </xf>
    <xf numFmtId="191" fontId="1" fillId="0" borderId="24" xfId="50" applyNumberFormat="1" applyFont="1" applyFill="1" applyBorder="1" applyProtection="1"/>
    <xf numFmtId="191" fontId="1" fillId="0" borderId="0" xfId="50" applyNumberFormat="1" applyFont="1" applyFill="1" applyBorder="1" applyProtection="1"/>
    <xf numFmtId="191" fontId="1" fillId="0" borderId="13" xfId="50" applyNumberFormat="1" applyFont="1" applyFill="1" applyBorder="1" applyProtection="1"/>
    <xf numFmtId="191" fontId="1" fillId="0" borderId="13" xfId="50" quotePrefix="1" applyNumberFormat="1" applyFont="1" applyFill="1" applyBorder="1" applyAlignment="1" applyProtection="1"/>
    <xf numFmtId="191" fontId="1" fillId="0" borderId="17" xfId="50" applyNumberFormat="1" applyFont="1" applyFill="1" applyBorder="1" applyProtection="1"/>
    <xf numFmtId="191" fontId="45" fillId="0" borderId="13" xfId="50" quotePrefix="1" applyNumberFormat="1" applyFont="1" applyFill="1" applyBorder="1" applyAlignment="1" applyProtection="1"/>
    <xf numFmtId="191" fontId="146" fillId="0" borderId="0" xfId="50" applyNumberFormat="1" applyFont="1" applyFill="1" applyBorder="1" applyProtection="1"/>
    <xf numFmtId="191" fontId="1" fillId="0" borderId="0" xfId="50" quotePrefix="1" applyNumberFormat="1" applyFont="1" applyFill="1" applyBorder="1" applyAlignment="1" applyProtection="1"/>
    <xf numFmtId="191" fontId="1" fillId="0" borderId="0" xfId="0" applyNumberFormat="1" applyFont="1" applyFill="1" applyBorder="1" applyAlignment="1" applyProtection="1">
      <alignment horizontal="right"/>
    </xf>
    <xf numFmtId="191" fontId="45" fillId="0" borderId="0" xfId="50" quotePrefix="1" applyNumberFormat="1" applyFont="1" applyFill="1" applyBorder="1" applyAlignment="1" applyProtection="1"/>
    <xf numFmtId="191" fontId="45" fillId="0" borderId="0" xfId="29" quotePrefix="1" applyNumberFormat="1" applyFont="1" applyFill="1" applyBorder="1" applyAlignment="1" applyProtection="1"/>
    <xf numFmtId="191" fontId="1" fillId="9" borderId="0" xfId="0" applyNumberFormat="1" applyFont="1" applyFill="1" applyBorder="1"/>
    <xf numFmtId="191" fontId="59" fillId="0" borderId="0" xfId="0" applyNumberFormat="1" applyFont="1" applyBorder="1"/>
    <xf numFmtId="165" fontId="41" fillId="0" borderId="0" xfId="50" applyNumberFormat="1" applyFont="1" applyBorder="1" applyAlignment="1">
      <alignment horizontal="left" indent="1"/>
    </xf>
    <xf numFmtId="165" fontId="1" fillId="0" borderId="24" xfId="50" applyNumberFormat="1" applyFont="1" applyFill="1" applyBorder="1" applyProtection="1"/>
    <xf numFmtId="165" fontId="1" fillId="0" borderId="0" xfId="50" applyNumberFormat="1" applyFont="1" applyFill="1" applyBorder="1" applyProtection="1"/>
    <xf numFmtId="165" fontId="1" fillId="0" borderId="13" xfId="50" applyNumberFormat="1" applyFont="1" applyFill="1" applyBorder="1" applyProtection="1"/>
    <xf numFmtId="165" fontId="1" fillId="0" borderId="13" xfId="50" quotePrefix="1" applyNumberFormat="1" applyFont="1" applyFill="1" applyBorder="1" applyAlignment="1" applyProtection="1"/>
    <xf numFmtId="165" fontId="1" fillId="0" borderId="17" xfId="50" applyNumberFormat="1" applyFont="1" applyFill="1" applyBorder="1" applyProtection="1"/>
    <xf numFmtId="165" fontId="45" fillId="0" borderId="13" xfId="50" quotePrefix="1" applyNumberFormat="1" applyFont="1" applyFill="1" applyBorder="1" applyAlignment="1" applyProtection="1"/>
    <xf numFmtId="165" fontId="146" fillId="0" borderId="0" xfId="50" applyNumberFormat="1" applyFont="1" applyFill="1" applyBorder="1" applyProtection="1"/>
    <xf numFmtId="165" fontId="1" fillId="0" borderId="0" xfId="50" quotePrefix="1" applyNumberFormat="1" applyFont="1" applyFill="1" applyBorder="1" applyAlignment="1" applyProtection="1"/>
    <xf numFmtId="165" fontId="1" fillId="0" borderId="24" xfId="0" applyNumberFormat="1" applyFont="1" applyBorder="1" applyAlignment="1">
      <alignment horizontal="left" indent="1"/>
    </xf>
    <xf numFmtId="165" fontId="1" fillId="0" borderId="0" xfId="0" applyNumberFormat="1" applyFont="1" applyFill="1" applyBorder="1" applyAlignment="1" applyProtection="1">
      <alignment horizontal="right"/>
    </xf>
    <xf numFmtId="165" fontId="1" fillId="9" borderId="0" xfId="0" applyNumberFormat="1" applyFont="1" applyFill="1" applyBorder="1"/>
    <xf numFmtId="165" fontId="59" fillId="0" borderId="0" xfId="0" applyNumberFormat="1" applyFont="1" applyBorder="1"/>
    <xf numFmtId="165" fontId="151" fillId="0" borderId="0" xfId="50" applyNumberFormat="1" applyFont="1" applyFill="1" applyBorder="1" applyProtection="1"/>
    <xf numFmtId="165" fontId="153" fillId="0" borderId="17" xfId="50" applyNumberFormat="1" applyFont="1" applyFill="1" applyBorder="1" applyProtection="1"/>
    <xf numFmtId="165" fontId="153" fillId="0" borderId="13" xfId="50" quotePrefix="1" applyNumberFormat="1" applyFont="1" applyFill="1" applyBorder="1" applyAlignment="1" applyProtection="1"/>
    <xf numFmtId="168" fontId="1" fillId="0" borderId="0" xfId="0" applyNumberFormat="1" applyFont="1" applyBorder="1" applyAlignment="1">
      <alignment horizontal="left"/>
    </xf>
    <xf numFmtId="168" fontId="1" fillId="0" borderId="24" xfId="50" applyNumberFormat="1" applyFont="1" applyFill="1" applyBorder="1" applyProtection="1"/>
    <xf numFmtId="168" fontId="1" fillId="0" borderId="0" xfId="50" applyNumberFormat="1" applyFont="1" applyFill="1" applyBorder="1" applyProtection="1"/>
    <xf numFmtId="168" fontId="1" fillId="0" borderId="13" xfId="50" applyNumberFormat="1" applyFont="1" applyFill="1" applyBorder="1" applyProtection="1"/>
    <xf numFmtId="168" fontId="1" fillId="0" borderId="13" xfId="50" quotePrefix="1" applyNumberFormat="1" applyFont="1" applyFill="1" applyBorder="1" applyAlignment="1" applyProtection="1"/>
    <xf numFmtId="168" fontId="1" fillId="0" borderId="17" xfId="50" applyNumberFormat="1" applyFont="1" applyFill="1" applyBorder="1" applyProtection="1"/>
    <xf numFmtId="168" fontId="45" fillId="0" borderId="13" xfId="50" quotePrefix="1" applyNumberFormat="1" applyFont="1" applyFill="1" applyBorder="1" applyAlignment="1" applyProtection="1"/>
    <xf numFmtId="168" fontId="1" fillId="0" borderId="0" xfId="50" quotePrefix="1" applyNumberFormat="1" applyFont="1" applyFill="1" applyBorder="1" applyAlignment="1" applyProtection="1"/>
    <xf numFmtId="168" fontId="1" fillId="0" borderId="24" xfId="0" applyNumberFormat="1" applyFont="1" applyBorder="1" applyAlignment="1">
      <alignment horizontal="left" indent="1"/>
    </xf>
    <xf numFmtId="168" fontId="1" fillId="0" borderId="0" xfId="0" applyNumberFormat="1" applyFont="1" applyFill="1" applyBorder="1" applyAlignment="1" applyProtection="1">
      <alignment horizontal="right"/>
    </xf>
    <xf numFmtId="168" fontId="59" fillId="0" borderId="0" xfId="0" applyNumberFormat="1" applyFont="1" applyBorder="1"/>
    <xf numFmtId="168" fontId="146" fillId="0" borderId="0" xfId="50" applyNumberFormat="1" applyFont="1" applyFill="1" applyBorder="1" applyProtection="1"/>
    <xf numFmtId="168" fontId="153" fillId="0" borderId="17" xfId="50" applyNumberFormat="1" applyFont="1" applyFill="1" applyBorder="1" applyProtection="1"/>
    <xf numFmtId="183" fontId="153" fillId="0" borderId="17" xfId="29" applyNumberFormat="1" applyFont="1" applyFill="1" applyBorder="1"/>
    <xf numFmtId="37" fontId="1" fillId="0" borderId="0" xfId="0" applyFont="1" applyFill="1" applyBorder="1" applyAlignment="1" applyProtection="1">
      <alignment horizontal="left" indent="1"/>
    </xf>
    <xf numFmtId="183" fontId="153" fillId="0" borderId="13" xfId="29" applyNumberFormat="1" applyFont="1" applyFill="1" applyBorder="1" applyProtection="1">
      <protection locked="0"/>
    </xf>
    <xf numFmtId="183" fontId="153" fillId="0" borderId="17" xfId="29" applyNumberFormat="1" applyFont="1" applyFill="1" applyBorder="1" applyProtection="1">
      <protection locked="0"/>
    </xf>
    <xf numFmtId="183" fontId="152" fillId="0" borderId="0" xfId="30" quotePrefix="1" applyNumberFormat="1" applyFont="1" applyFill="1" applyBorder="1" applyAlignment="1" applyProtection="1"/>
    <xf numFmtId="183" fontId="152" fillId="0" borderId="13" xfId="30" quotePrefix="1" applyNumberFormat="1" applyFont="1" applyFill="1" applyBorder="1" applyAlignment="1" applyProtection="1"/>
    <xf numFmtId="165" fontId="146" fillId="0" borderId="0" xfId="0" applyNumberFormat="1" applyFont="1" applyBorder="1"/>
    <xf numFmtId="165" fontId="6" fillId="0" borderId="0" xfId="50" applyNumberFormat="1" applyFont="1" applyBorder="1"/>
    <xf numFmtId="168" fontId="146" fillId="0" borderId="0" xfId="0" applyNumberFormat="1" applyFont="1" applyBorder="1"/>
    <xf numFmtId="165" fontId="6" fillId="0" borderId="13" xfId="50" applyNumberFormat="1" applyFont="1" applyBorder="1"/>
    <xf numFmtId="37" fontId="155" fillId="0" borderId="13" xfId="0" applyFont="1" applyBorder="1"/>
    <xf numFmtId="165" fontId="1" fillId="0" borderId="24" xfId="50" applyNumberFormat="1" applyFont="1" applyBorder="1" applyAlignment="1">
      <alignment horizontal="left" indent="1"/>
    </xf>
    <xf numFmtId="165" fontId="1" fillId="0" borderId="24" xfId="50" applyFont="1" applyBorder="1" applyAlignment="1">
      <alignment horizontal="left" indent="1"/>
    </xf>
    <xf numFmtId="37" fontId="155" fillId="0" borderId="0" xfId="0" applyFont="1" applyBorder="1"/>
    <xf numFmtId="37" fontId="148" fillId="0" borderId="0" xfId="0" applyFont="1" applyBorder="1"/>
    <xf numFmtId="165" fontId="146" fillId="0" borderId="13" xfId="0" applyNumberFormat="1" applyFont="1" applyBorder="1"/>
    <xf numFmtId="168" fontId="6" fillId="0" borderId="0" xfId="50" applyNumberFormat="1" applyFont="1" applyBorder="1"/>
    <xf numFmtId="168" fontId="6" fillId="0" borderId="13" xfId="50" applyNumberFormat="1" applyFont="1" applyBorder="1"/>
    <xf numFmtId="168" fontId="146" fillId="0" borderId="13" xfId="50" applyNumberFormat="1" applyFont="1" applyBorder="1"/>
    <xf numFmtId="168" fontId="155" fillId="0" borderId="13" xfId="50" applyNumberFormat="1" applyFont="1" applyBorder="1"/>
    <xf numFmtId="166" fontId="148" fillId="0" borderId="0" xfId="0" applyNumberFormat="1" applyFont="1" applyFill="1" applyBorder="1" applyAlignment="1" applyProtection="1">
      <alignment horizontal="right"/>
    </xf>
    <xf numFmtId="166" fontId="148" fillId="0" borderId="17" xfId="0" applyNumberFormat="1" applyFont="1" applyFill="1" applyBorder="1" applyAlignment="1" applyProtection="1">
      <alignment horizontal="right"/>
    </xf>
    <xf numFmtId="166" fontId="6" fillId="0" borderId="0" xfId="50" applyNumberFormat="1" applyFont="1" applyBorder="1"/>
    <xf numFmtId="166" fontId="1" fillId="0" borderId="24" xfId="50" applyNumberFormat="1" applyFont="1" applyBorder="1" applyAlignment="1">
      <alignment horizontal="left" indent="1"/>
    </xf>
    <xf numFmtId="166" fontId="6" fillId="0" borderId="13" xfId="50" applyNumberFormat="1" applyFont="1" applyBorder="1"/>
    <xf numFmtId="165" fontId="146" fillId="0" borderId="0" xfId="0" applyNumberFormat="1" applyFont="1" applyFill="1" applyBorder="1"/>
    <xf numFmtId="165" fontId="6" fillId="0" borderId="13" xfId="50" applyNumberFormat="1" applyFont="1" applyFill="1" applyBorder="1"/>
    <xf numFmtId="165" fontId="146" fillId="0" borderId="13" xfId="0" applyNumberFormat="1" applyFont="1" applyFill="1" applyBorder="1"/>
    <xf numFmtId="37" fontId="6" fillId="0" borderId="13" xfId="0" applyFont="1" applyFill="1" applyBorder="1"/>
    <xf numFmtId="168" fontId="6" fillId="0" borderId="13" xfId="50" applyNumberFormat="1" applyFont="1" applyFill="1" applyBorder="1"/>
    <xf numFmtId="37" fontId="1" fillId="0" borderId="10" xfId="0" applyFont="1" applyBorder="1"/>
    <xf numFmtId="37" fontId="1" fillId="0" borderId="21" xfId="0" applyFont="1" applyBorder="1" applyAlignment="1">
      <alignment horizontal="left" indent="1"/>
    </xf>
    <xf numFmtId="165" fontId="6" fillId="0" borderId="22" xfId="0" applyNumberFormat="1" applyFont="1" applyBorder="1"/>
    <xf numFmtId="37" fontId="1" fillId="0" borderId="0" xfId="0" applyFont="1" applyBorder="1" applyAlignment="1">
      <alignment horizontal="left"/>
    </xf>
    <xf numFmtId="37" fontId="1" fillId="0" borderId="21" xfId="0" applyFont="1" applyBorder="1" applyAlignment="1">
      <alignment horizontal="left"/>
    </xf>
    <xf numFmtId="168" fontId="1" fillId="0" borderId="0" xfId="30" quotePrefix="1" applyNumberFormat="1" applyFont="1" applyFill="1" applyBorder="1" applyAlignment="1" applyProtection="1"/>
    <xf numFmtId="1" fontId="44" fillId="7" borderId="11" xfId="30" applyNumberFormat="1" applyFont="1" applyFill="1" applyBorder="1" applyAlignment="1" applyProtection="1">
      <alignment horizontal="right"/>
    </xf>
    <xf numFmtId="183" fontId="151" fillId="0" borderId="17" xfId="0" applyNumberFormat="1" applyFont="1" applyFill="1" applyBorder="1"/>
    <xf numFmtId="4" fontId="0" fillId="0" borderId="0" xfId="50" applyNumberFormat="1" applyFont="1"/>
    <xf numFmtId="183" fontId="26" fillId="16" borderId="0" xfId="0" applyNumberFormat="1" applyFont="1" applyFill="1" applyBorder="1"/>
    <xf numFmtId="165" fontId="150" fillId="0" borderId="17" xfId="50" applyFont="1" applyFill="1" applyBorder="1" applyProtection="1"/>
    <xf numFmtId="165" fontId="150" fillId="0" borderId="13" xfId="50" applyFont="1" applyFill="1" applyBorder="1" applyProtection="1"/>
    <xf numFmtId="165" fontId="156" fillId="0" borderId="0" xfId="50" applyFont="1" applyFill="1" applyBorder="1" applyProtection="1"/>
    <xf numFmtId="165" fontId="156" fillId="0" borderId="17" xfId="50" applyFont="1" applyFill="1" applyBorder="1" applyProtection="1"/>
    <xf numFmtId="165" fontId="156" fillId="0" borderId="13" xfId="50" applyFont="1" applyFill="1" applyBorder="1" applyProtection="1"/>
    <xf numFmtId="0" fontId="1" fillId="17" borderId="0" xfId="71" applyFont="1" applyFill="1" applyAlignment="1">
      <alignment vertical="top"/>
    </xf>
    <xf numFmtId="0" fontId="1" fillId="17" borderId="0" xfId="37" applyFill="1" applyAlignment="1">
      <alignment vertical="top"/>
    </xf>
    <xf numFmtId="0" fontId="1" fillId="17" borderId="0" xfId="37" applyFill="1"/>
    <xf numFmtId="0" fontId="158" fillId="17" borderId="0" xfId="71" applyFont="1" applyFill="1" applyAlignment="1">
      <alignment horizontal="left" vertical="top"/>
    </xf>
    <xf numFmtId="0" fontId="1" fillId="17" borderId="0" xfId="37" applyFont="1" applyFill="1" applyAlignment="1">
      <alignment vertical="top"/>
    </xf>
    <xf numFmtId="0" fontId="41" fillId="17" borderId="0" xfId="71" applyFont="1" applyFill="1" applyAlignment="1">
      <alignment vertical="top"/>
    </xf>
    <xf numFmtId="37" fontId="0" fillId="17" borderId="0" xfId="0" applyFill="1" applyAlignment="1">
      <alignment vertical="top"/>
    </xf>
    <xf numFmtId="37" fontId="159" fillId="17" borderId="0" xfId="0" applyFont="1" applyFill="1" applyAlignment="1">
      <alignment vertical="top"/>
    </xf>
    <xf numFmtId="37" fontId="160" fillId="17" borderId="0" xfId="0" applyFont="1" applyFill="1" applyAlignment="1">
      <alignment vertical="top"/>
    </xf>
    <xf numFmtId="37" fontId="159" fillId="17" borderId="37" xfId="0" applyFont="1" applyFill="1" applyBorder="1" applyAlignment="1">
      <alignment vertical="top"/>
    </xf>
    <xf numFmtId="2" fontId="1" fillId="0" borderId="0" xfId="37" applyNumberFormat="1" applyAlignment="1">
      <alignment horizontal="left"/>
    </xf>
    <xf numFmtId="0" fontId="1" fillId="0" borderId="0" xfId="37" applyNumberFormat="1" applyAlignment="1">
      <alignment horizontal="left"/>
    </xf>
    <xf numFmtId="1" fontId="1" fillId="0" borderId="0" xfId="37" applyNumberFormat="1" applyAlignment="1">
      <alignment horizontal="left"/>
    </xf>
    <xf numFmtId="0" fontId="1" fillId="0" borderId="0" xfId="37" applyFont="1"/>
    <xf numFmtId="197" fontId="1" fillId="0" borderId="0" xfId="37" applyNumberFormat="1" applyAlignment="1">
      <alignment horizontal="left"/>
    </xf>
    <xf numFmtId="49" fontId="1" fillId="0" borderId="0" xfId="37" applyNumberFormat="1"/>
    <xf numFmtId="37" fontId="0" fillId="17" borderId="42" xfId="0" applyFill="1" applyBorder="1" applyAlignment="1">
      <alignment vertical="top"/>
    </xf>
    <xf numFmtId="37" fontId="159" fillId="17" borderId="0" xfId="0" applyFont="1" applyFill="1" applyAlignment="1">
      <alignment vertical="top"/>
    </xf>
    <xf numFmtId="37" fontId="159" fillId="17" borderId="38" xfId="0" applyFont="1" applyFill="1" applyBorder="1" applyAlignment="1">
      <alignment vertical="top"/>
    </xf>
    <xf numFmtId="37" fontId="159" fillId="17" borderId="39" xfId="0" applyFont="1" applyFill="1" applyBorder="1" applyAlignment="1">
      <alignment vertical="top"/>
    </xf>
    <xf numFmtId="37" fontId="159" fillId="17" borderId="40" xfId="0" applyFont="1" applyFill="1" applyBorder="1" applyAlignment="1">
      <alignment vertical="top"/>
    </xf>
    <xf numFmtId="37" fontId="160" fillId="17" borderId="0" xfId="0" applyFont="1" applyFill="1" applyAlignment="1">
      <alignment vertical="top"/>
    </xf>
    <xf numFmtId="37" fontId="0" fillId="17" borderId="0" xfId="0" applyFill="1" applyAlignment="1">
      <alignment vertical="top"/>
    </xf>
    <xf numFmtId="37" fontId="0" fillId="17" borderId="41" xfId="0" applyFill="1" applyBorder="1" applyAlignment="1">
      <alignment vertical="top"/>
    </xf>
    <xf numFmtId="37" fontId="6" fillId="0" borderId="0" xfId="0" applyFont="1" applyBorder="1" applyAlignment="1">
      <alignment horizontal="center"/>
    </xf>
    <xf numFmtId="37" fontId="6" fillId="0" borderId="17" xfId="0" applyFont="1" applyBorder="1" applyAlignment="1">
      <alignment horizontal="center"/>
    </xf>
    <xf numFmtId="0" fontId="33" fillId="7" borderId="0" xfId="48" applyFont="1" applyFill="1" applyBorder="1" applyAlignment="1">
      <alignment horizontal="center" vertical="center" wrapText="1"/>
    </xf>
    <xf numFmtId="0" fontId="33" fillId="7" borderId="21" xfId="48" applyFont="1" applyFill="1" applyBorder="1" applyAlignment="1">
      <alignment horizontal="center" vertical="center" wrapText="1"/>
    </xf>
    <xf numFmtId="0" fontId="32" fillId="5" borderId="0" xfId="46" applyFont="1" applyFill="1" applyAlignment="1">
      <alignment horizontal="right" vertical="center"/>
    </xf>
    <xf numFmtId="37" fontId="40" fillId="0" borderId="0" xfId="0" applyFont="1" applyAlignment="1">
      <alignment horizontal="center" textRotation="90"/>
    </xf>
    <xf numFmtId="37" fontId="0" fillId="0" borderId="0" xfId="0" applyAlignment="1">
      <alignment horizontal="center" textRotation="90"/>
    </xf>
    <xf numFmtId="37" fontId="0" fillId="0" borderId="0" xfId="0"/>
    <xf numFmtId="37" fontId="71" fillId="0" borderId="0" xfId="0" applyFont="1" applyAlignment="1">
      <alignment wrapText="1"/>
    </xf>
    <xf numFmtId="37" fontId="70" fillId="0" borderId="0" xfId="0" applyFont="1" applyAlignment="1">
      <alignment horizontal="center" wrapText="1"/>
    </xf>
    <xf numFmtId="37" fontId="70" fillId="0" borderId="0" xfId="0" applyFont="1"/>
    <xf numFmtId="37" fontId="8" fillId="0" borderId="0" xfId="0" applyFont="1" applyAlignment="1">
      <alignment horizontal="center" vertical="top" wrapText="1"/>
    </xf>
  </cellXfs>
  <cellStyles count="72">
    <cellStyle name="_SUMMARY " xfId="1"/>
    <cellStyle name="_SUMMARY _RRST1" xfId="2"/>
    <cellStyle name="_SUMMARY _RRST1 2" xfId="3"/>
    <cellStyle name="_SUMMARY _RRST1_1" xfId="4"/>
    <cellStyle name="_SUMMARY _RRST1_1 2" xfId="5"/>
    <cellStyle name="_SUMMARY _RRST1_2" xfId="6"/>
    <cellStyle name="_SUMMARY _RRST1_2 2" xfId="7"/>
    <cellStyle name="0_Capex &amp; Depreciation " xfId="8"/>
    <cellStyle name="0_Capex &amp; Depreciation _RRST1" xfId="9"/>
    <cellStyle name="0_Capex &amp; Depreciation _RRST1 2" xfId="10"/>
    <cellStyle name="0_Capex &amp; Depreciation _RRST1_1" xfId="11"/>
    <cellStyle name="0_Capex &amp; Depreciation _RRST1_1 2" xfId="12"/>
    <cellStyle name="0_Capex &amp; Depreciation _RRST1_2" xfId="13"/>
    <cellStyle name="0_Capex &amp; Depreciation _RRST1_2 2" xfId="14"/>
    <cellStyle name="0_Valuing BP " xfId="15"/>
    <cellStyle name="0_Valuing BP _RRST1" xfId="16"/>
    <cellStyle name="0_Valuing BP _RRST1 2" xfId="17"/>
    <cellStyle name="0_Valuing BP _RRST1_1" xfId="18"/>
    <cellStyle name="0_Valuing BP _RRST1_1 2" xfId="19"/>
    <cellStyle name="0_Valuing BP _RRST1_2" xfId="20"/>
    <cellStyle name="0_Valuing BP _RRST1_2 2" xfId="21"/>
    <cellStyle name="c_HardInc " xfId="22"/>
    <cellStyle name="c_HardInc _RRST1" xfId="23"/>
    <cellStyle name="c_HardInc _RRST1 2" xfId="24"/>
    <cellStyle name="c_HardInc _RRST1_1" xfId="25"/>
    <cellStyle name="c_HardInc _RRST1_1 2" xfId="26"/>
    <cellStyle name="c_HardInc _RRST1_2" xfId="27"/>
    <cellStyle name="c_HardInc _RRST1_2 2" xfId="28"/>
    <cellStyle name="Comma" xfId="29" builtinId="3"/>
    <cellStyle name="Currency" xfId="30" builtinId="4"/>
    <cellStyle name="Currency 2" xfId="31"/>
    <cellStyle name="Currency 3" xfId="32"/>
    <cellStyle name="Currency 3 2" xfId="33"/>
    <cellStyle name="Currency_Sheet1" xfId="34"/>
    <cellStyle name="Currency_SmartChart_R3020" xfId="35"/>
    <cellStyle name="Hyperlink" xfId="36" builtinId="8"/>
    <cellStyle name="Normal" xfId="0" builtinId="0"/>
    <cellStyle name="Normal 2" xfId="37"/>
    <cellStyle name="Normal 3" xfId="38"/>
    <cellStyle name="Normal 3 2" xfId="39"/>
    <cellStyle name="Normal_DisclaimerSheet Samples" xfId="71"/>
    <cellStyle name="Normal_Exhibits" xfId="40"/>
    <cellStyle name="Normal_MAR WIP" xfId="41"/>
    <cellStyle name="Normal_Quick StarBand DCF-Base Case" xfId="42"/>
    <cellStyle name="Normal_s dakota" xfId="43"/>
    <cellStyle name="Normal_sheet" xfId="44"/>
    <cellStyle name="Normal_Sheet1" xfId="45"/>
    <cellStyle name="Normal_SmartChart_R3020" xfId="46"/>
    <cellStyle name="Normal_Unemployment" xfId="47"/>
    <cellStyle name="Normal_Waterfall1" xfId="48"/>
    <cellStyle name="p " xfId="49"/>
    <cellStyle name="Percent" xfId="50" builtinId="5"/>
    <cellStyle name="Percent 2" xfId="51"/>
    <cellStyle name="Percent_MAR WIP" xfId="52"/>
    <cellStyle name="Percent_Sheet1" xfId="53"/>
    <cellStyle name="RRSInstruction" xfId="54"/>
    <cellStyle name="RRSInstruction 2" xfId="55"/>
    <cellStyle name="s_HardInc " xfId="56"/>
    <cellStyle name="s_HardInc _RRST1" xfId="57"/>
    <cellStyle name="s_HardInc _RRST1 2" xfId="58"/>
    <cellStyle name="s_HardInc _RRST1_1" xfId="59"/>
    <cellStyle name="s_HardInc _RRST1_1 2" xfId="60"/>
    <cellStyle name="s_HardInc _RRST1_2" xfId="61"/>
    <cellStyle name="s_HardInc _RRST1_2 2" xfId="62"/>
    <cellStyle name="s_Valuation " xfId="63"/>
    <cellStyle name="s_Valuation _RRST1" xfId="64"/>
    <cellStyle name="s_Valuation _RRST1 2" xfId="65"/>
    <cellStyle name="s_Valuation _RRST1_1" xfId="66"/>
    <cellStyle name="s_Valuation _RRST1_1 2" xfId="67"/>
    <cellStyle name="s_Valuation _RRST1_2" xfId="68"/>
    <cellStyle name="s_Valuation _RRST1_2 2" xfId="69"/>
    <cellStyle name="ssp " xfId="7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8000"/>
      <color rgb="FFFFFFFF"/>
      <color rgb="FF800000"/>
      <color rgb="FF137CB1"/>
      <color rgb="FFE6BE6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theme/theme1.xml" Type="http://schemas.openxmlformats.org/officeDocument/2006/relationships/theme"/>
<Relationship Id="rId45" Target="styles.xml" Type="http://schemas.openxmlformats.org/officeDocument/2006/relationships/styles"/>
<Relationship Id="rId46" Target="sharedStrings.xml" Type="http://schemas.openxmlformats.org/officeDocument/2006/relationships/sharedStrings"/>
<Relationship Id="rId47" Target="calcChain.xml" Type="http://schemas.openxmlformats.org/officeDocument/2006/relationships/calcChain"/>
<Relationship Id="rId48" Target="../customXml/item1.xml" Type="http://schemas.openxmlformats.org/officeDocument/2006/relationships/customXml"/>
<Relationship Id="rId49" Target="../customXml/item2.xml" Type="http://schemas.openxmlformats.org/officeDocument/2006/relationships/customXml"/>
<Relationship Id="rId5" Target="worksheets/sheet5.xml" Type="http://schemas.openxmlformats.org/officeDocument/2006/relationships/worksheet"/>
<Relationship Id="rId50" Target="vbaProject.bin" Type="http://schemas.microsoft.com/office/2006/relationships/vbaProjec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_rels/chart4.xml.rels><?xml version="1.0" encoding="UTF-8" standalone="yes"?>
<Relationships xmlns="http://schemas.openxmlformats.org/package/2006/relationships">
<Relationship Id="rId1" Target="../drawings/drawing3.xml" Type="http://schemas.openxmlformats.org/officeDocument/2006/relationships/chartUserShapes"/>
</Relationships>

</file>

<file path=xl/charts/_rels/chart8.xml.rels><?xml version="1.0" encoding="UTF-8" standalone="yes"?>
<Relationships xmlns="http://schemas.openxmlformats.org/package/2006/relationships">
<Relationship Id="rId1" Target="../drawings/drawing4.xml" Type="http://schemas.openxmlformats.org/officeDocument/2006/relationships/chartUserShapes"/>
</Relationships>

</file>

<file path=xl/charts/_rels/chart10.xml.rels><?xml version="1.0" encoding="UTF-8" standalone="yes"?>
<Relationships xmlns="http://schemas.openxmlformats.org/package/2006/relationships">
<Relationship Id="rId1" Target="../drawings/drawing6.xml" Type="http://schemas.openxmlformats.org/officeDocument/2006/relationships/chartUserShapes"/>
</Relationships>

</file>

<file path=xl/charts/_rels/chart11.xml.rels><?xml version="1.0" encoding="UTF-8" standalone="yes"?>
<Relationships xmlns="http://schemas.openxmlformats.org/package/2006/relationships">
<Relationship Id="rId1" Target="../drawings/drawing7.xml" Type="http://schemas.openxmlformats.org/officeDocument/2006/relationships/chartUserShapes"/>
</Relationships>

</file>

<file path=xl/charts/_rels/chart12.xml.rels><?xml version="1.0" encoding="UTF-8" standalone="yes"?>
<Relationships xmlns="http://schemas.openxmlformats.org/package/2006/relationships">
<Relationship Id="rId1" Target="../drawings/drawing8.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dLbls>
            <c:dLbl>
              <c:idx val="0"/>
              <c:layout>
                <c:manualLayout>
                  <c:x val="0"/>
                  <c:y val="2.31907812444648E-2"/>
                </c:manualLayout>
              </c:layout>
              <c:dLblPos val="outEnd"/>
              <c:showLegendKey val="0"/>
              <c:showVal val="1"/>
              <c:showCatName val="0"/>
              <c:showSerName val="0"/>
              <c:showPercent val="0"/>
              <c:showBubbleSize val="0"/>
            </c:dLbl>
            <c:dLbl>
              <c:idx val="2"/>
              <c:layout>
                <c:manualLayout>
                  <c:x val="0"/>
                  <c:y val="9.2592592592592587E-3"/>
                </c:manualLayout>
              </c:layout>
              <c:dLblPos val="outEnd"/>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'Tables 2'!$AJ$361:$AJ$365</c:f>
              <c:strCache>
                <c:ptCount val="5"/>
                <c:pt idx="0">
                  <c:v>PENN</c:v>
                </c:pt>
                <c:pt idx="1">
                  <c:v>BYD</c:v>
                </c:pt>
                <c:pt idx="2">
                  <c:v>WYNN</c:v>
                </c:pt>
                <c:pt idx="3">
                  <c:v>MGM</c:v>
                </c:pt>
                <c:pt idx="4">
                  <c:v>LVS</c:v>
                </c:pt>
              </c:strCache>
            </c:strRef>
          </c:cat>
          <c:val>
            <c:numRef>
              <c:f>'Tables 2'!$AK$361:$AK$365</c:f>
              <c:numCache>
                <c:formatCode>0.0%</c:formatCode>
                <c:ptCount val="5"/>
                <c:pt idx="0">
                  <c:v>0.17195122770179025</c:v>
                </c:pt>
                <c:pt idx="1">
                  <c:v>2.0588718214482298</c:v>
                </c:pt>
                <c:pt idx="2">
                  <c:v>5.7145514517400506E-2</c:v>
                </c:pt>
                <c:pt idx="3">
                  <c:v>3.7906289942174438E-2</c:v>
                </c:pt>
                <c:pt idx="4">
                  <c:v>1.0759860671726887E-2</c:v>
                </c:pt>
              </c:numCache>
            </c:numRef>
          </c:val>
        </c:ser>
        <c:dLbls>
          <c:showLegendKey val="0"/>
          <c:showVal val="0"/>
          <c:showCatName val="0"/>
          <c:showSerName val="0"/>
          <c:showPercent val="0"/>
          <c:showBubbleSize val="0"/>
        </c:dLbls>
        <c:gapWidth val="150"/>
        <c:axId val="764931072"/>
        <c:axId val="788660992"/>
      </c:barChart>
      <c:catAx>
        <c:axId val="764931072"/>
        <c:scaling>
          <c:orientation val="minMax"/>
        </c:scaling>
        <c:delete val="0"/>
        <c:axPos val="b"/>
        <c:numFmt formatCode="#,##0_);\(#,##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88660992"/>
        <c:crosses val="autoZero"/>
        <c:auto val="1"/>
        <c:lblAlgn val="ctr"/>
        <c:lblOffset val="100"/>
        <c:noMultiLvlLbl val="0"/>
      </c:catAx>
      <c:valAx>
        <c:axId val="788660992"/>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64931072"/>
        <c:crosses val="autoZero"/>
        <c:crossBetween val="between"/>
      </c:valAx>
      <c:spPr>
        <a:solidFill>
          <a:srgbClr val="FFFFFF"/>
        </a:solidFill>
      </c:spPr>
    </c:plotArea>
    <c:plotVisOnly val="1"/>
    <c:dispBlanksAs val="gap"/>
    <c:showDLblsOverMax val="0"/>
  </c:chart>
  <c:spPr>
    <a:solidFill>
      <a:srgbClr val="FFFFFF"/>
    </a:solidFill>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8910761154856"/>
          <c:y val="7.8703703703703706E-2"/>
          <c:w val="0.85772200349956251"/>
          <c:h val="0.69907407407407407"/>
        </c:manualLayout>
      </c:layout>
      <c:barChart>
        <c:barDir val="col"/>
        <c:grouping val="clustered"/>
        <c:varyColors val="0"/>
        <c:ser>
          <c:idx val="0"/>
          <c:order val="0"/>
          <c:tx>
            <c:strRef>
              <c:f>'Tables 2'!$BU$462</c:f>
              <c:strCache>
                <c:ptCount val="1"/>
                <c:pt idx="0">
                  <c:v>2016e Operating FCF</c:v>
                </c:pt>
              </c:strCache>
            </c:strRef>
          </c:tx>
          <c:spPr>
            <a:solidFill>
              <a:srgbClr val="137CB1"/>
            </a:solidFill>
            <a:ln w="25400">
              <a:noFill/>
            </a:ln>
          </c:spPr>
          <c:invertIfNegative val="0"/>
          <c:dLbls>
            <c:numFmt formatCode="\$#,##0.0" sourceLinked="0"/>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'Tables 2'!$BV$461:$BW$461</c:f>
              <c:strCache>
                <c:ptCount val="2"/>
                <c:pt idx="0">
                  <c:v>BYD</c:v>
                </c:pt>
                <c:pt idx="1">
                  <c:v>PENN</c:v>
                </c:pt>
              </c:strCache>
            </c:strRef>
          </c:cat>
          <c:val>
            <c:numRef>
              <c:f>'Tables 2'!$BV$462:$BW$462</c:f>
              <c:numCache>
                <c:formatCode>#,##0_);\(#,##0\)</c:formatCode>
                <c:ptCount val="2"/>
                <c:pt idx="0">
                  <c:v>279.07150000000001</c:v>
                </c:pt>
                <c:pt idx="1">
                  <c:v>0</c:v>
                </c:pt>
              </c:numCache>
            </c:numRef>
          </c:val>
        </c:ser>
        <c:ser>
          <c:idx val="1"/>
          <c:order val="1"/>
          <c:tx>
            <c:strRef>
              <c:f>'Tables 2'!$BU$463</c:f>
              <c:strCache>
                <c:ptCount val="1"/>
                <c:pt idx="0">
                  <c:v>2016e Net FCF</c:v>
                </c:pt>
              </c:strCache>
            </c:strRef>
          </c:tx>
          <c:spPr>
            <a:solidFill>
              <a:srgbClr val="EACC80"/>
            </a:solidFill>
            <a:ln w="25400">
              <a:noFill/>
            </a:ln>
          </c:spPr>
          <c:invertIfNegative val="0"/>
          <c:dLbls>
            <c:numFmt formatCode="\$#,##0.0_);\(\$#,##0.0\)" sourceLinked="0"/>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'Tables 2'!$BV$461:$BW$461</c:f>
              <c:strCache>
                <c:ptCount val="2"/>
                <c:pt idx="0">
                  <c:v>BYD</c:v>
                </c:pt>
                <c:pt idx="1">
                  <c:v>PENN</c:v>
                </c:pt>
              </c:strCache>
            </c:strRef>
          </c:cat>
          <c:val>
            <c:numRef>
              <c:f>'Tables 2'!$BV$463:$BW$463</c:f>
              <c:numCache>
                <c:formatCode>#,##0_);\(#,##0\)</c:formatCode>
                <c:ptCount val="2"/>
                <c:pt idx="0">
                  <c:v>-581.23249999999996</c:v>
                </c:pt>
                <c:pt idx="1">
                  <c:v>6.8710000000000004</c:v>
                </c:pt>
              </c:numCache>
            </c:numRef>
          </c:val>
        </c:ser>
        <c:ser>
          <c:idx val="2"/>
          <c:order val="2"/>
          <c:tx>
            <c:strRef>
              <c:f>'Tables 2'!$BU$464</c:f>
              <c:strCache>
                <c:ptCount val="1"/>
                <c:pt idx="0">
                  <c:v>PENN 2016e Net FCF ex-Jamul</c:v>
                </c:pt>
              </c:strCache>
            </c:strRef>
          </c:tx>
          <c:spPr>
            <a:solidFill>
              <a:srgbClr val="00B050"/>
            </a:solidFill>
          </c:spPr>
          <c:invertIfNegative val="0"/>
          <c:dLbls>
            <c:numFmt formatCode="\$#,##0" sourceLinked="0"/>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'Tables 2'!$BV$461:$BW$461</c:f>
              <c:strCache>
                <c:ptCount val="2"/>
                <c:pt idx="0">
                  <c:v>BYD</c:v>
                </c:pt>
                <c:pt idx="1">
                  <c:v>PENN</c:v>
                </c:pt>
              </c:strCache>
            </c:strRef>
          </c:cat>
          <c:val>
            <c:numRef>
              <c:f>'Tables 2'!$BV$464:$BW$464</c:f>
              <c:numCache>
                <c:formatCode>#,##0_);\(#,##0\)</c:formatCode>
                <c:ptCount val="2"/>
                <c:pt idx="1">
                  <c:v>6.8710000000000004</c:v>
                </c:pt>
              </c:numCache>
            </c:numRef>
          </c:val>
        </c:ser>
        <c:dLbls>
          <c:showLegendKey val="0"/>
          <c:showVal val="0"/>
          <c:showCatName val="0"/>
          <c:showSerName val="0"/>
          <c:showPercent val="0"/>
          <c:showBubbleSize val="0"/>
        </c:dLbls>
        <c:gapWidth val="60"/>
        <c:axId val="788703872"/>
        <c:axId val="788713856"/>
      </c:barChart>
      <c:catAx>
        <c:axId val="788703872"/>
        <c:scaling>
          <c:orientation val="minMax"/>
        </c:scaling>
        <c:delete val="0"/>
        <c:axPos val="b"/>
        <c:numFmt formatCode="#,##0_);\(#,##0\)" sourceLinked="1"/>
        <c:majorTickMark val="none"/>
        <c:minorTickMark val="none"/>
        <c:tickLblPos val="low"/>
        <c:spPr>
          <a:ln w="12700">
            <a:solidFill>
              <a:srgbClr val="80808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788713856"/>
        <c:crosses val="autoZero"/>
        <c:auto val="1"/>
        <c:lblAlgn val="ctr"/>
        <c:lblOffset val="100"/>
        <c:tickLblSkip val="1"/>
        <c:tickMarkSkip val="1"/>
        <c:noMultiLvlLbl val="0"/>
      </c:catAx>
      <c:valAx>
        <c:axId val="788713856"/>
        <c:scaling>
          <c:orientation val="minMax"/>
        </c:scaling>
        <c:delete val="0"/>
        <c:axPos val="l"/>
        <c:majorGridlines>
          <c:spPr>
            <a:ln w="12700">
              <a:solidFill>
                <a:srgbClr val="C0C0C0"/>
              </a:solidFill>
              <a:prstDash val="solid"/>
            </a:ln>
          </c:spPr>
        </c:majorGridlines>
        <c:numFmt formatCode="\$#,##0_);\(\$#,##0\)" sourceLinked="0"/>
        <c:majorTickMark val="none"/>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788703872"/>
        <c:crosses val="autoZero"/>
        <c:crossBetween val="between"/>
      </c:valAx>
      <c:spPr>
        <a:noFill/>
        <a:ln w="25400">
          <a:noFill/>
        </a:ln>
      </c:spPr>
    </c:plotArea>
    <c:legend>
      <c:legendPos val="b"/>
      <c:layout>
        <c:manualLayout>
          <c:xMode val="edge"/>
          <c:yMode val="edge"/>
          <c:x val="1.7912625786641535E-2"/>
          <c:y val="0.84895145682547257"/>
          <c:w val="0.96695608994821591"/>
          <c:h val="0.15104854317452743"/>
        </c:manualLayout>
      </c:layout>
      <c:overlay val="0"/>
      <c:txPr>
        <a:bodyPr/>
        <a:lstStyle/>
        <a:p>
          <a:pPr>
            <a:defRPr sz="4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400" b="0" i="0" u="none" strike="noStrike" baseline="0">
          <a:solidFill>
            <a:srgbClr val="808080"/>
          </a:solidFill>
          <a:latin typeface="Arial"/>
          <a:ea typeface="Arial"/>
          <a:cs typeface="Aria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26473057627493"/>
          <c:y val="8.0824059931631387E-2"/>
          <c:w val="0.88720039759885749"/>
          <c:h val="0.74213276117050941"/>
        </c:manualLayout>
      </c:layout>
      <c:barChart>
        <c:barDir val="col"/>
        <c:grouping val="clustered"/>
        <c:varyColors val="0"/>
        <c:ser>
          <c:idx val="0"/>
          <c:order val="0"/>
          <c:tx>
            <c:strRef>
              <c:f>'Tables 2'!$CL$510</c:f>
              <c:strCache>
                <c:ptCount val="1"/>
                <c:pt idx="0">
                  <c:v>BYD</c:v>
                </c:pt>
              </c:strCache>
            </c:strRef>
          </c:tx>
          <c:spPr>
            <a:solidFill>
              <a:srgbClr val="137CB1"/>
            </a:solidFill>
            <a:ln w="25400">
              <a:noFill/>
            </a:ln>
          </c:spPr>
          <c:invertIfNegative val="0"/>
          <c:dLbls>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'Tables 2'!$CM$509:$CO$509</c:f>
              <c:strCache>
                <c:ptCount val="3"/>
                <c:pt idx="0">
                  <c:v>Current</c:v>
                </c:pt>
                <c:pt idx="1">
                  <c:v>2016e</c:v>
                </c:pt>
                <c:pt idx="2">
                  <c:v>2017e</c:v>
                </c:pt>
              </c:strCache>
            </c:strRef>
          </c:cat>
          <c:val>
            <c:numRef>
              <c:f>'Tables 2'!$CM$510:$CO$510</c:f>
              <c:numCache>
                <c:formatCode>0.0"x"_)</c:formatCode>
                <c:ptCount val="3"/>
                <c:pt idx="0">
                  <c:v>5.3661052476740316</c:v>
                </c:pt>
                <c:pt idx="1">
                  <c:v>5.3761546339652675</c:v>
                </c:pt>
                <c:pt idx="2">
                  <c:v>4.8972088142707246</c:v>
                </c:pt>
              </c:numCache>
            </c:numRef>
          </c:val>
        </c:ser>
        <c:ser>
          <c:idx val="1"/>
          <c:order val="1"/>
          <c:tx>
            <c:strRef>
              <c:f>'Tables 2'!$CL$511</c:f>
              <c:strCache>
                <c:ptCount val="1"/>
                <c:pt idx="0">
                  <c:v>PENN</c:v>
                </c:pt>
              </c:strCache>
            </c:strRef>
          </c:tx>
          <c:spPr>
            <a:solidFill>
              <a:srgbClr val="EACC80"/>
            </a:solidFill>
            <a:ln w="25400">
              <a:noFill/>
            </a:ln>
          </c:spPr>
          <c:invertIfNegative val="0"/>
          <c:dLbls>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'Tables 2'!$CM$509:$CO$509</c:f>
              <c:strCache>
                <c:ptCount val="3"/>
                <c:pt idx="0">
                  <c:v>Current</c:v>
                </c:pt>
                <c:pt idx="1">
                  <c:v>2016e</c:v>
                </c:pt>
                <c:pt idx="2">
                  <c:v>2017e</c:v>
                </c:pt>
              </c:strCache>
            </c:strRef>
          </c:cat>
          <c:val>
            <c:numRef>
              <c:f>'Tables 2'!$CM$511:$CO$511</c:f>
              <c:numCache>
                <c:formatCode>0.0"x"_)</c:formatCode>
                <c:ptCount val="3"/>
                <c:pt idx="0">
                  <c:v>5.25</c:v>
                </c:pt>
                <c:pt idx="1">
                  <c:v>5.25</c:v>
                </c:pt>
                <c:pt idx="2">
                  <c:v>5.25</c:v>
                </c:pt>
              </c:numCache>
            </c:numRef>
          </c:val>
        </c:ser>
        <c:dLbls>
          <c:showLegendKey val="0"/>
          <c:showVal val="0"/>
          <c:showCatName val="0"/>
          <c:showSerName val="0"/>
          <c:showPercent val="0"/>
          <c:showBubbleSize val="0"/>
        </c:dLbls>
        <c:gapWidth val="60"/>
        <c:axId val="788748160"/>
        <c:axId val="788749696"/>
      </c:barChart>
      <c:catAx>
        <c:axId val="788748160"/>
        <c:scaling>
          <c:orientation val="minMax"/>
        </c:scaling>
        <c:delete val="0"/>
        <c:axPos val="b"/>
        <c:numFmt formatCode="#,##0_);\(#,##0\)" sourceLinked="1"/>
        <c:majorTickMark val="none"/>
        <c:minorTickMark val="none"/>
        <c:tickLblPos val="low"/>
        <c:spPr>
          <a:ln w="12700">
            <a:solidFill>
              <a:srgbClr val="80808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88749696"/>
        <c:crosses val="autoZero"/>
        <c:auto val="1"/>
        <c:lblAlgn val="ctr"/>
        <c:lblOffset val="100"/>
        <c:tickLblSkip val="1"/>
        <c:tickMarkSkip val="1"/>
        <c:noMultiLvlLbl val="0"/>
      </c:catAx>
      <c:valAx>
        <c:axId val="788749696"/>
        <c:scaling>
          <c:orientation val="minMax"/>
        </c:scaling>
        <c:delete val="0"/>
        <c:axPos val="l"/>
        <c:majorGridlines>
          <c:spPr>
            <a:ln w="12700">
              <a:solidFill>
                <a:srgbClr val="C0C0C0"/>
              </a:solidFill>
              <a:prstDash val="solid"/>
            </a:ln>
          </c:spPr>
        </c:majorGridlines>
        <c:numFmt formatCode="0.0&quot;x&quot;_)" sourceLinked="1"/>
        <c:majorTickMark val="none"/>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788748160"/>
        <c:crosses val="autoZero"/>
        <c:crossBetween val="between"/>
      </c:valAx>
      <c:spPr>
        <a:noFill/>
        <a:ln w="25400">
          <a:noFill/>
        </a:ln>
      </c:spPr>
    </c:plotArea>
    <c:legend>
      <c:legendPos val="b"/>
      <c:layout>
        <c:manualLayout>
          <c:xMode val="edge"/>
          <c:yMode val="edge"/>
          <c:x val="0.45138510272422844"/>
          <c:y val="0.91123491916451616"/>
          <c:w val="0.18884116209611729"/>
          <c:h val="6.3550291507679213E-2"/>
        </c:manualLayout>
      </c:layout>
      <c:overlay val="0"/>
      <c:txPr>
        <a:bodyPr/>
        <a:lstStyle/>
        <a:p>
          <a:pPr>
            <a:defRPr sz="4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400" b="0" i="0" u="none" strike="noStrike" baseline="0">
          <a:solidFill>
            <a:srgbClr val="808080"/>
          </a:solidFill>
          <a:latin typeface="Arial"/>
          <a:ea typeface="Arial"/>
          <a:cs typeface="Arial"/>
        </a:defRPr>
      </a:pPr>
      <a:endParaRPr lang="en-US"/>
    </a:p>
  </c:txPr>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dPt>
            <c:idx val="0"/>
            <c:invertIfNegative val="0"/>
            <c:bubble3D val="0"/>
            <c:spPr>
              <a:solidFill>
                <a:srgbClr val="137CB1"/>
              </a:solidFill>
            </c:spPr>
          </c:dPt>
          <c:dPt>
            <c:idx val="1"/>
            <c:invertIfNegative val="0"/>
            <c:bubble3D val="0"/>
            <c:spPr>
              <a:solidFill>
                <a:srgbClr val="137CB1"/>
              </a:solidFill>
            </c:spPr>
          </c:dPt>
          <c:dPt>
            <c:idx val="2"/>
            <c:invertIfNegative val="0"/>
            <c:bubble3D val="0"/>
            <c:spPr>
              <a:solidFill>
                <a:srgbClr val="137CB1"/>
              </a:solidFill>
            </c:spPr>
          </c:dPt>
          <c:dPt>
            <c:idx val="3"/>
            <c:invertIfNegative val="0"/>
            <c:bubble3D val="0"/>
            <c:spPr>
              <a:solidFill>
                <a:srgbClr val="137CB1"/>
              </a:solidFill>
            </c:spPr>
          </c:dPt>
          <c:dPt>
            <c:idx val="4"/>
            <c:invertIfNegative val="0"/>
            <c:bubble3D val="0"/>
            <c:spPr>
              <a:solidFill>
                <a:srgbClr val="137CB1"/>
              </a:solidFill>
            </c:spPr>
          </c:dPt>
          <c:dPt>
            <c:idx val="5"/>
            <c:invertIfNegative val="0"/>
            <c:bubble3D val="0"/>
            <c:spPr>
              <a:solidFill>
                <a:srgbClr val="137CB1"/>
              </a:solidFill>
            </c:spPr>
          </c:dPt>
          <c:dPt>
            <c:idx val="6"/>
            <c:invertIfNegative val="0"/>
            <c:bubble3D val="0"/>
            <c:spPr>
              <a:solidFill>
                <a:srgbClr val="137CB1"/>
              </a:solidFill>
            </c:spPr>
          </c:dPt>
          <c:dPt>
            <c:idx val="7"/>
            <c:invertIfNegative val="0"/>
            <c:bubble3D val="0"/>
            <c:spPr>
              <a:solidFill>
                <a:srgbClr val="E6BE64"/>
              </a:solidFill>
            </c:spPr>
          </c:dPt>
          <c:dPt>
            <c:idx val="8"/>
            <c:invertIfNegative val="0"/>
            <c:bubble3D val="0"/>
            <c:spPr>
              <a:solidFill>
                <a:srgbClr val="E6BE64"/>
              </a:solidFill>
            </c:spPr>
          </c:dPt>
          <c:dPt>
            <c:idx val="9"/>
            <c:invertIfNegative val="0"/>
            <c:bubble3D val="0"/>
            <c:spPr>
              <a:solidFill>
                <a:srgbClr val="E6BE64"/>
              </a:solidFill>
            </c:spPr>
          </c:dPt>
          <c:dPt>
            <c:idx val="10"/>
            <c:invertIfNegative val="0"/>
            <c:bubble3D val="0"/>
            <c:spPr>
              <a:solidFill>
                <a:srgbClr val="E6BE64"/>
              </a:solidFill>
            </c:spPr>
          </c:dPt>
          <c:dPt>
            <c:idx val="11"/>
            <c:invertIfNegative val="0"/>
            <c:bubble3D val="0"/>
            <c:spPr>
              <a:solidFill>
                <a:srgbClr val="E6BE64"/>
              </a:solidFill>
            </c:spPr>
          </c:dPt>
          <c:dPt>
            <c:idx val="12"/>
            <c:invertIfNegative val="0"/>
            <c:bubble3D val="0"/>
            <c:spPr>
              <a:solidFill>
                <a:srgbClr val="E6BE64"/>
              </a:solidFill>
            </c:spPr>
          </c:dPt>
          <c:dLbls>
            <c:dLbl>
              <c:idx val="9"/>
              <c:layout>
                <c:manualLayout>
                  <c:x val="5.1282051282051282E-3"/>
                  <c:y val="4.2437781360066642E-17"/>
                </c:manualLayout>
              </c:layout>
              <c:showLegendKey val="0"/>
              <c:showVal val="1"/>
              <c:showCatName val="0"/>
              <c:showSerName val="0"/>
              <c:showPercent val="0"/>
              <c:showBubbleSize val="0"/>
            </c:dLbl>
            <c:txPr>
              <a:bodyPr/>
              <a:lstStyle/>
              <a:p>
                <a:pPr>
                  <a:defRPr sz="800" b="1">
                    <a:latin typeface="Arial" panose="020B0604020202020204" pitchFamily="34" charset="0"/>
                    <a:cs typeface="Arial" panose="020B0604020202020204" pitchFamily="34" charset="0"/>
                  </a:defRPr>
                </a:pPr>
                <a:endParaRPr lang="en-US"/>
              </a:p>
            </c:txPr>
            <c:showLegendKey val="0"/>
            <c:showVal val="1"/>
            <c:showCatName val="0"/>
            <c:showSerName val="0"/>
            <c:showPercent val="0"/>
            <c:showBubbleSize val="0"/>
            <c:showLeaderLines val="0"/>
          </c:dLbls>
          <c:cat>
            <c:strRef>
              <c:f>('Tables 2'!$ED$587:$EG$587,'Tables 2'!$EI$587:$EL$587,'Tables 2'!$EN$587:$EQ$587,'Tables 2'!$ES$587)</c:f>
              <c:strCache>
                <c:ptCount val="13"/>
                <c:pt idx="0">
                  <c:v>1Q15</c:v>
                </c:pt>
                <c:pt idx="1">
                  <c:v>2Q15</c:v>
                </c:pt>
                <c:pt idx="2">
                  <c:v>3Q15</c:v>
                </c:pt>
                <c:pt idx="3">
                  <c:v>4Q15</c:v>
                </c:pt>
                <c:pt idx="4">
                  <c:v>1Q16</c:v>
                </c:pt>
                <c:pt idx="5">
                  <c:v>2Q16</c:v>
                </c:pt>
                <c:pt idx="6">
                  <c:v>3Q16</c:v>
                </c:pt>
                <c:pt idx="7">
                  <c:v>4Q16</c:v>
                </c:pt>
                <c:pt idx="8">
                  <c:v>1Q17</c:v>
                </c:pt>
                <c:pt idx="9">
                  <c:v>2Q17E</c:v>
                </c:pt>
                <c:pt idx="10">
                  <c:v>3Q17E</c:v>
                </c:pt>
                <c:pt idx="11">
                  <c:v>4Q17E</c:v>
                </c:pt>
                <c:pt idx="12">
                  <c:v>2018E</c:v>
                </c:pt>
              </c:strCache>
            </c:strRef>
          </c:cat>
          <c:val>
            <c:numRef>
              <c:f>('Tables 2'!$ED$614:$EG$614,'Tables 2'!$EI$614:$EL$614,'Tables 2'!$EN$614:$EQ$614,'Tables 2'!$ES$614)</c:f>
              <c:numCache>
                <c:formatCode>0.0%</c:formatCode>
                <c:ptCount val="13"/>
                <c:pt idx="0">
                  <c:v>1.7544378424831475E-2</c:v>
                </c:pt>
                <c:pt idx="1">
                  <c:v>3.548309536139671E-2</c:v>
                </c:pt>
                <c:pt idx="2">
                  <c:v>3.2930859753146136E-2</c:v>
                </c:pt>
                <c:pt idx="3">
                  <c:v>2.0841053809761201E-2</c:v>
                </c:pt>
                <c:pt idx="4">
                  <c:v>3.2692915445222681E-3</c:v>
                </c:pt>
                <c:pt idx="5">
                  <c:v>-2.677788395416747E-2</c:v>
                </c:pt>
                <c:pt idx="6">
                  <c:v>-2.6380481518836318E-2</c:v>
                </c:pt>
                <c:pt idx="7">
                  <c:v>-1.717790054434154E-2</c:v>
                </c:pt>
                <c:pt idx="8">
                  <c:v>8.8055643056024202E-3</c:v>
                </c:pt>
                <c:pt idx="9">
                  <c:v>1.2654324952787066E-2</c:v>
                </c:pt>
                <c:pt idx="10">
                  <c:v>1.4408696355148853E-2</c:v>
                </c:pt>
                <c:pt idx="11">
                  <c:v>2.064115255966037E-2</c:v>
                </c:pt>
                <c:pt idx="12">
                  <c:v>0.19190559657017658</c:v>
                </c:pt>
              </c:numCache>
            </c:numRef>
          </c:val>
        </c:ser>
        <c:dLbls>
          <c:showLegendKey val="0"/>
          <c:showVal val="0"/>
          <c:showCatName val="0"/>
          <c:showSerName val="0"/>
          <c:showPercent val="0"/>
          <c:showBubbleSize val="0"/>
        </c:dLbls>
        <c:gapWidth val="48"/>
        <c:axId val="788810368"/>
        <c:axId val="788816256"/>
      </c:barChart>
      <c:lineChart>
        <c:grouping val="standard"/>
        <c:varyColors val="0"/>
        <c:ser>
          <c:idx val="1"/>
          <c:order val="1"/>
          <c:tx>
            <c:v>BYD NTM EV/EBITDA Multiples</c:v>
          </c:tx>
          <c:marker>
            <c:symbol val="none"/>
          </c:marker>
          <c:val>
            <c:numRef>
              <c:f>'Tables 2'!$EU$593:$EU$601</c:f>
              <c:numCache>
                <c:formatCode>0.0"x"_)</c:formatCode>
                <c:ptCount val="9"/>
                <c:pt idx="0">
                  <c:v>8.5892487230750305</c:v>
                </c:pt>
                <c:pt idx="1">
                  <c:v>8.5480016181757232</c:v>
                </c:pt>
                <c:pt idx="2">
                  <c:v>8.5121910860477961</c:v>
                </c:pt>
                <c:pt idx="3">
                  <c:v>8.4462219840313963</c:v>
                </c:pt>
                <c:pt idx="4">
                  <c:v>7.9961153369235092</c:v>
                </c:pt>
                <c:pt idx="5">
                  <c:v>7.9946542220044785</c:v>
                </c:pt>
                <c:pt idx="6">
                  <c:v>8.5771774581688867</c:v>
                </c:pt>
                <c:pt idx="7">
                  <c:v>8.3297232518450173</c:v>
                </c:pt>
                <c:pt idx="8">
                  <c:v>8.6366750252401285</c:v>
                </c:pt>
              </c:numCache>
            </c:numRef>
          </c:val>
          <c:smooth val="0"/>
        </c:ser>
        <c:dLbls>
          <c:showLegendKey val="0"/>
          <c:showVal val="0"/>
          <c:showCatName val="0"/>
          <c:showSerName val="0"/>
          <c:showPercent val="0"/>
          <c:showBubbleSize val="0"/>
        </c:dLbls>
        <c:marker val="1"/>
        <c:smooth val="0"/>
        <c:axId val="788824448"/>
        <c:axId val="788818176"/>
      </c:lineChart>
      <c:catAx>
        <c:axId val="788810368"/>
        <c:scaling>
          <c:orientation val="minMax"/>
        </c:scaling>
        <c:delete val="0"/>
        <c:axPos val="b"/>
        <c:majorTickMark val="out"/>
        <c:minorTickMark val="none"/>
        <c:tickLblPos val="low"/>
        <c:txPr>
          <a:bodyPr rot="-5400000" vert="horz"/>
          <a:lstStyle/>
          <a:p>
            <a:pPr>
              <a:defRPr sz="800">
                <a:latin typeface="Arial" panose="020B0604020202020204" pitchFamily="34" charset="0"/>
                <a:cs typeface="Arial" panose="020B0604020202020204" pitchFamily="34" charset="0"/>
              </a:defRPr>
            </a:pPr>
            <a:endParaRPr lang="en-US"/>
          </a:p>
        </c:txPr>
        <c:crossAx val="788816256"/>
        <c:crosses val="autoZero"/>
        <c:auto val="1"/>
        <c:lblAlgn val="ctr"/>
        <c:lblOffset val="100"/>
        <c:noMultiLvlLbl val="0"/>
      </c:catAx>
      <c:valAx>
        <c:axId val="788816256"/>
        <c:scaling>
          <c:orientation val="minMax"/>
          <c:max val="5.000000000000001E-2"/>
          <c:min val="-4.0000000000000008E-2"/>
        </c:scaling>
        <c:delete val="0"/>
        <c:axPos val="l"/>
        <c:majorGridlines/>
        <c:title>
          <c:tx>
            <c:rich>
              <a:bodyPr rot="-5400000" vert="horz"/>
              <a:lstStyle/>
              <a:p>
                <a:pPr>
                  <a:defRPr sz="900"/>
                </a:pPr>
                <a:r>
                  <a:rPr lang="en-US" sz="900"/>
                  <a:t>BYD Same-store Net Revenue Growth (%)</a:t>
                </a:r>
              </a:p>
            </c:rich>
          </c:tx>
          <c:overlay val="0"/>
        </c:title>
        <c:numFmt formatCode="0%" sourceLinked="0"/>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788810368"/>
        <c:crosses val="autoZero"/>
        <c:crossBetween val="between"/>
      </c:valAx>
      <c:valAx>
        <c:axId val="788818176"/>
        <c:scaling>
          <c:orientation val="minMax"/>
        </c:scaling>
        <c:delete val="0"/>
        <c:axPos val="r"/>
        <c:title>
          <c:tx>
            <c:rich>
              <a:bodyPr rot="-5400000" vert="horz"/>
              <a:lstStyle/>
              <a:p>
                <a:pPr>
                  <a:defRPr sz="900"/>
                </a:pPr>
                <a:r>
                  <a:rPr lang="en-US" sz="900"/>
                  <a:t>BYD NTM EV/EBITDA Multiples (x)</a:t>
                </a:r>
              </a:p>
            </c:rich>
          </c:tx>
          <c:overlay val="0"/>
        </c:title>
        <c:numFmt formatCode="0.0&quot;x&quot;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788824448"/>
        <c:crosses val="max"/>
        <c:crossBetween val="between"/>
      </c:valAx>
      <c:catAx>
        <c:axId val="788824448"/>
        <c:scaling>
          <c:orientation val="minMax"/>
        </c:scaling>
        <c:delete val="1"/>
        <c:axPos val="b"/>
        <c:majorTickMark val="out"/>
        <c:minorTickMark val="none"/>
        <c:tickLblPos val="nextTo"/>
        <c:crossAx val="788818176"/>
        <c:crosses val="autoZero"/>
        <c:auto val="1"/>
        <c:lblAlgn val="ctr"/>
        <c:lblOffset val="100"/>
        <c:noMultiLvlLbl val="0"/>
      </c:catAx>
      <c:spPr>
        <a:solidFill>
          <a:srgbClr val="FFFFFF"/>
        </a:solidFill>
      </c:spPr>
    </c:plotArea>
    <c:legend>
      <c:legendPos val="b"/>
      <c:legendEntry>
        <c:idx val="0"/>
        <c:delete val="1"/>
      </c:legendEntry>
      <c:overlay val="0"/>
    </c:legend>
    <c:plotVisOnly val="1"/>
    <c:dispBlanksAs val="gap"/>
    <c:showDLblsOverMax val="0"/>
  </c:chart>
  <c:spPr>
    <a:solidFill>
      <a:srgbClr val="FFFFFF"/>
    </a:solidFill>
    <a:ln>
      <a:noFill/>
    </a:ln>
  </c:spPr>
  <c:printSettings>
    <c:headerFooter/>
    <c:pageMargins b="0.75" l="0.7" r="0.7" t="0.75" header="0.3" footer="0.3"/>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2017e Net FCF Conversion</c:v>
          </c:tx>
          <c:invertIfNegative val="0"/>
          <c:dLbls>
            <c:dLbl>
              <c:idx val="0"/>
              <c:layout>
                <c:manualLayout>
                  <c:x val="0"/>
                  <c:y val="8.7243393365642061E-2"/>
                </c:manualLayout>
              </c:layout>
              <c:spPr/>
              <c:txPr>
                <a:bodyPr/>
                <a:lstStyle/>
                <a:p>
                  <a:pPr>
                    <a:defRPr b="1">
                      <a:solidFill>
                        <a:schemeClr val="bg1"/>
                      </a:solidFill>
                      <a:latin typeface="Arial" panose="020B0604020202020204" pitchFamily="34" charset="0"/>
                      <a:cs typeface="Arial" panose="020B0604020202020204" pitchFamily="34" charset="0"/>
                    </a:defRPr>
                  </a:pPr>
                  <a:endParaRPr lang="en-US"/>
                </a:p>
              </c:txPr>
              <c:showLegendKey val="0"/>
              <c:showVal val="1"/>
              <c:showCatName val="0"/>
              <c:showSerName val="0"/>
              <c:showPercent val="0"/>
              <c:showBubbleSize val="0"/>
            </c:dLbl>
            <c:dLbl>
              <c:idx val="1"/>
              <c:layout>
                <c:manualLayout>
                  <c:x val="0"/>
                  <c:y val="7.8934498759390362E-2"/>
                </c:manualLayout>
              </c:layout>
              <c:spPr/>
              <c:txPr>
                <a:bodyPr/>
                <a:lstStyle/>
                <a:p>
                  <a:pPr>
                    <a:defRPr b="1">
                      <a:solidFill>
                        <a:schemeClr val="bg1"/>
                      </a:solidFill>
                      <a:latin typeface="Arial" panose="020B0604020202020204" pitchFamily="34" charset="0"/>
                      <a:cs typeface="Arial" panose="020B0604020202020204" pitchFamily="34" charset="0"/>
                    </a:defRPr>
                  </a:pPr>
                  <a:endParaRPr lang="en-US"/>
                </a:p>
              </c:txPr>
              <c:showLegendKey val="0"/>
              <c:showVal val="1"/>
              <c:showCatName val="0"/>
              <c:showSerName val="0"/>
              <c:showPercent val="0"/>
              <c:showBubbleSize val="0"/>
            </c:dLbl>
            <c:txPr>
              <a:bodyPr/>
              <a:lstStyle/>
              <a:p>
                <a:pPr>
                  <a:defRPr b="1">
                    <a:latin typeface="Arial" panose="020B0604020202020204" pitchFamily="34" charset="0"/>
                    <a:cs typeface="Arial" panose="020B0604020202020204" pitchFamily="34" charset="0"/>
                  </a:defRPr>
                </a:pPr>
                <a:endParaRPr lang="en-US"/>
              </a:p>
            </c:txPr>
            <c:showLegendKey val="0"/>
            <c:showVal val="1"/>
            <c:showCatName val="0"/>
            <c:showSerName val="0"/>
            <c:showPercent val="0"/>
            <c:showBubbleSize val="0"/>
            <c:showLeaderLines val="0"/>
          </c:dLbls>
          <c:cat>
            <c:strRef>
              <c:f>'Tables 2'!$FH$617:$FI$617</c:f>
              <c:strCache>
                <c:ptCount val="2"/>
                <c:pt idx="0">
                  <c:v>BYD</c:v>
                </c:pt>
                <c:pt idx="1">
                  <c:v>PENN</c:v>
                </c:pt>
              </c:strCache>
            </c:strRef>
          </c:cat>
          <c:val>
            <c:numRef>
              <c:f>'Tables 2'!$FH$618:$FI$618</c:f>
              <c:numCache>
                <c:formatCode>0.0%</c:formatCode>
                <c:ptCount val="2"/>
                <c:pt idx="0">
                  <c:v>0.28443693599160541</c:v>
                </c:pt>
                <c:pt idx="1">
                  <c:v>0</c:v>
                </c:pt>
              </c:numCache>
            </c:numRef>
          </c:val>
        </c:ser>
        <c:dLbls>
          <c:showLegendKey val="0"/>
          <c:showVal val="0"/>
          <c:showCatName val="0"/>
          <c:showSerName val="0"/>
          <c:showPercent val="0"/>
          <c:showBubbleSize val="0"/>
        </c:dLbls>
        <c:gapWidth val="150"/>
        <c:axId val="788853504"/>
        <c:axId val="788855040"/>
      </c:barChart>
      <c:lineChart>
        <c:grouping val="standard"/>
        <c:varyColors val="0"/>
        <c:ser>
          <c:idx val="1"/>
          <c:order val="1"/>
          <c:tx>
            <c:v>2017e Net FCF Yield</c:v>
          </c:tx>
          <c:spPr>
            <a:ln>
              <a:noFill/>
            </a:ln>
          </c:spPr>
          <c:marker>
            <c:spPr>
              <a:solidFill>
                <a:srgbClr val="FFC000"/>
              </a:solidFill>
              <a:ln w="19050">
                <a:solidFill>
                  <a:srgbClr val="FFC000"/>
                </a:solidFill>
              </a:ln>
            </c:spPr>
          </c:marker>
          <c:dLbls>
            <c:dLbl>
              <c:idx val="0"/>
              <c:layout>
                <c:manualLayout>
                  <c:x val="-5.8333333333333334E-2"/>
                  <c:y val="-4.9853367637509749E-2"/>
                </c:manualLayout>
              </c:layout>
              <c:showLegendKey val="0"/>
              <c:showVal val="1"/>
              <c:showCatName val="0"/>
              <c:showSerName val="0"/>
              <c:showPercent val="0"/>
              <c:showBubbleSize val="0"/>
            </c:dLbl>
            <c:dLbl>
              <c:idx val="1"/>
              <c:layout>
                <c:manualLayout>
                  <c:x val="-5.5555555555555552E-2"/>
                  <c:y val="-5.8162262243761337E-2"/>
                </c:manualLayout>
              </c:layout>
              <c:showLegendKey val="0"/>
              <c:showVal val="1"/>
              <c:showCatName val="0"/>
              <c:showSerName val="0"/>
              <c:showPercent val="0"/>
              <c:showBubbleSize val="0"/>
            </c:dLbl>
            <c:txPr>
              <a:bodyPr/>
              <a:lstStyle/>
              <a:p>
                <a:pPr>
                  <a:defRPr b="1">
                    <a:latin typeface="Arial" panose="020B0604020202020204" pitchFamily="34" charset="0"/>
                    <a:cs typeface="Arial" panose="020B0604020202020204" pitchFamily="34" charset="0"/>
                  </a:defRPr>
                </a:pPr>
                <a:endParaRPr lang="en-US"/>
              </a:p>
            </c:txPr>
            <c:showLegendKey val="0"/>
            <c:showVal val="1"/>
            <c:showCatName val="0"/>
            <c:showSerName val="0"/>
            <c:showPercent val="0"/>
            <c:showBubbleSize val="0"/>
            <c:showLeaderLines val="0"/>
          </c:dLbls>
          <c:cat>
            <c:strRef>
              <c:f>'Tables 2'!$FH$617:$FI$617</c:f>
              <c:strCache>
                <c:ptCount val="2"/>
                <c:pt idx="0">
                  <c:v>BYD</c:v>
                </c:pt>
                <c:pt idx="1">
                  <c:v>PENN</c:v>
                </c:pt>
              </c:strCache>
            </c:strRef>
          </c:cat>
          <c:val>
            <c:numRef>
              <c:f>'Tables 2'!$FH$619:$FI$619</c:f>
              <c:numCache>
                <c:formatCode>0.0%</c:formatCode>
                <c:ptCount val="2"/>
                <c:pt idx="0">
                  <c:v>3.9039072498218121E-2</c:v>
                </c:pt>
                <c:pt idx="1">
                  <c:v>0.40776475440403498</c:v>
                </c:pt>
              </c:numCache>
            </c:numRef>
          </c:val>
          <c:smooth val="0"/>
        </c:ser>
        <c:dLbls>
          <c:showLegendKey val="0"/>
          <c:showVal val="0"/>
          <c:showCatName val="0"/>
          <c:showSerName val="0"/>
          <c:showPercent val="0"/>
          <c:showBubbleSize val="0"/>
        </c:dLbls>
        <c:marker val="1"/>
        <c:smooth val="0"/>
        <c:axId val="788882944"/>
        <c:axId val="788881408"/>
      </c:lineChart>
      <c:catAx>
        <c:axId val="788853504"/>
        <c:scaling>
          <c:orientation val="minMax"/>
        </c:scaling>
        <c:delete val="0"/>
        <c:axPos val="b"/>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788855040"/>
        <c:crosses val="autoZero"/>
        <c:auto val="1"/>
        <c:lblAlgn val="ctr"/>
        <c:lblOffset val="100"/>
        <c:noMultiLvlLbl val="0"/>
      </c:catAx>
      <c:valAx>
        <c:axId val="788855040"/>
        <c:scaling>
          <c:orientation val="minMax"/>
          <c:max val="0.70000000000000007"/>
        </c:scaling>
        <c:delete val="0"/>
        <c:axPos val="l"/>
        <c:numFmt formatCode="0.0%"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788853504"/>
        <c:crosses val="autoZero"/>
        <c:crossBetween val="between"/>
      </c:valAx>
      <c:valAx>
        <c:axId val="788881408"/>
        <c:scaling>
          <c:orientation val="minMax"/>
        </c:scaling>
        <c:delete val="0"/>
        <c:axPos val="r"/>
        <c:numFmt formatCode="0.0%" sourceLinked="1"/>
        <c:majorTickMark val="out"/>
        <c:minorTickMark val="none"/>
        <c:tickLblPos val="nextTo"/>
        <c:crossAx val="788882944"/>
        <c:crosses val="max"/>
        <c:crossBetween val="between"/>
      </c:valAx>
      <c:catAx>
        <c:axId val="788882944"/>
        <c:scaling>
          <c:orientation val="minMax"/>
        </c:scaling>
        <c:delete val="1"/>
        <c:axPos val="b"/>
        <c:majorTickMark val="out"/>
        <c:minorTickMark val="none"/>
        <c:tickLblPos val="nextTo"/>
        <c:crossAx val="788881408"/>
        <c:crosses val="autoZero"/>
        <c:auto val="1"/>
        <c:lblAlgn val="ctr"/>
        <c:lblOffset val="100"/>
        <c:noMultiLvlLbl val="0"/>
      </c:catAx>
      <c:spPr>
        <a:solidFill>
          <a:srgbClr val="FFFFFF"/>
        </a:solidFill>
      </c:spPr>
    </c:plotArea>
    <c:legend>
      <c:legendPos val="b"/>
      <c:overlay val="0"/>
      <c:txPr>
        <a:bodyPr/>
        <a:lstStyle/>
        <a:p>
          <a:pPr>
            <a:defRPr>
              <a:latin typeface="Arial" panose="020B0604020202020204" pitchFamily="34" charset="0"/>
              <a:cs typeface="Arial" panose="020B0604020202020204" pitchFamily="34" charset="0"/>
            </a:defRPr>
          </a:pPr>
          <a:endParaRPr lang="en-US"/>
        </a:p>
      </c:txPr>
    </c:legend>
    <c:plotVisOnly val="1"/>
    <c:dispBlanksAs val="gap"/>
    <c:showDLblsOverMax val="0"/>
  </c:chart>
  <c:spPr>
    <a:solidFill>
      <a:srgbClr val="FFFFFF"/>
    </a:solidFill>
  </c:spPr>
  <c:printSettings>
    <c:headerFooter/>
    <c:pageMargins b="0.75" l="0.7" r="0.7" t="0.75" header="0.3" footer="0.3"/>
    <c:pageSetup orientation="landscape" verticalDpi="0"/>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BYD Expense Growth</c:v>
          </c:tx>
          <c:spPr>
            <a:solidFill>
              <a:srgbClr val="137CB1"/>
            </a:solidFill>
            <a:ln w="25400">
              <a:noFill/>
            </a:ln>
          </c:spPr>
          <c:invertIfNegative val="0"/>
          <c:dLbls>
            <c:txPr>
              <a:bodyPr/>
              <a:lstStyle/>
              <a:p>
                <a:pPr>
                  <a:defRPr sz="900" b="1"/>
                </a:pPr>
                <a:endParaRPr lang="en-US"/>
              </a:p>
            </c:txPr>
            <c:showLegendKey val="0"/>
            <c:showVal val="1"/>
            <c:showCatName val="0"/>
            <c:showSerName val="0"/>
            <c:showPercent val="0"/>
            <c:showBubbleSize val="0"/>
            <c:showLeaderLines val="0"/>
          </c:dLbls>
          <c:cat>
            <c:strRef>
              <c:f>'Tables 2'!$FU$638:$FY$638</c:f>
              <c:strCache>
                <c:ptCount val="5"/>
                <c:pt idx="0">
                  <c:v>2014 </c:v>
                </c:pt>
                <c:pt idx="1">
                  <c:v>2015 </c:v>
                </c:pt>
                <c:pt idx="2">
                  <c:v>2016 </c:v>
                </c:pt>
                <c:pt idx="3">
                  <c:v>2017E</c:v>
                </c:pt>
                <c:pt idx="4">
                  <c:v>2018E</c:v>
                </c:pt>
              </c:strCache>
            </c:strRef>
          </c:cat>
          <c:val>
            <c:numRef>
              <c:f>'Tables 2'!$FU$644:$FY$644</c:f>
              <c:numCache>
                <c:formatCode>0.0%</c:formatCode>
                <c:ptCount val="5"/>
                <c:pt idx="0">
                  <c:v>-2.7372188065186487E-2</c:v>
                </c:pt>
                <c:pt idx="1">
                  <c:v>-2.2469934855758877E-3</c:v>
                </c:pt>
                <c:pt idx="2">
                  <c:v>-2.5183297329424037E-2</c:v>
                </c:pt>
                <c:pt idx="3">
                  <c:v>8.6864122038785574E-3</c:v>
                </c:pt>
                <c:pt idx="4">
                  <c:v>0.1805353822527016</c:v>
                </c:pt>
              </c:numCache>
            </c:numRef>
          </c:val>
        </c:ser>
        <c:ser>
          <c:idx val="1"/>
          <c:order val="1"/>
          <c:tx>
            <c:strRef>
              <c:f>'Tables 2'!$FR$645</c:f>
              <c:strCache>
                <c:ptCount val="1"/>
                <c:pt idx="0">
                  <c:v>Inflation</c:v>
                </c:pt>
              </c:strCache>
            </c:strRef>
          </c:tx>
          <c:spPr>
            <a:solidFill>
              <a:srgbClr val="EACC80"/>
            </a:solidFill>
            <a:ln w="25400">
              <a:noFill/>
            </a:ln>
          </c:spPr>
          <c:invertIfNegative val="0"/>
          <c:dLbls>
            <c:txPr>
              <a:bodyPr/>
              <a:lstStyle/>
              <a:p>
                <a:pPr>
                  <a:defRPr sz="900" b="1"/>
                </a:pPr>
                <a:endParaRPr lang="en-US"/>
              </a:p>
            </c:txPr>
            <c:showLegendKey val="0"/>
            <c:showVal val="1"/>
            <c:showCatName val="0"/>
            <c:showSerName val="0"/>
            <c:showPercent val="0"/>
            <c:showBubbleSize val="0"/>
            <c:showLeaderLines val="0"/>
          </c:dLbls>
          <c:cat>
            <c:strRef>
              <c:f>'Tables 2'!$FU$638:$FY$638</c:f>
              <c:strCache>
                <c:ptCount val="5"/>
                <c:pt idx="0">
                  <c:v>2014 </c:v>
                </c:pt>
                <c:pt idx="1">
                  <c:v>2015 </c:v>
                </c:pt>
                <c:pt idx="2">
                  <c:v>2016 </c:v>
                </c:pt>
                <c:pt idx="3">
                  <c:v>2017E</c:v>
                </c:pt>
                <c:pt idx="4">
                  <c:v>2018E</c:v>
                </c:pt>
              </c:strCache>
            </c:strRef>
          </c:cat>
          <c:val>
            <c:numRef>
              <c:f>'Tables 2'!$FU$645:$FY$645</c:f>
              <c:numCache>
                <c:formatCode>0.0%</c:formatCode>
                <c:ptCount val="5"/>
                <c:pt idx="0">
                  <c:v>1.6333333333333339E-2</c:v>
                </c:pt>
                <c:pt idx="1">
                  <c:v>1.25E-3</c:v>
                </c:pt>
                <c:pt idx="2">
                  <c:v>1.2999999999999999E-2</c:v>
                </c:pt>
                <c:pt idx="3">
                  <c:v>2.3E-2</c:v>
                </c:pt>
                <c:pt idx="4">
                  <c:v>2.4E-2</c:v>
                </c:pt>
              </c:numCache>
            </c:numRef>
          </c:val>
        </c:ser>
        <c:dLbls>
          <c:showLegendKey val="0"/>
          <c:showVal val="0"/>
          <c:showCatName val="0"/>
          <c:showSerName val="0"/>
          <c:showPercent val="0"/>
          <c:showBubbleSize val="0"/>
        </c:dLbls>
        <c:gapWidth val="70"/>
        <c:axId val="788904576"/>
        <c:axId val="788914560"/>
      </c:barChart>
      <c:catAx>
        <c:axId val="788904576"/>
        <c:scaling>
          <c:orientation val="minMax"/>
        </c:scaling>
        <c:delete val="0"/>
        <c:axPos val="b"/>
        <c:majorTickMark val="out"/>
        <c:minorTickMark val="none"/>
        <c:tickLblPos val="low"/>
        <c:spPr>
          <a:ln>
            <a:solidFill>
              <a:srgbClr val="808080"/>
            </a:solidFill>
            <a:prstDash val="solid"/>
          </a:ln>
        </c:spPr>
        <c:txPr>
          <a:bodyPr rot="0" vert="horz"/>
          <a:lstStyle/>
          <a:p>
            <a:pPr>
              <a:defRPr>
                <a:solidFill>
                  <a:srgbClr val="808080"/>
                </a:solidFill>
              </a:defRPr>
            </a:pPr>
            <a:endParaRPr lang="en-US"/>
          </a:p>
        </c:txPr>
        <c:crossAx val="788914560"/>
        <c:crosses val="autoZero"/>
        <c:auto val="1"/>
        <c:lblAlgn val="ctr"/>
        <c:lblOffset val="100"/>
        <c:tickLblSkip val="1"/>
        <c:tickMarkSkip val="1"/>
        <c:noMultiLvlLbl val="0"/>
      </c:catAx>
      <c:valAx>
        <c:axId val="788914560"/>
        <c:scaling>
          <c:orientation val="minMax"/>
        </c:scaling>
        <c:delete val="0"/>
        <c:axPos val="l"/>
        <c:majorGridlines>
          <c:spPr>
            <a:ln>
              <a:solidFill>
                <a:srgbClr val="C0C0C0"/>
              </a:solidFill>
              <a:prstDash val="solid"/>
            </a:ln>
          </c:spPr>
        </c:majorGridlines>
        <c:numFmt formatCode="0.0%" sourceLinked="1"/>
        <c:majorTickMark val="out"/>
        <c:minorTickMark val="none"/>
        <c:tickLblPos val="nextTo"/>
        <c:spPr>
          <a:ln w="9525">
            <a:noFill/>
          </a:ln>
        </c:spPr>
        <c:txPr>
          <a:bodyPr rot="0" vert="horz"/>
          <a:lstStyle/>
          <a:p>
            <a:pPr>
              <a:defRPr>
                <a:solidFill>
                  <a:srgbClr val="808080"/>
                </a:solidFill>
              </a:defRPr>
            </a:pPr>
            <a:endParaRPr lang="en-US"/>
          </a:p>
        </c:txPr>
        <c:crossAx val="788904576"/>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r"/>
      <c:layout>
        <c:manualLayout>
          <c:xMode val="edge"/>
          <c:yMode val="edge"/>
          <c:x val="0.70929221347331584"/>
          <c:y val="0.65702354913969085"/>
          <c:w val="0.28438845144356956"/>
          <c:h val="0.16743438320209975"/>
        </c:manualLayout>
      </c:layout>
      <c:overlay val="1"/>
      <c:spPr>
        <a:noFill/>
        <a:ln w="25400">
          <a:noFill/>
        </a:ln>
        <a:extLst>
          <a:ext uri="{909E8E84-426E-40DD-AFC4-6F175D3DCCD1}">
            <a14:hiddenFill xmlns:a14="http://schemas.microsoft.com/office/drawing/2010/main">
              <a:noFill/>
            </a14:hiddenFill>
          </a:ext>
        </a:extLst>
      </c:spPr>
      <c:txPr>
        <a:bodyPr/>
        <a:lstStyle/>
        <a:p>
          <a:pPr>
            <a:defRPr>
              <a:solidFill>
                <a:srgbClr val="808080"/>
              </a:solidFill>
            </a:defRPr>
          </a:pPr>
          <a:endParaRPr lang="en-US"/>
        </a:p>
      </c:txPr>
    </c:legend>
    <c:plotVisOnly val="1"/>
    <c:dispBlanksAs val="gap"/>
    <c:showDLblsOverMax val="0"/>
  </c:chart>
  <c:spPr>
    <a:solidFill>
      <a:srgbClr val="FFFFFF"/>
    </a:solidFill>
    <a:ln w="9525">
      <a:noFill/>
    </a:ln>
  </c:spPr>
  <c:txPr>
    <a:bodyPr/>
    <a:lstStyle/>
    <a:p>
      <a:pPr>
        <a:defRPr>
          <a:solidFill>
            <a:srgbClr val="333333"/>
          </a:solidFill>
        </a:defRPr>
      </a:pPr>
      <a:endParaRPr lang="en-US"/>
    </a:p>
  </c:txPr>
  <c:printSettings>
    <c:headerFooter/>
    <c:pageMargins b="0.75" l="0.7" r="0.7" t="0.75" header="0.3" footer="0.3"/>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BYD Regional GGR Growth</c:v>
          </c:tx>
          <c:spPr>
            <a:solidFill>
              <a:srgbClr val="137CB1"/>
            </a:solidFill>
            <a:ln w="25400">
              <a:noFill/>
            </a:ln>
          </c:spPr>
          <c:invertIfNegative val="0"/>
          <c:dLbls>
            <c:dLbl>
              <c:idx val="5"/>
              <c:layout>
                <c:manualLayout>
                  <c:x val="0"/>
                  <c:y val="9.2592592592592587E-3"/>
                </c:manualLayout>
              </c:layout>
              <c:showLegendKey val="0"/>
              <c:showVal val="1"/>
              <c:showCatName val="0"/>
              <c:showSerName val="0"/>
              <c:showPercent val="0"/>
              <c:showBubbleSize val="0"/>
            </c:dLbl>
            <c:dLbl>
              <c:idx val="7"/>
              <c:layout>
                <c:manualLayout>
                  <c:x val="-1.0185067526415994E-16"/>
                  <c:y val="1.3888888888888805E-2"/>
                </c:manualLayout>
              </c:layout>
              <c:showLegendKey val="0"/>
              <c:showVal val="1"/>
              <c:showCatName val="0"/>
              <c:showSerName val="0"/>
              <c:showPercent val="0"/>
              <c:showBubbleSize val="0"/>
            </c:dLbl>
            <c:txPr>
              <a:bodyPr/>
              <a:lstStyle/>
              <a:p>
                <a:pPr>
                  <a:defRPr sz="900" b="1"/>
                </a:pPr>
                <a:endParaRPr lang="en-US"/>
              </a:p>
            </c:txPr>
            <c:showLegendKey val="0"/>
            <c:showVal val="1"/>
            <c:showCatName val="0"/>
            <c:showSerName val="0"/>
            <c:showPercent val="0"/>
            <c:showBubbleSize val="0"/>
            <c:showLeaderLines val="0"/>
          </c:dLbls>
          <c:cat>
            <c:strRef>
              <c:f>'Tables 2'!$GG$663:$GG$671</c:f>
              <c:strCache>
                <c:ptCount val="9"/>
                <c:pt idx="0">
                  <c:v>1Q15</c:v>
                </c:pt>
                <c:pt idx="1">
                  <c:v>2Q15</c:v>
                </c:pt>
                <c:pt idx="2">
                  <c:v>3Q15</c:v>
                </c:pt>
                <c:pt idx="3">
                  <c:v>4Q15</c:v>
                </c:pt>
                <c:pt idx="4">
                  <c:v>1Q16</c:v>
                </c:pt>
                <c:pt idx="5">
                  <c:v>2Q16</c:v>
                </c:pt>
                <c:pt idx="6">
                  <c:v>3Q16</c:v>
                </c:pt>
                <c:pt idx="7">
                  <c:v>4Q16</c:v>
                </c:pt>
                <c:pt idx="8">
                  <c:v>1Q17</c:v>
                </c:pt>
              </c:strCache>
            </c:strRef>
          </c:cat>
          <c:val>
            <c:numRef>
              <c:f>'Tables 2'!$GH$663:$GH$671</c:f>
              <c:numCache>
                <c:formatCode>0.0%</c:formatCode>
                <c:ptCount val="9"/>
                <c:pt idx="0">
                  <c:v>1.369763253953755E-2</c:v>
                </c:pt>
                <c:pt idx="1">
                  <c:v>2.2620917437583436E-2</c:v>
                </c:pt>
                <c:pt idx="2">
                  <c:v>4.4979683838597588E-3</c:v>
                </c:pt>
                <c:pt idx="3">
                  <c:v>-4.8741027339211564E-3</c:v>
                </c:pt>
                <c:pt idx="4">
                  <c:v>-1.9352120856266374E-2</c:v>
                </c:pt>
                <c:pt idx="5">
                  <c:v>-4.4975696089756434E-2</c:v>
                </c:pt>
                <c:pt idx="6">
                  <c:v>-3.8029781675348116E-2</c:v>
                </c:pt>
                <c:pt idx="7">
                  <c:v>-4.4456275653932141E-2</c:v>
                </c:pt>
                <c:pt idx="8">
                  <c:v>-3.1022896093944874E-2</c:v>
                </c:pt>
              </c:numCache>
            </c:numRef>
          </c:val>
        </c:ser>
        <c:dLbls>
          <c:showLegendKey val="0"/>
          <c:showVal val="0"/>
          <c:showCatName val="0"/>
          <c:showSerName val="0"/>
          <c:showPercent val="0"/>
          <c:showBubbleSize val="0"/>
        </c:dLbls>
        <c:gapWidth val="45"/>
        <c:axId val="830222720"/>
        <c:axId val="830224256"/>
      </c:barChart>
      <c:catAx>
        <c:axId val="830222720"/>
        <c:scaling>
          <c:orientation val="minMax"/>
        </c:scaling>
        <c:delete val="0"/>
        <c:axPos val="b"/>
        <c:majorTickMark val="out"/>
        <c:minorTickMark val="none"/>
        <c:tickLblPos val="low"/>
        <c:spPr>
          <a:ln>
            <a:solidFill>
              <a:srgbClr val="808080"/>
            </a:solidFill>
            <a:prstDash val="solid"/>
          </a:ln>
        </c:spPr>
        <c:txPr>
          <a:bodyPr rot="0" vert="horz"/>
          <a:lstStyle/>
          <a:p>
            <a:pPr>
              <a:defRPr>
                <a:solidFill>
                  <a:srgbClr val="808080"/>
                </a:solidFill>
              </a:defRPr>
            </a:pPr>
            <a:endParaRPr lang="en-US"/>
          </a:p>
        </c:txPr>
        <c:crossAx val="830224256"/>
        <c:crosses val="autoZero"/>
        <c:auto val="1"/>
        <c:lblAlgn val="ctr"/>
        <c:lblOffset val="100"/>
        <c:tickLblSkip val="1"/>
        <c:tickMarkSkip val="1"/>
        <c:noMultiLvlLbl val="0"/>
      </c:catAx>
      <c:valAx>
        <c:axId val="830224256"/>
        <c:scaling>
          <c:orientation val="minMax"/>
        </c:scaling>
        <c:delete val="0"/>
        <c:axPos val="l"/>
        <c:majorGridlines>
          <c:spPr>
            <a:ln>
              <a:solidFill>
                <a:srgbClr val="C0C0C0"/>
              </a:solidFill>
              <a:prstDash val="solid"/>
            </a:ln>
          </c:spPr>
        </c:majorGridlines>
        <c:title>
          <c:tx>
            <c:rich>
              <a:bodyPr rot="-5400000" vert="horz"/>
              <a:lstStyle/>
              <a:p>
                <a:pPr>
                  <a:defRPr/>
                </a:pPr>
                <a:r>
                  <a:rPr lang="en-US"/>
                  <a:t>BYD Regional GGR Growth (%)</a:t>
                </a:r>
              </a:p>
            </c:rich>
          </c:tx>
          <c:overlay val="0"/>
        </c:title>
        <c:numFmt formatCode="0.0%" sourceLinked="1"/>
        <c:majorTickMark val="out"/>
        <c:minorTickMark val="none"/>
        <c:tickLblPos val="nextTo"/>
        <c:spPr>
          <a:ln w="9525">
            <a:noFill/>
          </a:ln>
        </c:spPr>
        <c:txPr>
          <a:bodyPr rot="0" vert="horz"/>
          <a:lstStyle/>
          <a:p>
            <a:pPr>
              <a:defRPr>
                <a:solidFill>
                  <a:srgbClr val="808080"/>
                </a:solidFill>
              </a:defRPr>
            </a:pPr>
            <a:endParaRPr lang="en-US"/>
          </a:p>
        </c:txPr>
        <c:crossAx val="830222720"/>
        <c:crosses val="autoZero"/>
        <c:crossBetween val="between"/>
      </c:valAx>
      <c:spPr>
        <a:noFill/>
        <a:ln w="25400">
          <a:noFill/>
        </a:ln>
        <a:extLst>
          <a:ext uri="{909E8E84-426E-40DD-AFC4-6F175D3DCCD1}">
            <a14:hiddenFill xmlns:a14="http://schemas.microsoft.com/office/drawing/2010/main">
              <a:solidFill>
                <a:srgbClr val="FFFFFF"/>
              </a:solidFill>
            </a14:hiddenFill>
          </a:ext>
        </a:extLst>
      </c:spPr>
    </c:plotArea>
    <c:plotVisOnly val="1"/>
    <c:dispBlanksAs val="gap"/>
    <c:showDLblsOverMax val="0"/>
  </c:chart>
  <c:spPr>
    <a:solidFill>
      <a:srgbClr val="FFFFFF"/>
    </a:solidFill>
    <a:ln w="9525">
      <a:noFill/>
    </a:ln>
  </c:spPr>
  <c:txPr>
    <a:bodyPr/>
    <a:lstStyle/>
    <a:p>
      <a:pPr>
        <a:defRPr>
          <a:solidFill>
            <a:srgbClr val="333333"/>
          </a:solidFill>
        </a:defRPr>
      </a:pPr>
      <a:endParaRPr lang="en-US"/>
    </a:p>
  </c:txPr>
  <c:printSettings>
    <c:headerFooter/>
    <c:pageMargins b="0.75" l="0.7" r="0.7" t="0.75" header="0.3" footer="0.3"/>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478842583701423E-2"/>
          <c:y val="4.6164338129008831E-2"/>
          <c:w val="0.88767291893391376"/>
          <c:h val="0.73671739410261683"/>
        </c:manualLayout>
      </c:layout>
      <c:barChart>
        <c:barDir val="col"/>
        <c:grouping val="clustered"/>
        <c:varyColors val="0"/>
        <c:ser>
          <c:idx val="0"/>
          <c:order val="0"/>
          <c:tx>
            <c:strRef>
              <c:f>'Tables 2'!$HU$739</c:f>
              <c:strCache>
                <c:ptCount val="1"/>
                <c:pt idx="0">
                  <c:v>MSe Beg. 2017</c:v>
                </c:pt>
              </c:strCache>
            </c:strRef>
          </c:tx>
          <c:spPr>
            <a:solidFill>
              <a:srgbClr val="0070C0"/>
            </a:solidFill>
          </c:spPr>
          <c:invertIfNegative val="0"/>
          <c:dLbls>
            <c:numFmt formatCode="&quot;$&quot;#,##0" sourceLinked="0"/>
            <c:txPr>
              <a:bodyPr/>
              <a:lstStyle/>
              <a:p>
                <a:pPr>
                  <a:defRPr b="1"/>
                </a:pPr>
                <a:endParaRPr lang="en-US"/>
              </a:p>
            </c:txPr>
            <c:showLegendKey val="0"/>
            <c:showVal val="1"/>
            <c:showCatName val="0"/>
            <c:showSerName val="0"/>
            <c:showPercent val="0"/>
            <c:showBubbleSize val="0"/>
            <c:showLeaderLines val="0"/>
          </c:dLbls>
          <c:val>
            <c:numRef>
              <c:f>'Tables 2'!$HU$740:$HU$746</c:f>
              <c:numCache>
                <c:formatCode>#,##0_);\(#,##0\)</c:formatCode>
                <c:ptCount val="7"/>
                <c:pt idx="0">
                  <c:v>2371.0431067174945</c:v>
                </c:pt>
                <c:pt idx="2">
                  <c:v>613.79198896749472</c:v>
                </c:pt>
                <c:pt idx="4">
                  <c:v>3087.239192519774</c:v>
                </c:pt>
                <c:pt idx="6">
                  <c:v>854.47044517571567</c:v>
                </c:pt>
              </c:numCache>
            </c:numRef>
          </c:val>
        </c:ser>
        <c:ser>
          <c:idx val="1"/>
          <c:order val="1"/>
          <c:tx>
            <c:strRef>
              <c:f>'Tables 2'!$HV$739</c:f>
              <c:strCache>
                <c:ptCount val="1"/>
                <c:pt idx="0">
                  <c:v>MSe Current</c:v>
                </c:pt>
              </c:strCache>
            </c:strRef>
          </c:tx>
          <c:spPr>
            <a:solidFill>
              <a:srgbClr val="FFC000"/>
            </a:solidFill>
          </c:spPr>
          <c:invertIfNegative val="0"/>
          <c:dLbls>
            <c:numFmt formatCode="&quot;$&quot;#,##0" sourceLinked="0"/>
            <c:txPr>
              <a:bodyPr/>
              <a:lstStyle/>
              <a:p>
                <a:pPr>
                  <a:defRPr b="1"/>
                </a:pPr>
                <a:endParaRPr lang="en-US"/>
              </a:p>
            </c:txPr>
            <c:showLegendKey val="0"/>
            <c:showVal val="1"/>
            <c:showCatName val="0"/>
            <c:showSerName val="0"/>
            <c:showPercent val="0"/>
            <c:showBubbleSize val="0"/>
            <c:showLeaderLines val="0"/>
          </c:dLbls>
          <c:val>
            <c:numRef>
              <c:f>'Tables 2'!$HV$740:$HV$746</c:f>
              <c:numCache>
                <c:formatCode>#,##0_);\(#,##0\)</c:formatCode>
                <c:ptCount val="7"/>
                <c:pt idx="0">
                  <c:v>2383.7069999999999</c:v>
                </c:pt>
                <c:pt idx="2">
                  <c:v>595.625</c:v>
                </c:pt>
                <c:pt idx="4">
                  <c:v>3140.8454543606954</c:v>
                </c:pt>
                <c:pt idx="6">
                  <c:v>870.51018396099755</c:v>
                </c:pt>
              </c:numCache>
            </c:numRef>
          </c:val>
        </c:ser>
        <c:dLbls>
          <c:showLegendKey val="0"/>
          <c:showVal val="0"/>
          <c:showCatName val="0"/>
          <c:showSerName val="0"/>
          <c:showPercent val="0"/>
          <c:showBubbleSize val="0"/>
        </c:dLbls>
        <c:gapWidth val="0"/>
        <c:axId val="830245888"/>
        <c:axId val="830280448"/>
      </c:barChart>
      <c:catAx>
        <c:axId val="830245888"/>
        <c:scaling>
          <c:orientation val="minMax"/>
        </c:scaling>
        <c:delete val="1"/>
        <c:axPos val="b"/>
        <c:numFmt formatCode="#,##0_);\(#,##0\)" sourceLinked="1"/>
        <c:majorTickMark val="out"/>
        <c:minorTickMark val="none"/>
        <c:tickLblPos val="nextTo"/>
        <c:crossAx val="830280448"/>
        <c:crosses val="autoZero"/>
        <c:auto val="1"/>
        <c:lblAlgn val="ctr"/>
        <c:lblOffset val="100"/>
        <c:noMultiLvlLbl val="0"/>
      </c:catAx>
      <c:valAx>
        <c:axId val="830280448"/>
        <c:scaling>
          <c:orientation val="minMax"/>
          <c:max val="4000"/>
        </c:scaling>
        <c:delete val="0"/>
        <c:axPos val="l"/>
        <c:numFmt formatCode="&quot;$&quot;#,##0" sourceLinked="0"/>
        <c:majorTickMark val="out"/>
        <c:minorTickMark val="none"/>
        <c:tickLblPos val="nextTo"/>
        <c:crossAx val="830245888"/>
        <c:crosses val="autoZero"/>
        <c:crossBetween val="between"/>
      </c:valAx>
      <c:spPr>
        <a:solidFill>
          <a:srgbClr val="FFFFFF"/>
        </a:solidFill>
      </c:spPr>
    </c:plotArea>
    <c:legend>
      <c:legendPos val="b"/>
      <c:overlay val="0"/>
    </c:legend>
    <c:plotVisOnly val="1"/>
    <c:dispBlanksAs val="gap"/>
    <c:showDLblsOverMax val="0"/>
  </c:chart>
  <c:spPr>
    <a:solidFill>
      <a:srgbClr val="FFFFFF"/>
    </a:solidFill>
  </c:spPr>
  <c:printSettings>
    <c:headerFooter/>
    <c:pageMargins b="0.75" l="0.7" r="0.7" t="0.75" header="0.3" footer="0.3"/>
    <c:pageSetup orientation="landscape"/>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5821655437700441E-2"/>
          <c:y val="0.1858192927434634"/>
          <c:w val="0.56338157318619142"/>
          <c:h val="0.58679776655830551"/>
        </c:manualLayout>
      </c:layout>
      <c:pieChart>
        <c:varyColors val="1"/>
        <c:ser>
          <c:idx val="0"/>
          <c:order val="0"/>
          <c:spPr>
            <a:solidFill>
              <a:srgbClr val="9999FF"/>
            </a:solidFill>
            <a:ln w="12700">
              <a:solidFill>
                <a:srgbClr val="FFFFFF"/>
              </a:solidFill>
              <a:prstDash val="solid"/>
            </a:ln>
          </c:spPr>
          <c:dPt>
            <c:idx val="0"/>
            <c:bubble3D val="0"/>
          </c:dPt>
          <c:dPt>
            <c:idx val="1"/>
            <c:bubble3D val="0"/>
            <c:spPr>
              <a:solidFill>
                <a:srgbClr val="C0C0C0"/>
              </a:solidFill>
              <a:ln w="12700">
                <a:solidFill>
                  <a:srgbClr val="FFFFFF"/>
                </a:solidFill>
                <a:prstDash val="solid"/>
              </a:ln>
            </c:spPr>
          </c:dPt>
          <c:dPt>
            <c:idx val="2"/>
            <c:bubble3D val="0"/>
            <c:spPr>
              <a:solidFill>
                <a:srgbClr val="32C464"/>
              </a:solidFill>
              <a:ln w="12700">
                <a:solidFill>
                  <a:srgbClr val="FFFFFF"/>
                </a:solidFill>
                <a:prstDash val="solid"/>
              </a:ln>
            </c:spPr>
          </c:dPt>
          <c:dPt>
            <c:idx val="3"/>
            <c:bubble3D val="0"/>
            <c:spPr>
              <a:solidFill>
                <a:srgbClr val="CCFFFF"/>
              </a:solidFill>
              <a:ln w="12700">
                <a:solidFill>
                  <a:srgbClr val="FFFFFF"/>
                </a:solidFill>
                <a:prstDash val="solid"/>
              </a:ln>
            </c:spPr>
          </c:dPt>
          <c:dLbls>
            <c:spPr>
              <a:noFill/>
              <a:ln w="25400">
                <a:noFill/>
              </a:ln>
            </c:spPr>
            <c:txPr>
              <a:bodyPr/>
              <a:lstStyle/>
              <a:p>
                <a:pPr>
                  <a:defRPr sz="1200" b="1" i="0" u="none" strike="noStrike" baseline="0">
                    <a:solidFill>
                      <a:srgbClr val="000000"/>
                    </a:solidFill>
                    <a:latin typeface="Arial"/>
                    <a:ea typeface="Arial"/>
                    <a:cs typeface="Arial"/>
                  </a:defRPr>
                </a:pPr>
                <a:endParaRPr lang="en-US"/>
              </a:p>
            </c:txPr>
            <c:dLblPos val="ctr"/>
            <c:showLegendKey val="0"/>
            <c:showVal val="1"/>
            <c:showCatName val="0"/>
            <c:showSerName val="0"/>
            <c:showPercent val="0"/>
            <c:showBubbleSize val="0"/>
            <c:showLeaderLines val="1"/>
          </c:dLbls>
          <c:cat>
            <c:strRef>
              <c:f>Tables!$X$57:$X$60</c:f>
              <c:strCache>
                <c:ptCount val="4"/>
                <c:pt idx="0">
                  <c:v>Midwest &amp; South 35%</c:v>
                </c:pt>
                <c:pt idx="1">
                  <c:v>LV Locals 34%</c:v>
                </c:pt>
                <c:pt idx="2">
                  <c:v>Atlantic City 21%</c:v>
                </c:pt>
                <c:pt idx="3">
                  <c:v>LV Downtown 10%</c:v>
                </c:pt>
              </c:strCache>
            </c:strRef>
          </c:cat>
          <c:val>
            <c:numRef>
              <c:f>Tables!$Y$57:$Y$60</c:f>
              <c:numCache>
                <c:formatCode>0%</c:formatCode>
                <c:ptCount val="4"/>
                <c:pt idx="0">
                  <c:v>0.35029464935806792</c:v>
                </c:pt>
                <c:pt idx="1">
                  <c:v>0.33610907056979245</c:v>
                </c:pt>
                <c:pt idx="2">
                  <c:v>0.21384283997191447</c:v>
                </c:pt>
                <c:pt idx="3">
                  <c:v>9.9753440100225146E-2</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1033011718605601"/>
          <c:y val="0.3227388996913283"/>
          <c:w val="0.36854534028316888"/>
          <c:h val="0.31540367967451499"/>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412213353027962"/>
          <c:y val="6.5727850205055671E-2"/>
          <c:w val="0.82795843826731608"/>
          <c:h val="0.69014242715308449"/>
        </c:manualLayout>
      </c:layout>
      <c:lineChart>
        <c:grouping val="standard"/>
        <c:varyColors val="0"/>
        <c:ser>
          <c:idx val="0"/>
          <c:order val="0"/>
          <c:tx>
            <c:strRef>
              <c:f>Tables!$AA$64</c:f>
              <c:strCache>
                <c:ptCount val="1"/>
                <c:pt idx="0">
                  <c:v>Las Vegas MSA</c:v>
                </c:pt>
              </c:strCache>
            </c:strRef>
          </c:tx>
          <c:spPr>
            <a:ln w="38100">
              <a:solidFill>
                <a:srgbClr val="3366FF"/>
              </a:solidFill>
              <a:prstDash val="solid"/>
            </a:ln>
          </c:spPr>
          <c:marker>
            <c:symbol val="none"/>
          </c:marker>
          <c:cat>
            <c:strRef>
              <c:f>Tables!$AB$63:$AL$63</c:f>
              <c:strCache>
                <c:ptCount val="11"/>
                <c:pt idx="0">
                  <c:v>2000</c:v>
                </c:pt>
                <c:pt idx="1">
                  <c:v>2001</c:v>
                </c:pt>
                <c:pt idx="2">
                  <c:v>2002</c:v>
                </c:pt>
                <c:pt idx="3">
                  <c:v>2003</c:v>
                </c:pt>
                <c:pt idx="4">
                  <c:v>2004</c:v>
                </c:pt>
                <c:pt idx="5">
                  <c:v>2005</c:v>
                </c:pt>
                <c:pt idx="6">
                  <c:v>2006</c:v>
                </c:pt>
                <c:pt idx="7">
                  <c:v>2007</c:v>
                </c:pt>
                <c:pt idx="8">
                  <c:v>2008</c:v>
                </c:pt>
                <c:pt idx="9">
                  <c:v>2009</c:v>
                </c:pt>
                <c:pt idx="10">
                  <c:v>Feb '10</c:v>
                </c:pt>
              </c:strCache>
            </c:strRef>
          </c:cat>
          <c:val>
            <c:numRef>
              <c:f>Tables!$AB$64:$AL$64</c:f>
              <c:numCache>
                <c:formatCode>0.0%</c:formatCode>
                <c:ptCount val="11"/>
                <c:pt idx="0">
                  <c:v>4.5999999999999999E-2</c:v>
                </c:pt>
                <c:pt idx="1">
                  <c:v>5.5E-2</c:v>
                </c:pt>
                <c:pt idx="2">
                  <c:v>5.8999999999999997E-2</c:v>
                </c:pt>
                <c:pt idx="3">
                  <c:v>5.3999999999999999E-2</c:v>
                </c:pt>
                <c:pt idx="4">
                  <c:v>4.4999999999999998E-2</c:v>
                </c:pt>
                <c:pt idx="5">
                  <c:v>4.3999999999999997E-2</c:v>
                </c:pt>
                <c:pt idx="6">
                  <c:v>4.2999999999999997E-2</c:v>
                </c:pt>
                <c:pt idx="7">
                  <c:v>4.7E-2</c:v>
                </c:pt>
                <c:pt idx="8">
                  <c:v>6.6000000000000003E-2</c:v>
                </c:pt>
                <c:pt idx="9">
                  <c:v>0.11899999999999999</c:v>
                </c:pt>
                <c:pt idx="10">
                  <c:v>0.13900000000000001</c:v>
                </c:pt>
              </c:numCache>
            </c:numRef>
          </c:val>
          <c:smooth val="1"/>
        </c:ser>
        <c:ser>
          <c:idx val="1"/>
          <c:order val="1"/>
          <c:tx>
            <c:strRef>
              <c:f>Tables!$AA$65</c:f>
              <c:strCache>
                <c:ptCount val="1"/>
                <c:pt idx="0">
                  <c:v>US National Average</c:v>
                </c:pt>
              </c:strCache>
            </c:strRef>
          </c:tx>
          <c:spPr>
            <a:ln w="38100">
              <a:pattFill prst="pct75">
                <a:fgClr>
                  <a:srgbClr val="000000"/>
                </a:fgClr>
                <a:bgClr>
                  <a:srgbClr val="FFFFFF"/>
                </a:bgClr>
              </a:pattFill>
              <a:prstDash val="solid"/>
            </a:ln>
          </c:spPr>
          <c:marker>
            <c:symbol val="none"/>
          </c:marker>
          <c:cat>
            <c:strRef>
              <c:f>Tables!$AB$63:$AL$63</c:f>
              <c:strCache>
                <c:ptCount val="11"/>
                <c:pt idx="0">
                  <c:v>2000</c:v>
                </c:pt>
                <c:pt idx="1">
                  <c:v>2001</c:v>
                </c:pt>
                <c:pt idx="2">
                  <c:v>2002</c:v>
                </c:pt>
                <c:pt idx="3">
                  <c:v>2003</c:v>
                </c:pt>
                <c:pt idx="4">
                  <c:v>2004</c:v>
                </c:pt>
                <c:pt idx="5">
                  <c:v>2005</c:v>
                </c:pt>
                <c:pt idx="6">
                  <c:v>2006</c:v>
                </c:pt>
                <c:pt idx="7">
                  <c:v>2007</c:v>
                </c:pt>
                <c:pt idx="8">
                  <c:v>2008</c:v>
                </c:pt>
                <c:pt idx="9">
                  <c:v>2009</c:v>
                </c:pt>
                <c:pt idx="10">
                  <c:v>Feb '10</c:v>
                </c:pt>
              </c:strCache>
            </c:strRef>
          </c:cat>
          <c:val>
            <c:numRef>
              <c:f>Tables!$AB$65:$AL$65</c:f>
              <c:numCache>
                <c:formatCode>0.0%</c:formatCode>
                <c:ptCount val="11"/>
                <c:pt idx="0">
                  <c:v>0.04</c:v>
                </c:pt>
                <c:pt idx="1">
                  <c:v>4.7E-2</c:v>
                </c:pt>
                <c:pt idx="2">
                  <c:v>5.8000000000000003E-2</c:v>
                </c:pt>
                <c:pt idx="3">
                  <c:v>0.06</c:v>
                </c:pt>
                <c:pt idx="4">
                  <c:v>5.5E-2</c:v>
                </c:pt>
                <c:pt idx="5">
                  <c:v>5.0999999999999997E-2</c:v>
                </c:pt>
                <c:pt idx="6">
                  <c:v>4.5999999999999999E-2</c:v>
                </c:pt>
                <c:pt idx="7">
                  <c:v>4.5999999999999999E-2</c:v>
                </c:pt>
                <c:pt idx="8">
                  <c:v>5.8000000000000003E-2</c:v>
                </c:pt>
                <c:pt idx="9">
                  <c:v>9.2999999999999999E-2</c:v>
                </c:pt>
                <c:pt idx="10">
                  <c:v>0.104</c:v>
                </c:pt>
              </c:numCache>
            </c:numRef>
          </c:val>
          <c:smooth val="1"/>
        </c:ser>
        <c:dLbls>
          <c:showLegendKey val="0"/>
          <c:showVal val="0"/>
          <c:showCatName val="0"/>
          <c:showSerName val="0"/>
          <c:showPercent val="0"/>
          <c:showBubbleSize val="0"/>
        </c:dLbls>
        <c:marker val="1"/>
        <c:smooth val="0"/>
        <c:axId val="764688640"/>
        <c:axId val="764698624"/>
      </c:lineChart>
      <c:catAx>
        <c:axId val="764688640"/>
        <c:scaling>
          <c:orientation val="minMax"/>
        </c:scaling>
        <c:delete val="0"/>
        <c:axPos val="b"/>
        <c:majorGridlines>
          <c:spPr>
            <a:ln w="3175">
              <a:solidFill>
                <a:srgbClr val="C0C0C0"/>
              </a:solidFill>
              <a:prstDash val="solid"/>
            </a:ln>
          </c:spPr>
        </c:majorGridlines>
        <c:numFmt formatCode="General" sourceLinked="1"/>
        <c:majorTickMark val="out"/>
        <c:minorTickMark val="none"/>
        <c:tickLblPos val="nextTo"/>
        <c:spPr>
          <a:ln w="9525">
            <a:noFill/>
          </a:ln>
        </c:spPr>
        <c:txPr>
          <a:bodyPr rot="5400000" vert="horz"/>
          <a:lstStyle/>
          <a:p>
            <a:pPr>
              <a:defRPr sz="975" b="0" i="0" u="none" strike="noStrike" baseline="0">
                <a:solidFill>
                  <a:srgbClr val="000000"/>
                </a:solidFill>
                <a:latin typeface="Arial"/>
                <a:ea typeface="Arial"/>
                <a:cs typeface="Arial"/>
              </a:defRPr>
            </a:pPr>
            <a:endParaRPr lang="en-US"/>
          </a:p>
        </c:txPr>
        <c:crossAx val="764698624"/>
        <c:crosses val="autoZero"/>
        <c:auto val="1"/>
        <c:lblAlgn val="ctr"/>
        <c:lblOffset val="100"/>
        <c:tickLblSkip val="1"/>
        <c:tickMarkSkip val="1"/>
        <c:noMultiLvlLbl val="0"/>
      </c:catAx>
      <c:valAx>
        <c:axId val="764698624"/>
        <c:scaling>
          <c:orientation val="minMax"/>
          <c:max val="0.15"/>
          <c:min val="0.03"/>
        </c:scaling>
        <c:delete val="0"/>
        <c:axPos val="l"/>
        <c:majorGridlines>
          <c:spPr>
            <a:ln w="3175">
              <a:solidFill>
                <a:srgbClr val="C0C0C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Unemployment Rate (Not SA)</a:t>
                </a:r>
              </a:p>
            </c:rich>
          </c:tx>
          <c:layout>
            <c:manualLayout>
              <c:xMode val="edge"/>
              <c:yMode val="edge"/>
              <c:x val="8.9445808521246683E-3"/>
              <c:y val="0.1604056535186622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764688640"/>
        <c:crosses val="autoZero"/>
        <c:crossBetween val="between"/>
      </c:valAx>
      <c:spPr>
        <a:noFill/>
        <a:ln w="12700">
          <a:solidFill>
            <a:srgbClr val="808080"/>
          </a:solidFill>
          <a:prstDash val="solid"/>
        </a:ln>
      </c:spPr>
    </c:plotArea>
    <c:legend>
      <c:legendPos val="r"/>
      <c:layout>
        <c:manualLayout>
          <c:xMode val="edge"/>
          <c:yMode val="edge"/>
          <c:x val="0.25627277773074064"/>
          <c:y val="0.92253742930021065"/>
          <c:w val="0.55734861099351829"/>
          <c:h val="5.6338274617081296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384615384615385"/>
          <c:y val="6.4197685661857781E-2"/>
          <c:w val="0.82167832167832167"/>
          <c:h val="0.73580424335513928"/>
        </c:manualLayout>
      </c:layout>
      <c:lineChart>
        <c:grouping val="standard"/>
        <c:varyColors val="0"/>
        <c:ser>
          <c:idx val="0"/>
          <c:order val="0"/>
          <c:tx>
            <c:strRef>
              <c:f>Tables!$AN$72</c:f>
              <c:strCache>
                <c:ptCount val="1"/>
                <c:pt idx="0">
                  <c:v>Boyd</c:v>
                </c:pt>
              </c:strCache>
            </c:strRef>
          </c:tx>
          <c:spPr>
            <a:ln w="38100">
              <a:solidFill>
                <a:srgbClr val="3366FF"/>
              </a:solidFill>
              <a:prstDash val="solid"/>
            </a:ln>
          </c:spPr>
          <c:marker>
            <c:symbol val="none"/>
          </c:marker>
          <c:cat>
            <c:numRef>
              <c:f>Tables!$AO$71:$AT$71</c:f>
              <c:numCache>
                <c:formatCode>General</c:formatCode>
                <c:ptCount val="6"/>
                <c:pt idx="0">
                  <c:v>2004</c:v>
                </c:pt>
                <c:pt idx="1">
                  <c:v>2005</c:v>
                </c:pt>
                <c:pt idx="2">
                  <c:v>2006</c:v>
                </c:pt>
                <c:pt idx="3">
                  <c:v>2007</c:v>
                </c:pt>
                <c:pt idx="4">
                  <c:v>2008</c:v>
                </c:pt>
                <c:pt idx="5">
                  <c:v>2009</c:v>
                </c:pt>
              </c:numCache>
            </c:numRef>
          </c:cat>
          <c:val>
            <c:numRef>
              <c:f>Tables!$AO$72:$AT$72</c:f>
              <c:numCache>
                <c:formatCode>0.0%</c:formatCode>
                <c:ptCount val="6"/>
                <c:pt idx="0">
                  <c:v>0.2953247367257143</c:v>
                </c:pt>
                <c:pt idx="1">
                  <c:v>0.33426647192469988</c:v>
                </c:pt>
                <c:pt idx="2">
                  <c:v>0.31165778134206484</c:v>
                </c:pt>
                <c:pt idx="3">
                  <c:v>0.32482913193007523</c:v>
                </c:pt>
                <c:pt idx="4">
                  <c:v>0.28648810881229669</c:v>
                </c:pt>
                <c:pt idx="5">
                  <c:v>0.24197862420378194</c:v>
                </c:pt>
              </c:numCache>
            </c:numRef>
          </c:val>
          <c:smooth val="1"/>
        </c:ser>
        <c:ser>
          <c:idx val="1"/>
          <c:order val="1"/>
          <c:tx>
            <c:strRef>
              <c:f>Tables!$AN$73</c:f>
              <c:strCache>
                <c:ptCount val="1"/>
                <c:pt idx="0">
                  <c:v>Stations</c:v>
                </c:pt>
              </c:strCache>
            </c:strRef>
          </c:tx>
          <c:spPr>
            <a:ln w="38100">
              <a:pattFill prst="pct75">
                <a:fgClr>
                  <a:srgbClr val="000000"/>
                </a:fgClr>
                <a:bgClr>
                  <a:srgbClr val="FFFFFF"/>
                </a:bgClr>
              </a:pattFill>
              <a:prstDash val="solid"/>
            </a:ln>
          </c:spPr>
          <c:marker>
            <c:symbol val="none"/>
          </c:marker>
          <c:cat>
            <c:numRef>
              <c:f>Tables!$AO$71:$AT$71</c:f>
              <c:numCache>
                <c:formatCode>General</c:formatCode>
                <c:ptCount val="6"/>
                <c:pt idx="0">
                  <c:v>2004</c:v>
                </c:pt>
                <c:pt idx="1">
                  <c:v>2005</c:v>
                </c:pt>
                <c:pt idx="2">
                  <c:v>2006</c:v>
                </c:pt>
                <c:pt idx="3">
                  <c:v>2007</c:v>
                </c:pt>
                <c:pt idx="4">
                  <c:v>2008</c:v>
                </c:pt>
                <c:pt idx="5">
                  <c:v>2009</c:v>
                </c:pt>
              </c:numCache>
            </c:numRef>
          </c:cat>
          <c:val>
            <c:numRef>
              <c:f>Tables!$AO$73:$AT$73</c:f>
              <c:numCache>
                <c:formatCode>0.0%</c:formatCode>
                <c:ptCount val="6"/>
                <c:pt idx="0">
                  <c:v>0.37161706341430273</c:v>
                </c:pt>
                <c:pt idx="1">
                  <c:v>0.4139815828722459</c:v>
                </c:pt>
                <c:pt idx="2">
                  <c:v>0.37807814426680486</c:v>
                </c:pt>
                <c:pt idx="3">
                  <c:v>0.35885276135242217</c:v>
                </c:pt>
                <c:pt idx="4">
                  <c:v>0.33419086964421546</c:v>
                </c:pt>
                <c:pt idx="5">
                  <c:v>0.28997929647569232</c:v>
                </c:pt>
              </c:numCache>
            </c:numRef>
          </c:val>
          <c:smooth val="1"/>
        </c:ser>
        <c:dLbls>
          <c:showLegendKey val="0"/>
          <c:showVal val="0"/>
          <c:showCatName val="0"/>
          <c:showSerName val="0"/>
          <c:showPercent val="0"/>
          <c:showBubbleSize val="0"/>
        </c:dLbls>
        <c:marker val="1"/>
        <c:smooth val="0"/>
        <c:axId val="840836608"/>
        <c:axId val="840838144"/>
      </c:lineChart>
      <c:catAx>
        <c:axId val="840836608"/>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40838144"/>
        <c:crosses val="autoZero"/>
        <c:auto val="1"/>
        <c:lblAlgn val="ctr"/>
        <c:lblOffset val="100"/>
        <c:tickLblSkip val="1"/>
        <c:tickMarkSkip val="1"/>
        <c:noMultiLvlLbl val="0"/>
      </c:catAx>
      <c:valAx>
        <c:axId val="840838144"/>
        <c:scaling>
          <c:orientation val="minMax"/>
          <c:min val="0.2"/>
        </c:scaling>
        <c:delete val="0"/>
        <c:axPos val="l"/>
        <c:majorGridlines>
          <c:spPr>
            <a:ln w="3175">
              <a:solidFill>
                <a:srgbClr val="969696"/>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EBITDA Margins</a:t>
                </a:r>
              </a:p>
            </c:rich>
          </c:tx>
          <c:layout>
            <c:manualLayout>
              <c:xMode val="edge"/>
              <c:yMode val="edge"/>
              <c:x val="2.8032597323935905E-2"/>
              <c:y val="0.26332367713295096"/>
            </c:manualLayout>
          </c:layout>
          <c:overlay val="0"/>
          <c:spPr>
            <a:noFill/>
            <a:ln w="25400">
              <a:noFill/>
            </a:ln>
          </c:spPr>
        </c:title>
        <c:numFmt formatCode="0.0%" sourceLinked="1"/>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840836608"/>
        <c:crosses val="autoZero"/>
        <c:crossBetween val="between"/>
      </c:valAx>
      <c:spPr>
        <a:noFill/>
        <a:ln w="25400">
          <a:noFill/>
        </a:ln>
      </c:spPr>
    </c:plotArea>
    <c:legend>
      <c:legendPos val="r"/>
      <c:layout>
        <c:manualLayout>
          <c:xMode val="edge"/>
          <c:yMode val="edge"/>
          <c:x val="0.40034965034965037"/>
          <c:y val="0.91605171575775246"/>
          <c:w val="0.30594405594405599"/>
          <c:h val="5.9259518486115215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3287197231834"/>
          <c:y val="5.6790260393181892E-2"/>
          <c:w val="0.83564013840830453"/>
          <c:h val="0.7407425268675899"/>
        </c:manualLayout>
      </c:layout>
      <c:barChart>
        <c:barDir val="col"/>
        <c:grouping val="clustered"/>
        <c:varyColors val="0"/>
        <c:ser>
          <c:idx val="0"/>
          <c:order val="0"/>
          <c:tx>
            <c:strRef>
              <c:f>Tables!$AX$98</c:f>
              <c:strCache>
                <c:ptCount val="1"/>
                <c:pt idx="0">
                  <c:v>2007</c:v>
                </c:pt>
              </c:strCache>
            </c:strRef>
          </c:tx>
          <c:spPr>
            <a:solidFill>
              <a:srgbClr val="3366FF"/>
            </a:solidFill>
            <a:ln w="25400">
              <a:noFill/>
            </a:ln>
          </c:spPr>
          <c:invertIfNegative val="0"/>
          <c:cat>
            <c:strRef>
              <c:f>Tables!$AW$99:$AW$102</c:f>
              <c:strCache>
                <c:ptCount val="4"/>
                <c:pt idx="0">
                  <c:v>Midwest/South</c:v>
                </c:pt>
                <c:pt idx="1">
                  <c:v>LV Locals</c:v>
                </c:pt>
                <c:pt idx="2">
                  <c:v>Borgata (50%)</c:v>
                </c:pt>
                <c:pt idx="3">
                  <c:v>LV Downtown</c:v>
                </c:pt>
              </c:strCache>
            </c:strRef>
          </c:cat>
          <c:val>
            <c:numRef>
              <c:f>Tables!$AX$99:$AX$102</c:f>
              <c:numCache>
                <c:formatCode>#,##0_);\(#,##0\)</c:formatCode>
                <c:ptCount val="4"/>
                <c:pt idx="0">
                  <c:v>215.78300000000002</c:v>
                </c:pt>
                <c:pt idx="1">
                  <c:v>275.51</c:v>
                </c:pt>
                <c:pt idx="2">
                  <c:v>120.85799999999995</c:v>
                </c:pt>
                <c:pt idx="3">
                  <c:v>52.126999999999995</c:v>
                </c:pt>
              </c:numCache>
            </c:numRef>
          </c:val>
        </c:ser>
        <c:ser>
          <c:idx val="1"/>
          <c:order val="1"/>
          <c:tx>
            <c:strRef>
              <c:f>Tables!$AY$98</c:f>
              <c:strCache>
                <c:ptCount val="1"/>
                <c:pt idx="0">
                  <c:v>2009</c:v>
                </c:pt>
              </c:strCache>
            </c:strRef>
          </c:tx>
          <c:spPr>
            <a:solidFill>
              <a:srgbClr val="808080"/>
            </a:solidFill>
            <a:ln w="25400">
              <a:noFill/>
            </a:ln>
          </c:spPr>
          <c:invertIfNegative val="0"/>
          <c:cat>
            <c:strRef>
              <c:f>Tables!$AW$99:$AW$102</c:f>
              <c:strCache>
                <c:ptCount val="4"/>
                <c:pt idx="0">
                  <c:v>Midwest/South</c:v>
                </c:pt>
                <c:pt idx="1">
                  <c:v>LV Locals</c:v>
                </c:pt>
                <c:pt idx="2">
                  <c:v>Borgata (50%)</c:v>
                </c:pt>
                <c:pt idx="3">
                  <c:v>LV Downtown</c:v>
                </c:pt>
              </c:strCache>
            </c:strRef>
          </c:cat>
          <c:val>
            <c:numRef>
              <c:f>Tables!$AY$99:$AY$102</c:f>
              <c:numCache>
                <c:formatCode>#,##0_);\(#,##0\)</c:formatCode>
                <c:ptCount val="4"/>
                <c:pt idx="0">
                  <c:v>161.892</c:v>
                </c:pt>
                <c:pt idx="1">
                  <c:v>155.33599999999998</c:v>
                </c:pt>
                <c:pt idx="2">
                  <c:v>98.829499999999996</c:v>
                </c:pt>
                <c:pt idx="3">
                  <c:v>46.102000000000004</c:v>
                </c:pt>
              </c:numCache>
            </c:numRef>
          </c:val>
        </c:ser>
        <c:ser>
          <c:idx val="2"/>
          <c:order val="2"/>
          <c:tx>
            <c:strRef>
              <c:f>Tables!$AZ$98</c:f>
              <c:strCache>
                <c:ptCount val="1"/>
                <c:pt idx="0">
                  <c:v>2012</c:v>
                </c:pt>
              </c:strCache>
            </c:strRef>
          </c:tx>
          <c:spPr>
            <a:solidFill>
              <a:srgbClr val="9999FF"/>
            </a:solidFill>
            <a:ln w="25400">
              <a:noFill/>
            </a:ln>
          </c:spPr>
          <c:invertIfNegative val="0"/>
          <c:cat>
            <c:strRef>
              <c:f>Tables!$AW$99:$AW$102</c:f>
              <c:strCache>
                <c:ptCount val="4"/>
                <c:pt idx="0">
                  <c:v>Midwest/South</c:v>
                </c:pt>
                <c:pt idx="1">
                  <c:v>LV Locals</c:v>
                </c:pt>
                <c:pt idx="2">
                  <c:v>Borgata (50%)</c:v>
                </c:pt>
                <c:pt idx="3">
                  <c:v>LV Downtown</c:v>
                </c:pt>
              </c:strCache>
            </c:strRef>
          </c:cat>
          <c:val>
            <c:numRef>
              <c:f>Tables!$AZ$99:$AZ$102</c:f>
              <c:numCache>
                <c:formatCode>#,##0_);\(#,##0\)</c:formatCode>
                <c:ptCount val="4"/>
                <c:pt idx="0">
                  <c:v>192.34900000000002</c:v>
                </c:pt>
                <c:pt idx="1">
                  <c:v>128.74199999999999</c:v>
                </c:pt>
                <c:pt idx="2">
                  <c:v>58.488000000000007</c:v>
                </c:pt>
                <c:pt idx="3">
                  <c:v>32.832000000000001</c:v>
                </c:pt>
              </c:numCache>
            </c:numRef>
          </c:val>
        </c:ser>
        <c:dLbls>
          <c:showLegendKey val="0"/>
          <c:showVal val="0"/>
          <c:showCatName val="0"/>
          <c:showSerName val="0"/>
          <c:showPercent val="0"/>
          <c:showBubbleSize val="0"/>
        </c:dLbls>
        <c:gapWidth val="80"/>
        <c:axId val="840889856"/>
        <c:axId val="840891392"/>
      </c:barChart>
      <c:catAx>
        <c:axId val="840889856"/>
        <c:scaling>
          <c:orientation val="minMax"/>
        </c:scaling>
        <c:delete val="0"/>
        <c:axPos val="b"/>
        <c:numFmt formatCode="#,##0_);\(#,##0\)" sourceLinked="1"/>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40891392"/>
        <c:crosses val="autoZero"/>
        <c:auto val="1"/>
        <c:lblAlgn val="ctr"/>
        <c:lblOffset val="100"/>
        <c:tickLblSkip val="1"/>
        <c:tickMarkSkip val="1"/>
        <c:noMultiLvlLbl val="0"/>
      </c:catAx>
      <c:valAx>
        <c:axId val="840891392"/>
        <c:scaling>
          <c:orientation val="minMax"/>
        </c:scaling>
        <c:delete val="0"/>
        <c:axPos val="l"/>
        <c:majorGridlines>
          <c:spPr>
            <a:ln w="3175">
              <a:solidFill>
                <a:srgbClr val="C0C0C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Segment EBITDA ($MM)</a:t>
                </a:r>
              </a:p>
            </c:rich>
          </c:tx>
          <c:layout>
            <c:manualLayout>
              <c:xMode val="edge"/>
              <c:yMode val="edge"/>
              <c:x val="2.9480787219936605E-2"/>
              <c:y val="0.18115031917306634"/>
            </c:manualLayout>
          </c:layout>
          <c:overlay val="0"/>
          <c:spPr>
            <a:noFill/>
            <a:ln w="25400">
              <a:noFill/>
            </a:ln>
          </c:spPr>
        </c:title>
        <c:numFmt formatCode="\$#,##0_);\(\$#,##0\)" sourceLinked="0"/>
        <c:majorTickMark val="none"/>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840889856"/>
        <c:crosses val="autoZero"/>
        <c:crossBetween val="between"/>
      </c:valAx>
      <c:spPr>
        <a:noFill/>
        <a:ln w="12700">
          <a:solidFill>
            <a:srgbClr val="808080"/>
          </a:solidFill>
          <a:prstDash val="solid"/>
        </a:ln>
      </c:spPr>
    </c:plotArea>
    <c:legend>
      <c:legendPos val="r"/>
      <c:layout>
        <c:manualLayout>
          <c:xMode val="edge"/>
          <c:yMode val="edge"/>
          <c:x val="0.37024221453287198"/>
          <c:y val="0.91111318492595827"/>
          <c:w val="0.34602076124567471"/>
          <c:h val="6.1728654288584317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91519385289774"/>
          <c:y val="5.62501144411508E-2"/>
          <c:w val="0.83708909659429886"/>
          <c:h val="0.78333492703232221"/>
        </c:manualLayout>
      </c:layout>
      <c:lineChart>
        <c:grouping val="standard"/>
        <c:varyColors val="0"/>
        <c:ser>
          <c:idx val="0"/>
          <c:order val="0"/>
          <c:tx>
            <c:strRef>
              <c:f>Tables!$BS$209</c:f>
              <c:strCache>
                <c:ptCount val="1"/>
                <c:pt idx="0">
                  <c:v>LV Locals</c:v>
                </c:pt>
              </c:strCache>
            </c:strRef>
          </c:tx>
          <c:spPr>
            <a:ln w="38100">
              <a:solidFill>
                <a:srgbClr val="3366FF"/>
              </a:solidFill>
              <a:prstDash val="solid"/>
            </a:ln>
          </c:spPr>
          <c:marker>
            <c:symbol val="none"/>
          </c:marker>
          <c:cat>
            <c:strRef>
              <c:f>Tables!$BT$208:$CB$208</c:f>
              <c:strCache>
                <c:ptCount val="9"/>
                <c:pt idx="0">
                  <c:v>1Q08</c:v>
                </c:pt>
                <c:pt idx="1">
                  <c:v>2Q08</c:v>
                </c:pt>
                <c:pt idx="2">
                  <c:v>3Q08</c:v>
                </c:pt>
                <c:pt idx="3">
                  <c:v>4Q08</c:v>
                </c:pt>
                <c:pt idx="4">
                  <c:v>1Q09</c:v>
                </c:pt>
                <c:pt idx="5">
                  <c:v>2Q09</c:v>
                </c:pt>
                <c:pt idx="6">
                  <c:v>3Q09</c:v>
                </c:pt>
                <c:pt idx="7">
                  <c:v>4Q09</c:v>
                </c:pt>
                <c:pt idx="8">
                  <c:v>1Q10</c:v>
                </c:pt>
              </c:strCache>
            </c:strRef>
          </c:cat>
          <c:val>
            <c:numRef>
              <c:f>Tables!$BT$209:$CB$209</c:f>
              <c:numCache>
                <c:formatCode>0.0%</c:formatCode>
                <c:ptCount val="9"/>
                <c:pt idx="0">
                  <c:v>-5.575980392156854E-2</c:v>
                </c:pt>
                <c:pt idx="1">
                  <c:v>-6.3138808803548718E-2</c:v>
                </c:pt>
                <c:pt idx="2">
                  <c:v>-0.10819773459766779</c:v>
                </c:pt>
                <c:pt idx="3">
                  <c:v>-0.17528066828669919</c:v>
                </c:pt>
                <c:pt idx="4">
                  <c:v>-0.17625209449184964</c:v>
                </c:pt>
                <c:pt idx="5">
                  <c:v>-0.16053381574160153</c:v>
                </c:pt>
                <c:pt idx="6">
                  <c:v>-0.1707656510426695</c:v>
                </c:pt>
                <c:pt idx="7">
                  <c:v>-0.12358965948229539</c:v>
                </c:pt>
                <c:pt idx="8">
                  <c:v>-7.9524277038665603E-2</c:v>
                </c:pt>
              </c:numCache>
            </c:numRef>
          </c:val>
          <c:smooth val="1"/>
        </c:ser>
        <c:ser>
          <c:idx val="1"/>
          <c:order val="1"/>
          <c:tx>
            <c:strRef>
              <c:f>Tables!$BS$210</c:f>
              <c:strCache>
                <c:ptCount val="1"/>
                <c:pt idx="0">
                  <c:v>Midwest / South</c:v>
                </c:pt>
              </c:strCache>
            </c:strRef>
          </c:tx>
          <c:spPr>
            <a:ln w="38100">
              <a:solidFill>
                <a:srgbClr val="FF9900"/>
              </a:solidFill>
              <a:prstDash val="solid"/>
            </a:ln>
          </c:spPr>
          <c:marker>
            <c:symbol val="none"/>
          </c:marker>
          <c:cat>
            <c:strRef>
              <c:f>Tables!$BT$208:$CB$208</c:f>
              <c:strCache>
                <c:ptCount val="9"/>
                <c:pt idx="0">
                  <c:v>1Q08</c:v>
                </c:pt>
                <c:pt idx="1">
                  <c:v>2Q08</c:v>
                </c:pt>
                <c:pt idx="2">
                  <c:v>3Q08</c:v>
                </c:pt>
                <c:pt idx="3">
                  <c:v>4Q08</c:v>
                </c:pt>
                <c:pt idx="4">
                  <c:v>1Q09</c:v>
                </c:pt>
                <c:pt idx="5">
                  <c:v>2Q09</c:v>
                </c:pt>
                <c:pt idx="6">
                  <c:v>3Q09</c:v>
                </c:pt>
                <c:pt idx="7">
                  <c:v>4Q09</c:v>
                </c:pt>
                <c:pt idx="8">
                  <c:v>1Q10</c:v>
                </c:pt>
              </c:strCache>
            </c:strRef>
          </c:cat>
          <c:val>
            <c:numRef>
              <c:f>Tables!$BT$210:$CB$210</c:f>
              <c:numCache>
                <c:formatCode>0.0%</c:formatCode>
                <c:ptCount val="9"/>
                <c:pt idx="0">
                  <c:v>-0.13139794208324629</c:v>
                </c:pt>
                <c:pt idx="1">
                  <c:v>-0.14999957478292669</c:v>
                </c:pt>
                <c:pt idx="2">
                  <c:v>-0.16657924778624544</c:v>
                </c:pt>
                <c:pt idx="3">
                  <c:v>-6.2281159581853318E-2</c:v>
                </c:pt>
                <c:pt idx="4">
                  <c:v>1.1713591398905265E-2</c:v>
                </c:pt>
                <c:pt idx="5">
                  <c:v>-3.2616634483585427E-3</c:v>
                </c:pt>
                <c:pt idx="6">
                  <c:v>1.8790590425419307E-2</c:v>
                </c:pt>
                <c:pt idx="7">
                  <c:v>-7.0913669375756605E-2</c:v>
                </c:pt>
                <c:pt idx="8">
                  <c:v>-9.8383645265696429E-2</c:v>
                </c:pt>
              </c:numCache>
            </c:numRef>
          </c:val>
          <c:smooth val="1"/>
        </c:ser>
        <c:ser>
          <c:idx val="2"/>
          <c:order val="2"/>
          <c:tx>
            <c:strRef>
              <c:f>Tables!$BS$211</c:f>
              <c:strCache>
                <c:ptCount val="1"/>
                <c:pt idx="0">
                  <c:v>Downtown LV</c:v>
                </c:pt>
              </c:strCache>
            </c:strRef>
          </c:tx>
          <c:spPr>
            <a:ln w="38100">
              <a:solidFill>
                <a:srgbClr val="808080"/>
              </a:solidFill>
              <a:prstDash val="solid"/>
            </a:ln>
          </c:spPr>
          <c:marker>
            <c:symbol val="none"/>
          </c:marker>
          <c:cat>
            <c:strRef>
              <c:f>Tables!$BT$208:$CB$208</c:f>
              <c:strCache>
                <c:ptCount val="9"/>
                <c:pt idx="0">
                  <c:v>1Q08</c:v>
                </c:pt>
                <c:pt idx="1">
                  <c:v>2Q08</c:v>
                </c:pt>
                <c:pt idx="2">
                  <c:v>3Q08</c:v>
                </c:pt>
                <c:pt idx="3">
                  <c:v>4Q08</c:v>
                </c:pt>
                <c:pt idx="4">
                  <c:v>1Q09</c:v>
                </c:pt>
                <c:pt idx="5">
                  <c:v>2Q09</c:v>
                </c:pt>
                <c:pt idx="6">
                  <c:v>3Q09</c:v>
                </c:pt>
                <c:pt idx="7">
                  <c:v>4Q09</c:v>
                </c:pt>
                <c:pt idx="8">
                  <c:v>1Q10</c:v>
                </c:pt>
              </c:strCache>
            </c:strRef>
          </c:cat>
          <c:val>
            <c:numRef>
              <c:f>Tables!$BT$211:$CB$211</c:f>
              <c:numCache>
                <c:formatCode>0.0%</c:formatCode>
                <c:ptCount val="9"/>
                <c:pt idx="0">
                  <c:v>-4.5493710149922428E-2</c:v>
                </c:pt>
                <c:pt idx="1">
                  <c:v>-3.0992244244737122E-2</c:v>
                </c:pt>
                <c:pt idx="2">
                  <c:v>-6.3223718586188804E-2</c:v>
                </c:pt>
                <c:pt idx="3">
                  <c:v>-9.18127868215316E-2</c:v>
                </c:pt>
                <c:pt idx="4">
                  <c:v>-3.7158003577934973E-2</c:v>
                </c:pt>
                <c:pt idx="5">
                  <c:v>-8.5643957440050822E-2</c:v>
                </c:pt>
                <c:pt idx="6">
                  <c:v>-1.2972759005361878E-2</c:v>
                </c:pt>
                <c:pt idx="7">
                  <c:v>-4.4539544070446913E-2</c:v>
                </c:pt>
                <c:pt idx="8">
                  <c:v>-7.9399982954061255E-2</c:v>
                </c:pt>
              </c:numCache>
            </c:numRef>
          </c:val>
          <c:smooth val="1"/>
        </c:ser>
        <c:ser>
          <c:idx val="3"/>
          <c:order val="3"/>
          <c:tx>
            <c:strRef>
              <c:f>Tables!$BS$212</c:f>
              <c:strCache>
                <c:ptCount val="1"/>
                <c:pt idx="0">
                  <c:v>AC</c:v>
                </c:pt>
              </c:strCache>
            </c:strRef>
          </c:tx>
          <c:spPr>
            <a:ln w="38100">
              <a:solidFill>
                <a:srgbClr val="9999FF"/>
              </a:solidFill>
              <a:prstDash val="solid"/>
            </a:ln>
          </c:spPr>
          <c:marker>
            <c:symbol val="none"/>
          </c:marker>
          <c:cat>
            <c:strRef>
              <c:f>Tables!$BT$208:$CB$208</c:f>
              <c:strCache>
                <c:ptCount val="9"/>
                <c:pt idx="0">
                  <c:v>1Q08</c:v>
                </c:pt>
                <c:pt idx="1">
                  <c:v>2Q08</c:v>
                </c:pt>
                <c:pt idx="2">
                  <c:v>3Q08</c:v>
                </c:pt>
                <c:pt idx="3">
                  <c:v>4Q08</c:v>
                </c:pt>
                <c:pt idx="4">
                  <c:v>1Q09</c:v>
                </c:pt>
                <c:pt idx="5">
                  <c:v>2Q09</c:v>
                </c:pt>
                <c:pt idx="6">
                  <c:v>3Q09</c:v>
                </c:pt>
                <c:pt idx="7">
                  <c:v>4Q09</c:v>
                </c:pt>
                <c:pt idx="8">
                  <c:v>1Q10</c:v>
                </c:pt>
              </c:strCache>
            </c:strRef>
          </c:cat>
          <c:val>
            <c:numRef>
              <c:f>Tables!$BT$212:$CB$212</c:f>
              <c:numCache>
                <c:formatCode>0.0%</c:formatCode>
                <c:ptCount val="9"/>
                <c:pt idx="0">
                  <c:v>-8.3738281058263198E-3</c:v>
                </c:pt>
                <c:pt idx="1">
                  <c:v>1.4656183355682195E-2</c:v>
                </c:pt>
                <c:pt idx="2">
                  <c:v>4.2735822815618274E-2</c:v>
                </c:pt>
                <c:pt idx="3">
                  <c:v>-9.4921223720687009E-2</c:v>
                </c:pt>
                <c:pt idx="4">
                  <c:v>-6.9961984714687397E-2</c:v>
                </c:pt>
                <c:pt idx="5">
                  <c:v>-6.6068145576194448E-2</c:v>
                </c:pt>
                <c:pt idx="6">
                  <c:v>-7.220710150424503E-2</c:v>
                </c:pt>
                <c:pt idx="7">
                  <c:v>-4.4009526768147511E-2</c:v>
                </c:pt>
                <c:pt idx="8">
                  <c:v>-6.8252701048485687E-2</c:v>
                </c:pt>
              </c:numCache>
            </c:numRef>
          </c:val>
          <c:smooth val="1"/>
        </c:ser>
        <c:ser>
          <c:idx val="4"/>
          <c:order val="4"/>
          <c:spPr>
            <a:ln w="38100">
              <a:pattFill prst="pct75">
                <a:fgClr>
                  <a:srgbClr val="000000"/>
                </a:fgClr>
                <a:bgClr>
                  <a:srgbClr val="FFFFFF"/>
                </a:bgClr>
              </a:pattFill>
              <a:prstDash val="solid"/>
            </a:ln>
          </c:spPr>
          <c:marker>
            <c:symbol val="none"/>
          </c:marker>
          <c:cat>
            <c:strRef>
              <c:f>Tables!$BT$208:$CB$208</c:f>
              <c:strCache>
                <c:ptCount val="9"/>
                <c:pt idx="0">
                  <c:v>1Q08</c:v>
                </c:pt>
                <c:pt idx="1">
                  <c:v>2Q08</c:v>
                </c:pt>
                <c:pt idx="2">
                  <c:v>3Q08</c:v>
                </c:pt>
                <c:pt idx="3">
                  <c:v>4Q08</c:v>
                </c:pt>
                <c:pt idx="4">
                  <c:v>1Q09</c:v>
                </c:pt>
                <c:pt idx="5">
                  <c:v>2Q09</c:v>
                </c:pt>
                <c:pt idx="6">
                  <c:v>3Q09</c:v>
                </c:pt>
                <c:pt idx="7">
                  <c:v>4Q09</c:v>
                </c:pt>
                <c:pt idx="8">
                  <c:v>1Q10</c:v>
                </c:pt>
              </c:strCache>
            </c:strRef>
          </c:cat>
          <c:val>
            <c:numRef>
              <c:f>Tables!$BX$218:$CF$218</c:f>
              <c:numCache>
                <c:formatCode>0.0%</c:formatCode>
                <c:ptCount val="9"/>
                <c:pt idx="0">
                  <c:v>-6.6066374382596063E-2</c:v>
                </c:pt>
                <c:pt idx="1">
                  <c:v>-6.680542123926049E-2</c:v>
                </c:pt>
                <c:pt idx="2">
                  <c:v>-7.4661560273445754E-2</c:v>
                </c:pt>
                <c:pt idx="3">
                  <c:v>-0.11044822996056464</c:v>
                </c:pt>
                <c:pt idx="4">
                  <c:v>-7.4883159868200391E-2</c:v>
                </c:pt>
                <c:pt idx="5">
                  <c:v>-7.7140389742049287E-2</c:v>
                </c:pt>
                <c:pt idx="6">
                  <c:v>-6.8333793533980738E-2</c:v>
                </c:pt>
                <c:pt idx="7">
                  <c:v>-7.5492523671328707E-2</c:v>
                </c:pt>
                <c:pt idx="8">
                  <c:v>-7.9182959043573656E-2</c:v>
                </c:pt>
              </c:numCache>
            </c:numRef>
          </c:val>
          <c:smooth val="1"/>
        </c:ser>
        <c:dLbls>
          <c:showLegendKey val="0"/>
          <c:showVal val="0"/>
          <c:showCatName val="0"/>
          <c:showSerName val="0"/>
          <c:showPercent val="0"/>
          <c:showBubbleSize val="0"/>
        </c:dLbls>
        <c:marker val="1"/>
        <c:smooth val="0"/>
        <c:axId val="840944256"/>
        <c:axId val="840950144"/>
      </c:lineChart>
      <c:catAx>
        <c:axId val="840944256"/>
        <c:scaling>
          <c:orientation val="minMax"/>
        </c:scaling>
        <c:delete val="0"/>
        <c:axPos val="b"/>
        <c:majorGridlines>
          <c:spPr>
            <a:ln w="3175">
              <a:solidFill>
                <a:srgbClr val="C0C0C0"/>
              </a:solidFill>
              <a:prstDash val="solid"/>
            </a:ln>
          </c:spPr>
        </c:majorGridlines>
        <c:numFmt formatCode="#,##0_);\(#,##0\)" sourceLinked="1"/>
        <c:majorTickMark val="none"/>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40950144"/>
        <c:crosses val="autoZero"/>
        <c:auto val="1"/>
        <c:lblAlgn val="ctr"/>
        <c:lblOffset val="100"/>
        <c:tickLblSkip val="1"/>
        <c:tickMarkSkip val="1"/>
        <c:noMultiLvlLbl val="0"/>
      </c:catAx>
      <c:valAx>
        <c:axId val="840950144"/>
        <c:scaling>
          <c:orientation val="minMax"/>
        </c:scaling>
        <c:delete val="0"/>
        <c:axPos val="l"/>
        <c:majorGridlines>
          <c:spPr>
            <a:ln w="3175">
              <a:solidFill>
                <a:srgbClr val="C0C0C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Growth (y-o-y)</a:t>
                </a:r>
              </a:p>
            </c:rich>
          </c:tx>
          <c:layout>
            <c:manualLayout>
              <c:xMode val="edge"/>
              <c:yMode val="edge"/>
              <c:x val="1.3873369814908318E-2"/>
              <c:y val="0.3265658355205599"/>
            </c:manualLayout>
          </c:layout>
          <c:overlay val="0"/>
          <c:spPr>
            <a:noFill/>
            <a:ln w="25400">
              <a:noFill/>
            </a:ln>
          </c:spPr>
        </c:title>
        <c:numFmt formatCode="0%" sourceLinked="0"/>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840944256"/>
        <c:crosses val="autoZero"/>
        <c:crossBetween val="between"/>
      </c:valAx>
      <c:spPr>
        <a:noFill/>
        <a:ln w="12700">
          <a:solidFill>
            <a:srgbClr val="808080"/>
          </a:solidFill>
          <a:prstDash val="solid"/>
        </a:ln>
      </c:spPr>
    </c:plotArea>
    <c:legend>
      <c:legendPos val="r"/>
      <c:layout>
        <c:manualLayout>
          <c:xMode val="edge"/>
          <c:yMode val="edge"/>
          <c:x val="0.2010400433048122"/>
          <c:y val="0.94166863517060362"/>
          <c:w val="0.71403867410854416"/>
          <c:h val="5.208333333333337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7039473684210523E-2"/>
          <c:y val="5.613311311589738E-2"/>
          <c:w val="0.87993421052631582"/>
          <c:h val="0.80041661294890709"/>
        </c:manualLayout>
      </c:layout>
      <c:lineChart>
        <c:grouping val="standard"/>
        <c:varyColors val="0"/>
        <c:ser>
          <c:idx val="0"/>
          <c:order val="0"/>
          <c:tx>
            <c:strRef>
              <c:f>Tables!$BS$251</c:f>
              <c:strCache>
                <c:ptCount val="1"/>
                <c:pt idx="0">
                  <c:v>LV Locals</c:v>
                </c:pt>
              </c:strCache>
            </c:strRef>
          </c:tx>
          <c:spPr>
            <a:ln w="38100">
              <a:solidFill>
                <a:srgbClr val="3366FF"/>
              </a:solidFill>
              <a:prstDash val="solid"/>
            </a:ln>
          </c:spPr>
          <c:marker>
            <c:symbol val="none"/>
          </c:marker>
          <c:cat>
            <c:strRef>
              <c:f>Tables!$BT$250:$CH$250</c:f>
              <c:strCache>
                <c:ptCount val="15"/>
                <c:pt idx="0">
                  <c:v>1Q08</c:v>
                </c:pt>
                <c:pt idx="1">
                  <c:v>2Q08</c:v>
                </c:pt>
                <c:pt idx="2">
                  <c:v>3Q08</c:v>
                </c:pt>
                <c:pt idx="3">
                  <c:v>4Q08</c:v>
                </c:pt>
                <c:pt idx="4">
                  <c:v>1Q09</c:v>
                </c:pt>
                <c:pt idx="5">
                  <c:v>2Q09</c:v>
                </c:pt>
                <c:pt idx="6">
                  <c:v>3Q09</c:v>
                </c:pt>
                <c:pt idx="7">
                  <c:v>4Q09</c:v>
                </c:pt>
                <c:pt idx="8">
                  <c:v>1Q10</c:v>
                </c:pt>
                <c:pt idx="9">
                  <c:v>2Q10</c:v>
                </c:pt>
                <c:pt idx="10">
                  <c:v>3Q10</c:v>
                </c:pt>
                <c:pt idx="11">
                  <c:v>4Q10</c:v>
                </c:pt>
                <c:pt idx="12">
                  <c:v>1Q11</c:v>
                </c:pt>
                <c:pt idx="13">
                  <c:v>2Q11</c:v>
                </c:pt>
                <c:pt idx="14">
                  <c:v>3Q11</c:v>
                </c:pt>
              </c:strCache>
            </c:strRef>
          </c:cat>
          <c:val>
            <c:numRef>
              <c:f>Tables!$BT$251:$CH$251</c:f>
              <c:numCache>
                <c:formatCode>0.0%</c:formatCode>
                <c:ptCount val="15"/>
                <c:pt idx="0">
                  <c:v>-0.10624974858874492</c:v>
                </c:pt>
                <c:pt idx="1">
                  <c:v>-6.6079229250194493E-2</c:v>
                </c:pt>
                <c:pt idx="2">
                  <c:v>-0.25495408804005693</c:v>
                </c:pt>
                <c:pt idx="3">
                  <c:v>-0.39775194437573858</c:v>
                </c:pt>
                <c:pt idx="4">
                  <c:v>-0.32008101417748103</c:v>
                </c:pt>
                <c:pt idx="5">
                  <c:v>-0.29650631938103689</c:v>
                </c:pt>
                <c:pt idx="6">
                  <c:v>-0.31343446947308484</c:v>
                </c:pt>
                <c:pt idx="7">
                  <c:v>-0.20744729396732697</c:v>
                </c:pt>
                <c:pt idx="8">
                  <c:v>-0.10827449249779353</c:v>
                </c:pt>
                <c:pt idx="9">
                  <c:v>-0.16182799371541767</c:v>
                </c:pt>
                <c:pt idx="10">
                  <c:v>-0.16729904664732331</c:v>
                </c:pt>
                <c:pt idx="11">
                  <c:v>-1.7589820359281361E-2</c:v>
                </c:pt>
                <c:pt idx="12">
                  <c:v>-1.9053274936282727E-2</c:v>
                </c:pt>
                <c:pt idx="13">
                  <c:v>4.7813094267861844E-2</c:v>
                </c:pt>
                <c:pt idx="14">
                  <c:v>0.17908561801194667</c:v>
                </c:pt>
              </c:numCache>
            </c:numRef>
          </c:val>
          <c:smooth val="1"/>
        </c:ser>
        <c:ser>
          <c:idx val="1"/>
          <c:order val="1"/>
          <c:tx>
            <c:strRef>
              <c:f>Tables!$BS$252</c:f>
              <c:strCache>
                <c:ptCount val="1"/>
                <c:pt idx="0">
                  <c:v>Midwest / South</c:v>
                </c:pt>
              </c:strCache>
            </c:strRef>
          </c:tx>
          <c:spPr>
            <a:ln w="38100">
              <a:solidFill>
                <a:srgbClr val="FF9900"/>
              </a:solidFill>
              <a:prstDash val="solid"/>
            </a:ln>
          </c:spPr>
          <c:marker>
            <c:symbol val="none"/>
          </c:marker>
          <c:cat>
            <c:strRef>
              <c:f>Tables!$BT$250:$CH$250</c:f>
              <c:strCache>
                <c:ptCount val="15"/>
                <c:pt idx="0">
                  <c:v>1Q08</c:v>
                </c:pt>
                <c:pt idx="1">
                  <c:v>2Q08</c:v>
                </c:pt>
                <c:pt idx="2">
                  <c:v>3Q08</c:v>
                </c:pt>
                <c:pt idx="3">
                  <c:v>4Q08</c:v>
                </c:pt>
                <c:pt idx="4">
                  <c:v>1Q09</c:v>
                </c:pt>
                <c:pt idx="5">
                  <c:v>2Q09</c:v>
                </c:pt>
                <c:pt idx="6">
                  <c:v>3Q09</c:v>
                </c:pt>
                <c:pt idx="7">
                  <c:v>4Q09</c:v>
                </c:pt>
                <c:pt idx="8">
                  <c:v>1Q10</c:v>
                </c:pt>
                <c:pt idx="9">
                  <c:v>2Q10</c:v>
                </c:pt>
                <c:pt idx="10">
                  <c:v>3Q10</c:v>
                </c:pt>
                <c:pt idx="11">
                  <c:v>4Q10</c:v>
                </c:pt>
                <c:pt idx="12">
                  <c:v>1Q11</c:v>
                </c:pt>
                <c:pt idx="13">
                  <c:v>2Q11</c:v>
                </c:pt>
                <c:pt idx="14">
                  <c:v>3Q11</c:v>
                </c:pt>
              </c:strCache>
            </c:strRef>
          </c:cat>
          <c:val>
            <c:numRef>
              <c:f>Tables!$BT$252:$CH$252</c:f>
              <c:numCache>
                <c:formatCode>0.0%</c:formatCode>
                <c:ptCount val="15"/>
                <c:pt idx="0">
                  <c:v>-0.20394197028683181</c:v>
                </c:pt>
                <c:pt idx="1">
                  <c:v>-0.21940426997245144</c:v>
                </c:pt>
                <c:pt idx="2">
                  <c:v>-0.30707754465551462</c:v>
                </c:pt>
                <c:pt idx="3">
                  <c:v>-0.17419868151852702</c:v>
                </c:pt>
                <c:pt idx="4">
                  <c:v>5.3115199894734788E-2</c:v>
                </c:pt>
                <c:pt idx="5">
                  <c:v>-2.3909830822507416E-2</c:v>
                </c:pt>
                <c:pt idx="6">
                  <c:v>6.2245863488734621E-2</c:v>
                </c:pt>
                <c:pt idx="7">
                  <c:v>-0.22699369614886999</c:v>
                </c:pt>
                <c:pt idx="8">
                  <c:v>-0.18204535515711873</c:v>
                </c:pt>
                <c:pt idx="9">
                  <c:v>-0.19576073938490035</c:v>
                </c:pt>
                <c:pt idx="10">
                  <c:v>-7.5354503214002055E-2</c:v>
                </c:pt>
                <c:pt idx="11">
                  <c:v>8.3401588262526305E-2</c:v>
                </c:pt>
                <c:pt idx="12">
                  <c:v>4.918658825326494E-2</c:v>
                </c:pt>
                <c:pt idx="13">
                  <c:v>0.18786175892104517</c:v>
                </c:pt>
                <c:pt idx="14">
                  <c:v>0.15926784179967202</c:v>
                </c:pt>
              </c:numCache>
            </c:numRef>
          </c:val>
          <c:smooth val="1"/>
        </c:ser>
        <c:ser>
          <c:idx val="2"/>
          <c:order val="2"/>
          <c:tx>
            <c:strRef>
              <c:f>Tables!$BS$253</c:f>
              <c:strCache>
                <c:ptCount val="1"/>
                <c:pt idx="0">
                  <c:v>Downtown LV</c:v>
                </c:pt>
              </c:strCache>
            </c:strRef>
          </c:tx>
          <c:spPr>
            <a:ln w="38100">
              <a:solidFill>
                <a:srgbClr val="808080"/>
              </a:solidFill>
              <a:prstDash val="solid"/>
            </a:ln>
          </c:spPr>
          <c:marker>
            <c:symbol val="none"/>
          </c:marker>
          <c:cat>
            <c:strRef>
              <c:f>Tables!$BT$250:$CH$250</c:f>
              <c:strCache>
                <c:ptCount val="15"/>
                <c:pt idx="0">
                  <c:v>1Q08</c:v>
                </c:pt>
                <c:pt idx="1">
                  <c:v>2Q08</c:v>
                </c:pt>
                <c:pt idx="2">
                  <c:v>3Q08</c:v>
                </c:pt>
                <c:pt idx="3">
                  <c:v>4Q08</c:v>
                </c:pt>
                <c:pt idx="4">
                  <c:v>1Q09</c:v>
                </c:pt>
                <c:pt idx="5">
                  <c:v>2Q09</c:v>
                </c:pt>
                <c:pt idx="6">
                  <c:v>3Q09</c:v>
                </c:pt>
                <c:pt idx="7">
                  <c:v>4Q09</c:v>
                </c:pt>
                <c:pt idx="8">
                  <c:v>1Q10</c:v>
                </c:pt>
                <c:pt idx="9">
                  <c:v>2Q10</c:v>
                </c:pt>
                <c:pt idx="10">
                  <c:v>3Q10</c:v>
                </c:pt>
                <c:pt idx="11">
                  <c:v>4Q10</c:v>
                </c:pt>
                <c:pt idx="12">
                  <c:v>1Q11</c:v>
                </c:pt>
                <c:pt idx="13">
                  <c:v>2Q11</c:v>
                </c:pt>
                <c:pt idx="14">
                  <c:v>3Q11</c:v>
                </c:pt>
              </c:strCache>
            </c:strRef>
          </c:cat>
          <c:val>
            <c:numRef>
              <c:f>Tables!$BT$253:$CH$253</c:f>
              <c:numCache>
                <c:formatCode>0.0%</c:formatCode>
                <c:ptCount val="15"/>
                <c:pt idx="0">
                  <c:v>-0.26741589222678508</c:v>
                </c:pt>
                <c:pt idx="1">
                  <c:v>-0.21526299787169356</c:v>
                </c:pt>
                <c:pt idx="2">
                  <c:v>-0.33243034055727538</c:v>
                </c:pt>
                <c:pt idx="3">
                  <c:v>-0.10098956215263621</c:v>
                </c:pt>
                <c:pt idx="4">
                  <c:v>0.31320680499557518</c:v>
                </c:pt>
                <c:pt idx="5">
                  <c:v>0.14296784192173595</c:v>
                </c:pt>
                <c:pt idx="6">
                  <c:v>0.2610144927536231</c:v>
                </c:pt>
                <c:pt idx="7">
                  <c:v>-7.6673703256936232E-2</c:v>
                </c:pt>
                <c:pt idx="8">
                  <c:v>-0.37307173880485245</c:v>
                </c:pt>
                <c:pt idx="9">
                  <c:v>-0.21101694915254243</c:v>
                </c:pt>
                <c:pt idx="10">
                  <c:v>-0.34731640041374556</c:v>
                </c:pt>
                <c:pt idx="11">
                  <c:v>-0.11276230913693153</c:v>
                </c:pt>
                <c:pt idx="12">
                  <c:v>7.5489727663640593E-2</c:v>
                </c:pt>
                <c:pt idx="13">
                  <c:v>6.0150375939849177E-3</c:v>
                </c:pt>
                <c:pt idx="14">
                  <c:v>5.7404472618418634E-2</c:v>
                </c:pt>
              </c:numCache>
            </c:numRef>
          </c:val>
          <c:smooth val="1"/>
        </c:ser>
        <c:ser>
          <c:idx val="3"/>
          <c:order val="3"/>
          <c:tx>
            <c:strRef>
              <c:f>Tables!$BS$254</c:f>
              <c:strCache>
                <c:ptCount val="1"/>
                <c:pt idx="0">
                  <c:v>AC</c:v>
                </c:pt>
              </c:strCache>
            </c:strRef>
          </c:tx>
          <c:spPr>
            <a:ln w="38100">
              <a:solidFill>
                <a:srgbClr val="9999FF"/>
              </a:solidFill>
              <a:prstDash val="solid"/>
            </a:ln>
          </c:spPr>
          <c:marker>
            <c:symbol val="none"/>
          </c:marker>
          <c:cat>
            <c:strRef>
              <c:f>Tables!$BT$250:$CH$250</c:f>
              <c:strCache>
                <c:ptCount val="15"/>
                <c:pt idx="0">
                  <c:v>1Q08</c:v>
                </c:pt>
                <c:pt idx="1">
                  <c:v>2Q08</c:v>
                </c:pt>
                <c:pt idx="2">
                  <c:v>3Q08</c:v>
                </c:pt>
                <c:pt idx="3">
                  <c:v>4Q08</c:v>
                </c:pt>
                <c:pt idx="4">
                  <c:v>1Q09</c:v>
                </c:pt>
                <c:pt idx="5">
                  <c:v>2Q09</c:v>
                </c:pt>
                <c:pt idx="6">
                  <c:v>3Q09</c:v>
                </c:pt>
                <c:pt idx="7">
                  <c:v>4Q09</c:v>
                </c:pt>
                <c:pt idx="8">
                  <c:v>1Q10</c:v>
                </c:pt>
                <c:pt idx="9">
                  <c:v>2Q10</c:v>
                </c:pt>
                <c:pt idx="10">
                  <c:v>3Q10</c:v>
                </c:pt>
                <c:pt idx="11">
                  <c:v>4Q10</c:v>
                </c:pt>
                <c:pt idx="12">
                  <c:v>1Q11</c:v>
                </c:pt>
                <c:pt idx="13">
                  <c:v>2Q11</c:v>
                </c:pt>
                <c:pt idx="14">
                  <c:v>3Q11</c:v>
                </c:pt>
              </c:strCache>
            </c:strRef>
          </c:cat>
          <c:val>
            <c:numRef>
              <c:f>Tables!$BT$254:$CH$254</c:f>
              <c:numCache>
                <c:formatCode>0.0%</c:formatCode>
                <c:ptCount val="15"/>
                <c:pt idx="0">
                  <c:v>-8.4251019498422952E-2</c:v>
                </c:pt>
                <c:pt idx="1">
                  <c:v>-0.17062960174797526</c:v>
                </c:pt>
                <c:pt idx="2">
                  <c:v>-0.17642034496059977</c:v>
                </c:pt>
                <c:pt idx="3">
                  <c:v>-0.321243714877255</c:v>
                </c:pt>
                <c:pt idx="4">
                  <c:v>-0.17199725958244727</c:v>
                </c:pt>
                <c:pt idx="5">
                  <c:v>5.6586229798538445E-2</c:v>
                </c:pt>
                <c:pt idx="6">
                  <c:v>0.13008932454585032</c:v>
                </c:pt>
                <c:pt idx="7">
                  <c:v>-7.3533416852780142E-3</c:v>
                </c:pt>
                <c:pt idx="8">
                  <c:v>-0.17221181901319504</c:v>
                </c:pt>
                <c:pt idx="9">
                  <c:v>-9.9861710597996756E-2</c:v>
                </c:pt>
                <c:pt idx="10">
                  <c:v>-0.19597684986456254</c:v>
                </c:pt>
                <c:pt idx="11">
                  <c:v>-6.3624890254609046E-2</c:v>
                </c:pt>
                <c:pt idx="12">
                  <c:v>-0.16663597864113444</c:v>
                </c:pt>
                <c:pt idx="13">
                  <c:v>-0.10016294227188072</c:v>
                </c:pt>
                <c:pt idx="14">
                  <c:v>-8.061635891676977E-2</c:v>
                </c:pt>
              </c:numCache>
            </c:numRef>
          </c:val>
          <c:smooth val="1"/>
        </c:ser>
        <c:ser>
          <c:idx val="4"/>
          <c:order val="4"/>
          <c:tx>
            <c:v>Total</c:v>
          </c:tx>
          <c:spPr>
            <a:ln w="38100">
              <a:pattFill prst="pct75">
                <a:fgClr>
                  <a:srgbClr val="000000"/>
                </a:fgClr>
                <a:bgClr>
                  <a:srgbClr val="FFFFFF"/>
                </a:bgClr>
              </a:pattFill>
              <a:prstDash val="solid"/>
            </a:ln>
          </c:spPr>
          <c:marker>
            <c:symbol val="none"/>
          </c:marker>
          <c:cat>
            <c:strRef>
              <c:f>Tables!$BT$250:$CH$250</c:f>
              <c:strCache>
                <c:ptCount val="15"/>
                <c:pt idx="0">
                  <c:v>1Q08</c:v>
                </c:pt>
                <c:pt idx="1">
                  <c:v>2Q08</c:v>
                </c:pt>
                <c:pt idx="2">
                  <c:v>3Q08</c:v>
                </c:pt>
                <c:pt idx="3">
                  <c:v>4Q08</c:v>
                </c:pt>
                <c:pt idx="4">
                  <c:v>1Q09</c:v>
                </c:pt>
                <c:pt idx="5">
                  <c:v>2Q09</c:v>
                </c:pt>
                <c:pt idx="6">
                  <c:v>3Q09</c:v>
                </c:pt>
                <c:pt idx="7">
                  <c:v>4Q09</c:v>
                </c:pt>
                <c:pt idx="8">
                  <c:v>1Q10</c:v>
                </c:pt>
                <c:pt idx="9">
                  <c:v>2Q10</c:v>
                </c:pt>
                <c:pt idx="10">
                  <c:v>3Q10</c:v>
                </c:pt>
                <c:pt idx="11">
                  <c:v>4Q10</c:v>
                </c:pt>
                <c:pt idx="12">
                  <c:v>1Q11</c:v>
                </c:pt>
                <c:pt idx="13">
                  <c:v>2Q11</c:v>
                </c:pt>
                <c:pt idx="14">
                  <c:v>3Q11</c:v>
                </c:pt>
              </c:strCache>
            </c:strRef>
          </c:cat>
          <c:val>
            <c:numRef>
              <c:f>Tables!$BX$260:$CL$260</c:f>
              <c:numCache>
                <c:formatCode>0.0%</c:formatCode>
                <c:ptCount val="15"/>
                <c:pt idx="0">
                  <c:v>-0.13775871261693565</c:v>
                </c:pt>
                <c:pt idx="1">
                  <c:v>-0.15209589546231203</c:v>
                </c:pt>
                <c:pt idx="2">
                  <c:v>-0.24519482331600809</c:v>
                </c:pt>
                <c:pt idx="3">
                  <c:v>-0.29888370489294974</c:v>
                </c:pt>
                <c:pt idx="4">
                  <c:v>-0.14204363395150923</c:v>
                </c:pt>
                <c:pt idx="5">
                  <c:v>-9.5321515637825011E-2</c:v>
                </c:pt>
                <c:pt idx="6">
                  <c:v>-1.5224538840399716E-2</c:v>
                </c:pt>
                <c:pt idx="7">
                  <c:v>-0.14311840598753661</c:v>
                </c:pt>
                <c:pt idx="8">
                  <c:v>-0.17847478394192146</c:v>
                </c:pt>
                <c:pt idx="9">
                  <c:v>-0.15590131080056319</c:v>
                </c:pt>
                <c:pt idx="10">
                  <c:v>-0.1651850362027352</c:v>
                </c:pt>
                <c:pt idx="11">
                  <c:v>-1.7657292488700592E-2</c:v>
                </c:pt>
                <c:pt idx="12">
                  <c:v>-3.0642356957138975E-2</c:v>
                </c:pt>
                <c:pt idx="13">
                  <c:v>3.3680917622523558E-2</c:v>
                </c:pt>
                <c:pt idx="14">
                  <c:v>5.413544703303045E-2</c:v>
                </c:pt>
              </c:numCache>
            </c:numRef>
          </c:val>
          <c:smooth val="1"/>
        </c:ser>
        <c:dLbls>
          <c:showLegendKey val="0"/>
          <c:showVal val="0"/>
          <c:showCatName val="0"/>
          <c:showSerName val="0"/>
          <c:showPercent val="0"/>
          <c:showBubbleSize val="0"/>
        </c:dLbls>
        <c:marker val="1"/>
        <c:smooth val="0"/>
        <c:axId val="840600960"/>
        <c:axId val="840606848"/>
      </c:lineChart>
      <c:catAx>
        <c:axId val="840600960"/>
        <c:scaling>
          <c:orientation val="minMax"/>
        </c:scaling>
        <c:delete val="0"/>
        <c:axPos val="b"/>
        <c:majorGridlines>
          <c:spPr>
            <a:ln w="3175">
              <a:solidFill>
                <a:srgbClr val="969696"/>
              </a:solidFill>
              <a:prstDash val="solid"/>
            </a:ln>
          </c:spPr>
        </c:majorGridlines>
        <c:numFmt formatCode="#,##0_);\(#,##0\)" sourceLinked="1"/>
        <c:majorTickMark val="none"/>
        <c:minorTickMark val="none"/>
        <c:tickLblPos val="low"/>
        <c:spPr>
          <a:ln w="381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840606848"/>
        <c:crosses val="autoZero"/>
        <c:auto val="1"/>
        <c:lblAlgn val="ctr"/>
        <c:lblOffset val="100"/>
        <c:tickLblSkip val="1"/>
        <c:tickMarkSkip val="1"/>
        <c:noMultiLvlLbl val="0"/>
      </c:catAx>
      <c:valAx>
        <c:axId val="840606848"/>
        <c:scaling>
          <c:orientation val="minMax"/>
          <c:min val="-0.4"/>
        </c:scaling>
        <c:delete val="0"/>
        <c:axPos val="l"/>
        <c:majorGridlines>
          <c:spPr>
            <a:ln w="3175">
              <a:solidFill>
                <a:srgbClr val="969696"/>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Growth (y-o-y)</a:t>
                </a:r>
              </a:p>
            </c:rich>
          </c:tx>
          <c:layout>
            <c:manualLayout>
              <c:xMode val="edge"/>
              <c:yMode val="edge"/>
              <c:x val="8.2340447575631991E-3"/>
              <c:y val="0.32391070658787197"/>
            </c:manualLayout>
          </c:layout>
          <c:overlay val="0"/>
          <c:spPr>
            <a:noFill/>
            <a:ln w="25400">
              <a:noFill/>
            </a:ln>
          </c:spPr>
        </c:title>
        <c:numFmt formatCode="0%" sourceLinked="0"/>
        <c:majorTickMark val="none"/>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840600960"/>
        <c:crosses val="autoZero"/>
        <c:crossBetween val="between"/>
      </c:valAx>
      <c:spPr>
        <a:noFill/>
        <a:ln w="12700">
          <a:solidFill>
            <a:srgbClr val="808080"/>
          </a:solidFill>
          <a:prstDash val="solid"/>
        </a:ln>
      </c:spPr>
    </c:plotArea>
    <c:legend>
      <c:legendPos val="r"/>
      <c:layout>
        <c:manualLayout>
          <c:xMode val="edge"/>
          <c:yMode val="edge"/>
          <c:x val="8.2236842105263164E-2"/>
          <c:y val="0.9480258210966872"/>
          <c:w val="0.89309210526315785"/>
          <c:h val="4.5738045738045741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46532534165558"/>
          <c:y val="6.0465184939572286E-2"/>
          <c:w val="0.81201704066936298"/>
          <c:h val="0.81860558072036327"/>
        </c:manualLayout>
      </c:layout>
      <c:lineChart>
        <c:grouping val="standard"/>
        <c:varyColors val="0"/>
        <c:ser>
          <c:idx val="0"/>
          <c:order val="0"/>
          <c:tx>
            <c:strRef>
              <c:f>Tables!$BF$173</c:f>
              <c:strCache>
                <c:ptCount val="1"/>
                <c:pt idx="0">
                  <c:v>Casino revenue</c:v>
                </c:pt>
              </c:strCache>
            </c:strRef>
          </c:tx>
          <c:spPr>
            <a:ln w="38100">
              <a:solidFill>
                <a:srgbClr val="3366FF"/>
              </a:solidFill>
              <a:prstDash val="solid"/>
            </a:ln>
          </c:spPr>
          <c:marker>
            <c:symbol val="none"/>
          </c:marker>
          <c:cat>
            <c:strRef>
              <c:f>Tables!$BH$168:$BQ$168</c:f>
              <c:strCache>
                <c:ptCount val="10"/>
                <c:pt idx="0">
                  <c:v>2007</c:v>
                </c:pt>
                <c:pt idx="1">
                  <c:v>2008</c:v>
                </c:pt>
                <c:pt idx="2">
                  <c:v>2009</c:v>
                </c:pt>
                <c:pt idx="3">
                  <c:v>1Q10</c:v>
                </c:pt>
                <c:pt idx="4">
                  <c:v>2Q10</c:v>
                </c:pt>
                <c:pt idx="5">
                  <c:v>3Q10</c:v>
                </c:pt>
                <c:pt idx="6">
                  <c:v>4Q10</c:v>
                </c:pt>
                <c:pt idx="7">
                  <c:v>1Q11</c:v>
                </c:pt>
                <c:pt idx="8">
                  <c:v>2Q11</c:v>
                </c:pt>
                <c:pt idx="9">
                  <c:v>3Q11</c:v>
                </c:pt>
              </c:strCache>
            </c:strRef>
          </c:cat>
          <c:val>
            <c:numRef>
              <c:f>Tables!$BH$173:$BQ$173</c:f>
              <c:numCache>
                <c:formatCode>0.0%</c:formatCode>
                <c:ptCount val="10"/>
                <c:pt idx="0">
                  <c:v>-7.3910555895867772E-2</c:v>
                </c:pt>
                <c:pt idx="1">
                  <c:v>-0.11344891945909606</c:v>
                </c:pt>
                <c:pt idx="2">
                  <c:v>5.0980150891521518E-3</c:v>
                </c:pt>
                <c:pt idx="3">
                  <c:v>-7.5442084748603797E-2</c:v>
                </c:pt>
                <c:pt idx="4">
                  <c:v>-6.7312870220786067E-2</c:v>
                </c:pt>
                <c:pt idx="5">
                  <c:v>-0.15182311549295771</c:v>
                </c:pt>
                <c:pt idx="6">
                  <c:v>2.2898606612601558E-2</c:v>
                </c:pt>
                <c:pt idx="7">
                  <c:v>-1.2291755687156125E-2</c:v>
                </c:pt>
                <c:pt idx="8">
                  <c:v>1.5558248614318688E-2</c:v>
                </c:pt>
                <c:pt idx="9">
                  <c:v>-1.3088504718425343E-2</c:v>
                </c:pt>
              </c:numCache>
            </c:numRef>
          </c:val>
          <c:smooth val="1"/>
        </c:ser>
        <c:ser>
          <c:idx val="1"/>
          <c:order val="1"/>
          <c:tx>
            <c:strRef>
              <c:f>Tables!$BF$174</c:f>
              <c:strCache>
                <c:ptCount val="1"/>
                <c:pt idx="0">
                  <c:v>Admissions</c:v>
                </c:pt>
              </c:strCache>
            </c:strRef>
          </c:tx>
          <c:spPr>
            <a:ln w="38100">
              <a:pattFill prst="pct75">
                <a:fgClr>
                  <a:srgbClr val="000000"/>
                </a:fgClr>
                <a:bgClr>
                  <a:srgbClr val="FFFFFF"/>
                </a:bgClr>
              </a:pattFill>
              <a:prstDash val="solid"/>
            </a:ln>
          </c:spPr>
          <c:marker>
            <c:symbol val="none"/>
          </c:marker>
          <c:cat>
            <c:strRef>
              <c:f>Tables!$BH$168:$BQ$168</c:f>
              <c:strCache>
                <c:ptCount val="10"/>
                <c:pt idx="0">
                  <c:v>2007</c:v>
                </c:pt>
                <c:pt idx="1">
                  <c:v>2008</c:v>
                </c:pt>
                <c:pt idx="2">
                  <c:v>2009</c:v>
                </c:pt>
                <c:pt idx="3">
                  <c:v>1Q10</c:v>
                </c:pt>
                <c:pt idx="4">
                  <c:v>2Q10</c:v>
                </c:pt>
                <c:pt idx="5">
                  <c:v>3Q10</c:v>
                </c:pt>
                <c:pt idx="6">
                  <c:v>4Q10</c:v>
                </c:pt>
                <c:pt idx="7">
                  <c:v>1Q11</c:v>
                </c:pt>
                <c:pt idx="8">
                  <c:v>2Q11</c:v>
                </c:pt>
                <c:pt idx="9">
                  <c:v>3Q11</c:v>
                </c:pt>
              </c:strCache>
            </c:strRef>
          </c:cat>
          <c:val>
            <c:numRef>
              <c:f>Tables!$BH$174:$BQ$174</c:f>
              <c:numCache>
                <c:formatCode>0.0%</c:formatCode>
                <c:ptCount val="10"/>
                <c:pt idx="0">
                  <c:v>-0.11043225089438197</c:v>
                </c:pt>
                <c:pt idx="1">
                  <c:v>-0.11439337099479237</c:v>
                </c:pt>
                <c:pt idx="2">
                  <c:v>0.10304930087224362</c:v>
                </c:pt>
                <c:pt idx="3">
                  <c:v>-3.0136126695370764E-2</c:v>
                </c:pt>
                <c:pt idx="4">
                  <c:v>-2.845861985135785E-2</c:v>
                </c:pt>
                <c:pt idx="5">
                  <c:v>-0.10137003340444609</c:v>
                </c:pt>
                <c:pt idx="6">
                  <c:v>3.5900352124917476E-2</c:v>
                </c:pt>
                <c:pt idx="7">
                  <c:v>-2.5403638177296316E-2</c:v>
                </c:pt>
                <c:pt idx="8">
                  <c:v>-2.5039265582794998E-2</c:v>
                </c:pt>
                <c:pt idx="9">
                  <c:v>-3.323312756058399E-2</c:v>
                </c:pt>
              </c:numCache>
            </c:numRef>
          </c:val>
          <c:smooth val="1"/>
        </c:ser>
        <c:ser>
          <c:idx val="2"/>
          <c:order val="2"/>
          <c:tx>
            <c:v>Revenue per Admission</c:v>
          </c:tx>
          <c:spPr>
            <a:ln w="25400">
              <a:solidFill>
                <a:srgbClr val="FF00FF"/>
              </a:solidFill>
              <a:prstDash val="solid"/>
            </a:ln>
          </c:spPr>
          <c:marker>
            <c:symbol val="none"/>
          </c:marker>
          <c:cat>
            <c:strRef>
              <c:f>Tables!$BH$168:$BQ$168</c:f>
              <c:strCache>
                <c:ptCount val="10"/>
                <c:pt idx="0">
                  <c:v>2007</c:v>
                </c:pt>
                <c:pt idx="1">
                  <c:v>2008</c:v>
                </c:pt>
                <c:pt idx="2">
                  <c:v>2009</c:v>
                </c:pt>
                <c:pt idx="3">
                  <c:v>1Q10</c:v>
                </c:pt>
                <c:pt idx="4">
                  <c:v>2Q10</c:v>
                </c:pt>
                <c:pt idx="5">
                  <c:v>3Q10</c:v>
                </c:pt>
                <c:pt idx="6">
                  <c:v>4Q10</c:v>
                </c:pt>
                <c:pt idx="7">
                  <c:v>1Q11</c:v>
                </c:pt>
                <c:pt idx="8">
                  <c:v>2Q11</c:v>
                </c:pt>
                <c:pt idx="9">
                  <c:v>3Q11</c:v>
                </c:pt>
              </c:strCache>
            </c:strRef>
          </c:cat>
          <c:val>
            <c:numRef>
              <c:f>Tables!$BH$175:$BQ$175</c:f>
              <c:numCache>
                <c:formatCode>0.0%</c:formatCode>
                <c:ptCount val="10"/>
                <c:pt idx="0">
                  <c:v>4.1055552019768661E-2</c:v>
                </c:pt>
                <c:pt idx="1">
                  <c:v>1.0664458742332447E-3</c:v>
                </c:pt>
                <c:pt idx="2">
                  <c:v>-8.8800460419707225E-2</c:v>
                </c:pt>
                <c:pt idx="3">
                  <c:v>-4.6713728905956049E-2</c:v>
                </c:pt>
                <c:pt idx="4">
                  <c:v>-3.9992378259260129E-2</c:v>
                </c:pt>
                <c:pt idx="5">
                  <c:v>-5.6144446506332754E-2</c:v>
                </c:pt>
                <c:pt idx="6">
                  <c:v>-1.2551154641125144E-2</c:v>
                </c:pt>
                <c:pt idx="7">
                  <c:v>1.3453654254996516E-2</c:v>
                </c:pt>
                <c:pt idx="8">
                  <c:v>4.1640153048195565E-2</c:v>
                </c:pt>
                <c:pt idx="9">
                  <c:v>2.0837105010981922E-2</c:v>
                </c:pt>
              </c:numCache>
            </c:numRef>
          </c:val>
          <c:smooth val="1"/>
        </c:ser>
        <c:dLbls>
          <c:showLegendKey val="0"/>
          <c:showVal val="0"/>
          <c:showCatName val="0"/>
          <c:showSerName val="0"/>
          <c:showPercent val="0"/>
          <c:showBubbleSize val="0"/>
        </c:dLbls>
        <c:marker val="1"/>
        <c:smooth val="0"/>
        <c:axId val="840649344"/>
        <c:axId val="840655232"/>
      </c:lineChart>
      <c:catAx>
        <c:axId val="840649344"/>
        <c:scaling>
          <c:orientation val="minMax"/>
        </c:scaling>
        <c:delete val="0"/>
        <c:axPos val="b"/>
        <c:majorGridlines>
          <c:spPr>
            <a:ln w="3175">
              <a:solidFill>
                <a:srgbClr val="808080"/>
              </a:solidFill>
              <a:prstDash val="solid"/>
            </a:ln>
          </c:spPr>
        </c:majorGridlines>
        <c:numFmt formatCode="General" sourceLinked="1"/>
        <c:majorTickMark val="out"/>
        <c:minorTickMark val="none"/>
        <c:tickLblPos val="low"/>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840655232"/>
        <c:crosses val="autoZero"/>
        <c:auto val="1"/>
        <c:lblAlgn val="ctr"/>
        <c:lblOffset val="100"/>
        <c:tickLblSkip val="1"/>
        <c:tickMarkSkip val="1"/>
        <c:noMultiLvlLbl val="0"/>
      </c:catAx>
      <c:valAx>
        <c:axId val="840655232"/>
        <c:scaling>
          <c:orientation val="minMax"/>
          <c:min val="-0.15"/>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 Growth (y-o-y)</a:t>
                </a:r>
              </a:p>
            </c:rich>
          </c:tx>
          <c:layout>
            <c:manualLayout>
              <c:xMode val="edge"/>
              <c:yMode val="edge"/>
              <c:x val="9.6998921646422095E-3"/>
              <c:y val="0.301070866141732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40649344"/>
        <c:crosses val="autoZero"/>
        <c:crossBetween val="between"/>
      </c:valAx>
      <c:spPr>
        <a:noFill/>
        <a:ln w="12700">
          <a:solidFill>
            <a:srgbClr val="808080"/>
          </a:solidFill>
          <a:prstDash val="solid"/>
        </a:ln>
      </c:spPr>
    </c:plotArea>
    <c:legend>
      <c:legendPos val="r"/>
      <c:layout>
        <c:manualLayout>
          <c:xMode val="edge"/>
          <c:yMode val="edge"/>
          <c:x val="0.10077539726138883"/>
          <c:y val="0.89767539522675943"/>
          <c:w val="0.8662806974709556"/>
          <c:h val="5.5813953488372148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46432497296578"/>
          <c:y val="5.7395267218687956E-2"/>
          <c:w val="0.73544152928836815"/>
          <c:h val="0.76821357661936185"/>
        </c:manualLayout>
      </c:layout>
      <c:barChart>
        <c:barDir val="col"/>
        <c:grouping val="clustered"/>
        <c:varyColors val="0"/>
        <c:ser>
          <c:idx val="1"/>
          <c:order val="0"/>
          <c:tx>
            <c:strRef>
              <c:f>Tables!$CN$297</c:f>
              <c:strCache>
                <c:ptCount val="1"/>
                <c:pt idx="0">
                  <c:v>EBITDA Margin %</c:v>
                </c:pt>
              </c:strCache>
            </c:strRef>
          </c:tx>
          <c:spPr>
            <a:solidFill>
              <a:srgbClr val="808080"/>
            </a:solidFill>
            <a:ln w="25400">
              <a:noFill/>
            </a:ln>
          </c:spPr>
          <c:invertIfNegative val="0"/>
          <c:cat>
            <c:strRef>
              <c:f>Tables!$CO$295:$DL$295</c:f>
              <c:strCache>
                <c:ptCount val="24"/>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pt idx="19">
                  <c:v>4Q11</c:v>
                </c:pt>
                <c:pt idx="20">
                  <c:v>1Q12</c:v>
                </c:pt>
                <c:pt idx="21">
                  <c:v>2Q12</c:v>
                </c:pt>
                <c:pt idx="22">
                  <c:v>3Q12</c:v>
                </c:pt>
                <c:pt idx="23">
                  <c:v>4Q12</c:v>
                </c:pt>
              </c:strCache>
            </c:strRef>
          </c:cat>
          <c:val>
            <c:numRef>
              <c:f>Tables!$CO$301:$DL$301</c:f>
              <c:numCache>
                <c:formatCode>#,##0.0_);\(#,##0.0\)</c:formatCode>
                <c:ptCount val="24"/>
                <c:pt idx="0">
                  <c:v>74.579000000000008</c:v>
                </c:pt>
                <c:pt idx="1">
                  <c:v>66.843999999999994</c:v>
                </c:pt>
                <c:pt idx="2">
                  <c:v>61.312999999999988</c:v>
                </c:pt>
                <c:pt idx="3">
                  <c:v>72.774000000000001</c:v>
                </c:pt>
                <c:pt idx="4">
                  <c:v>66.655000000000001</c:v>
                </c:pt>
                <c:pt idx="5">
                  <c:v>62.426999999999992</c:v>
                </c:pt>
                <c:pt idx="6">
                  <c:v>45.680999999999983</c:v>
                </c:pt>
                <c:pt idx="7">
                  <c:v>43.828000000000003</c:v>
                </c:pt>
                <c:pt idx="8">
                  <c:v>45.32</c:v>
                </c:pt>
                <c:pt idx="9">
                  <c:v>43.917000000000002</c:v>
                </c:pt>
                <c:pt idx="10">
                  <c:v>31.363</c:v>
                </c:pt>
                <c:pt idx="11">
                  <c:v>34.735999999999997</c:v>
                </c:pt>
                <c:pt idx="12">
                  <c:v>40.412999999999997</c:v>
                </c:pt>
                <c:pt idx="13">
                  <c:v>36.81</c:v>
                </c:pt>
                <c:pt idx="14">
                  <c:v>26.116</c:v>
                </c:pt>
                <c:pt idx="15">
                  <c:v>34.125</c:v>
                </c:pt>
                <c:pt idx="16">
                  <c:v>39.643000000000001</c:v>
                </c:pt>
                <c:pt idx="17">
                  <c:v>38.57</c:v>
                </c:pt>
                <c:pt idx="18">
                  <c:v>30.792999999999999</c:v>
                </c:pt>
                <c:pt idx="19">
                  <c:v>36.841999999999999</c:v>
                </c:pt>
                <c:pt idx="20">
                  <c:v>38.485999999999997</c:v>
                </c:pt>
                <c:pt idx="21">
                  <c:v>34.534999999999997</c:v>
                </c:pt>
                <c:pt idx="22">
                  <c:v>24.271000000000001</c:v>
                </c:pt>
                <c:pt idx="23">
                  <c:v>31.45</c:v>
                </c:pt>
              </c:numCache>
            </c:numRef>
          </c:val>
        </c:ser>
        <c:dLbls>
          <c:showLegendKey val="0"/>
          <c:showVal val="0"/>
          <c:showCatName val="0"/>
          <c:showSerName val="0"/>
          <c:showPercent val="0"/>
          <c:showBubbleSize val="0"/>
        </c:dLbls>
        <c:gapWidth val="90"/>
        <c:axId val="840682112"/>
        <c:axId val="840762112"/>
      </c:barChart>
      <c:lineChart>
        <c:grouping val="standard"/>
        <c:varyColors val="0"/>
        <c:ser>
          <c:idx val="0"/>
          <c:order val="1"/>
          <c:tx>
            <c:v>% of Peak Quarterly EBITDA</c:v>
          </c:tx>
          <c:spPr>
            <a:ln w="25400">
              <a:solidFill>
                <a:srgbClr val="333399"/>
              </a:solidFill>
              <a:prstDash val="solid"/>
            </a:ln>
          </c:spPr>
          <c:marker>
            <c:symbol val="diamond"/>
            <c:size val="7"/>
            <c:spPr>
              <a:solidFill>
                <a:srgbClr val="333399"/>
              </a:solidFill>
              <a:ln>
                <a:solidFill>
                  <a:srgbClr val="333399"/>
                </a:solidFill>
                <a:prstDash val="solid"/>
              </a:ln>
            </c:spPr>
          </c:marker>
          <c:cat>
            <c:strRef>
              <c:f>Tables!$CO$295:$DG$295</c:f>
              <c:strCache>
                <c:ptCount val="19"/>
                <c:pt idx="0">
                  <c:v>1Q07</c:v>
                </c:pt>
                <c:pt idx="1">
                  <c:v>2Q07</c:v>
                </c:pt>
                <c:pt idx="2">
                  <c:v>3Q07</c:v>
                </c:pt>
                <c:pt idx="3">
                  <c:v>4Q07</c:v>
                </c:pt>
                <c:pt idx="4">
                  <c:v>1Q08</c:v>
                </c:pt>
                <c:pt idx="5">
                  <c:v>2Q08</c:v>
                </c:pt>
                <c:pt idx="6">
                  <c:v>3Q08</c:v>
                </c:pt>
                <c:pt idx="7">
                  <c:v>4Q08</c:v>
                </c:pt>
                <c:pt idx="8">
                  <c:v>1Q09</c:v>
                </c:pt>
                <c:pt idx="9">
                  <c:v>2Q09</c:v>
                </c:pt>
                <c:pt idx="10">
                  <c:v>3Q09</c:v>
                </c:pt>
                <c:pt idx="11">
                  <c:v>4Q09</c:v>
                </c:pt>
                <c:pt idx="12">
                  <c:v>1Q10</c:v>
                </c:pt>
                <c:pt idx="13">
                  <c:v>2Q10</c:v>
                </c:pt>
                <c:pt idx="14">
                  <c:v>3Q10</c:v>
                </c:pt>
                <c:pt idx="15">
                  <c:v>4Q10</c:v>
                </c:pt>
                <c:pt idx="16">
                  <c:v>1Q11</c:v>
                </c:pt>
                <c:pt idx="17">
                  <c:v>2Q11</c:v>
                </c:pt>
                <c:pt idx="18">
                  <c:v>3Q11</c:v>
                </c:pt>
              </c:strCache>
            </c:strRef>
          </c:cat>
          <c:val>
            <c:numRef>
              <c:f>Tables!$CO$303:$DL$303</c:f>
              <c:numCache>
                <c:formatCode>0.0%</c:formatCode>
                <c:ptCount val="24"/>
                <c:pt idx="0">
                  <c:v>1</c:v>
                </c:pt>
                <c:pt idx="1">
                  <c:v>1</c:v>
                </c:pt>
                <c:pt idx="2">
                  <c:v>1</c:v>
                </c:pt>
                <c:pt idx="3">
                  <c:v>1</c:v>
                </c:pt>
                <c:pt idx="4">
                  <c:v>0.89375025141125508</c:v>
                </c:pt>
                <c:pt idx="5">
                  <c:v>0.93392077074980551</c:v>
                </c:pt>
                <c:pt idx="6">
                  <c:v>0.74504591195994307</c:v>
                </c:pt>
                <c:pt idx="7">
                  <c:v>0.60224805562426142</c:v>
                </c:pt>
                <c:pt idx="8">
                  <c:v>0.60767776451816191</c:v>
                </c:pt>
                <c:pt idx="9">
                  <c:v>0.6570073604212795</c:v>
                </c:pt>
                <c:pt idx="10">
                  <c:v>0.51152284181168761</c:v>
                </c:pt>
                <c:pt idx="11">
                  <c:v>0.47731332618792421</c:v>
                </c:pt>
                <c:pt idx="12">
                  <c:v>0.54188176296276425</c:v>
                </c:pt>
                <c:pt idx="13">
                  <c:v>0.55068517742804146</c:v>
                </c:pt>
                <c:pt idx="14">
                  <c:v>0.42594555803826278</c:v>
                </c:pt>
                <c:pt idx="15">
                  <c:v>0.46891747052518756</c:v>
                </c:pt>
                <c:pt idx="16">
                  <c:v>0.5315571407500771</c:v>
                </c:pt>
                <c:pt idx="17">
                  <c:v>0.57701513972832275</c:v>
                </c:pt>
                <c:pt idx="18">
                  <c:v>0.50222628153898852</c:v>
                </c:pt>
                <c:pt idx="19">
                  <c:v>0.50625223294033583</c:v>
                </c:pt>
                <c:pt idx="20">
                  <c:v>0.51604339023049373</c:v>
                </c:pt>
                <c:pt idx="21">
                  <c:v>0.51665070911375743</c:v>
                </c:pt>
                <c:pt idx="22">
                  <c:v>0.39585406031347359</c:v>
                </c:pt>
                <c:pt idx="23">
                  <c:v>0.43215983730453184</c:v>
                </c:pt>
              </c:numCache>
            </c:numRef>
          </c:val>
          <c:smooth val="0"/>
        </c:ser>
        <c:dLbls>
          <c:showLegendKey val="0"/>
          <c:showVal val="0"/>
          <c:showCatName val="0"/>
          <c:showSerName val="0"/>
          <c:showPercent val="0"/>
          <c:showBubbleSize val="0"/>
        </c:dLbls>
        <c:marker val="1"/>
        <c:smooth val="0"/>
        <c:axId val="840764032"/>
        <c:axId val="840765824"/>
      </c:lineChart>
      <c:catAx>
        <c:axId val="840682112"/>
        <c:scaling>
          <c:orientation val="minMax"/>
        </c:scaling>
        <c:delete val="0"/>
        <c:axPos val="b"/>
        <c:numFmt formatCode="#,##0_);\(#,##0\)" sourceLinked="1"/>
        <c:majorTickMark val="none"/>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840762112"/>
        <c:crosses val="autoZero"/>
        <c:auto val="0"/>
        <c:lblAlgn val="ctr"/>
        <c:lblOffset val="100"/>
        <c:tickLblSkip val="2"/>
        <c:tickMarkSkip val="1"/>
        <c:noMultiLvlLbl val="0"/>
      </c:catAx>
      <c:valAx>
        <c:axId val="840762112"/>
        <c:scaling>
          <c:orientation val="minMax"/>
          <c:max val="75"/>
          <c:min val="0"/>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EBITDA ($MM)</a:t>
                </a:r>
              </a:p>
            </c:rich>
          </c:tx>
          <c:layout>
            <c:manualLayout>
              <c:xMode val="edge"/>
              <c:yMode val="edge"/>
              <c:x val="8.3145763185591814E-3"/>
              <c:y val="0.30362112020765619"/>
            </c:manualLayout>
          </c:layout>
          <c:overlay val="0"/>
          <c:spPr>
            <a:noFill/>
            <a:ln w="25400">
              <a:noFill/>
            </a:ln>
          </c:spPr>
        </c:title>
        <c:numFmt formatCode="\$#,##0" sourceLinked="0"/>
        <c:majorTickMark val="cross"/>
        <c:minorTickMark val="none"/>
        <c:tickLblPos val="nextTo"/>
        <c:spPr>
          <a:ln w="9525">
            <a:noFill/>
          </a:ln>
        </c:spPr>
        <c:txPr>
          <a:bodyPr rot="0" vert="horz"/>
          <a:lstStyle/>
          <a:p>
            <a:pPr>
              <a:defRPr sz="1200" b="0" i="0" u="none" strike="noStrike" baseline="0">
                <a:solidFill>
                  <a:srgbClr val="000000"/>
                </a:solidFill>
                <a:latin typeface="Arial"/>
                <a:ea typeface="Arial"/>
                <a:cs typeface="Arial"/>
              </a:defRPr>
            </a:pPr>
            <a:endParaRPr lang="en-US"/>
          </a:p>
        </c:txPr>
        <c:crossAx val="840682112"/>
        <c:crosses val="autoZero"/>
        <c:crossBetween val="between"/>
        <c:majorUnit val="25"/>
        <c:minorUnit val="25"/>
      </c:valAx>
      <c:catAx>
        <c:axId val="840764032"/>
        <c:scaling>
          <c:orientation val="minMax"/>
        </c:scaling>
        <c:delete val="1"/>
        <c:axPos val="b"/>
        <c:majorTickMark val="out"/>
        <c:minorTickMark val="none"/>
        <c:tickLblPos val="nextTo"/>
        <c:crossAx val="840765824"/>
        <c:crosses val="autoZero"/>
        <c:auto val="0"/>
        <c:lblAlgn val="ctr"/>
        <c:lblOffset val="100"/>
        <c:noMultiLvlLbl val="0"/>
      </c:catAx>
      <c:valAx>
        <c:axId val="840765824"/>
        <c:scaling>
          <c:orientation val="minMax"/>
          <c:max val="1"/>
          <c:min val="0.25"/>
        </c:scaling>
        <c:delete val="0"/>
        <c:axPos val="r"/>
        <c:title>
          <c:tx>
            <c:rich>
              <a:bodyPr rot="5400000" vert="horz"/>
              <a:lstStyle/>
              <a:p>
                <a:pPr algn="ctr">
                  <a:defRPr sz="1000" b="1" i="0" u="none" strike="noStrike" baseline="0">
                    <a:solidFill>
                      <a:srgbClr val="000000"/>
                    </a:solidFill>
                    <a:latin typeface="Arial"/>
                    <a:ea typeface="Arial"/>
                    <a:cs typeface="Arial"/>
                  </a:defRPr>
                </a:pPr>
                <a:r>
                  <a:rPr lang="en-US"/>
                  <a:t>% of Peak EBITDA</a:t>
                </a:r>
              </a:p>
            </c:rich>
          </c:tx>
          <c:layout>
            <c:manualLayout>
              <c:xMode val="edge"/>
              <c:yMode val="edge"/>
              <c:x val="0.95118948733737729"/>
              <c:y val="0.2701949673509354"/>
            </c:manualLayout>
          </c:layout>
          <c:overlay val="0"/>
          <c:spPr>
            <a:noFill/>
            <a:ln w="25400">
              <a:noFill/>
            </a:ln>
          </c:spPr>
        </c:title>
        <c:numFmt formatCode="0%" sourceLinked="0"/>
        <c:majorTickMark val="cross"/>
        <c:minorTickMark val="none"/>
        <c:tickLblPos val="nextTo"/>
        <c:spPr>
          <a:ln w="9525">
            <a:noFill/>
          </a:ln>
        </c:spPr>
        <c:txPr>
          <a:bodyPr rot="0" vert="horz"/>
          <a:lstStyle/>
          <a:p>
            <a:pPr>
              <a:defRPr sz="1200" b="0" i="0" u="none" strike="noStrike" baseline="0">
                <a:solidFill>
                  <a:srgbClr val="000000"/>
                </a:solidFill>
                <a:latin typeface="Arial"/>
                <a:ea typeface="Arial"/>
                <a:cs typeface="Arial"/>
              </a:defRPr>
            </a:pPr>
            <a:endParaRPr lang="en-US"/>
          </a:p>
        </c:txPr>
        <c:crossAx val="840764032"/>
        <c:crosses val="max"/>
        <c:crossBetween val="between"/>
        <c:majorUnit val="0.25"/>
      </c:valAx>
      <c:spPr>
        <a:noFill/>
        <a:ln w="25400">
          <a:noFill/>
        </a:ln>
      </c:spPr>
    </c:plotArea>
    <c:legend>
      <c:legendPos val="r"/>
      <c:layout>
        <c:manualLayout>
          <c:xMode val="edge"/>
          <c:yMode val="edge"/>
          <c:x val="0.17138120630095946"/>
          <c:y val="0.93156941475030852"/>
          <c:w val="0.81863630606906246"/>
          <c:h val="5.5187869728204553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horizontalDpi="1200" verticalDpi="1200"/>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746550006318434E-2"/>
          <c:y val="5.3763553770904256E-2"/>
          <c:w val="0.89260640113198819"/>
          <c:h val="0.85806631818363199"/>
        </c:manualLayout>
      </c:layout>
      <c:barChart>
        <c:barDir val="col"/>
        <c:grouping val="clustered"/>
        <c:varyColors val="0"/>
        <c:ser>
          <c:idx val="0"/>
          <c:order val="0"/>
          <c:tx>
            <c:strRef>
              <c:f>Tables!$DQ$333</c:f>
              <c:strCache>
                <c:ptCount val="1"/>
                <c:pt idx="0">
                  <c:v>Boyd LV Locals</c:v>
                </c:pt>
              </c:strCache>
            </c:strRef>
          </c:tx>
          <c:spPr>
            <a:solidFill>
              <a:srgbClr val="0000FF"/>
            </a:solidFill>
            <a:ln w="25400">
              <a:noFill/>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Tables!$DR$332:$DU$332</c:f>
              <c:numCache>
                <c:formatCode>0_);\(0\)</c:formatCode>
                <c:ptCount val="4"/>
                <c:pt idx="0">
                  <c:v>2007</c:v>
                </c:pt>
                <c:pt idx="1">
                  <c:v>2008</c:v>
                </c:pt>
                <c:pt idx="2">
                  <c:v>2009</c:v>
                </c:pt>
                <c:pt idx="3">
                  <c:v>2010</c:v>
                </c:pt>
              </c:numCache>
            </c:numRef>
          </c:cat>
          <c:val>
            <c:numRef>
              <c:f>Tables!$DR$333:$DU$333</c:f>
              <c:numCache>
                <c:formatCode>#,##0_);\(#,##0\)</c:formatCode>
                <c:ptCount val="4"/>
                <c:pt idx="0">
                  <c:v>275.51</c:v>
                </c:pt>
                <c:pt idx="1">
                  <c:v>218.59099999999998</c:v>
                </c:pt>
                <c:pt idx="2">
                  <c:v>155.33599999999998</c:v>
                </c:pt>
                <c:pt idx="3">
                  <c:v>137.464</c:v>
                </c:pt>
              </c:numCache>
            </c:numRef>
          </c:val>
        </c:ser>
        <c:dLbls>
          <c:showLegendKey val="0"/>
          <c:showVal val="0"/>
          <c:showCatName val="0"/>
          <c:showSerName val="0"/>
          <c:showPercent val="0"/>
          <c:showBubbleSize val="0"/>
        </c:dLbls>
        <c:gapWidth val="150"/>
        <c:axId val="840802304"/>
        <c:axId val="840803840"/>
      </c:barChart>
      <c:catAx>
        <c:axId val="840802304"/>
        <c:scaling>
          <c:orientation val="minMax"/>
        </c:scaling>
        <c:delete val="0"/>
        <c:axPos val="b"/>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40803840"/>
        <c:crosses val="autoZero"/>
        <c:auto val="1"/>
        <c:lblAlgn val="ctr"/>
        <c:lblOffset val="100"/>
        <c:tickLblSkip val="1"/>
        <c:tickMarkSkip val="1"/>
        <c:noMultiLvlLbl val="0"/>
      </c:catAx>
      <c:valAx>
        <c:axId val="840803840"/>
        <c:scaling>
          <c:orientation val="minMax"/>
        </c:scaling>
        <c:delete val="0"/>
        <c:axPos val="l"/>
        <c:majorGridlines>
          <c:spPr>
            <a:ln w="3175">
              <a:solidFill>
                <a:srgbClr val="C0C0C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40802304"/>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933840523969336"/>
          <c:y val="6.2500068119668267E-2"/>
          <c:w val="0.78308893817581915"/>
          <c:h val="0.83705448374555724"/>
        </c:manualLayout>
      </c:layout>
      <c:barChart>
        <c:barDir val="col"/>
        <c:grouping val="clustered"/>
        <c:varyColors val="0"/>
        <c:ser>
          <c:idx val="0"/>
          <c:order val="0"/>
          <c:spPr>
            <a:solidFill>
              <a:srgbClr val="FF0000"/>
            </a:solidFill>
            <a:ln w="25400">
              <a:noFill/>
            </a:ln>
          </c:spPr>
          <c:invertIfNegative val="0"/>
          <c:dPt>
            <c:idx val="1"/>
            <c:invertIfNegative val="0"/>
            <c:bubble3D val="0"/>
            <c:spPr>
              <a:solidFill>
                <a:srgbClr val="0000FF"/>
              </a:solidFill>
              <a:ln w="25400">
                <a:noFill/>
              </a:ln>
            </c:spPr>
          </c:dPt>
          <c:dLbls>
            <c:numFmt formatCode="0%" sourceLinked="0"/>
            <c:spPr>
              <a:noFill/>
              <a:ln w="25400">
                <a:noFill/>
              </a:ln>
            </c:spPr>
            <c:txPr>
              <a:bodyPr/>
              <a:lstStyle/>
              <a:p>
                <a:pPr>
                  <a:defRPr sz="95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Tables!$DX$332:$DY$332</c:f>
              <c:strCache>
                <c:ptCount val="2"/>
                <c:pt idx="0">
                  <c:v>Boyd</c:v>
                </c:pt>
                <c:pt idx="1">
                  <c:v>Penn</c:v>
                </c:pt>
              </c:strCache>
            </c:strRef>
          </c:cat>
          <c:val>
            <c:numRef>
              <c:f>Tables!$DX$333:$DY$333</c:f>
              <c:numCache>
                <c:formatCode>0.0%</c:formatCode>
                <c:ptCount val="2"/>
                <c:pt idx="0">
                  <c:v>0.49894377699539039</c:v>
                </c:pt>
                <c:pt idx="1">
                  <c:v>0.81609497187989388</c:v>
                </c:pt>
              </c:numCache>
            </c:numRef>
          </c:val>
        </c:ser>
        <c:dLbls>
          <c:showLegendKey val="0"/>
          <c:showVal val="0"/>
          <c:showCatName val="0"/>
          <c:showSerName val="0"/>
          <c:showPercent val="0"/>
          <c:showBubbleSize val="0"/>
        </c:dLbls>
        <c:gapWidth val="150"/>
        <c:axId val="840967680"/>
        <c:axId val="840969216"/>
      </c:barChart>
      <c:catAx>
        <c:axId val="840967680"/>
        <c:scaling>
          <c:orientation val="minMax"/>
        </c:scaling>
        <c:delete val="0"/>
        <c:axPos val="b"/>
        <c:numFmt formatCode="#,##0_);\(#,##0\)" sourceLinked="1"/>
        <c:majorTickMark val="none"/>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840969216"/>
        <c:crosses val="autoZero"/>
        <c:auto val="1"/>
        <c:lblAlgn val="ctr"/>
        <c:lblOffset val="100"/>
        <c:tickLblSkip val="1"/>
        <c:tickMarkSkip val="1"/>
        <c:noMultiLvlLbl val="0"/>
      </c:catAx>
      <c:valAx>
        <c:axId val="840969216"/>
        <c:scaling>
          <c:orientation val="minMax"/>
        </c:scaling>
        <c:delete val="0"/>
        <c:axPos val="l"/>
        <c:majorGridlines>
          <c:spPr>
            <a:ln w="3175">
              <a:solidFill>
                <a:srgbClr val="C0C0C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2010 EBITDA as a % of
 Peak</a:t>
                </a:r>
              </a:p>
            </c:rich>
          </c:tx>
          <c:layout>
            <c:manualLayout>
              <c:xMode val="edge"/>
              <c:yMode val="edge"/>
              <c:x val="2.9555542689516753E-2"/>
              <c:y val="0.2669256186726659"/>
            </c:manualLayout>
          </c:layout>
          <c:overlay val="0"/>
          <c:spPr>
            <a:noFill/>
            <a:ln w="25400">
              <a:noFill/>
            </a:ln>
          </c:spPr>
        </c:title>
        <c:numFmt formatCode="0%" sourceLinked="0"/>
        <c:majorTickMark val="out"/>
        <c:minorTickMark val="none"/>
        <c:tickLblPos val="nextTo"/>
        <c:spPr>
          <a:ln w="9525">
            <a:noFill/>
          </a:ln>
        </c:spPr>
        <c:txPr>
          <a:bodyPr rot="0" vert="horz"/>
          <a:lstStyle/>
          <a:p>
            <a:pPr>
              <a:defRPr sz="950" b="0" i="0" u="none" strike="noStrike" baseline="0">
                <a:solidFill>
                  <a:srgbClr val="000000"/>
                </a:solidFill>
                <a:latin typeface="Arial"/>
                <a:ea typeface="Arial"/>
                <a:cs typeface="Arial"/>
              </a:defRPr>
            </a:pPr>
            <a:endParaRPr lang="en-US"/>
          </a:p>
        </c:txPr>
        <c:crossAx val="840967680"/>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559652928416485"/>
          <c:y val="7.3170925354964209E-2"/>
          <c:w val="0.7440347071583514"/>
          <c:h val="0.80217014463220015"/>
        </c:manualLayout>
      </c:layout>
      <c:barChart>
        <c:barDir val="col"/>
        <c:grouping val="clustered"/>
        <c:varyColors val="0"/>
        <c:ser>
          <c:idx val="0"/>
          <c:order val="0"/>
          <c:spPr>
            <a:solidFill>
              <a:srgbClr val="0000FF"/>
            </a:solidFill>
            <a:ln w="25400">
              <a:noFill/>
            </a:ln>
          </c:spPr>
          <c:invertIfNegative val="0"/>
          <c:dPt>
            <c:idx val="1"/>
            <c:invertIfNegative val="0"/>
            <c:bubble3D val="0"/>
            <c:spPr>
              <a:solidFill>
                <a:srgbClr val="FF0000"/>
              </a:solidFill>
              <a:ln w="25400">
                <a:noFill/>
              </a:ln>
            </c:spPr>
          </c:dPt>
          <c:dLbls>
            <c:numFmt formatCode="0%" sourceLinked="0"/>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Tables!$EA$332:$EC$332</c:f>
              <c:strCache>
                <c:ptCount val="3"/>
                <c:pt idx="0">
                  <c:v>Station</c:v>
                </c:pt>
                <c:pt idx="1">
                  <c:v>Boyd</c:v>
                </c:pt>
                <c:pt idx="2">
                  <c:v>Penn</c:v>
                </c:pt>
              </c:strCache>
            </c:strRef>
          </c:cat>
          <c:val>
            <c:numRef>
              <c:f>Tables!$EA$333:$EC$333</c:f>
              <c:numCache>
                <c:formatCode>0.0%</c:formatCode>
                <c:ptCount val="3"/>
                <c:pt idx="0">
                  <c:v>0.46</c:v>
                </c:pt>
                <c:pt idx="1">
                  <c:v>0.49894377699539039</c:v>
                </c:pt>
                <c:pt idx="2">
                  <c:v>0.81609497187989388</c:v>
                </c:pt>
              </c:numCache>
            </c:numRef>
          </c:val>
        </c:ser>
        <c:dLbls>
          <c:showLegendKey val="0"/>
          <c:showVal val="0"/>
          <c:showCatName val="0"/>
          <c:showSerName val="0"/>
          <c:showPercent val="0"/>
          <c:showBubbleSize val="0"/>
        </c:dLbls>
        <c:gapWidth val="150"/>
        <c:axId val="840998272"/>
        <c:axId val="841012352"/>
      </c:barChart>
      <c:catAx>
        <c:axId val="840998272"/>
        <c:scaling>
          <c:orientation val="minMax"/>
        </c:scaling>
        <c:delete val="0"/>
        <c:axPos val="b"/>
        <c:numFmt formatCode="#,##0_);\(#,##0\)" sourceLinked="1"/>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41012352"/>
        <c:crosses val="autoZero"/>
        <c:auto val="1"/>
        <c:lblAlgn val="ctr"/>
        <c:lblOffset val="100"/>
        <c:tickLblSkip val="1"/>
        <c:tickMarkSkip val="1"/>
        <c:noMultiLvlLbl val="0"/>
      </c:catAx>
      <c:valAx>
        <c:axId val="841012352"/>
        <c:scaling>
          <c:orientation val="minMax"/>
          <c:max val="1"/>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2010 EBITDA as a 
% of Peak</a:t>
                </a:r>
              </a:p>
            </c:rich>
          </c:tx>
          <c:layout>
            <c:manualLayout>
              <c:xMode val="edge"/>
              <c:yMode val="edge"/>
              <c:x val="2.3903985971384815E-2"/>
              <c:y val="0.2808487150488303"/>
            </c:manualLayout>
          </c:layout>
          <c:overlay val="0"/>
          <c:spPr>
            <a:noFill/>
            <a:ln w="25400">
              <a:noFill/>
            </a:ln>
          </c:spPr>
        </c:title>
        <c:numFmt formatCode="0%" sourceLinked="0"/>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840998272"/>
        <c:crosses val="autoZero"/>
        <c:crossBetween val="between"/>
        <c:majorUnit val="0.2"/>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62098501070663"/>
          <c:y val="6.1224576952807482E-2"/>
          <c:w val="0.83940042826552463"/>
          <c:h val="0.76676493993277939"/>
        </c:manualLayout>
      </c:layout>
      <c:lineChart>
        <c:grouping val="standard"/>
        <c:varyColors val="0"/>
        <c:ser>
          <c:idx val="0"/>
          <c:order val="0"/>
          <c:tx>
            <c:strRef>
              <c:f>Tables!$FC$463</c:f>
              <c:strCache>
                <c:ptCount val="1"/>
                <c:pt idx="0">
                  <c:v>LV Locals</c:v>
                </c:pt>
              </c:strCache>
            </c:strRef>
          </c:tx>
          <c:spPr>
            <a:ln w="38100">
              <a:solidFill>
                <a:srgbClr val="000080"/>
              </a:solidFill>
              <a:prstDash val="solid"/>
            </a:ln>
          </c:spPr>
          <c:marker>
            <c:symbol val="none"/>
          </c:marker>
          <c:dLbls>
            <c:dLbl>
              <c:idx val="0"/>
              <c:layout>
                <c:manualLayout>
                  <c:x val="-5.4248272382005497E-2"/>
                  <c:y val="3.5781891698732478E-2"/>
                </c:manualLayout>
              </c:layout>
              <c:dLblPos val="r"/>
              <c:showLegendKey val="0"/>
              <c:showVal val="1"/>
              <c:showCatName val="0"/>
              <c:showSerName val="0"/>
              <c:showPercent val="0"/>
              <c:showBubbleSize val="0"/>
            </c:dLbl>
            <c:dLbl>
              <c:idx val="2"/>
              <c:layout>
                <c:manualLayout>
                  <c:x val="-6.0378623601936535E-2"/>
                  <c:y val="6.2649231287359233E-2"/>
                </c:manualLayout>
              </c:layout>
              <c:dLblPos val="r"/>
              <c:showLegendKey val="0"/>
              <c:showVal val="1"/>
              <c:showCatName val="0"/>
              <c:showSerName val="0"/>
              <c:showPercent val="0"/>
              <c:showBubbleSize val="0"/>
            </c:dLbl>
            <c:dLbl>
              <c:idx val="4"/>
              <c:layout>
                <c:manualLayout>
                  <c:x val="-6.007222277722743E-2"/>
                  <c:y val="4.6796104316620173E-2"/>
                </c:manualLayout>
              </c:layout>
              <c:dLblPos val="r"/>
              <c:showLegendKey val="0"/>
              <c:showVal val="1"/>
              <c:showCatName val="0"/>
              <c:showSerName val="0"/>
              <c:showPercent val="0"/>
              <c:showBubbleSize val="0"/>
            </c:dLbl>
            <c:dLbl>
              <c:idx val="6"/>
              <c:layout>
                <c:manualLayout>
                  <c:x val="-5.3328620285280286E-2"/>
                  <c:y val="4.987571529751509E-2"/>
                </c:manualLayout>
              </c:layout>
              <c:dLblPos val="r"/>
              <c:showLegendKey val="0"/>
              <c:showVal val="1"/>
              <c:showCatName val="0"/>
              <c:showSerName val="0"/>
              <c:showPercent val="0"/>
              <c:showBubbleSize val="0"/>
            </c:dLbl>
            <c:dLbl>
              <c:idx val="8"/>
              <c:layout>
                <c:manualLayout>
                  <c:x val="-5.9459196316510317E-2"/>
                  <c:y val="4.6809418999944494E-2"/>
                </c:manualLayout>
              </c:layout>
              <c:dLblPos val="r"/>
              <c:showLegendKey val="0"/>
              <c:showVal val="1"/>
              <c:showCatName val="0"/>
              <c:showSerName val="0"/>
              <c:showPercent val="0"/>
              <c:showBubbleSize val="0"/>
            </c:dLbl>
            <c:dLbl>
              <c:idx val="10"/>
              <c:layout>
                <c:manualLayout>
                  <c:x val="-5.0569934872583343E-2"/>
                  <c:y val="4.5521528629804422E-2"/>
                </c:manualLayout>
              </c:layout>
              <c:dLblPos val="r"/>
              <c:showLegendKey val="0"/>
              <c:showVal val="1"/>
              <c:showCatName val="0"/>
              <c:showSerName val="0"/>
              <c:showPercent val="0"/>
              <c:showBubbleSize val="0"/>
            </c:dLbl>
            <c:dLbl>
              <c:idx val="12"/>
              <c:layout>
                <c:manualLayout>
                  <c:x val="-5.8845945044494072E-2"/>
                  <c:y val="4.2240619526296909E-2"/>
                </c:manualLayout>
              </c:layout>
              <c:dLblPos val="r"/>
              <c:showLegendKey val="0"/>
              <c:showVal val="1"/>
              <c:showCatName val="0"/>
              <c:showSerName val="0"/>
              <c:showPercent val="0"/>
              <c:showBubbleSize val="0"/>
            </c:dLbl>
            <c:dLbl>
              <c:idx val="13"/>
              <c:layout>
                <c:manualLayout>
                  <c:x val="-3.1923833893203482E-2"/>
                  <c:y val="-4.0336928217905216E-2"/>
                </c:manualLayout>
              </c:layout>
              <c:dLblPos val="r"/>
              <c:showLegendKey val="0"/>
              <c:showVal val="1"/>
              <c:showCatName val="0"/>
              <c:showSerName val="0"/>
              <c:showPercent val="0"/>
              <c:showBubbleSize val="0"/>
            </c:dLbl>
            <c:spPr>
              <a:noFill/>
              <a:ln w="25400">
                <a:noFill/>
              </a:ln>
            </c:spPr>
            <c:txPr>
              <a:bodyPr/>
              <a:lstStyle/>
              <a:p>
                <a:pPr>
                  <a:defRPr sz="1000" b="1"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Tables!$FD$462:$FQ$462</c:f>
              <c:strCache>
                <c:ptCount val="14"/>
                <c:pt idx="0">
                  <c:v>3Q09</c:v>
                </c:pt>
                <c:pt idx="1">
                  <c:v>4Q09</c:v>
                </c:pt>
                <c:pt idx="2">
                  <c:v>1Q10</c:v>
                </c:pt>
                <c:pt idx="3">
                  <c:v>2Q10</c:v>
                </c:pt>
                <c:pt idx="4">
                  <c:v>3Q10</c:v>
                </c:pt>
                <c:pt idx="5">
                  <c:v>4Q10</c:v>
                </c:pt>
                <c:pt idx="6">
                  <c:v>1Q11</c:v>
                </c:pt>
                <c:pt idx="7">
                  <c:v>2Q11</c:v>
                </c:pt>
                <c:pt idx="8">
                  <c:v>3Q11</c:v>
                </c:pt>
                <c:pt idx="9">
                  <c:v>4Q11</c:v>
                </c:pt>
                <c:pt idx="10">
                  <c:v>1Q12</c:v>
                </c:pt>
                <c:pt idx="11">
                  <c:v>2Q12</c:v>
                </c:pt>
                <c:pt idx="12">
                  <c:v>3Q12</c:v>
                </c:pt>
                <c:pt idx="13">
                  <c:v>4Q12</c:v>
                </c:pt>
              </c:strCache>
            </c:strRef>
          </c:cat>
          <c:val>
            <c:numRef>
              <c:f>Tables!$FD$463:$FQ$463</c:f>
              <c:numCache>
                <c:formatCode>#,##0_);\(#,##0\)</c:formatCode>
                <c:ptCount val="14"/>
                <c:pt idx="0">
                  <c:v>150.749</c:v>
                </c:pt>
                <c:pt idx="1">
                  <c:v>154.96600000000001</c:v>
                </c:pt>
                <c:pt idx="2">
                  <c:v>156.572</c:v>
                </c:pt>
                <c:pt idx="3">
                  <c:v>153.078</c:v>
                </c:pt>
                <c:pt idx="4">
                  <c:v>145.59299999999999</c:v>
                </c:pt>
                <c:pt idx="5">
                  <c:v>152.12299999999999</c:v>
                </c:pt>
                <c:pt idx="6">
                  <c:v>154.51900000000001</c:v>
                </c:pt>
                <c:pt idx="7">
                  <c:v>151.83600000000001</c:v>
                </c:pt>
                <c:pt idx="8">
                  <c:v>145.91499999999999</c:v>
                </c:pt>
                <c:pt idx="9">
                  <c:v>152.696</c:v>
                </c:pt>
                <c:pt idx="10">
                  <c:v>154.78899999999999</c:v>
                </c:pt>
                <c:pt idx="11">
                  <c:v>148.98699999999999</c:v>
                </c:pt>
                <c:pt idx="12">
                  <c:v>138.78700000000001</c:v>
                </c:pt>
                <c:pt idx="13">
                  <c:v>148.74299999999999</c:v>
                </c:pt>
              </c:numCache>
            </c:numRef>
          </c:val>
          <c:smooth val="0"/>
        </c:ser>
        <c:dLbls>
          <c:showLegendKey val="0"/>
          <c:showVal val="0"/>
          <c:showCatName val="0"/>
          <c:showSerName val="0"/>
          <c:showPercent val="0"/>
          <c:showBubbleSize val="0"/>
        </c:dLbls>
        <c:marker val="1"/>
        <c:smooth val="0"/>
        <c:axId val="842413184"/>
        <c:axId val="842414720"/>
      </c:lineChart>
      <c:catAx>
        <c:axId val="842413184"/>
        <c:scaling>
          <c:orientation val="minMax"/>
        </c:scaling>
        <c:delete val="0"/>
        <c:axPos val="b"/>
        <c:numFmt formatCode="#,##0_);\(#,##0\)" sourceLinked="1"/>
        <c:majorTickMark val="none"/>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842414720"/>
        <c:crosses val="autoZero"/>
        <c:auto val="1"/>
        <c:lblAlgn val="ctr"/>
        <c:lblOffset val="100"/>
        <c:tickLblSkip val="1"/>
        <c:tickMarkSkip val="1"/>
        <c:noMultiLvlLbl val="0"/>
      </c:catAx>
      <c:valAx>
        <c:axId val="842414720"/>
        <c:scaling>
          <c:orientation val="minMax"/>
          <c:min val="100"/>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BYD LV Locals Revs ($MM)</a:t>
                </a:r>
              </a:p>
            </c:rich>
          </c:tx>
          <c:layout>
            <c:manualLayout>
              <c:xMode val="edge"/>
              <c:yMode val="edge"/>
              <c:x val="1.0728220000337216E-2"/>
              <c:y val="0.1052400082642731"/>
            </c:manualLayout>
          </c:layout>
          <c:overlay val="0"/>
          <c:spPr>
            <a:noFill/>
            <a:ln w="25400">
              <a:noFill/>
            </a:ln>
          </c:spPr>
        </c:title>
        <c:numFmt formatCode="\$#,##0_);\(\$#,##0\)" sourceLinked="0"/>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842413184"/>
        <c:crosses val="autoZero"/>
        <c:crossBetween val="between"/>
        <c:majorUnit val="15"/>
        <c:minorUnit val="15"/>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4430773146504667"/>
          <c:y val="0.32792850494176684"/>
          <c:w val="0.27983576581222913"/>
          <c:h val="0.3675682143303321"/>
        </c:manualLayout>
      </c:layout>
      <c:pieChart>
        <c:varyColors val="1"/>
        <c:ser>
          <c:idx val="0"/>
          <c:order val="0"/>
          <c:spPr>
            <a:solidFill>
              <a:srgbClr val="9999FF"/>
            </a:solidFill>
            <a:ln w="12700">
              <a:solidFill>
                <a:srgbClr val="000000"/>
              </a:solidFill>
              <a:prstDash val="solid"/>
            </a:ln>
          </c:spPr>
          <c:dPt>
            <c:idx val="0"/>
            <c:bubble3D val="0"/>
          </c:dPt>
          <c:dPt>
            <c:idx val="1"/>
            <c:bubble3D val="0"/>
            <c:spPr>
              <a:solidFill>
                <a:srgbClr val="993366"/>
              </a:solidFill>
              <a:ln w="12700">
                <a:solidFill>
                  <a:srgbClr val="000000"/>
                </a:solidFill>
                <a:prstDash val="solid"/>
              </a:ln>
            </c:spPr>
          </c:dPt>
          <c:dPt>
            <c:idx val="2"/>
            <c:bubble3D val="0"/>
            <c:spPr>
              <a:solidFill>
                <a:srgbClr val="32C464"/>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37B53"/>
              </a:solidFill>
              <a:ln w="12700">
                <a:solidFill>
                  <a:srgbClr val="000000"/>
                </a:solidFill>
                <a:prstDash val="solid"/>
              </a:ln>
            </c:spPr>
          </c:dPt>
          <c:dLbls>
            <c:dLbl>
              <c:idx val="1"/>
              <c:layout>
                <c:manualLayout>
                  <c:x val="-3.0648333843402015E-2"/>
                  <c:y val="-1.9780949552981868E-2"/>
                </c:manualLayout>
              </c:layout>
              <c:dLblPos val="bestFit"/>
              <c:showLegendKey val="0"/>
              <c:showVal val="0"/>
              <c:showCatName val="1"/>
              <c:showSerName val="0"/>
              <c:showPercent val="1"/>
              <c:showBubbleSize val="0"/>
            </c:dLbl>
            <c:numFmt formatCode="0%" sourceLinked="0"/>
            <c:spPr>
              <a:noFill/>
              <a:ln w="25400">
                <a:noFill/>
              </a:ln>
            </c:spPr>
            <c:txPr>
              <a:bodyPr/>
              <a:lstStyle/>
              <a:p>
                <a:pPr>
                  <a:defRPr sz="1200" b="1"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dLbls>
          <c:cat>
            <c:strRef>
              <c:f>Tables!$GF$603:$GF$608</c:f>
              <c:strCache>
                <c:ptCount val="6"/>
                <c:pt idx="0">
                  <c:v>Casino</c:v>
                </c:pt>
                <c:pt idx="1">
                  <c:v>Poker</c:v>
                </c:pt>
                <c:pt idx="2">
                  <c:v>Bingo</c:v>
                </c:pt>
                <c:pt idx="3">
                  <c:v>Lottery</c:v>
                </c:pt>
                <c:pt idx="4">
                  <c:v>Offshore Sports</c:v>
                </c:pt>
                <c:pt idx="5">
                  <c:v>Horses</c:v>
                </c:pt>
              </c:strCache>
            </c:strRef>
          </c:cat>
          <c:val>
            <c:numRef>
              <c:f>Tables!$GG$603:$GG$608</c:f>
              <c:numCache>
                <c:formatCode>#,##0_);\(#,##0\)</c:formatCode>
                <c:ptCount val="6"/>
                <c:pt idx="0" formatCode="&quot;$&quot;#,##0_);\(&quot;$&quot;#,##0\)">
                  <c:v>263</c:v>
                </c:pt>
                <c:pt idx="1">
                  <c:v>146</c:v>
                </c:pt>
                <c:pt idx="2">
                  <c:v>73</c:v>
                </c:pt>
                <c:pt idx="3">
                  <c:v>76</c:v>
                </c:pt>
                <c:pt idx="4">
                  <c:v>58</c:v>
                </c:pt>
                <c:pt idx="5">
                  <c:v>21</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264694186087487E-2"/>
          <c:y val="5.8608268258743483E-2"/>
          <c:w val="0.93986411999322106"/>
          <c:h val="0.78754860472686561"/>
        </c:manualLayout>
      </c:layout>
      <c:barChart>
        <c:barDir val="col"/>
        <c:grouping val="stacked"/>
        <c:varyColors val="0"/>
        <c:ser>
          <c:idx val="0"/>
          <c:order val="0"/>
          <c:tx>
            <c:strRef>
              <c:f>'Bull-Bear'!$H$31</c:f>
              <c:strCache>
                <c:ptCount val="1"/>
                <c:pt idx="0">
                  <c:v>Invisible</c:v>
                </c:pt>
              </c:strCache>
            </c:strRef>
          </c:tx>
          <c:spPr>
            <a:noFill/>
            <a:ln w="25400">
              <a:noFill/>
            </a:ln>
          </c:spPr>
          <c:invertIfNegative val="0"/>
          <c:cat>
            <c:strRef>
              <c:f>'Bull-Bear'!$D$32:$D$40</c:f>
              <c:strCache>
                <c:ptCount val="9"/>
                <c:pt idx="0">
                  <c:v>Bear
Case</c:v>
                </c:pt>
                <c:pt idx="1">
                  <c:v>Regional / AC downside</c:v>
                </c:pt>
                <c:pt idx="2">
                  <c:v>Online Gambling</c:v>
                </c:pt>
                <c:pt idx="3">
                  <c:v>LV Locals downside</c:v>
                </c:pt>
                <c:pt idx="4">
                  <c:v>Base
Case</c:v>
                </c:pt>
                <c:pt idx="5">
                  <c:v>Regional / AC upside</c:v>
                </c:pt>
                <c:pt idx="6">
                  <c:v>LV Locals upside</c:v>
                </c:pt>
                <c:pt idx="7">
                  <c:v>Online Gambling</c:v>
                </c:pt>
                <c:pt idx="8">
                  <c:v>Bull
Case</c:v>
                </c:pt>
              </c:strCache>
            </c:strRef>
          </c:cat>
          <c:val>
            <c:numRef>
              <c:f>'Bull-Bear'!$H$32:$H$40</c:f>
              <c:numCache>
                <c:formatCode>0.00</c:formatCode>
                <c:ptCount val="9"/>
                <c:pt idx="1">
                  <c:v>23.798274768808245</c:v>
                </c:pt>
                <c:pt idx="2">
                  <c:v>23.798274768808245</c:v>
                </c:pt>
                <c:pt idx="3">
                  <c:v>23.798274768808245</c:v>
                </c:pt>
                <c:pt idx="5">
                  <c:v>33.889030181037867</c:v>
                </c:pt>
                <c:pt idx="7">
                  <c:v>6.3298457656550466</c:v>
                </c:pt>
              </c:numCache>
            </c:numRef>
          </c:val>
        </c:ser>
        <c:ser>
          <c:idx val="1"/>
          <c:order val="1"/>
          <c:tx>
            <c:strRef>
              <c:f>'Bull-Bear'!$E$31</c:f>
              <c:strCache>
                <c:ptCount val="1"/>
                <c:pt idx="0">
                  <c:v>Cases</c:v>
                </c:pt>
              </c:strCache>
            </c:strRef>
          </c:tx>
          <c:spPr>
            <a:solidFill>
              <a:srgbClr val="808080"/>
            </a:solidFill>
            <a:ln w="25400">
              <a:noFill/>
            </a:ln>
          </c:spPr>
          <c:invertIfNegative val="0"/>
          <c:dLbls>
            <c:numFmt formatCode="\$#,##0_);\(\$#,##0\)" sourceLinked="0"/>
            <c:spPr>
              <a:noFill/>
              <a:ln w="25400">
                <a:noFill/>
              </a:ln>
            </c:spPr>
            <c:txPr>
              <a:bodyPr/>
              <a:lstStyle/>
              <a:p>
                <a:pPr>
                  <a:defRPr sz="1000" b="1" i="0" u="none" strike="noStrike" baseline="0">
                    <a:solidFill>
                      <a:srgbClr val="FFFFFF"/>
                    </a:solidFill>
                    <a:latin typeface="Arial"/>
                    <a:ea typeface="Arial"/>
                    <a:cs typeface="Arial"/>
                  </a:defRPr>
                </a:pPr>
                <a:endParaRPr lang="en-US"/>
              </a:p>
            </c:txPr>
            <c:dLblPos val="inEnd"/>
            <c:showLegendKey val="0"/>
            <c:showVal val="1"/>
            <c:showCatName val="0"/>
            <c:showSerName val="0"/>
            <c:showPercent val="0"/>
            <c:showBubbleSize val="0"/>
            <c:showLeaderLines val="0"/>
          </c:dLbls>
          <c:cat>
            <c:strRef>
              <c:f>'Bull-Bear'!$D$32:$D$40</c:f>
              <c:strCache>
                <c:ptCount val="9"/>
                <c:pt idx="0">
                  <c:v>Bear
Case</c:v>
                </c:pt>
                <c:pt idx="1">
                  <c:v>Regional / AC downside</c:v>
                </c:pt>
                <c:pt idx="2">
                  <c:v>Online Gambling</c:v>
                </c:pt>
                <c:pt idx="3">
                  <c:v>LV Locals downside</c:v>
                </c:pt>
                <c:pt idx="4">
                  <c:v>Base
Case</c:v>
                </c:pt>
                <c:pt idx="5">
                  <c:v>Regional / AC upside</c:v>
                </c:pt>
                <c:pt idx="6">
                  <c:v>LV Locals upside</c:v>
                </c:pt>
                <c:pt idx="7">
                  <c:v>Online Gambling</c:v>
                </c:pt>
                <c:pt idx="8">
                  <c:v>Bull
Case</c:v>
                </c:pt>
              </c:strCache>
            </c:strRef>
          </c:cat>
          <c:val>
            <c:numRef>
              <c:f>'Bull-Bear'!$E$32:$E$40</c:f>
              <c:numCache>
                <c:formatCode>0.00</c:formatCode>
                <c:ptCount val="9"/>
                <c:pt idx="0">
                  <c:v>23.798274768808245</c:v>
                </c:pt>
                <c:pt idx="4">
                  <c:v>33.889030181037867</c:v>
                </c:pt>
              </c:numCache>
            </c:numRef>
          </c:val>
        </c:ser>
        <c:ser>
          <c:idx val="2"/>
          <c:order val="3"/>
          <c:tx>
            <c:strRef>
              <c:f>'Bull-Bear'!$I$31</c:f>
              <c:strCache>
                <c:ptCount val="1"/>
                <c:pt idx="0">
                  <c:v>Labels</c:v>
                </c:pt>
              </c:strCache>
            </c:strRef>
          </c:tx>
          <c:spPr>
            <a:solidFill>
              <a:srgbClr val="0066CC"/>
            </a:solidFill>
            <a:ln w="25400">
              <a:noFill/>
            </a:ln>
          </c:spPr>
          <c:invertIfNegative val="0"/>
          <c:val>
            <c:numRef>
              <c:f>'Bull-Bear'!$I$32:$I$40</c:f>
              <c:numCache>
                <c:formatCode>0.00</c:formatCode>
                <c:ptCount val="9"/>
                <c:pt idx="1">
                  <c:v>0</c:v>
                </c:pt>
                <c:pt idx="2">
                  <c:v>0</c:v>
                </c:pt>
                <c:pt idx="3">
                  <c:v>1.1657723154075106</c:v>
                </c:pt>
                <c:pt idx="6">
                  <c:v>6.3298457656550466</c:v>
                </c:pt>
                <c:pt idx="7">
                  <c:v>0</c:v>
                </c:pt>
              </c:numCache>
            </c:numRef>
          </c:val>
        </c:ser>
        <c:ser>
          <c:idx val="3"/>
          <c:order val="4"/>
          <c:tx>
            <c:v>Inc Labels</c:v>
          </c:tx>
          <c:spPr>
            <a:noFill/>
            <a:ln w="25400">
              <a:noFill/>
            </a:ln>
          </c:spPr>
          <c:invertIfNegative val="0"/>
          <c:dLbls>
            <c:numFmt formatCode="\$#,##0_);\(\$#,##0\)" sourceLinked="0"/>
            <c:spPr>
              <a:noFill/>
              <a:ln w="25400">
                <a:noFill/>
              </a:ln>
            </c:spPr>
            <c:txPr>
              <a:bodyPr/>
              <a:lstStyle/>
              <a:p>
                <a:pPr>
                  <a:defRPr sz="9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val>
            <c:numRef>
              <c:f>'Bull-Bear'!$I$32:$I$40</c:f>
              <c:numCache>
                <c:formatCode>0.00</c:formatCode>
                <c:ptCount val="9"/>
                <c:pt idx="1">
                  <c:v>0</c:v>
                </c:pt>
                <c:pt idx="2">
                  <c:v>0</c:v>
                </c:pt>
                <c:pt idx="3">
                  <c:v>1.1657723154075106</c:v>
                </c:pt>
                <c:pt idx="6">
                  <c:v>6.3298457656550466</c:v>
                </c:pt>
                <c:pt idx="7">
                  <c:v>0</c:v>
                </c:pt>
              </c:numCache>
            </c:numRef>
          </c:val>
        </c:ser>
        <c:dLbls>
          <c:showLegendKey val="0"/>
          <c:showVal val="0"/>
          <c:showCatName val="0"/>
          <c:showSerName val="0"/>
          <c:showPercent val="0"/>
          <c:showBubbleSize val="0"/>
        </c:dLbls>
        <c:gapWidth val="20"/>
        <c:overlap val="100"/>
        <c:axId val="843707520"/>
        <c:axId val="843709056"/>
      </c:barChart>
      <c:lineChart>
        <c:grouping val="standard"/>
        <c:varyColors val="0"/>
        <c:ser>
          <c:idx val="6"/>
          <c:order val="2"/>
          <c:tx>
            <c:v>Price Target: </c:v>
          </c:tx>
          <c:spPr>
            <a:ln w="12700">
              <a:solidFill>
                <a:srgbClr val="969696"/>
              </a:solidFill>
              <a:prstDash val="sysDash"/>
            </a:ln>
          </c:spPr>
          <c:marker>
            <c:symbol val="none"/>
          </c:marker>
          <c:val>
            <c:numRef>
              <c:f>'Bull-Bear'!$G$32:$G$40</c:f>
              <c:numCache>
                <c:formatCode>0.00</c:formatCode>
                <c:ptCount val="9"/>
                <c:pt idx="0">
                  <c:v>33.889030181037867</c:v>
                </c:pt>
                <c:pt idx="1">
                  <c:v>0</c:v>
                </c:pt>
                <c:pt idx="2">
                  <c:v>0</c:v>
                </c:pt>
                <c:pt idx="3">
                  <c:v>0</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843707520"/>
        <c:axId val="843709056"/>
      </c:lineChart>
      <c:catAx>
        <c:axId val="843707520"/>
        <c:scaling>
          <c:orientation val="minMax"/>
        </c:scaling>
        <c:delete val="0"/>
        <c:axPos val="b"/>
        <c:numFmt formatCode="General" sourceLinked="1"/>
        <c:majorTickMark val="none"/>
        <c:minorTickMark val="none"/>
        <c:tickLblPos val="nextTo"/>
        <c:spPr>
          <a:ln w="3175">
            <a:solidFill>
              <a:srgbClr val="808080"/>
            </a:solidFill>
            <a:prstDash val="solid"/>
          </a:ln>
        </c:spPr>
        <c:txPr>
          <a:bodyPr rot="0" vert="horz"/>
          <a:lstStyle/>
          <a:p>
            <a:pPr>
              <a:defRPr sz="700" b="0" i="0" u="none" strike="noStrike" baseline="0">
                <a:solidFill>
                  <a:srgbClr val="808080"/>
                </a:solidFill>
                <a:latin typeface="Arial"/>
                <a:ea typeface="Arial"/>
                <a:cs typeface="Arial"/>
              </a:defRPr>
            </a:pPr>
            <a:endParaRPr lang="en-US"/>
          </a:p>
        </c:txPr>
        <c:crossAx val="843709056"/>
        <c:crosses val="autoZero"/>
        <c:auto val="1"/>
        <c:lblAlgn val="ctr"/>
        <c:lblOffset val="100"/>
        <c:tickLblSkip val="1"/>
        <c:tickMarkSkip val="1"/>
        <c:noMultiLvlLbl val="0"/>
      </c:catAx>
      <c:valAx>
        <c:axId val="843709056"/>
        <c:scaling>
          <c:orientation val="minMax"/>
          <c:max val="35"/>
        </c:scaling>
        <c:delete val="0"/>
        <c:axPos val="l"/>
        <c:numFmt formatCode="#,##0" sourceLinked="0"/>
        <c:majorTickMark val="none"/>
        <c:minorTickMark val="none"/>
        <c:tickLblPos val="nextTo"/>
        <c:spPr>
          <a:ln w="3175">
            <a:solidFill>
              <a:srgbClr val="808080"/>
            </a:solidFill>
            <a:prstDash val="solid"/>
          </a:ln>
        </c:spPr>
        <c:txPr>
          <a:bodyPr rot="0" vert="horz"/>
          <a:lstStyle/>
          <a:p>
            <a:pPr>
              <a:defRPr sz="1000" b="0" i="0" u="none" strike="noStrike" baseline="0">
                <a:solidFill>
                  <a:srgbClr val="808080"/>
                </a:solidFill>
                <a:latin typeface="Arial"/>
                <a:ea typeface="Arial"/>
                <a:cs typeface="Arial"/>
              </a:defRPr>
            </a:pPr>
            <a:endParaRPr lang="en-US"/>
          </a:p>
        </c:txPr>
        <c:crossAx val="843707520"/>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3.21423604753282" l="3.03229162428114" r="3.03229162428114" t="3.21423604753282" header="0.5" footer="0.5"/>
    <c:pageSetup orientation="landscape" horizontalDpi="1200" verticalDpi="1200"/>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 Id="rId4" Target="../charts/chart4.xml" Type="http://schemas.openxmlformats.org/officeDocument/2006/relationships/chart"/>
<Relationship Id="rId5" Target="../charts/chart5.xml" Type="http://schemas.openxmlformats.org/officeDocument/2006/relationships/chart"/>
<Relationship Id="rId6" Target="../charts/chart6.xml" Type="http://schemas.openxmlformats.org/officeDocument/2006/relationships/chart"/>
<Relationship Id="rId7" Target="../charts/chart7.xml" Type="http://schemas.openxmlformats.org/officeDocument/2006/relationships/chart"/>
<Relationship Id="rId8" Target="../charts/chart8.xml" Type="http://schemas.openxmlformats.org/officeDocument/2006/relationships/chart"/>
</Relationships>

</file>

<file path=xl/drawings/_rels/drawing5.xml.rels><?xml version="1.0" encoding="UTF-8" standalone="yes"?>
<Relationships xmlns="http://schemas.openxmlformats.org/package/2006/relationships">
<Relationship Id="rId1" Target="../charts/chart9.xml" Type="http://schemas.openxmlformats.org/officeDocument/2006/relationships/chart"/>
<Relationship Id="rId10" Target="../charts/chart18.xml" Type="http://schemas.openxmlformats.org/officeDocument/2006/relationships/chart"/>
<Relationship Id="rId11" Target="../charts/chart19.xml" Type="http://schemas.openxmlformats.org/officeDocument/2006/relationships/chart"/>
<Relationship Id="rId12" Target="../charts/chart20.xml" Type="http://schemas.openxmlformats.org/officeDocument/2006/relationships/chart"/>
<Relationship Id="rId13" Target="../charts/chart21.xml" Type="http://schemas.openxmlformats.org/officeDocument/2006/relationships/chart"/>
<Relationship Id="rId2" Target="../charts/chart10.xml" Type="http://schemas.openxmlformats.org/officeDocument/2006/relationships/chart"/>
<Relationship Id="rId3" Target="../charts/chart11.xml" Type="http://schemas.openxmlformats.org/officeDocument/2006/relationships/chart"/>
<Relationship Id="rId4" Target="../charts/chart12.xml" Type="http://schemas.openxmlformats.org/officeDocument/2006/relationships/chart"/>
<Relationship Id="rId5" Target="../charts/chart13.xml" Type="http://schemas.openxmlformats.org/officeDocument/2006/relationships/chart"/>
<Relationship Id="rId6" Target="../charts/chart14.xml" Type="http://schemas.openxmlformats.org/officeDocument/2006/relationships/chart"/>
<Relationship Id="rId7" Target="../charts/chart15.xml" Type="http://schemas.openxmlformats.org/officeDocument/2006/relationships/chart"/>
<Relationship Id="rId8" Target="../charts/chart16.xml" Type="http://schemas.openxmlformats.org/officeDocument/2006/relationships/chart"/>
<Relationship Id="rId9" Target="../charts/chart17.xml" Type="http://schemas.openxmlformats.org/officeDocument/2006/relationships/chart"/>
</Relationships>

</file>

<file path=xl/drawings/_rels/drawing9.xml.rels><?xml version="1.0" encoding="UTF-8" standalone="yes"?>
<Relationships xmlns="http://schemas.openxmlformats.org/package/2006/relationships">
<Relationship Id="rId1" Target="../charts/chart22.xml" Type="http://schemas.openxmlformats.org/officeDocument/2006/relationships/chart"/>
<Relationship Id="rId2" Target="../media/image4.png" Type="http://schemas.openxmlformats.org/officeDocument/2006/relationships/image"/>
</Relationships>

</file>

<file path=xl/drawings/_rels/drawing10.xml.rels><?xml version="1.0" encoding="UTF-8" standalone="yes"?>
<Relationships xmlns="http://schemas.openxmlformats.org/package/2006/relationships">
<Relationship Id="rId1" Target="../media/image5.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285750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167</xdr:row>
      <xdr:rowOff>0</xdr:rowOff>
    </xdr:from>
    <xdr:to>
      <xdr:col>6</xdr:col>
      <xdr:colOff>285750</xdr:colOff>
      <xdr:row>186</xdr:row>
      <xdr:rowOff>28575</xdr:rowOff>
    </xdr:to>
    <xdr:pic>
      <xdr:nvPicPr>
        <xdr:cNvPr id="51177473" name="Picture 1" descr="C:\Users\savinmar\AppData\Local\Temp\MercuryPriceRatingHistoryChart\BYD.N_2018_02_20_18_47_11.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184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38</xdr:col>
      <xdr:colOff>609600</xdr:colOff>
      <xdr:row>358</xdr:row>
      <xdr:rowOff>104775</xdr:rowOff>
    </xdr:from>
    <xdr:to>
      <xdr:col>46</xdr:col>
      <xdr:colOff>647700</xdr:colOff>
      <xdr:row>379</xdr:row>
      <xdr:rowOff>114300</xdr:rowOff>
    </xdr:to>
    <xdr:graphicFrame macro="">
      <xdr:nvGraphicFramePr>
        <xdr:cNvPr id="5313954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75</xdr:col>
      <xdr:colOff>638175</xdr:colOff>
      <xdr:row>459</xdr:row>
      <xdr:rowOff>9525</xdr:rowOff>
    </xdr:from>
    <xdr:to>
      <xdr:col>83</xdr:col>
      <xdr:colOff>85725</xdr:colOff>
      <xdr:row>476</xdr:row>
      <xdr:rowOff>85725</xdr:rowOff>
    </xdr:to>
    <xdr:graphicFrame macro="">
      <xdr:nvGraphicFramePr>
        <xdr:cNvPr id="53139542"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93</xdr:col>
      <xdr:colOff>400050</xdr:colOff>
      <xdr:row>507</xdr:row>
      <xdr:rowOff>76200</xdr:rowOff>
    </xdr:from>
    <xdr:to>
      <xdr:col>101</xdr:col>
      <xdr:colOff>438150</xdr:colOff>
      <xdr:row>528</xdr:row>
      <xdr:rowOff>76200</xdr:rowOff>
    </xdr:to>
    <xdr:graphicFrame macro="">
      <xdr:nvGraphicFramePr>
        <xdr:cNvPr id="5313954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151</xdr:col>
      <xdr:colOff>537882</xdr:colOff>
      <xdr:row>593</xdr:row>
      <xdr:rowOff>96369</xdr:rowOff>
    </xdr:from>
    <xdr:to>
      <xdr:col>159</xdr:col>
      <xdr:colOff>22411</xdr:colOff>
      <xdr:row>613</xdr:row>
      <xdr:rowOff>38099</xdr:rowOff>
    </xdr:to>
    <xdr:graphicFrame macro="">
      <xdr:nvGraphicFramePr>
        <xdr:cNvPr id="2" name="Chart 4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165</xdr:col>
      <xdr:colOff>493060</xdr:colOff>
      <xdr:row>614</xdr:row>
      <xdr:rowOff>107577</xdr:rowOff>
    </xdr:from>
    <xdr:to>
      <xdr:col>172</xdr:col>
      <xdr:colOff>280148</xdr:colOff>
      <xdr:row>635</xdr:row>
      <xdr:rowOff>94130</xdr:rowOff>
    </xdr:to>
    <xdr:graphicFrame macro="">
      <xdr:nvGraphicFramePr>
        <xdr:cNvPr id="3" name="Chart 4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181</xdr:col>
      <xdr:colOff>123264</xdr:colOff>
      <xdr:row>640</xdr:row>
      <xdr:rowOff>57149</xdr:rowOff>
    </xdr:from>
    <xdr:to>
      <xdr:col>187</xdr:col>
      <xdr:colOff>593911</xdr:colOff>
      <xdr:row>658</xdr:row>
      <xdr:rowOff>88526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190</xdr:col>
      <xdr:colOff>549088</xdr:colOff>
      <xdr:row>662</xdr:row>
      <xdr:rowOff>73958</xdr:rowOff>
    </xdr:from>
    <xdr:to>
      <xdr:col>197</xdr:col>
      <xdr:colOff>336177</xdr:colOff>
      <xdr:row>679</xdr:row>
      <xdr:rowOff>150158</xdr:rowOff>
    </xdr:to>
    <xdr:graphicFrame macro="">
      <xdr:nvGraphicFramePr>
        <xdr:cNvPr id="4" name="Chart 34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232</xdr:col>
      <xdr:colOff>371474</xdr:colOff>
      <xdr:row>733</xdr:row>
      <xdr:rowOff>57150</xdr:rowOff>
    </xdr:from>
    <xdr:to>
      <xdr:col>241</xdr:col>
      <xdr:colOff>57149</xdr:colOff>
      <xdr:row>753</xdr:row>
      <xdr:rowOff>34924</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0.35068</cdr:x>
      <cdr:y>0.05473</cdr:y>
    </cdr:from>
    <cdr:to>
      <cdr:x>0.35294</cdr:x>
      <cdr:y>0.72876</cdr:y>
    </cdr:to>
    <cdr:cxnSp macro="">
      <cdr:nvCxnSpPr>
        <cdr:cNvPr id="3" name="Straight Connector 2"/>
        <cdr:cNvCxnSpPr/>
      </cdr:nvCxnSpPr>
      <cdr:spPr bwMode="auto">
        <a:xfrm xmlns:a="http://schemas.openxmlformats.org/drawingml/2006/main">
          <a:off x="1736912" y="150135"/>
          <a:ext cx="11206" cy="1848996"/>
        </a:xfrm>
        <a:prstGeom xmlns:a="http://schemas.openxmlformats.org/drawingml/2006/main" prst="line">
          <a:avLst/>
        </a:prstGeom>
        <a:solidFill xmlns:a="http://schemas.openxmlformats.org/drawingml/2006/main">
          <a:srgbClr val="FFFFFF"/>
        </a:solidFill>
        <a:ln xmlns:a="http://schemas.openxmlformats.org/drawingml/2006/main" w="12700" cap="flat" cmpd="sng" algn="ctr">
          <a:solidFill>
            <a:srgbClr val="00B050"/>
          </a:solidFill>
          <a:prstDash val="sysDash"/>
          <a:round/>
          <a:headEnd type="none" w="med" len="med"/>
          <a:tailEnd type="none" w="med" len="med"/>
        </a:ln>
        <a:effectLst xmlns:a="http://schemas.openxmlformats.org/drawingml/2006/main"/>
      </cdr:spPr>
    </cdr:cxnSp>
  </cdr:relSizeAnchor>
  <cdr:relSizeAnchor xmlns:cdr="http://schemas.openxmlformats.org/drawingml/2006/chartDrawing">
    <cdr:from>
      <cdr:x>0.8089</cdr:x>
      <cdr:y>0.05284</cdr:y>
    </cdr:from>
    <cdr:to>
      <cdr:x>0.80995</cdr:x>
      <cdr:y>0.7165</cdr:y>
    </cdr:to>
    <cdr:cxnSp macro="">
      <cdr:nvCxnSpPr>
        <cdr:cNvPr id="4" name="Straight Connector 3"/>
        <cdr:cNvCxnSpPr/>
      </cdr:nvCxnSpPr>
      <cdr:spPr bwMode="auto">
        <a:xfrm xmlns:a="http://schemas.openxmlformats.org/drawingml/2006/main">
          <a:off x="4006458" y="144937"/>
          <a:ext cx="5249" cy="1820576"/>
        </a:xfrm>
        <a:prstGeom xmlns:a="http://schemas.openxmlformats.org/drawingml/2006/main" prst="line">
          <a:avLst/>
        </a:prstGeom>
        <a:solidFill xmlns:a="http://schemas.openxmlformats.org/drawingml/2006/main">
          <a:srgbClr val="FFFFFF"/>
        </a:solidFill>
        <a:ln xmlns:a="http://schemas.openxmlformats.org/drawingml/2006/main" w="12700" cap="flat" cmpd="sng" algn="ctr">
          <a:solidFill>
            <a:srgbClr val="00B050"/>
          </a:solidFill>
          <a:prstDash val="sysDash"/>
          <a:round/>
          <a:headEnd type="none" w="med" len="med"/>
          <a:tailEnd type="none" w="med" len="med"/>
        </a:ln>
        <a:effectLst xmlns:a="http://schemas.openxmlformats.org/drawingml/2006/main"/>
      </cdr:spPr>
    </cdr:cxnSp>
  </cdr:relSizeAnchor>
  <cdr:relSizeAnchor xmlns:cdr="http://schemas.openxmlformats.org/drawingml/2006/chartDrawing">
    <cdr:from>
      <cdr:x>0.58039</cdr:x>
      <cdr:y>0.05283</cdr:y>
    </cdr:from>
    <cdr:to>
      <cdr:x>0.58371</cdr:x>
      <cdr:y>0.72467</cdr:y>
    </cdr:to>
    <cdr:cxnSp macro="">
      <cdr:nvCxnSpPr>
        <cdr:cNvPr id="5" name="Straight Connector 4"/>
        <cdr:cNvCxnSpPr/>
      </cdr:nvCxnSpPr>
      <cdr:spPr bwMode="auto">
        <a:xfrm xmlns:a="http://schemas.openxmlformats.org/drawingml/2006/main">
          <a:off x="2874656" y="144910"/>
          <a:ext cx="16462" cy="1843015"/>
        </a:xfrm>
        <a:prstGeom xmlns:a="http://schemas.openxmlformats.org/drawingml/2006/main" prst="line">
          <a:avLst/>
        </a:prstGeom>
        <a:solidFill xmlns:a="http://schemas.openxmlformats.org/drawingml/2006/main">
          <a:srgbClr val="FFFFFF"/>
        </a:solidFill>
        <a:ln xmlns:a="http://schemas.openxmlformats.org/drawingml/2006/main" w="12700" cap="flat" cmpd="sng" algn="ctr">
          <a:solidFill>
            <a:srgbClr val="00B050"/>
          </a:solidFill>
          <a:prstDash val="sysDash"/>
          <a:round/>
          <a:headEnd type="none" w="med" len="med"/>
          <a:tailEnd type="none" w="med" len="med"/>
        </a:ln>
        <a:effectLst xmlns:a="http://schemas.openxmlformats.org/drawingml/2006/main"/>
      </cdr:spPr>
    </cdr:cxnSp>
  </cdr:relSizeAnchor>
</c:userShapes>
</file>

<file path=xl/drawings/drawing4.xml><?xml version="1.0" encoding="utf-8"?>
<c:userShapes xmlns:c="http://schemas.openxmlformats.org/drawingml/2006/chart">
  <cdr:relSizeAnchor xmlns:cdr="http://schemas.openxmlformats.org/drawingml/2006/chartDrawing">
    <cdr:from>
      <cdr:x>0.03089</cdr:x>
      <cdr:y>0.77887</cdr:y>
    </cdr:from>
    <cdr:to>
      <cdr:x>0.26667</cdr:x>
      <cdr:y>0.98026</cdr:y>
    </cdr:to>
    <cdr:sp macro="" textlink="">
      <cdr:nvSpPr>
        <cdr:cNvPr id="2" name="TextBox 1"/>
        <cdr:cNvSpPr txBox="1"/>
      </cdr:nvSpPr>
      <cdr:spPr>
        <a:xfrm xmlns:a="http://schemas.openxmlformats.org/drawingml/2006/main">
          <a:off x="180976" y="2505075"/>
          <a:ext cx="1381125" cy="647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a:t>BYD 2017e</a:t>
          </a:r>
        </a:p>
        <a:p xmlns:a="http://schemas.openxmlformats.org/drawingml/2006/main">
          <a:pPr algn="ctr"/>
          <a:r>
            <a:rPr lang="en-US" sz="1100"/>
            <a:t>Net Revenue</a:t>
          </a:r>
        </a:p>
      </cdr:txBody>
    </cdr:sp>
  </cdr:relSizeAnchor>
  <cdr:relSizeAnchor xmlns:cdr="http://schemas.openxmlformats.org/drawingml/2006/chartDrawing">
    <cdr:from>
      <cdr:x>0.28455</cdr:x>
      <cdr:y>0.77887</cdr:y>
    </cdr:from>
    <cdr:to>
      <cdr:x>0.52033</cdr:x>
      <cdr:y>0.98026</cdr:y>
    </cdr:to>
    <cdr:sp macro="" textlink="">
      <cdr:nvSpPr>
        <cdr:cNvPr id="3" name="TextBox 2"/>
        <cdr:cNvSpPr txBox="1"/>
      </cdr:nvSpPr>
      <cdr:spPr>
        <a:xfrm xmlns:a="http://schemas.openxmlformats.org/drawingml/2006/main">
          <a:off x="1666876" y="2505075"/>
          <a:ext cx="1381125" cy="647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a:t>BYD 2017e</a:t>
          </a:r>
        </a:p>
        <a:p xmlns:a="http://schemas.openxmlformats.org/drawingml/2006/main">
          <a:pPr algn="ctr"/>
          <a:r>
            <a:rPr lang="en-US" sz="1100"/>
            <a:t>EBITDA</a:t>
          </a:r>
        </a:p>
      </cdr:txBody>
    </cdr:sp>
  </cdr:relSizeAnchor>
  <cdr:relSizeAnchor xmlns:cdr="http://schemas.openxmlformats.org/drawingml/2006/chartDrawing">
    <cdr:from>
      <cdr:x>0.53659</cdr:x>
      <cdr:y>0.77887</cdr:y>
    </cdr:from>
    <cdr:to>
      <cdr:x>0.77236</cdr:x>
      <cdr:y>0.98026</cdr:y>
    </cdr:to>
    <cdr:sp macro="" textlink="">
      <cdr:nvSpPr>
        <cdr:cNvPr id="4" name="TextBox 3"/>
        <cdr:cNvSpPr txBox="1"/>
      </cdr:nvSpPr>
      <cdr:spPr>
        <a:xfrm xmlns:a="http://schemas.openxmlformats.org/drawingml/2006/main">
          <a:off x="3143251" y="2505075"/>
          <a:ext cx="1381125" cy="647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a:t>PENN* 2017e</a:t>
          </a:r>
        </a:p>
        <a:p xmlns:a="http://schemas.openxmlformats.org/drawingml/2006/main">
          <a:pPr algn="ctr"/>
          <a:r>
            <a:rPr lang="en-US" sz="1100"/>
            <a:t>Net</a:t>
          </a:r>
          <a:r>
            <a:rPr lang="en-US" sz="1100" baseline="0"/>
            <a:t> Revenue</a:t>
          </a:r>
          <a:endParaRPr lang="en-US" sz="1100"/>
        </a:p>
      </cdr:txBody>
    </cdr:sp>
  </cdr:relSizeAnchor>
  <cdr:relSizeAnchor xmlns:cdr="http://schemas.openxmlformats.org/drawingml/2006/chartDrawing">
    <cdr:from>
      <cdr:x>0.81951</cdr:x>
      <cdr:y>0.77887</cdr:y>
    </cdr:from>
    <cdr:to>
      <cdr:x>1</cdr:x>
      <cdr:y>0.98026</cdr:y>
    </cdr:to>
    <cdr:sp macro="" textlink="">
      <cdr:nvSpPr>
        <cdr:cNvPr id="5" name="TextBox 4"/>
        <cdr:cNvSpPr txBox="1"/>
      </cdr:nvSpPr>
      <cdr:spPr>
        <a:xfrm xmlns:a="http://schemas.openxmlformats.org/drawingml/2006/main">
          <a:off x="4800601" y="2505075"/>
          <a:ext cx="1057274" cy="647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a:t>PENN* 2017e</a:t>
          </a:r>
        </a:p>
        <a:p xmlns:a="http://schemas.openxmlformats.org/drawingml/2006/main">
          <a:pPr algn="ctr"/>
          <a:r>
            <a:rPr lang="en-US" sz="1100"/>
            <a:t>EBITDA</a:t>
          </a:r>
        </a:p>
      </cdr:txBody>
    </cdr:sp>
  </cdr:relSizeAnchor>
  <cdr:relSizeAnchor xmlns:cdr="http://schemas.openxmlformats.org/drawingml/2006/chartDrawing">
    <cdr:from>
      <cdr:x>0.12683</cdr:x>
      <cdr:y>0.15992</cdr:y>
    </cdr:from>
    <cdr:to>
      <cdr:x>0.21789</cdr:x>
      <cdr:y>0.23692</cdr:y>
    </cdr:to>
    <cdr:sp macro="" textlink="">
      <cdr:nvSpPr>
        <cdr:cNvPr id="6" name="TextBox 5"/>
        <cdr:cNvSpPr txBox="1"/>
      </cdr:nvSpPr>
      <cdr:spPr>
        <a:xfrm xmlns:a="http://schemas.openxmlformats.org/drawingml/2006/main">
          <a:off x="742951" y="514350"/>
          <a:ext cx="533400" cy="2476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0.08293</cdr:x>
      <cdr:y>0.17177</cdr:y>
    </cdr:from>
    <cdr:to>
      <cdr:x>0.22114</cdr:x>
      <cdr:y>0.308</cdr:y>
    </cdr:to>
    <cdr:sp macro="" textlink="">
      <cdr:nvSpPr>
        <cdr:cNvPr id="7" name="TextBox 6"/>
        <cdr:cNvSpPr txBox="1"/>
      </cdr:nvSpPr>
      <cdr:spPr>
        <a:xfrm xmlns:a="http://schemas.openxmlformats.org/drawingml/2006/main">
          <a:off x="485776" y="552450"/>
          <a:ext cx="809625" cy="438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b="1">
              <a:solidFill>
                <a:srgbClr val="00B050"/>
              </a:solidFill>
            </a:rPr>
            <a:t>0%</a:t>
          </a:r>
        </a:p>
      </cdr:txBody>
    </cdr:sp>
  </cdr:relSizeAnchor>
  <cdr:relSizeAnchor xmlns:cdr="http://schemas.openxmlformats.org/drawingml/2006/chartDrawing">
    <cdr:from>
      <cdr:x>0.54796</cdr:x>
      <cdr:y>0.00592</cdr:y>
    </cdr:from>
    <cdr:to>
      <cdr:x>0.78537</cdr:x>
      <cdr:y>0.15992</cdr:y>
    </cdr:to>
    <cdr:sp macro="" textlink="">
      <cdr:nvSpPr>
        <cdr:cNvPr id="8" name="TextBox 7"/>
        <cdr:cNvSpPr txBox="1"/>
      </cdr:nvSpPr>
      <cdr:spPr>
        <a:xfrm xmlns:a="http://schemas.openxmlformats.org/drawingml/2006/main">
          <a:off x="3209881" y="19050"/>
          <a:ext cx="1390695" cy="49529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b="1">
              <a:solidFill>
                <a:srgbClr val="00B050"/>
              </a:solidFill>
            </a:rPr>
            <a:t>+2%, 0.5% ex Charles</a:t>
          </a:r>
          <a:r>
            <a:rPr lang="en-US" sz="1100" b="1" baseline="0">
              <a:solidFill>
                <a:srgbClr val="00B050"/>
              </a:solidFill>
            </a:rPr>
            <a:t> Town</a:t>
          </a:r>
          <a:endParaRPr lang="en-US" sz="1100" b="1">
            <a:solidFill>
              <a:srgbClr val="00B050"/>
            </a:solidFill>
          </a:endParaRPr>
        </a:p>
      </cdr:txBody>
    </cdr:sp>
  </cdr:relSizeAnchor>
  <cdr:relSizeAnchor xmlns:cdr="http://schemas.openxmlformats.org/drawingml/2006/chartDrawing">
    <cdr:from>
      <cdr:x>0.82114</cdr:x>
      <cdr:y>0.3613</cdr:y>
    </cdr:from>
    <cdr:to>
      <cdr:x>1</cdr:x>
      <cdr:y>0.55973</cdr:y>
    </cdr:to>
    <cdr:sp macro="" textlink="">
      <cdr:nvSpPr>
        <cdr:cNvPr id="9" name="TextBox 8"/>
        <cdr:cNvSpPr txBox="1"/>
      </cdr:nvSpPr>
      <cdr:spPr>
        <a:xfrm xmlns:a="http://schemas.openxmlformats.org/drawingml/2006/main">
          <a:off x="4810126" y="1162050"/>
          <a:ext cx="1047749" cy="63819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b="1">
              <a:solidFill>
                <a:srgbClr val="00B050"/>
              </a:solidFill>
            </a:rPr>
            <a:t>+2%, </a:t>
          </a:r>
          <a:r>
            <a:rPr lang="en-US" sz="1100" b="1">
              <a:solidFill>
                <a:srgbClr val="FF0000"/>
              </a:solidFill>
            </a:rPr>
            <a:t>(0.5)%</a:t>
          </a:r>
          <a:r>
            <a:rPr lang="en-US" sz="1100" b="1" baseline="0">
              <a:solidFill>
                <a:srgbClr val="FF0000"/>
              </a:solidFill>
            </a:rPr>
            <a:t> ex Charles Town</a:t>
          </a:r>
          <a:endParaRPr lang="en-US" sz="1100" b="1">
            <a:solidFill>
              <a:srgbClr val="FF0000"/>
            </a:solidFill>
          </a:endParaRPr>
        </a:p>
      </cdr:txBody>
    </cdr:sp>
  </cdr:relSizeAnchor>
  <cdr:relSizeAnchor xmlns:cdr="http://schemas.openxmlformats.org/drawingml/2006/chartDrawing">
    <cdr:from>
      <cdr:x>0.33984</cdr:x>
      <cdr:y>0.51234</cdr:y>
    </cdr:from>
    <cdr:to>
      <cdr:x>0.47805</cdr:x>
      <cdr:y>0.64857</cdr:y>
    </cdr:to>
    <cdr:sp macro="" textlink="">
      <cdr:nvSpPr>
        <cdr:cNvPr id="10" name="TextBox 9"/>
        <cdr:cNvSpPr txBox="1"/>
      </cdr:nvSpPr>
      <cdr:spPr>
        <a:xfrm xmlns:a="http://schemas.openxmlformats.org/drawingml/2006/main">
          <a:off x="1990726" y="1647825"/>
          <a:ext cx="809625" cy="438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b="1">
              <a:solidFill>
                <a:srgbClr val="FF0000"/>
              </a:solidFill>
            </a:rPr>
            <a:t>(2.5)%</a:t>
          </a:r>
        </a:p>
      </cdr:txBody>
    </cdr:sp>
  </cdr:relSizeAnchor>
  <cdr:relSizeAnchor xmlns:cdr="http://schemas.openxmlformats.org/drawingml/2006/chartDrawing">
    <cdr:from>
      <cdr:x>0.5252</cdr:x>
      <cdr:y>0.02665</cdr:y>
    </cdr:from>
    <cdr:to>
      <cdr:x>0.5252</cdr:x>
      <cdr:y>0.77591</cdr:y>
    </cdr:to>
    <cdr:cxnSp macro="">
      <cdr:nvCxnSpPr>
        <cdr:cNvPr id="12" name="Straight Connector 11"/>
        <cdr:cNvCxnSpPr/>
      </cdr:nvCxnSpPr>
      <cdr:spPr bwMode="auto">
        <a:xfrm xmlns:a="http://schemas.openxmlformats.org/drawingml/2006/main" flipV="1">
          <a:off x="3076576" y="85725"/>
          <a:ext cx="0" cy="2409826"/>
        </a:xfrm>
        <a:prstGeom xmlns:a="http://schemas.openxmlformats.org/drawingml/2006/main" prst="line">
          <a:avLst/>
        </a:prstGeom>
        <a:solidFill xmlns:a="http://schemas.openxmlformats.org/drawingml/2006/main">
          <a:srgbClr val="FFFFFF"/>
        </a:solidFill>
        <a:ln xmlns:a="http://schemas.openxmlformats.org/drawingml/2006/main" w="9525" cap="flat" cmpd="sng" algn="ctr">
          <a:solidFill>
            <a:srgbClr val="000000"/>
          </a:solidFill>
          <a:prstDash val="dash"/>
          <a:round/>
          <a:headEnd type="none" w="med" len="med"/>
          <a:tailEnd type="none" w="med" len="med"/>
        </a:ln>
        <a:effectLst xmlns:a="http://schemas.openxmlformats.org/drawingml/2006/main"/>
      </cdr:spPr>
    </cdr:cxnSp>
  </cdr:relSizeAnchor>
</c:userShapes>
</file>

<file path=xl/drawings/drawing5.xml><?xml version="1.0" encoding="utf-8"?>
<xdr:wsDr xmlns:xdr="http://schemas.openxmlformats.org/drawingml/2006/spreadsheetDrawing" xmlns:a="http://schemas.openxmlformats.org/drawingml/2006/main">
  <xdr:twoCellAnchor>
    <xdr:from>
      <xdr:col>15</xdr:col>
      <xdr:colOff>990600</xdr:colOff>
      <xdr:row>52</xdr:row>
      <xdr:rowOff>123825</xdr:rowOff>
    </xdr:from>
    <xdr:to>
      <xdr:col>21</xdr:col>
      <xdr:colOff>561975</xdr:colOff>
      <xdr:row>72</xdr:row>
      <xdr:rowOff>19050</xdr:rowOff>
    </xdr:to>
    <xdr:graphicFrame macro="">
      <xdr:nvGraphicFramePr>
        <xdr:cNvPr id="52668265" name="Chart 1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68</xdr:row>
      <xdr:rowOff>38100</xdr:rowOff>
    </xdr:from>
    <xdr:to>
      <xdr:col>38</xdr:col>
      <xdr:colOff>0</xdr:colOff>
      <xdr:row>88</xdr:row>
      <xdr:rowOff>95250</xdr:rowOff>
    </xdr:to>
    <xdr:graphicFrame macro="">
      <xdr:nvGraphicFramePr>
        <xdr:cNvPr id="52668266" name="Chart 4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0</xdr:colOff>
      <xdr:row>74</xdr:row>
      <xdr:rowOff>57150</xdr:rowOff>
    </xdr:from>
    <xdr:to>
      <xdr:col>46</xdr:col>
      <xdr:colOff>647700</xdr:colOff>
      <xdr:row>93</xdr:row>
      <xdr:rowOff>114300</xdr:rowOff>
    </xdr:to>
    <xdr:graphicFrame macro="">
      <xdr:nvGraphicFramePr>
        <xdr:cNvPr id="52668267" name="Chart 5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0</xdr:colOff>
      <xdr:row>104</xdr:row>
      <xdr:rowOff>38100</xdr:rowOff>
    </xdr:from>
    <xdr:to>
      <xdr:col>55</xdr:col>
      <xdr:colOff>428625</xdr:colOff>
      <xdr:row>123</xdr:row>
      <xdr:rowOff>95250</xdr:rowOff>
    </xdr:to>
    <xdr:graphicFrame macro="">
      <xdr:nvGraphicFramePr>
        <xdr:cNvPr id="52668268"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70</xdr:col>
      <xdr:colOff>152400</xdr:colOff>
      <xdr:row>220</xdr:row>
      <xdr:rowOff>123825</xdr:rowOff>
    </xdr:from>
    <xdr:to>
      <xdr:col>81</xdr:col>
      <xdr:colOff>95250</xdr:colOff>
      <xdr:row>243</xdr:row>
      <xdr:rowOff>95250</xdr:rowOff>
    </xdr:to>
    <xdr:graphicFrame macro="">
      <xdr:nvGraphicFramePr>
        <xdr:cNvPr id="52668269"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70</xdr:col>
      <xdr:colOff>57150</xdr:colOff>
      <xdr:row>265</xdr:row>
      <xdr:rowOff>142875</xdr:rowOff>
    </xdr:from>
    <xdr:to>
      <xdr:col>81</xdr:col>
      <xdr:colOff>295275</xdr:colOff>
      <xdr:row>288</xdr:row>
      <xdr:rowOff>123825</xdr:rowOff>
    </xdr:to>
    <xdr:graphicFrame macro="">
      <xdr:nvGraphicFramePr>
        <xdr:cNvPr id="52668270"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57</xdr:col>
      <xdr:colOff>38100</xdr:colOff>
      <xdr:row>176</xdr:row>
      <xdr:rowOff>104775</xdr:rowOff>
    </xdr:from>
    <xdr:to>
      <xdr:col>63</xdr:col>
      <xdr:colOff>190500</xdr:colOff>
      <xdr:row>197</xdr:row>
      <xdr:rowOff>0</xdr:rowOff>
    </xdr:to>
    <xdr:graphicFrame macro="">
      <xdr:nvGraphicFramePr>
        <xdr:cNvPr id="52668271"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91</xdr:col>
      <xdr:colOff>19050</xdr:colOff>
      <xdr:row>304</xdr:row>
      <xdr:rowOff>38100</xdr:rowOff>
    </xdr:from>
    <xdr:to>
      <xdr:col>100</xdr:col>
      <xdr:colOff>476250</xdr:colOff>
      <xdr:row>325</xdr:row>
      <xdr:rowOff>152400</xdr:rowOff>
    </xdr:to>
    <xdr:graphicFrame macro="">
      <xdr:nvGraphicFramePr>
        <xdr:cNvPr id="52668272"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120</xdr:col>
      <xdr:colOff>180975</xdr:colOff>
      <xdr:row>338</xdr:row>
      <xdr:rowOff>104775</xdr:rowOff>
    </xdr:from>
    <xdr:to>
      <xdr:col>128</xdr:col>
      <xdr:colOff>104775</xdr:colOff>
      <xdr:row>360</xdr:row>
      <xdr:rowOff>133350</xdr:rowOff>
    </xdr:to>
    <xdr:graphicFrame macro="">
      <xdr:nvGraphicFramePr>
        <xdr:cNvPr id="52668273"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120</xdr:col>
      <xdr:colOff>533400</xdr:colOff>
      <xdr:row>362</xdr:row>
      <xdr:rowOff>142875</xdr:rowOff>
    </xdr:from>
    <xdr:to>
      <xdr:col>128</xdr:col>
      <xdr:colOff>228600</xdr:colOff>
      <xdr:row>384</xdr:row>
      <xdr:rowOff>9525</xdr:rowOff>
    </xdr:to>
    <xdr:graphicFrame macro="">
      <xdr:nvGraphicFramePr>
        <xdr:cNvPr id="52668274"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120</xdr:col>
      <xdr:colOff>419100</xdr:colOff>
      <xdr:row>386</xdr:row>
      <xdr:rowOff>104775</xdr:rowOff>
    </xdr:from>
    <xdr:to>
      <xdr:col>127</xdr:col>
      <xdr:colOff>9525</xdr:colOff>
      <xdr:row>404</xdr:row>
      <xdr:rowOff>19050</xdr:rowOff>
    </xdr:to>
    <xdr:graphicFrame macro="">
      <xdr:nvGraphicFramePr>
        <xdr:cNvPr id="52668275"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159</xdr:col>
      <xdr:colOff>38100</xdr:colOff>
      <xdr:row>464</xdr:row>
      <xdr:rowOff>133350</xdr:rowOff>
    </xdr:from>
    <xdr:to>
      <xdr:col>165</xdr:col>
      <xdr:colOff>371475</xdr:colOff>
      <xdr:row>481</xdr:row>
      <xdr:rowOff>0</xdr:rowOff>
    </xdr:to>
    <xdr:graphicFrame macro="">
      <xdr:nvGraphicFramePr>
        <xdr:cNvPr id="52668276"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187</xdr:col>
      <xdr:colOff>0</xdr:colOff>
      <xdr:row>609</xdr:row>
      <xdr:rowOff>0</xdr:rowOff>
    </xdr:from>
    <xdr:to>
      <xdr:col>197</xdr:col>
      <xdr:colOff>85725</xdr:colOff>
      <xdr:row>635</xdr:row>
      <xdr:rowOff>85725</xdr:rowOff>
    </xdr:to>
    <xdr:graphicFrame macro="">
      <xdr:nvGraphicFramePr>
        <xdr:cNvPr id="52668277"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523875</xdr:colOff>
      <xdr:row>2</xdr:row>
      <xdr:rowOff>133350</xdr:rowOff>
    </xdr:from>
    <xdr:to>
      <xdr:col>1</xdr:col>
      <xdr:colOff>1571625</xdr:colOff>
      <xdr:row>8</xdr:row>
      <xdr:rowOff>47625</xdr:rowOff>
    </xdr:to>
    <xdr:sp macro="" textlink="">
      <xdr:nvSpPr>
        <xdr:cNvPr id="143394" name="Text Box 1"/>
        <xdr:cNvSpPr txBox="1">
          <a:spLocks noChangeArrowheads="1"/>
        </xdr:cNvSpPr>
      </xdr:nvSpPr>
      <xdr:spPr bwMode="auto">
        <a:xfrm>
          <a:off x="723900" y="457200"/>
          <a:ext cx="1047750" cy="885825"/>
        </a:xfrm>
        <a:prstGeom prst="rect">
          <a:avLst/>
        </a:prstGeom>
        <a:solidFill>
          <a:srgbClr val="FFFFFF"/>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Averages</a:t>
          </a:r>
        </a:p>
        <a:p>
          <a:pPr algn="ctr" rtl="0">
            <a:defRPr sz="1000"/>
          </a:pPr>
          <a:r>
            <a:rPr lang="en-US" sz="800" b="1" i="0" u="none" strike="noStrike" baseline="0">
              <a:solidFill>
                <a:srgbClr val="000000"/>
              </a:solidFill>
              <a:latin typeface="Tahoma"/>
              <a:ea typeface="Tahoma"/>
              <a:cs typeface="Tahoma"/>
            </a:rPr>
            <a:t>10-yr:  12.0x</a:t>
          </a:r>
        </a:p>
        <a:p>
          <a:pPr algn="ctr" rtl="0">
            <a:defRPr sz="1000"/>
          </a:pPr>
          <a:r>
            <a:rPr lang="en-US" sz="800" b="1" i="0" u="none" strike="noStrike" baseline="0">
              <a:solidFill>
                <a:srgbClr val="000000"/>
              </a:solidFill>
              <a:latin typeface="Tahoma"/>
              <a:ea typeface="Tahoma"/>
              <a:cs typeface="Tahoma"/>
            </a:rPr>
            <a:t>5-yr:    16.2x</a:t>
          </a:r>
        </a:p>
        <a:p>
          <a:pPr algn="ctr" rtl="0">
            <a:defRPr sz="1000"/>
          </a:pPr>
          <a:r>
            <a:rPr lang="en-US" sz="800" b="1" i="0" u="none" strike="noStrike" baseline="0">
              <a:solidFill>
                <a:srgbClr val="000000"/>
              </a:solidFill>
              <a:latin typeface="Tahoma"/>
              <a:ea typeface="Tahoma"/>
              <a:cs typeface="Tahoma"/>
            </a:rPr>
            <a:t>3-yr:    15.3x</a:t>
          </a:r>
        </a:p>
        <a:p>
          <a:pPr algn="ctr" rtl="0">
            <a:defRPr sz="1000"/>
          </a:pPr>
          <a:r>
            <a:rPr lang="en-US" sz="800" b="1" i="0" u="none" strike="noStrike" baseline="0">
              <a:solidFill>
                <a:srgbClr val="000000"/>
              </a:solidFill>
              <a:latin typeface="Tahoma"/>
              <a:ea typeface="Tahoma"/>
              <a:cs typeface="Tahoma"/>
            </a:rPr>
            <a:t>2-yr:    13.0x</a:t>
          </a:r>
        </a:p>
      </xdr:txBody>
    </xdr:sp>
    <xdr:clientData fLocksWithSheet="0"/>
  </xdr:twoCellAnchor>
  <xdr:twoCellAnchor>
    <xdr:from>
      <xdr:col>218</xdr:col>
      <xdr:colOff>38100</xdr:colOff>
      <xdr:row>831</xdr:row>
      <xdr:rowOff>0</xdr:rowOff>
    </xdr:from>
    <xdr:to>
      <xdr:col>223</xdr:col>
      <xdr:colOff>19050</xdr:colOff>
      <xdr:row>832</xdr:row>
      <xdr:rowOff>19050</xdr:rowOff>
    </xdr:to>
    <xdr:sp macro="" textlink="">
      <xdr:nvSpPr>
        <xdr:cNvPr id="52668279" name="AutoShape 36"/>
        <xdr:cNvSpPr>
          <a:spLocks noChangeArrowheads="1"/>
        </xdr:cNvSpPr>
      </xdr:nvSpPr>
      <xdr:spPr bwMode="auto">
        <a:xfrm>
          <a:off x="142046325" y="161934525"/>
          <a:ext cx="2886075" cy="219075"/>
        </a:xfrm>
        <a:prstGeom prst="flowChartAlternateProcess">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223</xdr:col>
      <xdr:colOff>9525</xdr:colOff>
      <xdr:row>829</xdr:row>
      <xdr:rowOff>9525</xdr:rowOff>
    </xdr:from>
    <xdr:to>
      <xdr:col>224</xdr:col>
      <xdr:colOff>600075</xdr:colOff>
      <xdr:row>830</xdr:row>
      <xdr:rowOff>9525</xdr:rowOff>
    </xdr:to>
    <xdr:sp macro="" textlink="">
      <xdr:nvSpPr>
        <xdr:cNvPr id="52668280" name="AutoShape 37"/>
        <xdr:cNvSpPr>
          <a:spLocks noChangeArrowheads="1"/>
        </xdr:cNvSpPr>
      </xdr:nvSpPr>
      <xdr:spPr bwMode="auto">
        <a:xfrm>
          <a:off x="144922875" y="161544000"/>
          <a:ext cx="1152525" cy="200025"/>
        </a:xfrm>
        <a:prstGeom prst="flowChartAlternateProcess">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c:userShapes xmlns:c="http://schemas.openxmlformats.org/drawingml/2006/chart">
  <cdr:relSizeAnchor xmlns:cdr="http://schemas.openxmlformats.org/drawingml/2006/chartDrawing">
    <cdr:from>
      <cdr:x>0.85136</cdr:x>
      <cdr:y>0.08243</cdr:y>
    </cdr:from>
    <cdr:to>
      <cdr:x>0.93484</cdr:x>
      <cdr:y>0.18388</cdr:y>
    </cdr:to>
    <cdr:sp macro="" textlink="">
      <cdr:nvSpPr>
        <cdr:cNvPr id="144386" name="Text Box 2"/>
        <cdr:cNvSpPr txBox="1">
          <a:spLocks xmlns:a="http://schemas.openxmlformats.org/drawingml/2006/main" noChangeArrowheads="1"/>
        </cdr:cNvSpPr>
      </cdr:nvSpPr>
      <cdr:spPr bwMode="auto">
        <a:xfrm xmlns:a="http://schemas.openxmlformats.org/drawingml/2006/main">
          <a:off x="4544338" y="296831"/>
          <a:ext cx="445294" cy="30539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00" b="1" i="0" u="none" strike="noStrike" baseline="0">
              <a:solidFill>
                <a:srgbClr val="000000"/>
              </a:solidFill>
              <a:latin typeface="Arial"/>
              <a:cs typeface="Arial"/>
            </a:rPr>
            <a:t>13.9%</a:t>
          </a:r>
        </a:p>
      </cdr:txBody>
    </cdr:sp>
  </cdr:relSizeAnchor>
  <cdr:relSizeAnchor xmlns:cdr="http://schemas.openxmlformats.org/drawingml/2006/chartDrawing">
    <cdr:from>
      <cdr:x>0.89752</cdr:x>
      <cdr:y>0.35448</cdr:y>
    </cdr:from>
    <cdr:to>
      <cdr:x>0.98076</cdr:x>
      <cdr:y>0.45908</cdr:y>
    </cdr:to>
    <cdr:sp macro="" textlink="">
      <cdr:nvSpPr>
        <cdr:cNvPr id="144387" name="Text Box 3"/>
        <cdr:cNvSpPr txBox="1">
          <a:spLocks xmlns:a="http://schemas.openxmlformats.org/drawingml/2006/main" noChangeArrowheads="1"/>
        </cdr:cNvSpPr>
      </cdr:nvSpPr>
      <cdr:spPr bwMode="auto">
        <a:xfrm xmlns:a="http://schemas.openxmlformats.org/drawingml/2006/main">
          <a:off x="4790559" y="1114590"/>
          <a:ext cx="443984" cy="31398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00" b="1" i="0" u="none" strike="noStrike" baseline="0">
              <a:solidFill>
                <a:srgbClr val="000000"/>
              </a:solidFill>
              <a:latin typeface="Arial"/>
              <a:cs typeface="Arial"/>
            </a:rPr>
            <a:t>10.4%</a:t>
          </a:r>
        </a:p>
      </cdr:txBody>
    </cdr:sp>
  </cdr:relSizeAnchor>
</c:userShapes>
</file>

<file path=xl/drawings/drawing7.xml><?xml version="1.0" encoding="utf-8"?>
<c:userShapes xmlns:c="http://schemas.openxmlformats.org/drawingml/2006/chart">
  <cdr:relSizeAnchor xmlns:cdr="http://schemas.openxmlformats.org/drawingml/2006/chartDrawing">
    <cdr:from>
      <cdr:x>0.2556</cdr:x>
      <cdr:y>0.28057</cdr:y>
    </cdr:from>
    <cdr:to>
      <cdr:x>0.2556</cdr:x>
      <cdr:y>0.45983</cdr:y>
    </cdr:to>
    <cdr:sp macro="" textlink="">
      <cdr:nvSpPr>
        <cdr:cNvPr id="145409" name="Line 1"/>
        <cdr:cNvSpPr>
          <a:spLocks xmlns:a="http://schemas.openxmlformats.org/drawingml/2006/main" noChangeShapeType="1"/>
        </cdr:cNvSpPr>
      </cdr:nvSpPr>
      <cdr:spPr bwMode="auto">
        <a:xfrm xmlns:a="http://schemas.openxmlformats.org/drawingml/2006/main" flipH="1" flipV="1">
          <a:off x="1395754" y="862806"/>
          <a:ext cx="0" cy="519684"/>
        </a:xfrm>
        <a:prstGeom xmlns:a="http://schemas.openxmlformats.org/drawingml/2006/main" prst="line">
          <a:avLst/>
        </a:prstGeom>
        <a:noFill xmlns:a="http://schemas.openxmlformats.org/drawingml/2006/main"/>
        <a:ln xmlns:a="http://schemas.openxmlformats.org/drawingml/2006/main" w="9525">
          <a:solidFill>
            <a:srgbClr val="000000"/>
          </a:solidFill>
          <a:round/>
          <a:headEnd type="triangle" w="med" len="me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0.26542</cdr:x>
      <cdr:y>0.29995</cdr:y>
    </cdr:from>
    <cdr:to>
      <cdr:x>0.49902</cdr:x>
      <cdr:y>0.41429</cdr:y>
    </cdr:to>
    <cdr:sp macro="" textlink="">
      <cdr:nvSpPr>
        <cdr:cNvPr id="145410" name="Text Box 2"/>
        <cdr:cNvSpPr txBox="1">
          <a:spLocks xmlns:a="http://schemas.openxmlformats.org/drawingml/2006/main" noChangeArrowheads="1"/>
        </cdr:cNvSpPr>
      </cdr:nvSpPr>
      <cdr:spPr bwMode="auto">
        <a:xfrm xmlns:a="http://schemas.openxmlformats.org/drawingml/2006/main">
          <a:off x="1449284" y="919647"/>
          <a:ext cx="1272688" cy="33070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cs typeface="Arial"/>
            </a:rPr>
            <a:t>Avg Gap 590 bps</a:t>
          </a:r>
        </a:p>
      </cdr:txBody>
    </cdr:sp>
  </cdr:relSizeAnchor>
</c:userShapes>
</file>

<file path=xl/drawings/drawing8.xml><?xml version="1.0" encoding="utf-8"?>
<c:userShapes xmlns:c="http://schemas.openxmlformats.org/drawingml/2006/chart">
  <cdr:relSizeAnchor xmlns:cdr="http://schemas.openxmlformats.org/drawingml/2006/chartDrawing">
    <cdr:from>
      <cdr:x>0.60957</cdr:x>
      <cdr:y>0.04531</cdr:y>
    </cdr:from>
    <cdr:to>
      <cdr:x>0.86728</cdr:x>
      <cdr:y>0.33803</cdr:y>
    </cdr:to>
    <cdr:sp macro="" textlink="">
      <cdr:nvSpPr>
        <cdr:cNvPr id="146433" name="Text Box 1"/>
        <cdr:cNvSpPr txBox="1">
          <a:spLocks xmlns:a="http://schemas.openxmlformats.org/drawingml/2006/main" noChangeArrowheads="1"/>
        </cdr:cNvSpPr>
      </cdr:nvSpPr>
      <cdr:spPr bwMode="auto">
        <a:xfrm xmlns:a="http://schemas.openxmlformats.org/drawingml/2006/main">
          <a:off x="3359137" y="164107"/>
          <a:ext cx="1418825" cy="864244"/>
        </a:xfrm>
        <a:prstGeom xmlns:a="http://schemas.openxmlformats.org/drawingml/2006/main" prst="rect">
          <a:avLst/>
        </a:prstGeom>
        <a:solidFill xmlns:a="http://schemas.openxmlformats.org/drawingml/2006/main">
          <a:srgbClr val="E3E3E3"/>
        </a:solidFill>
        <a:ln xmlns:a="http://schemas.openxmlformats.org/drawingml/2006/main" w="9525">
          <a:solidFill>
            <a:srgbClr val="000000"/>
          </a:solid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1000" b="1" i="0" u="sng" strike="noStrike" baseline="0">
              <a:solidFill>
                <a:srgbClr val="000000"/>
              </a:solidFill>
              <a:latin typeface="Arial"/>
              <a:cs typeface="Arial"/>
            </a:rPr>
            <a:t>2012E as a % of 2007</a:t>
          </a:r>
          <a:endParaRPr lang="en-US" sz="1000" b="0" i="0" u="none" strike="noStrike" baseline="0">
            <a:solidFill>
              <a:srgbClr val="000000"/>
            </a:solidFill>
            <a:latin typeface="Arial"/>
            <a:cs typeface="Arial"/>
          </a:endParaRPr>
        </a:p>
        <a:p xmlns:a="http://schemas.openxmlformats.org/drawingml/2006/main">
          <a:pPr algn="l" rtl="0">
            <a:defRPr sz="1000"/>
          </a:pPr>
          <a:r>
            <a:rPr lang="en-US" sz="1000" b="0" i="0" u="none" strike="noStrike" baseline="0">
              <a:solidFill>
                <a:srgbClr val="000000"/>
              </a:solidFill>
              <a:latin typeface="Arial"/>
              <a:cs typeface="Arial"/>
            </a:rPr>
            <a:t>Midwest/South     </a:t>
          </a:r>
          <a:r>
            <a:rPr lang="en-US" sz="1000" b="1" i="0" u="none" strike="noStrike" baseline="0">
              <a:solidFill>
                <a:srgbClr val="000000"/>
              </a:solidFill>
              <a:latin typeface="Arial"/>
              <a:cs typeface="Arial"/>
            </a:rPr>
            <a:t>80%</a:t>
          </a:r>
          <a:endParaRPr lang="en-US" sz="1000" b="0" i="0" u="none" strike="noStrike" baseline="0">
            <a:solidFill>
              <a:srgbClr val="000000"/>
            </a:solidFill>
            <a:latin typeface="Arial"/>
            <a:cs typeface="Arial"/>
          </a:endParaRPr>
        </a:p>
        <a:p xmlns:a="http://schemas.openxmlformats.org/drawingml/2006/main">
          <a:pPr algn="l" rtl="0">
            <a:defRPr sz="1000"/>
          </a:pPr>
          <a:r>
            <a:rPr lang="en-US" sz="1000" b="0" i="0" u="none" strike="noStrike" baseline="0">
              <a:solidFill>
                <a:srgbClr val="000000"/>
              </a:solidFill>
              <a:latin typeface="Arial"/>
              <a:cs typeface="Arial"/>
            </a:rPr>
            <a:t>LV Locals             </a:t>
          </a:r>
          <a:r>
            <a:rPr lang="en-US" sz="1000" b="1" i="0" u="none" strike="noStrike" baseline="0">
              <a:solidFill>
                <a:srgbClr val="000000"/>
              </a:solidFill>
              <a:latin typeface="Arial"/>
              <a:cs typeface="Arial"/>
            </a:rPr>
            <a:t>61%</a:t>
          </a:r>
          <a:endParaRPr lang="en-US" sz="1000" b="0" i="0" u="none" strike="noStrike" baseline="0">
            <a:solidFill>
              <a:srgbClr val="000000"/>
            </a:solidFill>
            <a:latin typeface="Arial"/>
            <a:cs typeface="Arial"/>
          </a:endParaRPr>
        </a:p>
        <a:p xmlns:a="http://schemas.openxmlformats.org/drawingml/2006/main">
          <a:pPr algn="l" rtl="0">
            <a:defRPr sz="1000"/>
          </a:pPr>
          <a:r>
            <a:rPr lang="en-US" sz="1000" b="0" i="0" u="none" strike="noStrike" baseline="0">
              <a:solidFill>
                <a:srgbClr val="000000"/>
              </a:solidFill>
              <a:latin typeface="Arial"/>
              <a:cs typeface="Arial"/>
            </a:rPr>
            <a:t>Borgata                 </a:t>
          </a:r>
          <a:r>
            <a:rPr lang="en-US" sz="1000" b="1" i="0" u="none" strike="noStrike" baseline="0">
              <a:solidFill>
                <a:srgbClr val="000000"/>
              </a:solidFill>
              <a:latin typeface="Arial"/>
              <a:cs typeface="Arial"/>
            </a:rPr>
            <a:t>77%</a:t>
          </a:r>
          <a:endParaRPr lang="en-US" sz="1000" b="0" i="0" u="none" strike="noStrike" baseline="0">
            <a:solidFill>
              <a:srgbClr val="000000"/>
            </a:solidFill>
            <a:latin typeface="Arial"/>
            <a:cs typeface="Arial"/>
          </a:endParaRPr>
        </a:p>
        <a:p xmlns:a="http://schemas.openxmlformats.org/drawingml/2006/main">
          <a:pPr algn="l" rtl="0">
            <a:defRPr sz="1000"/>
          </a:pPr>
          <a:r>
            <a:rPr lang="en-US" sz="1000" b="0" i="0" u="none" strike="noStrike" baseline="0">
              <a:solidFill>
                <a:srgbClr val="000000"/>
              </a:solidFill>
              <a:latin typeface="Arial"/>
              <a:cs typeface="Arial"/>
            </a:rPr>
            <a:t>LV Downtown      </a:t>
          </a:r>
          <a:r>
            <a:rPr lang="en-US" sz="1000" b="1" i="0" u="none" strike="noStrike" baseline="0">
              <a:solidFill>
                <a:srgbClr val="000000"/>
              </a:solidFill>
              <a:latin typeface="Arial"/>
              <a:cs typeface="Arial"/>
            </a:rPr>
            <a:t>94%</a:t>
          </a: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xdr:col>
      <xdr:colOff>57150</xdr:colOff>
      <xdr:row>8</xdr:row>
      <xdr:rowOff>19050</xdr:rowOff>
    </xdr:from>
    <xdr:to>
      <xdr:col>8</xdr:col>
      <xdr:colOff>733425</xdr:colOff>
      <xdr:row>21</xdr:row>
      <xdr:rowOff>19050</xdr:rowOff>
    </xdr:to>
    <xdr:graphicFrame macro="">
      <xdr:nvGraphicFramePr>
        <xdr:cNvPr id="52156297" name="Chart 1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9525</xdr:colOff>
      <xdr:row>0</xdr:row>
      <xdr:rowOff>47625</xdr:rowOff>
    </xdr:from>
    <xdr:to>
      <xdr:col>3</xdr:col>
      <xdr:colOff>657225</xdr:colOff>
      <xdr:row>2</xdr:row>
      <xdr:rowOff>0</xdr:rowOff>
    </xdr:to>
    <xdr:pic>
      <xdr:nvPicPr>
        <xdr:cNvPr id="52156298" name="Picture 2" descr="titlegraphi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47625"/>
          <a:ext cx="11525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xdr:colOff>
      <xdr:row>0</xdr:row>
      <xdr:rowOff>47625</xdr:rowOff>
    </xdr:from>
    <xdr:to>
      <xdr:col>3</xdr:col>
      <xdr:colOff>657225</xdr:colOff>
      <xdr:row>2</xdr:row>
      <xdr:rowOff>0</xdr:rowOff>
    </xdr:to>
    <xdr:pic>
      <xdr:nvPicPr>
        <xdr:cNvPr id="52156299" name="Picture 3" descr="titlegraphi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47625"/>
          <a:ext cx="11525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xdr:colOff>
      <xdr:row>0</xdr:row>
      <xdr:rowOff>47625</xdr:rowOff>
    </xdr:from>
    <xdr:to>
      <xdr:col>3</xdr:col>
      <xdr:colOff>657225</xdr:colOff>
      <xdr:row>2</xdr:row>
      <xdr:rowOff>0</xdr:rowOff>
    </xdr:to>
    <xdr:pic>
      <xdr:nvPicPr>
        <xdr:cNvPr id="52156300" name="Picture 4" descr="titlegraphi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47625"/>
          <a:ext cx="11525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xdr:colOff>
      <xdr:row>0</xdr:row>
      <xdr:rowOff>47625</xdr:rowOff>
    </xdr:from>
    <xdr:to>
      <xdr:col>3</xdr:col>
      <xdr:colOff>657225</xdr:colOff>
      <xdr:row>2</xdr:row>
      <xdr:rowOff>0</xdr:rowOff>
    </xdr:to>
    <xdr:pic>
      <xdr:nvPicPr>
        <xdr:cNvPr id="52156301" name="Picture 5" descr="titlegraphi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47625"/>
          <a:ext cx="11525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xdr:colOff>
      <xdr:row>0</xdr:row>
      <xdr:rowOff>47625</xdr:rowOff>
    </xdr:from>
    <xdr:to>
      <xdr:col>3</xdr:col>
      <xdr:colOff>657225</xdr:colOff>
      <xdr:row>2</xdr:row>
      <xdr:rowOff>0</xdr:rowOff>
    </xdr:to>
    <xdr:pic>
      <xdr:nvPicPr>
        <xdr:cNvPr id="52156302" name="Picture 6" descr="titlegraphi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47625"/>
          <a:ext cx="11525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xdr:colOff>
      <xdr:row>0</xdr:row>
      <xdr:rowOff>47625</xdr:rowOff>
    </xdr:from>
    <xdr:to>
      <xdr:col>3</xdr:col>
      <xdr:colOff>657225</xdr:colOff>
      <xdr:row>2</xdr:row>
      <xdr:rowOff>0</xdr:rowOff>
    </xdr:to>
    <xdr:pic>
      <xdr:nvPicPr>
        <xdr:cNvPr id="52156303" name="Picture 7" descr="titlegraphi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47625"/>
          <a:ext cx="11525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xdr:colOff>
      <xdr:row>0</xdr:row>
      <xdr:rowOff>47625</xdr:rowOff>
    </xdr:from>
    <xdr:to>
      <xdr:col>3</xdr:col>
      <xdr:colOff>657225</xdr:colOff>
      <xdr:row>2</xdr:row>
      <xdr:rowOff>0</xdr:rowOff>
    </xdr:to>
    <xdr:pic>
      <xdr:nvPicPr>
        <xdr:cNvPr id="52156304" name="Picture 8" descr="titlegraphi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47625"/>
          <a:ext cx="11525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xdr:colOff>
      <xdr:row>0</xdr:row>
      <xdr:rowOff>47625</xdr:rowOff>
    </xdr:from>
    <xdr:to>
      <xdr:col>3</xdr:col>
      <xdr:colOff>657225</xdr:colOff>
      <xdr:row>2</xdr:row>
      <xdr:rowOff>0</xdr:rowOff>
    </xdr:to>
    <xdr:pic>
      <xdr:nvPicPr>
        <xdr:cNvPr id="52156305" name="Picture 9" descr="titlegraphi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47625"/>
          <a:ext cx="11525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114300</xdr:colOff>
      <xdr:row>24</xdr:row>
      <xdr:rowOff>142875</xdr:rowOff>
    </xdr:from>
    <xdr:to>
      <xdr:col>8</xdr:col>
      <xdr:colOff>733425</xdr:colOff>
      <xdr:row>28</xdr:row>
      <xdr:rowOff>19050</xdr:rowOff>
    </xdr:to>
    <xdr:sp macro="" textlink="">
      <xdr:nvSpPr>
        <xdr:cNvPr id="131082" name="Text Box 10"/>
        <xdr:cNvSpPr txBox="1">
          <a:spLocks noChangeArrowheads="1"/>
        </xdr:cNvSpPr>
      </xdr:nvSpPr>
      <xdr:spPr bwMode="auto">
        <a:xfrm>
          <a:off x="2152650" y="3895725"/>
          <a:ext cx="4010025" cy="6762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FFCC00"/>
              </a:solidFill>
              <a:latin typeface="Arial"/>
              <a:cs typeface="Arial"/>
            </a:rPr>
            <a:t>Please enter POSITIVE numbers only</a:t>
          </a:r>
        </a:p>
        <a:p>
          <a:pPr algn="l" rtl="0">
            <a:defRPr sz="1000"/>
          </a:pPr>
          <a:r>
            <a:rPr lang="en-US" sz="1000" b="1" i="0" u="none" strike="noStrike" baseline="0">
              <a:solidFill>
                <a:srgbClr val="FFCC00"/>
              </a:solidFill>
              <a:latin typeface="Arial"/>
              <a:cs typeface="Arial"/>
            </a:rPr>
            <a:t>Change only those values in Green</a:t>
          </a: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FFFF00"/>
              </a:solidFill>
              <a:latin typeface="Arial"/>
              <a:cs typeface="Arial"/>
            </a:rPr>
            <a:t>Do not change values in Red (formulas)</a:t>
          </a: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FF00FF"/>
              </a:solidFill>
              <a:latin typeface="Arial"/>
              <a:cs typeface="Arial"/>
            </a:rPr>
            <a:t>Orange Rows may be deleted if not used </a:t>
          </a:r>
        </a:p>
      </xdr:txBody>
    </xdr:sp>
    <xdr:clientData/>
  </xdr:twoCellAnchor>
  <xdr:twoCellAnchor editAs="oneCell">
    <xdr:from>
      <xdr:col>9</xdr:col>
      <xdr:colOff>85725</xdr:colOff>
      <xdr:row>3</xdr:row>
      <xdr:rowOff>38100</xdr:rowOff>
    </xdr:from>
    <xdr:to>
      <xdr:col>10</xdr:col>
      <xdr:colOff>419100</xdr:colOff>
      <xdr:row>12</xdr:row>
      <xdr:rowOff>133350</xdr:rowOff>
    </xdr:to>
    <xdr:sp macro="" textlink="">
      <xdr:nvSpPr>
        <xdr:cNvPr id="131083" name="Text Box 11"/>
        <xdr:cNvSpPr txBox="1">
          <a:spLocks noChangeArrowheads="1"/>
        </xdr:cNvSpPr>
      </xdr:nvSpPr>
      <xdr:spPr bwMode="auto">
        <a:xfrm>
          <a:off x="6257925" y="390525"/>
          <a:ext cx="2000250" cy="1895475"/>
        </a:xfrm>
        <a:prstGeom prst="rect">
          <a:avLst/>
        </a:prstGeom>
        <a:solidFill>
          <a:srgbClr val="800080"/>
        </a:solidFill>
        <a:ln w="9525">
          <a:no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To export the chart:</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Click on it, then choose: Excel Li</a:t>
          </a:r>
          <a:r>
            <a:rPr lang="en-US" sz="900" b="0" i="0" u="sng" strike="noStrike" baseline="0">
              <a:solidFill>
                <a:srgbClr val="000000"/>
              </a:solidFill>
              <a:latin typeface="Arial"/>
              <a:cs typeface="Arial"/>
            </a:rPr>
            <a:t>n</a:t>
          </a:r>
          <a:r>
            <a:rPr lang="en-US" sz="900" b="0" i="0" u="none" strike="noStrike" baseline="0">
              <a:solidFill>
                <a:srgbClr val="000000"/>
              </a:solidFill>
              <a:latin typeface="Arial"/>
              <a:cs typeface="Arial"/>
            </a:rPr>
            <a:t>k &gt; Export to </a:t>
          </a:r>
          <a:r>
            <a:rPr lang="en-US" sz="900" b="0" i="0" u="sng" strike="noStrike" baseline="0">
              <a:solidFill>
                <a:srgbClr val="000000"/>
              </a:solidFill>
              <a:latin typeface="Arial"/>
              <a:cs typeface="Arial"/>
            </a:rPr>
            <a:t>W</a:t>
          </a:r>
          <a:r>
            <a:rPr lang="en-US" sz="900" b="0" i="0" u="none" strike="noStrike" baseline="0">
              <a:solidFill>
                <a:srgbClr val="000000"/>
              </a:solidFill>
              <a:latin typeface="Arial"/>
              <a:cs typeface="Arial"/>
            </a:rPr>
            <a:t>ord (or </a:t>
          </a:r>
          <a:r>
            <a:rPr lang="en-US" sz="900" b="0" i="0" u="sng" strike="noStrike" baseline="0">
              <a:solidFill>
                <a:srgbClr val="000000"/>
              </a:solidFill>
              <a:latin typeface="Arial"/>
              <a:cs typeface="Arial"/>
            </a:rPr>
            <a:t>P</a:t>
          </a:r>
          <a:r>
            <a:rPr lang="en-US" sz="900" b="0" i="0" u="none" strike="noStrike" baseline="0">
              <a:solidFill>
                <a:srgbClr val="000000"/>
              </a:solidFill>
              <a:latin typeface="Arial"/>
              <a:cs typeface="Arial"/>
            </a:rPr>
            <a:t>owerPoint) &gt; </a:t>
          </a:r>
          <a:r>
            <a:rPr lang="en-US" sz="900" b="0" i="0" u="sng" strike="noStrike" baseline="0">
              <a:solidFill>
                <a:srgbClr val="000000"/>
              </a:solidFill>
              <a:latin typeface="Arial"/>
              <a:cs typeface="Arial"/>
            </a:rPr>
            <a:t>C</a:t>
          </a:r>
          <a:r>
            <a:rPr lang="en-US" sz="900" b="0" i="0" u="none" strike="noStrike" baseline="0">
              <a:solidFill>
                <a:srgbClr val="000000"/>
              </a:solidFill>
              <a:latin typeface="Arial"/>
              <a:cs typeface="Arial"/>
            </a:rPr>
            <a:t>hart as Picture</a:t>
          </a:r>
        </a:p>
        <a:p>
          <a:pPr algn="l" rtl="0">
            <a:defRPr sz="1000"/>
          </a:pPr>
          <a:endParaRPr lang="en-US" sz="900" b="0" i="0" u="none" strike="noStrike" baseline="0">
            <a:solidFill>
              <a:srgbClr val="000000"/>
            </a:solidFill>
            <a:latin typeface="Arial"/>
            <a:cs typeface="Arial"/>
          </a:endParaRPr>
        </a:p>
        <a:p>
          <a:pPr algn="l" rtl="0">
            <a:defRPr sz="1000"/>
          </a:pPr>
          <a:r>
            <a:rPr lang="en-US" sz="900" b="1" i="0" u="none" strike="noStrike" baseline="0">
              <a:solidFill>
                <a:srgbClr val="993300"/>
              </a:solidFill>
              <a:latin typeface="Arial"/>
              <a:cs typeface="Arial"/>
            </a:rPr>
            <a:t>This chart may not be ideal</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if you have too many increments (data labels have to be small and may be illegible).  We recommend  you use the equivalent exhibit with horizontal bars.</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30</xdr:col>
      <xdr:colOff>9525</xdr:colOff>
      <xdr:row>7</xdr:row>
      <xdr:rowOff>9525</xdr:rowOff>
    </xdr:from>
    <xdr:to>
      <xdr:col>40</xdr:col>
      <xdr:colOff>0</xdr:colOff>
      <xdr:row>54</xdr:row>
      <xdr:rowOff>171450</xdr:rowOff>
    </xdr:to>
    <xdr:pic>
      <xdr:nvPicPr>
        <xdr:cNvPr id="53432334" name="Picture 3" descr="lv-map-prin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707225" y="1409700"/>
          <a:ext cx="6848475" cy="9563100"/>
        </a:xfrm>
        <a:prstGeom prst="rect">
          <a:avLst/>
        </a:prstGeom>
        <a:solidFill>
          <a:srgbClr val="000000"/>
        </a:solidFill>
        <a:ln w="9525">
          <a:solidFill>
            <a:srgbClr val="000000"/>
          </a:solid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30</xdr:col>
      <xdr:colOff>180975</xdr:colOff>
      <xdr:row>131</xdr:row>
      <xdr:rowOff>133350</xdr:rowOff>
    </xdr:from>
    <xdr:to>
      <xdr:col>32</xdr:col>
      <xdr:colOff>571500</xdr:colOff>
      <xdr:row>150</xdr:row>
      <xdr:rowOff>19050</xdr:rowOff>
    </xdr:to>
    <xdr:sp macro="" textlink="">
      <xdr:nvSpPr>
        <xdr:cNvPr id="160769" name="Text Box 1"/>
        <xdr:cNvSpPr txBox="1">
          <a:spLocks noChangeArrowheads="1"/>
        </xdr:cNvSpPr>
      </xdr:nvSpPr>
      <xdr:spPr bwMode="auto">
        <a:xfrm>
          <a:off x="23726775" y="22621875"/>
          <a:ext cx="1762125" cy="2686050"/>
        </a:xfrm>
        <a:prstGeom prst="rect">
          <a:avLst/>
        </a:prstGeom>
        <a:solidFill>
          <a:srgbClr val="E3E3E3"/>
        </a:solidFill>
        <a:ln w="9525">
          <a:solidFill>
            <a:srgbClr val="000000"/>
          </a:solidFill>
          <a:miter lim="800000"/>
          <a:headEnd/>
          <a:tailEnd/>
        </a:ln>
      </xdr:spPr>
      <xdr:txBody>
        <a:bodyPr vertOverflow="clip" wrap="square" lIns="27432" tIns="22860" rIns="0" bIns="22860" anchor="ctr" upright="1"/>
        <a:lstStyle/>
        <a:p>
          <a:pPr algn="l" rtl="0">
            <a:lnSpc>
              <a:spcPts val="1100"/>
            </a:lnSpc>
            <a:defRPr sz="1000"/>
          </a:pPr>
          <a:r>
            <a:rPr lang="en-US" sz="1000" b="0" i="0" u="none" strike="noStrike" baseline="0">
              <a:solidFill>
                <a:srgbClr val="000000"/>
              </a:solidFill>
              <a:latin typeface="Arial"/>
              <a:cs typeface="Arial"/>
            </a:rPr>
            <a:t>Assumes 8.0x transaction multiple and 50 / 50 debt equity financing.</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Equity raised at a 10% discount to current share price.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11% interest on the incremental $535 million of debt raised to finance the transaction.  (Note: bond indentures limit incremental debt to 2.0x fixed charges)  </a:t>
          </a:r>
        </a:p>
      </xdr:txBody>
    </xdr:sp>
    <xdr:clientData/>
  </xdr:twoCellAnchor>
  <xdr:twoCellAnchor>
    <xdr:from>
      <xdr:col>28</xdr:col>
      <xdr:colOff>561975</xdr:colOff>
      <xdr:row>136</xdr:row>
      <xdr:rowOff>152400</xdr:rowOff>
    </xdr:from>
    <xdr:to>
      <xdr:col>29</xdr:col>
      <xdr:colOff>66675</xdr:colOff>
      <xdr:row>138</xdr:row>
      <xdr:rowOff>57150</xdr:rowOff>
    </xdr:to>
    <xdr:sp macro="" textlink="">
      <xdr:nvSpPr>
        <xdr:cNvPr id="52620126" name="Oval 2"/>
        <xdr:cNvSpPr>
          <a:spLocks noChangeArrowheads="1"/>
        </xdr:cNvSpPr>
      </xdr:nvSpPr>
      <xdr:spPr bwMode="auto">
        <a:xfrm>
          <a:off x="22355175" y="23383875"/>
          <a:ext cx="381000" cy="2476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66675</xdr:colOff>
      <xdr:row>137</xdr:row>
      <xdr:rowOff>104775</xdr:rowOff>
    </xdr:from>
    <xdr:to>
      <xdr:col>30</xdr:col>
      <xdr:colOff>180975</xdr:colOff>
      <xdr:row>140</xdr:row>
      <xdr:rowOff>161925</xdr:rowOff>
    </xdr:to>
    <xdr:cxnSp macro="">
      <xdr:nvCxnSpPr>
        <xdr:cNvPr id="52620127" name="AutoShape 3"/>
        <xdr:cNvCxnSpPr>
          <a:cxnSpLocks noChangeShapeType="1"/>
          <a:stCxn id="52620126" idx="6"/>
          <a:endCxn id="160769" idx="1"/>
        </xdr:cNvCxnSpPr>
      </xdr:nvCxnSpPr>
      <xdr:spPr bwMode="auto">
        <a:xfrm>
          <a:off x="22736175" y="23507700"/>
          <a:ext cx="990600" cy="457200"/>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30</xdr:col>
      <xdr:colOff>257175</xdr:colOff>
      <xdr:row>121</xdr:row>
      <xdr:rowOff>85725</xdr:rowOff>
    </xdr:from>
    <xdr:to>
      <xdr:col>32</xdr:col>
      <xdr:colOff>381000</xdr:colOff>
      <xdr:row>128</xdr:row>
      <xdr:rowOff>133350</xdr:rowOff>
    </xdr:to>
    <xdr:sp macro="" textlink="">
      <xdr:nvSpPr>
        <xdr:cNvPr id="160772" name="Text Box 4"/>
        <xdr:cNvSpPr txBox="1">
          <a:spLocks noChangeArrowheads="1"/>
        </xdr:cNvSpPr>
      </xdr:nvSpPr>
      <xdr:spPr bwMode="auto">
        <a:xfrm>
          <a:off x="23802975" y="20516850"/>
          <a:ext cx="1495425" cy="1590675"/>
        </a:xfrm>
        <a:prstGeom prst="rect">
          <a:avLst/>
        </a:prstGeom>
        <a:solidFill>
          <a:srgbClr val="E3E3E3"/>
        </a:solidFill>
        <a:ln w="9525">
          <a:solidFill>
            <a:srgbClr val="000000"/>
          </a:solidFill>
          <a:miter lim="800000"/>
          <a:headEnd/>
          <a:tailEnd/>
        </a:ln>
      </xdr:spPr>
      <xdr:txBody>
        <a:bodyPr vertOverflow="clip" wrap="square" lIns="27432" tIns="22860" rIns="27432" bIns="22860" anchor="ctr" upright="1"/>
        <a:lstStyle/>
        <a:p>
          <a:pPr algn="ctr" rtl="0">
            <a:lnSpc>
              <a:spcPts val="1000"/>
            </a:lnSpc>
            <a:defRPr sz="1000"/>
          </a:pPr>
          <a:r>
            <a:rPr lang="en-US" sz="1000" b="0" i="0" u="none" strike="noStrike" baseline="0">
              <a:solidFill>
                <a:srgbClr val="000000"/>
              </a:solidFill>
              <a:latin typeface="Arial"/>
              <a:cs typeface="Arial"/>
            </a:rPr>
            <a:t>EBITDA-margin enhancing transaction given ASCA's higher EBITDA margins and likely corporate cost savings.  Operating synergies minimal.  </a:t>
          </a:r>
        </a:p>
      </xdr:txBody>
    </xdr:sp>
    <xdr:clientData/>
  </xdr:twoCellAnchor>
  <xdr:twoCellAnchor>
    <xdr:from>
      <xdr:col>29</xdr:col>
      <xdr:colOff>381000</xdr:colOff>
      <xdr:row>128</xdr:row>
      <xdr:rowOff>0</xdr:rowOff>
    </xdr:from>
    <xdr:to>
      <xdr:col>29</xdr:col>
      <xdr:colOff>866775</xdr:colOff>
      <xdr:row>129</xdr:row>
      <xdr:rowOff>76200</xdr:rowOff>
    </xdr:to>
    <xdr:sp macro="" textlink="">
      <xdr:nvSpPr>
        <xdr:cNvPr id="52620129" name="Oval 5"/>
        <xdr:cNvSpPr>
          <a:spLocks noChangeArrowheads="1"/>
        </xdr:cNvSpPr>
      </xdr:nvSpPr>
      <xdr:spPr bwMode="auto">
        <a:xfrm>
          <a:off x="23050500" y="21974175"/>
          <a:ext cx="485775" cy="2476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866775</xdr:colOff>
      <xdr:row>125</xdr:row>
      <xdr:rowOff>28575</xdr:rowOff>
    </xdr:from>
    <xdr:to>
      <xdr:col>30</xdr:col>
      <xdr:colOff>257175</xdr:colOff>
      <xdr:row>128</xdr:row>
      <xdr:rowOff>123825</xdr:rowOff>
    </xdr:to>
    <xdr:cxnSp macro="">
      <xdr:nvCxnSpPr>
        <xdr:cNvPr id="52620130" name="AutoShape 6"/>
        <xdr:cNvCxnSpPr>
          <a:cxnSpLocks noChangeShapeType="1"/>
          <a:stCxn id="52620129" idx="6"/>
          <a:endCxn id="160772" idx="1"/>
        </xdr:cNvCxnSpPr>
      </xdr:nvCxnSpPr>
      <xdr:spPr bwMode="auto">
        <a:xfrm flipV="1">
          <a:off x="23536275" y="21316950"/>
          <a:ext cx="266700" cy="781050"/>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28</xdr:col>
      <xdr:colOff>533400</xdr:colOff>
      <xdr:row>150</xdr:row>
      <xdr:rowOff>133350</xdr:rowOff>
    </xdr:from>
    <xdr:to>
      <xdr:col>29</xdr:col>
      <xdr:colOff>38100</xdr:colOff>
      <xdr:row>152</xdr:row>
      <xdr:rowOff>38100</xdr:rowOff>
    </xdr:to>
    <xdr:sp macro="" textlink="">
      <xdr:nvSpPr>
        <xdr:cNvPr id="52620131" name="Oval 7"/>
        <xdr:cNvSpPr>
          <a:spLocks noChangeArrowheads="1"/>
        </xdr:cNvSpPr>
      </xdr:nvSpPr>
      <xdr:spPr bwMode="auto">
        <a:xfrm>
          <a:off x="22326600" y="25422225"/>
          <a:ext cx="381000" cy="2476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38100</xdr:colOff>
      <xdr:row>140</xdr:row>
      <xdr:rowOff>161925</xdr:rowOff>
    </xdr:from>
    <xdr:to>
      <xdr:col>30</xdr:col>
      <xdr:colOff>180975</xdr:colOff>
      <xdr:row>151</xdr:row>
      <xdr:rowOff>85725</xdr:rowOff>
    </xdr:to>
    <xdr:cxnSp macro="">
      <xdr:nvCxnSpPr>
        <xdr:cNvPr id="52620132" name="AutoShape 8"/>
        <xdr:cNvCxnSpPr>
          <a:cxnSpLocks noChangeShapeType="1"/>
          <a:stCxn id="52620131" idx="6"/>
          <a:endCxn id="160769" idx="1"/>
        </xdr:cNvCxnSpPr>
      </xdr:nvCxnSpPr>
      <xdr:spPr bwMode="auto">
        <a:xfrm flipV="1">
          <a:off x="22707600" y="23964900"/>
          <a:ext cx="1019175" cy="1581150"/>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30</xdr:col>
      <xdr:colOff>276225</xdr:colOff>
      <xdr:row>151</xdr:row>
      <xdr:rowOff>142875</xdr:rowOff>
    </xdr:from>
    <xdr:to>
      <xdr:col>32</xdr:col>
      <xdr:colOff>247650</xdr:colOff>
      <xdr:row>155</xdr:row>
      <xdr:rowOff>133350</xdr:rowOff>
    </xdr:to>
    <xdr:sp macro="" textlink="">
      <xdr:nvSpPr>
        <xdr:cNvPr id="160777" name="Text Box 9"/>
        <xdr:cNvSpPr txBox="1">
          <a:spLocks noChangeArrowheads="1"/>
        </xdr:cNvSpPr>
      </xdr:nvSpPr>
      <xdr:spPr bwMode="auto">
        <a:xfrm>
          <a:off x="23822025" y="25603200"/>
          <a:ext cx="1343025" cy="676275"/>
        </a:xfrm>
        <a:prstGeom prst="rect">
          <a:avLst/>
        </a:prstGeom>
        <a:solidFill>
          <a:srgbClr val="E3E3E3"/>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EPS accretive due to relatively high equity component to assumed transaction.</a:t>
          </a:r>
        </a:p>
      </xdr:txBody>
    </xdr:sp>
    <xdr:clientData/>
  </xdr:twoCellAnchor>
  <xdr:twoCellAnchor>
    <xdr:from>
      <xdr:col>29</xdr:col>
      <xdr:colOff>419100</xdr:colOff>
      <xdr:row>148</xdr:row>
      <xdr:rowOff>152400</xdr:rowOff>
    </xdr:from>
    <xdr:to>
      <xdr:col>30</xdr:col>
      <xdr:colOff>19050</xdr:colOff>
      <xdr:row>150</xdr:row>
      <xdr:rowOff>57150</xdr:rowOff>
    </xdr:to>
    <xdr:sp macro="" textlink="">
      <xdr:nvSpPr>
        <xdr:cNvPr id="52620134" name="Oval 10"/>
        <xdr:cNvSpPr>
          <a:spLocks noChangeArrowheads="1"/>
        </xdr:cNvSpPr>
      </xdr:nvSpPr>
      <xdr:spPr bwMode="auto">
        <a:xfrm>
          <a:off x="23088600" y="25098375"/>
          <a:ext cx="476250" cy="2476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19050</xdr:colOff>
      <xdr:row>149</xdr:row>
      <xdr:rowOff>104775</xdr:rowOff>
    </xdr:from>
    <xdr:to>
      <xdr:col>30</xdr:col>
      <xdr:colOff>276225</xdr:colOff>
      <xdr:row>153</xdr:row>
      <xdr:rowOff>142875</xdr:rowOff>
    </xdr:to>
    <xdr:cxnSp macro="">
      <xdr:nvCxnSpPr>
        <xdr:cNvPr id="52620135" name="AutoShape 11"/>
        <xdr:cNvCxnSpPr>
          <a:cxnSpLocks noChangeShapeType="1"/>
          <a:stCxn id="52620134" idx="6"/>
          <a:endCxn id="160777" idx="1"/>
        </xdr:cNvCxnSpPr>
      </xdr:nvCxnSpPr>
      <xdr:spPr bwMode="auto">
        <a:xfrm>
          <a:off x="23564850" y="25222200"/>
          <a:ext cx="257175" cy="723900"/>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30</xdr:col>
      <xdr:colOff>152400</xdr:colOff>
      <xdr:row>160</xdr:row>
      <xdr:rowOff>19050</xdr:rowOff>
    </xdr:from>
    <xdr:to>
      <xdr:col>32</xdr:col>
      <xdr:colOff>123825</xdr:colOff>
      <xdr:row>164</xdr:row>
      <xdr:rowOff>123825</xdr:rowOff>
    </xdr:to>
    <xdr:sp macro="" textlink="">
      <xdr:nvSpPr>
        <xdr:cNvPr id="160781" name="Text Box 13"/>
        <xdr:cNvSpPr txBox="1">
          <a:spLocks noChangeArrowheads="1"/>
        </xdr:cNvSpPr>
      </xdr:nvSpPr>
      <xdr:spPr bwMode="auto">
        <a:xfrm>
          <a:off x="23698200" y="27022425"/>
          <a:ext cx="1343025" cy="676275"/>
        </a:xfrm>
        <a:prstGeom prst="rect">
          <a:avLst/>
        </a:prstGeom>
        <a:solidFill>
          <a:srgbClr val="E3E3E3"/>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Marginal improvement to leverage metrics.  FCF likely to be used to repay debt.  </a:t>
          </a:r>
        </a:p>
      </xdr:txBody>
    </xdr:sp>
    <xdr:clientData/>
  </xdr:twoCellAnchor>
  <xdr:twoCellAnchor>
    <xdr:from>
      <xdr:col>27</xdr:col>
      <xdr:colOff>428625</xdr:colOff>
      <xdr:row>163</xdr:row>
      <xdr:rowOff>104775</xdr:rowOff>
    </xdr:from>
    <xdr:to>
      <xdr:col>29</xdr:col>
      <xdr:colOff>266700</xdr:colOff>
      <xdr:row>168</xdr:row>
      <xdr:rowOff>104775</xdr:rowOff>
    </xdr:to>
    <xdr:sp macro="" textlink="">
      <xdr:nvSpPr>
        <xdr:cNvPr id="160782" name="Text Box 14"/>
        <xdr:cNvSpPr txBox="1">
          <a:spLocks noChangeArrowheads="1"/>
        </xdr:cNvSpPr>
      </xdr:nvSpPr>
      <xdr:spPr bwMode="auto">
        <a:xfrm>
          <a:off x="21345525" y="27508200"/>
          <a:ext cx="1590675" cy="857250"/>
        </a:xfrm>
        <a:prstGeom prst="rect">
          <a:avLst/>
        </a:prstGeom>
        <a:solidFill>
          <a:srgbClr val="E3E3E3"/>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No meaningful impact to BYD valuation (assuming 8.0x multiple on ASCA assets) and incremental $2.0 billion of net debt.</a:t>
          </a:r>
        </a:p>
      </xdr:txBody>
    </xdr:sp>
    <xdr:clientData/>
  </xdr:twoCellAnchor>
  <xdr:twoCellAnchor>
    <xdr:from>
      <xdr:col>29</xdr:col>
      <xdr:colOff>866775</xdr:colOff>
      <xdr:row>156</xdr:row>
      <xdr:rowOff>152400</xdr:rowOff>
    </xdr:from>
    <xdr:to>
      <xdr:col>31</xdr:col>
      <xdr:colOff>142875</xdr:colOff>
      <xdr:row>160</xdr:row>
      <xdr:rowOff>19050</xdr:rowOff>
    </xdr:to>
    <xdr:cxnSp macro="">
      <xdr:nvCxnSpPr>
        <xdr:cNvPr id="52620138" name="AutoShape 15"/>
        <xdr:cNvCxnSpPr>
          <a:cxnSpLocks noChangeShapeType="1"/>
          <a:stCxn id="160781" idx="0"/>
        </xdr:cNvCxnSpPr>
      </xdr:nvCxnSpPr>
      <xdr:spPr bwMode="auto">
        <a:xfrm flipH="1" flipV="1">
          <a:off x="23536275" y="26469975"/>
          <a:ext cx="838200" cy="552450"/>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28</xdr:col>
      <xdr:colOff>457200</xdr:colOff>
      <xdr:row>160</xdr:row>
      <xdr:rowOff>0</xdr:rowOff>
    </xdr:from>
    <xdr:to>
      <xdr:col>29</xdr:col>
      <xdr:colOff>504825</xdr:colOff>
      <xdr:row>163</xdr:row>
      <xdr:rowOff>114300</xdr:rowOff>
    </xdr:to>
    <xdr:sp macro="" textlink="">
      <xdr:nvSpPr>
        <xdr:cNvPr id="52620139" name="Line 16"/>
        <xdr:cNvSpPr>
          <a:spLocks noChangeShapeType="1"/>
        </xdr:cNvSpPr>
      </xdr:nvSpPr>
      <xdr:spPr bwMode="auto">
        <a:xfrm flipV="1">
          <a:off x="22250400" y="27003375"/>
          <a:ext cx="923925" cy="514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2.xml" Type="http://schemas.openxmlformats.org/officeDocument/2006/relationships/drawing"/>
<Relationship Id="rId3" Target="../drawings/vmlDrawing4.vml" Type="http://schemas.openxmlformats.org/officeDocument/2006/relationships/vmlDrawing"/>
<Relationship Id="rId4" Target="../comments4.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drawing5.xml" Type="http://schemas.openxmlformats.org/officeDocument/2006/relationships/drawing"/>
<Relationship Id="rId3" Target="../drawings/vmlDrawing7.vml" Type="http://schemas.openxmlformats.org/officeDocument/2006/relationships/vmlDrawing"/>
<Relationship Id="rId4" Target="../comments7.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drawing9.xml" Type="http://schemas.openxmlformats.org/officeDocument/2006/relationships/drawing"/>
<Relationship Id="rId3" Target="../drawings/vmlDrawing12.vml" Type="http://schemas.openxmlformats.org/officeDocument/2006/relationships/vmlDrawing"/>
<Relationship Id="rId4" Target="../comments12.xml" Type="http://schemas.openxmlformats.org/officeDocument/2006/relationships/comments"/>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22.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23.xml.rels><?xml version="1.0" encoding="UTF-8" standalone="yes"?>
<Relationships xmlns="http://schemas.openxmlformats.org/package/2006/relationships">
<Relationship Id="rId1" Target="../printerSettings/printerSettings23.bin" Type="http://schemas.openxmlformats.org/officeDocument/2006/relationships/printerSettings"/>
<Relationship Id="rId2" Target="../drawings/vmlDrawing14.vml" Type="http://schemas.openxmlformats.org/officeDocument/2006/relationships/vmlDrawing"/>
<Relationship Id="rId3" Target="../comments14.xml" Type="http://schemas.openxmlformats.org/officeDocument/2006/relationships/comments"/>
</Relationships>

</file>

<file path=xl/worksheets/_rels/sheet24.xml.rels><?xml version="1.0" encoding="UTF-8" standalone="yes"?>
<Relationships xmlns="http://schemas.openxmlformats.org/package/2006/relationships">
<Relationship Id="rId1" Target="../printerSettings/printerSettings24.bin" Type="http://schemas.openxmlformats.org/officeDocument/2006/relationships/printerSettings"/>
<Relationship Id="rId2" Target="../drawings/vmlDrawing15.vml" Type="http://schemas.openxmlformats.org/officeDocument/2006/relationships/vmlDrawing"/>
<Relationship Id="rId3" Target="../comments15.xml" Type="http://schemas.openxmlformats.org/officeDocument/2006/relationships/comments"/>
</Relationships>

</file>

<file path=xl/worksheets/_rels/sheet25.xml.rels><?xml version="1.0" encoding="UTF-8" standalone="yes"?>
<Relationships xmlns="http://schemas.openxmlformats.org/package/2006/relationships">
<Relationship Id="rId1" Target="../printerSettings/printerSettings25.bin" Type="http://schemas.openxmlformats.org/officeDocument/2006/relationships/printerSettings"/>
<Relationship Id="rId2" Target="../drawings/vmlDrawing16.vml" Type="http://schemas.openxmlformats.org/officeDocument/2006/relationships/vmlDrawing"/>
<Relationship Id="rId3" Target="../comments16.xml" Type="http://schemas.openxmlformats.org/officeDocument/2006/relationships/comments"/>
</Relationships>

</file>

<file path=xl/worksheets/_rels/sheet26.xml.rels><?xml version="1.0" encoding="UTF-8" standalone="yes"?>
<Relationships xmlns="http://schemas.openxmlformats.org/package/2006/relationships">
<Relationship Id="rId1" Target="../printerSettings/printerSettings26.bin" Type="http://schemas.openxmlformats.org/officeDocument/2006/relationships/printerSettings"/>
<Relationship Id="rId2" Target="../drawings/vmlDrawing17.vml" Type="http://schemas.openxmlformats.org/officeDocument/2006/relationships/vmlDrawing"/>
<Relationship Id="rId3" Target="../comments17.xml" Type="http://schemas.openxmlformats.org/officeDocument/2006/relationships/comments"/>
</Relationships>

</file>

<file path=xl/worksheets/_rels/sheet27.xml.rels><?xml version="1.0" encoding="UTF-8" standalone="yes"?>
<Relationships xmlns="http://schemas.openxmlformats.org/package/2006/relationships">
<Relationship Id="rId1" Target="../printerSettings/printerSettings27.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28.bin" Type="http://schemas.openxmlformats.org/officeDocument/2006/relationships/printerSettings"/>
<Relationship Id="rId2" Target="../drawings/drawing10.xml" Type="http://schemas.openxmlformats.org/officeDocument/2006/relationships/drawing"/>
<Relationship Id="rId3" Target="../drawings/vmlDrawing18.vml" Type="http://schemas.openxmlformats.org/officeDocument/2006/relationships/vmlDrawing"/>
<Relationship Id="rId4" Target="../comments18.xml" Type="http://schemas.openxmlformats.org/officeDocument/2006/relationships/comments"/>
</Relationships>

</file>

<file path=xl/worksheets/_rels/sheet29.xml.rels><?xml version="1.0" encoding="UTF-8" standalone="yes"?>
<Relationships xmlns="http://schemas.openxmlformats.org/package/2006/relationships">
<Relationship Id="rId1" Target="../printerSettings/printerSettings29.bin" Type="http://schemas.openxmlformats.org/officeDocument/2006/relationships/printerSettings"/>
<Relationship Id="rId2" Target="../drawings/drawing11.xml" Type="http://schemas.openxmlformats.org/officeDocument/2006/relationships/drawing"/>
</Relationships>

</file>

<file path=xl/worksheets/_rels/sheet30.xml.rels><?xml version="1.0" encoding="UTF-8" standalone="yes"?>
<Relationships xmlns="http://schemas.openxmlformats.org/package/2006/relationships">
<Relationship Id="rId1" Target="../printerSettings/printerSettings30.bin" Type="http://schemas.openxmlformats.org/officeDocument/2006/relationships/printerSettings"/>
<Relationship Id="rId2" Target="../drawings/vmlDrawing19.vml" Type="http://schemas.openxmlformats.org/officeDocument/2006/relationships/vmlDrawing"/>
<Relationship Id="rId3" Target="../comments19.xml" Type="http://schemas.openxmlformats.org/officeDocument/2006/relationships/comments"/>
</Relationships>

</file>

<file path=xl/worksheets/_rels/sheet31.xml.rels><?xml version="1.0" encoding="UTF-8" standalone="yes"?>
<Relationships xmlns="http://schemas.openxmlformats.org/package/2006/relationships">
<Relationship Id="rId1" Target="../printerSettings/printerSettings31.bin" Type="http://schemas.openxmlformats.org/officeDocument/2006/relationships/printerSettings"/>
<Relationship Id="rId2" Target="../drawings/vmlDrawing20.vml" Type="http://schemas.openxmlformats.org/officeDocument/2006/relationships/vmlDrawing"/>
<Relationship Id="rId3" Target="../comments20.xml" Type="http://schemas.openxmlformats.org/officeDocument/2006/relationships/comments"/>
</Relationships>

</file>

<file path=xl/worksheets/_rels/sheet32.xml.rels><?xml version="1.0" encoding="UTF-8" standalone="yes"?>
<Relationships xmlns="http://schemas.openxmlformats.org/package/2006/relationships">
<Relationship Id="rId1" Target="../printerSettings/printerSettings32.bin" Type="http://schemas.openxmlformats.org/officeDocument/2006/relationships/printerSettings"/>
<Relationship Id="rId2" Target="../drawings/vmlDrawing21.vml" Type="http://schemas.openxmlformats.org/officeDocument/2006/relationships/vmlDrawing"/>
<Relationship Id="rId3" Target="../comments21.xml" Type="http://schemas.openxmlformats.org/officeDocument/2006/relationships/comments"/>
</Relationships>

</file>

<file path=xl/worksheets/_rels/sheet33.xml.rels><?xml version="1.0" encoding="UTF-8" standalone="yes"?>
<Relationships xmlns="http://schemas.openxmlformats.org/package/2006/relationships">
<Relationship Id="rId1" Target="../printerSettings/printerSettings33.bin" Type="http://schemas.openxmlformats.org/officeDocument/2006/relationships/printerSettings"/>
<Relationship Id="rId2" Target="../drawings/vmlDrawing22.vml" Type="http://schemas.openxmlformats.org/officeDocument/2006/relationships/vmlDrawing"/>
<Relationship Id="rId3" Target="../comments22.xml" Type="http://schemas.openxmlformats.org/officeDocument/2006/relationships/comments"/>
</Relationships>

</file>

<file path=xl/worksheets/_rels/sheet34.xml.rels><?xml version="1.0" encoding="UTF-8" standalone="yes"?>
<Relationships xmlns="http://schemas.openxmlformats.org/package/2006/relationships">
<Relationship Id="rId1" Target="../printerSettings/printerSettings34.bin" Type="http://schemas.openxmlformats.org/officeDocument/2006/relationships/printerSettings"/>
<Relationship Id="rId2" Target="../drawings/vmlDrawing23.vml" Type="http://schemas.openxmlformats.org/officeDocument/2006/relationships/vmlDrawing"/>
<Relationship Id="rId3" Target="../comments23.xml" Type="http://schemas.openxmlformats.org/officeDocument/2006/relationships/comments"/>
</Relationships>

</file>

<file path=xl/worksheets/_rels/sheet35.xml.rels><?xml version="1.0" encoding="UTF-8" standalone="yes"?>
<Relationships xmlns="http://schemas.openxmlformats.org/package/2006/relationships">
<Relationship Id="rId1" Target="../printerSettings/printerSettings35.bin" Type="http://schemas.openxmlformats.org/officeDocument/2006/relationships/printerSettings"/>
<Relationship Id="rId2" Target="../drawings/vmlDrawing24.vml" Type="http://schemas.openxmlformats.org/officeDocument/2006/relationships/vmlDrawing"/>
<Relationship Id="rId3" Target="../comments24.xml" Type="http://schemas.openxmlformats.org/officeDocument/2006/relationships/comments"/>
</Relationships>

</file>

<file path=xl/worksheets/_rels/sheet36.xml.rels><?xml version="1.0" encoding="UTF-8" standalone="yes"?>
<Relationships xmlns="http://schemas.openxmlformats.org/package/2006/relationships">
<Relationship Id="rId1" Target="../printerSettings/printerSettings36.bin" Type="http://schemas.openxmlformats.org/officeDocument/2006/relationships/printerSettings"/>
<Relationship Id="rId2" Target="../drawings/vmlDrawing25.vml" Type="http://schemas.openxmlformats.org/officeDocument/2006/relationships/vmlDrawing"/>
<Relationship Id="rId3" Target="../comments25.xml" Type="http://schemas.openxmlformats.org/officeDocument/2006/relationships/comments"/>
</Relationships>

</file>

<file path=xl/worksheets/_rels/sheet37.xml.rels><?xml version="1.0" encoding="UTF-8" standalone="yes"?>
<Relationships xmlns="http://schemas.openxmlformats.org/package/2006/relationships">
<Relationship Id="rId1" Target="../printerSettings/printerSettings37.bin" Type="http://schemas.openxmlformats.org/officeDocument/2006/relationships/printerSettings"/>
<Relationship Id="rId2" Target="../drawings/vmlDrawing26.vml" Type="http://schemas.openxmlformats.org/officeDocument/2006/relationships/vmlDrawing"/>
<Relationship Id="rId3" Target="../comments26.xml" Type="http://schemas.openxmlformats.org/officeDocument/2006/relationships/comments"/>
</Relationships>

</file>

<file path=xl/worksheets/_rels/sheet38.xml.rels><?xml version="1.0" encoding="UTF-8" standalone="yes"?>
<Relationships xmlns="http://schemas.openxmlformats.org/package/2006/relationships">
<Relationship Id="rId1" Target="../printerSettings/printerSettings38.bin" Type="http://schemas.openxmlformats.org/officeDocument/2006/relationships/printerSettings"/>
<Relationship Id="rId2" Target="../drawings/vmlDrawing27.vml" Type="http://schemas.openxmlformats.org/officeDocument/2006/relationships/vmlDrawing"/>
<Relationship Id="rId3" Target="../comments27.xml" Type="http://schemas.openxmlformats.org/officeDocument/2006/relationships/comments"/>
</Relationships>

</file>

<file path=xl/worksheets/_rels/sheet39.xml.rels><?xml version="1.0" encoding="UTF-8" standalone="yes"?>
<Relationships xmlns="http://schemas.openxmlformats.org/package/2006/relationships">
<Relationship Id="rId1" Target="../printerSettings/printerSettings39.bin" Type="http://schemas.openxmlformats.org/officeDocument/2006/relationships/printerSettings"/>
</Relationships>

</file>

<file path=xl/worksheets/_rels/sheet40.xml.rels><?xml version="1.0" encoding="UTF-8" standalone="yes"?>
<Relationships xmlns="http://schemas.openxmlformats.org/package/2006/relationships">
<Relationship Id="rId1" Target="../printerSettings/printerSettings40.bin" Type="http://schemas.openxmlformats.org/officeDocument/2006/relationships/printerSettings"/>
</Relationships>

</file>

<file path=xl/worksheets/_rels/sheet41.xml.rels><?xml version="1.0" encoding="UTF-8" standalone="yes"?>
<Relationships xmlns="http://schemas.openxmlformats.org/package/2006/relationships">
<Relationship Id="rId1" Target="../printerSettings/printerSettings41.bin" Type="http://schemas.openxmlformats.org/officeDocument/2006/relationships/printerSettings"/>
</Relationships>

</file>

<file path=xl/worksheets/_rels/sheet42.xml.rels><?xml version="1.0" encoding="UTF-8" standalone="yes"?>
<Relationships xmlns="http://schemas.openxmlformats.org/package/2006/relationships">
<Relationship Id="rId1" Target="../printerSettings/printerSettings4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84"/>
  <sheetViews>
    <sheetView showGridLines="0" tabSelected="1" workbookViewId="0">
      <selection activeCell="M24" sqref="M24"/>
    </sheetView>
  </sheetViews>
  <sheetFormatPr defaultRowHeight="12.75"/>
  <cols>
    <col min="1" max="1" width="25.625" style="4186" customWidth="1"/>
    <col min="2" max="5" width="9" style="4186"/>
    <col min="6" max="6" width="18.625" style="4186" customWidth="1"/>
    <col min="7" max="256" width="9" style="4186"/>
    <col min="257" max="257" width="88.125" style="4186" customWidth="1"/>
    <col min="258" max="512" width="9" style="4186"/>
    <col min="513" max="513" width="88.125" style="4186" customWidth="1"/>
    <col min="514" max="768" width="9" style="4186"/>
    <col min="769" max="769" width="88.125" style="4186" customWidth="1"/>
    <col min="770" max="1024" width="9" style="4186"/>
    <col min="1025" max="1025" width="88.125" style="4186" customWidth="1"/>
    <col min="1026" max="1280" width="9" style="4186"/>
    <col min="1281" max="1281" width="88.125" style="4186" customWidth="1"/>
    <col min="1282" max="1536" width="9" style="4186"/>
    <col min="1537" max="1537" width="88.125" style="4186" customWidth="1"/>
    <col min="1538" max="1792" width="9" style="4186"/>
    <col min="1793" max="1793" width="88.125" style="4186" customWidth="1"/>
    <col min="1794" max="2048" width="9" style="4186"/>
    <col min="2049" max="2049" width="88.125" style="4186" customWidth="1"/>
    <col min="2050" max="2304" width="9" style="4186"/>
    <col min="2305" max="2305" width="88.125" style="4186" customWidth="1"/>
    <col min="2306" max="2560" width="9" style="4186"/>
    <col min="2561" max="2561" width="88.125" style="4186" customWidth="1"/>
    <col min="2562" max="2816" width="9" style="4186"/>
    <col min="2817" max="2817" width="88.125" style="4186" customWidth="1"/>
    <col min="2818" max="3072" width="9" style="4186"/>
    <col min="3073" max="3073" width="88.125" style="4186" customWidth="1"/>
    <col min="3074" max="3328" width="9" style="4186"/>
    <col min="3329" max="3329" width="88.125" style="4186" customWidth="1"/>
    <col min="3330" max="3584" width="9" style="4186"/>
    <col min="3585" max="3585" width="88.125" style="4186" customWidth="1"/>
    <col min="3586" max="3840" width="9" style="4186"/>
    <col min="3841" max="3841" width="88.125" style="4186" customWidth="1"/>
    <col min="3842" max="4096" width="9" style="4186"/>
    <col min="4097" max="4097" width="88.125" style="4186" customWidth="1"/>
    <col min="4098" max="4352" width="9" style="4186"/>
    <col min="4353" max="4353" width="88.125" style="4186" customWidth="1"/>
    <col min="4354" max="4608" width="9" style="4186"/>
    <col min="4609" max="4609" width="88.125" style="4186" customWidth="1"/>
    <col min="4610" max="4864" width="9" style="4186"/>
    <col min="4865" max="4865" width="88.125" style="4186" customWidth="1"/>
    <col min="4866" max="5120" width="9" style="4186"/>
    <col min="5121" max="5121" width="88.125" style="4186" customWidth="1"/>
    <col min="5122" max="5376" width="9" style="4186"/>
    <col min="5377" max="5377" width="88.125" style="4186" customWidth="1"/>
    <col min="5378" max="5632" width="9" style="4186"/>
    <col min="5633" max="5633" width="88.125" style="4186" customWidth="1"/>
    <col min="5634" max="5888" width="9" style="4186"/>
    <col min="5889" max="5889" width="88.125" style="4186" customWidth="1"/>
    <col min="5890" max="6144" width="9" style="4186"/>
    <col min="6145" max="6145" width="88.125" style="4186" customWidth="1"/>
    <col min="6146" max="6400" width="9" style="4186"/>
    <col min="6401" max="6401" width="88.125" style="4186" customWidth="1"/>
    <col min="6402" max="6656" width="9" style="4186"/>
    <col min="6657" max="6657" width="88.125" style="4186" customWidth="1"/>
    <col min="6658" max="6912" width="9" style="4186"/>
    <col min="6913" max="6913" width="88.125" style="4186" customWidth="1"/>
    <col min="6914" max="7168" width="9" style="4186"/>
    <col min="7169" max="7169" width="88.125" style="4186" customWidth="1"/>
    <col min="7170" max="7424" width="9" style="4186"/>
    <col min="7425" max="7425" width="88.125" style="4186" customWidth="1"/>
    <col min="7426" max="7680" width="9" style="4186"/>
    <col min="7681" max="7681" width="88.125" style="4186" customWidth="1"/>
    <col min="7682" max="7936" width="9" style="4186"/>
    <col min="7937" max="7937" width="88.125" style="4186" customWidth="1"/>
    <col min="7938" max="8192" width="9" style="4186"/>
    <col min="8193" max="8193" width="88.125" style="4186" customWidth="1"/>
    <col min="8194" max="8448" width="9" style="4186"/>
    <col min="8449" max="8449" width="88.125" style="4186" customWidth="1"/>
    <col min="8450" max="8704" width="9" style="4186"/>
    <col min="8705" max="8705" width="88.125" style="4186" customWidth="1"/>
    <col min="8706" max="8960" width="9" style="4186"/>
    <col min="8961" max="8961" width="88.125" style="4186" customWidth="1"/>
    <col min="8962" max="9216" width="9" style="4186"/>
    <col min="9217" max="9217" width="88.125" style="4186" customWidth="1"/>
    <col min="9218" max="9472" width="9" style="4186"/>
    <col min="9473" max="9473" width="88.125" style="4186" customWidth="1"/>
    <col min="9474" max="9728" width="9" style="4186"/>
    <col min="9729" max="9729" width="88.125" style="4186" customWidth="1"/>
    <col min="9730" max="9984" width="9" style="4186"/>
    <col min="9985" max="9985" width="88.125" style="4186" customWidth="1"/>
    <col min="9986" max="10240" width="9" style="4186"/>
    <col min="10241" max="10241" width="88.125" style="4186" customWidth="1"/>
    <col min="10242" max="10496" width="9" style="4186"/>
    <col min="10497" max="10497" width="88.125" style="4186" customWidth="1"/>
    <col min="10498" max="10752" width="9" style="4186"/>
    <col min="10753" max="10753" width="88.125" style="4186" customWidth="1"/>
    <col min="10754" max="11008" width="9" style="4186"/>
    <col min="11009" max="11009" width="88.125" style="4186" customWidth="1"/>
    <col min="11010" max="11264" width="9" style="4186"/>
    <col min="11265" max="11265" width="88.125" style="4186" customWidth="1"/>
    <col min="11266" max="11520" width="9" style="4186"/>
    <col min="11521" max="11521" width="88.125" style="4186" customWidth="1"/>
    <col min="11522" max="11776" width="9" style="4186"/>
    <col min="11777" max="11777" width="88.125" style="4186" customWidth="1"/>
    <col min="11778" max="12032" width="9" style="4186"/>
    <col min="12033" max="12033" width="88.125" style="4186" customWidth="1"/>
    <col min="12034" max="12288" width="9" style="4186"/>
    <col min="12289" max="12289" width="88.125" style="4186" customWidth="1"/>
    <col min="12290" max="12544" width="9" style="4186"/>
    <col min="12545" max="12545" width="88.125" style="4186" customWidth="1"/>
    <col min="12546" max="12800" width="9" style="4186"/>
    <col min="12801" max="12801" width="88.125" style="4186" customWidth="1"/>
    <col min="12802" max="13056" width="9" style="4186"/>
    <col min="13057" max="13057" width="88.125" style="4186" customWidth="1"/>
    <col min="13058" max="13312" width="9" style="4186"/>
    <col min="13313" max="13313" width="88.125" style="4186" customWidth="1"/>
    <col min="13314" max="13568" width="9" style="4186"/>
    <col min="13569" max="13569" width="88.125" style="4186" customWidth="1"/>
    <col min="13570" max="13824" width="9" style="4186"/>
    <col min="13825" max="13825" width="88.125" style="4186" customWidth="1"/>
    <col min="13826" max="14080" width="9" style="4186"/>
    <col min="14081" max="14081" width="88.125" style="4186" customWidth="1"/>
    <col min="14082" max="14336" width="9" style="4186"/>
    <col min="14337" max="14337" width="88.125" style="4186" customWidth="1"/>
    <col min="14338" max="14592" width="9" style="4186"/>
    <col min="14593" max="14593" width="88.125" style="4186" customWidth="1"/>
    <col min="14594" max="14848" width="9" style="4186"/>
    <col min="14849" max="14849" width="88.125" style="4186" customWidth="1"/>
    <col min="14850" max="15104" width="9" style="4186"/>
    <col min="15105" max="15105" width="88.125" style="4186" customWidth="1"/>
    <col min="15106" max="15360" width="9" style="4186"/>
    <col min="15361" max="15361" width="88.125" style="4186" customWidth="1"/>
    <col min="15362" max="15616" width="9" style="4186"/>
    <col min="15617" max="15617" width="88.125" style="4186" customWidth="1"/>
    <col min="15618" max="15872" width="9" style="4186"/>
    <col min="15873" max="15873" width="88.125" style="4186" customWidth="1"/>
    <col min="15874" max="16128" width="9" style="4186"/>
    <col min="16129" max="16129" width="88.125" style="4186" customWidth="1"/>
    <col min="16130" max="16384" width="9" style="4186"/>
  </cols>
  <sheetData>
    <row r="1" spans="1:8" ht="30" customHeight="1">
      <c r="A1" s="4184"/>
      <c r="B1" s="4185"/>
      <c r="C1" s="4185"/>
      <c r="D1" s="4185"/>
      <c r="E1" s="4185"/>
      <c r="F1" s="4185"/>
      <c r="G1" s="4185"/>
      <c r="H1" s="4185"/>
    </row>
    <row r="2" spans="1:8" ht="14.25">
      <c r="A2" s="4187" t="s">
        <v>2022</v>
      </c>
      <c r="B2" s="4185"/>
      <c r="C2" s="4185"/>
      <c r="D2" s="4185"/>
      <c r="E2" s="4185"/>
      <c r="F2" s="4185"/>
      <c r="G2" s="4185"/>
      <c r="H2" s="4185"/>
    </row>
    <row r="3" spans="1:8" ht="14.25">
      <c r="A3" s="4187" t="s">
        <v>2023</v>
      </c>
      <c r="B3" s="4185"/>
      <c r="C3" s="4185"/>
      <c r="D3" s="4185"/>
      <c r="E3" s="4185"/>
      <c r="F3" s="4185"/>
      <c r="G3" s="4185"/>
      <c r="H3" s="4185"/>
    </row>
    <row r="4" spans="1:8" ht="14.25">
      <c r="A4" s="4187" t="s">
        <v>2024</v>
      </c>
      <c r="B4" s="4185"/>
      <c r="C4" s="4185"/>
      <c r="D4" s="4185"/>
      <c r="E4" s="4185"/>
      <c r="F4" s="4185"/>
      <c r="G4" s="4185"/>
      <c r="H4" s="4185"/>
    </row>
    <row r="5" spans="1:8" ht="14.25">
      <c r="A5" s="4187" t="s">
        <v>2025</v>
      </c>
      <c r="B5" s="4185"/>
      <c r="C5" s="4185"/>
      <c r="D5" s="4185"/>
      <c r="E5" s="4185"/>
      <c r="F5" s="4185"/>
      <c r="G5" s="4185"/>
      <c r="H5" s="4185"/>
    </row>
    <row r="6" spans="1:8" ht="14.25">
      <c r="A6" s="4187"/>
      <c r="B6" s="4185"/>
      <c r="C6" s="4185"/>
      <c r="D6" s="4185"/>
      <c r="E6" s="4185"/>
      <c r="F6" s="4185"/>
      <c r="G6" s="4185"/>
      <c r="H6" s="4185"/>
    </row>
    <row r="7" spans="1:8">
      <c r="A7" s="4184" t="s">
        <v>2026</v>
      </c>
      <c r="B7" s="4185"/>
      <c r="C7" s="4185"/>
      <c r="D7" s="4185"/>
      <c r="E7" s="4185"/>
      <c r="F7" s="4185"/>
      <c r="G7" s="4185"/>
      <c r="H7" s="4185"/>
    </row>
    <row r="8" spans="1:8">
      <c r="A8" s="4184" t="s">
        <v>2027</v>
      </c>
      <c r="B8" s="4185"/>
      <c r="C8" s="4185"/>
      <c r="D8" s="4185"/>
      <c r="E8" s="4185"/>
      <c r="F8" s="4185"/>
      <c r="G8" s="4185"/>
      <c r="H8" s="4185"/>
    </row>
    <row r="9" spans="1:8">
      <c r="A9" s="4184"/>
      <c r="B9" s="4185"/>
      <c r="C9" s="4185"/>
      <c r="D9" s="4185"/>
      <c r="E9" s="4185"/>
      <c r="F9" s="4185"/>
      <c r="G9" s="4185"/>
      <c r="H9" s="4185"/>
    </row>
    <row r="10" spans="1:8">
      <c r="A10" s="4188" t="s">
        <v>2028</v>
      </c>
      <c r="B10" s="4185"/>
      <c r="C10" s="4185"/>
      <c r="D10" s="4185"/>
      <c r="E10" s="4185"/>
      <c r="F10" s="4185"/>
      <c r="G10" s="4185"/>
      <c r="H10" s="4185"/>
    </row>
    <row r="11" spans="1:8">
      <c r="A11" s="4188" t="s">
        <v>2029</v>
      </c>
      <c r="B11" s="4185"/>
      <c r="C11" s="4185"/>
      <c r="D11" s="4185"/>
      <c r="E11" s="4185"/>
      <c r="F11" s="4185"/>
      <c r="G11" s="4185"/>
      <c r="H11" s="4185"/>
    </row>
    <row r="12" spans="1:8">
      <c r="A12" s="4188" t="s">
        <v>2030</v>
      </c>
      <c r="B12" s="4185"/>
      <c r="C12" s="4185"/>
      <c r="D12" s="4185"/>
      <c r="E12" s="4185"/>
      <c r="F12" s="4185"/>
      <c r="G12" s="4185"/>
      <c r="H12" s="4185"/>
    </row>
    <row r="13" spans="1:8">
      <c r="A13" s="4188" t="s">
        <v>2031</v>
      </c>
      <c r="B13" s="4185"/>
      <c r="C13" s="4185"/>
      <c r="D13" s="4185"/>
      <c r="E13" s="4185"/>
      <c r="F13" s="4185"/>
      <c r="G13" s="4185"/>
      <c r="H13" s="4185"/>
    </row>
    <row r="14" spans="1:8">
      <c r="A14" s="4188" t="s">
        <v>2032</v>
      </c>
      <c r="B14" s="4185"/>
      <c r="C14" s="4185"/>
      <c r="D14" s="4185"/>
      <c r="E14" s="4185"/>
      <c r="F14" s="4185"/>
      <c r="G14" s="4185"/>
      <c r="H14" s="4185"/>
    </row>
    <row r="15" spans="1:8">
      <c r="A15" s="4188" t="s">
        <v>2377</v>
      </c>
      <c r="B15" s="4185"/>
      <c r="C15" s="4185"/>
      <c r="D15" s="4185"/>
      <c r="E15" s="4185"/>
      <c r="F15" s="4185"/>
      <c r="G15" s="4185"/>
      <c r="H15" s="4185"/>
    </row>
    <row r="16" spans="1:8">
      <c r="A16" s="4188"/>
      <c r="B16" s="4185"/>
      <c r="C16" s="4185"/>
      <c r="D16" s="4185"/>
      <c r="E16" s="4185"/>
      <c r="F16" s="4185"/>
      <c r="G16" s="4185"/>
      <c r="H16" s="4185"/>
    </row>
    <row r="17" spans="1:8">
      <c r="A17" s="4188" t="s">
        <v>2019</v>
      </c>
      <c r="B17" s="4185"/>
      <c r="C17" s="4185"/>
      <c r="D17" s="4185"/>
      <c r="E17" s="4185"/>
      <c r="F17" s="4185"/>
      <c r="G17" s="4185"/>
      <c r="H17" s="4185"/>
    </row>
    <row r="18" spans="1:8">
      <c r="A18" s="4188"/>
      <c r="B18" s="4185"/>
      <c r="C18" s="4185"/>
      <c r="D18" s="4185"/>
      <c r="E18" s="4185"/>
      <c r="F18" s="4185"/>
      <c r="G18" s="4185"/>
      <c r="H18" s="4185"/>
    </row>
    <row r="19" spans="1:8">
      <c r="A19" s="4188" t="s">
        <v>2020</v>
      </c>
      <c r="B19" s="4185"/>
      <c r="C19" s="4185"/>
      <c r="D19" s="4185"/>
      <c r="E19" s="4185"/>
      <c r="F19" s="4185"/>
      <c r="G19" s="4185"/>
      <c r="H19" s="4185"/>
    </row>
    <row r="20" spans="1:8">
      <c r="A20" s="4184"/>
      <c r="B20" s="4185"/>
      <c r="C20" s="4185"/>
      <c r="D20" s="4185"/>
      <c r="E20" s="4185"/>
      <c r="F20" s="4185"/>
      <c r="G20" s="4185"/>
      <c r="H20" s="4185"/>
    </row>
    <row r="21" spans="1:8">
      <c r="A21" s="4189" t="s">
        <v>2021</v>
      </c>
      <c r="B21" s="4185"/>
      <c r="C21" s="4185"/>
      <c r="D21" s="4185"/>
      <c r="E21" s="4185"/>
      <c r="F21" s="4185"/>
      <c r="G21" s="4185"/>
      <c r="H21" s="4185"/>
    </row>
    <row r="22" spans="1:8" ht="15.75">
      <c r="A22" s="4190"/>
      <c r="B22" s="4190"/>
      <c r="C22" s="4190"/>
      <c r="D22" s="4190"/>
      <c r="E22" s="4190"/>
      <c r="F22" s="4190"/>
      <c r="G22" s="4190"/>
      <c r="H22" s="4190"/>
    </row>
    <row r="23" spans="1:8" ht="15.75">
      <c r="A23" s="4191" t="s">
        <v>2305</v>
      </c>
      <c r="B23" s="4190"/>
      <c r="C23" s="4190"/>
      <c r="D23" s="4190"/>
      <c r="E23" s="4190"/>
      <c r="F23" s="4190"/>
      <c r="G23" s="4190"/>
      <c r="H23" s="4190"/>
    </row>
    <row r="24" spans="1:8" ht="15.75">
      <c r="A24" s="4191" t="s">
        <v>2306</v>
      </c>
      <c r="B24" s="4190"/>
      <c r="C24" s="4190"/>
      <c r="D24" s="4190"/>
      <c r="E24" s="4190"/>
      <c r="F24" s="4190"/>
      <c r="G24" s="4190"/>
      <c r="H24" s="4190"/>
    </row>
    <row r="25" spans="1:8" ht="15.75">
      <c r="A25" s="4191" t="s">
        <v>2307</v>
      </c>
      <c r="B25" s="4190"/>
      <c r="C25" s="4190"/>
      <c r="D25" s="4190"/>
      <c r="E25" s="4190"/>
      <c r="F25" s="4190"/>
      <c r="G25" s="4190"/>
      <c r="H25" s="4190"/>
    </row>
    <row r="26" spans="1:8" ht="15.75">
      <c r="A26" s="4191" t="s">
        <v>2308</v>
      </c>
      <c r="B26" s="4190"/>
      <c r="C26" s="4190"/>
      <c r="D26" s="4190"/>
      <c r="E26" s="4190"/>
      <c r="F26" s="4190"/>
      <c r="G26" s="4190"/>
      <c r="H26" s="4190"/>
    </row>
    <row r="27" spans="1:8" ht="15.75">
      <c r="A27" s="4190"/>
      <c r="B27" s="4190"/>
      <c r="C27" s="4190"/>
      <c r="D27" s="4190"/>
      <c r="E27" s="4190"/>
      <c r="F27" s="4190"/>
      <c r="G27" s="4190"/>
      <c r="H27" s="4190"/>
    </row>
    <row r="28" spans="1:8" ht="15.75">
      <c r="A28" s="4190"/>
      <c r="B28" s="4190"/>
      <c r="C28" s="4190"/>
      <c r="D28" s="4190"/>
      <c r="E28" s="4190"/>
      <c r="F28" s="4190"/>
      <c r="G28" s="4190"/>
      <c r="H28" s="4190"/>
    </row>
    <row r="29" spans="1:8" ht="15.75">
      <c r="A29" s="4191" t="s">
        <v>2300</v>
      </c>
      <c r="B29" s="4190"/>
      <c r="C29" s="4190"/>
      <c r="D29" s="4190"/>
      <c r="E29" s="4190"/>
      <c r="F29" s="4190"/>
      <c r="G29" s="4190"/>
      <c r="H29" s="4190"/>
    </row>
    <row r="30" spans="1:8" ht="15.75">
      <c r="A30" s="4191" t="s">
        <v>2301</v>
      </c>
      <c r="B30" s="4190"/>
      <c r="C30" s="4190"/>
      <c r="D30" s="4190"/>
      <c r="E30" s="4190"/>
      <c r="F30" s="4190"/>
      <c r="G30" s="4190"/>
      <c r="H30" s="4190"/>
    </row>
    <row r="31" spans="1:8" ht="15.75">
      <c r="A31" s="4191" t="s">
        <v>2302</v>
      </c>
      <c r="B31" s="4190"/>
      <c r="C31" s="4190"/>
      <c r="D31" s="4190"/>
      <c r="E31" s="4190"/>
      <c r="F31" s="4190"/>
      <c r="G31" s="4190"/>
      <c r="H31" s="4190"/>
    </row>
    <row r="32" spans="1:8" ht="15.75">
      <c r="A32" s="4191" t="s">
        <v>2303</v>
      </c>
      <c r="B32" s="4190"/>
      <c r="C32" s="4190"/>
      <c r="D32" s="4190"/>
      <c r="E32" s="4190"/>
      <c r="F32" s="4190"/>
      <c r="G32" s="4190"/>
      <c r="H32" s="4190"/>
    </row>
    <row r="33" spans="1:8" ht="15.75">
      <c r="A33" s="4191" t="s">
        <v>2304</v>
      </c>
      <c r="B33" s="4190"/>
      <c r="C33" s="4190"/>
      <c r="D33" s="4190"/>
      <c r="E33" s="4190"/>
      <c r="F33" s="4190"/>
      <c r="G33" s="4190"/>
      <c r="H33" s="4190"/>
    </row>
    <row r="34" spans="1:8" ht="15.75">
      <c r="A34" s="4190"/>
      <c r="B34" s="4190"/>
      <c r="C34" s="4190"/>
      <c r="D34" s="4190"/>
      <c r="E34" s="4190"/>
      <c r="F34" s="4190"/>
      <c r="G34" s="4190"/>
      <c r="H34" s="4190"/>
    </row>
    <row r="35" spans="1:8" ht="15.75">
      <c r="A35" s="4191" t="s">
        <v>2296</v>
      </c>
      <c r="B35" s="4190"/>
      <c r="C35" s="4190"/>
      <c r="D35" s="4190"/>
      <c r="E35" s="4190"/>
      <c r="F35" s="4190"/>
      <c r="G35" s="4190"/>
      <c r="H35" s="4190"/>
    </row>
    <row r="36" spans="1:8" ht="15.75">
      <c r="A36" s="4191" t="s">
        <v>2297</v>
      </c>
      <c r="B36" s="4190"/>
      <c r="C36" s="4190"/>
      <c r="D36" s="4190"/>
      <c r="E36" s="4190"/>
      <c r="F36" s="4190"/>
      <c r="G36" s="4190"/>
      <c r="H36" s="4190"/>
    </row>
    <row r="37" spans="1:8" ht="15.75">
      <c r="A37" s="4191" t="s">
        <v>2298</v>
      </c>
      <c r="B37" s="4190"/>
      <c r="C37" s="4190"/>
      <c r="D37" s="4190"/>
      <c r="E37" s="4190"/>
      <c r="F37" s="4190"/>
      <c r="G37" s="4190"/>
      <c r="H37" s="4190"/>
    </row>
    <row r="38" spans="1:8" ht="15.75">
      <c r="A38" s="4191" t="s">
        <v>2299</v>
      </c>
      <c r="B38" s="4190"/>
      <c r="C38" s="4190"/>
      <c r="D38" s="4190"/>
      <c r="E38" s="4190"/>
      <c r="F38" s="4190"/>
      <c r="G38" s="4190"/>
      <c r="H38" s="4190"/>
    </row>
    <row r="39" spans="1:8" ht="15.75">
      <c r="A39" s="4190"/>
      <c r="B39" s="4190"/>
      <c r="C39" s="4190"/>
      <c r="D39" s="4190"/>
      <c r="E39" s="4190"/>
      <c r="F39" s="4190"/>
      <c r="G39" s="4190"/>
      <c r="H39" s="4190"/>
    </row>
    <row r="40" spans="1:8" ht="15.75">
      <c r="A40" s="4191" t="s">
        <v>2290</v>
      </c>
      <c r="B40" s="4190"/>
      <c r="C40" s="4190"/>
      <c r="D40" s="4190"/>
      <c r="E40" s="4190"/>
      <c r="F40" s="4190"/>
      <c r="G40" s="4190"/>
      <c r="H40" s="4190"/>
    </row>
    <row r="41" spans="1:8" ht="15.75">
      <c r="A41" s="4191" t="s">
        <v>2291</v>
      </c>
      <c r="B41" s="4190"/>
      <c r="C41" s="4190"/>
      <c r="D41" s="4190"/>
      <c r="E41" s="4190"/>
      <c r="F41" s="4190"/>
      <c r="G41" s="4190"/>
      <c r="H41" s="4190"/>
    </row>
    <row r="42" spans="1:8" ht="15.75">
      <c r="A42" s="4191" t="s">
        <v>2292</v>
      </c>
      <c r="B42" s="4190"/>
      <c r="C42" s="4190"/>
      <c r="D42" s="4190"/>
      <c r="E42" s="4190"/>
      <c r="F42" s="4190"/>
      <c r="G42" s="4190"/>
      <c r="H42" s="4190"/>
    </row>
    <row r="43" spans="1:8" ht="15.75">
      <c r="A43" s="4191" t="s">
        <v>2293</v>
      </c>
      <c r="B43" s="4190"/>
      <c r="C43" s="4190"/>
      <c r="D43" s="4190"/>
      <c r="E43" s="4190"/>
      <c r="F43" s="4190"/>
      <c r="G43" s="4190"/>
      <c r="H43" s="4190"/>
    </row>
    <row r="44" spans="1:8" ht="15.75">
      <c r="A44" s="4191" t="s">
        <v>2294</v>
      </c>
      <c r="B44" s="4190"/>
      <c r="C44" s="4190"/>
      <c r="D44" s="4190"/>
      <c r="E44" s="4190"/>
      <c r="F44" s="4190"/>
      <c r="G44" s="4190"/>
      <c r="H44" s="4190"/>
    </row>
    <row r="45" spans="1:8" ht="15.75">
      <c r="A45" s="4191" t="s">
        <v>2295</v>
      </c>
      <c r="B45" s="4190"/>
      <c r="C45" s="4190"/>
      <c r="D45" s="4190"/>
      <c r="E45" s="4190"/>
      <c r="F45" s="4190"/>
      <c r="G45" s="4190"/>
      <c r="H45" s="4190"/>
    </row>
    <row r="46" spans="1:8" ht="15.75">
      <c r="A46" s="4190"/>
      <c r="B46" s="4190"/>
      <c r="C46" s="4190"/>
      <c r="D46" s="4190"/>
      <c r="E46" s="4190"/>
      <c r="F46" s="4190"/>
      <c r="G46" s="4190"/>
      <c r="H46" s="4190"/>
    </row>
    <row r="47" spans="1:8" ht="15.75">
      <c r="A47" s="4192" t="s">
        <v>2033</v>
      </c>
      <c r="B47" s="4190"/>
      <c r="C47" s="4190"/>
      <c r="D47" s="4190"/>
      <c r="E47" s="4190"/>
      <c r="F47" s="4190"/>
      <c r="G47" s="4190"/>
      <c r="H47" s="4190"/>
    </row>
    <row r="48" spans="1:8" ht="15.75">
      <c r="A48" s="4190"/>
      <c r="B48" s="4190"/>
      <c r="C48" s="4190"/>
      <c r="D48" s="4190"/>
      <c r="E48" s="4190"/>
      <c r="F48" s="4190"/>
      <c r="G48" s="4190"/>
      <c r="H48" s="4190"/>
    </row>
    <row r="49" spans="1:8" ht="15.75">
      <c r="A49" s="4191" t="s">
        <v>2286</v>
      </c>
      <c r="B49" s="4190"/>
      <c r="C49" s="4190"/>
      <c r="D49" s="4190"/>
      <c r="E49" s="4190"/>
      <c r="F49" s="4190"/>
      <c r="G49" s="4190"/>
      <c r="H49" s="4190"/>
    </row>
    <row r="50" spans="1:8" ht="15.75">
      <c r="A50" s="4191" t="s">
        <v>2287</v>
      </c>
      <c r="B50" s="4190"/>
      <c r="C50" s="4190"/>
      <c r="D50" s="4190"/>
      <c r="E50" s="4190"/>
      <c r="F50" s="4190"/>
      <c r="G50" s="4190"/>
      <c r="H50" s="4190"/>
    </row>
    <row r="51" spans="1:8" ht="15.75">
      <c r="A51" s="4191" t="s">
        <v>2288</v>
      </c>
      <c r="B51" s="4190"/>
      <c r="C51" s="4190"/>
      <c r="D51" s="4190"/>
      <c r="E51" s="4190"/>
      <c r="F51" s="4190"/>
      <c r="G51" s="4190"/>
      <c r="H51" s="4190"/>
    </row>
    <row r="52" spans="1:8" ht="15.75">
      <c r="A52" s="4191" t="s">
        <v>2289</v>
      </c>
      <c r="B52" s="4190"/>
      <c r="C52" s="4190"/>
      <c r="D52" s="4190"/>
      <c r="E52" s="4190"/>
      <c r="F52" s="4190"/>
      <c r="G52" s="4190"/>
      <c r="H52" s="4190"/>
    </row>
    <row r="53" spans="1:8" ht="15.75">
      <c r="A53" s="4190"/>
      <c r="B53" s="4190"/>
      <c r="C53" s="4190"/>
      <c r="D53" s="4190"/>
      <c r="E53" s="4190"/>
      <c r="F53" s="4190"/>
      <c r="G53" s="4190"/>
      <c r="H53" s="4190"/>
    </row>
    <row r="54" spans="1:8" ht="15.75">
      <c r="A54" s="4191" t="s">
        <v>2034</v>
      </c>
      <c r="B54" s="4190"/>
      <c r="C54" s="4190"/>
      <c r="D54" s="4190"/>
      <c r="E54" s="4190"/>
      <c r="F54" s="4190"/>
      <c r="G54" s="4190"/>
      <c r="H54" s="4190"/>
    </row>
    <row r="55" spans="1:8" ht="15.75">
      <c r="A55" s="4190"/>
      <c r="B55" s="4190"/>
      <c r="C55" s="4190"/>
      <c r="D55" s="4190"/>
      <c r="E55" s="4190"/>
      <c r="F55" s="4190"/>
      <c r="G55" s="4190"/>
      <c r="H55" s="4190"/>
    </row>
    <row r="56" spans="1:8" ht="15.75">
      <c r="A56" s="4192" t="s">
        <v>2035</v>
      </c>
      <c r="B56" s="4190"/>
      <c r="C56" s="4190"/>
      <c r="D56" s="4190"/>
      <c r="E56" s="4190"/>
      <c r="F56" s="4190"/>
      <c r="G56" s="4190"/>
      <c r="H56" s="4190"/>
    </row>
    <row r="57" spans="1:8" ht="15.75">
      <c r="A57" s="4190"/>
      <c r="B57" s="4190"/>
      <c r="C57" s="4190"/>
      <c r="D57" s="4190"/>
      <c r="E57" s="4190"/>
      <c r="F57" s="4190"/>
      <c r="G57" s="4190"/>
      <c r="H57" s="4190"/>
    </row>
    <row r="58" spans="1:8" ht="15.75">
      <c r="A58" s="4191" t="s">
        <v>2284</v>
      </c>
      <c r="B58" s="4190"/>
      <c r="C58" s="4190"/>
      <c r="D58" s="4190"/>
      <c r="E58" s="4190"/>
      <c r="F58" s="4190"/>
      <c r="G58" s="4190"/>
      <c r="H58" s="4190"/>
    </row>
    <row r="59" spans="1:8" ht="15.75">
      <c r="A59" s="4191" t="s">
        <v>2285</v>
      </c>
      <c r="B59" s="4190"/>
      <c r="C59" s="4190"/>
      <c r="D59" s="4190"/>
      <c r="E59" s="4190"/>
      <c r="F59" s="4190"/>
      <c r="G59" s="4190"/>
      <c r="H59" s="4190"/>
    </row>
    <row r="60" spans="1:8" ht="15.75">
      <c r="A60" s="4190"/>
      <c r="B60" s="4190"/>
      <c r="C60" s="4190"/>
      <c r="D60" s="4190"/>
      <c r="E60" s="4190"/>
      <c r="F60" s="4190"/>
      <c r="G60" s="4190"/>
      <c r="H60" s="4190"/>
    </row>
    <row r="61" spans="1:8" ht="15.75">
      <c r="A61" s="4192" t="s">
        <v>2036</v>
      </c>
      <c r="B61" s="4190"/>
      <c r="C61" s="4190"/>
      <c r="D61" s="4190"/>
      <c r="E61" s="4190"/>
      <c r="F61" s="4190"/>
      <c r="G61" s="4190"/>
      <c r="H61" s="4190"/>
    </row>
    <row r="62" spans="1:8" ht="15.75">
      <c r="A62" s="4190"/>
      <c r="B62" s="4190"/>
      <c r="C62" s="4190"/>
      <c r="D62" s="4190"/>
      <c r="E62" s="4190"/>
      <c r="F62" s="4190"/>
      <c r="G62" s="4190"/>
      <c r="H62" s="4190"/>
    </row>
    <row r="63" spans="1:8" ht="15.75">
      <c r="A63" s="4191" t="s">
        <v>2282</v>
      </c>
      <c r="B63" s="4190"/>
      <c r="C63" s="4190"/>
      <c r="D63" s="4190"/>
      <c r="E63" s="4190"/>
      <c r="F63" s="4190"/>
      <c r="G63" s="4190"/>
      <c r="H63" s="4190"/>
    </row>
    <row r="64" spans="1:8" ht="15.75">
      <c r="A64" s="4191" t="s">
        <v>2283</v>
      </c>
      <c r="B64" s="4190"/>
      <c r="C64" s="4190"/>
      <c r="D64" s="4190"/>
      <c r="E64" s="4190"/>
      <c r="F64" s="4190"/>
      <c r="G64" s="4190"/>
      <c r="H64" s="4190"/>
    </row>
    <row r="65" spans="1:8" ht="15.75">
      <c r="A65" s="4190"/>
      <c r="B65" s="4190"/>
      <c r="C65" s="4190"/>
      <c r="D65" s="4190"/>
      <c r="E65" s="4190"/>
      <c r="F65" s="4190"/>
      <c r="G65" s="4190"/>
      <c r="H65" s="4190"/>
    </row>
    <row r="66" spans="1:8" ht="15.75">
      <c r="A66" s="4191" t="s">
        <v>2280</v>
      </c>
      <c r="B66" s="4190"/>
      <c r="C66" s="4190"/>
      <c r="D66" s="4190"/>
      <c r="E66" s="4190"/>
      <c r="F66" s="4190"/>
      <c r="G66" s="4190"/>
      <c r="H66" s="4190"/>
    </row>
    <row r="67" spans="1:8" ht="15.75">
      <c r="A67" s="4191" t="s">
        <v>2281</v>
      </c>
      <c r="B67" s="4190"/>
      <c r="C67" s="4190"/>
      <c r="D67" s="4190"/>
      <c r="E67" s="4190"/>
      <c r="F67" s="4190"/>
      <c r="G67" s="4190"/>
      <c r="H67" s="4190"/>
    </row>
    <row r="68" spans="1:8" ht="15.75">
      <c r="A68" s="4190"/>
      <c r="B68" s="4190"/>
      <c r="C68" s="4190"/>
      <c r="D68" s="4190"/>
      <c r="E68" s="4190"/>
      <c r="F68" s="4190"/>
      <c r="G68" s="4190"/>
      <c r="H68" s="4190"/>
    </row>
    <row r="69" spans="1:8" ht="15.75">
      <c r="A69" s="4191" t="s">
        <v>2037</v>
      </c>
      <c r="B69" s="4190"/>
      <c r="C69" s="4190"/>
      <c r="D69" s="4190"/>
      <c r="E69" s="4190"/>
      <c r="F69" s="4190"/>
      <c r="G69" s="4190"/>
      <c r="H69" s="4190"/>
    </row>
    <row r="70" spans="1:8" ht="15.75">
      <c r="A70" s="4190"/>
      <c r="B70" s="4190"/>
      <c r="C70" s="4190"/>
      <c r="D70" s="4190"/>
      <c r="E70" s="4190"/>
      <c r="F70" s="4190"/>
      <c r="G70" s="4190"/>
      <c r="H70" s="4190"/>
    </row>
    <row r="71" spans="1:8" ht="15.75">
      <c r="A71" s="4191" t="s">
        <v>2275</v>
      </c>
      <c r="B71" s="4190"/>
      <c r="C71" s="4190"/>
      <c r="D71" s="4190"/>
      <c r="E71" s="4190"/>
      <c r="F71" s="4190"/>
      <c r="G71" s="4190"/>
      <c r="H71" s="4190"/>
    </row>
    <row r="72" spans="1:8" ht="15.75">
      <c r="A72" s="4191" t="s">
        <v>2276</v>
      </c>
      <c r="B72" s="4190"/>
      <c r="C72" s="4190"/>
      <c r="D72" s="4190"/>
      <c r="E72" s="4190"/>
      <c r="F72" s="4190"/>
      <c r="G72" s="4190"/>
      <c r="H72" s="4190"/>
    </row>
    <row r="73" spans="1:8" ht="15.75">
      <c r="A73" s="4191" t="s">
        <v>2277</v>
      </c>
      <c r="B73" s="4190"/>
      <c r="C73" s="4190"/>
      <c r="D73" s="4190"/>
      <c r="E73" s="4190"/>
      <c r="F73" s="4190"/>
      <c r="G73" s="4190"/>
      <c r="H73" s="4190"/>
    </row>
    <row r="74" spans="1:8" ht="15.75">
      <c r="A74" s="4191" t="s">
        <v>2278</v>
      </c>
      <c r="B74" s="4190"/>
      <c r="C74" s="4190"/>
      <c r="D74" s="4190"/>
      <c r="E74" s="4190"/>
      <c r="F74" s="4190"/>
      <c r="G74" s="4190"/>
      <c r="H74" s="4190"/>
    </row>
    <row r="75" spans="1:8" ht="15.75">
      <c r="A75" s="4191" t="s">
        <v>2279</v>
      </c>
      <c r="B75" s="4190"/>
      <c r="C75" s="4190"/>
      <c r="D75" s="4190"/>
      <c r="E75" s="4190"/>
      <c r="F75" s="4190"/>
      <c r="G75" s="4190"/>
      <c r="H75" s="4190"/>
    </row>
    <row r="76" spans="1:8" ht="15.75">
      <c r="A76" s="4191" t="s">
        <v>2162</v>
      </c>
      <c r="B76" s="4190"/>
      <c r="C76" s="4190"/>
      <c r="D76" s="4190"/>
      <c r="E76" s="4190"/>
      <c r="F76" s="4190"/>
      <c r="G76" s="4190"/>
      <c r="H76" s="4190"/>
    </row>
    <row r="77" spans="1:8" ht="15.75">
      <c r="A77" s="4190"/>
      <c r="B77" s="4190"/>
      <c r="C77" s="4190"/>
      <c r="D77" s="4190"/>
      <c r="E77" s="4190"/>
      <c r="F77" s="4190"/>
      <c r="G77" s="4190"/>
      <c r="H77" s="4190"/>
    </row>
    <row r="78" spans="1:8" ht="15.75">
      <c r="A78" s="4191" t="s">
        <v>2268</v>
      </c>
      <c r="B78" s="4190"/>
      <c r="C78" s="4190"/>
      <c r="D78" s="4190"/>
      <c r="E78" s="4190"/>
      <c r="F78" s="4190"/>
      <c r="G78" s="4190"/>
      <c r="H78" s="4190"/>
    </row>
    <row r="79" spans="1:8" ht="15.75">
      <c r="A79" s="4191" t="s">
        <v>2269</v>
      </c>
      <c r="B79" s="4190"/>
      <c r="C79" s="4190"/>
      <c r="D79" s="4190"/>
      <c r="E79" s="4190"/>
      <c r="F79" s="4190"/>
      <c r="G79" s="4190"/>
      <c r="H79" s="4190"/>
    </row>
    <row r="80" spans="1:8" ht="15.75">
      <c r="A80" s="4191" t="s">
        <v>2270</v>
      </c>
      <c r="B80" s="4190"/>
      <c r="C80" s="4190"/>
      <c r="D80" s="4190"/>
      <c r="E80" s="4190"/>
      <c r="F80" s="4190"/>
      <c r="G80" s="4190"/>
      <c r="H80" s="4190"/>
    </row>
    <row r="81" spans="1:8" ht="15.75">
      <c r="A81" s="4191" t="s">
        <v>2271</v>
      </c>
      <c r="B81" s="4190"/>
      <c r="C81" s="4190"/>
      <c r="D81" s="4190"/>
      <c r="E81" s="4190"/>
      <c r="F81" s="4190"/>
      <c r="G81" s="4190"/>
      <c r="H81" s="4190"/>
    </row>
    <row r="82" spans="1:8" ht="15.75">
      <c r="A82" s="4191" t="s">
        <v>2272</v>
      </c>
      <c r="B82" s="4190"/>
      <c r="C82" s="4190"/>
      <c r="D82" s="4190"/>
      <c r="E82" s="4190"/>
      <c r="F82" s="4190"/>
      <c r="G82" s="4190"/>
      <c r="H82" s="4190"/>
    </row>
    <row r="83" spans="1:8" ht="15.75">
      <c r="A83" s="4191" t="s">
        <v>2273</v>
      </c>
      <c r="B83" s="4190"/>
      <c r="C83" s="4190"/>
      <c r="D83" s="4190"/>
      <c r="E83" s="4190"/>
      <c r="F83" s="4190"/>
      <c r="G83" s="4190"/>
      <c r="H83" s="4190"/>
    </row>
    <row r="84" spans="1:8" ht="15.75">
      <c r="A84" s="4191" t="s">
        <v>2274</v>
      </c>
      <c r="B84" s="4190"/>
      <c r="C84" s="4190"/>
      <c r="D84" s="4190"/>
      <c r="E84" s="4190"/>
      <c r="F84" s="4190"/>
      <c r="G84" s="4190"/>
      <c r="H84" s="4190"/>
    </row>
    <row r="85" spans="1:8" ht="15.75">
      <c r="A85" s="4190"/>
      <c r="B85" s="4190"/>
      <c r="C85" s="4190"/>
      <c r="D85" s="4190"/>
      <c r="E85" s="4190"/>
      <c r="F85" s="4190"/>
      <c r="G85" s="4190"/>
      <c r="H85" s="4190"/>
    </row>
    <row r="86" spans="1:8" ht="15.75">
      <c r="A86" s="4191" t="s">
        <v>2266</v>
      </c>
      <c r="B86" s="4190"/>
      <c r="C86" s="4190"/>
      <c r="D86" s="4190"/>
      <c r="E86" s="4190"/>
      <c r="F86" s="4190"/>
      <c r="G86" s="4190"/>
      <c r="H86" s="4190"/>
    </row>
    <row r="87" spans="1:8" ht="15.75">
      <c r="A87" s="4191" t="s">
        <v>2267</v>
      </c>
      <c r="B87" s="4190"/>
      <c r="C87" s="4190"/>
      <c r="D87" s="4190"/>
      <c r="E87" s="4190"/>
      <c r="F87" s="4190"/>
      <c r="G87" s="4190"/>
      <c r="H87" s="4190"/>
    </row>
    <row r="88" spans="1:8" ht="15.75">
      <c r="A88" s="4190"/>
      <c r="B88" s="4190"/>
      <c r="C88" s="4190"/>
      <c r="D88" s="4190"/>
      <c r="E88" s="4190"/>
      <c r="F88" s="4190"/>
      <c r="G88" s="4190"/>
      <c r="H88" s="4190"/>
    </row>
    <row r="89" spans="1:8" ht="15.75">
      <c r="A89" s="4192" t="s">
        <v>2038</v>
      </c>
      <c r="B89" s="4190"/>
      <c r="C89" s="4190"/>
      <c r="D89" s="4190"/>
      <c r="E89" s="4190"/>
      <c r="F89" s="4190"/>
      <c r="G89" s="4190"/>
      <c r="H89" s="4190"/>
    </row>
    <row r="90" spans="1:8" ht="15.75">
      <c r="A90" s="4190"/>
      <c r="B90" s="4190"/>
      <c r="C90" s="4190"/>
      <c r="D90" s="4190"/>
      <c r="E90" s="4190"/>
      <c r="F90" s="4190"/>
      <c r="G90" s="4190"/>
      <c r="H90" s="4190"/>
    </row>
    <row r="91" spans="1:8" ht="15.75">
      <c r="A91" s="4191" t="s">
        <v>2257</v>
      </c>
      <c r="B91" s="4190"/>
      <c r="C91" s="4190"/>
      <c r="D91" s="4190"/>
      <c r="E91" s="4190"/>
      <c r="F91" s="4190"/>
      <c r="G91" s="4190"/>
      <c r="H91" s="4190"/>
    </row>
    <row r="92" spans="1:8" ht="15.75">
      <c r="A92" s="4191" t="s">
        <v>2258</v>
      </c>
      <c r="B92" s="4190"/>
      <c r="C92" s="4190"/>
      <c r="D92" s="4190"/>
      <c r="E92" s="4190"/>
      <c r="F92" s="4190"/>
      <c r="G92" s="4190"/>
      <c r="H92" s="4190"/>
    </row>
    <row r="93" spans="1:8" ht="15.75">
      <c r="A93" s="4191" t="s">
        <v>2259</v>
      </c>
      <c r="B93" s="4190"/>
      <c r="C93" s="4190"/>
      <c r="D93" s="4190"/>
      <c r="E93" s="4190"/>
      <c r="F93" s="4190"/>
      <c r="G93" s="4190"/>
      <c r="H93" s="4190"/>
    </row>
    <row r="94" spans="1:8" ht="15.75">
      <c r="A94" s="4191" t="s">
        <v>2260</v>
      </c>
      <c r="B94" s="4190"/>
      <c r="C94" s="4190"/>
      <c r="D94" s="4190"/>
      <c r="E94" s="4190"/>
      <c r="F94" s="4190"/>
      <c r="G94" s="4190"/>
      <c r="H94" s="4190"/>
    </row>
    <row r="95" spans="1:8" ht="15.75">
      <c r="A95" s="4191" t="s">
        <v>2261</v>
      </c>
      <c r="B95" s="4190"/>
      <c r="C95" s="4190"/>
      <c r="D95" s="4190"/>
      <c r="E95" s="4190"/>
      <c r="F95" s="4190"/>
      <c r="G95" s="4190"/>
      <c r="H95" s="4190"/>
    </row>
    <row r="96" spans="1:8" ht="15.75">
      <c r="A96" s="4191" t="s">
        <v>2262</v>
      </c>
      <c r="B96" s="4190"/>
      <c r="C96" s="4190"/>
      <c r="D96" s="4190"/>
      <c r="E96" s="4190"/>
      <c r="F96" s="4190"/>
      <c r="G96" s="4190"/>
      <c r="H96" s="4190"/>
    </row>
    <row r="97" spans="1:8" ht="15.75">
      <c r="A97" s="4191" t="s">
        <v>2263</v>
      </c>
      <c r="B97" s="4190"/>
      <c r="C97" s="4190"/>
      <c r="D97" s="4190"/>
      <c r="E97" s="4190"/>
      <c r="F97" s="4190"/>
      <c r="G97" s="4190"/>
      <c r="H97" s="4190"/>
    </row>
    <row r="98" spans="1:8" ht="15.75">
      <c r="A98" s="4191" t="s">
        <v>2264</v>
      </c>
      <c r="B98" s="4190"/>
      <c r="C98" s="4190"/>
      <c r="D98" s="4190"/>
      <c r="E98" s="4190"/>
      <c r="F98" s="4190"/>
      <c r="G98" s="4190"/>
      <c r="H98" s="4190"/>
    </row>
    <row r="99" spans="1:8" ht="15.75">
      <c r="A99" s="4191" t="s">
        <v>2265</v>
      </c>
      <c r="B99" s="4190"/>
      <c r="C99" s="4190"/>
      <c r="D99" s="4190"/>
      <c r="E99" s="4190"/>
      <c r="F99" s="4190"/>
      <c r="G99" s="4190"/>
      <c r="H99" s="4190"/>
    </row>
    <row r="100" spans="1:8" ht="15.75">
      <c r="A100" s="4190"/>
      <c r="B100" s="4190"/>
      <c r="C100" s="4190"/>
      <c r="D100" s="4190"/>
      <c r="E100" s="4190"/>
      <c r="F100" s="4190"/>
      <c r="G100" s="4190"/>
      <c r="H100" s="4190"/>
    </row>
    <row r="101" spans="1:8" ht="15.75">
      <c r="A101" s="4205" t="s">
        <v>2039</v>
      </c>
      <c r="B101" s="4205"/>
      <c r="C101" s="4205"/>
      <c r="D101" s="4205"/>
      <c r="E101" s="4205"/>
      <c r="F101" s="4205"/>
      <c r="G101" s="4205"/>
      <c r="H101" s="4205"/>
    </row>
    <row r="102" spans="1:8">
      <c r="A102" s="4201" t="s">
        <v>2040</v>
      </c>
      <c r="B102" s="4201"/>
      <c r="C102" s="4201"/>
      <c r="D102" s="4201"/>
      <c r="E102" s="4201"/>
      <c r="F102" s="4201"/>
      <c r="G102" s="4201"/>
      <c r="H102" s="4201"/>
    </row>
    <row r="103" spans="1:8" ht="15.75">
      <c r="A103" s="4206"/>
      <c r="B103" s="4206"/>
      <c r="C103" s="4206"/>
      <c r="D103" s="4206"/>
      <c r="E103" s="4206"/>
      <c r="F103" s="4206"/>
      <c r="G103" s="4206"/>
      <c r="H103" s="4206"/>
    </row>
    <row r="104" spans="1:8">
      <c r="A104" s="4201" t="s">
        <v>2255</v>
      </c>
      <c r="B104" s="4201"/>
      <c r="C104" s="4201"/>
      <c r="D104" s="4201"/>
      <c r="E104" s="4201"/>
      <c r="F104" s="4201"/>
      <c r="G104" s="4201"/>
      <c r="H104" s="4201"/>
    </row>
    <row r="105" spans="1:8">
      <c r="A105" s="4191" t="s">
        <v>2256</v>
      </c>
      <c r="B105" s="4191"/>
      <c r="C105" s="4191"/>
      <c r="D105" s="4191"/>
      <c r="E105" s="4191"/>
      <c r="F105" s="4191"/>
      <c r="G105" s="4191"/>
      <c r="H105" s="4191"/>
    </row>
    <row r="106" spans="1:8" ht="15.75">
      <c r="A106" s="4206"/>
      <c r="B106" s="4206"/>
      <c r="C106" s="4206"/>
      <c r="D106" s="4206"/>
      <c r="E106" s="4206"/>
      <c r="F106" s="4206"/>
      <c r="G106" s="4206"/>
      <c r="H106" s="4206"/>
    </row>
    <row r="107" spans="1:8">
      <c r="A107" s="4201" t="s">
        <v>2248</v>
      </c>
      <c r="B107" s="4201"/>
      <c r="C107" s="4201"/>
      <c r="D107" s="4201"/>
      <c r="E107" s="4201"/>
      <c r="F107" s="4201"/>
      <c r="G107" s="4201"/>
      <c r="H107" s="4201"/>
    </row>
    <row r="108" spans="1:8">
      <c r="A108" s="4191" t="s">
        <v>2249</v>
      </c>
      <c r="B108" s="4191"/>
      <c r="C108" s="4191"/>
      <c r="D108" s="4191"/>
      <c r="E108" s="4191"/>
      <c r="F108" s="4191"/>
      <c r="G108" s="4191"/>
      <c r="H108" s="4191"/>
    </row>
    <row r="109" spans="1:8">
      <c r="A109" s="4191" t="s">
        <v>2250</v>
      </c>
      <c r="B109" s="4191"/>
      <c r="C109" s="4191"/>
      <c r="D109" s="4191"/>
      <c r="E109" s="4191"/>
      <c r="F109" s="4191"/>
      <c r="G109" s="4191"/>
      <c r="H109" s="4191"/>
    </row>
    <row r="110" spans="1:8">
      <c r="A110" s="4191" t="s">
        <v>2251</v>
      </c>
      <c r="B110" s="4191"/>
      <c r="C110" s="4191"/>
      <c r="D110" s="4191"/>
      <c r="E110" s="4191"/>
      <c r="F110" s="4191"/>
      <c r="G110" s="4191"/>
      <c r="H110" s="4191"/>
    </row>
    <row r="111" spans="1:8">
      <c r="A111" s="4191" t="s">
        <v>2252</v>
      </c>
      <c r="B111" s="4191"/>
      <c r="C111" s="4191"/>
      <c r="D111" s="4191"/>
      <c r="E111" s="4191"/>
      <c r="F111" s="4191"/>
      <c r="G111" s="4191"/>
      <c r="H111" s="4191"/>
    </row>
    <row r="112" spans="1:8">
      <c r="A112" s="4191" t="s">
        <v>2253</v>
      </c>
      <c r="B112" s="4191"/>
      <c r="C112" s="4191"/>
      <c r="D112" s="4191"/>
      <c r="E112" s="4191"/>
      <c r="F112" s="4191"/>
      <c r="G112" s="4191"/>
      <c r="H112" s="4191"/>
    </row>
    <row r="113" spans="1:8">
      <c r="A113" s="4191" t="s">
        <v>2254</v>
      </c>
      <c r="B113" s="4191"/>
      <c r="C113" s="4191"/>
      <c r="D113" s="4191"/>
      <c r="E113" s="4191"/>
      <c r="F113" s="4191"/>
      <c r="G113" s="4191"/>
      <c r="H113" s="4191"/>
    </row>
    <row r="114" spans="1:8" ht="15.75">
      <c r="A114" s="4207"/>
      <c r="B114" s="4207"/>
      <c r="C114" s="4207"/>
      <c r="D114" s="4207"/>
      <c r="E114" s="4207"/>
      <c r="F114" s="4207"/>
      <c r="G114" s="4207"/>
      <c r="H114" s="4207"/>
    </row>
    <row r="115" spans="1:8">
      <c r="A115" s="4193"/>
      <c r="B115" s="4202" t="s">
        <v>2041</v>
      </c>
      <c r="C115" s="4203"/>
      <c r="D115" s="4202" t="s">
        <v>2042</v>
      </c>
      <c r="E115" s="4204"/>
      <c r="F115" s="4203"/>
      <c r="G115" s="4202" t="s">
        <v>2043</v>
      </c>
      <c r="H115" s="4203"/>
    </row>
    <row r="116" spans="1:8">
      <c r="A116" s="4193" t="s">
        <v>2044</v>
      </c>
      <c r="B116" s="4193" t="s">
        <v>625</v>
      </c>
      <c r="C116" s="4193" t="s">
        <v>2045</v>
      </c>
      <c r="D116" s="4193" t="s">
        <v>625</v>
      </c>
      <c r="E116" s="4193" t="s">
        <v>2046</v>
      </c>
      <c r="F116" s="4193" t="s">
        <v>2047</v>
      </c>
      <c r="G116" s="4193" t="s">
        <v>625</v>
      </c>
      <c r="H116" s="4193" t="s">
        <v>2048</v>
      </c>
    </row>
    <row r="117" spans="1:8">
      <c r="A117" s="4193" t="s">
        <v>2049</v>
      </c>
      <c r="B117" s="4193">
        <v>1173</v>
      </c>
      <c r="C117" s="4193">
        <v>0.37</v>
      </c>
      <c r="D117" s="4193">
        <v>318</v>
      </c>
      <c r="E117" s="4193">
        <v>0.41</v>
      </c>
      <c r="F117" s="4193">
        <v>0.27</v>
      </c>
      <c r="G117" s="4193">
        <v>571</v>
      </c>
      <c r="H117" s="4193">
        <v>0.39</v>
      </c>
    </row>
    <row r="118" spans="1:8">
      <c r="A118" s="4193" t="s">
        <v>2050</v>
      </c>
      <c r="B118" s="4193">
        <v>1390</v>
      </c>
      <c r="C118" s="4193">
        <v>0.44</v>
      </c>
      <c r="D118" s="4193">
        <v>359</v>
      </c>
      <c r="E118" s="4193">
        <v>0.47</v>
      </c>
      <c r="F118" s="4193">
        <v>0.26</v>
      </c>
      <c r="G118" s="4193">
        <v>653</v>
      </c>
      <c r="H118" s="4193">
        <v>0.45</v>
      </c>
    </row>
    <row r="119" spans="1:8">
      <c r="A119" s="4193" t="s">
        <v>2051</v>
      </c>
      <c r="B119" s="4193">
        <v>53</v>
      </c>
      <c r="C119" s="4193">
        <v>0.02</v>
      </c>
      <c r="D119" s="4193">
        <v>5</v>
      </c>
      <c r="E119" s="4193">
        <v>0.01</v>
      </c>
      <c r="F119" s="4193">
        <v>0.09</v>
      </c>
      <c r="G119" s="4193">
        <v>8</v>
      </c>
      <c r="H119" s="4193">
        <v>0.01</v>
      </c>
    </row>
    <row r="120" spans="1:8">
      <c r="A120" s="4193" t="s">
        <v>2052</v>
      </c>
      <c r="B120" s="4193">
        <v>564</v>
      </c>
      <c r="C120" s="4193">
        <v>0.18</v>
      </c>
      <c r="D120" s="4193">
        <v>90</v>
      </c>
      <c r="E120" s="4193">
        <v>0.12</v>
      </c>
      <c r="F120" s="4193">
        <v>0.16</v>
      </c>
      <c r="G120" s="4193">
        <v>219</v>
      </c>
      <c r="H120" s="4193">
        <v>0.15</v>
      </c>
    </row>
    <row r="121" spans="1:8">
      <c r="A121" s="4193" t="s">
        <v>310</v>
      </c>
      <c r="B121" s="4193">
        <v>3180</v>
      </c>
      <c r="C121" s="4193"/>
      <c r="D121" s="4193">
        <v>772</v>
      </c>
      <c r="E121" s="4193"/>
      <c r="F121" s="4193"/>
      <c r="G121" s="4193">
        <v>1451</v>
      </c>
      <c r="H121" s="4193"/>
    </row>
    <row r="122" spans="1:8" ht="15.75">
      <c r="A122" s="4200"/>
      <c r="B122" s="4200"/>
      <c r="C122" s="4200"/>
      <c r="D122" s="4200"/>
      <c r="E122" s="4200"/>
      <c r="F122" s="4200"/>
      <c r="G122" s="4200"/>
      <c r="H122" s="4200"/>
    </row>
    <row r="123" spans="1:8">
      <c r="A123" s="4201" t="s">
        <v>2244</v>
      </c>
      <c r="B123" s="4201"/>
      <c r="C123" s="4201"/>
      <c r="D123" s="4201"/>
      <c r="E123" s="4201"/>
      <c r="F123" s="4201"/>
      <c r="G123" s="4201"/>
      <c r="H123" s="4201"/>
    </row>
    <row r="124" spans="1:8">
      <c r="A124" s="4191" t="s">
        <v>2245</v>
      </c>
      <c r="B124" s="4191"/>
      <c r="C124" s="4191"/>
      <c r="D124" s="4191"/>
      <c r="E124" s="4191"/>
      <c r="F124" s="4191"/>
      <c r="G124" s="4191"/>
      <c r="H124" s="4191"/>
    </row>
    <row r="125" spans="1:8">
      <c r="A125" s="4191" t="s">
        <v>2246</v>
      </c>
      <c r="B125" s="4191"/>
      <c r="C125" s="4191"/>
      <c r="D125" s="4191"/>
      <c r="E125" s="4191"/>
      <c r="F125" s="4191"/>
      <c r="G125" s="4191"/>
      <c r="H125" s="4191"/>
    </row>
    <row r="126" spans="1:8">
      <c r="A126" s="4191" t="s">
        <v>2247</v>
      </c>
      <c r="B126" s="4191"/>
      <c r="C126" s="4191"/>
      <c r="D126" s="4191"/>
      <c r="E126" s="4191"/>
      <c r="F126" s="4191"/>
      <c r="G126" s="4191"/>
      <c r="H126" s="4191"/>
    </row>
    <row r="127" spans="1:8" ht="15.75">
      <c r="A127" s="4190"/>
      <c r="B127" s="4190"/>
      <c r="C127" s="4190"/>
      <c r="D127" s="4190"/>
      <c r="E127" s="4190"/>
      <c r="F127" s="4190"/>
      <c r="G127" s="4190"/>
      <c r="H127" s="4190"/>
    </row>
    <row r="128" spans="1:8" ht="15.75">
      <c r="A128" s="4192" t="s">
        <v>2053</v>
      </c>
      <c r="B128" s="4190"/>
      <c r="C128" s="4190"/>
      <c r="D128" s="4190"/>
      <c r="E128" s="4190"/>
      <c r="F128" s="4190"/>
      <c r="G128" s="4190"/>
      <c r="H128" s="4190"/>
    </row>
    <row r="129" spans="1:8" ht="15.75">
      <c r="A129" s="4190"/>
      <c r="B129" s="4190"/>
      <c r="C129" s="4190"/>
      <c r="D129" s="4190"/>
      <c r="E129" s="4190"/>
      <c r="F129" s="4190"/>
      <c r="G129" s="4190"/>
      <c r="H129" s="4190"/>
    </row>
    <row r="130" spans="1:8" ht="15.75">
      <c r="A130" s="4191" t="s">
        <v>2242</v>
      </c>
      <c r="B130" s="4190"/>
      <c r="C130" s="4190"/>
      <c r="D130" s="4190"/>
      <c r="E130" s="4190"/>
      <c r="F130" s="4190"/>
      <c r="G130" s="4190"/>
      <c r="H130" s="4190"/>
    </row>
    <row r="131" spans="1:8" ht="15.75">
      <c r="A131" s="4191" t="s">
        <v>2243</v>
      </c>
      <c r="B131" s="4190"/>
      <c r="C131" s="4190"/>
      <c r="D131" s="4190"/>
      <c r="E131" s="4190"/>
      <c r="F131" s="4190"/>
      <c r="G131" s="4190"/>
      <c r="H131" s="4190"/>
    </row>
    <row r="132" spans="1:8" ht="15.75">
      <c r="A132" s="4190"/>
      <c r="B132" s="4190"/>
      <c r="C132" s="4190"/>
      <c r="D132" s="4190"/>
      <c r="E132" s="4190"/>
      <c r="F132" s="4190"/>
      <c r="G132" s="4190"/>
      <c r="H132" s="4190"/>
    </row>
    <row r="133" spans="1:8" ht="15.75">
      <c r="A133" s="4191" t="s">
        <v>2239</v>
      </c>
      <c r="B133" s="4190"/>
      <c r="C133" s="4190"/>
      <c r="D133" s="4190"/>
      <c r="E133" s="4190"/>
      <c r="F133" s="4190"/>
      <c r="G133" s="4190"/>
      <c r="H133" s="4190"/>
    </row>
    <row r="134" spans="1:8" ht="15.75">
      <c r="A134" s="4191" t="s">
        <v>2240</v>
      </c>
      <c r="B134" s="4190"/>
      <c r="C134" s="4190"/>
      <c r="D134" s="4190"/>
      <c r="E134" s="4190"/>
      <c r="F134" s="4190"/>
      <c r="G134" s="4190"/>
      <c r="H134" s="4190"/>
    </row>
    <row r="135" spans="1:8" ht="15.75">
      <c r="A135" s="4191" t="s">
        <v>2241</v>
      </c>
      <c r="B135" s="4190"/>
      <c r="C135" s="4190"/>
      <c r="D135" s="4190"/>
      <c r="E135" s="4190"/>
      <c r="F135" s="4190"/>
      <c r="G135" s="4190"/>
      <c r="H135" s="4190"/>
    </row>
    <row r="136" spans="1:8" ht="15.75">
      <c r="A136" s="4190"/>
      <c r="B136" s="4190"/>
      <c r="C136" s="4190"/>
      <c r="D136" s="4190"/>
      <c r="E136" s="4190"/>
      <c r="F136" s="4190"/>
      <c r="G136" s="4190"/>
      <c r="H136" s="4190"/>
    </row>
    <row r="137" spans="1:8" ht="15.75">
      <c r="A137" s="4191" t="s">
        <v>2236</v>
      </c>
      <c r="B137" s="4190"/>
      <c r="C137" s="4190"/>
      <c r="D137" s="4190"/>
      <c r="E137" s="4190"/>
      <c r="F137" s="4190"/>
      <c r="G137" s="4190"/>
      <c r="H137" s="4190"/>
    </row>
    <row r="138" spans="1:8" ht="15.75">
      <c r="A138" s="4191" t="s">
        <v>2237</v>
      </c>
      <c r="B138" s="4190"/>
      <c r="C138" s="4190"/>
      <c r="D138" s="4190"/>
      <c r="E138" s="4190"/>
      <c r="F138" s="4190"/>
      <c r="G138" s="4190"/>
      <c r="H138" s="4190"/>
    </row>
    <row r="139" spans="1:8" ht="15.75">
      <c r="A139" s="4191" t="s">
        <v>2238</v>
      </c>
      <c r="B139" s="4190"/>
      <c r="C139" s="4190"/>
      <c r="D139" s="4190"/>
      <c r="E139" s="4190"/>
      <c r="F139" s="4190"/>
      <c r="G139" s="4190"/>
      <c r="H139" s="4190"/>
    </row>
    <row r="140" spans="1:8" ht="15.75">
      <c r="A140" s="4190"/>
      <c r="B140" s="4190"/>
      <c r="C140" s="4190"/>
      <c r="D140" s="4190"/>
      <c r="E140" s="4190"/>
      <c r="F140" s="4190"/>
      <c r="G140" s="4190"/>
      <c r="H140" s="4190"/>
    </row>
    <row r="141" spans="1:8" ht="15.75">
      <c r="A141" s="4191" t="s">
        <v>2233</v>
      </c>
      <c r="B141" s="4190"/>
      <c r="C141" s="4190"/>
      <c r="D141" s="4190"/>
      <c r="E141" s="4190"/>
      <c r="F141" s="4190"/>
      <c r="G141" s="4190"/>
      <c r="H141" s="4190"/>
    </row>
    <row r="142" spans="1:8" ht="15.75">
      <c r="A142" s="4191" t="s">
        <v>2234</v>
      </c>
      <c r="B142" s="4190"/>
      <c r="C142" s="4190"/>
      <c r="D142" s="4190"/>
      <c r="E142" s="4190"/>
      <c r="F142" s="4190"/>
      <c r="G142" s="4190"/>
      <c r="H142" s="4190"/>
    </row>
    <row r="143" spans="1:8" ht="15.75">
      <c r="A143" s="4191" t="s">
        <v>2235</v>
      </c>
      <c r="B143" s="4190"/>
      <c r="C143" s="4190"/>
      <c r="D143" s="4190"/>
      <c r="E143" s="4190"/>
      <c r="F143" s="4190"/>
      <c r="G143" s="4190"/>
      <c r="H143" s="4190"/>
    </row>
    <row r="144" spans="1:8" ht="15.75">
      <c r="A144" s="4190"/>
      <c r="B144" s="4190"/>
      <c r="C144" s="4190"/>
      <c r="D144" s="4190"/>
      <c r="E144" s="4190"/>
      <c r="F144" s="4190"/>
      <c r="G144" s="4190"/>
      <c r="H144" s="4190"/>
    </row>
    <row r="145" spans="1:8" ht="15.75">
      <c r="A145" s="4191" t="s">
        <v>2231</v>
      </c>
      <c r="B145" s="4190"/>
      <c r="C145" s="4190"/>
      <c r="D145" s="4190"/>
      <c r="E145" s="4190"/>
      <c r="F145" s="4190"/>
      <c r="G145" s="4190"/>
      <c r="H145" s="4190"/>
    </row>
    <row r="146" spans="1:8" ht="15.75">
      <c r="A146" s="4191" t="s">
        <v>2232</v>
      </c>
      <c r="B146" s="4190"/>
      <c r="C146" s="4190"/>
      <c r="D146" s="4190"/>
      <c r="E146" s="4190"/>
      <c r="F146" s="4190"/>
      <c r="G146" s="4190"/>
      <c r="H146" s="4190"/>
    </row>
    <row r="147" spans="1:8" ht="15.75">
      <c r="A147" s="4190"/>
      <c r="B147" s="4190"/>
      <c r="C147" s="4190"/>
      <c r="D147" s="4190"/>
      <c r="E147" s="4190"/>
      <c r="F147" s="4190"/>
      <c r="G147" s="4190"/>
      <c r="H147" s="4190"/>
    </row>
    <row r="148" spans="1:8" ht="15.75">
      <c r="A148" s="4192" t="s">
        <v>2054</v>
      </c>
      <c r="B148" s="4190"/>
      <c r="C148" s="4190"/>
      <c r="D148" s="4190"/>
      <c r="E148" s="4190"/>
      <c r="F148" s="4190"/>
      <c r="G148" s="4190"/>
      <c r="H148" s="4190"/>
    </row>
    <row r="149" spans="1:8" ht="15.75">
      <c r="A149" s="4190"/>
      <c r="B149" s="4190"/>
      <c r="C149" s="4190"/>
      <c r="D149" s="4190"/>
      <c r="E149" s="4190"/>
      <c r="F149" s="4190"/>
      <c r="G149" s="4190"/>
      <c r="H149" s="4190"/>
    </row>
    <row r="150" spans="1:8" ht="15.75">
      <c r="A150" s="4191" t="s">
        <v>2229</v>
      </c>
      <c r="B150" s="4190"/>
      <c r="C150" s="4190"/>
      <c r="D150" s="4190"/>
      <c r="E150" s="4190"/>
      <c r="F150" s="4190"/>
      <c r="G150" s="4190"/>
      <c r="H150" s="4190"/>
    </row>
    <row r="151" spans="1:8" ht="15.75">
      <c r="A151" s="4191" t="s">
        <v>2230</v>
      </c>
      <c r="B151" s="4190"/>
      <c r="C151" s="4190"/>
      <c r="D151" s="4190"/>
      <c r="E151" s="4190"/>
      <c r="F151" s="4190"/>
      <c r="G151" s="4190"/>
      <c r="H151" s="4190"/>
    </row>
    <row r="152" spans="1:8" ht="15.75">
      <c r="A152" s="4190"/>
      <c r="B152" s="4190"/>
      <c r="C152" s="4190"/>
      <c r="D152" s="4190"/>
      <c r="E152" s="4190"/>
      <c r="F152" s="4190"/>
      <c r="G152" s="4190"/>
      <c r="H152" s="4190"/>
    </row>
    <row r="153" spans="1:8" ht="15.75">
      <c r="A153" s="4191" t="s">
        <v>2227</v>
      </c>
      <c r="B153" s="4190"/>
      <c r="C153" s="4190"/>
      <c r="D153" s="4190"/>
      <c r="E153" s="4190"/>
      <c r="F153" s="4190"/>
      <c r="G153" s="4190"/>
      <c r="H153" s="4190"/>
    </row>
    <row r="154" spans="1:8" ht="15.75">
      <c r="A154" s="4191" t="s">
        <v>2228</v>
      </c>
      <c r="B154" s="4190"/>
      <c r="C154" s="4190"/>
      <c r="D154" s="4190"/>
      <c r="E154" s="4190"/>
      <c r="F154" s="4190"/>
      <c r="G154" s="4190"/>
      <c r="H154" s="4190"/>
    </row>
    <row r="155" spans="1:8" ht="15.75">
      <c r="A155" s="4190"/>
      <c r="B155" s="4190"/>
      <c r="C155" s="4190"/>
      <c r="D155" s="4190"/>
      <c r="E155" s="4190"/>
      <c r="F155" s="4190"/>
      <c r="G155" s="4190"/>
      <c r="H155" s="4190"/>
    </row>
    <row r="156" spans="1:8" ht="15.75">
      <c r="A156" s="4191" t="s">
        <v>2225</v>
      </c>
      <c r="B156" s="4190"/>
      <c r="C156" s="4190"/>
      <c r="D156" s="4190"/>
      <c r="E156" s="4190"/>
      <c r="F156" s="4190"/>
      <c r="G156" s="4190"/>
      <c r="H156" s="4190"/>
    </row>
    <row r="157" spans="1:8" ht="15.75">
      <c r="A157" s="4191" t="s">
        <v>2226</v>
      </c>
      <c r="B157" s="4190"/>
      <c r="C157" s="4190"/>
      <c r="D157" s="4190"/>
      <c r="E157" s="4190"/>
      <c r="F157" s="4190"/>
      <c r="G157" s="4190"/>
      <c r="H157" s="4190"/>
    </row>
    <row r="158" spans="1:8" ht="15.75">
      <c r="A158" s="4190"/>
      <c r="B158" s="4190"/>
      <c r="C158" s="4190"/>
      <c r="D158" s="4190"/>
      <c r="E158" s="4190"/>
      <c r="F158" s="4190"/>
      <c r="G158" s="4190"/>
      <c r="H158" s="4190"/>
    </row>
    <row r="159" spans="1:8" ht="15.75">
      <c r="A159" s="4191" t="s">
        <v>2222</v>
      </c>
      <c r="B159" s="4190"/>
      <c r="C159" s="4190"/>
      <c r="D159" s="4190"/>
      <c r="E159" s="4190"/>
      <c r="F159" s="4190"/>
      <c r="G159" s="4190"/>
      <c r="H159" s="4190"/>
    </row>
    <row r="160" spans="1:8" ht="15.75">
      <c r="A160" s="4191" t="s">
        <v>2223</v>
      </c>
      <c r="B160" s="4190"/>
      <c r="C160" s="4190"/>
      <c r="D160" s="4190"/>
      <c r="E160" s="4190"/>
      <c r="F160" s="4190"/>
      <c r="G160" s="4190"/>
      <c r="H160" s="4190"/>
    </row>
    <row r="161" spans="1:8" ht="15.75">
      <c r="A161" s="4191" t="s">
        <v>2224</v>
      </c>
      <c r="B161" s="4190"/>
      <c r="C161" s="4190"/>
      <c r="D161" s="4190"/>
      <c r="E161" s="4190"/>
      <c r="F161" s="4190"/>
      <c r="G161" s="4190"/>
      <c r="H161" s="4190"/>
    </row>
    <row r="162" spans="1:8" ht="15.75">
      <c r="A162" s="4190"/>
      <c r="B162" s="4190"/>
      <c r="C162" s="4190"/>
      <c r="D162" s="4190"/>
      <c r="E162" s="4190"/>
      <c r="F162" s="4190"/>
      <c r="G162" s="4190"/>
      <c r="H162" s="4190"/>
    </row>
    <row r="163" spans="1:8" ht="15.75">
      <c r="A163" s="4190"/>
      <c r="B163" s="4190"/>
      <c r="C163" s="4190"/>
      <c r="D163" s="4190"/>
      <c r="E163" s="4190"/>
      <c r="F163" s="4190"/>
      <c r="G163" s="4190"/>
      <c r="H163" s="4190"/>
    </row>
    <row r="164" spans="1:8" ht="15.75">
      <c r="A164" s="4191" t="s">
        <v>1207</v>
      </c>
      <c r="B164" s="4190"/>
      <c r="C164" s="4190"/>
      <c r="D164" s="4190"/>
      <c r="E164" s="4190"/>
      <c r="F164" s="4190"/>
      <c r="G164" s="4190"/>
      <c r="H164" s="4190"/>
    </row>
    <row r="165" spans="1:8" ht="15.75">
      <c r="A165" s="4190"/>
      <c r="B165" s="4190"/>
      <c r="C165" s="4190"/>
      <c r="D165" s="4190"/>
      <c r="E165" s="4190"/>
      <c r="F165" s="4190"/>
      <c r="G165" s="4190"/>
      <c r="H165" s="4190"/>
    </row>
    <row r="166" spans="1:8" ht="15.75">
      <c r="A166" s="4192" t="s">
        <v>2055</v>
      </c>
      <c r="B166" s="4190"/>
      <c r="C166" s="4190"/>
      <c r="D166" s="4190"/>
      <c r="E166" s="4190"/>
      <c r="F166" s="4190"/>
      <c r="G166" s="4190"/>
      <c r="H166" s="4190"/>
    </row>
    <row r="167" spans="1:8" ht="15.75">
      <c r="A167" s="4190"/>
      <c r="B167" s="4190"/>
      <c r="C167" s="4190"/>
      <c r="D167" s="4190"/>
      <c r="E167" s="4190"/>
      <c r="F167" s="4190"/>
      <c r="G167" s="4190"/>
      <c r="H167" s="4190"/>
    </row>
    <row r="168" spans="1:8" ht="15.75">
      <c r="A168" s="4190"/>
      <c r="B168" s="4190"/>
      <c r="C168" s="4190"/>
      <c r="D168" s="4190"/>
      <c r="E168" s="4190"/>
      <c r="F168" s="4190"/>
      <c r="G168" s="4190"/>
      <c r="H168" s="4190"/>
    </row>
    <row r="169" spans="1:8" ht="15.75">
      <c r="A169" s="4190"/>
      <c r="B169" s="4190"/>
      <c r="C169" s="4190"/>
      <c r="D169" s="4190"/>
      <c r="E169" s="4190"/>
      <c r="F169" s="4190"/>
      <c r="G169" s="4190"/>
      <c r="H169" s="4190"/>
    </row>
    <row r="170" spans="1:8" ht="15.75">
      <c r="A170" s="4190"/>
      <c r="B170" s="4190"/>
      <c r="C170" s="4190"/>
      <c r="D170" s="4190"/>
      <c r="E170" s="4190"/>
      <c r="F170" s="4190"/>
      <c r="G170" s="4190"/>
      <c r="H170" s="4190"/>
    </row>
    <row r="171" spans="1:8" ht="15.75">
      <c r="A171" s="4190"/>
      <c r="B171" s="4190"/>
      <c r="C171" s="4190"/>
      <c r="D171" s="4190"/>
      <c r="E171" s="4190"/>
      <c r="F171" s="4190"/>
      <c r="G171" s="4190"/>
      <c r="H171" s="4190"/>
    </row>
    <row r="172" spans="1:8" ht="15.75">
      <c r="A172" s="4190"/>
      <c r="B172" s="4190"/>
      <c r="C172" s="4190"/>
      <c r="D172" s="4190"/>
      <c r="E172" s="4190"/>
      <c r="F172" s="4190"/>
      <c r="G172" s="4190"/>
      <c r="H172" s="4190"/>
    </row>
    <row r="173" spans="1:8" ht="15.75">
      <c r="A173" s="4190"/>
      <c r="B173" s="4190"/>
      <c r="C173" s="4190"/>
      <c r="D173" s="4190"/>
      <c r="E173" s="4190"/>
      <c r="F173" s="4190"/>
      <c r="G173" s="4190"/>
      <c r="H173" s="4190"/>
    </row>
    <row r="174" spans="1:8" ht="15.75">
      <c r="A174" s="4190"/>
      <c r="B174" s="4190"/>
      <c r="C174" s="4190"/>
      <c r="D174" s="4190"/>
      <c r="E174" s="4190"/>
      <c r="F174" s="4190"/>
      <c r="G174" s="4190"/>
      <c r="H174" s="4190"/>
    </row>
    <row r="175" spans="1:8" ht="15.75">
      <c r="A175" s="4190"/>
      <c r="B175" s="4190"/>
      <c r="C175" s="4190"/>
      <c r="D175" s="4190"/>
      <c r="E175" s="4190"/>
      <c r="F175" s="4190"/>
      <c r="G175" s="4190"/>
      <c r="H175" s="4190"/>
    </row>
    <row r="176" spans="1:8" ht="15.75">
      <c r="A176" s="4190"/>
      <c r="B176" s="4190"/>
      <c r="C176" s="4190"/>
      <c r="D176" s="4190"/>
      <c r="E176" s="4190"/>
      <c r="F176" s="4190"/>
      <c r="G176" s="4190"/>
      <c r="H176" s="4190"/>
    </row>
    <row r="177" spans="1:8" ht="15.75">
      <c r="A177" s="4190"/>
      <c r="B177" s="4190"/>
      <c r="C177" s="4190"/>
      <c r="D177" s="4190"/>
      <c r="E177" s="4190"/>
      <c r="F177" s="4190"/>
      <c r="G177" s="4190"/>
      <c r="H177" s="4190"/>
    </row>
    <row r="178" spans="1:8" ht="15.75">
      <c r="A178" s="4190"/>
      <c r="B178" s="4190"/>
      <c r="C178" s="4190"/>
      <c r="D178" s="4190"/>
      <c r="E178" s="4190"/>
      <c r="F178" s="4190"/>
      <c r="G178" s="4190"/>
      <c r="H178" s="4190"/>
    </row>
    <row r="179" spans="1:8" ht="15.75">
      <c r="A179" s="4190"/>
      <c r="B179" s="4190"/>
      <c r="C179" s="4190"/>
      <c r="D179" s="4190"/>
      <c r="E179" s="4190"/>
      <c r="F179" s="4190"/>
      <c r="G179" s="4190"/>
      <c r="H179" s="4190"/>
    </row>
    <row r="180" spans="1:8" ht="15.75">
      <c r="A180" s="4190"/>
      <c r="B180" s="4190"/>
      <c r="C180" s="4190"/>
      <c r="D180" s="4190"/>
      <c r="E180" s="4190"/>
      <c r="F180" s="4190"/>
      <c r="G180" s="4190"/>
      <c r="H180" s="4190"/>
    </row>
    <row r="181" spans="1:8" ht="15.75">
      <c r="A181" s="4190"/>
      <c r="B181" s="4190"/>
      <c r="C181" s="4190"/>
      <c r="D181" s="4190"/>
      <c r="E181" s="4190"/>
      <c r="F181" s="4190"/>
      <c r="G181" s="4190"/>
      <c r="H181" s="4190"/>
    </row>
    <row r="182" spans="1:8" ht="15.75">
      <c r="A182" s="4190"/>
      <c r="B182" s="4190"/>
      <c r="C182" s="4190"/>
      <c r="D182" s="4190"/>
      <c r="E182" s="4190"/>
      <c r="F182" s="4190"/>
      <c r="G182" s="4190"/>
      <c r="H182" s="4190"/>
    </row>
    <row r="183" spans="1:8" ht="15.75">
      <c r="A183" s="4190"/>
      <c r="B183" s="4190"/>
      <c r="C183" s="4190"/>
      <c r="D183" s="4190"/>
      <c r="E183" s="4190"/>
      <c r="F183" s="4190"/>
      <c r="G183" s="4190"/>
      <c r="H183" s="4190"/>
    </row>
    <row r="184" spans="1:8" ht="15.75">
      <c r="A184" s="4190"/>
      <c r="B184" s="4190"/>
      <c r="C184" s="4190"/>
      <c r="D184" s="4190"/>
      <c r="E184" s="4190"/>
      <c r="F184" s="4190"/>
      <c r="G184" s="4190"/>
      <c r="H184" s="4190"/>
    </row>
    <row r="185" spans="1:8" ht="15.75">
      <c r="A185" s="4190"/>
      <c r="B185" s="4190"/>
      <c r="C185" s="4190"/>
      <c r="D185" s="4190"/>
      <c r="E185" s="4190"/>
      <c r="F185" s="4190"/>
      <c r="G185" s="4190"/>
      <c r="H185" s="4190"/>
    </row>
    <row r="186" spans="1:8" ht="15.75">
      <c r="A186" s="4190"/>
      <c r="B186" s="4190"/>
      <c r="C186" s="4190"/>
      <c r="D186" s="4190"/>
      <c r="E186" s="4190"/>
      <c r="F186" s="4190"/>
      <c r="G186" s="4190"/>
      <c r="H186" s="4190"/>
    </row>
    <row r="187" spans="1:8" ht="15.75">
      <c r="A187" s="4190"/>
      <c r="B187" s="4190"/>
      <c r="C187" s="4190"/>
      <c r="D187" s="4190"/>
      <c r="E187" s="4190"/>
      <c r="F187" s="4190"/>
      <c r="G187" s="4190"/>
      <c r="H187" s="4190"/>
    </row>
    <row r="188" spans="1:8" ht="15.75">
      <c r="A188" s="4190"/>
      <c r="B188" s="4190"/>
      <c r="C188" s="4190"/>
      <c r="D188" s="4190"/>
      <c r="E188" s="4190"/>
      <c r="F188" s="4190"/>
      <c r="G188" s="4190"/>
      <c r="H188" s="4190"/>
    </row>
    <row r="189" spans="1:8" ht="15.75">
      <c r="A189" s="4190"/>
      <c r="B189" s="4190"/>
      <c r="C189" s="4190"/>
      <c r="D189" s="4190"/>
      <c r="E189" s="4190"/>
      <c r="F189" s="4190"/>
      <c r="G189" s="4190"/>
      <c r="H189" s="4190"/>
    </row>
    <row r="190" spans="1:8" ht="15.75">
      <c r="A190" s="4190"/>
      <c r="B190" s="4190"/>
      <c r="C190" s="4190"/>
      <c r="D190" s="4190"/>
      <c r="E190" s="4190"/>
      <c r="F190" s="4190"/>
      <c r="G190" s="4190"/>
      <c r="H190" s="4190"/>
    </row>
    <row r="191" spans="1:8" ht="15.75">
      <c r="A191" s="4190"/>
      <c r="B191" s="4190"/>
      <c r="C191" s="4190"/>
      <c r="D191" s="4190"/>
      <c r="E191" s="4190"/>
      <c r="F191" s="4190"/>
      <c r="G191" s="4190"/>
      <c r="H191" s="4190"/>
    </row>
    <row r="192" spans="1:8" ht="15.75">
      <c r="A192" s="4190"/>
      <c r="B192" s="4190"/>
      <c r="C192" s="4190"/>
      <c r="D192" s="4190"/>
      <c r="E192" s="4190"/>
      <c r="F192" s="4190"/>
      <c r="G192" s="4190"/>
      <c r="H192" s="4190"/>
    </row>
    <row r="193" spans="1:8" ht="15.75">
      <c r="A193" s="4192" t="s">
        <v>2056</v>
      </c>
      <c r="B193" s="4190"/>
      <c r="C193" s="4190"/>
      <c r="D193" s="4190"/>
      <c r="E193" s="4190"/>
      <c r="F193" s="4190"/>
      <c r="G193" s="4190"/>
      <c r="H193" s="4190"/>
    </row>
    <row r="194" spans="1:8" ht="15.75">
      <c r="A194" s="4190"/>
      <c r="B194" s="4190"/>
      <c r="C194" s="4190"/>
      <c r="D194" s="4190"/>
      <c r="E194" s="4190"/>
      <c r="F194" s="4190"/>
      <c r="G194" s="4190"/>
      <c r="H194" s="4190"/>
    </row>
    <row r="195" spans="1:8" ht="15.75">
      <c r="A195" s="4191" t="s">
        <v>2217</v>
      </c>
      <c r="B195" s="4190"/>
      <c r="C195" s="4190"/>
      <c r="D195" s="4190"/>
      <c r="E195" s="4190"/>
      <c r="F195" s="4190"/>
      <c r="G195" s="4190"/>
      <c r="H195" s="4190"/>
    </row>
    <row r="196" spans="1:8" ht="15.75">
      <c r="A196" s="4191" t="s">
        <v>2218</v>
      </c>
      <c r="B196" s="4190"/>
      <c r="C196" s="4190"/>
      <c r="D196" s="4190"/>
      <c r="E196" s="4190"/>
      <c r="F196" s="4190"/>
      <c r="G196" s="4190"/>
      <c r="H196" s="4190"/>
    </row>
    <row r="197" spans="1:8" ht="15.75">
      <c r="A197" s="4191" t="s">
        <v>2219</v>
      </c>
      <c r="B197" s="4190"/>
      <c r="C197" s="4190"/>
      <c r="D197" s="4190"/>
      <c r="E197" s="4190"/>
      <c r="F197" s="4190"/>
      <c r="G197" s="4190"/>
      <c r="H197" s="4190"/>
    </row>
    <row r="198" spans="1:8" ht="15.75">
      <c r="A198" s="4191" t="s">
        <v>2220</v>
      </c>
      <c r="B198" s="4190"/>
      <c r="C198" s="4190"/>
      <c r="D198" s="4190"/>
      <c r="E198" s="4190"/>
      <c r="F198" s="4190"/>
      <c r="G198" s="4190"/>
      <c r="H198" s="4190"/>
    </row>
    <row r="199" spans="1:8" ht="15.75">
      <c r="A199" s="4191" t="s">
        <v>2221</v>
      </c>
      <c r="B199" s="4190"/>
      <c r="C199" s="4190"/>
      <c r="D199" s="4190"/>
      <c r="E199" s="4190"/>
      <c r="F199" s="4190"/>
      <c r="G199" s="4190"/>
      <c r="H199" s="4190"/>
    </row>
    <row r="200" spans="1:8" ht="15.75">
      <c r="A200" s="4190"/>
      <c r="B200" s="4190"/>
      <c r="C200" s="4190"/>
      <c r="D200" s="4190"/>
      <c r="E200" s="4190"/>
      <c r="F200" s="4190"/>
      <c r="G200" s="4190"/>
      <c r="H200" s="4190"/>
    </row>
    <row r="201" spans="1:8" ht="15.75">
      <c r="A201" s="4191" t="s">
        <v>2214</v>
      </c>
      <c r="B201" s="4190"/>
      <c r="C201" s="4190"/>
      <c r="D201" s="4190"/>
      <c r="E201" s="4190"/>
      <c r="F201" s="4190"/>
      <c r="G201" s="4190"/>
      <c r="H201" s="4190"/>
    </row>
    <row r="202" spans="1:8" ht="15.75">
      <c r="A202" s="4191" t="s">
        <v>2215</v>
      </c>
      <c r="B202" s="4190"/>
      <c r="C202" s="4190"/>
      <c r="D202" s="4190"/>
      <c r="E202" s="4190"/>
      <c r="F202" s="4190"/>
      <c r="G202" s="4190"/>
      <c r="H202" s="4190"/>
    </row>
    <row r="203" spans="1:8" ht="15.75">
      <c r="A203" s="4191" t="s">
        <v>2216</v>
      </c>
      <c r="B203" s="4190"/>
      <c r="C203" s="4190"/>
      <c r="D203" s="4190"/>
      <c r="E203" s="4190"/>
      <c r="F203" s="4190"/>
      <c r="G203" s="4190"/>
      <c r="H203" s="4190"/>
    </row>
    <row r="204" spans="1:8" ht="15.75">
      <c r="A204" s="4192" t="s">
        <v>2057</v>
      </c>
      <c r="B204" s="4190"/>
      <c r="C204" s="4190"/>
      <c r="D204" s="4190"/>
      <c r="E204" s="4190"/>
      <c r="F204" s="4190"/>
      <c r="G204" s="4190"/>
      <c r="H204" s="4190"/>
    </row>
    <row r="205" spans="1:8" ht="15.75">
      <c r="A205" s="4190"/>
      <c r="B205" s="4190"/>
      <c r="C205" s="4190"/>
      <c r="D205" s="4190"/>
      <c r="E205" s="4190"/>
      <c r="F205" s="4190"/>
      <c r="G205" s="4190"/>
      <c r="H205" s="4190"/>
    </row>
    <row r="206" spans="1:8" ht="15.75">
      <c r="A206" s="4191" t="s">
        <v>2212</v>
      </c>
      <c r="B206" s="4190"/>
      <c r="C206" s="4190"/>
      <c r="D206" s="4190"/>
      <c r="E206" s="4190"/>
      <c r="F206" s="4190"/>
      <c r="G206" s="4190"/>
      <c r="H206" s="4190"/>
    </row>
    <row r="207" spans="1:8" ht="15.75">
      <c r="A207" s="4191" t="s">
        <v>2213</v>
      </c>
      <c r="B207" s="4190"/>
      <c r="C207" s="4190"/>
      <c r="D207" s="4190"/>
      <c r="E207" s="4190"/>
      <c r="F207" s="4190"/>
      <c r="G207" s="4190"/>
      <c r="H207" s="4190"/>
    </row>
    <row r="208" spans="1:8" ht="15.75">
      <c r="A208" s="4190"/>
      <c r="B208" s="4190"/>
      <c r="C208" s="4190"/>
      <c r="D208" s="4190"/>
      <c r="E208" s="4190"/>
      <c r="F208" s="4190"/>
      <c r="G208" s="4190"/>
      <c r="H208" s="4190"/>
    </row>
    <row r="209" spans="1:8" ht="15.75">
      <c r="A209" s="4191" t="s">
        <v>2205</v>
      </c>
      <c r="B209" s="4190"/>
      <c r="C209" s="4190"/>
      <c r="D209" s="4190"/>
      <c r="E209" s="4190"/>
      <c r="F209" s="4190"/>
      <c r="G209" s="4190"/>
      <c r="H209" s="4190"/>
    </row>
    <row r="210" spans="1:8" ht="15.75">
      <c r="A210" s="4191" t="s">
        <v>2206</v>
      </c>
      <c r="B210" s="4190"/>
      <c r="C210" s="4190"/>
      <c r="D210" s="4190"/>
      <c r="E210" s="4190"/>
      <c r="F210" s="4190"/>
      <c r="G210" s="4190"/>
      <c r="H210" s="4190"/>
    </row>
    <row r="211" spans="1:8" ht="15.75">
      <c r="A211" s="4191" t="s">
        <v>2207</v>
      </c>
      <c r="B211" s="4190"/>
      <c r="C211" s="4190"/>
      <c r="D211" s="4190"/>
      <c r="E211" s="4190"/>
      <c r="F211" s="4190"/>
      <c r="G211" s="4190"/>
      <c r="H211" s="4190"/>
    </row>
    <row r="212" spans="1:8" ht="15.75">
      <c r="A212" s="4191" t="s">
        <v>2208</v>
      </c>
      <c r="B212" s="4190"/>
      <c r="C212" s="4190"/>
      <c r="D212" s="4190"/>
      <c r="E212" s="4190"/>
      <c r="F212" s="4190"/>
      <c r="G212" s="4190"/>
      <c r="H212" s="4190"/>
    </row>
    <row r="213" spans="1:8" ht="15.75">
      <c r="A213" s="4191" t="s">
        <v>2209</v>
      </c>
      <c r="B213" s="4190"/>
      <c r="C213" s="4190"/>
      <c r="D213" s="4190"/>
      <c r="E213" s="4190"/>
      <c r="F213" s="4190"/>
      <c r="G213" s="4190"/>
      <c r="H213" s="4190"/>
    </row>
    <row r="214" spans="1:8" ht="15.75">
      <c r="A214" s="4191" t="s">
        <v>2210</v>
      </c>
      <c r="B214" s="4190"/>
      <c r="C214" s="4190"/>
      <c r="D214" s="4190"/>
      <c r="E214" s="4190"/>
      <c r="F214" s="4190"/>
      <c r="G214" s="4190"/>
      <c r="H214" s="4190"/>
    </row>
    <row r="215" spans="1:8" ht="15.75">
      <c r="A215" s="4191" t="s">
        <v>2211</v>
      </c>
      <c r="B215" s="4190"/>
      <c r="C215" s="4190"/>
      <c r="D215" s="4190"/>
      <c r="E215" s="4190"/>
      <c r="F215" s="4190"/>
      <c r="G215" s="4190"/>
      <c r="H215" s="4190"/>
    </row>
    <row r="216" spans="1:8" ht="15.75">
      <c r="A216" s="4190"/>
      <c r="B216" s="4190"/>
      <c r="C216" s="4190"/>
      <c r="D216" s="4190"/>
      <c r="E216" s="4190"/>
      <c r="F216" s="4190"/>
      <c r="G216" s="4190"/>
      <c r="H216" s="4190"/>
    </row>
    <row r="217" spans="1:8" ht="15.75">
      <c r="A217" s="4191" t="s">
        <v>2202</v>
      </c>
      <c r="B217" s="4190"/>
      <c r="C217" s="4190"/>
      <c r="D217" s="4190"/>
      <c r="E217" s="4190"/>
      <c r="F217" s="4190"/>
      <c r="G217" s="4190"/>
      <c r="H217" s="4190"/>
    </row>
    <row r="218" spans="1:8" ht="15.75">
      <c r="A218" s="4191" t="s">
        <v>2203</v>
      </c>
      <c r="B218" s="4190"/>
      <c r="C218" s="4190"/>
      <c r="D218" s="4190"/>
      <c r="E218" s="4190"/>
      <c r="F218" s="4190"/>
      <c r="G218" s="4190"/>
      <c r="H218" s="4190"/>
    </row>
    <row r="219" spans="1:8" ht="15.75">
      <c r="A219" s="4191" t="s">
        <v>2204</v>
      </c>
      <c r="B219" s="4190"/>
      <c r="C219" s="4190"/>
      <c r="D219" s="4190"/>
      <c r="E219" s="4190"/>
      <c r="F219" s="4190"/>
      <c r="G219" s="4190"/>
      <c r="H219" s="4190"/>
    </row>
    <row r="220" spans="1:8" ht="15.75">
      <c r="A220" s="4190"/>
      <c r="B220" s="4190"/>
      <c r="C220" s="4190"/>
      <c r="D220" s="4190"/>
      <c r="E220" s="4190"/>
      <c r="F220" s="4190"/>
      <c r="G220" s="4190"/>
      <c r="H220" s="4190"/>
    </row>
    <row r="221" spans="1:8" ht="15.75">
      <c r="A221" s="4191" t="s">
        <v>2197</v>
      </c>
      <c r="B221" s="4190"/>
      <c r="C221" s="4190"/>
      <c r="D221" s="4190"/>
      <c r="E221" s="4190"/>
      <c r="F221" s="4190"/>
      <c r="G221" s="4190"/>
      <c r="H221" s="4190"/>
    </row>
    <row r="222" spans="1:8" ht="15.75">
      <c r="A222" s="4191" t="s">
        <v>2198</v>
      </c>
      <c r="B222" s="4190"/>
      <c r="C222" s="4190"/>
      <c r="D222" s="4190"/>
      <c r="E222" s="4190"/>
      <c r="F222" s="4190"/>
      <c r="G222" s="4190"/>
      <c r="H222" s="4190"/>
    </row>
    <row r="223" spans="1:8" ht="15.75">
      <c r="A223" s="4191" t="s">
        <v>2199</v>
      </c>
      <c r="B223" s="4190"/>
      <c r="C223" s="4190"/>
      <c r="D223" s="4190"/>
      <c r="E223" s="4190"/>
      <c r="F223" s="4190"/>
      <c r="G223" s="4190"/>
      <c r="H223" s="4190"/>
    </row>
    <row r="224" spans="1:8" ht="15.75">
      <c r="A224" s="4191" t="s">
        <v>2200</v>
      </c>
      <c r="B224" s="4190"/>
      <c r="C224" s="4190"/>
      <c r="D224" s="4190"/>
      <c r="E224" s="4190"/>
      <c r="F224" s="4190"/>
      <c r="G224" s="4190"/>
      <c r="H224" s="4190"/>
    </row>
    <row r="225" spans="1:8" ht="15.75">
      <c r="A225" s="4191" t="s">
        <v>2201</v>
      </c>
      <c r="B225" s="4190"/>
      <c r="C225" s="4190"/>
      <c r="D225" s="4190"/>
      <c r="E225" s="4190"/>
      <c r="F225" s="4190"/>
      <c r="G225" s="4190"/>
      <c r="H225" s="4190"/>
    </row>
    <row r="226" spans="1:8" ht="15.75">
      <c r="A226" s="4190"/>
      <c r="B226" s="4190"/>
      <c r="C226" s="4190"/>
      <c r="D226" s="4190"/>
      <c r="E226" s="4190"/>
      <c r="F226" s="4190"/>
      <c r="G226" s="4190"/>
      <c r="H226" s="4190"/>
    </row>
    <row r="227" spans="1:8" ht="15.75">
      <c r="A227" s="4191" t="s">
        <v>2191</v>
      </c>
      <c r="B227" s="4190"/>
      <c r="C227" s="4190"/>
      <c r="D227" s="4190"/>
      <c r="E227" s="4190"/>
      <c r="F227" s="4190"/>
      <c r="G227" s="4190"/>
      <c r="H227" s="4190"/>
    </row>
    <row r="228" spans="1:8" ht="15.75">
      <c r="A228" s="4191" t="s">
        <v>2192</v>
      </c>
      <c r="B228" s="4190"/>
      <c r="C228" s="4190"/>
      <c r="D228" s="4190"/>
      <c r="E228" s="4190"/>
      <c r="F228" s="4190"/>
      <c r="G228" s="4190"/>
      <c r="H228" s="4190"/>
    </row>
    <row r="229" spans="1:8" ht="15.75">
      <c r="A229" s="4191" t="s">
        <v>2193</v>
      </c>
      <c r="B229" s="4190"/>
      <c r="C229" s="4190"/>
      <c r="D229" s="4190"/>
      <c r="E229" s="4190"/>
      <c r="F229" s="4190"/>
      <c r="G229" s="4190"/>
      <c r="H229" s="4190"/>
    </row>
    <row r="230" spans="1:8" ht="15.75">
      <c r="A230" s="4191" t="s">
        <v>2194</v>
      </c>
      <c r="B230" s="4190"/>
      <c r="C230" s="4190"/>
      <c r="D230" s="4190"/>
      <c r="E230" s="4190"/>
      <c r="F230" s="4190"/>
      <c r="G230" s="4190"/>
      <c r="H230" s="4190"/>
    </row>
    <row r="231" spans="1:8" ht="15.75">
      <c r="A231" s="4191" t="s">
        <v>2195</v>
      </c>
      <c r="B231" s="4190"/>
      <c r="C231" s="4190"/>
      <c r="D231" s="4190"/>
      <c r="E231" s="4190"/>
      <c r="F231" s="4190"/>
      <c r="G231" s="4190"/>
      <c r="H231" s="4190"/>
    </row>
    <row r="232" spans="1:8" ht="15.75">
      <c r="A232" s="4191" t="s">
        <v>2196</v>
      </c>
      <c r="B232" s="4190"/>
      <c r="C232" s="4190"/>
      <c r="D232" s="4190"/>
      <c r="E232" s="4190"/>
      <c r="F232" s="4190"/>
      <c r="G232" s="4190"/>
      <c r="H232" s="4190"/>
    </row>
    <row r="233" spans="1:8" ht="15.75">
      <c r="A233" s="4190"/>
      <c r="B233" s="4190"/>
      <c r="C233" s="4190"/>
      <c r="D233" s="4190"/>
      <c r="E233" s="4190"/>
      <c r="F233" s="4190"/>
      <c r="G233" s="4190"/>
      <c r="H233" s="4190"/>
    </row>
    <row r="234" spans="1:8" ht="15.75">
      <c r="A234" s="4191" t="s">
        <v>2181</v>
      </c>
      <c r="B234" s="4190"/>
      <c r="C234" s="4190"/>
      <c r="D234" s="4190"/>
      <c r="E234" s="4190"/>
      <c r="F234" s="4190"/>
      <c r="G234" s="4190"/>
      <c r="H234" s="4190"/>
    </row>
    <row r="235" spans="1:8" ht="15.75">
      <c r="A235" s="4191" t="s">
        <v>2182</v>
      </c>
      <c r="B235" s="4190"/>
      <c r="C235" s="4190"/>
      <c r="D235" s="4190"/>
      <c r="E235" s="4190"/>
      <c r="F235" s="4190"/>
      <c r="G235" s="4190"/>
      <c r="H235" s="4190"/>
    </row>
    <row r="236" spans="1:8" ht="15.75">
      <c r="A236" s="4191" t="s">
        <v>2183</v>
      </c>
      <c r="B236" s="4190"/>
      <c r="C236" s="4190"/>
      <c r="D236" s="4190"/>
      <c r="E236" s="4190"/>
      <c r="F236" s="4190"/>
      <c r="G236" s="4190"/>
      <c r="H236" s="4190"/>
    </row>
    <row r="237" spans="1:8" ht="15.75">
      <c r="A237" s="4191" t="s">
        <v>2184</v>
      </c>
      <c r="B237" s="4190"/>
      <c r="C237" s="4190"/>
      <c r="D237" s="4190"/>
      <c r="E237" s="4190"/>
      <c r="F237" s="4190"/>
      <c r="G237" s="4190"/>
      <c r="H237" s="4190"/>
    </row>
    <row r="238" spans="1:8" ht="15.75">
      <c r="A238" s="4191" t="s">
        <v>2185</v>
      </c>
      <c r="B238" s="4190"/>
      <c r="C238" s="4190"/>
      <c r="D238" s="4190"/>
      <c r="E238" s="4190"/>
      <c r="F238" s="4190"/>
      <c r="G238" s="4190"/>
      <c r="H238" s="4190"/>
    </row>
    <row r="239" spans="1:8" ht="15.75">
      <c r="A239" s="4191" t="s">
        <v>2186</v>
      </c>
      <c r="B239" s="4190"/>
      <c r="C239" s="4190"/>
      <c r="D239" s="4190"/>
      <c r="E239" s="4190"/>
      <c r="F239" s="4190"/>
      <c r="G239" s="4190"/>
      <c r="H239" s="4190"/>
    </row>
    <row r="240" spans="1:8" ht="15.75">
      <c r="A240" s="4191" t="s">
        <v>2187</v>
      </c>
      <c r="B240" s="4190"/>
      <c r="C240" s="4190"/>
      <c r="D240" s="4190"/>
      <c r="E240" s="4190"/>
      <c r="F240" s="4190"/>
      <c r="G240" s="4190"/>
      <c r="H240" s="4190"/>
    </row>
    <row r="241" spans="1:8" ht="15.75">
      <c r="A241" s="4191" t="s">
        <v>2188</v>
      </c>
      <c r="B241" s="4190"/>
      <c r="C241" s="4190"/>
      <c r="D241" s="4190"/>
      <c r="E241" s="4190"/>
      <c r="F241" s="4190"/>
      <c r="G241" s="4190"/>
      <c r="H241" s="4190"/>
    </row>
    <row r="242" spans="1:8" ht="15.75">
      <c r="A242" s="4191" t="s">
        <v>2189</v>
      </c>
      <c r="B242" s="4190"/>
      <c r="C242" s="4190"/>
      <c r="D242" s="4190"/>
      <c r="E242" s="4190"/>
      <c r="F242" s="4190"/>
      <c r="G242" s="4190"/>
      <c r="H242" s="4190"/>
    </row>
    <row r="243" spans="1:8" ht="15.75">
      <c r="A243" s="4191" t="s">
        <v>2190</v>
      </c>
      <c r="B243" s="4190"/>
      <c r="C243" s="4190"/>
      <c r="D243" s="4190"/>
      <c r="E243" s="4190"/>
      <c r="F243" s="4190"/>
      <c r="G243" s="4190"/>
      <c r="H243" s="4190"/>
    </row>
    <row r="244" spans="1:8" ht="15.75">
      <c r="A244" s="4190"/>
      <c r="B244" s="4190"/>
      <c r="C244" s="4190"/>
      <c r="D244" s="4190"/>
      <c r="E244" s="4190"/>
      <c r="F244" s="4190"/>
      <c r="G244" s="4190"/>
      <c r="H244" s="4190"/>
    </row>
    <row r="245" spans="1:8" ht="15.75">
      <c r="A245" s="4191" t="s">
        <v>2179</v>
      </c>
      <c r="B245" s="4190"/>
      <c r="C245" s="4190"/>
      <c r="D245" s="4190"/>
      <c r="E245" s="4190"/>
      <c r="F245" s="4190"/>
      <c r="G245" s="4190"/>
      <c r="H245" s="4190"/>
    </row>
    <row r="246" spans="1:8" ht="15.75">
      <c r="A246" s="4191" t="s">
        <v>2180</v>
      </c>
      <c r="B246" s="4190"/>
      <c r="C246" s="4190"/>
      <c r="D246" s="4190"/>
      <c r="E246" s="4190"/>
      <c r="F246" s="4190"/>
      <c r="G246" s="4190"/>
      <c r="H246" s="4190"/>
    </row>
    <row r="247" spans="1:8" ht="15.75">
      <c r="A247" s="4190"/>
      <c r="B247" s="4190"/>
      <c r="C247" s="4190"/>
      <c r="D247" s="4190"/>
      <c r="E247" s="4190"/>
      <c r="F247" s="4190"/>
      <c r="G247" s="4190"/>
      <c r="H247" s="4190"/>
    </row>
    <row r="248" spans="1:8" ht="15.75">
      <c r="A248" s="4191" t="s">
        <v>2163</v>
      </c>
      <c r="B248" s="4190"/>
      <c r="C248" s="4190"/>
      <c r="D248" s="4190"/>
      <c r="E248" s="4190"/>
      <c r="F248" s="4190"/>
      <c r="G248" s="4190"/>
      <c r="H248" s="4190"/>
    </row>
    <row r="249" spans="1:8" ht="15.75">
      <c r="A249" s="4191" t="s">
        <v>2164</v>
      </c>
      <c r="B249" s="4190"/>
      <c r="C249" s="4190"/>
      <c r="D249" s="4190"/>
      <c r="E249" s="4190"/>
      <c r="F249" s="4190"/>
      <c r="G249" s="4190"/>
      <c r="H249" s="4190"/>
    </row>
    <row r="250" spans="1:8" ht="15.75">
      <c r="A250" s="4191" t="s">
        <v>2165</v>
      </c>
      <c r="B250" s="4190"/>
      <c r="C250" s="4190"/>
      <c r="D250" s="4190"/>
      <c r="E250" s="4190"/>
      <c r="F250" s="4190"/>
      <c r="G250" s="4190"/>
      <c r="H250" s="4190"/>
    </row>
    <row r="251" spans="1:8" ht="15.75">
      <c r="A251" s="4191" t="s">
        <v>2166</v>
      </c>
      <c r="B251" s="4190"/>
      <c r="C251" s="4190"/>
      <c r="D251" s="4190"/>
      <c r="E251" s="4190"/>
      <c r="F251" s="4190"/>
      <c r="G251" s="4190"/>
      <c r="H251" s="4190"/>
    </row>
    <row r="252" spans="1:8" ht="15.75">
      <c r="A252" s="4191" t="s">
        <v>2167</v>
      </c>
      <c r="B252" s="4190"/>
      <c r="C252" s="4190"/>
      <c r="D252" s="4190"/>
      <c r="E252" s="4190"/>
      <c r="F252" s="4190"/>
      <c r="G252" s="4190"/>
      <c r="H252" s="4190"/>
    </row>
    <row r="253" spans="1:8" ht="15.75">
      <c r="A253" s="4191" t="s">
        <v>2168</v>
      </c>
      <c r="B253" s="4190"/>
      <c r="C253" s="4190"/>
      <c r="D253" s="4190"/>
      <c r="E253" s="4190"/>
      <c r="F253" s="4190"/>
      <c r="G253" s="4190"/>
      <c r="H253" s="4190"/>
    </row>
    <row r="254" spans="1:8" ht="15.75">
      <c r="A254" s="4191" t="s">
        <v>2169</v>
      </c>
      <c r="B254" s="4190"/>
      <c r="C254" s="4190"/>
      <c r="D254" s="4190"/>
      <c r="E254" s="4190"/>
      <c r="F254" s="4190"/>
      <c r="G254" s="4190"/>
      <c r="H254" s="4190"/>
    </row>
    <row r="255" spans="1:8" ht="15.75">
      <c r="A255" s="4191" t="s">
        <v>2170</v>
      </c>
      <c r="B255" s="4190"/>
      <c r="C255" s="4190"/>
      <c r="D255" s="4190"/>
      <c r="E255" s="4190"/>
      <c r="F255" s="4190"/>
      <c r="G255" s="4190"/>
      <c r="H255" s="4190"/>
    </row>
    <row r="256" spans="1:8" ht="15.75">
      <c r="A256" s="4191" t="s">
        <v>2171</v>
      </c>
      <c r="B256" s="4190"/>
      <c r="C256" s="4190"/>
      <c r="D256" s="4190"/>
      <c r="E256" s="4190"/>
      <c r="F256" s="4190"/>
      <c r="G256" s="4190"/>
      <c r="H256" s="4190"/>
    </row>
    <row r="257" spans="1:8" ht="15.75">
      <c r="A257" s="4191" t="s">
        <v>2172</v>
      </c>
      <c r="B257" s="4190"/>
      <c r="C257" s="4190"/>
      <c r="D257" s="4190"/>
      <c r="E257" s="4190"/>
      <c r="F257" s="4190"/>
      <c r="G257" s="4190"/>
      <c r="H257" s="4190"/>
    </row>
    <row r="258" spans="1:8" ht="15.75">
      <c r="A258" s="4191" t="s">
        <v>2173</v>
      </c>
      <c r="B258" s="4190"/>
      <c r="C258" s="4190"/>
      <c r="D258" s="4190"/>
      <c r="E258" s="4190"/>
      <c r="F258" s="4190"/>
      <c r="G258" s="4190"/>
      <c r="H258" s="4190"/>
    </row>
    <row r="259" spans="1:8" ht="15.75">
      <c r="A259" s="4191" t="s">
        <v>2174</v>
      </c>
      <c r="B259" s="4190"/>
      <c r="C259" s="4190"/>
      <c r="D259" s="4190"/>
      <c r="E259" s="4190"/>
      <c r="F259" s="4190"/>
      <c r="G259" s="4190"/>
      <c r="H259" s="4190"/>
    </row>
    <row r="260" spans="1:8" ht="15.75">
      <c r="A260" s="4191" t="s">
        <v>2175</v>
      </c>
      <c r="B260" s="4190"/>
      <c r="C260" s="4190"/>
      <c r="D260" s="4190"/>
      <c r="E260" s="4190"/>
      <c r="F260" s="4190"/>
      <c r="G260" s="4190"/>
      <c r="H260" s="4190"/>
    </row>
    <row r="261" spans="1:8" ht="15.75">
      <c r="A261" s="4191" t="s">
        <v>2176</v>
      </c>
      <c r="B261" s="4190"/>
      <c r="C261" s="4190"/>
      <c r="D261" s="4190"/>
      <c r="E261" s="4190"/>
      <c r="F261" s="4190"/>
      <c r="G261" s="4190"/>
      <c r="H261" s="4190"/>
    </row>
    <row r="262" spans="1:8" ht="15.75">
      <c r="A262" s="4191" t="s">
        <v>2177</v>
      </c>
      <c r="B262" s="4190"/>
      <c r="C262" s="4190"/>
      <c r="D262" s="4190"/>
      <c r="E262" s="4190"/>
      <c r="F262" s="4190"/>
      <c r="G262" s="4190"/>
      <c r="H262" s="4190"/>
    </row>
    <row r="263" spans="1:8" ht="15.75">
      <c r="A263" s="4191" t="s">
        <v>2178</v>
      </c>
      <c r="B263" s="4190"/>
      <c r="C263" s="4190"/>
      <c r="D263" s="4190"/>
      <c r="E263" s="4190"/>
      <c r="F263" s="4190"/>
      <c r="G263" s="4190"/>
      <c r="H263" s="4190"/>
    </row>
    <row r="264" spans="1:8" ht="15.75">
      <c r="A264" s="4190"/>
      <c r="B264" s="4190"/>
      <c r="C264" s="4190"/>
      <c r="D264" s="4190"/>
      <c r="E264" s="4190"/>
      <c r="F264" s="4190"/>
      <c r="G264" s="4190"/>
      <c r="H264" s="4190"/>
    </row>
    <row r="265" spans="1:8" ht="15.75">
      <c r="A265" s="4191" t="s">
        <v>2156</v>
      </c>
      <c r="B265" s="4190"/>
      <c r="C265" s="4190"/>
      <c r="D265" s="4190"/>
      <c r="E265" s="4190"/>
      <c r="F265" s="4190"/>
      <c r="G265" s="4190"/>
      <c r="H265" s="4190"/>
    </row>
    <row r="266" spans="1:8" ht="15.75">
      <c r="A266" s="4191" t="s">
        <v>2157</v>
      </c>
      <c r="B266" s="4190"/>
      <c r="C266" s="4190"/>
      <c r="D266" s="4190"/>
      <c r="E266" s="4190"/>
      <c r="F266" s="4190"/>
      <c r="G266" s="4190"/>
      <c r="H266" s="4190"/>
    </row>
    <row r="267" spans="1:8" ht="15.75">
      <c r="A267" s="4191" t="s">
        <v>2158</v>
      </c>
      <c r="B267" s="4190"/>
      <c r="C267" s="4190"/>
      <c r="D267" s="4190"/>
      <c r="E267" s="4190"/>
      <c r="F267" s="4190"/>
      <c r="G267" s="4190"/>
      <c r="H267" s="4190"/>
    </row>
    <row r="268" spans="1:8" ht="15.75">
      <c r="A268" s="4191" t="s">
        <v>2159</v>
      </c>
      <c r="B268" s="4190"/>
      <c r="C268" s="4190"/>
      <c r="D268" s="4190"/>
      <c r="E268" s="4190"/>
      <c r="F268" s="4190"/>
      <c r="G268" s="4190"/>
      <c r="H268" s="4190"/>
    </row>
    <row r="269" spans="1:8" ht="15.75">
      <c r="A269" s="4191" t="s">
        <v>2160</v>
      </c>
      <c r="B269" s="4190"/>
      <c r="C269" s="4190"/>
      <c r="D269" s="4190"/>
      <c r="E269" s="4190"/>
      <c r="F269" s="4190"/>
      <c r="G269" s="4190"/>
      <c r="H269" s="4190"/>
    </row>
    <row r="270" spans="1:8" ht="15.75">
      <c r="A270" s="4191" t="s">
        <v>2161</v>
      </c>
      <c r="B270" s="4190"/>
      <c r="C270" s="4190"/>
      <c r="D270" s="4190"/>
      <c r="E270" s="4190"/>
      <c r="F270" s="4190"/>
      <c r="G270" s="4190"/>
      <c r="H270" s="4190"/>
    </row>
    <row r="271" spans="1:8" ht="15.75">
      <c r="A271" s="4191" t="s">
        <v>2162</v>
      </c>
      <c r="B271" s="4190"/>
      <c r="C271" s="4190"/>
      <c r="D271" s="4190"/>
      <c r="E271" s="4190"/>
      <c r="F271" s="4190"/>
      <c r="G271" s="4190"/>
      <c r="H271" s="4190"/>
    </row>
    <row r="272" spans="1:8" ht="15.75">
      <c r="A272" s="4190"/>
      <c r="B272" s="4190"/>
      <c r="C272" s="4190"/>
      <c r="D272" s="4190"/>
      <c r="E272" s="4190"/>
      <c r="F272" s="4190"/>
      <c r="G272" s="4190"/>
      <c r="H272" s="4190"/>
    </row>
    <row r="273" spans="1:8" ht="15.75">
      <c r="A273" s="4191" t="s">
        <v>2147</v>
      </c>
      <c r="B273" s="4190"/>
      <c r="C273" s="4190"/>
      <c r="D273" s="4190"/>
      <c r="E273" s="4190"/>
      <c r="F273" s="4190"/>
      <c r="G273" s="4190"/>
      <c r="H273" s="4190"/>
    </row>
    <row r="274" spans="1:8" ht="15.75">
      <c r="A274" s="4191" t="s">
        <v>2148</v>
      </c>
      <c r="B274" s="4190"/>
      <c r="C274" s="4190"/>
      <c r="D274" s="4190"/>
      <c r="E274" s="4190"/>
      <c r="F274" s="4190"/>
      <c r="G274" s="4190"/>
      <c r="H274" s="4190"/>
    </row>
    <row r="275" spans="1:8" ht="15.75">
      <c r="A275" s="4191" t="s">
        <v>2149</v>
      </c>
      <c r="B275" s="4190"/>
      <c r="C275" s="4190"/>
      <c r="D275" s="4190"/>
      <c r="E275" s="4190"/>
      <c r="F275" s="4190"/>
      <c r="G275" s="4190"/>
      <c r="H275" s="4190"/>
    </row>
    <row r="276" spans="1:8" ht="15.75">
      <c r="A276" s="4191" t="s">
        <v>2150</v>
      </c>
      <c r="B276" s="4190"/>
      <c r="C276" s="4190"/>
      <c r="D276" s="4190"/>
      <c r="E276" s="4190"/>
      <c r="F276" s="4190"/>
      <c r="G276" s="4190"/>
      <c r="H276" s="4190"/>
    </row>
    <row r="277" spans="1:8" ht="15.75">
      <c r="A277" s="4191" t="s">
        <v>2151</v>
      </c>
      <c r="B277" s="4190"/>
      <c r="C277" s="4190"/>
      <c r="D277" s="4190"/>
      <c r="E277" s="4190"/>
      <c r="F277" s="4190"/>
      <c r="G277" s="4190"/>
      <c r="H277" s="4190"/>
    </row>
    <row r="278" spans="1:8" ht="15.75">
      <c r="A278" s="4191" t="s">
        <v>2152</v>
      </c>
      <c r="B278" s="4190"/>
      <c r="C278" s="4190"/>
      <c r="D278" s="4190"/>
      <c r="E278" s="4190"/>
      <c r="F278" s="4190"/>
      <c r="G278" s="4190"/>
      <c r="H278" s="4190"/>
    </row>
    <row r="279" spans="1:8" ht="15.75">
      <c r="A279" s="4191" t="s">
        <v>2153</v>
      </c>
      <c r="B279" s="4190"/>
      <c r="C279" s="4190"/>
      <c r="D279" s="4190"/>
      <c r="E279" s="4190"/>
      <c r="F279" s="4190"/>
      <c r="G279" s="4190"/>
      <c r="H279" s="4190"/>
    </row>
    <row r="280" spans="1:8" ht="15.75">
      <c r="A280" s="4191" t="s">
        <v>2154</v>
      </c>
      <c r="B280" s="4190"/>
      <c r="C280" s="4190"/>
      <c r="D280" s="4190"/>
      <c r="E280" s="4190"/>
      <c r="F280" s="4190"/>
      <c r="G280" s="4190"/>
      <c r="H280" s="4190"/>
    </row>
    <row r="281" spans="1:8" ht="15.75">
      <c r="A281" s="4191" t="s">
        <v>2155</v>
      </c>
      <c r="B281" s="4190"/>
      <c r="C281" s="4190"/>
      <c r="D281" s="4190"/>
      <c r="E281" s="4190"/>
      <c r="F281" s="4190"/>
      <c r="G281" s="4190"/>
      <c r="H281" s="4190"/>
    </row>
    <row r="282" spans="1:8" ht="15.75">
      <c r="A282" s="4190"/>
      <c r="B282" s="4190"/>
      <c r="C282" s="4190"/>
      <c r="D282" s="4190"/>
      <c r="E282" s="4190"/>
      <c r="F282" s="4190"/>
      <c r="G282" s="4190"/>
      <c r="H282" s="4190"/>
    </row>
    <row r="283" spans="1:8" ht="15.75">
      <c r="A283" s="4191" t="s">
        <v>2140</v>
      </c>
      <c r="B283" s="4190"/>
      <c r="C283" s="4190"/>
      <c r="D283" s="4190"/>
      <c r="E283" s="4190"/>
      <c r="F283" s="4190"/>
      <c r="G283" s="4190"/>
      <c r="H283" s="4190"/>
    </row>
    <row r="284" spans="1:8" ht="15.75">
      <c r="A284" s="4191" t="s">
        <v>2141</v>
      </c>
      <c r="B284" s="4190"/>
      <c r="C284" s="4190"/>
      <c r="D284" s="4190"/>
      <c r="E284" s="4190"/>
      <c r="F284" s="4190"/>
      <c r="G284" s="4190"/>
      <c r="H284" s="4190"/>
    </row>
    <row r="285" spans="1:8" ht="15.75">
      <c r="A285" s="4191" t="s">
        <v>2142</v>
      </c>
      <c r="B285" s="4190"/>
      <c r="C285" s="4190"/>
      <c r="D285" s="4190"/>
      <c r="E285" s="4190"/>
      <c r="F285" s="4190"/>
      <c r="G285" s="4190"/>
      <c r="H285" s="4190"/>
    </row>
    <row r="286" spans="1:8" ht="15.75">
      <c r="A286" s="4191" t="s">
        <v>2143</v>
      </c>
      <c r="B286" s="4190"/>
      <c r="C286" s="4190"/>
      <c r="D286" s="4190"/>
      <c r="E286" s="4190"/>
      <c r="F286" s="4190"/>
      <c r="G286" s="4190"/>
      <c r="H286" s="4190"/>
    </row>
    <row r="287" spans="1:8" ht="15.75">
      <c r="A287" s="4191" t="s">
        <v>2144</v>
      </c>
      <c r="B287" s="4190"/>
      <c r="C287" s="4190"/>
      <c r="D287" s="4190"/>
      <c r="E287" s="4190"/>
      <c r="F287" s="4190"/>
      <c r="G287" s="4190"/>
      <c r="H287" s="4190"/>
    </row>
    <row r="288" spans="1:8" ht="15.75">
      <c r="A288" s="4191" t="s">
        <v>2145</v>
      </c>
      <c r="B288" s="4190"/>
      <c r="C288" s="4190"/>
      <c r="D288" s="4190"/>
      <c r="E288" s="4190"/>
      <c r="F288" s="4190"/>
      <c r="G288" s="4190"/>
      <c r="H288" s="4190"/>
    </row>
    <row r="289" spans="1:8" ht="15.75">
      <c r="A289" s="4191" t="s">
        <v>2146</v>
      </c>
      <c r="B289" s="4190"/>
      <c r="C289" s="4190"/>
      <c r="D289" s="4190"/>
      <c r="E289" s="4190"/>
      <c r="F289" s="4190"/>
      <c r="G289" s="4190"/>
      <c r="H289" s="4190"/>
    </row>
    <row r="290" spans="1:8" ht="15.75">
      <c r="A290" s="4190"/>
      <c r="B290" s="4190"/>
      <c r="C290" s="4190"/>
      <c r="D290" s="4190"/>
      <c r="E290" s="4190"/>
      <c r="F290" s="4190"/>
      <c r="G290" s="4190"/>
      <c r="H290" s="4190"/>
    </row>
    <row r="291" spans="1:8" ht="15.75">
      <c r="A291" s="4191" t="s">
        <v>2137</v>
      </c>
      <c r="B291" s="4190"/>
      <c r="C291" s="4190"/>
      <c r="D291" s="4190"/>
      <c r="E291" s="4190"/>
      <c r="F291" s="4190"/>
      <c r="G291" s="4190"/>
      <c r="H291" s="4190"/>
    </row>
    <row r="292" spans="1:8" ht="15.75">
      <c r="A292" s="4191" t="s">
        <v>2138</v>
      </c>
      <c r="B292" s="4190"/>
      <c r="C292" s="4190"/>
      <c r="D292" s="4190"/>
      <c r="E292" s="4190"/>
      <c r="F292" s="4190"/>
      <c r="G292" s="4190"/>
      <c r="H292" s="4190"/>
    </row>
    <row r="293" spans="1:8" ht="15.75">
      <c r="A293" s="4191" t="s">
        <v>2139</v>
      </c>
      <c r="B293" s="4190"/>
      <c r="C293" s="4190"/>
      <c r="D293" s="4190"/>
      <c r="E293" s="4190"/>
      <c r="F293" s="4190"/>
      <c r="G293" s="4190"/>
      <c r="H293" s="4190"/>
    </row>
    <row r="294" spans="1:8" ht="15.75">
      <c r="A294" s="4190"/>
      <c r="B294" s="4190"/>
      <c r="C294" s="4190"/>
      <c r="D294" s="4190"/>
      <c r="E294" s="4190"/>
      <c r="F294" s="4190"/>
      <c r="G294" s="4190"/>
      <c r="H294" s="4190"/>
    </row>
    <row r="295" spans="1:8" ht="15.75">
      <c r="A295" s="4191" t="s">
        <v>2135</v>
      </c>
      <c r="B295" s="4190"/>
      <c r="C295" s="4190"/>
      <c r="D295" s="4190"/>
      <c r="E295" s="4190"/>
      <c r="F295" s="4190"/>
      <c r="G295" s="4190"/>
      <c r="H295" s="4190"/>
    </row>
    <row r="296" spans="1:8" ht="15.75">
      <c r="A296" s="4191" t="s">
        <v>2136</v>
      </c>
      <c r="B296" s="4190"/>
      <c r="C296" s="4190"/>
      <c r="D296" s="4190"/>
      <c r="E296" s="4190"/>
      <c r="F296" s="4190"/>
      <c r="G296" s="4190"/>
      <c r="H296" s="4190"/>
    </row>
    <row r="297" spans="1:8" ht="15.75">
      <c r="A297" s="4190"/>
      <c r="B297" s="4190"/>
      <c r="C297" s="4190"/>
      <c r="D297" s="4190"/>
      <c r="E297" s="4190"/>
      <c r="F297" s="4190"/>
      <c r="G297" s="4190"/>
      <c r="H297" s="4190"/>
    </row>
    <row r="298" spans="1:8" ht="15.75">
      <c r="A298" s="4191" t="s">
        <v>2122</v>
      </c>
      <c r="B298" s="4190"/>
      <c r="C298" s="4190"/>
      <c r="D298" s="4190"/>
      <c r="E298" s="4190"/>
      <c r="F298" s="4190"/>
      <c r="G298" s="4190"/>
      <c r="H298" s="4190"/>
    </row>
    <row r="299" spans="1:8" ht="15.75">
      <c r="A299" s="4191" t="s">
        <v>2123</v>
      </c>
      <c r="B299" s="4190"/>
      <c r="C299" s="4190"/>
      <c r="D299" s="4190"/>
      <c r="E299" s="4190"/>
      <c r="F299" s="4190"/>
      <c r="G299" s="4190"/>
      <c r="H299" s="4190"/>
    </row>
    <row r="300" spans="1:8" ht="15.75">
      <c r="A300" s="4191" t="s">
        <v>2124</v>
      </c>
      <c r="B300" s="4190"/>
      <c r="C300" s="4190"/>
      <c r="D300" s="4190"/>
      <c r="E300" s="4190"/>
      <c r="F300" s="4190"/>
      <c r="G300" s="4190"/>
      <c r="H300" s="4190"/>
    </row>
    <row r="301" spans="1:8" ht="15.75">
      <c r="A301" s="4191" t="s">
        <v>2125</v>
      </c>
      <c r="B301" s="4190"/>
      <c r="C301" s="4190"/>
      <c r="D301" s="4190"/>
      <c r="E301" s="4190"/>
      <c r="F301" s="4190"/>
      <c r="G301" s="4190"/>
      <c r="H301" s="4190"/>
    </row>
    <row r="302" spans="1:8" ht="15.75">
      <c r="A302" s="4191" t="s">
        <v>2126</v>
      </c>
      <c r="B302" s="4190"/>
      <c r="C302" s="4190"/>
      <c r="D302" s="4190"/>
      <c r="E302" s="4190"/>
      <c r="F302" s="4190"/>
      <c r="G302" s="4190"/>
      <c r="H302" s="4190"/>
    </row>
    <row r="303" spans="1:8" ht="15.75">
      <c r="A303" s="4191" t="s">
        <v>2127</v>
      </c>
      <c r="B303" s="4190"/>
      <c r="C303" s="4190"/>
      <c r="D303" s="4190"/>
      <c r="E303" s="4190"/>
      <c r="F303" s="4190"/>
      <c r="G303" s="4190"/>
      <c r="H303" s="4190"/>
    </row>
    <row r="304" spans="1:8" ht="15.75">
      <c r="A304" s="4191" t="s">
        <v>2128</v>
      </c>
      <c r="B304" s="4190"/>
      <c r="C304" s="4190"/>
      <c r="D304" s="4190"/>
      <c r="E304" s="4190"/>
      <c r="F304" s="4190"/>
      <c r="G304" s="4190"/>
      <c r="H304" s="4190"/>
    </row>
    <row r="305" spans="1:8" ht="15.75">
      <c r="A305" s="4191" t="s">
        <v>2129</v>
      </c>
      <c r="B305" s="4190"/>
      <c r="C305" s="4190"/>
      <c r="D305" s="4190"/>
      <c r="E305" s="4190"/>
      <c r="F305" s="4190"/>
      <c r="G305" s="4190"/>
      <c r="H305" s="4190"/>
    </row>
    <row r="306" spans="1:8" ht="15.75">
      <c r="A306" s="4191" t="s">
        <v>2130</v>
      </c>
      <c r="B306" s="4190"/>
      <c r="C306" s="4190"/>
      <c r="D306" s="4190"/>
      <c r="E306" s="4190"/>
      <c r="F306" s="4190"/>
      <c r="G306" s="4190"/>
      <c r="H306" s="4190"/>
    </row>
    <row r="307" spans="1:8" ht="15.75">
      <c r="A307" s="4191" t="s">
        <v>2131</v>
      </c>
      <c r="B307" s="4190"/>
      <c r="C307" s="4190"/>
      <c r="D307" s="4190"/>
      <c r="E307" s="4190"/>
      <c r="F307" s="4190"/>
      <c r="G307" s="4190"/>
      <c r="H307" s="4190"/>
    </row>
    <row r="308" spans="1:8" ht="15.75">
      <c r="A308" s="4191" t="s">
        <v>2132</v>
      </c>
      <c r="B308" s="4190"/>
      <c r="C308" s="4190"/>
      <c r="D308" s="4190"/>
      <c r="E308" s="4190"/>
      <c r="F308" s="4190"/>
      <c r="G308" s="4190"/>
      <c r="H308" s="4190"/>
    </row>
    <row r="309" spans="1:8" ht="15.75">
      <c r="A309" s="4191" t="s">
        <v>2133</v>
      </c>
      <c r="B309" s="4190"/>
      <c r="C309" s="4190"/>
      <c r="D309" s="4190"/>
      <c r="E309" s="4190"/>
      <c r="F309" s="4190"/>
      <c r="G309" s="4190"/>
      <c r="H309" s="4190"/>
    </row>
    <row r="310" spans="1:8" ht="15.75">
      <c r="A310" s="4191" t="s">
        <v>2134</v>
      </c>
      <c r="B310" s="4190"/>
      <c r="C310" s="4190"/>
      <c r="D310" s="4190"/>
      <c r="E310" s="4190"/>
      <c r="F310" s="4190"/>
      <c r="G310" s="4190"/>
      <c r="H310" s="4190"/>
    </row>
    <row r="311" spans="1:8" ht="15.75">
      <c r="A311" s="4190"/>
      <c r="B311" s="4190"/>
      <c r="C311" s="4190"/>
      <c r="D311" s="4190"/>
      <c r="E311" s="4190"/>
      <c r="F311" s="4190"/>
      <c r="G311" s="4190"/>
      <c r="H311" s="4190"/>
    </row>
    <row r="312" spans="1:8" ht="15.75">
      <c r="A312" s="4191" t="s">
        <v>2114</v>
      </c>
      <c r="B312" s="4190"/>
      <c r="C312" s="4190"/>
      <c r="D312" s="4190"/>
      <c r="E312" s="4190"/>
      <c r="F312" s="4190"/>
      <c r="G312" s="4190"/>
      <c r="H312" s="4190"/>
    </row>
    <row r="313" spans="1:8" ht="15.75">
      <c r="A313" s="4191" t="s">
        <v>2115</v>
      </c>
      <c r="B313" s="4190"/>
      <c r="C313" s="4190"/>
      <c r="D313" s="4190"/>
      <c r="E313" s="4190"/>
      <c r="F313" s="4190"/>
      <c r="G313" s="4190"/>
      <c r="H313" s="4190"/>
    </row>
    <row r="314" spans="1:8" ht="15.75">
      <c r="A314" s="4191" t="s">
        <v>2116</v>
      </c>
      <c r="B314" s="4190"/>
      <c r="C314" s="4190"/>
      <c r="D314" s="4190"/>
      <c r="E314" s="4190"/>
      <c r="F314" s="4190"/>
      <c r="G314" s="4190"/>
      <c r="H314" s="4190"/>
    </row>
    <row r="315" spans="1:8" ht="15.75">
      <c r="A315" s="4191" t="s">
        <v>2117</v>
      </c>
      <c r="B315" s="4190"/>
      <c r="C315" s="4190"/>
      <c r="D315" s="4190"/>
      <c r="E315" s="4190"/>
      <c r="F315" s="4190"/>
      <c r="G315" s="4190"/>
      <c r="H315" s="4190"/>
    </row>
    <row r="316" spans="1:8" ht="15.75">
      <c r="A316" s="4191" t="s">
        <v>2118</v>
      </c>
      <c r="B316" s="4190"/>
      <c r="C316" s="4190"/>
      <c r="D316" s="4190"/>
      <c r="E316" s="4190"/>
      <c r="F316" s="4190"/>
      <c r="G316" s="4190"/>
      <c r="H316" s="4190"/>
    </row>
    <row r="317" spans="1:8" ht="15.75">
      <c r="A317" s="4191" t="s">
        <v>2119</v>
      </c>
      <c r="B317" s="4190"/>
      <c r="C317" s="4190"/>
      <c r="D317" s="4190"/>
      <c r="E317" s="4190"/>
      <c r="F317" s="4190"/>
      <c r="G317" s="4190"/>
      <c r="H317" s="4190"/>
    </row>
    <row r="318" spans="1:8" ht="15.75">
      <c r="A318" s="4191" t="s">
        <v>2120</v>
      </c>
      <c r="B318" s="4190"/>
      <c r="C318" s="4190"/>
      <c r="D318" s="4190"/>
      <c r="E318" s="4190"/>
      <c r="F318" s="4190"/>
      <c r="G318" s="4190"/>
      <c r="H318" s="4190"/>
    </row>
    <row r="319" spans="1:8" ht="15.75">
      <c r="A319" s="4191" t="s">
        <v>2121</v>
      </c>
      <c r="B319" s="4190"/>
      <c r="C319" s="4190"/>
      <c r="D319" s="4190"/>
      <c r="E319" s="4190"/>
      <c r="F319" s="4190"/>
      <c r="G319" s="4190"/>
      <c r="H319" s="4190"/>
    </row>
    <row r="320" spans="1:8" ht="15.75">
      <c r="A320" s="4190"/>
      <c r="B320" s="4190"/>
      <c r="C320" s="4190"/>
      <c r="D320" s="4190"/>
      <c r="E320" s="4190"/>
      <c r="F320" s="4190"/>
      <c r="G320" s="4190"/>
      <c r="H320" s="4190"/>
    </row>
    <row r="321" spans="1:8" ht="15.75">
      <c r="A321" s="4191" t="s">
        <v>2079</v>
      </c>
      <c r="B321" s="4190"/>
      <c r="C321" s="4190"/>
      <c r="D321" s="4190"/>
      <c r="E321" s="4190"/>
      <c r="F321" s="4190"/>
      <c r="G321" s="4190"/>
      <c r="H321" s="4190"/>
    </row>
    <row r="322" spans="1:8" ht="15.75">
      <c r="A322" s="4191" t="s">
        <v>2080</v>
      </c>
      <c r="B322" s="4190"/>
      <c r="C322" s="4190"/>
      <c r="D322" s="4190"/>
      <c r="E322" s="4190"/>
      <c r="F322" s="4190"/>
      <c r="G322" s="4190"/>
      <c r="H322" s="4190"/>
    </row>
    <row r="323" spans="1:8" ht="15.75">
      <c r="A323" s="4191" t="s">
        <v>2081</v>
      </c>
      <c r="B323" s="4190"/>
      <c r="C323" s="4190"/>
      <c r="D323" s="4190"/>
      <c r="E323" s="4190"/>
      <c r="F323" s="4190"/>
      <c r="G323" s="4190"/>
      <c r="H323" s="4190"/>
    </row>
    <row r="324" spans="1:8" ht="15.75">
      <c r="A324" s="4191" t="s">
        <v>2082</v>
      </c>
      <c r="B324" s="4190"/>
      <c r="C324" s="4190"/>
      <c r="D324" s="4190"/>
      <c r="E324" s="4190"/>
      <c r="F324" s="4190"/>
      <c r="G324" s="4190"/>
      <c r="H324" s="4190"/>
    </row>
    <row r="325" spans="1:8" ht="15.75">
      <c r="A325" s="4191" t="s">
        <v>2083</v>
      </c>
      <c r="B325" s="4190"/>
      <c r="C325" s="4190"/>
      <c r="D325" s="4190"/>
      <c r="E325" s="4190"/>
      <c r="F325" s="4190"/>
      <c r="G325" s="4190"/>
      <c r="H325" s="4190"/>
    </row>
    <row r="326" spans="1:8" ht="15.75">
      <c r="A326" s="4191" t="s">
        <v>2084</v>
      </c>
      <c r="B326" s="4190"/>
      <c r="C326" s="4190"/>
      <c r="D326" s="4190"/>
      <c r="E326" s="4190"/>
      <c r="F326" s="4190"/>
      <c r="G326" s="4190"/>
      <c r="H326" s="4190"/>
    </row>
    <row r="327" spans="1:8" ht="15.75">
      <c r="A327" s="4191" t="s">
        <v>2085</v>
      </c>
      <c r="B327" s="4190"/>
      <c r="C327" s="4190"/>
      <c r="D327" s="4190"/>
      <c r="E327" s="4190"/>
      <c r="F327" s="4190"/>
      <c r="G327" s="4190"/>
      <c r="H327" s="4190"/>
    </row>
    <row r="328" spans="1:8" ht="15.75">
      <c r="A328" s="4191" t="s">
        <v>2086</v>
      </c>
      <c r="B328" s="4190"/>
      <c r="C328" s="4190"/>
      <c r="D328" s="4190"/>
      <c r="E328" s="4190"/>
      <c r="F328" s="4190"/>
      <c r="G328" s="4190"/>
      <c r="H328" s="4190"/>
    </row>
    <row r="329" spans="1:8" ht="15.75">
      <c r="A329" s="4191" t="s">
        <v>2087</v>
      </c>
      <c r="B329" s="4190"/>
      <c r="C329" s="4190"/>
      <c r="D329" s="4190"/>
      <c r="E329" s="4190"/>
      <c r="F329" s="4190"/>
      <c r="G329" s="4190"/>
      <c r="H329" s="4190"/>
    </row>
    <row r="330" spans="1:8" ht="15.75">
      <c r="A330" s="4191" t="s">
        <v>2088</v>
      </c>
      <c r="B330" s="4190"/>
      <c r="C330" s="4190"/>
      <c r="D330" s="4190"/>
      <c r="E330" s="4190"/>
      <c r="F330" s="4190"/>
      <c r="G330" s="4190"/>
      <c r="H330" s="4190"/>
    </row>
    <row r="331" spans="1:8" ht="15.75">
      <c r="A331" s="4191" t="s">
        <v>2089</v>
      </c>
      <c r="B331" s="4190"/>
      <c r="C331" s="4190"/>
      <c r="D331" s="4190"/>
      <c r="E331" s="4190"/>
      <c r="F331" s="4190"/>
      <c r="G331" s="4190"/>
      <c r="H331" s="4190"/>
    </row>
    <row r="332" spans="1:8" ht="15.75">
      <c r="A332" s="4191" t="s">
        <v>2090</v>
      </c>
      <c r="B332" s="4190"/>
      <c r="C332" s="4190"/>
      <c r="D332" s="4190"/>
      <c r="E332" s="4190"/>
      <c r="F332" s="4190"/>
      <c r="G332" s="4190"/>
      <c r="H332" s="4190"/>
    </row>
    <row r="333" spans="1:8" ht="15.75">
      <c r="A333" s="4191" t="s">
        <v>2091</v>
      </c>
      <c r="B333" s="4190"/>
      <c r="C333" s="4190"/>
      <c r="D333" s="4190"/>
      <c r="E333" s="4190"/>
      <c r="F333" s="4190"/>
      <c r="G333" s="4190"/>
      <c r="H333" s="4190"/>
    </row>
    <row r="334" spans="1:8" ht="15.75">
      <c r="A334" s="4191" t="s">
        <v>2092</v>
      </c>
      <c r="B334" s="4190"/>
      <c r="C334" s="4190"/>
      <c r="D334" s="4190"/>
      <c r="E334" s="4190"/>
      <c r="F334" s="4190"/>
      <c r="G334" s="4190"/>
      <c r="H334" s="4190"/>
    </row>
    <row r="335" spans="1:8" ht="15.75">
      <c r="A335" s="4191" t="s">
        <v>2093</v>
      </c>
      <c r="B335" s="4190"/>
      <c r="C335" s="4190"/>
      <c r="D335" s="4190"/>
      <c r="E335" s="4190"/>
      <c r="F335" s="4190"/>
      <c r="G335" s="4190"/>
      <c r="H335" s="4190"/>
    </row>
    <row r="336" spans="1:8" ht="15.75">
      <c r="A336" s="4191" t="s">
        <v>2094</v>
      </c>
      <c r="B336" s="4190"/>
      <c r="C336" s="4190"/>
      <c r="D336" s="4190"/>
      <c r="E336" s="4190"/>
      <c r="F336" s="4190"/>
      <c r="G336" s="4190"/>
      <c r="H336" s="4190"/>
    </row>
    <row r="337" spans="1:8" ht="15.75">
      <c r="A337" s="4191" t="s">
        <v>2095</v>
      </c>
      <c r="B337" s="4190"/>
      <c r="C337" s="4190"/>
      <c r="D337" s="4190"/>
      <c r="E337" s="4190"/>
      <c r="F337" s="4190"/>
      <c r="G337" s="4190"/>
      <c r="H337" s="4190"/>
    </row>
    <row r="338" spans="1:8" ht="15.75">
      <c r="A338" s="4191" t="s">
        <v>2096</v>
      </c>
      <c r="B338" s="4190"/>
      <c r="C338" s="4190"/>
      <c r="D338" s="4190"/>
      <c r="E338" s="4190"/>
      <c r="F338" s="4190"/>
      <c r="G338" s="4190"/>
      <c r="H338" s="4190"/>
    </row>
    <row r="339" spans="1:8" ht="15.75">
      <c r="A339" s="4191" t="s">
        <v>2097</v>
      </c>
      <c r="B339" s="4190"/>
      <c r="C339" s="4190"/>
      <c r="D339" s="4190"/>
      <c r="E339" s="4190"/>
      <c r="F339" s="4190"/>
      <c r="G339" s="4190"/>
      <c r="H339" s="4190"/>
    </row>
    <row r="340" spans="1:8" ht="15.75">
      <c r="A340" s="4191" t="s">
        <v>2098</v>
      </c>
      <c r="B340" s="4190"/>
      <c r="C340" s="4190"/>
      <c r="D340" s="4190"/>
      <c r="E340" s="4190"/>
      <c r="F340" s="4190"/>
      <c r="G340" s="4190"/>
      <c r="H340" s="4190"/>
    </row>
    <row r="341" spans="1:8" ht="15.75">
      <c r="A341" s="4191" t="s">
        <v>2099</v>
      </c>
      <c r="B341" s="4190"/>
      <c r="C341" s="4190"/>
      <c r="D341" s="4190"/>
      <c r="E341" s="4190"/>
      <c r="F341" s="4190"/>
      <c r="G341" s="4190"/>
      <c r="H341" s="4190"/>
    </row>
    <row r="342" spans="1:8" ht="15.75">
      <c r="A342" s="4191" t="s">
        <v>2100</v>
      </c>
      <c r="B342" s="4190"/>
      <c r="C342" s="4190"/>
      <c r="D342" s="4190"/>
      <c r="E342" s="4190"/>
      <c r="F342" s="4190"/>
      <c r="G342" s="4190"/>
      <c r="H342" s="4190"/>
    </row>
    <row r="343" spans="1:8" ht="15.75">
      <c r="A343" s="4191" t="s">
        <v>2101</v>
      </c>
      <c r="B343" s="4190"/>
      <c r="C343" s="4190"/>
      <c r="D343" s="4190"/>
      <c r="E343" s="4190"/>
      <c r="F343" s="4190"/>
      <c r="G343" s="4190"/>
      <c r="H343" s="4190"/>
    </row>
    <row r="344" spans="1:8" ht="15.75">
      <c r="A344" s="4191" t="s">
        <v>2102</v>
      </c>
      <c r="B344" s="4190"/>
      <c r="C344" s="4190"/>
      <c r="D344" s="4190"/>
      <c r="E344" s="4190"/>
      <c r="F344" s="4190"/>
      <c r="G344" s="4190"/>
      <c r="H344" s="4190"/>
    </row>
    <row r="345" spans="1:8" ht="15.75">
      <c r="A345" s="4191" t="s">
        <v>2103</v>
      </c>
      <c r="B345" s="4190"/>
      <c r="C345" s="4190"/>
      <c r="D345" s="4190"/>
      <c r="E345" s="4190"/>
      <c r="F345" s="4190"/>
      <c r="G345" s="4190"/>
      <c r="H345" s="4190"/>
    </row>
    <row r="346" spans="1:8" ht="15.75">
      <c r="A346" s="4191" t="s">
        <v>2104</v>
      </c>
      <c r="B346" s="4190"/>
      <c r="C346" s="4190"/>
      <c r="D346" s="4190"/>
      <c r="E346" s="4190"/>
      <c r="F346" s="4190"/>
      <c r="G346" s="4190"/>
      <c r="H346" s="4190"/>
    </row>
    <row r="347" spans="1:8" ht="15.75">
      <c r="A347" s="4191" t="s">
        <v>2105</v>
      </c>
      <c r="B347" s="4190"/>
      <c r="C347" s="4190"/>
      <c r="D347" s="4190"/>
      <c r="E347" s="4190"/>
      <c r="F347" s="4190"/>
      <c r="G347" s="4190"/>
      <c r="H347" s="4190"/>
    </row>
    <row r="348" spans="1:8" ht="15.75">
      <c r="A348" s="4191" t="s">
        <v>2106</v>
      </c>
      <c r="B348" s="4190"/>
      <c r="C348" s="4190"/>
      <c r="D348" s="4190"/>
      <c r="E348" s="4190"/>
      <c r="F348" s="4190"/>
      <c r="G348" s="4190"/>
      <c r="H348" s="4190"/>
    </row>
    <row r="349" spans="1:8" ht="15.75">
      <c r="A349" s="4191" t="s">
        <v>2107</v>
      </c>
      <c r="B349" s="4190"/>
      <c r="C349" s="4190"/>
      <c r="D349" s="4190"/>
      <c r="E349" s="4190"/>
      <c r="F349" s="4190"/>
      <c r="G349" s="4190"/>
      <c r="H349" s="4190"/>
    </row>
    <row r="350" spans="1:8" ht="15.75">
      <c r="A350" s="4191" t="s">
        <v>2108</v>
      </c>
      <c r="B350" s="4190"/>
      <c r="C350" s="4190"/>
      <c r="D350" s="4190"/>
      <c r="E350" s="4190"/>
      <c r="F350" s="4190"/>
      <c r="G350" s="4190"/>
      <c r="H350" s="4190"/>
    </row>
    <row r="351" spans="1:8" ht="15.75">
      <c r="A351" s="4191" t="s">
        <v>2109</v>
      </c>
      <c r="B351" s="4190"/>
      <c r="C351" s="4190"/>
      <c r="D351" s="4190"/>
      <c r="E351" s="4190"/>
      <c r="F351" s="4190"/>
      <c r="G351" s="4190"/>
      <c r="H351" s="4190"/>
    </row>
    <row r="352" spans="1:8" ht="15.75">
      <c r="A352" s="4191" t="s">
        <v>2110</v>
      </c>
      <c r="B352" s="4190"/>
      <c r="C352" s="4190"/>
      <c r="D352" s="4190"/>
      <c r="E352" s="4190"/>
      <c r="F352" s="4190"/>
      <c r="G352" s="4190"/>
      <c r="H352" s="4190"/>
    </row>
    <row r="353" spans="1:8" ht="15.75">
      <c r="A353" s="4191" t="s">
        <v>2111</v>
      </c>
      <c r="B353" s="4190"/>
      <c r="C353" s="4190"/>
      <c r="D353" s="4190"/>
      <c r="E353" s="4190"/>
      <c r="F353" s="4190"/>
      <c r="G353" s="4190"/>
      <c r="H353" s="4190"/>
    </row>
    <row r="354" spans="1:8" ht="15.75">
      <c r="A354" s="4191" t="s">
        <v>2112</v>
      </c>
      <c r="B354" s="4190"/>
      <c r="C354" s="4190"/>
      <c r="D354" s="4190"/>
      <c r="E354" s="4190"/>
      <c r="F354" s="4190"/>
      <c r="G354" s="4190"/>
      <c r="H354" s="4190"/>
    </row>
    <row r="355" spans="1:8" ht="15.75">
      <c r="A355" s="4191" t="s">
        <v>2113</v>
      </c>
      <c r="B355" s="4190"/>
      <c r="C355" s="4190"/>
      <c r="D355" s="4190"/>
      <c r="E355" s="4190"/>
      <c r="F355" s="4190"/>
      <c r="G355" s="4190"/>
      <c r="H355" s="4190"/>
    </row>
    <row r="356" spans="1:8" ht="15.75">
      <c r="A356" s="4190"/>
      <c r="B356" s="4190"/>
      <c r="C356" s="4190"/>
      <c r="D356" s="4190"/>
      <c r="E356" s="4190"/>
      <c r="F356" s="4190"/>
      <c r="G356" s="4190"/>
      <c r="H356" s="4190"/>
    </row>
    <row r="357" spans="1:8" ht="15.75">
      <c r="A357" s="4191" t="s">
        <v>2071</v>
      </c>
      <c r="B357" s="4190"/>
      <c r="C357" s="4190"/>
      <c r="D357" s="4190"/>
      <c r="E357" s="4190"/>
      <c r="F357" s="4190"/>
      <c r="G357" s="4190"/>
      <c r="H357" s="4190"/>
    </row>
    <row r="358" spans="1:8" ht="15.75">
      <c r="A358" s="4191" t="s">
        <v>2075</v>
      </c>
      <c r="B358" s="4190"/>
      <c r="C358" s="4190"/>
      <c r="D358" s="4190"/>
      <c r="E358" s="4190"/>
      <c r="F358" s="4190"/>
      <c r="G358" s="4190"/>
      <c r="H358" s="4190"/>
    </row>
    <row r="359" spans="1:8" ht="15.75">
      <c r="A359" s="4191" t="s">
        <v>2076</v>
      </c>
      <c r="B359" s="4190"/>
      <c r="C359" s="4190"/>
      <c r="D359" s="4190"/>
      <c r="E359" s="4190"/>
      <c r="F359" s="4190"/>
      <c r="G359" s="4190"/>
      <c r="H359" s="4190"/>
    </row>
    <row r="360" spans="1:8" ht="15.75">
      <c r="A360" s="4191" t="s">
        <v>2077</v>
      </c>
      <c r="B360" s="4190"/>
      <c r="C360" s="4190"/>
      <c r="D360" s="4190"/>
      <c r="E360" s="4190"/>
      <c r="F360" s="4190"/>
      <c r="G360" s="4190"/>
      <c r="H360" s="4190"/>
    </row>
    <row r="361" spans="1:8" ht="15.75">
      <c r="A361" s="4191" t="s">
        <v>2078</v>
      </c>
      <c r="B361" s="4190"/>
      <c r="C361" s="4190"/>
      <c r="D361" s="4190"/>
      <c r="E361" s="4190"/>
      <c r="F361" s="4190"/>
      <c r="G361" s="4190"/>
      <c r="H361" s="4190"/>
    </row>
    <row r="362" spans="1:8" ht="15.75">
      <c r="A362" s="4190"/>
      <c r="B362" s="4190"/>
      <c r="C362" s="4190"/>
      <c r="D362" s="4190"/>
      <c r="E362" s="4190"/>
      <c r="F362" s="4190"/>
      <c r="G362" s="4190"/>
      <c r="H362" s="4190"/>
    </row>
    <row r="363" spans="1:8" ht="15.75">
      <c r="A363" s="4191" t="s">
        <v>2071</v>
      </c>
      <c r="B363" s="4190"/>
      <c r="C363" s="4190"/>
      <c r="D363" s="4190"/>
      <c r="E363" s="4190"/>
      <c r="F363" s="4190"/>
      <c r="G363" s="4190"/>
      <c r="H363" s="4190"/>
    </row>
    <row r="364" spans="1:8" ht="15.75">
      <c r="A364" s="4191" t="s">
        <v>2072</v>
      </c>
      <c r="B364" s="4190"/>
      <c r="C364" s="4190"/>
      <c r="D364" s="4190"/>
      <c r="E364" s="4190"/>
      <c r="F364" s="4190"/>
      <c r="G364" s="4190"/>
      <c r="H364" s="4190"/>
    </row>
    <row r="365" spans="1:8" ht="15.75">
      <c r="A365" s="4191" t="s">
        <v>2073</v>
      </c>
      <c r="B365" s="4190"/>
      <c r="C365" s="4190"/>
      <c r="D365" s="4190"/>
      <c r="E365" s="4190"/>
      <c r="F365" s="4190"/>
      <c r="G365" s="4190"/>
      <c r="H365" s="4190"/>
    </row>
    <row r="366" spans="1:8" ht="15.75">
      <c r="A366" s="4191" t="s">
        <v>2074</v>
      </c>
      <c r="B366" s="4190"/>
      <c r="C366" s="4190"/>
      <c r="D366" s="4190"/>
      <c r="E366" s="4190"/>
      <c r="F366" s="4190"/>
      <c r="G366" s="4190"/>
      <c r="H366" s="4190"/>
    </row>
    <row r="367" spans="1:8" ht="15.75">
      <c r="A367" s="4190"/>
      <c r="B367" s="4190"/>
      <c r="C367" s="4190"/>
      <c r="D367" s="4190"/>
      <c r="E367" s="4190"/>
      <c r="F367" s="4190"/>
      <c r="G367" s="4190"/>
      <c r="H367" s="4190"/>
    </row>
    <row r="368" spans="1:8" ht="15.75">
      <c r="A368" s="4191" t="s">
        <v>2065</v>
      </c>
      <c r="B368" s="4190"/>
      <c r="C368" s="4190"/>
      <c r="D368" s="4190"/>
      <c r="E368" s="4190"/>
      <c r="F368" s="4190"/>
      <c r="G368" s="4190"/>
      <c r="H368" s="4190"/>
    </row>
    <row r="369" spans="1:8" ht="15.75">
      <c r="A369" s="4191" t="s">
        <v>2066</v>
      </c>
      <c r="B369" s="4190"/>
      <c r="C369" s="4190"/>
      <c r="D369" s="4190"/>
      <c r="E369" s="4190"/>
      <c r="F369" s="4190"/>
      <c r="G369" s="4190"/>
      <c r="H369" s="4190"/>
    </row>
    <row r="370" spans="1:8" ht="15.75">
      <c r="A370" s="4191" t="s">
        <v>2067</v>
      </c>
      <c r="B370" s="4190"/>
      <c r="C370" s="4190"/>
      <c r="D370" s="4190"/>
      <c r="E370" s="4190"/>
      <c r="F370" s="4190"/>
      <c r="G370" s="4190"/>
      <c r="H370" s="4190"/>
    </row>
    <row r="371" spans="1:8" ht="15.75">
      <c r="A371" s="4191" t="s">
        <v>2068</v>
      </c>
      <c r="B371" s="4190"/>
      <c r="C371" s="4190"/>
      <c r="D371" s="4190"/>
      <c r="E371" s="4190"/>
      <c r="F371" s="4190"/>
      <c r="G371" s="4190"/>
      <c r="H371" s="4190"/>
    </row>
    <row r="372" spans="1:8" ht="15.75">
      <c r="A372" s="4191" t="s">
        <v>2069</v>
      </c>
      <c r="B372" s="4190"/>
      <c r="C372" s="4190"/>
      <c r="D372" s="4190"/>
      <c r="E372" s="4190"/>
      <c r="F372" s="4190"/>
      <c r="G372" s="4190"/>
      <c r="H372" s="4190"/>
    </row>
    <row r="373" spans="1:8" ht="15.75">
      <c r="A373" s="4191" t="s">
        <v>2070</v>
      </c>
      <c r="B373" s="4190"/>
      <c r="C373" s="4190"/>
      <c r="D373" s="4190"/>
      <c r="E373" s="4190"/>
      <c r="F373" s="4190"/>
      <c r="G373" s="4190"/>
      <c r="H373" s="4190"/>
    </row>
    <row r="374" spans="1:8" ht="15.75">
      <c r="A374" s="4190"/>
      <c r="B374" s="4190"/>
      <c r="C374" s="4190"/>
      <c r="D374" s="4190"/>
      <c r="E374" s="4190"/>
      <c r="F374" s="4190"/>
      <c r="G374" s="4190"/>
      <c r="H374" s="4190"/>
    </row>
    <row r="375" spans="1:8" ht="15.75">
      <c r="A375" s="4191" t="s">
        <v>2060</v>
      </c>
      <c r="B375" s="4190"/>
      <c r="C375" s="4190"/>
      <c r="D375" s="4190"/>
      <c r="E375" s="4190"/>
      <c r="F375" s="4190"/>
      <c r="G375" s="4190"/>
      <c r="H375" s="4190"/>
    </row>
    <row r="376" spans="1:8" ht="15.75">
      <c r="A376" s="4191" t="s">
        <v>2061</v>
      </c>
      <c r="B376" s="4190"/>
      <c r="C376" s="4190"/>
      <c r="D376" s="4190"/>
      <c r="E376" s="4190"/>
      <c r="F376" s="4190"/>
      <c r="G376" s="4190"/>
      <c r="H376" s="4190"/>
    </row>
    <row r="377" spans="1:8" ht="15.75">
      <c r="A377" s="4191" t="s">
        <v>2062</v>
      </c>
      <c r="B377" s="4190"/>
      <c r="C377" s="4190"/>
      <c r="D377" s="4190"/>
      <c r="E377" s="4190"/>
      <c r="F377" s="4190"/>
      <c r="G377" s="4190"/>
      <c r="H377" s="4190"/>
    </row>
    <row r="378" spans="1:8" ht="15.75">
      <c r="A378" s="4191" t="s">
        <v>2063</v>
      </c>
      <c r="B378" s="4190"/>
      <c r="C378" s="4190"/>
      <c r="D378" s="4190"/>
      <c r="E378" s="4190"/>
      <c r="F378" s="4190"/>
      <c r="G378" s="4190"/>
      <c r="H378" s="4190"/>
    </row>
    <row r="379" spans="1:8" ht="15.75">
      <c r="A379" s="4191" t="s">
        <v>2064</v>
      </c>
      <c r="B379" s="4190"/>
      <c r="C379" s="4190"/>
      <c r="D379" s="4190"/>
      <c r="E379" s="4190"/>
      <c r="F379" s="4190"/>
      <c r="G379" s="4190"/>
      <c r="H379" s="4190"/>
    </row>
    <row r="380" spans="1:8" ht="15.75">
      <c r="A380" s="4190"/>
      <c r="B380" s="4190"/>
      <c r="C380" s="4190"/>
      <c r="D380" s="4190"/>
      <c r="E380" s="4190"/>
      <c r="F380" s="4190"/>
      <c r="G380" s="4190"/>
      <c r="H380" s="4190"/>
    </row>
    <row r="381" spans="1:8" ht="15.75">
      <c r="A381" s="4191" t="s">
        <v>2058</v>
      </c>
      <c r="B381" s="4190"/>
      <c r="C381" s="4190"/>
      <c r="D381" s="4190"/>
      <c r="E381" s="4190"/>
      <c r="F381" s="4190"/>
      <c r="G381" s="4190"/>
      <c r="H381" s="4190"/>
    </row>
    <row r="382" spans="1:8" ht="15.75">
      <c r="A382" s="4191" t="s">
        <v>2059</v>
      </c>
      <c r="B382" s="4190"/>
      <c r="C382" s="4190"/>
      <c r="D382" s="4190"/>
      <c r="E382" s="4190"/>
      <c r="F382" s="4190"/>
      <c r="G382" s="4190"/>
      <c r="H382" s="4190"/>
    </row>
    <row r="384" spans="1:8">
      <c r="A384" s="4186" t="s">
        <v>2309</v>
      </c>
    </row>
  </sheetData>
  <mergeCells count="12">
    <mergeCell ref="A107:H107"/>
    <mergeCell ref="A114:H114"/>
    <mergeCell ref="A101:H101"/>
    <mergeCell ref="A102:H102"/>
    <mergeCell ref="A103:H103"/>
    <mergeCell ref="A104:H104"/>
    <mergeCell ref="A106:H106"/>
    <mergeCell ref="A122:H122"/>
    <mergeCell ref="A123:H123"/>
    <mergeCell ref="B115:C115"/>
    <mergeCell ref="D115:F115"/>
    <mergeCell ref="G115:H115"/>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Horizontal="1" syncRef="BO7" codeName="Sheet1">
    <pageSetUpPr autoPageBreaks="0" fitToPage="1"/>
  </sheetPr>
  <dimension ref="A1:EB1354"/>
  <sheetViews>
    <sheetView showGridLines="0" zoomScale="85" zoomScaleNormal="85" zoomScaleSheetLayoutView="80" workbookViewId="0">
      <pane xSplit="1" ySplit="6" topLeftCell="BO7" activePane="bottomRight" state="frozen"/>
      <selection activeCell="BK1" sqref="BK1:BK714"/>
      <selection pane="topRight" activeCell="BK1" sqref="BK1:BK714"/>
      <selection pane="bottomLeft" activeCell="BK1" sqref="BK1:BK714"/>
      <selection pane="bottomRight" activeCell="BV62" sqref="BV62"/>
    </sheetView>
  </sheetViews>
  <sheetFormatPr defaultRowHeight="12.75" customHeight="1" outlineLevelRow="1" outlineLevelCol="2"/>
  <cols>
    <col min="1" max="1" width="47.625" customWidth="1"/>
    <col min="2" max="2" width="6.75" hidden="1" customWidth="1" outlineLevel="1"/>
    <col min="3" max="3" width="6.75" style="3923" hidden="1" customWidth="1" outlineLevel="1"/>
    <col min="4" max="4" width="9.125" hidden="1" customWidth="1" outlineLevel="1" collapsed="1"/>
    <col min="5" max="15" width="9.125" hidden="1" customWidth="1" outlineLevel="1"/>
    <col min="16" max="16" width="9.75" hidden="1" customWidth="1" outlineLevel="1"/>
    <col min="17" max="27" width="9.125" hidden="1" customWidth="1" outlineLevel="1"/>
    <col min="28" max="53" width="8.625" hidden="1" customWidth="1" outlineLevel="1"/>
    <col min="54" max="57" width="8.625" hidden="1" customWidth="1" outlineLevel="2"/>
    <col min="58" max="58" width="8.625" customWidth="1" collapsed="1"/>
    <col min="59" max="62" width="8.625" hidden="1" customWidth="1" outlineLevel="1"/>
    <col min="63" max="63" width="8.625" customWidth="1" collapsed="1"/>
    <col min="64" max="67" width="8.625" customWidth="1" outlineLevel="1"/>
    <col min="68" max="68" width="8.625" customWidth="1"/>
    <col min="69" max="72" width="8.625" customWidth="1" outlineLevel="1"/>
    <col min="73" max="73" width="8.625" style="3468" customWidth="1"/>
    <col min="74" max="77" width="8.625" style="3953" customWidth="1" outlineLevel="1"/>
    <col min="78" max="80" width="9.125" customWidth="1"/>
    <col min="81" max="85" width="9.125" hidden="1" customWidth="1" outlineLevel="1"/>
    <col min="86" max="86" width="9.125" customWidth="1" collapsed="1"/>
    <col min="87" max="89" width="9.125" hidden="1" customWidth="1" outlineLevel="1"/>
    <col min="90" max="90" width="9.125" style="3953" hidden="1" customWidth="1" outlineLevel="1"/>
    <col min="91" max="91" width="9.125" style="3955" hidden="1" customWidth="1" outlineLevel="1"/>
    <col min="92" max="93" width="9.125" style="3953" hidden="1" customWidth="1" outlineLevel="1"/>
    <col min="94" max="94" width="36.125" hidden="1" customWidth="1" outlineLevel="1"/>
    <col min="95" max="101" width="9.125" hidden="1" customWidth="1" outlineLevel="2"/>
    <col min="102" max="111" width="9.125" hidden="1" customWidth="1" outlineLevel="1"/>
    <col min="112" max="112" width="8.625" hidden="1" customWidth="1" outlineLevel="1"/>
    <col min="113" max="113" width="7.125" hidden="1" customWidth="1" outlineLevel="1"/>
    <col min="114" max="117" width="8.875" hidden="1" customWidth="1" outlineLevel="1"/>
    <col min="118" max="118" width="10.125" hidden="1" customWidth="1" outlineLevel="1"/>
    <col min="119" max="119" width="24" hidden="1" customWidth="1" outlineLevel="1"/>
    <col min="120" max="120" width="23.25" hidden="1" customWidth="1" outlineLevel="1"/>
    <col min="121" max="121" width="12.25" hidden="1" customWidth="1" outlineLevel="1"/>
    <col min="122" max="122" width="13.625" hidden="1" customWidth="1" outlineLevel="1"/>
    <col min="123" max="123" width="9.25" hidden="1" customWidth="1" outlineLevel="1"/>
    <col min="124" max="124" width="15.625" hidden="1" customWidth="1" outlineLevel="1"/>
    <col min="125" max="125" width="10" hidden="1" customWidth="1" outlineLevel="1"/>
    <col min="126" max="126" width="9" hidden="1" customWidth="1" outlineLevel="1"/>
    <col min="127" max="127" width="9" customWidth="1" collapsed="1"/>
    <col min="128" max="128" width="9" customWidth="1"/>
    <col min="129" max="130" width="8.625" style="3473" customWidth="1"/>
    <col min="131" max="132" width="9" customWidth="1"/>
  </cols>
  <sheetData>
    <row r="1" spans="1:130" ht="12.6" customHeight="1">
      <c r="A1" s="107" t="s">
        <v>222</v>
      </c>
      <c r="B1" s="222"/>
      <c r="C1" s="222"/>
      <c r="D1" s="224"/>
      <c r="E1" s="224"/>
      <c r="F1" s="224"/>
      <c r="G1" s="224"/>
      <c r="H1" s="223"/>
      <c r="I1" s="224"/>
      <c r="J1" s="224"/>
      <c r="K1" s="224"/>
      <c r="L1" s="224"/>
      <c r="M1" s="223"/>
      <c r="N1" s="224"/>
      <c r="O1" s="224"/>
      <c r="P1" s="224"/>
      <c r="Q1" s="224"/>
      <c r="R1" s="223"/>
      <c r="S1" s="225"/>
      <c r="T1" s="224"/>
      <c r="U1" s="225"/>
      <c r="V1" s="225"/>
      <c r="W1" s="223"/>
      <c r="X1" s="224"/>
      <c r="Y1" s="224"/>
      <c r="Z1" s="224"/>
      <c r="AA1" s="224"/>
      <c r="AB1" s="280"/>
      <c r="AC1" s="280"/>
      <c r="AD1" s="280"/>
      <c r="AE1" s="280"/>
      <c r="AF1" s="280"/>
      <c r="AG1" s="280"/>
      <c r="AH1" s="280"/>
      <c r="AI1" s="281"/>
      <c r="AJ1" s="280"/>
      <c r="AK1" s="280"/>
      <c r="AL1" s="280"/>
      <c r="AM1" s="280"/>
      <c r="AN1" s="280"/>
      <c r="AO1" s="280"/>
      <c r="AP1" s="280"/>
      <c r="AQ1" s="280"/>
      <c r="AR1" s="280"/>
      <c r="AS1" s="280"/>
      <c r="AT1" s="280"/>
      <c r="AU1" s="280"/>
      <c r="AV1" s="280"/>
      <c r="AW1" s="280"/>
      <c r="AX1" s="280"/>
      <c r="AY1" s="280"/>
      <c r="AZ1" s="280"/>
      <c r="BA1" s="280"/>
      <c r="BB1" s="280"/>
      <c r="BC1" s="280"/>
      <c r="BD1" s="280"/>
      <c r="BE1" s="280"/>
      <c r="BF1" s="280"/>
      <c r="BG1" s="280"/>
      <c r="BH1" s="280"/>
      <c r="BI1" s="280"/>
      <c r="BJ1" s="280"/>
      <c r="BK1" s="3249"/>
      <c r="BL1" s="280"/>
      <c r="BM1" s="281"/>
      <c r="BN1" s="280"/>
      <c r="BO1" s="280"/>
      <c r="BP1" s="280"/>
      <c r="BQ1" s="280"/>
      <c r="BR1" s="280"/>
      <c r="BS1" s="280"/>
      <c r="BT1" s="280"/>
      <c r="BU1" s="3307"/>
      <c r="BV1" s="280"/>
      <c r="BW1" s="280"/>
      <c r="BX1" s="280"/>
      <c r="BY1" s="280"/>
      <c r="BZ1" s="280"/>
      <c r="CA1" s="280"/>
      <c r="CB1" s="280"/>
      <c r="CC1" s="280"/>
      <c r="CD1" s="280"/>
      <c r="CE1" s="280"/>
      <c r="CF1" s="280"/>
      <c r="CG1" s="280"/>
      <c r="CH1" s="280"/>
      <c r="CI1" s="280"/>
      <c r="CJ1" s="280"/>
      <c r="CK1" s="280"/>
      <c r="CL1" s="280"/>
      <c r="CM1" s="280"/>
      <c r="CN1" s="280"/>
      <c r="CO1" s="280"/>
      <c r="CP1" s="107" t="str">
        <f>A1</f>
        <v>Boyd Gaming Corporation</v>
      </c>
      <c r="CQ1" s="280"/>
      <c r="CR1" s="280"/>
      <c r="CS1" s="280"/>
      <c r="CT1" s="223"/>
      <c r="CU1" s="223"/>
      <c r="CV1" s="223"/>
      <c r="CW1" s="223"/>
      <c r="CX1" s="223"/>
      <c r="CY1" s="223"/>
      <c r="CZ1" s="223"/>
      <c r="DA1" s="223"/>
      <c r="DB1" s="223"/>
      <c r="DC1" s="223"/>
      <c r="DD1" s="223"/>
      <c r="DE1" s="223"/>
      <c r="DF1" s="223"/>
      <c r="DG1" s="223"/>
      <c r="DH1" s="223"/>
      <c r="DI1" s="223"/>
      <c r="DJ1" s="223"/>
      <c r="DK1" s="223"/>
      <c r="DL1" s="223"/>
      <c r="DM1" s="223"/>
      <c r="DN1" s="223"/>
      <c r="DO1" s="226" t="s">
        <v>1094</v>
      </c>
      <c r="DY1" s="280"/>
      <c r="DZ1" s="280"/>
    </row>
    <row r="2" spans="1:130" ht="12.6" customHeight="1">
      <c r="A2" s="107" t="s">
        <v>1175</v>
      </c>
      <c r="B2" s="222"/>
      <c r="C2" s="222"/>
      <c r="D2" s="224"/>
      <c r="E2" s="224"/>
      <c r="F2" s="224"/>
      <c r="G2" s="224"/>
      <c r="H2" s="747"/>
      <c r="I2" s="224"/>
      <c r="J2" s="224"/>
      <c r="K2" s="224"/>
      <c r="L2" s="224"/>
      <c r="M2" s="747"/>
      <c r="N2" s="224"/>
      <c r="O2" s="224"/>
      <c r="P2" s="224"/>
      <c r="Q2" s="224"/>
      <c r="R2" s="747"/>
      <c r="S2" s="224"/>
      <c r="T2" s="224"/>
      <c r="U2" s="224"/>
      <c r="V2" s="224"/>
      <c r="W2" s="747"/>
      <c r="X2" s="224"/>
      <c r="Y2" s="224"/>
      <c r="Z2" s="224"/>
      <c r="AA2" s="224"/>
      <c r="AB2" s="747"/>
      <c r="AC2" s="280"/>
      <c r="AD2" s="1386"/>
      <c r="AE2" s="280"/>
      <c r="AF2" s="280"/>
      <c r="AG2" s="280"/>
      <c r="AH2" s="280"/>
      <c r="AI2" s="281"/>
      <c r="AJ2" s="281"/>
      <c r="AK2" s="280"/>
      <c r="AL2" s="280"/>
      <c r="AM2" s="280"/>
      <c r="AN2" s="280"/>
      <c r="AO2" s="1392"/>
      <c r="AP2" s="1619"/>
      <c r="AQ2" s="745"/>
      <c r="AR2" s="745"/>
      <c r="AS2" s="745"/>
      <c r="AT2" s="745"/>
      <c r="AU2" s="231"/>
      <c r="AV2" s="1392"/>
      <c r="AW2" s="1392"/>
      <c r="AX2" s="1392"/>
      <c r="AY2" s="1392"/>
      <c r="AZ2" s="1392"/>
      <c r="BA2" s="280"/>
      <c r="BB2" s="280"/>
      <c r="BC2" s="280"/>
      <c r="BD2" s="280"/>
      <c r="BE2" s="280"/>
      <c r="BF2" s="745"/>
      <c r="BG2" s="745"/>
      <c r="BH2" s="3145"/>
      <c r="BI2" s="745"/>
      <c r="BJ2" s="3145"/>
      <c r="BK2" s="280"/>
      <c r="BL2" s="3145"/>
      <c r="BM2" s="745"/>
      <c r="BN2" s="745"/>
      <c r="BO2" s="745"/>
      <c r="BP2" s="3909"/>
      <c r="BQ2" s="3145"/>
      <c r="BR2" s="3145"/>
      <c r="BS2" s="3145"/>
      <c r="BT2" s="745"/>
      <c r="BU2" s="3308"/>
      <c r="BV2" s="3145"/>
      <c r="BW2" s="3145"/>
      <c r="BX2" s="3145"/>
      <c r="BY2" s="745"/>
      <c r="BZ2" s="281"/>
      <c r="CA2" s="280"/>
      <c r="CB2" s="280"/>
      <c r="CC2" s="280"/>
      <c r="CD2" s="280"/>
      <c r="CE2" s="280"/>
      <c r="CF2" s="280"/>
      <c r="CG2" s="280"/>
      <c r="CH2" s="280"/>
      <c r="CI2" s="280"/>
      <c r="CJ2" s="280"/>
      <c r="CK2" s="280"/>
      <c r="CL2" s="280"/>
      <c r="CM2" s="280"/>
      <c r="CN2" s="280"/>
      <c r="CO2" s="280"/>
      <c r="CP2" s="107" t="str">
        <f>A2</f>
        <v>Earnings Model</v>
      </c>
      <c r="CQ2" s="280"/>
      <c r="CR2" s="280"/>
      <c r="CS2" s="280"/>
      <c r="CT2" s="223"/>
      <c r="CU2" s="223"/>
      <c r="CV2" s="223"/>
      <c r="CW2" s="223"/>
      <c r="CX2" s="223"/>
      <c r="CY2" s="223"/>
      <c r="CZ2" s="223"/>
      <c r="DA2" s="223"/>
      <c r="DB2" s="223"/>
      <c r="DC2" s="223"/>
      <c r="DD2" s="223"/>
      <c r="DE2" s="223"/>
      <c r="DF2" s="223"/>
      <c r="DG2" s="223"/>
      <c r="DH2" s="223"/>
      <c r="DI2" s="223"/>
      <c r="DJ2" s="223"/>
      <c r="DK2" s="223"/>
      <c r="DL2" s="223"/>
      <c r="DM2" s="223"/>
      <c r="DN2" s="223"/>
      <c r="DO2" s="226"/>
      <c r="DY2" s="281"/>
      <c r="DZ2" s="281"/>
    </row>
    <row r="3" spans="1:130" ht="12.6" customHeight="1">
      <c r="A3" s="61" t="s">
        <v>936</v>
      </c>
      <c r="B3" s="228"/>
      <c r="C3" s="228"/>
      <c r="D3" s="229"/>
      <c r="E3" s="230"/>
      <c r="F3" s="230"/>
      <c r="G3" s="229"/>
      <c r="H3" s="959"/>
      <c r="I3" s="229"/>
      <c r="J3" s="230"/>
      <c r="K3" s="230"/>
      <c r="L3" s="229"/>
      <c r="M3" s="959"/>
      <c r="N3" s="229"/>
      <c r="O3" s="230"/>
      <c r="P3" s="230"/>
      <c r="Q3" s="229"/>
      <c r="R3" s="959"/>
      <c r="S3" s="229"/>
      <c r="T3" s="230"/>
      <c r="U3" s="230"/>
      <c r="V3" s="229"/>
      <c r="W3" s="959"/>
      <c r="X3" s="229"/>
      <c r="Y3" s="230"/>
      <c r="Z3" s="230"/>
      <c r="AA3" s="229"/>
      <c r="AB3" s="280"/>
      <c r="AC3" s="280"/>
      <c r="AD3" s="280"/>
      <c r="AE3" s="280"/>
      <c r="AF3" s="280"/>
      <c r="AG3" s="280"/>
      <c r="AH3" s="280"/>
      <c r="AI3" s="281"/>
      <c r="AJ3" s="280"/>
      <c r="AK3" s="965"/>
      <c r="AL3" s="281"/>
      <c r="AM3" s="280"/>
      <c r="AN3" s="280"/>
      <c r="AO3" s="248"/>
      <c r="AP3" s="248"/>
      <c r="AQ3" s="928"/>
      <c r="AR3" s="1632"/>
      <c r="AS3" s="248"/>
      <c r="AT3" s="1669"/>
      <c r="AU3" s="1669"/>
      <c r="AV3" s="281"/>
      <c r="AW3" s="281"/>
      <c r="AX3" s="281"/>
      <c r="AY3" s="281"/>
      <c r="AZ3" s="281"/>
      <c r="BA3" s="280"/>
      <c r="BB3" s="280"/>
      <c r="BC3" s="280"/>
      <c r="BD3" s="280"/>
      <c r="BE3" s="280"/>
      <c r="BF3" s="280"/>
      <c r="BG3" s="280"/>
      <c r="BH3" s="280"/>
      <c r="BI3" s="280"/>
      <c r="BJ3" s="280"/>
      <c r="BK3" s="280"/>
      <c r="BL3" s="280"/>
      <c r="BM3" s="280"/>
      <c r="BN3" s="280"/>
      <c r="BO3" s="280"/>
      <c r="BP3" s="280"/>
      <c r="BQ3" s="280"/>
      <c r="BR3" s="280"/>
      <c r="BS3" s="280"/>
      <c r="BT3" s="280"/>
      <c r="BU3" s="3307"/>
      <c r="BV3" s="280"/>
      <c r="BW3" s="280"/>
      <c r="BX3" s="280"/>
      <c r="BY3" s="280"/>
      <c r="BZ3" s="280"/>
      <c r="CA3" s="280"/>
      <c r="CB3" s="280"/>
      <c r="CC3" s="280"/>
      <c r="CD3" s="280"/>
      <c r="CE3" s="280"/>
      <c r="CF3" s="280"/>
      <c r="CG3" s="280"/>
      <c r="CH3" s="280"/>
      <c r="CI3" s="280"/>
      <c r="CJ3" s="280"/>
      <c r="CK3" s="280"/>
      <c r="CL3" s="280"/>
      <c r="CM3" s="280"/>
      <c r="CN3" s="280"/>
      <c r="CO3" s="280"/>
      <c r="CP3" s="61" t="str">
        <f>A3</f>
        <v>(US$MM, except per share data)</v>
      </c>
      <c r="CQ3" s="280"/>
      <c r="CR3" s="280"/>
      <c r="CS3" s="280"/>
      <c r="CT3" s="229"/>
      <c r="CU3" s="229"/>
      <c r="CV3" s="229"/>
      <c r="CW3" s="229"/>
      <c r="CX3" s="229"/>
      <c r="CY3" s="229"/>
      <c r="CZ3" s="229"/>
      <c r="DA3" s="229"/>
      <c r="DB3" s="229"/>
      <c r="DC3" s="229"/>
      <c r="DD3" s="229"/>
      <c r="DE3" s="229"/>
      <c r="DF3" s="229"/>
      <c r="DG3" s="229"/>
      <c r="DH3" s="229"/>
      <c r="DI3" s="229"/>
      <c r="DJ3" s="229"/>
      <c r="DK3" s="229"/>
      <c r="DL3" s="229"/>
      <c r="DM3" s="229"/>
      <c r="DN3" s="231"/>
      <c r="DO3" s="226"/>
    </row>
    <row r="4" spans="1:130" ht="12" hidden="1" customHeight="1" outlineLevel="1">
      <c r="A4" s="1668" t="s">
        <v>1194</v>
      </c>
      <c r="B4" s="1675"/>
      <c r="C4" s="1675"/>
      <c r="D4" s="1669">
        <v>38077</v>
      </c>
      <c r="E4" s="1669">
        <v>38168</v>
      </c>
      <c r="F4" s="1669">
        <v>38260</v>
      </c>
      <c r="G4" s="1669">
        <v>38352</v>
      </c>
      <c r="H4" s="1670">
        <f>G4</f>
        <v>38352</v>
      </c>
      <c r="I4" s="1669">
        <v>38442</v>
      </c>
      <c r="J4" s="1669">
        <v>38533</v>
      </c>
      <c r="K4" s="1669">
        <v>38625</v>
      </c>
      <c r="L4" s="1669">
        <v>38717</v>
      </c>
      <c r="M4" s="1670">
        <f>L4</f>
        <v>38717</v>
      </c>
      <c r="N4" s="1669">
        <v>38807</v>
      </c>
      <c r="O4" s="1669">
        <v>38898</v>
      </c>
      <c r="P4" s="1669">
        <v>38990</v>
      </c>
      <c r="Q4" s="1669">
        <v>39082</v>
      </c>
      <c r="R4" s="1670">
        <f>Q4</f>
        <v>39082</v>
      </c>
      <c r="S4" s="1669">
        <v>39172</v>
      </c>
      <c r="T4" s="1669">
        <v>39263</v>
      </c>
      <c r="U4" s="1669">
        <v>39355</v>
      </c>
      <c r="V4" s="1669">
        <v>39447</v>
      </c>
      <c r="W4" s="1670">
        <f>V4</f>
        <v>39447</v>
      </c>
      <c r="X4" s="1669">
        <v>39538</v>
      </c>
      <c r="Y4" s="1669">
        <v>39629</v>
      </c>
      <c r="Z4" s="1669">
        <v>39721</v>
      </c>
      <c r="AA4" s="1669">
        <v>39813</v>
      </c>
      <c r="AB4" s="1670">
        <f>AA4</f>
        <v>39813</v>
      </c>
      <c r="AC4" s="1669">
        <v>39903</v>
      </c>
      <c r="AD4" s="1669">
        <v>39994</v>
      </c>
      <c r="AE4" s="1669">
        <v>40086</v>
      </c>
      <c r="AF4" s="1669">
        <v>40178</v>
      </c>
      <c r="AG4" s="1670">
        <f>AF4</f>
        <v>40178</v>
      </c>
      <c r="AH4" s="1669">
        <v>40268</v>
      </c>
      <c r="AI4" s="1669">
        <v>40359</v>
      </c>
      <c r="AJ4" s="1669">
        <v>40451</v>
      </c>
      <c r="AK4" s="1669">
        <v>40543</v>
      </c>
      <c r="AL4" s="1670">
        <f>AK4</f>
        <v>40543</v>
      </c>
      <c r="AM4" s="1669">
        <v>40633</v>
      </c>
      <c r="AN4" s="1669">
        <v>40724</v>
      </c>
      <c r="AO4" s="1669">
        <v>40816</v>
      </c>
      <c r="AP4" s="1669">
        <v>40908</v>
      </c>
      <c r="AQ4" s="1670">
        <f>AP4</f>
        <v>40908</v>
      </c>
      <c r="AR4" s="1669">
        <v>40999</v>
      </c>
      <c r="AS4" s="1669">
        <v>41090</v>
      </c>
      <c r="AT4" s="1669">
        <v>41182</v>
      </c>
      <c r="AU4" s="1669">
        <v>41274</v>
      </c>
      <c r="AV4" s="1670">
        <f>AU4</f>
        <v>41274</v>
      </c>
      <c r="AW4" s="1669">
        <v>41364</v>
      </c>
      <c r="AX4" s="1669">
        <v>41455</v>
      </c>
      <c r="AY4" s="1669">
        <v>41547</v>
      </c>
      <c r="AZ4" s="1669">
        <v>41639</v>
      </c>
      <c r="BA4" s="1670">
        <f>AZ4</f>
        <v>41639</v>
      </c>
      <c r="BB4" s="1669">
        <v>41729</v>
      </c>
      <c r="BC4" s="1669">
        <v>41820</v>
      </c>
      <c r="BD4" s="1669">
        <v>41912</v>
      </c>
      <c r="BE4" s="1669">
        <v>42004</v>
      </c>
      <c r="BF4" s="1670">
        <f>BE4</f>
        <v>42004</v>
      </c>
      <c r="BG4" s="1669">
        <v>42094</v>
      </c>
      <c r="BH4" s="1669">
        <v>42185</v>
      </c>
      <c r="BI4" s="1669">
        <v>42277</v>
      </c>
      <c r="BJ4" s="1669">
        <v>42369</v>
      </c>
      <c r="BK4" s="1670">
        <f>BJ4</f>
        <v>42369</v>
      </c>
      <c r="BL4" s="1669">
        <v>42460</v>
      </c>
      <c r="BM4" s="1669">
        <v>42551</v>
      </c>
      <c r="BN4" s="1669">
        <v>42643</v>
      </c>
      <c r="BO4" s="1669">
        <v>42735</v>
      </c>
      <c r="BP4" s="1670">
        <f>BO4</f>
        <v>42735</v>
      </c>
      <c r="BQ4" s="1669">
        <v>42825</v>
      </c>
      <c r="BR4" s="1669">
        <v>42916</v>
      </c>
      <c r="BS4" s="1669">
        <v>43008</v>
      </c>
      <c r="BT4" s="1669">
        <v>43100</v>
      </c>
      <c r="BU4" s="3309">
        <v>43100</v>
      </c>
      <c r="BV4" s="1669">
        <v>43190</v>
      </c>
      <c r="BW4" s="1669">
        <v>43281</v>
      </c>
      <c r="BX4" s="1669">
        <v>43373</v>
      </c>
      <c r="BY4" s="1669">
        <v>43465</v>
      </c>
      <c r="BZ4" s="1669">
        <v>43465</v>
      </c>
      <c r="CA4" s="1669">
        <v>43830</v>
      </c>
      <c r="CB4" s="1669">
        <v>44196</v>
      </c>
      <c r="CC4" s="1669">
        <v>44561</v>
      </c>
      <c r="CD4" s="1669">
        <v>44926</v>
      </c>
      <c r="CE4" s="1669">
        <v>45291</v>
      </c>
      <c r="CF4" s="1669">
        <v>45657</v>
      </c>
      <c r="CG4" s="1669">
        <v>46022</v>
      </c>
      <c r="CH4" s="1669"/>
      <c r="CI4" s="1669"/>
      <c r="CJ4" s="1669"/>
      <c r="CK4" s="1669"/>
      <c r="CL4" s="1669"/>
      <c r="CM4" s="1669"/>
      <c r="CN4" s="1669"/>
      <c r="CO4" s="1669"/>
      <c r="CP4" s="1668" t="s">
        <v>269</v>
      </c>
      <c r="CQ4" s="1670">
        <f>H4</f>
        <v>38352</v>
      </c>
      <c r="CR4" s="1670">
        <f>M4</f>
        <v>38717</v>
      </c>
      <c r="CS4" s="1670">
        <f>R4</f>
        <v>39082</v>
      </c>
      <c r="CT4" s="1670">
        <f>W4</f>
        <v>39447</v>
      </c>
      <c r="CU4" s="1670">
        <f>AB4</f>
        <v>39813</v>
      </c>
      <c r="CV4" s="1670">
        <f>AG4</f>
        <v>40178</v>
      </c>
      <c r="CW4" s="1670">
        <f>AL4</f>
        <v>40543</v>
      </c>
      <c r="CX4" s="1670">
        <f>AQ4</f>
        <v>40908</v>
      </c>
      <c r="CY4" s="1670">
        <f>AV4</f>
        <v>41274</v>
      </c>
      <c r="CZ4" s="1670">
        <f>BA4</f>
        <v>41639</v>
      </c>
      <c r="DA4" s="1670">
        <f>BF4</f>
        <v>42004</v>
      </c>
      <c r="DB4" s="1670">
        <f>BK4</f>
        <v>42369</v>
      </c>
      <c r="DC4" s="1670">
        <f>BP4</f>
        <v>42735</v>
      </c>
      <c r="DD4" s="1670">
        <f>BU4</f>
        <v>43100</v>
      </c>
      <c r="DE4" s="1670">
        <f t="shared" ref="DE4:DG6" si="0">BZ4</f>
        <v>43465</v>
      </c>
      <c r="DF4" s="1670">
        <f t="shared" si="0"/>
        <v>43830</v>
      </c>
      <c r="DG4" s="1670">
        <f t="shared" si="0"/>
        <v>44196</v>
      </c>
      <c r="DH4" s="1671"/>
      <c r="DI4" s="1672"/>
      <c r="DJ4" s="1672"/>
      <c r="DK4" s="1672"/>
      <c r="DL4" s="1672"/>
      <c r="DM4" s="1672"/>
      <c r="DN4" s="1672"/>
      <c r="DO4" s="1673"/>
      <c r="DY4" s="1670"/>
      <c r="DZ4" s="1670"/>
    </row>
    <row r="5" spans="1:130" ht="12" hidden="1" customHeight="1" outlineLevel="1">
      <c r="A5" s="217" t="s">
        <v>774</v>
      </c>
      <c r="B5" s="228"/>
      <c r="C5" s="228"/>
      <c r="D5" s="510">
        <v>91</v>
      </c>
      <c r="E5" s="231">
        <f>E4-D4</f>
        <v>91</v>
      </c>
      <c r="F5" s="231">
        <f>F4-E4</f>
        <v>92</v>
      </c>
      <c r="G5" s="231">
        <f>G4-F4</f>
        <v>92</v>
      </c>
      <c r="H5" s="492">
        <f>SUM(D5:G5)</f>
        <v>366</v>
      </c>
      <c r="I5" s="231">
        <f>I4-H4</f>
        <v>90</v>
      </c>
      <c r="J5" s="231">
        <f>J4-I4</f>
        <v>91</v>
      </c>
      <c r="K5" s="231">
        <f>K4-J4</f>
        <v>92</v>
      </c>
      <c r="L5" s="231">
        <f>L4-K4</f>
        <v>92</v>
      </c>
      <c r="M5" s="492">
        <f>SUM(I5:L5)</f>
        <v>365</v>
      </c>
      <c r="N5" s="231">
        <f>N4-M4</f>
        <v>90</v>
      </c>
      <c r="O5" s="231">
        <f>O4-N4</f>
        <v>91</v>
      </c>
      <c r="P5" s="231">
        <f>P4-O4</f>
        <v>92</v>
      </c>
      <c r="Q5" s="231">
        <f>Q4-P4</f>
        <v>92</v>
      </c>
      <c r="R5" s="492">
        <f>SUM(N5:Q5)</f>
        <v>365</v>
      </c>
      <c r="S5" s="231">
        <f>S4-R4</f>
        <v>90</v>
      </c>
      <c r="T5" s="231">
        <f>T4-S4</f>
        <v>91</v>
      </c>
      <c r="U5" s="231">
        <f>U4-T4</f>
        <v>92</v>
      </c>
      <c r="V5" s="231">
        <f>V4-U4</f>
        <v>92</v>
      </c>
      <c r="W5" s="492">
        <f>SUM(S5:V5)</f>
        <v>365</v>
      </c>
      <c r="X5" s="231">
        <f>X4-W4</f>
        <v>91</v>
      </c>
      <c r="Y5" s="231">
        <f>Y4-X4</f>
        <v>91</v>
      </c>
      <c r="Z5" s="231">
        <f>Z4-Y4</f>
        <v>92</v>
      </c>
      <c r="AA5" s="231">
        <f>AA4-Z4</f>
        <v>92</v>
      </c>
      <c r="AB5" s="492">
        <f>SUM(X5:AA5)</f>
        <v>366</v>
      </c>
      <c r="AC5" s="231">
        <f>AC4-AB4</f>
        <v>90</v>
      </c>
      <c r="AD5" s="231">
        <f>AD4-AC4</f>
        <v>91</v>
      </c>
      <c r="AE5" s="231">
        <f>AE4-AD4</f>
        <v>92</v>
      </c>
      <c r="AF5" s="231">
        <f>AF4-AE4</f>
        <v>92</v>
      </c>
      <c r="AG5" s="492">
        <f>SUM(AC5:AF5)</f>
        <v>365</v>
      </c>
      <c r="AH5" s="231">
        <f>AH4-AG4</f>
        <v>90</v>
      </c>
      <c r="AI5" s="231">
        <f>AI4-AH4</f>
        <v>91</v>
      </c>
      <c r="AJ5" s="231">
        <f>AJ4-AI4</f>
        <v>92</v>
      </c>
      <c r="AK5" s="231">
        <f>AK4-AJ4</f>
        <v>92</v>
      </c>
      <c r="AL5" s="492">
        <f>SUM(AH5:AK5)</f>
        <v>365</v>
      </c>
      <c r="AM5" s="231">
        <f>AM4-AL4</f>
        <v>90</v>
      </c>
      <c r="AN5" s="231">
        <f>AN4-AM4</f>
        <v>91</v>
      </c>
      <c r="AO5" s="231">
        <f>AO4-AN4</f>
        <v>92</v>
      </c>
      <c r="AP5" s="231">
        <f>AP4-AO4</f>
        <v>92</v>
      </c>
      <c r="AQ5" s="492">
        <f>SUM(AM5:AP5)</f>
        <v>365</v>
      </c>
      <c r="AR5" s="231">
        <f>AR4-AQ4</f>
        <v>91</v>
      </c>
      <c r="AS5" s="231">
        <f>AS4-AR4</f>
        <v>91</v>
      </c>
      <c r="AT5" s="231">
        <f>AT4-AS4</f>
        <v>92</v>
      </c>
      <c r="AU5" s="231">
        <f>AU4-AT4</f>
        <v>92</v>
      </c>
      <c r="AV5" s="492">
        <f>SUM(AR5:AU5)</f>
        <v>366</v>
      </c>
      <c r="AW5" s="231">
        <f>AW4-AV4</f>
        <v>90</v>
      </c>
      <c r="AX5" s="231">
        <f>AX4-AW4</f>
        <v>91</v>
      </c>
      <c r="AY5" s="231">
        <f>AY4-AX4</f>
        <v>92</v>
      </c>
      <c r="AZ5" s="231">
        <f>AZ4-AY4</f>
        <v>92</v>
      </c>
      <c r="BA5" s="492">
        <f>SUM(AW5:AZ5)</f>
        <v>365</v>
      </c>
      <c r="BB5" s="231">
        <f>BB4-BA4</f>
        <v>90</v>
      </c>
      <c r="BC5" s="231">
        <f>BC4-BB4</f>
        <v>91</v>
      </c>
      <c r="BD5" s="231">
        <f>BD4-BC4</f>
        <v>92</v>
      </c>
      <c r="BE5" s="231">
        <f>BE4-BD4</f>
        <v>92</v>
      </c>
      <c r="BF5" s="492">
        <f>SUM(BB5:BE5)</f>
        <v>365</v>
      </c>
      <c r="BG5" s="231">
        <f>BG4-BF4</f>
        <v>90</v>
      </c>
      <c r="BH5" s="231">
        <f>BH4-BG4</f>
        <v>91</v>
      </c>
      <c r="BI5" s="231">
        <f>BI4-BH4</f>
        <v>92</v>
      </c>
      <c r="BJ5" s="231">
        <f>BJ4-BI4</f>
        <v>92</v>
      </c>
      <c r="BK5" s="492">
        <f>SUM(BG5:BJ5)</f>
        <v>365</v>
      </c>
      <c r="BL5" s="231">
        <f>BL4-BK4</f>
        <v>91</v>
      </c>
      <c r="BM5" s="231">
        <f>BM4-BL4</f>
        <v>91</v>
      </c>
      <c r="BN5" s="231">
        <f>BN4-BM4</f>
        <v>92</v>
      </c>
      <c r="BO5" s="231">
        <f>BO4-BN4</f>
        <v>92</v>
      </c>
      <c r="BP5" s="492">
        <f>SUM(BL5:BO5)</f>
        <v>366</v>
      </c>
      <c r="BQ5" s="231">
        <f>BQ4-BP4</f>
        <v>90</v>
      </c>
      <c r="BR5" s="231">
        <f>BR4-BQ4</f>
        <v>91</v>
      </c>
      <c r="BS5" s="231">
        <f>BS4-BR4</f>
        <v>92</v>
      </c>
      <c r="BT5" s="231">
        <f>BT4-BS4</f>
        <v>92</v>
      </c>
      <c r="BU5" s="3310">
        <f>BU4-BP4</f>
        <v>365</v>
      </c>
      <c r="BV5" s="231">
        <f>BV4-BU4</f>
        <v>90</v>
      </c>
      <c r="BW5" s="231">
        <f>BW4-BV4</f>
        <v>91</v>
      </c>
      <c r="BX5" s="231">
        <f>BX4-BW4</f>
        <v>92</v>
      </c>
      <c r="BY5" s="231">
        <f>BY4-BX4</f>
        <v>92</v>
      </c>
      <c r="BZ5" s="231">
        <f>BZ4-BU4</f>
        <v>365</v>
      </c>
      <c r="CA5" s="231">
        <f t="shared" ref="CA5:CG5" si="1">CA4-BZ4</f>
        <v>365</v>
      </c>
      <c r="CB5" s="231">
        <f t="shared" si="1"/>
        <v>366</v>
      </c>
      <c r="CC5" s="231">
        <f t="shared" si="1"/>
        <v>365</v>
      </c>
      <c r="CD5" s="231">
        <f t="shared" si="1"/>
        <v>365</v>
      </c>
      <c r="CE5" s="231">
        <f t="shared" si="1"/>
        <v>365</v>
      </c>
      <c r="CF5" s="231">
        <f t="shared" si="1"/>
        <v>366</v>
      </c>
      <c r="CG5" s="231">
        <f t="shared" si="1"/>
        <v>365</v>
      </c>
      <c r="CH5" s="510"/>
      <c r="CI5" s="510"/>
      <c r="CJ5" s="510"/>
      <c r="CK5" s="510"/>
      <c r="CL5" s="510"/>
      <c r="CM5" s="510"/>
      <c r="CN5" s="510"/>
      <c r="CO5" s="510"/>
      <c r="CP5" s="217" t="str">
        <f>A5</f>
        <v>No. of days per period</v>
      </c>
      <c r="CQ5" s="231">
        <f>H5</f>
        <v>366</v>
      </c>
      <c r="CR5" s="231">
        <f>M5</f>
        <v>365</v>
      </c>
      <c r="CS5" s="231">
        <f>R5</f>
        <v>365</v>
      </c>
      <c r="CT5" s="231">
        <f>W5</f>
        <v>365</v>
      </c>
      <c r="CU5" s="231">
        <f>AB5</f>
        <v>366</v>
      </c>
      <c r="CV5" s="231">
        <f>AG5</f>
        <v>365</v>
      </c>
      <c r="CW5" s="231">
        <f>AL5</f>
        <v>365</v>
      </c>
      <c r="CX5" s="231">
        <f>AQ5</f>
        <v>365</v>
      </c>
      <c r="CY5" s="231">
        <f>AV5</f>
        <v>366</v>
      </c>
      <c r="CZ5" s="231">
        <f>BA5</f>
        <v>365</v>
      </c>
      <c r="DA5" s="231">
        <f>BF5</f>
        <v>365</v>
      </c>
      <c r="DB5" s="231">
        <f>BK5</f>
        <v>365</v>
      </c>
      <c r="DC5" s="231">
        <f>BP5</f>
        <v>366</v>
      </c>
      <c r="DD5" s="231">
        <f>BU5</f>
        <v>365</v>
      </c>
      <c r="DE5" s="231">
        <f t="shared" si="0"/>
        <v>365</v>
      </c>
      <c r="DF5" s="231">
        <f t="shared" si="0"/>
        <v>365</v>
      </c>
      <c r="DG5" s="231">
        <f t="shared" si="0"/>
        <v>366</v>
      </c>
      <c r="DH5" s="513"/>
      <c r="DI5" s="514"/>
      <c r="DJ5" s="514"/>
      <c r="DK5" s="514"/>
      <c r="DL5" s="514"/>
      <c r="DM5" s="514"/>
      <c r="DN5" s="514"/>
      <c r="DO5" s="226"/>
      <c r="DY5" s="3305"/>
      <c r="DZ5" s="3305"/>
    </row>
    <row r="6" spans="1:130" ht="12.6" customHeight="1" collapsed="1">
      <c r="A6" s="235" t="s">
        <v>717</v>
      </c>
      <c r="B6" s="961"/>
      <c r="C6" s="236"/>
      <c r="D6" s="109" t="s">
        <v>417</v>
      </c>
      <c r="E6" s="109" t="s">
        <v>499</v>
      </c>
      <c r="F6" s="109" t="s">
        <v>1563</v>
      </c>
      <c r="G6" s="109" t="s">
        <v>1564</v>
      </c>
      <c r="H6" s="110">
        <v>2004</v>
      </c>
      <c r="I6" s="109" t="s">
        <v>1028</v>
      </c>
      <c r="J6" s="109" t="s">
        <v>342</v>
      </c>
      <c r="K6" s="109" t="s">
        <v>483</v>
      </c>
      <c r="L6" s="109" t="s">
        <v>440</v>
      </c>
      <c r="M6" s="110">
        <v>2005</v>
      </c>
      <c r="N6" s="109" t="s">
        <v>903</v>
      </c>
      <c r="O6" s="109" t="s">
        <v>764</v>
      </c>
      <c r="P6" s="109" t="s">
        <v>677</v>
      </c>
      <c r="Q6" s="109" t="s">
        <v>395</v>
      </c>
      <c r="R6" s="110">
        <v>2006</v>
      </c>
      <c r="S6" s="109" t="s">
        <v>1322</v>
      </c>
      <c r="T6" s="109" t="s">
        <v>1303</v>
      </c>
      <c r="U6" s="109" t="s">
        <v>645</v>
      </c>
      <c r="V6" s="109" t="s">
        <v>1126</v>
      </c>
      <c r="W6" s="110">
        <v>2007</v>
      </c>
      <c r="X6" s="109" t="s">
        <v>1595</v>
      </c>
      <c r="Y6" s="109" t="s">
        <v>530</v>
      </c>
      <c r="Z6" s="109" t="s">
        <v>657</v>
      </c>
      <c r="AA6" s="109" t="s">
        <v>1324</v>
      </c>
      <c r="AB6" s="110">
        <v>2008</v>
      </c>
      <c r="AC6" s="109" t="s">
        <v>216</v>
      </c>
      <c r="AD6" s="109" t="s">
        <v>574</v>
      </c>
      <c r="AE6" s="109" t="s">
        <v>575</v>
      </c>
      <c r="AF6" s="109" t="s">
        <v>1720</v>
      </c>
      <c r="AG6" s="110">
        <v>2009</v>
      </c>
      <c r="AH6" s="109" t="s">
        <v>729</v>
      </c>
      <c r="AI6" s="109" t="s">
        <v>612</v>
      </c>
      <c r="AJ6" s="109" t="s">
        <v>409</v>
      </c>
      <c r="AK6" s="109" t="s">
        <v>1510</v>
      </c>
      <c r="AL6" s="238">
        <v>2010</v>
      </c>
      <c r="AM6" s="109" t="s">
        <v>1029</v>
      </c>
      <c r="AN6" s="109" t="s">
        <v>1699</v>
      </c>
      <c r="AO6" s="109" t="s">
        <v>1700</v>
      </c>
      <c r="AP6" s="109" t="s">
        <v>1565</v>
      </c>
      <c r="AQ6" s="238">
        <v>2011</v>
      </c>
      <c r="AR6" s="109" t="s">
        <v>1647</v>
      </c>
      <c r="AS6" s="109" t="s">
        <v>727</v>
      </c>
      <c r="AT6" s="109" t="s">
        <v>23</v>
      </c>
      <c r="AU6" s="109" t="s">
        <v>1660</v>
      </c>
      <c r="AV6" s="238">
        <v>2012</v>
      </c>
      <c r="AW6" s="109" t="s">
        <v>1481</v>
      </c>
      <c r="AX6" s="109" t="s">
        <v>406</v>
      </c>
      <c r="AY6" s="109" t="s">
        <v>1649</v>
      </c>
      <c r="AZ6" s="2648" t="s">
        <v>631</v>
      </c>
      <c r="BA6" s="238">
        <v>2013</v>
      </c>
      <c r="BB6" s="109" t="s">
        <v>1753</v>
      </c>
      <c r="BC6" s="109" t="s">
        <v>942</v>
      </c>
      <c r="BD6" s="109" t="s">
        <v>288</v>
      </c>
      <c r="BE6" s="109" t="s">
        <v>1820</v>
      </c>
      <c r="BF6" s="238">
        <v>2014</v>
      </c>
      <c r="BG6" s="109" t="s">
        <v>1822</v>
      </c>
      <c r="BH6" s="109" t="s">
        <v>1837</v>
      </c>
      <c r="BI6" s="109" t="s">
        <v>1848</v>
      </c>
      <c r="BJ6" s="109" t="s">
        <v>1865</v>
      </c>
      <c r="BK6" s="238">
        <v>2015</v>
      </c>
      <c r="BL6" s="109" t="s">
        <v>1885</v>
      </c>
      <c r="BM6" s="109" t="s">
        <v>1915</v>
      </c>
      <c r="BN6" s="109" t="s">
        <v>1926</v>
      </c>
      <c r="BO6" s="109" t="s">
        <v>1932</v>
      </c>
      <c r="BP6" s="238">
        <v>2016</v>
      </c>
      <c r="BQ6" s="109" t="s">
        <v>1933</v>
      </c>
      <c r="BR6" s="109" t="s">
        <v>1934</v>
      </c>
      <c r="BS6" s="109" t="s">
        <v>1935</v>
      </c>
      <c r="BT6" s="109" t="s">
        <v>2014</v>
      </c>
      <c r="BU6" s="4175" t="s">
        <v>2015</v>
      </c>
      <c r="BV6" s="109" t="s">
        <v>1958</v>
      </c>
      <c r="BW6" s="109" t="s">
        <v>1959</v>
      </c>
      <c r="BX6" s="109" t="s">
        <v>1960</v>
      </c>
      <c r="BY6" s="109" t="s">
        <v>1961</v>
      </c>
      <c r="BZ6" s="238" t="s">
        <v>1598</v>
      </c>
      <c r="CA6" s="238" t="s">
        <v>1599</v>
      </c>
      <c r="CB6" s="238" t="s">
        <v>1600</v>
      </c>
      <c r="CC6" s="238" t="s">
        <v>1840</v>
      </c>
      <c r="CD6" s="238" t="s">
        <v>1841</v>
      </c>
      <c r="CE6" s="238" t="s">
        <v>1842</v>
      </c>
      <c r="CF6" s="238" t="s">
        <v>1843</v>
      </c>
      <c r="CG6" s="238" t="s">
        <v>1844</v>
      </c>
      <c r="CH6" s="247"/>
      <c r="CI6" s="247"/>
      <c r="CJ6" s="247"/>
      <c r="CK6" s="247"/>
      <c r="CL6" s="247"/>
      <c r="CM6" s="247"/>
      <c r="CN6" s="247"/>
      <c r="CO6" s="247"/>
      <c r="CP6" s="235" t="s">
        <v>717</v>
      </c>
      <c r="CQ6" s="109">
        <f>H6</f>
        <v>2004</v>
      </c>
      <c r="CR6" s="109">
        <f>M6</f>
        <v>2005</v>
      </c>
      <c r="CS6" s="109">
        <f>R6</f>
        <v>2006</v>
      </c>
      <c r="CT6" s="109">
        <f>W6</f>
        <v>2007</v>
      </c>
      <c r="CU6" s="109">
        <f>AB6</f>
        <v>2008</v>
      </c>
      <c r="CV6" s="109">
        <f>AG6</f>
        <v>2009</v>
      </c>
      <c r="CW6" s="109">
        <f>AL6</f>
        <v>2010</v>
      </c>
      <c r="CX6" s="109">
        <f>AQ6</f>
        <v>2011</v>
      </c>
      <c r="CY6" s="109">
        <f>AV6</f>
        <v>2012</v>
      </c>
      <c r="CZ6" s="109">
        <f>BA6</f>
        <v>2013</v>
      </c>
      <c r="DA6" s="109">
        <f>BF6</f>
        <v>2014</v>
      </c>
      <c r="DB6" s="109">
        <f>BK6</f>
        <v>2015</v>
      </c>
      <c r="DC6" s="109">
        <f>BP6</f>
        <v>2016</v>
      </c>
      <c r="DD6" s="109" t="str">
        <f>BU6</f>
        <v>2017A</v>
      </c>
      <c r="DE6" s="109" t="str">
        <f t="shared" si="0"/>
        <v>2018E</v>
      </c>
      <c r="DF6" s="109" t="str">
        <f t="shared" si="0"/>
        <v>2019E</v>
      </c>
      <c r="DG6" s="1772" t="str">
        <f t="shared" si="0"/>
        <v>2020E</v>
      </c>
      <c r="DH6" s="239"/>
      <c r="DI6" s="240"/>
      <c r="DJ6" s="240"/>
      <c r="DK6" s="240"/>
      <c r="DL6" s="240"/>
      <c r="DM6" s="240"/>
      <c r="DN6" s="240"/>
      <c r="DO6" s="226"/>
      <c r="DY6" s="3305"/>
      <c r="DZ6" s="3305"/>
    </row>
    <row r="7" spans="1:130" ht="12.6" customHeight="1">
      <c r="A7" s="3556"/>
      <c r="B7" s="3557"/>
      <c r="C7" s="3557"/>
      <c r="D7" s="3558"/>
      <c r="E7" s="3559"/>
      <c r="F7" s="3559"/>
      <c r="G7" s="3559"/>
      <c r="H7" s="3560"/>
      <c r="I7" s="3559"/>
      <c r="J7" s="3559"/>
      <c r="K7" s="3559"/>
      <c r="L7" s="3559"/>
      <c r="M7" s="3560"/>
      <c r="N7" s="3559"/>
      <c r="O7" s="3559"/>
      <c r="P7" s="3559"/>
      <c r="Q7" s="3559"/>
      <c r="R7" s="3560"/>
      <c r="S7" s="3559"/>
      <c r="T7" s="3559"/>
      <c r="U7" s="3559"/>
      <c r="V7" s="3559"/>
      <c r="W7" s="3560"/>
      <c r="X7" s="3559"/>
      <c r="Y7" s="3559"/>
      <c r="Z7" s="3559"/>
      <c r="AA7" s="3559"/>
      <c r="AB7" s="3560"/>
      <c r="AC7" s="3559"/>
      <c r="AD7" s="3559"/>
      <c r="AE7" s="3559"/>
      <c r="AF7" s="3559"/>
      <c r="AG7" s="3560"/>
      <c r="AH7" s="3559"/>
      <c r="AI7" s="3559"/>
      <c r="AJ7" s="3559"/>
      <c r="AK7" s="3561"/>
      <c r="AL7" s="3562"/>
      <c r="AM7" s="3561"/>
      <c r="AN7" s="3561"/>
      <c r="AO7" s="3561"/>
      <c r="AP7" s="3563"/>
      <c r="AQ7" s="3562"/>
      <c r="AR7" s="3561"/>
      <c r="AS7" s="3561"/>
      <c r="AT7" s="3561"/>
      <c r="AU7" s="3563"/>
      <c r="AV7" s="3562"/>
      <c r="AW7" s="3561"/>
      <c r="AX7" s="3561"/>
      <c r="AY7" s="3561"/>
      <c r="AZ7" s="3561"/>
      <c r="BA7" s="3562"/>
      <c r="BB7" s="3561"/>
      <c r="BC7" s="3561"/>
      <c r="BD7" s="3561"/>
      <c r="BE7" s="3563"/>
      <c r="BF7" s="3564"/>
      <c r="BG7" s="3565"/>
      <c r="BH7" s="3566"/>
      <c r="BI7" s="3566"/>
      <c r="BJ7" s="3567"/>
      <c r="BK7" s="3568"/>
      <c r="BL7" s="3569"/>
      <c r="BM7" s="3569"/>
      <c r="BN7" s="3569"/>
      <c r="BO7" s="3567"/>
      <c r="BP7" s="3568"/>
      <c r="BQ7" s="3566"/>
      <c r="BR7" s="3566"/>
      <c r="BS7" s="3566"/>
      <c r="BT7" s="3567"/>
      <c r="BU7" s="3570"/>
      <c r="BV7" s="3566"/>
      <c r="BW7" s="3566"/>
      <c r="BX7" s="3566"/>
      <c r="BY7" s="3567"/>
      <c r="BZ7" s="3564"/>
      <c r="CA7" s="3564"/>
      <c r="CB7" s="3564"/>
      <c r="CC7" s="1549"/>
      <c r="CD7" s="1549"/>
      <c r="CE7" s="1549"/>
      <c r="CF7" s="1549"/>
      <c r="CG7" s="1549"/>
      <c r="CH7" s="247"/>
      <c r="CI7" s="247"/>
      <c r="CJ7" s="247"/>
      <c r="CK7" s="247"/>
      <c r="CL7" s="247"/>
      <c r="CM7" s="247"/>
      <c r="CN7" s="247"/>
      <c r="CO7" s="247"/>
      <c r="CP7" s="976"/>
      <c r="CQ7" s="1462"/>
      <c r="CR7" s="1462"/>
      <c r="CS7" s="1462"/>
      <c r="CT7" s="1462"/>
      <c r="CU7" s="1462"/>
      <c r="CV7" s="1462"/>
      <c r="CW7" s="1462"/>
      <c r="CX7" s="1462"/>
      <c r="CY7" s="1462"/>
      <c r="CZ7" s="1462"/>
      <c r="DA7" s="1462"/>
      <c r="DB7" s="1462"/>
      <c r="DC7" s="1462"/>
      <c r="DD7" s="1462"/>
      <c r="DE7" s="1462"/>
      <c r="DF7" s="1462"/>
      <c r="DG7" s="1773"/>
      <c r="DH7" s="239"/>
      <c r="DI7" s="240"/>
      <c r="DJ7" s="240"/>
      <c r="DK7" s="240"/>
      <c r="DL7" s="240"/>
      <c r="DM7" s="240"/>
      <c r="DN7" s="240"/>
      <c r="DO7" s="226"/>
      <c r="DY7" s="1462"/>
      <c r="DZ7" s="1462"/>
    </row>
    <row r="8" spans="1:130" ht="12.6" customHeight="1">
      <c r="A8" s="3556" t="s">
        <v>935</v>
      </c>
      <c r="B8" s="3557"/>
      <c r="C8" s="3557"/>
      <c r="D8" s="3558"/>
      <c r="E8" s="3559"/>
      <c r="F8" s="3559"/>
      <c r="G8" s="3559"/>
      <c r="H8" s="3560"/>
      <c r="I8" s="3559"/>
      <c r="J8" s="3559"/>
      <c r="K8" s="3559"/>
      <c r="L8" s="3559"/>
      <c r="M8" s="3560"/>
      <c r="N8" s="3559"/>
      <c r="O8" s="3559"/>
      <c r="P8" s="3559"/>
      <c r="Q8" s="3559"/>
      <c r="R8" s="3560"/>
      <c r="S8" s="3559"/>
      <c r="T8" s="3559"/>
      <c r="U8" s="3559"/>
      <c r="V8" s="3559"/>
      <c r="W8" s="3560"/>
      <c r="X8" s="3559"/>
      <c r="Y8" s="3559"/>
      <c r="Z8" s="3559"/>
      <c r="AA8" s="3559"/>
      <c r="AB8" s="3560"/>
      <c r="AC8" s="3559"/>
      <c r="AD8" s="3559"/>
      <c r="AE8" s="3559"/>
      <c r="AF8" s="3559"/>
      <c r="AG8" s="3560"/>
      <c r="AH8" s="3559"/>
      <c r="AI8" s="3559"/>
      <c r="AJ8" s="3571"/>
      <c r="AK8" s="3571"/>
      <c r="AL8" s="3562"/>
      <c r="AM8" s="3571"/>
      <c r="AN8" s="3571"/>
      <c r="AO8" s="3571"/>
      <c r="AP8" s="3563"/>
      <c r="AQ8" s="3572"/>
      <c r="AR8" s="3571"/>
      <c r="AS8" s="3571"/>
      <c r="AT8" s="3571"/>
      <c r="AU8" s="3563"/>
      <c r="AV8" s="3573"/>
      <c r="AW8" s="3571"/>
      <c r="AX8" s="3571"/>
      <c r="AY8" s="3561"/>
      <c r="AZ8" s="3561"/>
      <c r="BA8" s="3562"/>
      <c r="BB8" s="3574"/>
      <c r="BC8" s="3574"/>
      <c r="BD8" s="3574"/>
      <c r="BE8" s="3574"/>
      <c r="BF8" s="3575"/>
      <c r="BG8" s="3576"/>
      <c r="BH8" s="3574"/>
      <c r="BI8" s="3574"/>
      <c r="BJ8" s="3577"/>
      <c r="BK8" s="3573"/>
      <c r="BL8" s="3574"/>
      <c r="BM8" s="3574"/>
      <c r="BN8" s="3578"/>
      <c r="BO8" s="3577"/>
      <c r="BP8" s="3573"/>
      <c r="BQ8" s="3578"/>
      <c r="BR8" s="3578"/>
      <c r="BS8" s="3578"/>
      <c r="BT8" s="3577"/>
      <c r="BU8" s="3914"/>
      <c r="BV8" s="3578"/>
      <c r="BW8" s="3578"/>
      <c r="BX8" s="3578"/>
      <c r="BY8" s="3577"/>
      <c r="BZ8" s="3562"/>
      <c r="CA8" s="3562"/>
      <c r="CB8" s="3562"/>
      <c r="CC8" s="246"/>
      <c r="CD8" s="246"/>
      <c r="CE8" s="246"/>
      <c r="CF8" s="246"/>
      <c r="CG8" s="246"/>
      <c r="CH8" s="247"/>
      <c r="CI8" s="247"/>
      <c r="CJ8" s="247"/>
      <c r="CK8" s="247"/>
      <c r="CL8" s="247"/>
      <c r="CM8" s="247"/>
      <c r="CN8" s="247"/>
      <c r="CO8" s="247"/>
      <c r="CP8" s="976" t="str">
        <f t="shared" ref="CP8:CP20" si="2">A8</f>
        <v>Net Revenue</v>
      </c>
      <c r="CQ8" s="1463"/>
      <c r="CR8" s="1463"/>
      <c r="CS8" s="1463"/>
      <c r="CT8" s="1463"/>
      <c r="CU8" s="1463"/>
      <c r="CV8" s="1463"/>
      <c r="CW8" s="1463"/>
      <c r="CX8" s="1463"/>
      <c r="CY8" s="1463"/>
      <c r="CZ8" s="1463"/>
      <c r="DA8" s="1463"/>
      <c r="DB8" s="1463"/>
      <c r="DC8" s="1463"/>
      <c r="DD8" s="1463"/>
      <c r="DE8" s="1463"/>
      <c r="DF8" s="1463"/>
      <c r="DG8" s="1774"/>
      <c r="DH8" s="239"/>
      <c r="DI8" s="240"/>
      <c r="DJ8" s="240"/>
      <c r="DK8" s="240"/>
      <c r="DL8" s="240"/>
      <c r="DM8" s="240"/>
      <c r="DN8" s="240"/>
      <c r="DO8" s="226"/>
      <c r="DY8" s="1462"/>
      <c r="DZ8" s="1462"/>
    </row>
    <row r="9" spans="1:130" ht="12.6" hidden="1" customHeight="1" outlineLevel="1">
      <c r="A9" s="3579" t="s">
        <v>1538</v>
      </c>
      <c r="B9" s="3580"/>
      <c r="C9" s="3580"/>
      <c r="D9" s="3581">
        <f>D203</f>
        <v>38.753999999999998</v>
      </c>
      <c r="E9" s="3582">
        <f>E203</f>
        <v>38.173999999999999</v>
      </c>
      <c r="F9" s="3582">
        <f>F203</f>
        <v>35.832000000000001</v>
      </c>
      <c r="G9" s="3582">
        <f>G203</f>
        <v>38.792999999999999</v>
      </c>
      <c r="H9" s="3583">
        <f>SUM(D9:G9)</f>
        <v>151.553</v>
      </c>
      <c r="I9" s="3582">
        <f>I203</f>
        <v>40.731999999999999</v>
      </c>
      <c r="J9" s="3582">
        <f>J203</f>
        <v>38.500999999999998</v>
      </c>
      <c r="K9" s="3582">
        <f>K203</f>
        <v>38.432000000000002</v>
      </c>
      <c r="L9" s="3582">
        <f>L203</f>
        <v>40.908000000000001</v>
      </c>
      <c r="M9" s="3583">
        <f>SUM(I9:L9)</f>
        <v>158.57300000000001</v>
      </c>
      <c r="N9" s="3582">
        <f>N203</f>
        <v>38.942999999999998</v>
      </c>
      <c r="O9" s="3582">
        <f>O203</f>
        <v>35.442999999999998</v>
      </c>
      <c r="P9" s="3582">
        <f>P203</f>
        <v>31.956</v>
      </c>
      <c r="Q9" s="3582">
        <f>Q203</f>
        <v>11.215999999999999</v>
      </c>
      <c r="R9" s="3583">
        <f>SUM(N9:Q9)</f>
        <v>117.55799999999999</v>
      </c>
      <c r="S9" s="3582"/>
      <c r="T9" s="3582"/>
      <c r="U9" s="3582"/>
      <c r="V9" s="3582"/>
      <c r="W9" s="3583"/>
      <c r="X9" s="3582"/>
      <c r="Y9" s="3582"/>
      <c r="Z9" s="3582"/>
      <c r="AA9" s="3582"/>
      <c r="AB9" s="3583"/>
      <c r="AC9" s="3582"/>
      <c r="AD9" s="3582"/>
      <c r="AE9" s="3582"/>
      <c r="AF9" s="3582"/>
      <c r="AG9" s="3583"/>
      <c r="AH9" s="3582"/>
      <c r="AI9" s="3582"/>
      <c r="AJ9" s="3582"/>
      <c r="AK9" s="3582"/>
      <c r="AL9" s="3583"/>
      <c r="AM9" s="3582"/>
      <c r="AN9" s="3582"/>
      <c r="AO9" s="3582"/>
      <c r="AP9" s="3582"/>
      <c r="AQ9" s="3583"/>
      <c r="AR9" s="3582"/>
      <c r="AS9" s="3582"/>
      <c r="AT9" s="3582"/>
      <c r="AU9" s="3582"/>
      <c r="AV9" s="3583"/>
      <c r="AW9" s="3582"/>
      <c r="AX9" s="3582"/>
      <c r="AY9" s="3582"/>
      <c r="AZ9" s="3582"/>
      <c r="BA9" s="3583"/>
      <c r="BB9" s="3582"/>
      <c r="BC9" s="3582"/>
      <c r="BD9" s="3582"/>
      <c r="BE9" s="3582"/>
      <c r="BF9" s="3583"/>
      <c r="BG9" s="3581"/>
      <c r="BH9" s="3582"/>
      <c r="BI9" s="3582"/>
      <c r="BJ9" s="3584"/>
      <c r="BK9" s="3583"/>
      <c r="BL9" s="3582"/>
      <c r="BM9" s="3582"/>
      <c r="BN9" s="3582"/>
      <c r="BO9" s="3584"/>
      <c r="BP9" s="3583"/>
      <c r="BQ9" s="3582"/>
      <c r="BR9" s="3582"/>
      <c r="BS9" s="3582"/>
      <c r="BT9" s="3584"/>
      <c r="BU9" s="3585"/>
      <c r="BV9" s="3582"/>
      <c r="BW9" s="3582"/>
      <c r="BX9" s="3582"/>
      <c r="BY9" s="3584"/>
      <c r="BZ9" s="3583"/>
      <c r="CA9" s="3583"/>
      <c r="CB9" s="3583"/>
      <c r="CC9" s="250"/>
      <c r="CD9" s="250"/>
      <c r="CE9" s="250"/>
      <c r="CF9" s="250"/>
      <c r="CG9" s="250"/>
      <c r="CH9" s="249"/>
      <c r="CI9" s="249"/>
      <c r="CJ9" s="249"/>
      <c r="CK9" s="249"/>
      <c r="CL9" s="249"/>
      <c r="CM9" s="249"/>
      <c r="CN9" s="249"/>
      <c r="CO9" s="249"/>
      <c r="CP9" s="1775" t="str">
        <f t="shared" si="2"/>
        <v>Stardust / Echelon</v>
      </c>
      <c r="CQ9" s="249">
        <f>H9</f>
        <v>151.553</v>
      </c>
      <c r="CR9" s="249">
        <f>M9</f>
        <v>158.57300000000001</v>
      </c>
      <c r="CS9" s="249">
        <f>R9</f>
        <v>117.55799999999999</v>
      </c>
      <c r="CT9" s="249"/>
      <c r="CU9" s="249"/>
      <c r="CV9" s="249"/>
      <c r="CW9" s="249"/>
      <c r="CX9" s="249"/>
      <c r="CY9" s="249"/>
      <c r="CZ9" s="249"/>
      <c r="DA9" s="249"/>
      <c r="DB9" s="249"/>
      <c r="DC9" s="249"/>
      <c r="DD9" s="249"/>
      <c r="DE9" s="249"/>
      <c r="DF9" s="249"/>
      <c r="DG9" s="1776"/>
      <c r="DH9" s="272"/>
      <c r="DI9" s="222"/>
      <c r="DJ9" s="222"/>
      <c r="DK9" s="222"/>
      <c r="DL9" s="222"/>
      <c r="DM9" s="222"/>
      <c r="DN9" s="222"/>
      <c r="DO9" s="226"/>
      <c r="DY9" s="249"/>
      <c r="DZ9" s="249"/>
    </row>
    <row r="10" spans="1:130" ht="12.6" customHeight="1" collapsed="1">
      <c r="A10" s="3586" t="s">
        <v>514</v>
      </c>
      <c r="B10" s="3587"/>
      <c r="C10" s="3587"/>
      <c r="D10" s="3588">
        <f>D297</f>
        <v>47.163000000000004</v>
      </c>
      <c r="E10" s="3589">
        <f>E297</f>
        <v>44.29</v>
      </c>
      <c r="F10" s="3589">
        <f>F297</f>
        <v>204.90799999999999</v>
      </c>
      <c r="G10" s="3589">
        <f>G297</f>
        <v>228.18700000000001</v>
      </c>
      <c r="H10" s="3590">
        <f>SUM(D10:G10)</f>
        <v>524.548</v>
      </c>
      <c r="I10" s="3589">
        <f>I297</f>
        <v>237.99900000000002</v>
      </c>
      <c r="J10" s="3589">
        <f>J297</f>
        <v>228.33500000000001</v>
      </c>
      <c r="K10" s="3589">
        <f>K297</f>
        <v>227.27599999999998</v>
      </c>
      <c r="L10" s="3589">
        <f>L297</f>
        <v>243.01400000000001</v>
      </c>
      <c r="M10" s="3590">
        <f>SUM(I10:L10)</f>
        <v>936.62400000000002</v>
      </c>
      <c r="N10" s="3589">
        <f>N297</f>
        <v>280.995</v>
      </c>
      <c r="O10" s="3589">
        <f>O297</f>
        <v>264.44499999999999</v>
      </c>
      <c r="P10" s="3589">
        <f>P297</f>
        <v>199.524</v>
      </c>
      <c r="Q10" s="3589">
        <f>Q297</f>
        <v>217.672</v>
      </c>
      <c r="R10" s="3590">
        <f>SUM(N10:Q10)</f>
        <v>962.63600000000008</v>
      </c>
      <c r="S10" s="3589">
        <f>S297</f>
        <v>218.68799999999999</v>
      </c>
      <c r="T10" s="3589">
        <f>T297</f>
        <v>211.233</v>
      </c>
      <c r="U10" s="3589">
        <f>U297</f>
        <v>203.84899999999999</v>
      </c>
      <c r="V10" s="3589">
        <f>V297</f>
        <v>214.399</v>
      </c>
      <c r="W10" s="3590">
        <f>SUM(S10:V10)</f>
        <v>848.16899999999998</v>
      </c>
      <c r="X10" s="3589">
        <f>X297</f>
        <v>206.494</v>
      </c>
      <c r="Y10" s="3589">
        <f>Y297</f>
        <v>197.89599999999999</v>
      </c>
      <c r="Z10" s="3589">
        <f>Z297</f>
        <v>181.79300000000001</v>
      </c>
      <c r="AA10" s="3589">
        <f>AA297</f>
        <v>176.81899999999999</v>
      </c>
      <c r="AB10" s="3590">
        <f>SUM(X10:AA10)</f>
        <v>763.00199999999995</v>
      </c>
      <c r="AC10" s="3589">
        <f>AC297</f>
        <v>170.09899999999999</v>
      </c>
      <c r="AD10" s="3589">
        <f>AD297</f>
        <v>166.12700000000001</v>
      </c>
      <c r="AE10" s="3589">
        <f>AE297</f>
        <v>150.749</v>
      </c>
      <c r="AF10" s="3589">
        <f>AF297</f>
        <v>154.96600000000001</v>
      </c>
      <c r="AG10" s="3590">
        <f>SUM(AC10:AF10)</f>
        <v>641.94100000000003</v>
      </c>
      <c r="AH10" s="3589">
        <f>AH297</f>
        <v>156.572</v>
      </c>
      <c r="AI10" s="3589">
        <f>AI297</f>
        <v>153.078</v>
      </c>
      <c r="AJ10" s="3589">
        <f>AJ297</f>
        <v>145.59299999999999</v>
      </c>
      <c r="AK10" s="3589">
        <f>AK297</f>
        <v>152.12299999999999</v>
      </c>
      <c r="AL10" s="3591">
        <f>SUM(AH10:AK10)</f>
        <v>607.36599999999999</v>
      </c>
      <c r="AM10" s="3589">
        <f>AM297</f>
        <v>154.51900000000001</v>
      </c>
      <c r="AN10" s="3589">
        <f>AN297</f>
        <v>151.83600000000001</v>
      </c>
      <c r="AO10" s="3589">
        <f>AO297</f>
        <v>145.91499999999999</v>
      </c>
      <c r="AP10" s="3589">
        <f>AP297</f>
        <v>152.696</v>
      </c>
      <c r="AQ10" s="3591">
        <f>SUM(AM10:AP10)</f>
        <v>604.96600000000001</v>
      </c>
      <c r="AR10" s="3589">
        <f>AR297</f>
        <v>154.78899999999999</v>
      </c>
      <c r="AS10" s="3589">
        <f>AS297</f>
        <v>148.98699999999999</v>
      </c>
      <c r="AT10" s="3589">
        <f>AT297</f>
        <v>138.78700000000001</v>
      </c>
      <c r="AU10" s="3589">
        <f>AU297</f>
        <v>148.74299999999999</v>
      </c>
      <c r="AV10" s="3591">
        <f t="shared" ref="AV10:AV17" si="3">SUM(AR10:AU10)</f>
        <v>591.30600000000004</v>
      </c>
      <c r="AW10" s="3589">
        <f>AW297</f>
        <v>152.827</v>
      </c>
      <c r="AX10" s="3589">
        <f>AX297</f>
        <v>149.69</v>
      </c>
      <c r="AY10" s="3589">
        <f>AY297</f>
        <v>140.291</v>
      </c>
      <c r="AZ10" s="3589">
        <f>AZ297</f>
        <v>148.63900000000001</v>
      </c>
      <c r="BA10" s="3591">
        <f>SUM(AW10:AZ10)</f>
        <v>591.447</v>
      </c>
      <c r="BB10" s="3589">
        <f>BB297</f>
        <v>151.44300000000001</v>
      </c>
      <c r="BC10" s="3589">
        <f>BC297</f>
        <v>148.27000000000001</v>
      </c>
      <c r="BD10" s="3589">
        <f>BD297</f>
        <v>141.20699999999999</v>
      </c>
      <c r="BE10" s="3589">
        <f>BE297</f>
        <v>151.732</v>
      </c>
      <c r="BF10" s="3591">
        <f>SUM(BB10:BE10)</f>
        <v>592.65200000000004</v>
      </c>
      <c r="BG10" s="3588">
        <f>BG297</f>
        <v>150.30199999999999</v>
      </c>
      <c r="BH10" s="3589">
        <f>BH297</f>
        <v>153.03200000000001</v>
      </c>
      <c r="BI10" s="3589">
        <f>BI297</f>
        <v>148.02199999999999</v>
      </c>
      <c r="BJ10" s="3592">
        <f>BJ297</f>
        <v>158.75</v>
      </c>
      <c r="BK10" s="3591">
        <f>SUM(BG10:BJ10)</f>
        <v>610.10599999999999</v>
      </c>
      <c r="BL10" s="3589">
        <f>BL297</f>
        <v>158.398</v>
      </c>
      <c r="BM10" s="3589">
        <f>BM297</f>
        <v>154.93600000000001</v>
      </c>
      <c r="BN10" s="3589">
        <f>BN297</f>
        <v>148.87899999999999</v>
      </c>
      <c r="BO10" s="3592">
        <f>BO297</f>
        <v>185.654</v>
      </c>
      <c r="BP10" s="3591">
        <f>SUM(BL10:BO10)</f>
        <v>647.86699999999996</v>
      </c>
      <c r="BQ10" s="3589">
        <f>BQ297</f>
        <v>219.78100000000001</v>
      </c>
      <c r="BR10" s="3589">
        <f>BR297</f>
        <v>214.21600000000001</v>
      </c>
      <c r="BS10" s="3589">
        <f>BS297</f>
        <v>207.291</v>
      </c>
      <c r="BT10" s="3592">
        <f>BT297</f>
        <v>217.63300000000001</v>
      </c>
      <c r="BU10" s="3593">
        <f>SUM(BQ10:BT10)</f>
        <v>858.92100000000005</v>
      </c>
      <c r="BV10" s="3589">
        <f>BV297</f>
        <v>225.27552499999999</v>
      </c>
      <c r="BW10" s="3589">
        <f>BW297</f>
        <v>222.78464000000002</v>
      </c>
      <c r="BX10" s="3589">
        <f>BX297</f>
        <v>215.58264</v>
      </c>
      <c r="BY10" s="3592">
        <f>BY297</f>
        <v>226.33832000000001</v>
      </c>
      <c r="BZ10" s="3593">
        <f>SUM(BV10:BY10)</f>
        <v>889.98112500000002</v>
      </c>
      <c r="CA10" s="3590">
        <f t="shared" ref="CA10:CG10" si="4">CA297</f>
        <v>907.78074750000007</v>
      </c>
      <c r="CB10" s="3590">
        <f t="shared" si="4"/>
        <v>907.78074750000007</v>
      </c>
      <c r="CC10" s="966">
        <f t="shared" si="4"/>
        <v>862.39171012500003</v>
      </c>
      <c r="CD10" s="966">
        <f t="shared" si="4"/>
        <v>819.27212461875001</v>
      </c>
      <c r="CE10" s="966">
        <f t="shared" si="4"/>
        <v>835.65756711112499</v>
      </c>
      <c r="CF10" s="966">
        <f t="shared" si="4"/>
        <v>852.37071845334754</v>
      </c>
      <c r="CG10" s="966">
        <f t="shared" si="4"/>
        <v>869.41813282241446</v>
      </c>
      <c r="CH10" s="965"/>
      <c r="CI10" s="965"/>
      <c r="CJ10" s="965"/>
      <c r="CK10" s="965"/>
      <c r="CL10" s="965"/>
      <c r="CM10" s="965"/>
      <c r="CN10" s="965">
        <f>SUM(BV10:BY10)</f>
        <v>889.98112500000002</v>
      </c>
      <c r="CO10" s="965">
        <f>CM10-CN10</f>
        <v>-889.98112500000002</v>
      </c>
      <c r="CP10" s="1775" t="str">
        <f t="shared" si="2"/>
        <v xml:space="preserve">Las Vegas Locals </v>
      </c>
      <c r="CQ10" s="965">
        <f>H10</f>
        <v>524.548</v>
      </c>
      <c r="CR10" s="965">
        <f>M10</f>
        <v>936.62400000000002</v>
      </c>
      <c r="CS10" s="965">
        <f>R10</f>
        <v>962.63600000000008</v>
      </c>
      <c r="CT10" s="965">
        <f>W10</f>
        <v>848.16899999999998</v>
      </c>
      <c r="CU10" s="965">
        <f>AB10</f>
        <v>763.00199999999995</v>
      </c>
      <c r="CV10" s="965">
        <f>AG10</f>
        <v>641.94100000000003</v>
      </c>
      <c r="CW10" s="965">
        <f t="shared" ref="CW10:CW18" si="5">AL10</f>
        <v>607.36599999999999</v>
      </c>
      <c r="CX10" s="965">
        <f t="shared" ref="CX10:CX18" si="6">AQ10</f>
        <v>604.96600000000001</v>
      </c>
      <c r="CY10" s="965">
        <f t="shared" ref="CY10:CY18" si="7">AV10</f>
        <v>591.30600000000004</v>
      </c>
      <c r="CZ10" s="965">
        <f t="shared" ref="CZ10:CZ18" si="8">BA10</f>
        <v>591.447</v>
      </c>
      <c r="DA10" s="965">
        <f t="shared" ref="DA10:DA18" si="9">BF10</f>
        <v>592.65200000000004</v>
      </c>
      <c r="DB10" s="965">
        <f t="shared" ref="DB10:DB19" si="10">BK10</f>
        <v>610.10599999999999</v>
      </c>
      <c r="DC10" s="965">
        <f t="shared" ref="DC10:DC19" si="11">BP10</f>
        <v>647.86699999999996</v>
      </c>
      <c r="DD10" s="965">
        <f>BU10</f>
        <v>858.92100000000005</v>
      </c>
      <c r="DE10" s="965">
        <f t="shared" ref="DE10:DG13" si="12">BZ10</f>
        <v>889.98112500000002</v>
      </c>
      <c r="DF10" s="965">
        <f t="shared" si="12"/>
        <v>907.78074750000007</v>
      </c>
      <c r="DG10" s="1777">
        <f t="shared" si="12"/>
        <v>907.78074750000007</v>
      </c>
      <c r="DH10" s="965"/>
      <c r="DI10" s="311"/>
      <c r="DJ10" s="311"/>
      <c r="DK10" s="311"/>
      <c r="DL10" s="311"/>
      <c r="DM10" s="311"/>
      <c r="DN10" s="311"/>
      <c r="DO10" s="312"/>
      <c r="DY10" s="272"/>
      <c r="DZ10" s="272"/>
    </row>
    <row r="11" spans="1:130" ht="12.6" customHeight="1">
      <c r="A11" s="3594" t="s">
        <v>515</v>
      </c>
      <c r="B11" s="3595"/>
      <c r="C11" s="3595"/>
      <c r="D11" s="3596">
        <f>D339</f>
        <v>59.636000000000003</v>
      </c>
      <c r="E11" s="3597">
        <f>E339</f>
        <v>58.966999999999999</v>
      </c>
      <c r="F11" s="3597">
        <f>F339</f>
        <v>57.168999999999997</v>
      </c>
      <c r="G11" s="3597">
        <f>G339</f>
        <v>63.646000000000001</v>
      </c>
      <c r="H11" s="3598">
        <f>SUM(D11:G11)</f>
        <v>239.41800000000001</v>
      </c>
      <c r="I11" s="3597">
        <f>I339</f>
        <v>63.064999999999998</v>
      </c>
      <c r="J11" s="3597">
        <f>J339</f>
        <v>67.162000000000006</v>
      </c>
      <c r="K11" s="3597">
        <f>K339</f>
        <v>61.877000000000002</v>
      </c>
      <c r="L11" s="3597">
        <f>L339</f>
        <v>69.254999999999995</v>
      </c>
      <c r="M11" s="3598">
        <f>SUM(I11:L11)</f>
        <v>261.35900000000004</v>
      </c>
      <c r="N11" s="3597">
        <f>N339</f>
        <v>64.53</v>
      </c>
      <c r="O11" s="3597">
        <f>O339</f>
        <v>65.066999999999993</v>
      </c>
      <c r="P11" s="3597">
        <f>P339</f>
        <v>58.097999999999999</v>
      </c>
      <c r="Q11" s="3597">
        <f>Q339</f>
        <v>69.085999999999999</v>
      </c>
      <c r="R11" s="3598">
        <f>SUM(N11:Q11)</f>
        <v>256.78100000000001</v>
      </c>
      <c r="S11" s="3597">
        <f>S339</f>
        <v>63.832999999999998</v>
      </c>
      <c r="T11" s="3597">
        <f>T339</f>
        <v>64.983999999999995</v>
      </c>
      <c r="U11" s="3597">
        <f>U339</f>
        <v>59.329000000000001</v>
      </c>
      <c r="V11" s="3597">
        <f>V339</f>
        <v>66.897000000000006</v>
      </c>
      <c r="W11" s="3598">
        <f>SUM(S11:V11)</f>
        <v>255.04300000000001</v>
      </c>
      <c r="X11" s="3597">
        <f>X339</f>
        <v>60.929000000000002</v>
      </c>
      <c r="Y11" s="3597">
        <f>Y339</f>
        <v>62.97</v>
      </c>
      <c r="Z11" s="3597">
        <f>Z339</f>
        <v>55.578000000000003</v>
      </c>
      <c r="AA11" s="3597">
        <f>AA339</f>
        <v>60.755000000000003</v>
      </c>
      <c r="AB11" s="3598">
        <f>SUM(X11:AA11)</f>
        <v>240.232</v>
      </c>
      <c r="AC11" s="3597">
        <f>AC339</f>
        <v>58.664999999999999</v>
      </c>
      <c r="AD11" s="3597">
        <f>AD339</f>
        <v>57.576999999999998</v>
      </c>
      <c r="AE11" s="3597">
        <f>AE339</f>
        <v>54.856999999999999</v>
      </c>
      <c r="AF11" s="3597">
        <f>AF339</f>
        <v>58.048999999999999</v>
      </c>
      <c r="AG11" s="3598">
        <f>SUM(AC11:AF11)</f>
        <v>229.148</v>
      </c>
      <c r="AH11" s="3597">
        <f t="shared" ref="AH11:AP11" si="13">AH339</f>
        <v>54.006999999999998</v>
      </c>
      <c r="AI11" s="3597">
        <f t="shared" si="13"/>
        <v>55.183</v>
      </c>
      <c r="AJ11" s="3597">
        <f t="shared" si="13"/>
        <v>51.898000000000003</v>
      </c>
      <c r="AK11" s="3597">
        <f t="shared" si="13"/>
        <v>57.133000000000003</v>
      </c>
      <c r="AL11" s="3598">
        <f>SUM(AH11:AK11)</f>
        <v>218.221</v>
      </c>
      <c r="AM11" s="3597">
        <f t="shared" si="13"/>
        <v>55.665999999999997</v>
      </c>
      <c r="AN11" s="3597">
        <f t="shared" si="13"/>
        <v>56.585000000000001</v>
      </c>
      <c r="AO11" s="3597">
        <f t="shared" si="13"/>
        <v>53.326999999999998</v>
      </c>
      <c r="AP11" s="3597">
        <f t="shared" si="13"/>
        <v>58.670999999999999</v>
      </c>
      <c r="AQ11" s="3598">
        <f>SUM(AM11:AP11)</f>
        <v>224.249</v>
      </c>
      <c r="AR11" s="3597">
        <f>AR339</f>
        <v>57.008000000000003</v>
      </c>
      <c r="AS11" s="3597">
        <f>AS339</f>
        <v>55.939</v>
      </c>
      <c r="AT11" s="3597">
        <f>AT339</f>
        <v>53.546999999999997</v>
      </c>
      <c r="AU11" s="3597">
        <f>AU339</f>
        <v>57.683999999999997</v>
      </c>
      <c r="AV11" s="3598">
        <f t="shared" si="3"/>
        <v>224.178</v>
      </c>
      <c r="AW11" s="3597">
        <f>AW339</f>
        <v>54.082999999999998</v>
      </c>
      <c r="AX11" s="3597">
        <f>AX339</f>
        <v>56.128</v>
      </c>
      <c r="AY11" s="3597">
        <f>AY339</f>
        <v>52.673999999999999</v>
      </c>
      <c r="AZ11" s="3597">
        <f>AZ339</f>
        <v>59.831000000000003</v>
      </c>
      <c r="BA11" s="3598">
        <f>SUM(AW11:AZ11)</f>
        <v>222.71600000000001</v>
      </c>
      <c r="BB11" s="3597">
        <f>BB339</f>
        <v>55.732999999999997</v>
      </c>
      <c r="BC11" s="3597">
        <f>BC339</f>
        <v>55.552</v>
      </c>
      <c r="BD11" s="3597">
        <f>BD339</f>
        <v>53.378999999999998</v>
      </c>
      <c r="BE11" s="3597">
        <f>BE339</f>
        <v>59.610999999999997</v>
      </c>
      <c r="BF11" s="3598">
        <f>SUM(BB11:BE11)</f>
        <v>224.27499999999998</v>
      </c>
      <c r="BG11" s="3596">
        <f>BG339</f>
        <v>56.603000000000002</v>
      </c>
      <c r="BH11" s="3597">
        <f>BH339</f>
        <v>58.433999999999997</v>
      </c>
      <c r="BI11" s="3597">
        <f>BI339</f>
        <v>56.685000000000002</v>
      </c>
      <c r="BJ11" s="3599">
        <f>BJ339</f>
        <v>62.469000000000001</v>
      </c>
      <c r="BK11" s="3598">
        <f>SUM(BG11:BJ11)</f>
        <v>234.191</v>
      </c>
      <c r="BL11" s="3597">
        <f>BL339</f>
        <v>58.604999999999997</v>
      </c>
      <c r="BM11" s="3597">
        <f>BM339</f>
        <v>59.212000000000003</v>
      </c>
      <c r="BN11" s="3597">
        <f>BN339</f>
        <v>56.606000000000002</v>
      </c>
      <c r="BO11" s="3599">
        <f>BO339</f>
        <v>61.962000000000003</v>
      </c>
      <c r="BP11" s="3598">
        <f>SUM(BL11:BO11)</f>
        <v>236.38499999999999</v>
      </c>
      <c r="BQ11" s="3597">
        <f>BQ339</f>
        <v>60.744</v>
      </c>
      <c r="BR11" s="3597">
        <f>BR339</f>
        <v>59.561</v>
      </c>
      <c r="BS11" s="3597">
        <f>BS339</f>
        <v>58.832000000000001</v>
      </c>
      <c r="BT11" s="3599">
        <f>BT339</f>
        <v>64.406000000000006</v>
      </c>
      <c r="BU11" s="3600">
        <f>SUM(BQ11:BT11)</f>
        <v>243.54300000000001</v>
      </c>
      <c r="BV11" s="3597">
        <f>BV339</f>
        <v>62.262599999999992</v>
      </c>
      <c r="BW11" s="3597">
        <f>BW339</f>
        <v>61.645634999999999</v>
      </c>
      <c r="BX11" s="3597">
        <f>BX339</f>
        <v>60.302799999999998</v>
      </c>
      <c r="BY11" s="3599">
        <f>BY339</f>
        <v>66.016149999999996</v>
      </c>
      <c r="BZ11" s="3600">
        <f>SUM(BV11:BY11)</f>
        <v>250.22718499999996</v>
      </c>
      <c r="CA11" s="3598">
        <f t="shared" ref="CA11:CG11" si="14">CA339</f>
        <v>255.23172869999996</v>
      </c>
      <c r="CB11" s="3598">
        <f t="shared" si="14"/>
        <v>255.23172869999996</v>
      </c>
      <c r="CC11" s="1720">
        <f t="shared" si="14"/>
        <v>242.47014226499996</v>
      </c>
      <c r="CD11" s="1720">
        <f t="shared" si="14"/>
        <v>230.34663515174995</v>
      </c>
      <c r="CE11" s="1720">
        <f t="shared" si="14"/>
        <v>234.95356785478495</v>
      </c>
      <c r="CF11" s="1720">
        <f t="shared" si="14"/>
        <v>239.65263921188065</v>
      </c>
      <c r="CG11" s="1720">
        <f t="shared" si="14"/>
        <v>244.44569199611828</v>
      </c>
      <c r="CH11" s="273"/>
      <c r="CI11" s="273"/>
      <c r="CJ11" s="965"/>
      <c r="CK11" s="273"/>
      <c r="CL11" s="273"/>
      <c r="CM11" s="965"/>
      <c r="CN11" s="965">
        <f>SUM(BV11:BY11)</f>
        <v>250.22718499999996</v>
      </c>
      <c r="CO11" s="965">
        <f>CM11-CN11</f>
        <v>-250.22718499999996</v>
      </c>
      <c r="CP11" s="1778" t="str">
        <f t="shared" si="2"/>
        <v>Downtown LV</v>
      </c>
      <c r="CQ11" s="273">
        <f>H11</f>
        <v>239.41800000000001</v>
      </c>
      <c r="CR11" s="273">
        <f>M11</f>
        <v>261.35900000000004</v>
      </c>
      <c r="CS11" s="273">
        <f>R11</f>
        <v>256.78100000000001</v>
      </c>
      <c r="CT11" s="273">
        <f>W11</f>
        <v>255.04300000000001</v>
      </c>
      <c r="CU11" s="273">
        <f>AB11</f>
        <v>240.232</v>
      </c>
      <c r="CV11" s="273">
        <f>AG11</f>
        <v>229.148</v>
      </c>
      <c r="CW11" s="273">
        <f t="shared" si="5"/>
        <v>218.221</v>
      </c>
      <c r="CX11" s="273">
        <f t="shared" si="6"/>
        <v>224.249</v>
      </c>
      <c r="CY11" s="273">
        <f t="shared" si="7"/>
        <v>224.178</v>
      </c>
      <c r="CZ11" s="273">
        <f t="shared" si="8"/>
        <v>222.71600000000001</v>
      </c>
      <c r="DA11" s="273">
        <f t="shared" si="9"/>
        <v>224.27499999999998</v>
      </c>
      <c r="DB11" s="273">
        <f t="shared" si="10"/>
        <v>234.191</v>
      </c>
      <c r="DC11" s="273">
        <f t="shared" si="11"/>
        <v>236.38499999999999</v>
      </c>
      <c r="DD11" s="273">
        <f>BU11</f>
        <v>243.54300000000001</v>
      </c>
      <c r="DE11" s="273">
        <f t="shared" si="12"/>
        <v>250.22718499999996</v>
      </c>
      <c r="DF11" s="273">
        <f t="shared" si="12"/>
        <v>255.23172869999996</v>
      </c>
      <c r="DG11" s="1779">
        <f t="shared" si="12"/>
        <v>255.23172869999996</v>
      </c>
      <c r="DH11" s="273"/>
      <c r="DI11" s="319"/>
      <c r="DJ11" s="319"/>
      <c r="DK11" s="319"/>
      <c r="DL11" s="319"/>
      <c r="DM11" s="319"/>
      <c r="DN11" s="319"/>
      <c r="DO11" s="320"/>
      <c r="DY11" s="273"/>
      <c r="DZ11" s="273"/>
    </row>
    <row r="12" spans="1:130" ht="3.95" hidden="1" customHeight="1" outlineLevel="1">
      <c r="A12" s="3594"/>
      <c r="B12" s="3595"/>
      <c r="C12" s="3595"/>
      <c r="D12" s="3596"/>
      <c r="E12" s="3597"/>
      <c r="F12" s="3597"/>
      <c r="G12" s="3597"/>
      <c r="H12" s="3598"/>
      <c r="I12" s="3597"/>
      <c r="J12" s="3597"/>
      <c r="K12" s="3597"/>
      <c r="L12" s="3597"/>
      <c r="M12" s="3598"/>
      <c r="N12" s="3597"/>
      <c r="O12" s="3597"/>
      <c r="P12" s="3597"/>
      <c r="Q12" s="3597"/>
      <c r="R12" s="3598"/>
      <c r="S12" s="3597"/>
      <c r="T12" s="3597"/>
      <c r="U12" s="3597"/>
      <c r="V12" s="3597"/>
      <c r="W12" s="3598"/>
      <c r="X12" s="3597"/>
      <c r="Y12" s="3597"/>
      <c r="Z12" s="3597"/>
      <c r="AA12" s="3597"/>
      <c r="AB12" s="3598"/>
      <c r="AC12" s="3597"/>
      <c r="AD12" s="3597"/>
      <c r="AE12" s="3597"/>
      <c r="AF12" s="3597"/>
      <c r="AG12" s="3598"/>
      <c r="AH12" s="3597"/>
      <c r="AI12" s="3597"/>
      <c r="AJ12" s="3597"/>
      <c r="AK12" s="3597"/>
      <c r="AL12" s="3598"/>
      <c r="AM12" s="3597"/>
      <c r="AN12" s="3597"/>
      <c r="AO12" s="3597"/>
      <c r="AP12" s="3597"/>
      <c r="AQ12" s="3598"/>
      <c r="AR12" s="3597"/>
      <c r="AS12" s="3597"/>
      <c r="AT12" s="3597"/>
      <c r="AU12" s="3597"/>
      <c r="AV12" s="3598"/>
      <c r="AW12" s="3597"/>
      <c r="AX12" s="3597"/>
      <c r="AY12" s="3597"/>
      <c r="AZ12" s="3597"/>
      <c r="BA12" s="3598"/>
      <c r="BB12" s="3597"/>
      <c r="BC12" s="3597"/>
      <c r="BD12" s="3597"/>
      <c r="BE12" s="3597"/>
      <c r="BF12" s="3598"/>
      <c r="BG12" s="3596"/>
      <c r="BH12" s="3597"/>
      <c r="BI12" s="3597"/>
      <c r="BJ12" s="3599"/>
      <c r="BK12" s="3598"/>
      <c r="BL12" s="3597"/>
      <c r="BM12" s="3597"/>
      <c r="BN12" s="3597"/>
      <c r="BO12" s="3599"/>
      <c r="BP12" s="3598"/>
      <c r="BQ12" s="3597"/>
      <c r="BR12" s="3597"/>
      <c r="BS12" s="3597"/>
      <c r="BT12" s="3599"/>
      <c r="BU12" s="3600"/>
      <c r="BV12" s="3597"/>
      <c r="BW12" s="3597"/>
      <c r="BX12" s="3597"/>
      <c r="BY12" s="3599"/>
      <c r="BZ12" s="3598"/>
      <c r="CA12" s="3598"/>
      <c r="CB12" s="3598"/>
      <c r="CC12" s="1720"/>
      <c r="CD12" s="1720"/>
      <c r="CE12" s="1720"/>
      <c r="CF12" s="1720"/>
      <c r="CG12" s="1720"/>
      <c r="CH12" s="273"/>
      <c r="CI12" s="273"/>
      <c r="CJ12" s="273"/>
      <c r="CK12" s="273"/>
      <c r="CL12" s="273"/>
      <c r="CM12" s="273"/>
      <c r="CN12" s="273"/>
      <c r="CO12" s="273"/>
      <c r="CP12" s="1778"/>
      <c r="CQ12" s="273"/>
      <c r="CR12" s="273"/>
      <c r="CS12" s="273"/>
      <c r="CT12" s="273"/>
      <c r="CU12" s="273"/>
      <c r="CV12" s="273"/>
      <c r="CW12" s="273"/>
      <c r="CX12" s="273"/>
      <c r="CY12" s="273"/>
      <c r="CZ12" s="273"/>
      <c r="DA12" s="273"/>
      <c r="DB12" s="273"/>
      <c r="DC12" s="273"/>
      <c r="DD12" s="273"/>
      <c r="DE12" s="273"/>
      <c r="DF12" s="273"/>
      <c r="DG12" s="1779"/>
      <c r="DH12" s="273"/>
      <c r="DI12" s="319"/>
      <c r="DJ12" s="319"/>
      <c r="DK12" s="319"/>
      <c r="DL12" s="319"/>
      <c r="DM12" s="319"/>
      <c r="DN12" s="319"/>
      <c r="DO12" s="320"/>
      <c r="DY12" s="273"/>
      <c r="DZ12" s="273"/>
    </row>
    <row r="13" spans="1:130" ht="12.6" hidden="1" customHeight="1" outlineLevel="1">
      <c r="A13" s="3594" t="s">
        <v>516</v>
      </c>
      <c r="B13" s="3595"/>
      <c r="C13" s="3595"/>
      <c r="D13" s="3596">
        <f>D500</f>
        <v>184.48500000000001</v>
      </c>
      <c r="E13" s="3597">
        <f>E500</f>
        <v>200.464</v>
      </c>
      <c r="F13" s="3597">
        <f>F500</f>
        <v>224.584</v>
      </c>
      <c r="G13" s="3597">
        <f>G500</f>
        <v>209.006</v>
      </c>
      <c r="H13" s="3598">
        <f>SUM(D13:G13)</f>
        <v>818.53899999999999</v>
      </c>
      <c r="I13" s="3597">
        <f>I500</f>
        <v>225.09399999999999</v>
      </c>
      <c r="J13" s="3597">
        <f>J500</f>
        <v>220.25200000000001</v>
      </c>
      <c r="K13" s="3597">
        <f>K500</f>
        <v>208.929</v>
      </c>
      <c r="L13" s="3597">
        <f>L500</f>
        <v>212.18899999999999</v>
      </c>
      <c r="M13" s="3598">
        <f>SUM(I13:L13)</f>
        <v>866.46399999999994</v>
      </c>
      <c r="N13" s="3597">
        <f>N500</f>
        <v>262.005</v>
      </c>
      <c r="O13" s="3597">
        <f>O500</f>
        <v>245.911</v>
      </c>
      <c r="P13" s="3597">
        <f>P500</f>
        <v>241.108</v>
      </c>
      <c r="Q13" s="3597">
        <f>Q500</f>
        <v>222.86199999999999</v>
      </c>
      <c r="R13" s="3598">
        <f>SUM(N13:Q13)</f>
        <v>971.88599999999997</v>
      </c>
      <c r="S13" s="3597">
        <f>S500</f>
        <v>234.50899999999999</v>
      </c>
      <c r="T13" s="3597">
        <f>T500</f>
        <v>235.17400000000001</v>
      </c>
      <c r="U13" s="3597">
        <f>U500</f>
        <v>226.87700000000001</v>
      </c>
      <c r="V13" s="3597">
        <f>V500</f>
        <v>197.34700000000001</v>
      </c>
      <c r="W13" s="3598">
        <f>SUM(S13:V13)</f>
        <v>893.90699999999993</v>
      </c>
      <c r="X13" s="3597">
        <f>X500</f>
        <v>203.69499999999999</v>
      </c>
      <c r="Y13" s="3597">
        <f>Y500</f>
        <v>199.898</v>
      </c>
      <c r="Z13" s="3597">
        <f>Z500</f>
        <v>189.084</v>
      </c>
      <c r="AA13" s="3597">
        <f>AA500</f>
        <v>185.05600000000001</v>
      </c>
      <c r="AB13" s="3598">
        <f>SUM(X13:AA13)</f>
        <v>777.73299999999995</v>
      </c>
      <c r="AC13" s="3597">
        <f>AC500</f>
        <v>206.08099999999999</v>
      </c>
      <c r="AD13" s="3597">
        <f>AD500</f>
        <v>199.24600000000001</v>
      </c>
      <c r="AE13" s="3597">
        <f>AE500</f>
        <v>192.637</v>
      </c>
      <c r="AF13" s="3597">
        <f>AF500</f>
        <v>171.93299999999999</v>
      </c>
      <c r="AG13" s="3598">
        <f>SUM(AC13:AF13)</f>
        <v>769.89699999999993</v>
      </c>
      <c r="AH13" s="3601">
        <v>187.78</v>
      </c>
      <c r="AI13" s="3601">
        <f>AI500+1.574*0</f>
        <v>181.71899999999999</v>
      </c>
      <c r="AJ13" s="3597">
        <f>AJ500</f>
        <v>188.69499999999999</v>
      </c>
      <c r="AK13" s="3597">
        <f>AK500</f>
        <v>172.54599999999999</v>
      </c>
      <c r="AL13" s="3598">
        <f>SUM(AH13:AK13)</f>
        <v>730.74</v>
      </c>
      <c r="AM13" s="3597">
        <f>AM500</f>
        <v>184.13</v>
      </c>
      <c r="AN13" s="3597">
        <f>AN500</f>
        <v>181.751</v>
      </c>
      <c r="AO13" s="3597">
        <f>AO500</f>
        <v>187.90600000000001</v>
      </c>
      <c r="AP13" s="3597">
        <f>AP500</f>
        <v>217.56700000000001</v>
      </c>
      <c r="AQ13" s="3598">
        <f>SUM(AM13:AP13)</f>
        <v>771.35400000000004</v>
      </c>
      <c r="AR13" s="3597">
        <f>AR500</f>
        <v>243.72200000000001</v>
      </c>
      <c r="AS13" s="3597">
        <f>AS500</f>
        <v>233.72800000000001</v>
      </c>
      <c r="AT13" s="3597">
        <f>AT500</f>
        <v>232.965</v>
      </c>
      <c r="AU13" s="3597">
        <f>AU500</f>
        <v>213.773</v>
      </c>
      <c r="AV13" s="3598">
        <f t="shared" si="3"/>
        <v>924.1880000000001</v>
      </c>
      <c r="AW13" s="3597">
        <f>AW500</f>
        <v>229.11699999999999</v>
      </c>
      <c r="AX13" s="3597">
        <f>AX500</f>
        <v>224.273</v>
      </c>
      <c r="AY13" s="3597">
        <f>AY500</f>
        <v>214.83099999999999</v>
      </c>
      <c r="AZ13" s="3597">
        <f>AZ500</f>
        <v>196.02500000000001</v>
      </c>
      <c r="BA13" s="3598">
        <f>SUM(AW13:AZ13)</f>
        <v>864.24599999999998</v>
      </c>
      <c r="BB13" s="3597">
        <f>BB500</f>
        <v>211.636</v>
      </c>
      <c r="BC13" s="3597">
        <f>BC500</f>
        <v>209.10400000000001</v>
      </c>
      <c r="BD13" s="3597">
        <f>BD500</f>
        <v>210.732</v>
      </c>
      <c r="BE13" s="3597">
        <f>BE500</f>
        <v>200.005</v>
      </c>
      <c r="BF13" s="3598">
        <f>SUM(BB13:BE13)</f>
        <v>831.47699999999998</v>
      </c>
      <c r="BG13" s="3596">
        <f>BG500</f>
        <v>217.76400000000001</v>
      </c>
      <c r="BH13" s="3597">
        <f>BH500</f>
        <v>217.77699999999999</v>
      </c>
      <c r="BI13" s="3597">
        <f>BI500</f>
        <v>215.79900000000001</v>
      </c>
      <c r="BJ13" s="3599">
        <f>BJ500</f>
        <v>200.947</v>
      </c>
      <c r="BK13" s="3598">
        <f>SUM(BG13:BJ13)</f>
        <v>852.28700000000003</v>
      </c>
      <c r="BL13" s="3597">
        <f>BL500</f>
        <v>209.185</v>
      </c>
      <c r="BM13" s="3597">
        <f>BM500</f>
        <v>207.83699999999999</v>
      </c>
      <c r="BN13" s="3597"/>
      <c r="BO13" s="3599"/>
      <c r="BP13" s="3598"/>
      <c r="BQ13" s="3597"/>
      <c r="BR13" s="3597"/>
      <c r="BS13" s="3597"/>
      <c r="BT13" s="3599"/>
      <c r="BU13" s="3600"/>
      <c r="BV13" s="3597"/>
      <c r="BW13" s="3597"/>
      <c r="BX13" s="3597"/>
      <c r="BY13" s="3599"/>
      <c r="BZ13" s="3598"/>
      <c r="CA13" s="3598"/>
      <c r="CB13" s="3598"/>
      <c r="CC13" s="1720"/>
      <c r="CD13" s="1720"/>
      <c r="CE13" s="1720"/>
      <c r="CF13" s="1720"/>
      <c r="CG13" s="1720"/>
      <c r="CH13" s="274"/>
      <c r="CI13" s="274"/>
      <c r="CJ13" s="274"/>
      <c r="CK13" s="274"/>
      <c r="CL13" s="274"/>
      <c r="CM13" s="274"/>
      <c r="CN13" s="274"/>
      <c r="CO13" s="274"/>
      <c r="CP13" s="1778" t="str">
        <f t="shared" si="2"/>
        <v xml:space="preserve">Midwest &amp; South </v>
      </c>
      <c r="CQ13" s="273">
        <f>H13</f>
        <v>818.53899999999999</v>
      </c>
      <c r="CR13" s="273">
        <f>M13</f>
        <v>866.46399999999994</v>
      </c>
      <c r="CS13" s="273">
        <f>R13</f>
        <v>971.88599999999997</v>
      </c>
      <c r="CT13" s="273">
        <f>W13</f>
        <v>893.90699999999993</v>
      </c>
      <c r="CU13" s="273">
        <f>AB13</f>
        <v>777.73299999999995</v>
      </c>
      <c r="CV13" s="273">
        <f>AG13</f>
        <v>769.89699999999993</v>
      </c>
      <c r="CW13" s="273">
        <f t="shared" si="5"/>
        <v>730.74</v>
      </c>
      <c r="CX13" s="273">
        <f t="shared" si="6"/>
        <v>771.35400000000004</v>
      </c>
      <c r="CY13" s="273">
        <f t="shared" si="7"/>
        <v>924.1880000000001</v>
      </c>
      <c r="CZ13" s="273">
        <f t="shared" si="8"/>
        <v>864.24599999999998</v>
      </c>
      <c r="DA13" s="273">
        <f t="shared" si="9"/>
        <v>831.47699999999998</v>
      </c>
      <c r="DB13" s="273">
        <f t="shared" si="10"/>
        <v>852.28700000000003</v>
      </c>
      <c r="DC13" s="273">
        <f t="shared" si="11"/>
        <v>0</v>
      </c>
      <c r="DD13" s="273">
        <f>BU13</f>
        <v>0</v>
      </c>
      <c r="DE13" s="273">
        <f t="shared" si="12"/>
        <v>0</v>
      </c>
      <c r="DF13" s="273">
        <f t="shared" si="12"/>
        <v>0</v>
      </c>
      <c r="DG13" s="1779">
        <f t="shared" si="12"/>
        <v>0</v>
      </c>
      <c r="DH13" s="274"/>
      <c r="DI13" s="321"/>
      <c r="DJ13" s="321"/>
      <c r="DK13" s="321"/>
      <c r="DL13" s="321"/>
      <c r="DM13" s="321"/>
      <c r="DN13" s="321"/>
      <c r="DO13" s="322"/>
      <c r="DY13" s="273"/>
      <c r="DZ13" s="273"/>
    </row>
    <row r="14" spans="1:130" ht="12.6" hidden="1" customHeight="1" outlineLevel="1">
      <c r="A14" s="3594" t="s">
        <v>517</v>
      </c>
      <c r="B14" s="3595"/>
      <c r="C14" s="3595"/>
      <c r="D14" s="3596"/>
      <c r="E14" s="3597"/>
      <c r="F14" s="3597"/>
      <c r="G14" s="3597"/>
      <c r="H14" s="3598"/>
      <c r="I14" s="3597"/>
      <c r="J14" s="3597"/>
      <c r="K14" s="3597"/>
      <c r="L14" s="3597"/>
      <c r="M14" s="3598"/>
      <c r="N14" s="3597"/>
      <c r="O14" s="3597"/>
      <c r="P14" s="3597"/>
      <c r="Q14" s="3597"/>
      <c r="R14" s="3598"/>
      <c r="S14" s="3597"/>
      <c r="T14" s="3597"/>
      <c r="U14" s="3597"/>
      <c r="V14" s="3597"/>
      <c r="W14" s="3598"/>
      <c r="X14" s="3597"/>
      <c r="Y14" s="3597"/>
      <c r="Z14" s="3597"/>
      <c r="AA14" s="3597"/>
      <c r="AB14" s="3598"/>
      <c r="AC14" s="3597"/>
      <c r="AD14" s="3597"/>
      <c r="AE14" s="3597"/>
      <c r="AF14" s="3597"/>
      <c r="AG14" s="3598"/>
      <c r="AH14" s="3601"/>
      <c r="AI14" s="3601"/>
      <c r="AJ14" s="3597"/>
      <c r="AK14" s="3597"/>
      <c r="AL14" s="3598"/>
      <c r="AM14" s="3597"/>
      <c r="AN14" s="3597"/>
      <c r="AO14" s="3597"/>
      <c r="AP14" s="3597"/>
      <c r="AQ14" s="3598"/>
      <c r="AR14" s="3597"/>
      <c r="AS14" s="3597"/>
      <c r="AT14" s="3597"/>
      <c r="AU14" s="3601">
        <v>56.924999999999997</v>
      </c>
      <c r="AV14" s="3598">
        <f t="shared" si="3"/>
        <v>56.924999999999997</v>
      </c>
      <c r="AW14" s="3597">
        <f>+AW713</f>
        <v>133.91300000000001</v>
      </c>
      <c r="AX14" s="3597">
        <f>+AX713</f>
        <v>135.78</v>
      </c>
      <c r="AY14" s="3597">
        <f>+AY713</f>
        <v>130.72200000000001</v>
      </c>
      <c r="AZ14" s="3597">
        <f>+AZ713</f>
        <v>119.914</v>
      </c>
      <c r="BA14" s="3598">
        <f>SUM(AW14:AZ14)</f>
        <v>520.32899999999995</v>
      </c>
      <c r="BB14" s="3597">
        <f>+BB713</f>
        <v>122.273</v>
      </c>
      <c r="BC14" s="3597">
        <f>+BC713</f>
        <v>127.75400000000002</v>
      </c>
      <c r="BD14" s="3597">
        <f>+BD713</f>
        <v>123.578</v>
      </c>
      <c r="BE14" s="3597">
        <f>+BE713</f>
        <v>120.247</v>
      </c>
      <c r="BF14" s="3598">
        <f>SUM(BB14:BE14)</f>
        <v>493.85200000000003</v>
      </c>
      <c r="BG14" s="3596">
        <f>+BG713</f>
        <v>125.90900000000001</v>
      </c>
      <c r="BH14" s="3597">
        <f>+BH713</f>
        <v>130.62200000000001</v>
      </c>
      <c r="BI14" s="3597">
        <f>+BI713</f>
        <v>125.80700000000002</v>
      </c>
      <c r="BJ14" s="3599">
        <f>+BJ713</f>
        <v>120.508</v>
      </c>
      <c r="BK14" s="3598">
        <f>SUM(BG14:BJ14)</f>
        <v>502.846</v>
      </c>
      <c r="BL14" s="3597">
        <f>+BL713</f>
        <v>126.19</v>
      </c>
      <c r="BM14" s="3597">
        <f>+BM713</f>
        <v>122.88800000000001</v>
      </c>
      <c r="BN14" s="3597"/>
      <c r="BO14" s="3599"/>
      <c r="BP14" s="3598"/>
      <c r="BQ14" s="3597"/>
      <c r="BR14" s="3597"/>
      <c r="BS14" s="3597"/>
      <c r="BT14" s="3599"/>
      <c r="BU14" s="3600"/>
      <c r="BV14" s="3597"/>
      <c r="BW14" s="3597"/>
      <c r="BX14" s="3597"/>
      <c r="BY14" s="3599"/>
      <c r="BZ14" s="3598"/>
      <c r="CA14" s="3598"/>
      <c r="CB14" s="3598"/>
      <c r="CC14" s="1720"/>
      <c r="CD14" s="1720"/>
      <c r="CE14" s="1720"/>
      <c r="CF14" s="1720"/>
      <c r="CG14" s="1720"/>
      <c r="CH14" s="274"/>
      <c r="CI14" s="274"/>
      <c r="CJ14" s="274"/>
      <c r="CK14" s="274"/>
      <c r="CL14" s="274"/>
      <c r="CM14" s="274"/>
      <c r="CN14" s="274"/>
      <c r="CO14" s="274"/>
      <c r="CP14" s="1778" t="str">
        <f>A14</f>
        <v>Peninsula Gaming</v>
      </c>
      <c r="CQ14" s="273">
        <f>H14</f>
        <v>0</v>
      </c>
      <c r="CR14" s="273">
        <f>M14</f>
        <v>0</v>
      </c>
      <c r="CS14" s="273">
        <f>R14</f>
        <v>0</v>
      </c>
      <c r="CT14" s="273">
        <f>W14</f>
        <v>0</v>
      </c>
      <c r="CU14" s="273">
        <f>AB14</f>
        <v>0</v>
      </c>
      <c r="CV14" s="273">
        <f>AG14</f>
        <v>0</v>
      </c>
      <c r="CW14" s="273">
        <f t="shared" si="5"/>
        <v>0</v>
      </c>
      <c r="CX14" s="273">
        <f t="shared" si="6"/>
        <v>0</v>
      </c>
      <c r="CY14" s="273">
        <f t="shared" si="7"/>
        <v>56.924999999999997</v>
      </c>
      <c r="CZ14" s="273">
        <f t="shared" si="8"/>
        <v>520.32899999999995</v>
      </c>
      <c r="DA14" s="273">
        <f t="shared" si="9"/>
        <v>493.85200000000003</v>
      </c>
      <c r="DB14" s="273">
        <f t="shared" si="10"/>
        <v>502.846</v>
      </c>
      <c r="DC14" s="273">
        <f t="shared" si="11"/>
        <v>0</v>
      </c>
      <c r="DD14" s="273">
        <f>BU14</f>
        <v>0</v>
      </c>
      <c r="DE14" s="273">
        <f>BZ14</f>
        <v>0</v>
      </c>
      <c r="DF14" s="273">
        <f>CA14</f>
        <v>0</v>
      </c>
      <c r="DG14" s="1779">
        <f>CB14</f>
        <v>0</v>
      </c>
      <c r="DH14" s="274"/>
      <c r="DI14" s="321"/>
      <c r="DJ14" s="321"/>
      <c r="DK14" s="321"/>
      <c r="DL14" s="321"/>
      <c r="DM14" s="321"/>
      <c r="DN14" s="321"/>
      <c r="DO14" s="322"/>
      <c r="DY14" s="273"/>
      <c r="DZ14" s="273"/>
    </row>
    <row r="15" spans="1:130" ht="3.95" hidden="1" customHeight="1" outlineLevel="1">
      <c r="A15" s="3594"/>
      <c r="B15" s="3595"/>
      <c r="C15" s="3595"/>
      <c r="D15" s="3596"/>
      <c r="E15" s="3597"/>
      <c r="F15" s="3597"/>
      <c r="G15" s="3597"/>
      <c r="H15" s="3598"/>
      <c r="I15" s="3597"/>
      <c r="J15" s="3597"/>
      <c r="K15" s="3597"/>
      <c r="L15" s="3597"/>
      <c r="M15" s="3598"/>
      <c r="N15" s="3597"/>
      <c r="O15" s="3597"/>
      <c r="P15" s="3597"/>
      <c r="Q15" s="3597"/>
      <c r="R15" s="3598"/>
      <c r="S15" s="3597"/>
      <c r="T15" s="3597"/>
      <c r="U15" s="3597"/>
      <c r="V15" s="3597"/>
      <c r="W15" s="3598"/>
      <c r="X15" s="3597"/>
      <c r="Y15" s="3597"/>
      <c r="Z15" s="3597"/>
      <c r="AA15" s="3597"/>
      <c r="AB15" s="3598"/>
      <c r="AC15" s="3597"/>
      <c r="AD15" s="3597"/>
      <c r="AE15" s="3597"/>
      <c r="AF15" s="3597"/>
      <c r="AG15" s="3598"/>
      <c r="AH15" s="3601"/>
      <c r="AI15" s="3601"/>
      <c r="AJ15" s="3597"/>
      <c r="AK15" s="3597"/>
      <c r="AL15" s="3598"/>
      <c r="AM15" s="3597"/>
      <c r="AN15" s="3597"/>
      <c r="AO15" s="3597"/>
      <c r="AP15" s="3597"/>
      <c r="AQ15" s="3598"/>
      <c r="AR15" s="3597"/>
      <c r="AS15" s="3597"/>
      <c r="AT15" s="3597"/>
      <c r="AU15" s="3602" t="s">
        <v>1826</v>
      </c>
      <c r="AV15" s="3603" t="s">
        <v>1826</v>
      </c>
      <c r="AW15" s="3604" t="s">
        <v>1826</v>
      </c>
      <c r="AX15" s="3602" t="s">
        <v>1826</v>
      </c>
      <c r="AY15" s="3602" t="s">
        <v>1826</v>
      </c>
      <c r="AZ15" s="3602" t="s">
        <v>1826</v>
      </c>
      <c r="BA15" s="3603" t="s">
        <v>1826</v>
      </c>
      <c r="BB15" s="3602" t="s">
        <v>1826</v>
      </c>
      <c r="BC15" s="3602" t="s">
        <v>1826</v>
      </c>
      <c r="BD15" s="3602" t="s">
        <v>1826</v>
      </c>
      <c r="BE15" s="3602" t="s">
        <v>1826</v>
      </c>
      <c r="BF15" s="3603" t="s">
        <v>1826</v>
      </c>
      <c r="BG15" s="3605" t="s">
        <v>1826</v>
      </c>
      <c r="BH15" s="3602" t="s">
        <v>1826</v>
      </c>
      <c r="BI15" s="3602" t="s">
        <v>1826</v>
      </c>
      <c r="BJ15" s="3606" t="s">
        <v>1826</v>
      </c>
      <c r="BK15" s="3603" t="s">
        <v>1826</v>
      </c>
      <c r="BL15" s="3602" t="s">
        <v>1826</v>
      </c>
      <c r="BM15" s="3602" t="s">
        <v>1826</v>
      </c>
      <c r="BN15" s="3602"/>
      <c r="BO15" s="3606"/>
      <c r="BP15" s="3603"/>
      <c r="BQ15" s="3602"/>
      <c r="BR15" s="3602"/>
      <c r="BS15" s="3602"/>
      <c r="BT15" s="3606"/>
      <c r="BU15" s="3607"/>
      <c r="BV15" s="3602"/>
      <c r="BW15" s="3602"/>
      <c r="BX15" s="3602"/>
      <c r="BY15" s="3606"/>
      <c r="BZ15" s="3603"/>
      <c r="CA15" s="3603"/>
      <c r="CB15" s="3603"/>
      <c r="CC15" s="1720"/>
      <c r="CD15" s="1720"/>
      <c r="CE15" s="1720"/>
      <c r="CF15" s="1720"/>
      <c r="CG15" s="1720"/>
      <c r="CH15" s="274"/>
      <c r="CI15" s="274"/>
      <c r="CJ15" s="274"/>
      <c r="CK15" s="274"/>
      <c r="CL15" s="274"/>
      <c r="CM15" s="274"/>
      <c r="CN15" s="274"/>
      <c r="CO15" s="274"/>
      <c r="CP15" s="1778"/>
      <c r="CQ15" s="273"/>
      <c r="CR15" s="273"/>
      <c r="CS15" s="273"/>
      <c r="CT15" s="273"/>
      <c r="CU15" s="273"/>
      <c r="CV15" s="273"/>
      <c r="CW15" s="273"/>
      <c r="CX15" s="273"/>
      <c r="CY15" s="273"/>
      <c r="CZ15" s="273"/>
      <c r="DA15" s="273"/>
      <c r="DB15" s="273"/>
      <c r="DC15" s="273"/>
      <c r="DD15" s="273"/>
      <c r="DE15" s="273"/>
      <c r="DF15" s="273"/>
      <c r="DG15" s="1779"/>
      <c r="DH15" s="274"/>
      <c r="DI15" s="321"/>
      <c r="DJ15" s="321"/>
      <c r="DK15" s="321"/>
      <c r="DL15" s="321"/>
      <c r="DM15" s="321"/>
      <c r="DN15" s="321"/>
      <c r="DO15" s="322"/>
      <c r="DY15" s="273"/>
      <c r="DZ15" s="273"/>
    </row>
    <row r="16" spans="1:130" ht="12.6" customHeight="1" collapsed="1">
      <c r="A16" s="3608" t="s">
        <v>1925</v>
      </c>
      <c r="B16" s="3595"/>
      <c r="C16" s="3595"/>
      <c r="D16" s="3596"/>
      <c r="E16" s="3597"/>
      <c r="F16" s="3597"/>
      <c r="G16" s="3597"/>
      <c r="H16" s="3598"/>
      <c r="I16" s="3597"/>
      <c r="J16" s="3597"/>
      <c r="K16" s="3597"/>
      <c r="L16" s="3597"/>
      <c r="M16" s="3598"/>
      <c r="N16" s="3597"/>
      <c r="O16" s="3597"/>
      <c r="P16" s="3597"/>
      <c r="Q16" s="3597"/>
      <c r="R16" s="3598"/>
      <c r="S16" s="3597"/>
      <c r="T16" s="3597"/>
      <c r="U16" s="3597"/>
      <c r="V16" s="3597"/>
      <c r="W16" s="3598"/>
      <c r="X16" s="3597"/>
      <c r="Y16" s="3597"/>
      <c r="Z16" s="3597"/>
      <c r="AA16" s="3597"/>
      <c r="AB16" s="3598"/>
      <c r="AC16" s="3597"/>
      <c r="AD16" s="3597"/>
      <c r="AE16" s="3597"/>
      <c r="AF16" s="3597"/>
      <c r="AG16" s="3598"/>
      <c r="AH16" s="3601"/>
      <c r="AI16" s="3601"/>
      <c r="AJ16" s="3597"/>
      <c r="AK16" s="3597"/>
      <c r="AL16" s="3598"/>
      <c r="AM16" s="3597"/>
      <c r="AN16" s="3597"/>
      <c r="AO16" s="3597"/>
      <c r="AP16" s="3597"/>
      <c r="AQ16" s="3598"/>
      <c r="AR16" s="3597"/>
      <c r="AS16" s="3597"/>
      <c r="AT16" s="3597"/>
      <c r="AU16" s="3597">
        <f>+AU14+AU13</f>
        <v>270.69799999999998</v>
      </c>
      <c r="AV16" s="3598">
        <f>+AV14+AV13</f>
        <v>981.11300000000006</v>
      </c>
      <c r="AW16" s="3597">
        <f>+AW14+AW13</f>
        <v>363.03</v>
      </c>
      <c r="AX16" s="3597">
        <f t="shared" ref="AX16:BM16" si="15">+AX14+AX13</f>
        <v>360.053</v>
      </c>
      <c r="AY16" s="3597">
        <f t="shared" si="15"/>
        <v>345.553</v>
      </c>
      <c r="AZ16" s="3597">
        <f t="shared" si="15"/>
        <v>315.93900000000002</v>
      </c>
      <c r="BA16" s="3598">
        <f t="shared" si="15"/>
        <v>1384.5749999999998</v>
      </c>
      <c r="BB16" s="3597">
        <f t="shared" si="15"/>
        <v>333.90899999999999</v>
      </c>
      <c r="BC16" s="3597">
        <f t="shared" si="15"/>
        <v>336.85800000000006</v>
      </c>
      <c r="BD16" s="3597">
        <f t="shared" si="15"/>
        <v>334.31</v>
      </c>
      <c r="BE16" s="3597">
        <f t="shared" si="15"/>
        <v>320.25200000000001</v>
      </c>
      <c r="BF16" s="3598">
        <f t="shared" si="15"/>
        <v>1325.329</v>
      </c>
      <c r="BG16" s="3596">
        <f t="shared" si="15"/>
        <v>343.673</v>
      </c>
      <c r="BH16" s="3597">
        <f t="shared" si="15"/>
        <v>348.399</v>
      </c>
      <c r="BI16" s="3597">
        <f t="shared" si="15"/>
        <v>341.60599999999999</v>
      </c>
      <c r="BJ16" s="3599">
        <f t="shared" si="15"/>
        <v>321.45499999999998</v>
      </c>
      <c r="BK16" s="3598">
        <f t="shared" si="15"/>
        <v>1355.133</v>
      </c>
      <c r="BL16" s="3597">
        <f t="shared" si="15"/>
        <v>335.375</v>
      </c>
      <c r="BM16" s="3597">
        <f t="shared" si="15"/>
        <v>330.72500000000002</v>
      </c>
      <c r="BN16" s="3597">
        <f>+BN499</f>
        <v>326.416</v>
      </c>
      <c r="BO16" s="3597">
        <f>+BO499</f>
        <v>307.20699999999999</v>
      </c>
      <c r="BP16" s="3598">
        <f>SUM(BL16:BO16)</f>
        <v>1299.723</v>
      </c>
      <c r="BQ16" s="3597">
        <f t="shared" ref="BQ16:CG16" si="16">+BQ499</f>
        <v>324.81700000000001</v>
      </c>
      <c r="BR16" s="3597">
        <f t="shared" si="16"/>
        <v>326.09100000000001</v>
      </c>
      <c r="BS16" s="3597">
        <f>+BS499</f>
        <v>321.54199999999997</v>
      </c>
      <c r="BT16" s="3599">
        <f t="shared" si="16"/>
        <v>308.79300000000001</v>
      </c>
      <c r="BU16" s="3598">
        <f>SUM(BQ16:BT16)</f>
        <v>1281.2429999999999</v>
      </c>
      <c r="BV16" s="3597">
        <f t="shared" si="16"/>
        <v>322.23665741757986</v>
      </c>
      <c r="BW16" s="3597">
        <f t="shared" si="16"/>
        <v>322.30349139382247</v>
      </c>
      <c r="BX16" s="3597">
        <f t="shared" si="16"/>
        <v>520.89493015963308</v>
      </c>
      <c r="BY16" s="3599">
        <f t="shared" si="16"/>
        <v>505.73998984918143</v>
      </c>
      <c r="BZ16" s="3598">
        <f>SUM(BV16:BY16)</f>
        <v>1671.1750688202169</v>
      </c>
      <c r="CA16" s="3598">
        <f t="shared" si="16"/>
        <v>2082.8958374045824</v>
      </c>
      <c r="CB16" s="3598">
        <f t="shared" si="16"/>
        <v>2087.6878654061184</v>
      </c>
      <c r="CC16" s="1720">
        <f t="shared" si="16"/>
        <v>1215.6267431055801</v>
      </c>
      <c r="CD16" s="1720">
        <f t="shared" si="16"/>
        <v>1154.1504013924737</v>
      </c>
      <c r="CE16" s="1720">
        <f t="shared" si="16"/>
        <v>1177.5114112434542</v>
      </c>
      <c r="CF16" s="1720">
        <f t="shared" si="16"/>
        <v>1201.3396412914544</v>
      </c>
      <c r="CG16" s="1720">
        <f t="shared" si="16"/>
        <v>1225.6444359404143</v>
      </c>
      <c r="CH16" s="274"/>
      <c r="CI16" s="274"/>
      <c r="CJ16" s="965"/>
      <c r="CK16" s="274"/>
      <c r="CL16" s="274"/>
      <c r="CM16" s="965"/>
      <c r="CN16" s="965">
        <f>SUM(BV16:BY16)</f>
        <v>1671.1750688202169</v>
      </c>
      <c r="CO16" s="965">
        <f>CM16-CN16</f>
        <v>-1671.1750688202169</v>
      </c>
      <c r="CP16" s="1778"/>
      <c r="CQ16" s="273"/>
      <c r="CR16" s="273"/>
      <c r="CS16" s="273"/>
      <c r="CT16" s="273"/>
      <c r="CU16" s="273"/>
      <c r="CV16" s="273"/>
      <c r="CW16" s="273"/>
      <c r="CX16" s="273"/>
      <c r="CY16" s="273"/>
      <c r="CZ16" s="273"/>
      <c r="DA16" s="273"/>
      <c r="DB16" s="273"/>
      <c r="DC16" s="273"/>
      <c r="DD16" s="273"/>
      <c r="DE16" s="273"/>
      <c r="DF16" s="273"/>
      <c r="DG16" s="1779"/>
      <c r="DH16" s="274"/>
      <c r="DI16" s="321"/>
      <c r="DJ16" s="321"/>
      <c r="DK16" s="321"/>
      <c r="DL16" s="321"/>
      <c r="DM16" s="321"/>
      <c r="DN16" s="321"/>
      <c r="DO16" s="322"/>
      <c r="DY16" s="273"/>
      <c r="DZ16" s="273"/>
    </row>
    <row r="17" spans="1:130" ht="12.6" hidden="1" customHeight="1" outlineLevel="1">
      <c r="A17" s="2698" t="s">
        <v>1774</v>
      </c>
      <c r="B17" s="314"/>
      <c r="C17" s="314"/>
      <c r="D17" s="1719"/>
      <c r="E17" s="273"/>
      <c r="F17" s="273"/>
      <c r="G17" s="273"/>
      <c r="H17" s="1720"/>
      <c r="I17" s="273"/>
      <c r="J17" s="273"/>
      <c r="K17" s="273"/>
      <c r="L17" s="273"/>
      <c r="M17" s="1720"/>
      <c r="N17" s="273"/>
      <c r="O17" s="273"/>
      <c r="P17" s="273"/>
      <c r="Q17" s="273"/>
      <c r="R17" s="1720"/>
      <c r="S17" s="273"/>
      <c r="T17" s="273"/>
      <c r="U17" s="273"/>
      <c r="V17" s="273"/>
      <c r="W17" s="1720"/>
      <c r="X17" s="273"/>
      <c r="Y17" s="273"/>
      <c r="Z17" s="273"/>
      <c r="AA17" s="273"/>
      <c r="AB17" s="1720"/>
      <c r="AC17" s="273"/>
      <c r="AD17" s="273"/>
      <c r="AE17" s="273"/>
      <c r="AF17" s="273"/>
      <c r="AG17" s="1720"/>
      <c r="AH17" s="684">
        <v>16.8</v>
      </c>
      <c r="AI17" s="273">
        <f>AI906</f>
        <v>186.892</v>
      </c>
      <c r="AJ17" s="273">
        <f t="shared" ref="AJ17:AO17" si="17">AJ906</f>
        <v>207.68700000000001</v>
      </c>
      <c r="AK17" s="273">
        <f t="shared" si="17"/>
        <v>168.786</v>
      </c>
      <c r="AL17" s="1720">
        <f>SUM(AH17:AK17)</f>
        <v>580.16499999999996</v>
      </c>
      <c r="AM17" s="273">
        <f t="shared" si="17"/>
        <v>169.09</v>
      </c>
      <c r="AN17" s="273">
        <f t="shared" si="17"/>
        <v>182.756</v>
      </c>
      <c r="AO17" s="273">
        <f t="shared" si="17"/>
        <v>202.018</v>
      </c>
      <c r="AP17" s="273">
        <f>AP906</f>
        <v>176.41</v>
      </c>
      <c r="AQ17" s="1720">
        <f>SUM(AM17:AP17)</f>
        <v>730.274</v>
      </c>
      <c r="AR17" s="273">
        <f>AR906</f>
        <v>176.15</v>
      </c>
      <c r="AS17" s="273">
        <f>AS906</f>
        <v>175.416</v>
      </c>
      <c r="AT17" s="273">
        <f>AT906</f>
        <v>187.09100000000001</v>
      </c>
      <c r="AU17" s="273">
        <f>AU906</f>
        <v>147.565</v>
      </c>
      <c r="AV17" s="1720">
        <f t="shared" si="3"/>
        <v>686.22199999999998</v>
      </c>
      <c r="AW17" s="273"/>
      <c r="AX17" s="273"/>
      <c r="AY17" s="273"/>
      <c r="AZ17" s="273"/>
      <c r="BA17" s="1720"/>
      <c r="BB17" s="273"/>
      <c r="BC17" s="273"/>
      <c r="BD17" s="273"/>
      <c r="BE17" s="273"/>
      <c r="BF17" s="1720"/>
      <c r="BG17" s="1719"/>
      <c r="BH17" s="273"/>
      <c r="BI17" s="273"/>
      <c r="BJ17" s="1779"/>
      <c r="BK17" s="1720"/>
      <c r="BL17" s="273"/>
      <c r="BM17" s="273"/>
      <c r="BN17" s="273"/>
      <c r="BO17" s="1779"/>
      <c r="BP17" s="1720"/>
      <c r="BQ17" s="273"/>
      <c r="BR17" s="273"/>
      <c r="BS17" s="273"/>
      <c r="BT17" s="1779"/>
      <c r="BU17" s="3312"/>
      <c r="BV17" s="273"/>
      <c r="BW17" s="273"/>
      <c r="BX17" s="273"/>
      <c r="BY17" s="1779"/>
      <c r="BZ17" s="1720"/>
      <c r="CA17" s="1720"/>
      <c r="CB17" s="1720"/>
      <c r="CC17" s="1720"/>
      <c r="CD17" s="1720"/>
      <c r="CE17" s="1720"/>
      <c r="CF17" s="1720"/>
      <c r="CG17" s="1720"/>
      <c r="CH17" s="274"/>
      <c r="CI17" s="274"/>
      <c r="CJ17" s="274"/>
      <c r="CK17" s="274"/>
      <c r="CL17" s="274"/>
      <c r="CM17" s="274"/>
      <c r="CN17" s="274"/>
      <c r="CO17" s="274"/>
      <c r="CP17" s="1778" t="str">
        <f t="shared" si="2"/>
        <v>Borgata (ex. Online Gaming)</v>
      </c>
      <c r="CQ17" s="273"/>
      <c r="CR17" s="273"/>
      <c r="CS17" s="273"/>
      <c r="CT17" s="273"/>
      <c r="CU17" s="273"/>
      <c r="CV17" s="273"/>
      <c r="CW17" s="273">
        <f t="shared" si="5"/>
        <v>580.16499999999996</v>
      </c>
      <c r="CX17" s="273">
        <f t="shared" si="6"/>
        <v>730.274</v>
      </c>
      <c r="CY17" s="273">
        <f t="shared" si="7"/>
        <v>686.22199999999998</v>
      </c>
      <c r="CZ17" s="273">
        <f t="shared" si="8"/>
        <v>0</v>
      </c>
      <c r="DA17" s="273">
        <f t="shared" si="9"/>
        <v>0</v>
      </c>
      <c r="DB17" s="273">
        <f t="shared" si="10"/>
        <v>0</v>
      </c>
      <c r="DC17" s="273">
        <f t="shared" si="11"/>
        <v>0</v>
      </c>
      <c r="DD17" s="273">
        <f>BU17</f>
        <v>0</v>
      </c>
      <c r="DE17" s="273">
        <f t="shared" ref="DE17:DG19" si="18">BZ17</f>
        <v>0</v>
      </c>
      <c r="DF17" s="273">
        <f t="shared" si="18"/>
        <v>0</v>
      </c>
      <c r="DG17" s="1779">
        <f t="shared" si="18"/>
        <v>0</v>
      </c>
      <c r="DH17" s="274"/>
      <c r="DI17" s="321"/>
      <c r="DJ17" s="321"/>
      <c r="DK17" s="321"/>
      <c r="DL17" s="321"/>
      <c r="DM17" s="321"/>
      <c r="DN17" s="321"/>
      <c r="DO17" s="322"/>
      <c r="DY17" s="273"/>
      <c r="DZ17" s="273"/>
    </row>
    <row r="18" spans="1:130" ht="12.6" hidden="1" customHeight="1" outlineLevel="1">
      <c r="A18" s="2698" t="s">
        <v>305</v>
      </c>
      <c r="B18" s="314"/>
      <c r="C18" s="314"/>
      <c r="D18" s="1719"/>
      <c r="E18" s="273"/>
      <c r="F18" s="273"/>
      <c r="G18" s="273"/>
      <c r="H18" s="1720"/>
      <c r="I18" s="273"/>
      <c r="J18" s="273"/>
      <c r="K18" s="273"/>
      <c r="L18" s="273"/>
      <c r="M18" s="1720"/>
      <c r="N18" s="273"/>
      <c r="O18" s="273"/>
      <c r="P18" s="273"/>
      <c r="Q18" s="273"/>
      <c r="R18" s="1720"/>
      <c r="S18" s="273"/>
      <c r="T18" s="273"/>
      <c r="U18" s="273"/>
      <c r="V18" s="273"/>
      <c r="W18" s="1720"/>
      <c r="X18" s="273"/>
      <c r="Y18" s="273"/>
      <c r="Z18" s="273"/>
      <c r="AA18" s="273"/>
      <c r="AB18" s="1720"/>
      <c r="AC18" s="273"/>
      <c r="AD18" s="273"/>
      <c r="AE18" s="273"/>
      <c r="AF18" s="273"/>
      <c r="AG18" s="1720"/>
      <c r="AH18" s="684"/>
      <c r="AI18" s="273"/>
      <c r="AJ18" s="273"/>
      <c r="AK18" s="273"/>
      <c r="AL18" s="1720"/>
      <c r="AM18" s="273"/>
      <c r="AN18" s="273"/>
      <c r="AO18" s="273"/>
      <c r="AP18" s="273"/>
      <c r="AQ18" s="1720"/>
      <c r="AR18" s="273"/>
      <c r="AS18" s="273"/>
      <c r="AT18" s="273"/>
      <c r="AU18" s="273"/>
      <c r="AV18" s="1720"/>
      <c r="AW18" s="273"/>
      <c r="AX18" s="273"/>
      <c r="AY18" s="273"/>
      <c r="AZ18" s="273"/>
      <c r="BA18" s="1720"/>
      <c r="BB18" s="273"/>
      <c r="BC18" s="273"/>
      <c r="BD18" s="273"/>
      <c r="BE18" s="273"/>
      <c r="BF18" s="1720"/>
      <c r="BG18" s="1719"/>
      <c r="BH18" s="273"/>
      <c r="BI18" s="273"/>
      <c r="BJ18" s="1779"/>
      <c r="BK18" s="1720"/>
      <c r="BL18" s="273"/>
      <c r="BM18" s="273"/>
      <c r="BN18" s="273"/>
      <c r="BO18" s="1779"/>
      <c r="BP18" s="1720"/>
      <c r="BQ18" s="273"/>
      <c r="BR18" s="273"/>
      <c r="BS18" s="273"/>
      <c r="BT18" s="1779"/>
      <c r="BU18" s="3312"/>
      <c r="BV18" s="273"/>
      <c r="BW18" s="273"/>
      <c r="BX18" s="273"/>
      <c r="BY18" s="1779"/>
      <c r="BZ18" s="1720"/>
      <c r="CA18" s="1720"/>
      <c r="CB18" s="1720"/>
      <c r="CC18" s="1720"/>
      <c r="CD18" s="1720"/>
      <c r="CE18" s="1720"/>
      <c r="CF18" s="1720"/>
      <c r="CG18" s="1720"/>
      <c r="CH18" s="274"/>
      <c r="CI18" s="274"/>
      <c r="CJ18" s="274"/>
      <c r="CK18" s="274"/>
      <c r="CL18" s="274"/>
      <c r="CM18" s="274"/>
      <c r="CN18" s="274"/>
      <c r="CO18" s="274"/>
      <c r="CP18" s="1778" t="str">
        <f>A18</f>
        <v>Online Gaming (Borgata)</v>
      </c>
      <c r="CQ18" s="273"/>
      <c r="CR18" s="273"/>
      <c r="CS18" s="273"/>
      <c r="CT18" s="273"/>
      <c r="CU18" s="273"/>
      <c r="CV18" s="273"/>
      <c r="CW18" s="273">
        <f t="shared" si="5"/>
        <v>0</v>
      </c>
      <c r="CX18" s="273">
        <f t="shared" si="6"/>
        <v>0</v>
      </c>
      <c r="CY18" s="273">
        <f t="shared" si="7"/>
        <v>0</v>
      </c>
      <c r="CZ18" s="273">
        <f t="shared" si="8"/>
        <v>0</v>
      </c>
      <c r="DA18" s="273">
        <f t="shared" si="9"/>
        <v>0</v>
      </c>
      <c r="DB18" s="273">
        <f t="shared" si="10"/>
        <v>0</v>
      </c>
      <c r="DC18" s="273">
        <f t="shared" si="11"/>
        <v>0</v>
      </c>
      <c r="DD18" s="273">
        <f>BU18</f>
        <v>0</v>
      </c>
      <c r="DE18" s="273">
        <f t="shared" si="18"/>
        <v>0</v>
      </c>
      <c r="DF18" s="273">
        <f t="shared" si="18"/>
        <v>0</v>
      </c>
      <c r="DG18" s="1779">
        <f t="shared" si="18"/>
        <v>0</v>
      </c>
      <c r="DH18" s="274"/>
      <c r="DI18" s="321"/>
      <c r="DJ18" s="321"/>
      <c r="DK18" s="321"/>
      <c r="DL18" s="321"/>
      <c r="DM18" s="321"/>
      <c r="DN18" s="321"/>
      <c r="DO18" s="322"/>
      <c r="DY18" s="273"/>
      <c r="DZ18" s="273"/>
    </row>
    <row r="19" spans="1:130" s="2252" customFormat="1" ht="12.6" hidden="1" customHeight="1" outlineLevel="1" collapsed="1">
      <c r="A19" s="3089" t="s">
        <v>306</v>
      </c>
      <c r="B19" s="314"/>
      <c r="C19" s="314"/>
      <c r="D19" s="1719"/>
      <c r="E19" s="273"/>
      <c r="F19" s="273"/>
      <c r="G19" s="273"/>
      <c r="H19" s="1720"/>
      <c r="I19" s="273"/>
      <c r="J19" s="273"/>
      <c r="K19" s="273"/>
      <c r="L19" s="273"/>
      <c r="M19" s="1720"/>
      <c r="N19" s="273"/>
      <c r="O19" s="273"/>
      <c r="P19" s="273"/>
      <c r="Q19" s="273"/>
      <c r="R19" s="1720"/>
      <c r="S19" s="273"/>
      <c r="T19" s="273"/>
      <c r="U19" s="273"/>
      <c r="V19" s="273"/>
      <c r="W19" s="1720"/>
      <c r="X19" s="273"/>
      <c r="Y19" s="273"/>
      <c r="Z19" s="273"/>
      <c r="AA19" s="273"/>
      <c r="AB19" s="1720"/>
      <c r="AC19" s="273"/>
      <c r="AD19" s="273"/>
      <c r="AE19" s="273"/>
      <c r="AF19" s="273"/>
      <c r="AG19" s="1720"/>
      <c r="AH19" s="684"/>
      <c r="AI19" s="273"/>
      <c r="AJ19" s="273"/>
      <c r="AK19" s="273"/>
      <c r="AL19" s="1720"/>
      <c r="AM19" s="273"/>
      <c r="AN19" s="273"/>
      <c r="AO19" s="273"/>
      <c r="AP19" s="273"/>
      <c r="AQ19" s="1720"/>
      <c r="AR19" s="273"/>
      <c r="AS19" s="273"/>
      <c r="AT19" s="273"/>
      <c r="AU19" s="273"/>
      <c r="AV19" s="1720"/>
      <c r="AW19" s="273"/>
      <c r="AX19" s="273"/>
      <c r="AY19" s="273"/>
      <c r="AZ19" s="273"/>
      <c r="BA19" s="1720"/>
      <c r="BB19" s="273"/>
      <c r="BC19" s="273"/>
      <c r="BD19" s="273"/>
      <c r="BE19" s="273"/>
      <c r="BF19" s="1720"/>
      <c r="BG19" s="1719"/>
      <c r="BH19" s="273"/>
      <c r="BI19" s="273"/>
      <c r="BJ19" s="1779"/>
      <c r="BK19" s="1720"/>
      <c r="BL19" s="273"/>
      <c r="BM19" s="273"/>
      <c r="BN19" s="273"/>
      <c r="BO19" s="1779"/>
      <c r="BP19" s="1720"/>
      <c r="BQ19" s="273"/>
      <c r="BR19" s="273"/>
      <c r="BS19" s="273"/>
      <c r="BT19" s="1779"/>
      <c r="BU19" s="3312"/>
      <c r="BV19" s="273"/>
      <c r="BW19" s="273"/>
      <c r="BX19" s="273"/>
      <c r="BY19" s="1779"/>
      <c r="BZ19" s="1720"/>
      <c r="CA19" s="1720"/>
      <c r="CB19" s="1720"/>
      <c r="CC19" s="1720">
        <f>+CC828</f>
        <v>103.24048820703479</v>
      </c>
      <c r="CD19" s="1720">
        <f>+CD828</f>
        <v>98.078463796683039</v>
      </c>
      <c r="CE19" s="1720">
        <f>+CE828</f>
        <v>100.04003307261671</v>
      </c>
      <c r="CF19" s="1720">
        <f>+CF828</f>
        <v>102.04083373406904</v>
      </c>
      <c r="CG19" s="1720">
        <f>+CG828</f>
        <v>104.08165040875041</v>
      </c>
      <c r="CH19" s="274"/>
      <c r="CI19" s="274"/>
      <c r="CJ19" s="274"/>
      <c r="CK19" s="274"/>
      <c r="CL19" s="274"/>
      <c r="CM19" s="274"/>
      <c r="CN19" s="274"/>
      <c r="CO19" s="274"/>
      <c r="CP19" s="3091"/>
      <c r="CQ19" s="273"/>
      <c r="CR19" s="273"/>
      <c r="CS19" s="273"/>
      <c r="CT19" s="273"/>
      <c r="CU19" s="273"/>
      <c r="CV19" s="273"/>
      <c r="CW19" s="273"/>
      <c r="CX19" s="273"/>
      <c r="CY19" s="273"/>
      <c r="CZ19" s="273"/>
      <c r="DA19" s="273"/>
      <c r="DB19" s="273">
        <f t="shared" si="10"/>
        <v>0</v>
      </c>
      <c r="DC19" s="273">
        <f t="shared" si="11"/>
        <v>0</v>
      </c>
      <c r="DD19" s="273">
        <f>BU19</f>
        <v>0</v>
      </c>
      <c r="DE19" s="273">
        <f t="shared" si="18"/>
        <v>0</v>
      </c>
      <c r="DF19" s="273">
        <f t="shared" si="18"/>
        <v>0</v>
      </c>
      <c r="DG19" s="1779">
        <f t="shared" si="18"/>
        <v>0</v>
      </c>
      <c r="DH19" s="274"/>
      <c r="DI19" s="321"/>
      <c r="DJ19" s="321"/>
      <c r="DK19" s="321"/>
      <c r="DL19" s="321"/>
      <c r="DM19" s="321"/>
      <c r="DN19" s="321"/>
      <c r="DO19" s="205"/>
      <c r="DP19"/>
      <c r="DQ19"/>
      <c r="DR19"/>
      <c r="DS19"/>
      <c r="DT19"/>
      <c r="DU19"/>
      <c r="DY19" s="273"/>
      <c r="DZ19" s="273"/>
    </row>
    <row r="20" spans="1:130" ht="12.6" hidden="1" customHeight="1" outlineLevel="1">
      <c r="A20" s="1778" t="s">
        <v>1790</v>
      </c>
      <c r="B20" s="314"/>
      <c r="C20" s="314"/>
      <c r="D20" s="1719"/>
      <c r="E20" s="273"/>
      <c r="F20" s="273"/>
      <c r="G20" s="273"/>
      <c r="H20" s="1720"/>
      <c r="I20" s="273"/>
      <c r="J20" s="273"/>
      <c r="K20" s="273"/>
      <c r="L20" s="273"/>
      <c r="M20" s="1720"/>
      <c r="N20" s="273"/>
      <c r="O20" s="273"/>
      <c r="P20" s="273"/>
      <c r="Q20" s="273"/>
      <c r="R20" s="1720"/>
      <c r="S20" s="273"/>
      <c r="T20" s="273"/>
      <c r="U20" s="273"/>
      <c r="V20" s="273"/>
      <c r="W20" s="1720"/>
      <c r="X20" s="273"/>
      <c r="Y20" s="273"/>
      <c r="Z20" s="273"/>
      <c r="AA20" s="273"/>
      <c r="AB20" s="1720"/>
      <c r="AC20" s="273"/>
      <c r="AD20" s="273"/>
      <c r="AE20" s="273"/>
      <c r="AF20" s="273"/>
      <c r="AG20" s="1720"/>
      <c r="AH20" s="684"/>
      <c r="AI20" s="273"/>
      <c r="AJ20" s="273"/>
      <c r="AK20" s="684"/>
      <c r="AL20" s="1720"/>
      <c r="AM20" s="684"/>
      <c r="AN20" s="684"/>
      <c r="AO20" s="684"/>
      <c r="AP20" s="684"/>
      <c r="AQ20" s="1720"/>
      <c r="AR20" s="684"/>
      <c r="AS20" s="273"/>
      <c r="AT20" s="273"/>
      <c r="AU20" s="273"/>
      <c r="AV20" s="1720"/>
      <c r="AW20" s="273"/>
      <c r="AX20" s="273"/>
      <c r="AY20" s="273"/>
      <c r="AZ20" s="273"/>
      <c r="BA20" s="1720"/>
      <c r="BB20" s="273"/>
      <c r="BC20" s="273"/>
      <c r="BD20" s="273"/>
      <c r="BE20" s="273"/>
      <c r="BF20" s="1720"/>
      <c r="BG20" s="1719"/>
      <c r="BH20" s="273"/>
      <c r="BI20" s="273"/>
      <c r="BJ20" s="1779"/>
      <c r="BK20" s="1720"/>
      <c r="BL20" s="273"/>
      <c r="BM20" s="273"/>
      <c r="BN20" s="273"/>
      <c r="BO20" s="1779"/>
      <c r="BP20" s="1720"/>
      <c r="BQ20" s="273"/>
      <c r="BR20" s="273"/>
      <c r="BS20" s="273"/>
      <c r="BT20" s="1779"/>
      <c r="BU20" s="3312"/>
      <c r="BV20" s="273"/>
      <c r="BW20" s="273"/>
      <c r="BX20" s="273"/>
      <c r="BY20" s="1779"/>
      <c r="BZ20" s="1720"/>
      <c r="CA20" s="1720"/>
      <c r="CB20" s="1720"/>
      <c r="CC20" s="1720"/>
      <c r="CD20" s="1720"/>
      <c r="CE20" s="1720"/>
      <c r="CF20" s="1720"/>
      <c r="CG20" s="1720"/>
      <c r="CH20" s="274"/>
      <c r="CI20" s="274"/>
      <c r="CJ20" s="274"/>
      <c r="CK20" s="274"/>
      <c r="CL20" s="274"/>
      <c r="CM20" s="274"/>
      <c r="CN20" s="274"/>
      <c r="CO20" s="274"/>
      <c r="CP20" s="1778" t="str">
        <f t="shared" si="2"/>
        <v>Other</v>
      </c>
      <c r="CQ20" s="273"/>
      <c r="CR20" s="273"/>
      <c r="CS20" s="273"/>
      <c r="CT20" s="273"/>
      <c r="CU20" s="273"/>
      <c r="CV20" s="273"/>
      <c r="CW20" s="273"/>
      <c r="CX20" s="273"/>
      <c r="CY20" s="273"/>
      <c r="CZ20" s="273"/>
      <c r="DA20" s="273"/>
      <c r="DB20" s="273"/>
      <c r="DC20" s="273"/>
      <c r="DD20" s="273"/>
      <c r="DE20" s="273"/>
      <c r="DF20" s="273"/>
      <c r="DG20" s="1779"/>
      <c r="DH20" s="274"/>
      <c r="DI20" s="321"/>
      <c r="DJ20" s="321"/>
      <c r="DK20" s="321"/>
      <c r="DL20" s="321"/>
      <c r="DM20" s="321"/>
      <c r="DN20" s="321"/>
      <c r="DO20" s="322"/>
      <c r="DY20" s="273"/>
      <c r="DZ20" s="273"/>
    </row>
    <row r="21" spans="1:130" ht="12.6" customHeight="1" collapsed="1">
      <c r="A21" s="1011" t="s">
        <v>22</v>
      </c>
      <c r="B21" s="1015"/>
      <c r="C21" s="1015"/>
      <c r="D21" s="1721">
        <f>SUM(D9:D13)</f>
        <v>330.03800000000001</v>
      </c>
      <c r="E21" s="1722">
        <f>SUM(E9:E13)</f>
        <v>341.89499999999998</v>
      </c>
      <c r="F21" s="1722">
        <f>SUM(F9:F13)</f>
        <v>522.49299999999994</v>
      </c>
      <c r="G21" s="1722">
        <f>SUM(G9:G13)</f>
        <v>539.63200000000006</v>
      </c>
      <c r="H21" s="1723">
        <f>SUM(D21:G21)</f>
        <v>1734.058</v>
      </c>
      <c r="I21" s="1722">
        <f>SUM(I9:I13)</f>
        <v>566.89</v>
      </c>
      <c r="J21" s="1722">
        <f>SUM(J9:J13)</f>
        <v>554.25</v>
      </c>
      <c r="K21" s="1722">
        <f>SUM(K9:K13)</f>
        <v>536.51400000000001</v>
      </c>
      <c r="L21" s="1722">
        <f>SUM(L9:L13)</f>
        <v>565.36599999999999</v>
      </c>
      <c r="M21" s="1723">
        <f>SUM(I21:L21)</f>
        <v>2223.02</v>
      </c>
      <c r="N21" s="1722">
        <f>SUM(N9:N13)</f>
        <v>646.47299999999996</v>
      </c>
      <c r="O21" s="1722">
        <f>SUM(O9:O13)</f>
        <v>610.86599999999999</v>
      </c>
      <c r="P21" s="1722">
        <f>SUM(P9:P13)</f>
        <v>530.68599999999992</v>
      </c>
      <c r="Q21" s="1722">
        <f>SUM(Q9:Q13)</f>
        <v>520.83600000000001</v>
      </c>
      <c r="R21" s="1723">
        <f>SUM(N21:Q21)</f>
        <v>2308.8609999999999</v>
      </c>
      <c r="S21" s="1722">
        <f>SUM(S9:S13)</f>
        <v>517.03</v>
      </c>
      <c r="T21" s="1722">
        <f>SUM(T9:T13)</f>
        <v>511.39099999999996</v>
      </c>
      <c r="U21" s="1722">
        <f>SUM(U9:U13)</f>
        <v>490.05500000000001</v>
      </c>
      <c r="V21" s="1722">
        <f>SUM(V9:V13)</f>
        <v>478.64300000000003</v>
      </c>
      <c r="W21" s="1723">
        <f>SUM(S21:V21)</f>
        <v>1997.1189999999999</v>
      </c>
      <c r="X21" s="1722">
        <f>SUM(X9:X13)</f>
        <v>471.11799999999999</v>
      </c>
      <c r="Y21" s="1722">
        <f>SUM(Y9:Y13)</f>
        <v>460.76400000000001</v>
      </c>
      <c r="Z21" s="1722">
        <f>SUM(Z9:Z13)</f>
        <v>426.45500000000004</v>
      </c>
      <c r="AA21" s="1722">
        <f>SUM(AA9:AA13)</f>
        <v>422.63</v>
      </c>
      <c r="AB21" s="1723">
        <f>SUM(X21:AA21)</f>
        <v>1780.9670000000001</v>
      </c>
      <c r="AC21" s="1722">
        <f>SUM(AC9:AC13)</f>
        <v>434.84499999999997</v>
      </c>
      <c r="AD21" s="1722">
        <f>SUM(AD9:AD13)</f>
        <v>422.95000000000005</v>
      </c>
      <c r="AE21" s="1722">
        <f>SUM(AE9:AE13)</f>
        <v>398.24299999999999</v>
      </c>
      <c r="AF21" s="1722">
        <f>SUM(AF9:AF13)</f>
        <v>384.94799999999998</v>
      </c>
      <c r="AG21" s="1723">
        <f>SUM(AC21:AF21)</f>
        <v>1640.9859999999999</v>
      </c>
      <c r="AH21" s="1722">
        <f>SUM(AH9:AH20)</f>
        <v>415.15900000000005</v>
      </c>
      <c r="AI21" s="1722">
        <f>SUM(AI9:AI20)</f>
        <v>576.87200000000007</v>
      </c>
      <c r="AJ21" s="1722">
        <f>SUM(AJ9:AJ20)</f>
        <v>593.87300000000005</v>
      </c>
      <c r="AK21" s="1722">
        <f>SUM(AK9:AK20)</f>
        <v>550.58799999999997</v>
      </c>
      <c r="AL21" s="1723">
        <f>SUM(AH21:AK21)</f>
        <v>2136.4920000000002</v>
      </c>
      <c r="AM21" s="1722">
        <f>SUM(AM9:AM20)</f>
        <v>563.40499999999997</v>
      </c>
      <c r="AN21" s="1722">
        <f>SUM(AN9:AN20)</f>
        <v>572.928</v>
      </c>
      <c r="AO21" s="1722">
        <f>SUM(AO9:AO20)</f>
        <v>589.16600000000005</v>
      </c>
      <c r="AP21" s="1722">
        <f>SUM(AP9:AP20)</f>
        <v>605.34399999999994</v>
      </c>
      <c r="AQ21" s="1723">
        <f>SUM(AM21:AP21)</f>
        <v>2330.8430000000003</v>
      </c>
      <c r="AR21" s="1722">
        <f>SUM(AR9:AR20)</f>
        <v>631.66899999999998</v>
      </c>
      <c r="AS21" s="1722">
        <f>SUM(AS9:AS20)</f>
        <v>614.06999999999994</v>
      </c>
      <c r="AT21" s="1722">
        <f>SUM(AT9:AT20)</f>
        <v>612.39</v>
      </c>
      <c r="AU21" s="1722">
        <f>+AU10+AU11+AU16+AU17</f>
        <v>624.69000000000005</v>
      </c>
      <c r="AV21" s="1723">
        <f>+AV10+AV11+AV16+AV17</f>
        <v>2482.8190000000004</v>
      </c>
      <c r="AW21" s="1722">
        <f t="shared" ref="AW21:CB21" si="19">+AW10+AW11+AW16+AW17</f>
        <v>569.93999999999994</v>
      </c>
      <c r="AX21" s="1722">
        <f t="shared" si="19"/>
        <v>565.87099999999998</v>
      </c>
      <c r="AY21" s="1722">
        <f t="shared" si="19"/>
        <v>538.51800000000003</v>
      </c>
      <c r="AZ21" s="1722">
        <f t="shared" si="19"/>
        <v>524.40900000000011</v>
      </c>
      <c r="BA21" s="1723">
        <f t="shared" si="19"/>
        <v>2198.7379999999998</v>
      </c>
      <c r="BB21" s="1722">
        <f t="shared" si="19"/>
        <v>541.08500000000004</v>
      </c>
      <c r="BC21" s="1722">
        <f t="shared" si="19"/>
        <v>540.68000000000006</v>
      </c>
      <c r="BD21" s="1722">
        <f t="shared" si="19"/>
        <v>528.89599999999996</v>
      </c>
      <c r="BE21" s="1722">
        <f t="shared" si="19"/>
        <v>531.59500000000003</v>
      </c>
      <c r="BF21" s="1723">
        <f t="shared" si="19"/>
        <v>2142.2559999999999</v>
      </c>
      <c r="BG21" s="1721">
        <f t="shared" si="19"/>
        <v>550.57799999999997</v>
      </c>
      <c r="BH21" s="1722">
        <f t="shared" si="19"/>
        <v>559.86500000000001</v>
      </c>
      <c r="BI21" s="1722">
        <f t="shared" si="19"/>
        <v>546.31299999999999</v>
      </c>
      <c r="BJ21" s="1780">
        <f t="shared" si="19"/>
        <v>542.67399999999998</v>
      </c>
      <c r="BK21" s="1723">
        <f t="shared" si="19"/>
        <v>2199.4300000000003</v>
      </c>
      <c r="BL21" s="1722">
        <f t="shared" si="19"/>
        <v>552.37799999999993</v>
      </c>
      <c r="BM21" s="1722">
        <f t="shared" si="19"/>
        <v>544.87300000000005</v>
      </c>
      <c r="BN21" s="1722">
        <f t="shared" si="19"/>
        <v>531.90099999999995</v>
      </c>
      <c r="BO21" s="1780">
        <f t="shared" si="19"/>
        <v>554.82299999999998</v>
      </c>
      <c r="BP21" s="1723">
        <f t="shared" si="19"/>
        <v>2183.9749999999999</v>
      </c>
      <c r="BQ21" s="1722">
        <f t="shared" si="19"/>
        <v>605.34199999999998</v>
      </c>
      <c r="BR21" s="1722">
        <f t="shared" si="19"/>
        <v>599.86799999999994</v>
      </c>
      <c r="BS21" s="1722">
        <f t="shared" si="19"/>
        <v>587.66499999999996</v>
      </c>
      <c r="BT21" s="1722">
        <f t="shared" si="19"/>
        <v>590.83199999999999</v>
      </c>
      <c r="BU21" s="1723">
        <f t="shared" si="19"/>
        <v>2383.7069999999999</v>
      </c>
      <c r="BV21" s="1722">
        <f t="shared" si="19"/>
        <v>609.7747824175799</v>
      </c>
      <c r="BW21" s="1722">
        <f t="shared" si="19"/>
        <v>606.73376639382252</v>
      </c>
      <c r="BX21" s="1722">
        <f t="shared" si="19"/>
        <v>796.78037015963309</v>
      </c>
      <c r="BY21" s="1722">
        <f t="shared" si="19"/>
        <v>798.09445984918148</v>
      </c>
      <c r="BZ21" s="1723">
        <f t="shared" si="19"/>
        <v>2811.3833788202169</v>
      </c>
      <c r="CA21" s="1723">
        <f t="shared" si="19"/>
        <v>3245.9083136045824</v>
      </c>
      <c r="CB21" s="1723">
        <f t="shared" si="19"/>
        <v>3250.7003416061184</v>
      </c>
      <c r="CC21" s="1723">
        <f>SUM(CC9:CC20)</f>
        <v>2423.7290837026148</v>
      </c>
      <c r="CD21" s="1723">
        <f>SUM(CD9:CD20)</f>
        <v>2301.8476249596565</v>
      </c>
      <c r="CE21" s="1723">
        <f>SUM(CE9:CE20)</f>
        <v>2348.1625792819809</v>
      </c>
      <c r="CF21" s="1723">
        <f>SUM(CF9:CF20)</f>
        <v>2395.4038326907516</v>
      </c>
      <c r="CG21" s="1723">
        <f>SUM(CG9:CG20)</f>
        <v>2443.5899111676972</v>
      </c>
      <c r="CH21" s="267"/>
      <c r="CI21" s="267"/>
      <c r="CJ21" s="965"/>
      <c r="CK21" s="267"/>
      <c r="CL21" s="267"/>
      <c r="CM21" s="965"/>
      <c r="CN21" s="965">
        <f>SUM(BV21:BY21)</f>
        <v>2811.3833788202169</v>
      </c>
      <c r="CO21" s="965">
        <f>CM21-CN21</f>
        <v>-2811.3833788202169</v>
      </c>
      <c r="CP21" s="1011" t="str">
        <f t="shared" ref="CP21:CP103" si="20">A21</f>
        <v>Total Net Revenue</v>
      </c>
      <c r="CQ21" s="1722">
        <f t="shared" ref="CQ21:CQ103" si="21">H21</f>
        <v>1734.058</v>
      </c>
      <c r="CR21" s="1722">
        <f t="shared" ref="CR21:CR103" si="22">M21</f>
        <v>2223.02</v>
      </c>
      <c r="CS21" s="1722">
        <f t="shared" ref="CS21:CS103" si="23">R21</f>
        <v>2308.8609999999999</v>
      </c>
      <c r="CT21" s="1722">
        <f t="shared" ref="CT21:CT103" si="24">W21</f>
        <v>1997.1189999999999</v>
      </c>
      <c r="CU21" s="1722">
        <f t="shared" ref="CU21:CU103" si="25">AB21</f>
        <v>1780.9670000000001</v>
      </c>
      <c r="CV21" s="1722">
        <f t="shared" ref="CV21:CV103" si="26">AG21</f>
        <v>1640.9859999999999</v>
      </c>
      <c r="CW21" s="1722">
        <f t="shared" ref="CW21:CW103" si="27">AL21</f>
        <v>2136.4920000000002</v>
      </c>
      <c r="CX21" s="1722">
        <f t="shared" ref="CX21:CX103" si="28">AQ21</f>
        <v>2330.8430000000003</v>
      </c>
      <c r="CY21" s="1722">
        <f t="shared" ref="CY21:CY103" si="29">AV21</f>
        <v>2482.8190000000004</v>
      </c>
      <c r="CZ21" s="1722">
        <f t="shared" ref="CZ21:CZ103" si="30">BA21</f>
        <v>2198.7379999999998</v>
      </c>
      <c r="DA21" s="1722">
        <f t="shared" ref="DA21:DA103" si="31">BF21</f>
        <v>2142.2559999999999</v>
      </c>
      <c r="DB21" s="1722">
        <f t="shared" ref="DB21:DB103" si="32">BK21</f>
        <v>2199.4300000000003</v>
      </c>
      <c r="DC21" s="1722">
        <f t="shared" ref="DC21:DC103" si="33">BP21</f>
        <v>2183.9749999999999</v>
      </c>
      <c r="DD21" s="1722">
        <f t="shared" ref="DD21:DD103" si="34">BU21</f>
        <v>2383.7069999999999</v>
      </c>
      <c r="DE21" s="1722">
        <f t="shared" ref="DE21:DE103" si="35">BZ21</f>
        <v>2811.3833788202169</v>
      </c>
      <c r="DF21" s="1722">
        <f t="shared" ref="DF21:DF103" si="36">CA21</f>
        <v>3245.9083136045824</v>
      </c>
      <c r="DG21" s="1780">
        <f t="shared" ref="DG21:DG103" si="37">CB21</f>
        <v>3250.7003416061184</v>
      </c>
      <c r="DH21" s="267"/>
      <c r="DI21" s="323"/>
      <c r="DJ21" s="323"/>
      <c r="DK21" s="323"/>
      <c r="DL21" s="323"/>
      <c r="DM21" s="323"/>
      <c r="DN21" s="323"/>
      <c r="DO21" s="324"/>
      <c r="DY21" s="267"/>
      <c r="DZ21" s="267"/>
    </row>
    <row r="22" spans="1:130" ht="12.6" customHeight="1">
      <c r="A22" s="3609" t="s">
        <v>307</v>
      </c>
      <c r="B22" s="3610"/>
      <c r="C22" s="3610"/>
      <c r="D22" s="3611"/>
      <c r="E22" s="3612"/>
      <c r="F22" s="3612"/>
      <c r="G22" s="3612"/>
      <c r="H22" s="3613"/>
      <c r="I22" s="3612">
        <f t="shared" ref="I22:S22" si="38">I21/D21-1</f>
        <v>0.71765069476848109</v>
      </c>
      <c r="J22" s="3612">
        <f t="shared" si="38"/>
        <v>0.62111174483394027</v>
      </c>
      <c r="K22" s="3612">
        <f t="shared" si="38"/>
        <v>2.6834809270172233E-2</v>
      </c>
      <c r="L22" s="3612">
        <f t="shared" si="38"/>
        <v>4.7688054081299613E-2</v>
      </c>
      <c r="M22" s="3613">
        <f t="shared" si="38"/>
        <v>0.28197557405807649</v>
      </c>
      <c r="N22" s="3612">
        <f t="shared" si="38"/>
        <v>0.14038525992696993</v>
      </c>
      <c r="O22" s="3612">
        <f t="shared" si="38"/>
        <v>0.10214884979702288</v>
      </c>
      <c r="P22" s="3612">
        <f t="shared" si="38"/>
        <v>-1.086271746869627E-2</v>
      </c>
      <c r="Q22" s="3612">
        <f t="shared" si="38"/>
        <v>-7.8763137507384506E-2</v>
      </c>
      <c r="R22" s="3613">
        <f t="shared" si="38"/>
        <v>3.8614587363136499E-2</v>
      </c>
      <c r="S22" s="3612">
        <f t="shared" si="38"/>
        <v>-0.20022955328374115</v>
      </c>
      <c r="T22" s="3612">
        <f t="shared" ref="T22:Y22" si="39">T21/O21-1</f>
        <v>-0.16284258740869528</v>
      </c>
      <c r="U22" s="3612">
        <f t="shared" si="39"/>
        <v>-7.6563165412315226E-2</v>
      </c>
      <c r="V22" s="3612">
        <f t="shared" si="39"/>
        <v>-8.1010145228056385E-2</v>
      </c>
      <c r="W22" s="3613">
        <f t="shared" si="39"/>
        <v>-0.13501982146175107</v>
      </c>
      <c r="X22" s="3612">
        <f t="shared" si="39"/>
        <v>-8.8799489391331199E-2</v>
      </c>
      <c r="Y22" s="3612">
        <f t="shared" si="39"/>
        <v>-9.89986135852996E-2</v>
      </c>
      <c r="Z22" s="3612">
        <f t="shared" ref="Z22:AG22" si="40">Z21/U21-1</f>
        <v>-0.12978135107283872</v>
      </c>
      <c r="AA22" s="3612">
        <f t="shared" si="40"/>
        <v>-0.11702458826306883</v>
      </c>
      <c r="AB22" s="3613">
        <f>AB21/W21-1</f>
        <v>-0.10823190806356553</v>
      </c>
      <c r="AC22" s="3612">
        <f t="shared" si="40"/>
        <v>-7.6993449624085719E-2</v>
      </c>
      <c r="AD22" s="3612">
        <f t="shared" si="40"/>
        <v>-8.206804351034358E-2</v>
      </c>
      <c r="AE22" s="3612">
        <f t="shared" si="40"/>
        <v>-6.6154693930192021E-2</v>
      </c>
      <c r="AF22" s="3612">
        <f t="shared" si="40"/>
        <v>-8.916073160920901E-2</v>
      </c>
      <c r="AG22" s="3613">
        <f t="shared" si="40"/>
        <v>-7.8598312040593754E-2</v>
      </c>
      <c r="AH22" s="3612">
        <f t="shared" ref="AH22:AQ22" si="41">AH21/AC21-1</f>
        <v>-4.5271303567937848E-2</v>
      </c>
      <c r="AI22" s="3612">
        <f t="shared" si="41"/>
        <v>0.36392481380777864</v>
      </c>
      <c r="AJ22" s="3612">
        <f t="shared" si="41"/>
        <v>0.49123273980961391</v>
      </c>
      <c r="AK22" s="3612">
        <f t="shared" si="41"/>
        <v>0.43029188357908077</v>
      </c>
      <c r="AL22" s="3614">
        <f t="shared" si="41"/>
        <v>0.30195626288097532</v>
      </c>
      <c r="AM22" s="3612">
        <f t="shared" si="41"/>
        <v>0.3570824671993138</v>
      </c>
      <c r="AN22" s="3612">
        <f t="shared" si="41"/>
        <v>-6.8368719577307502E-3</v>
      </c>
      <c r="AO22" s="3612">
        <f t="shared" si="41"/>
        <v>-7.9259370269401108E-3</v>
      </c>
      <c r="AP22" s="3612">
        <f t="shared" si="41"/>
        <v>9.945004250001821E-2</v>
      </c>
      <c r="AQ22" s="3614">
        <f t="shared" si="41"/>
        <v>9.0967342728173195E-2</v>
      </c>
      <c r="AR22" s="3612">
        <f t="shared" ref="AR22:BF22" si="42">AR21/AM21-1</f>
        <v>0.12116328396091625</v>
      </c>
      <c r="AS22" s="3612">
        <f t="shared" si="42"/>
        <v>7.1810070375335044E-2</v>
      </c>
      <c r="AT22" s="3612">
        <f t="shared" si="42"/>
        <v>3.9418432156641536E-2</v>
      </c>
      <c r="AU22" s="3612">
        <f t="shared" si="42"/>
        <v>3.1958687952635456E-2</v>
      </c>
      <c r="AV22" s="3614">
        <f t="shared" si="42"/>
        <v>6.5202160763294659E-2</v>
      </c>
      <c r="AW22" s="3612">
        <f>SUM(AW10:AW14,AW19)/SUM(AR10:AR14,AR19)-1</f>
        <v>0.25118820510231199</v>
      </c>
      <c r="AX22" s="3612">
        <f>SUM(AX10:AX14,AX19)/SUM(AS10:AS14,AS19)-1</f>
        <v>0.2900167330059682</v>
      </c>
      <c r="AY22" s="3612">
        <f>SUM(AY10:AY14,AY19)/SUM(AT10:AT14,AT19)-1</f>
        <v>0.26621036024067779</v>
      </c>
      <c r="AZ22" s="3612">
        <f>SUM(AZ10:AZ14,AZ19)/SUM(AU10:AU14,AU19)-1</f>
        <v>9.9101912496725175E-2</v>
      </c>
      <c r="BA22" s="3614">
        <f>SUM(BA10:BA14,BA19)/SUM(AV10:AV14,AV19)-1</f>
        <v>0.22383483886480948</v>
      </c>
      <c r="BB22" s="3612">
        <f t="shared" si="42"/>
        <v>-5.0628136295048476E-2</v>
      </c>
      <c r="BC22" s="3612">
        <f t="shared" si="42"/>
        <v>-4.45172132871271E-2</v>
      </c>
      <c r="BD22" s="3612">
        <f t="shared" si="42"/>
        <v>-1.78675550306584E-2</v>
      </c>
      <c r="BE22" s="3612">
        <f t="shared" si="42"/>
        <v>1.3703044760863925E-2</v>
      </c>
      <c r="BF22" s="3614">
        <f t="shared" si="42"/>
        <v>-2.5688372148023109E-2</v>
      </c>
      <c r="BG22" s="3612">
        <f t="shared" ref="BG22:BP22" si="43">BG21/BB21-1</f>
        <v>1.7544378424831475E-2</v>
      </c>
      <c r="BH22" s="3612">
        <f t="shared" si="43"/>
        <v>3.548309536139671E-2</v>
      </c>
      <c r="BI22" s="3612">
        <f t="shared" si="43"/>
        <v>3.2930859753146136E-2</v>
      </c>
      <c r="BJ22" s="3612">
        <f t="shared" si="43"/>
        <v>2.0841053809761201E-2</v>
      </c>
      <c r="BK22" s="3614">
        <f t="shared" si="43"/>
        <v>2.6688687066345196E-2</v>
      </c>
      <c r="BL22" s="3612">
        <f t="shared" si="43"/>
        <v>3.2692915445222681E-3</v>
      </c>
      <c r="BM22" s="3612">
        <f t="shared" si="43"/>
        <v>-2.677788395416747E-2</v>
      </c>
      <c r="BN22" s="3612">
        <f t="shared" si="43"/>
        <v>-2.6380481518836318E-2</v>
      </c>
      <c r="BO22" s="3612">
        <f t="shared" si="43"/>
        <v>2.2387289606651484E-2</v>
      </c>
      <c r="BP22" s="3614">
        <f t="shared" si="43"/>
        <v>-7.0268205853336596E-3</v>
      </c>
      <c r="BQ22" s="3612">
        <f t="shared" ref="BQ22:BZ22" si="44">BQ21/BL21-1</f>
        <v>9.5883615929671429E-2</v>
      </c>
      <c r="BR22" s="3612">
        <f t="shared" si="44"/>
        <v>0.1009317767626583</v>
      </c>
      <c r="BS22" s="3612">
        <f t="shared" si="44"/>
        <v>0.10483905839620533</v>
      </c>
      <c r="BT22" s="3612">
        <f t="shared" si="44"/>
        <v>6.4901779486430833E-2</v>
      </c>
      <c r="BU22" s="3615">
        <f t="shared" si="44"/>
        <v>9.1453427809384147E-2</v>
      </c>
      <c r="BV22" s="3612">
        <f t="shared" si="44"/>
        <v>7.3227736016663325E-3</v>
      </c>
      <c r="BW22" s="3612">
        <f t="shared" si="44"/>
        <v>1.1445461991342443E-2</v>
      </c>
      <c r="BX22" s="3612">
        <f t="shared" si="44"/>
        <v>0.35584111723453526</v>
      </c>
      <c r="BY22" s="3612">
        <f t="shared" si="44"/>
        <v>0.35079762072667275</v>
      </c>
      <c r="BZ22" s="3615">
        <f t="shared" si="44"/>
        <v>0.17941650497322748</v>
      </c>
      <c r="CA22" s="3614">
        <f t="shared" ref="CA22:CG22" si="45">CA21/BZ21-1</f>
        <v>0.15455911778446652</v>
      </c>
      <c r="CB22" s="3614">
        <f t="shared" si="45"/>
        <v>1.476328823414752E-3</v>
      </c>
      <c r="CC22" s="1725">
        <f t="shared" si="45"/>
        <v>-0.2543978746115092</v>
      </c>
      <c r="CD22" s="1725">
        <f t="shared" si="45"/>
        <v>-5.0286750100290045E-2</v>
      </c>
      <c r="CE22" s="1725">
        <f t="shared" si="45"/>
        <v>2.0120773338824449E-2</v>
      </c>
      <c r="CF22" s="1725">
        <f t="shared" si="45"/>
        <v>2.0118391216001896E-2</v>
      </c>
      <c r="CG22" s="1725">
        <f t="shared" si="45"/>
        <v>2.0116056348969957E-2</v>
      </c>
      <c r="CH22" s="1724"/>
      <c r="CI22" s="1724"/>
      <c r="CJ22" s="1724"/>
      <c r="CK22" s="1724"/>
      <c r="CL22" s="1724"/>
      <c r="CM22" s="1724"/>
      <c r="CN22" s="1724"/>
      <c r="CO22" s="1724"/>
      <c r="CP22" s="396" t="str">
        <f t="shared" si="20"/>
        <v>y/y growth (ex Borgata)</v>
      </c>
      <c r="CQ22" s="1724"/>
      <c r="CR22" s="1724">
        <f t="shared" si="22"/>
        <v>0.28197557405807649</v>
      </c>
      <c r="CS22" s="1724">
        <f t="shared" si="23"/>
        <v>3.8614587363136499E-2</v>
      </c>
      <c r="CT22" s="1724">
        <f t="shared" si="24"/>
        <v>-0.13501982146175107</v>
      </c>
      <c r="CU22" s="1724">
        <f t="shared" si="25"/>
        <v>-0.10823190806356553</v>
      </c>
      <c r="CV22" s="1724">
        <f t="shared" si="26"/>
        <v>-7.8598312040593754E-2</v>
      </c>
      <c r="CW22" s="1724">
        <f t="shared" si="27"/>
        <v>0.30195626288097532</v>
      </c>
      <c r="CX22" s="1724">
        <f t="shared" si="28"/>
        <v>9.0967342728173195E-2</v>
      </c>
      <c r="CY22" s="1724">
        <f t="shared" si="29"/>
        <v>6.5202160763294659E-2</v>
      </c>
      <c r="CZ22" s="1724">
        <f t="shared" si="30"/>
        <v>0.22383483886480948</v>
      </c>
      <c r="DA22" s="1724">
        <f t="shared" si="31"/>
        <v>-2.5688372148023109E-2</v>
      </c>
      <c r="DB22" s="1724">
        <f t="shared" si="32"/>
        <v>2.6688687066345196E-2</v>
      </c>
      <c r="DC22" s="1724">
        <f t="shared" si="33"/>
        <v>-7.0268205853336596E-3</v>
      </c>
      <c r="DD22" s="1724">
        <f t="shared" si="34"/>
        <v>9.1453427809384147E-2</v>
      </c>
      <c r="DE22" s="1724">
        <f t="shared" si="35"/>
        <v>0.17941650497322748</v>
      </c>
      <c r="DF22" s="1724">
        <f t="shared" si="36"/>
        <v>0.15455911778446652</v>
      </c>
      <c r="DG22" s="1781">
        <f t="shared" si="37"/>
        <v>1.476328823414752E-3</v>
      </c>
      <c r="DH22" s="1724"/>
      <c r="DI22" s="1726"/>
      <c r="DJ22" s="1726"/>
      <c r="DK22" s="1726"/>
      <c r="DL22" s="1726"/>
      <c r="DM22" s="1726"/>
      <c r="DN22" s="1726"/>
      <c r="DO22" s="421"/>
      <c r="DY22" s="1724"/>
      <c r="DZ22" s="1724"/>
    </row>
    <row r="23" spans="1:130" ht="12.6" hidden="1" customHeight="1" outlineLevel="1">
      <c r="A23" s="3609" t="s">
        <v>50</v>
      </c>
      <c r="B23" s="3610"/>
      <c r="C23" s="3610"/>
      <c r="D23" s="3611"/>
      <c r="E23" s="3612"/>
      <c r="F23" s="3612"/>
      <c r="G23" s="3612"/>
      <c r="H23" s="3613"/>
      <c r="I23" s="3612"/>
      <c r="J23" s="3612"/>
      <c r="K23" s="3612"/>
      <c r="L23" s="3612"/>
      <c r="M23" s="3613"/>
      <c r="N23" s="3612"/>
      <c r="O23" s="3612"/>
      <c r="P23" s="3612"/>
      <c r="Q23" s="3612"/>
      <c r="R23" s="3613"/>
      <c r="S23" s="3612"/>
      <c r="T23" s="3612"/>
      <c r="U23" s="3612"/>
      <c r="V23" s="3612"/>
      <c r="W23" s="3613"/>
      <c r="X23" s="3612"/>
      <c r="Y23" s="3612"/>
      <c r="Z23" s="3612"/>
      <c r="AA23" s="3612"/>
      <c r="AB23" s="3613"/>
      <c r="AC23" s="3612"/>
      <c r="AD23" s="3612"/>
      <c r="AE23" s="3612"/>
      <c r="AF23" s="3612"/>
      <c r="AG23" s="3613"/>
      <c r="AH23" s="3612"/>
      <c r="AI23" s="3612"/>
      <c r="AJ23" s="3612"/>
      <c r="AK23" s="3612"/>
      <c r="AL23" s="3614"/>
      <c r="AM23" s="3612"/>
      <c r="AN23" s="3612"/>
      <c r="AO23" s="3612"/>
      <c r="AP23" s="3612"/>
      <c r="AQ23" s="3614"/>
      <c r="AR23" s="3612"/>
      <c r="AS23" s="3612"/>
      <c r="AT23" s="3612"/>
      <c r="AU23" s="3612">
        <f t="shared" ref="AU23:AZ23" si="46">(AU21-AU14)/(AP21-AP14)-1</f>
        <v>-6.2078751916265551E-2</v>
      </c>
      <c r="AV23" s="3614">
        <f t="shared" si="46"/>
        <v>4.0779666412538162E-2</v>
      </c>
      <c r="AW23" s="3612">
        <f t="shared" si="46"/>
        <v>-0.30972233875653243</v>
      </c>
      <c r="AX23" s="3612">
        <f t="shared" si="46"/>
        <v>-0.2996059081212239</v>
      </c>
      <c r="AY23" s="3612">
        <f t="shared" si="46"/>
        <v>-0.33409102042815841</v>
      </c>
      <c r="AZ23" s="3612">
        <f t="shared" si="46"/>
        <v>-0.28756615853390044</v>
      </c>
      <c r="BA23" s="3614">
        <f>(BA21-BA14)/(AV21-AV14)-1</f>
        <v>-0.30812764284012417</v>
      </c>
      <c r="BB23" s="3612">
        <f t="shared" ref="BB23:BK23" si="47">(BB21-BB18)/(AW21-AW18)-1</f>
        <v>-5.0628136295048476E-2</v>
      </c>
      <c r="BC23" s="3612">
        <f t="shared" si="47"/>
        <v>-4.45172132871271E-2</v>
      </c>
      <c r="BD23" s="3612">
        <f t="shared" si="47"/>
        <v>-1.78675550306584E-2</v>
      </c>
      <c r="BE23" s="3612">
        <f t="shared" si="47"/>
        <v>1.3703044760863925E-2</v>
      </c>
      <c r="BF23" s="3614">
        <f t="shared" si="47"/>
        <v>-2.5688372148023109E-2</v>
      </c>
      <c r="BG23" s="3612">
        <f t="shared" si="47"/>
        <v>1.7544378424831475E-2</v>
      </c>
      <c r="BH23" s="3612">
        <f t="shared" si="47"/>
        <v>3.548309536139671E-2</v>
      </c>
      <c r="BI23" s="3612">
        <f t="shared" si="47"/>
        <v>3.2930859753146136E-2</v>
      </c>
      <c r="BJ23" s="3612">
        <f t="shared" si="47"/>
        <v>2.0841053809761201E-2</v>
      </c>
      <c r="BK23" s="3614">
        <f t="shared" si="47"/>
        <v>2.6688687066345196E-2</v>
      </c>
      <c r="BL23" s="3612">
        <f t="shared" ref="BL23:BU23" si="48">(BL21-BL18)/(BG21-BG18)-1</f>
        <v>3.2692915445222681E-3</v>
      </c>
      <c r="BM23" s="3612">
        <f t="shared" si="48"/>
        <v>-2.677788395416747E-2</v>
      </c>
      <c r="BN23" s="3612">
        <f t="shared" si="48"/>
        <v>-2.6380481518836318E-2</v>
      </c>
      <c r="BO23" s="3612">
        <f t="shared" si="48"/>
        <v>2.2387289606651484E-2</v>
      </c>
      <c r="BP23" s="3614">
        <f t="shared" si="48"/>
        <v>-7.0268205853336596E-3</v>
      </c>
      <c r="BQ23" s="3612">
        <f t="shared" si="48"/>
        <v>9.5883615929671429E-2</v>
      </c>
      <c r="BR23" s="3612">
        <f t="shared" si="48"/>
        <v>0.1009317767626583</v>
      </c>
      <c r="BS23" s="3612">
        <f t="shared" si="48"/>
        <v>0.10483905839620533</v>
      </c>
      <c r="BT23" s="3612">
        <f t="shared" si="48"/>
        <v>6.4901779486430833E-2</v>
      </c>
      <c r="BU23" s="3615">
        <f t="shared" si="48"/>
        <v>9.1453427809384147E-2</v>
      </c>
      <c r="BV23" s="3612">
        <f t="shared" ref="BV23" si="49">(BV21-BV18)/(BQ21-BQ18)-1</f>
        <v>7.3227736016663325E-3</v>
      </c>
      <c r="BW23" s="3612">
        <f t="shared" ref="BW23" si="50">(BW21-BW18)/(BR21-BR18)-1</f>
        <v>1.1445461991342443E-2</v>
      </c>
      <c r="BX23" s="3612">
        <f t="shared" ref="BX23" si="51">(BX21-BX18)/(BS21-BS18)-1</f>
        <v>0.35584111723453526</v>
      </c>
      <c r="BY23" s="3612">
        <f t="shared" ref="BY23:BZ23" si="52">(BY21-BY18)/(BT21-BT18)-1</f>
        <v>0.35079762072667275</v>
      </c>
      <c r="BZ23" s="3615">
        <f t="shared" si="52"/>
        <v>0.17941650497322748</v>
      </c>
      <c r="CA23" s="3614">
        <f t="shared" ref="CA23:CG23" si="53">(CA21-CA18)/(BZ21-BZ18)-1</f>
        <v>0.15455911778446652</v>
      </c>
      <c r="CB23" s="3614">
        <f t="shared" si="53"/>
        <v>1.476328823414752E-3</v>
      </c>
      <c r="CC23" s="1725">
        <f t="shared" si="53"/>
        <v>-0.2543978746115092</v>
      </c>
      <c r="CD23" s="1725">
        <f t="shared" si="53"/>
        <v>-5.0286750100290045E-2</v>
      </c>
      <c r="CE23" s="1725">
        <f t="shared" si="53"/>
        <v>2.0120773338824449E-2</v>
      </c>
      <c r="CF23" s="1725">
        <f t="shared" si="53"/>
        <v>2.0118391216001896E-2</v>
      </c>
      <c r="CG23" s="1725">
        <f t="shared" si="53"/>
        <v>2.0116056348969957E-2</v>
      </c>
      <c r="CH23" s="1724"/>
      <c r="CI23" s="1724"/>
      <c r="CJ23" s="1724"/>
      <c r="CK23" s="1724"/>
      <c r="CL23" s="1724"/>
      <c r="CM23" s="1724"/>
      <c r="CN23" s="1724"/>
      <c r="CO23" s="1724"/>
      <c r="CP23" s="396"/>
      <c r="CQ23" s="1724"/>
      <c r="CR23" s="1724"/>
      <c r="CS23" s="1724"/>
      <c r="CT23" s="1724"/>
      <c r="CU23" s="1724"/>
      <c r="CV23" s="1724"/>
      <c r="CW23" s="1724"/>
      <c r="CX23" s="1724"/>
      <c r="CY23" s="1724"/>
      <c r="CZ23" s="1724"/>
      <c r="DA23" s="1724"/>
      <c r="DB23" s="1724"/>
      <c r="DC23" s="1724"/>
      <c r="DD23" s="1724"/>
      <c r="DE23" s="1724"/>
      <c r="DF23" s="1724"/>
      <c r="DG23" s="1781"/>
      <c r="DH23" s="1724"/>
      <c r="DI23" s="1726"/>
      <c r="DJ23" s="1726"/>
      <c r="DK23" s="1726"/>
      <c r="DL23" s="1726"/>
      <c r="DM23" s="1726"/>
      <c r="DN23" s="1726"/>
      <c r="DO23" s="421"/>
      <c r="DX23" s="1238"/>
      <c r="DY23" s="1724"/>
      <c r="DZ23" s="1724"/>
    </row>
    <row r="24" spans="1:130" s="2252" customFormat="1" ht="12.6" customHeight="1" collapsed="1">
      <c r="A24" s="3616"/>
      <c r="B24" s="3580"/>
      <c r="C24" s="3580"/>
      <c r="D24" s="3617"/>
      <c r="E24" s="3618"/>
      <c r="F24" s="3619"/>
      <c r="G24" s="3620"/>
      <c r="H24" s="3621"/>
      <c r="I24" s="3619"/>
      <c r="J24" s="3619"/>
      <c r="K24" s="3619"/>
      <c r="L24" s="3619"/>
      <c r="M24" s="3622"/>
      <c r="N24" s="3619"/>
      <c r="O24" s="3619"/>
      <c r="P24" s="3619"/>
      <c r="Q24" s="3619"/>
      <c r="R24" s="3622"/>
      <c r="S24" s="3620"/>
      <c r="T24" s="3620"/>
      <c r="U24" s="3620"/>
      <c r="V24" s="3620"/>
      <c r="W24" s="3622"/>
      <c r="X24" s="3620"/>
      <c r="Y24" s="3620"/>
      <c r="Z24" s="3620"/>
      <c r="AA24" s="3620"/>
      <c r="AB24" s="3622"/>
      <c r="AC24" s="3620"/>
      <c r="AD24" s="3620"/>
      <c r="AE24" s="3620"/>
      <c r="AF24" s="3620"/>
      <c r="AG24" s="3622"/>
      <c r="AH24" s="3620"/>
      <c r="AI24" s="3620"/>
      <c r="AJ24" s="3619"/>
      <c r="AK24" s="3620"/>
      <c r="AL24" s="3622"/>
      <c r="AM24" s="3620"/>
      <c r="AN24" s="3620"/>
      <c r="AO24" s="3620"/>
      <c r="AP24" s="3619"/>
      <c r="AQ24" s="3623"/>
      <c r="AR24" s="3620"/>
      <c r="AS24" s="3620"/>
      <c r="AT24" s="3620"/>
      <c r="AU24" s="3619"/>
      <c r="AV24" s="3624"/>
      <c r="AW24" s="3620"/>
      <c r="AX24" s="3620"/>
      <c r="AY24" s="3620"/>
      <c r="AZ24" s="3620"/>
      <c r="BA24" s="3622"/>
      <c r="BB24" s="3620"/>
      <c r="BC24" s="3625"/>
      <c r="BD24" s="3625"/>
      <c r="BE24" s="3625"/>
      <c r="BF24" s="3626"/>
      <c r="BG24" s="3627"/>
      <c r="BH24" s="3627"/>
      <c r="BI24" s="3627"/>
      <c r="BJ24" s="3628"/>
      <c r="BK24" s="3626"/>
      <c r="BL24" s="3627"/>
      <c r="BM24" s="3627"/>
      <c r="BN24" s="3627"/>
      <c r="BO24" s="3629"/>
      <c r="BP24" s="3630"/>
      <c r="BQ24" s="3625"/>
      <c r="BR24" s="3625"/>
      <c r="BS24" s="3625"/>
      <c r="BT24" s="3625"/>
      <c r="BU24" s="3631"/>
      <c r="BV24" s="3625"/>
      <c r="BW24" s="3625"/>
      <c r="BX24" s="3625"/>
      <c r="BY24" s="3625"/>
      <c r="BZ24" s="3631"/>
      <c r="CA24" s="3632"/>
      <c r="CB24" s="3633"/>
      <c r="CC24" s="2749"/>
      <c r="CD24" s="2749"/>
      <c r="CE24" s="2749"/>
      <c r="CF24" s="2749"/>
      <c r="CG24" s="2749"/>
      <c r="CH24" s="280"/>
      <c r="CI24" s="280"/>
      <c r="CJ24" s="280"/>
      <c r="CK24" s="280"/>
      <c r="CL24" s="280"/>
      <c r="CM24" s="280"/>
      <c r="CN24" s="280"/>
      <c r="CO24" s="280"/>
      <c r="CP24" s="912"/>
      <c r="CQ24" s="1717"/>
      <c r="CR24" s="1717"/>
      <c r="CS24" s="1717"/>
      <c r="CT24" s="2182"/>
      <c r="CU24" s="1717"/>
      <c r="CV24" s="1717"/>
      <c r="CW24" s="1717"/>
      <c r="CX24" s="1717"/>
      <c r="CY24" s="1717"/>
      <c r="CZ24" s="1717"/>
      <c r="DA24" s="1463"/>
      <c r="DB24" s="1717"/>
      <c r="DC24" s="1717"/>
      <c r="DD24" s="1717"/>
      <c r="DE24" s="1717"/>
      <c r="DF24" s="1717"/>
      <c r="DG24" s="1782"/>
      <c r="DH24" s="222"/>
      <c r="DI24" s="222"/>
      <c r="DJ24" s="222"/>
      <c r="DK24" s="222"/>
      <c r="DL24" s="222"/>
      <c r="DM24" s="222"/>
      <c r="DN24" s="222"/>
      <c r="DO24" s="77"/>
      <c r="DP24"/>
      <c r="DQ24"/>
      <c r="DR24"/>
      <c r="DS24"/>
      <c r="DT24"/>
      <c r="DU24"/>
      <c r="DX24" s="3473"/>
      <c r="DY24" s="3233"/>
      <c r="DZ24" s="3233"/>
    </row>
    <row r="25" spans="1:130" ht="12.6" hidden="1" customHeight="1" outlineLevel="1">
      <c r="A25" s="3634" t="s">
        <v>825</v>
      </c>
      <c r="B25" s="3635"/>
      <c r="C25" s="3635"/>
      <c r="D25" s="3581">
        <f>D206</f>
        <v>33.266999999999996</v>
      </c>
      <c r="E25" s="3582">
        <f>E206</f>
        <v>33.573999999999998</v>
      </c>
      <c r="F25" s="3582">
        <f>F206</f>
        <v>32.692</v>
      </c>
      <c r="G25" s="3582">
        <f>G206</f>
        <v>34.003999999999998</v>
      </c>
      <c r="H25" s="3583">
        <f>SUM(D25:G25)</f>
        <v>133.53699999999998</v>
      </c>
      <c r="I25" s="3582">
        <f>I206</f>
        <v>33.616999999999997</v>
      </c>
      <c r="J25" s="3582">
        <f>J206</f>
        <v>32.849999999999994</v>
      </c>
      <c r="K25" s="3582">
        <f>K206</f>
        <v>33.414000000000001</v>
      </c>
      <c r="L25" s="3582">
        <f>L206</f>
        <v>34.041000000000004</v>
      </c>
      <c r="M25" s="3583">
        <f>SUM(I25:L25)</f>
        <v>133.922</v>
      </c>
      <c r="N25" s="3582">
        <f>N206</f>
        <v>32.184999999999995</v>
      </c>
      <c r="O25" s="3582">
        <f>O206</f>
        <v>30.822999999999997</v>
      </c>
      <c r="P25" s="3582">
        <f>P206</f>
        <v>29.273</v>
      </c>
      <c r="Q25" s="3582">
        <f>Q206</f>
        <v>9.8739999999999988</v>
      </c>
      <c r="R25" s="3583">
        <f>SUM(N25:Q25)</f>
        <v>102.15499999999999</v>
      </c>
      <c r="S25" s="3582"/>
      <c r="T25" s="3582"/>
      <c r="U25" s="3582"/>
      <c r="V25" s="3582"/>
      <c r="W25" s="3583"/>
      <c r="X25" s="3582"/>
      <c r="Y25" s="3582"/>
      <c r="Z25" s="3582"/>
      <c r="AA25" s="3582"/>
      <c r="AB25" s="3583"/>
      <c r="AC25" s="3582"/>
      <c r="AD25" s="3582"/>
      <c r="AE25" s="3582"/>
      <c r="AF25" s="3582"/>
      <c r="AG25" s="3583"/>
      <c r="AH25" s="3582"/>
      <c r="AI25" s="3582"/>
      <c r="AJ25" s="3582"/>
      <c r="AK25" s="3582"/>
      <c r="AL25" s="3583"/>
      <c r="AM25" s="3582"/>
      <c r="AN25" s="3582"/>
      <c r="AO25" s="3582"/>
      <c r="AP25" s="3582"/>
      <c r="AQ25" s="3583"/>
      <c r="AR25" s="3582"/>
      <c r="AS25" s="3582"/>
      <c r="AT25" s="3582"/>
      <c r="AU25" s="3582"/>
      <c r="AV25" s="3583"/>
      <c r="AW25" s="3582"/>
      <c r="AX25" s="3582"/>
      <c r="AY25" s="3582"/>
      <c r="AZ25" s="3582"/>
      <c r="BA25" s="3583"/>
      <c r="BB25" s="3582"/>
      <c r="BC25" s="3582"/>
      <c r="BD25" s="3582"/>
      <c r="BE25" s="3582"/>
      <c r="BF25" s="3583"/>
      <c r="BG25" s="3581"/>
      <c r="BH25" s="3582"/>
      <c r="BI25" s="3582"/>
      <c r="BJ25" s="3584"/>
      <c r="BK25" s="3583"/>
      <c r="BL25" s="3582"/>
      <c r="BM25" s="3582"/>
      <c r="BN25" s="3582"/>
      <c r="BO25" s="3584"/>
      <c r="BP25" s="3583"/>
      <c r="BQ25" s="3582"/>
      <c r="BR25" s="3582"/>
      <c r="BS25" s="3582"/>
      <c r="BT25" s="3584"/>
      <c r="BU25" s="3585"/>
      <c r="BV25" s="3582"/>
      <c r="BW25" s="3582"/>
      <c r="BX25" s="3582"/>
      <c r="BY25" s="3582"/>
      <c r="BZ25" s="3585"/>
      <c r="CA25" s="3583"/>
      <c r="CB25" s="3583"/>
      <c r="CC25" s="250"/>
      <c r="CD25" s="250"/>
      <c r="CE25" s="250"/>
      <c r="CF25" s="250"/>
      <c r="CG25" s="250"/>
      <c r="CH25" s="249"/>
      <c r="CI25" s="249"/>
      <c r="CJ25" s="249"/>
      <c r="CK25" s="249"/>
      <c r="CL25" s="249"/>
      <c r="CM25" s="249"/>
      <c r="CN25" s="249"/>
      <c r="CO25" s="249"/>
      <c r="CP25" s="1783" t="str">
        <f t="shared" si="20"/>
        <v>Stardust/Echelon Expenses</v>
      </c>
      <c r="CQ25" s="249">
        <f t="shared" si="21"/>
        <v>133.53699999999998</v>
      </c>
      <c r="CR25" s="249">
        <f t="shared" si="22"/>
        <v>133.922</v>
      </c>
      <c r="CS25" s="249">
        <f t="shared" si="23"/>
        <v>102.15499999999999</v>
      </c>
      <c r="CT25" s="249"/>
      <c r="CU25" s="249"/>
      <c r="CV25" s="249"/>
      <c r="CW25" s="249"/>
      <c r="CX25" s="249"/>
      <c r="CY25" s="249"/>
      <c r="CZ25" s="249"/>
      <c r="DA25" s="249"/>
      <c r="DB25" s="249"/>
      <c r="DC25" s="249"/>
      <c r="DD25" s="249"/>
      <c r="DE25" s="249"/>
      <c r="DF25" s="249"/>
      <c r="DG25" s="1776"/>
      <c r="DH25" s="272"/>
      <c r="DI25" s="222"/>
      <c r="DJ25" s="222"/>
      <c r="DK25" s="222"/>
      <c r="DL25" s="222"/>
      <c r="DM25" s="222"/>
      <c r="DN25" s="222"/>
      <c r="DO25" s="226"/>
      <c r="DX25" s="1238"/>
      <c r="DY25" s="249"/>
      <c r="DZ25" s="249"/>
    </row>
    <row r="26" spans="1:130" ht="12.6" hidden="1" customHeight="1" outlineLevel="1">
      <c r="A26" s="3636" t="s">
        <v>1555</v>
      </c>
      <c r="B26" s="3637"/>
      <c r="C26" s="3637"/>
      <c r="D26" s="3638">
        <f>D306</f>
        <v>33.064999999999998</v>
      </c>
      <c r="E26" s="3639">
        <f>E306</f>
        <v>33.009</v>
      </c>
      <c r="F26" s="3639">
        <f>F306</f>
        <v>149.976</v>
      </c>
      <c r="G26" s="3639">
        <f>G306</f>
        <v>153.58600000000001</v>
      </c>
      <c r="H26" s="3640">
        <f>SUM(D26:G26)</f>
        <v>369.63600000000002</v>
      </c>
      <c r="I26" s="3639">
        <f>I306</f>
        <v>153.93</v>
      </c>
      <c r="J26" s="3639">
        <f>J306</f>
        <v>152.191</v>
      </c>
      <c r="K26" s="3639">
        <f>K306</f>
        <v>154.16899999999998</v>
      </c>
      <c r="L26" s="3639">
        <f>L306</f>
        <v>163.25200000000001</v>
      </c>
      <c r="M26" s="3640">
        <f>SUM(I26:L26)</f>
        <v>623.54199999999992</v>
      </c>
      <c r="N26" s="3639">
        <f>N306</f>
        <v>186.56400000000002</v>
      </c>
      <c r="O26" s="3639">
        <f>O306</f>
        <v>185.517</v>
      </c>
      <c r="P26" s="3639">
        <f>P306</f>
        <v>143.30700000000002</v>
      </c>
      <c r="Q26" s="3639">
        <f>Q306</f>
        <v>147.23500000000001</v>
      </c>
      <c r="R26" s="3640">
        <f>SUM(N26:Q26)</f>
        <v>662.62300000000005</v>
      </c>
      <c r="S26" s="3639">
        <f>S306</f>
        <v>144.10899999999998</v>
      </c>
      <c r="T26" s="3639">
        <f>T306</f>
        <v>144.38900000000001</v>
      </c>
      <c r="U26" s="3639">
        <f>U306</f>
        <v>142.536</v>
      </c>
      <c r="V26" s="3639">
        <f>V306</f>
        <v>141.625</v>
      </c>
      <c r="W26" s="3640">
        <f>SUM(S26:V26)</f>
        <v>572.65899999999999</v>
      </c>
      <c r="X26" s="3639">
        <f>X306</f>
        <v>139.839</v>
      </c>
      <c r="Y26" s="3639">
        <f>Y306</f>
        <v>135.46899999999999</v>
      </c>
      <c r="Z26" s="3639">
        <f>Z306</f>
        <v>136.11200000000002</v>
      </c>
      <c r="AA26" s="3639">
        <f>AA306</f>
        <v>132.99099999999999</v>
      </c>
      <c r="AB26" s="3640">
        <f>SUM(X26:AA26)</f>
        <v>544.41100000000006</v>
      </c>
      <c r="AC26" s="3639">
        <f>AC306</f>
        <v>124.779</v>
      </c>
      <c r="AD26" s="3639">
        <f>AD306</f>
        <v>122.21000000000001</v>
      </c>
      <c r="AE26" s="3639">
        <f>AE306</f>
        <v>119.386</v>
      </c>
      <c r="AF26" s="3639">
        <f>AF306</f>
        <v>120.23000000000002</v>
      </c>
      <c r="AG26" s="3640">
        <f>SUM(AC26:AF26)</f>
        <v>486.60500000000002</v>
      </c>
      <c r="AH26" s="3639">
        <f>AH306</f>
        <v>116.15900000000001</v>
      </c>
      <c r="AI26" s="3639">
        <f>AI306</f>
        <v>116.268</v>
      </c>
      <c r="AJ26" s="3639">
        <f>AJ306</f>
        <v>119.47699999999999</v>
      </c>
      <c r="AK26" s="3639">
        <f>AK306</f>
        <v>117.99799999999999</v>
      </c>
      <c r="AL26" s="3640">
        <f>SUM(AH26:AK26)</f>
        <v>469.90199999999999</v>
      </c>
      <c r="AM26" s="3639">
        <f>AM306</f>
        <v>114.876</v>
      </c>
      <c r="AN26" s="3639">
        <f>AN306</f>
        <v>113.26600000000002</v>
      </c>
      <c r="AO26" s="3639">
        <f>AO306</f>
        <v>115.12199999999999</v>
      </c>
      <c r="AP26" s="3639">
        <f>AP306</f>
        <v>115.854</v>
      </c>
      <c r="AQ26" s="3640">
        <f>SUM(AM26:AP26)</f>
        <v>459.11799999999999</v>
      </c>
      <c r="AR26" s="3639">
        <f>AR306</f>
        <v>116.303</v>
      </c>
      <c r="AS26" s="3639">
        <f>AS306</f>
        <v>114.452</v>
      </c>
      <c r="AT26" s="3639">
        <f>AT306</f>
        <v>114.51600000000001</v>
      </c>
      <c r="AU26" s="3639">
        <f>AU306</f>
        <v>117.29299999999999</v>
      </c>
      <c r="AV26" s="3640">
        <f>SUM(AR26:AU26)</f>
        <v>462.56400000000002</v>
      </c>
      <c r="AW26" s="3639">
        <f>AW306</f>
        <v>113.622</v>
      </c>
      <c r="AX26" s="3639">
        <f>AX306</f>
        <v>110.967</v>
      </c>
      <c r="AY26" s="3639">
        <f>AY306</f>
        <v>113.941</v>
      </c>
      <c r="AZ26" s="3639">
        <f>AZ306</f>
        <v>115.41600000000001</v>
      </c>
      <c r="BA26" s="3640">
        <f>SUM(AW26:AZ26)</f>
        <v>453.94599999999997</v>
      </c>
      <c r="BB26" s="3639">
        <f>BB306</f>
        <v>111.43600000000001</v>
      </c>
      <c r="BC26" s="3639">
        <f>BC306</f>
        <v>111.68900000000001</v>
      </c>
      <c r="BD26" s="3639">
        <f>BD306</f>
        <v>113.155</v>
      </c>
      <c r="BE26" s="3639">
        <f>BE306</f>
        <v>111.97499999999999</v>
      </c>
      <c r="BF26" s="3640">
        <f>SUM(BB26:BE26)</f>
        <v>448.255</v>
      </c>
      <c r="BG26" s="3639">
        <f>BG306</f>
        <v>111.42499999999998</v>
      </c>
      <c r="BH26" s="3639">
        <f>BH306</f>
        <v>110.85700000000001</v>
      </c>
      <c r="BI26" s="3639">
        <f>BI306</f>
        <v>115.761</v>
      </c>
      <c r="BJ26" s="3639">
        <f>BJ306</f>
        <v>114.751</v>
      </c>
      <c r="BK26" s="3640">
        <f>SUM(BG26:BJ26)</f>
        <v>452.79399999999998</v>
      </c>
      <c r="BL26" s="3639">
        <f>BL306</f>
        <v>114.127</v>
      </c>
      <c r="BM26" s="3639">
        <f>BM306</f>
        <v>111.76300000000001</v>
      </c>
      <c r="BN26" s="3639">
        <f>BN306</f>
        <v>112.70599999999999</v>
      </c>
      <c r="BO26" s="3639">
        <f>BO306</f>
        <v>132.851</v>
      </c>
      <c r="BP26" s="3640">
        <f>SUM(BL26:BO26)</f>
        <v>471.447</v>
      </c>
      <c r="BQ26" s="3639">
        <f>BQ306</f>
        <v>153.554</v>
      </c>
      <c r="BR26" s="3639">
        <f>BR306</f>
        <v>151.09</v>
      </c>
      <c r="BS26" s="3639">
        <f>BS306</f>
        <v>151.18199999999999</v>
      </c>
      <c r="BT26" s="3639">
        <f>BT306</f>
        <v>153.15200000000002</v>
      </c>
      <c r="BU26" s="3640">
        <f>SUM(BQ26:BT26)</f>
        <v>608.97800000000007</v>
      </c>
      <c r="BV26" s="3639">
        <f>BV306</f>
        <v>154.70565500000001</v>
      </c>
      <c r="BW26" s="3639">
        <f>BW306</f>
        <v>152.6009</v>
      </c>
      <c r="BX26" s="3639">
        <f>BX306</f>
        <v>152.69381999999999</v>
      </c>
      <c r="BY26" s="3639">
        <f>BY306</f>
        <v>154.68352000000002</v>
      </c>
      <c r="BZ26" s="3640">
        <f>SUM(BV26:BY26)</f>
        <v>614.68389500000001</v>
      </c>
      <c r="CA26" s="3642">
        <f t="shared" ref="CA26:CG26" si="54">CA306</f>
        <v>620.83073394999997</v>
      </c>
      <c r="CB26" s="3642">
        <f t="shared" si="54"/>
        <v>614.62242661049993</v>
      </c>
      <c r="CC26" s="288">
        <f t="shared" si="54"/>
        <v>596.18375381218493</v>
      </c>
      <c r="CD26" s="288">
        <f t="shared" si="54"/>
        <v>578.29824119781938</v>
      </c>
      <c r="CE26" s="288">
        <f t="shared" si="54"/>
        <v>584.08122360979758</v>
      </c>
      <c r="CF26" s="288">
        <f t="shared" si="54"/>
        <v>589.92203584589561</v>
      </c>
      <c r="CG26" s="288">
        <f t="shared" si="54"/>
        <v>595.82125620435454</v>
      </c>
      <c r="CH26" s="286"/>
      <c r="CI26" s="286"/>
      <c r="CJ26" s="965"/>
      <c r="CK26" s="286"/>
      <c r="CL26" s="286"/>
      <c r="CM26" s="965"/>
      <c r="CN26" s="965">
        <f>SUM(BV26:BY26)</f>
        <v>614.68389500000001</v>
      </c>
      <c r="CO26" s="965">
        <f>CM26-CN26</f>
        <v>-614.68389500000001</v>
      </c>
      <c r="CP26" s="1783" t="str">
        <f t="shared" si="20"/>
        <v>Las Vegas Locals Expenses</v>
      </c>
      <c r="CQ26" s="286">
        <f t="shared" si="21"/>
        <v>369.63600000000002</v>
      </c>
      <c r="CR26" s="286">
        <f t="shared" si="22"/>
        <v>623.54199999999992</v>
      </c>
      <c r="CS26" s="286">
        <f t="shared" si="23"/>
        <v>662.62300000000005</v>
      </c>
      <c r="CT26" s="286">
        <f t="shared" si="24"/>
        <v>572.65899999999999</v>
      </c>
      <c r="CU26" s="286">
        <f t="shared" si="25"/>
        <v>544.41100000000006</v>
      </c>
      <c r="CV26" s="286">
        <f t="shared" si="26"/>
        <v>486.60500000000002</v>
      </c>
      <c r="CW26" s="286">
        <f t="shared" si="27"/>
        <v>469.90199999999999</v>
      </c>
      <c r="CX26" s="286">
        <f t="shared" si="28"/>
        <v>459.11799999999999</v>
      </c>
      <c r="CY26" s="286">
        <f t="shared" si="29"/>
        <v>462.56400000000002</v>
      </c>
      <c r="CZ26" s="286">
        <f t="shared" si="30"/>
        <v>453.94599999999997</v>
      </c>
      <c r="DA26" s="286">
        <f t="shared" si="31"/>
        <v>448.255</v>
      </c>
      <c r="DB26" s="286">
        <f t="shared" si="32"/>
        <v>452.79399999999998</v>
      </c>
      <c r="DC26" s="286">
        <f t="shared" si="33"/>
        <v>471.447</v>
      </c>
      <c r="DD26" s="286">
        <f t="shared" si="34"/>
        <v>608.97800000000007</v>
      </c>
      <c r="DE26" s="286">
        <f t="shared" si="35"/>
        <v>614.68389500000001</v>
      </c>
      <c r="DF26" s="286">
        <f t="shared" si="36"/>
        <v>620.83073394999997</v>
      </c>
      <c r="DG26" s="288">
        <f t="shared" si="37"/>
        <v>614.62242661049993</v>
      </c>
      <c r="DH26" s="289"/>
      <c r="DI26" s="290"/>
      <c r="DJ26" s="290"/>
      <c r="DK26" s="290"/>
      <c r="DL26" s="290"/>
      <c r="DM26" s="290"/>
      <c r="DN26" s="290"/>
      <c r="DO26" s="291"/>
      <c r="DX26" s="1238"/>
      <c r="DY26" s="286"/>
      <c r="DZ26" s="286"/>
    </row>
    <row r="27" spans="1:130" ht="12.6" hidden="1" customHeight="1" outlineLevel="1">
      <c r="A27" s="3636" t="s">
        <v>766</v>
      </c>
      <c r="B27" s="3637"/>
      <c r="C27" s="3637"/>
      <c r="D27" s="3638">
        <f>D342</f>
        <v>49.581000000000003</v>
      </c>
      <c r="E27" s="3639">
        <f>E342</f>
        <v>50.168999999999997</v>
      </c>
      <c r="F27" s="3639">
        <f>F342</f>
        <v>49.571999999999996</v>
      </c>
      <c r="G27" s="3639">
        <f>G342</f>
        <v>51.358000000000004</v>
      </c>
      <c r="H27" s="3640">
        <f>SUM(D27:G27)</f>
        <v>200.68</v>
      </c>
      <c r="I27" s="3639">
        <f>I342</f>
        <v>51.655000000000001</v>
      </c>
      <c r="J27" s="3639">
        <f>J342</f>
        <v>52.834000000000003</v>
      </c>
      <c r="K27" s="3639">
        <f>K342</f>
        <v>52.531000000000006</v>
      </c>
      <c r="L27" s="3639">
        <f>L342</f>
        <v>52.043999999999997</v>
      </c>
      <c r="M27" s="3640">
        <f>SUM(I27:L27)</f>
        <v>209.06400000000002</v>
      </c>
      <c r="N27" s="3639">
        <f>N342</f>
        <v>50.514000000000003</v>
      </c>
      <c r="O27" s="3639">
        <f>O342</f>
        <v>52.160999999999994</v>
      </c>
      <c r="P27" s="3639">
        <f>P342</f>
        <v>48.561999999999998</v>
      </c>
      <c r="Q27" s="3639">
        <f>Q342</f>
        <v>51.971000000000004</v>
      </c>
      <c r="R27" s="3640">
        <f>SUM(N27:Q27)</f>
        <v>203.208</v>
      </c>
      <c r="S27" s="3639">
        <f>S342</f>
        <v>49.951999999999998</v>
      </c>
      <c r="T27" s="3639">
        <f>T342</f>
        <v>51.827999999999996</v>
      </c>
      <c r="U27" s="3639">
        <f>U342</f>
        <v>48.993000000000002</v>
      </c>
      <c r="V27" s="3639">
        <f>V342</f>
        <v>52.143000000000008</v>
      </c>
      <c r="W27" s="3640">
        <f>SUM(S27:V27)</f>
        <v>202.916</v>
      </c>
      <c r="X27" s="3639">
        <f>X342</f>
        <v>50.760000000000005</v>
      </c>
      <c r="Y27" s="3639">
        <f>Y342</f>
        <v>52.646000000000001</v>
      </c>
      <c r="Z27" s="3639">
        <f>Z342</f>
        <v>48.678000000000004</v>
      </c>
      <c r="AA27" s="3639">
        <f>AA342</f>
        <v>47.491</v>
      </c>
      <c r="AB27" s="3640">
        <f>SUM(X27:AA27)</f>
        <v>199.57499999999999</v>
      </c>
      <c r="AC27" s="3639">
        <f>AC342</f>
        <v>45.311</v>
      </c>
      <c r="AD27" s="3639">
        <f>AD342</f>
        <v>45.777000000000001</v>
      </c>
      <c r="AE27" s="3639">
        <f>AE342</f>
        <v>46.155999999999999</v>
      </c>
      <c r="AF27" s="3639">
        <f>AF342</f>
        <v>45.802</v>
      </c>
      <c r="AG27" s="3640">
        <f>SUM(AC27:AF27)</f>
        <v>183.04599999999999</v>
      </c>
      <c r="AH27" s="3639">
        <f>AH342</f>
        <v>45.634999999999998</v>
      </c>
      <c r="AI27" s="3639">
        <f>AI342</f>
        <v>45.872999999999998</v>
      </c>
      <c r="AJ27" s="3639">
        <f>AJ342</f>
        <v>46.219000000000001</v>
      </c>
      <c r="AK27" s="3639">
        <f>AK342</f>
        <v>46.267000000000003</v>
      </c>
      <c r="AL27" s="3640">
        <f>SUM(AH27:AK27)</f>
        <v>183.994</v>
      </c>
      <c r="AM27" s="3639">
        <f>AM342</f>
        <v>46.661999999999999</v>
      </c>
      <c r="AN27" s="3639">
        <f>AN342</f>
        <v>47.219000000000001</v>
      </c>
      <c r="AO27" s="3639">
        <f>AO342</f>
        <v>47.321999999999996</v>
      </c>
      <c r="AP27" s="3639">
        <f>AP342</f>
        <v>47.832000000000001</v>
      </c>
      <c r="AQ27" s="3640">
        <f>SUM(AM27:AP27)</f>
        <v>189.035</v>
      </c>
      <c r="AR27" s="3639">
        <f>AR342</f>
        <v>48.576000000000001</v>
      </c>
      <c r="AS27" s="3639">
        <f>AS342</f>
        <v>47.83</v>
      </c>
      <c r="AT27" s="3639">
        <f>AT342</f>
        <v>47.190999999999995</v>
      </c>
      <c r="AU27" s="3639">
        <f>AU342</f>
        <v>47.748999999999995</v>
      </c>
      <c r="AV27" s="3640">
        <f>SUM(AR27:AU27)</f>
        <v>191.346</v>
      </c>
      <c r="AW27" s="3639">
        <f>AW342</f>
        <v>46.972000000000001</v>
      </c>
      <c r="AX27" s="3639">
        <f>AX342</f>
        <v>46.831000000000003</v>
      </c>
      <c r="AY27" s="3639">
        <f>AY342</f>
        <v>47.14</v>
      </c>
      <c r="AZ27" s="3639">
        <f>AZ342</f>
        <v>46.737000000000002</v>
      </c>
      <c r="BA27" s="3640">
        <f>SUM(AW27:AZ27)</f>
        <v>187.67999999999998</v>
      </c>
      <c r="BB27" s="3639">
        <f>BB342</f>
        <v>46.405999999999999</v>
      </c>
      <c r="BC27" s="3639">
        <f>BC342</f>
        <v>47.000999999999998</v>
      </c>
      <c r="BD27" s="3639">
        <f>BD342</f>
        <v>47.064</v>
      </c>
      <c r="BE27" s="3639">
        <f>BE342</f>
        <v>46.494999999999997</v>
      </c>
      <c r="BF27" s="3640">
        <f>SUM(BB27:BE27)</f>
        <v>186.96600000000001</v>
      </c>
      <c r="BG27" s="3639">
        <f>BG342</f>
        <v>45.926000000000002</v>
      </c>
      <c r="BH27" s="3639">
        <f>BH342</f>
        <v>46.126999999999995</v>
      </c>
      <c r="BI27" s="3639">
        <f>BI342</f>
        <v>46.541000000000004</v>
      </c>
      <c r="BJ27" s="3639">
        <f>BJ342</f>
        <v>46.283000000000001</v>
      </c>
      <c r="BK27" s="3640">
        <f>SUM(BG27:BJ27)</f>
        <v>184.87700000000001</v>
      </c>
      <c r="BL27" s="3639">
        <f>BL342</f>
        <v>45.923999999999999</v>
      </c>
      <c r="BM27" s="3639">
        <f>BM342</f>
        <v>44.949000000000005</v>
      </c>
      <c r="BN27" s="3639">
        <f>BN342</f>
        <v>46.588000000000001</v>
      </c>
      <c r="BO27" s="3639">
        <f>BO342</f>
        <v>46.504000000000005</v>
      </c>
      <c r="BP27" s="3640">
        <f>SUM(BL27:BO27)</f>
        <v>183.96500000000003</v>
      </c>
      <c r="BQ27" s="3639">
        <f>BQ342</f>
        <v>47.106000000000002</v>
      </c>
      <c r="BR27" s="3639">
        <f>BR342</f>
        <v>46.978000000000002</v>
      </c>
      <c r="BS27" s="3639">
        <f>BS342</f>
        <v>47.295999999999999</v>
      </c>
      <c r="BT27" s="3639">
        <f>BT342</f>
        <v>47.628000000000007</v>
      </c>
      <c r="BU27" s="3640">
        <f>SUM(BQ27:BT27)</f>
        <v>189.00800000000001</v>
      </c>
      <c r="BV27" s="3639">
        <f>BV342</f>
        <v>47.341529999999999</v>
      </c>
      <c r="BW27" s="3639">
        <f>BW342</f>
        <v>47.212889999999994</v>
      </c>
      <c r="BX27" s="3639">
        <f>BX342</f>
        <v>47.8872</v>
      </c>
      <c r="BY27" s="3639">
        <f>BY342</f>
        <v>48.223350000000003</v>
      </c>
      <c r="BZ27" s="3640">
        <f>SUM(BV27:BY27)</f>
        <v>190.66497000000001</v>
      </c>
      <c r="CA27" s="3642">
        <f t="shared" ref="CA27:CG27" si="55">CA342</f>
        <v>192.57161970000001</v>
      </c>
      <c r="CB27" s="3642">
        <f t="shared" si="55"/>
        <v>190.645903503</v>
      </c>
      <c r="CC27" s="288">
        <f t="shared" si="55"/>
        <v>184.92652639790998</v>
      </c>
      <c r="CD27" s="288">
        <f t="shared" si="55"/>
        <v>179.37873060597266</v>
      </c>
      <c r="CE27" s="288">
        <f t="shared" si="55"/>
        <v>181.17251791203239</v>
      </c>
      <c r="CF27" s="288">
        <f t="shared" si="55"/>
        <v>182.98424309115271</v>
      </c>
      <c r="CG27" s="288">
        <f t="shared" si="55"/>
        <v>184.81408552206423</v>
      </c>
      <c r="CH27" s="286"/>
      <c r="CI27" s="286"/>
      <c r="CJ27" s="965"/>
      <c r="CK27" s="286"/>
      <c r="CL27" s="286"/>
      <c r="CM27" s="965"/>
      <c r="CN27" s="965">
        <f>SUM(BV27:BY27)</f>
        <v>190.66497000000001</v>
      </c>
      <c r="CO27" s="965">
        <f>CM27-CN27</f>
        <v>-190.66497000000001</v>
      </c>
      <c r="CP27" s="1783" t="str">
        <f t="shared" si="20"/>
        <v>Downtown Properties Expenses</v>
      </c>
      <c r="CQ27" s="286">
        <f t="shared" si="21"/>
        <v>200.68</v>
      </c>
      <c r="CR27" s="286">
        <f t="shared" si="22"/>
        <v>209.06400000000002</v>
      </c>
      <c r="CS27" s="286">
        <f t="shared" si="23"/>
        <v>203.208</v>
      </c>
      <c r="CT27" s="286">
        <f t="shared" si="24"/>
        <v>202.916</v>
      </c>
      <c r="CU27" s="286">
        <f t="shared" si="25"/>
        <v>199.57499999999999</v>
      </c>
      <c r="CV27" s="286">
        <f t="shared" si="26"/>
        <v>183.04599999999999</v>
      </c>
      <c r="CW27" s="286">
        <f t="shared" si="27"/>
        <v>183.994</v>
      </c>
      <c r="CX27" s="286">
        <f t="shared" si="28"/>
        <v>189.035</v>
      </c>
      <c r="CY27" s="286">
        <f t="shared" si="29"/>
        <v>191.346</v>
      </c>
      <c r="CZ27" s="286">
        <f t="shared" si="30"/>
        <v>187.67999999999998</v>
      </c>
      <c r="DA27" s="286">
        <f t="shared" si="31"/>
        <v>186.96600000000001</v>
      </c>
      <c r="DB27" s="286">
        <f t="shared" si="32"/>
        <v>184.87700000000001</v>
      </c>
      <c r="DC27" s="286">
        <f t="shared" si="33"/>
        <v>183.96500000000003</v>
      </c>
      <c r="DD27" s="286">
        <f t="shared" si="34"/>
        <v>189.00800000000001</v>
      </c>
      <c r="DE27" s="286">
        <f t="shared" si="35"/>
        <v>190.66497000000001</v>
      </c>
      <c r="DF27" s="286">
        <f t="shared" si="36"/>
        <v>192.57161970000001</v>
      </c>
      <c r="DG27" s="288">
        <f t="shared" si="37"/>
        <v>190.645903503</v>
      </c>
      <c r="DH27" s="289"/>
      <c r="DI27" s="290"/>
      <c r="DJ27" s="290"/>
      <c r="DK27" s="290"/>
      <c r="DL27" s="290"/>
      <c r="DM27" s="290"/>
      <c r="DN27" s="290"/>
      <c r="DO27" s="291"/>
      <c r="DX27" s="1238"/>
      <c r="DY27" s="286"/>
      <c r="DZ27" s="286"/>
    </row>
    <row r="28" spans="1:130" ht="12.6" hidden="1" customHeight="1" outlineLevel="1">
      <c r="A28" s="3634" t="s">
        <v>1537</v>
      </c>
      <c r="B28" s="3637"/>
      <c r="C28" s="3637"/>
      <c r="D28" s="3638"/>
      <c r="E28" s="3639"/>
      <c r="F28" s="3639"/>
      <c r="G28" s="3639"/>
      <c r="H28" s="3640"/>
      <c r="I28" s="3639"/>
      <c r="J28" s="3639"/>
      <c r="K28" s="3639"/>
      <c r="L28" s="3639"/>
      <c r="M28" s="3640"/>
      <c r="N28" s="3639"/>
      <c r="O28" s="3639"/>
      <c r="P28" s="3639"/>
      <c r="Q28" s="3639"/>
      <c r="R28" s="3640"/>
      <c r="S28" s="3639"/>
      <c r="T28" s="3639"/>
      <c r="U28" s="3639"/>
      <c r="V28" s="3639"/>
      <c r="W28" s="3640"/>
      <c r="X28" s="3639"/>
      <c r="Y28" s="3639"/>
      <c r="Z28" s="3639"/>
      <c r="AA28" s="3639"/>
      <c r="AB28" s="3640"/>
      <c r="AC28" s="3639"/>
      <c r="AD28" s="3639"/>
      <c r="AE28" s="3639"/>
      <c r="AF28" s="3639"/>
      <c r="AG28" s="3640"/>
      <c r="AH28" s="3639">
        <f>AH33-AH26-AH27-AH30</f>
        <v>14.573000000000064</v>
      </c>
      <c r="AI28" s="3639">
        <f>AI924</f>
        <v>143.93199999999999</v>
      </c>
      <c r="AJ28" s="3639">
        <f>AJ924</f>
        <v>153.36799999999999</v>
      </c>
      <c r="AK28" s="3639">
        <f>AK924</f>
        <v>134.65700000000001</v>
      </c>
      <c r="AL28" s="3640">
        <f>SUM(AH28:AK28)</f>
        <v>446.53000000000009</v>
      </c>
      <c r="AM28" s="3639">
        <f>AM924</f>
        <v>137.40800000000002</v>
      </c>
      <c r="AN28" s="3639">
        <f>AN924</f>
        <v>144.09899999999999</v>
      </c>
      <c r="AO28" s="3639">
        <f>AO924</f>
        <v>152.078</v>
      </c>
      <c r="AP28" s="3639">
        <f>AP924</f>
        <v>138.55000000000001</v>
      </c>
      <c r="AQ28" s="3640">
        <f>SUM(AM28:AP28)</f>
        <v>572.13499999999999</v>
      </c>
      <c r="AR28" s="3639">
        <f>AR924</f>
        <v>137.26900000000001</v>
      </c>
      <c r="AS28" s="3639">
        <f>AS924</f>
        <v>144.68099999999998</v>
      </c>
      <c r="AT28" s="3639">
        <f>AT924</f>
        <v>153.74100000000001</v>
      </c>
      <c r="AU28" s="3639">
        <f>AU924</f>
        <v>133.55500000000001</v>
      </c>
      <c r="AV28" s="3640">
        <f>SUM(AR28:AU28)</f>
        <v>569.24600000000009</v>
      </c>
      <c r="AW28" s="3639"/>
      <c r="AX28" s="3639"/>
      <c r="AY28" s="3639"/>
      <c r="AZ28" s="3639"/>
      <c r="BA28" s="3640"/>
      <c r="BB28" s="3639"/>
      <c r="BC28" s="3639"/>
      <c r="BD28" s="3639"/>
      <c r="BE28" s="3639"/>
      <c r="BF28" s="3640"/>
      <c r="BG28" s="3639"/>
      <c r="BH28" s="3639"/>
      <c r="BI28" s="3639"/>
      <c r="BJ28" s="3639"/>
      <c r="BK28" s="3640"/>
      <c r="BL28" s="3639"/>
      <c r="BM28" s="3639"/>
      <c r="BN28" s="3639"/>
      <c r="BO28" s="3639"/>
      <c r="BP28" s="3640"/>
      <c r="BQ28" s="3639"/>
      <c r="BR28" s="3639"/>
      <c r="BS28" s="3639"/>
      <c r="BT28" s="3639"/>
      <c r="BU28" s="3640"/>
      <c r="BV28" s="3639"/>
      <c r="BW28" s="3639"/>
      <c r="BX28" s="3639"/>
      <c r="BY28" s="3639"/>
      <c r="BZ28" s="3640"/>
      <c r="CA28" s="3642"/>
      <c r="CB28" s="3642"/>
      <c r="CC28" s="288"/>
      <c r="CD28" s="288"/>
      <c r="CE28" s="288"/>
      <c r="CF28" s="288"/>
      <c r="CG28" s="288"/>
      <c r="CH28" s="286"/>
      <c r="CI28" s="286"/>
      <c r="CJ28" s="286"/>
      <c r="CK28" s="286"/>
      <c r="CL28" s="286"/>
      <c r="CM28" s="286"/>
      <c r="CN28" s="286"/>
      <c r="CO28" s="286"/>
      <c r="CP28" s="972" t="str">
        <f t="shared" si="20"/>
        <v>Atlantic City / Borgata</v>
      </c>
      <c r="CQ28" s="286"/>
      <c r="CR28" s="286"/>
      <c r="CS28" s="286"/>
      <c r="CT28" s="286"/>
      <c r="CU28" s="286"/>
      <c r="CV28" s="286"/>
      <c r="CW28" s="286">
        <f t="shared" si="27"/>
        <v>446.53000000000009</v>
      </c>
      <c r="CX28" s="286">
        <f t="shared" si="28"/>
        <v>572.13499999999999</v>
      </c>
      <c r="CY28" s="286">
        <f t="shared" si="29"/>
        <v>569.24600000000009</v>
      </c>
      <c r="CZ28" s="286">
        <f t="shared" si="30"/>
        <v>0</v>
      </c>
      <c r="DA28" s="286">
        <f t="shared" si="31"/>
        <v>0</v>
      </c>
      <c r="DB28" s="286">
        <f t="shared" si="32"/>
        <v>0</v>
      </c>
      <c r="DC28" s="286">
        <f t="shared" si="33"/>
        <v>0</v>
      </c>
      <c r="DD28" s="286">
        <f t="shared" si="34"/>
        <v>0</v>
      </c>
      <c r="DE28" s="286">
        <f t="shared" si="35"/>
        <v>0</v>
      </c>
      <c r="DF28" s="286">
        <f t="shared" si="36"/>
        <v>0</v>
      </c>
      <c r="DG28" s="288">
        <f t="shared" si="37"/>
        <v>0</v>
      </c>
      <c r="DH28" s="289"/>
      <c r="DI28" s="290"/>
      <c r="DJ28" s="290"/>
      <c r="DK28" s="290"/>
      <c r="DL28" s="290"/>
      <c r="DM28" s="290"/>
      <c r="DN28" s="290"/>
      <c r="DO28" s="291"/>
      <c r="DX28" s="1238"/>
      <c r="DY28" s="286"/>
      <c r="DZ28" s="286"/>
    </row>
    <row r="29" spans="1:130" ht="12.6" hidden="1" customHeight="1" outlineLevel="1">
      <c r="A29" s="3594" t="s">
        <v>517</v>
      </c>
      <c r="B29" s="3637"/>
      <c r="C29" s="3637"/>
      <c r="D29" s="3638"/>
      <c r="E29" s="3639"/>
      <c r="F29" s="3639"/>
      <c r="G29" s="3639"/>
      <c r="H29" s="3640"/>
      <c r="I29" s="3639"/>
      <c r="J29" s="3639"/>
      <c r="K29" s="3639"/>
      <c r="L29" s="3639"/>
      <c r="M29" s="3640"/>
      <c r="N29" s="3639"/>
      <c r="O29" s="3639"/>
      <c r="P29" s="3639"/>
      <c r="Q29" s="3639"/>
      <c r="R29" s="3640"/>
      <c r="S29" s="3639"/>
      <c r="T29" s="3639"/>
      <c r="U29" s="3639"/>
      <c r="V29" s="3639"/>
      <c r="W29" s="3640"/>
      <c r="X29" s="3639"/>
      <c r="Y29" s="3639"/>
      <c r="Z29" s="3639"/>
      <c r="AA29" s="3639"/>
      <c r="AB29" s="3640"/>
      <c r="AC29" s="3639"/>
      <c r="AD29" s="3639"/>
      <c r="AE29" s="3639"/>
      <c r="AF29" s="3639"/>
      <c r="AG29" s="3640"/>
      <c r="AH29" s="3639"/>
      <c r="AI29" s="3639"/>
      <c r="AJ29" s="3639"/>
      <c r="AK29" s="3639"/>
      <c r="AL29" s="3640"/>
      <c r="AM29" s="3639"/>
      <c r="AN29" s="3639"/>
      <c r="AO29" s="3639"/>
      <c r="AP29" s="3639"/>
      <c r="AQ29" s="3640"/>
      <c r="AR29" s="3639"/>
      <c r="AS29" s="3639"/>
      <c r="AT29" s="3639"/>
      <c r="AU29" s="3639">
        <f>AU14-AU42</f>
        <v>35.772999999999996</v>
      </c>
      <c r="AV29" s="3640">
        <f>SUM(AR29:AU29)</f>
        <v>35.772999999999996</v>
      </c>
      <c r="AW29" s="3639">
        <f>AW14-AW42</f>
        <v>83.201000000000008</v>
      </c>
      <c r="AX29" s="3639">
        <f>AX14-AX42</f>
        <v>87.456999999999994</v>
      </c>
      <c r="AY29" s="3639">
        <f>AY14-AY42</f>
        <v>85.448000000000008</v>
      </c>
      <c r="AZ29" s="3639">
        <f>AZ14-AZ42</f>
        <v>78.954000000000008</v>
      </c>
      <c r="BA29" s="3640">
        <f>SUM(AW29:AZ29)</f>
        <v>335.06</v>
      </c>
      <c r="BB29" s="3639">
        <f>BB14-BB42</f>
        <v>77.512</v>
      </c>
      <c r="BC29" s="3639">
        <f>BC14-BC42</f>
        <v>82.472000000000023</v>
      </c>
      <c r="BD29" s="3639">
        <f>BD14-BD42</f>
        <v>80.703000000000003</v>
      </c>
      <c r="BE29" s="3639">
        <f>BE14-BE42</f>
        <v>78.084000000000003</v>
      </c>
      <c r="BF29" s="3640">
        <f>SUM(BB29:BE29)</f>
        <v>318.77100000000007</v>
      </c>
      <c r="BG29" s="3639">
        <f>BG14-BG42</f>
        <v>79.546000000000006</v>
      </c>
      <c r="BH29" s="3639">
        <f>BH14-BH42</f>
        <v>81.458000000000013</v>
      </c>
      <c r="BI29" s="3639">
        <f>BI14-BI42</f>
        <v>80.177000000000021</v>
      </c>
      <c r="BJ29" s="3639">
        <f>BJ14-BJ42</f>
        <v>77.544999999999987</v>
      </c>
      <c r="BK29" s="3640">
        <f>SUM(BG29:BJ29)</f>
        <v>318.726</v>
      </c>
      <c r="BL29" s="3639">
        <f>BL14-BL42</f>
        <v>79.078000000000003</v>
      </c>
      <c r="BM29" s="3639">
        <f>BM14-BM42</f>
        <v>78.197000000000003</v>
      </c>
      <c r="BN29" s="3639">
        <f>BN14-BN42</f>
        <v>0</v>
      </c>
      <c r="BO29" s="3639">
        <f>BO14-BO42</f>
        <v>0</v>
      </c>
      <c r="BP29" s="3640">
        <f>SUM(BL29:BO29)</f>
        <v>157.27500000000001</v>
      </c>
      <c r="BQ29" s="3639">
        <f>BQ14-BQ42</f>
        <v>0</v>
      </c>
      <c r="BR29" s="3639">
        <f>BR14-BR42</f>
        <v>0</v>
      </c>
      <c r="BS29" s="3639">
        <f>BS14-BS42</f>
        <v>0</v>
      </c>
      <c r="BT29" s="3639">
        <f>BT14-BT42</f>
        <v>0</v>
      </c>
      <c r="BU29" s="3640">
        <f>SUM(BQ29:BT29)</f>
        <v>0</v>
      </c>
      <c r="BV29" s="3639">
        <f>BV14-BV42</f>
        <v>0</v>
      </c>
      <c r="BW29" s="3639">
        <f>BW14-BW42</f>
        <v>0</v>
      </c>
      <c r="BX29" s="3639">
        <f>BX14-BX42</f>
        <v>0</v>
      </c>
      <c r="BY29" s="3639">
        <f>BY14-BY42</f>
        <v>0</v>
      </c>
      <c r="BZ29" s="3640">
        <f>SUM(BV29:BY29)</f>
        <v>0</v>
      </c>
      <c r="CA29" s="3642">
        <f t="shared" ref="CA29:CG29" si="56">CA14-CA42</f>
        <v>0</v>
      </c>
      <c r="CB29" s="3642">
        <f t="shared" si="56"/>
        <v>0</v>
      </c>
      <c r="CC29" s="288">
        <f t="shared" si="56"/>
        <v>0</v>
      </c>
      <c r="CD29" s="288">
        <f t="shared" si="56"/>
        <v>0</v>
      </c>
      <c r="CE29" s="288">
        <f t="shared" si="56"/>
        <v>0</v>
      </c>
      <c r="CF29" s="288">
        <f t="shared" si="56"/>
        <v>0</v>
      </c>
      <c r="CG29" s="288">
        <f t="shared" si="56"/>
        <v>0</v>
      </c>
      <c r="CH29" s="286"/>
      <c r="CI29" s="286"/>
      <c r="CJ29" s="965"/>
      <c r="CK29" s="286"/>
      <c r="CL29" s="286"/>
      <c r="CM29" s="965"/>
      <c r="CN29" s="965">
        <f>SUM(BV29:BY29)</f>
        <v>0</v>
      </c>
      <c r="CO29" s="965">
        <f>CM29-CN29</f>
        <v>0</v>
      </c>
      <c r="CP29" s="972" t="str">
        <f t="shared" si="20"/>
        <v>Peninsula Gaming</v>
      </c>
      <c r="CQ29" s="286"/>
      <c r="CR29" s="286"/>
      <c r="CS29" s="286"/>
      <c r="CT29" s="286"/>
      <c r="CU29" s="286"/>
      <c r="CV29" s="286"/>
      <c r="CW29" s="286"/>
      <c r="CX29" s="286"/>
      <c r="CY29" s="286">
        <f>AV29</f>
        <v>35.772999999999996</v>
      </c>
      <c r="CZ29" s="286">
        <f>BA29</f>
        <v>335.06</v>
      </c>
      <c r="DA29" s="286">
        <f>BF29</f>
        <v>318.77100000000007</v>
      </c>
      <c r="DB29" s="286">
        <f>BK29</f>
        <v>318.726</v>
      </c>
      <c r="DC29" s="286">
        <f>BP29</f>
        <v>157.27500000000001</v>
      </c>
      <c r="DD29" s="286">
        <f>BU29</f>
        <v>0</v>
      </c>
      <c r="DE29" s="286">
        <f>BZ29</f>
        <v>0</v>
      </c>
      <c r="DF29" s="286">
        <f>CA29</f>
        <v>0</v>
      </c>
      <c r="DG29" s="288">
        <f>CB29</f>
        <v>0</v>
      </c>
      <c r="DH29" s="289"/>
      <c r="DI29" s="290"/>
      <c r="DJ29" s="290"/>
      <c r="DK29" s="290"/>
      <c r="DL29" s="290"/>
      <c r="DM29" s="290"/>
      <c r="DN29" s="290"/>
      <c r="DO29" s="291"/>
      <c r="DX29" s="1238"/>
      <c r="DY29" s="286"/>
      <c r="DZ29" s="286"/>
    </row>
    <row r="30" spans="1:130" ht="12.6" hidden="1" customHeight="1" outlineLevel="1">
      <c r="A30" s="3636" t="s">
        <v>767</v>
      </c>
      <c r="B30" s="3643"/>
      <c r="C30" s="3643"/>
      <c r="D30" s="3638">
        <f>D503</f>
        <v>140.31299999999999</v>
      </c>
      <c r="E30" s="3639">
        <f>E503</f>
        <v>151.21899999999999</v>
      </c>
      <c r="F30" s="3639">
        <f>F503</f>
        <v>171.52</v>
      </c>
      <c r="G30" s="3639">
        <f>G503</f>
        <v>164.28899999999999</v>
      </c>
      <c r="H30" s="3640">
        <f>SUM(D30:G30)</f>
        <v>627.34100000000001</v>
      </c>
      <c r="I30" s="3639">
        <f>I503</f>
        <v>169.215</v>
      </c>
      <c r="J30" s="3639">
        <f>J503</f>
        <v>167.173</v>
      </c>
      <c r="K30" s="3639">
        <f>K503</f>
        <v>160.00400000000002</v>
      </c>
      <c r="L30" s="3639">
        <f>L503</f>
        <v>145.25599999999997</v>
      </c>
      <c r="M30" s="3640">
        <f>SUM(I30:L30)</f>
        <v>641.64800000000002</v>
      </c>
      <c r="N30" s="3639">
        <f>N503</f>
        <v>178.14600000000002</v>
      </c>
      <c r="O30" s="3639">
        <f>O503</f>
        <v>180.65199999999999</v>
      </c>
      <c r="P30" s="3639">
        <f>P503</f>
        <v>176.65199999999999</v>
      </c>
      <c r="Q30" s="3639">
        <f>Q503</f>
        <v>172.19399999999999</v>
      </c>
      <c r="R30" s="3640">
        <f>SUM(N30:Q30)</f>
        <v>707.64400000000001</v>
      </c>
      <c r="S30" s="3639">
        <f>S503</f>
        <v>177.22799999999998</v>
      </c>
      <c r="T30" s="3639">
        <f>T503</f>
        <v>177.09399999999999</v>
      </c>
      <c r="U30" s="3639">
        <f>U503</f>
        <v>170.44499999999999</v>
      </c>
      <c r="V30" s="3639">
        <f>V503</f>
        <v>153.357</v>
      </c>
      <c r="W30" s="3640">
        <f>SUM(S30:V30)</f>
        <v>678.12400000000002</v>
      </c>
      <c r="X30" s="3639">
        <f>X503</f>
        <v>158.096</v>
      </c>
      <c r="Y30" s="3639">
        <f>Y503</f>
        <v>154.56099999999998</v>
      </c>
      <c r="Z30" s="3639">
        <f>Z503</f>
        <v>149.98099999999999</v>
      </c>
      <c r="AA30" s="3639">
        <f>AA503</f>
        <v>148.72900000000001</v>
      </c>
      <c r="AB30" s="3640">
        <f>SUM(X30:AA30)</f>
        <v>611.36699999999996</v>
      </c>
      <c r="AC30" s="3639">
        <f>AC503</f>
        <v>158.06</v>
      </c>
      <c r="AD30" s="3639">
        <f>AD503</f>
        <v>154.99299999999999</v>
      </c>
      <c r="AE30" s="3639">
        <f>AE503</f>
        <v>151.1</v>
      </c>
      <c r="AF30" s="3639">
        <f>AF503</f>
        <v>143.852</v>
      </c>
      <c r="AG30" s="3640">
        <f>SUM(AC30:AF30)</f>
        <v>608.005</v>
      </c>
      <c r="AH30" s="3639">
        <f>AH503</f>
        <v>146.52700000000002</v>
      </c>
      <c r="AI30" s="3639">
        <f>AI503</f>
        <v>146.12899999999999</v>
      </c>
      <c r="AJ30" s="3639">
        <f>AJ503</f>
        <v>150.28800000000001</v>
      </c>
      <c r="AK30" s="3639">
        <f>AK503</f>
        <v>142.12299999999999</v>
      </c>
      <c r="AL30" s="3640">
        <f>SUM(AH30:AK30)</f>
        <v>585.06700000000001</v>
      </c>
      <c r="AM30" s="3639">
        <f>AM503</f>
        <v>142.91899999999998</v>
      </c>
      <c r="AN30" s="3639">
        <f>AN503</f>
        <v>139.47499999999999</v>
      </c>
      <c r="AO30" s="3639">
        <f>AO503</f>
        <v>143.38200000000001</v>
      </c>
      <c r="AP30" s="3639">
        <f>AP503</f>
        <v>178.477</v>
      </c>
      <c r="AQ30" s="3640">
        <f>SUM(AM30:AP30)</f>
        <v>604.25300000000004</v>
      </c>
      <c r="AR30" s="3639">
        <f>AR503</f>
        <v>185.59200000000001</v>
      </c>
      <c r="AS30" s="3639">
        <f>AS503</f>
        <v>182.72500000000002</v>
      </c>
      <c r="AT30" s="3639">
        <f>AT503</f>
        <v>184.25700000000001</v>
      </c>
      <c r="AU30" s="3639">
        <f>AU503</f>
        <v>260.57399999999996</v>
      </c>
      <c r="AV30" s="3640">
        <f>SUM(AR30:AU30)</f>
        <v>813.14800000000002</v>
      </c>
      <c r="AW30" s="3639">
        <f>AW503</f>
        <v>262.63599999999997</v>
      </c>
      <c r="AX30" s="3639">
        <f>AX503</f>
        <v>263.10500000000002</v>
      </c>
      <c r="AY30" s="3639">
        <f>AY503</f>
        <v>258.34299999999996</v>
      </c>
      <c r="AZ30" s="3639">
        <f>AZ503</f>
        <v>235.24600000000004</v>
      </c>
      <c r="BA30" s="3640">
        <f>SUM(AW30:AZ30)</f>
        <v>1019.3299999999999</v>
      </c>
      <c r="BB30" s="3639">
        <f>BB503</f>
        <v>245.04999999999998</v>
      </c>
      <c r="BC30" s="3639">
        <f>BC503</f>
        <v>249.37700000000007</v>
      </c>
      <c r="BD30" s="3639">
        <f>BD503</f>
        <v>247.84199999999998</v>
      </c>
      <c r="BE30" s="3639">
        <f>BE503</f>
        <v>238.00200000000001</v>
      </c>
      <c r="BF30" s="3640">
        <f>SUM(BB30:BE30)</f>
        <v>980.27099999999996</v>
      </c>
      <c r="BG30" s="3639">
        <f>BG503</f>
        <v>246.32599999999999</v>
      </c>
      <c r="BH30" s="3639">
        <f>BH503</f>
        <v>247.458</v>
      </c>
      <c r="BI30" s="3639">
        <f>BI503</f>
        <v>245.25899999999999</v>
      </c>
      <c r="BJ30" s="3639">
        <f>BJ503</f>
        <v>235.14799999999997</v>
      </c>
      <c r="BK30" s="3640">
        <f>SUM(BG30:BJ30)</f>
        <v>974.19100000000003</v>
      </c>
      <c r="BL30" s="3639">
        <f>BL503</f>
        <v>239.45</v>
      </c>
      <c r="BM30" s="3639">
        <f>BM503</f>
        <v>235.97800000000001</v>
      </c>
      <c r="BN30" s="3639">
        <f>+BN16-BN44</f>
        <v>235.78300000000002</v>
      </c>
      <c r="BO30" s="3639">
        <f>+BO16-BO44</f>
        <v>221.14699999999999</v>
      </c>
      <c r="BP30" s="3640">
        <f>SUM(BL30:BO30)</f>
        <v>932.35799999999995</v>
      </c>
      <c r="BQ30" s="3639">
        <f t="shared" ref="BQ30:CB30" si="57">+BQ16-BQ44</f>
        <v>230.71600000000001</v>
      </c>
      <c r="BR30" s="3639">
        <f t="shared" si="57"/>
        <v>232.41800000000001</v>
      </c>
      <c r="BS30" s="3639">
        <f t="shared" si="57"/>
        <v>231.43599999999998</v>
      </c>
      <c r="BT30" s="3639">
        <f t="shared" si="57"/>
        <v>222.48000000000002</v>
      </c>
      <c r="BU30" s="3640">
        <f>SUM(BQ30:BT30)</f>
        <v>917.05</v>
      </c>
      <c r="BV30" s="3639">
        <f t="shared" ref="BV30:BY30" si="58">+BV16-BV44</f>
        <v>231.29279</v>
      </c>
      <c r="BW30" s="3639">
        <f t="shared" si="58"/>
        <v>231.83695500000002</v>
      </c>
      <c r="BX30" s="3639">
        <f t="shared" si="58"/>
        <v>374.2503453143654</v>
      </c>
      <c r="BY30" s="3639">
        <f t="shared" si="58"/>
        <v>359.66009804354348</v>
      </c>
      <c r="BZ30" s="3640">
        <f>SUM(BV30:BY30)</f>
        <v>1197.0401883579088</v>
      </c>
      <c r="CA30" s="3642">
        <f t="shared" si="57"/>
        <v>1488.5480674321982</v>
      </c>
      <c r="CB30" s="3642">
        <f t="shared" si="57"/>
        <v>1488.5480674321982</v>
      </c>
      <c r="CC30" s="288">
        <f t="shared" ref="CC30:CG30" si="59">CC503</f>
        <v>1443.8916254092321</v>
      </c>
      <c r="CD30" s="288">
        <f t="shared" si="59"/>
        <v>1400.5748766469551</v>
      </c>
      <c r="CE30" s="288">
        <f t="shared" si="59"/>
        <v>1414.5806254134247</v>
      </c>
      <c r="CF30" s="288">
        <f t="shared" si="59"/>
        <v>1428.7264316675589</v>
      </c>
      <c r="CG30" s="288">
        <f t="shared" si="59"/>
        <v>1443.0136959842346</v>
      </c>
      <c r="CH30" s="295"/>
      <c r="CI30" s="295"/>
      <c r="CJ30" s="965"/>
      <c r="CK30" s="295"/>
      <c r="CL30" s="295"/>
      <c r="CM30" s="965"/>
      <c r="CN30" s="965">
        <f>SUM(BV30:BY30)</f>
        <v>1197.0401883579088</v>
      </c>
      <c r="CO30" s="965">
        <f>CM30-CN30</f>
        <v>-1197.0401883579088</v>
      </c>
      <c r="CP30" s="1783" t="str">
        <f t="shared" si="20"/>
        <v>Midwest &amp; South Expenses</v>
      </c>
      <c r="CQ30" s="286">
        <f t="shared" si="21"/>
        <v>627.34100000000001</v>
      </c>
      <c r="CR30" s="286">
        <f t="shared" si="22"/>
        <v>641.64800000000002</v>
      </c>
      <c r="CS30" s="286">
        <f t="shared" si="23"/>
        <v>707.64400000000001</v>
      </c>
      <c r="CT30" s="286">
        <f t="shared" si="24"/>
        <v>678.12400000000002</v>
      </c>
      <c r="CU30" s="286">
        <f t="shared" si="25"/>
        <v>611.36699999999996</v>
      </c>
      <c r="CV30" s="286">
        <f t="shared" si="26"/>
        <v>608.005</v>
      </c>
      <c r="CW30" s="286">
        <f t="shared" si="27"/>
        <v>585.06700000000001</v>
      </c>
      <c r="CX30" s="286">
        <f t="shared" si="28"/>
        <v>604.25300000000004</v>
      </c>
      <c r="CY30" s="286">
        <f t="shared" si="29"/>
        <v>813.14800000000002</v>
      </c>
      <c r="CZ30" s="286">
        <f t="shared" si="30"/>
        <v>1019.3299999999999</v>
      </c>
      <c r="DA30" s="286">
        <f t="shared" si="31"/>
        <v>980.27099999999996</v>
      </c>
      <c r="DB30" s="286">
        <f t="shared" si="32"/>
        <v>974.19100000000003</v>
      </c>
      <c r="DC30" s="286">
        <f t="shared" si="33"/>
        <v>932.35799999999995</v>
      </c>
      <c r="DD30" s="286">
        <f t="shared" si="34"/>
        <v>917.05</v>
      </c>
      <c r="DE30" s="286">
        <f t="shared" si="35"/>
        <v>1197.0401883579088</v>
      </c>
      <c r="DF30" s="286">
        <f t="shared" si="36"/>
        <v>1488.5480674321982</v>
      </c>
      <c r="DG30" s="288">
        <f t="shared" si="37"/>
        <v>1488.5480674321982</v>
      </c>
      <c r="DH30" s="298"/>
      <c r="DI30" s="299"/>
      <c r="DJ30" s="299"/>
      <c r="DK30" s="299"/>
      <c r="DL30" s="299"/>
      <c r="DM30" s="299"/>
      <c r="DN30" s="299"/>
      <c r="DO30" s="300"/>
      <c r="DX30" s="1238"/>
      <c r="DY30" s="286"/>
      <c r="DZ30" s="286"/>
    </row>
    <row r="31" spans="1:130" ht="12.6" hidden="1" customHeight="1" outlineLevel="1">
      <c r="A31" s="3636" t="s">
        <v>899</v>
      </c>
      <c r="B31" s="3643"/>
      <c r="C31" s="3643"/>
      <c r="D31" s="3638"/>
      <c r="E31" s="3639"/>
      <c r="F31" s="3639"/>
      <c r="G31" s="3639"/>
      <c r="H31" s="3640"/>
      <c r="I31" s="3639"/>
      <c r="J31" s="3639"/>
      <c r="K31" s="3639"/>
      <c r="L31" s="3639"/>
      <c r="M31" s="3640"/>
      <c r="N31" s="3639"/>
      <c r="O31" s="3639"/>
      <c r="P31" s="3639"/>
      <c r="Q31" s="3639"/>
      <c r="R31" s="3640"/>
      <c r="S31" s="3639"/>
      <c r="T31" s="3639"/>
      <c r="U31" s="3639"/>
      <c r="V31" s="3639"/>
      <c r="W31" s="3640"/>
      <c r="X31" s="3639"/>
      <c r="Y31" s="3639"/>
      <c r="Z31" s="3639"/>
      <c r="AA31" s="3639"/>
      <c r="AB31" s="3640"/>
      <c r="AC31" s="3639"/>
      <c r="AD31" s="3639"/>
      <c r="AE31" s="3639"/>
      <c r="AF31" s="3639"/>
      <c r="AG31" s="3640"/>
      <c r="AH31" s="3639"/>
      <c r="AI31" s="3639"/>
      <c r="AJ31" s="3639"/>
      <c r="AK31" s="3639"/>
      <c r="AL31" s="3640"/>
      <c r="AM31" s="3639"/>
      <c r="AN31" s="3639"/>
      <c r="AO31" s="3639"/>
      <c r="AP31" s="3639"/>
      <c r="AQ31" s="3640"/>
      <c r="AR31" s="3639"/>
      <c r="AS31" s="3639"/>
      <c r="AT31" s="3639"/>
      <c r="AU31" s="3639"/>
      <c r="AV31" s="3640"/>
      <c r="AW31" s="3639"/>
      <c r="AX31" s="3639"/>
      <c r="AY31" s="3639"/>
      <c r="AZ31" s="3639"/>
      <c r="BA31" s="3640"/>
      <c r="BB31" s="3639"/>
      <c r="BC31" s="3639"/>
      <c r="BD31" s="3639"/>
      <c r="BE31" s="3639"/>
      <c r="BF31" s="3640"/>
      <c r="BG31" s="3639"/>
      <c r="BH31" s="3639"/>
      <c r="BI31" s="3639"/>
      <c r="BJ31" s="3639"/>
      <c r="BK31" s="3640"/>
      <c r="BL31" s="3639"/>
      <c r="BM31" s="3639"/>
      <c r="BN31" s="3639"/>
      <c r="BO31" s="3639"/>
      <c r="BP31" s="3640"/>
      <c r="BQ31" s="3639"/>
      <c r="BR31" s="3639"/>
      <c r="BS31" s="3639"/>
      <c r="BT31" s="3639"/>
      <c r="BU31" s="3641"/>
      <c r="BV31" s="3639"/>
      <c r="BW31" s="3639"/>
      <c r="BX31" s="3639"/>
      <c r="BY31" s="3639"/>
      <c r="BZ31" s="3641"/>
      <c r="CA31" s="3642"/>
      <c r="CB31" s="3642"/>
      <c r="CC31" s="288">
        <f>+CC837</f>
        <v>103.24048820703479</v>
      </c>
      <c r="CD31" s="288">
        <f>+CD837</f>
        <v>98.078463796683039</v>
      </c>
      <c r="CE31" s="288">
        <f>+CE837</f>
        <v>100.04003307261671</v>
      </c>
      <c r="CF31" s="288">
        <f>+CF837</f>
        <v>102.04083373406904</v>
      </c>
      <c r="CG31" s="288">
        <f>+CG837</f>
        <v>104.08165040875041</v>
      </c>
      <c r="CH31" s="295"/>
      <c r="CI31" s="295"/>
      <c r="CJ31" s="295"/>
      <c r="CK31" s="295"/>
      <c r="CL31" s="295"/>
      <c r="CM31" s="965"/>
      <c r="CN31" s="965"/>
      <c r="CO31" s="295"/>
      <c r="CP31" s="1783"/>
      <c r="CQ31" s="286"/>
      <c r="CR31" s="286"/>
      <c r="CS31" s="286"/>
      <c r="CT31" s="286"/>
      <c r="CU31" s="286"/>
      <c r="CV31" s="286"/>
      <c r="CW31" s="286"/>
      <c r="CX31" s="286"/>
      <c r="CY31" s="286"/>
      <c r="CZ31" s="286"/>
      <c r="DA31" s="286"/>
      <c r="DB31" s="286"/>
      <c r="DC31" s="286"/>
      <c r="DD31" s="286"/>
      <c r="DE31" s="286"/>
      <c r="DF31" s="286"/>
      <c r="DG31" s="288"/>
      <c r="DH31" s="298"/>
      <c r="DI31" s="299"/>
      <c r="DJ31" s="299"/>
      <c r="DK31" s="299"/>
      <c r="DL31" s="299"/>
      <c r="DM31" s="299"/>
      <c r="DN31" s="299"/>
      <c r="DO31" s="300"/>
      <c r="DX31" s="1238"/>
      <c r="DY31" s="286"/>
      <c r="DZ31" s="286"/>
    </row>
    <row r="32" spans="1:130" ht="4.5" hidden="1" customHeight="1" outlineLevel="1">
      <c r="A32" s="3644"/>
      <c r="B32" s="3643"/>
      <c r="C32" s="3643"/>
      <c r="D32" s="3645" t="s">
        <v>343</v>
      </c>
      <c r="E32" s="3646" t="s">
        <v>343</v>
      </c>
      <c r="F32" s="3646" t="s">
        <v>343</v>
      </c>
      <c r="G32" s="3646" t="s">
        <v>343</v>
      </c>
      <c r="H32" s="3647" t="s">
        <v>343</v>
      </c>
      <c r="I32" s="3646" t="s">
        <v>343</v>
      </c>
      <c r="J32" s="3646" t="s">
        <v>343</v>
      </c>
      <c r="K32" s="3646" t="s">
        <v>343</v>
      </c>
      <c r="L32" s="3646" t="s">
        <v>343</v>
      </c>
      <c r="M32" s="3647" t="s">
        <v>343</v>
      </c>
      <c r="N32" s="3646" t="s">
        <v>343</v>
      </c>
      <c r="O32" s="3646" t="s">
        <v>343</v>
      </c>
      <c r="P32" s="3646" t="s">
        <v>343</v>
      </c>
      <c r="Q32" s="3646" t="s">
        <v>343</v>
      </c>
      <c r="R32" s="3647" t="s">
        <v>343</v>
      </c>
      <c r="S32" s="3646" t="s">
        <v>343</v>
      </c>
      <c r="T32" s="3646" t="s">
        <v>343</v>
      </c>
      <c r="U32" s="3646" t="s">
        <v>343</v>
      </c>
      <c r="V32" s="3646" t="s">
        <v>343</v>
      </c>
      <c r="W32" s="3647" t="s">
        <v>343</v>
      </c>
      <c r="X32" s="3646" t="s">
        <v>343</v>
      </c>
      <c r="Y32" s="3646" t="s">
        <v>343</v>
      </c>
      <c r="Z32" s="3646" t="s">
        <v>343</v>
      </c>
      <c r="AA32" s="3646" t="s">
        <v>343</v>
      </c>
      <c r="AB32" s="3647" t="s">
        <v>343</v>
      </c>
      <c r="AC32" s="3646" t="s">
        <v>343</v>
      </c>
      <c r="AD32" s="3646" t="s">
        <v>343</v>
      </c>
      <c r="AE32" s="3646" t="s">
        <v>343</v>
      </c>
      <c r="AF32" s="3646" t="s">
        <v>343</v>
      </c>
      <c r="AG32" s="3647" t="s">
        <v>343</v>
      </c>
      <c r="AH32" s="3646" t="s">
        <v>343</v>
      </c>
      <c r="AI32" s="3646" t="s">
        <v>343</v>
      </c>
      <c r="AJ32" s="3646" t="s">
        <v>343</v>
      </c>
      <c r="AK32" s="3646" t="s">
        <v>343</v>
      </c>
      <c r="AL32" s="3647" t="s">
        <v>343</v>
      </c>
      <c r="AM32" s="3646" t="s">
        <v>343</v>
      </c>
      <c r="AN32" s="3646" t="s">
        <v>343</v>
      </c>
      <c r="AO32" s="3646" t="s">
        <v>343</v>
      </c>
      <c r="AP32" s="3646" t="s">
        <v>343</v>
      </c>
      <c r="AQ32" s="3647" t="s">
        <v>343</v>
      </c>
      <c r="AR32" s="3646" t="s">
        <v>343</v>
      </c>
      <c r="AS32" s="3646" t="s">
        <v>343</v>
      </c>
      <c r="AT32" s="3646" t="s">
        <v>343</v>
      </c>
      <c r="AU32" s="3646" t="s">
        <v>343</v>
      </c>
      <c r="AV32" s="3647" t="s">
        <v>343</v>
      </c>
      <c r="AW32" s="3646" t="s">
        <v>343</v>
      </c>
      <c r="AX32" s="3646" t="s">
        <v>343</v>
      </c>
      <c r="AY32" s="3646" t="s">
        <v>343</v>
      </c>
      <c r="AZ32" s="3646" t="s">
        <v>343</v>
      </c>
      <c r="BA32" s="3647" t="s">
        <v>343</v>
      </c>
      <c r="BB32" s="3646" t="s">
        <v>343</v>
      </c>
      <c r="BC32" s="3646" t="s">
        <v>343</v>
      </c>
      <c r="BD32" s="3646" t="s">
        <v>343</v>
      </c>
      <c r="BE32" s="3646" t="s">
        <v>343</v>
      </c>
      <c r="BF32" s="3647" t="s">
        <v>343</v>
      </c>
      <c r="BG32" s="3646" t="s">
        <v>343</v>
      </c>
      <c r="BH32" s="3646" t="s">
        <v>343</v>
      </c>
      <c r="BI32" s="3646" t="s">
        <v>343</v>
      </c>
      <c r="BJ32" s="3646" t="s">
        <v>343</v>
      </c>
      <c r="BK32" s="3647" t="s">
        <v>343</v>
      </c>
      <c r="BL32" s="3646" t="s">
        <v>343</v>
      </c>
      <c r="BM32" s="3646" t="s">
        <v>343</v>
      </c>
      <c r="BN32" s="3646" t="s">
        <v>343</v>
      </c>
      <c r="BO32" s="3646" t="s">
        <v>343</v>
      </c>
      <c r="BP32" s="3647" t="s">
        <v>343</v>
      </c>
      <c r="BQ32" s="3646" t="s">
        <v>343</v>
      </c>
      <c r="BR32" s="3646" t="s">
        <v>343</v>
      </c>
      <c r="BS32" s="3646" t="s">
        <v>343</v>
      </c>
      <c r="BT32" s="3646" t="s">
        <v>343</v>
      </c>
      <c r="BU32" s="3648" t="s">
        <v>343</v>
      </c>
      <c r="BV32" s="3646" t="s">
        <v>343</v>
      </c>
      <c r="BW32" s="3646" t="s">
        <v>343</v>
      </c>
      <c r="BX32" s="3646" t="s">
        <v>343</v>
      </c>
      <c r="BY32" s="3646" t="s">
        <v>343</v>
      </c>
      <c r="BZ32" s="3648" t="s">
        <v>343</v>
      </c>
      <c r="CA32" s="3649" t="s">
        <v>343</v>
      </c>
      <c r="CB32" s="3649" t="s">
        <v>343</v>
      </c>
      <c r="CC32" s="297" t="s">
        <v>343</v>
      </c>
      <c r="CD32" s="297" t="s">
        <v>343</v>
      </c>
      <c r="CE32" s="297" t="s">
        <v>343</v>
      </c>
      <c r="CF32" s="297" t="s">
        <v>343</v>
      </c>
      <c r="CG32" s="297" t="s">
        <v>343</v>
      </c>
      <c r="CH32" s="295"/>
      <c r="CI32" s="295"/>
      <c r="CJ32" s="295"/>
      <c r="CK32" s="295"/>
      <c r="CL32" s="295"/>
      <c r="CM32" s="295"/>
      <c r="CN32" s="295"/>
      <c r="CO32" s="295"/>
      <c r="CP32" s="1784"/>
      <c r="CQ32" s="295" t="str">
        <f t="shared" si="21"/>
        <v xml:space="preserve">                </v>
      </c>
      <c r="CR32" s="295" t="str">
        <f t="shared" si="22"/>
        <v xml:space="preserve">                </v>
      </c>
      <c r="CS32" s="295" t="str">
        <f t="shared" si="23"/>
        <v xml:space="preserve">                </v>
      </c>
      <c r="CT32" s="295" t="str">
        <f t="shared" si="24"/>
        <v xml:space="preserve">                </v>
      </c>
      <c r="CU32" s="295" t="str">
        <f t="shared" si="25"/>
        <v xml:space="preserve">                </v>
      </c>
      <c r="CV32" s="295" t="str">
        <f t="shared" si="26"/>
        <v xml:space="preserve">                </v>
      </c>
      <c r="CW32" s="295" t="str">
        <f t="shared" si="27"/>
        <v xml:space="preserve">                </v>
      </c>
      <c r="CX32" s="295" t="str">
        <f t="shared" si="28"/>
        <v xml:space="preserve">                </v>
      </c>
      <c r="CY32" s="295" t="str">
        <f t="shared" si="29"/>
        <v xml:space="preserve">                </v>
      </c>
      <c r="CZ32" s="295" t="str">
        <f t="shared" si="30"/>
        <v xml:space="preserve">                </v>
      </c>
      <c r="DA32" s="295" t="str">
        <f t="shared" si="31"/>
        <v xml:space="preserve">                </v>
      </c>
      <c r="DB32" s="295" t="str">
        <f t="shared" si="32"/>
        <v xml:space="preserve">                </v>
      </c>
      <c r="DC32" s="295" t="str">
        <f t="shared" si="33"/>
        <v xml:space="preserve">                </v>
      </c>
      <c r="DD32" s="295" t="str">
        <f t="shared" si="34"/>
        <v xml:space="preserve">                </v>
      </c>
      <c r="DE32" s="295" t="str">
        <f t="shared" si="35"/>
        <v xml:space="preserve">                </v>
      </c>
      <c r="DF32" s="295" t="str">
        <f t="shared" si="36"/>
        <v xml:space="preserve">                </v>
      </c>
      <c r="DG32" s="297" t="str">
        <f t="shared" si="37"/>
        <v xml:space="preserve">                </v>
      </c>
      <c r="DH32" s="298"/>
      <c r="DI32" s="299"/>
      <c r="DJ32" s="299"/>
      <c r="DK32" s="299"/>
      <c r="DL32" s="299"/>
      <c r="DM32" s="299"/>
      <c r="DN32" s="299"/>
      <c r="DO32" s="300"/>
      <c r="DX32" s="1238"/>
      <c r="DY32" s="295"/>
      <c r="DZ32" s="295"/>
    </row>
    <row r="33" spans="1:130" ht="12.6" hidden="1" customHeight="1" outlineLevel="1">
      <c r="A33" s="3650" t="s">
        <v>768</v>
      </c>
      <c r="B33" s="3651"/>
      <c r="C33" s="3651"/>
      <c r="D33" s="3652">
        <f>SUM(D25:D30)</f>
        <v>256.226</v>
      </c>
      <c r="E33" s="3653">
        <f>SUM(E25:E30)</f>
        <v>267.971</v>
      </c>
      <c r="F33" s="3653">
        <f>SUM(F25:F30)</f>
        <v>403.76</v>
      </c>
      <c r="G33" s="3653">
        <f>SUM(G25:G30)</f>
        <v>403.23699999999997</v>
      </c>
      <c r="H33" s="3654">
        <f t="shared" ref="H33:AP33" si="60">SUM(H25:H30)</f>
        <v>1331.194</v>
      </c>
      <c r="I33" s="3653">
        <f t="shared" si="60"/>
        <v>408.41700000000003</v>
      </c>
      <c r="J33" s="3653">
        <f t="shared" si="60"/>
        <v>405.048</v>
      </c>
      <c r="K33" s="3653">
        <f t="shared" si="60"/>
        <v>400.11799999999999</v>
      </c>
      <c r="L33" s="3653">
        <f t="shared" si="60"/>
        <v>394.59299999999996</v>
      </c>
      <c r="M33" s="3654">
        <f t="shared" si="60"/>
        <v>1608.1759999999999</v>
      </c>
      <c r="N33" s="3653">
        <f t="shared" si="60"/>
        <v>447.40900000000005</v>
      </c>
      <c r="O33" s="3653">
        <f t="shared" si="60"/>
        <v>449.15299999999996</v>
      </c>
      <c r="P33" s="3653">
        <f t="shared" si="60"/>
        <v>397.79399999999998</v>
      </c>
      <c r="Q33" s="3653">
        <f t="shared" si="60"/>
        <v>381.274</v>
      </c>
      <c r="R33" s="3654">
        <f t="shared" si="60"/>
        <v>1675.63</v>
      </c>
      <c r="S33" s="3653">
        <f t="shared" si="60"/>
        <v>371.28899999999999</v>
      </c>
      <c r="T33" s="3653">
        <f t="shared" si="60"/>
        <v>373.31100000000004</v>
      </c>
      <c r="U33" s="3653">
        <f t="shared" si="60"/>
        <v>361.97399999999999</v>
      </c>
      <c r="V33" s="3653">
        <f t="shared" si="60"/>
        <v>347.125</v>
      </c>
      <c r="W33" s="3654">
        <f t="shared" si="60"/>
        <v>1453.6990000000001</v>
      </c>
      <c r="X33" s="3653">
        <f t="shared" si="60"/>
        <v>348.69499999999999</v>
      </c>
      <c r="Y33" s="3653">
        <f t="shared" si="60"/>
        <v>342.67599999999999</v>
      </c>
      <c r="Z33" s="3653">
        <f t="shared" si="60"/>
        <v>334.77100000000002</v>
      </c>
      <c r="AA33" s="3653">
        <f t="shared" si="60"/>
        <v>329.21100000000001</v>
      </c>
      <c r="AB33" s="3654">
        <f>SUM(AB25:AB30)</f>
        <v>1355.3530000000001</v>
      </c>
      <c r="AC33" s="3653">
        <f t="shared" si="60"/>
        <v>328.15</v>
      </c>
      <c r="AD33" s="3653">
        <f t="shared" si="60"/>
        <v>322.98</v>
      </c>
      <c r="AE33" s="3653">
        <f t="shared" si="60"/>
        <v>316.642</v>
      </c>
      <c r="AF33" s="3653">
        <f t="shared" si="60"/>
        <v>309.88400000000001</v>
      </c>
      <c r="AG33" s="3654">
        <f t="shared" si="60"/>
        <v>1277.6559999999999</v>
      </c>
      <c r="AH33" s="3653">
        <f>AH21-AH51</f>
        <v>322.89400000000006</v>
      </c>
      <c r="AI33" s="3653">
        <f t="shared" si="60"/>
        <v>452.202</v>
      </c>
      <c r="AJ33" s="3653">
        <f t="shared" si="60"/>
        <v>469.35199999999998</v>
      </c>
      <c r="AK33" s="3653">
        <f t="shared" si="60"/>
        <v>441.04500000000002</v>
      </c>
      <c r="AL33" s="3654">
        <f>SUM(AH33:AK33)</f>
        <v>1685.4929999999999</v>
      </c>
      <c r="AM33" s="3653">
        <f t="shared" si="60"/>
        <v>441.86500000000001</v>
      </c>
      <c r="AN33" s="3653">
        <f t="shared" si="60"/>
        <v>444.05899999999997</v>
      </c>
      <c r="AO33" s="3653">
        <f t="shared" si="60"/>
        <v>457.904</v>
      </c>
      <c r="AP33" s="3653">
        <f t="shared" si="60"/>
        <v>480.71299999999997</v>
      </c>
      <c r="AQ33" s="3654">
        <f t="shared" ref="AQ33:BA33" si="61">SUM(AQ25:AQ31)</f>
        <v>1824.5410000000002</v>
      </c>
      <c r="AR33" s="3653">
        <f t="shared" si="61"/>
        <v>487.74</v>
      </c>
      <c r="AS33" s="3653">
        <f t="shared" si="61"/>
        <v>489.68799999999999</v>
      </c>
      <c r="AT33" s="3653">
        <f t="shared" si="61"/>
        <v>499.70499999999998</v>
      </c>
      <c r="AU33" s="3653">
        <f t="shared" si="61"/>
        <v>594.94399999999996</v>
      </c>
      <c r="AV33" s="3654">
        <f t="shared" si="61"/>
        <v>2072.0770000000002</v>
      </c>
      <c r="AW33" s="3653">
        <f t="shared" si="61"/>
        <v>506.43099999999998</v>
      </c>
      <c r="AX33" s="3653">
        <f t="shared" si="61"/>
        <v>508.36</v>
      </c>
      <c r="AY33" s="3653">
        <f t="shared" si="61"/>
        <v>504.87199999999996</v>
      </c>
      <c r="AZ33" s="3653">
        <f t="shared" si="61"/>
        <v>476.35300000000007</v>
      </c>
      <c r="BA33" s="3654">
        <f t="shared" si="61"/>
        <v>1996.0159999999998</v>
      </c>
      <c r="BB33" s="3653">
        <f t="shared" ref="BB33:CG33" si="62">SUM(BB25:BB31)</f>
        <v>480.404</v>
      </c>
      <c r="BC33" s="3653">
        <f t="shared" si="62"/>
        <v>490.5390000000001</v>
      </c>
      <c r="BD33" s="3653">
        <f t="shared" si="62"/>
        <v>488.76400000000001</v>
      </c>
      <c r="BE33" s="3653">
        <f t="shared" si="62"/>
        <v>474.55600000000004</v>
      </c>
      <c r="BF33" s="3654">
        <f t="shared" si="62"/>
        <v>1934.2629999999999</v>
      </c>
      <c r="BG33" s="3653">
        <f t="shared" si="62"/>
        <v>483.22299999999996</v>
      </c>
      <c r="BH33" s="3653">
        <f t="shared" si="62"/>
        <v>485.9</v>
      </c>
      <c r="BI33" s="3653">
        <f t="shared" si="62"/>
        <v>487.738</v>
      </c>
      <c r="BJ33" s="3653">
        <f t="shared" si="62"/>
        <v>473.72699999999998</v>
      </c>
      <c r="BK33" s="3654">
        <f t="shared" si="62"/>
        <v>1930.5880000000002</v>
      </c>
      <c r="BL33" s="3653">
        <f t="shared" si="62"/>
        <v>478.57899999999995</v>
      </c>
      <c r="BM33" s="3653">
        <f t="shared" si="62"/>
        <v>470.88700000000006</v>
      </c>
      <c r="BN33" s="3653">
        <f t="shared" si="62"/>
        <v>395.077</v>
      </c>
      <c r="BO33" s="3653">
        <f t="shared" si="62"/>
        <v>400.50200000000001</v>
      </c>
      <c r="BP33" s="3654">
        <f t="shared" si="62"/>
        <v>1745.0450000000001</v>
      </c>
      <c r="BQ33" s="3653">
        <f t="shared" si="62"/>
        <v>431.37599999999998</v>
      </c>
      <c r="BR33" s="3653">
        <f t="shared" si="62"/>
        <v>430.48599999999999</v>
      </c>
      <c r="BS33" s="3653">
        <f t="shared" si="62"/>
        <v>429.91399999999999</v>
      </c>
      <c r="BT33" s="3653">
        <f t="shared" si="62"/>
        <v>423.26000000000005</v>
      </c>
      <c r="BU33" s="3654">
        <f t="shared" si="62"/>
        <v>1715.0360000000001</v>
      </c>
      <c r="BV33" s="3653">
        <f t="shared" ref="BV33:BZ33" si="63">SUM(BV25:BV31)</f>
        <v>433.33997499999998</v>
      </c>
      <c r="BW33" s="3653">
        <f t="shared" si="63"/>
        <v>431.65074500000003</v>
      </c>
      <c r="BX33" s="3653">
        <f t="shared" si="63"/>
        <v>574.83136531436537</v>
      </c>
      <c r="BY33" s="3653">
        <f t="shared" si="63"/>
        <v>562.56696804354351</v>
      </c>
      <c r="BZ33" s="3654">
        <f t="shared" si="63"/>
        <v>2002.3890533579088</v>
      </c>
      <c r="CA33" s="3655">
        <f t="shared" si="62"/>
        <v>2301.9504210821983</v>
      </c>
      <c r="CB33" s="3655">
        <f t="shared" si="62"/>
        <v>2293.8163975456982</v>
      </c>
      <c r="CC33" s="256">
        <f t="shared" si="62"/>
        <v>2328.2423938263619</v>
      </c>
      <c r="CD33" s="256">
        <f t="shared" si="62"/>
        <v>2256.3303122474304</v>
      </c>
      <c r="CE33" s="256">
        <f t="shared" si="62"/>
        <v>2279.8744000078714</v>
      </c>
      <c r="CF33" s="256">
        <f t="shared" si="62"/>
        <v>2303.6735443386765</v>
      </c>
      <c r="CG33" s="256">
        <f t="shared" si="62"/>
        <v>2327.7306881194036</v>
      </c>
      <c r="CH33" s="254"/>
      <c r="CI33" s="254"/>
      <c r="CJ33" s="965"/>
      <c r="CK33" s="254"/>
      <c r="CL33" s="254"/>
      <c r="CM33" s="965"/>
      <c r="CN33" s="965">
        <f>SUM(BV33:BY33)</f>
        <v>2002.3890533579088</v>
      </c>
      <c r="CO33" s="965">
        <f>CM33-CN33</f>
        <v>-2002.3890533579088</v>
      </c>
      <c r="CP33" s="1785" t="str">
        <f t="shared" si="20"/>
        <v>Total Property Expenses</v>
      </c>
      <c r="CQ33" s="254">
        <f t="shared" si="21"/>
        <v>1331.194</v>
      </c>
      <c r="CR33" s="254">
        <f t="shared" si="22"/>
        <v>1608.1759999999999</v>
      </c>
      <c r="CS33" s="254">
        <f t="shared" si="23"/>
        <v>1675.63</v>
      </c>
      <c r="CT33" s="254">
        <f t="shared" si="24"/>
        <v>1453.6990000000001</v>
      </c>
      <c r="CU33" s="254">
        <f t="shared" si="25"/>
        <v>1355.3530000000001</v>
      </c>
      <c r="CV33" s="254">
        <f t="shared" si="26"/>
        <v>1277.6559999999999</v>
      </c>
      <c r="CW33" s="254">
        <f t="shared" si="27"/>
        <v>1685.4929999999999</v>
      </c>
      <c r="CX33" s="254">
        <f t="shared" si="28"/>
        <v>1824.5410000000002</v>
      </c>
      <c r="CY33" s="254">
        <f t="shared" si="29"/>
        <v>2072.0770000000002</v>
      </c>
      <c r="CZ33" s="254">
        <f t="shared" si="30"/>
        <v>1996.0159999999998</v>
      </c>
      <c r="DA33" s="254">
        <f t="shared" si="31"/>
        <v>1934.2629999999999</v>
      </c>
      <c r="DB33" s="254">
        <f t="shared" si="32"/>
        <v>1930.5880000000002</v>
      </c>
      <c r="DC33" s="254">
        <f t="shared" si="33"/>
        <v>1745.0450000000001</v>
      </c>
      <c r="DD33" s="254">
        <f t="shared" si="34"/>
        <v>1715.0360000000001</v>
      </c>
      <c r="DE33" s="254">
        <f t="shared" si="35"/>
        <v>2002.3890533579088</v>
      </c>
      <c r="DF33" s="254">
        <f t="shared" si="36"/>
        <v>2301.9504210821983</v>
      </c>
      <c r="DG33" s="256">
        <f t="shared" si="37"/>
        <v>2293.8163975456982</v>
      </c>
      <c r="DH33" s="267"/>
      <c r="DI33" s="268"/>
      <c r="DJ33" s="268"/>
      <c r="DK33" s="268"/>
      <c r="DL33" s="268"/>
      <c r="DM33" s="268"/>
      <c r="DN33" s="268"/>
      <c r="DO33" s="269"/>
      <c r="DX33" s="1238"/>
      <c r="DY33" s="254"/>
      <c r="DZ33" s="254"/>
    </row>
    <row r="34" spans="1:130" ht="12.6" hidden="1" customHeight="1" outlineLevel="1">
      <c r="A34" s="3656" t="s">
        <v>1110</v>
      </c>
      <c r="B34" s="3580"/>
      <c r="C34" s="3580"/>
      <c r="D34" s="3657">
        <f t="shared" ref="D34:AI34" si="64">D33/D21</f>
        <v>0.77635302601518608</v>
      </c>
      <c r="E34" s="3658">
        <f t="shared" si="64"/>
        <v>0.7837815703651706</v>
      </c>
      <c r="F34" s="3658">
        <f t="shared" si="64"/>
        <v>0.77275676420545358</v>
      </c>
      <c r="G34" s="3658">
        <f t="shared" si="64"/>
        <v>0.74724441841847766</v>
      </c>
      <c r="H34" s="3659">
        <f t="shared" si="64"/>
        <v>0.76767559101252669</v>
      </c>
      <c r="I34" s="3658">
        <f t="shared" si="64"/>
        <v>0.72045193952971487</v>
      </c>
      <c r="J34" s="3658">
        <f t="shared" si="64"/>
        <v>0.73080378890392428</v>
      </c>
      <c r="K34" s="3658">
        <f t="shared" si="64"/>
        <v>0.74577364243989908</v>
      </c>
      <c r="L34" s="3658">
        <f t="shared" si="64"/>
        <v>0.69794257171460605</v>
      </c>
      <c r="M34" s="3659">
        <f t="shared" si="64"/>
        <v>0.72341949240222758</v>
      </c>
      <c r="N34" s="3658">
        <f t="shared" si="64"/>
        <v>0.6920768539444031</v>
      </c>
      <c r="O34" s="3658">
        <f t="shared" si="64"/>
        <v>0.73527254749814197</v>
      </c>
      <c r="P34" s="3658">
        <f t="shared" si="64"/>
        <v>0.74958450006218369</v>
      </c>
      <c r="Q34" s="3658">
        <f t="shared" si="64"/>
        <v>0.7320423319432604</v>
      </c>
      <c r="R34" s="3659">
        <f t="shared" si="64"/>
        <v>0.72573879501624405</v>
      </c>
      <c r="S34" s="3658">
        <f t="shared" si="64"/>
        <v>0.71811887124538232</v>
      </c>
      <c r="T34" s="3658">
        <f t="shared" si="64"/>
        <v>0.72999133735243693</v>
      </c>
      <c r="U34" s="3658">
        <f t="shared" si="64"/>
        <v>0.73863954045974434</v>
      </c>
      <c r="V34" s="3658">
        <f t="shared" si="64"/>
        <v>0.7252273615199637</v>
      </c>
      <c r="W34" s="3659">
        <f t="shared" si="64"/>
        <v>0.72789803712247503</v>
      </c>
      <c r="X34" s="3658">
        <f t="shared" si="64"/>
        <v>0.74014365827669504</v>
      </c>
      <c r="Y34" s="3658">
        <f t="shared" si="64"/>
        <v>0.743712616437048</v>
      </c>
      <c r="Z34" s="3658">
        <f t="shared" si="64"/>
        <v>0.78500896929336039</v>
      </c>
      <c r="AA34" s="3658">
        <f t="shared" si="64"/>
        <v>0.77895795376570531</v>
      </c>
      <c r="AB34" s="3659">
        <f t="shared" si="64"/>
        <v>0.76102083867921189</v>
      </c>
      <c r="AC34" s="3658">
        <f t="shared" si="64"/>
        <v>0.75463670963216778</v>
      </c>
      <c r="AD34" s="3658">
        <f t="shared" si="64"/>
        <v>0.76363636363636356</v>
      </c>
      <c r="AE34" s="3658">
        <f t="shared" si="64"/>
        <v>0.79509746561772587</v>
      </c>
      <c r="AF34" s="3658">
        <f t="shared" si="64"/>
        <v>0.80500223406797811</v>
      </c>
      <c r="AG34" s="3659">
        <f t="shared" si="64"/>
        <v>0.77859043282514295</v>
      </c>
      <c r="AH34" s="3658">
        <f t="shared" si="64"/>
        <v>0.77775984622758998</v>
      </c>
      <c r="AI34" s="3658">
        <f t="shared" si="64"/>
        <v>0.78388620005824505</v>
      </c>
      <c r="AJ34" s="3658">
        <f t="shared" ref="AJ34:CB34" si="65">AJ33/AJ21</f>
        <v>0.79032385712096687</v>
      </c>
      <c r="AK34" s="3658">
        <f t="shared" si="65"/>
        <v>0.80104361155709902</v>
      </c>
      <c r="AL34" s="3659">
        <f t="shared" si="65"/>
        <v>0.78890676866564435</v>
      </c>
      <c r="AM34" s="3658">
        <f t="shared" si="65"/>
        <v>0.78427596489204043</v>
      </c>
      <c r="AN34" s="3658">
        <f t="shared" si="65"/>
        <v>0.77506946771671126</v>
      </c>
      <c r="AO34" s="3658">
        <f t="shared" si="65"/>
        <v>0.7772071029217571</v>
      </c>
      <c r="AP34" s="3658">
        <f t="shared" si="65"/>
        <v>0.79411541206322356</v>
      </c>
      <c r="AQ34" s="3659">
        <f t="shared" si="65"/>
        <v>0.7827815944703268</v>
      </c>
      <c r="AR34" s="3658">
        <f t="shared" si="65"/>
        <v>0.77214490500562794</v>
      </c>
      <c r="AS34" s="3658">
        <f t="shared" si="65"/>
        <v>0.79744654518214542</v>
      </c>
      <c r="AT34" s="3658">
        <f t="shared" si="65"/>
        <v>0.81599144336125673</v>
      </c>
      <c r="AU34" s="3658">
        <f t="shared" si="65"/>
        <v>0.9523827818598023</v>
      </c>
      <c r="AV34" s="3659">
        <f t="shared" si="65"/>
        <v>0.83456627325632671</v>
      </c>
      <c r="AW34" s="3658">
        <f t="shared" si="65"/>
        <v>0.88856897217250941</v>
      </c>
      <c r="AX34" s="3658">
        <f t="shared" si="65"/>
        <v>0.89836729572641116</v>
      </c>
      <c r="AY34" s="3658">
        <f t="shared" si="65"/>
        <v>0.93752112278512501</v>
      </c>
      <c r="AZ34" s="3658">
        <f t="shared" si="65"/>
        <v>0.9083616032524231</v>
      </c>
      <c r="BA34" s="3659">
        <f t="shared" si="65"/>
        <v>0.90780074751971362</v>
      </c>
      <c r="BB34" s="3658">
        <f t="shared" si="65"/>
        <v>0.88785310995499778</v>
      </c>
      <c r="BC34" s="3658">
        <f t="shared" si="65"/>
        <v>0.90726307612635948</v>
      </c>
      <c r="BD34" s="3658">
        <f t="shared" si="65"/>
        <v>0.9241211882865441</v>
      </c>
      <c r="BE34" s="3658">
        <f t="shared" si="65"/>
        <v>0.89270215107365569</v>
      </c>
      <c r="BF34" s="3659">
        <f t="shared" si="65"/>
        <v>0.90290936283992207</v>
      </c>
      <c r="BG34" s="3658">
        <f>BG33/BG21</f>
        <v>0.87766492667705576</v>
      </c>
      <c r="BH34" s="3658">
        <f>BH33/BH21</f>
        <v>0.86788779437900199</v>
      </c>
      <c r="BI34" s="3658">
        <f>BI33/BI21</f>
        <v>0.89278124445144091</v>
      </c>
      <c r="BJ34" s="3658">
        <f>BJ33/BJ21</f>
        <v>0.87294950559636175</v>
      </c>
      <c r="BK34" s="3659">
        <f t="shared" si="65"/>
        <v>0.87776742155922216</v>
      </c>
      <c r="BL34" s="3658">
        <f t="shared" ref="BL34:BT34" si="66">BL33/BL21</f>
        <v>0.86639764798742891</v>
      </c>
      <c r="BM34" s="3658">
        <f t="shared" si="66"/>
        <v>0.86421422973793893</v>
      </c>
      <c r="BN34" s="3658">
        <f t="shared" si="66"/>
        <v>0.7427641609998854</v>
      </c>
      <c r="BO34" s="3658">
        <f t="shared" si="66"/>
        <v>0.7218554385813134</v>
      </c>
      <c r="BP34" s="3659">
        <f t="shared" si="66"/>
        <v>0.79902242470724261</v>
      </c>
      <c r="BQ34" s="3658">
        <f t="shared" si="66"/>
        <v>0.71261534801814508</v>
      </c>
      <c r="BR34" s="3658">
        <f t="shared" si="66"/>
        <v>0.71763454626684542</v>
      </c>
      <c r="BS34" s="3658">
        <f t="shared" si="66"/>
        <v>0.73156305037734082</v>
      </c>
      <c r="BT34" s="3658">
        <f t="shared" si="66"/>
        <v>0.71637961383269699</v>
      </c>
      <c r="BU34" s="3659">
        <f t="shared" ref="BU34" si="67">BU33/BU21</f>
        <v>0.71948272166000271</v>
      </c>
      <c r="BV34" s="3658">
        <f t="shared" ref="BV34:BZ34" si="68">BV33/BV21</f>
        <v>0.71065578225772608</v>
      </c>
      <c r="BW34" s="3658">
        <f t="shared" si="68"/>
        <v>0.71143352967736673</v>
      </c>
      <c r="BX34" s="3658">
        <f t="shared" si="68"/>
        <v>0.72144267961721908</v>
      </c>
      <c r="BY34" s="3658">
        <f t="shared" si="68"/>
        <v>0.70488769982171484</v>
      </c>
      <c r="BZ34" s="3659">
        <f t="shared" si="68"/>
        <v>0.71224332776634736</v>
      </c>
      <c r="CA34" s="3659">
        <f t="shared" si="65"/>
        <v>0.7091852876540069</v>
      </c>
      <c r="CB34" s="3659">
        <f t="shared" si="65"/>
        <v>0.70563760313027213</v>
      </c>
      <c r="CC34" s="264">
        <f>CC33/CC21</f>
        <v>0.96060339807847561</v>
      </c>
      <c r="CD34" s="264">
        <f>CD33/CD21</f>
        <v>0.98022574899456083</v>
      </c>
      <c r="CE34" s="264">
        <f>CE33/CE21</f>
        <v>0.97091846200232412</v>
      </c>
      <c r="CF34" s="264">
        <f>CF33/CF21</f>
        <v>0.96170571028558693</v>
      </c>
      <c r="CG34" s="264">
        <f>CG33/CG21</f>
        <v>0.95258647020975418</v>
      </c>
      <c r="CH34" s="261"/>
      <c r="CI34" s="261"/>
      <c r="CJ34" s="261"/>
      <c r="CK34" s="261"/>
      <c r="CL34" s="261"/>
      <c r="CM34" s="261"/>
      <c r="CN34" s="261"/>
      <c r="CO34" s="261"/>
      <c r="CP34" s="1786" t="str">
        <f t="shared" si="20"/>
        <v>% of Revenues</v>
      </c>
      <c r="CQ34" s="261">
        <f t="shared" si="21"/>
        <v>0.76767559101252669</v>
      </c>
      <c r="CR34" s="261">
        <f t="shared" si="22"/>
        <v>0.72341949240222758</v>
      </c>
      <c r="CS34" s="261">
        <f t="shared" si="23"/>
        <v>0.72573879501624405</v>
      </c>
      <c r="CT34" s="261">
        <f t="shared" si="24"/>
        <v>0.72789803712247503</v>
      </c>
      <c r="CU34" s="261">
        <f t="shared" si="25"/>
        <v>0.76102083867921189</v>
      </c>
      <c r="CV34" s="261">
        <f t="shared" si="26"/>
        <v>0.77859043282514295</v>
      </c>
      <c r="CW34" s="261">
        <f t="shared" si="27"/>
        <v>0.78890676866564435</v>
      </c>
      <c r="CX34" s="261">
        <f t="shared" si="28"/>
        <v>0.7827815944703268</v>
      </c>
      <c r="CY34" s="261">
        <f t="shared" si="29"/>
        <v>0.83456627325632671</v>
      </c>
      <c r="CZ34" s="261">
        <f t="shared" si="30"/>
        <v>0.90780074751971362</v>
      </c>
      <c r="DA34" s="261">
        <f t="shared" si="31"/>
        <v>0.90290936283992207</v>
      </c>
      <c r="DB34" s="261">
        <f t="shared" si="32"/>
        <v>0.87776742155922216</v>
      </c>
      <c r="DC34" s="261">
        <f t="shared" si="33"/>
        <v>0.79902242470724261</v>
      </c>
      <c r="DD34" s="261">
        <f t="shared" si="34"/>
        <v>0.71948272166000271</v>
      </c>
      <c r="DE34" s="261">
        <f t="shared" si="35"/>
        <v>0.71224332776634736</v>
      </c>
      <c r="DF34" s="261">
        <f t="shared" si="36"/>
        <v>0.7091852876540069</v>
      </c>
      <c r="DG34" s="1787">
        <f t="shared" si="37"/>
        <v>0.70563760313027213</v>
      </c>
      <c r="DH34" s="261"/>
      <c r="DI34" s="265"/>
      <c r="DJ34" s="265"/>
      <c r="DK34" s="265"/>
      <c r="DL34" s="265"/>
      <c r="DM34" s="265"/>
      <c r="DN34" s="265"/>
      <c r="DO34" s="266"/>
      <c r="DX34" s="1238"/>
      <c r="DY34" s="261"/>
      <c r="DZ34" s="261"/>
    </row>
    <row r="35" spans="1:130" ht="12.6" hidden="1" customHeight="1" outlineLevel="1">
      <c r="A35" s="3609" t="s">
        <v>1249</v>
      </c>
      <c r="B35" s="3580"/>
      <c r="C35" s="3580"/>
      <c r="D35" s="3657"/>
      <c r="E35" s="3658"/>
      <c r="F35" s="3658"/>
      <c r="G35" s="3658"/>
      <c r="H35" s="3661"/>
      <c r="I35" s="3658">
        <f t="shared" ref="I35:AQ35" si="69">(I33-D33)/D33</f>
        <v>0.59397172808380116</v>
      </c>
      <c r="J35" s="3658">
        <f t="shared" si="69"/>
        <v>0.5115366961350295</v>
      </c>
      <c r="K35" s="3658">
        <f t="shared" si="69"/>
        <v>-9.0202100257578653E-3</v>
      </c>
      <c r="L35" s="3658">
        <f t="shared" si="69"/>
        <v>-2.1436524922068177E-2</v>
      </c>
      <c r="M35" s="3659">
        <f t="shared" si="69"/>
        <v>0.20807034887476955</v>
      </c>
      <c r="N35" s="3658">
        <f t="shared" si="69"/>
        <v>9.5471050421505513E-2</v>
      </c>
      <c r="O35" s="3658">
        <f t="shared" si="69"/>
        <v>0.10888832928443039</v>
      </c>
      <c r="P35" s="3658">
        <f t="shared" si="69"/>
        <v>-5.808286555466168E-3</v>
      </c>
      <c r="Q35" s="3658">
        <f t="shared" si="69"/>
        <v>-3.3753766539193451E-2</v>
      </c>
      <c r="R35" s="3659">
        <f t="shared" si="69"/>
        <v>4.1944414044234074E-2</v>
      </c>
      <c r="S35" s="3658">
        <f t="shared" si="69"/>
        <v>-0.17013515597585219</v>
      </c>
      <c r="T35" s="3658">
        <f t="shared" si="69"/>
        <v>-0.16885560154334922</v>
      </c>
      <c r="U35" s="3658">
        <f t="shared" si="69"/>
        <v>-9.0046607037813531E-2</v>
      </c>
      <c r="V35" s="3658">
        <f t="shared" si="69"/>
        <v>-8.9565509318757647E-2</v>
      </c>
      <c r="W35" s="3659">
        <f t="shared" si="69"/>
        <v>-0.13244630377828043</v>
      </c>
      <c r="X35" s="3658">
        <f t="shared" si="69"/>
        <v>-6.0852866634885483E-2</v>
      </c>
      <c r="Y35" s="3658">
        <f t="shared" si="69"/>
        <v>-8.206294483687876E-2</v>
      </c>
      <c r="Z35" s="3658">
        <f t="shared" si="69"/>
        <v>-7.515180648333851E-2</v>
      </c>
      <c r="AA35" s="3658">
        <f t="shared" si="69"/>
        <v>-5.1606769895570725E-2</v>
      </c>
      <c r="AB35" s="3659">
        <f t="shared" si="69"/>
        <v>-6.7652244377962703E-2</v>
      </c>
      <c r="AC35" s="3658">
        <f t="shared" si="69"/>
        <v>-5.891968625876487E-2</v>
      </c>
      <c r="AD35" s="3658">
        <f t="shared" si="69"/>
        <v>-5.7477033699471131E-2</v>
      </c>
      <c r="AE35" s="3658">
        <f t="shared" si="69"/>
        <v>-5.4153436229542037E-2</v>
      </c>
      <c r="AF35" s="3658">
        <f t="shared" si="69"/>
        <v>-5.8707029838006623E-2</v>
      </c>
      <c r="AG35" s="3659">
        <f t="shared" si="69"/>
        <v>-5.732602502816618E-2</v>
      </c>
      <c r="AH35" s="3658">
        <f t="shared" si="69"/>
        <v>-1.6017065366448011E-2</v>
      </c>
      <c r="AI35" s="3658">
        <f t="shared" si="69"/>
        <v>0.40009288500835954</v>
      </c>
      <c r="AJ35" s="3658">
        <f t="shared" si="69"/>
        <v>0.4822796723113168</v>
      </c>
      <c r="AK35" s="3658">
        <f t="shared" si="69"/>
        <v>0.42325838055530457</v>
      </c>
      <c r="AL35" s="3659">
        <f t="shared" si="69"/>
        <v>0.31920720444313649</v>
      </c>
      <c r="AM35" s="3658">
        <f t="shared" si="69"/>
        <v>0.36845218554695947</v>
      </c>
      <c r="AN35" s="3658">
        <f t="shared" si="69"/>
        <v>-1.8007439153298811E-2</v>
      </c>
      <c r="AO35" s="3658">
        <f t="shared" si="69"/>
        <v>-2.439107535495743E-2</v>
      </c>
      <c r="AP35" s="3658">
        <f t="shared" si="69"/>
        <v>8.9940935732181412E-2</v>
      </c>
      <c r="AQ35" s="3659">
        <f t="shared" si="69"/>
        <v>8.2496931164947135E-2</v>
      </c>
      <c r="AR35" s="3658">
        <f t="shared" ref="AR35:BF35" si="70">(AR33-AM33)/AM33</f>
        <v>0.10382130288662826</v>
      </c>
      <c r="AS35" s="3658">
        <f t="shared" si="70"/>
        <v>0.1027543637219379</v>
      </c>
      <c r="AT35" s="3658">
        <f t="shared" si="70"/>
        <v>9.1287693490338565E-2</v>
      </c>
      <c r="AU35" s="3658">
        <f t="shared" si="70"/>
        <v>0.23762827300281042</v>
      </c>
      <c r="AV35" s="3659">
        <f t="shared" si="70"/>
        <v>0.13567028638983725</v>
      </c>
      <c r="AW35" s="3658">
        <f t="shared" si="70"/>
        <v>3.8321646779021556E-2</v>
      </c>
      <c r="AX35" s="3658">
        <f t="shared" si="70"/>
        <v>3.813040139844151E-2</v>
      </c>
      <c r="AY35" s="3658">
        <f t="shared" si="70"/>
        <v>1.0340100659388986E-2</v>
      </c>
      <c r="AZ35" s="3658">
        <f t="shared" si="70"/>
        <v>-0.19933136564113582</v>
      </c>
      <c r="BA35" s="3659">
        <f t="shared" si="70"/>
        <v>-3.6707612699721281E-2</v>
      </c>
      <c r="BB35" s="3658">
        <f t="shared" si="70"/>
        <v>-5.139298344690587E-2</v>
      </c>
      <c r="BC35" s="3658">
        <f t="shared" si="70"/>
        <v>-3.5055865921787534E-2</v>
      </c>
      <c r="BD35" s="3658">
        <f t="shared" si="70"/>
        <v>-3.1905116544391349E-2</v>
      </c>
      <c r="BE35" s="3658">
        <f t="shared" si="70"/>
        <v>-3.772412475622123E-3</v>
      </c>
      <c r="BF35" s="3659">
        <f t="shared" si="70"/>
        <v>-3.0938128752474897E-2</v>
      </c>
      <c r="BG35" s="3658">
        <f t="shared" ref="BG35:BP35" si="71">(BG33-BB33)/BB33</f>
        <v>5.8679777853639023E-3</v>
      </c>
      <c r="BH35" s="3658">
        <f t="shared" si="71"/>
        <v>-9.4569443000457106E-3</v>
      </c>
      <c r="BI35" s="3658">
        <f t="shared" si="71"/>
        <v>-2.0991726068204908E-3</v>
      </c>
      <c r="BJ35" s="3658">
        <f t="shared" si="71"/>
        <v>-1.746896045988386E-3</v>
      </c>
      <c r="BK35" s="3659">
        <f t="shared" si="71"/>
        <v>-1.8999484558199827E-3</v>
      </c>
      <c r="BL35" s="3658">
        <f t="shared" si="71"/>
        <v>-9.6104697003247062E-3</v>
      </c>
      <c r="BM35" s="3658">
        <f t="shared" si="71"/>
        <v>-3.0897303972010539E-2</v>
      </c>
      <c r="BN35" s="3658">
        <f t="shared" si="71"/>
        <v>-0.18998109640831759</v>
      </c>
      <c r="BO35" s="3658">
        <f t="shared" si="71"/>
        <v>-0.15457214809373324</v>
      </c>
      <c r="BP35" s="3659">
        <f t="shared" si="71"/>
        <v>-9.6106989165995083E-2</v>
      </c>
      <c r="BQ35" s="3658">
        <f>(BQ33-BL33)/BL33</f>
        <v>-9.863157388853247E-2</v>
      </c>
      <c r="BR35" s="3658">
        <f>(BR33-BM33)/BM33</f>
        <v>-8.5797654214280844E-2</v>
      </c>
      <c r="BS35" s="3658">
        <f>(BS33-BN33)/BN33</f>
        <v>8.817774762894319E-2</v>
      </c>
      <c r="BT35" s="3658">
        <f>(BT33-BO33)/BO33</f>
        <v>5.6823686273726567E-2</v>
      </c>
      <c r="BU35" s="3659">
        <f t="shared" ref="BU35" si="72">(BU33-BP33)/BP33</f>
        <v>-1.7196691202805665E-2</v>
      </c>
      <c r="BV35" s="3658">
        <f>(BV33-BQ33)/BQ33</f>
        <v>4.5528147138459369E-3</v>
      </c>
      <c r="BW35" s="3658">
        <f>(BW33-BR33)/BR33</f>
        <v>2.705651287149963E-3</v>
      </c>
      <c r="BX35" s="3658">
        <f>(BX33-BS33)/BS33</f>
        <v>0.33708454554716849</v>
      </c>
      <c r="BY35" s="3658">
        <f>(BY33-BT33)/BT33</f>
        <v>0.32912859245745746</v>
      </c>
      <c r="BZ35" s="3659">
        <f t="shared" ref="BZ35" si="73">(BZ33-BU33)/BU33</f>
        <v>0.16754928372227096</v>
      </c>
      <c r="CA35" s="3659">
        <f t="shared" ref="CA35:CG35" si="74">(CA33-BZ33)/BZ33</f>
        <v>0.1496019803054455</v>
      </c>
      <c r="CB35" s="3659">
        <f t="shared" si="74"/>
        <v>-3.5335355018967325E-3</v>
      </c>
      <c r="CC35" s="264">
        <f t="shared" si="74"/>
        <v>1.5008174288708646E-2</v>
      </c>
      <c r="CD35" s="264">
        <f t="shared" si="74"/>
        <v>-3.0886853434855314E-2</v>
      </c>
      <c r="CE35" s="264">
        <f t="shared" si="74"/>
        <v>1.0434681319770862E-2</v>
      </c>
      <c r="CF35" s="264">
        <f t="shared" si="74"/>
        <v>1.0438796247162981E-2</v>
      </c>
      <c r="CG35" s="264">
        <f t="shared" si="74"/>
        <v>1.0442948324795405E-2</v>
      </c>
      <c r="CH35" s="261"/>
      <c r="CI35" s="261"/>
      <c r="CJ35" s="261"/>
      <c r="CK35" s="261"/>
      <c r="CL35" s="261"/>
      <c r="CM35" s="261"/>
      <c r="CN35" s="261"/>
      <c r="CO35" s="261"/>
      <c r="CP35" s="396" t="str">
        <f t="shared" si="20"/>
        <v>% Growth (y-o-y)</v>
      </c>
      <c r="CQ35" s="261"/>
      <c r="CR35" s="261">
        <f t="shared" si="22"/>
        <v>0.20807034887476955</v>
      </c>
      <c r="CS35" s="261">
        <f t="shared" si="23"/>
        <v>4.1944414044234074E-2</v>
      </c>
      <c r="CT35" s="261">
        <f t="shared" si="24"/>
        <v>-0.13244630377828043</v>
      </c>
      <c r="CU35" s="261">
        <f t="shared" si="25"/>
        <v>-6.7652244377962703E-2</v>
      </c>
      <c r="CV35" s="261">
        <f t="shared" si="26"/>
        <v>-5.732602502816618E-2</v>
      </c>
      <c r="CW35" s="261">
        <f t="shared" si="27"/>
        <v>0.31920720444313649</v>
      </c>
      <c r="CX35" s="261">
        <f t="shared" si="28"/>
        <v>8.2496931164947135E-2</v>
      </c>
      <c r="CY35" s="261">
        <f t="shared" si="29"/>
        <v>0.13567028638983725</v>
      </c>
      <c r="CZ35" s="261">
        <f t="shared" si="30"/>
        <v>-3.6707612699721281E-2</v>
      </c>
      <c r="DA35" s="261">
        <f t="shared" si="31"/>
        <v>-3.0938128752474897E-2</v>
      </c>
      <c r="DB35" s="261">
        <f t="shared" si="32"/>
        <v>-1.8999484558199827E-3</v>
      </c>
      <c r="DC35" s="261">
        <f t="shared" si="33"/>
        <v>-9.6106989165995083E-2</v>
      </c>
      <c r="DD35" s="261">
        <f t="shared" si="34"/>
        <v>-1.7196691202805665E-2</v>
      </c>
      <c r="DE35" s="261">
        <f t="shared" si="35"/>
        <v>0.16754928372227096</v>
      </c>
      <c r="DF35" s="261">
        <f t="shared" si="36"/>
        <v>0.1496019803054455</v>
      </c>
      <c r="DG35" s="1787">
        <f t="shared" si="37"/>
        <v>-3.5335355018967325E-3</v>
      </c>
      <c r="DH35" s="261"/>
      <c r="DI35" s="265"/>
      <c r="DJ35" s="265"/>
      <c r="DK35" s="265"/>
      <c r="DL35" s="265"/>
      <c r="DM35" s="265"/>
      <c r="DN35" s="265"/>
      <c r="DO35" s="266"/>
      <c r="DX35" s="1238"/>
      <c r="DY35" s="261"/>
      <c r="DZ35" s="261"/>
    </row>
    <row r="36" spans="1:130" ht="12.6" hidden="1" customHeight="1" outlineLevel="1">
      <c r="A36" s="3662"/>
      <c r="B36" s="3580"/>
      <c r="C36" s="3580"/>
      <c r="D36" s="3617"/>
      <c r="E36" s="3618"/>
      <c r="F36" s="3663"/>
      <c r="G36" s="3618"/>
      <c r="H36" s="3664"/>
      <c r="I36" s="3618"/>
      <c r="J36" s="3618"/>
      <c r="K36" s="3618"/>
      <c r="L36" s="3618"/>
      <c r="M36" s="3664"/>
      <c r="N36" s="3618"/>
      <c r="O36" s="3618"/>
      <c r="P36" s="3618"/>
      <c r="Q36" s="3665"/>
      <c r="R36" s="3664"/>
      <c r="S36" s="3665"/>
      <c r="T36" s="3618"/>
      <c r="U36" s="3618"/>
      <c r="V36" s="3618"/>
      <c r="W36" s="3664"/>
      <c r="X36" s="3618"/>
      <c r="Y36" s="3618"/>
      <c r="Z36" s="3618"/>
      <c r="AA36" s="3665"/>
      <c r="AB36" s="3664"/>
      <c r="AC36" s="3618"/>
      <c r="AD36" s="3618"/>
      <c r="AE36" s="3618"/>
      <c r="AF36" s="3618"/>
      <c r="AG36" s="3664"/>
      <c r="AH36" s="3666"/>
      <c r="AI36" s="3666"/>
      <c r="AJ36" s="3666"/>
      <c r="AK36" s="3666"/>
      <c r="AL36" s="3667"/>
      <c r="AM36" s="3668"/>
      <c r="AN36" s="3668"/>
      <c r="AO36" s="3668"/>
      <c r="AP36" s="3668"/>
      <c r="AQ36" s="3664"/>
      <c r="AR36" s="3668"/>
      <c r="AS36" s="3668"/>
      <c r="AT36" s="3668"/>
      <c r="AU36" s="3668"/>
      <c r="AV36" s="3664"/>
      <c r="AW36" s="3668"/>
      <c r="AX36" s="3668"/>
      <c r="AY36" s="3668"/>
      <c r="AZ36" s="3668"/>
      <c r="BA36" s="3664"/>
      <c r="BB36" s="3668"/>
      <c r="BC36" s="3668"/>
      <c r="BD36" s="3668"/>
      <c r="BE36" s="3668"/>
      <c r="BF36" s="3667"/>
      <c r="BG36" s="3669"/>
      <c r="BH36" s="3668"/>
      <c r="BI36" s="3668"/>
      <c r="BJ36" s="3670"/>
      <c r="BK36" s="3664"/>
      <c r="BL36" s="3668"/>
      <c r="BM36" s="3668"/>
      <c r="BN36" s="3668"/>
      <c r="BO36" s="3670"/>
      <c r="BP36" s="3664"/>
      <c r="BQ36" s="3668"/>
      <c r="BR36" s="3668"/>
      <c r="BS36" s="3668"/>
      <c r="BT36" s="3670"/>
      <c r="BU36" s="3671"/>
      <c r="BV36" s="3668"/>
      <c r="BW36" s="3668"/>
      <c r="BX36" s="3668"/>
      <c r="BY36" s="3670"/>
      <c r="BZ36" s="3671"/>
      <c r="CA36" s="3667"/>
      <c r="CB36" s="3667"/>
      <c r="CC36" s="304"/>
      <c r="CD36" s="304"/>
      <c r="CE36" s="304"/>
      <c r="CF36" s="304"/>
      <c r="CG36" s="304"/>
      <c r="CH36" s="305"/>
      <c r="CI36" s="305"/>
      <c r="CJ36" s="305"/>
      <c r="CK36" s="305"/>
      <c r="CL36" s="305"/>
      <c r="CM36" s="305"/>
      <c r="CN36" s="305"/>
      <c r="CO36" s="305"/>
      <c r="CP36" s="1788"/>
      <c r="CQ36" s="222"/>
      <c r="CR36" s="222"/>
      <c r="CS36" s="222"/>
      <c r="CT36" s="222"/>
      <c r="CU36" s="222"/>
      <c r="CV36" s="222"/>
      <c r="CW36" s="222"/>
      <c r="CX36" s="222"/>
      <c r="CY36" s="222"/>
      <c r="CZ36" s="222"/>
      <c r="DA36" s="222"/>
      <c r="DB36" s="222"/>
      <c r="DC36" s="222"/>
      <c r="DD36" s="222"/>
      <c r="DE36" s="222"/>
      <c r="DF36" s="222"/>
      <c r="DG36" s="1576"/>
      <c r="DH36" s="222"/>
      <c r="DI36" s="222"/>
      <c r="DJ36" s="222"/>
      <c r="DK36" s="222"/>
      <c r="DL36" s="222"/>
      <c r="DM36" s="222"/>
      <c r="DN36" s="222"/>
      <c r="DO36" s="226"/>
      <c r="DX36" s="1238"/>
      <c r="DY36" s="303"/>
      <c r="DZ36" s="303"/>
    </row>
    <row r="37" spans="1:130" ht="12.6" hidden="1" customHeight="1" outlineLevel="1" collapsed="1">
      <c r="A37" s="3586" t="s">
        <v>1136</v>
      </c>
      <c r="B37" s="3587"/>
      <c r="C37" s="3587"/>
      <c r="D37" s="3581">
        <f>D210</f>
        <v>5.4870000000000001</v>
      </c>
      <c r="E37" s="3582">
        <f>E210</f>
        <v>4.5999999999999996</v>
      </c>
      <c r="F37" s="3582">
        <f>F210</f>
        <v>3.14</v>
      </c>
      <c r="G37" s="3582">
        <f>G210</f>
        <v>4.7889999999999997</v>
      </c>
      <c r="H37" s="3672">
        <f>SUM(D37:G37)</f>
        <v>18.015999999999998</v>
      </c>
      <c r="I37" s="3582">
        <f>I210</f>
        <v>7.1150000000000002</v>
      </c>
      <c r="J37" s="3582">
        <f>J210</f>
        <v>5.6509999999999998</v>
      </c>
      <c r="K37" s="3582">
        <f>K210</f>
        <v>5.0179999999999998</v>
      </c>
      <c r="L37" s="3582">
        <f>L210</f>
        <v>6.867</v>
      </c>
      <c r="M37" s="3672">
        <f>SUM(I37:L37)</f>
        <v>24.651</v>
      </c>
      <c r="N37" s="3582">
        <f>N210</f>
        <v>6.758</v>
      </c>
      <c r="O37" s="3582">
        <f>O210</f>
        <v>4.62</v>
      </c>
      <c r="P37" s="3582">
        <f>P210</f>
        <v>2.6829999999999998</v>
      </c>
      <c r="Q37" s="3582">
        <f>Q210</f>
        <v>1.3420000000000001</v>
      </c>
      <c r="R37" s="3672">
        <f>SUM(N37:Q37)</f>
        <v>15.403</v>
      </c>
      <c r="S37" s="3582"/>
      <c r="T37" s="3582"/>
      <c r="U37" s="3582"/>
      <c r="V37" s="3582"/>
      <c r="W37" s="3672"/>
      <c r="X37" s="3582"/>
      <c r="Y37" s="3582"/>
      <c r="Z37" s="3582"/>
      <c r="AA37" s="3582"/>
      <c r="AB37" s="3672"/>
      <c r="AC37" s="3582"/>
      <c r="AD37" s="3582"/>
      <c r="AE37" s="3582"/>
      <c r="AF37" s="3582"/>
      <c r="AG37" s="3672"/>
      <c r="AH37" s="3673"/>
      <c r="AI37" s="3673"/>
      <c r="AJ37" s="3673"/>
      <c r="AK37" s="3673"/>
      <c r="AL37" s="3674"/>
      <c r="AM37" s="3673"/>
      <c r="AN37" s="3673"/>
      <c r="AO37" s="3673"/>
      <c r="AP37" s="3673"/>
      <c r="AQ37" s="3675"/>
      <c r="AR37" s="3673"/>
      <c r="AS37" s="3673"/>
      <c r="AT37" s="3673"/>
      <c r="AU37" s="3673"/>
      <c r="AV37" s="3675"/>
      <c r="AW37" s="3673"/>
      <c r="AX37" s="3673"/>
      <c r="AY37" s="3673"/>
      <c r="AZ37" s="3673"/>
      <c r="BA37" s="3675"/>
      <c r="BB37" s="3673"/>
      <c r="BC37" s="3673"/>
      <c r="BD37" s="3673"/>
      <c r="BE37" s="3673"/>
      <c r="BF37" s="3675"/>
      <c r="BG37" s="3676"/>
      <c r="BH37" s="3677"/>
      <c r="BI37" s="3677"/>
      <c r="BJ37" s="3678"/>
      <c r="BK37" s="3675"/>
      <c r="BL37" s="3677"/>
      <c r="BM37" s="3677"/>
      <c r="BN37" s="3677"/>
      <c r="BO37" s="3678"/>
      <c r="BP37" s="3675"/>
      <c r="BQ37" s="3677"/>
      <c r="BR37" s="3677"/>
      <c r="BS37" s="3677"/>
      <c r="BT37" s="3678"/>
      <c r="BU37" s="3679"/>
      <c r="BV37" s="3677"/>
      <c r="BW37" s="3677"/>
      <c r="BX37" s="3677"/>
      <c r="BY37" s="3678"/>
      <c r="BZ37" s="3679"/>
      <c r="CA37" s="3583"/>
      <c r="CB37" s="3583"/>
      <c r="CC37" s="250"/>
      <c r="CD37" s="250"/>
      <c r="CE37" s="250"/>
      <c r="CF37" s="250"/>
      <c r="CG37" s="250"/>
      <c r="CH37" s="249"/>
      <c r="CI37" s="249"/>
      <c r="CJ37" s="249"/>
      <c r="CK37" s="249"/>
      <c r="CL37" s="249"/>
      <c r="CM37" s="249"/>
      <c r="CN37" s="249"/>
      <c r="CO37" s="249"/>
      <c r="CP37" s="1775" t="str">
        <f t="shared" si="20"/>
        <v>Stardust/Echelon</v>
      </c>
      <c r="CQ37" s="308">
        <f t="shared" si="21"/>
        <v>18.015999999999998</v>
      </c>
      <c r="CR37" s="308">
        <f t="shared" si="22"/>
        <v>24.651</v>
      </c>
      <c r="CS37" s="308">
        <f t="shared" si="23"/>
        <v>15.403</v>
      </c>
      <c r="CT37" s="308"/>
      <c r="CU37" s="308"/>
      <c r="CV37" s="308"/>
      <c r="CW37" s="308"/>
      <c r="CX37" s="308"/>
      <c r="CY37" s="308"/>
      <c r="CZ37" s="308"/>
      <c r="DA37" s="308"/>
      <c r="DB37" s="308"/>
      <c r="DC37" s="308"/>
      <c r="DD37" s="308"/>
      <c r="DE37" s="308"/>
      <c r="DF37" s="308"/>
      <c r="DG37" s="1701"/>
      <c r="DH37" s="272"/>
      <c r="DI37" s="310"/>
      <c r="DJ37" s="311"/>
      <c r="DK37" s="311"/>
      <c r="DL37" s="311"/>
      <c r="DM37" s="311"/>
      <c r="DN37" s="311"/>
      <c r="DO37" s="312"/>
      <c r="DX37" s="1238"/>
      <c r="DY37" s="747"/>
      <c r="DZ37" s="747"/>
    </row>
    <row r="38" spans="1:130" ht="12.6" customHeight="1" collapsed="1">
      <c r="A38" s="3586" t="s">
        <v>494</v>
      </c>
      <c r="B38" s="3587"/>
      <c r="C38" s="3587"/>
      <c r="D38" s="3588">
        <f>D310</f>
        <v>14.097999999999999</v>
      </c>
      <c r="E38" s="3589">
        <f>E310</f>
        <v>11.281000000000001</v>
      </c>
      <c r="F38" s="3589">
        <f>F310</f>
        <v>54.932000000000002</v>
      </c>
      <c r="G38" s="3589">
        <f>G310</f>
        <v>74.600999999999999</v>
      </c>
      <c r="H38" s="3680">
        <f>SUM(D38:G38)</f>
        <v>154.91200000000001</v>
      </c>
      <c r="I38" s="3589">
        <f>I310</f>
        <v>84.069000000000003</v>
      </c>
      <c r="J38" s="3589">
        <f>J310</f>
        <v>76.144000000000005</v>
      </c>
      <c r="K38" s="3589">
        <f>K310</f>
        <v>73.106999999999999</v>
      </c>
      <c r="L38" s="3589">
        <f>L310</f>
        <v>79.762</v>
      </c>
      <c r="M38" s="3680">
        <f>SUM(I38:L38)</f>
        <v>313.08199999999999</v>
      </c>
      <c r="N38" s="3589">
        <f>N310</f>
        <v>94.430999999999997</v>
      </c>
      <c r="O38" s="3589">
        <f>O310</f>
        <v>78.927999999999997</v>
      </c>
      <c r="P38" s="3589">
        <f>P310</f>
        <v>56.216999999999999</v>
      </c>
      <c r="Q38" s="3589">
        <f>Q310</f>
        <v>70.436999999999998</v>
      </c>
      <c r="R38" s="3680">
        <f>SUM(N38:Q38)</f>
        <v>300.01299999999998</v>
      </c>
      <c r="S38" s="3589">
        <f>S310</f>
        <v>74.579000000000008</v>
      </c>
      <c r="T38" s="3589">
        <f>T310</f>
        <v>66.843999999999994</v>
      </c>
      <c r="U38" s="3589">
        <f>U310</f>
        <v>61.312999999999988</v>
      </c>
      <c r="V38" s="3589">
        <f>V310</f>
        <v>72.774000000000001</v>
      </c>
      <c r="W38" s="3680">
        <f>SUM(S38:V38)</f>
        <v>275.51</v>
      </c>
      <c r="X38" s="3589">
        <f>X310</f>
        <v>66.655000000000001</v>
      </c>
      <c r="Y38" s="3589">
        <f>Y310</f>
        <v>62.426999999999992</v>
      </c>
      <c r="Z38" s="3589">
        <f>Z310</f>
        <v>45.680999999999983</v>
      </c>
      <c r="AA38" s="3589">
        <f>AA310</f>
        <v>43.828000000000003</v>
      </c>
      <c r="AB38" s="3680">
        <f>SUM(X38:AA38)</f>
        <v>218.59099999999998</v>
      </c>
      <c r="AC38" s="3589">
        <f t="shared" ref="AC38:AH38" si="75">AC310</f>
        <v>45.32</v>
      </c>
      <c r="AD38" s="3589">
        <f t="shared" si="75"/>
        <v>43.917000000000002</v>
      </c>
      <c r="AE38" s="3589">
        <f t="shared" si="75"/>
        <v>31.363</v>
      </c>
      <c r="AF38" s="3589">
        <f t="shared" si="75"/>
        <v>34.735999999999997</v>
      </c>
      <c r="AG38" s="3680">
        <f t="shared" si="75"/>
        <v>155.33599999999998</v>
      </c>
      <c r="AH38" s="3681">
        <f t="shared" si="75"/>
        <v>40.412999999999997</v>
      </c>
      <c r="AI38" s="3681">
        <f t="shared" ref="AI38:AQ38" si="76">AI310</f>
        <v>36.81</v>
      </c>
      <c r="AJ38" s="3681">
        <f t="shared" si="76"/>
        <v>26.116</v>
      </c>
      <c r="AK38" s="3681">
        <f t="shared" si="76"/>
        <v>34.125</v>
      </c>
      <c r="AL38" s="3680">
        <f t="shared" si="76"/>
        <v>137.464</v>
      </c>
      <c r="AM38" s="3681">
        <f t="shared" si="76"/>
        <v>39.643000000000001</v>
      </c>
      <c r="AN38" s="3681">
        <f t="shared" si="76"/>
        <v>38.57</v>
      </c>
      <c r="AO38" s="3681">
        <f t="shared" si="76"/>
        <v>30.792999999999999</v>
      </c>
      <c r="AP38" s="3681">
        <f t="shared" si="76"/>
        <v>36.841999999999999</v>
      </c>
      <c r="AQ38" s="3680">
        <f t="shared" si="76"/>
        <v>145.84800000000001</v>
      </c>
      <c r="AR38" s="3681">
        <f t="shared" ref="AR38:BH38" si="77">AR310</f>
        <v>38.485999999999997</v>
      </c>
      <c r="AS38" s="3681">
        <f t="shared" si="77"/>
        <v>34.534999999999997</v>
      </c>
      <c r="AT38" s="3681">
        <f t="shared" si="77"/>
        <v>24.271000000000001</v>
      </c>
      <c r="AU38" s="3681">
        <f t="shared" si="77"/>
        <v>31.45</v>
      </c>
      <c r="AV38" s="3680">
        <f t="shared" si="77"/>
        <v>128.74199999999999</v>
      </c>
      <c r="AW38" s="3681">
        <f t="shared" si="77"/>
        <v>39.204999999999998</v>
      </c>
      <c r="AX38" s="3681">
        <f t="shared" si="77"/>
        <v>38.722999999999999</v>
      </c>
      <c r="AY38" s="3681">
        <f t="shared" si="77"/>
        <v>26.35</v>
      </c>
      <c r="AZ38" s="3682">
        <f t="shared" si="77"/>
        <v>33.222999999999999</v>
      </c>
      <c r="BA38" s="3680">
        <f t="shared" si="77"/>
        <v>137.50099999999998</v>
      </c>
      <c r="BB38" s="3682">
        <f t="shared" si="77"/>
        <v>40.006999999999998</v>
      </c>
      <c r="BC38" s="3681">
        <f t="shared" si="77"/>
        <v>36.581000000000003</v>
      </c>
      <c r="BD38" s="3681">
        <f t="shared" si="77"/>
        <v>28.052</v>
      </c>
      <c r="BE38" s="3681">
        <f t="shared" si="77"/>
        <v>39.756999999999998</v>
      </c>
      <c r="BF38" s="3680">
        <f t="shared" si="77"/>
        <v>144.39699999999999</v>
      </c>
      <c r="BG38" s="3683">
        <f t="shared" si="77"/>
        <v>38.877000000000002</v>
      </c>
      <c r="BH38" s="3681">
        <f t="shared" si="77"/>
        <v>42.174999999999997</v>
      </c>
      <c r="BI38" s="3681">
        <f t="shared" ref="BI38:BO38" si="78">BI310</f>
        <v>32.261000000000003</v>
      </c>
      <c r="BJ38" s="3684">
        <f t="shared" si="78"/>
        <v>43.999000000000002</v>
      </c>
      <c r="BK38" s="3680">
        <f t="shared" si="78"/>
        <v>157.31199999999998</v>
      </c>
      <c r="BL38" s="3681">
        <f t="shared" si="78"/>
        <v>44.271000000000001</v>
      </c>
      <c r="BM38" s="3681">
        <f t="shared" si="78"/>
        <v>43.173000000000002</v>
      </c>
      <c r="BN38" s="3681">
        <f t="shared" si="78"/>
        <v>36.173000000000002</v>
      </c>
      <c r="BO38" s="3684">
        <f t="shared" si="78"/>
        <v>52.802999999999997</v>
      </c>
      <c r="BP38" s="3603">
        <f>SUM(BL38:BO38)</f>
        <v>176.42000000000002</v>
      </c>
      <c r="BQ38" s="3681">
        <f>BQ310</f>
        <v>66.227000000000004</v>
      </c>
      <c r="BR38" s="3681">
        <f>BR310</f>
        <v>63.125999999999998</v>
      </c>
      <c r="BS38" s="3681">
        <f>BS310</f>
        <v>56.109000000000002</v>
      </c>
      <c r="BT38" s="3684">
        <f>BT310</f>
        <v>64.480999999999995</v>
      </c>
      <c r="BU38" s="3603">
        <f>SUM(BQ38:BT38)</f>
        <v>249.94300000000001</v>
      </c>
      <c r="BV38" s="3681">
        <f>BV310</f>
        <v>70.56986999999998</v>
      </c>
      <c r="BW38" s="3681">
        <f>BW310</f>
        <v>70.183740000000029</v>
      </c>
      <c r="BX38" s="3681">
        <f>BX310</f>
        <v>62.88882000000001</v>
      </c>
      <c r="BY38" s="3684">
        <f>BY310</f>
        <v>71.654799999999994</v>
      </c>
      <c r="BZ38" s="3603">
        <f>SUM(BV38:BY38)</f>
        <v>275.29723000000001</v>
      </c>
      <c r="CA38" s="3680">
        <f t="shared" ref="CA38:CG38" si="79">CA310</f>
        <v>286.95001355000011</v>
      </c>
      <c r="CB38" s="3680">
        <f t="shared" si="79"/>
        <v>293.15832088950015</v>
      </c>
      <c r="CC38" s="1030">
        <f t="shared" si="79"/>
        <v>266.2079563128151</v>
      </c>
      <c r="CD38" s="1030">
        <f t="shared" si="79"/>
        <v>240.97388342093063</v>
      </c>
      <c r="CE38" s="1030">
        <f t="shared" si="79"/>
        <v>251.57634350132741</v>
      </c>
      <c r="CF38" s="1030">
        <f t="shared" si="79"/>
        <v>262.44868260745193</v>
      </c>
      <c r="CG38" s="1030">
        <f t="shared" si="79"/>
        <v>273.59687661805992</v>
      </c>
      <c r="CH38" s="965"/>
      <c r="CI38" s="965"/>
      <c r="CJ38" s="965"/>
      <c r="CK38" s="965"/>
      <c r="CL38" s="965"/>
      <c r="CM38" s="965"/>
      <c r="CN38" s="965">
        <f>SUM(BV38:BY38)</f>
        <v>275.29723000000001</v>
      </c>
      <c r="CO38" s="965">
        <f>CM38-CN38</f>
        <v>-275.29723000000001</v>
      </c>
      <c r="CP38" s="1775" t="str">
        <f t="shared" si="20"/>
        <v>Las Vegas Locals</v>
      </c>
      <c r="CQ38" s="1031">
        <f t="shared" si="21"/>
        <v>154.91200000000001</v>
      </c>
      <c r="CR38" s="1031">
        <f t="shared" si="22"/>
        <v>313.08199999999999</v>
      </c>
      <c r="CS38" s="1031">
        <f t="shared" si="23"/>
        <v>300.01299999999998</v>
      </c>
      <c r="CT38" s="1031">
        <f t="shared" si="24"/>
        <v>275.51</v>
      </c>
      <c r="CU38" s="1031">
        <f t="shared" si="25"/>
        <v>218.59099999999998</v>
      </c>
      <c r="CV38" s="1031">
        <f t="shared" si="26"/>
        <v>155.33599999999998</v>
      </c>
      <c r="CW38" s="1031">
        <f t="shared" si="27"/>
        <v>137.464</v>
      </c>
      <c r="CX38" s="1031">
        <f t="shared" si="28"/>
        <v>145.84800000000001</v>
      </c>
      <c r="CY38" s="1031">
        <f t="shared" si="29"/>
        <v>128.74199999999999</v>
      </c>
      <c r="CZ38" s="1031">
        <f t="shared" si="30"/>
        <v>137.50099999999998</v>
      </c>
      <c r="DA38" s="1031">
        <f t="shared" si="31"/>
        <v>144.39699999999999</v>
      </c>
      <c r="DB38" s="1031">
        <f t="shared" si="32"/>
        <v>157.31199999999998</v>
      </c>
      <c r="DC38" s="1031">
        <f t="shared" si="33"/>
        <v>176.42000000000002</v>
      </c>
      <c r="DD38" s="1031">
        <f t="shared" si="34"/>
        <v>249.94300000000001</v>
      </c>
      <c r="DE38" s="1031">
        <f t="shared" si="35"/>
        <v>275.29723000000001</v>
      </c>
      <c r="DF38" s="1031">
        <f t="shared" si="36"/>
        <v>286.95001355000011</v>
      </c>
      <c r="DG38" s="1663">
        <f t="shared" si="37"/>
        <v>293.15832088950015</v>
      </c>
      <c r="DH38" s="965"/>
      <c r="DI38" s="1727"/>
      <c r="DJ38" s="311"/>
      <c r="DK38" s="311"/>
      <c r="DL38" s="311"/>
      <c r="DM38" s="311"/>
      <c r="DN38" s="311"/>
      <c r="DO38" s="312"/>
      <c r="DW38" s="1312"/>
      <c r="DY38" s="1031"/>
      <c r="DZ38" s="1031"/>
    </row>
    <row r="39" spans="1:130" ht="12.6" customHeight="1">
      <c r="A39" s="3594" t="s">
        <v>515</v>
      </c>
      <c r="B39" s="3595"/>
      <c r="C39" s="3595"/>
      <c r="D39" s="3596">
        <f>D345</f>
        <v>10.055</v>
      </c>
      <c r="E39" s="3597">
        <f>E345</f>
        <v>8.798</v>
      </c>
      <c r="F39" s="3597">
        <f>F345</f>
        <v>7.5970000000000004</v>
      </c>
      <c r="G39" s="3597">
        <f>G345</f>
        <v>12.288</v>
      </c>
      <c r="H39" s="3603">
        <f>SUM(D39:G39)</f>
        <v>38.738</v>
      </c>
      <c r="I39" s="3597">
        <f>I345</f>
        <v>11.41</v>
      </c>
      <c r="J39" s="3597">
        <f>J345</f>
        <v>14.327999999999999</v>
      </c>
      <c r="K39" s="3597">
        <f>K345</f>
        <v>9.3460000000000001</v>
      </c>
      <c r="L39" s="3597">
        <f>L345</f>
        <v>17.210999999999999</v>
      </c>
      <c r="M39" s="3603">
        <f>SUM(I39:L39)</f>
        <v>52.295000000000002</v>
      </c>
      <c r="N39" s="3597">
        <f>N345</f>
        <v>14.016</v>
      </c>
      <c r="O39" s="3597">
        <f>O345</f>
        <v>12.906000000000001</v>
      </c>
      <c r="P39" s="3597">
        <f>P345</f>
        <v>9.5359999999999996</v>
      </c>
      <c r="Q39" s="3597">
        <f>Q345</f>
        <v>17.114999999999998</v>
      </c>
      <c r="R39" s="3603">
        <f>SUM(N39:Q39)</f>
        <v>53.572999999999993</v>
      </c>
      <c r="S39" s="3597">
        <f>S345</f>
        <v>13.881</v>
      </c>
      <c r="T39" s="3597">
        <f>T345</f>
        <v>13.155999999999999</v>
      </c>
      <c r="U39" s="3597">
        <f>U345</f>
        <v>10.335999999999999</v>
      </c>
      <c r="V39" s="3597">
        <f>V345</f>
        <v>14.753999999999998</v>
      </c>
      <c r="W39" s="3603">
        <f>SUM(S39:V39)</f>
        <v>52.126999999999995</v>
      </c>
      <c r="X39" s="3597">
        <f>X345</f>
        <v>10.168999999999997</v>
      </c>
      <c r="Y39" s="3597">
        <f>Y345</f>
        <v>10.323999999999998</v>
      </c>
      <c r="Z39" s="3597">
        <f>Z345</f>
        <v>6.9</v>
      </c>
      <c r="AA39" s="3597">
        <f>AA345</f>
        <v>13.264000000000003</v>
      </c>
      <c r="AB39" s="3603">
        <f>SUM(X39:AA39)</f>
        <v>40.656999999999996</v>
      </c>
      <c r="AC39" s="3597">
        <f>AC345</f>
        <v>13.353999999999999</v>
      </c>
      <c r="AD39" s="3597">
        <f>AD345</f>
        <v>11.8</v>
      </c>
      <c r="AE39" s="3597">
        <f>AE345</f>
        <v>8.7010000000000005</v>
      </c>
      <c r="AF39" s="3597">
        <f>AF345</f>
        <v>12.247</v>
      </c>
      <c r="AG39" s="3603">
        <f>SUM(AC39:AF39)</f>
        <v>46.102000000000004</v>
      </c>
      <c r="AH39" s="3602">
        <f>AH345</f>
        <v>8.3719999999999999</v>
      </c>
      <c r="AI39" s="3602">
        <f>AI345</f>
        <v>9.31</v>
      </c>
      <c r="AJ39" s="3602">
        <f>AJ345</f>
        <v>5.6790000000000003</v>
      </c>
      <c r="AK39" s="3602">
        <f>AK345</f>
        <v>10.866</v>
      </c>
      <c r="AL39" s="3603">
        <f>SUM(AH39:AK39)</f>
        <v>34.227000000000004</v>
      </c>
      <c r="AM39" s="3602">
        <f>AM345</f>
        <v>9.0039999999999996</v>
      </c>
      <c r="AN39" s="3602">
        <f>AN345</f>
        <v>9.3659999999999997</v>
      </c>
      <c r="AO39" s="3602">
        <f>AO345</f>
        <v>6.0049999999999999</v>
      </c>
      <c r="AP39" s="3602">
        <f>AP345</f>
        <v>10.839</v>
      </c>
      <c r="AQ39" s="3603">
        <f>SUM(AM39:AP39)</f>
        <v>35.213999999999999</v>
      </c>
      <c r="AR39" s="3602">
        <f>AR345</f>
        <v>8.4320000000000004</v>
      </c>
      <c r="AS39" s="3602">
        <f>AS345</f>
        <v>8.109</v>
      </c>
      <c r="AT39" s="3602">
        <f>AT345</f>
        <v>6.3559999999999999</v>
      </c>
      <c r="AU39" s="3602">
        <f>AU345</f>
        <v>9.9350000000000005</v>
      </c>
      <c r="AV39" s="3603">
        <f>SUM(AR39:AU39)</f>
        <v>32.832000000000001</v>
      </c>
      <c r="AW39" s="3602">
        <f>AW345</f>
        <v>7.1109999999999998</v>
      </c>
      <c r="AX39" s="3602">
        <f>AX345</f>
        <v>9.2970000000000006</v>
      </c>
      <c r="AY39" s="3602">
        <f>AY345</f>
        <v>5.5339999999999998</v>
      </c>
      <c r="AZ39" s="3604">
        <f>AZ345</f>
        <v>13.093999999999999</v>
      </c>
      <c r="BA39" s="3603">
        <f>SUM(AW39:AZ39)</f>
        <v>35.036000000000001</v>
      </c>
      <c r="BB39" s="3604">
        <f>BB345</f>
        <v>9.327</v>
      </c>
      <c r="BC39" s="3602">
        <f>BC345</f>
        <v>8.5510000000000002</v>
      </c>
      <c r="BD39" s="3602">
        <f>BD345</f>
        <v>6.3150000000000004</v>
      </c>
      <c r="BE39" s="3602">
        <f>BE345</f>
        <v>13.116</v>
      </c>
      <c r="BF39" s="3603">
        <f>SUM(BB39:BE39)</f>
        <v>37.308999999999997</v>
      </c>
      <c r="BG39" s="3605">
        <f>BG345</f>
        <v>10.677</v>
      </c>
      <c r="BH39" s="3602">
        <f>BH345</f>
        <v>12.307</v>
      </c>
      <c r="BI39" s="3602">
        <f>BI345</f>
        <v>10.144</v>
      </c>
      <c r="BJ39" s="3606">
        <f>BJ345</f>
        <v>16.186</v>
      </c>
      <c r="BK39" s="3603">
        <f>SUM(BG39:BJ39)</f>
        <v>49.314</v>
      </c>
      <c r="BL39" s="3602">
        <f>BL345</f>
        <v>12.680999999999999</v>
      </c>
      <c r="BM39" s="3602">
        <f>BM345</f>
        <v>14.263</v>
      </c>
      <c r="BN39" s="3602">
        <f>BN345</f>
        <v>10.018000000000001</v>
      </c>
      <c r="BO39" s="3606">
        <f>BO345</f>
        <v>15.458</v>
      </c>
      <c r="BP39" s="3603">
        <f>SUM(BL39:BO39)</f>
        <v>52.42</v>
      </c>
      <c r="BQ39" s="3602">
        <f>BQ345</f>
        <v>13.638</v>
      </c>
      <c r="BR39" s="3602">
        <f>BR345</f>
        <v>12.583</v>
      </c>
      <c r="BS39" s="3602">
        <f>BS345</f>
        <v>11.536</v>
      </c>
      <c r="BT39" s="3606">
        <f>BT345</f>
        <v>16.777999999999999</v>
      </c>
      <c r="BU39" s="3603">
        <f>SUM(BQ39:BT39)</f>
        <v>54.534999999999997</v>
      </c>
      <c r="BV39" s="3602">
        <f>BV345</f>
        <v>14.921069999999993</v>
      </c>
      <c r="BW39" s="3602">
        <f>BW345</f>
        <v>14.432745000000004</v>
      </c>
      <c r="BX39" s="3602">
        <f>BX345</f>
        <v>12.415599999999998</v>
      </c>
      <c r="BY39" s="3606">
        <f>BY345</f>
        <v>17.792799999999993</v>
      </c>
      <c r="BZ39" s="3603">
        <f>SUM(BV39:BY39)</f>
        <v>59.562214999999988</v>
      </c>
      <c r="CA39" s="3603">
        <f t="shared" ref="CA39:CG39" si="80">CA345</f>
        <v>62.660108999999949</v>
      </c>
      <c r="CB39" s="3603">
        <f t="shared" si="80"/>
        <v>64.585825196999963</v>
      </c>
      <c r="CC39" s="736">
        <f t="shared" si="80"/>
        <v>57.543615867089983</v>
      </c>
      <c r="CD39" s="736">
        <f t="shared" si="80"/>
        <v>50.967904545777287</v>
      </c>
      <c r="CE39" s="736">
        <f t="shared" si="80"/>
        <v>53.78104994275256</v>
      </c>
      <c r="CF39" s="736">
        <f t="shared" si="80"/>
        <v>56.668396120727948</v>
      </c>
      <c r="CG39" s="736">
        <f t="shared" si="80"/>
        <v>59.631606474054053</v>
      </c>
      <c r="CH39" s="273"/>
      <c r="CI39" s="273"/>
      <c r="CJ39" s="273"/>
      <c r="CK39" s="273"/>
      <c r="CL39" s="273"/>
      <c r="CM39" s="965"/>
      <c r="CN39" s="965">
        <f>SUM(BV39:BY39)</f>
        <v>59.562214999999988</v>
      </c>
      <c r="CO39" s="965">
        <f>CM39-CN39</f>
        <v>-59.562214999999988</v>
      </c>
      <c r="CP39" s="1778" t="str">
        <f t="shared" si="20"/>
        <v>Downtown LV</v>
      </c>
      <c r="CQ39" s="564">
        <f t="shared" si="21"/>
        <v>38.738</v>
      </c>
      <c r="CR39" s="564">
        <f t="shared" si="22"/>
        <v>52.295000000000002</v>
      </c>
      <c r="CS39" s="564">
        <f t="shared" si="23"/>
        <v>53.572999999999993</v>
      </c>
      <c r="CT39" s="564">
        <f t="shared" si="24"/>
        <v>52.126999999999995</v>
      </c>
      <c r="CU39" s="564">
        <f t="shared" si="25"/>
        <v>40.656999999999996</v>
      </c>
      <c r="CV39" s="564">
        <f t="shared" si="26"/>
        <v>46.102000000000004</v>
      </c>
      <c r="CW39" s="564">
        <f t="shared" si="27"/>
        <v>34.227000000000004</v>
      </c>
      <c r="CX39" s="564">
        <f t="shared" si="28"/>
        <v>35.213999999999999</v>
      </c>
      <c r="CY39" s="564">
        <f t="shared" si="29"/>
        <v>32.832000000000001</v>
      </c>
      <c r="CZ39" s="564">
        <f t="shared" si="30"/>
        <v>35.036000000000001</v>
      </c>
      <c r="DA39" s="564">
        <f t="shared" si="31"/>
        <v>37.308999999999997</v>
      </c>
      <c r="DB39" s="564">
        <f t="shared" si="32"/>
        <v>49.314</v>
      </c>
      <c r="DC39" s="564">
        <f t="shared" si="33"/>
        <v>52.42</v>
      </c>
      <c r="DD39" s="564">
        <f t="shared" si="34"/>
        <v>54.534999999999997</v>
      </c>
      <c r="DE39" s="564">
        <f t="shared" si="35"/>
        <v>59.562214999999988</v>
      </c>
      <c r="DF39" s="564">
        <f t="shared" si="36"/>
        <v>62.660108999999949</v>
      </c>
      <c r="DG39" s="1789">
        <f t="shared" si="37"/>
        <v>64.585825196999963</v>
      </c>
      <c r="DH39" s="273"/>
      <c r="DI39" s="773"/>
      <c r="DJ39" s="319"/>
      <c r="DK39" s="319"/>
      <c r="DL39" s="319"/>
      <c r="DM39" s="319"/>
      <c r="DN39" s="319"/>
      <c r="DO39" s="320"/>
      <c r="DW39" s="1312"/>
      <c r="DY39" s="564"/>
      <c r="DZ39" s="564"/>
    </row>
    <row r="40" spans="1:130" ht="3.95" hidden="1" customHeight="1" outlineLevel="1">
      <c r="A40" s="3594"/>
      <c r="B40" s="3595"/>
      <c r="C40" s="3595"/>
      <c r="D40" s="3596"/>
      <c r="E40" s="3597"/>
      <c r="F40" s="3597"/>
      <c r="G40" s="3597"/>
      <c r="H40" s="3603"/>
      <c r="I40" s="3597"/>
      <c r="J40" s="3597"/>
      <c r="K40" s="3597"/>
      <c r="L40" s="3597"/>
      <c r="M40" s="3603"/>
      <c r="N40" s="3597"/>
      <c r="O40" s="3597"/>
      <c r="P40" s="3597"/>
      <c r="Q40" s="3597"/>
      <c r="R40" s="3603"/>
      <c r="S40" s="3597"/>
      <c r="T40" s="3597"/>
      <c r="U40" s="3597"/>
      <c r="V40" s="3597"/>
      <c r="W40" s="3603"/>
      <c r="X40" s="3597"/>
      <c r="Y40" s="3597"/>
      <c r="Z40" s="3597"/>
      <c r="AA40" s="3597"/>
      <c r="AB40" s="3603"/>
      <c r="AC40" s="3597"/>
      <c r="AD40" s="3597"/>
      <c r="AE40" s="3597"/>
      <c r="AF40" s="3597"/>
      <c r="AG40" s="3603"/>
      <c r="AH40" s="3602"/>
      <c r="AI40" s="3602"/>
      <c r="AJ40" s="3602"/>
      <c r="AK40" s="3602"/>
      <c r="AL40" s="3603"/>
      <c r="AM40" s="3602"/>
      <c r="AN40" s="3602"/>
      <c r="AO40" s="3602"/>
      <c r="AP40" s="3602"/>
      <c r="AQ40" s="3603"/>
      <c r="AR40" s="3602"/>
      <c r="AS40" s="3602"/>
      <c r="AT40" s="3602"/>
      <c r="AU40" s="3602"/>
      <c r="AV40" s="3603"/>
      <c r="AW40" s="3602"/>
      <c r="AX40" s="3602"/>
      <c r="AY40" s="3602"/>
      <c r="AZ40" s="3604"/>
      <c r="BA40" s="3603"/>
      <c r="BB40" s="3604"/>
      <c r="BC40" s="3602"/>
      <c r="BD40" s="3602"/>
      <c r="BE40" s="3602"/>
      <c r="BF40" s="3603"/>
      <c r="BG40" s="3605"/>
      <c r="BH40" s="3602"/>
      <c r="BI40" s="3602"/>
      <c r="BJ40" s="3606"/>
      <c r="BK40" s="3603"/>
      <c r="BL40" s="3602"/>
      <c r="BM40" s="3602"/>
      <c r="BN40" s="3602"/>
      <c r="BO40" s="3606"/>
      <c r="BP40" s="3603"/>
      <c r="BQ40" s="3602"/>
      <c r="BR40" s="3602"/>
      <c r="BS40" s="3602"/>
      <c r="BT40" s="3606"/>
      <c r="BU40" s="3607"/>
      <c r="BV40" s="3602"/>
      <c r="BW40" s="3602"/>
      <c r="BX40" s="3602"/>
      <c r="BY40" s="3606"/>
      <c r="BZ40" s="3607"/>
      <c r="CA40" s="3603"/>
      <c r="CB40" s="3603"/>
      <c r="CC40" s="736"/>
      <c r="CD40" s="736"/>
      <c r="CE40" s="736"/>
      <c r="CF40" s="736"/>
      <c r="CG40" s="736"/>
      <c r="CH40" s="273"/>
      <c r="CI40" s="273"/>
      <c r="CJ40" s="273"/>
      <c r="CK40" s="273"/>
      <c r="CL40" s="273"/>
      <c r="CM40" s="273"/>
      <c r="CN40" s="273"/>
      <c r="CO40" s="273"/>
      <c r="CP40" s="1778"/>
      <c r="CQ40" s="564"/>
      <c r="CR40" s="564"/>
      <c r="CS40" s="564"/>
      <c r="CT40" s="564"/>
      <c r="CU40" s="564"/>
      <c r="CV40" s="564"/>
      <c r="CW40" s="564"/>
      <c r="CX40" s="564"/>
      <c r="CY40" s="564"/>
      <c r="CZ40" s="564"/>
      <c r="DA40" s="564"/>
      <c r="DB40" s="564"/>
      <c r="DC40" s="564"/>
      <c r="DD40" s="564"/>
      <c r="DE40" s="564"/>
      <c r="DF40" s="564"/>
      <c r="DG40" s="1789"/>
      <c r="DH40" s="273"/>
      <c r="DI40" s="773"/>
      <c r="DJ40" s="319"/>
      <c r="DK40" s="319"/>
      <c r="DL40" s="319"/>
      <c r="DM40" s="319"/>
      <c r="DN40" s="319"/>
      <c r="DO40" s="320"/>
      <c r="DY40" s="564"/>
      <c r="DZ40" s="564"/>
    </row>
    <row r="41" spans="1:130" ht="12.6" hidden="1" customHeight="1" outlineLevel="1">
      <c r="A41" s="3594" t="s">
        <v>1082</v>
      </c>
      <c r="B41" s="3595"/>
      <c r="C41" s="3595"/>
      <c r="D41" s="3596">
        <f>D509</f>
        <v>44.171999999999997</v>
      </c>
      <c r="E41" s="3597">
        <f>E509</f>
        <v>49.244999999999997</v>
      </c>
      <c r="F41" s="3597">
        <f>F509</f>
        <v>53.064</v>
      </c>
      <c r="G41" s="3597">
        <f>G509</f>
        <v>44.716999999999999</v>
      </c>
      <c r="H41" s="3603">
        <f>SUM(D41:G41)</f>
        <v>191.19799999999998</v>
      </c>
      <c r="I41" s="3597">
        <f>I509</f>
        <v>55.878999999999998</v>
      </c>
      <c r="J41" s="3597">
        <f>J509</f>
        <v>53.079000000000001</v>
      </c>
      <c r="K41" s="3597">
        <f>K509</f>
        <v>48.924999999999997</v>
      </c>
      <c r="L41" s="3597">
        <f>L509</f>
        <v>66.933000000000007</v>
      </c>
      <c r="M41" s="3603">
        <f>SUM(I41:L41)</f>
        <v>224.81599999999997</v>
      </c>
      <c r="N41" s="3597">
        <f>N509</f>
        <v>83.858999999999995</v>
      </c>
      <c r="O41" s="3597">
        <f>O509</f>
        <v>65.259</v>
      </c>
      <c r="P41" s="3597">
        <f>P509</f>
        <v>64.456000000000003</v>
      </c>
      <c r="Q41" s="3597">
        <f>Q509</f>
        <v>50.667999999999999</v>
      </c>
      <c r="R41" s="3603">
        <f>SUM(N41:Q41)</f>
        <v>264.24200000000002</v>
      </c>
      <c r="S41" s="3597">
        <f>S509</f>
        <v>57.281000000000006</v>
      </c>
      <c r="T41" s="3597">
        <f>T509</f>
        <v>58.08</v>
      </c>
      <c r="U41" s="3597">
        <f>U509</f>
        <v>56.432000000000016</v>
      </c>
      <c r="V41" s="3597">
        <f>V509</f>
        <v>43.99</v>
      </c>
      <c r="W41" s="3603">
        <f>SUM(S41:V41)</f>
        <v>215.78300000000002</v>
      </c>
      <c r="X41" s="3597">
        <f>X509</f>
        <v>45.59899999999999</v>
      </c>
      <c r="Y41" s="3597">
        <f>Y509</f>
        <v>45.337000000000018</v>
      </c>
      <c r="Z41" s="3597">
        <f>Z509</f>
        <v>39.103000000000009</v>
      </c>
      <c r="AA41" s="3597">
        <f>AA509</f>
        <v>36.326999999999998</v>
      </c>
      <c r="AB41" s="3603">
        <f>SUM(X41:AA41)</f>
        <v>166.36600000000001</v>
      </c>
      <c r="AC41" s="3597">
        <f>AC509</f>
        <v>48.021000000000001</v>
      </c>
      <c r="AD41" s="3597">
        <f>AD509</f>
        <v>44.253</v>
      </c>
      <c r="AE41" s="3597">
        <f>AE509</f>
        <v>41.536999999999999</v>
      </c>
      <c r="AF41" s="3597">
        <f>AF509</f>
        <v>28.081</v>
      </c>
      <c r="AG41" s="3603">
        <f>SUM(AC41:AF41)</f>
        <v>161.892</v>
      </c>
      <c r="AH41" s="3685">
        <v>38.58</v>
      </c>
      <c r="AI41" s="3602">
        <f>AI509</f>
        <v>35.590000000000003</v>
      </c>
      <c r="AJ41" s="3602">
        <f>AJ509</f>
        <v>38.406999999999996</v>
      </c>
      <c r="AK41" s="3602">
        <f>AK509</f>
        <v>30.422999999999998</v>
      </c>
      <c r="AL41" s="3603">
        <f>SUM(AH41:AK41)</f>
        <v>143</v>
      </c>
      <c r="AM41" s="3602">
        <f>AM509</f>
        <v>41.210999999999999</v>
      </c>
      <c r="AN41" s="3602">
        <f>AN509</f>
        <v>42.276000000000003</v>
      </c>
      <c r="AO41" s="3602">
        <f>AO509</f>
        <v>44.524000000000001</v>
      </c>
      <c r="AP41" s="3602">
        <f>AP509</f>
        <v>39.090000000000003</v>
      </c>
      <c r="AQ41" s="3603">
        <f>SUM(AM41:AP41)</f>
        <v>167.101</v>
      </c>
      <c r="AR41" s="3602">
        <f>AR509</f>
        <v>58.13</v>
      </c>
      <c r="AS41" s="3602">
        <f>AS509</f>
        <v>51.003</v>
      </c>
      <c r="AT41" s="3602">
        <f>AT509</f>
        <v>48.707999999999998</v>
      </c>
      <c r="AU41" s="3602">
        <f>AU509</f>
        <v>34.508000000000003</v>
      </c>
      <c r="AV41" s="3603">
        <f>SUM(AR41:AU41)</f>
        <v>192.34900000000002</v>
      </c>
      <c r="AW41" s="3602">
        <f>AW509</f>
        <v>49.682000000000002</v>
      </c>
      <c r="AX41" s="3602">
        <f>AX509</f>
        <v>48.625</v>
      </c>
      <c r="AY41" s="3602">
        <f>AY509</f>
        <v>41.936</v>
      </c>
      <c r="AZ41" s="3604">
        <f>AZ509</f>
        <v>39.732999999999997</v>
      </c>
      <c r="BA41" s="3603">
        <f>SUM(AW41:AZ41)</f>
        <v>179.976</v>
      </c>
      <c r="BB41" s="3604">
        <f>BB509</f>
        <v>44.097999999999999</v>
      </c>
      <c r="BC41" s="3602">
        <f>BC509</f>
        <v>42.198999999999998</v>
      </c>
      <c r="BD41" s="3602">
        <f>BD509</f>
        <v>43.593000000000004</v>
      </c>
      <c r="BE41" s="3602">
        <f>BE509</f>
        <v>40.087000000000003</v>
      </c>
      <c r="BF41" s="3603">
        <f>SUM(BB41:BE41)</f>
        <v>169.97699999999998</v>
      </c>
      <c r="BG41" s="3605">
        <f>BG509</f>
        <v>50.984000000000002</v>
      </c>
      <c r="BH41" s="3602">
        <f>BH509</f>
        <v>51.777000000000001</v>
      </c>
      <c r="BI41" s="3602">
        <f>BI509</f>
        <v>50.716999999999999</v>
      </c>
      <c r="BJ41" s="3606">
        <f>BJ509</f>
        <v>43.344000000000001</v>
      </c>
      <c r="BK41" s="3603">
        <f>SUM(BG41:BJ41)</f>
        <v>196.822</v>
      </c>
      <c r="BL41" s="3602">
        <f>BL509</f>
        <v>48.813000000000002</v>
      </c>
      <c r="BM41" s="3602">
        <f>BM509</f>
        <v>50.055999999999997</v>
      </c>
      <c r="BN41" s="3602"/>
      <c r="BO41" s="3606"/>
      <c r="BP41" s="3603"/>
      <c r="BQ41" s="3602"/>
      <c r="BR41" s="3602"/>
      <c r="BS41" s="3602"/>
      <c r="BT41" s="3606"/>
      <c r="BU41" s="3607"/>
      <c r="BV41" s="3602"/>
      <c r="BW41" s="3602"/>
      <c r="BX41" s="3602"/>
      <c r="BY41" s="3606"/>
      <c r="BZ41" s="3607"/>
      <c r="CA41" s="3603"/>
      <c r="CB41" s="3603"/>
      <c r="CC41" s="736"/>
      <c r="CD41" s="736"/>
      <c r="CE41" s="736"/>
      <c r="CF41" s="736"/>
      <c r="CG41" s="736"/>
      <c r="CH41" s="274"/>
      <c r="CI41" s="274"/>
      <c r="CJ41" s="274"/>
      <c r="CK41" s="274"/>
      <c r="CL41" s="274"/>
      <c r="CM41" s="274"/>
      <c r="CN41" s="274"/>
      <c r="CO41" s="274"/>
      <c r="CP41" s="1778" t="str">
        <f t="shared" si="20"/>
        <v>Midwest &amp; South</v>
      </c>
      <c r="CQ41" s="564">
        <f t="shared" si="21"/>
        <v>191.19799999999998</v>
      </c>
      <c r="CR41" s="564">
        <f t="shared" si="22"/>
        <v>224.81599999999997</v>
      </c>
      <c r="CS41" s="564">
        <f t="shared" si="23"/>
        <v>264.24200000000002</v>
      </c>
      <c r="CT41" s="564">
        <f t="shared" si="24"/>
        <v>215.78300000000002</v>
      </c>
      <c r="CU41" s="564">
        <f t="shared" si="25"/>
        <v>166.36600000000001</v>
      </c>
      <c r="CV41" s="564">
        <f t="shared" si="26"/>
        <v>161.892</v>
      </c>
      <c r="CW41" s="564">
        <f t="shared" si="27"/>
        <v>143</v>
      </c>
      <c r="CX41" s="564">
        <f t="shared" si="28"/>
        <v>167.101</v>
      </c>
      <c r="CY41" s="564">
        <f t="shared" si="29"/>
        <v>192.34900000000002</v>
      </c>
      <c r="CZ41" s="564">
        <f t="shared" si="30"/>
        <v>179.976</v>
      </c>
      <c r="DA41" s="564">
        <f t="shared" si="31"/>
        <v>169.97699999999998</v>
      </c>
      <c r="DB41" s="564">
        <f t="shared" si="32"/>
        <v>196.822</v>
      </c>
      <c r="DC41" s="564">
        <f t="shared" si="33"/>
        <v>0</v>
      </c>
      <c r="DD41" s="564">
        <f t="shared" si="34"/>
        <v>0</v>
      </c>
      <c r="DE41" s="564">
        <f t="shared" si="35"/>
        <v>0</v>
      </c>
      <c r="DF41" s="564">
        <f t="shared" si="36"/>
        <v>0</v>
      </c>
      <c r="DG41" s="1789">
        <f t="shared" si="37"/>
        <v>0</v>
      </c>
      <c r="DH41" s="274"/>
      <c r="DI41" s="1728"/>
      <c r="DJ41" s="321"/>
      <c r="DK41" s="321"/>
      <c r="DL41" s="321"/>
      <c r="DM41" s="321"/>
      <c r="DN41" s="321"/>
      <c r="DO41" s="322"/>
      <c r="DY41" s="564"/>
      <c r="DZ41" s="564"/>
    </row>
    <row r="42" spans="1:130" ht="12.6" hidden="1" customHeight="1" outlineLevel="1">
      <c r="A42" s="3594" t="s">
        <v>517</v>
      </c>
      <c r="B42" s="3595"/>
      <c r="C42" s="3595"/>
      <c r="D42" s="3596"/>
      <c r="E42" s="3597"/>
      <c r="F42" s="3597"/>
      <c r="G42" s="3597"/>
      <c r="H42" s="3603"/>
      <c r="I42" s="3597"/>
      <c r="J42" s="3597"/>
      <c r="K42" s="3597"/>
      <c r="L42" s="3597"/>
      <c r="M42" s="3603"/>
      <c r="N42" s="3597"/>
      <c r="O42" s="3597"/>
      <c r="P42" s="3597"/>
      <c r="Q42" s="3597"/>
      <c r="R42" s="3603"/>
      <c r="S42" s="3597"/>
      <c r="T42" s="3597"/>
      <c r="U42" s="3597"/>
      <c r="V42" s="3597"/>
      <c r="W42" s="3603"/>
      <c r="X42" s="3597"/>
      <c r="Y42" s="3597"/>
      <c r="Z42" s="3597"/>
      <c r="AA42" s="3597"/>
      <c r="AB42" s="3603"/>
      <c r="AC42" s="3597"/>
      <c r="AD42" s="3597"/>
      <c r="AE42" s="3597"/>
      <c r="AF42" s="3597"/>
      <c r="AG42" s="3603"/>
      <c r="AH42" s="3685"/>
      <c r="AI42" s="3602"/>
      <c r="AJ42" s="3602"/>
      <c r="AK42" s="3602"/>
      <c r="AL42" s="3603"/>
      <c r="AM42" s="3602"/>
      <c r="AN42" s="3602"/>
      <c r="AO42" s="3602"/>
      <c r="AP42" s="3602"/>
      <c r="AQ42" s="3603"/>
      <c r="AR42" s="3602"/>
      <c r="AS42" s="3602"/>
      <c r="AT42" s="3602"/>
      <c r="AU42" s="3685">
        <v>21.152000000000001</v>
      </c>
      <c r="AV42" s="3603">
        <f>SUM(AR42:AU42)</f>
        <v>21.152000000000001</v>
      </c>
      <c r="AW42" s="3602">
        <f>+AW727</f>
        <v>50.712000000000003</v>
      </c>
      <c r="AX42" s="3602">
        <f>+AX727</f>
        <v>48.323</v>
      </c>
      <c r="AY42" s="3602">
        <f>+AY727</f>
        <v>45.274000000000001</v>
      </c>
      <c r="AZ42" s="3604">
        <f>+AZ727</f>
        <v>40.96</v>
      </c>
      <c r="BA42" s="3603">
        <f>SUM(AW42:AZ42)</f>
        <v>185.26900000000001</v>
      </c>
      <c r="BB42" s="3604">
        <f>+BB727</f>
        <v>44.761000000000003</v>
      </c>
      <c r="BC42" s="3602">
        <f>+BC727</f>
        <v>45.281999999999996</v>
      </c>
      <c r="BD42" s="3602">
        <f>+BD727</f>
        <v>42.875</v>
      </c>
      <c r="BE42" s="3602">
        <f>+BE727</f>
        <v>42.162999999999997</v>
      </c>
      <c r="BF42" s="3603">
        <f>SUM(BB42:BE42)</f>
        <v>175.08100000000002</v>
      </c>
      <c r="BG42" s="3605">
        <f>+BG727</f>
        <v>46.363</v>
      </c>
      <c r="BH42" s="3602">
        <f>+BH727</f>
        <v>49.164000000000001</v>
      </c>
      <c r="BI42" s="3602">
        <f>+BI727</f>
        <v>45.63</v>
      </c>
      <c r="BJ42" s="3606">
        <f>+BJ727</f>
        <v>42.963000000000001</v>
      </c>
      <c r="BK42" s="3603">
        <f>SUM(BG42:BJ42)</f>
        <v>184.12</v>
      </c>
      <c r="BL42" s="3602">
        <f>+BL727</f>
        <v>47.112000000000002</v>
      </c>
      <c r="BM42" s="3602">
        <f>+BM727</f>
        <v>44.691000000000003</v>
      </c>
      <c r="BN42" s="3602"/>
      <c r="BO42" s="3606"/>
      <c r="BP42" s="3603"/>
      <c r="BQ42" s="3602"/>
      <c r="BR42" s="3602"/>
      <c r="BS42" s="3602"/>
      <c r="BT42" s="3606"/>
      <c r="BU42" s="3607"/>
      <c r="BV42" s="3602"/>
      <c r="BW42" s="3602"/>
      <c r="BX42" s="3602"/>
      <c r="BY42" s="3606"/>
      <c r="BZ42" s="3607"/>
      <c r="CA42" s="3603"/>
      <c r="CB42" s="3603"/>
      <c r="CC42" s="736"/>
      <c r="CD42" s="736"/>
      <c r="CE42" s="736"/>
      <c r="CF42" s="736"/>
      <c r="CG42" s="736"/>
      <c r="CH42" s="274"/>
      <c r="CI42" s="274"/>
      <c r="CJ42" s="274"/>
      <c r="CK42" s="274"/>
      <c r="CL42" s="274"/>
      <c r="CM42" s="274"/>
      <c r="CN42" s="274"/>
      <c r="CO42" s="274"/>
      <c r="CP42" s="1778" t="str">
        <f>A42</f>
        <v>Peninsula Gaming</v>
      </c>
      <c r="CQ42" s="564"/>
      <c r="CR42" s="564"/>
      <c r="CS42" s="564"/>
      <c r="CT42" s="564"/>
      <c r="CU42" s="564"/>
      <c r="CV42" s="564"/>
      <c r="CW42" s="564"/>
      <c r="CX42" s="564"/>
      <c r="CY42" s="564">
        <f>AV42</f>
        <v>21.152000000000001</v>
      </c>
      <c r="CZ42" s="564">
        <f>BA42</f>
        <v>185.26900000000001</v>
      </c>
      <c r="DA42" s="564">
        <f>BF42</f>
        <v>175.08100000000002</v>
      </c>
      <c r="DB42" s="564">
        <f>BK42</f>
        <v>184.12</v>
      </c>
      <c r="DC42" s="564">
        <f>BP42</f>
        <v>0</v>
      </c>
      <c r="DD42" s="564">
        <f>BU42</f>
        <v>0</v>
      </c>
      <c r="DE42" s="564">
        <f>BZ42</f>
        <v>0</v>
      </c>
      <c r="DF42" s="564">
        <f>CA42</f>
        <v>0</v>
      </c>
      <c r="DG42" s="1789">
        <f>CB42</f>
        <v>0</v>
      </c>
      <c r="DH42" s="274"/>
      <c r="DI42" s="1728"/>
      <c r="DJ42" s="321"/>
      <c r="DK42" s="321"/>
      <c r="DL42" s="321"/>
      <c r="DM42" s="321"/>
      <c r="DN42" s="321"/>
      <c r="DO42" s="322"/>
      <c r="DY42" s="564"/>
      <c r="DZ42" s="564"/>
    </row>
    <row r="43" spans="1:130" ht="3.95" hidden="1" customHeight="1" outlineLevel="1">
      <c r="A43" s="3594"/>
      <c r="B43" s="3595"/>
      <c r="C43" s="3595"/>
      <c r="D43" s="3596"/>
      <c r="E43" s="3597"/>
      <c r="F43" s="3597"/>
      <c r="G43" s="3597"/>
      <c r="H43" s="3603"/>
      <c r="I43" s="3597"/>
      <c r="J43" s="3597"/>
      <c r="K43" s="3597"/>
      <c r="L43" s="3597"/>
      <c r="M43" s="3603"/>
      <c r="N43" s="3597"/>
      <c r="O43" s="3597"/>
      <c r="P43" s="3597"/>
      <c r="Q43" s="3597"/>
      <c r="R43" s="3603"/>
      <c r="S43" s="3597"/>
      <c r="T43" s="3597"/>
      <c r="U43" s="3597"/>
      <c r="V43" s="3597"/>
      <c r="W43" s="3603"/>
      <c r="X43" s="3597"/>
      <c r="Y43" s="3597"/>
      <c r="Z43" s="3597"/>
      <c r="AA43" s="3597"/>
      <c r="AB43" s="3603"/>
      <c r="AC43" s="3597"/>
      <c r="AD43" s="3597"/>
      <c r="AE43" s="3597"/>
      <c r="AF43" s="3597"/>
      <c r="AG43" s="3603"/>
      <c r="AH43" s="3685"/>
      <c r="AI43" s="3602"/>
      <c r="AJ43" s="3602"/>
      <c r="AK43" s="3602"/>
      <c r="AL43" s="3603"/>
      <c r="AM43" s="3602"/>
      <c r="AN43" s="3602"/>
      <c r="AO43" s="3602"/>
      <c r="AP43" s="3602"/>
      <c r="AQ43" s="3603"/>
      <c r="AR43" s="3602"/>
      <c r="AS43" s="3602"/>
      <c r="AT43" s="3602"/>
      <c r="AU43" s="3602" t="s">
        <v>1826</v>
      </c>
      <c r="AV43" s="3603" t="s">
        <v>1826</v>
      </c>
      <c r="AW43" s="3604" t="s">
        <v>1826</v>
      </c>
      <c r="AX43" s="3602" t="s">
        <v>1826</v>
      </c>
      <c r="AY43" s="3602" t="s">
        <v>1826</v>
      </c>
      <c r="AZ43" s="3602" t="s">
        <v>1826</v>
      </c>
      <c r="BA43" s="3603" t="s">
        <v>1826</v>
      </c>
      <c r="BB43" s="3602" t="s">
        <v>1826</v>
      </c>
      <c r="BC43" s="3602" t="s">
        <v>1826</v>
      </c>
      <c r="BD43" s="3602" t="s">
        <v>1826</v>
      </c>
      <c r="BE43" s="3602" t="s">
        <v>1826</v>
      </c>
      <c r="BF43" s="3603" t="s">
        <v>1826</v>
      </c>
      <c r="BG43" s="3605" t="s">
        <v>1826</v>
      </c>
      <c r="BH43" s="3602" t="s">
        <v>1826</v>
      </c>
      <c r="BI43" s="3602" t="s">
        <v>1826</v>
      </c>
      <c r="BJ43" s="3606" t="s">
        <v>1826</v>
      </c>
      <c r="BK43" s="3603" t="s">
        <v>1826</v>
      </c>
      <c r="BL43" s="3602" t="s">
        <v>1826</v>
      </c>
      <c r="BM43" s="3602" t="s">
        <v>1826</v>
      </c>
      <c r="BN43" s="3602"/>
      <c r="BO43" s="3606"/>
      <c r="BP43" s="3603"/>
      <c r="BQ43" s="3602"/>
      <c r="BR43" s="3602"/>
      <c r="BS43" s="3602"/>
      <c r="BT43" s="3606"/>
      <c r="BU43" s="3607"/>
      <c r="BV43" s="3602"/>
      <c r="BW43" s="3602"/>
      <c r="BX43" s="3602"/>
      <c r="BY43" s="3606"/>
      <c r="BZ43" s="3607"/>
      <c r="CA43" s="3603"/>
      <c r="CB43" s="3603"/>
      <c r="CC43" s="736"/>
      <c r="CD43" s="736"/>
      <c r="CE43" s="736"/>
      <c r="CF43" s="736"/>
      <c r="CG43" s="736"/>
      <c r="CH43" s="274"/>
      <c r="CI43" s="274"/>
      <c r="CJ43" s="965"/>
      <c r="CK43" s="274"/>
      <c r="CL43" s="274"/>
      <c r="CM43" s="274"/>
      <c r="CN43" s="274"/>
      <c r="CO43" s="274"/>
      <c r="CP43" s="1778"/>
      <c r="CQ43" s="564"/>
      <c r="CR43" s="564"/>
      <c r="CS43" s="564"/>
      <c r="CT43" s="564"/>
      <c r="CU43" s="564"/>
      <c r="CV43" s="564"/>
      <c r="CW43" s="564"/>
      <c r="CX43" s="564"/>
      <c r="CY43" s="564"/>
      <c r="CZ43" s="564"/>
      <c r="DA43" s="564"/>
      <c r="DB43" s="564"/>
      <c r="DC43" s="564"/>
      <c r="DD43" s="564"/>
      <c r="DE43" s="564"/>
      <c r="DF43" s="564"/>
      <c r="DG43" s="1789"/>
      <c r="DH43" s="274"/>
      <c r="DI43" s="1728"/>
      <c r="DJ43" s="321"/>
      <c r="DK43" s="321"/>
      <c r="DL43" s="321"/>
      <c r="DM43" s="321"/>
      <c r="DN43" s="321"/>
      <c r="DO43" s="322"/>
      <c r="DY43" s="564"/>
      <c r="DZ43" s="564"/>
    </row>
    <row r="44" spans="1:130" ht="12.6" customHeight="1" collapsed="1">
      <c r="A44" s="3608" t="s">
        <v>1925</v>
      </c>
      <c r="B44" s="3595"/>
      <c r="C44" s="3595"/>
      <c r="D44" s="3596"/>
      <c r="E44" s="3597"/>
      <c r="F44" s="3597"/>
      <c r="G44" s="3597"/>
      <c r="H44" s="3603"/>
      <c r="I44" s="3597"/>
      <c r="J44" s="3597"/>
      <c r="K44" s="3597"/>
      <c r="L44" s="3597"/>
      <c r="M44" s="3603"/>
      <c r="N44" s="3597"/>
      <c r="O44" s="3597"/>
      <c r="P44" s="3597"/>
      <c r="Q44" s="3597"/>
      <c r="R44" s="3603"/>
      <c r="S44" s="3597"/>
      <c r="T44" s="3597"/>
      <c r="U44" s="3597"/>
      <c r="V44" s="3597"/>
      <c r="W44" s="3603"/>
      <c r="X44" s="3597"/>
      <c r="Y44" s="3597"/>
      <c r="Z44" s="3597"/>
      <c r="AA44" s="3597"/>
      <c r="AB44" s="3603"/>
      <c r="AC44" s="3597"/>
      <c r="AD44" s="3597"/>
      <c r="AE44" s="3597"/>
      <c r="AF44" s="3597"/>
      <c r="AG44" s="3603"/>
      <c r="AH44" s="3685"/>
      <c r="AI44" s="3602"/>
      <c r="AJ44" s="3602"/>
      <c r="AK44" s="3602"/>
      <c r="AL44" s="3603"/>
      <c r="AM44" s="3602"/>
      <c r="AN44" s="3602"/>
      <c r="AO44" s="3602"/>
      <c r="AP44" s="3602"/>
      <c r="AQ44" s="3603"/>
      <c r="AR44" s="3602"/>
      <c r="AS44" s="3602"/>
      <c r="AT44" s="3602"/>
      <c r="AU44" s="3604">
        <f>+AU41+AU42</f>
        <v>55.660000000000004</v>
      </c>
      <c r="AV44" s="3603">
        <f t="shared" ref="AV44:BM44" si="81">+AV41+AV42</f>
        <v>213.50100000000003</v>
      </c>
      <c r="AW44" s="3602">
        <f t="shared" si="81"/>
        <v>100.39400000000001</v>
      </c>
      <c r="AX44" s="3602">
        <f t="shared" si="81"/>
        <v>96.948000000000008</v>
      </c>
      <c r="AY44" s="3602">
        <f t="shared" si="81"/>
        <v>87.210000000000008</v>
      </c>
      <c r="AZ44" s="3604">
        <f t="shared" si="81"/>
        <v>80.692999999999998</v>
      </c>
      <c r="BA44" s="3603">
        <f t="shared" si="81"/>
        <v>365.245</v>
      </c>
      <c r="BB44" s="3604">
        <f t="shared" si="81"/>
        <v>88.859000000000009</v>
      </c>
      <c r="BC44" s="3602">
        <f t="shared" si="81"/>
        <v>87.480999999999995</v>
      </c>
      <c r="BD44" s="3602">
        <f t="shared" si="81"/>
        <v>86.468000000000004</v>
      </c>
      <c r="BE44" s="3602">
        <f t="shared" si="81"/>
        <v>82.25</v>
      </c>
      <c r="BF44" s="3603">
        <f t="shared" si="81"/>
        <v>345.05799999999999</v>
      </c>
      <c r="BG44" s="3605">
        <f t="shared" si="81"/>
        <v>97.347000000000008</v>
      </c>
      <c r="BH44" s="3602">
        <f t="shared" si="81"/>
        <v>100.941</v>
      </c>
      <c r="BI44" s="3602">
        <f t="shared" si="81"/>
        <v>96.347000000000008</v>
      </c>
      <c r="BJ44" s="3606">
        <f t="shared" si="81"/>
        <v>86.307000000000002</v>
      </c>
      <c r="BK44" s="3603">
        <f t="shared" si="81"/>
        <v>380.94200000000001</v>
      </c>
      <c r="BL44" s="3602">
        <f t="shared" si="81"/>
        <v>95.925000000000011</v>
      </c>
      <c r="BM44" s="3602">
        <f t="shared" si="81"/>
        <v>94.747</v>
      </c>
      <c r="BN44" s="3602">
        <f>+BN508</f>
        <v>90.632999999999996</v>
      </c>
      <c r="BO44" s="3602">
        <f>+BO508</f>
        <v>86.06</v>
      </c>
      <c r="BP44" s="3603">
        <f>SUM(BL44:BO44)</f>
        <v>367.36500000000001</v>
      </c>
      <c r="BQ44" s="3602">
        <f t="shared" ref="BQ44:CG44" si="82">+BQ508</f>
        <v>94.100999999999999</v>
      </c>
      <c r="BR44" s="3602">
        <f t="shared" si="82"/>
        <v>93.673000000000002</v>
      </c>
      <c r="BS44" s="3602">
        <f>+BS508</f>
        <v>90.105999999999995</v>
      </c>
      <c r="BT44" s="3606">
        <f t="shared" si="82"/>
        <v>86.313000000000002</v>
      </c>
      <c r="BU44" s="3603">
        <f>SUM(BQ44:BT44)</f>
        <v>364.19299999999998</v>
      </c>
      <c r="BV44" s="3602">
        <f t="shared" si="82"/>
        <v>90.943867417579867</v>
      </c>
      <c r="BW44" s="3602">
        <f t="shared" si="82"/>
        <v>90.466536393822452</v>
      </c>
      <c r="BX44" s="3602">
        <f t="shared" si="82"/>
        <v>146.64458484526767</v>
      </c>
      <c r="BY44" s="3606">
        <f t="shared" si="82"/>
        <v>146.07989180563794</v>
      </c>
      <c r="BZ44" s="3603">
        <f>SUM(BV44:BY44)</f>
        <v>474.13488046230793</v>
      </c>
      <c r="CA44" s="3603">
        <f t="shared" si="82"/>
        <v>594.34776997238419</v>
      </c>
      <c r="CB44" s="3603">
        <f t="shared" si="82"/>
        <v>599.13979797392017</v>
      </c>
      <c r="CC44" s="736">
        <f t="shared" si="82"/>
        <v>-228.26488230365203</v>
      </c>
      <c r="CD44" s="736">
        <f t="shared" si="82"/>
        <v>-246.42447525448142</v>
      </c>
      <c r="CE44" s="736">
        <f t="shared" si="82"/>
        <v>-237.06921416997056</v>
      </c>
      <c r="CF44" s="736">
        <f t="shared" si="82"/>
        <v>-227.3867903761045</v>
      </c>
      <c r="CG44" s="736">
        <f t="shared" si="82"/>
        <v>-217.3692600438203</v>
      </c>
      <c r="CH44" s="274"/>
      <c r="CI44" s="274"/>
      <c r="CJ44" s="274"/>
      <c r="CK44" s="274"/>
      <c r="CL44" s="274"/>
      <c r="CM44" s="965"/>
      <c r="CN44" s="965">
        <f>SUM(BV44:BY44)</f>
        <v>474.13488046230793</v>
      </c>
      <c r="CO44" s="965">
        <f>CM44-CN44</f>
        <v>-474.13488046230793</v>
      </c>
      <c r="CP44" s="1778"/>
      <c r="CQ44" s="564"/>
      <c r="CR44" s="564"/>
      <c r="CS44" s="564"/>
      <c r="CT44" s="564"/>
      <c r="CU44" s="564"/>
      <c r="CV44" s="564"/>
      <c r="CW44" s="564"/>
      <c r="CX44" s="564"/>
      <c r="CY44" s="564"/>
      <c r="CZ44" s="564"/>
      <c r="DA44" s="564"/>
      <c r="DB44" s="564"/>
      <c r="DC44" s="564"/>
      <c r="DD44" s="564"/>
      <c r="DE44" s="564"/>
      <c r="DF44" s="564"/>
      <c r="DG44" s="1789"/>
      <c r="DH44" s="274"/>
      <c r="DI44" s="1728"/>
      <c r="DJ44" s="321"/>
      <c r="DK44" s="321"/>
      <c r="DL44" s="321"/>
      <c r="DM44" s="321"/>
      <c r="DN44" s="321"/>
      <c r="DO44" s="322"/>
      <c r="DW44" s="1312"/>
      <c r="DY44" s="564"/>
      <c r="DZ44" s="564"/>
    </row>
    <row r="45" spans="1:130" s="3076" customFormat="1" ht="12.6" hidden="1" customHeight="1" outlineLevel="1">
      <c r="A45" s="3608" t="s">
        <v>1774</v>
      </c>
      <c r="B45" s="3595"/>
      <c r="C45" s="3595"/>
      <c r="D45" s="3596"/>
      <c r="E45" s="3597"/>
      <c r="F45" s="3597"/>
      <c r="G45" s="3597"/>
      <c r="H45" s="3603"/>
      <c r="I45" s="3597"/>
      <c r="J45" s="3597"/>
      <c r="K45" s="3597"/>
      <c r="L45" s="3597"/>
      <c r="M45" s="3603"/>
      <c r="N45" s="3597"/>
      <c r="O45" s="3597"/>
      <c r="P45" s="3597"/>
      <c r="Q45" s="3597"/>
      <c r="R45" s="3603"/>
      <c r="S45" s="3597"/>
      <c r="T45" s="3597"/>
      <c r="U45" s="3597"/>
      <c r="V45" s="3597"/>
      <c r="W45" s="3603"/>
      <c r="X45" s="3597"/>
      <c r="Y45" s="3597"/>
      <c r="Z45" s="3597"/>
      <c r="AA45" s="3597"/>
      <c r="AB45" s="3603"/>
      <c r="AC45" s="3597"/>
      <c r="AD45" s="3597"/>
      <c r="AE45" s="3597"/>
      <c r="AF45" s="3602"/>
      <c r="AG45" s="3603"/>
      <c r="AH45" s="3685">
        <v>4.9000000000000004</v>
      </c>
      <c r="AI45" s="3602">
        <f>AI927</f>
        <v>42.960000000000008</v>
      </c>
      <c r="AJ45" s="3602">
        <f t="shared" ref="AJ45:AP45" si="83">AJ927</f>
        <v>54.319000000000017</v>
      </c>
      <c r="AK45" s="3602">
        <f t="shared" si="83"/>
        <v>34.128999999999991</v>
      </c>
      <c r="AL45" s="3603">
        <f>SUM(AH45:AK45)</f>
        <v>136.30800000000002</v>
      </c>
      <c r="AM45" s="3602">
        <f t="shared" si="83"/>
        <v>31.681999999999988</v>
      </c>
      <c r="AN45" s="3602">
        <f t="shared" si="83"/>
        <v>38.657000000000011</v>
      </c>
      <c r="AO45" s="3602">
        <f>AO927</f>
        <v>49.94</v>
      </c>
      <c r="AP45" s="3602">
        <f t="shared" si="83"/>
        <v>37.859999999999985</v>
      </c>
      <c r="AQ45" s="3603">
        <f>SUM(AM45:AP45)</f>
        <v>158.13899999999998</v>
      </c>
      <c r="AR45" s="3602">
        <f>AR927</f>
        <v>38.881</v>
      </c>
      <c r="AS45" s="3602">
        <f>AS927</f>
        <v>30.734999999999999</v>
      </c>
      <c r="AT45" s="3602">
        <f>AT927</f>
        <v>33.35</v>
      </c>
      <c r="AU45" s="3602">
        <f>AU927</f>
        <v>14.01</v>
      </c>
      <c r="AV45" s="3603">
        <f>SUM(AR45:AU45)</f>
        <v>116.97600000000001</v>
      </c>
      <c r="AW45" s="3602">
        <f>AW927</f>
        <v>28.405000000000001</v>
      </c>
      <c r="AX45" s="3602">
        <f>AX927</f>
        <v>27.847000000000001</v>
      </c>
      <c r="AY45" s="3602">
        <f>AY927</f>
        <v>46.591999999999999</v>
      </c>
      <c r="AZ45" s="3604">
        <f>AZ927</f>
        <v>16.393000000000001</v>
      </c>
      <c r="BA45" s="3603">
        <f>SUM(AW45:AZ45)</f>
        <v>119.23699999999999</v>
      </c>
      <c r="BB45" s="3604">
        <f>+BB934</f>
        <v>23.646000000000001</v>
      </c>
      <c r="BC45" s="3604">
        <f>+BC934</f>
        <v>44.397999999999996</v>
      </c>
      <c r="BD45" s="3604">
        <f>+BD934</f>
        <v>56.672999999999995</v>
      </c>
      <c r="BE45" s="3604">
        <f>+BE934</f>
        <v>34.238</v>
      </c>
      <c r="BF45" s="3603">
        <f>SUM(BB45:BE45)</f>
        <v>158.95499999999998</v>
      </c>
      <c r="BG45" s="3686"/>
      <c r="BH45" s="3604"/>
      <c r="BI45" s="3604"/>
      <c r="BJ45" s="3687"/>
      <c r="BK45" s="3603"/>
      <c r="BL45" s="3604"/>
      <c r="BM45" s="3604"/>
      <c r="BN45" s="3604"/>
      <c r="BO45" s="3687"/>
      <c r="BP45" s="3603"/>
      <c r="BQ45" s="3604"/>
      <c r="BR45" s="3604"/>
      <c r="BS45" s="3604"/>
      <c r="BT45" s="3687"/>
      <c r="BU45" s="3607"/>
      <c r="BV45" s="3604"/>
      <c r="BW45" s="3604"/>
      <c r="BX45" s="3604"/>
      <c r="BY45" s="3687"/>
      <c r="BZ45" s="3607"/>
      <c r="CA45" s="3603"/>
      <c r="CB45" s="3603"/>
      <c r="CC45" s="3067"/>
      <c r="CD45" s="3067"/>
      <c r="CE45" s="3067"/>
      <c r="CF45" s="3067"/>
      <c r="CG45" s="3067"/>
      <c r="CH45" s="3070"/>
      <c r="CI45" s="3071"/>
      <c r="CJ45" s="3070"/>
      <c r="CK45" s="3070"/>
      <c r="CL45" s="3070"/>
      <c r="CM45" s="3070"/>
      <c r="CN45" s="3070"/>
      <c r="CO45" s="3070"/>
      <c r="CP45" s="3072" t="str">
        <f t="shared" si="20"/>
        <v>Borgata (ex. Online Gaming)</v>
      </c>
      <c r="CQ45" s="3068"/>
      <c r="CR45" s="3068"/>
      <c r="CS45" s="3068"/>
      <c r="CT45" s="3068"/>
      <c r="CU45" s="3068"/>
      <c r="CV45" s="3068"/>
      <c r="CW45" s="3068">
        <f t="shared" si="27"/>
        <v>136.30800000000002</v>
      </c>
      <c r="CX45" s="3068">
        <f t="shared" si="28"/>
        <v>158.13899999999998</v>
      </c>
      <c r="CY45" s="3068">
        <f t="shared" si="29"/>
        <v>116.97600000000001</v>
      </c>
      <c r="CZ45" s="3068">
        <f t="shared" si="30"/>
        <v>119.23699999999999</v>
      </c>
      <c r="DA45" s="3068">
        <f t="shared" si="31"/>
        <v>158.95499999999998</v>
      </c>
      <c r="DB45" s="3068">
        <f t="shared" si="32"/>
        <v>0</v>
      </c>
      <c r="DC45" s="3068">
        <f t="shared" si="33"/>
        <v>0</v>
      </c>
      <c r="DD45" s="3068">
        <f t="shared" si="34"/>
        <v>0</v>
      </c>
      <c r="DE45" s="3068">
        <f t="shared" si="35"/>
        <v>0</v>
      </c>
      <c r="DF45" s="3068">
        <f t="shared" si="36"/>
        <v>0</v>
      </c>
      <c r="DG45" s="3069">
        <f t="shared" si="37"/>
        <v>0</v>
      </c>
      <c r="DH45" s="3070"/>
      <c r="DI45" s="3073"/>
      <c r="DJ45" s="3074"/>
      <c r="DK45" s="3074"/>
      <c r="DL45" s="3074"/>
      <c r="DM45" s="3074"/>
      <c r="DN45" s="3074"/>
      <c r="DO45" s="3075"/>
      <c r="DP45"/>
      <c r="DQ45"/>
      <c r="DR45"/>
      <c r="DS45"/>
      <c r="DT45"/>
      <c r="DU45"/>
      <c r="DY45" s="564"/>
      <c r="DZ45" s="564"/>
    </row>
    <row r="46" spans="1:130" s="3076" customFormat="1" ht="12.6" hidden="1" customHeight="1" outlineLevel="1">
      <c r="A46" s="3594" t="s">
        <v>899</v>
      </c>
      <c r="B46" s="3595"/>
      <c r="C46" s="3595"/>
      <c r="D46" s="3596"/>
      <c r="E46" s="3597"/>
      <c r="F46" s="3597"/>
      <c r="G46" s="3597"/>
      <c r="H46" s="3603"/>
      <c r="I46" s="3597"/>
      <c r="J46" s="3597"/>
      <c r="K46" s="3597"/>
      <c r="L46" s="3597"/>
      <c r="M46" s="3603"/>
      <c r="N46" s="3597"/>
      <c r="O46" s="3597"/>
      <c r="P46" s="3597"/>
      <c r="Q46" s="3597"/>
      <c r="R46" s="3603"/>
      <c r="S46" s="3597"/>
      <c r="T46" s="3597"/>
      <c r="U46" s="3597"/>
      <c r="V46" s="3597"/>
      <c r="W46" s="3603"/>
      <c r="X46" s="3597"/>
      <c r="Y46" s="3597"/>
      <c r="Z46" s="3597"/>
      <c r="AA46" s="3597"/>
      <c r="AB46" s="3603"/>
      <c r="AC46" s="3597"/>
      <c r="AD46" s="3597"/>
      <c r="AE46" s="3597"/>
      <c r="AF46" s="3602"/>
      <c r="AG46" s="3603"/>
      <c r="AH46" s="3685"/>
      <c r="AI46" s="3602"/>
      <c r="AJ46" s="3602"/>
      <c r="AK46" s="3602"/>
      <c r="AL46" s="3603"/>
      <c r="AM46" s="3602"/>
      <c r="AN46" s="3602"/>
      <c r="AO46" s="3602"/>
      <c r="AP46" s="3602"/>
      <c r="AQ46" s="3603"/>
      <c r="AR46" s="3602"/>
      <c r="AS46" s="3602"/>
      <c r="AT46" s="3602"/>
      <c r="AU46" s="3602"/>
      <c r="AV46" s="3603"/>
      <c r="AW46" s="3688"/>
      <c r="AX46" s="3688"/>
      <c r="AY46" s="3688"/>
      <c r="AZ46" s="3688"/>
      <c r="BA46" s="3603"/>
      <c r="BB46" s="3689">
        <f>+BB932</f>
        <v>-3.2</v>
      </c>
      <c r="BC46" s="3689">
        <f>+BC932</f>
        <v>-1.8</v>
      </c>
      <c r="BD46" s="3689">
        <f>+BD932</f>
        <v>0.2</v>
      </c>
      <c r="BE46" s="3689">
        <f>+BE932</f>
        <v>1.8</v>
      </c>
      <c r="BF46" s="3603"/>
      <c r="BG46" s="3605"/>
      <c r="BH46" s="3689"/>
      <c r="BI46" s="3602"/>
      <c r="BJ46" s="3606"/>
      <c r="BK46" s="3603"/>
      <c r="BL46" s="3602"/>
      <c r="BM46" s="3602"/>
      <c r="BN46" s="3602"/>
      <c r="BO46" s="3606"/>
      <c r="BP46" s="3603"/>
      <c r="BQ46" s="3602"/>
      <c r="BR46" s="3602"/>
      <c r="BS46" s="3602"/>
      <c r="BT46" s="3606"/>
      <c r="BU46" s="3607"/>
      <c r="BV46" s="3602"/>
      <c r="BW46" s="3602"/>
      <c r="BX46" s="3602"/>
      <c r="BY46" s="3606"/>
      <c r="BZ46" s="3607"/>
      <c r="CA46" s="3603"/>
      <c r="CB46" s="3603"/>
      <c r="CC46" s="3067"/>
      <c r="CD46" s="3067"/>
      <c r="CE46" s="3067"/>
      <c r="CF46" s="3067"/>
      <c r="CG46" s="3067"/>
      <c r="CH46" s="3070"/>
      <c r="CI46" s="3071"/>
      <c r="CJ46" s="3070"/>
      <c r="CK46" s="3070"/>
      <c r="CL46" s="3070"/>
      <c r="CM46" s="3070"/>
      <c r="CN46" s="3070"/>
      <c r="CO46" s="3070"/>
      <c r="CP46" s="3072" t="str">
        <f>A46</f>
        <v>Online Gambling</v>
      </c>
      <c r="CQ46" s="3068"/>
      <c r="CR46" s="3068"/>
      <c r="CS46" s="3068"/>
      <c r="CT46" s="3068"/>
      <c r="CU46" s="3068"/>
      <c r="CV46" s="3068"/>
      <c r="CW46" s="3068">
        <f>AL46</f>
        <v>0</v>
      </c>
      <c r="CX46" s="3068">
        <f>AQ46</f>
        <v>0</v>
      </c>
      <c r="CY46" s="3068">
        <f>AV46</f>
        <v>0</v>
      </c>
      <c r="CZ46" s="3068">
        <f>BA46</f>
        <v>0</v>
      </c>
      <c r="DA46" s="3068">
        <f>BF46</f>
        <v>0</v>
      </c>
      <c r="DB46" s="3068">
        <f>BK46</f>
        <v>0</v>
      </c>
      <c r="DC46" s="3068">
        <f>BP46</f>
        <v>0</v>
      </c>
      <c r="DD46" s="3068">
        <f>BU46</f>
        <v>0</v>
      </c>
      <c r="DE46" s="3068">
        <f>BZ46</f>
        <v>0</v>
      </c>
      <c r="DF46" s="3068">
        <f>CA46</f>
        <v>0</v>
      </c>
      <c r="DG46" s="3069">
        <f>CB46</f>
        <v>0</v>
      </c>
      <c r="DH46" s="3070"/>
      <c r="DI46" s="3073"/>
      <c r="DJ46" s="3074"/>
      <c r="DK46" s="3074"/>
      <c r="DL46" s="3074"/>
      <c r="DM46" s="3074"/>
      <c r="DN46" s="3074"/>
      <c r="DO46" s="3075"/>
      <c r="DP46"/>
      <c r="DQ46"/>
      <c r="DR46"/>
      <c r="DS46"/>
      <c r="DT46"/>
      <c r="DU46"/>
      <c r="DY46" s="564"/>
      <c r="DZ46" s="564"/>
    </row>
    <row r="47" spans="1:130" s="2252" customFormat="1" ht="3.95" customHeight="1" collapsed="1">
      <c r="A47" s="3594"/>
      <c r="B47" s="3595"/>
      <c r="C47" s="3595"/>
      <c r="D47" s="3596"/>
      <c r="E47" s="3597"/>
      <c r="F47" s="3597"/>
      <c r="G47" s="3597"/>
      <c r="H47" s="3603"/>
      <c r="I47" s="3597"/>
      <c r="J47" s="3597"/>
      <c r="K47" s="3597"/>
      <c r="L47" s="3597"/>
      <c r="M47" s="3603"/>
      <c r="N47" s="3597"/>
      <c r="O47" s="3597"/>
      <c r="P47" s="3597"/>
      <c r="Q47" s="3597"/>
      <c r="R47" s="3603"/>
      <c r="S47" s="3597"/>
      <c r="T47" s="3597"/>
      <c r="U47" s="3597"/>
      <c r="V47" s="3597"/>
      <c r="W47" s="3603"/>
      <c r="X47" s="3597"/>
      <c r="Y47" s="3597"/>
      <c r="Z47" s="3597"/>
      <c r="AA47" s="3597"/>
      <c r="AB47" s="3603"/>
      <c r="AC47" s="3597"/>
      <c r="AD47" s="3597"/>
      <c r="AE47" s="3597"/>
      <c r="AF47" s="3602"/>
      <c r="AG47" s="3603"/>
      <c r="AH47" s="3685"/>
      <c r="AI47" s="3602"/>
      <c r="AJ47" s="3602"/>
      <c r="AK47" s="3602"/>
      <c r="AL47" s="3603"/>
      <c r="AM47" s="3602"/>
      <c r="AN47" s="3602"/>
      <c r="AO47" s="3602"/>
      <c r="AP47" s="3602"/>
      <c r="AQ47" s="3603"/>
      <c r="AR47" s="3602"/>
      <c r="AS47" s="3602"/>
      <c r="AT47" s="3602"/>
      <c r="AU47" s="3602"/>
      <c r="AV47" s="3603"/>
      <c r="AW47" s="3690"/>
      <c r="AX47" s="3690"/>
      <c r="AY47" s="3690"/>
      <c r="AZ47" s="3690"/>
      <c r="BA47" s="3603"/>
      <c r="BB47" s="3690"/>
      <c r="BC47" s="3690"/>
      <c r="BD47" s="3690"/>
      <c r="BE47" s="3690"/>
      <c r="BF47" s="3603"/>
      <c r="BG47" s="3602"/>
      <c r="BH47" s="3690"/>
      <c r="BI47" s="3602"/>
      <c r="BJ47" s="3602"/>
      <c r="BK47" s="3603"/>
      <c r="BL47" s="3602"/>
      <c r="BM47" s="3602"/>
      <c r="BN47" s="3602"/>
      <c r="BO47" s="3602"/>
      <c r="BP47" s="3603"/>
      <c r="BQ47" s="3602"/>
      <c r="BR47" s="3602"/>
      <c r="BS47" s="3602"/>
      <c r="BT47" s="3602"/>
      <c r="BU47" s="3607"/>
      <c r="BV47" s="3602"/>
      <c r="BW47" s="3602"/>
      <c r="BX47" s="3602"/>
      <c r="BY47" s="3602"/>
      <c r="BZ47" s="3607"/>
      <c r="CA47" s="3603"/>
      <c r="CB47" s="3603"/>
      <c r="CC47" s="736"/>
      <c r="CD47" s="736"/>
      <c r="CE47" s="736"/>
      <c r="CF47" s="736"/>
      <c r="CG47" s="736"/>
      <c r="CH47" s="274"/>
      <c r="CI47" s="3090"/>
      <c r="CJ47" s="274"/>
      <c r="CK47" s="274"/>
      <c r="CL47" s="274"/>
      <c r="CM47" s="274"/>
      <c r="CN47" s="274"/>
      <c r="CO47" s="274"/>
      <c r="CP47" s="3091"/>
      <c r="CQ47" s="564"/>
      <c r="CR47" s="564"/>
      <c r="CS47" s="564"/>
      <c r="CT47" s="564"/>
      <c r="CU47" s="564"/>
      <c r="CV47" s="564"/>
      <c r="CW47" s="564"/>
      <c r="CX47" s="564"/>
      <c r="CY47" s="564"/>
      <c r="CZ47" s="564"/>
      <c r="DA47" s="564"/>
      <c r="DB47" s="564"/>
      <c r="DC47" s="564"/>
      <c r="DD47" s="564"/>
      <c r="DE47" s="564"/>
      <c r="DF47" s="564"/>
      <c r="DG47" s="1789"/>
      <c r="DH47" s="274"/>
      <c r="DI47" s="1728"/>
      <c r="DJ47" s="321"/>
      <c r="DK47" s="321"/>
      <c r="DL47" s="321"/>
      <c r="DM47" s="321"/>
      <c r="DN47" s="321"/>
      <c r="DO47" s="205"/>
      <c r="DP47"/>
      <c r="DQ47"/>
      <c r="DR47"/>
      <c r="DS47"/>
      <c r="DT47"/>
      <c r="DU47"/>
      <c r="DY47" s="564"/>
      <c r="DZ47" s="564"/>
    </row>
    <row r="48" spans="1:130" s="2252" customFormat="1" ht="12.6" hidden="1" customHeight="1" outlineLevel="1">
      <c r="A48" s="3089" t="s">
        <v>292</v>
      </c>
      <c r="B48" s="314"/>
      <c r="C48" s="314"/>
      <c r="D48" s="1719"/>
      <c r="E48" s="273"/>
      <c r="F48" s="273"/>
      <c r="G48" s="273"/>
      <c r="H48" s="736"/>
      <c r="I48" s="273"/>
      <c r="J48" s="273"/>
      <c r="K48" s="273"/>
      <c r="L48" s="273"/>
      <c r="M48" s="736"/>
      <c r="N48" s="273"/>
      <c r="O48" s="273"/>
      <c r="P48" s="273"/>
      <c r="Q48" s="273"/>
      <c r="R48" s="736"/>
      <c r="S48" s="273"/>
      <c r="T48" s="273"/>
      <c r="U48" s="273"/>
      <c r="V48" s="273"/>
      <c r="W48" s="736"/>
      <c r="X48" s="273"/>
      <c r="Y48" s="273"/>
      <c r="Z48" s="273"/>
      <c r="AA48" s="273"/>
      <c r="AB48" s="736"/>
      <c r="AC48" s="273"/>
      <c r="AD48" s="273"/>
      <c r="AE48" s="273"/>
      <c r="AF48" s="564"/>
      <c r="AG48" s="736"/>
      <c r="AH48" s="447"/>
      <c r="AI48" s="564"/>
      <c r="AJ48" s="564"/>
      <c r="AK48" s="564"/>
      <c r="AL48" s="736"/>
      <c r="AM48" s="564"/>
      <c r="AN48" s="564"/>
      <c r="AO48" s="564"/>
      <c r="AP48" s="564"/>
      <c r="AQ48" s="736"/>
      <c r="AR48" s="564"/>
      <c r="AS48" s="564"/>
      <c r="AT48" s="564"/>
      <c r="AU48" s="564"/>
      <c r="AV48" s="736"/>
      <c r="AW48" s="564">
        <f>+AW949</f>
        <v>14.202500000000001</v>
      </c>
      <c r="AX48" s="564">
        <f t="shared" ref="AX48:AZ49" si="84">+AX949</f>
        <v>13.923500000000001</v>
      </c>
      <c r="AY48" s="564">
        <f t="shared" si="84"/>
        <v>23.295999999999999</v>
      </c>
      <c r="AZ48" s="564">
        <f t="shared" si="84"/>
        <v>8.1965000000000003</v>
      </c>
      <c r="BA48" s="736">
        <f>SUM(AW48:AZ48)</f>
        <v>59.618499999999997</v>
      </c>
      <c r="BB48" s="564">
        <f t="shared" ref="BB48:BE49" si="85">+BB949</f>
        <v>11.823</v>
      </c>
      <c r="BC48" s="564">
        <f t="shared" si="85"/>
        <v>22.198999999999998</v>
      </c>
      <c r="BD48" s="564">
        <f t="shared" si="85"/>
        <v>28.336499999999997</v>
      </c>
      <c r="BE48" s="564">
        <f t="shared" si="85"/>
        <v>17.119</v>
      </c>
      <c r="BF48" s="736">
        <f>SUM(BB48:BE48)</f>
        <v>79.477499999999992</v>
      </c>
      <c r="BG48" s="564">
        <f t="shared" ref="BG48:BJ49" si="86">+BG949</f>
        <v>18.362500000000001</v>
      </c>
      <c r="BH48" s="564">
        <f t="shared" si="86"/>
        <v>21.4635</v>
      </c>
      <c r="BI48" s="564">
        <f t="shared" si="86"/>
        <v>36.286999999999999</v>
      </c>
      <c r="BJ48" s="564">
        <f t="shared" si="86"/>
        <v>22.129384439999999</v>
      </c>
      <c r="BK48" s="736">
        <f>SUM(BG48:BJ48)</f>
        <v>98.242384439999995</v>
      </c>
      <c r="BL48" s="564">
        <f>+BL949</f>
        <v>21.994192720000001</v>
      </c>
      <c r="BM48" s="3147">
        <v>0</v>
      </c>
      <c r="BN48" s="3147">
        <v>0</v>
      </c>
      <c r="BO48" s="3147">
        <v>0</v>
      </c>
      <c r="BP48" s="736">
        <f>SUM(BL48:BO48)</f>
        <v>21.994192720000001</v>
      </c>
      <c r="BQ48" s="2514">
        <f t="shared" ref="BQ48:BT49" si="87">+BQ949</f>
        <v>0</v>
      </c>
      <c r="BR48" s="2514">
        <f t="shared" si="87"/>
        <v>0</v>
      </c>
      <c r="BS48" s="2514">
        <f>+BS949</f>
        <v>0</v>
      </c>
      <c r="BT48" s="2514">
        <f t="shared" si="87"/>
        <v>0</v>
      </c>
      <c r="BU48" s="736">
        <f>SUM(BQ48:BT48)</f>
        <v>0</v>
      </c>
      <c r="BV48" s="2514">
        <f t="shared" ref="BV48:BY48" si="88">+BV949</f>
        <v>0</v>
      </c>
      <c r="BW48" s="2514">
        <f t="shared" si="88"/>
        <v>0</v>
      </c>
      <c r="BX48" s="2514">
        <f t="shared" si="88"/>
        <v>0</v>
      </c>
      <c r="BY48" s="2514">
        <f t="shared" si="88"/>
        <v>0</v>
      </c>
      <c r="BZ48" s="736">
        <f>SUM(BV48:BY48)</f>
        <v>0</v>
      </c>
      <c r="CA48" s="3261">
        <v>0</v>
      </c>
      <c r="CB48" s="3261">
        <v>0</v>
      </c>
      <c r="CC48" s="736">
        <f t="shared" ref="CC48:CG49" si="89">+CC949</f>
        <v>-2.1289625451966483</v>
      </c>
      <c r="CD48" s="736">
        <f t="shared" si="89"/>
        <v>-2.0225144179368097</v>
      </c>
      <c r="CE48" s="736">
        <f t="shared" si="89"/>
        <v>-2.062964706295551</v>
      </c>
      <c r="CF48" s="736">
        <f t="shared" si="89"/>
        <v>-2.1042240004214605</v>
      </c>
      <c r="CG48" s="736">
        <f t="shared" si="89"/>
        <v>-2.14630848042989</v>
      </c>
      <c r="CH48" s="274"/>
      <c r="CI48" s="3090"/>
      <c r="CJ48" s="274"/>
      <c r="CK48" s="274"/>
      <c r="CL48" s="274"/>
      <c r="CM48" s="965"/>
      <c r="CN48" s="965">
        <f>SUM(BV48:BY48)</f>
        <v>0</v>
      </c>
      <c r="CO48" s="965">
        <f t="shared" ref="CO48:CO49" si="90">CM48-CN48</f>
        <v>0</v>
      </c>
      <c r="CP48" s="3091" t="str">
        <f>A48</f>
        <v>Equity Investment in Borgata (on-ground)</v>
      </c>
      <c r="CQ48" s="564"/>
      <c r="CR48" s="564"/>
      <c r="CS48" s="564"/>
      <c r="CT48" s="564"/>
      <c r="CU48" s="564"/>
      <c r="CV48" s="564"/>
      <c r="CW48" s="564"/>
      <c r="CX48" s="564"/>
      <c r="CY48" s="564"/>
      <c r="CZ48" s="564"/>
      <c r="DA48" s="564"/>
      <c r="DB48" s="564"/>
      <c r="DC48" s="564"/>
      <c r="DD48" s="564"/>
      <c r="DE48" s="564"/>
      <c r="DF48" s="564"/>
      <c r="DG48" s="1789"/>
      <c r="DH48" s="274"/>
      <c r="DI48" s="1728"/>
      <c r="DJ48" s="321"/>
      <c r="DK48" s="321"/>
      <c r="DL48" s="321"/>
      <c r="DM48" s="321"/>
      <c r="DN48" s="321"/>
      <c r="DO48" s="205"/>
      <c r="DP48"/>
      <c r="DQ48"/>
      <c r="DR48"/>
      <c r="DS48"/>
      <c r="DT48"/>
      <c r="DU48"/>
      <c r="DY48" s="564"/>
      <c r="DZ48" s="564"/>
    </row>
    <row r="49" spans="1:130" s="2252" customFormat="1" ht="12.6" hidden="1" customHeight="1" outlineLevel="1">
      <c r="A49" s="3089" t="s">
        <v>293</v>
      </c>
      <c r="B49" s="314"/>
      <c r="C49" s="314"/>
      <c r="D49" s="1719"/>
      <c r="E49" s="273"/>
      <c r="F49" s="273"/>
      <c r="G49" s="273"/>
      <c r="H49" s="736"/>
      <c r="I49" s="273"/>
      <c r="J49" s="273"/>
      <c r="K49" s="273"/>
      <c r="L49" s="273"/>
      <c r="M49" s="736"/>
      <c r="N49" s="273"/>
      <c r="O49" s="273"/>
      <c r="P49" s="273"/>
      <c r="Q49" s="273"/>
      <c r="R49" s="736"/>
      <c r="S49" s="273"/>
      <c r="T49" s="273"/>
      <c r="U49" s="273"/>
      <c r="V49" s="273"/>
      <c r="W49" s="736"/>
      <c r="X49" s="273"/>
      <c r="Y49" s="273"/>
      <c r="Z49" s="273"/>
      <c r="AA49" s="273"/>
      <c r="AB49" s="736"/>
      <c r="AC49" s="273"/>
      <c r="AD49" s="273"/>
      <c r="AE49" s="273"/>
      <c r="AF49" s="564"/>
      <c r="AG49" s="736"/>
      <c r="AH49" s="447"/>
      <c r="AI49" s="564"/>
      <c r="AJ49" s="564"/>
      <c r="AK49" s="564"/>
      <c r="AL49" s="736"/>
      <c r="AM49" s="564"/>
      <c r="AN49" s="564"/>
      <c r="AO49" s="564"/>
      <c r="AP49" s="564"/>
      <c r="AQ49" s="736"/>
      <c r="AR49" s="564"/>
      <c r="AS49" s="564"/>
      <c r="AT49" s="564"/>
      <c r="AU49" s="564"/>
      <c r="AV49" s="736"/>
      <c r="AW49" s="564">
        <f>+AW950</f>
        <v>0</v>
      </c>
      <c r="AX49" s="564">
        <f t="shared" si="84"/>
        <v>0</v>
      </c>
      <c r="AY49" s="564">
        <f t="shared" si="84"/>
        <v>0</v>
      </c>
      <c r="AZ49" s="564">
        <f t="shared" si="84"/>
        <v>0</v>
      </c>
      <c r="BA49" s="736">
        <f>SUM(AW49:AZ49)</f>
        <v>0</v>
      </c>
      <c r="BB49" s="564">
        <f t="shared" si="85"/>
        <v>-1.6</v>
      </c>
      <c r="BC49" s="564">
        <f t="shared" si="85"/>
        <v>-0.9</v>
      </c>
      <c r="BD49" s="564">
        <f t="shared" si="85"/>
        <v>0.1</v>
      </c>
      <c r="BE49" s="564">
        <f t="shared" si="85"/>
        <v>0.9</v>
      </c>
      <c r="BF49" s="736">
        <f>SUM(BB49:BE49)</f>
        <v>-1.5</v>
      </c>
      <c r="BG49" s="564">
        <f t="shared" si="86"/>
        <v>0.55000000000000004</v>
      </c>
      <c r="BH49" s="564">
        <f t="shared" si="86"/>
        <v>0.8</v>
      </c>
      <c r="BI49" s="564">
        <f t="shared" si="86"/>
        <v>1.7</v>
      </c>
      <c r="BJ49" s="564">
        <f t="shared" si="86"/>
        <v>0.80261556000000012</v>
      </c>
      <c r="BK49" s="736">
        <f>SUM(BG49:BJ49)</f>
        <v>3.8526155599999998</v>
      </c>
      <c r="BL49" s="564">
        <f>+BL950</f>
        <v>0.67330728000000006</v>
      </c>
      <c r="BM49" s="3147">
        <v>0</v>
      </c>
      <c r="BN49" s="3147">
        <v>0</v>
      </c>
      <c r="BO49" s="3147">
        <v>0</v>
      </c>
      <c r="BP49" s="736">
        <f>SUM(BL49:BO49)</f>
        <v>0.67330728000000006</v>
      </c>
      <c r="BQ49" s="2514">
        <f t="shared" si="87"/>
        <v>0</v>
      </c>
      <c r="BR49" s="2514">
        <f t="shared" si="87"/>
        <v>0</v>
      </c>
      <c r="BS49" s="2514">
        <f>+BS950</f>
        <v>0</v>
      </c>
      <c r="BT49" s="2514">
        <f t="shared" si="87"/>
        <v>0</v>
      </c>
      <c r="BU49" s="736">
        <f>SUM(BQ49:BT49)</f>
        <v>0</v>
      </c>
      <c r="BV49" s="2514">
        <f t="shared" ref="BV49:BY49" si="91">+BV950</f>
        <v>0</v>
      </c>
      <c r="BW49" s="2514">
        <f t="shared" si="91"/>
        <v>0</v>
      </c>
      <c r="BX49" s="2514">
        <f t="shared" si="91"/>
        <v>0</v>
      </c>
      <c r="BY49" s="2514">
        <f t="shared" si="91"/>
        <v>0</v>
      </c>
      <c r="BZ49" s="736">
        <f>SUM(BV49:BY49)</f>
        <v>0</v>
      </c>
      <c r="CA49" s="3261">
        <v>0</v>
      </c>
      <c r="CB49" s="3261">
        <v>0</v>
      </c>
      <c r="CC49" s="736">
        <f t="shared" si="89"/>
        <v>6.6530079537395199</v>
      </c>
      <c r="CD49" s="736">
        <f t="shared" si="89"/>
        <v>6.320357556052544</v>
      </c>
      <c r="CE49" s="736">
        <f t="shared" si="89"/>
        <v>6.4467647071735943</v>
      </c>
      <c r="CF49" s="736">
        <f t="shared" si="89"/>
        <v>6.5757000013170668</v>
      </c>
      <c r="CG49" s="736">
        <f t="shared" si="89"/>
        <v>6.7072140013434085</v>
      </c>
      <c r="CH49" s="274"/>
      <c r="CI49" s="3090"/>
      <c r="CJ49" s="274"/>
      <c r="CK49" s="274"/>
      <c r="CL49" s="274"/>
      <c r="CM49" s="965"/>
      <c r="CN49" s="965">
        <f>SUM(BV49:BY49)</f>
        <v>0</v>
      </c>
      <c r="CO49" s="965">
        <f t="shared" si="90"/>
        <v>0</v>
      </c>
      <c r="CP49" s="3091"/>
      <c r="CQ49" s="564"/>
      <c r="CR49" s="564"/>
      <c r="CS49" s="564"/>
      <c r="CT49" s="564"/>
      <c r="CU49" s="564"/>
      <c r="CV49" s="564"/>
      <c r="CW49" s="564"/>
      <c r="CX49" s="564"/>
      <c r="CY49" s="564"/>
      <c r="CZ49" s="564"/>
      <c r="DA49" s="564"/>
      <c r="DB49" s="564"/>
      <c r="DC49" s="564"/>
      <c r="DD49" s="564"/>
      <c r="DE49" s="564"/>
      <c r="DF49" s="564"/>
      <c r="DG49" s="1789"/>
      <c r="DH49" s="274"/>
      <c r="DI49" s="1728"/>
      <c r="DJ49" s="321"/>
      <c r="DK49" s="321"/>
      <c r="DL49" s="321"/>
      <c r="DM49" s="321"/>
      <c r="DN49" s="321"/>
      <c r="DO49" s="205"/>
      <c r="DP49"/>
      <c r="DQ49"/>
      <c r="DR49"/>
      <c r="DS49"/>
      <c r="DT49"/>
      <c r="DU49"/>
      <c r="DY49" s="564"/>
      <c r="DZ49" s="564"/>
    </row>
    <row r="50" spans="1:130" s="2252" customFormat="1" ht="12.6" hidden="1" customHeight="1" outlineLevel="1">
      <c r="A50" s="3089" t="s">
        <v>304</v>
      </c>
      <c r="B50" s="314"/>
      <c r="C50" s="314"/>
      <c r="D50" s="3304">
        <f>+D840</f>
        <v>0</v>
      </c>
      <c r="E50" s="564">
        <f>+E840</f>
        <v>0</v>
      </c>
      <c r="F50" s="564">
        <f>+F840</f>
        <v>0</v>
      </c>
      <c r="G50" s="564">
        <f>+G840</f>
        <v>0</v>
      </c>
      <c r="H50" s="736">
        <f>+SUM(D50:G50)</f>
        <v>0</v>
      </c>
      <c r="I50" s="273">
        <f>+I840</f>
        <v>0</v>
      </c>
      <c r="J50" s="273">
        <f>+J840</f>
        <v>0</v>
      </c>
      <c r="K50" s="273">
        <f>+K840</f>
        <v>0</v>
      </c>
      <c r="L50" s="273">
        <f>+L840</f>
        <v>0</v>
      </c>
      <c r="M50" s="736">
        <f>+SUM(I50:L50)</f>
        <v>0</v>
      </c>
      <c r="N50" s="273">
        <f>+N840</f>
        <v>0</v>
      </c>
      <c r="O50" s="273">
        <f>+O840</f>
        <v>0</v>
      </c>
      <c r="P50" s="273">
        <f>+P840</f>
        <v>0</v>
      </c>
      <c r="Q50" s="273">
        <f>+Q840</f>
        <v>0</v>
      </c>
      <c r="R50" s="736">
        <f>+SUM(N50:Q50)</f>
        <v>0</v>
      </c>
      <c r="S50" s="273">
        <f>+S840</f>
        <v>0</v>
      </c>
      <c r="T50" s="273">
        <f>+T840</f>
        <v>0</v>
      </c>
      <c r="U50" s="273">
        <f>+U840</f>
        <v>0</v>
      </c>
      <c r="V50" s="273">
        <f>+V840</f>
        <v>0</v>
      </c>
      <c r="W50" s="736">
        <f>+SUM(S50:V50)</f>
        <v>0</v>
      </c>
      <c r="X50" s="273">
        <f>+X840</f>
        <v>0</v>
      </c>
      <c r="Y50" s="273">
        <f>+Y840</f>
        <v>0</v>
      </c>
      <c r="Z50" s="273">
        <f>+Z840</f>
        <v>0</v>
      </c>
      <c r="AA50" s="273">
        <f>+AA840</f>
        <v>0</v>
      </c>
      <c r="AB50" s="736">
        <f>+SUM(X50:AA50)</f>
        <v>0</v>
      </c>
      <c r="AC50" s="273">
        <f>+AC840</f>
        <v>0</v>
      </c>
      <c r="AD50" s="273">
        <f>+AD840</f>
        <v>0</v>
      </c>
      <c r="AE50" s="273">
        <f>+AE840</f>
        <v>0</v>
      </c>
      <c r="AF50" s="564">
        <f>+AF840</f>
        <v>0</v>
      </c>
      <c r="AG50" s="736">
        <f>+SUM(AC50:AF50)</f>
        <v>0</v>
      </c>
      <c r="AH50" s="447">
        <f>+AH840</f>
        <v>0</v>
      </c>
      <c r="AI50" s="564">
        <f>+AI840</f>
        <v>0</v>
      </c>
      <c r="AJ50" s="564">
        <f>+AJ840</f>
        <v>0</v>
      </c>
      <c r="AK50" s="564">
        <f>+AK840</f>
        <v>0</v>
      </c>
      <c r="AL50" s="736">
        <f>+SUM(AH50:AK50)</f>
        <v>0</v>
      </c>
      <c r="AM50" s="564">
        <f>+AM840</f>
        <v>0</v>
      </c>
      <c r="AN50" s="564">
        <f>+AN840</f>
        <v>0</v>
      </c>
      <c r="AO50" s="564">
        <f>+AO840</f>
        <v>0</v>
      </c>
      <c r="AP50" s="564">
        <f>+AP840</f>
        <v>0</v>
      </c>
      <c r="AQ50" s="736">
        <f>+SUM(AM50:AP50)</f>
        <v>0</v>
      </c>
      <c r="AR50" s="564">
        <f>+AR840</f>
        <v>0</v>
      </c>
      <c r="AS50" s="564">
        <f>+AS840</f>
        <v>0</v>
      </c>
      <c r="AT50" s="564">
        <f>+AT840</f>
        <v>0</v>
      </c>
      <c r="AU50" s="564">
        <f>+AU840</f>
        <v>0</v>
      </c>
      <c r="AV50" s="736">
        <f>+SUM(AR50:AU50)</f>
        <v>0</v>
      </c>
      <c r="AW50" s="564">
        <f>+AW840</f>
        <v>0</v>
      </c>
      <c r="AX50" s="564">
        <f>+AX840</f>
        <v>0</v>
      </c>
      <c r="AY50" s="564">
        <f>+AY840</f>
        <v>0</v>
      </c>
      <c r="AZ50" s="564">
        <f>+AZ840</f>
        <v>0</v>
      </c>
      <c r="BA50" s="736"/>
      <c r="BB50" s="564"/>
      <c r="BC50" s="564"/>
      <c r="BD50" s="564"/>
      <c r="BE50" s="564"/>
      <c r="BF50" s="736"/>
      <c r="BG50" s="564"/>
      <c r="BH50" s="564"/>
      <c r="BI50" s="564"/>
      <c r="BJ50" s="564"/>
      <c r="BK50" s="736"/>
      <c r="BL50" s="564"/>
      <c r="BM50" s="564"/>
      <c r="BN50" s="564"/>
      <c r="BO50" s="564"/>
      <c r="BP50" s="736"/>
      <c r="BQ50" s="564"/>
      <c r="BR50" s="564"/>
      <c r="BS50" s="564"/>
      <c r="BT50" s="564"/>
      <c r="BU50" s="3320"/>
      <c r="BV50" s="564"/>
      <c r="BW50" s="564"/>
      <c r="BX50" s="564"/>
      <c r="BY50" s="564"/>
      <c r="BZ50" s="3320"/>
      <c r="CA50" s="736"/>
      <c r="CB50" s="736"/>
      <c r="CC50" s="736">
        <f>+CC840</f>
        <v>24.556689958077449</v>
      </c>
      <c r="CD50" s="736">
        <f>+CD840</f>
        <v>23.328855460173575</v>
      </c>
      <c r="CE50" s="736">
        <f>+CE840</f>
        <v>23.795432569377049</v>
      </c>
      <c r="CF50" s="736">
        <f>+CF840</f>
        <v>24.271341220764587</v>
      </c>
      <c r="CG50" s="736">
        <f>+CG840</f>
        <v>24.756768045179875</v>
      </c>
      <c r="CH50" s="274"/>
      <c r="CI50" s="3090"/>
      <c r="CJ50" s="274"/>
      <c r="CK50" s="274"/>
      <c r="CL50" s="274"/>
      <c r="CM50" s="274"/>
      <c r="CN50" s="274"/>
      <c r="CO50" s="274"/>
      <c r="CP50" s="3091"/>
      <c r="CQ50" s="564"/>
      <c r="CR50" s="564"/>
      <c r="CS50" s="564"/>
      <c r="CT50" s="564"/>
      <c r="CU50" s="564"/>
      <c r="CV50" s="564"/>
      <c r="CW50" s="564"/>
      <c r="CX50" s="564"/>
      <c r="CY50" s="564"/>
      <c r="CZ50" s="564"/>
      <c r="DA50" s="564"/>
      <c r="DB50" s="564"/>
      <c r="DC50" s="564"/>
      <c r="DD50" s="564"/>
      <c r="DE50" s="564"/>
      <c r="DF50" s="564"/>
      <c r="DG50" s="1789"/>
      <c r="DH50" s="274"/>
      <c r="DI50" s="1728"/>
      <c r="DJ50" s="321"/>
      <c r="DK50" s="321"/>
      <c r="DL50" s="321"/>
      <c r="DM50" s="321"/>
      <c r="DN50" s="321"/>
      <c r="DO50" s="205"/>
      <c r="DP50"/>
      <c r="DQ50"/>
      <c r="DR50"/>
      <c r="DS50"/>
      <c r="DT50"/>
      <c r="DU50"/>
      <c r="DY50" s="564"/>
      <c r="DZ50" s="564"/>
    </row>
    <row r="51" spans="1:130" ht="12.6" customHeight="1" collapsed="1">
      <c r="A51" s="1011" t="s">
        <v>223</v>
      </c>
      <c r="B51" s="1012"/>
      <c r="C51" s="1012"/>
      <c r="D51" s="1721">
        <f>SUM(D37:D41)</f>
        <v>73.811999999999998</v>
      </c>
      <c r="E51" s="1722">
        <f>SUM(E37:E41)</f>
        <v>73.924000000000007</v>
      </c>
      <c r="F51" s="1722">
        <f>SUM(F37:F41)</f>
        <v>118.733</v>
      </c>
      <c r="G51" s="1722">
        <f>SUM(G37:G41)</f>
        <v>136.39499999999998</v>
      </c>
      <c r="H51" s="1723">
        <f>SUM(D51:G51)</f>
        <v>402.86399999999998</v>
      </c>
      <c r="I51" s="1722">
        <f t="shared" ref="I51:AA51" si="92">SUM(I37:I41)</f>
        <v>158.47299999999998</v>
      </c>
      <c r="J51" s="1722">
        <f t="shared" si="92"/>
        <v>149.202</v>
      </c>
      <c r="K51" s="1722">
        <f t="shared" si="92"/>
        <v>136.39600000000002</v>
      </c>
      <c r="L51" s="1722">
        <f t="shared" si="92"/>
        <v>170.77300000000002</v>
      </c>
      <c r="M51" s="1723">
        <f t="shared" si="92"/>
        <v>614.84400000000005</v>
      </c>
      <c r="N51" s="1722">
        <f t="shared" si="92"/>
        <v>199.06399999999999</v>
      </c>
      <c r="O51" s="1722">
        <f t="shared" si="92"/>
        <v>161.71300000000002</v>
      </c>
      <c r="P51" s="1722">
        <f t="shared" si="92"/>
        <v>132.892</v>
      </c>
      <c r="Q51" s="1722">
        <f t="shared" si="92"/>
        <v>139.56199999999998</v>
      </c>
      <c r="R51" s="1723">
        <f t="shared" si="92"/>
        <v>633.23099999999999</v>
      </c>
      <c r="S51" s="1722">
        <f t="shared" si="92"/>
        <v>145.74100000000001</v>
      </c>
      <c r="T51" s="1722">
        <f t="shared" si="92"/>
        <v>138.07999999999998</v>
      </c>
      <c r="U51" s="1722">
        <f t="shared" si="92"/>
        <v>128.08100000000002</v>
      </c>
      <c r="V51" s="1722">
        <f t="shared" si="92"/>
        <v>131.518</v>
      </c>
      <c r="W51" s="1723">
        <f t="shared" si="92"/>
        <v>543.42000000000007</v>
      </c>
      <c r="X51" s="1722">
        <f t="shared" si="92"/>
        <v>122.42299999999999</v>
      </c>
      <c r="Y51" s="1722">
        <f t="shared" si="92"/>
        <v>118.08800000000001</v>
      </c>
      <c r="Z51" s="1722">
        <f t="shared" si="92"/>
        <v>91.683999999999997</v>
      </c>
      <c r="AA51" s="1722">
        <f t="shared" si="92"/>
        <v>93.419000000000011</v>
      </c>
      <c r="AB51" s="1723">
        <f>SUM(X51:AA51)</f>
        <v>425.61400000000003</v>
      </c>
      <c r="AC51" s="1722">
        <f>SUM(AC37:AC41)</f>
        <v>106.69499999999999</v>
      </c>
      <c r="AD51" s="1722">
        <f>SUM(AD37:AD41)</f>
        <v>99.97</v>
      </c>
      <c r="AE51" s="1722">
        <f>SUM(AE37:AE41)</f>
        <v>81.600999999999999</v>
      </c>
      <c r="AF51" s="1722">
        <f>SUM(AF37:AF41)</f>
        <v>75.063999999999993</v>
      </c>
      <c r="AG51" s="1723">
        <f>SUM(AG37:AG41)</f>
        <v>363.33</v>
      </c>
      <c r="AH51" s="1722">
        <f>SUM(AH37:AH45)</f>
        <v>92.265000000000001</v>
      </c>
      <c r="AI51" s="1722">
        <f>SUM(AI37:AI45)</f>
        <v>124.67000000000002</v>
      </c>
      <c r="AJ51" s="1722">
        <f>SUM(AJ37:AJ45)</f>
        <v>124.52100000000002</v>
      </c>
      <c r="AK51" s="1722">
        <f>SUM(AK37:AK45)</f>
        <v>109.54299999999999</v>
      </c>
      <c r="AL51" s="1723">
        <f>SUM(AH51:AK51)</f>
        <v>450.99900000000002</v>
      </c>
      <c r="AM51" s="1722">
        <f>SUM(AM37:AM45)</f>
        <v>121.53999999999999</v>
      </c>
      <c r="AN51" s="1722">
        <f>SUM(AN37:AN45)</f>
        <v>128.86900000000003</v>
      </c>
      <c r="AO51" s="1722">
        <f>SUM(AO37:AO45)</f>
        <v>131.262</v>
      </c>
      <c r="AP51" s="1722">
        <f>SUM(AP37:AP45)</f>
        <v>124.63099999999999</v>
      </c>
      <c r="AQ51" s="1723">
        <f>SUM(AM51:AP51)</f>
        <v>506.30200000000002</v>
      </c>
      <c r="AR51" s="1722">
        <f>SUM(AR37:AR45)</f>
        <v>143.929</v>
      </c>
      <c r="AS51" s="1722">
        <f>SUM(AS37:AS45)</f>
        <v>124.38199999999999</v>
      </c>
      <c r="AT51" s="1722">
        <f>SUM(AT37:AT45)</f>
        <v>112.685</v>
      </c>
      <c r="AU51" s="1722">
        <f>+AU38+AU39+AU44+AU45</f>
        <v>111.05500000000001</v>
      </c>
      <c r="AV51" s="1723">
        <f>+AV38+AV39+AV44+AV45</f>
        <v>492.05100000000004</v>
      </c>
      <c r="AW51" s="1722">
        <f>+AW38+AW39+AW44+AW48+AW49</f>
        <v>160.91250000000002</v>
      </c>
      <c r="AX51" s="1722">
        <f t="shared" ref="AX51:CA51" si="93">+AX38+AX39+AX44+AX48+AX49</f>
        <v>158.89150000000001</v>
      </c>
      <c r="AY51" s="1722">
        <f t="shared" si="93"/>
        <v>142.39000000000001</v>
      </c>
      <c r="AZ51" s="1722">
        <f t="shared" si="93"/>
        <v>135.20650000000001</v>
      </c>
      <c r="BA51" s="1723">
        <f t="shared" si="93"/>
        <v>597.40049999999997</v>
      </c>
      <c r="BB51" s="1722">
        <f t="shared" si="93"/>
        <v>148.41600000000003</v>
      </c>
      <c r="BC51" s="1722">
        <f t="shared" si="93"/>
        <v>153.91200000000001</v>
      </c>
      <c r="BD51" s="1722">
        <f t="shared" si="93"/>
        <v>149.2715</v>
      </c>
      <c r="BE51" s="1722">
        <f t="shared" si="93"/>
        <v>153.142</v>
      </c>
      <c r="BF51" s="1723">
        <f t="shared" si="93"/>
        <v>604.74149999999997</v>
      </c>
      <c r="BG51" s="1721">
        <f t="shared" si="93"/>
        <v>165.81350000000003</v>
      </c>
      <c r="BH51" s="1722">
        <f t="shared" si="93"/>
        <v>177.68650000000002</v>
      </c>
      <c r="BI51" s="1722">
        <f t="shared" si="93"/>
        <v>176.739</v>
      </c>
      <c r="BJ51" s="1780">
        <f t="shared" si="93"/>
        <v>169.42400000000001</v>
      </c>
      <c r="BK51" s="1723">
        <f t="shared" si="93"/>
        <v>689.66300000000001</v>
      </c>
      <c r="BL51" s="1722">
        <f t="shared" si="93"/>
        <v>175.5445</v>
      </c>
      <c r="BM51" s="1722">
        <f t="shared" si="93"/>
        <v>152.18299999999999</v>
      </c>
      <c r="BN51" s="1722">
        <f t="shared" si="93"/>
        <v>136.82400000000001</v>
      </c>
      <c r="BO51" s="1780">
        <f t="shared" si="93"/>
        <v>154.321</v>
      </c>
      <c r="BP51" s="1723">
        <f t="shared" si="93"/>
        <v>618.87250000000006</v>
      </c>
      <c r="BQ51" s="1722">
        <f t="shared" si="93"/>
        <v>173.96600000000001</v>
      </c>
      <c r="BR51" s="1722">
        <f t="shared" si="93"/>
        <v>169.38200000000001</v>
      </c>
      <c r="BS51" s="1722">
        <f t="shared" si="93"/>
        <v>157.75099999999998</v>
      </c>
      <c r="BT51" s="1722">
        <f t="shared" si="93"/>
        <v>167.572</v>
      </c>
      <c r="BU51" s="1723">
        <f t="shared" si="93"/>
        <v>668.67100000000005</v>
      </c>
      <c r="BV51" s="1722">
        <f t="shared" si="93"/>
        <v>176.43480741757983</v>
      </c>
      <c r="BW51" s="1722">
        <f t="shared" si="93"/>
        <v>175.08302139382249</v>
      </c>
      <c r="BX51" s="1722">
        <f t="shared" si="93"/>
        <v>221.94900484526767</v>
      </c>
      <c r="BY51" s="1722">
        <f t="shared" si="93"/>
        <v>235.52749180563794</v>
      </c>
      <c r="BZ51" s="1723">
        <f t="shared" ref="BZ51" si="94">+BZ38+BZ39+BZ44+BZ48+BZ49</f>
        <v>808.99432546230787</v>
      </c>
      <c r="CA51" s="1723">
        <f t="shared" si="93"/>
        <v>943.95789252238421</v>
      </c>
      <c r="CB51" s="1723">
        <f t="shared" ref="CB51:CG51" si="95">+CB38+CB39+CB44+CB48+CB49</f>
        <v>956.88394406042028</v>
      </c>
      <c r="CC51" s="1723">
        <f t="shared" si="95"/>
        <v>100.01073528479596</v>
      </c>
      <c r="CD51" s="1723">
        <f t="shared" si="95"/>
        <v>49.815155850342229</v>
      </c>
      <c r="CE51" s="1723">
        <f t="shared" si="95"/>
        <v>72.671979274987493</v>
      </c>
      <c r="CF51" s="1723">
        <f t="shared" si="95"/>
        <v>96.201764352970997</v>
      </c>
      <c r="CG51" s="1723">
        <f t="shared" si="95"/>
        <v>120.42012856920715</v>
      </c>
      <c r="CH51" s="267"/>
      <c r="CI51" s="267"/>
      <c r="CJ51" s="267"/>
      <c r="CK51" s="267"/>
      <c r="CL51" s="267"/>
      <c r="CM51" s="965"/>
      <c r="CN51" s="965">
        <f>SUM(BV51:BY51)</f>
        <v>808.99432546230787</v>
      </c>
      <c r="CO51" s="965">
        <f>CM51-CN51</f>
        <v>-808.99432546230787</v>
      </c>
      <c r="CP51" s="1011" t="str">
        <f t="shared" si="20"/>
        <v>Total Property EBITDA</v>
      </c>
      <c r="CQ51" s="1722">
        <f t="shared" si="21"/>
        <v>402.86399999999998</v>
      </c>
      <c r="CR51" s="1722">
        <f t="shared" si="22"/>
        <v>614.84400000000005</v>
      </c>
      <c r="CS51" s="1722">
        <f t="shared" si="23"/>
        <v>633.23099999999999</v>
      </c>
      <c r="CT51" s="1722">
        <f t="shared" si="24"/>
        <v>543.42000000000007</v>
      </c>
      <c r="CU51" s="1722">
        <f t="shared" si="25"/>
        <v>425.61400000000003</v>
      </c>
      <c r="CV51" s="1722">
        <f t="shared" si="26"/>
        <v>363.33</v>
      </c>
      <c r="CW51" s="1722">
        <f t="shared" si="27"/>
        <v>450.99900000000002</v>
      </c>
      <c r="CX51" s="1722">
        <f t="shared" si="28"/>
        <v>506.30200000000002</v>
      </c>
      <c r="CY51" s="1722">
        <f t="shared" si="29"/>
        <v>492.05100000000004</v>
      </c>
      <c r="CZ51" s="1722">
        <f t="shared" si="30"/>
        <v>597.40049999999997</v>
      </c>
      <c r="DA51" s="1722">
        <f t="shared" si="31"/>
        <v>604.74149999999997</v>
      </c>
      <c r="DB51" s="1722">
        <f t="shared" si="32"/>
        <v>689.66300000000001</v>
      </c>
      <c r="DC51" s="1722">
        <f t="shared" si="33"/>
        <v>618.87250000000006</v>
      </c>
      <c r="DD51" s="1722">
        <f t="shared" si="34"/>
        <v>668.67100000000005</v>
      </c>
      <c r="DE51" s="1722">
        <f t="shared" si="35"/>
        <v>808.99432546230787</v>
      </c>
      <c r="DF51" s="1722">
        <f t="shared" si="36"/>
        <v>943.95789252238421</v>
      </c>
      <c r="DG51" s="1780">
        <f t="shared" si="37"/>
        <v>956.88394406042028</v>
      </c>
      <c r="DH51" s="267"/>
      <c r="DI51" s="323"/>
      <c r="DJ51" s="323"/>
      <c r="DK51" s="323"/>
      <c r="DL51" s="323"/>
      <c r="DM51" s="323"/>
      <c r="DN51" s="323"/>
      <c r="DO51" s="324"/>
      <c r="DY51" s="267"/>
      <c r="DZ51" s="267"/>
    </row>
    <row r="52" spans="1:130" ht="12.6" customHeight="1">
      <c r="A52" s="3656" t="s">
        <v>56</v>
      </c>
      <c r="B52" s="3580"/>
      <c r="C52" s="3580"/>
      <c r="D52" s="3691">
        <f t="shared" ref="D52:AI52" si="96">D51/D21</f>
        <v>0.22364697398481387</v>
      </c>
      <c r="E52" s="3692">
        <f t="shared" si="96"/>
        <v>0.21621842963482943</v>
      </c>
      <c r="F52" s="3692">
        <f t="shared" si="96"/>
        <v>0.22724323579454656</v>
      </c>
      <c r="G52" s="3693">
        <f t="shared" si="96"/>
        <v>0.25275558158152217</v>
      </c>
      <c r="H52" s="3694">
        <f t="shared" si="96"/>
        <v>0.23232440898747331</v>
      </c>
      <c r="I52" s="3691">
        <f t="shared" si="96"/>
        <v>0.27954806047028524</v>
      </c>
      <c r="J52" s="3692">
        <f t="shared" si="96"/>
        <v>0.26919621109607578</v>
      </c>
      <c r="K52" s="3692">
        <f t="shared" si="96"/>
        <v>0.25422635756010098</v>
      </c>
      <c r="L52" s="3693">
        <f t="shared" si="96"/>
        <v>0.30205742828539395</v>
      </c>
      <c r="M52" s="3694">
        <f t="shared" si="96"/>
        <v>0.27658050759777242</v>
      </c>
      <c r="N52" s="3691">
        <f t="shared" si="96"/>
        <v>0.30792314605559706</v>
      </c>
      <c r="O52" s="3692">
        <f t="shared" si="96"/>
        <v>0.26472745250185808</v>
      </c>
      <c r="P52" s="3692">
        <f t="shared" si="96"/>
        <v>0.25041549993781637</v>
      </c>
      <c r="Q52" s="3693">
        <f t="shared" si="96"/>
        <v>0.26795766805673948</v>
      </c>
      <c r="R52" s="3694">
        <f t="shared" si="96"/>
        <v>0.27426120498375606</v>
      </c>
      <c r="S52" s="3691">
        <f t="shared" si="96"/>
        <v>0.28188112875461774</v>
      </c>
      <c r="T52" s="3692">
        <f t="shared" si="96"/>
        <v>0.27000866264756318</v>
      </c>
      <c r="U52" s="3692">
        <f t="shared" si="96"/>
        <v>0.26136045954025572</v>
      </c>
      <c r="V52" s="3693">
        <f t="shared" si="96"/>
        <v>0.27477263848003625</v>
      </c>
      <c r="W52" s="3694">
        <f t="shared" si="96"/>
        <v>0.27210196287752514</v>
      </c>
      <c r="X52" s="3691">
        <f t="shared" si="96"/>
        <v>0.25985634172330496</v>
      </c>
      <c r="Y52" s="3692">
        <f t="shared" si="96"/>
        <v>0.256287383562952</v>
      </c>
      <c r="Z52" s="3692">
        <f t="shared" si="96"/>
        <v>0.21499103070663961</v>
      </c>
      <c r="AA52" s="3693">
        <f t="shared" si="96"/>
        <v>0.2210420462342948</v>
      </c>
      <c r="AB52" s="3694">
        <f t="shared" si="96"/>
        <v>0.23897916132078809</v>
      </c>
      <c r="AC52" s="3691">
        <f t="shared" si="96"/>
        <v>0.24536329036783222</v>
      </c>
      <c r="AD52" s="3692">
        <f t="shared" si="96"/>
        <v>0.23636363636363633</v>
      </c>
      <c r="AE52" s="3692">
        <f t="shared" si="96"/>
        <v>0.20490253438227413</v>
      </c>
      <c r="AF52" s="3693">
        <f t="shared" si="96"/>
        <v>0.19499776593202198</v>
      </c>
      <c r="AG52" s="3694">
        <f t="shared" si="96"/>
        <v>0.22140956717485707</v>
      </c>
      <c r="AH52" s="3691">
        <f t="shared" si="96"/>
        <v>0.22224015377241008</v>
      </c>
      <c r="AI52" s="3692">
        <f t="shared" si="96"/>
        <v>0.21611379994175484</v>
      </c>
      <c r="AJ52" s="3692">
        <f t="shared" ref="AJ52:CA52" si="97">AJ51/AJ21</f>
        <v>0.20967614287903308</v>
      </c>
      <c r="AK52" s="3693">
        <f t="shared" si="97"/>
        <v>0.19895638844290103</v>
      </c>
      <c r="AL52" s="3694">
        <f t="shared" si="97"/>
        <v>0.21109323133435556</v>
      </c>
      <c r="AM52" s="3691">
        <f t="shared" si="97"/>
        <v>0.21572403510795962</v>
      </c>
      <c r="AN52" s="3692">
        <f t="shared" si="97"/>
        <v>0.22493053228328871</v>
      </c>
      <c r="AO52" s="3692">
        <f t="shared" si="97"/>
        <v>0.22279289707824279</v>
      </c>
      <c r="AP52" s="3693">
        <f t="shared" si="97"/>
        <v>0.20588458793677644</v>
      </c>
      <c r="AQ52" s="3694">
        <f t="shared" si="97"/>
        <v>0.21721840552967314</v>
      </c>
      <c r="AR52" s="3691">
        <f t="shared" si="97"/>
        <v>0.22785509499437206</v>
      </c>
      <c r="AS52" s="3692">
        <f t="shared" si="97"/>
        <v>0.20255345481785464</v>
      </c>
      <c r="AT52" s="3692">
        <f t="shared" si="97"/>
        <v>0.1840085566387433</v>
      </c>
      <c r="AU52" s="3693">
        <f t="shared" si="97"/>
        <v>0.17777617698378395</v>
      </c>
      <c r="AV52" s="3694">
        <f t="shared" si="97"/>
        <v>0.19818238864774274</v>
      </c>
      <c r="AW52" s="3691">
        <f t="shared" si="97"/>
        <v>0.28233235077376573</v>
      </c>
      <c r="AX52" s="3692">
        <f t="shared" si="97"/>
        <v>0.28079102834391584</v>
      </c>
      <c r="AY52" s="3692">
        <f t="shared" si="97"/>
        <v>0.26441084606271287</v>
      </c>
      <c r="AZ52" s="3693">
        <f t="shared" si="97"/>
        <v>0.25782642937096806</v>
      </c>
      <c r="BA52" s="3694">
        <f t="shared" si="97"/>
        <v>0.27170153970141053</v>
      </c>
      <c r="BB52" s="3691">
        <f t="shared" si="97"/>
        <v>0.27429331805538876</v>
      </c>
      <c r="BC52" s="3692">
        <f t="shared" si="97"/>
        <v>0.28466375675075828</v>
      </c>
      <c r="BD52" s="3692">
        <f t="shared" si="97"/>
        <v>0.2822322346926428</v>
      </c>
      <c r="BE52" s="3692">
        <f>BE51/BE21</f>
        <v>0.28808021143915946</v>
      </c>
      <c r="BF52" s="3694">
        <f t="shared" si="97"/>
        <v>0.28229189228551582</v>
      </c>
      <c r="BG52" s="3691">
        <f t="shared" si="97"/>
        <v>0.3011625963986938</v>
      </c>
      <c r="BH52" s="3692">
        <f t="shared" si="97"/>
        <v>0.31737383119144796</v>
      </c>
      <c r="BI52" s="3692">
        <f t="shared" si="97"/>
        <v>0.32351234548692787</v>
      </c>
      <c r="BJ52" s="3693">
        <f t="shared" si="97"/>
        <v>0.31220216925815503</v>
      </c>
      <c r="BK52" s="3694">
        <f t="shared" si="97"/>
        <v>0.31356442350972746</v>
      </c>
      <c r="BL52" s="3692">
        <f t="shared" si="97"/>
        <v>0.31779777616052779</v>
      </c>
      <c r="BM52" s="3692">
        <f t="shared" ref="BM52:BT52" si="98">BM51/BM21</f>
        <v>0.27929994696011728</v>
      </c>
      <c r="BN52" s="3692">
        <f t="shared" si="98"/>
        <v>0.25723583900011471</v>
      </c>
      <c r="BO52" s="3693">
        <f t="shared" si="98"/>
        <v>0.27814456141868671</v>
      </c>
      <c r="BP52" s="3694">
        <f t="shared" si="98"/>
        <v>0.28336977300564342</v>
      </c>
      <c r="BQ52" s="3692">
        <f t="shared" si="98"/>
        <v>0.28738465198185492</v>
      </c>
      <c r="BR52" s="3692">
        <f t="shared" si="98"/>
        <v>0.28236545373315469</v>
      </c>
      <c r="BS52" s="3692">
        <f t="shared" si="98"/>
        <v>0.26843694962265913</v>
      </c>
      <c r="BT52" s="3693">
        <f t="shared" si="98"/>
        <v>0.28362038616730306</v>
      </c>
      <c r="BU52" s="3694">
        <f t="shared" ref="BU52" si="99">BU51/BU21</f>
        <v>0.28051727833999734</v>
      </c>
      <c r="BV52" s="3692">
        <f t="shared" ref="BV52:BZ52" si="100">BV51/BV21</f>
        <v>0.28934421774227376</v>
      </c>
      <c r="BW52" s="3692">
        <f t="shared" si="100"/>
        <v>0.28856647032263327</v>
      </c>
      <c r="BX52" s="3692">
        <f t="shared" si="100"/>
        <v>0.27855732038278092</v>
      </c>
      <c r="BY52" s="3693">
        <f t="shared" si="100"/>
        <v>0.2951123001782851</v>
      </c>
      <c r="BZ52" s="3694">
        <f t="shared" si="100"/>
        <v>0.28775667223365259</v>
      </c>
      <c r="CA52" s="3694">
        <f t="shared" si="97"/>
        <v>0.2908147123459931</v>
      </c>
      <c r="CB52" s="3694">
        <f t="shared" ref="CB52:CG52" si="101">CB51/CB21</f>
        <v>0.29436239686972787</v>
      </c>
      <c r="CC52" s="1272">
        <f t="shared" si="101"/>
        <v>4.1263165903020128E-2</v>
      </c>
      <c r="CD52" s="1272">
        <f t="shared" si="101"/>
        <v>2.1641378564845413E-2</v>
      </c>
      <c r="CE52" s="1272">
        <f t="shared" si="101"/>
        <v>3.0948444505579792E-2</v>
      </c>
      <c r="CF52" s="1272">
        <f t="shared" si="101"/>
        <v>4.0160979555963962E-2</v>
      </c>
      <c r="CG52" s="1272">
        <f t="shared" si="101"/>
        <v>4.9280007262619212E-2</v>
      </c>
      <c r="CH52" s="261"/>
      <c r="CI52" s="261"/>
      <c r="CJ52" s="261"/>
      <c r="CK52" s="261"/>
      <c r="CL52" s="261"/>
      <c r="CM52" s="261"/>
      <c r="CN52" s="261"/>
      <c r="CO52" s="261"/>
      <c r="CP52" s="1786" t="str">
        <f t="shared" si="20"/>
        <v>% Margin</v>
      </c>
      <c r="CQ52" s="1270">
        <f t="shared" si="21"/>
        <v>0.23232440898747331</v>
      </c>
      <c r="CR52" s="1270">
        <f t="shared" si="22"/>
        <v>0.27658050759777242</v>
      </c>
      <c r="CS52" s="1270">
        <f t="shared" si="23"/>
        <v>0.27426120498375606</v>
      </c>
      <c r="CT52" s="1270">
        <f t="shared" si="24"/>
        <v>0.27210196287752514</v>
      </c>
      <c r="CU52" s="1270">
        <f t="shared" si="25"/>
        <v>0.23897916132078809</v>
      </c>
      <c r="CV52" s="1270">
        <f t="shared" si="26"/>
        <v>0.22140956717485707</v>
      </c>
      <c r="CW52" s="1270">
        <f t="shared" si="27"/>
        <v>0.21109323133435556</v>
      </c>
      <c r="CX52" s="1270">
        <f t="shared" si="28"/>
        <v>0.21721840552967314</v>
      </c>
      <c r="CY52" s="1270">
        <f t="shared" si="29"/>
        <v>0.19818238864774274</v>
      </c>
      <c r="CZ52" s="1270">
        <f t="shared" si="30"/>
        <v>0.27170153970141053</v>
      </c>
      <c r="DA52" s="1270">
        <f t="shared" si="31"/>
        <v>0.28229189228551582</v>
      </c>
      <c r="DB52" s="1270">
        <f t="shared" si="32"/>
        <v>0.31356442350972746</v>
      </c>
      <c r="DC52" s="1270">
        <f t="shared" si="33"/>
        <v>0.28336977300564342</v>
      </c>
      <c r="DD52" s="1270">
        <f t="shared" si="34"/>
        <v>0.28051727833999734</v>
      </c>
      <c r="DE52" s="1270">
        <f t="shared" si="35"/>
        <v>0.28775667223365259</v>
      </c>
      <c r="DF52" s="1270">
        <f t="shared" si="36"/>
        <v>0.2908147123459931</v>
      </c>
      <c r="DG52" s="1271">
        <f t="shared" si="37"/>
        <v>0.29436239686972787</v>
      </c>
      <c r="DH52" s="261"/>
      <c r="DI52" s="265"/>
      <c r="DJ52" s="265"/>
      <c r="DK52" s="265"/>
      <c r="DL52" s="265"/>
      <c r="DM52" s="265"/>
      <c r="DN52" s="265"/>
      <c r="DO52" s="266"/>
      <c r="DY52" s="261"/>
      <c r="DZ52" s="261"/>
    </row>
    <row r="53" spans="1:130" ht="12.6" customHeight="1">
      <c r="A53" s="3656" t="s">
        <v>1863</v>
      </c>
      <c r="B53" s="3580"/>
      <c r="C53" s="3580"/>
      <c r="D53" s="3657"/>
      <c r="E53" s="3658"/>
      <c r="F53" s="3658"/>
      <c r="G53" s="3658"/>
      <c r="H53" s="3659"/>
      <c r="I53" s="3658"/>
      <c r="J53" s="3658"/>
      <c r="K53" s="3658"/>
      <c r="L53" s="3658"/>
      <c r="M53" s="3659"/>
      <c r="N53" s="3658"/>
      <c r="O53" s="3658"/>
      <c r="P53" s="3658"/>
      <c r="Q53" s="3658"/>
      <c r="R53" s="3659"/>
      <c r="S53" s="3658"/>
      <c r="T53" s="3658"/>
      <c r="U53" s="3658"/>
      <c r="V53" s="3658"/>
      <c r="W53" s="3659"/>
      <c r="X53" s="3658"/>
      <c r="Y53" s="3658"/>
      <c r="Z53" s="3658"/>
      <c r="AA53" s="3658"/>
      <c r="AB53" s="3659"/>
      <c r="AC53" s="3658"/>
      <c r="AD53" s="3658"/>
      <c r="AE53" s="3658"/>
      <c r="AF53" s="3658"/>
      <c r="AG53" s="3659"/>
      <c r="AH53" s="3658"/>
      <c r="AI53" s="3658"/>
      <c r="AJ53" s="3658"/>
      <c r="AK53" s="3658"/>
      <c r="AL53" s="3659"/>
      <c r="AM53" s="3658"/>
      <c r="AN53" s="3658"/>
      <c r="AO53" s="3658"/>
      <c r="AP53" s="3658"/>
      <c r="AQ53" s="3659"/>
      <c r="AR53" s="3658"/>
      <c r="AS53" s="3658"/>
      <c r="AT53" s="3658"/>
      <c r="AU53" s="3658">
        <f t="shared" ref="AU53:CB53" si="102">SUM(AU38:AU45)/SUM(AU10:AU17)</f>
        <v>0.18619302469990665</v>
      </c>
      <c r="AV53" s="3659">
        <f t="shared" si="102"/>
        <v>0.20368529174360236</v>
      </c>
      <c r="AW53" s="3658">
        <f t="shared" si="102"/>
        <v>0.29530317159179825</v>
      </c>
      <c r="AX53" s="3658">
        <f t="shared" si="102"/>
        <v>0.29134464599686366</v>
      </c>
      <c r="AY53" s="3658">
        <f t="shared" si="102"/>
        <v>0.28605847267923051</v>
      </c>
      <c r="AZ53" s="3658">
        <f t="shared" si="102"/>
        <v>0.26667047461289844</v>
      </c>
      <c r="BA53" s="3659">
        <f t="shared" si="102"/>
        <v>0.28528459556840274</v>
      </c>
      <c r="BB53" s="3658">
        <f t="shared" si="102"/>
        <v>0.28651396466718626</v>
      </c>
      <c r="BC53" s="3658">
        <f t="shared" si="102"/>
        <v>0.30140233243460673</v>
      </c>
      <c r="BD53" s="3658">
        <f t="shared" si="102"/>
        <v>0.30580881041141977</v>
      </c>
      <c r="BE53" s="3658">
        <f t="shared" si="102"/>
        <v>0.29537111711375397</v>
      </c>
      <c r="BF53" s="3659">
        <f t="shared" si="102"/>
        <v>0.29726077370850318</v>
      </c>
      <c r="BG53" s="3657">
        <f t="shared" si="102"/>
        <v>0.27313136915698166</v>
      </c>
      <c r="BH53" s="3658">
        <f t="shared" si="102"/>
        <v>0.28225714109554051</v>
      </c>
      <c r="BI53" s="3658">
        <f t="shared" si="102"/>
        <v>0.26477527792512606</v>
      </c>
      <c r="BJ53" s="3695">
        <f t="shared" si="102"/>
        <v>0.26940306366294847</v>
      </c>
      <c r="BK53" s="3659">
        <f t="shared" si="102"/>
        <v>0.27246949906359796</v>
      </c>
      <c r="BL53" s="3658">
        <f t="shared" si="102"/>
        <v>0.28026038774298712</v>
      </c>
      <c r="BM53" s="3658">
        <f t="shared" ref="BM53:BT53" si="103">SUM(BM38:BM45)/SUM(BM10:BM17)</f>
        <v>0.28201297855865359</v>
      </c>
      <c r="BN53" s="3658">
        <f t="shared" si="103"/>
        <v>0.25723583900011471</v>
      </c>
      <c r="BO53" s="3695">
        <f t="shared" si="103"/>
        <v>0.27814456141868671</v>
      </c>
      <c r="BP53" s="3659">
        <f t="shared" si="103"/>
        <v>0.272990762256894</v>
      </c>
      <c r="BQ53" s="3658">
        <f t="shared" si="103"/>
        <v>0.28738465198185492</v>
      </c>
      <c r="BR53" s="3658">
        <f t="shared" si="103"/>
        <v>0.28236545373315469</v>
      </c>
      <c r="BS53" s="3658">
        <f t="shared" si="103"/>
        <v>0.26843694962265913</v>
      </c>
      <c r="BT53" s="3695">
        <f t="shared" si="103"/>
        <v>0.28362038616730306</v>
      </c>
      <c r="BU53" s="3659">
        <f t="shared" ref="BU53" si="104">SUM(BU38:BU45)/SUM(BU10:BU17)</f>
        <v>0.28051727833999734</v>
      </c>
      <c r="BV53" s="3658">
        <f t="shared" ref="BV53:BZ53" si="105">SUM(BV38:BV45)/SUM(BV10:BV17)</f>
        <v>0.28934421774227376</v>
      </c>
      <c r="BW53" s="3658">
        <f t="shared" si="105"/>
        <v>0.28856647032263327</v>
      </c>
      <c r="BX53" s="3658">
        <f t="shared" si="105"/>
        <v>0.27855732038278092</v>
      </c>
      <c r="BY53" s="3695">
        <f t="shared" si="105"/>
        <v>0.2951123001782851</v>
      </c>
      <c r="BZ53" s="3659">
        <f t="shared" si="105"/>
        <v>0.28775667223365259</v>
      </c>
      <c r="CA53" s="3659">
        <f t="shared" si="102"/>
        <v>0.2908147123459931</v>
      </c>
      <c r="CB53" s="3659">
        <f t="shared" si="102"/>
        <v>0.29436239686972787</v>
      </c>
      <c r="CC53" s="264">
        <f>SUM(CC38:CC45)/SUM(CC10:CC17)</f>
        <v>4.1149389857639128E-2</v>
      </c>
      <c r="CD53" s="264">
        <f>SUM(CD38:CD45)/SUM(CD10:CD17)</f>
        <v>2.0654301509603706E-2</v>
      </c>
      <c r="CE53" s="264">
        <f>SUM(CE38:CE45)/SUM(CE10:CE17)</f>
        <v>3.037564806653999E-2</v>
      </c>
      <c r="CF53" s="264">
        <f>SUM(CF38:CF45)/SUM(CF10:CF17)</f>
        <v>3.9998154846749574E-2</v>
      </c>
      <c r="CG53" s="264">
        <f>SUM(CG38:CG45)/SUM(CG10:CG17)</f>
        <v>4.952289546979774E-2</v>
      </c>
      <c r="CH53" s="261"/>
      <c r="CI53" s="261"/>
      <c r="CJ53" s="261"/>
      <c r="CK53" s="261"/>
      <c r="CL53" s="261"/>
      <c r="CM53" s="261"/>
      <c r="CN53" s="261"/>
      <c r="CO53" s="261"/>
      <c r="CP53" s="1786" t="str">
        <f t="shared" si="20"/>
        <v>% Margin - Wholly-owned</v>
      </c>
      <c r="CQ53" s="261"/>
      <c r="CR53" s="261"/>
      <c r="CS53" s="261"/>
      <c r="CT53" s="261"/>
      <c r="CU53" s="261"/>
      <c r="CV53" s="261"/>
      <c r="CW53" s="261"/>
      <c r="CX53" s="261"/>
      <c r="CY53" s="261"/>
      <c r="CZ53" s="261"/>
      <c r="DA53" s="261"/>
      <c r="DB53" s="261"/>
      <c r="DC53" s="261"/>
      <c r="DD53" s="261"/>
      <c r="DE53" s="261"/>
      <c r="DF53" s="261"/>
      <c r="DG53" s="1787"/>
      <c r="DH53" s="261"/>
      <c r="DI53" s="265"/>
      <c r="DJ53" s="265"/>
      <c r="DK53" s="265"/>
      <c r="DL53" s="265"/>
      <c r="DM53" s="265"/>
      <c r="DN53" s="265"/>
      <c r="DO53" s="266"/>
      <c r="DY53" s="261"/>
      <c r="DZ53" s="261"/>
    </row>
    <row r="54" spans="1:130" ht="12.6" customHeight="1">
      <c r="A54" s="3636" t="s">
        <v>532</v>
      </c>
      <c r="B54" s="3637"/>
      <c r="C54" s="3637"/>
      <c r="D54" s="3696">
        <v>-6.2679999999999998</v>
      </c>
      <c r="E54" s="3697">
        <v>-7.5629999999999997</v>
      </c>
      <c r="F54" s="3697">
        <f>-9.716</f>
        <v>-9.7159999999999993</v>
      </c>
      <c r="G54" s="3697">
        <f>-9.791</f>
        <v>-9.7910000000000004</v>
      </c>
      <c r="H54" s="3698">
        <f>SUM(D54:G54)</f>
        <v>-33.337999999999994</v>
      </c>
      <c r="I54" s="3697">
        <f>-9.793</f>
        <v>-9.7929999999999993</v>
      </c>
      <c r="J54" s="3697">
        <f>-(11.497)</f>
        <v>-11.497</v>
      </c>
      <c r="K54" s="3697">
        <f>-(11.236)</f>
        <v>-11.236000000000001</v>
      </c>
      <c r="L54" s="3697">
        <f>-(11.575)</f>
        <v>-11.574999999999999</v>
      </c>
      <c r="M54" s="3698">
        <f>SUM(I54:L54)</f>
        <v>-44.100999999999999</v>
      </c>
      <c r="N54" s="3697">
        <f>-(9.49)</f>
        <v>-9.49</v>
      </c>
      <c r="O54" s="3697">
        <f>-(9.085)</f>
        <v>-9.0850000000000009</v>
      </c>
      <c r="P54" s="3697">
        <f>-(10.013)</f>
        <v>-10.013</v>
      </c>
      <c r="Q54" s="3697">
        <f>-(11.393)</f>
        <v>-11.393000000000001</v>
      </c>
      <c r="R54" s="3698">
        <f>SUM(N54:Q54)</f>
        <v>-39.981000000000002</v>
      </c>
      <c r="S54" s="3697">
        <f>-(12.193)</f>
        <v>-12.193</v>
      </c>
      <c r="T54" s="3697">
        <f>-(9.995)</f>
        <v>-9.9949999999999992</v>
      </c>
      <c r="U54" s="3697">
        <f>-(11.671)</f>
        <v>-11.670999999999999</v>
      </c>
      <c r="V54" s="3697">
        <f>-(15.101)</f>
        <v>-15.101000000000001</v>
      </c>
      <c r="W54" s="3698">
        <f>SUM(S54:V54)</f>
        <v>-48.959999999999994</v>
      </c>
      <c r="X54" s="3697">
        <f>-(13.746)</f>
        <v>-13.746</v>
      </c>
      <c r="Y54" s="3697">
        <f>-(11.685)</f>
        <v>-11.685</v>
      </c>
      <c r="Z54" s="3697">
        <f>-(10.672)</f>
        <v>-10.672000000000001</v>
      </c>
      <c r="AA54" s="3697">
        <f>-(7.391)</f>
        <v>-7.391</v>
      </c>
      <c r="AB54" s="3698">
        <f>SUM(X54:AA54)</f>
        <v>-43.494</v>
      </c>
      <c r="AC54" s="3697">
        <f>-(9.98)</f>
        <v>-9.98</v>
      </c>
      <c r="AD54" s="3697">
        <f>-(8.216)</f>
        <v>-8.2159999999999993</v>
      </c>
      <c r="AE54" s="3697">
        <f>-(9.157)</f>
        <v>-9.157</v>
      </c>
      <c r="AF54" s="3697">
        <v>-9.5809999999999995</v>
      </c>
      <c r="AG54" s="3698">
        <f>SUM(AC54:AF54)</f>
        <v>-36.933999999999997</v>
      </c>
      <c r="AH54" s="3697">
        <v>-9.75</v>
      </c>
      <c r="AI54" s="3697">
        <v>-11.170999999999999</v>
      </c>
      <c r="AJ54" s="3697">
        <v>-9.1440000000000001</v>
      </c>
      <c r="AK54" s="3697">
        <v>-9.5</v>
      </c>
      <c r="AL54" s="3698">
        <f>SUM(AH54:AK54)</f>
        <v>-39.564999999999998</v>
      </c>
      <c r="AM54" s="3697">
        <v>-9.7989999999999995</v>
      </c>
      <c r="AN54" s="3697">
        <v>-10.457000000000001</v>
      </c>
      <c r="AO54" s="3697">
        <v>-9.57</v>
      </c>
      <c r="AP54" s="3697">
        <v>-10.363</v>
      </c>
      <c r="AQ54" s="3698">
        <f>SUM(AM54:AP54)</f>
        <v>-40.189</v>
      </c>
      <c r="AR54" s="3697">
        <v>-10.127000000000001</v>
      </c>
      <c r="AS54" s="3697">
        <v>-10.547000000000001</v>
      </c>
      <c r="AT54" s="3697">
        <v>-9.0820000000000007</v>
      </c>
      <c r="AU54" s="3697">
        <v>-10.198</v>
      </c>
      <c r="AV54" s="3698">
        <f>SUM(AR54:AU54)</f>
        <v>-39.954000000000001</v>
      </c>
      <c r="AW54" s="3697">
        <v>-11.638</v>
      </c>
      <c r="AX54" s="3697">
        <v>-12.628</v>
      </c>
      <c r="AY54" s="3697">
        <v>-10.409000000000001</v>
      </c>
      <c r="AZ54" s="3697">
        <v>-11.919</v>
      </c>
      <c r="BA54" s="3698">
        <f>SUM(AW54:AZ54)</f>
        <v>-46.593999999999994</v>
      </c>
      <c r="BB54" s="3697">
        <v>-14.170999999999999</v>
      </c>
      <c r="BC54" s="3697">
        <v>-14.625</v>
      </c>
      <c r="BD54" s="3697">
        <v>-13.848000000000001</v>
      </c>
      <c r="BE54" s="3697">
        <v>-16.777000000000001</v>
      </c>
      <c r="BF54" s="3698">
        <f>SUM(BB54:BE54)</f>
        <v>-59.420999999999999</v>
      </c>
      <c r="BG54" s="3696">
        <v>-16.641999999999999</v>
      </c>
      <c r="BH54" s="3699">
        <v>-14.776999999999999</v>
      </c>
      <c r="BI54" s="3699">
        <v>-13.581</v>
      </c>
      <c r="BJ54" s="3699">
        <v>-15.177</v>
      </c>
      <c r="BK54" s="3700">
        <f>SUM(BG54:BJ54)</f>
        <v>-60.177</v>
      </c>
      <c r="BL54" s="3701">
        <v>-15.185</v>
      </c>
      <c r="BM54" s="3701">
        <f>+-14.286</f>
        <v>-14.286</v>
      </c>
      <c r="BN54" s="3701">
        <v>-14.884</v>
      </c>
      <c r="BO54" s="3701">
        <v>-15.52</v>
      </c>
      <c r="BP54" s="3702">
        <f>SUM(BL54:BO54)</f>
        <v>-59.875</v>
      </c>
      <c r="BQ54" s="3701">
        <v>-18.163</v>
      </c>
      <c r="BR54" s="3701">
        <v>-18.207000000000001</v>
      </c>
      <c r="BS54" s="3701">
        <v>-17.48</v>
      </c>
      <c r="BT54" s="3701">
        <v>-19.196000000000002</v>
      </c>
      <c r="BU54" s="3703">
        <f>SUM(BQ54:BT54)</f>
        <v>-73.046000000000006</v>
      </c>
      <c r="BV54" s="3701">
        <v>-19</v>
      </c>
      <c r="BW54" s="3701">
        <v>-19</v>
      </c>
      <c r="BX54" s="3701">
        <v>-19</v>
      </c>
      <c r="BY54" s="3701">
        <v>-19</v>
      </c>
      <c r="BZ54" s="3700">
        <f>SUM(BV54:BY54)</f>
        <v>-76</v>
      </c>
      <c r="CA54" s="3704">
        <v>-70</v>
      </c>
      <c r="CB54" s="3704">
        <f t="shared" ref="CB54:CG54" si="106">CA54*1.02</f>
        <v>-71.400000000000006</v>
      </c>
      <c r="CC54" s="1729">
        <f t="shared" si="106"/>
        <v>-72.828000000000003</v>
      </c>
      <c r="CD54" s="1729">
        <f t="shared" si="106"/>
        <v>-74.284559999999999</v>
      </c>
      <c r="CE54" s="1729">
        <f t="shared" si="106"/>
        <v>-75.770251200000004</v>
      </c>
      <c r="CF54" s="1729">
        <f t="shared" si="106"/>
        <v>-77.285656224000007</v>
      </c>
      <c r="CG54" s="1729">
        <f t="shared" si="106"/>
        <v>-78.83136934848001</v>
      </c>
      <c r="CH54" s="289"/>
      <c r="CI54" s="1730"/>
      <c r="CJ54" s="289"/>
      <c r="CK54" s="289"/>
      <c r="CL54" s="289"/>
      <c r="CM54" s="289"/>
      <c r="CN54" s="289"/>
      <c r="CO54" s="289"/>
      <c r="CP54" s="1790" t="str">
        <f t="shared" si="20"/>
        <v>Corporate Expense</v>
      </c>
      <c r="CQ54" s="289">
        <f t="shared" si="21"/>
        <v>-33.337999999999994</v>
      </c>
      <c r="CR54" s="289">
        <f t="shared" si="22"/>
        <v>-44.100999999999999</v>
      </c>
      <c r="CS54" s="289">
        <f t="shared" si="23"/>
        <v>-39.981000000000002</v>
      </c>
      <c r="CT54" s="289">
        <f t="shared" si="24"/>
        <v>-48.959999999999994</v>
      </c>
      <c r="CU54" s="289">
        <f t="shared" si="25"/>
        <v>-43.494</v>
      </c>
      <c r="CV54" s="289">
        <f t="shared" si="26"/>
        <v>-36.933999999999997</v>
      </c>
      <c r="CW54" s="289">
        <f t="shared" si="27"/>
        <v>-39.564999999999998</v>
      </c>
      <c r="CX54" s="289">
        <f t="shared" si="28"/>
        <v>-40.189</v>
      </c>
      <c r="CY54" s="289">
        <f t="shared" si="29"/>
        <v>-39.954000000000001</v>
      </c>
      <c r="CZ54" s="289">
        <f t="shared" si="30"/>
        <v>-46.593999999999994</v>
      </c>
      <c r="DA54" s="289">
        <f t="shared" si="31"/>
        <v>-59.420999999999999</v>
      </c>
      <c r="DB54" s="289">
        <f t="shared" si="32"/>
        <v>-60.177</v>
      </c>
      <c r="DC54" s="289">
        <f t="shared" si="33"/>
        <v>-59.875</v>
      </c>
      <c r="DD54" s="289">
        <f t="shared" si="34"/>
        <v>-73.046000000000006</v>
      </c>
      <c r="DE54" s="289">
        <f t="shared" si="35"/>
        <v>-76</v>
      </c>
      <c r="DF54" s="289">
        <f t="shared" si="36"/>
        <v>-70</v>
      </c>
      <c r="DG54" s="1791">
        <f t="shared" si="37"/>
        <v>-71.400000000000006</v>
      </c>
      <c r="DH54" s="289"/>
      <c r="DI54" s="290"/>
      <c r="DJ54" s="290"/>
      <c r="DK54" s="290"/>
      <c r="DL54" s="290"/>
      <c r="DM54" s="290"/>
      <c r="DN54" s="290"/>
      <c r="DO54" s="291"/>
      <c r="DY54" s="3474"/>
      <c r="DZ54" s="3474"/>
    </row>
    <row r="55" spans="1:130" ht="12.6" customHeight="1">
      <c r="A55" s="1011" t="s">
        <v>1139</v>
      </c>
      <c r="B55" s="1012"/>
      <c r="C55" s="1012"/>
      <c r="D55" s="1721">
        <f>D54+D51</f>
        <v>67.543999999999997</v>
      </c>
      <c r="E55" s="1722">
        <f t="shared" ref="E55:AP55" si="107">E54+E51</f>
        <v>66.361000000000004</v>
      </c>
      <c r="F55" s="1722">
        <f t="shared" si="107"/>
        <v>109.01700000000001</v>
      </c>
      <c r="G55" s="1722">
        <f t="shared" si="107"/>
        <v>126.60399999999998</v>
      </c>
      <c r="H55" s="1723">
        <f>SUM(D55:G55)</f>
        <v>369.52600000000001</v>
      </c>
      <c r="I55" s="1722">
        <f t="shared" si="107"/>
        <v>148.67999999999998</v>
      </c>
      <c r="J55" s="1722">
        <f t="shared" si="107"/>
        <v>137.70499999999998</v>
      </c>
      <c r="K55" s="1722">
        <f>K54+K51</f>
        <v>125.16000000000001</v>
      </c>
      <c r="L55" s="1722">
        <f>L54+L51</f>
        <v>159.19800000000004</v>
      </c>
      <c r="M55" s="1723">
        <f>M54+M51</f>
        <v>570.74300000000005</v>
      </c>
      <c r="N55" s="1722">
        <f>N54+N51</f>
        <v>189.57399999999998</v>
      </c>
      <c r="O55" s="1722">
        <f t="shared" si="107"/>
        <v>152.62800000000001</v>
      </c>
      <c r="P55" s="1722">
        <f t="shared" si="107"/>
        <v>122.87899999999999</v>
      </c>
      <c r="Q55" s="1722">
        <f t="shared" si="107"/>
        <v>128.16899999999998</v>
      </c>
      <c r="R55" s="1723">
        <f t="shared" si="107"/>
        <v>593.25</v>
      </c>
      <c r="S55" s="1722">
        <f t="shared" si="107"/>
        <v>133.548</v>
      </c>
      <c r="T55" s="1722">
        <f t="shared" si="107"/>
        <v>128.08499999999998</v>
      </c>
      <c r="U55" s="1722">
        <f t="shared" si="107"/>
        <v>116.41000000000003</v>
      </c>
      <c r="V55" s="1722">
        <f t="shared" si="107"/>
        <v>116.417</v>
      </c>
      <c r="W55" s="1723">
        <f t="shared" si="107"/>
        <v>494.46000000000009</v>
      </c>
      <c r="X55" s="1722">
        <f t="shared" si="107"/>
        <v>108.67699999999999</v>
      </c>
      <c r="Y55" s="1722">
        <f t="shared" si="107"/>
        <v>106.40300000000001</v>
      </c>
      <c r="Z55" s="1722">
        <f t="shared" si="107"/>
        <v>81.012</v>
      </c>
      <c r="AA55" s="1722">
        <f t="shared" si="107"/>
        <v>86.028000000000006</v>
      </c>
      <c r="AB55" s="1723">
        <f>AB54+AB51</f>
        <v>382.12</v>
      </c>
      <c r="AC55" s="1722">
        <f t="shared" si="107"/>
        <v>96.714999999999989</v>
      </c>
      <c r="AD55" s="1722">
        <f t="shared" si="107"/>
        <v>91.754000000000005</v>
      </c>
      <c r="AE55" s="1722">
        <f t="shared" si="107"/>
        <v>72.444000000000003</v>
      </c>
      <c r="AF55" s="1722">
        <f t="shared" si="107"/>
        <v>65.48299999999999</v>
      </c>
      <c r="AG55" s="1723">
        <f>AG54+AG51</f>
        <v>326.39599999999996</v>
      </c>
      <c r="AH55" s="1722">
        <f>AH54+AH51</f>
        <v>82.515000000000001</v>
      </c>
      <c r="AI55" s="1722">
        <f t="shared" si="107"/>
        <v>113.49900000000002</v>
      </c>
      <c r="AJ55" s="1722">
        <f t="shared" si="107"/>
        <v>115.37700000000001</v>
      </c>
      <c r="AK55" s="1722">
        <f t="shared" si="107"/>
        <v>100.04299999999999</v>
      </c>
      <c r="AL55" s="1723">
        <f>SUM(AH55:AK55)</f>
        <v>411.43400000000003</v>
      </c>
      <c r="AM55" s="1722">
        <f t="shared" si="107"/>
        <v>111.74099999999999</v>
      </c>
      <c r="AN55" s="1722">
        <f t="shared" si="107"/>
        <v>118.41200000000003</v>
      </c>
      <c r="AO55" s="1722">
        <f t="shared" si="107"/>
        <v>121.69200000000001</v>
      </c>
      <c r="AP55" s="1722">
        <f t="shared" si="107"/>
        <v>114.26799999999999</v>
      </c>
      <c r="AQ55" s="1723">
        <f t="shared" ref="AQ55:CB55" si="108">AQ54+AQ51</f>
        <v>466.113</v>
      </c>
      <c r="AR55" s="1722">
        <f t="shared" si="108"/>
        <v>133.80199999999999</v>
      </c>
      <c r="AS55" s="1722">
        <f t="shared" si="108"/>
        <v>113.83499999999999</v>
      </c>
      <c r="AT55" s="1722">
        <f t="shared" si="108"/>
        <v>103.60300000000001</v>
      </c>
      <c r="AU55" s="1722">
        <f t="shared" si="108"/>
        <v>100.857</v>
      </c>
      <c r="AV55" s="1723">
        <f t="shared" si="108"/>
        <v>452.09700000000004</v>
      </c>
      <c r="AW55" s="1722">
        <f t="shared" si="108"/>
        <v>149.27450000000002</v>
      </c>
      <c r="AX55" s="1722">
        <f t="shared" si="108"/>
        <v>146.26350000000002</v>
      </c>
      <c r="AY55" s="1722">
        <f t="shared" si="108"/>
        <v>131.98100000000002</v>
      </c>
      <c r="AZ55" s="1722">
        <f t="shared" si="108"/>
        <v>123.28750000000001</v>
      </c>
      <c r="BA55" s="1723">
        <f t="shared" si="108"/>
        <v>550.80649999999991</v>
      </c>
      <c r="BB55" s="1722">
        <f t="shared" si="108"/>
        <v>134.24500000000003</v>
      </c>
      <c r="BC55" s="1722">
        <f t="shared" si="108"/>
        <v>139.28700000000001</v>
      </c>
      <c r="BD55" s="1722">
        <f t="shared" si="108"/>
        <v>135.42349999999999</v>
      </c>
      <c r="BE55" s="1722">
        <f t="shared" si="108"/>
        <v>136.36500000000001</v>
      </c>
      <c r="BF55" s="1723">
        <f t="shared" si="108"/>
        <v>545.32049999999992</v>
      </c>
      <c r="BG55" s="1721">
        <f t="shared" ref="BG55:BP55" si="109">BG54+BG51</f>
        <v>149.17150000000004</v>
      </c>
      <c r="BH55" s="1722">
        <f t="shared" si="109"/>
        <v>162.90950000000004</v>
      </c>
      <c r="BI55" s="1722">
        <f t="shared" si="109"/>
        <v>163.15800000000002</v>
      </c>
      <c r="BJ55" s="1780">
        <f t="shared" si="109"/>
        <v>154.24700000000001</v>
      </c>
      <c r="BK55" s="1723">
        <f t="shared" si="109"/>
        <v>629.48599999999999</v>
      </c>
      <c r="BL55" s="1722">
        <f t="shared" si="109"/>
        <v>160.3595</v>
      </c>
      <c r="BM55" s="1722">
        <f t="shared" si="109"/>
        <v>137.89699999999999</v>
      </c>
      <c r="BN55" s="1722">
        <f t="shared" si="109"/>
        <v>121.94000000000001</v>
      </c>
      <c r="BO55" s="1780">
        <f t="shared" si="109"/>
        <v>138.80099999999999</v>
      </c>
      <c r="BP55" s="1723">
        <f t="shared" si="109"/>
        <v>558.99750000000006</v>
      </c>
      <c r="BQ55" s="1722">
        <f t="shared" ref="BQ55:BZ55" si="110">BQ54+BQ51</f>
        <v>155.803</v>
      </c>
      <c r="BR55" s="1722">
        <f t="shared" si="110"/>
        <v>151.17500000000001</v>
      </c>
      <c r="BS55" s="1722">
        <f t="shared" si="110"/>
        <v>140.27099999999999</v>
      </c>
      <c r="BT55" s="1780">
        <f t="shared" si="110"/>
        <v>148.376</v>
      </c>
      <c r="BU55" s="3482">
        <f t="shared" si="110"/>
        <v>595.625</v>
      </c>
      <c r="BV55" s="1722">
        <f t="shared" si="110"/>
        <v>157.43480741757983</v>
      </c>
      <c r="BW55" s="1722">
        <f t="shared" si="110"/>
        <v>156.08302139382249</v>
      </c>
      <c r="BX55" s="1722">
        <f t="shared" si="110"/>
        <v>202.94900484526767</v>
      </c>
      <c r="BY55" s="1780">
        <f t="shared" si="110"/>
        <v>216.52749180563794</v>
      </c>
      <c r="BZ55" s="1723">
        <f t="shared" si="110"/>
        <v>732.99432546230787</v>
      </c>
      <c r="CA55" s="1723">
        <f t="shared" si="108"/>
        <v>873.95789252238421</v>
      </c>
      <c r="CB55" s="1723">
        <f t="shared" si="108"/>
        <v>885.4839440604203</v>
      </c>
      <c r="CC55" s="1723">
        <f>CC54+CC51</f>
        <v>27.182735284795953</v>
      </c>
      <c r="CD55" s="1723">
        <f>CD54+CD51</f>
        <v>-24.46940414965777</v>
      </c>
      <c r="CE55" s="1723">
        <f>CE54+CE51</f>
        <v>-3.0982719250125115</v>
      </c>
      <c r="CF55" s="1723">
        <f>CF54+CF51</f>
        <v>18.91610812897099</v>
      </c>
      <c r="CG55" s="1723">
        <f>CG54+CG51</f>
        <v>41.588759220727141</v>
      </c>
      <c r="CH55" s="267"/>
      <c r="CI55" s="267"/>
      <c r="CJ55" s="267"/>
      <c r="CK55" s="267"/>
      <c r="CL55" s="267"/>
      <c r="CM55" s="965"/>
      <c r="CN55" s="965">
        <f>SUM(BV55:BY55)</f>
        <v>732.99432546230787</v>
      </c>
      <c r="CO55" s="965">
        <f>CM55-CN55</f>
        <v>-732.99432546230787</v>
      </c>
      <c r="CP55" s="1011" t="str">
        <f t="shared" si="20"/>
        <v>Total Consolidated EBITDA</v>
      </c>
      <c r="CQ55" s="1722">
        <f t="shared" si="21"/>
        <v>369.52600000000001</v>
      </c>
      <c r="CR55" s="1722">
        <f t="shared" si="22"/>
        <v>570.74300000000005</v>
      </c>
      <c r="CS55" s="1722">
        <f t="shared" si="23"/>
        <v>593.25</v>
      </c>
      <c r="CT55" s="1722">
        <f t="shared" si="24"/>
        <v>494.46000000000009</v>
      </c>
      <c r="CU55" s="1722">
        <f t="shared" si="25"/>
        <v>382.12</v>
      </c>
      <c r="CV55" s="1722">
        <f t="shared" si="26"/>
        <v>326.39599999999996</v>
      </c>
      <c r="CW55" s="1722">
        <f t="shared" si="27"/>
        <v>411.43400000000003</v>
      </c>
      <c r="CX55" s="1722">
        <f t="shared" si="28"/>
        <v>466.113</v>
      </c>
      <c r="CY55" s="1722">
        <f t="shared" si="29"/>
        <v>452.09700000000004</v>
      </c>
      <c r="CZ55" s="1722">
        <f t="shared" si="30"/>
        <v>550.80649999999991</v>
      </c>
      <c r="DA55" s="1722">
        <f t="shared" si="31"/>
        <v>545.32049999999992</v>
      </c>
      <c r="DB55" s="1722">
        <f t="shared" si="32"/>
        <v>629.48599999999999</v>
      </c>
      <c r="DC55" s="1722">
        <f t="shared" si="33"/>
        <v>558.99750000000006</v>
      </c>
      <c r="DD55" s="1722">
        <f t="shared" si="34"/>
        <v>595.625</v>
      </c>
      <c r="DE55" s="1722">
        <f t="shared" si="35"/>
        <v>732.99432546230787</v>
      </c>
      <c r="DF55" s="1722">
        <f t="shared" si="36"/>
        <v>873.95789252238421</v>
      </c>
      <c r="DG55" s="1780">
        <f t="shared" si="37"/>
        <v>885.4839440604203</v>
      </c>
      <c r="DH55" s="267"/>
      <c r="DI55" s="323"/>
      <c r="DJ55" s="323"/>
      <c r="DK55" s="323"/>
      <c r="DL55" s="323"/>
      <c r="DM55" s="323"/>
      <c r="DN55" s="323"/>
      <c r="DO55" s="324"/>
      <c r="DY55" s="267"/>
      <c r="DZ55" s="267"/>
    </row>
    <row r="56" spans="1:130" ht="12.6" customHeight="1">
      <c r="A56" s="3656" t="s">
        <v>56</v>
      </c>
      <c r="B56" s="3580"/>
      <c r="C56" s="3580"/>
      <c r="D56" s="3657">
        <f t="shared" ref="D56:AI56" si="111">D55/D21</f>
        <v>0.20465522151994617</v>
      </c>
      <c r="E56" s="3658">
        <f t="shared" si="111"/>
        <v>0.1940976030652686</v>
      </c>
      <c r="F56" s="3658">
        <f t="shared" si="111"/>
        <v>0.20864777135770243</v>
      </c>
      <c r="G56" s="3658">
        <f t="shared" si="111"/>
        <v>0.23461173540486846</v>
      </c>
      <c r="H56" s="3661">
        <f t="shared" si="111"/>
        <v>0.21309898515505249</v>
      </c>
      <c r="I56" s="3658">
        <f t="shared" si="111"/>
        <v>0.26227310412954891</v>
      </c>
      <c r="J56" s="3658">
        <f t="shared" si="111"/>
        <v>0.24845286423094268</v>
      </c>
      <c r="K56" s="3658">
        <f t="shared" si="111"/>
        <v>0.23328375401201087</v>
      </c>
      <c r="L56" s="3658">
        <f t="shared" si="111"/>
        <v>0.28158396507748967</v>
      </c>
      <c r="M56" s="3661">
        <f t="shared" si="111"/>
        <v>0.25674217955753886</v>
      </c>
      <c r="N56" s="3658">
        <f t="shared" si="111"/>
        <v>0.29324349199425187</v>
      </c>
      <c r="O56" s="3658">
        <f t="shared" si="111"/>
        <v>0.24985512370961882</v>
      </c>
      <c r="P56" s="3658">
        <f t="shared" si="111"/>
        <v>0.23154746874799789</v>
      </c>
      <c r="Q56" s="3658">
        <f t="shared" si="111"/>
        <v>0.24608322005391328</v>
      </c>
      <c r="R56" s="3661">
        <f t="shared" si="111"/>
        <v>0.25694487455069837</v>
      </c>
      <c r="S56" s="3658">
        <f t="shared" si="111"/>
        <v>0.25829835792894029</v>
      </c>
      <c r="T56" s="3658">
        <f t="shared" si="111"/>
        <v>0.2504639307301067</v>
      </c>
      <c r="U56" s="3658">
        <f t="shared" si="111"/>
        <v>0.23754476538347741</v>
      </c>
      <c r="V56" s="3658">
        <f t="shared" si="111"/>
        <v>0.24322302843664276</v>
      </c>
      <c r="W56" s="3661">
        <f t="shared" si="111"/>
        <v>0.2475866485672612</v>
      </c>
      <c r="X56" s="3658">
        <f t="shared" si="111"/>
        <v>0.23067893818533786</v>
      </c>
      <c r="Y56" s="3658">
        <f t="shared" si="111"/>
        <v>0.23092732939205321</v>
      </c>
      <c r="Z56" s="3658">
        <f t="shared" si="111"/>
        <v>0.18996611600286079</v>
      </c>
      <c r="AA56" s="3658">
        <f t="shared" si="111"/>
        <v>0.20355393606700897</v>
      </c>
      <c r="AB56" s="3661">
        <f t="shared" si="111"/>
        <v>0.21455759708068706</v>
      </c>
      <c r="AC56" s="3658">
        <f t="shared" si="111"/>
        <v>0.22241258379422552</v>
      </c>
      <c r="AD56" s="3658">
        <f t="shared" si="111"/>
        <v>0.21693817236079913</v>
      </c>
      <c r="AE56" s="3658">
        <f t="shared" si="111"/>
        <v>0.18190903543816214</v>
      </c>
      <c r="AF56" s="3658">
        <f t="shared" si="111"/>
        <v>0.17010869000488377</v>
      </c>
      <c r="AG56" s="3661">
        <f t="shared" si="111"/>
        <v>0.19890236723530852</v>
      </c>
      <c r="AH56" s="3705">
        <f t="shared" si="111"/>
        <v>0.19875517572785364</v>
      </c>
      <c r="AI56" s="3705">
        <f t="shared" si="111"/>
        <v>0.19674901884646856</v>
      </c>
      <c r="AJ56" s="3705">
        <f t="shared" ref="AJ56:CA56" si="112">AJ55/AJ21</f>
        <v>0.19427891148444196</v>
      </c>
      <c r="AK56" s="3705">
        <f t="shared" si="112"/>
        <v>0.18170210756500324</v>
      </c>
      <c r="AL56" s="3659">
        <f t="shared" si="112"/>
        <v>0.19257455679684268</v>
      </c>
      <c r="AM56" s="3705">
        <f t="shared" si="112"/>
        <v>0.19833157320222575</v>
      </c>
      <c r="AN56" s="3705">
        <f t="shared" si="112"/>
        <v>0.20667867515638969</v>
      </c>
      <c r="AO56" s="3705">
        <f t="shared" si="112"/>
        <v>0.20654959722726701</v>
      </c>
      <c r="AP56" s="3705">
        <f t="shared" si="112"/>
        <v>0.18876539620447216</v>
      </c>
      <c r="AQ56" s="3659">
        <f t="shared" si="112"/>
        <v>0.19997614596950541</v>
      </c>
      <c r="AR56" s="3705">
        <f t="shared" si="112"/>
        <v>0.21182296424234845</v>
      </c>
      <c r="AS56" s="3705">
        <f t="shared" si="112"/>
        <v>0.18537788851433876</v>
      </c>
      <c r="AT56" s="3705">
        <f t="shared" si="112"/>
        <v>0.1691781381146002</v>
      </c>
      <c r="AU56" s="3705">
        <f t="shared" si="112"/>
        <v>0.16145127983479804</v>
      </c>
      <c r="AV56" s="3659">
        <f t="shared" si="112"/>
        <v>0.18209019666757825</v>
      </c>
      <c r="AW56" s="3705">
        <f t="shared" si="112"/>
        <v>0.26191265747271647</v>
      </c>
      <c r="AX56" s="3705">
        <f t="shared" si="112"/>
        <v>0.25847498811566599</v>
      </c>
      <c r="AY56" s="3705">
        <f t="shared" si="112"/>
        <v>0.24508187284361899</v>
      </c>
      <c r="AZ56" s="3705">
        <f t="shared" si="112"/>
        <v>0.23509798649527369</v>
      </c>
      <c r="BA56" s="3659">
        <f t="shared" si="112"/>
        <v>0.25051029272246167</v>
      </c>
      <c r="BB56" s="3705">
        <f t="shared" si="112"/>
        <v>0.24810334790282493</v>
      </c>
      <c r="BC56" s="3705">
        <f t="shared" si="112"/>
        <v>0.25761448546275056</v>
      </c>
      <c r="BD56" s="3705">
        <f t="shared" si="112"/>
        <v>0.25604939345353339</v>
      </c>
      <c r="BE56" s="3705">
        <f t="shared" si="112"/>
        <v>0.25652047141150691</v>
      </c>
      <c r="BF56" s="3659">
        <f t="shared" si="112"/>
        <v>0.25455431096937059</v>
      </c>
      <c r="BG56" s="3706">
        <f t="shared" si="112"/>
        <v>0.27093617979650486</v>
      </c>
      <c r="BH56" s="3705">
        <f t="shared" si="112"/>
        <v>0.29097996838523577</v>
      </c>
      <c r="BI56" s="3705">
        <f t="shared" si="112"/>
        <v>0.29865297000071389</v>
      </c>
      <c r="BJ56" s="3707">
        <f t="shared" si="112"/>
        <v>0.28423510247404521</v>
      </c>
      <c r="BK56" s="3659">
        <f t="shared" si="112"/>
        <v>0.2862041528941589</v>
      </c>
      <c r="BL56" s="3705">
        <f t="shared" si="112"/>
        <v>0.29030754302307482</v>
      </c>
      <c r="BM56" s="3705">
        <f t="shared" ref="BM56:BU56" si="113">BM55/BM21</f>
        <v>0.25308099318556798</v>
      </c>
      <c r="BN56" s="3705">
        <f t="shared" si="113"/>
        <v>0.22925318809327305</v>
      </c>
      <c r="BO56" s="3707">
        <f t="shared" si="113"/>
        <v>0.25017167637246474</v>
      </c>
      <c r="BP56" s="3659">
        <f t="shared" si="113"/>
        <v>0.25595416614201172</v>
      </c>
      <c r="BQ56" s="3705">
        <f t="shared" si="113"/>
        <v>0.25738012561494161</v>
      </c>
      <c r="BR56" s="3705">
        <f t="shared" si="113"/>
        <v>0.25201377636413347</v>
      </c>
      <c r="BS56" s="3705">
        <f t="shared" si="113"/>
        <v>0.2386921120025865</v>
      </c>
      <c r="BT56" s="3707">
        <f t="shared" si="113"/>
        <v>0.25113060903945622</v>
      </c>
      <c r="BU56" s="3660">
        <f t="shared" si="113"/>
        <v>0.24987341145535086</v>
      </c>
      <c r="BV56" s="3705">
        <f t="shared" ref="BV56:BZ56" si="114">BV55/BV21</f>
        <v>0.25818517255403145</v>
      </c>
      <c r="BW56" s="3705">
        <f t="shared" si="114"/>
        <v>0.25725125259059861</v>
      </c>
      <c r="BX56" s="3705">
        <f t="shared" si="114"/>
        <v>0.25471135139110834</v>
      </c>
      <c r="BY56" s="3707">
        <f t="shared" si="114"/>
        <v>0.27130559438610291</v>
      </c>
      <c r="BZ56" s="3659">
        <f t="shared" si="114"/>
        <v>0.26072371736433375</v>
      </c>
      <c r="CA56" s="3659">
        <f t="shared" si="112"/>
        <v>0.26924910012379666</v>
      </c>
      <c r="CB56" s="3659">
        <f t="shared" ref="CB56:CG56" si="115">CB55/CB21</f>
        <v>0.27239789922405366</v>
      </c>
      <c r="CC56" s="264">
        <f t="shared" si="115"/>
        <v>1.1215253168175954E-2</v>
      </c>
      <c r="CD56" s="264">
        <f t="shared" si="115"/>
        <v>-1.0630331862252018E-2</v>
      </c>
      <c r="CE56" s="264">
        <f t="shared" si="115"/>
        <v>-1.3194452344777159E-3</v>
      </c>
      <c r="CF56" s="264">
        <f t="shared" si="115"/>
        <v>7.8968347093786549E-3</v>
      </c>
      <c r="CG56" s="264">
        <f t="shared" si="115"/>
        <v>1.7019533036479708E-2</v>
      </c>
      <c r="CH56" s="286"/>
      <c r="CI56" s="261"/>
      <c r="CJ56" s="261"/>
      <c r="CK56" s="261"/>
      <c r="CL56" s="261"/>
      <c r="CM56" s="261"/>
      <c r="CN56" s="261"/>
      <c r="CO56" s="261"/>
      <c r="CP56" s="1786" t="str">
        <f t="shared" si="20"/>
        <v>% Margin</v>
      </c>
      <c r="CQ56" s="263">
        <f t="shared" si="21"/>
        <v>0.21309898515505249</v>
      </c>
      <c r="CR56" s="263">
        <f t="shared" si="22"/>
        <v>0.25674217955753886</v>
      </c>
      <c r="CS56" s="263">
        <f t="shared" si="23"/>
        <v>0.25694487455069837</v>
      </c>
      <c r="CT56" s="263">
        <f t="shared" si="24"/>
        <v>0.2475866485672612</v>
      </c>
      <c r="CU56" s="263">
        <f t="shared" si="25"/>
        <v>0.21455759708068706</v>
      </c>
      <c r="CV56" s="263">
        <f t="shared" si="26"/>
        <v>0.19890236723530852</v>
      </c>
      <c r="CW56" s="263">
        <f t="shared" si="27"/>
        <v>0.19257455679684268</v>
      </c>
      <c r="CX56" s="263">
        <f t="shared" si="28"/>
        <v>0.19997614596950541</v>
      </c>
      <c r="CY56" s="263">
        <f t="shared" si="29"/>
        <v>0.18209019666757825</v>
      </c>
      <c r="CZ56" s="263">
        <f t="shared" si="30"/>
        <v>0.25051029272246167</v>
      </c>
      <c r="DA56" s="263">
        <f t="shared" si="31"/>
        <v>0.25455431096937059</v>
      </c>
      <c r="DB56" s="263">
        <f t="shared" si="32"/>
        <v>0.2862041528941589</v>
      </c>
      <c r="DC56" s="263">
        <f t="shared" si="33"/>
        <v>0.25595416614201172</v>
      </c>
      <c r="DD56" s="263">
        <f t="shared" si="34"/>
        <v>0.24987341145535086</v>
      </c>
      <c r="DE56" s="263">
        <f t="shared" si="35"/>
        <v>0.26072371736433375</v>
      </c>
      <c r="DF56" s="263">
        <f t="shared" si="36"/>
        <v>0.26924910012379666</v>
      </c>
      <c r="DG56" s="1792">
        <f t="shared" si="37"/>
        <v>0.27239789922405366</v>
      </c>
      <c r="DH56" s="261"/>
      <c r="DI56" s="265"/>
      <c r="DJ56" s="265"/>
      <c r="DK56" s="265"/>
      <c r="DL56" s="265"/>
      <c r="DM56" s="265"/>
      <c r="DN56" s="265"/>
      <c r="DO56" s="266"/>
      <c r="DY56" s="261"/>
      <c r="DZ56" s="261"/>
    </row>
    <row r="57" spans="1:130" ht="12.6" customHeight="1">
      <c r="A57" s="3609" t="s">
        <v>1249</v>
      </c>
      <c r="B57" s="3580"/>
      <c r="C57" s="3580"/>
      <c r="D57" s="3657"/>
      <c r="E57" s="3658"/>
      <c r="F57" s="3658"/>
      <c r="G57" s="3658"/>
      <c r="H57" s="3659"/>
      <c r="I57" s="3658">
        <f t="shared" ref="I57:S57" si="116">I55/D55-1</f>
        <v>1.201231789648229</v>
      </c>
      <c r="J57" s="3658">
        <f t="shared" si="116"/>
        <v>1.0750892843688309</v>
      </c>
      <c r="K57" s="3658">
        <f t="shared" si="116"/>
        <v>0.148077822724896</v>
      </c>
      <c r="L57" s="3658">
        <f t="shared" si="116"/>
        <v>0.25744842185081085</v>
      </c>
      <c r="M57" s="3659">
        <f t="shared" si="116"/>
        <v>0.54452731336901872</v>
      </c>
      <c r="N57" s="3658">
        <f t="shared" si="116"/>
        <v>0.27504708097928443</v>
      </c>
      <c r="O57" s="3658">
        <f t="shared" si="116"/>
        <v>0.10836934025634526</v>
      </c>
      <c r="P57" s="3658">
        <f t="shared" si="116"/>
        <v>-1.8224672419303478E-2</v>
      </c>
      <c r="Q57" s="3658">
        <f t="shared" si="116"/>
        <v>-0.19490822749029535</v>
      </c>
      <c r="R57" s="3659">
        <f t="shared" si="116"/>
        <v>3.9434561615297792E-2</v>
      </c>
      <c r="S57" s="3658">
        <f t="shared" si="116"/>
        <v>-0.29553630772152295</v>
      </c>
      <c r="T57" s="3658">
        <f t="shared" ref="T57:Y57" si="117">T55/O55-1</f>
        <v>-0.16080273606415618</v>
      </c>
      <c r="U57" s="3658">
        <f t="shared" si="117"/>
        <v>-5.2645285199260816E-2</v>
      </c>
      <c r="V57" s="3658">
        <f t="shared" si="117"/>
        <v>-9.1691438647410695E-2</v>
      </c>
      <c r="W57" s="3659">
        <f t="shared" si="117"/>
        <v>-0.16652338811630829</v>
      </c>
      <c r="X57" s="3658">
        <f t="shared" si="117"/>
        <v>-0.1862326654086921</v>
      </c>
      <c r="Y57" s="3658">
        <f t="shared" si="117"/>
        <v>-0.16927821368622387</v>
      </c>
      <c r="Z57" s="3658">
        <f t="shared" ref="Z57:AH57" si="118">Z55/U55-1</f>
        <v>-0.30408040546344828</v>
      </c>
      <c r="AA57" s="3658">
        <f t="shared" si="118"/>
        <v>-0.26103575938222079</v>
      </c>
      <c r="AB57" s="3659">
        <f t="shared" si="118"/>
        <v>-0.22719734660033186</v>
      </c>
      <c r="AC57" s="3658">
        <f t="shared" si="118"/>
        <v>-0.11006928788980197</v>
      </c>
      <c r="AD57" s="3658">
        <f t="shared" si="118"/>
        <v>-0.13767468962341289</v>
      </c>
      <c r="AE57" s="3658">
        <f t="shared" si="118"/>
        <v>-0.10576210931713814</v>
      </c>
      <c r="AF57" s="3658">
        <f t="shared" si="118"/>
        <v>-0.23881759427163263</v>
      </c>
      <c r="AG57" s="3659">
        <f t="shared" si="118"/>
        <v>-0.14582853553857444</v>
      </c>
      <c r="AH57" s="3658">
        <f t="shared" si="118"/>
        <v>-0.14682314015406084</v>
      </c>
      <c r="AI57" s="3658">
        <f t="shared" ref="AI57:AQ57" si="119">AI55/AD55-1</f>
        <v>0.23699239270222572</v>
      </c>
      <c r="AJ57" s="3658">
        <f t="shared" si="119"/>
        <v>0.5926370713930762</v>
      </c>
      <c r="AK57" s="3658">
        <f t="shared" si="119"/>
        <v>0.5277705664065484</v>
      </c>
      <c r="AL57" s="3659">
        <f t="shared" si="119"/>
        <v>0.26053628108187632</v>
      </c>
      <c r="AM57" s="3658">
        <f t="shared" si="119"/>
        <v>0.35419014724595499</v>
      </c>
      <c r="AN57" s="3658">
        <f t="shared" si="119"/>
        <v>4.3286724993171877E-2</v>
      </c>
      <c r="AO57" s="3658">
        <f t="shared" si="119"/>
        <v>5.4733612418419675E-2</v>
      </c>
      <c r="AP57" s="3658">
        <f t="shared" si="119"/>
        <v>0.14218885879071985</v>
      </c>
      <c r="AQ57" s="3659">
        <f t="shared" si="119"/>
        <v>0.13289859369911095</v>
      </c>
      <c r="AR57" s="3658">
        <f t="shared" ref="AR57:BF57" si="120">AR55/AM55-1</f>
        <v>0.19742977063029699</v>
      </c>
      <c r="AS57" s="3658">
        <f t="shared" si="120"/>
        <v>-3.8653177042867637E-2</v>
      </c>
      <c r="AT57" s="3658">
        <f>AT55/AO55-1</f>
        <v>-0.14864576143049668</v>
      </c>
      <c r="AU57" s="3658">
        <f t="shared" si="120"/>
        <v>-0.11736444148843062</v>
      </c>
      <c r="AV57" s="3659">
        <f t="shared" si="120"/>
        <v>-3.0069961575840964E-2</v>
      </c>
      <c r="AW57" s="3658">
        <f t="shared" si="120"/>
        <v>0.11563728494342396</v>
      </c>
      <c r="AX57" s="3658">
        <f t="shared" si="120"/>
        <v>0.28487284227170928</v>
      </c>
      <c r="AY57" s="3658">
        <f t="shared" si="120"/>
        <v>0.27391098713357742</v>
      </c>
      <c r="AZ57" s="3658">
        <f t="shared" si="120"/>
        <v>0.22239904022526957</v>
      </c>
      <c r="BA57" s="3659">
        <f t="shared" si="120"/>
        <v>0.21833699405216112</v>
      </c>
      <c r="BB57" s="3658">
        <f>BB55/AW55-1</f>
        <v>-0.10068363987151174</v>
      </c>
      <c r="BC57" s="3658">
        <f t="shared" si="120"/>
        <v>-4.7698161195376954E-2</v>
      </c>
      <c r="BD57" s="3658">
        <f t="shared" si="120"/>
        <v>2.6083299868920218E-2</v>
      </c>
      <c r="BE57" s="3658">
        <f t="shared" si="120"/>
        <v>0.10607320287944844</v>
      </c>
      <c r="BF57" s="3659">
        <f t="shared" si="120"/>
        <v>-9.9599405598880253E-3</v>
      </c>
      <c r="BG57" s="3657">
        <f t="shared" ref="BG57:BP57" si="121">BG55/BB55-1</f>
        <v>0.11118849864054536</v>
      </c>
      <c r="BH57" s="3658">
        <f t="shared" si="121"/>
        <v>0.1695958703970939</v>
      </c>
      <c r="BI57" s="3658">
        <f t="shared" si="121"/>
        <v>0.20479828094828467</v>
      </c>
      <c r="BJ57" s="3695">
        <f t="shared" si="121"/>
        <v>0.13113335533311332</v>
      </c>
      <c r="BK57" s="3659">
        <f t="shared" si="121"/>
        <v>0.15434134605245919</v>
      </c>
      <c r="BL57" s="3658">
        <f t="shared" si="121"/>
        <v>7.5000921757842232E-2</v>
      </c>
      <c r="BM57" s="3658">
        <f t="shared" si="121"/>
        <v>-0.15353616578529816</v>
      </c>
      <c r="BN57" s="3658">
        <f t="shared" si="121"/>
        <v>-0.25262628862820091</v>
      </c>
      <c r="BO57" s="3695">
        <f t="shared" si="121"/>
        <v>-0.10013809020596853</v>
      </c>
      <c r="BP57" s="3659">
        <f t="shared" si="121"/>
        <v>-0.11197786765710427</v>
      </c>
      <c r="BQ57" s="3658">
        <f t="shared" ref="BQ57:BZ57" si="122">BQ55/BL55-1</f>
        <v>-2.8414281660893215E-2</v>
      </c>
      <c r="BR57" s="3658">
        <f t="shared" si="122"/>
        <v>9.6289259374750857E-2</v>
      </c>
      <c r="BS57" s="3658">
        <f t="shared" si="122"/>
        <v>0.15032803017877616</v>
      </c>
      <c r="BT57" s="3695">
        <f t="shared" si="122"/>
        <v>6.8983652855527211E-2</v>
      </c>
      <c r="BU57" s="3660">
        <f t="shared" si="122"/>
        <v>6.5523548853080538E-2</v>
      </c>
      <c r="BV57" s="3658">
        <f t="shared" si="122"/>
        <v>1.0473530147557142E-2</v>
      </c>
      <c r="BW57" s="3658">
        <f t="shared" si="122"/>
        <v>3.246582698080025E-2</v>
      </c>
      <c r="BX57" s="3658">
        <f t="shared" si="122"/>
        <v>0.44683508954286832</v>
      </c>
      <c r="BY57" s="3695">
        <f t="shared" si="122"/>
        <v>0.45931614146248667</v>
      </c>
      <c r="BZ57" s="3659">
        <f t="shared" si="122"/>
        <v>0.23063055691468271</v>
      </c>
      <c r="CA57" s="3659">
        <f t="shared" ref="CA57:CG57" si="123">CA55/BZ55-1</f>
        <v>0.19231194862411649</v>
      </c>
      <c r="CB57" s="3659">
        <f t="shared" si="123"/>
        <v>1.3188337374893555E-2</v>
      </c>
      <c r="CC57" s="264">
        <f t="shared" si="123"/>
        <v>-0.96930183153841443</v>
      </c>
      <c r="CD57" s="264">
        <f t="shared" si="123"/>
        <v>-1.9001818210452197</v>
      </c>
      <c r="CE57" s="264">
        <f t="shared" si="123"/>
        <v>-0.87338179932526705</v>
      </c>
      <c r="CF57" s="264">
        <f t="shared" si="123"/>
        <v>-7.1053737653755498</v>
      </c>
      <c r="CG57" s="264">
        <f t="shared" si="123"/>
        <v>1.1985896325593437</v>
      </c>
      <c r="CH57" s="261"/>
      <c r="CI57" s="261"/>
      <c r="CJ57" s="261"/>
      <c r="CK57" s="261"/>
      <c r="CL57" s="261"/>
      <c r="CM57" s="261"/>
      <c r="CN57" s="261"/>
      <c r="CO57" s="261"/>
      <c r="CP57" s="396" t="str">
        <f t="shared" si="20"/>
        <v>% Growth (y-o-y)</v>
      </c>
      <c r="CQ57" s="261"/>
      <c r="CR57" s="261">
        <f t="shared" si="22"/>
        <v>0.54452731336901872</v>
      </c>
      <c r="CS57" s="261">
        <f t="shared" si="23"/>
        <v>3.9434561615297792E-2</v>
      </c>
      <c r="CT57" s="261">
        <f t="shared" si="24"/>
        <v>-0.16652338811630829</v>
      </c>
      <c r="CU57" s="261">
        <f t="shared" si="25"/>
        <v>-0.22719734660033186</v>
      </c>
      <c r="CV57" s="261">
        <f t="shared" si="26"/>
        <v>-0.14582853553857444</v>
      </c>
      <c r="CW57" s="261">
        <f t="shared" si="27"/>
        <v>0.26053628108187632</v>
      </c>
      <c r="CX57" s="261">
        <f t="shared" si="28"/>
        <v>0.13289859369911095</v>
      </c>
      <c r="CY57" s="261">
        <f t="shared" si="29"/>
        <v>-3.0069961575840964E-2</v>
      </c>
      <c r="CZ57" s="261">
        <f t="shared" si="30"/>
        <v>0.21833699405216112</v>
      </c>
      <c r="DA57" s="261">
        <f t="shared" si="31"/>
        <v>-9.9599405598880253E-3</v>
      </c>
      <c r="DB57" s="261">
        <f t="shared" si="32"/>
        <v>0.15434134605245919</v>
      </c>
      <c r="DC57" s="261">
        <f t="shared" si="33"/>
        <v>-0.11197786765710427</v>
      </c>
      <c r="DD57" s="261">
        <f t="shared" si="34"/>
        <v>6.5523548853080538E-2</v>
      </c>
      <c r="DE57" s="261">
        <f t="shared" si="35"/>
        <v>0.23063055691468271</v>
      </c>
      <c r="DF57" s="261">
        <f t="shared" si="36"/>
        <v>0.19231194862411649</v>
      </c>
      <c r="DG57" s="1787">
        <f t="shared" si="37"/>
        <v>1.3188337374893555E-2</v>
      </c>
      <c r="DH57" s="261"/>
      <c r="DI57" s="265"/>
      <c r="DJ57" s="265"/>
      <c r="DK57" s="265"/>
      <c r="DL57" s="265"/>
      <c r="DM57" s="265"/>
      <c r="DN57" s="265"/>
      <c r="DO57" s="266"/>
      <c r="DY57" s="261"/>
      <c r="DZ57" s="261"/>
    </row>
    <row r="58" spans="1:130" ht="12.6" hidden="1" customHeight="1" outlineLevel="1">
      <c r="A58" s="3708" t="s">
        <v>300</v>
      </c>
      <c r="B58" s="3580"/>
      <c r="C58" s="3580"/>
      <c r="D58" s="3709">
        <f t="shared" ref="D58:AG58" si="124">D55+D75</f>
        <v>80.688000000000002</v>
      </c>
      <c r="E58" s="3710">
        <f t="shared" si="124"/>
        <v>85.278999999999996</v>
      </c>
      <c r="F58" s="3710">
        <f t="shared" si="124"/>
        <v>133.04700000000003</v>
      </c>
      <c r="G58" s="3710">
        <f t="shared" si="124"/>
        <v>149.137</v>
      </c>
      <c r="H58" s="3711">
        <f t="shared" si="124"/>
        <v>448.15100000000001</v>
      </c>
      <c r="I58" s="3712">
        <f t="shared" si="124"/>
        <v>170.43299999999999</v>
      </c>
      <c r="J58" s="3710">
        <f t="shared" si="124"/>
        <v>159.18099999999998</v>
      </c>
      <c r="K58" s="3710">
        <f t="shared" si="124"/>
        <v>155.98700000000002</v>
      </c>
      <c r="L58" s="3710">
        <f t="shared" si="124"/>
        <v>182.45400000000004</v>
      </c>
      <c r="M58" s="3711">
        <f t="shared" si="124"/>
        <v>668.05500000000006</v>
      </c>
      <c r="N58" s="3710">
        <f t="shared" si="124"/>
        <v>214.81899999999999</v>
      </c>
      <c r="O58" s="3710">
        <f t="shared" si="124"/>
        <v>174.00500000000002</v>
      </c>
      <c r="P58" s="3710">
        <f t="shared" si="124"/>
        <v>149.89999999999998</v>
      </c>
      <c r="Q58" s="3710">
        <f t="shared" si="124"/>
        <v>146.30099999999999</v>
      </c>
      <c r="R58" s="3711">
        <f t="shared" si="124"/>
        <v>685.02499999999998</v>
      </c>
      <c r="S58" s="3710">
        <f t="shared" si="124"/>
        <v>155.42000000000002</v>
      </c>
      <c r="T58" s="3710">
        <f t="shared" si="124"/>
        <v>146.86299999999997</v>
      </c>
      <c r="U58" s="3710">
        <f t="shared" si="124"/>
        <v>144.03000000000003</v>
      </c>
      <c r="V58" s="3710">
        <f t="shared" si="124"/>
        <v>134.61699999999999</v>
      </c>
      <c r="W58" s="3711">
        <f t="shared" si="124"/>
        <v>580.93000000000006</v>
      </c>
      <c r="X58" s="3710">
        <f t="shared" si="124"/>
        <v>127.68199999999999</v>
      </c>
      <c r="Y58" s="3710">
        <f t="shared" si="124"/>
        <v>119.64700000000001</v>
      </c>
      <c r="Z58" s="3710">
        <f t="shared" si="124"/>
        <v>101.179</v>
      </c>
      <c r="AA58" s="3710">
        <f t="shared" si="124"/>
        <v>94.132000000000005</v>
      </c>
      <c r="AB58" s="3711">
        <f t="shared" si="124"/>
        <v>442.64</v>
      </c>
      <c r="AC58" s="3710">
        <f t="shared" si="124"/>
        <v>109.63199999999999</v>
      </c>
      <c r="AD58" s="3710">
        <f t="shared" si="124"/>
        <v>105.598</v>
      </c>
      <c r="AE58" s="3710">
        <f t="shared" si="124"/>
        <v>96.617999999999995</v>
      </c>
      <c r="AF58" s="3710">
        <f t="shared" si="124"/>
        <v>74.017999999999986</v>
      </c>
      <c r="AG58" s="3711">
        <f t="shared" si="124"/>
        <v>385.86599999999999</v>
      </c>
      <c r="AH58" s="3713"/>
      <c r="AI58" s="3713"/>
      <c r="AJ58" s="3713"/>
      <c r="AK58" s="3713"/>
      <c r="AL58" s="3714"/>
      <c r="AM58" s="3713"/>
      <c r="AN58" s="3713"/>
      <c r="AO58" s="3713"/>
      <c r="AP58" s="3713"/>
      <c r="AQ58" s="3714"/>
      <c r="AR58" s="3713"/>
      <c r="AS58" s="3713"/>
      <c r="AT58" s="3713"/>
      <c r="AU58" s="3715"/>
      <c r="AV58" s="3659"/>
      <c r="AW58" s="3658"/>
      <c r="AX58" s="3658"/>
      <c r="AY58" s="3658"/>
      <c r="AZ58" s="3658"/>
      <c r="BA58" s="3659"/>
      <c r="BB58" s="3715"/>
      <c r="BC58" s="3658"/>
      <c r="BD58" s="3658"/>
      <c r="BE58" s="3658"/>
      <c r="BF58" s="3659"/>
      <c r="BG58" s="3657"/>
      <c r="BH58" s="3658"/>
      <c r="BI58" s="3658"/>
      <c r="BJ58" s="3695"/>
      <c r="BK58" s="3659"/>
      <c r="BL58" s="3658"/>
      <c r="BM58" s="3658"/>
      <c r="BN58" s="3658"/>
      <c r="BO58" s="3695"/>
      <c r="BP58" s="3659"/>
      <c r="BQ58" s="3658"/>
      <c r="BR58" s="3658"/>
      <c r="BS58" s="3658"/>
      <c r="BT58" s="3695"/>
      <c r="BU58" s="3660"/>
      <c r="BV58" s="3658"/>
      <c r="BW58" s="3658"/>
      <c r="BX58" s="3658"/>
      <c r="BY58" s="3695"/>
      <c r="BZ58" s="3659"/>
      <c r="CA58" s="3659"/>
      <c r="CB58" s="3659"/>
      <c r="CC58" s="264"/>
      <c r="CD58" s="264"/>
      <c r="CE58" s="264"/>
      <c r="CF58" s="264"/>
      <c r="CG58" s="264"/>
      <c r="CH58" s="261"/>
      <c r="CI58" s="261"/>
      <c r="CJ58" s="261"/>
      <c r="CK58" s="261"/>
      <c r="CL58" s="261"/>
      <c r="CM58" s="261"/>
      <c r="CN58" s="261"/>
      <c r="CO58" s="261"/>
      <c r="CP58" s="1793"/>
      <c r="CQ58" s="1716"/>
      <c r="CR58" s="1716"/>
      <c r="CS58" s="1716"/>
      <c r="CT58" s="1716"/>
      <c r="CU58" s="1716"/>
      <c r="CV58" s="1716"/>
      <c r="CW58" s="1716"/>
      <c r="CX58" s="1716"/>
      <c r="CY58" s="1716"/>
      <c r="CZ58" s="1716"/>
      <c r="DA58" s="1716"/>
      <c r="DB58" s="1716"/>
      <c r="DC58" s="1716"/>
      <c r="DD58" s="1716"/>
      <c r="DE58" s="1716"/>
      <c r="DF58" s="1716"/>
      <c r="DG58" s="1794"/>
      <c r="DH58" s="261"/>
      <c r="DI58" s="265"/>
      <c r="DJ58" s="265"/>
      <c r="DK58" s="265"/>
      <c r="DL58" s="265"/>
      <c r="DM58" s="265"/>
      <c r="DN58" s="265"/>
      <c r="DO58" s="266"/>
      <c r="DY58" s="261"/>
      <c r="DZ58" s="261"/>
    </row>
    <row r="59" spans="1:130" ht="12.6" customHeight="1" collapsed="1">
      <c r="A59" s="3716" t="s">
        <v>297</v>
      </c>
      <c r="B59" s="3580"/>
      <c r="C59" s="3580"/>
      <c r="D59" s="3717" t="s">
        <v>812</v>
      </c>
      <c r="E59" s="3713" t="s">
        <v>812</v>
      </c>
      <c r="F59" s="3713" t="s">
        <v>812</v>
      </c>
      <c r="G59" s="3713" t="s">
        <v>812</v>
      </c>
      <c r="H59" s="3714" t="s">
        <v>812</v>
      </c>
      <c r="I59" s="3718">
        <v>150</v>
      </c>
      <c r="J59" s="3713" t="s">
        <v>164</v>
      </c>
      <c r="K59" s="3713" t="s">
        <v>165</v>
      </c>
      <c r="L59" s="3713" t="s">
        <v>166</v>
      </c>
      <c r="M59" s="3714" t="s">
        <v>812</v>
      </c>
      <c r="N59" s="3713" t="s">
        <v>161</v>
      </c>
      <c r="O59" s="3713" t="s">
        <v>162</v>
      </c>
      <c r="P59" s="3713" t="s">
        <v>163</v>
      </c>
      <c r="Q59" s="3713" t="s">
        <v>160</v>
      </c>
      <c r="R59" s="3714" t="s">
        <v>812</v>
      </c>
      <c r="S59" s="3713" t="s">
        <v>157</v>
      </c>
      <c r="T59" s="3713" t="s">
        <v>158</v>
      </c>
      <c r="U59" s="3713" t="s">
        <v>159</v>
      </c>
      <c r="V59" s="3713" t="s">
        <v>160</v>
      </c>
      <c r="W59" s="3714" t="s">
        <v>812</v>
      </c>
      <c r="X59" s="3713" t="s">
        <v>1240</v>
      </c>
      <c r="Y59" s="3713" t="s">
        <v>1241</v>
      </c>
      <c r="Z59" s="3713" t="s">
        <v>1242</v>
      </c>
      <c r="AA59" s="3713" t="s">
        <v>812</v>
      </c>
      <c r="AB59" s="3714" t="s">
        <v>812</v>
      </c>
      <c r="AC59" s="3713" t="s">
        <v>812</v>
      </c>
      <c r="AD59" s="3713" t="s">
        <v>812</v>
      </c>
      <c r="AE59" s="3713" t="s">
        <v>812</v>
      </c>
      <c r="AF59" s="3713" t="s">
        <v>812</v>
      </c>
      <c r="AG59" s="3714" t="s">
        <v>812</v>
      </c>
      <c r="AH59" s="3713" t="s">
        <v>812</v>
      </c>
      <c r="AI59" s="3713" t="s">
        <v>812</v>
      </c>
      <c r="AJ59" s="3713" t="s">
        <v>812</v>
      </c>
      <c r="AK59" s="3713" t="s">
        <v>812</v>
      </c>
      <c r="AL59" s="3714" t="s">
        <v>812</v>
      </c>
      <c r="AM59" s="3713" t="s">
        <v>812</v>
      </c>
      <c r="AN59" s="3713" t="s">
        <v>812</v>
      </c>
      <c r="AO59" s="3713" t="s">
        <v>684</v>
      </c>
      <c r="AP59" s="3713" t="s">
        <v>685</v>
      </c>
      <c r="AQ59" s="3714" t="s">
        <v>812</v>
      </c>
      <c r="AR59" s="3713" t="s">
        <v>686</v>
      </c>
      <c r="AS59" s="3713" t="s">
        <v>687</v>
      </c>
      <c r="AT59" s="3713" t="s">
        <v>688</v>
      </c>
      <c r="AU59" s="3719" t="s">
        <v>812</v>
      </c>
      <c r="AV59" s="3714" t="s">
        <v>812</v>
      </c>
      <c r="AW59" s="3719" t="s">
        <v>72</v>
      </c>
      <c r="AX59" s="3719" t="s">
        <v>1</v>
      </c>
      <c r="AY59" s="3719" t="s">
        <v>1187</v>
      </c>
      <c r="AZ59" s="3719" t="s">
        <v>1215</v>
      </c>
      <c r="BA59" s="3720"/>
      <c r="BB59" s="3719" t="s">
        <v>1401</v>
      </c>
      <c r="BC59" s="3658"/>
      <c r="BD59" s="3658"/>
      <c r="BE59" s="3721"/>
      <c r="BF59" s="3722" t="s">
        <v>295</v>
      </c>
      <c r="BG59" s="3721"/>
      <c r="BH59" s="3721"/>
      <c r="BI59" s="3721"/>
      <c r="BJ59" s="3721"/>
      <c r="BK59" s="3659"/>
      <c r="BL59" s="3723"/>
      <c r="BM59" s="3721"/>
      <c r="BN59" s="3721"/>
      <c r="BO59" s="3721"/>
      <c r="BP59" s="3659"/>
      <c r="BQ59" s="3721"/>
      <c r="BR59" s="3721"/>
      <c r="BS59" s="3721"/>
      <c r="BT59" s="3721"/>
      <c r="BU59" s="3660"/>
      <c r="BV59" s="3721"/>
      <c r="BW59" s="3721"/>
      <c r="BX59" s="3721"/>
      <c r="BY59" s="3721"/>
      <c r="BZ59" s="3660"/>
      <c r="CA59" s="3659">
        <v>-2.0756676797912266E-2</v>
      </c>
      <c r="CB59" s="3659"/>
      <c r="CC59" s="264"/>
      <c r="CD59" s="264"/>
      <c r="CE59" s="264"/>
      <c r="CF59" s="264"/>
      <c r="CG59" s="264"/>
      <c r="CH59" s="261"/>
      <c r="CI59" s="261"/>
      <c r="CJ59" s="261"/>
      <c r="CK59" s="261"/>
      <c r="CL59" s="261"/>
      <c r="CM59" s="261"/>
      <c r="CN59" s="261"/>
      <c r="CO59" s="261"/>
      <c r="CP59" s="1793"/>
      <c r="CQ59" s="1716"/>
      <c r="CR59" s="1716"/>
      <c r="CS59" s="1716"/>
      <c r="CT59" s="1716"/>
      <c r="CU59" s="1716"/>
      <c r="CV59" s="1716"/>
      <c r="CW59" s="1716"/>
      <c r="CX59" s="1716"/>
      <c r="CY59" s="1716"/>
      <c r="CZ59" s="1716"/>
      <c r="DA59" s="1716"/>
      <c r="DB59" s="1716"/>
      <c r="DC59" s="1716"/>
      <c r="DD59" s="1716"/>
      <c r="DE59" s="1716"/>
      <c r="DF59" s="1716"/>
      <c r="DG59" s="1794"/>
      <c r="DH59" s="261"/>
      <c r="DI59" s="265"/>
      <c r="DJ59" s="265"/>
      <c r="DK59" s="265"/>
      <c r="DL59" s="265"/>
      <c r="DM59" s="265"/>
      <c r="DN59" s="265"/>
      <c r="DO59" s="266"/>
      <c r="DY59" s="261"/>
      <c r="DZ59" s="261"/>
    </row>
    <row r="60" spans="1:130" s="2273" customFormat="1" ht="12.6" customHeight="1">
      <c r="A60" s="3724" t="s">
        <v>298</v>
      </c>
      <c r="B60" s="3725"/>
      <c r="C60" s="3725"/>
      <c r="D60" s="3726"/>
      <c r="E60" s="3727"/>
      <c r="F60" s="3727"/>
      <c r="G60" s="3727"/>
      <c r="H60" s="3728"/>
      <c r="I60" s="3727"/>
      <c r="J60" s="3727"/>
      <c r="K60" s="3727"/>
      <c r="L60" s="3727"/>
      <c r="M60" s="3728"/>
      <c r="N60" s="3727"/>
      <c r="O60" s="3727"/>
      <c r="P60" s="3727"/>
      <c r="Q60" s="3727"/>
      <c r="R60" s="3728"/>
      <c r="S60" s="3727"/>
      <c r="T60" s="3727"/>
      <c r="U60" s="3727"/>
      <c r="V60" s="3727"/>
      <c r="W60" s="3728"/>
      <c r="X60" s="3727"/>
      <c r="Y60" s="3727"/>
      <c r="Z60" s="3727"/>
      <c r="AA60" s="3727"/>
      <c r="AB60" s="3728"/>
      <c r="AC60" s="3727"/>
      <c r="AD60" s="3727"/>
      <c r="AE60" s="3727"/>
      <c r="AF60" s="3727"/>
      <c r="AG60" s="3728"/>
      <c r="AH60" s="3727"/>
      <c r="AI60" s="3727"/>
      <c r="AJ60" s="3727"/>
      <c r="AK60" s="3727"/>
      <c r="AL60" s="3728"/>
      <c r="AM60" s="3727"/>
      <c r="AN60" s="3727"/>
      <c r="AO60" s="3727"/>
      <c r="AP60" s="3727"/>
      <c r="AQ60" s="3728"/>
      <c r="AR60" s="3727"/>
      <c r="AS60" s="3727"/>
      <c r="AT60" s="3727"/>
      <c r="AU60" s="3727"/>
      <c r="AV60" s="3729">
        <f>+AV55+AV48</f>
        <v>452.09700000000004</v>
      </c>
      <c r="AW60" s="3730">
        <v>163.47699999999998</v>
      </c>
      <c r="AX60" s="3731">
        <v>160.18700000000001</v>
      </c>
      <c r="AY60" s="3731">
        <v>155.27699999999999</v>
      </c>
      <c r="AZ60" s="3732">
        <v>131.48399999999998</v>
      </c>
      <c r="BA60" s="3733">
        <f>+BA55+BA48</f>
        <v>610.42499999999995</v>
      </c>
      <c r="BB60" s="3730">
        <v>144.46800000000002</v>
      </c>
      <c r="BC60" s="3731">
        <v>160.58599999999998</v>
      </c>
      <c r="BD60" s="3731">
        <v>163.86</v>
      </c>
      <c r="BE60" s="3734">
        <f>+BE55+BE48</f>
        <v>153.48400000000001</v>
      </c>
      <c r="BF60" s="3733">
        <f>+SUM(BB60:BE60)</f>
        <v>622.39800000000002</v>
      </c>
      <c r="BG60" s="3735">
        <f t="shared" ref="BG60:CB60" si="125">+BG55+BG48</f>
        <v>167.53400000000005</v>
      </c>
      <c r="BH60" s="3736">
        <f t="shared" si="125"/>
        <v>184.37300000000005</v>
      </c>
      <c r="BI60" s="3736">
        <f t="shared" si="125"/>
        <v>199.44500000000002</v>
      </c>
      <c r="BJ60" s="3734">
        <f t="shared" si="125"/>
        <v>176.37638444000001</v>
      </c>
      <c r="BK60" s="3733">
        <f t="shared" si="125"/>
        <v>727.72838444000001</v>
      </c>
      <c r="BL60" s="3736">
        <f t="shared" si="125"/>
        <v>182.35369272</v>
      </c>
      <c r="BM60" s="3736">
        <f t="shared" ref="BM60:BY60" si="126">+BM55+BM48</f>
        <v>137.89699999999999</v>
      </c>
      <c r="BN60" s="3736">
        <f t="shared" si="126"/>
        <v>121.94000000000001</v>
      </c>
      <c r="BO60" s="3734">
        <f t="shared" si="126"/>
        <v>138.80099999999999</v>
      </c>
      <c r="BP60" s="3733">
        <f t="shared" si="126"/>
        <v>580.99169272000006</v>
      </c>
      <c r="BQ60" s="3736">
        <f t="shared" si="126"/>
        <v>155.803</v>
      </c>
      <c r="BR60" s="3736">
        <f t="shared" si="126"/>
        <v>151.17500000000001</v>
      </c>
      <c r="BS60" s="3736">
        <f t="shared" si="126"/>
        <v>140.27099999999999</v>
      </c>
      <c r="BT60" s="3734">
        <f t="shared" si="126"/>
        <v>148.376</v>
      </c>
      <c r="BU60" s="3737">
        <f t="shared" si="126"/>
        <v>595.625</v>
      </c>
      <c r="BV60" s="3736">
        <f t="shared" si="126"/>
        <v>157.43480741757983</v>
      </c>
      <c r="BW60" s="3736">
        <f t="shared" si="126"/>
        <v>156.08302139382249</v>
      </c>
      <c r="BX60" s="3736">
        <f t="shared" si="126"/>
        <v>202.94900484526767</v>
      </c>
      <c r="BY60" s="3734">
        <f t="shared" si="126"/>
        <v>216.52749180563794</v>
      </c>
      <c r="BZ60" s="3733">
        <f t="shared" ref="BZ60" si="127">+BZ55+BZ48</f>
        <v>732.99432546230787</v>
      </c>
      <c r="CA60" s="3733">
        <f t="shared" si="125"/>
        <v>873.95789252238421</v>
      </c>
      <c r="CB60" s="3733">
        <f t="shared" si="125"/>
        <v>885.4839440604203</v>
      </c>
      <c r="CC60" s="3078">
        <f>+CC55+CC48</f>
        <v>25.053772739599303</v>
      </c>
      <c r="CD60" s="3078">
        <f>+CD55+CD48</f>
        <v>-26.491918567594581</v>
      </c>
      <c r="CE60" s="3078">
        <f>+CE55+CE48</f>
        <v>-5.1612366313080624</v>
      </c>
      <c r="CF60" s="3078">
        <f>+CF55+CF48</f>
        <v>16.811884128549529</v>
      </c>
      <c r="CG60" s="3078">
        <f>+CG55+CG48</f>
        <v>39.442450740297254</v>
      </c>
      <c r="CH60" s="3081"/>
      <c r="CI60" s="3081"/>
      <c r="CJ60" s="3081"/>
      <c r="CK60" s="3081"/>
      <c r="CL60" s="3081"/>
      <c r="CM60" s="965"/>
      <c r="CN60" s="965">
        <f>SUM(BV60:BY60)</f>
        <v>732.99432546230787</v>
      </c>
      <c r="CO60" s="965">
        <f>CM60-CN60</f>
        <v>-732.99432546230787</v>
      </c>
      <c r="CP60" s="3082"/>
      <c r="CQ60" s="3083"/>
      <c r="CR60" s="3083"/>
      <c r="CS60" s="3083"/>
      <c r="CT60" s="3083"/>
      <c r="CU60" s="3083"/>
      <c r="CV60" s="3083"/>
      <c r="CW60" s="3083"/>
      <c r="CX60" s="3083"/>
      <c r="CY60" s="3083"/>
      <c r="CZ60" s="3083"/>
      <c r="DA60" s="3083"/>
      <c r="DB60" s="3083"/>
      <c r="DC60" s="3083"/>
      <c r="DD60" s="3083"/>
      <c r="DE60" s="3083"/>
      <c r="DF60" s="3083"/>
      <c r="DG60" s="3084"/>
      <c r="DH60" s="3081"/>
      <c r="DI60" s="3085"/>
      <c r="DJ60" s="3085"/>
      <c r="DK60" s="3085"/>
      <c r="DL60" s="3085"/>
      <c r="DM60" s="3085"/>
      <c r="DN60" s="3085"/>
      <c r="DO60" s="3086"/>
      <c r="DP60"/>
      <c r="DQ60"/>
      <c r="DR60"/>
      <c r="DS60"/>
      <c r="DT60"/>
      <c r="DU60"/>
      <c r="DY60" s="3081"/>
      <c r="DZ60" s="3081"/>
    </row>
    <row r="61" spans="1:130" s="2273" customFormat="1" ht="12.6" customHeight="1">
      <c r="A61" s="3724" t="s">
        <v>1922</v>
      </c>
      <c r="B61" s="3725"/>
      <c r="C61" s="3725"/>
      <c r="D61" s="3726"/>
      <c r="E61" s="3727"/>
      <c r="F61" s="3727"/>
      <c r="G61" s="3727"/>
      <c r="H61" s="3728"/>
      <c r="I61" s="3727"/>
      <c r="J61" s="3727"/>
      <c r="K61" s="3727"/>
      <c r="L61" s="3727"/>
      <c r="M61" s="3728"/>
      <c r="N61" s="3727"/>
      <c r="O61" s="3727"/>
      <c r="P61" s="3727"/>
      <c r="Q61" s="3727"/>
      <c r="R61" s="3728"/>
      <c r="S61" s="3727"/>
      <c r="T61" s="3727"/>
      <c r="U61" s="3727"/>
      <c r="V61" s="3727"/>
      <c r="W61" s="3728"/>
      <c r="X61" s="3727"/>
      <c r="Y61" s="3727"/>
      <c r="Z61" s="3727"/>
      <c r="AA61" s="3727"/>
      <c r="AB61" s="3728"/>
      <c r="AC61" s="3727"/>
      <c r="AD61" s="3727"/>
      <c r="AE61" s="3727"/>
      <c r="AF61" s="3727"/>
      <c r="AG61" s="3728"/>
      <c r="AH61" s="3727"/>
      <c r="AI61" s="3727"/>
      <c r="AJ61" s="3727"/>
      <c r="AK61" s="3727"/>
      <c r="AL61" s="3728"/>
      <c r="AM61" s="3727"/>
      <c r="AN61" s="3727"/>
      <c r="AO61" s="3727"/>
      <c r="AP61" s="3727"/>
      <c r="AQ61" s="3728"/>
      <c r="AR61" s="3727"/>
      <c r="AS61" s="3727"/>
      <c r="AT61" s="3727"/>
      <c r="AU61" s="3727"/>
      <c r="AV61" s="3729"/>
      <c r="AW61" s="3731"/>
      <c r="AX61" s="3731"/>
      <c r="AY61" s="3731"/>
      <c r="AZ61" s="3731"/>
      <c r="BA61" s="3733"/>
      <c r="BB61" s="3731"/>
      <c r="BC61" s="3731"/>
      <c r="BD61" s="3731"/>
      <c r="BE61" s="3736"/>
      <c r="BF61" s="3733"/>
      <c r="BG61" s="3735"/>
      <c r="BH61" s="3736"/>
      <c r="BI61" s="3736"/>
      <c r="BJ61" s="3734"/>
      <c r="BK61" s="3733"/>
      <c r="BL61" s="3736"/>
      <c r="BM61" s="3736"/>
      <c r="BN61" s="3736"/>
      <c r="BO61" s="3734"/>
      <c r="BP61" s="3738">
        <f>+BP55-BP49-BP48</f>
        <v>536.33000000000004</v>
      </c>
      <c r="BQ61" s="3736"/>
      <c r="BR61" s="3736"/>
      <c r="BS61" s="3736"/>
      <c r="BT61" s="3734"/>
      <c r="BU61" s="3739"/>
      <c r="BV61" s="3736"/>
      <c r="BW61" s="3736"/>
      <c r="BX61" s="3736"/>
      <c r="BY61" s="3734"/>
      <c r="BZ61" s="3734"/>
      <c r="CA61" s="3734"/>
      <c r="CB61" s="3734"/>
      <c r="CC61" s="3080"/>
      <c r="CD61" s="3080"/>
      <c r="CE61" s="3080"/>
      <c r="CF61" s="3080"/>
      <c r="CG61" s="3080"/>
      <c r="CH61" s="3081"/>
      <c r="CI61" s="3081"/>
      <c r="CJ61" s="3081"/>
      <c r="CK61" s="3081"/>
      <c r="CL61" s="3081"/>
      <c r="CM61" s="3081"/>
      <c r="CN61" s="3081"/>
      <c r="CO61" s="3081"/>
      <c r="CP61" s="3082"/>
      <c r="CQ61" s="3083"/>
      <c r="CR61" s="3083"/>
      <c r="CS61" s="3083"/>
      <c r="CT61" s="3083"/>
      <c r="CU61" s="3083"/>
      <c r="CV61" s="3083"/>
      <c r="CW61" s="3083"/>
      <c r="CX61" s="3083"/>
      <c r="CY61" s="3083"/>
      <c r="CZ61" s="3083"/>
      <c r="DA61" s="3083"/>
      <c r="DB61" s="3083"/>
      <c r="DC61" s="3083"/>
      <c r="DD61" s="3083"/>
      <c r="DE61" s="3083"/>
      <c r="DF61" s="3083"/>
      <c r="DG61" s="3084"/>
      <c r="DH61" s="3081"/>
      <c r="DI61" s="3085"/>
      <c r="DJ61" s="3085"/>
      <c r="DK61" s="3085"/>
      <c r="DL61" s="3085"/>
      <c r="DM61" s="3085"/>
      <c r="DN61" s="3085"/>
      <c r="DO61" s="3086"/>
      <c r="DP61"/>
      <c r="DQ61"/>
      <c r="DR61"/>
      <c r="DS61"/>
      <c r="DT61"/>
      <c r="DU61"/>
      <c r="DY61" s="3475"/>
      <c r="DZ61" s="3475"/>
    </row>
    <row r="62" spans="1:130" ht="12.6" customHeight="1">
      <c r="A62" s="3716" t="s">
        <v>299</v>
      </c>
      <c r="B62" s="3580"/>
      <c r="C62" s="3580"/>
      <c r="D62" s="3717"/>
      <c r="E62" s="3713"/>
      <c r="F62" s="3713"/>
      <c r="G62" s="3713"/>
      <c r="H62" s="3714"/>
      <c r="I62" s="3718"/>
      <c r="J62" s="3713"/>
      <c r="K62" s="3713"/>
      <c r="L62" s="3713"/>
      <c r="M62" s="3714"/>
      <c r="N62" s="3713"/>
      <c r="O62" s="3713"/>
      <c r="P62" s="3713"/>
      <c r="Q62" s="3713"/>
      <c r="R62" s="3714"/>
      <c r="S62" s="3713"/>
      <c r="T62" s="3713"/>
      <c r="U62" s="3713"/>
      <c r="V62" s="3713"/>
      <c r="W62" s="3714"/>
      <c r="X62" s="3713"/>
      <c r="Y62" s="3713"/>
      <c r="Z62" s="3713"/>
      <c r="AA62" s="3713"/>
      <c r="AB62" s="3714"/>
      <c r="AC62" s="3713"/>
      <c r="AD62" s="3713"/>
      <c r="AE62" s="3713"/>
      <c r="AF62" s="3713"/>
      <c r="AG62" s="3714"/>
      <c r="AH62" s="3713"/>
      <c r="AI62" s="3713"/>
      <c r="AJ62" s="3713"/>
      <c r="AK62" s="3713"/>
      <c r="AL62" s="3714"/>
      <c r="AM62" s="3713"/>
      <c r="AN62" s="3713"/>
      <c r="AO62" s="3713"/>
      <c r="AP62" s="3713"/>
      <c r="AQ62" s="3714"/>
      <c r="AR62" s="3713"/>
      <c r="AS62" s="3713"/>
      <c r="AT62" s="3713"/>
      <c r="AU62" s="3719"/>
      <c r="AV62" s="3714"/>
      <c r="AW62" s="3658"/>
      <c r="AX62" s="3658"/>
      <c r="AY62" s="3658"/>
      <c r="AZ62" s="3740"/>
      <c r="BA62" s="3659"/>
      <c r="BB62" s="3658"/>
      <c r="BC62" s="3658"/>
      <c r="BD62" s="3741"/>
      <c r="BE62" s="3741">
        <f>+BE56-AZ56</f>
        <v>2.142248491623322E-2</v>
      </c>
      <c r="BF62" s="3722" t="s">
        <v>296</v>
      </c>
      <c r="BG62" s="3657"/>
      <c r="BH62" s="3658"/>
      <c r="BI62" s="3658"/>
      <c r="BJ62" s="3742" t="s">
        <v>1847</v>
      </c>
      <c r="BK62" s="3722" t="s">
        <v>1845</v>
      </c>
      <c r="BL62" s="3658"/>
      <c r="BM62" s="3658"/>
      <c r="BN62" s="3658"/>
      <c r="BO62" s="3899">
        <f>534-BN55-BM55-BL55+BL48</f>
        <v>135.79769272000001</v>
      </c>
      <c r="BP62" s="3722" t="s">
        <v>1923</v>
      </c>
      <c r="BQ62" s="3658"/>
      <c r="BR62" s="3658"/>
      <c r="BS62" s="3658"/>
      <c r="BT62" s="3734"/>
      <c r="BU62" s="3722" t="s">
        <v>1950</v>
      </c>
      <c r="BV62" s="3658"/>
      <c r="BW62" s="3658"/>
      <c r="BX62" s="3658"/>
      <c r="BY62" s="3695"/>
      <c r="BZ62" s="3722" t="s">
        <v>2016</v>
      </c>
      <c r="CA62" s="3695"/>
      <c r="CB62" s="3695"/>
      <c r="CC62" s="1787"/>
      <c r="CD62" s="1787"/>
      <c r="CE62" s="1787"/>
      <c r="CF62" s="1787"/>
      <c r="CG62" s="1787"/>
      <c r="CH62" s="261"/>
      <c r="CI62" s="261"/>
      <c r="CJ62" s="261"/>
      <c r="CK62" s="261"/>
      <c r="CL62" s="261"/>
      <c r="CM62" s="261"/>
      <c r="CN62" s="261"/>
      <c r="CO62" s="261"/>
      <c r="CP62" s="1793"/>
      <c r="CQ62" s="1716"/>
      <c r="CR62" s="1716"/>
      <c r="CS62" s="1716"/>
      <c r="CT62" s="1716"/>
      <c r="CU62" s="1716"/>
      <c r="CV62" s="1716"/>
      <c r="CW62" s="1716"/>
      <c r="CX62" s="1716"/>
      <c r="CY62" s="1716"/>
      <c r="CZ62" s="1716"/>
      <c r="DA62" s="1716"/>
      <c r="DB62" s="1716"/>
      <c r="DC62" s="1716"/>
      <c r="DD62" s="1716"/>
      <c r="DE62" s="1716"/>
      <c r="DF62" s="1716"/>
      <c r="DG62" s="1794"/>
      <c r="DH62" s="261"/>
      <c r="DI62" s="265"/>
      <c r="DJ62" s="265"/>
      <c r="DK62" s="265"/>
      <c r="DL62" s="265"/>
      <c r="DM62" s="265"/>
      <c r="DN62" s="265"/>
      <c r="DO62" s="266"/>
      <c r="DY62" s="398"/>
      <c r="DZ62" s="398"/>
    </row>
    <row r="63" spans="1:130" s="2273" customFormat="1" ht="12.6" customHeight="1">
      <c r="A63" s="3724" t="s">
        <v>2013</v>
      </c>
      <c r="B63" s="3725"/>
      <c r="C63" s="3725"/>
      <c r="D63" s="3726"/>
      <c r="E63" s="3727"/>
      <c r="F63" s="3727"/>
      <c r="G63" s="3727"/>
      <c r="H63" s="3728"/>
      <c r="I63" s="3727"/>
      <c r="J63" s="3727"/>
      <c r="K63" s="3727"/>
      <c r="L63" s="3727"/>
      <c r="M63" s="3728"/>
      <c r="N63" s="3727"/>
      <c r="O63" s="3727"/>
      <c r="P63" s="3727"/>
      <c r="Q63" s="3727"/>
      <c r="R63" s="3728"/>
      <c r="S63" s="3727"/>
      <c r="T63" s="3727"/>
      <c r="U63" s="3727"/>
      <c r="V63" s="3727"/>
      <c r="W63" s="3728"/>
      <c r="X63" s="3727"/>
      <c r="Y63" s="3727"/>
      <c r="Z63" s="3727"/>
      <c r="AA63" s="3727"/>
      <c r="AB63" s="3728"/>
      <c r="AC63" s="3727"/>
      <c r="AD63" s="3727"/>
      <c r="AE63" s="3727"/>
      <c r="AF63" s="3727"/>
      <c r="AG63" s="3728"/>
      <c r="AH63" s="3727"/>
      <c r="AI63" s="3727"/>
      <c r="AJ63" s="3727"/>
      <c r="AK63" s="3727"/>
      <c r="AL63" s="3728"/>
      <c r="AM63" s="3727"/>
      <c r="AN63" s="3727"/>
      <c r="AO63" s="3727"/>
      <c r="AP63" s="3727"/>
      <c r="AQ63" s="3728"/>
      <c r="AR63" s="3727"/>
      <c r="AS63" s="3727"/>
      <c r="AT63" s="3727"/>
      <c r="AU63" s="3727"/>
      <c r="AV63" s="3729"/>
      <c r="AW63" s="3730"/>
      <c r="AX63" s="3731"/>
      <c r="AY63" s="3731"/>
      <c r="AZ63" s="3732"/>
      <c r="BA63" s="3733"/>
      <c r="BB63" s="3730"/>
      <c r="BC63" s="3731"/>
      <c r="BD63" s="3731"/>
      <c r="BE63" s="3734"/>
      <c r="BF63" s="3733">
        <f>SUM(BB60:BD60)+BE55</f>
        <v>605.279</v>
      </c>
      <c r="BG63" s="3735"/>
      <c r="BH63" s="3736"/>
      <c r="BI63" s="3736"/>
      <c r="BJ63" s="3734"/>
      <c r="BK63" s="3733"/>
      <c r="BL63" s="3736"/>
      <c r="BM63" s="3736"/>
      <c r="BN63" s="3736"/>
      <c r="BO63" s="3734"/>
      <c r="BP63" s="3733"/>
      <c r="BQ63" s="3736"/>
      <c r="BR63" s="3736"/>
      <c r="BS63" s="3736"/>
      <c r="BT63" s="3734"/>
      <c r="BU63" s="3737"/>
      <c r="BV63" s="3736">
        <f>+BV38+BV39+BV54+BV512</f>
        <v>157.43480741757983</v>
      </c>
      <c r="BW63" s="3736">
        <f>+BW38+BW39+BW54+BW512</f>
        <v>156.08302139382249</v>
      </c>
      <c r="BX63" s="3736">
        <f>+BX38+BX39+BX54+BX512</f>
        <v>143.56810985698667</v>
      </c>
      <c r="BY63" s="3736">
        <f>+BY38+BY39+BY54+BY512</f>
        <v>155.55933591801548</v>
      </c>
      <c r="BZ63" s="3733">
        <f>+BZ38+BZ39+BZ54+BZ512</f>
        <v>613.08657180391992</v>
      </c>
      <c r="CA63" s="3733">
        <f t="shared" ref="CA63:CB63" si="128">+CA38+CA39+CA54+CA512</f>
        <v>629.98051720368164</v>
      </c>
      <c r="CB63" s="3733">
        <f t="shared" si="128"/>
        <v>636.82039549463013</v>
      </c>
      <c r="CC63" s="3078"/>
      <c r="CD63" s="3078"/>
      <c r="CE63" s="3078"/>
      <c r="CF63" s="3078"/>
      <c r="CG63" s="3078"/>
      <c r="CH63" s="3081"/>
      <c r="CI63" s="3081"/>
      <c r="CJ63" s="3081"/>
      <c r="CK63" s="3081"/>
      <c r="CL63" s="3081"/>
      <c r="CM63" s="965"/>
      <c r="CN63" s="965"/>
      <c r="CO63" s="965"/>
      <c r="CP63" s="3082"/>
      <c r="CQ63" s="3083"/>
      <c r="CR63" s="3083"/>
      <c r="CS63" s="3083"/>
      <c r="CT63" s="3083"/>
      <c r="CU63" s="3083"/>
      <c r="CV63" s="3083"/>
      <c r="CW63" s="3083"/>
      <c r="CX63" s="3083"/>
      <c r="CY63" s="3083"/>
      <c r="CZ63" s="3083"/>
      <c r="DA63" s="3083"/>
      <c r="DB63" s="3083"/>
      <c r="DC63" s="3083"/>
      <c r="DD63" s="3083"/>
      <c r="DE63" s="3083"/>
      <c r="DF63" s="3083"/>
      <c r="DG63" s="3084"/>
      <c r="DH63" s="3081"/>
      <c r="DI63" s="3085"/>
      <c r="DJ63" s="3085"/>
      <c r="DK63" s="3085"/>
      <c r="DL63" s="3085"/>
      <c r="DM63" s="3085"/>
      <c r="DN63" s="3085"/>
      <c r="DO63" s="3086"/>
      <c r="DP63"/>
      <c r="DQ63"/>
      <c r="DR63"/>
      <c r="DS63"/>
      <c r="DT63"/>
      <c r="DU63"/>
      <c r="DY63" s="3081"/>
      <c r="DZ63" s="3081"/>
    </row>
    <row r="64" spans="1:130" ht="12.6" customHeight="1">
      <c r="A64" s="3716"/>
      <c r="B64" s="3580"/>
      <c r="C64" s="3580"/>
      <c r="D64" s="3717"/>
      <c r="E64" s="3713"/>
      <c r="F64" s="3713"/>
      <c r="G64" s="3713"/>
      <c r="H64" s="3714"/>
      <c r="I64" s="3718"/>
      <c r="J64" s="3713"/>
      <c r="K64" s="3713"/>
      <c r="L64" s="3713"/>
      <c r="M64" s="3714"/>
      <c r="N64" s="3713"/>
      <c r="O64" s="3713"/>
      <c r="P64" s="3713"/>
      <c r="Q64" s="3713"/>
      <c r="R64" s="3714"/>
      <c r="S64" s="3713"/>
      <c r="T64" s="3713"/>
      <c r="U64" s="3713"/>
      <c r="V64" s="3713"/>
      <c r="W64" s="3714"/>
      <c r="X64" s="3713"/>
      <c r="Y64" s="3713"/>
      <c r="Z64" s="3713"/>
      <c r="AA64" s="3713"/>
      <c r="AB64" s="3714"/>
      <c r="AC64" s="3713"/>
      <c r="AD64" s="3713"/>
      <c r="AE64" s="3713"/>
      <c r="AF64" s="3713"/>
      <c r="AG64" s="3714"/>
      <c r="AH64" s="3713"/>
      <c r="AI64" s="3713"/>
      <c r="AJ64" s="3713"/>
      <c r="AK64" s="3713"/>
      <c r="AL64" s="3714"/>
      <c r="AM64" s="3713"/>
      <c r="AN64" s="3713"/>
      <c r="AO64" s="3713"/>
      <c r="AP64" s="3713"/>
      <c r="AQ64" s="3714"/>
      <c r="AR64" s="3713"/>
      <c r="AS64" s="3713"/>
      <c r="AT64" s="3713"/>
      <c r="AU64" s="3719"/>
      <c r="AV64" s="3714"/>
      <c r="AW64" s="3658"/>
      <c r="AX64" s="3658"/>
      <c r="AY64" s="3658"/>
      <c r="AZ64" s="3740"/>
      <c r="BA64" s="3659"/>
      <c r="BB64" s="3658"/>
      <c r="BC64" s="3658"/>
      <c r="BD64" s="3658"/>
      <c r="BE64" s="3658"/>
      <c r="BF64" s="3659"/>
      <c r="BG64" s="3657"/>
      <c r="BH64" s="3658"/>
      <c r="BI64" s="3658"/>
      <c r="BJ64" s="3744"/>
      <c r="BK64" s="3743"/>
      <c r="BL64" s="3658"/>
      <c r="BM64" s="3745"/>
      <c r="BN64" s="3741"/>
      <c r="BO64" s="3695"/>
      <c r="BP64" s="3738"/>
      <c r="BQ64" s="3741"/>
      <c r="BR64" s="3741"/>
      <c r="BS64" s="3741"/>
      <c r="BT64" s="3695"/>
      <c r="BU64" s="3739"/>
      <c r="BV64" s="3741"/>
      <c r="BW64" s="3741"/>
      <c r="BX64" s="3741"/>
      <c r="BY64" s="3695"/>
      <c r="BZ64" s="3739"/>
      <c r="CA64" s="3695"/>
      <c r="CB64" s="3695"/>
      <c r="CC64" s="1787"/>
      <c r="CD64" s="1787"/>
      <c r="CE64" s="1787"/>
      <c r="CF64" s="1787"/>
      <c r="CG64" s="1787"/>
      <c r="CH64" s="261"/>
      <c r="CI64" s="261"/>
      <c r="CJ64" s="261"/>
      <c r="CK64" s="261"/>
      <c r="CL64" s="261"/>
      <c r="CM64" s="261"/>
      <c r="CN64" s="261"/>
      <c r="CO64" s="261"/>
      <c r="CP64" s="1793"/>
      <c r="CQ64" s="1716"/>
      <c r="CR64" s="1716"/>
      <c r="CS64" s="1716"/>
      <c r="CT64" s="1716"/>
      <c r="CU64" s="1716"/>
      <c r="CV64" s="1716"/>
      <c r="CW64" s="1716"/>
      <c r="CX64" s="1716"/>
      <c r="CY64" s="1716"/>
      <c r="CZ64" s="1716"/>
      <c r="DA64" s="1716"/>
      <c r="DB64" s="1716"/>
      <c r="DC64" s="1716"/>
      <c r="DD64" s="1716"/>
      <c r="DE64" s="1716"/>
      <c r="DF64" s="1716"/>
      <c r="DG64" s="1794"/>
      <c r="DH64" s="261"/>
      <c r="DI64" s="265"/>
      <c r="DJ64" s="265"/>
      <c r="DK64" s="265"/>
      <c r="DL64" s="265"/>
      <c r="DM64" s="265"/>
      <c r="DN64" s="265"/>
      <c r="DO64" s="266"/>
      <c r="DY64" s="3475"/>
      <c r="DZ64" s="3475"/>
    </row>
    <row r="65" spans="1:130" ht="12.6" customHeight="1">
      <c r="A65" s="3636" t="s">
        <v>1745</v>
      </c>
      <c r="B65" s="3637"/>
      <c r="C65" s="3637"/>
      <c r="D65" s="3746">
        <v>0</v>
      </c>
      <c r="E65" s="3747">
        <v>0</v>
      </c>
      <c r="F65" s="3747">
        <v>0</v>
      </c>
      <c r="G65" s="3747">
        <v>0</v>
      </c>
      <c r="H65" s="3640">
        <f>SUM(D65:G65)</f>
        <v>0</v>
      </c>
      <c r="I65" s="3747">
        <v>0</v>
      </c>
      <c r="J65" s="3747">
        <v>0</v>
      </c>
      <c r="K65" s="3747">
        <v>0</v>
      </c>
      <c r="L65" s="3747">
        <v>0</v>
      </c>
      <c r="M65" s="3640">
        <f>SUM(I65:L65)</f>
        <v>0</v>
      </c>
      <c r="N65" s="3747">
        <v>5.351</v>
      </c>
      <c r="O65" s="3747">
        <v>5.8280000000000003</v>
      </c>
      <c r="P65" s="3747">
        <v>4.9400000000000004</v>
      </c>
      <c r="Q65" s="3747">
        <v>3.2730000000000001</v>
      </c>
      <c r="R65" s="3640">
        <f>SUM(N65:Q65)</f>
        <v>19.391999999999999</v>
      </c>
      <c r="S65" s="3747">
        <v>4.1840000000000002</v>
      </c>
      <c r="T65" s="3748">
        <v>4.3659999999999997</v>
      </c>
      <c r="U65" s="3748">
        <v>3.5089999999999999</v>
      </c>
      <c r="V65" s="3748">
        <v>2.7429999999999999</v>
      </c>
      <c r="W65" s="3640">
        <f>SUM(S65:V65)</f>
        <v>14.802000000000001</v>
      </c>
      <c r="X65" s="3748">
        <v>2.9689999999999999</v>
      </c>
      <c r="Y65" s="3748">
        <v>3.0659999999999998</v>
      </c>
      <c r="Z65" s="3748">
        <v>2.81</v>
      </c>
      <c r="AA65" s="3748">
        <v>3.8170000000000002</v>
      </c>
      <c r="AB65" s="3640">
        <f>SUM(X65:AA65)</f>
        <v>12.662000000000001</v>
      </c>
      <c r="AC65" s="3748">
        <v>3.3919999999999999</v>
      </c>
      <c r="AD65" s="3748">
        <v>3.5059999999999998</v>
      </c>
      <c r="AE65" s="3748">
        <v>2.8860000000000001</v>
      </c>
      <c r="AF65" s="3748">
        <v>4.1859999999999999</v>
      </c>
      <c r="AG65" s="3640">
        <f>SUM(AC65:AF65)</f>
        <v>13.969999999999999</v>
      </c>
      <c r="AH65" s="3748">
        <v>2.8559999999999999</v>
      </c>
      <c r="AI65" s="3748">
        <v>2.8719999999999999</v>
      </c>
      <c r="AJ65" s="3748">
        <v>2.3959999999999999</v>
      </c>
      <c r="AK65" s="3748">
        <v>3.2</v>
      </c>
      <c r="AL65" s="3640">
        <f>SUM(AH65:AK65)</f>
        <v>11.323999999999998</v>
      </c>
      <c r="AM65" s="3748">
        <v>3.8130000000000002</v>
      </c>
      <c r="AN65" s="3748">
        <v>2.14</v>
      </c>
      <c r="AO65" s="3748">
        <v>1.7869999999999999</v>
      </c>
      <c r="AP65" s="3748">
        <v>2.2570000000000001</v>
      </c>
      <c r="AQ65" s="3640">
        <f>SUM(AM65:AP65)</f>
        <v>9.9969999999999999</v>
      </c>
      <c r="AR65" s="3748">
        <v>3.1160000000000001</v>
      </c>
      <c r="AS65" s="3748">
        <v>2.8370000000000002</v>
      </c>
      <c r="AT65" s="3748">
        <v>1.607</v>
      </c>
      <c r="AU65" s="3748">
        <v>4.6870000000000003</v>
      </c>
      <c r="AV65" s="3640">
        <f>SUM(AR65:AU65)</f>
        <v>12.247</v>
      </c>
      <c r="AW65" s="3748">
        <v>4.0910000000000002</v>
      </c>
      <c r="AX65" s="3748">
        <v>2.8940000000000001</v>
      </c>
      <c r="AY65" s="3748">
        <v>2</v>
      </c>
      <c r="AZ65" s="3748">
        <v>9.9</v>
      </c>
      <c r="BA65" s="3640">
        <f>SUM(AW65:AZ65)</f>
        <v>18.884999999999998</v>
      </c>
      <c r="BB65" s="3748">
        <v>6.5</v>
      </c>
      <c r="BC65" s="3748">
        <v>3.4</v>
      </c>
      <c r="BD65" s="3748">
        <v>1.526</v>
      </c>
      <c r="BE65" s="3748">
        <v>7.2350000000000003</v>
      </c>
      <c r="BF65" s="3640">
        <f>SUM(BB65:BE65)</f>
        <v>18.661000000000001</v>
      </c>
      <c r="BG65" s="3749">
        <v>3.4409999999999998</v>
      </c>
      <c r="BH65" s="3750">
        <v>2.9260000000000002</v>
      </c>
      <c r="BI65" s="3750">
        <v>1.86</v>
      </c>
      <c r="BJ65" s="3750">
        <v>11.037000000000001</v>
      </c>
      <c r="BK65" s="3640">
        <f>SUM(BG65:BJ65)</f>
        <v>19.264000000000003</v>
      </c>
      <c r="BL65" s="3750">
        <v>3.2629999999999999</v>
      </c>
      <c r="BM65" s="3750">
        <v>2.3199999999999998</v>
      </c>
      <c r="BN65" s="3750">
        <v>1.542</v>
      </c>
      <c r="BO65" s="3750">
        <v>8.3930000000000007</v>
      </c>
      <c r="BP65" s="3640">
        <f>SUM(BL65:BO65)</f>
        <v>15.518000000000001</v>
      </c>
      <c r="BQ65" s="3750">
        <v>3.0830000000000002</v>
      </c>
      <c r="BR65" s="3750">
        <v>5.7469999999999999</v>
      </c>
      <c r="BS65" s="3750">
        <v>2.3820000000000001</v>
      </c>
      <c r="BT65" s="3750">
        <v>6.2009999999999996</v>
      </c>
      <c r="BU65" s="3641">
        <f>SUM(BQ65:BT65)</f>
        <v>17.413</v>
      </c>
      <c r="BV65" s="3847">
        <f>BQ65+0.6</f>
        <v>3.6830000000000003</v>
      </c>
      <c r="BW65" s="3847">
        <f t="shared" ref="BW65:BY65" si="129">BR65+0.6</f>
        <v>6.3469999999999995</v>
      </c>
      <c r="BX65" s="3847">
        <f t="shared" si="129"/>
        <v>2.9820000000000002</v>
      </c>
      <c r="BY65" s="3847">
        <f t="shared" si="129"/>
        <v>6.8009999999999993</v>
      </c>
      <c r="BZ65" s="3957">
        <f>SUM(BV65:BY65)</f>
        <v>19.812999999999999</v>
      </c>
      <c r="CA65" s="3751">
        <f t="shared" ref="CA65:CB66" si="130">BZ65</f>
        <v>19.812999999999999</v>
      </c>
      <c r="CB65" s="3751">
        <f t="shared" si="130"/>
        <v>19.812999999999999</v>
      </c>
      <c r="CC65" s="3170">
        <f t="shared" ref="CC65:CG66" si="131">CB65</f>
        <v>19.812999999999999</v>
      </c>
      <c r="CD65" s="3170">
        <f t="shared" si="131"/>
        <v>19.812999999999999</v>
      </c>
      <c r="CE65" s="3170">
        <f t="shared" si="131"/>
        <v>19.812999999999999</v>
      </c>
      <c r="CF65" s="3170">
        <f t="shared" si="131"/>
        <v>19.812999999999999</v>
      </c>
      <c r="CG65" s="3170">
        <f t="shared" si="131"/>
        <v>19.812999999999999</v>
      </c>
      <c r="CH65" s="286"/>
      <c r="CI65" s="286"/>
      <c r="CJ65" s="286"/>
      <c r="CK65" s="286"/>
      <c r="CL65" s="286"/>
      <c r="CM65" s="965"/>
      <c r="CN65" s="965">
        <f>SUM(BV65:BY65)</f>
        <v>19.812999999999999</v>
      </c>
      <c r="CO65" s="965">
        <f t="shared" ref="CO65:CO67" si="132">CM65-CN65</f>
        <v>-19.812999999999999</v>
      </c>
      <c r="CP65" s="1783" t="str">
        <f t="shared" si="20"/>
        <v>Stock based compensation</v>
      </c>
      <c r="CQ65" s="286">
        <f t="shared" si="21"/>
        <v>0</v>
      </c>
      <c r="CR65" s="286">
        <f t="shared" si="22"/>
        <v>0</v>
      </c>
      <c r="CS65" s="286">
        <f t="shared" si="23"/>
        <v>19.391999999999999</v>
      </c>
      <c r="CT65" s="286">
        <f t="shared" si="24"/>
        <v>14.802000000000001</v>
      </c>
      <c r="CU65" s="286">
        <f t="shared" si="25"/>
        <v>12.662000000000001</v>
      </c>
      <c r="CV65" s="286">
        <f t="shared" si="26"/>
        <v>13.969999999999999</v>
      </c>
      <c r="CW65" s="286">
        <f t="shared" si="27"/>
        <v>11.323999999999998</v>
      </c>
      <c r="CX65" s="286">
        <f t="shared" si="28"/>
        <v>9.9969999999999999</v>
      </c>
      <c r="CY65" s="286">
        <f t="shared" si="29"/>
        <v>12.247</v>
      </c>
      <c r="CZ65" s="286">
        <f t="shared" si="30"/>
        <v>18.884999999999998</v>
      </c>
      <c r="DA65" s="286">
        <f t="shared" si="31"/>
        <v>18.661000000000001</v>
      </c>
      <c r="DB65" s="286">
        <f t="shared" si="32"/>
        <v>19.264000000000003</v>
      </c>
      <c r="DC65" s="286">
        <f t="shared" si="33"/>
        <v>15.518000000000001</v>
      </c>
      <c r="DD65" s="286">
        <f t="shared" si="34"/>
        <v>17.413</v>
      </c>
      <c r="DE65" s="286">
        <f t="shared" si="35"/>
        <v>19.812999999999999</v>
      </c>
      <c r="DF65" s="286">
        <f t="shared" si="36"/>
        <v>19.812999999999999</v>
      </c>
      <c r="DG65" s="288">
        <f t="shared" si="37"/>
        <v>19.812999999999999</v>
      </c>
      <c r="DH65" s="289"/>
      <c r="DI65" s="290"/>
      <c r="DJ65" s="290"/>
      <c r="DK65" s="290"/>
      <c r="DL65" s="290"/>
      <c r="DM65" s="290"/>
      <c r="DN65" s="290"/>
      <c r="DO65" s="291"/>
      <c r="DY65" s="286"/>
      <c r="DZ65" s="286"/>
    </row>
    <row r="66" spans="1:130" ht="12.6" customHeight="1">
      <c r="A66" s="3636" t="s">
        <v>201</v>
      </c>
      <c r="B66" s="3637"/>
      <c r="C66" s="3637"/>
      <c r="D66" s="3752">
        <v>0</v>
      </c>
      <c r="E66" s="3753">
        <v>0</v>
      </c>
      <c r="F66" s="3753">
        <v>0.94299999999999995</v>
      </c>
      <c r="G66" s="3753">
        <v>1.0509999999999999</v>
      </c>
      <c r="H66" s="3754">
        <f>SUM(D66:G66)</f>
        <v>1.9939999999999998</v>
      </c>
      <c r="I66" s="3753">
        <v>1.304</v>
      </c>
      <c r="J66" s="3753">
        <v>1.3080000000000001</v>
      </c>
      <c r="K66" s="3753">
        <v>1.2829999999999999</v>
      </c>
      <c r="L66" s="3753">
        <v>1.236</v>
      </c>
      <c r="M66" s="3754">
        <f>SUM(I66:L66)</f>
        <v>5.1310000000000002</v>
      </c>
      <c r="N66" s="3753">
        <v>1.157</v>
      </c>
      <c r="O66" s="3753">
        <v>1.1579999999999999</v>
      </c>
      <c r="P66" s="3753">
        <v>1.1579999999999999</v>
      </c>
      <c r="Q66" s="3753">
        <v>1.157</v>
      </c>
      <c r="R66" s="3754">
        <f>SUM(N66:Q66)</f>
        <v>4.63</v>
      </c>
      <c r="S66" s="3753">
        <v>1.1299999999999999</v>
      </c>
      <c r="T66" s="3753">
        <v>1.1299999999999999</v>
      </c>
      <c r="U66" s="3753">
        <v>1.1299999999999999</v>
      </c>
      <c r="V66" s="3753">
        <v>1.1299999999999999</v>
      </c>
      <c r="W66" s="3754">
        <f>SUM(S66:V66)</f>
        <v>4.5199999999999996</v>
      </c>
      <c r="X66" s="3753">
        <v>1.1339999999999999</v>
      </c>
      <c r="Y66" s="3753">
        <v>1.0960000000000001</v>
      </c>
      <c r="Z66" s="3753">
        <v>1.115</v>
      </c>
      <c r="AA66" s="3753">
        <v>1.115</v>
      </c>
      <c r="AB66" s="3754">
        <f>SUM(X66:AA66)</f>
        <v>4.46</v>
      </c>
      <c r="AC66" s="3753">
        <v>1.089</v>
      </c>
      <c r="AD66" s="3753">
        <v>1.0880000000000001</v>
      </c>
      <c r="AE66" s="3753">
        <v>1.089</v>
      </c>
      <c r="AF66" s="3753">
        <v>1.0880000000000001</v>
      </c>
      <c r="AG66" s="3754">
        <f>SUM(AC66:AF66)</f>
        <v>4.3540000000000001</v>
      </c>
      <c r="AH66" s="3753">
        <v>1.0680000000000001</v>
      </c>
      <c r="AI66" s="3753">
        <v>1.0669999999999999</v>
      </c>
      <c r="AJ66" s="3753">
        <v>1.069</v>
      </c>
      <c r="AK66" s="3753">
        <v>1.0669999999999999</v>
      </c>
      <c r="AL66" s="3754">
        <f>SUM(AH66:AK66)</f>
        <v>4.2709999999999999</v>
      </c>
      <c r="AM66" s="3753">
        <v>1.036</v>
      </c>
      <c r="AN66" s="3753">
        <v>1.032</v>
      </c>
      <c r="AO66" s="3753">
        <v>1.034</v>
      </c>
      <c r="AP66" s="3753">
        <v>1.034</v>
      </c>
      <c r="AQ66" s="3754">
        <f>SUM(AM66:AP66)</f>
        <v>4.1360000000000001</v>
      </c>
      <c r="AR66" s="3753">
        <v>0.996</v>
      </c>
      <c r="AS66" s="3753">
        <v>0.996</v>
      </c>
      <c r="AT66" s="3753">
        <v>0.996</v>
      </c>
      <c r="AU66" s="3753">
        <v>0.996</v>
      </c>
      <c r="AV66" s="3754">
        <f>SUM(AR66:AU66)</f>
        <v>3.984</v>
      </c>
      <c r="AW66" s="3753">
        <v>0.95699999999999996</v>
      </c>
      <c r="AX66" s="3753">
        <v>1.2</v>
      </c>
      <c r="AY66" s="3753">
        <v>1.1000000000000001</v>
      </c>
      <c r="AZ66" s="3753">
        <v>1</v>
      </c>
      <c r="BA66" s="3754">
        <f>SUM(AW66:AZ66)</f>
        <v>4.2569999999999997</v>
      </c>
      <c r="BB66" s="3753">
        <v>0.9</v>
      </c>
      <c r="BC66" s="3753">
        <v>0.9</v>
      </c>
      <c r="BD66" s="3753">
        <v>0.90300000000000002</v>
      </c>
      <c r="BE66" s="3748">
        <v>0.90400000000000003</v>
      </c>
      <c r="BF66" s="3754">
        <f>SUM(BB66:BE66)</f>
        <v>3.6070000000000002</v>
      </c>
      <c r="BG66" s="3753">
        <v>0.85699999999999998</v>
      </c>
      <c r="BH66" s="3750">
        <v>0.85899999999999999</v>
      </c>
      <c r="BI66" s="3750">
        <v>0.85699999999999998</v>
      </c>
      <c r="BJ66" s="3750">
        <v>0.85499999999999998</v>
      </c>
      <c r="BK66" s="3640">
        <f>SUM(BG66:BJ66)</f>
        <v>3.4279999999999999</v>
      </c>
      <c r="BL66" s="3750">
        <v>0.81699999999999995</v>
      </c>
      <c r="BM66" s="3750">
        <v>0.81699999999999995</v>
      </c>
      <c r="BN66" s="3750">
        <v>0.81599999999999995</v>
      </c>
      <c r="BO66" s="3750">
        <v>0.81699999999999995</v>
      </c>
      <c r="BP66" s="3640">
        <f>SUM(BL66:BO66)</f>
        <v>3.2669999999999995</v>
      </c>
      <c r="BQ66" s="3750">
        <v>0.43</v>
      </c>
      <c r="BR66" s="3847">
        <v>0.25700000000000001</v>
      </c>
      <c r="BS66" s="3847">
        <v>0.28999999999999998</v>
      </c>
      <c r="BT66" s="3847">
        <v>0.28999999999999998</v>
      </c>
      <c r="BU66" s="3641">
        <f>SUM(BQ66:BT66)</f>
        <v>1.2670000000000001</v>
      </c>
      <c r="BV66" s="3930">
        <f t="shared" ref="BV66:BY66" si="133">BQ66</f>
        <v>0.43</v>
      </c>
      <c r="BW66" s="3930">
        <f t="shared" si="133"/>
        <v>0.25700000000000001</v>
      </c>
      <c r="BX66" s="3930">
        <f t="shared" si="133"/>
        <v>0.28999999999999998</v>
      </c>
      <c r="BY66" s="3930">
        <f t="shared" si="133"/>
        <v>0.28999999999999998</v>
      </c>
      <c r="BZ66" s="3957">
        <f>SUM(BV66:BY66)</f>
        <v>1.2670000000000001</v>
      </c>
      <c r="CA66" s="3751">
        <f t="shared" si="130"/>
        <v>1.2670000000000001</v>
      </c>
      <c r="CB66" s="3751">
        <f t="shared" si="130"/>
        <v>1.2670000000000001</v>
      </c>
      <c r="CC66" s="3170">
        <f t="shared" si="131"/>
        <v>1.2670000000000001</v>
      </c>
      <c r="CD66" s="3170">
        <f t="shared" si="131"/>
        <v>1.2670000000000001</v>
      </c>
      <c r="CE66" s="3170">
        <f t="shared" si="131"/>
        <v>1.2670000000000001</v>
      </c>
      <c r="CF66" s="3170">
        <f t="shared" si="131"/>
        <v>1.2670000000000001</v>
      </c>
      <c r="CG66" s="3170">
        <f t="shared" si="131"/>
        <v>1.2670000000000001</v>
      </c>
      <c r="CH66" s="286"/>
      <c r="CI66" s="1979"/>
      <c r="CJ66" s="286"/>
      <c r="CK66" s="286"/>
      <c r="CL66" s="286"/>
      <c r="CM66" s="965"/>
      <c r="CN66" s="965">
        <f>SUM(BV66:BY66)</f>
        <v>1.2670000000000001</v>
      </c>
      <c r="CO66" s="965">
        <f t="shared" si="132"/>
        <v>-1.2670000000000001</v>
      </c>
      <c r="CP66" s="1783" t="str">
        <f t="shared" si="20"/>
        <v>Deferred rent expense</v>
      </c>
      <c r="CQ66" s="347">
        <f t="shared" si="21"/>
        <v>1.9939999999999998</v>
      </c>
      <c r="CR66" s="347">
        <f t="shared" si="22"/>
        <v>5.1310000000000002</v>
      </c>
      <c r="CS66" s="347">
        <f t="shared" si="23"/>
        <v>4.63</v>
      </c>
      <c r="CT66" s="347">
        <f t="shared" si="24"/>
        <v>4.5199999999999996</v>
      </c>
      <c r="CU66" s="347">
        <f t="shared" si="25"/>
        <v>4.46</v>
      </c>
      <c r="CV66" s="347">
        <f t="shared" si="26"/>
        <v>4.3540000000000001</v>
      </c>
      <c r="CW66" s="347">
        <f t="shared" si="27"/>
        <v>4.2709999999999999</v>
      </c>
      <c r="CX66" s="347">
        <f t="shared" si="28"/>
        <v>4.1360000000000001</v>
      </c>
      <c r="CY66" s="347">
        <f t="shared" si="29"/>
        <v>3.984</v>
      </c>
      <c r="CZ66" s="347">
        <f t="shared" si="30"/>
        <v>4.2569999999999997</v>
      </c>
      <c r="DA66" s="347">
        <f t="shared" si="31"/>
        <v>3.6070000000000002</v>
      </c>
      <c r="DB66" s="347">
        <f t="shared" si="32"/>
        <v>3.4279999999999999</v>
      </c>
      <c r="DC66" s="347">
        <f t="shared" si="33"/>
        <v>3.2669999999999995</v>
      </c>
      <c r="DD66" s="347">
        <f t="shared" si="34"/>
        <v>1.2670000000000001</v>
      </c>
      <c r="DE66" s="347">
        <f t="shared" si="35"/>
        <v>1.2670000000000001</v>
      </c>
      <c r="DF66" s="347">
        <f t="shared" si="36"/>
        <v>1.2670000000000001</v>
      </c>
      <c r="DG66" s="1795">
        <f t="shared" si="37"/>
        <v>1.2670000000000001</v>
      </c>
      <c r="DH66" s="289"/>
      <c r="DI66" s="290"/>
      <c r="DJ66" s="290"/>
      <c r="DK66" s="290"/>
      <c r="DL66" s="290"/>
      <c r="DM66" s="290"/>
      <c r="DN66" s="290"/>
      <c r="DO66" s="291"/>
      <c r="DY66" s="286"/>
      <c r="DZ66" s="286"/>
    </row>
    <row r="67" spans="1:130" ht="12.6" customHeight="1">
      <c r="A67" s="3755" t="s">
        <v>202</v>
      </c>
      <c r="B67" s="3756"/>
      <c r="C67" s="3756"/>
      <c r="D67" s="3757">
        <f>D1195</f>
        <v>24.974</v>
      </c>
      <c r="E67" s="3758">
        <f>E1195</f>
        <v>26.585000000000001</v>
      </c>
      <c r="F67" s="3758">
        <f>F1195</f>
        <v>42.055</v>
      </c>
      <c r="G67" s="3758">
        <f>G1195</f>
        <v>43.171999999999997</v>
      </c>
      <c r="H67" s="3759">
        <f>SUM(D67:G67)</f>
        <v>136.786</v>
      </c>
      <c r="I67" s="3758">
        <f>I1195</f>
        <v>43.726999999999997</v>
      </c>
      <c r="J67" s="3758">
        <f>J1195</f>
        <v>44.454000000000001</v>
      </c>
      <c r="K67" s="3758">
        <f>K1195</f>
        <v>42.326999999999998</v>
      </c>
      <c r="L67" s="3758">
        <f>L1195</f>
        <v>45.728999999999999</v>
      </c>
      <c r="M67" s="3759">
        <f>SUM(I67:L67)</f>
        <v>176.23699999999997</v>
      </c>
      <c r="N67" s="3758">
        <f>N1195</f>
        <v>54.444000000000003</v>
      </c>
      <c r="O67" s="3758">
        <f>O1195</f>
        <v>54.587000000000003</v>
      </c>
      <c r="P67" s="3758">
        <f>P1195</f>
        <v>43.298999999999999</v>
      </c>
      <c r="Q67" s="3758">
        <f>Q1195</f>
        <v>42.31</v>
      </c>
      <c r="R67" s="3759">
        <f>SUM(N67:Q67)</f>
        <v>194.64000000000001</v>
      </c>
      <c r="S67" s="3758">
        <f>S1195</f>
        <v>40.936</v>
      </c>
      <c r="T67" s="3758">
        <f>T1195</f>
        <v>42.262</v>
      </c>
      <c r="U67" s="3758">
        <f>U1195</f>
        <v>41.764000000000003</v>
      </c>
      <c r="V67" s="3758">
        <f>V1195</f>
        <v>42.295000000000002</v>
      </c>
      <c r="W67" s="3759">
        <f>SUM(S67:V67)</f>
        <v>167.25700000000001</v>
      </c>
      <c r="X67" s="3758">
        <f>X1195</f>
        <v>43.494</v>
      </c>
      <c r="Y67" s="3758">
        <f>Y1195</f>
        <v>42.9</v>
      </c>
      <c r="Z67" s="3758">
        <f>Z1195</f>
        <v>41.896999999999998</v>
      </c>
      <c r="AA67" s="3758">
        <f>AA1195</f>
        <v>42.003999999999998</v>
      </c>
      <c r="AB67" s="3759">
        <f>SUM(X67:AA67)</f>
        <v>170.29499999999999</v>
      </c>
      <c r="AC67" s="3758">
        <f>AC1195</f>
        <v>42.975999999999999</v>
      </c>
      <c r="AD67" s="3758">
        <f>AD1195</f>
        <v>42.417999999999999</v>
      </c>
      <c r="AE67" s="3758">
        <f>AE1195</f>
        <v>40.902999999999999</v>
      </c>
      <c r="AF67" s="3758">
        <f>AF1195</f>
        <v>39.427999999999997</v>
      </c>
      <c r="AG67" s="3759">
        <f>SUM(AC67:AF67)</f>
        <v>165.72499999999999</v>
      </c>
      <c r="AH67" s="3758">
        <f>AH1195</f>
        <v>40.045999999999999</v>
      </c>
      <c r="AI67" s="3758">
        <f>AI1195</f>
        <v>55.408000000000001</v>
      </c>
      <c r="AJ67" s="3758">
        <f>AJ1195</f>
        <v>52.451000000000001</v>
      </c>
      <c r="AK67" s="3758">
        <f>AK1195</f>
        <v>51.37</v>
      </c>
      <c r="AL67" s="3759">
        <f>SUM(AH67:AK67)</f>
        <v>199.27500000000001</v>
      </c>
      <c r="AM67" s="3758">
        <f>AM1195</f>
        <v>50.584000000000003</v>
      </c>
      <c r="AN67" s="3758">
        <f>AN1195</f>
        <v>48.488</v>
      </c>
      <c r="AO67" s="3758">
        <f>AO1195</f>
        <v>46.033999999999999</v>
      </c>
      <c r="AP67" s="3758">
        <f>AP1195</f>
        <v>50.237000000000002</v>
      </c>
      <c r="AQ67" s="3759">
        <f>SUM(AM67:AP67)</f>
        <v>195.34299999999999</v>
      </c>
      <c r="AR67" s="3758">
        <f>AR1195</f>
        <v>50.014000000000003</v>
      </c>
      <c r="AS67" s="3758">
        <f>AS1195</f>
        <v>50.661000000000001</v>
      </c>
      <c r="AT67" s="3758">
        <f>AT1195</f>
        <v>50.408999999999999</v>
      </c>
      <c r="AU67" s="3758">
        <f>AU1195</f>
        <v>63.207000000000001</v>
      </c>
      <c r="AV67" s="3759">
        <f>SUM(AR67:AU67)</f>
        <v>214.291</v>
      </c>
      <c r="AW67" s="3758">
        <f>AW1195</f>
        <v>54.4</v>
      </c>
      <c r="AX67" s="3758">
        <f>AX1195</f>
        <v>54.8</v>
      </c>
      <c r="AY67" s="3758">
        <f>AY1195</f>
        <v>54.7</v>
      </c>
      <c r="AZ67" s="3758">
        <f>AZ1195</f>
        <v>54.8</v>
      </c>
      <c r="BA67" s="3759">
        <f>SUM(AW67:AZ67)</f>
        <v>218.7</v>
      </c>
      <c r="BB67" s="3758">
        <f>BB1195</f>
        <v>52.3</v>
      </c>
      <c r="BC67" s="3758">
        <f>BC1195</f>
        <v>51.8</v>
      </c>
      <c r="BD67" s="3758">
        <f>BD1195</f>
        <v>52.1</v>
      </c>
      <c r="BE67" s="3758">
        <f>BE1195</f>
        <v>52.798999999999999</v>
      </c>
      <c r="BF67" s="3759">
        <f>SUM(BB67:BE67)</f>
        <v>208.999</v>
      </c>
      <c r="BG67" s="3757">
        <f>BG1195</f>
        <v>51.942</v>
      </c>
      <c r="BH67" s="3758">
        <f>BH1195</f>
        <v>51.963999999999999</v>
      </c>
      <c r="BI67" s="3758">
        <f>BI1195</f>
        <v>51.344999999999999</v>
      </c>
      <c r="BJ67" s="3760">
        <f>BJ1195</f>
        <v>51.866999999999997</v>
      </c>
      <c r="BK67" s="3759">
        <f>SUM(BG67:BJ67)</f>
        <v>207.11799999999999</v>
      </c>
      <c r="BL67" s="3758">
        <f>BL1195</f>
        <v>47.652999999999999</v>
      </c>
      <c r="BM67" s="3758">
        <f>BM1195</f>
        <v>48.25</v>
      </c>
      <c r="BN67" s="3758">
        <f>BN1195</f>
        <v>47.927999999999997</v>
      </c>
      <c r="BO67" s="3760">
        <f>BO1195</f>
        <v>52.395000000000003</v>
      </c>
      <c r="BP67" s="3759">
        <f>SUM(BL67:BO67)</f>
        <v>196.226</v>
      </c>
      <c r="BQ67" s="3758">
        <f>BQ1195</f>
        <v>53.963999999999999</v>
      </c>
      <c r="BR67" s="3758">
        <f>BR1195</f>
        <v>52.563000000000002</v>
      </c>
      <c r="BS67" s="3758">
        <f>BS1195</f>
        <v>55.201000000000001</v>
      </c>
      <c r="BT67" s="3760">
        <f>BT1195</f>
        <v>55.793999999999997</v>
      </c>
      <c r="BU67" s="3761">
        <f>SUM(BQ67:BT67)</f>
        <v>217.52199999999999</v>
      </c>
      <c r="BV67" s="3758">
        <f>BV1195</f>
        <v>54.463999999999999</v>
      </c>
      <c r="BW67" s="3758">
        <f>BW1195</f>
        <v>53.063000000000002</v>
      </c>
      <c r="BX67" s="3758">
        <f>BX1195</f>
        <v>59.123249999999999</v>
      </c>
      <c r="BY67" s="3760">
        <f>BY1195</f>
        <v>59.716249999999995</v>
      </c>
      <c r="BZ67" s="3759">
        <f>SUM(BV67:BY67)</f>
        <v>226.3665</v>
      </c>
      <c r="CA67" s="3759">
        <f t="shared" ref="CA67:CG67" si="134">CA1195</f>
        <v>233.3150364</v>
      </c>
      <c r="CB67" s="3759">
        <f t="shared" si="134"/>
        <v>233.57523869514989</v>
      </c>
      <c r="CC67" s="466">
        <f t="shared" si="134"/>
        <v>233.57523869514989</v>
      </c>
      <c r="CD67" s="466">
        <f t="shared" si="134"/>
        <v>233.57523869514989</v>
      </c>
      <c r="CE67" s="466">
        <f t="shared" si="134"/>
        <v>233.57523869514989</v>
      </c>
      <c r="CF67" s="466">
        <f t="shared" si="134"/>
        <v>233.57523869514989</v>
      </c>
      <c r="CG67" s="466">
        <f t="shared" si="134"/>
        <v>233.57523869514989</v>
      </c>
      <c r="CH67" s="349"/>
      <c r="CI67" s="349"/>
      <c r="CJ67" s="349"/>
      <c r="CK67" s="349"/>
      <c r="CL67" s="349"/>
      <c r="CM67" s="965"/>
      <c r="CN67" s="965">
        <f>SUM(BV67:BY67)</f>
        <v>226.3665</v>
      </c>
      <c r="CO67" s="965">
        <f t="shared" si="132"/>
        <v>-226.3665</v>
      </c>
      <c r="CP67" s="1796" t="str">
        <f t="shared" si="20"/>
        <v>Depreciation and amortization</v>
      </c>
      <c r="CQ67" s="465">
        <f t="shared" si="21"/>
        <v>136.786</v>
      </c>
      <c r="CR67" s="465">
        <f t="shared" si="22"/>
        <v>176.23699999999997</v>
      </c>
      <c r="CS67" s="465">
        <f t="shared" si="23"/>
        <v>194.64000000000001</v>
      </c>
      <c r="CT67" s="465">
        <f t="shared" si="24"/>
        <v>167.25700000000001</v>
      </c>
      <c r="CU67" s="465">
        <f t="shared" si="25"/>
        <v>170.29499999999999</v>
      </c>
      <c r="CV67" s="465">
        <f t="shared" si="26"/>
        <v>165.72499999999999</v>
      </c>
      <c r="CW67" s="465">
        <f t="shared" si="27"/>
        <v>199.27500000000001</v>
      </c>
      <c r="CX67" s="465">
        <f t="shared" si="28"/>
        <v>195.34299999999999</v>
      </c>
      <c r="CY67" s="465">
        <f t="shared" si="29"/>
        <v>214.291</v>
      </c>
      <c r="CZ67" s="465">
        <f t="shared" si="30"/>
        <v>218.7</v>
      </c>
      <c r="DA67" s="465">
        <f t="shared" si="31"/>
        <v>208.999</v>
      </c>
      <c r="DB67" s="465">
        <f t="shared" si="32"/>
        <v>207.11799999999999</v>
      </c>
      <c r="DC67" s="465">
        <f t="shared" si="33"/>
        <v>196.226</v>
      </c>
      <c r="DD67" s="465">
        <f t="shared" si="34"/>
        <v>217.52199999999999</v>
      </c>
      <c r="DE67" s="465">
        <f t="shared" si="35"/>
        <v>226.3665</v>
      </c>
      <c r="DF67" s="465">
        <f t="shared" si="36"/>
        <v>233.3150364</v>
      </c>
      <c r="DG67" s="1797">
        <f t="shared" si="37"/>
        <v>233.57523869514989</v>
      </c>
      <c r="DH67" s="350"/>
      <c r="DI67" s="350"/>
      <c r="DJ67" s="350"/>
      <c r="DK67" s="350"/>
      <c r="DL67" s="350"/>
      <c r="DM67" s="350"/>
      <c r="DN67" s="351"/>
      <c r="DO67" s="276"/>
      <c r="DY67" s="465"/>
      <c r="DZ67" s="465"/>
    </row>
    <row r="68" spans="1:130" s="2252" customFormat="1" ht="12.6" customHeight="1">
      <c r="A68" s="3762" t="s">
        <v>301</v>
      </c>
      <c r="B68" s="3756"/>
      <c r="C68" s="3756"/>
      <c r="D68" s="3757"/>
      <c r="E68" s="3758"/>
      <c r="F68" s="3758"/>
      <c r="G68" s="3758"/>
      <c r="H68" s="3759"/>
      <c r="I68" s="3758"/>
      <c r="J68" s="3758"/>
      <c r="K68" s="3758"/>
      <c r="L68" s="3758"/>
      <c r="M68" s="3759"/>
      <c r="N68" s="3758"/>
      <c r="O68" s="3758"/>
      <c r="P68" s="3758"/>
      <c r="Q68" s="3758"/>
      <c r="R68" s="3759"/>
      <c r="S68" s="3758"/>
      <c r="T68" s="3758"/>
      <c r="U68" s="3758"/>
      <c r="V68" s="3758"/>
      <c r="W68" s="3759"/>
      <c r="X68" s="3758"/>
      <c r="Y68" s="3758"/>
      <c r="Z68" s="3758"/>
      <c r="AA68" s="3758"/>
      <c r="AB68" s="3759"/>
      <c r="AC68" s="3758"/>
      <c r="AD68" s="3758"/>
      <c r="AE68" s="3758"/>
      <c r="AF68" s="3758"/>
      <c r="AG68" s="3759"/>
      <c r="AH68" s="3758"/>
      <c r="AI68" s="3758"/>
      <c r="AJ68" s="3758"/>
      <c r="AK68" s="3758"/>
      <c r="AL68" s="3759"/>
      <c r="AM68" s="3758"/>
      <c r="AN68" s="3758"/>
      <c r="AO68" s="3758"/>
      <c r="AP68" s="3758"/>
      <c r="AQ68" s="3759"/>
      <c r="AR68" s="3758"/>
      <c r="AS68" s="3758"/>
      <c r="AT68" s="3758"/>
      <c r="AU68" s="3758"/>
      <c r="AV68" s="3759"/>
      <c r="AW68" s="3758">
        <f>+AW953</f>
        <v>8</v>
      </c>
      <c r="AX68" s="3758">
        <f t="shared" ref="AX68:BJ68" si="135">+AX953</f>
        <v>10.3</v>
      </c>
      <c r="AY68" s="3758">
        <f t="shared" si="135"/>
        <v>8.9</v>
      </c>
      <c r="AZ68" s="3758">
        <f t="shared" si="135"/>
        <v>8.9</v>
      </c>
      <c r="BA68" s="3759">
        <f>SUM(AW68:AZ68)</f>
        <v>36.1</v>
      </c>
      <c r="BB68" s="3758">
        <f t="shared" si="135"/>
        <v>6.8</v>
      </c>
      <c r="BC68" s="3758">
        <f t="shared" si="135"/>
        <v>7.2</v>
      </c>
      <c r="BD68" s="3758">
        <f t="shared" si="135"/>
        <v>6.4</v>
      </c>
      <c r="BE68" s="3758">
        <f t="shared" si="135"/>
        <v>7.39</v>
      </c>
      <c r="BF68" s="3759">
        <f>SUM(BB68:BE68)</f>
        <v>27.79</v>
      </c>
      <c r="BG68" s="3758">
        <f t="shared" si="135"/>
        <v>7.2380000000000004</v>
      </c>
      <c r="BH68" s="3758">
        <f t="shared" si="135"/>
        <v>7.1760000000000002</v>
      </c>
      <c r="BI68" s="3758">
        <f t="shared" si="135"/>
        <v>6.88</v>
      </c>
      <c r="BJ68" s="3758">
        <f t="shared" si="135"/>
        <v>7.3810000000000002</v>
      </c>
      <c r="BK68" s="3759">
        <f>SUM(BG68:BJ68)</f>
        <v>28.675000000000001</v>
      </c>
      <c r="BL68" s="3758">
        <f>+BL953</f>
        <v>3.831</v>
      </c>
      <c r="BM68" s="3758">
        <f>+BM953</f>
        <v>0</v>
      </c>
      <c r="BN68" s="3758">
        <f>+BN953</f>
        <v>0</v>
      </c>
      <c r="BO68" s="3763">
        <v>0</v>
      </c>
      <c r="BP68" s="3759">
        <f>SUM(BL68:BO68)</f>
        <v>3.831</v>
      </c>
      <c r="BQ68" s="3758">
        <f>+BQ953</f>
        <v>0</v>
      </c>
      <c r="BR68" s="3758">
        <f>+BR953</f>
        <v>0</v>
      </c>
      <c r="BS68" s="3758">
        <f>+BS953</f>
        <v>0</v>
      </c>
      <c r="BT68" s="3763">
        <f>+BT953</f>
        <v>0</v>
      </c>
      <c r="BU68" s="3761">
        <f>SUM(BQ68:BT68)</f>
        <v>0</v>
      </c>
      <c r="BV68" s="3758">
        <f>+BV953</f>
        <v>0</v>
      </c>
      <c r="BW68" s="3758">
        <f>+BW953</f>
        <v>0</v>
      </c>
      <c r="BX68" s="3758">
        <f>+BX953</f>
        <v>0</v>
      </c>
      <c r="BY68" s="3763">
        <f>+BY953</f>
        <v>0</v>
      </c>
      <c r="BZ68" s="3958">
        <f>SUM(BV68:BY68)</f>
        <v>0</v>
      </c>
      <c r="CA68" s="3764">
        <v>0</v>
      </c>
      <c r="CB68" s="3764">
        <v>0</v>
      </c>
      <c r="CC68" s="1797">
        <f>+CC953</f>
        <v>0</v>
      </c>
      <c r="CD68" s="1797">
        <f>+CD953</f>
        <v>0</v>
      </c>
      <c r="CE68" s="1797">
        <f>+CE953</f>
        <v>0</v>
      </c>
      <c r="CF68" s="1797">
        <f>+CF953</f>
        <v>0</v>
      </c>
      <c r="CG68" s="1797">
        <f>+CG953</f>
        <v>0</v>
      </c>
      <c r="CH68" s="349"/>
      <c r="CI68" s="349"/>
      <c r="CJ68" s="349"/>
      <c r="CK68" s="349"/>
      <c r="CL68" s="349"/>
      <c r="CM68" s="349"/>
      <c r="CN68" s="349"/>
      <c r="CO68" s="349"/>
      <c r="CP68" s="3092"/>
      <c r="CQ68" s="465"/>
      <c r="CR68" s="465"/>
      <c r="CS68" s="465"/>
      <c r="CT68" s="465"/>
      <c r="CU68" s="465"/>
      <c r="CV68" s="465"/>
      <c r="CW68" s="465"/>
      <c r="CX68" s="465"/>
      <c r="CY68" s="465"/>
      <c r="CZ68" s="465"/>
      <c r="DA68" s="465"/>
      <c r="DB68" s="465"/>
      <c r="DC68" s="465"/>
      <c r="DD68" s="465"/>
      <c r="DE68" s="465"/>
      <c r="DF68" s="465"/>
      <c r="DG68" s="1797"/>
      <c r="DH68" s="350"/>
      <c r="DI68" s="350"/>
      <c r="DJ68" s="350"/>
      <c r="DK68" s="350"/>
      <c r="DL68" s="350"/>
      <c r="DM68" s="350"/>
      <c r="DN68" s="351"/>
      <c r="DO68" s="206"/>
      <c r="DP68"/>
      <c r="DQ68"/>
      <c r="DR68"/>
      <c r="DS68"/>
      <c r="DT68"/>
      <c r="DU68"/>
      <c r="DY68" s="465"/>
      <c r="DZ68" s="465"/>
    </row>
    <row r="69" spans="1:130" ht="4.5" customHeight="1">
      <c r="A69" s="3644"/>
      <c r="B69" s="3643"/>
      <c r="C69" s="3643"/>
      <c r="D69" s="3645" t="s">
        <v>343</v>
      </c>
      <c r="E69" s="3646" t="s">
        <v>343</v>
      </c>
      <c r="F69" s="3646" t="s">
        <v>343</v>
      </c>
      <c r="G69" s="3646" t="s">
        <v>343</v>
      </c>
      <c r="H69" s="3647" t="s">
        <v>343</v>
      </c>
      <c r="I69" s="3646" t="s">
        <v>343</v>
      </c>
      <c r="J69" s="3646" t="s">
        <v>343</v>
      </c>
      <c r="K69" s="3646" t="s">
        <v>343</v>
      </c>
      <c r="L69" s="3646" t="s">
        <v>343</v>
      </c>
      <c r="M69" s="3647" t="s">
        <v>343</v>
      </c>
      <c r="N69" s="3646" t="s">
        <v>343</v>
      </c>
      <c r="O69" s="3646" t="s">
        <v>343</v>
      </c>
      <c r="P69" s="3646" t="s">
        <v>343</v>
      </c>
      <c r="Q69" s="3646" t="s">
        <v>343</v>
      </c>
      <c r="R69" s="3647" t="s">
        <v>343</v>
      </c>
      <c r="S69" s="3646" t="s">
        <v>343</v>
      </c>
      <c r="T69" s="3646" t="s">
        <v>343</v>
      </c>
      <c r="U69" s="3646" t="s">
        <v>343</v>
      </c>
      <c r="V69" s="3646" t="s">
        <v>343</v>
      </c>
      <c r="W69" s="3647" t="s">
        <v>343</v>
      </c>
      <c r="X69" s="3646" t="s">
        <v>343</v>
      </c>
      <c r="Y69" s="3646" t="s">
        <v>343</v>
      </c>
      <c r="Z69" s="3646" t="s">
        <v>343</v>
      </c>
      <c r="AA69" s="3646" t="s">
        <v>343</v>
      </c>
      <c r="AB69" s="3647" t="s">
        <v>343</v>
      </c>
      <c r="AC69" s="3646" t="s">
        <v>343</v>
      </c>
      <c r="AD69" s="3646" t="s">
        <v>343</v>
      </c>
      <c r="AE69" s="3646" t="s">
        <v>343</v>
      </c>
      <c r="AF69" s="3646" t="s">
        <v>343</v>
      </c>
      <c r="AG69" s="3647" t="s">
        <v>343</v>
      </c>
      <c r="AH69" s="3646" t="s">
        <v>343</v>
      </c>
      <c r="AI69" s="3646" t="s">
        <v>343</v>
      </c>
      <c r="AJ69" s="3646" t="s">
        <v>343</v>
      </c>
      <c r="AK69" s="3646" t="s">
        <v>343</v>
      </c>
      <c r="AL69" s="3647" t="s">
        <v>343</v>
      </c>
      <c r="AM69" s="3646" t="s">
        <v>343</v>
      </c>
      <c r="AN69" s="3646" t="s">
        <v>343</v>
      </c>
      <c r="AO69" s="3646" t="s">
        <v>343</v>
      </c>
      <c r="AP69" s="3646" t="s">
        <v>343</v>
      </c>
      <c r="AQ69" s="3647" t="s">
        <v>343</v>
      </c>
      <c r="AR69" s="3646" t="s">
        <v>343</v>
      </c>
      <c r="AS69" s="3646" t="s">
        <v>343</v>
      </c>
      <c r="AT69" s="3646" t="s">
        <v>343</v>
      </c>
      <c r="AU69" s="3646" t="s">
        <v>343</v>
      </c>
      <c r="AV69" s="3647" t="s">
        <v>343</v>
      </c>
      <c r="AW69" s="3646" t="s">
        <v>343</v>
      </c>
      <c r="AX69" s="3646" t="s">
        <v>343</v>
      </c>
      <c r="AY69" s="3646" t="s">
        <v>343</v>
      </c>
      <c r="AZ69" s="3646" t="s">
        <v>343</v>
      </c>
      <c r="BA69" s="3647" t="s">
        <v>343</v>
      </c>
      <c r="BB69" s="3646" t="s">
        <v>343</v>
      </c>
      <c r="BC69" s="3646" t="s">
        <v>343</v>
      </c>
      <c r="BD69" s="3646" t="s">
        <v>343</v>
      </c>
      <c r="BE69" s="3646" t="s">
        <v>343</v>
      </c>
      <c r="BF69" s="3647" t="s">
        <v>343</v>
      </c>
      <c r="BG69" s="3645" t="s">
        <v>343</v>
      </c>
      <c r="BH69" s="3646" t="s">
        <v>343</v>
      </c>
      <c r="BI69" s="3646" t="s">
        <v>343</v>
      </c>
      <c r="BJ69" s="3649" t="s">
        <v>343</v>
      </c>
      <c r="BK69" s="3647" t="s">
        <v>343</v>
      </c>
      <c r="BL69" s="3646" t="s">
        <v>343</v>
      </c>
      <c r="BM69" s="3646" t="s">
        <v>343</v>
      </c>
      <c r="BN69" s="3646" t="s">
        <v>343</v>
      </c>
      <c r="BO69" s="3649" t="s">
        <v>343</v>
      </c>
      <c r="BP69" s="3647" t="s">
        <v>343</v>
      </c>
      <c r="BQ69" s="3646" t="s">
        <v>343</v>
      </c>
      <c r="BR69" s="3646" t="s">
        <v>343</v>
      </c>
      <c r="BS69" s="3646" t="s">
        <v>343</v>
      </c>
      <c r="BT69" s="3649" t="s">
        <v>343</v>
      </c>
      <c r="BU69" s="3648" t="s">
        <v>343</v>
      </c>
      <c r="BV69" s="3646" t="s">
        <v>343</v>
      </c>
      <c r="BW69" s="3646" t="s">
        <v>343</v>
      </c>
      <c r="BX69" s="3646" t="s">
        <v>343</v>
      </c>
      <c r="BY69" s="3649" t="s">
        <v>343</v>
      </c>
      <c r="BZ69" s="3647" t="s">
        <v>343</v>
      </c>
      <c r="CA69" s="3649" t="s">
        <v>343</v>
      </c>
      <c r="CB69" s="3649" t="s">
        <v>343</v>
      </c>
      <c r="CC69" s="297" t="s">
        <v>343</v>
      </c>
      <c r="CD69" s="297" t="s">
        <v>343</v>
      </c>
      <c r="CE69" s="297" t="s">
        <v>343</v>
      </c>
      <c r="CF69" s="297" t="s">
        <v>343</v>
      </c>
      <c r="CG69" s="297" t="s">
        <v>343</v>
      </c>
      <c r="CH69" s="295"/>
      <c r="CI69" s="295"/>
      <c r="CJ69" s="295"/>
      <c r="CK69" s="295"/>
      <c r="CL69" s="295"/>
      <c r="CM69" s="295"/>
      <c r="CN69" s="295"/>
      <c r="CO69" s="295"/>
      <c r="CP69" s="1784"/>
      <c r="CQ69" s="295" t="str">
        <f t="shared" si="21"/>
        <v xml:space="preserve">                </v>
      </c>
      <c r="CR69" s="295" t="str">
        <f t="shared" si="22"/>
        <v xml:space="preserve">                </v>
      </c>
      <c r="CS69" s="295" t="str">
        <f t="shared" si="23"/>
        <v xml:space="preserve">                </v>
      </c>
      <c r="CT69" s="295" t="str">
        <f t="shared" si="24"/>
        <v xml:space="preserve">                </v>
      </c>
      <c r="CU69" s="295" t="str">
        <f t="shared" si="25"/>
        <v xml:space="preserve">                </v>
      </c>
      <c r="CV69" s="295" t="str">
        <f t="shared" si="26"/>
        <v xml:space="preserve">                </v>
      </c>
      <c r="CW69" s="295" t="str">
        <f t="shared" si="27"/>
        <v xml:space="preserve">                </v>
      </c>
      <c r="CX69" s="295" t="str">
        <f t="shared" si="28"/>
        <v xml:space="preserve">                </v>
      </c>
      <c r="CY69" s="295" t="str">
        <f t="shared" si="29"/>
        <v xml:space="preserve">                </v>
      </c>
      <c r="CZ69" s="295" t="str">
        <f t="shared" si="30"/>
        <v xml:space="preserve">                </v>
      </c>
      <c r="DA69" s="295" t="str">
        <f t="shared" si="31"/>
        <v xml:space="preserve">                </v>
      </c>
      <c r="DB69" s="295" t="str">
        <f t="shared" si="32"/>
        <v xml:space="preserve">                </v>
      </c>
      <c r="DC69" s="295" t="str">
        <f t="shared" si="33"/>
        <v xml:space="preserve">                </v>
      </c>
      <c r="DD69" s="295" t="str">
        <f t="shared" si="34"/>
        <v xml:space="preserve">                </v>
      </c>
      <c r="DE69" s="295" t="str">
        <f t="shared" si="35"/>
        <v xml:space="preserve">                </v>
      </c>
      <c r="DF69" s="295" t="str">
        <f t="shared" si="36"/>
        <v xml:space="preserve">                </v>
      </c>
      <c r="DG69" s="297" t="str">
        <f t="shared" si="37"/>
        <v xml:space="preserve">                </v>
      </c>
      <c r="DH69" s="298"/>
      <c r="DI69" s="299"/>
      <c r="DJ69" s="299"/>
      <c r="DK69" s="299"/>
      <c r="DL69" s="299"/>
      <c r="DM69" s="299"/>
      <c r="DN69" s="299"/>
      <c r="DO69" s="300"/>
      <c r="DY69" s="295"/>
      <c r="DZ69" s="295"/>
    </row>
    <row r="70" spans="1:130" ht="12.6" customHeight="1">
      <c r="A70" s="3650" t="s">
        <v>1511</v>
      </c>
      <c r="B70" s="3765"/>
      <c r="C70" s="3765"/>
      <c r="D70" s="3766">
        <f>D55-SUM(D65:D67)</f>
        <v>42.569999999999993</v>
      </c>
      <c r="E70" s="3765">
        <f>E55-SUM(E65:E67)</f>
        <v>39.776000000000003</v>
      </c>
      <c r="F70" s="3765">
        <f>F55-SUM(F65:F67)</f>
        <v>66.019000000000005</v>
      </c>
      <c r="G70" s="3765">
        <f>G55-SUM(G65:G67)</f>
        <v>82.380999999999986</v>
      </c>
      <c r="H70" s="3767">
        <f>SUM(D70:G70)</f>
        <v>230.74599999999998</v>
      </c>
      <c r="I70" s="3765">
        <f>I55-SUM(I65:I67)</f>
        <v>103.64899999999997</v>
      </c>
      <c r="J70" s="3765">
        <f>J55-SUM(J65:J67)</f>
        <v>91.942999999999984</v>
      </c>
      <c r="K70" s="3765">
        <f>K55-SUM(K65:K67)</f>
        <v>81.550000000000011</v>
      </c>
      <c r="L70" s="3765">
        <f>L55-SUM(L65:L67)</f>
        <v>112.23300000000003</v>
      </c>
      <c r="M70" s="3767">
        <f>SUM(I70:L70)</f>
        <v>389.375</v>
      </c>
      <c r="N70" s="3765">
        <f>N55-SUM(N65:N67)</f>
        <v>128.62199999999999</v>
      </c>
      <c r="O70" s="3765">
        <f>O55-SUM(O65:O67)</f>
        <v>91.055000000000007</v>
      </c>
      <c r="P70" s="3765">
        <f>P55-SUM(P65:P67)</f>
        <v>73.481999999999999</v>
      </c>
      <c r="Q70" s="3765">
        <f>Q55-SUM(Q65:Q67)</f>
        <v>81.428999999999974</v>
      </c>
      <c r="R70" s="3767">
        <f>SUM(N70:Q70)</f>
        <v>374.58799999999997</v>
      </c>
      <c r="S70" s="3765">
        <f>S55-SUM(S65:S67)</f>
        <v>87.298000000000002</v>
      </c>
      <c r="T70" s="3765">
        <f>T55-SUM(T65:T67)</f>
        <v>80.32699999999997</v>
      </c>
      <c r="U70" s="3765">
        <f>U55-SUM(U65:U67)</f>
        <v>70.007000000000019</v>
      </c>
      <c r="V70" s="3765">
        <f>V55-SUM(V65:V67)</f>
        <v>70.248999999999995</v>
      </c>
      <c r="W70" s="3767">
        <f>SUM(S70:V70)</f>
        <v>307.88099999999997</v>
      </c>
      <c r="X70" s="3765">
        <f>X55-SUM(X65:X67)</f>
        <v>61.079999999999991</v>
      </c>
      <c r="Y70" s="3765">
        <f>Y55-SUM(Y65:Y67)</f>
        <v>59.341000000000008</v>
      </c>
      <c r="Z70" s="3765">
        <f>Z55-SUM(Z65:Z67)</f>
        <v>35.190000000000005</v>
      </c>
      <c r="AA70" s="3765">
        <f>AA55-SUM(AA65:AA67)</f>
        <v>39.092000000000006</v>
      </c>
      <c r="AB70" s="3767">
        <f>SUM(X70:AA70)</f>
        <v>194.703</v>
      </c>
      <c r="AC70" s="3765">
        <f>AC55-SUM(AC65:AC67)</f>
        <v>49.257999999999988</v>
      </c>
      <c r="AD70" s="3765">
        <f>AD55-SUM(AD65:AD67)</f>
        <v>44.742000000000004</v>
      </c>
      <c r="AE70" s="3765">
        <f>AE55-SUM(AE65:AE67)</f>
        <v>27.566000000000003</v>
      </c>
      <c r="AF70" s="3765">
        <f>AF55-SUM(AF65:AF67)</f>
        <v>20.780999999999992</v>
      </c>
      <c r="AG70" s="3767">
        <f>AG55-AG67</f>
        <v>160.67099999999996</v>
      </c>
      <c r="AH70" s="3765">
        <f>AH55-SUM(AH65:AH67)</f>
        <v>38.545000000000002</v>
      </c>
      <c r="AI70" s="3765">
        <f>AI55-SUM(AI65:AI67)</f>
        <v>54.152000000000022</v>
      </c>
      <c r="AJ70" s="3765">
        <f>AJ55-SUM(AJ65:AJ67)</f>
        <v>59.461000000000013</v>
      </c>
      <c r="AK70" s="3765">
        <f>AK55-SUM(AK65:AK67)</f>
        <v>44.405999999999992</v>
      </c>
      <c r="AL70" s="3767">
        <f>SUM(AH70:AK70)</f>
        <v>196.56400000000002</v>
      </c>
      <c r="AM70" s="3765">
        <f>AM55-SUM(AM65:AM67)</f>
        <v>56.307999999999979</v>
      </c>
      <c r="AN70" s="3765">
        <f>AN55-SUM(AN65:AN67)</f>
        <v>66.752000000000038</v>
      </c>
      <c r="AO70" s="3765">
        <f>AO55-SUM(AO65:AO67)</f>
        <v>72.837000000000018</v>
      </c>
      <c r="AP70" s="3765">
        <f>AP55-SUM(AP65:AP67)</f>
        <v>60.739999999999981</v>
      </c>
      <c r="AQ70" s="3767">
        <f>SUM(AM70:AP70)</f>
        <v>256.63700000000006</v>
      </c>
      <c r="AR70" s="3765">
        <f>AR55-SUM(AR65:AR67)</f>
        <v>79.675999999999988</v>
      </c>
      <c r="AS70" s="3765">
        <f>AS55-SUM(AS65:AS67)</f>
        <v>59.340999999999994</v>
      </c>
      <c r="AT70" s="3765">
        <f>AT55-SUM(AT65:AT67)</f>
        <v>50.591000000000008</v>
      </c>
      <c r="AU70" s="3765">
        <f>AU55-SUM(AU65:AU67)</f>
        <v>31.966999999999999</v>
      </c>
      <c r="AV70" s="3767">
        <f>AV55-SUM(AV65:AV67)</f>
        <v>221.57500000000005</v>
      </c>
      <c r="AW70" s="3765">
        <f t="shared" ref="AW70:CB70" si="136">AW55-SUM(AW65:AW68)</f>
        <v>81.82650000000001</v>
      </c>
      <c r="AX70" s="3765">
        <f t="shared" si="136"/>
        <v>77.069500000000019</v>
      </c>
      <c r="AY70" s="3765">
        <f t="shared" si="136"/>
        <v>65.28100000000002</v>
      </c>
      <c r="AZ70" s="3765">
        <f t="shared" si="136"/>
        <v>48.6875</v>
      </c>
      <c r="BA70" s="3767">
        <f t="shared" si="136"/>
        <v>272.86449999999991</v>
      </c>
      <c r="BB70" s="3765">
        <f t="shared" si="136"/>
        <v>67.745000000000033</v>
      </c>
      <c r="BC70" s="3765">
        <f t="shared" si="136"/>
        <v>75.987000000000009</v>
      </c>
      <c r="BD70" s="3765">
        <f t="shared" si="136"/>
        <v>74.494499999999988</v>
      </c>
      <c r="BE70" s="3765">
        <f t="shared" si="136"/>
        <v>68.037000000000006</v>
      </c>
      <c r="BF70" s="3767">
        <f t="shared" si="136"/>
        <v>286.26349999999991</v>
      </c>
      <c r="BG70" s="3766">
        <f t="shared" si="136"/>
        <v>85.693500000000029</v>
      </c>
      <c r="BH70" s="3765">
        <f t="shared" si="136"/>
        <v>99.98450000000004</v>
      </c>
      <c r="BI70" s="3765">
        <f t="shared" si="136"/>
        <v>102.21600000000001</v>
      </c>
      <c r="BJ70" s="3768">
        <f t="shared" si="136"/>
        <v>83.107000000000014</v>
      </c>
      <c r="BK70" s="3767">
        <f t="shared" si="136"/>
        <v>371.00099999999998</v>
      </c>
      <c r="BL70" s="3765">
        <f t="shared" si="136"/>
        <v>104.7955</v>
      </c>
      <c r="BM70" s="3765">
        <f t="shared" ref="BM70:BU70" si="137">BM55-SUM(BM65:BM68)</f>
        <v>86.509999999999991</v>
      </c>
      <c r="BN70" s="3765">
        <f t="shared" si="137"/>
        <v>71.654000000000025</v>
      </c>
      <c r="BO70" s="3768">
        <f t="shared" si="137"/>
        <v>77.195999999999984</v>
      </c>
      <c r="BP70" s="3767">
        <f t="shared" si="137"/>
        <v>340.15550000000007</v>
      </c>
      <c r="BQ70" s="3765">
        <f t="shared" si="137"/>
        <v>98.325999999999993</v>
      </c>
      <c r="BR70" s="3765">
        <f t="shared" si="137"/>
        <v>92.608000000000004</v>
      </c>
      <c r="BS70" s="3765">
        <f t="shared" si="137"/>
        <v>82.397999999999996</v>
      </c>
      <c r="BT70" s="3768">
        <f t="shared" si="137"/>
        <v>86.091000000000008</v>
      </c>
      <c r="BU70" s="3769">
        <f t="shared" si="137"/>
        <v>359.423</v>
      </c>
      <c r="BV70" s="3765">
        <f t="shared" ref="BV70:BZ70" si="138">BV55-SUM(BV65:BV68)</f>
        <v>98.857807417579835</v>
      </c>
      <c r="BW70" s="3765">
        <f t="shared" si="138"/>
        <v>96.41602139382249</v>
      </c>
      <c r="BX70" s="3765">
        <f t="shared" si="138"/>
        <v>140.55375484526766</v>
      </c>
      <c r="BY70" s="3768">
        <f t="shared" si="138"/>
        <v>149.72024180563795</v>
      </c>
      <c r="BZ70" s="3767">
        <f t="shared" si="138"/>
        <v>485.54782546230786</v>
      </c>
      <c r="CA70" s="3767">
        <f t="shared" si="136"/>
        <v>619.56285612238423</v>
      </c>
      <c r="CB70" s="3767">
        <f t="shared" si="136"/>
        <v>630.82870536527048</v>
      </c>
      <c r="CC70" s="1487">
        <f>CC55-SUM(CC65:CC68)</f>
        <v>-227.47250341035391</v>
      </c>
      <c r="CD70" s="1487">
        <f>CD55-SUM(CD65:CD68)</f>
        <v>-279.12464284480762</v>
      </c>
      <c r="CE70" s="1487">
        <f>CE55-SUM(CE65:CE68)</f>
        <v>-257.75351062016239</v>
      </c>
      <c r="CF70" s="1487">
        <f>CF55-SUM(CF65:CF68)</f>
        <v>-235.73913056617889</v>
      </c>
      <c r="CG70" s="1487">
        <f>CG55-SUM(CG65:CG68)</f>
        <v>-213.06647947442275</v>
      </c>
      <c r="CH70" s="352"/>
      <c r="CI70" s="1980"/>
      <c r="CJ70" s="1980"/>
      <c r="CK70" s="352"/>
      <c r="CL70" s="352"/>
      <c r="CM70" s="965"/>
      <c r="CN70" s="965">
        <f>SUM(BV70:BY70)</f>
        <v>485.54782546230791</v>
      </c>
      <c r="CO70" s="965">
        <f>CM70-CN70</f>
        <v>-485.54782546230791</v>
      </c>
      <c r="CP70" s="1785" t="str">
        <f t="shared" si="20"/>
        <v>Operating Income</v>
      </c>
      <c r="CQ70" s="352">
        <f t="shared" si="21"/>
        <v>230.74599999999998</v>
      </c>
      <c r="CR70" s="352">
        <f t="shared" si="22"/>
        <v>389.375</v>
      </c>
      <c r="CS70" s="352">
        <f t="shared" si="23"/>
        <v>374.58799999999997</v>
      </c>
      <c r="CT70" s="352">
        <f t="shared" si="24"/>
        <v>307.88099999999997</v>
      </c>
      <c r="CU70" s="352">
        <f t="shared" si="25"/>
        <v>194.703</v>
      </c>
      <c r="CV70" s="352">
        <f t="shared" si="26"/>
        <v>160.67099999999996</v>
      </c>
      <c r="CW70" s="352">
        <f t="shared" si="27"/>
        <v>196.56400000000002</v>
      </c>
      <c r="CX70" s="352">
        <f t="shared" si="28"/>
        <v>256.63700000000006</v>
      </c>
      <c r="CY70" s="352">
        <f t="shared" si="29"/>
        <v>221.57500000000005</v>
      </c>
      <c r="CZ70" s="352">
        <f t="shared" si="30"/>
        <v>272.86449999999991</v>
      </c>
      <c r="DA70" s="352">
        <f t="shared" si="31"/>
        <v>286.26349999999991</v>
      </c>
      <c r="DB70" s="352">
        <f t="shared" si="32"/>
        <v>371.00099999999998</v>
      </c>
      <c r="DC70" s="352">
        <f t="shared" si="33"/>
        <v>340.15550000000007</v>
      </c>
      <c r="DD70" s="352">
        <f t="shared" si="34"/>
        <v>359.423</v>
      </c>
      <c r="DE70" s="352">
        <f t="shared" si="35"/>
        <v>485.54782546230786</v>
      </c>
      <c r="DF70" s="352">
        <f t="shared" si="36"/>
        <v>619.56285612238423</v>
      </c>
      <c r="DG70" s="1798">
        <f t="shared" si="37"/>
        <v>630.82870536527048</v>
      </c>
      <c r="DH70" s="352"/>
      <c r="DI70" s="352"/>
      <c r="DJ70" s="352"/>
      <c r="DK70" s="352"/>
      <c r="DL70" s="352"/>
      <c r="DM70" s="352"/>
      <c r="DN70" s="352"/>
      <c r="DO70" s="324"/>
      <c r="DY70" s="352"/>
      <c r="DZ70" s="352"/>
    </row>
    <row r="71" spans="1:130" ht="12.6" customHeight="1">
      <c r="A71" s="3656" t="s">
        <v>56</v>
      </c>
      <c r="B71" s="3770"/>
      <c r="C71" s="3770"/>
      <c r="D71" s="3771">
        <f t="shared" ref="D71:AI71" si="139">D70/D21</f>
        <v>0.12898514716487189</v>
      </c>
      <c r="E71" s="3770">
        <f t="shared" si="139"/>
        <v>0.11633981193056349</v>
      </c>
      <c r="F71" s="3770">
        <f t="shared" si="139"/>
        <v>0.12635384588884446</v>
      </c>
      <c r="G71" s="3770">
        <f t="shared" si="139"/>
        <v>0.15266144335398935</v>
      </c>
      <c r="H71" s="3772">
        <f t="shared" si="139"/>
        <v>0.1330670600406676</v>
      </c>
      <c r="I71" s="3770">
        <f t="shared" si="139"/>
        <v>0.1828379403411596</v>
      </c>
      <c r="J71" s="3770">
        <f t="shared" si="139"/>
        <v>0.16588723500225527</v>
      </c>
      <c r="K71" s="3770">
        <f t="shared" si="139"/>
        <v>0.15199976142281471</v>
      </c>
      <c r="L71" s="3770">
        <f t="shared" si="139"/>
        <v>0.1985138830421356</v>
      </c>
      <c r="M71" s="3772">
        <f t="shared" si="139"/>
        <v>0.17515586904301356</v>
      </c>
      <c r="N71" s="3770">
        <f t="shared" si="139"/>
        <v>0.19895958531910846</v>
      </c>
      <c r="O71" s="3770">
        <f t="shared" si="139"/>
        <v>0.14905887706960283</v>
      </c>
      <c r="P71" s="3770">
        <f t="shared" si="139"/>
        <v>0.13846606090984123</v>
      </c>
      <c r="Q71" s="3770">
        <f t="shared" si="139"/>
        <v>0.15634287952445677</v>
      </c>
      <c r="R71" s="3772">
        <f t="shared" si="139"/>
        <v>0.16223930327551117</v>
      </c>
      <c r="S71" s="3770">
        <f t="shared" si="139"/>
        <v>0.16884513471171886</v>
      </c>
      <c r="T71" s="3770">
        <f t="shared" si="139"/>
        <v>0.15707550582626595</v>
      </c>
      <c r="U71" s="3770">
        <f t="shared" si="139"/>
        <v>0.14285539378233059</v>
      </c>
      <c r="V71" s="3770">
        <f t="shared" si="139"/>
        <v>0.14676700588956695</v>
      </c>
      <c r="W71" s="3772">
        <f t="shared" si="139"/>
        <v>0.15416257118379023</v>
      </c>
      <c r="X71" s="3770">
        <f t="shared" si="139"/>
        <v>0.12964904758468151</v>
      </c>
      <c r="Y71" s="3770">
        <f t="shared" si="139"/>
        <v>0.12878827338941412</v>
      </c>
      <c r="Z71" s="3770">
        <f t="shared" si="139"/>
        <v>8.2517498915477605E-2</v>
      </c>
      <c r="AA71" s="3770">
        <f t="shared" si="139"/>
        <v>9.2496983176774031E-2</v>
      </c>
      <c r="AB71" s="3772">
        <f t="shared" si="139"/>
        <v>0.10932431650895272</v>
      </c>
      <c r="AC71" s="3770">
        <f t="shared" si="139"/>
        <v>0.11327714472973126</v>
      </c>
      <c r="AD71" s="3770">
        <f t="shared" si="139"/>
        <v>0.10578555384797257</v>
      </c>
      <c r="AE71" s="3770">
        <f t="shared" si="139"/>
        <v>6.9219044653641121E-2</v>
      </c>
      <c r="AF71" s="3770">
        <f t="shared" si="139"/>
        <v>5.3983914710558294E-2</v>
      </c>
      <c r="AG71" s="3772">
        <f t="shared" si="139"/>
        <v>9.7911255793772758E-2</v>
      </c>
      <c r="AH71" s="3770">
        <f t="shared" si="139"/>
        <v>9.2843946536146388E-2</v>
      </c>
      <c r="AI71" s="3770">
        <f t="shared" si="139"/>
        <v>9.3871777448030089E-2</v>
      </c>
      <c r="AJ71" s="3770">
        <f t="shared" ref="AJ71:CA71" si="140">AJ70/AJ21</f>
        <v>0.10012410060736893</v>
      </c>
      <c r="AK71" s="3770">
        <f t="shared" si="140"/>
        <v>8.0651957543571587E-2</v>
      </c>
      <c r="AL71" s="3772">
        <f t="shared" si="140"/>
        <v>9.2003152831838367E-2</v>
      </c>
      <c r="AM71" s="3770">
        <f t="shared" si="140"/>
        <v>9.9942315030927986E-2</v>
      </c>
      <c r="AN71" s="3770">
        <f t="shared" si="140"/>
        <v>0.11651027703306531</v>
      </c>
      <c r="AO71" s="3770">
        <f t="shared" si="140"/>
        <v>0.1236272968908593</v>
      </c>
      <c r="AP71" s="3770">
        <f t="shared" si="140"/>
        <v>0.10033964159221861</v>
      </c>
      <c r="AQ71" s="3772">
        <f t="shared" si="140"/>
        <v>0.11010479899332561</v>
      </c>
      <c r="AR71" s="3770">
        <f t="shared" si="140"/>
        <v>0.1261356818207004</v>
      </c>
      <c r="AS71" s="3770">
        <f t="shared" si="140"/>
        <v>9.6635562720862447E-2</v>
      </c>
      <c r="AT71" s="3770">
        <f t="shared" si="140"/>
        <v>8.2612387530821882E-2</v>
      </c>
      <c r="AU71" s="3770">
        <f t="shared" si="140"/>
        <v>5.1172581600473825E-2</v>
      </c>
      <c r="AV71" s="3772">
        <f t="shared" si="140"/>
        <v>8.9243315763251368E-2</v>
      </c>
      <c r="AW71" s="3770">
        <f t="shared" si="140"/>
        <v>0.14357037582903467</v>
      </c>
      <c r="AX71" s="3770">
        <f t="shared" si="140"/>
        <v>0.13619623553778162</v>
      </c>
      <c r="AY71" s="3770">
        <f t="shared" si="140"/>
        <v>0.12122343171444597</v>
      </c>
      <c r="AZ71" s="3770">
        <f t="shared" si="140"/>
        <v>9.2842609489921013E-2</v>
      </c>
      <c r="BA71" s="3772">
        <f t="shared" si="140"/>
        <v>0.12410050674523292</v>
      </c>
      <c r="BB71" s="3770">
        <f t="shared" si="140"/>
        <v>0.12520214014433967</v>
      </c>
      <c r="BC71" s="3770">
        <f t="shared" si="140"/>
        <v>0.14053969075978398</v>
      </c>
      <c r="BD71" s="3770">
        <f t="shared" si="140"/>
        <v>0.14084905160939012</v>
      </c>
      <c r="BE71" s="3770">
        <f t="shared" si="140"/>
        <v>0.12798653109980343</v>
      </c>
      <c r="BF71" s="3772">
        <f t="shared" si="140"/>
        <v>0.13362712019478529</v>
      </c>
      <c r="BG71" s="3771">
        <f t="shared" si="140"/>
        <v>0.15564279720584556</v>
      </c>
      <c r="BH71" s="3770">
        <f t="shared" si="140"/>
        <v>0.17858680217552453</v>
      </c>
      <c r="BI71" s="3770">
        <f t="shared" si="140"/>
        <v>0.18710153337006444</v>
      </c>
      <c r="BJ71" s="3773">
        <f t="shared" si="140"/>
        <v>0.15314350788871406</v>
      </c>
      <c r="BK71" s="3772">
        <f t="shared" si="140"/>
        <v>0.16868052177154988</v>
      </c>
      <c r="BL71" s="3770">
        <f t="shared" si="140"/>
        <v>0.18971700538399433</v>
      </c>
      <c r="BM71" s="3770">
        <f t="shared" ref="BM71:BU71" si="141">BM70/BM21</f>
        <v>0.15877094295367908</v>
      </c>
      <c r="BN71" s="3770">
        <f t="shared" si="141"/>
        <v>0.13471303870457102</v>
      </c>
      <c r="BO71" s="3773">
        <f t="shared" si="141"/>
        <v>0.13913626507913332</v>
      </c>
      <c r="BP71" s="3772">
        <f t="shared" si="141"/>
        <v>0.15575063817122453</v>
      </c>
      <c r="BQ71" s="3770">
        <f t="shared" si="141"/>
        <v>0.16243049383654198</v>
      </c>
      <c r="BR71" s="3770">
        <f t="shared" si="141"/>
        <v>0.15438063040535588</v>
      </c>
      <c r="BS71" s="3770">
        <f t="shared" si="141"/>
        <v>0.14021253605370407</v>
      </c>
      <c r="BT71" s="3773">
        <f t="shared" si="141"/>
        <v>0.1457114712811764</v>
      </c>
      <c r="BU71" s="3774">
        <f t="shared" si="141"/>
        <v>0.15078321286970253</v>
      </c>
      <c r="BV71" s="3770">
        <f t="shared" ref="BV71:BZ71" si="142">BV70/BV21</f>
        <v>0.16212183623868034</v>
      </c>
      <c r="BW71" s="3770">
        <f t="shared" si="142"/>
        <v>0.15890993172652959</v>
      </c>
      <c r="BX71" s="3770">
        <f t="shared" si="142"/>
        <v>0.17640213051070527</v>
      </c>
      <c r="BY71" s="3773">
        <f t="shared" si="142"/>
        <v>0.18759714462111549</v>
      </c>
      <c r="BZ71" s="3772">
        <f t="shared" si="142"/>
        <v>0.17270779542919032</v>
      </c>
      <c r="CA71" s="3772">
        <f t="shared" si="140"/>
        <v>0.19087503289159743</v>
      </c>
      <c r="CB71" s="3772">
        <f t="shared" ref="CB71:CG71" si="143">CB70/CB21</f>
        <v>0.19405932232239784</v>
      </c>
      <c r="CC71" s="359">
        <f t="shared" si="143"/>
        <v>-9.3852281156297818E-2</v>
      </c>
      <c r="CD71" s="359">
        <f t="shared" si="143"/>
        <v>-0.1212611294588623</v>
      </c>
      <c r="CE71" s="359">
        <f t="shared" si="143"/>
        <v>-0.10976817060894396</v>
      </c>
      <c r="CF71" s="359">
        <f t="shared" si="143"/>
        <v>-9.8413105693904504E-2</v>
      </c>
      <c r="CG71" s="359">
        <f t="shared" si="143"/>
        <v>-8.7194041234442035E-2</v>
      </c>
      <c r="CH71" s="357"/>
      <c r="CI71" s="357"/>
      <c r="CJ71" s="357"/>
      <c r="CK71" s="357"/>
      <c r="CL71" s="357"/>
      <c r="CM71" s="357"/>
      <c r="CN71" s="357"/>
      <c r="CO71" s="357"/>
      <c r="CP71" s="1786" t="str">
        <f t="shared" si="20"/>
        <v>% Margin</v>
      </c>
      <c r="CQ71" s="357">
        <f t="shared" si="21"/>
        <v>0.1330670600406676</v>
      </c>
      <c r="CR71" s="357">
        <f t="shared" si="22"/>
        <v>0.17515586904301356</v>
      </c>
      <c r="CS71" s="357">
        <f t="shared" si="23"/>
        <v>0.16223930327551117</v>
      </c>
      <c r="CT71" s="357">
        <f t="shared" si="24"/>
        <v>0.15416257118379023</v>
      </c>
      <c r="CU71" s="357">
        <f t="shared" si="25"/>
        <v>0.10932431650895272</v>
      </c>
      <c r="CV71" s="357">
        <f t="shared" si="26"/>
        <v>9.7911255793772758E-2</v>
      </c>
      <c r="CW71" s="357">
        <f t="shared" si="27"/>
        <v>9.2003152831838367E-2</v>
      </c>
      <c r="CX71" s="357">
        <f t="shared" si="28"/>
        <v>0.11010479899332561</v>
      </c>
      <c r="CY71" s="357">
        <f t="shared" si="29"/>
        <v>8.9243315763251368E-2</v>
      </c>
      <c r="CZ71" s="357">
        <f t="shared" si="30"/>
        <v>0.12410050674523292</v>
      </c>
      <c r="DA71" s="357">
        <f t="shared" si="31"/>
        <v>0.13362712019478529</v>
      </c>
      <c r="DB71" s="357">
        <f t="shared" si="32"/>
        <v>0.16868052177154988</v>
      </c>
      <c r="DC71" s="357">
        <f t="shared" si="33"/>
        <v>0.15575063817122453</v>
      </c>
      <c r="DD71" s="357">
        <f t="shared" si="34"/>
        <v>0.15078321286970253</v>
      </c>
      <c r="DE71" s="357">
        <f t="shared" si="35"/>
        <v>0.17270779542919032</v>
      </c>
      <c r="DF71" s="357">
        <f t="shared" si="36"/>
        <v>0.19087503289159743</v>
      </c>
      <c r="DG71" s="1799">
        <f t="shared" si="37"/>
        <v>0.19405932232239784</v>
      </c>
      <c r="DH71" s="357"/>
      <c r="DI71" s="357"/>
      <c r="DJ71" s="357"/>
      <c r="DK71" s="357"/>
      <c r="DL71" s="357"/>
      <c r="DM71" s="357"/>
      <c r="DN71" s="357"/>
      <c r="DO71" s="266"/>
      <c r="DY71" s="357"/>
      <c r="DZ71" s="357"/>
    </row>
    <row r="72" spans="1:130" ht="12.6" customHeight="1">
      <c r="A72" s="3616"/>
      <c r="B72" s="3775"/>
      <c r="C72" s="3775"/>
      <c r="D72" s="3776"/>
      <c r="E72" s="3777"/>
      <c r="F72" s="3778"/>
      <c r="G72" s="3778"/>
      <c r="H72" s="3779"/>
      <c r="I72" s="3778"/>
      <c r="J72" s="3778"/>
      <c r="K72" s="3778"/>
      <c r="L72" s="3778"/>
      <c r="M72" s="3780"/>
      <c r="N72" s="3778"/>
      <c r="O72" s="3778"/>
      <c r="P72" s="3778"/>
      <c r="Q72" s="3778"/>
      <c r="R72" s="3780"/>
      <c r="S72" s="3778"/>
      <c r="T72" s="3778"/>
      <c r="U72" s="3778"/>
      <c r="V72" s="3778"/>
      <c r="W72" s="3780"/>
      <c r="X72" s="3778"/>
      <c r="Y72" s="3778"/>
      <c r="Z72" s="3778"/>
      <c r="AA72" s="3778"/>
      <c r="AB72" s="3780"/>
      <c r="AC72" s="3778"/>
      <c r="AD72" s="3778"/>
      <c r="AE72" s="3778"/>
      <c r="AF72" s="3778"/>
      <c r="AG72" s="3780"/>
      <c r="AH72" s="3781"/>
      <c r="AI72" s="3781"/>
      <c r="AJ72" s="3781"/>
      <c r="AK72" s="3781"/>
      <c r="AL72" s="3782"/>
      <c r="AM72" s="3778"/>
      <c r="AN72" s="3778"/>
      <c r="AO72" s="3778"/>
      <c r="AP72" s="3781"/>
      <c r="AQ72" s="3782"/>
      <c r="AR72" s="3778"/>
      <c r="AS72" s="3778"/>
      <c r="AT72" s="3778"/>
      <c r="AU72" s="3778"/>
      <c r="AV72" s="3782"/>
      <c r="AW72" s="3778"/>
      <c r="AX72" s="3778"/>
      <c r="AY72" s="3778"/>
      <c r="AZ72" s="3778"/>
      <c r="BA72" s="3782"/>
      <c r="BB72" s="3778"/>
      <c r="BC72" s="3778"/>
      <c r="BD72" s="3778"/>
      <c r="BE72" s="3778"/>
      <c r="BF72" s="3782"/>
      <c r="BG72" s="3783"/>
      <c r="BH72" s="3778"/>
      <c r="BI72" s="3778"/>
      <c r="BJ72" s="3784"/>
      <c r="BK72" s="3782"/>
      <c r="BL72" s="3778"/>
      <c r="BM72" s="3778"/>
      <c r="BN72" s="3778"/>
      <c r="BO72" s="3784"/>
      <c r="BP72" s="3782"/>
      <c r="BQ72" s="3778"/>
      <c r="BR72" s="3778"/>
      <c r="BS72" s="3778"/>
      <c r="BT72" s="3784"/>
      <c r="BU72" s="3785"/>
      <c r="BV72" s="3778"/>
      <c r="BW72" s="3778"/>
      <c r="BX72" s="3778"/>
      <c r="BY72" s="3778"/>
      <c r="BZ72" s="3782"/>
      <c r="CA72" s="3782"/>
      <c r="CB72" s="3782"/>
      <c r="CC72" s="362"/>
      <c r="CD72" s="362"/>
      <c r="CE72" s="362"/>
      <c r="CF72" s="362"/>
      <c r="CG72" s="362"/>
      <c r="CH72" s="207"/>
      <c r="CI72" s="207"/>
      <c r="CJ72" s="207"/>
      <c r="CK72" s="207"/>
      <c r="CL72" s="207"/>
      <c r="CM72" s="207"/>
      <c r="CN72" s="207"/>
      <c r="CO72" s="207"/>
      <c r="CP72" s="912"/>
      <c r="CQ72" s="104"/>
      <c r="CR72" s="104"/>
      <c r="CS72" s="104"/>
      <c r="CT72" s="104"/>
      <c r="CU72" s="104"/>
      <c r="CV72" s="104"/>
      <c r="CW72" s="104"/>
      <c r="CX72" s="104"/>
      <c r="CY72" s="104"/>
      <c r="CZ72" s="104"/>
      <c r="DA72" s="104"/>
      <c r="DB72" s="104"/>
      <c r="DC72" s="104"/>
      <c r="DD72" s="104"/>
      <c r="DE72" s="104"/>
      <c r="DF72" s="104"/>
      <c r="DG72" s="1800"/>
      <c r="DH72" s="310"/>
      <c r="DI72" s="222"/>
      <c r="DJ72" s="222"/>
      <c r="DK72" s="222"/>
      <c r="DL72" s="222"/>
      <c r="DM72" s="222"/>
      <c r="DN72" s="222"/>
      <c r="DO72" s="226"/>
      <c r="DY72" s="207"/>
      <c r="DZ72" s="207"/>
    </row>
    <row r="73" spans="1:130" ht="12.6" customHeight="1">
      <c r="A73" s="3634" t="s">
        <v>1176</v>
      </c>
      <c r="B73" s="3786"/>
      <c r="C73" s="3786"/>
      <c r="D73" s="3787">
        <v>-17.841999999999999</v>
      </c>
      <c r="E73" s="3788">
        <v>-21.887</v>
      </c>
      <c r="F73" s="3788">
        <v>-30.783999999999999</v>
      </c>
      <c r="G73" s="3788">
        <v>-31.513000000000002</v>
      </c>
      <c r="H73" s="3789">
        <f t="shared" ref="H73:H83" si="144">SUM(D73:G73)</f>
        <v>-102.02600000000001</v>
      </c>
      <c r="I73" s="3788">
        <v>-32.064999999999998</v>
      </c>
      <c r="J73" s="3788">
        <v>-32.762999999999998</v>
      </c>
      <c r="K73" s="3788">
        <v>-31.597999999999999</v>
      </c>
      <c r="L73" s="3788">
        <v>-32.412999999999997</v>
      </c>
      <c r="M73" s="3789">
        <f>SUM(I73:L73)</f>
        <v>-128.839</v>
      </c>
      <c r="N73" s="3788">
        <v>-41.77</v>
      </c>
      <c r="O73" s="3788">
        <v>-44.32</v>
      </c>
      <c r="P73" s="3788">
        <v>-37.466999999999999</v>
      </c>
      <c r="Q73" s="3788">
        <v>-36.914000000000001</v>
      </c>
      <c r="R73" s="3789">
        <f>SUM(N73:Q73)</f>
        <v>-160.471</v>
      </c>
      <c r="S73" s="3788">
        <v>-36.548000000000002</v>
      </c>
      <c r="T73" s="3788">
        <v>-33.796999999999997</v>
      </c>
      <c r="U73" s="3788">
        <v>-34.49</v>
      </c>
      <c r="V73" s="3788">
        <v>-32.738</v>
      </c>
      <c r="W73" s="3789">
        <f>SUM(S73:V73)</f>
        <v>-137.57300000000001</v>
      </c>
      <c r="X73" s="3788">
        <v>-30.253</v>
      </c>
      <c r="Y73" s="3788">
        <v>-27.157</v>
      </c>
      <c r="Z73" s="3788">
        <v>-26.344000000000001</v>
      </c>
      <c r="AA73" s="3788">
        <v>-25.321999999999999</v>
      </c>
      <c r="AB73" s="3789">
        <f t="shared" ref="AB73:AB85" si="145">SUM(X73:AA73)</f>
        <v>-109.07599999999999</v>
      </c>
      <c r="AC73" s="3788">
        <f>-45.267</f>
        <v>-45.267000000000003</v>
      </c>
      <c r="AD73" s="3788">
        <v>-36.234999999999999</v>
      </c>
      <c r="AE73" s="3788">
        <v>-32.298999999999999</v>
      </c>
      <c r="AF73" s="3788">
        <v>-33.023000000000003</v>
      </c>
      <c r="AG73" s="3789">
        <f t="shared" ref="AG73:AG81" si="146">SUM(AC73:AF73)</f>
        <v>-146.82400000000001</v>
      </c>
      <c r="AH73" s="3788">
        <f>-29.007</f>
        <v>-29.007000000000001</v>
      </c>
      <c r="AI73" s="3788">
        <v>-34.65</v>
      </c>
      <c r="AJ73" s="3788">
        <v>-45.780999999999999</v>
      </c>
      <c r="AK73" s="3788">
        <v>-55.015000000000001</v>
      </c>
      <c r="AL73" s="3789">
        <f t="shared" ref="AL73:AL88" si="147">SUM(AH73:AK73)</f>
        <v>-164.45299999999997</v>
      </c>
      <c r="AM73" s="3788">
        <v>-57.286000000000001</v>
      </c>
      <c r="AN73" s="3788">
        <f>-66.674-0.048</f>
        <v>-66.722000000000008</v>
      </c>
      <c r="AO73" s="3788">
        <v>-60.067999999999998</v>
      </c>
      <c r="AP73" s="3788">
        <v>-66.656999999999996</v>
      </c>
      <c r="AQ73" s="3789">
        <f t="shared" ref="AQ73:AQ84" si="148">SUM(AM73:AP73)</f>
        <v>-250.733</v>
      </c>
      <c r="AR73" s="3788">
        <f>-63.828+0.004</f>
        <v>-63.824000000000005</v>
      </c>
      <c r="AS73" s="3788">
        <v>-64.38</v>
      </c>
      <c r="AT73" s="3788">
        <v>-73.843000000000004</v>
      </c>
      <c r="AU73" s="3788">
        <v>-86.787999999999997</v>
      </c>
      <c r="AV73" s="3789">
        <f>SUM(AR73:AU73)</f>
        <v>-288.83500000000004</v>
      </c>
      <c r="AW73" s="3788">
        <v>-74.2</v>
      </c>
      <c r="AX73" s="3788">
        <v>-66.7</v>
      </c>
      <c r="AY73" s="3788">
        <v>-62.3</v>
      </c>
      <c r="AZ73" s="3788">
        <v>-57.6</v>
      </c>
      <c r="BA73" s="3789">
        <f>SUM(AW73:AZ73)</f>
        <v>-260.8</v>
      </c>
      <c r="BB73" s="3790">
        <v>-57.3</v>
      </c>
      <c r="BC73" s="3790">
        <v>-56.9</v>
      </c>
      <c r="BD73" s="3790">
        <v>-57.1</v>
      </c>
      <c r="BE73" s="3790">
        <v>-56.701000000000001</v>
      </c>
      <c r="BF73" s="3789">
        <f>SUM(BB73:BE73)</f>
        <v>-228.00099999999998</v>
      </c>
      <c r="BG73" s="3790">
        <v>-56.463999999999999</v>
      </c>
      <c r="BH73" s="3790">
        <f>+-57.131+0.465</f>
        <v>-56.665999999999997</v>
      </c>
      <c r="BI73" s="3790">
        <f>+-56.558+0.46</f>
        <v>-56.097999999999999</v>
      </c>
      <c r="BJ73" s="3790">
        <f>+-53.966+0.462</f>
        <v>-53.503999999999998</v>
      </c>
      <c r="BK73" s="3640">
        <f>SUM(BG73:BJ73)</f>
        <v>-222.732</v>
      </c>
      <c r="BL73" s="3791">
        <f>+-53.065+0.497</f>
        <v>-52.567999999999998</v>
      </c>
      <c r="BM73" s="3791">
        <f>+-61.887+0.959</f>
        <v>-60.927999999999997</v>
      </c>
      <c r="BN73" s="3791">
        <f>+-55.203+1.05</f>
        <v>-54.153000000000006</v>
      </c>
      <c r="BO73" s="3791">
        <f>+-42.537+0.455</f>
        <v>-42.082000000000001</v>
      </c>
      <c r="BP73" s="3640">
        <f>SUM(BL73:BO73)</f>
        <v>-209.73099999999999</v>
      </c>
      <c r="BQ73" s="3791">
        <f>+-43.674+0.46</f>
        <v>-43.213999999999999</v>
      </c>
      <c r="BR73" s="3791">
        <f>-42.728+0.455</f>
        <v>-42.273000000000003</v>
      </c>
      <c r="BS73" s="3791">
        <f>+-43.309+0.452</f>
        <v>-42.856999999999999</v>
      </c>
      <c r="BT73" s="3791">
        <f>+-43.397+0.451</f>
        <v>-42.945999999999998</v>
      </c>
      <c r="BU73" s="3641">
        <f>SUM(BQ73:BT73)</f>
        <v>-171.29</v>
      </c>
      <c r="BV73" s="3793">
        <f>-BV1172</f>
        <v>-43.860372031250002</v>
      </c>
      <c r="BW73" s="3793">
        <f t="shared" ref="BW73:BY73" si="149">-BW1172</f>
        <v>-44.727592656250003</v>
      </c>
      <c r="BX73" s="3793">
        <f t="shared" si="149"/>
        <v>-68.493657031249995</v>
      </c>
      <c r="BY73" s="3793">
        <f t="shared" si="149"/>
        <v>-69.353065156250011</v>
      </c>
      <c r="BZ73" s="3789">
        <f>SUM(BV73:BY73)</f>
        <v>-226.43468687500001</v>
      </c>
      <c r="CA73" s="3789">
        <f t="shared" ref="CA73:CG73" si="150">-CA1172</f>
        <v>-312.22104485</v>
      </c>
      <c r="CB73" s="3789">
        <f t="shared" si="150"/>
        <v>-318.79065617138781</v>
      </c>
      <c r="CC73" s="370">
        <f t="shared" si="150"/>
        <v>-129.86223374999997</v>
      </c>
      <c r="CD73" s="370">
        <f t="shared" si="150"/>
        <v>-128.63910874999999</v>
      </c>
      <c r="CE73" s="370">
        <f t="shared" si="150"/>
        <v>-127.41598374999998</v>
      </c>
      <c r="CF73" s="370">
        <f t="shared" si="150"/>
        <v>-126.19285875</v>
      </c>
      <c r="CG73" s="370">
        <f t="shared" si="150"/>
        <v>-124.96973374999999</v>
      </c>
      <c r="CH73" s="369"/>
      <c r="CI73" s="369"/>
      <c r="CJ73" s="369"/>
      <c r="CK73" s="369"/>
      <c r="CL73" s="369"/>
      <c r="CM73" s="965"/>
      <c r="CN73" s="965">
        <f>SUM(BV73:BY73)</f>
        <v>-226.43468687500001</v>
      </c>
      <c r="CO73" s="965">
        <f>CM73-CN73</f>
        <v>226.43468687500001</v>
      </c>
      <c r="CP73" s="981" t="str">
        <f t="shared" si="20"/>
        <v>Interest expense</v>
      </c>
      <c r="CQ73" s="369">
        <f t="shared" si="21"/>
        <v>-102.02600000000001</v>
      </c>
      <c r="CR73" s="369">
        <f t="shared" si="22"/>
        <v>-128.839</v>
      </c>
      <c r="CS73" s="369">
        <f t="shared" si="23"/>
        <v>-160.471</v>
      </c>
      <c r="CT73" s="369">
        <f t="shared" si="24"/>
        <v>-137.57300000000001</v>
      </c>
      <c r="CU73" s="369">
        <f t="shared" si="25"/>
        <v>-109.07599999999999</v>
      </c>
      <c r="CV73" s="369">
        <f t="shared" si="26"/>
        <v>-146.82400000000001</v>
      </c>
      <c r="CW73" s="369">
        <f t="shared" si="27"/>
        <v>-164.45299999999997</v>
      </c>
      <c r="CX73" s="369">
        <f t="shared" si="28"/>
        <v>-250.733</v>
      </c>
      <c r="CY73" s="369">
        <f t="shared" si="29"/>
        <v>-288.83500000000004</v>
      </c>
      <c r="CZ73" s="369">
        <f t="shared" si="30"/>
        <v>-260.8</v>
      </c>
      <c r="DA73" s="369">
        <f t="shared" si="31"/>
        <v>-228.00099999999998</v>
      </c>
      <c r="DB73" s="369">
        <f t="shared" si="32"/>
        <v>-222.732</v>
      </c>
      <c r="DC73" s="369">
        <f t="shared" si="33"/>
        <v>-209.73099999999999</v>
      </c>
      <c r="DD73" s="369">
        <f t="shared" si="34"/>
        <v>-171.29</v>
      </c>
      <c r="DE73" s="369">
        <f t="shared" si="35"/>
        <v>-226.43468687500001</v>
      </c>
      <c r="DF73" s="369">
        <f t="shared" si="36"/>
        <v>-312.22104485</v>
      </c>
      <c r="DG73" s="1801">
        <f t="shared" si="37"/>
        <v>-318.79065617138781</v>
      </c>
      <c r="DH73" s="371"/>
      <c r="DI73" s="371"/>
      <c r="DJ73" s="371"/>
      <c r="DK73" s="371"/>
      <c r="DL73" s="371"/>
      <c r="DM73" s="371"/>
      <c r="DN73" s="372"/>
      <c r="DO73" s="226"/>
      <c r="DY73" s="286"/>
      <c r="DZ73" s="286"/>
    </row>
    <row r="74" spans="1:130" ht="12.6" hidden="1" customHeight="1" outlineLevel="1">
      <c r="A74" s="3634" t="s">
        <v>203</v>
      </c>
      <c r="B74" s="3778"/>
      <c r="C74" s="3778"/>
      <c r="D74" s="3794">
        <v>4.7E-2</v>
      </c>
      <c r="E74" s="3795">
        <v>4.7E-2</v>
      </c>
      <c r="F74" s="3795">
        <v>4.8000000000000001E-2</v>
      </c>
      <c r="G74" s="3795">
        <v>4.3999999999999997E-2</v>
      </c>
      <c r="H74" s="3796">
        <f t="shared" si="144"/>
        <v>0.186</v>
      </c>
      <c r="I74" s="3795">
        <v>0</v>
      </c>
      <c r="J74" s="3795">
        <v>0.04</v>
      </c>
      <c r="K74" s="3795">
        <v>0</v>
      </c>
      <c r="L74" s="3795">
        <v>0</v>
      </c>
      <c r="M74" s="3796">
        <f>SUM(I74:L74)</f>
        <v>0.04</v>
      </c>
      <c r="N74" s="3795">
        <v>3.5999999999999997E-2</v>
      </c>
      <c r="O74" s="3795">
        <v>3.5999999999999997E-2</v>
      </c>
      <c r="P74" s="3795">
        <v>0</v>
      </c>
      <c r="Q74" s="3795">
        <v>0</v>
      </c>
      <c r="R74" s="3796">
        <f>SUM(N74:Q74)</f>
        <v>7.1999999999999995E-2</v>
      </c>
      <c r="S74" s="3795">
        <v>0</v>
      </c>
      <c r="T74" s="3795">
        <v>0.11</v>
      </c>
      <c r="U74" s="3795">
        <v>0</v>
      </c>
      <c r="V74" s="3795">
        <v>8.9999999999999993E-3</v>
      </c>
      <c r="W74" s="3796">
        <f>SUM(S74:V74)</f>
        <v>0.11899999999999999</v>
      </c>
      <c r="X74" s="3795">
        <v>0</v>
      </c>
      <c r="Y74" s="3795">
        <v>0</v>
      </c>
      <c r="Z74" s="3795">
        <v>0</v>
      </c>
      <c r="AA74" s="3795">
        <v>0</v>
      </c>
      <c r="AB74" s="3796">
        <f t="shared" si="145"/>
        <v>0</v>
      </c>
      <c r="AC74" s="3795">
        <v>0</v>
      </c>
      <c r="AD74" s="3795">
        <v>0</v>
      </c>
      <c r="AE74" s="3795">
        <v>0</v>
      </c>
      <c r="AF74" s="3535">
        <v>0</v>
      </c>
      <c r="AG74" s="3796">
        <f t="shared" si="146"/>
        <v>0</v>
      </c>
      <c r="AH74" s="3797">
        <v>4.0000000000000001E-3</v>
      </c>
      <c r="AI74" s="3795">
        <v>0</v>
      </c>
      <c r="AJ74" s="3798">
        <v>0</v>
      </c>
      <c r="AK74" s="3798">
        <v>0</v>
      </c>
      <c r="AL74" s="3796">
        <f t="shared" si="147"/>
        <v>4.0000000000000001E-3</v>
      </c>
      <c r="AM74" s="3798">
        <v>0</v>
      </c>
      <c r="AN74" s="3798">
        <v>0</v>
      </c>
      <c r="AO74" s="3798">
        <v>0</v>
      </c>
      <c r="AP74" s="3798">
        <v>0</v>
      </c>
      <c r="AQ74" s="3796">
        <f t="shared" si="148"/>
        <v>0</v>
      </c>
      <c r="AR74" s="3798"/>
      <c r="AS74" s="3798"/>
      <c r="AT74" s="3798"/>
      <c r="AU74" s="3798"/>
      <c r="AV74" s="3799">
        <v>0</v>
      </c>
      <c r="AW74" s="3798"/>
      <c r="AX74" s="3798"/>
      <c r="AY74" s="3798"/>
      <c r="AZ74" s="3798"/>
      <c r="BA74" s="3799">
        <v>0</v>
      </c>
      <c r="BB74" s="3798"/>
      <c r="BC74" s="3798"/>
      <c r="BD74" s="3798"/>
      <c r="BE74" s="3798"/>
      <c r="BF74" s="3799">
        <v>0</v>
      </c>
      <c r="BG74" s="3800"/>
      <c r="BH74" s="3535"/>
      <c r="BI74" s="3535"/>
      <c r="BJ74" s="3801"/>
      <c r="BK74" s="3799"/>
      <c r="BL74" s="3535"/>
      <c r="BM74" s="3535"/>
      <c r="BN74" s="3535"/>
      <c r="BO74" s="3801"/>
      <c r="BP74" s="3799"/>
      <c r="BQ74" s="3535"/>
      <c r="BR74" s="3535"/>
      <c r="BS74" s="3535"/>
      <c r="BT74" s="3801"/>
      <c r="BU74" s="3802"/>
      <c r="BV74" s="3535"/>
      <c r="BW74" s="3535"/>
      <c r="BX74" s="3535"/>
      <c r="BY74" s="3535"/>
      <c r="BZ74" s="3799"/>
      <c r="CA74" s="3799"/>
      <c r="CB74" s="3799"/>
      <c r="CC74" s="375"/>
      <c r="CD74" s="375"/>
      <c r="CE74" s="375"/>
      <c r="CF74" s="375"/>
      <c r="CG74" s="375"/>
      <c r="CH74" s="201"/>
      <c r="CI74" s="201"/>
      <c r="CJ74" s="201"/>
      <c r="CK74" s="201"/>
      <c r="CL74" s="201"/>
      <c r="CM74" s="201"/>
      <c r="CN74" s="201"/>
      <c r="CO74" s="201"/>
      <c r="CP74" s="981" t="str">
        <f t="shared" si="20"/>
        <v>Interest income</v>
      </c>
      <c r="CQ74" s="374">
        <f t="shared" si="21"/>
        <v>0.186</v>
      </c>
      <c r="CR74" s="374">
        <f t="shared" si="22"/>
        <v>0.04</v>
      </c>
      <c r="CS74" s="374">
        <f t="shared" si="23"/>
        <v>7.1999999999999995E-2</v>
      </c>
      <c r="CT74" s="374">
        <f t="shared" si="24"/>
        <v>0.11899999999999999</v>
      </c>
      <c r="CU74" s="374">
        <f t="shared" si="25"/>
        <v>0</v>
      </c>
      <c r="CV74" s="374">
        <f t="shared" si="26"/>
        <v>0</v>
      </c>
      <c r="CW74" s="374">
        <f t="shared" si="27"/>
        <v>4.0000000000000001E-3</v>
      </c>
      <c r="CX74" s="374">
        <f t="shared" si="28"/>
        <v>0</v>
      </c>
      <c r="CY74" s="374">
        <f t="shared" si="29"/>
        <v>0</v>
      </c>
      <c r="CZ74" s="374">
        <f t="shared" si="30"/>
        <v>0</v>
      </c>
      <c r="DA74" s="374">
        <f t="shared" si="31"/>
        <v>0</v>
      </c>
      <c r="DB74" s="374">
        <f t="shared" si="32"/>
        <v>0</v>
      </c>
      <c r="DC74" s="374">
        <f t="shared" si="33"/>
        <v>0</v>
      </c>
      <c r="DD74" s="374">
        <f t="shared" si="34"/>
        <v>0</v>
      </c>
      <c r="DE74" s="374">
        <f t="shared" si="35"/>
        <v>0</v>
      </c>
      <c r="DF74" s="374">
        <f t="shared" si="36"/>
        <v>0</v>
      </c>
      <c r="DG74" s="1802">
        <f t="shared" si="37"/>
        <v>0</v>
      </c>
      <c r="DH74" s="104"/>
      <c r="DI74" s="104"/>
      <c r="DJ74" s="104"/>
      <c r="DK74" s="104"/>
      <c r="DL74" s="104"/>
      <c r="DM74" s="104"/>
      <c r="DN74" s="372"/>
      <c r="DO74" s="226"/>
      <c r="DY74" s="201"/>
      <c r="DZ74" s="201"/>
    </row>
    <row r="75" spans="1:130" ht="12.6" customHeight="1" collapsed="1">
      <c r="A75" s="3634" t="s">
        <v>708</v>
      </c>
      <c r="B75" s="3778"/>
      <c r="C75" s="3778"/>
      <c r="D75" s="3794">
        <v>13.144</v>
      </c>
      <c r="E75" s="3795">
        <v>18.917999999999999</v>
      </c>
      <c r="F75" s="3795">
        <v>24.03</v>
      </c>
      <c r="G75" s="3795">
        <v>22.533000000000001</v>
      </c>
      <c r="H75" s="3796">
        <f t="shared" si="144"/>
        <v>78.625</v>
      </c>
      <c r="I75" s="3795">
        <v>21.753</v>
      </c>
      <c r="J75" s="3795">
        <v>21.475999999999999</v>
      </c>
      <c r="K75" s="3795">
        <v>30.827000000000002</v>
      </c>
      <c r="L75" s="3795">
        <v>23.256</v>
      </c>
      <c r="M75" s="3796">
        <f>SUM(I75:L75)</f>
        <v>97.311999999999998</v>
      </c>
      <c r="N75" s="3795">
        <v>25.245000000000001</v>
      </c>
      <c r="O75" s="3795">
        <v>21.376999999999999</v>
      </c>
      <c r="P75" s="3795">
        <v>27.021000000000001</v>
      </c>
      <c r="Q75" s="3795">
        <v>18.132000000000001</v>
      </c>
      <c r="R75" s="3796">
        <f>SUM(N75:Q75)</f>
        <v>91.775000000000006</v>
      </c>
      <c r="S75" s="3795">
        <v>21.872</v>
      </c>
      <c r="T75" s="3795">
        <v>18.777999999999999</v>
      </c>
      <c r="U75" s="3795">
        <v>27.62</v>
      </c>
      <c r="V75" s="3795">
        <v>18.2</v>
      </c>
      <c r="W75" s="3796">
        <f>SUM(S75:V75)</f>
        <v>86.47</v>
      </c>
      <c r="X75" s="3795">
        <v>19.004999999999999</v>
      </c>
      <c r="Y75" s="3795">
        <v>13.244</v>
      </c>
      <c r="Z75" s="3795">
        <v>20.167000000000002</v>
      </c>
      <c r="AA75" s="3795">
        <v>8.1039999999999992</v>
      </c>
      <c r="AB75" s="3796">
        <f t="shared" si="145"/>
        <v>60.519999999999996</v>
      </c>
      <c r="AC75" s="3795">
        <v>12.917</v>
      </c>
      <c r="AD75" s="3795">
        <v>13.843999999999999</v>
      </c>
      <c r="AE75" s="3795">
        <v>24.173999999999999</v>
      </c>
      <c r="AF75" s="3797">
        <v>8.5350000000000001</v>
      </c>
      <c r="AG75" s="3796">
        <f t="shared" si="146"/>
        <v>59.47</v>
      </c>
      <c r="AH75" s="3797">
        <v>8.1460000000000008</v>
      </c>
      <c r="AI75" s="3795">
        <f>AI970</f>
        <v>0</v>
      </c>
      <c r="AJ75" s="3798">
        <f>AJ970</f>
        <v>0</v>
      </c>
      <c r="AK75" s="3798">
        <f>AK970</f>
        <v>0</v>
      </c>
      <c r="AL75" s="3799">
        <f t="shared" si="147"/>
        <v>8.1460000000000008</v>
      </c>
      <c r="AM75" s="3798">
        <f>AM970</f>
        <v>0</v>
      </c>
      <c r="AN75" s="3798">
        <f>AN970</f>
        <v>0</v>
      </c>
      <c r="AO75" s="3798">
        <f>AO970</f>
        <v>0</v>
      </c>
      <c r="AP75" s="3798">
        <f>AP970</f>
        <v>0</v>
      </c>
      <c r="AQ75" s="3799">
        <f t="shared" si="148"/>
        <v>0</v>
      </c>
      <c r="AR75" s="3798">
        <f t="shared" ref="AR75:AU77" si="151">AM75</f>
        <v>0</v>
      </c>
      <c r="AS75" s="3798">
        <f t="shared" si="151"/>
        <v>0</v>
      </c>
      <c r="AT75" s="3797">
        <v>0</v>
      </c>
      <c r="AU75" s="3798">
        <f t="shared" si="151"/>
        <v>0</v>
      </c>
      <c r="AV75" s="3796">
        <f t="shared" ref="AV75:AV88" si="152">SUM(AR75:AU75)</f>
        <v>0</v>
      </c>
      <c r="AW75" s="3797">
        <v>0</v>
      </c>
      <c r="AX75" s="3798">
        <v>0</v>
      </c>
      <c r="AY75" s="3798">
        <f>AT75</f>
        <v>0</v>
      </c>
      <c r="AZ75" s="3798">
        <f>AU75</f>
        <v>0</v>
      </c>
      <c r="BA75" s="3796">
        <f t="shared" ref="BA75:BA87" si="153">SUM(AW75:AZ75)</f>
        <v>0</v>
      </c>
      <c r="BB75" s="3797">
        <v>0</v>
      </c>
      <c r="BC75" s="3797">
        <v>0</v>
      </c>
      <c r="BD75" s="3797">
        <v>0</v>
      </c>
      <c r="BE75" s="3798">
        <f>AZ75</f>
        <v>0</v>
      </c>
      <c r="BF75" s="3796">
        <f t="shared" ref="BF75:BF87" si="154">SUM(BB75:BE75)</f>
        <v>0</v>
      </c>
      <c r="BG75" s="3803">
        <f>BB75</f>
        <v>0</v>
      </c>
      <c r="BH75" s="3798">
        <f>BC75</f>
        <v>0</v>
      </c>
      <c r="BI75" s="3798">
        <f>BD75</f>
        <v>0</v>
      </c>
      <c r="BJ75" s="3804">
        <f>BE75</f>
        <v>0</v>
      </c>
      <c r="BK75" s="3796">
        <f>SUM(BG75:BJ75)</f>
        <v>0</v>
      </c>
      <c r="BL75" s="3798">
        <v>0</v>
      </c>
      <c r="BM75" s="3798">
        <v>0</v>
      </c>
      <c r="BN75" s="3798">
        <v>0</v>
      </c>
      <c r="BO75" s="3804">
        <v>0</v>
      </c>
      <c r="BP75" s="3796">
        <f>SUM(BL75:BO75)</f>
        <v>0</v>
      </c>
      <c r="BQ75" s="3798">
        <f>BL75</f>
        <v>0</v>
      </c>
      <c r="BR75" s="3798">
        <f>BM75</f>
        <v>0</v>
      </c>
      <c r="BS75" s="3798">
        <f>BN75</f>
        <v>0</v>
      </c>
      <c r="BT75" s="3804">
        <f>BO75</f>
        <v>0</v>
      </c>
      <c r="BU75" s="3805">
        <f>SUM(BQ75:BT75)</f>
        <v>0</v>
      </c>
      <c r="BV75" s="3798">
        <f>BQ75</f>
        <v>0</v>
      </c>
      <c r="BW75" s="3798">
        <f t="shared" ref="BW75:BY75" si="155">BR75</f>
        <v>0</v>
      </c>
      <c r="BX75" s="3798">
        <f t="shared" si="155"/>
        <v>0</v>
      </c>
      <c r="BY75" s="3798">
        <f t="shared" si="155"/>
        <v>0</v>
      </c>
      <c r="BZ75" s="3796">
        <f>SUM(BV75:BY75)</f>
        <v>0</v>
      </c>
      <c r="CA75" s="3796">
        <f t="shared" ref="CA75:CG75" si="156">BZ75</f>
        <v>0</v>
      </c>
      <c r="CB75" s="3796">
        <f t="shared" si="156"/>
        <v>0</v>
      </c>
      <c r="CC75" s="373">
        <f t="shared" si="156"/>
        <v>0</v>
      </c>
      <c r="CD75" s="373">
        <f t="shared" si="156"/>
        <v>0</v>
      </c>
      <c r="CE75" s="373">
        <f t="shared" si="156"/>
        <v>0</v>
      </c>
      <c r="CF75" s="373">
        <f t="shared" si="156"/>
        <v>0</v>
      </c>
      <c r="CG75" s="373">
        <f t="shared" si="156"/>
        <v>0</v>
      </c>
      <c r="CH75" s="201"/>
      <c r="CI75" s="201"/>
      <c r="CJ75" s="201"/>
      <c r="CK75" s="201"/>
      <c r="CL75" s="201"/>
      <c r="CM75" s="965"/>
      <c r="CN75" s="965">
        <f>SUM(BV75:BY75)</f>
        <v>0</v>
      </c>
      <c r="CO75" s="965">
        <f t="shared" ref="CO75:CO78" si="157">CM75-CN75</f>
        <v>0</v>
      </c>
      <c r="CP75" s="981" t="str">
        <f t="shared" si="20"/>
        <v>Operating income from Borgata</v>
      </c>
      <c r="CQ75" s="374">
        <f t="shared" si="21"/>
        <v>78.625</v>
      </c>
      <c r="CR75" s="374">
        <f t="shared" si="22"/>
        <v>97.311999999999998</v>
      </c>
      <c r="CS75" s="374">
        <f t="shared" si="23"/>
        <v>91.775000000000006</v>
      </c>
      <c r="CT75" s="374">
        <f t="shared" si="24"/>
        <v>86.47</v>
      </c>
      <c r="CU75" s="374">
        <f t="shared" si="25"/>
        <v>60.519999999999996</v>
      </c>
      <c r="CV75" s="374">
        <f t="shared" si="26"/>
        <v>59.47</v>
      </c>
      <c r="CW75" s="374">
        <f t="shared" si="27"/>
        <v>8.1460000000000008</v>
      </c>
      <c r="CX75" s="374">
        <f t="shared" si="28"/>
        <v>0</v>
      </c>
      <c r="CY75" s="374">
        <f t="shared" si="29"/>
        <v>0</v>
      </c>
      <c r="CZ75" s="374">
        <f t="shared" si="30"/>
        <v>0</v>
      </c>
      <c r="DA75" s="374">
        <f t="shared" si="31"/>
        <v>0</v>
      </c>
      <c r="DB75" s="374">
        <f t="shared" si="32"/>
        <v>0</v>
      </c>
      <c r="DC75" s="374">
        <f t="shared" si="33"/>
        <v>0</v>
      </c>
      <c r="DD75" s="374">
        <f t="shared" si="34"/>
        <v>0</v>
      </c>
      <c r="DE75" s="374">
        <f t="shared" si="35"/>
        <v>0</v>
      </c>
      <c r="DF75" s="374">
        <f t="shared" si="36"/>
        <v>0</v>
      </c>
      <c r="DG75" s="1802">
        <f t="shared" si="37"/>
        <v>0</v>
      </c>
      <c r="DH75" s="104"/>
      <c r="DI75" s="104"/>
      <c r="DJ75" s="104"/>
      <c r="DK75" s="104"/>
      <c r="DL75" s="104"/>
      <c r="DM75" s="104"/>
      <c r="DN75" s="372"/>
      <c r="DO75" s="226"/>
      <c r="DY75" s="374"/>
      <c r="DZ75" s="374"/>
    </row>
    <row r="76" spans="1:130" s="2252" customFormat="1" ht="12.6" hidden="1" customHeight="1" outlineLevel="1">
      <c r="A76" s="3634" t="s">
        <v>900</v>
      </c>
      <c r="B76" s="3778"/>
      <c r="C76" s="3778"/>
      <c r="D76" s="3794"/>
      <c r="E76" s="3795"/>
      <c r="F76" s="3795"/>
      <c r="G76" s="3795"/>
      <c r="H76" s="3796"/>
      <c r="I76" s="3795"/>
      <c r="J76" s="3795"/>
      <c r="K76" s="3795"/>
      <c r="L76" s="3795"/>
      <c r="M76" s="3796"/>
      <c r="N76" s="3795"/>
      <c r="O76" s="3795"/>
      <c r="P76" s="3795"/>
      <c r="Q76" s="3795"/>
      <c r="R76" s="3796"/>
      <c r="S76" s="3795"/>
      <c r="T76" s="3795"/>
      <c r="U76" s="3795"/>
      <c r="V76" s="3795"/>
      <c r="W76" s="3796"/>
      <c r="X76" s="3795"/>
      <c r="Y76" s="3795"/>
      <c r="Z76" s="3795"/>
      <c r="AA76" s="3795"/>
      <c r="AB76" s="3796"/>
      <c r="AC76" s="3795"/>
      <c r="AD76" s="3795"/>
      <c r="AE76" s="3795"/>
      <c r="AF76" s="3797"/>
      <c r="AG76" s="3796"/>
      <c r="AH76" s="3797"/>
      <c r="AI76" s="3795"/>
      <c r="AJ76" s="3798"/>
      <c r="AK76" s="3798"/>
      <c r="AL76" s="3799"/>
      <c r="AM76" s="3798"/>
      <c r="AN76" s="3798"/>
      <c r="AO76" s="3798"/>
      <c r="AP76" s="3798"/>
      <c r="AQ76" s="3799"/>
      <c r="AR76" s="3798"/>
      <c r="AS76" s="3798"/>
      <c r="AT76" s="3797"/>
      <c r="AU76" s="3798"/>
      <c r="AV76" s="3796"/>
      <c r="AW76" s="3798"/>
      <c r="AX76" s="3798"/>
      <c r="AY76" s="3798"/>
      <c r="AZ76" s="3798"/>
      <c r="BA76" s="3796"/>
      <c r="BB76" s="3797">
        <v>0</v>
      </c>
      <c r="BC76" s="3797">
        <v>0</v>
      </c>
      <c r="BD76" s="3797">
        <v>0</v>
      </c>
      <c r="BE76" s="3798">
        <v>0</v>
      </c>
      <c r="BF76" s="3796">
        <f t="shared" si="154"/>
        <v>0</v>
      </c>
      <c r="BG76" s="3803">
        <v>0</v>
      </c>
      <c r="BH76" s="3798">
        <v>0</v>
      </c>
      <c r="BI76" s="3798">
        <v>0</v>
      </c>
      <c r="BJ76" s="3798">
        <v>0</v>
      </c>
      <c r="BK76" s="3796">
        <f>SUM(BG76:BJ76)</f>
        <v>0</v>
      </c>
      <c r="BL76" s="3798">
        <v>0</v>
      </c>
      <c r="BM76" s="3798">
        <v>0</v>
      </c>
      <c r="BN76" s="3798">
        <v>0</v>
      </c>
      <c r="BO76" s="3804">
        <v>0</v>
      </c>
      <c r="BP76" s="3796">
        <v>0</v>
      </c>
      <c r="BQ76" s="3798">
        <v>0</v>
      </c>
      <c r="BR76" s="3798">
        <v>0</v>
      </c>
      <c r="BS76" s="3798">
        <v>0</v>
      </c>
      <c r="BT76" s="3804">
        <v>0</v>
      </c>
      <c r="BU76" s="3805">
        <v>0</v>
      </c>
      <c r="BV76" s="3798">
        <v>0</v>
      </c>
      <c r="BW76" s="3798">
        <v>0</v>
      </c>
      <c r="BX76" s="3798">
        <v>0</v>
      </c>
      <c r="BY76" s="3798">
        <v>0</v>
      </c>
      <c r="BZ76" s="3796">
        <v>0</v>
      </c>
      <c r="CA76" s="3796">
        <v>0</v>
      </c>
      <c r="CB76" s="3796">
        <v>0</v>
      </c>
      <c r="CC76" s="373">
        <f>+CC870</f>
        <v>1.5916890529270169</v>
      </c>
      <c r="CD76" s="373">
        <f>+CD870</f>
        <v>1.512104600280666</v>
      </c>
      <c r="CE76" s="373">
        <f>+CE870</f>
        <v>1.5423466922862792</v>
      </c>
      <c r="CF76" s="373">
        <f>+CF870</f>
        <v>1.5731936261320048</v>
      </c>
      <c r="CG76" s="373">
        <f>+CG870</f>
        <v>1.6046574986546449</v>
      </c>
      <c r="CH76" s="201"/>
      <c r="CI76" s="201"/>
      <c r="CJ76" s="201"/>
      <c r="CK76" s="201"/>
      <c r="CL76" s="201"/>
      <c r="CM76" s="965"/>
      <c r="CN76" s="965">
        <f>SUM(BV76:BY76)</f>
        <v>0</v>
      </c>
      <c r="CO76" s="965">
        <f t="shared" si="157"/>
        <v>0</v>
      </c>
      <c r="CP76" s="981" t="str">
        <f>A76</f>
        <v>Online JV income</v>
      </c>
      <c r="CQ76" s="374">
        <f>H76</f>
        <v>0</v>
      </c>
      <c r="CR76" s="374">
        <f>M76</f>
        <v>0</v>
      </c>
      <c r="CS76" s="374">
        <f>R76</f>
        <v>0</v>
      </c>
      <c r="CT76" s="374">
        <f>W76</f>
        <v>0</v>
      </c>
      <c r="CU76" s="374">
        <f>AB76</f>
        <v>0</v>
      </c>
      <c r="CV76" s="374">
        <f>AG76</f>
        <v>0</v>
      </c>
      <c r="CW76" s="374">
        <f>AL76</f>
        <v>0</v>
      </c>
      <c r="CX76" s="374">
        <f>AQ76</f>
        <v>0</v>
      </c>
      <c r="CY76" s="374">
        <f>AV76</f>
        <v>0</v>
      </c>
      <c r="CZ76" s="374">
        <f>BA76</f>
        <v>0</v>
      </c>
      <c r="DA76" s="374">
        <f>BF76</f>
        <v>0</v>
      </c>
      <c r="DB76" s="374">
        <f>BK76</f>
        <v>0</v>
      </c>
      <c r="DC76" s="374">
        <f>BP76</f>
        <v>0</v>
      </c>
      <c r="DD76" s="374">
        <f>BU76</f>
        <v>0</v>
      </c>
      <c r="DE76" s="374">
        <f>BZ76</f>
        <v>0</v>
      </c>
      <c r="DF76" s="374">
        <f>CA76</f>
        <v>0</v>
      </c>
      <c r="DG76" s="1802">
        <f>CB76</f>
        <v>0</v>
      </c>
      <c r="DH76" s="104"/>
      <c r="DI76" s="104"/>
      <c r="DJ76" s="104"/>
      <c r="DK76" s="104"/>
      <c r="DL76" s="104"/>
      <c r="DM76" s="104"/>
      <c r="DN76" s="372"/>
      <c r="DO76" s="77"/>
      <c r="DP76"/>
      <c r="DQ76"/>
      <c r="DR76"/>
      <c r="DS76"/>
      <c r="DT76"/>
      <c r="DU76"/>
      <c r="DY76" s="374"/>
      <c r="DZ76" s="374"/>
    </row>
    <row r="77" spans="1:130" ht="12.6" customHeight="1" collapsed="1">
      <c r="A77" s="3806" t="s">
        <v>302</v>
      </c>
      <c r="B77" s="3778"/>
      <c r="C77" s="3778"/>
      <c r="D77" s="3794">
        <v>-6.46</v>
      </c>
      <c r="E77" s="3795">
        <v>-6.69</v>
      </c>
      <c r="F77" s="3795">
        <v>-6.4189999999999996</v>
      </c>
      <c r="G77" s="3795">
        <f>-4.489+11.5</f>
        <v>7.0110000000000001</v>
      </c>
      <c r="H77" s="3796">
        <f t="shared" si="144"/>
        <v>-12.558</v>
      </c>
      <c r="I77" s="3795">
        <v>-2.7869999999999999</v>
      </c>
      <c r="J77" s="3795">
        <v>-3.2679999999999998</v>
      </c>
      <c r="K77" s="3795">
        <v>-2.8610000000000002</v>
      </c>
      <c r="L77" s="3795">
        <v>-2.802</v>
      </c>
      <c r="M77" s="3796">
        <f>SUM(I77:L77)</f>
        <v>-11.718</v>
      </c>
      <c r="N77" s="3795">
        <v>-2.2250000000000001</v>
      </c>
      <c r="O77" s="3795">
        <v>-2.0699999999999998</v>
      </c>
      <c r="P77" s="3795">
        <v>-3.1819999999999999</v>
      </c>
      <c r="Q77" s="3795">
        <v>-3.1</v>
      </c>
      <c r="R77" s="3796">
        <f>SUM(N77:Q77)</f>
        <v>-10.577</v>
      </c>
      <c r="S77" s="3795">
        <v>-3.8010000000000002</v>
      </c>
      <c r="T77" s="3795">
        <v>-3.5739999999999998</v>
      </c>
      <c r="U77" s="3795">
        <v>-3.4020000000000001</v>
      </c>
      <c r="V77" s="3795">
        <v>-2.9910000000000001</v>
      </c>
      <c r="W77" s="3796">
        <f>SUM(S77:V77)</f>
        <v>-13.768000000000001</v>
      </c>
      <c r="X77" s="3795">
        <v>-4.6050000000000004</v>
      </c>
      <c r="Y77" s="3795">
        <v>-3.13</v>
      </c>
      <c r="Z77" s="3795">
        <v>-5.1539999999999999</v>
      </c>
      <c r="AA77" s="3795">
        <v>-3.12</v>
      </c>
      <c r="AB77" s="3796">
        <f t="shared" si="145"/>
        <v>-16.009</v>
      </c>
      <c r="AC77" s="3795">
        <v>-4.5220000000000002</v>
      </c>
      <c r="AD77" s="3795">
        <v>-4.5039999999999996</v>
      </c>
      <c r="AE77" s="3795">
        <v>-7.2039999999999997</v>
      </c>
      <c r="AF77" s="3797">
        <v>-3.073</v>
      </c>
      <c r="AG77" s="3796">
        <f t="shared" si="146"/>
        <v>-19.303000000000001</v>
      </c>
      <c r="AH77" s="3797">
        <v>-3.133</v>
      </c>
      <c r="AI77" s="3795">
        <f>AI972</f>
        <v>0</v>
      </c>
      <c r="AJ77" s="3798">
        <f>AJ972</f>
        <v>0</v>
      </c>
      <c r="AK77" s="3798">
        <f>AK972</f>
        <v>0</v>
      </c>
      <c r="AL77" s="3799">
        <f t="shared" si="147"/>
        <v>-3.133</v>
      </c>
      <c r="AM77" s="3798">
        <f>AM972</f>
        <v>0</v>
      </c>
      <c r="AN77" s="3798">
        <f>AN972</f>
        <v>0</v>
      </c>
      <c r="AO77" s="3798">
        <f>AO972</f>
        <v>0</v>
      </c>
      <c r="AP77" s="3798">
        <f>AP972</f>
        <v>0</v>
      </c>
      <c r="AQ77" s="3799">
        <f t="shared" si="148"/>
        <v>0</v>
      </c>
      <c r="AR77" s="3798">
        <f t="shared" si="151"/>
        <v>0</v>
      </c>
      <c r="AS77" s="3798">
        <f t="shared" si="151"/>
        <v>0</v>
      </c>
      <c r="AT77" s="3797">
        <v>0</v>
      </c>
      <c r="AU77" s="3798">
        <f t="shared" si="151"/>
        <v>0</v>
      </c>
      <c r="AV77" s="3796">
        <f t="shared" si="152"/>
        <v>0</v>
      </c>
      <c r="AW77" s="3807">
        <f>-AW954</f>
        <v>-10.1</v>
      </c>
      <c r="AX77" s="3798">
        <f t="shared" ref="AX77:BJ77" si="158">-AX954</f>
        <v>-10</v>
      </c>
      <c r="AY77" s="3798">
        <f t="shared" si="158"/>
        <v>-11.8</v>
      </c>
      <c r="AZ77" s="3798">
        <f t="shared" si="158"/>
        <v>-19.5</v>
      </c>
      <c r="BA77" s="3796">
        <f t="shared" si="153"/>
        <v>-51.400000000000006</v>
      </c>
      <c r="BB77" s="3807">
        <f t="shared" si="158"/>
        <v>-8.5</v>
      </c>
      <c r="BC77" s="3807">
        <f t="shared" si="158"/>
        <v>-9.5</v>
      </c>
      <c r="BD77" s="3807">
        <f t="shared" si="158"/>
        <v>-10.3</v>
      </c>
      <c r="BE77" s="3807">
        <f t="shared" si="158"/>
        <v>-9.3089999999999993</v>
      </c>
      <c r="BF77" s="3808">
        <f t="shared" si="154"/>
        <v>-37.609000000000002</v>
      </c>
      <c r="BG77" s="3809">
        <f t="shared" si="158"/>
        <v>-7.6609999999999996</v>
      </c>
      <c r="BH77" s="3807">
        <f t="shared" si="158"/>
        <v>-9.1120000000000001</v>
      </c>
      <c r="BI77" s="3807">
        <f t="shared" si="158"/>
        <v>-12.680999999999999</v>
      </c>
      <c r="BJ77" s="3807">
        <f t="shared" si="158"/>
        <v>-7.968</v>
      </c>
      <c r="BK77" s="3808">
        <f>SUM(BG77:BJ77)</f>
        <v>-37.421999999999997</v>
      </c>
      <c r="BL77" s="3798">
        <f>-BL954</f>
        <v>-7.2060000000000004</v>
      </c>
      <c r="BM77" s="3798">
        <f>-BM954</f>
        <v>0</v>
      </c>
      <c r="BN77" s="3798">
        <f>-BN954</f>
        <v>0</v>
      </c>
      <c r="BO77" s="3804">
        <f>-BO954</f>
        <v>0</v>
      </c>
      <c r="BP77" s="3808">
        <f>SUM(BL77:BO77)</f>
        <v>-7.2060000000000004</v>
      </c>
      <c r="BQ77" s="3807">
        <f>-BQ954</f>
        <v>0</v>
      </c>
      <c r="BR77" s="3807">
        <f>-BR954</f>
        <v>0</v>
      </c>
      <c r="BS77" s="3807">
        <f>-BS954</f>
        <v>0</v>
      </c>
      <c r="BT77" s="3810">
        <f>-BT954</f>
        <v>0</v>
      </c>
      <c r="BU77" s="3805">
        <f>SUM(BQ77:BT77)</f>
        <v>0</v>
      </c>
      <c r="BV77" s="3807">
        <v>0</v>
      </c>
      <c r="BW77" s="3807">
        <v>0</v>
      </c>
      <c r="BX77" s="3807">
        <v>0</v>
      </c>
      <c r="BY77" s="3807">
        <v>0</v>
      </c>
      <c r="BZ77" s="3811">
        <f>SUM(BV77:BY77)</f>
        <v>0</v>
      </c>
      <c r="CA77" s="3811">
        <v>0</v>
      </c>
      <c r="CB77" s="3811">
        <v>0</v>
      </c>
      <c r="CC77" s="3066">
        <f>-CC954</f>
        <v>-3.5</v>
      </c>
      <c r="CD77" s="3066">
        <f>-CD954</f>
        <v>-3.5</v>
      </c>
      <c r="CE77" s="3066">
        <f>-CE954</f>
        <v>-3.5</v>
      </c>
      <c r="CF77" s="3066">
        <f>-CF954</f>
        <v>-3.5</v>
      </c>
      <c r="CG77" s="3066">
        <f>-CG954</f>
        <v>-3.5</v>
      </c>
      <c r="CH77" s="201"/>
      <c r="CI77" s="1156"/>
      <c r="CJ77" s="1156"/>
      <c r="CK77" s="201"/>
      <c r="CL77" s="201"/>
      <c r="CM77" s="965"/>
      <c r="CN77" s="965">
        <f>SUM(BV77:BY77)</f>
        <v>0</v>
      </c>
      <c r="CO77" s="965">
        <f t="shared" si="157"/>
        <v>0</v>
      </c>
      <c r="CP77" s="981" t="str">
        <f t="shared" si="20"/>
        <v>Non-operating expenses from Borgata (interest expense)</v>
      </c>
      <c r="CQ77" s="374">
        <f t="shared" si="21"/>
        <v>-12.558</v>
      </c>
      <c r="CR77" s="374">
        <f t="shared" si="22"/>
        <v>-11.718</v>
      </c>
      <c r="CS77" s="374">
        <f t="shared" si="23"/>
        <v>-10.577</v>
      </c>
      <c r="CT77" s="374">
        <f t="shared" si="24"/>
        <v>-13.768000000000001</v>
      </c>
      <c r="CU77" s="374">
        <f t="shared" si="25"/>
        <v>-16.009</v>
      </c>
      <c r="CV77" s="374">
        <f t="shared" si="26"/>
        <v>-19.303000000000001</v>
      </c>
      <c r="CW77" s="374">
        <f t="shared" si="27"/>
        <v>-3.133</v>
      </c>
      <c r="CX77" s="374">
        <f t="shared" si="28"/>
        <v>0</v>
      </c>
      <c r="CY77" s="374">
        <f t="shared" si="29"/>
        <v>0</v>
      </c>
      <c r="CZ77" s="374">
        <f t="shared" si="30"/>
        <v>-51.400000000000006</v>
      </c>
      <c r="DA77" s="374">
        <f t="shared" si="31"/>
        <v>-37.609000000000002</v>
      </c>
      <c r="DB77" s="374">
        <f t="shared" si="32"/>
        <v>-37.421999999999997</v>
      </c>
      <c r="DC77" s="374">
        <f t="shared" si="33"/>
        <v>-7.2060000000000004</v>
      </c>
      <c r="DD77" s="374">
        <f t="shared" si="34"/>
        <v>0</v>
      </c>
      <c r="DE77" s="374">
        <f t="shared" si="35"/>
        <v>0</v>
      </c>
      <c r="DF77" s="374">
        <f t="shared" si="36"/>
        <v>0</v>
      </c>
      <c r="DG77" s="1802">
        <f t="shared" si="37"/>
        <v>0</v>
      </c>
      <c r="DH77" s="104"/>
      <c r="DI77" s="104"/>
      <c r="DJ77" s="104"/>
      <c r="DK77" s="104"/>
      <c r="DL77" s="104"/>
      <c r="DM77" s="104"/>
      <c r="DN77" s="372"/>
      <c r="DO77" s="226"/>
      <c r="DY77" s="2736"/>
      <c r="DZ77" s="2736"/>
    </row>
    <row r="78" spans="1:130" ht="12.6" customHeight="1">
      <c r="A78" s="3634" t="s">
        <v>204</v>
      </c>
      <c r="B78" s="3778"/>
      <c r="C78" s="3778"/>
      <c r="D78" s="3794">
        <v>-5.7249999999999996</v>
      </c>
      <c r="E78" s="3795">
        <f>-5.909+1.42+1.773</f>
        <v>-2.7160000000000002</v>
      </c>
      <c r="F78" s="3795">
        <f>0.857+8.259-0.615-0.625-4.344-1.307</f>
        <v>2.2249999999999992</v>
      </c>
      <c r="G78" s="3795">
        <f>0.201-0.428-1.693-5+2.457</f>
        <v>-4.4630000000000001</v>
      </c>
      <c r="H78" s="3796">
        <f t="shared" si="144"/>
        <v>-10.678999999999998</v>
      </c>
      <c r="I78" s="3795">
        <f>0.39-1.934-16.439+0.564</f>
        <v>-17.419</v>
      </c>
      <c r="J78" s="3795">
        <f>-2.601+0.91</f>
        <v>-1.6909999999999998</v>
      </c>
      <c r="K78" s="3795">
        <f>-3.435-7.303+0.269-17.529+9.519</f>
        <v>-18.478999999999999</v>
      </c>
      <c r="L78" s="3795">
        <f>-10.957-56-1.971+21.666+1.451</f>
        <v>-45.811</v>
      </c>
      <c r="M78" s="3796">
        <f>SUM(I78:L78)</f>
        <v>-83.4</v>
      </c>
      <c r="N78" s="3795">
        <f>-7.136-0.665-1.491-2.57+4.211</f>
        <v>-7.6509999999999998</v>
      </c>
      <c r="O78" s="3795">
        <f>-7.712-1.908-2.724-6.672-31.249+17.969</f>
        <v>-32.295999999999999</v>
      </c>
      <c r="P78" s="3795">
        <f>-3.235-0.418-0.87-4.298-1.755-5.99+5.822</f>
        <v>-10.744000000000003</v>
      </c>
      <c r="Q78" s="3795">
        <f>-4.294-0.269-0.151-1.639-0.046+29.892-7.753</f>
        <v>15.739999999999998</v>
      </c>
      <c r="R78" s="3796">
        <f>SUM(N78:Q78)</f>
        <v>-34.951000000000008</v>
      </c>
      <c r="S78" s="3795">
        <f>-4.45-0.47+0.034-11.508-0.076+5.929</f>
        <v>-10.540999999999999</v>
      </c>
      <c r="T78" s="3795">
        <f>+-6.062-0.539-0.201+2.601-1.972-3.163-16.945+9.328-1.284+0.455</f>
        <v>-17.782</v>
      </c>
      <c r="U78" s="3795">
        <f>-5.107-0.24-0.117-3.532-1.112+3.614-0.057</f>
        <v>-6.551000000000001</v>
      </c>
      <c r="V78" s="3795">
        <f>-7.2-0.309-0.194-0.009-0.123</f>
        <v>-7.8350000000000009</v>
      </c>
      <c r="W78" s="3796">
        <f>SUM(S78:V78)</f>
        <v>-42.709000000000003</v>
      </c>
      <c r="X78" s="3795">
        <f>-90.313+0.95+0.442-5.579-0.408-0.07</f>
        <v>-94.977999999999994</v>
      </c>
      <c r="Y78" s="3795">
        <f>-5.207-2.101-0.009-0.017+0.863-1.174</f>
        <v>-7.6449999999999996</v>
      </c>
      <c r="Z78" s="3795">
        <f>-5.978-0.417+0.003-3.215+0.616</f>
        <v>-8.9909999999999997</v>
      </c>
      <c r="AA78" s="3795">
        <f>-3.501+0.141-0.005-290.819+26.124</f>
        <v>-268.06</v>
      </c>
      <c r="AB78" s="3796">
        <f t="shared" si="145"/>
        <v>-379.67399999999998</v>
      </c>
      <c r="AC78" s="3795">
        <f>-(5.839+0.176-0.005+28.963-2.4)</f>
        <v>-32.573</v>
      </c>
      <c r="AD78" s="3795">
        <f>-4.054-0.173-0.036+1.835+6.057</f>
        <v>3.6290000000000004</v>
      </c>
      <c r="AE78" s="3795">
        <f>-4.88+14.339-14.287+3.604-0.03</f>
        <v>-1.2540000000000011</v>
      </c>
      <c r="AF78" s="3795">
        <f>3.223-0.005-3.025-0.365</f>
        <v>-0.17199999999999993</v>
      </c>
      <c r="AG78" s="3796">
        <f t="shared" si="146"/>
        <v>-30.37</v>
      </c>
      <c r="AH78" s="3797">
        <f>-1.063-1.601+2.037</f>
        <v>-0.62699999999999978</v>
      </c>
      <c r="AI78" s="3795">
        <f>-1.243-1.991-1.242+1.912</f>
        <v>-2.5640000000000001</v>
      </c>
      <c r="AJ78" s="3797">
        <f>-2.684-1.34-0.954+2.535+10</f>
        <v>7.5570000000000004</v>
      </c>
      <c r="AK78" s="3797">
        <f>-0.953+0.219-3.415-0.48-1.191</f>
        <v>-5.8199999999999994</v>
      </c>
      <c r="AL78" s="3799">
        <f t="shared" si="147"/>
        <v>-1.4539999999999988</v>
      </c>
      <c r="AM78" s="3797">
        <f>-1.831-4.707-1.666-0.217-0.02</f>
        <v>-8.4410000000000007</v>
      </c>
      <c r="AN78" s="3797">
        <f>-(0.759+2.262+1.741)</f>
        <v>-4.7620000000000005</v>
      </c>
      <c r="AO78" s="3797">
        <f>-1.72-2.3-1+0.054+1</f>
        <v>-3.9659999999999993</v>
      </c>
      <c r="AP78" s="3797">
        <f>-1.342-0.048+10.582+0.237-4.789</f>
        <v>4.6400000000000006</v>
      </c>
      <c r="AQ78" s="3812">
        <f t="shared" si="148"/>
        <v>-12.529</v>
      </c>
      <c r="AR78" s="3797">
        <v>-3.0939999999999999</v>
      </c>
      <c r="AS78" s="3797">
        <f>-2.21-6.242+8.408</f>
        <v>-4.4000000000000483E-2</v>
      </c>
      <c r="AT78" s="3797">
        <f>0.45-1.075-1.618</f>
        <v>-2.2430000000000003</v>
      </c>
      <c r="AU78" s="3797">
        <f>-6.053-10.432-1053.526-0.137</f>
        <v>-1070.1479999999999</v>
      </c>
      <c r="AV78" s="3799">
        <f t="shared" si="152"/>
        <v>-1075.529</v>
      </c>
      <c r="AW78" s="3797">
        <f>+-2.4-2.7-1.6+0.6</f>
        <v>-6.1</v>
      </c>
      <c r="AX78" s="3797">
        <f>+-0.7-0.5-0.2-2.4</f>
        <v>-3.8</v>
      </c>
      <c r="AY78" s="3797">
        <f>+-1.3-1.3+1.2-0.1-24.6-0.1</f>
        <v>-26.200000000000003</v>
      </c>
      <c r="AZ78" s="3797">
        <f>+-0.6-4.1-3.3-0.8-1.4+1.8</f>
        <v>-8.3999999999999986</v>
      </c>
      <c r="BA78" s="3799">
        <f t="shared" si="153"/>
        <v>-44.5</v>
      </c>
      <c r="BB78" s="3797">
        <f>+-0.8-1.6-0.2-0.2-0.2+0.3</f>
        <v>-2.7000000000000011</v>
      </c>
      <c r="BC78" s="3813">
        <f>+-1.6-0.3-1.9+0.6-0.9-0.7</f>
        <v>-4.8</v>
      </c>
      <c r="BD78" s="3813">
        <f>+-1.3-18.3-2.7-0.6</f>
        <v>-22.900000000000002</v>
      </c>
      <c r="BE78" s="3813">
        <f>+-0.913-40.575-4.563+0.261-0.407+0.45</f>
        <v>-45.746999999999993</v>
      </c>
      <c r="BF78" s="3799">
        <f t="shared" si="154"/>
        <v>-76.146999999999991</v>
      </c>
      <c r="BG78" s="3813">
        <f>-0.505-1.065-0.45-0.116-0.508-0.618</f>
        <v>-3.262</v>
      </c>
      <c r="BH78" s="3814">
        <f>+-0.83-0.919-0.054-30.962-1.27</f>
        <v>-34.035000000000004</v>
      </c>
      <c r="BI78" s="3814">
        <f>+-1.434-0.08-0.172-0.863-1.753</f>
        <v>-4.3019999999999996</v>
      </c>
      <c r="BJ78" s="3814">
        <f>+-2.689-17.5-0.565-8.4-0.035</f>
        <v>-29.189000000000004</v>
      </c>
      <c r="BK78" s="3799">
        <f>SUM(BG78:BJ78)</f>
        <v>-70.788000000000011</v>
      </c>
      <c r="BL78" s="3750">
        <f>+-1.841-1.44-0.429-0.427-0.077</f>
        <v>-4.2139999999999995</v>
      </c>
      <c r="BM78" s="3750">
        <f>+-5.897-0.123-0.419-0.065</f>
        <v>-6.5040000000000004</v>
      </c>
      <c r="BN78" s="3750">
        <f>+-3.735-0.003-41.518-0.001</f>
        <v>-45.256999999999998</v>
      </c>
      <c r="BO78" s="3847">
        <f>+-10.634-36.862+0.271-0.402</f>
        <v>-47.627000000000002</v>
      </c>
      <c r="BP78" s="3640">
        <f>SUM(BL78:BO78)</f>
        <v>-103.602</v>
      </c>
      <c r="BQ78" s="3847">
        <f>-0.156-0.111-2.972-0.486</f>
        <v>-3.7249999999999996</v>
      </c>
      <c r="BR78" s="3847">
        <f>+-2.784-0.463-0.378-0.559</f>
        <v>-4.1840000000000002</v>
      </c>
      <c r="BS78" s="3847">
        <f>+-2.975-0.758-0.319+0.139</f>
        <v>-3.9130000000000003</v>
      </c>
      <c r="BT78" s="3847">
        <f>-(5.723-0.426+0.193+0.729-0.715)</f>
        <v>-5.5039999999999996</v>
      </c>
      <c r="BU78" s="3982">
        <f>SUM(BQ78:BT78)</f>
        <v>-17.326000000000001</v>
      </c>
      <c r="BV78" s="3847">
        <v>-3.75</v>
      </c>
      <c r="BW78" s="3847">
        <v>-3.75</v>
      </c>
      <c r="BX78" s="3847">
        <v>-3.75</v>
      </c>
      <c r="BY78" s="3847">
        <v>-3.75</v>
      </c>
      <c r="BZ78" s="3957">
        <f>SUM(BV78:BY78)</f>
        <v>-15</v>
      </c>
      <c r="CA78" s="3751">
        <f t="shared" ref="CA78:CG78" si="159">BZ78</f>
        <v>-15</v>
      </c>
      <c r="CB78" s="3751">
        <f t="shared" si="159"/>
        <v>-15</v>
      </c>
      <c r="CC78" s="3170">
        <f t="shared" si="159"/>
        <v>-15</v>
      </c>
      <c r="CD78" s="3170">
        <f t="shared" si="159"/>
        <v>-15</v>
      </c>
      <c r="CE78" s="3170">
        <f t="shared" si="159"/>
        <v>-15</v>
      </c>
      <c r="CF78" s="3170">
        <f t="shared" si="159"/>
        <v>-15</v>
      </c>
      <c r="CG78" s="3170">
        <f t="shared" si="159"/>
        <v>-15</v>
      </c>
      <c r="CH78" s="878"/>
      <c r="CI78" s="878"/>
      <c r="CJ78" s="878"/>
      <c r="CK78" s="878"/>
      <c r="CL78" s="878"/>
      <c r="CM78" s="965"/>
      <c r="CN78" s="965">
        <f>SUM(BV78:BY78)</f>
        <v>-15</v>
      </c>
      <c r="CO78" s="965">
        <f t="shared" si="157"/>
        <v>15</v>
      </c>
      <c r="CP78" s="981" t="str">
        <f t="shared" si="20"/>
        <v>Preopening expenses &amp; one-time Items</v>
      </c>
      <c r="CQ78" s="374">
        <f t="shared" si="21"/>
        <v>-10.678999999999998</v>
      </c>
      <c r="CR78" s="374">
        <f t="shared" si="22"/>
        <v>-83.4</v>
      </c>
      <c r="CS78" s="374">
        <f t="shared" si="23"/>
        <v>-34.951000000000008</v>
      </c>
      <c r="CT78" s="374">
        <f t="shared" si="24"/>
        <v>-42.709000000000003</v>
      </c>
      <c r="CU78" s="374">
        <f t="shared" si="25"/>
        <v>-379.67399999999998</v>
      </c>
      <c r="CV78" s="374">
        <f t="shared" si="26"/>
        <v>-30.37</v>
      </c>
      <c r="CW78" s="374">
        <f t="shared" si="27"/>
        <v>-1.4539999999999988</v>
      </c>
      <c r="CX78" s="374">
        <f t="shared" si="28"/>
        <v>-12.529</v>
      </c>
      <c r="CY78" s="374">
        <f t="shared" si="29"/>
        <v>-1075.529</v>
      </c>
      <c r="CZ78" s="374">
        <f t="shared" si="30"/>
        <v>-44.5</v>
      </c>
      <c r="DA78" s="374">
        <f t="shared" si="31"/>
        <v>-76.146999999999991</v>
      </c>
      <c r="DB78" s="374">
        <f t="shared" si="32"/>
        <v>-70.788000000000011</v>
      </c>
      <c r="DC78" s="374">
        <f t="shared" si="33"/>
        <v>-103.602</v>
      </c>
      <c r="DD78" s="374">
        <f t="shared" si="34"/>
        <v>-17.326000000000001</v>
      </c>
      <c r="DE78" s="374">
        <f t="shared" si="35"/>
        <v>-15</v>
      </c>
      <c r="DF78" s="374">
        <f t="shared" si="36"/>
        <v>-15</v>
      </c>
      <c r="DG78" s="1802">
        <f t="shared" si="37"/>
        <v>-15</v>
      </c>
      <c r="DH78" s="1273"/>
      <c r="DI78" s="1273"/>
      <c r="DJ78" s="1273"/>
      <c r="DK78" s="1273"/>
      <c r="DL78" s="1273"/>
      <c r="DM78" s="1273"/>
      <c r="DN78" s="1274"/>
      <c r="DO78" s="276"/>
      <c r="DY78" s="286"/>
      <c r="DZ78" s="286"/>
    </row>
    <row r="79" spans="1:130" ht="4.5" customHeight="1">
      <c r="A79" s="3644"/>
      <c r="B79" s="3643"/>
      <c r="C79" s="3643"/>
      <c r="D79" s="3645" t="s">
        <v>343</v>
      </c>
      <c r="E79" s="3646" t="s">
        <v>343</v>
      </c>
      <c r="F79" s="3646" t="s">
        <v>343</v>
      </c>
      <c r="G79" s="3646" t="s">
        <v>343</v>
      </c>
      <c r="H79" s="3647" t="s">
        <v>343</v>
      </c>
      <c r="I79" s="3646" t="s">
        <v>343</v>
      </c>
      <c r="J79" s="3646" t="s">
        <v>343</v>
      </c>
      <c r="K79" s="3646" t="s">
        <v>343</v>
      </c>
      <c r="L79" s="3646" t="s">
        <v>343</v>
      </c>
      <c r="M79" s="3647" t="s">
        <v>343</v>
      </c>
      <c r="N79" s="3646" t="s">
        <v>343</v>
      </c>
      <c r="O79" s="3646" t="s">
        <v>343</v>
      </c>
      <c r="P79" s="3646" t="s">
        <v>343</v>
      </c>
      <c r="Q79" s="3646" t="s">
        <v>343</v>
      </c>
      <c r="R79" s="3647" t="s">
        <v>343</v>
      </c>
      <c r="S79" s="3646" t="s">
        <v>343</v>
      </c>
      <c r="T79" s="3646" t="s">
        <v>343</v>
      </c>
      <c r="U79" s="3646" t="s">
        <v>343</v>
      </c>
      <c r="V79" s="3646" t="s">
        <v>343</v>
      </c>
      <c r="W79" s="3647" t="s">
        <v>343</v>
      </c>
      <c r="X79" s="3646" t="s">
        <v>343</v>
      </c>
      <c r="Y79" s="3646" t="s">
        <v>343</v>
      </c>
      <c r="Z79" s="3646" t="s">
        <v>343</v>
      </c>
      <c r="AA79" s="3646" t="s">
        <v>343</v>
      </c>
      <c r="AB79" s="3647" t="s">
        <v>343</v>
      </c>
      <c r="AC79" s="3646" t="s">
        <v>343</v>
      </c>
      <c r="AD79" s="3646" t="s">
        <v>343</v>
      </c>
      <c r="AE79" s="3646" t="s">
        <v>343</v>
      </c>
      <c r="AF79" s="3646" t="s">
        <v>343</v>
      </c>
      <c r="AG79" s="3647" t="s">
        <v>343</v>
      </c>
      <c r="AH79" s="3646" t="s">
        <v>343</v>
      </c>
      <c r="AI79" s="3646" t="s">
        <v>343</v>
      </c>
      <c r="AJ79" s="3646" t="s">
        <v>343</v>
      </c>
      <c r="AK79" s="3646" t="s">
        <v>343</v>
      </c>
      <c r="AL79" s="3647" t="s">
        <v>343</v>
      </c>
      <c r="AM79" s="3646" t="s">
        <v>343</v>
      </c>
      <c r="AN79" s="3646" t="s">
        <v>343</v>
      </c>
      <c r="AO79" s="3646" t="s">
        <v>343</v>
      </c>
      <c r="AP79" s="3646" t="s">
        <v>343</v>
      </c>
      <c r="AQ79" s="3647" t="s">
        <v>343</v>
      </c>
      <c r="AR79" s="3646" t="s">
        <v>343</v>
      </c>
      <c r="AS79" s="3646" t="s">
        <v>343</v>
      </c>
      <c r="AT79" s="3646" t="s">
        <v>343</v>
      </c>
      <c r="AU79" s="3646" t="s">
        <v>343</v>
      </c>
      <c r="AV79" s="3647" t="s">
        <v>343</v>
      </c>
      <c r="AW79" s="3646" t="s">
        <v>343</v>
      </c>
      <c r="AX79" s="3646" t="s">
        <v>343</v>
      </c>
      <c r="AY79" s="3646" t="s">
        <v>343</v>
      </c>
      <c r="AZ79" s="3646" t="s">
        <v>343</v>
      </c>
      <c r="BA79" s="3647" t="s">
        <v>343</v>
      </c>
      <c r="BB79" s="3646" t="s">
        <v>343</v>
      </c>
      <c r="BC79" s="3646" t="s">
        <v>343</v>
      </c>
      <c r="BD79" s="3646" t="s">
        <v>343</v>
      </c>
      <c r="BE79" s="3646" t="s">
        <v>343</v>
      </c>
      <c r="BF79" s="3647" t="s">
        <v>343</v>
      </c>
      <c r="BG79" s="3645" t="s">
        <v>343</v>
      </c>
      <c r="BH79" s="3646" t="s">
        <v>343</v>
      </c>
      <c r="BI79" s="3646" t="s">
        <v>343</v>
      </c>
      <c r="BJ79" s="3649" t="s">
        <v>343</v>
      </c>
      <c r="BK79" s="3647" t="s">
        <v>343</v>
      </c>
      <c r="BL79" s="3646" t="s">
        <v>343</v>
      </c>
      <c r="BM79" s="3646" t="s">
        <v>343</v>
      </c>
      <c r="BN79" s="3646" t="s">
        <v>343</v>
      </c>
      <c r="BO79" s="3649" t="s">
        <v>343</v>
      </c>
      <c r="BP79" s="3647" t="s">
        <v>343</v>
      </c>
      <c r="BQ79" s="3646" t="s">
        <v>343</v>
      </c>
      <c r="BR79" s="3646" t="s">
        <v>343</v>
      </c>
      <c r="BS79" s="3646" t="s">
        <v>343</v>
      </c>
      <c r="BT79" s="3649" t="s">
        <v>343</v>
      </c>
      <c r="BU79" s="3648" t="s">
        <v>343</v>
      </c>
      <c r="BV79" s="3646" t="s">
        <v>343</v>
      </c>
      <c r="BW79" s="3646" t="s">
        <v>343</v>
      </c>
      <c r="BX79" s="3646" t="s">
        <v>343</v>
      </c>
      <c r="BY79" s="3649" t="s">
        <v>343</v>
      </c>
      <c r="BZ79" s="3647" t="s">
        <v>343</v>
      </c>
      <c r="CA79" s="3649" t="s">
        <v>343</v>
      </c>
      <c r="CB79" s="3649" t="s">
        <v>343</v>
      </c>
      <c r="CC79" s="297" t="s">
        <v>343</v>
      </c>
      <c r="CD79" s="297" t="s">
        <v>343</v>
      </c>
      <c r="CE79" s="297" t="s">
        <v>343</v>
      </c>
      <c r="CF79" s="297" t="s">
        <v>343</v>
      </c>
      <c r="CG79" s="297" t="s">
        <v>343</v>
      </c>
      <c r="CH79" s="295"/>
      <c r="CI79" s="295"/>
      <c r="CJ79" s="295"/>
      <c r="CK79" s="295"/>
      <c r="CL79" s="295"/>
      <c r="CM79" s="295"/>
      <c r="CN79" s="295"/>
      <c r="CO79" s="295"/>
      <c r="CP79" s="1784"/>
      <c r="CQ79" s="295" t="str">
        <f t="shared" si="21"/>
        <v xml:space="preserve">                </v>
      </c>
      <c r="CR79" s="295" t="str">
        <f t="shared" si="22"/>
        <v xml:space="preserve">                </v>
      </c>
      <c r="CS79" s="295" t="str">
        <f t="shared" si="23"/>
        <v xml:space="preserve">                </v>
      </c>
      <c r="CT79" s="295" t="str">
        <f t="shared" si="24"/>
        <v xml:space="preserve">                </v>
      </c>
      <c r="CU79" s="295" t="str">
        <f t="shared" si="25"/>
        <v xml:space="preserve">                </v>
      </c>
      <c r="CV79" s="295" t="str">
        <f t="shared" si="26"/>
        <v xml:space="preserve">                </v>
      </c>
      <c r="CW79" s="295" t="str">
        <f t="shared" si="27"/>
        <v xml:space="preserve">                </v>
      </c>
      <c r="CX79" s="295" t="str">
        <f t="shared" si="28"/>
        <v xml:space="preserve">                </v>
      </c>
      <c r="CY79" s="295" t="str">
        <f t="shared" si="29"/>
        <v xml:space="preserve">                </v>
      </c>
      <c r="CZ79" s="295" t="str">
        <f t="shared" si="30"/>
        <v xml:space="preserve">                </v>
      </c>
      <c r="DA79" s="295" t="str">
        <f t="shared" si="31"/>
        <v xml:space="preserve">                </v>
      </c>
      <c r="DB79" s="295" t="str">
        <f t="shared" si="32"/>
        <v xml:space="preserve">                </v>
      </c>
      <c r="DC79" s="295" t="str">
        <f t="shared" si="33"/>
        <v xml:space="preserve">                </v>
      </c>
      <c r="DD79" s="295" t="str">
        <f t="shared" si="34"/>
        <v xml:space="preserve">                </v>
      </c>
      <c r="DE79" s="295" t="str">
        <f t="shared" si="35"/>
        <v xml:space="preserve">                </v>
      </c>
      <c r="DF79" s="295" t="str">
        <f t="shared" si="36"/>
        <v xml:space="preserve">                </v>
      </c>
      <c r="DG79" s="297" t="str">
        <f t="shared" si="37"/>
        <v xml:space="preserve">                </v>
      </c>
      <c r="DH79" s="298"/>
      <c r="DI79" s="299"/>
      <c r="DJ79" s="299"/>
      <c r="DK79" s="299"/>
      <c r="DL79" s="299"/>
      <c r="DM79" s="299"/>
      <c r="DN79" s="299"/>
      <c r="DO79" s="300"/>
      <c r="DY79" s="295"/>
      <c r="DZ79" s="295"/>
    </row>
    <row r="80" spans="1:130" ht="12.6" customHeight="1">
      <c r="A80" s="3650" t="s">
        <v>1572</v>
      </c>
      <c r="B80" s="3815"/>
      <c r="C80" s="3815"/>
      <c r="D80" s="3816">
        <f>SUM(D73:D78)+D70</f>
        <v>25.733999999999995</v>
      </c>
      <c r="E80" s="3815">
        <f t="shared" ref="E80:AO80" si="160">SUM(E73:E78)+E70</f>
        <v>27.448</v>
      </c>
      <c r="F80" s="3815">
        <f t="shared" si="160"/>
        <v>55.119000000000007</v>
      </c>
      <c r="G80" s="3815">
        <f t="shared" si="160"/>
        <v>75.992999999999981</v>
      </c>
      <c r="H80" s="3817">
        <f t="shared" si="144"/>
        <v>184.29399999999998</v>
      </c>
      <c r="I80" s="3815">
        <f t="shared" si="160"/>
        <v>73.130999999999972</v>
      </c>
      <c r="J80" s="3815">
        <f t="shared" si="160"/>
        <v>75.736999999999981</v>
      </c>
      <c r="K80" s="3815">
        <f t="shared" si="160"/>
        <v>59.439000000000014</v>
      </c>
      <c r="L80" s="3815">
        <f t="shared" si="160"/>
        <v>54.463000000000036</v>
      </c>
      <c r="M80" s="3817">
        <f t="shared" si="160"/>
        <v>262.77</v>
      </c>
      <c r="N80" s="3815">
        <f t="shared" si="160"/>
        <v>102.25699999999998</v>
      </c>
      <c r="O80" s="3815">
        <f t="shared" si="160"/>
        <v>33.782000000000011</v>
      </c>
      <c r="P80" s="3815">
        <f t="shared" si="160"/>
        <v>49.11</v>
      </c>
      <c r="Q80" s="3815">
        <f t="shared" si="160"/>
        <v>75.286999999999978</v>
      </c>
      <c r="R80" s="3817">
        <f t="shared" si="160"/>
        <v>260.43599999999998</v>
      </c>
      <c r="S80" s="3815">
        <f t="shared" si="160"/>
        <v>58.28</v>
      </c>
      <c r="T80" s="3815">
        <f t="shared" si="160"/>
        <v>44.061999999999969</v>
      </c>
      <c r="U80" s="3815">
        <f t="shared" si="160"/>
        <v>53.184000000000012</v>
      </c>
      <c r="V80" s="3815">
        <f t="shared" si="160"/>
        <v>44.893999999999991</v>
      </c>
      <c r="W80" s="3817">
        <f t="shared" si="160"/>
        <v>200.41999999999996</v>
      </c>
      <c r="X80" s="3815">
        <f t="shared" si="160"/>
        <v>-49.750999999999998</v>
      </c>
      <c r="Y80" s="3815">
        <f t="shared" si="160"/>
        <v>34.653000000000006</v>
      </c>
      <c r="Z80" s="3815">
        <f t="shared" si="160"/>
        <v>14.868000000000006</v>
      </c>
      <c r="AA80" s="3815">
        <f t="shared" si="160"/>
        <v>-249.30600000000001</v>
      </c>
      <c r="AB80" s="3817">
        <f t="shared" si="145"/>
        <v>-249.536</v>
      </c>
      <c r="AC80" s="3815">
        <f t="shared" si="160"/>
        <v>-20.187000000000005</v>
      </c>
      <c r="AD80" s="3815">
        <f t="shared" si="160"/>
        <v>21.47600000000001</v>
      </c>
      <c r="AE80" s="3815">
        <f t="shared" si="160"/>
        <v>10.983000000000001</v>
      </c>
      <c r="AF80" s="3815">
        <f t="shared" si="160"/>
        <v>-6.9520000000000124</v>
      </c>
      <c r="AG80" s="3817">
        <f t="shared" si="146"/>
        <v>5.3199999999999932</v>
      </c>
      <c r="AH80" s="3815">
        <f t="shared" si="160"/>
        <v>13.928000000000004</v>
      </c>
      <c r="AI80" s="3815">
        <f t="shared" si="160"/>
        <v>16.938000000000024</v>
      </c>
      <c r="AJ80" s="3815">
        <f t="shared" si="160"/>
        <v>21.237000000000016</v>
      </c>
      <c r="AK80" s="3815">
        <f>SUM(AK73:AK78)+AK70</f>
        <v>-16.429000000000009</v>
      </c>
      <c r="AL80" s="3817">
        <f t="shared" si="147"/>
        <v>35.674000000000035</v>
      </c>
      <c r="AM80" s="3815">
        <f t="shared" si="160"/>
        <v>-9.4190000000000254</v>
      </c>
      <c r="AN80" s="3815">
        <f t="shared" si="160"/>
        <v>-4.7319999999999709</v>
      </c>
      <c r="AO80" s="3815">
        <f t="shared" si="160"/>
        <v>8.8030000000000257</v>
      </c>
      <c r="AP80" s="3815">
        <f>SUM(AP73:AP78)+AP70</f>
        <v>-1.2770000000000152</v>
      </c>
      <c r="AQ80" s="3817">
        <f>SUM(AM80:AP80)</f>
        <v>-6.6249999999999858</v>
      </c>
      <c r="AR80" s="3815">
        <f>SUM(AR73:AR78)+AR70</f>
        <v>12.757999999999981</v>
      </c>
      <c r="AS80" s="3815">
        <f>SUM(AS73:AS78)+AS70</f>
        <v>-5.0829999999999984</v>
      </c>
      <c r="AT80" s="3815">
        <f>SUM(AT73:AT78)+AT70</f>
        <v>-25.49499999999999</v>
      </c>
      <c r="AU80" s="3815">
        <f>SUM(AU73:AU78)+AU70</f>
        <v>-1124.9689999999998</v>
      </c>
      <c r="AV80" s="3817">
        <f t="shared" si="152"/>
        <v>-1142.7889999999998</v>
      </c>
      <c r="AW80" s="3815">
        <f>SUM(AW73:AW78)+AW70</f>
        <v>-8.5734999999999815</v>
      </c>
      <c r="AX80" s="3815">
        <f>SUM(AX73:AX78)+AX70</f>
        <v>-3.4304999999999808</v>
      </c>
      <c r="AY80" s="3815">
        <f>SUM(AY73:AY78)+AY70</f>
        <v>-35.018999999999977</v>
      </c>
      <c r="AZ80" s="3815">
        <f>SUM(AZ73:AZ78)+AZ70</f>
        <v>-36.8125</v>
      </c>
      <c r="BA80" s="3817">
        <f t="shared" si="153"/>
        <v>-83.835499999999939</v>
      </c>
      <c r="BB80" s="3815">
        <f>SUM(BB73:BB78)+BB70</f>
        <v>-0.75499999999996703</v>
      </c>
      <c r="BC80" s="3815">
        <f>SUM(BC73:BC78)+BC70</f>
        <v>4.7870000000000061</v>
      </c>
      <c r="BD80" s="3815">
        <f>SUM(BD73:BD78)+BD70</f>
        <v>-15.805500000000023</v>
      </c>
      <c r="BE80" s="3815">
        <f>SUM(BE73:BE78)+BE70</f>
        <v>-43.72</v>
      </c>
      <c r="BF80" s="3817">
        <f t="shared" si="154"/>
        <v>-55.493499999999983</v>
      </c>
      <c r="BG80" s="3816">
        <f>SUM(BG73:BG78)+BG70</f>
        <v>18.306500000000028</v>
      </c>
      <c r="BH80" s="3815">
        <f>SUM(BH73:BH78)+BH70</f>
        <v>0.1715000000000515</v>
      </c>
      <c r="BI80" s="3815">
        <f>SUM(BI73:BI78)+BI70</f>
        <v>29.135000000000019</v>
      </c>
      <c r="BJ80" s="3818">
        <f>SUM(BJ73:BJ78)+BJ70</f>
        <v>-7.5539999999999878</v>
      </c>
      <c r="BK80" s="3817">
        <f>SUM(BG80:BJ80)</f>
        <v>40.059000000000111</v>
      </c>
      <c r="BL80" s="3815">
        <f>SUM(BL73:BL78)+BL70</f>
        <v>40.807500000000005</v>
      </c>
      <c r="BM80" s="3815">
        <f>SUM(BM73:BM78)+BM70</f>
        <v>19.077999999999989</v>
      </c>
      <c r="BN80" s="3815">
        <f>SUM(BN73:BN78)+BN70</f>
        <v>-27.755999999999972</v>
      </c>
      <c r="BO80" s="3818">
        <f>SUM(BO73:BO78)+BO70</f>
        <v>-12.513000000000019</v>
      </c>
      <c r="BP80" s="3817">
        <f>SUM(BL80:BO80)</f>
        <v>19.616500000000002</v>
      </c>
      <c r="BQ80" s="3815">
        <f>SUM(BQ73:BQ78)+BQ70</f>
        <v>51.386999999999993</v>
      </c>
      <c r="BR80" s="3815">
        <f>SUM(BR73:BR78)+BR70</f>
        <v>46.151000000000003</v>
      </c>
      <c r="BS80" s="3815">
        <f>SUM(BS73:BS78)+BS70</f>
        <v>35.628</v>
      </c>
      <c r="BT80" s="3818">
        <f>SUM(BT73:BT78)+BT70</f>
        <v>37.641000000000012</v>
      </c>
      <c r="BU80" s="3819">
        <f>SUM(BQ80:BT80)</f>
        <v>170.80700000000002</v>
      </c>
      <c r="BV80" s="3815">
        <f>SUM(BV73:BV78)+BV70</f>
        <v>51.247435386329833</v>
      </c>
      <c r="BW80" s="3815">
        <f>SUM(BW73:BW78)+BW70</f>
        <v>47.938428737572487</v>
      </c>
      <c r="BX80" s="3815">
        <f>SUM(BX73:BX78)+BX70</f>
        <v>68.310097814017666</v>
      </c>
      <c r="BY80" s="3818">
        <f>SUM(BY73:BY78)+BY70</f>
        <v>76.617176649387943</v>
      </c>
      <c r="BZ80" s="3817">
        <f>SUM(BV80:BY80)</f>
        <v>244.11313858730793</v>
      </c>
      <c r="CA80" s="3817">
        <f t="shared" ref="CA80:CG80" si="161">CA70+SUM(CA73:CA78)</f>
        <v>292.34181127238423</v>
      </c>
      <c r="CB80" s="3817">
        <f t="shared" si="161"/>
        <v>297.03804919388267</v>
      </c>
      <c r="CC80" s="1733">
        <f t="shared" si="161"/>
        <v>-374.24304810742683</v>
      </c>
      <c r="CD80" s="1733">
        <f t="shared" si="161"/>
        <v>-424.75164699452694</v>
      </c>
      <c r="CE80" s="1733">
        <f t="shared" si="161"/>
        <v>-402.12714767787611</v>
      </c>
      <c r="CF80" s="1733">
        <f t="shared" si="161"/>
        <v>-378.85879569004692</v>
      </c>
      <c r="CG80" s="1733">
        <f t="shared" si="161"/>
        <v>-354.93155572576808</v>
      </c>
      <c r="CH80" s="323"/>
      <c r="CI80" s="323"/>
      <c r="CJ80" s="323"/>
      <c r="CK80" s="323"/>
      <c r="CL80" s="323"/>
      <c r="CM80" s="965"/>
      <c r="CN80" s="965">
        <f t="shared" ref="CN80:CN88" si="162">SUM(BV80:BY80)</f>
        <v>244.11313858730793</v>
      </c>
      <c r="CO80" s="965">
        <f>CM80-CN80</f>
        <v>-244.11313858730793</v>
      </c>
      <c r="CP80" s="1755" t="str">
        <f t="shared" si="20"/>
        <v>Pre-Tax Income</v>
      </c>
      <c r="CQ80" s="323">
        <f t="shared" si="21"/>
        <v>184.29399999999998</v>
      </c>
      <c r="CR80" s="323">
        <f t="shared" si="22"/>
        <v>262.77</v>
      </c>
      <c r="CS80" s="323">
        <f t="shared" si="23"/>
        <v>260.43599999999998</v>
      </c>
      <c r="CT80" s="323">
        <f t="shared" si="24"/>
        <v>200.41999999999996</v>
      </c>
      <c r="CU80" s="323">
        <f t="shared" si="25"/>
        <v>-249.536</v>
      </c>
      <c r="CV80" s="323">
        <f t="shared" si="26"/>
        <v>5.3199999999999932</v>
      </c>
      <c r="CW80" s="323">
        <f t="shared" si="27"/>
        <v>35.674000000000035</v>
      </c>
      <c r="CX80" s="323">
        <f t="shared" si="28"/>
        <v>-6.6249999999999858</v>
      </c>
      <c r="CY80" s="323">
        <f t="shared" si="29"/>
        <v>-1142.7889999999998</v>
      </c>
      <c r="CZ80" s="323">
        <f t="shared" si="30"/>
        <v>-83.835499999999939</v>
      </c>
      <c r="DA80" s="323">
        <f t="shared" si="31"/>
        <v>-55.493499999999983</v>
      </c>
      <c r="DB80" s="323">
        <f t="shared" si="32"/>
        <v>40.059000000000111</v>
      </c>
      <c r="DC80" s="323">
        <f t="shared" si="33"/>
        <v>19.616500000000002</v>
      </c>
      <c r="DD80" s="323">
        <f t="shared" si="34"/>
        <v>170.80700000000002</v>
      </c>
      <c r="DE80" s="323">
        <f t="shared" si="35"/>
        <v>244.11313858730793</v>
      </c>
      <c r="DF80" s="323">
        <f t="shared" si="36"/>
        <v>292.34181127238423</v>
      </c>
      <c r="DG80" s="1803">
        <f t="shared" si="37"/>
        <v>297.03804919388267</v>
      </c>
      <c r="DH80" s="323"/>
      <c r="DI80" s="323"/>
      <c r="DJ80" s="323"/>
      <c r="DK80" s="323"/>
      <c r="DL80" s="323"/>
      <c r="DM80" s="323"/>
      <c r="DN80" s="323"/>
      <c r="DO80" s="324"/>
      <c r="DY80" s="323"/>
      <c r="DZ80" s="323"/>
    </row>
    <row r="81" spans="1:130" ht="12.6" customHeight="1">
      <c r="A81" s="3634" t="s">
        <v>205</v>
      </c>
      <c r="B81" s="3778"/>
      <c r="C81" s="3778"/>
      <c r="D81" s="3794">
        <f>-17.994+5.725</f>
        <v>-12.269</v>
      </c>
      <c r="E81" s="3795">
        <f>-10.142-1.773</f>
        <v>-11.914999999999999</v>
      </c>
      <c r="F81" s="3795">
        <f>-20.877+1.307</f>
        <v>-19.57</v>
      </c>
      <c r="G81" s="3795">
        <f>-26.663-2.457</f>
        <v>-29.12</v>
      </c>
      <c r="H81" s="3799">
        <f t="shared" si="144"/>
        <v>-72.873999999999995</v>
      </c>
      <c r="I81" s="3795">
        <f>-32.487-0.564</f>
        <v>-33.051000000000002</v>
      </c>
      <c r="J81" s="3795">
        <f>-26.189-0.91</f>
        <v>-27.099</v>
      </c>
      <c r="K81" s="3795">
        <f>-16.972-9.519</f>
        <v>-26.491</v>
      </c>
      <c r="L81" s="3795">
        <f>-8.402-21.666-1.451</f>
        <v>-31.518999999999998</v>
      </c>
      <c r="M81" s="3799">
        <f>SUM(I81:L81)</f>
        <v>-118.16</v>
      </c>
      <c r="N81" s="3795">
        <f>-34.806-4.211</f>
        <v>-39.016999999999996</v>
      </c>
      <c r="O81" s="3795">
        <f>-5.653-17.969</f>
        <v>-23.622</v>
      </c>
      <c r="P81" s="3795">
        <f>-15.212-5.822</f>
        <v>-21.033999999999999</v>
      </c>
      <c r="Q81" s="3795">
        <f>-27.403+7.753</f>
        <v>-19.649999999999999</v>
      </c>
      <c r="R81" s="3799">
        <f>SUM(N81:Q81)</f>
        <v>-103.32300000000001</v>
      </c>
      <c r="S81" s="3795">
        <f>-18.846-5.929</f>
        <v>-24.774999999999999</v>
      </c>
      <c r="T81" s="3795">
        <f>-12.622-9.328</f>
        <v>-21.95</v>
      </c>
      <c r="U81" s="3795">
        <f>-17.742-3.614</f>
        <v>-21.356000000000002</v>
      </c>
      <c r="V81" s="3795">
        <f>-13.917</f>
        <v>-13.917</v>
      </c>
      <c r="W81" s="3799">
        <f>SUM(S81:V81)</f>
        <v>-81.99799999999999</v>
      </c>
      <c r="X81" s="3795">
        <v>17.164000000000001</v>
      </c>
      <c r="Y81" s="3795">
        <f>-12.995</f>
        <v>-12.994999999999999</v>
      </c>
      <c r="Z81" s="3795">
        <f>-6.17</f>
        <v>-6.17</v>
      </c>
      <c r="AA81" s="3795">
        <f>28.532</f>
        <v>28.532</v>
      </c>
      <c r="AB81" s="3799">
        <f t="shared" si="145"/>
        <v>26.531000000000002</v>
      </c>
      <c r="AC81" s="3795">
        <f>6.359</f>
        <v>6.359</v>
      </c>
      <c r="AD81" s="3795">
        <f>-8.698</f>
        <v>-8.6980000000000004</v>
      </c>
      <c r="AE81" s="3795">
        <f>-4.668</f>
        <v>-4.6680000000000001</v>
      </c>
      <c r="AF81" s="3795">
        <v>5.931</v>
      </c>
      <c r="AG81" s="3799">
        <f t="shared" si="146"/>
        <v>-1.0760000000000005</v>
      </c>
      <c r="AH81" s="3795">
        <v>-4.2489999999999997</v>
      </c>
      <c r="AI81" s="3795">
        <v>-4.9119999999999999</v>
      </c>
      <c r="AJ81" s="3795">
        <v>-6.3710000000000004</v>
      </c>
      <c r="AK81" s="3795">
        <v>7.2960000000000003</v>
      </c>
      <c r="AL81" s="3799">
        <f t="shared" si="147"/>
        <v>-8.2360000000000007</v>
      </c>
      <c r="AM81" s="3795">
        <v>3.1080000000000001</v>
      </c>
      <c r="AN81" s="3795">
        <v>-0.91100000000000003</v>
      </c>
      <c r="AO81" s="3795">
        <v>-2.17</v>
      </c>
      <c r="AP81" s="3795">
        <v>-1.7490000000000001</v>
      </c>
      <c r="AQ81" s="3799">
        <f>SUM(AM81:AP81)</f>
        <v>-1.722</v>
      </c>
      <c r="AR81" s="3795">
        <v>-6.2830000000000004</v>
      </c>
      <c r="AS81" s="3795">
        <v>5.08</v>
      </c>
      <c r="AT81" s="3795">
        <v>8.4130000000000003</v>
      </c>
      <c r="AU81" s="3795">
        <v>213.19200000000001</v>
      </c>
      <c r="AV81" s="3820">
        <f>SUM(AR81:AU81)</f>
        <v>220.40200000000002</v>
      </c>
      <c r="AW81" s="3795">
        <v>1.9</v>
      </c>
      <c r="AX81" s="3795">
        <v>3.2</v>
      </c>
      <c r="AY81" s="3795">
        <v>-2.2999999999999998</v>
      </c>
      <c r="AZ81" s="3795">
        <v>-10.5</v>
      </c>
      <c r="BA81" s="3820">
        <f>SUM(AW81:AZ81)</f>
        <v>-7.7</v>
      </c>
      <c r="BB81" s="3821">
        <v>-5.4</v>
      </c>
      <c r="BC81" s="3822">
        <v>-4.0999999999999996</v>
      </c>
      <c r="BD81" s="3822">
        <v>0.8</v>
      </c>
      <c r="BE81" s="3822">
        <v>11.297000000000001</v>
      </c>
      <c r="BF81" s="3820">
        <f>SUM(BB81:BE81)</f>
        <v>2.5970000000000013</v>
      </c>
      <c r="BG81" s="3821">
        <v>16.795999999999999</v>
      </c>
      <c r="BH81" s="3814">
        <v>-6.5960000000000001</v>
      </c>
      <c r="BI81" s="3814">
        <v>-3.71</v>
      </c>
      <c r="BJ81" s="3814">
        <v>0.68500000000000005</v>
      </c>
      <c r="BK81" s="3820">
        <f>SUM(BG81:BJ81)</f>
        <v>7.1749999999999989</v>
      </c>
      <c r="BL81" s="3823">
        <v>-7.6180000000000003</v>
      </c>
      <c r="BM81" s="3823">
        <v>-7.7709999999999999</v>
      </c>
      <c r="BN81" s="3823">
        <v>189.62</v>
      </c>
      <c r="BO81" s="3917">
        <v>23.254999999999999</v>
      </c>
      <c r="BP81" s="3820">
        <f>SUM(BL81:BO81)</f>
        <v>197.48599999999999</v>
      </c>
      <c r="BQ81" s="3928">
        <v>-16.273</v>
      </c>
      <c r="BR81" s="3949">
        <v>-18.59</v>
      </c>
      <c r="BS81" s="3949">
        <v>-12.651999999999999</v>
      </c>
      <c r="BT81" s="3949">
        <v>44.509</v>
      </c>
      <c r="BU81" s="3824">
        <f>SUM(BQ81:BT81)</f>
        <v>-3.0060000000000002</v>
      </c>
      <c r="BV81" s="3535">
        <f>(-BV80*BV1220)</f>
        <v>-14.349281908172355</v>
      </c>
      <c r="BW81" s="3535">
        <f>(-BW80*BW1220)</f>
        <v>-13.422760046520297</v>
      </c>
      <c r="BX81" s="3535">
        <f>(-BX80*BX1220)</f>
        <v>-19.126827387924948</v>
      </c>
      <c r="BY81" s="3535">
        <f>(-BY80*BY1220)</f>
        <v>-21.452809461828625</v>
      </c>
      <c r="BZ81" s="3820">
        <f>SUM(BV81:BY81)</f>
        <v>-68.351678804446223</v>
      </c>
      <c r="CA81" s="3799">
        <f t="shared" ref="CA81:CG81" si="163">(-CA80*CA1220)</f>
        <v>-81.855707156267599</v>
      </c>
      <c r="CB81" s="3799">
        <f t="shared" si="163"/>
        <v>-83.17065377428716</v>
      </c>
      <c r="CC81" s="375">
        <f t="shared" si="163"/>
        <v>130.98506683759939</v>
      </c>
      <c r="CD81" s="375">
        <f t="shared" si="163"/>
        <v>148.66307644808441</v>
      </c>
      <c r="CE81" s="375">
        <f t="shared" si="163"/>
        <v>140.74450168725662</v>
      </c>
      <c r="CF81" s="375">
        <f t="shared" si="163"/>
        <v>132.60057849151642</v>
      </c>
      <c r="CG81" s="375">
        <f t="shared" si="163"/>
        <v>124.22604450401882</v>
      </c>
      <c r="CH81" s="201"/>
      <c r="CI81" s="201"/>
      <c r="CJ81" s="201"/>
      <c r="CK81" s="201"/>
      <c r="CL81" s="201"/>
      <c r="CM81" s="965"/>
      <c r="CN81" s="965">
        <f t="shared" si="162"/>
        <v>-68.351678804446223</v>
      </c>
      <c r="CO81" s="965">
        <f t="shared" ref="CO81:CO91" si="164">CM81-CN81</f>
        <v>68.351678804446223</v>
      </c>
      <c r="CP81" s="981" t="str">
        <f t="shared" si="20"/>
        <v>Tax benefit (expense)</v>
      </c>
      <c r="CQ81" s="201">
        <f t="shared" si="21"/>
        <v>-72.873999999999995</v>
      </c>
      <c r="CR81" s="201">
        <f t="shared" si="22"/>
        <v>-118.16</v>
      </c>
      <c r="CS81" s="201">
        <f t="shared" si="23"/>
        <v>-103.32300000000001</v>
      </c>
      <c r="CT81" s="201">
        <f t="shared" si="24"/>
        <v>-81.99799999999999</v>
      </c>
      <c r="CU81" s="201">
        <f t="shared" si="25"/>
        <v>26.531000000000002</v>
      </c>
      <c r="CV81" s="201">
        <f t="shared" si="26"/>
        <v>-1.0760000000000005</v>
      </c>
      <c r="CW81" s="201">
        <f t="shared" si="27"/>
        <v>-8.2360000000000007</v>
      </c>
      <c r="CX81" s="201">
        <f t="shared" si="28"/>
        <v>-1.722</v>
      </c>
      <c r="CY81" s="201">
        <f t="shared" si="29"/>
        <v>220.40200000000002</v>
      </c>
      <c r="CZ81" s="201">
        <f t="shared" si="30"/>
        <v>-7.7</v>
      </c>
      <c r="DA81" s="201">
        <f t="shared" si="31"/>
        <v>2.5970000000000013</v>
      </c>
      <c r="DB81" s="201">
        <f t="shared" si="32"/>
        <v>7.1749999999999989</v>
      </c>
      <c r="DC81" s="201">
        <f t="shared" si="33"/>
        <v>197.48599999999999</v>
      </c>
      <c r="DD81" s="201">
        <f t="shared" si="34"/>
        <v>-3.0060000000000002</v>
      </c>
      <c r="DE81" s="201">
        <f t="shared" si="35"/>
        <v>-68.351678804446223</v>
      </c>
      <c r="DF81" s="201">
        <f t="shared" si="36"/>
        <v>-81.855707156267599</v>
      </c>
      <c r="DG81" s="1804">
        <f t="shared" si="37"/>
        <v>-83.17065377428716</v>
      </c>
      <c r="DH81" s="104"/>
      <c r="DI81" s="104"/>
      <c r="DJ81" s="104"/>
      <c r="DK81" s="104"/>
      <c r="DL81" s="104"/>
      <c r="DM81" s="104"/>
      <c r="DN81" s="380"/>
      <c r="DO81" s="226"/>
      <c r="DY81" s="201"/>
      <c r="DZ81" s="201"/>
    </row>
    <row r="82" spans="1:130" ht="12.6" customHeight="1">
      <c r="A82" s="381" t="s">
        <v>1243</v>
      </c>
      <c r="B82" s="382"/>
      <c r="C82" s="382"/>
      <c r="D82" s="1738">
        <f>SUM(D80:D81)</f>
        <v>13.464999999999995</v>
      </c>
      <c r="E82" s="382">
        <f>SUM(E80:E81)</f>
        <v>15.533000000000001</v>
      </c>
      <c r="F82" s="382">
        <f>SUM(F80:F81)</f>
        <v>35.549000000000007</v>
      </c>
      <c r="G82" s="382">
        <f>SUM(G80:G81)</f>
        <v>46.872999999999976</v>
      </c>
      <c r="H82" s="1740">
        <f t="shared" si="144"/>
        <v>111.41999999999997</v>
      </c>
      <c r="I82" s="382">
        <f>SUM(I80:I81)</f>
        <v>40.07999999999997</v>
      </c>
      <c r="J82" s="382">
        <f t="shared" ref="J82:AO82" si="165">SUM(J80:J81)</f>
        <v>48.637999999999977</v>
      </c>
      <c r="K82" s="382">
        <f t="shared" si="165"/>
        <v>32.948000000000015</v>
      </c>
      <c r="L82" s="382">
        <f t="shared" si="165"/>
        <v>22.944000000000038</v>
      </c>
      <c r="M82" s="1740">
        <f t="shared" si="165"/>
        <v>144.60999999999999</v>
      </c>
      <c r="N82" s="382">
        <f t="shared" si="165"/>
        <v>63.239999999999981</v>
      </c>
      <c r="O82" s="382">
        <f t="shared" si="165"/>
        <v>10.160000000000011</v>
      </c>
      <c r="P82" s="382">
        <f t="shared" si="165"/>
        <v>28.076000000000001</v>
      </c>
      <c r="Q82" s="382">
        <f t="shared" si="165"/>
        <v>55.636999999999979</v>
      </c>
      <c r="R82" s="1740">
        <f t="shared" si="165"/>
        <v>157.11299999999997</v>
      </c>
      <c r="S82" s="382">
        <f t="shared" si="165"/>
        <v>33.505000000000003</v>
      </c>
      <c r="T82" s="382">
        <f t="shared" si="165"/>
        <v>22.11199999999997</v>
      </c>
      <c r="U82" s="382">
        <f t="shared" si="165"/>
        <v>31.82800000000001</v>
      </c>
      <c r="V82" s="382">
        <f t="shared" si="165"/>
        <v>30.97699999999999</v>
      </c>
      <c r="W82" s="1740">
        <f t="shared" si="165"/>
        <v>118.42199999999997</v>
      </c>
      <c r="X82" s="382">
        <f t="shared" si="165"/>
        <v>-32.586999999999996</v>
      </c>
      <c r="Y82" s="382">
        <f t="shared" si="165"/>
        <v>21.658000000000008</v>
      </c>
      <c r="Z82" s="382">
        <f t="shared" si="165"/>
        <v>8.6980000000000057</v>
      </c>
      <c r="AA82" s="382">
        <f t="shared" si="165"/>
        <v>-220.774</v>
      </c>
      <c r="AB82" s="1740">
        <f t="shared" si="145"/>
        <v>-223.005</v>
      </c>
      <c r="AC82" s="382">
        <f t="shared" si="165"/>
        <v>-13.828000000000005</v>
      </c>
      <c r="AD82" s="382">
        <f t="shared" si="165"/>
        <v>12.778000000000009</v>
      </c>
      <c r="AE82" s="382">
        <f t="shared" si="165"/>
        <v>6.3150000000000004</v>
      </c>
      <c r="AF82" s="382">
        <f t="shared" si="165"/>
        <v>-1.0210000000000123</v>
      </c>
      <c r="AG82" s="1740">
        <f>SUM(AG80:AG81)</f>
        <v>4.2439999999999927</v>
      </c>
      <c r="AH82" s="382">
        <f t="shared" si="165"/>
        <v>9.6790000000000056</v>
      </c>
      <c r="AI82" s="382">
        <f t="shared" si="165"/>
        <v>12.026000000000025</v>
      </c>
      <c r="AJ82" s="382">
        <f t="shared" si="165"/>
        <v>14.866000000000016</v>
      </c>
      <c r="AK82" s="382">
        <f t="shared" si="165"/>
        <v>-9.1330000000000098</v>
      </c>
      <c r="AL82" s="1740">
        <f t="shared" si="147"/>
        <v>27.438000000000038</v>
      </c>
      <c r="AM82" s="382">
        <f t="shared" si="165"/>
        <v>-6.3110000000000248</v>
      </c>
      <c r="AN82" s="382">
        <f t="shared" si="165"/>
        <v>-5.6429999999999705</v>
      </c>
      <c r="AO82" s="382">
        <f t="shared" si="165"/>
        <v>6.6330000000000258</v>
      </c>
      <c r="AP82" s="382">
        <f>SUM(AP80:AP81)</f>
        <v>-3.0260000000000153</v>
      </c>
      <c r="AQ82" s="1740">
        <f t="shared" si="148"/>
        <v>-8.3469999999999853</v>
      </c>
      <c r="AR82" s="382">
        <f>SUM(AR80:AR81)</f>
        <v>6.474999999999981</v>
      </c>
      <c r="AS82" s="382">
        <f>SUM(AS80:AS81)</f>
        <v>-2.9999999999983373E-3</v>
      </c>
      <c r="AT82" s="382">
        <f>SUM(AT80:AT81)</f>
        <v>-17.08199999999999</v>
      </c>
      <c r="AU82" s="382">
        <f>SUM(AU80:AU81)</f>
        <v>-911.77699999999982</v>
      </c>
      <c r="AV82" s="1740">
        <f t="shared" si="152"/>
        <v>-922.38699999999983</v>
      </c>
      <c r="AW82" s="382">
        <f>SUM(AW80:AW81)</f>
        <v>-6.6734999999999811</v>
      </c>
      <c r="AX82" s="382">
        <f>SUM(AX80:AX81)</f>
        <v>-0.23049999999998061</v>
      </c>
      <c r="AY82" s="382">
        <f>SUM(AY80:AY81)</f>
        <v>-37.318999999999974</v>
      </c>
      <c r="AZ82" s="382">
        <f>SUM(AZ80:AZ81)</f>
        <v>-47.3125</v>
      </c>
      <c r="BA82" s="1740">
        <f t="shared" si="153"/>
        <v>-91.535499999999928</v>
      </c>
      <c r="BB82" s="382">
        <f>SUM(BB80:BB81)</f>
        <v>-6.1549999999999674</v>
      </c>
      <c r="BC82" s="382">
        <f>SUM(BC80:BC81)</f>
        <v>0.68700000000000649</v>
      </c>
      <c r="BD82" s="382">
        <f>SUM(BD80:BD81)</f>
        <v>-15.005500000000023</v>
      </c>
      <c r="BE82" s="382">
        <f>SUM(BE80:BE81)</f>
        <v>-32.423000000000002</v>
      </c>
      <c r="BF82" s="1740">
        <f t="shared" si="154"/>
        <v>-52.896499999999989</v>
      </c>
      <c r="BG82" s="1738">
        <f>SUM(BG80:BG81)</f>
        <v>35.102500000000028</v>
      </c>
      <c r="BH82" s="382">
        <f>SUM(BH80:BH81)</f>
        <v>-6.4244999999999486</v>
      </c>
      <c r="BI82" s="382">
        <f>SUM(BI80:BI81)</f>
        <v>25.425000000000018</v>
      </c>
      <c r="BJ82" s="1739">
        <f>SUM(BJ80:BJ81)</f>
        <v>-6.8689999999999873</v>
      </c>
      <c r="BK82" s="1740">
        <f>SUM(BG82:BJ82)</f>
        <v>47.234000000000108</v>
      </c>
      <c r="BL82" s="382">
        <f>SUM(BL80:BL81)</f>
        <v>33.189500000000002</v>
      </c>
      <c r="BM82" s="382">
        <f>SUM(BM80:BM81)</f>
        <v>11.306999999999988</v>
      </c>
      <c r="BN82" s="382">
        <f>SUM(BN80:BN81)</f>
        <v>161.86400000000003</v>
      </c>
      <c r="BO82" s="1739">
        <f>SUM(BO80:BO81)</f>
        <v>10.74199999999998</v>
      </c>
      <c r="BP82" s="1740">
        <f>SUM(BL82:BO82)</f>
        <v>217.10250000000002</v>
      </c>
      <c r="BQ82" s="382">
        <f>SUM(BQ80:BQ81)</f>
        <v>35.11399999999999</v>
      </c>
      <c r="BR82" s="382">
        <f>SUM(BR80:BR81)</f>
        <v>27.561000000000003</v>
      </c>
      <c r="BS82" s="382">
        <f>SUM(BS80:BS81)</f>
        <v>22.975999999999999</v>
      </c>
      <c r="BT82" s="1739">
        <f>SUM(BT80:BT81)</f>
        <v>82.15</v>
      </c>
      <c r="BU82" s="3327">
        <f>SUM(BQ82:BT82)</f>
        <v>167.80099999999999</v>
      </c>
      <c r="BV82" s="382">
        <f>SUM(BV80:BV81)</f>
        <v>36.898153478157482</v>
      </c>
      <c r="BW82" s="382">
        <f>SUM(BW80:BW81)</f>
        <v>34.515668691052191</v>
      </c>
      <c r="BX82" s="382">
        <f>SUM(BX80:BX81)</f>
        <v>49.183270426092719</v>
      </c>
      <c r="BY82" s="1739">
        <f>SUM(BY80:BY81)</f>
        <v>55.164367187559321</v>
      </c>
      <c r="BZ82" s="1740">
        <f>SUM(BV82:BY82)</f>
        <v>175.76145978286172</v>
      </c>
      <c r="CA82" s="1740">
        <f t="shared" ref="CA82:CG82" si="166">SUM(CA80:CA81)</f>
        <v>210.48610411611662</v>
      </c>
      <c r="CB82" s="1740">
        <f t="shared" si="166"/>
        <v>213.86739541959551</v>
      </c>
      <c r="CC82" s="1740">
        <f t="shared" si="166"/>
        <v>-243.25798126982744</v>
      </c>
      <c r="CD82" s="1740">
        <f t="shared" si="166"/>
        <v>-276.0885705464425</v>
      </c>
      <c r="CE82" s="1740">
        <f t="shared" si="166"/>
        <v>-261.38264599061949</v>
      </c>
      <c r="CF82" s="1740">
        <f t="shared" si="166"/>
        <v>-246.2582171985305</v>
      </c>
      <c r="CG82" s="1740">
        <f t="shared" si="166"/>
        <v>-230.70551122174925</v>
      </c>
      <c r="CH82" s="385"/>
      <c r="CI82" s="385"/>
      <c r="CJ82" s="385"/>
      <c r="CK82" s="385"/>
      <c r="CL82" s="385"/>
      <c r="CM82" s="965"/>
      <c r="CN82" s="965">
        <f t="shared" si="162"/>
        <v>175.76145978286172</v>
      </c>
      <c r="CO82" s="965">
        <f t="shared" si="164"/>
        <v>-175.76145978286172</v>
      </c>
      <c r="CP82" s="381" t="str">
        <f t="shared" si="20"/>
        <v>Net Income</v>
      </c>
      <c r="CQ82" s="382">
        <f t="shared" si="21"/>
        <v>111.41999999999997</v>
      </c>
      <c r="CR82" s="382">
        <f t="shared" si="22"/>
        <v>144.60999999999999</v>
      </c>
      <c r="CS82" s="382">
        <f t="shared" si="23"/>
        <v>157.11299999999997</v>
      </c>
      <c r="CT82" s="382">
        <f t="shared" si="24"/>
        <v>118.42199999999997</v>
      </c>
      <c r="CU82" s="382">
        <f t="shared" si="25"/>
        <v>-223.005</v>
      </c>
      <c r="CV82" s="382">
        <f t="shared" si="26"/>
        <v>4.2439999999999927</v>
      </c>
      <c r="CW82" s="382">
        <f t="shared" si="27"/>
        <v>27.438000000000038</v>
      </c>
      <c r="CX82" s="382">
        <f t="shared" si="28"/>
        <v>-8.3469999999999853</v>
      </c>
      <c r="CY82" s="382">
        <f t="shared" si="29"/>
        <v>-922.38699999999983</v>
      </c>
      <c r="CZ82" s="382">
        <f t="shared" si="30"/>
        <v>-91.535499999999928</v>
      </c>
      <c r="DA82" s="382">
        <f t="shared" si="31"/>
        <v>-52.896499999999989</v>
      </c>
      <c r="DB82" s="382">
        <f t="shared" si="32"/>
        <v>47.234000000000108</v>
      </c>
      <c r="DC82" s="382">
        <f t="shared" si="33"/>
        <v>217.10250000000002</v>
      </c>
      <c r="DD82" s="382">
        <f t="shared" si="34"/>
        <v>167.80099999999999</v>
      </c>
      <c r="DE82" s="382">
        <f t="shared" si="35"/>
        <v>175.76145978286172</v>
      </c>
      <c r="DF82" s="382">
        <f t="shared" si="36"/>
        <v>210.48610411611662</v>
      </c>
      <c r="DG82" s="1739">
        <f t="shared" si="37"/>
        <v>213.86739541959551</v>
      </c>
      <c r="DH82" s="385"/>
      <c r="DI82" s="385"/>
      <c r="DJ82" s="385"/>
      <c r="DK82" s="385"/>
      <c r="DL82" s="385"/>
      <c r="DM82" s="385"/>
      <c r="DN82" s="385"/>
      <c r="DO82" s="386"/>
      <c r="DY82" s="385"/>
      <c r="DZ82" s="385"/>
    </row>
    <row r="83" spans="1:130" ht="12.6" hidden="1" customHeight="1" outlineLevel="1">
      <c r="A83" s="1805" t="s">
        <v>991</v>
      </c>
      <c r="B83" s="387"/>
      <c r="C83" s="387"/>
      <c r="D83" s="363">
        <v>0</v>
      </c>
      <c r="E83" s="364">
        <v>0</v>
      </c>
      <c r="F83" s="364">
        <v>0</v>
      </c>
      <c r="G83" s="364">
        <v>0</v>
      </c>
      <c r="H83" s="373">
        <f t="shared" si="144"/>
        <v>0</v>
      </c>
      <c r="I83" s="364">
        <v>0</v>
      </c>
      <c r="J83" s="364">
        <v>0</v>
      </c>
      <c r="K83" s="364">
        <v>0</v>
      </c>
      <c r="L83" s="364">
        <v>0</v>
      </c>
      <c r="M83" s="373">
        <f>SUM(I83:L83)</f>
        <v>0</v>
      </c>
      <c r="N83" s="364">
        <v>0</v>
      </c>
      <c r="O83" s="364">
        <v>0</v>
      </c>
      <c r="P83" s="364">
        <v>-41.006</v>
      </c>
      <c r="Q83" s="364">
        <v>0</v>
      </c>
      <c r="R83" s="373">
        <f>SUM(N83:Q83)</f>
        <v>-41.006</v>
      </c>
      <c r="S83" s="364">
        <f>282.956-100.195</f>
        <v>182.76100000000002</v>
      </c>
      <c r="T83" s="364">
        <v>0</v>
      </c>
      <c r="U83" s="364">
        <v>0</v>
      </c>
      <c r="V83" s="364">
        <v>0.252</v>
      </c>
      <c r="W83" s="373">
        <f>SUM(S83:V83)</f>
        <v>183.01300000000003</v>
      </c>
      <c r="X83" s="364">
        <v>0</v>
      </c>
      <c r="Y83" s="364">
        <v>0</v>
      </c>
      <c r="Z83" s="364">
        <v>0</v>
      </c>
      <c r="AA83" s="364">
        <v>0</v>
      </c>
      <c r="AB83" s="373">
        <f t="shared" si="145"/>
        <v>0</v>
      </c>
      <c r="AC83" s="364">
        <v>0</v>
      </c>
      <c r="AD83" s="364">
        <v>0</v>
      </c>
      <c r="AE83" s="364">
        <v>0</v>
      </c>
      <c r="AF83" s="364">
        <v>0</v>
      </c>
      <c r="AG83" s="373">
        <f>SUM(AC83:AF83)</f>
        <v>0</v>
      </c>
      <c r="AH83" s="376">
        <v>0</v>
      </c>
      <c r="AI83" s="364">
        <v>0</v>
      </c>
      <c r="AJ83" s="376">
        <v>0</v>
      </c>
      <c r="AK83" s="376">
        <v>0</v>
      </c>
      <c r="AL83" s="373">
        <f t="shared" si="147"/>
        <v>0</v>
      </c>
      <c r="AM83" s="376">
        <v>0</v>
      </c>
      <c r="AN83" s="376">
        <v>0</v>
      </c>
      <c r="AO83" s="376">
        <v>0</v>
      </c>
      <c r="AP83" s="376">
        <v>0</v>
      </c>
      <c r="AQ83" s="373">
        <f t="shared" si="148"/>
        <v>0</v>
      </c>
      <c r="AR83" s="376">
        <v>0</v>
      </c>
      <c r="AS83" s="376">
        <v>0</v>
      </c>
      <c r="AT83" s="376">
        <v>0</v>
      </c>
      <c r="AU83" s="376">
        <v>0</v>
      </c>
      <c r="AV83" s="373">
        <f t="shared" si="152"/>
        <v>0</v>
      </c>
      <c r="AW83" s="376">
        <v>0</v>
      </c>
      <c r="AX83" s="376">
        <v>0</v>
      </c>
      <c r="AY83" s="376">
        <v>0</v>
      </c>
      <c r="AZ83" s="376">
        <v>0</v>
      </c>
      <c r="BA83" s="373">
        <f t="shared" si="153"/>
        <v>0</v>
      </c>
      <c r="BB83" s="376">
        <v>0</v>
      </c>
      <c r="BC83" s="376">
        <v>0</v>
      </c>
      <c r="BD83" s="376">
        <v>0</v>
      </c>
      <c r="BE83" s="376">
        <v>0</v>
      </c>
      <c r="BF83" s="373">
        <f t="shared" si="154"/>
        <v>0</v>
      </c>
      <c r="BG83" s="365">
        <v>0</v>
      </c>
      <c r="BH83" s="374">
        <v>0</v>
      </c>
      <c r="BI83" s="374">
        <v>0</v>
      </c>
      <c r="BJ83" s="1802">
        <v>0</v>
      </c>
      <c r="BK83" s="373">
        <f>SUM(BG83:BJ83)</f>
        <v>0</v>
      </c>
      <c r="BL83" s="374">
        <v>0</v>
      </c>
      <c r="BM83" s="374">
        <v>0</v>
      </c>
      <c r="BN83" s="374">
        <v>0</v>
      </c>
      <c r="BO83" s="1802">
        <v>0</v>
      </c>
      <c r="BP83" s="373">
        <f>SUM(BL83:BO83)</f>
        <v>0</v>
      </c>
      <c r="BQ83" s="374">
        <v>0</v>
      </c>
      <c r="BR83" s="374">
        <v>0</v>
      </c>
      <c r="BS83" s="374">
        <v>0</v>
      </c>
      <c r="BT83" s="1802">
        <v>0</v>
      </c>
      <c r="BU83" s="3326">
        <f>SUM(BQ83:BT83)</f>
        <v>0</v>
      </c>
      <c r="BV83" s="374">
        <v>0</v>
      </c>
      <c r="BW83" s="374">
        <v>0</v>
      </c>
      <c r="BX83" s="374">
        <v>0</v>
      </c>
      <c r="BY83" s="1802">
        <v>0</v>
      </c>
      <c r="BZ83" s="432">
        <f>SUM(BV83:BY83)</f>
        <v>0</v>
      </c>
      <c r="CA83" s="432">
        <v>0</v>
      </c>
      <c r="CB83" s="432">
        <v>0</v>
      </c>
      <c r="CC83" s="432">
        <v>0</v>
      </c>
      <c r="CD83" s="432">
        <v>0</v>
      </c>
      <c r="CE83" s="432">
        <v>0</v>
      </c>
      <c r="CF83" s="432">
        <v>0</v>
      </c>
      <c r="CG83" s="432">
        <v>0</v>
      </c>
      <c r="CH83" s="364"/>
      <c r="CI83" s="364"/>
      <c r="CJ83" s="364"/>
      <c r="CK83" s="364"/>
      <c r="CL83" s="364"/>
      <c r="CM83" s="965"/>
      <c r="CN83" s="965">
        <f t="shared" si="162"/>
        <v>0</v>
      </c>
      <c r="CO83" s="965">
        <f t="shared" si="164"/>
        <v>0</v>
      </c>
      <c r="CP83" s="1805" t="str">
        <f t="shared" si="20"/>
        <v>Loss from discontinued operations, net</v>
      </c>
      <c r="CQ83" s="374">
        <f t="shared" si="21"/>
        <v>0</v>
      </c>
      <c r="CR83" s="374">
        <f t="shared" si="22"/>
        <v>0</v>
      </c>
      <c r="CS83" s="374">
        <f t="shared" si="23"/>
        <v>-41.006</v>
      </c>
      <c r="CT83" s="374">
        <f t="shared" si="24"/>
        <v>183.01300000000003</v>
      </c>
      <c r="CU83" s="374">
        <f t="shared" si="25"/>
        <v>0</v>
      </c>
      <c r="CV83" s="374">
        <f t="shared" si="26"/>
        <v>0</v>
      </c>
      <c r="CW83" s="374">
        <f t="shared" si="27"/>
        <v>0</v>
      </c>
      <c r="CX83" s="374">
        <f t="shared" si="28"/>
        <v>0</v>
      </c>
      <c r="CY83" s="374">
        <f t="shared" si="29"/>
        <v>0</v>
      </c>
      <c r="CZ83" s="374">
        <f t="shared" si="30"/>
        <v>0</v>
      </c>
      <c r="DA83" s="374">
        <f t="shared" si="31"/>
        <v>0</v>
      </c>
      <c r="DB83" s="374">
        <f t="shared" si="32"/>
        <v>0</v>
      </c>
      <c r="DC83" s="374">
        <f t="shared" si="33"/>
        <v>0</v>
      </c>
      <c r="DD83" s="374">
        <f t="shared" si="34"/>
        <v>0</v>
      </c>
      <c r="DE83" s="374">
        <f t="shared" si="35"/>
        <v>0</v>
      </c>
      <c r="DF83" s="374">
        <f t="shared" si="36"/>
        <v>0</v>
      </c>
      <c r="DG83" s="1802">
        <f t="shared" si="37"/>
        <v>0</v>
      </c>
      <c r="DH83" s="379"/>
      <c r="DI83" s="379"/>
      <c r="DJ83" s="379"/>
      <c r="DK83" s="379"/>
      <c r="DL83" s="379"/>
      <c r="DM83" s="379"/>
      <c r="DN83" s="388"/>
      <c r="DO83" s="389"/>
      <c r="DY83" s="374"/>
      <c r="DZ83" s="374"/>
    </row>
    <row r="84" spans="1:130" ht="12.6" hidden="1" customHeight="1" outlineLevel="1">
      <c r="A84" s="1806" t="s">
        <v>1541</v>
      </c>
      <c r="B84" s="385"/>
      <c r="C84" s="385"/>
      <c r="D84" s="390">
        <f t="shared" ref="D84:I84" si="167">SUM(D82:D83)</f>
        <v>13.464999999999995</v>
      </c>
      <c r="E84" s="384">
        <f t="shared" si="167"/>
        <v>15.533000000000001</v>
      </c>
      <c r="F84" s="384">
        <f t="shared" si="167"/>
        <v>35.549000000000007</v>
      </c>
      <c r="G84" s="384">
        <f t="shared" si="167"/>
        <v>46.872999999999976</v>
      </c>
      <c r="H84" s="391">
        <f>SUM(D84:G84)</f>
        <v>111.41999999999997</v>
      </c>
      <c r="I84" s="384">
        <f t="shared" si="167"/>
        <v>40.07999999999997</v>
      </c>
      <c r="J84" s="384">
        <f t="shared" ref="J84:AF84" si="168">SUM(J82:J83)</f>
        <v>48.637999999999977</v>
      </c>
      <c r="K84" s="384">
        <f t="shared" si="168"/>
        <v>32.948000000000015</v>
      </c>
      <c r="L84" s="384">
        <f t="shared" si="168"/>
        <v>22.944000000000038</v>
      </c>
      <c r="M84" s="391">
        <f>SUM(M82:M83)</f>
        <v>144.60999999999999</v>
      </c>
      <c r="N84" s="384">
        <f t="shared" si="168"/>
        <v>63.239999999999981</v>
      </c>
      <c r="O84" s="384">
        <f t="shared" si="168"/>
        <v>10.160000000000011</v>
      </c>
      <c r="P84" s="384">
        <f>SUM(P82:P83)</f>
        <v>-12.93</v>
      </c>
      <c r="Q84" s="384">
        <f t="shared" si="168"/>
        <v>55.636999999999979</v>
      </c>
      <c r="R84" s="391">
        <f t="shared" si="168"/>
        <v>116.10699999999997</v>
      </c>
      <c r="S84" s="384">
        <f t="shared" si="168"/>
        <v>216.26600000000002</v>
      </c>
      <c r="T84" s="384">
        <f t="shared" si="168"/>
        <v>22.11199999999997</v>
      </c>
      <c r="U84" s="384">
        <f t="shared" si="168"/>
        <v>31.82800000000001</v>
      </c>
      <c r="V84" s="384">
        <f t="shared" si="168"/>
        <v>31.228999999999989</v>
      </c>
      <c r="W84" s="391">
        <f t="shared" si="168"/>
        <v>301.435</v>
      </c>
      <c r="X84" s="384">
        <f t="shared" si="168"/>
        <v>-32.586999999999996</v>
      </c>
      <c r="Y84" s="384">
        <f t="shared" si="168"/>
        <v>21.658000000000008</v>
      </c>
      <c r="Z84" s="384">
        <f t="shared" si="168"/>
        <v>8.6980000000000057</v>
      </c>
      <c r="AA84" s="384">
        <f t="shared" si="168"/>
        <v>-220.774</v>
      </c>
      <c r="AB84" s="391">
        <f t="shared" si="168"/>
        <v>-223.005</v>
      </c>
      <c r="AC84" s="384">
        <f t="shared" si="168"/>
        <v>-13.828000000000005</v>
      </c>
      <c r="AD84" s="384">
        <f t="shared" si="168"/>
        <v>12.778000000000009</v>
      </c>
      <c r="AE84" s="384">
        <f t="shared" si="168"/>
        <v>6.3150000000000004</v>
      </c>
      <c r="AF84" s="384">
        <f t="shared" si="168"/>
        <v>-1.0210000000000123</v>
      </c>
      <c r="AG84" s="391">
        <f>SUM(AG82:AG83)</f>
        <v>4.2439999999999927</v>
      </c>
      <c r="AH84" s="384">
        <f>SUM(AH82:AH83)</f>
        <v>9.6790000000000056</v>
      </c>
      <c r="AI84" s="384">
        <f>SUM(AI82:AI83)</f>
        <v>12.026000000000025</v>
      </c>
      <c r="AJ84" s="384">
        <f>SUM(AJ82:AJ83)</f>
        <v>14.866000000000016</v>
      </c>
      <c r="AK84" s="384">
        <f>SUM(AK82:AK83)</f>
        <v>-9.1330000000000098</v>
      </c>
      <c r="AL84" s="391">
        <f t="shared" si="147"/>
        <v>27.438000000000038</v>
      </c>
      <c r="AM84" s="384">
        <f>SUM(AM82:AM83)</f>
        <v>-6.3110000000000248</v>
      </c>
      <c r="AN84" s="384">
        <f>SUM(AN82:AN83)</f>
        <v>-5.6429999999999705</v>
      </c>
      <c r="AO84" s="384">
        <f>SUM(AO82:AO83)</f>
        <v>6.6330000000000258</v>
      </c>
      <c r="AP84" s="384">
        <f>SUM(AP82:AP83)</f>
        <v>-3.0260000000000153</v>
      </c>
      <c r="AQ84" s="391">
        <f t="shared" si="148"/>
        <v>-8.3469999999999853</v>
      </c>
      <c r="AR84" s="384">
        <f>SUM(AR82:AR83)</f>
        <v>6.474999999999981</v>
      </c>
      <c r="AS84" s="384">
        <f>SUM(AS82:AS83)</f>
        <v>-2.9999999999983373E-3</v>
      </c>
      <c r="AT84" s="384">
        <f>SUM(AT82:AT83)</f>
        <v>-17.08199999999999</v>
      </c>
      <c r="AU84" s="384">
        <f>SUM(AU82:AU83)</f>
        <v>-911.77699999999982</v>
      </c>
      <c r="AV84" s="391">
        <f t="shared" si="152"/>
        <v>-922.38699999999983</v>
      </c>
      <c r="AW84" s="384">
        <f>SUM(AW82:AW83)</f>
        <v>-6.6734999999999811</v>
      </c>
      <c r="AX84" s="384">
        <f>SUM(AX82:AX83)</f>
        <v>-0.23049999999998061</v>
      </c>
      <c r="AY84" s="384">
        <f>SUM(AY82:AY83)</f>
        <v>-37.318999999999974</v>
      </c>
      <c r="AZ84" s="384">
        <f>SUM(AZ82:AZ83)</f>
        <v>-47.3125</v>
      </c>
      <c r="BA84" s="391">
        <f t="shared" si="153"/>
        <v>-91.535499999999928</v>
      </c>
      <c r="BB84" s="384">
        <f>SUM(BB82:BB83)</f>
        <v>-6.1549999999999674</v>
      </c>
      <c r="BC84" s="384">
        <f>SUM(BC82:BC83)</f>
        <v>0.68700000000000649</v>
      </c>
      <c r="BD84" s="384">
        <f>SUM(BD82:BD83)</f>
        <v>-15.005500000000023</v>
      </c>
      <c r="BE84" s="384">
        <f>SUM(BE82:BE83)</f>
        <v>-32.423000000000002</v>
      </c>
      <c r="BF84" s="391">
        <f t="shared" si="154"/>
        <v>-52.896499999999989</v>
      </c>
      <c r="BG84" s="390">
        <f t="shared" ref="BG84:CG84" si="169">SUM(BG82:BG83)</f>
        <v>35.102500000000028</v>
      </c>
      <c r="BH84" s="384">
        <f t="shared" si="169"/>
        <v>-6.4244999999999486</v>
      </c>
      <c r="BI84" s="384">
        <f t="shared" si="169"/>
        <v>25.425000000000018</v>
      </c>
      <c r="BJ84" s="1807">
        <f t="shared" si="169"/>
        <v>-6.8689999999999873</v>
      </c>
      <c r="BK84" s="391">
        <f t="shared" si="169"/>
        <v>47.234000000000108</v>
      </c>
      <c r="BL84" s="384">
        <f t="shared" si="169"/>
        <v>33.189500000000002</v>
      </c>
      <c r="BM84" s="384">
        <f t="shared" si="169"/>
        <v>11.306999999999988</v>
      </c>
      <c r="BN84" s="384">
        <f t="shared" si="169"/>
        <v>161.86400000000003</v>
      </c>
      <c r="BO84" s="1807">
        <f t="shared" si="169"/>
        <v>10.74199999999998</v>
      </c>
      <c r="BP84" s="391">
        <f t="shared" si="169"/>
        <v>217.10250000000002</v>
      </c>
      <c r="BQ84" s="384">
        <f t="shared" si="169"/>
        <v>35.11399999999999</v>
      </c>
      <c r="BR84" s="384">
        <f t="shared" si="169"/>
        <v>27.561000000000003</v>
      </c>
      <c r="BS84" s="384">
        <f t="shared" si="169"/>
        <v>22.975999999999999</v>
      </c>
      <c r="BT84" s="1807">
        <f t="shared" si="169"/>
        <v>82.15</v>
      </c>
      <c r="BU84" s="3328">
        <f t="shared" si="169"/>
        <v>167.80099999999999</v>
      </c>
      <c r="BV84" s="384">
        <f t="shared" ref="BV84:BZ84" si="170">SUM(BV82:BV83)</f>
        <v>36.898153478157482</v>
      </c>
      <c r="BW84" s="384">
        <f t="shared" si="170"/>
        <v>34.515668691052191</v>
      </c>
      <c r="BX84" s="384">
        <f t="shared" si="170"/>
        <v>49.183270426092719</v>
      </c>
      <c r="BY84" s="1807">
        <f t="shared" si="170"/>
        <v>55.164367187559321</v>
      </c>
      <c r="BZ84" s="391">
        <f t="shared" si="170"/>
        <v>175.76145978286172</v>
      </c>
      <c r="CA84" s="391">
        <f t="shared" si="169"/>
        <v>210.48610411611662</v>
      </c>
      <c r="CB84" s="391">
        <f t="shared" si="169"/>
        <v>213.86739541959551</v>
      </c>
      <c r="CC84" s="391">
        <f t="shared" si="169"/>
        <v>-243.25798126982744</v>
      </c>
      <c r="CD84" s="391">
        <f t="shared" si="169"/>
        <v>-276.0885705464425</v>
      </c>
      <c r="CE84" s="391">
        <f t="shared" si="169"/>
        <v>-261.38264599061949</v>
      </c>
      <c r="CF84" s="391">
        <f t="shared" si="169"/>
        <v>-246.2582171985305</v>
      </c>
      <c r="CG84" s="391">
        <f t="shared" si="169"/>
        <v>-230.70551122174925</v>
      </c>
      <c r="CH84" s="384"/>
      <c r="CI84" s="384"/>
      <c r="CJ84" s="384"/>
      <c r="CK84" s="384"/>
      <c r="CL84" s="384"/>
      <c r="CM84" s="965"/>
      <c r="CN84" s="965">
        <f t="shared" si="162"/>
        <v>175.76145978286172</v>
      </c>
      <c r="CO84" s="965">
        <f t="shared" si="164"/>
        <v>-175.76145978286172</v>
      </c>
      <c r="CP84" s="1806" t="str">
        <f t="shared" si="20"/>
        <v>Net Income from continuing ops</v>
      </c>
      <c r="CQ84" s="384">
        <f t="shared" si="21"/>
        <v>111.41999999999997</v>
      </c>
      <c r="CR84" s="384">
        <f t="shared" si="22"/>
        <v>144.60999999999999</v>
      </c>
      <c r="CS84" s="384">
        <f t="shared" si="23"/>
        <v>116.10699999999997</v>
      </c>
      <c r="CT84" s="384">
        <f t="shared" si="24"/>
        <v>301.435</v>
      </c>
      <c r="CU84" s="384">
        <f t="shared" si="25"/>
        <v>-223.005</v>
      </c>
      <c r="CV84" s="384">
        <f t="shared" si="26"/>
        <v>4.2439999999999927</v>
      </c>
      <c r="CW84" s="384">
        <f t="shared" si="27"/>
        <v>27.438000000000038</v>
      </c>
      <c r="CX84" s="384">
        <f t="shared" si="28"/>
        <v>-8.3469999999999853</v>
      </c>
      <c r="CY84" s="384">
        <f t="shared" si="29"/>
        <v>-922.38699999999983</v>
      </c>
      <c r="CZ84" s="384">
        <f t="shared" si="30"/>
        <v>-91.535499999999928</v>
      </c>
      <c r="DA84" s="384">
        <f t="shared" si="31"/>
        <v>-52.896499999999989</v>
      </c>
      <c r="DB84" s="384">
        <f t="shared" si="32"/>
        <v>47.234000000000108</v>
      </c>
      <c r="DC84" s="384">
        <f t="shared" si="33"/>
        <v>217.10250000000002</v>
      </c>
      <c r="DD84" s="384">
        <f t="shared" si="34"/>
        <v>167.80099999999999</v>
      </c>
      <c r="DE84" s="384">
        <f t="shared" si="35"/>
        <v>175.76145978286172</v>
      </c>
      <c r="DF84" s="384">
        <f t="shared" si="36"/>
        <v>210.48610411611662</v>
      </c>
      <c r="DG84" s="1807">
        <f t="shared" si="37"/>
        <v>213.86739541959551</v>
      </c>
      <c r="DH84" s="385"/>
      <c r="DI84" s="392"/>
      <c r="DJ84" s="392"/>
      <c r="DK84" s="392"/>
      <c r="DL84" s="392"/>
      <c r="DM84" s="392"/>
      <c r="DN84" s="388"/>
      <c r="DO84" s="389"/>
      <c r="DY84" s="384"/>
      <c r="DZ84" s="384"/>
    </row>
    <row r="85" spans="1:130" ht="12.6" customHeight="1" collapsed="1">
      <c r="A85" s="3825" t="s">
        <v>1539</v>
      </c>
      <c r="B85" s="3826"/>
      <c r="C85" s="3826"/>
      <c r="D85" s="3794">
        <v>0</v>
      </c>
      <c r="E85" s="3795">
        <v>0</v>
      </c>
      <c r="F85" s="3795">
        <v>0</v>
      </c>
      <c r="G85" s="3795">
        <v>0</v>
      </c>
      <c r="H85" s="3796">
        <f>SUM(D85:G85)</f>
        <v>0</v>
      </c>
      <c r="I85" s="3795">
        <v>0</v>
      </c>
      <c r="J85" s="3795">
        <v>0</v>
      </c>
      <c r="K85" s="3795">
        <v>0</v>
      </c>
      <c r="L85" s="3795">
        <v>0</v>
      </c>
      <c r="M85" s="3796">
        <f>SUM(I85:L85)</f>
        <v>0</v>
      </c>
      <c r="N85" s="3793">
        <v>0</v>
      </c>
      <c r="O85" s="3793">
        <v>0</v>
      </c>
      <c r="P85" s="3793">
        <v>0</v>
      </c>
      <c r="Q85" s="3793">
        <v>0</v>
      </c>
      <c r="R85" s="3796">
        <f>SUM(N85:Q85)</f>
        <v>0</v>
      </c>
      <c r="S85" s="3793">
        <v>0</v>
      </c>
      <c r="T85" s="3793">
        <v>0</v>
      </c>
      <c r="U85" s="3793">
        <v>0</v>
      </c>
      <c r="V85" s="3793">
        <v>0</v>
      </c>
      <c r="W85" s="3796">
        <f>SUM(S85:V85)</f>
        <v>0</v>
      </c>
      <c r="X85" s="3793">
        <v>0</v>
      </c>
      <c r="Y85" s="3793">
        <v>0</v>
      </c>
      <c r="Z85" s="3793">
        <v>0</v>
      </c>
      <c r="AA85" s="3793">
        <v>0</v>
      </c>
      <c r="AB85" s="3796">
        <f t="shared" si="145"/>
        <v>0</v>
      </c>
      <c r="AC85" s="3793">
        <v>0</v>
      </c>
      <c r="AD85" s="3793">
        <v>0</v>
      </c>
      <c r="AE85" s="3793">
        <v>0</v>
      </c>
      <c r="AF85" s="3793">
        <v>0</v>
      </c>
      <c r="AG85" s="3796">
        <f>SUM(AC85:AF85)</f>
        <v>0</v>
      </c>
      <c r="AH85" s="3788">
        <v>-1.2470000000000001</v>
      </c>
      <c r="AI85" s="3788">
        <v>-8.6440000000000001</v>
      </c>
      <c r="AJ85" s="3788">
        <v>-9.2750000000000004</v>
      </c>
      <c r="AK85" s="3788">
        <v>2.0680000000000001</v>
      </c>
      <c r="AL85" s="3796">
        <f t="shared" si="147"/>
        <v>-17.097999999999999</v>
      </c>
      <c r="AM85" s="3788">
        <v>2.79</v>
      </c>
      <c r="AN85" s="3788">
        <v>2.6920000000000002</v>
      </c>
      <c r="AO85" s="3788">
        <v>-3.871</v>
      </c>
      <c r="AP85" s="3788">
        <v>2.5350000000000001</v>
      </c>
      <c r="AQ85" s="3796">
        <f>SUM(AM85:AP85)</f>
        <v>4.1460000000000008</v>
      </c>
      <c r="AR85" s="3788">
        <v>-0.623</v>
      </c>
      <c r="AS85" s="3788">
        <v>1.6679999999999999</v>
      </c>
      <c r="AT85" s="3788">
        <v>1.286</v>
      </c>
      <c r="AU85" s="3788">
        <v>11.879</v>
      </c>
      <c r="AV85" s="3789">
        <f t="shared" si="152"/>
        <v>14.209999999999999</v>
      </c>
      <c r="AW85" s="3788">
        <v>0.4</v>
      </c>
      <c r="AX85" s="3788">
        <v>0</v>
      </c>
      <c r="AY85" s="3788">
        <v>0</v>
      </c>
      <c r="AZ85" s="3788">
        <v>0</v>
      </c>
      <c r="BA85" s="3789">
        <f t="shared" si="153"/>
        <v>0.4</v>
      </c>
      <c r="BB85" s="3790">
        <v>0</v>
      </c>
      <c r="BC85" s="3790">
        <v>0</v>
      </c>
      <c r="BD85" s="3790">
        <v>0</v>
      </c>
      <c r="BE85" s="3790">
        <v>0</v>
      </c>
      <c r="BF85" s="3789">
        <f t="shared" si="154"/>
        <v>0</v>
      </c>
      <c r="BG85" s="3790">
        <v>0</v>
      </c>
      <c r="BH85" s="3790">
        <v>0</v>
      </c>
      <c r="BI85" s="3790">
        <v>0</v>
      </c>
      <c r="BJ85" s="3790">
        <v>0</v>
      </c>
      <c r="BK85" s="3789">
        <f>SUM(BG85:BJ85)</f>
        <v>0</v>
      </c>
      <c r="BL85" s="3790">
        <v>0</v>
      </c>
      <c r="BM85" s="3790">
        <v>0</v>
      </c>
      <c r="BN85" s="3790">
        <v>0</v>
      </c>
      <c r="BO85" s="3790">
        <v>0</v>
      </c>
      <c r="BP85" s="3789">
        <f>SUM(BL85:BO85)</f>
        <v>0</v>
      </c>
      <c r="BQ85" s="3790">
        <v>0</v>
      </c>
      <c r="BR85" s="3790">
        <v>0</v>
      </c>
      <c r="BS85" s="3790">
        <v>0</v>
      </c>
      <c r="BT85" s="3790">
        <v>0</v>
      </c>
      <c r="BU85" s="3827">
        <f>SUM(BQ85:BT85)</f>
        <v>0</v>
      </c>
      <c r="BV85" s="3790">
        <v>0</v>
      </c>
      <c r="BW85" s="3790">
        <v>0</v>
      </c>
      <c r="BX85" s="3790">
        <v>0</v>
      </c>
      <c r="BY85" s="3790">
        <v>0</v>
      </c>
      <c r="BZ85" s="3828">
        <f>SUM(BV85:BY85)</f>
        <v>0</v>
      </c>
      <c r="CA85" s="3828">
        <v>0</v>
      </c>
      <c r="CB85" s="3828">
        <v>0</v>
      </c>
      <c r="CC85" s="3077">
        <v>0</v>
      </c>
      <c r="CD85" s="3077">
        <v>0</v>
      </c>
      <c r="CE85" s="3077">
        <v>0</v>
      </c>
      <c r="CF85" s="3077">
        <v>0</v>
      </c>
      <c r="CG85" s="3077">
        <v>0</v>
      </c>
      <c r="CH85" s="3908"/>
      <c r="CI85" s="369"/>
      <c r="CJ85" s="369"/>
      <c r="CK85" s="369"/>
      <c r="CL85" s="369"/>
      <c r="CM85" s="965"/>
      <c r="CN85" s="965">
        <f t="shared" si="162"/>
        <v>0</v>
      </c>
      <c r="CO85" s="965">
        <f t="shared" si="164"/>
        <v>0</v>
      </c>
      <c r="CP85" s="1808" t="str">
        <f t="shared" si="20"/>
        <v>Noncontrolling interest</v>
      </c>
      <c r="CQ85" s="369">
        <f t="shared" si="21"/>
        <v>0</v>
      </c>
      <c r="CR85" s="369">
        <f t="shared" si="22"/>
        <v>0</v>
      </c>
      <c r="CS85" s="369">
        <f t="shared" si="23"/>
        <v>0</v>
      </c>
      <c r="CT85" s="369">
        <f t="shared" si="24"/>
        <v>0</v>
      </c>
      <c r="CU85" s="369">
        <f t="shared" si="25"/>
        <v>0</v>
      </c>
      <c r="CV85" s="369">
        <f t="shared" si="26"/>
        <v>0</v>
      </c>
      <c r="CW85" s="369">
        <f t="shared" si="27"/>
        <v>-17.097999999999999</v>
      </c>
      <c r="CX85" s="369">
        <f t="shared" si="28"/>
        <v>4.1460000000000008</v>
      </c>
      <c r="CY85" s="369">
        <f t="shared" si="29"/>
        <v>14.209999999999999</v>
      </c>
      <c r="CZ85" s="369">
        <f t="shared" si="30"/>
        <v>0.4</v>
      </c>
      <c r="DA85" s="369">
        <f t="shared" si="31"/>
        <v>0</v>
      </c>
      <c r="DB85" s="369">
        <f t="shared" si="32"/>
        <v>0</v>
      </c>
      <c r="DC85" s="369">
        <f t="shared" si="33"/>
        <v>0</v>
      </c>
      <c r="DD85" s="369">
        <f t="shared" si="34"/>
        <v>0</v>
      </c>
      <c r="DE85" s="369">
        <f t="shared" si="35"/>
        <v>0</v>
      </c>
      <c r="DF85" s="369">
        <f t="shared" si="36"/>
        <v>0</v>
      </c>
      <c r="DG85" s="1801">
        <f t="shared" si="37"/>
        <v>0</v>
      </c>
      <c r="DH85" s="371"/>
      <c r="DI85" s="379"/>
      <c r="DJ85" s="379"/>
      <c r="DK85" s="379"/>
      <c r="DL85" s="379"/>
      <c r="DM85" s="379"/>
      <c r="DN85" s="388"/>
      <c r="DO85" s="389"/>
      <c r="DY85" s="369"/>
      <c r="DZ85" s="369"/>
    </row>
    <row r="86" spans="1:130" ht="12.6" customHeight="1">
      <c r="A86" s="1737" t="s">
        <v>1540</v>
      </c>
      <c r="B86" s="382"/>
      <c r="C86" s="382"/>
      <c r="D86" s="1738">
        <f>D84+D85</f>
        <v>13.464999999999995</v>
      </c>
      <c r="E86" s="382">
        <f>E84+E85</f>
        <v>15.533000000000001</v>
      </c>
      <c r="F86" s="382">
        <f>F84+F85</f>
        <v>35.549000000000007</v>
      </c>
      <c r="G86" s="1739">
        <f>G84+G85</f>
        <v>46.872999999999976</v>
      </c>
      <c r="H86" s="1740">
        <f>SUM(D86:G86)</f>
        <v>111.41999999999997</v>
      </c>
      <c r="I86" s="1738">
        <f>I84+I85</f>
        <v>40.07999999999997</v>
      </c>
      <c r="J86" s="382">
        <f>J84+J85</f>
        <v>48.637999999999977</v>
      </c>
      <c r="K86" s="382">
        <f>K84+K85</f>
        <v>32.948000000000015</v>
      </c>
      <c r="L86" s="1739">
        <f>L84+L85</f>
        <v>22.944000000000038</v>
      </c>
      <c r="M86" s="1740">
        <f>SUM(I86:L86)</f>
        <v>144.61000000000001</v>
      </c>
      <c r="N86" s="1738">
        <f>N84+N85</f>
        <v>63.239999999999981</v>
      </c>
      <c r="O86" s="382">
        <f>O84+O85</f>
        <v>10.160000000000011</v>
      </c>
      <c r="P86" s="382">
        <f>P84+P85</f>
        <v>-12.93</v>
      </c>
      <c r="Q86" s="1739">
        <f>Q84+Q85</f>
        <v>55.636999999999979</v>
      </c>
      <c r="R86" s="1740">
        <f>SUM(N86:Q86)</f>
        <v>116.10699999999997</v>
      </c>
      <c r="S86" s="1738">
        <f>S84+S85</f>
        <v>216.26600000000002</v>
      </c>
      <c r="T86" s="382">
        <f>T84+T85</f>
        <v>22.11199999999997</v>
      </c>
      <c r="U86" s="382">
        <f>U84+U85</f>
        <v>31.82800000000001</v>
      </c>
      <c r="V86" s="1739">
        <f>V84+V85</f>
        <v>31.228999999999989</v>
      </c>
      <c r="W86" s="1740">
        <f>SUM(S86:V86)</f>
        <v>301.435</v>
      </c>
      <c r="X86" s="1738">
        <f>X84+X85</f>
        <v>-32.586999999999996</v>
      </c>
      <c r="Y86" s="382">
        <f>Y84+Y85</f>
        <v>21.658000000000008</v>
      </c>
      <c r="Z86" s="382">
        <f>Z84+Z85</f>
        <v>8.6980000000000057</v>
      </c>
      <c r="AA86" s="1739">
        <f>AA84+AA85</f>
        <v>-220.774</v>
      </c>
      <c r="AB86" s="1740">
        <f>SUM(X86:AA86)</f>
        <v>-223.005</v>
      </c>
      <c r="AC86" s="1738">
        <f>AC84+AC85</f>
        <v>-13.828000000000005</v>
      </c>
      <c r="AD86" s="382">
        <f>AD84+AD85</f>
        <v>12.778000000000009</v>
      </c>
      <c r="AE86" s="382">
        <f>AE84+AE85</f>
        <v>6.3150000000000004</v>
      </c>
      <c r="AF86" s="1739">
        <f>AF84+AF85</f>
        <v>-1.0210000000000123</v>
      </c>
      <c r="AG86" s="1740">
        <f>SUM(AC86:AF86)</f>
        <v>4.2439999999999927</v>
      </c>
      <c r="AH86" s="382">
        <f>SUM(AH84:AH85)</f>
        <v>8.4320000000000057</v>
      </c>
      <c r="AI86" s="382">
        <f>SUM(AI84:AI85)</f>
        <v>3.3820000000000245</v>
      </c>
      <c r="AJ86" s="382">
        <f>SUM(AJ84:AJ85)</f>
        <v>5.5910000000000153</v>
      </c>
      <c r="AK86" s="382">
        <f>SUM(AK84:AK85)</f>
        <v>-7.0650000000000102</v>
      </c>
      <c r="AL86" s="1740">
        <f t="shared" si="147"/>
        <v>10.340000000000034</v>
      </c>
      <c r="AM86" s="382">
        <f>SUM(AM84:AM85)</f>
        <v>-3.5210000000000248</v>
      </c>
      <c r="AN86" s="382">
        <f>SUM(AN84:AN85)</f>
        <v>-2.9509999999999703</v>
      </c>
      <c r="AO86" s="1741">
        <f>SUM(AO84:AO85)</f>
        <v>2.7620000000000258</v>
      </c>
      <c r="AP86" s="382">
        <f>SUM(AP84:AP85)</f>
        <v>-0.4910000000000152</v>
      </c>
      <c r="AQ86" s="1740">
        <f>SUM(AM86:AP86)</f>
        <v>-4.2009999999999845</v>
      </c>
      <c r="AR86" s="382">
        <f>SUM(AR84:AR85)</f>
        <v>5.8519999999999808</v>
      </c>
      <c r="AS86" s="382">
        <f>SUM(AS84:AS85)</f>
        <v>1.6650000000000016</v>
      </c>
      <c r="AT86" s="382">
        <f>SUM(AT84:AT85)</f>
        <v>-15.79599999999999</v>
      </c>
      <c r="AU86" s="382">
        <f>SUM(AU84:AU85)</f>
        <v>-899.8979999999998</v>
      </c>
      <c r="AV86" s="1740">
        <f t="shared" si="152"/>
        <v>-908.17699999999979</v>
      </c>
      <c r="AW86" s="382">
        <f>SUM(AW84:AW85)</f>
        <v>-6.2734999999999808</v>
      </c>
      <c r="AX86" s="382">
        <f>SUM(AX84:AX85)</f>
        <v>-0.23049999999998061</v>
      </c>
      <c r="AY86" s="382">
        <f>SUM(AY84:AY85)</f>
        <v>-37.318999999999974</v>
      </c>
      <c r="AZ86" s="382">
        <f>SUM(AZ84:AZ85)</f>
        <v>-47.3125</v>
      </c>
      <c r="BA86" s="1740">
        <f t="shared" si="153"/>
        <v>-91.135499999999936</v>
      </c>
      <c r="BB86" s="382">
        <f>SUM(BB84:BB85)</f>
        <v>-6.1549999999999674</v>
      </c>
      <c r="BC86" s="382">
        <f>SUM(BC84:BC85)</f>
        <v>0.68700000000000649</v>
      </c>
      <c r="BD86" s="382">
        <f>SUM(BD84:BD85)</f>
        <v>-15.005500000000023</v>
      </c>
      <c r="BE86" s="382">
        <f>SUM(BE84:BE85)</f>
        <v>-32.423000000000002</v>
      </c>
      <c r="BF86" s="1740">
        <f t="shared" si="154"/>
        <v>-52.896499999999989</v>
      </c>
      <c r="BG86" s="1738">
        <f>SUM(BG84:BG85)</f>
        <v>35.102500000000028</v>
      </c>
      <c r="BH86" s="382">
        <f>SUM(BH84:BH85)</f>
        <v>-6.4244999999999486</v>
      </c>
      <c r="BI86" s="382">
        <f>SUM(BI84:BI85)</f>
        <v>25.425000000000018</v>
      </c>
      <c r="BJ86" s="1739">
        <f>SUM(BJ84:BJ85)</f>
        <v>-6.8689999999999873</v>
      </c>
      <c r="BK86" s="1740">
        <f>SUM(BG86:BJ86)</f>
        <v>47.234000000000108</v>
      </c>
      <c r="BL86" s="382">
        <f>SUM(BL84:BL85)</f>
        <v>33.189500000000002</v>
      </c>
      <c r="BM86" s="382">
        <f>SUM(BM84:BM85)</f>
        <v>11.306999999999988</v>
      </c>
      <c r="BN86" s="382">
        <f>SUM(BN84:BN85)</f>
        <v>161.86400000000003</v>
      </c>
      <c r="BO86" s="1739">
        <f>SUM(BO84:BO85)</f>
        <v>10.74199999999998</v>
      </c>
      <c r="BP86" s="1740">
        <f>SUM(BL86:BO86)</f>
        <v>217.10250000000002</v>
      </c>
      <c r="BQ86" s="382">
        <f>SUM(BQ84:BQ85)</f>
        <v>35.11399999999999</v>
      </c>
      <c r="BR86" s="382">
        <f>SUM(BR84:BR85)</f>
        <v>27.561000000000003</v>
      </c>
      <c r="BS86" s="382">
        <f>SUM(BS84:BS85)</f>
        <v>22.975999999999999</v>
      </c>
      <c r="BT86" s="1739">
        <f>SUM(BT84:BT85)</f>
        <v>82.15</v>
      </c>
      <c r="BU86" s="3327">
        <f>SUM(BQ86:BT86)</f>
        <v>167.80099999999999</v>
      </c>
      <c r="BV86" s="382">
        <f>SUM(BV84:BV85)</f>
        <v>36.898153478157482</v>
      </c>
      <c r="BW86" s="382">
        <f>SUM(BW84:BW85)</f>
        <v>34.515668691052191</v>
      </c>
      <c r="BX86" s="382">
        <f>SUM(BX84:BX85)</f>
        <v>49.183270426092719</v>
      </c>
      <c r="BY86" s="1739">
        <f>SUM(BY84:BY85)</f>
        <v>55.164367187559321</v>
      </c>
      <c r="BZ86" s="1740">
        <f>SUM(BV86:BY86)</f>
        <v>175.76145978286172</v>
      </c>
      <c r="CA86" s="1740">
        <f t="shared" ref="CA86:CG86" si="171">SUM(CA84:CA85)</f>
        <v>210.48610411611662</v>
      </c>
      <c r="CB86" s="1740">
        <f t="shared" si="171"/>
        <v>213.86739541959551</v>
      </c>
      <c r="CC86" s="1740">
        <f t="shared" si="171"/>
        <v>-243.25798126982744</v>
      </c>
      <c r="CD86" s="1740">
        <f t="shared" si="171"/>
        <v>-276.0885705464425</v>
      </c>
      <c r="CE86" s="1740">
        <f t="shared" si="171"/>
        <v>-261.38264599061949</v>
      </c>
      <c r="CF86" s="1740">
        <f t="shared" si="171"/>
        <v>-246.2582171985305</v>
      </c>
      <c r="CG86" s="1740">
        <f t="shared" si="171"/>
        <v>-230.70551122174925</v>
      </c>
      <c r="CH86" s="385"/>
      <c r="CI86" s="385"/>
      <c r="CJ86" s="385"/>
      <c r="CK86" s="385"/>
      <c r="CL86" s="385"/>
      <c r="CM86" s="965"/>
      <c r="CN86" s="965">
        <f t="shared" si="162"/>
        <v>175.76145978286172</v>
      </c>
      <c r="CO86" s="965">
        <f t="shared" si="164"/>
        <v>-175.76145978286172</v>
      </c>
      <c r="CP86" s="1737" t="str">
        <f t="shared" si="20"/>
        <v>Net Income to BYD</v>
      </c>
      <c r="CQ86" s="382">
        <f t="shared" si="21"/>
        <v>111.41999999999997</v>
      </c>
      <c r="CR86" s="382">
        <f t="shared" si="22"/>
        <v>144.61000000000001</v>
      </c>
      <c r="CS86" s="382">
        <f t="shared" si="23"/>
        <v>116.10699999999997</v>
      </c>
      <c r="CT86" s="382">
        <f t="shared" si="24"/>
        <v>301.435</v>
      </c>
      <c r="CU86" s="382">
        <f t="shared" si="25"/>
        <v>-223.005</v>
      </c>
      <c r="CV86" s="382">
        <f t="shared" si="26"/>
        <v>4.2439999999999927</v>
      </c>
      <c r="CW86" s="382">
        <f t="shared" si="27"/>
        <v>10.340000000000034</v>
      </c>
      <c r="CX86" s="382">
        <f t="shared" si="28"/>
        <v>-4.2009999999999845</v>
      </c>
      <c r="CY86" s="382">
        <f t="shared" si="29"/>
        <v>-908.17699999999979</v>
      </c>
      <c r="CZ86" s="382">
        <f t="shared" si="30"/>
        <v>-91.135499999999936</v>
      </c>
      <c r="DA86" s="382">
        <f t="shared" si="31"/>
        <v>-52.896499999999989</v>
      </c>
      <c r="DB86" s="382">
        <f t="shared" si="32"/>
        <v>47.234000000000108</v>
      </c>
      <c r="DC86" s="382">
        <f t="shared" si="33"/>
        <v>217.10250000000002</v>
      </c>
      <c r="DD86" s="382">
        <f t="shared" si="34"/>
        <v>167.80099999999999</v>
      </c>
      <c r="DE86" s="382">
        <f t="shared" si="35"/>
        <v>175.76145978286172</v>
      </c>
      <c r="DF86" s="382">
        <f t="shared" si="36"/>
        <v>210.48610411611662</v>
      </c>
      <c r="DG86" s="1739">
        <f t="shared" si="37"/>
        <v>213.86739541959551</v>
      </c>
      <c r="DH86" s="385"/>
      <c r="DI86" s="1742"/>
      <c r="DJ86" s="1742"/>
      <c r="DK86" s="1742"/>
      <c r="DL86" s="1742"/>
      <c r="DM86" s="1742"/>
      <c r="DN86" s="1743"/>
      <c r="DO86" s="898"/>
      <c r="DY86" s="385"/>
      <c r="DZ86" s="385"/>
    </row>
    <row r="87" spans="1:130" ht="12.6" customHeight="1">
      <c r="A87" s="3634" t="s">
        <v>1562</v>
      </c>
      <c r="B87" s="3826"/>
      <c r="C87" s="3826"/>
      <c r="D87" s="3829">
        <f>-D78</f>
        <v>5.7249999999999996</v>
      </c>
      <c r="E87" s="3830">
        <f>-E78</f>
        <v>2.7160000000000002</v>
      </c>
      <c r="F87" s="3830">
        <f>-F78</f>
        <v>-2.2249999999999992</v>
      </c>
      <c r="G87" s="3830">
        <f>-G78</f>
        <v>4.4630000000000001</v>
      </c>
      <c r="H87" s="3789">
        <f>SUM(D87:G87)</f>
        <v>10.678999999999998</v>
      </c>
      <c r="I87" s="3830">
        <f>-I78</f>
        <v>17.419</v>
      </c>
      <c r="J87" s="3830">
        <f>-J78</f>
        <v>1.6909999999999998</v>
      </c>
      <c r="K87" s="3830">
        <f>-K78</f>
        <v>18.478999999999999</v>
      </c>
      <c r="L87" s="3830">
        <f>-L78</f>
        <v>45.811</v>
      </c>
      <c r="M87" s="3789">
        <f>SUM(I87:L87)</f>
        <v>83.4</v>
      </c>
      <c r="N87" s="3830">
        <f>-N78</f>
        <v>7.6509999999999998</v>
      </c>
      <c r="O87" s="3830">
        <f>-O78</f>
        <v>32.295999999999999</v>
      </c>
      <c r="P87" s="3830">
        <f>-P78</f>
        <v>10.744000000000003</v>
      </c>
      <c r="Q87" s="3830">
        <f>-Q78</f>
        <v>-15.739999999999998</v>
      </c>
      <c r="R87" s="3789">
        <f>SUM(N87:Q87)</f>
        <v>34.951000000000008</v>
      </c>
      <c r="S87" s="3830">
        <f>-S78</f>
        <v>10.540999999999999</v>
      </c>
      <c r="T87" s="3830">
        <f>-T78</f>
        <v>17.782</v>
      </c>
      <c r="U87" s="3830">
        <f>-U78</f>
        <v>6.551000000000001</v>
      </c>
      <c r="V87" s="3830">
        <f>-V78</f>
        <v>7.8350000000000009</v>
      </c>
      <c r="W87" s="3789">
        <f>SUM(S87:V87)</f>
        <v>42.709000000000003</v>
      </c>
      <c r="X87" s="3830">
        <f>5.579+0.408+0.07-0.442-0.95+90.313-32.767</f>
        <v>62.211000000000006</v>
      </c>
      <c r="Y87" s="3830">
        <f>5.207+2.101+0.0009+1.174+0.0017-0.863-2.867</f>
        <v>4.754599999999999</v>
      </c>
      <c r="Z87" s="3830">
        <f>5.978+0.417-0.0003+3.215-0.616-3.731</f>
        <v>5.2627000000000006</v>
      </c>
      <c r="AA87" s="3830">
        <f>(0.04+3.31-0.3-0.45+0.04)*AA103</f>
        <v>232.00848000000002</v>
      </c>
      <c r="AB87" s="3789">
        <f>SUM(X87:AA87)</f>
        <v>304.23678000000001</v>
      </c>
      <c r="AC87" s="3830">
        <f>5.839+0.176-0.0005-2.4+28.963+8.883-14.626</f>
        <v>26.834499999999998</v>
      </c>
      <c r="AD87" s="3830">
        <f>4.054+0.173+0.036-1.835-6.057+1.28</f>
        <v>-2.3490000000000002</v>
      </c>
      <c r="AE87" s="3830">
        <f>4.88-14.339+14.287-3.604+0.003+0.424</f>
        <v>1.6510000000000009</v>
      </c>
      <c r="AF87" s="3830">
        <f>(0.041-0.04+0.02-0.01)*AF103</f>
        <v>0.9490360000000001</v>
      </c>
      <c r="AG87" s="3789">
        <f>SUM(AC87:AF87)</f>
        <v>27.085535999999998</v>
      </c>
      <c r="AH87" s="3831">
        <f>1.063+0.034-2.037+1.601-0.234</f>
        <v>0.42700000000000005</v>
      </c>
      <c r="AI87" s="3831">
        <f>1.243+0.006-1.912+1.979-0.468</f>
        <v>0.84800000000000031</v>
      </c>
      <c r="AJ87" s="3831">
        <f>2.684-10-2.535+1.344+2.012-0.004-1.004+3.322</f>
        <v>-4.1809999999999983</v>
      </c>
      <c r="AK87" s="3831">
        <f>3.415+0.954-0.203+0.48+1.191</f>
        <v>5.8369999999999989</v>
      </c>
      <c r="AL87" s="3789">
        <f t="shared" si="147"/>
        <v>2.9310000000000009</v>
      </c>
      <c r="AM87" s="3831">
        <f>4.472-2.766-0.309+0.217+0.02+5.016-0.694-1.652-1.995</f>
        <v>2.3090000000000002</v>
      </c>
      <c r="AN87" s="3831">
        <f>1.741</f>
        <v>1.7410000000000001</v>
      </c>
      <c r="AO87" s="3832">
        <f>2.3+1-0.054-1</f>
        <v>2.246</v>
      </c>
      <c r="AP87" s="3831">
        <f>3.929+4.176+0.376-10.582+0.137+0.79+1.029+0.067+0.048-1.316-1.035</f>
        <v>-2.3810000000000011</v>
      </c>
      <c r="AQ87" s="3789">
        <f>SUM(AM87:AP87)</f>
        <v>3.915</v>
      </c>
      <c r="AR87" s="3831">
        <f>4.018-1.41-0.044</f>
        <v>2.5639999999999996</v>
      </c>
      <c r="AS87" s="3831">
        <f>4.826+6.256-6.294+0.108+0.125-0.014-2.144-1.306+0.945</f>
        <v>2.5020000000000002</v>
      </c>
      <c r="AT87" s="3831">
        <f>4.342+0.645+0.528-0.658+3.614-1.623+0.286-1.454+0.669</f>
        <v>6.3490000000000002</v>
      </c>
      <c r="AU87" s="3831">
        <f>8.776+11.734-1.007+1050.715+0.113+4.163+0.9+0.137+2.811-2.692-0.137-203.283+0.009</f>
        <v>872.23899999999992</v>
      </c>
      <c r="AV87" s="3789">
        <f t="shared" si="152"/>
        <v>883.65399999999988</v>
      </c>
      <c r="AW87" s="3831">
        <f>4.3+2.7+1.6-0.9</f>
        <v>7.6999999999999993</v>
      </c>
      <c r="AX87" s="3831">
        <f>0.7+2.4+0.5+0.2+2.5-6.3</f>
        <v>0</v>
      </c>
      <c r="AY87" s="3831">
        <f>1.3+24.6+1.3-1.2+0.1+2.9</f>
        <v>29.000000000000004</v>
      </c>
      <c r="AZ87" s="3831">
        <f>0.6+1.4+4.1+3.3-9.3+0.8-1.5+13.3+8.2</f>
        <v>20.9</v>
      </c>
      <c r="BA87" s="3789">
        <f t="shared" si="153"/>
        <v>57.6</v>
      </c>
      <c r="BB87" s="3833">
        <f>0.8+0.2+1.6+0.2+0.2-0.4-0.5</f>
        <v>2.1000000000000005</v>
      </c>
      <c r="BC87" s="3833">
        <f>1.6+0.9+0.3+1.9-0.7+0.7-0.2</f>
        <v>4.4999999999999991</v>
      </c>
      <c r="BD87" s="3831">
        <f>1.3+18.3+2.7+0.6+0.1-1-6.6</f>
        <v>15.400000000000004</v>
      </c>
      <c r="BE87" s="3831">
        <f>0.913+0.407+40.575+4.563-0.262-0.45+0.37+0.005-13.834</f>
        <v>32.287000000000006</v>
      </c>
      <c r="BF87" s="3789">
        <f t="shared" si="154"/>
        <v>54.287000000000006</v>
      </c>
      <c r="BG87" s="3833">
        <f>0.505+0.508+1.065+0.45+0.116+0.618+0.246-0.162-1.004-23.196</f>
        <v>-20.854000000000003</v>
      </c>
      <c r="BH87" s="3833">
        <f>0.83+30.962+0.919+0.054+1.27+0.272-0.219-0.785</f>
        <v>33.303000000000004</v>
      </c>
      <c r="BI87" s="3833">
        <f>1.434+0.863+0.08+0.172+1.753+8.919-0.227-0.782-7.232</f>
        <v>4.9799999999999995</v>
      </c>
      <c r="BJ87" s="3833">
        <f>2.689+17.5+0.565+8.4+0.035+0.012+0.255-4.431</f>
        <v>25.025000000000002</v>
      </c>
      <c r="BK87" s="3789">
        <f>SUM(BG87:BJ87)</f>
        <v>42.454000000000008</v>
      </c>
      <c r="BL87" s="3834">
        <f>1.841+1.44+0.077+0.427+0.429+0.036+0.163-3.38-0.263</f>
        <v>0.76999999999999946</v>
      </c>
      <c r="BM87" s="3834">
        <f>5.897+0.123+0.419+0.065+0.294</f>
        <v>6.798</v>
      </c>
      <c r="BN87" s="3834">
        <f>3.735+0.003+41.518+0.001-190.44</f>
        <v>-145.18299999999999</v>
      </c>
      <c r="BO87" s="3834">
        <f>10.634+36.862-2.864-0.271+0.402-0.134-11.085</f>
        <v>33.544000000000004</v>
      </c>
      <c r="BP87" s="3789">
        <f>SUM(BL87:BO87)</f>
        <v>-104.07099999999997</v>
      </c>
      <c r="BQ87" s="3929">
        <f>2.972+0.486+0.156+0.111-1.389</f>
        <v>2.3360000000000003</v>
      </c>
      <c r="BR87" s="3929">
        <f>2.784+0.463+0.378+0.559-1.491</f>
        <v>2.6930000000000001</v>
      </c>
      <c r="BS87" s="3929">
        <f>2.975+0.758+0.319-0.139-1.387</f>
        <v>2.5260000000000002</v>
      </c>
      <c r="BT87" s="3929">
        <f>5.723-0.426+0.193+0.729-0.715-1.964-60.091</f>
        <v>-56.551000000000002</v>
      </c>
      <c r="BU87" s="3827">
        <f>SUM(BQ87:BT87)</f>
        <v>-48.996000000000002</v>
      </c>
      <c r="BV87" s="3830">
        <f>-BV78</f>
        <v>3.75</v>
      </c>
      <c r="BW87" s="3830">
        <f t="shared" ref="BW87:BY87" si="172">-BW78</f>
        <v>3.75</v>
      </c>
      <c r="BX87" s="3830">
        <f t="shared" si="172"/>
        <v>3.75</v>
      </c>
      <c r="BY87" s="3830">
        <f t="shared" si="172"/>
        <v>3.75</v>
      </c>
      <c r="BZ87" s="3835">
        <f>SUM(BV87:BY87)</f>
        <v>15</v>
      </c>
      <c r="CA87" s="3835">
        <f t="shared" ref="CA87:CG87" si="173">-CA78</f>
        <v>15</v>
      </c>
      <c r="CB87" s="3835">
        <f t="shared" si="173"/>
        <v>15</v>
      </c>
      <c r="CC87" s="3171">
        <f t="shared" si="173"/>
        <v>15</v>
      </c>
      <c r="CD87" s="3171">
        <f t="shared" si="173"/>
        <v>15</v>
      </c>
      <c r="CE87" s="3171">
        <f t="shared" si="173"/>
        <v>15</v>
      </c>
      <c r="CF87" s="3171">
        <f t="shared" si="173"/>
        <v>15</v>
      </c>
      <c r="CG87" s="3171">
        <f t="shared" si="173"/>
        <v>15</v>
      </c>
      <c r="CH87" s="369"/>
      <c r="CI87" s="369"/>
      <c r="CJ87" s="369"/>
      <c r="CK87" s="369"/>
      <c r="CL87" s="369"/>
      <c r="CM87" s="965"/>
      <c r="CN87" s="965">
        <f t="shared" si="162"/>
        <v>15</v>
      </c>
      <c r="CO87" s="965">
        <f t="shared" si="164"/>
        <v>-15</v>
      </c>
      <c r="CP87" s="981" t="str">
        <f t="shared" si="20"/>
        <v>Plus: Non-Recurring Items</v>
      </c>
      <c r="CQ87" s="393">
        <f t="shared" si="21"/>
        <v>10.678999999999998</v>
      </c>
      <c r="CR87" s="393">
        <f t="shared" si="22"/>
        <v>83.4</v>
      </c>
      <c r="CS87" s="393">
        <f t="shared" si="23"/>
        <v>34.951000000000008</v>
      </c>
      <c r="CT87" s="393">
        <f t="shared" si="24"/>
        <v>42.709000000000003</v>
      </c>
      <c r="CU87" s="393">
        <f t="shared" si="25"/>
        <v>304.23678000000001</v>
      </c>
      <c r="CV87" s="393">
        <f t="shared" si="26"/>
        <v>27.085535999999998</v>
      </c>
      <c r="CW87" s="393">
        <f t="shared" si="27"/>
        <v>2.9310000000000009</v>
      </c>
      <c r="CX87" s="393">
        <f t="shared" si="28"/>
        <v>3.915</v>
      </c>
      <c r="CY87" s="393">
        <f t="shared" si="29"/>
        <v>883.65399999999988</v>
      </c>
      <c r="CZ87" s="393">
        <f t="shared" si="30"/>
        <v>57.6</v>
      </c>
      <c r="DA87" s="393">
        <f t="shared" si="31"/>
        <v>54.287000000000006</v>
      </c>
      <c r="DB87" s="393">
        <f t="shared" si="32"/>
        <v>42.454000000000008</v>
      </c>
      <c r="DC87" s="393">
        <f t="shared" si="33"/>
        <v>-104.07099999999997</v>
      </c>
      <c r="DD87" s="393">
        <f t="shared" si="34"/>
        <v>-48.996000000000002</v>
      </c>
      <c r="DE87" s="393">
        <f t="shared" si="35"/>
        <v>15</v>
      </c>
      <c r="DF87" s="393">
        <f t="shared" si="36"/>
        <v>15</v>
      </c>
      <c r="DG87" s="1809">
        <f t="shared" si="37"/>
        <v>15</v>
      </c>
      <c r="DH87" s="371"/>
      <c r="DI87" s="379"/>
      <c r="DJ87" s="379"/>
      <c r="DK87" s="379"/>
      <c r="DL87" s="379"/>
      <c r="DM87" s="379"/>
      <c r="DN87" s="388"/>
      <c r="DO87" s="389"/>
      <c r="DY87" s="369"/>
      <c r="DZ87" s="369"/>
    </row>
    <row r="88" spans="1:130" ht="12.6" customHeight="1">
      <c r="A88" s="1282" t="s">
        <v>1262</v>
      </c>
      <c r="B88" s="1283"/>
      <c r="C88" s="1283"/>
      <c r="D88" s="1734">
        <f>D87+D82</f>
        <v>19.189999999999994</v>
      </c>
      <c r="E88" s="1283">
        <f>E87+E82</f>
        <v>18.249000000000002</v>
      </c>
      <c r="F88" s="1283">
        <f>F87+F82</f>
        <v>33.324000000000005</v>
      </c>
      <c r="G88" s="1283">
        <f>G87+G82</f>
        <v>51.335999999999977</v>
      </c>
      <c r="H88" s="1735">
        <f>SUM(D88:G88)</f>
        <v>122.09899999999999</v>
      </c>
      <c r="I88" s="1283">
        <f>I87+I82</f>
        <v>57.498999999999967</v>
      </c>
      <c r="J88" s="1283">
        <f>J87+J82</f>
        <v>50.328999999999979</v>
      </c>
      <c r="K88" s="1283">
        <f>K87+K82</f>
        <v>51.427000000000014</v>
      </c>
      <c r="L88" s="1283">
        <f>L87+L82</f>
        <v>68.755000000000038</v>
      </c>
      <c r="M88" s="1735">
        <f>SUM(I88:L88)</f>
        <v>228.01</v>
      </c>
      <c r="N88" s="1283">
        <f>N87+N82</f>
        <v>70.890999999999977</v>
      </c>
      <c r="O88" s="1283">
        <f>O87+O82</f>
        <v>42.45600000000001</v>
      </c>
      <c r="P88" s="1283">
        <f>P87+P82</f>
        <v>38.820000000000007</v>
      </c>
      <c r="Q88" s="1283">
        <f>Q87+Q82</f>
        <v>39.896999999999977</v>
      </c>
      <c r="R88" s="1735">
        <f>SUM(N88:Q88)</f>
        <v>192.06399999999996</v>
      </c>
      <c r="S88" s="1283">
        <f>S87+S82</f>
        <v>44.045999999999999</v>
      </c>
      <c r="T88" s="1283">
        <f>T87+T82</f>
        <v>39.89399999999997</v>
      </c>
      <c r="U88" s="1283">
        <f>U87+U82</f>
        <v>38.379000000000012</v>
      </c>
      <c r="V88" s="1283">
        <f>V87+V82</f>
        <v>38.811999999999991</v>
      </c>
      <c r="W88" s="1735">
        <f>SUM(S88:V88)</f>
        <v>161.13099999999997</v>
      </c>
      <c r="X88" s="1283">
        <f>X87+X82</f>
        <v>29.624000000000009</v>
      </c>
      <c r="Y88" s="1283">
        <f>Y87+Y82</f>
        <v>26.412600000000008</v>
      </c>
      <c r="Z88" s="1283">
        <f>Z87+Z82</f>
        <v>13.960700000000006</v>
      </c>
      <c r="AA88" s="1283">
        <f>AA87+AA82</f>
        <v>11.234480000000019</v>
      </c>
      <c r="AB88" s="1735">
        <f>SUM(X88:AA88)</f>
        <v>81.231780000000043</v>
      </c>
      <c r="AC88" s="1283">
        <f>AC87+AC82</f>
        <v>13.006499999999994</v>
      </c>
      <c r="AD88" s="1283">
        <f>AD87+AD82</f>
        <v>10.429000000000009</v>
      </c>
      <c r="AE88" s="1283">
        <f>AE87+AE82</f>
        <v>7.9660000000000011</v>
      </c>
      <c r="AF88" s="1283">
        <f>AF87+AF82</f>
        <v>-7.196400000001224E-2</v>
      </c>
      <c r="AG88" s="1735">
        <f>SUM(AC88:AF88)</f>
        <v>31.329535999999994</v>
      </c>
      <c r="AH88" s="1283">
        <f>AH86+AH87</f>
        <v>8.8590000000000053</v>
      </c>
      <c r="AI88" s="1283">
        <f>AI86+AI87</f>
        <v>4.2300000000000253</v>
      </c>
      <c r="AJ88" s="1283">
        <f>AJ86+AJ87</f>
        <v>1.410000000000017</v>
      </c>
      <c r="AK88" s="1283">
        <f>AK86+AK87</f>
        <v>-1.2280000000000113</v>
      </c>
      <c r="AL88" s="1735">
        <f t="shared" si="147"/>
        <v>13.271000000000036</v>
      </c>
      <c r="AM88" s="1283">
        <f>AM86+AM87</f>
        <v>-1.2120000000000246</v>
      </c>
      <c r="AN88" s="1283">
        <f>AN86+AN87</f>
        <v>-1.2099999999999702</v>
      </c>
      <c r="AO88" s="1736">
        <f>AO86+AO87</f>
        <v>5.0080000000000258</v>
      </c>
      <c r="AP88" s="1283">
        <f>AP86+AP87</f>
        <v>-2.8720000000000163</v>
      </c>
      <c r="AQ88" s="1735">
        <f>SUM(AM88:AP88)</f>
        <v>-0.28599999999998538</v>
      </c>
      <c r="AR88" s="1283">
        <f>AR86+AR87</f>
        <v>8.4159999999999808</v>
      </c>
      <c r="AS88" s="1283">
        <f>AS86+AS87</f>
        <v>4.1670000000000016</v>
      </c>
      <c r="AT88" s="1283">
        <f>AT86+AT87</f>
        <v>-9.4469999999999903</v>
      </c>
      <c r="AU88" s="1283">
        <f>AU86+AU87</f>
        <v>-27.658999999999878</v>
      </c>
      <c r="AV88" s="1735">
        <f t="shared" si="152"/>
        <v>-24.522999999999886</v>
      </c>
      <c r="AW88" s="1283">
        <f t="shared" ref="AW88:BF88" si="174">AW86+AW87</f>
        <v>1.4265000000000185</v>
      </c>
      <c r="AX88" s="1283">
        <f t="shared" si="174"/>
        <v>-0.23049999999998061</v>
      </c>
      <c r="AY88" s="1736">
        <f t="shared" si="174"/>
        <v>-8.3189999999999706</v>
      </c>
      <c r="AZ88" s="1283">
        <f t="shared" si="174"/>
        <v>-26.412500000000001</v>
      </c>
      <c r="BA88" s="1735">
        <f t="shared" si="174"/>
        <v>-33.535499999999935</v>
      </c>
      <c r="BB88" s="1283">
        <f t="shared" si="174"/>
        <v>-4.0549999999999669</v>
      </c>
      <c r="BC88" s="1283">
        <f t="shared" si="174"/>
        <v>5.1870000000000056</v>
      </c>
      <c r="BD88" s="1736">
        <f t="shared" si="174"/>
        <v>0.3944999999999812</v>
      </c>
      <c r="BE88" s="1283">
        <f t="shared" si="174"/>
        <v>-0.13599999999999568</v>
      </c>
      <c r="BF88" s="1735">
        <f t="shared" si="174"/>
        <v>1.3905000000000172</v>
      </c>
      <c r="BG88" s="2992">
        <f>BG86+BG87</f>
        <v>14.248500000000025</v>
      </c>
      <c r="BH88" s="1736">
        <f>BH86+BH87</f>
        <v>26.878500000000056</v>
      </c>
      <c r="BI88" s="1736">
        <f>BI86+BI87</f>
        <v>30.405000000000019</v>
      </c>
      <c r="BJ88" s="1461">
        <f>BJ86+BJ87</f>
        <v>18.156000000000013</v>
      </c>
      <c r="BK88" s="1735">
        <f>SUM(BK86:BK87)</f>
        <v>89.688000000000116</v>
      </c>
      <c r="BL88" s="1736">
        <f>BL86+BL87</f>
        <v>33.959499999999998</v>
      </c>
      <c r="BM88" s="1736">
        <f>BM86+BM87</f>
        <v>18.10499999999999</v>
      </c>
      <c r="BN88" s="1736">
        <f>BN86+BN87</f>
        <v>16.68100000000004</v>
      </c>
      <c r="BO88" s="1461">
        <f>BO86+BO87</f>
        <v>44.285999999999987</v>
      </c>
      <c r="BP88" s="1735">
        <f>SUM(BP86:BP87)</f>
        <v>113.03150000000005</v>
      </c>
      <c r="BQ88" s="1736">
        <f>BQ86+BQ87</f>
        <v>37.449999999999989</v>
      </c>
      <c r="BR88" s="1736">
        <f>BR86+BR87</f>
        <v>30.254000000000005</v>
      </c>
      <c r="BS88" s="1736">
        <f>BS86+BS87</f>
        <v>25.501999999999999</v>
      </c>
      <c r="BT88" s="1461">
        <f>BT86+BT87</f>
        <v>25.599000000000004</v>
      </c>
      <c r="BU88" s="3330">
        <f t="shared" ref="BU88:CG88" si="175">SUM(BU86:BU87)</f>
        <v>118.80499999999998</v>
      </c>
      <c r="BV88" s="1736">
        <f>BV86+BV87</f>
        <v>40.648153478157482</v>
      </c>
      <c r="BW88" s="1736">
        <f t="shared" ref="BW88:BY88" si="176">BW86+BW87</f>
        <v>38.265668691052191</v>
      </c>
      <c r="BX88" s="1736">
        <f t="shared" si="176"/>
        <v>52.933270426092719</v>
      </c>
      <c r="BY88" s="1736">
        <f t="shared" si="176"/>
        <v>58.914367187559321</v>
      </c>
      <c r="BZ88" s="1735">
        <f t="shared" ref="BZ88" si="177">SUM(BZ86:BZ87)</f>
        <v>190.76145978286172</v>
      </c>
      <c r="CA88" s="1735">
        <f t="shared" si="175"/>
        <v>225.48610411611662</v>
      </c>
      <c r="CB88" s="1735">
        <f t="shared" si="175"/>
        <v>228.86739541959551</v>
      </c>
      <c r="CC88" s="1735">
        <f t="shared" si="175"/>
        <v>-228.25798126982744</v>
      </c>
      <c r="CD88" s="1735">
        <f t="shared" si="175"/>
        <v>-261.0885705464425</v>
      </c>
      <c r="CE88" s="1735">
        <f t="shared" si="175"/>
        <v>-246.38264599061949</v>
      </c>
      <c r="CF88" s="1735">
        <f t="shared" si="175"/>
        <v>-231.2582171985305</v>
      </c>
      <c r="CG88" s="1735">
        <f t="shared" si="175"/>
        <v>-215.70551122174925</v>
      </c>
      <c r="CH88" s="385"/>
      <c r="CI88" s="385"/>
      <c r="CJ88" s="385"/>
      <c r="CK88" s="385"/>
      <c r="CL88" s="385"/>
      <c r="CM88" s="965"/>
      <c r="CN88" s="965">
        <f t="shared" si="162"/>
        <v>190.76145978286172</v>
      </c>
      <c r="CO88" s="965">
        <f t="shared" si="164"/>
        <v>-190.76145978286172</v>
      </c>
      <c r="CP88" s="1282" t="str">
        <f t="shared" si="20"/>
        <v>Recurring Net Income to BYD</v>
      </c>
      <c r="CQ88" s="1283">
        <f t="shared" si="21"/>
        <v>122.09899999999999</v>
      </c>
      <c r="CR88" s="1283">
        <f t="shared" si="22"/>
        <v>228.01</v>
      </c>
      <c r="CS88" s="1283">
        <f t="shared" si="23"/>
        <v>192.06399999999996</v>
      </c>
      <c r="CT88" s="1283">
        <f t="shared" si="24"/>
        <v>161.13099999999997</v>
      </c>
      <c r="CU88" s="1283">
        <f t="shared" si="25"/>
        <v>81.231780000000043</v>
      </c>
      <c r="CV88" s="1283">
        <f t="shared" si="26"/>
        <v>31.329535999999994</v>
      </c>
      <c r="CW88" s="1283">
        <f t="shared" si="27"/>
        <v>13.271000000000036</v>
      </c>
      <c r="CX88" s="1283">
        <f t="shared" si="28"/>
        <v>-0.28599999999998538</v>
      </c>
      <c r="CY88" s="1283">
        <f t="shared" si="29"/>
        <v>-24.522999999999886</v>
      </c>
      <c r="CZ88" s="1283">
        <f t="shared" si="30"/>
        <v>-33.535499999999935</v>
      </c>
      <c r="DA88" s="1283">
        <f t="shared" si="31"/>
        <v>1.3905000000000172</v>
      </c>
      <c r="DB88" s="1283">
        <f t="shared" si="32"/>
        <v>89.688000000000116</v>
      </c>
      <c r="DC88" s="1283">
        <f t="shared" si="33"/>
        <v>113.03150000000005</v>
      </c>
      <c r="DD88" s="1283">
        <f t="shared" si="34"/>
        <v>118.80499999999998</v>
      </c>
      <c r="DE88" s="1283">
        <f t="shared" si="35"/>
        <v>190.76145978286172</v>
      </c>
      <c r="DF88" s="1283">
        <f t="shared" si="36"/>
        <v>225.48610411611662</v>
      </c>
      <c r="DG88" s="1461">
        <f t="shared" si="37"/>
        <v>228.86739541959551</v>
      </c>
      <c r="DH88" s="385"/>
      <c r="DI88" s="385"/>
      <c r="DJ88" s="385"/>
      <c r="DK88" s="385"/>
      <c r="DL88" s="385"/>
      <c r="DM88" s="385"/>
      <c r="DN88" s="385"/>
      <c r="DO88" s="386"/>
      <c r="DY88" s="385"/>
      <c r="DZ88" s="385"/>
    </row>
    <row r="89" spans="1:130" s="3690" customFormat="1" ht="12.6" customHeight="1">
      <c r="A89" s="3836"/>
      <c r="B89" s="3837"/>
      <c r="C89" s="3837"/>
      <c r="D89" s="3838"/>
      <c r="E89" s="3839"/>
      <c r="F89" s="3839"/>
      <c r="G89" s="3839"/>
      <c r="H89" s="3840"/>
      <c r="I89" s="3839"/>
      <c r="J89" s="3839"/>
      <c r="K89" s="3839"/>
      <c r="L89" s="3839"/>
      <c r="M89" s="3840"/>
      <c r="N89" s="3839"/>
      <c r="O89" s="3839"/>
      <c r="P89" s="3839"/>
      <c r="Q89" s="3839"/>
      <c r="R89" s="3840"/>
      <c r="S89" s="3839"/>
      <c r="T89" s="3839"/>
      <c r="U89" s="3839"/>
      <c r="V89" s="3839"/>
      <c r="W89" s="3840"/>
      <c r="X89" s="3839"/>
      <c r="Y89" s="3839"/>
      <c r="Z89" s="3839"/>
      <c r="AA89" s="3839"/>
      <c r="AB89" s="3840"/>
      <c r="AC89" s="3839"/>
      <c r="AD89" s="3839"/>
      <c r="AE89" s="3839"/>
      <c r="AF89" s="3839"/>
      <c r="AG89" s="3840"/>
      <c r="AH89" s="3839"/>
      <c r="AI89" s="3839"/>
      <c r="AJ89" s="3839"/>
      <c r="AK89" s="3839"/>
      <c r="AL89" s="3840"/>
      <c r="AM89" s="3839"/>
      <c r="AN89" s="3839"/>
      <c r="AO89" s="3839"/>
      <c r="AP89" s="3839"/>
      <c r="AQ89" s="3840"/>
      <c r="AR89" s="3839"/>
      <c r="AS89" s="3839"/>
      <c r="AT89" s="3839"/>
      <c r="AU89" s="3839"/>
      <c r="AV89" s="3840"/>
      <c r="AW89" s="3839"/>
      <c r="AX89" s="3839"/>
      <c r="AY89" s="3839"/>
      <c r="AZ89" s="3839"/>
      <c r="BA89" s="3840"/>
      <c r="BB89" s="3839"/>
      <c r="BC89" s="3839"/>
      <c r="BD89" s="3839"/>
      <c r="BE89" s="3839"/>
      <c r="BF89" s="3840"/>
      <c r="BG89" s="3838"/>
      <c r="BH89" s="3839"/>
      <c r="BI89" s="3839"/>
      <c r="BJ89" s="3841"/>
      <c r="BK89" s="3840"/>
      <c r="BL89" s="3839"/>
      <c r="BM89" s="3839"/>
      <c r="BN89" s="3839"/>
      <c r="BO89" s="3841"/>
      <c r="BP89" s="3840"/>
      <c r="BQ89" s="3839"/>
      <c r="BR89" s="3839"/>
      <c r="BS89" s="3839"/>
      <c r="BT89" s="3841"/>
      <c r="BU89" s="3842"/>
      <c r="BV89" s="3839"/>
      <c r="BW89" s="3839"/>
      <c r="BX89" s="3839"/>
      <c r="BY89" s="3841"/>
      <c r="BZ89" s="3840"/>
      <c r="CA89" s="3840"/>
      <c r="CB89" s="3840"/>
      <c r="CC89" s="3840"/>
      <c r="CD89" s="3840"/>
      <c r="CE89" s="3840"/>
      <c r="CF89" s="3840"/>
      <c r="CG89" s="3840"/>
      <c r="CH89" s="3843"/>
      <c r="CI89" s="3843"/>
      <c r="CJ89" s="3843"/>
      <c r="CK89" s="3843"/>
      <c r="CL89" s="3843"/>
      <c r="CM89" s="3843"/>
      <c r="CN89" s="3843"/>
      <c r="CO89" s="3843"/>
      <c r="CP89" s="3836"/>
      <c r="CQ89" s="3843"/>
      <c r="CR89" s="3843"/>
      <c r="CS89" s="3843"/>
      <c r="CT89" s="3843"/>
      <c r="CU89" s="3843"/>
      <c r="CV89" s="3843"/>
      <c r="CW89" s="3843"/>
      <c r="CX89" s="3843"/>
      <c r="CY89" s="3843"/>
      <c r="CZ89" s="3843"/>
      <c r="DA89" s="3843"/>
      <c r="DB89" s="3843"/>
      <c r="DC89" s="3843"/>
      <c r="DD89" s="3843"/>
      <c r="DE89" s="3843"/>
      <c r="DF89" s="3843"/>
      <c r="DG89" s="3844"/>
      <c r="DH89" s="3837"/>
      <c r="DI89" s="3837"/>
      <c r="DJ89" s="3837"/>
      <c r="DK89" s="3837"/>
      <c r="DL89" s="3837"/>
      <c r="DM89" s="3837"/>
      <c r="DN89" s="3837"/>
      <c r="DO89" s="3837"/>
      <c r="DP89"/>
      <c r="DQ89"/>
      <c r="DR89"/>
      <c r="DS89"/>
      <c r="DT89"/>
      <c r="DU89"/>
      <c r="DY89" s="3839"/>
      <c r="DZ89" s="3839"/>
    </row>
    <row r="90" spans="1:130" ht="12.6" customHeight="1">
      <c r="A90" s="1744" t="s">
        <v>1113</v>
      </c>
      <c r="B90" s="1017"/>
      <c r="C90" s="1017"/>
      <c r="D90" s="1016">
        <f t="shared" ref="D90:AG90" si="178">D84/D102</f>
        <v>0.20630956393834451</v>
      </c>
      <c r="E90" s="1017">
        <f t="shared" si="178"/>
        <v>0.23272852583791562</v>
      </c>
      <c r="F90" s="1017">
        <f t="shared" si="178"/>
        <v>0.4095271009734463</v>
      </c>
      <c r="G90" s="1017">
        <f t="shared" si="178"/>
        <v>0.53691252104786857</v>
      </c>
      <c r="H90" s="1018">
        <f t="shared" si="178"/>
        <v>1.4550250731299621</v>
      </c>
      <c r="I90" s="1017">
        <f t="shared" si="178"/>
        <v>0.45697085784649027</v>
      </c>
      <c r="J90" s="1017">
        <f t="shared" si="178"/>
        <v>0.55041531810877464</v>
      </c>
      <c r="K90" s="1017">
        <f t="shared" si="178"/>
        <v>0.37115724729923077</v>
      </c>
      <c r="L90" s="1017">
        <f t="shared" si="178"/>
        <v>0.25707851068359355</v>
      </c>
      <c r="M90" s="1018">
        <f t="shared" si="178"/>
        <v>1.6335775246121083</v>
      </c>
      <c r="N90" s="1017">
        <f t="shared" si="178"/>
        <v>0.70810332665240883</v>
      </c>
      <c r="O90" s="1017">
        <f t="shared" si="178"/>
        <v>0.11334858035365661</v>
      </c>
      <c r="P90" s="1017">
        <f t="shared" si="178"/>
        <v>-0.14731013739831841</v>
      </c>
      <c r="Q90" s="1017">
        <f t="shared" si="178"/>
        <v>0.64070615060400493</v>
      </c>
      <c r="R90" s="1018">
        <f t="shared" si="178"/>
        <v>1.3135947730904665</v>
      </c>
      <c r="S90" s="1017">
        <f t="shared" si="178"/>
        <v>2.4789775332416326</v>
      </c>
      <c r="T90" s="1017">
        <f t="shared" si="178"/>
        <v>0.25271723601952034</v>
      </c>
      <c r="U90" s="1017">
        <f t="shared" si="178"/>
        <v>0.36275772461505157</v>
      </c>
      <c r="V90" s="1017">
        <f t="shared" si="178"/>
        <v>0.35575630539290504</v>
      </c>
      <c r="W90" s="1018">
        <f t="shared" si="178"/>
        <v>3.4424338630381035</v>
      </c>
      <c r="X90" s="1017">
        <f t="shared" si="178"/>
        <v>-0.37111230056144584</v>
      </c>
      <c r="Y90" s="1017">
        <f t="shared" si="178"/>
        <v>0.24652263983427058</v>
      </c>
      <c r="Z90" s="1017">
        <f t="shared" si="178"/>
        <v>9.8984887108521546E-2</v>
      </c>
      <c r="AA90" s="1017">
        <f t="shared" si="178"/>
        <v>-2.5121640381420538</v>
      </c>
      <c r="AB90" s="1018">
        <f t="shared" si="178"/>
        <v>-2.5383518725616572</v>
      </c>
      <c r="AC90" s="1017">
        <f t="shared" si="178"/>
        <v>-0.15906868665953464</v>
      </c>
      <c r="AD90" s="1017">
        <f t="shared" si="178"/>
        <v>0.14814385419806628</v>
      </c>
      <c r="AE90" s="1017">
        <f t="shared" si="178"/>
        <v>7.3205508671056296E-2</v>
      </c>
      <c r="AF90" s="1017">
        <f t="shared" si="178"/>
        <v>-1.1834113774398585E-2</v>
      </c>
      <c r="AG90" s="1018">
        <f t="shared" si="178"/>
        <v>4.9103888741047479E-2</v>
      </c>
      <c r="AH90" s="1017">
        <f t="shared" ref="AH90:CB90" si="179">AH86/AH102</f>
        <v>9.7558718037718442E-2</v>
      </c>
      <c r="AI90" s="1017">
        <f t="shared" si="179"/>
        <v>3.9093294494342047E-2</v>
      </c>
      <c r="AJ90" s="1017">
        <f t="shared" si="179"/>
        <v>6.4574622900834072E-2</v>
      </c>
      <c r="AK90" s="1017">
        <f t="shared" si="179"/>
        <v>-8.132186884906259E-2</v>
      </c>
      <c r="AL90" s="1018">
        <f t="shared" si="179"/>
        <v>0.11939815937460345</v>
      </c>
      <c r="AM90" s="1017">
        <f t="shared" si="179"/>
        <v>-4.0398361577383628E-2</v>
      </c>
      <c r="AN90" s="1017">
        <f t="shared" si="179"/>
        <v>-3.3840190816934665E-2</v>
      </c>
      <c r="AO90" s="1017">
        <f t="shared" si="179"/>
        <v>3.1653983680205666E-2</v>
      </c>
      <c r="AP90" s="1017">
        <f t="shared" si="179"/>
        <v>-5.5965896138240913E-3</v>
      </c>
      <c r="AQ90" s="1018">
        <f t="shared" si="179"/>
        <v>-4.8099932447131115E-2</v>
      </c>
      <c r="AR90" s="1017">
        <f t="shared" si="179"/>
        <v>6.6857077573403187E-2</v>
      </c>
      <c r="AS90" s="1017">
        <f t="shared" si="179"/>
        <v>1.9009453349773962E-2</v>
      </c>
      <c r="AT90" s="1017">
        <f t="shared" si="179"/>
        <v>-0.18023116506737549</v>
      </c>
      <c r="AU90" s="1017">
        <f t="shared" si="179"/>
        <v>-10.244040707601936</v>
      </c>
      <c r="AV90" s="1018">
        <f t="shared" si="179"/>
        <v>-10.361166887235886</v>
      </c>
      <c r="AW90" s="1017">
        <f t="shared" si="179"/>
        <v>-7.1310841839634209E-2</v>
      </c>
      <c r="AX90" s="1017">
        <f t="shared" si="179"/>
        <v>-2.583211924240509E-3</v>
      </c>
      <c r="AY90" s="1017">
        <f t="shared" si="179"/>
        <v>-0.36747575205553612</v>
      </c>
      <c r="AZ90" s="1017">
        <f t="shared" si="179"/>
        <v>-0.43219208740214304</v>
      </c>
      <c r="BA90" s="1018">
        <f t="shared" si="179"/>
        <v>-0.93719342266281314</v>
      </c>
      <c r="BB90" s="1017">
        <f t="shared" si="179"/>
        <v>-5.6080471604420541E-2</v>
      </c>
      <c r="BC90" s="1017">
        <f t="shared" si="179"/>
        <v>6.2520476138473889E-3</v>
      </c>
      <c r="BD90" s="1017">
        <f t="shared" si="179"/>
        <v>-0.13650919279859558</v>
      </c>
      <c r="BE90" s="1017">
        <f t="shared" si="179"/>
        <v>-0.29381433956792807</v>
      </c>
      <c r="BF90" s="1018">
        <f t="shared" si="179"/>
        <v>-0.48097346742075675</v>
      </c>
      <c r="BG90" s="1016">
        <f t="shared" ref="BG90:BP90" si="180">BG86/BG102</f>
        <v>0.31497317086301913</v>
      </c>
      <c r="BH90" s="1017">
        <f t="shared" si="180"/>
        <v>-5.7243032290255444E-2</v>
      </c>
      <c r="BI90" s="1017">
        <f t="shared" si="180"/>
        <v>0.22425578831312035</v>
      </c>
      <c r="BJ90" s="1810">
        <f t="shared" si="180"/>
        <v>-5.9994934188116196E-2</v>
      </c>
      <c r="BK90" s="1018">
        <f t="shared" si="180"/>
        <v>0.41842027168882118</v>
      </c>
      <c r="BL90" s="1017">
        <f t="shared" si="180"/>
        <v>0.2889359960998712</v>
      </c>
      <c r="BM90" s="1017">
        <f t="shared" si="180"/>
        <v>9.8255950363669436E-2</v>
      </c>
      <c r="BN90" s="1017">
        <f t="shared" si="180"/>
        <v>1.4050450513011929</v>
      </c>
      <c r="BO90" s="1810">
        <f t="shared" si="180"/>
        <v>9.2920660184768522E-2</v>
      </c>
      <c r="BP90" s="1018">
        <f t="shared" si="180"/>
        <v>1.884770732998952</v>
      </c>
      <c r="BQ90" s="1017">
        <f t="shared" ref="BQ90:BZ90" si="181">BQ86/BQ102</f>
        <v>0.3029628479232454</v>
      </c>
      <c r="BR90" s="1017">
        <f t="shared" si="181"/>
        <v>0.23775264615304989</v>
      </c>
      <c r="BS90" s="1017">
        <f t="shared" si="181"/>
        <v>0.19892468463476506</v>
      </c>
      <c r="BT90" s="1810">
        <f t="shared" si="181"/>
        <v>0.71307668937980129</v>
      </c>
      <c r="BU90" s="3331">
        <f t="shared" si="181"/>
        <v>1.4511546253116006</v>
      </c>
      <c r="BV90" s="1017">
        <f>BV86/BV102</f>
        <v>0.3218039840220373</v>
      </c>
      <c r="BW90" s="1017">
        <f t="shared" si="181"/>
        <v>0.30243381277402537</v>
      </c>
      <c r="BX90" s="1017">
        <f t="shared" si="181"/>
        <v>0.43294049065197809</v>
      </c>
      <c r="BY90" s="1810">
        <f t="shared" si="181"/>
        <v>0.4877934800801183</v>
      </c>
      <c r="BZ90" s="1018">
        <f t="shared" si="181"/>
        <v>1.5435303003471774</v>
      </c>
      <c r="CA90" s="1018">
        <f t="shared" si="179"/>
        <v>1.8484807756298376</v>
      </c>
      <c r="CB90" s="1018">
        <f t="shared" si="179"/>
        <v>1.8781751442796419</v>
      </c>
      <c r="CC90" s="1018">
        <f>CC86/CC102</f>
        <v>-2.1362821255304398</v>
      </c>
      <c r="CD90" s="1018">
        <f>CD86/CD102</f>
        <v>-2.4245990830097024</v>
      </c>
      <c r="CE90" s="1018">
        <f>CE86/CE102</f>
        <v>-2.2954522258171468</v>
      </c>
      <c r="CF90" s="1018">
        <f>CF86/CF102</f>
        <v>-2.1626300807071015</v>
      </c>
      <c r="CG90" s="1018">
        <f>CG86/CG102</f>
        <v>-2.0260468220267858</v>
      </c>
      <c r="CH90" s="1745"/>
      <c r="CI90" s="1745"/>
      <c r="CJ90" s="1745"/>
      <c r="CK90" s="1745"/>
      <c r="CL90" s="1745"/>
      <c r="CM90" s="4001"/>
      <c r="CN90" s="4001">
        <f t="shared" ref="CN90:CN91" si="182">SUM(BV90:BY90)</f>
        <v>1.5449717675281589</v>
      </c>
      <c r="CO90" s="965">
        <f t="shared" si="164"/>
        <v>-1.5449717675281589</v>
      </c>
      <c r="CP90" s="1744" t="str">
        <f t="shared" si="20"/>
        <v>Earnings per Share - Basic</v>
      </c>
      <c r="CQ90" s="1017">
        <f t="shared" si="21"/>
        <v>1.4550250731299621</v>
      </c>
      <c r="CR90" s="1017">
        <f t="shared" si="22"/>
        <v>1.6335775246121083</v>
      </c>
      <c r="CS90" s="1017">
        <f t="shared" si="23"/>
        <v>1.3135947730904665</v>
      </c>
      <c r="CT90" s="1017">
        <f t="shared" si="24"/>
        <v>3.4424338630381035</v>
      </c>
      <c r="CU90" s="1017">
        <f t="shared" si="25"/>
        <v>-2.5383518725616572</v>
      </c>
      <c r="CV90" s="1017">
        <f t="shared" si="26"/>
        <v>4.9103888741047479E-2</v>
      </c>
      <c r="CW90" s="1017">
        <f t="shared" si="27"/>
        <v>0.11939815937460345</v>
      </c>
      <c r="CX90" s="1017">
        <f t="shared" si="28"/>
        <v>-4.8099932447131115E-2</v>
      </c>
      <c r="CY90" s="1017">
        <f t="shared" si="29"/>
        <v>-10.361166887235886</v>
      </c>
      <c r="CZ90" s="1017">
        <f t="shared" si="30"/>
        <v>-0.93719342266281314</v>
      </c>
      <c r="DA90" s="1017">
        <f t="shared" si="31"/>
        <v>-0.48097346742075675</v>
      </c>
      <c r="DB90" s="1017">
        <f t="shared" si="32"/>
        <v>0.41842027168882118</v>
      </c>
      <c r="DC90" s="1017">
        <f t="shared" si="33"/>
        <v>1.884770732998952</v>
      </c>
      <c r="DD90" s="1017">
        <f t="shared" si="34"/>
        <v>1.4511546253116006</v>
      </c>
      <c r="DE90" s="1017">
        <f t="shared" si="35"/>
        <v>1.5435303003471774</v>
      </c>
      <c r="DF90" s="1017">
        <f t="shared" si="36"/>
        <v>1.8484807756298376</v>
      </c>
      <c r="DG90" s="1810">
        <f t="shared" si="37"/>
        <v>1.8781751442796419</v>
      </c>
      <c r="DH90" s="1745"/>
      <c r="DI90" s="1745"/>
      <c r="DJ90" s="1745"/>
      <c r="DK90" s="1745"/>
      <c r="DL90" s="1745"/>
      <c r="DM90" s="1745"/>
      <c r="DN90" s="1745"/>
      <c r="DO90" s="1746"/>
      <c r="DY90" s="1745"/>
      <c r="DZ90" s="1745"/>
    </row>
    <row r="91" spans="1:130" ht="12.6" customHeight="1">
      <c r="A91" s="2507" t="s">
        <v>1558</v>
      </c>
      <c r="B91" s="2508"/>
      <c r="C91" s="2508"/>
      <c r="D91" s="2509">
        <f t="shared" ref="D91:AG91" si="183">D84/D103</f>
        <v>0.20199216933439335</v>
      </c>
      <c r="E91" s="2508">
        <f t="shared" si="183"/>
        <v>0.22690487320322544</v>
      </c>
      <c r="F91" s="2508">
        <f t="shared" si="183"/>
        <v>0.40199249140582599</v>
      </c>
      <c r="G91" s="2508">
        <f t="shared" si="183"/>
        <v>0.52558812316386683</v>
      </c>
      <c r="H91" s="2510">
        <f t="shared" si="183"/>
        <v>1.4241707675592763</v>
      </c>
      <c r="I91" s="2508">
        <f t="shared" si="183"/>
        <v>0.44562546558299293</v>
      </c>
      <c r="J91" s="2508">
        <f t="shared" si="183"/>
        <v>0.53732959190437235</v>
      </c>
      <c r="K91" s="2508">
        <f t="shared" si="183"/>
        <v>0.36376483577146029</v>
      </c>
      <c r="L91" s="2508">
        <f t="shared" si="183"/>
        <v>0.25220115416323208</v>
      </c>
      <c r="M91" s="2510">
        <f t="shared" si="183"/>
        <v>1.5978608266645302</v>
      </c>
      <c r="N91" s="2508">
        <f t="shared" si="183"/>
        <v>0.69608479818604063</v>
      </c>
      <c r="O91" s="2508">
        <f t="shared" si="183"/>
        <v>0.11152212331097781</v>
      </c>
      <c r="P91" s="2508">
        <f t="shared" si="183"/>
        <v>-0.14592526549821119</v>
      </c>
      <c r="Q91" s="2508">
        <f t="shared" si="183"/>
        <v>0.63336141341468943</v>
      </c>
      <c r="R91" s="2510">
        <f t="shared" si="183"/>
        <v>1.2958189757397354</v>
      </c>
      <c r="S91" s="2508">
        <f t="shared" si="183"/>
        <v>2.4447886050192182</v>
      </c>
      <c r="T91" s="2508">
        <f t="shared" si="183"/>
        <v>0.24925040016231903</v>
      </c>
      <c r="U91" s="2508">
        <f t="shared" si="183"/>
        <v>0.35808066602913885</v>
      </c>
      <c r="V91" s="2508">
        <f t="shared" si="183"/>
        <v>0.35282221619667375</v>
      </c>
      <c r="W91" s="2510">
        <f t="shared" si="183"/>
        <v>3.4005601134892594</v>
      </c>
      <c r="X91" s="2508">
        <f t="shared" si="183"/>
        <v>-0.37111230056144584</v>
      </c>
      <c r="Y91" s="2508">
        <f t="shared" si="183"/>
        <v>0.24578127305121494</v>
      </c>
      <c r="Z91" s="2508">
        <f t="shared" si="183"/>
        <v>9.8927470627708403E-2</v>
      </c>
      <c r="AA91" s="2508">
        <f t="shared" si="183"/>
        <v>-2.5121640381420538</v>
      </c>
      <c r="AB91" s="2510">
        <f t="shared" si="183"/>
        <v>-2.5383518725616572</v>
      </c>
      <c r="AC91" s="2508">
        <f t="shared" si="183"/>
        <v>-0.15906868665953464</v>
      </c>
      <c r="AD91" s="2508">
        <f t="shared" si="183"/>
        <v>0.1480803328272938</v>
      </c>
      <c r="AE91" s="2508">
        <f t="shared" si="183"/>
        <v>7.3059836179369703E-2</v>
      </c>
      <c r="AF91" s="2508">
        <f t="shared" si="183"/>
        <v>-1.1834113774398585E-2</v>
      </c>
      <c r="AG91" s="2510">
        <f t="shared" si="183"/>
        <v>4.9053943155680305E-2</v>
      </c>
      <c r="AH91" s="2508">
        <f t="shared" ref="AH91:CB91" si="184">AH86/AH103</f>
        <v>9.7366081223080631E-2</v>
      </c>
      <c r="AI91" s="2508">
        <f t="shared" si="184"/>
        <v>3.8899496215868336E-2</v>
      </c>
      <c r="AJ91" s="2508">
        <f t="shared" si="184"/>
        <v>6.4498638733791885E-2</v>
      </c>
      <c r="AK91" s="2508">
        <f t="shared" si="184"/>
        <v>-8.132186884906259E-2</v>
      </c>
      <c r="AL91" s="2510">
        <f t="shared" si="184"/>
        <v>0.11908189471502152</v>
      </c>
      <c r="AM91" s="2508">
        <f t="shared" si="184"/>
        <v>-4.0398361577383628E-2</v>
      </c>
      <c r="AN91" s="2508">
        <f t="shared" si="184"/>
        <v>-3.3840190816934665E-2</v>
      </c>
      <c r="AO91" s="2508">
        <f t="shared" si="184"/>
        <v>3.1590264434074776E-2</v>
      </c>
      <c r="AP91" s="2508">
        <f t="shared" si="184"/>
        <v>-5.5965896138240913E-3</v>
      </c>
      <c r="AQ91" s="2510">
        <f t="shared" si="184"/>
        <v>-4.8099932447131115E-2</v>
      </c>
      <c r="AR91" s="2508">
        <f t="shared" si="184"/>
        <v>6.6509825315103147E-2</v>
      </c>
      <c r="AS91" s="2508">
        <f t="shared" si="184"/>
        <v>1.9009453349773962E-2</v>
      </c>
      <c r="AT91" s="2508">
        <f t="shared" si="184"/>
        <v>-0.18023116506737549</v>
      </c>
      <c r="AU91" s="2508">
        <f t="shared" si="184"/>
        <v>-10.244040707601936</v>
      </c>
      <c r="AV91" s="2510">
        <f t="shared" si="184"/>
        <v>-10.361166887235886</v>
      </c>
      <c r="AW91" s="2508">
        <f t="shared" si="184"/>
        <v>-7.1310841839634209E-2</v>
      </c>
      <c r="AX91" s="2508">
        <f t="shared" si="184"/>
        <v>-2.553592200742044E-3</v>
      </c>
      <c r="AY91" s="2508">
        <f t="shared" si="184"/>
        <v>-0.36747575205553612</v>
      </c>
      <c r="AZ91" s="2508">
        <f t="shared" si="184"/>
        <v>-0.43219208740214304</v>
      </c>
      <c r="BA91" s="2510">
        <f t="shared" si="184"/>
        <v>-0.93719342266281314</v>
      </c>
      <c r="BB91" s="2508">
        <f t="shared" si="184"/>
        <v>-5.6080471604420541E-2</v>
      </c>
      <c r="BC91" s="2508">
        <f t="shared" si="184"/>
        <v>6.1996336169944542E-3</v>
      </c>
      <c r="BD91" s="2508">
        <f t="shared" si="184"/>
        <v>-0.13650919279859558</v>
      </c>
      <c r="BE91" s="2508">
        <f t="shared" si="184"/>
        <v>-0.29381433956792807</v>
      </c>
      <c r="BF91" s="2510">
        <f t="shared" si="184"/>
        <v>-0.47995989483736756</v>
      </c>
      <c r="BG91" s="2509">
        <f t="shared" ref="BG91:BP91" si="185">BG86/BG103</f>
        <v>0.31241656134854684</v>
      </c>
      <c r="BH91" s="2508">
        <f t="shared" si="185"/>
        <v>-5.7243032290255444E-2</v>
      </c>
      <c r="BI91" s="2508">
        <f t="shared" si="185"/>
        <v>0.22425578831312035</v>
      </c>
      <c r="BJ91" s="2511">
        <f t="shared" si="185"/>
        <v>-5.9994934188116196E-2</v>
      </c>
      <c r="BK91" s="2510">
        <f t="shared" si="185"/>
        <v>0.41757688006400689</v>
      </c>
      <c r="BL91" s="2508">
        <f t="shared" si="185"/>
        <v>0.2889359960998712</v>
      </c>
      <c r="BM91" s="2508">
        <f t="shared" si="185"/>
        <v>9.8255950363669436E-2</v>
      </c>
      <c r="BN91" s="2508">
        <f t="shared" si="185"/>
        <v>1.4050450513011929</v>
      </c>
      <c r="BO91" s="2511">
        <f t="shared" si="185"/>
        <v>9.2920660184768522E-2</v>
      </c>
      <c r="BP91" s="2510">
        <f t="shared" si="185"/>
        <v>1.884770732998952</v>
      </c>
      <c r="BQ91" s="2508">
        <f t="shared" ref="BQ91:BZ91" si="186">BQ86/BQ103</f>
        <v>0.3029628479232454</v>
      </c>
      <c r="BR91" s="2508">
        <f t="shared" si="186"/>
        <v>0.23775264615304989</v>
      </c>
      <c r="BS91" s="2508">
        <f t="shared" si="186"/>
        <v>0.19892468463476506</v>
      </c>
      <c r="BT91" s="2511">
        <f t="shared" si="186"/>
        <v>0.71307668937980129</v>
      </c>
      <c r="BU91" s="3332">
        <f t="shared" si="186"/>
        <v>1.4511546253116006</v>
      </c>
      <c r="BV91" s="2508">
        <f t="shared" si="186"/>
        <v>0.3218039840220373</v>
      </c>
      <c r="BW91" s="2508">
        <f t="shared" si="186"/>
        <v>0.30243381277402537</v>
      </c>
      <c r="BX91" s="2508">
        <f t="shared" si="186"/>
        <v>0.43294049065197809</v>
      </c>
      <c r="BY91" s="2511">
        <f t="shared" si="186"/>
        <v>0.4877934800801183</v>
      </c>
      <c r="BZ91" s="2510">
        <f t="shared" si="186"/>
        <v>1.5435303003471774</v>
      </c>
      <c r="CA91" s="2510">
        <f t="shared" si="184"/>
        <v>1.8484807756298376</v>
      </c>
      <c r="CB91" s="2510">
        <f t="shared" si="184"/>
        <v>1.8781751442796419</v>
      </c>
      <c r="CC91" s="2510">
        <f>CC86/CC103</f>
        <v>-2.1362821255304398</v>
      </c>
      <c r="CD91" s="2510">
        <f>CD86/CD103</f>
        <v>-2.4245990830097024</v>
      </c>
      <c r="CE91" s="2510">
        <f>CE86/CE103</f>
        <v>-2.2954522258171468</v>
      </c>
      <c r="CF91" s="2510">
        <f>CF86/CF103</f>
        <v>-2.1626300807071015</v>
      </c>
      <c r="CG91" s="2510">
        <f>CG86/CG103</f>
        <v>-2.0260468220267858</v>
      </c>
      <c r="CH91" s="1745"/>
      <c r="CI91" s="273"/>
      <c r="CJ91" s="1745"/>
      <c r="CK91" s="1745"/>
      <c r="CL91" s="1745"/>
      <c r="CM91" s="4001"/>
      <c r="CN91" s="4001">
        <f t="shared" si="182"/>
        <v>1.5449717675281589</v>
      </c>
      <c r="CO91" s="965">
        <f t="shared" si="164"/>
        <v>-1.5449717675281589</v>
      </c>
      <c r="CP91" s="1747" t="str">
        <f t="shared" si="20"/>
        <v>Earnings per Share - Diluted</v>
      </c>
      <c r="CQ91" s="1019">
        <f t="shared" si="21"/>
        <v>1.4241707675592763</v>
      </c>
      <c r="CR91" s="1019">
        <f t="shared" si="22"/>
        <v>1.5978608266645302</v>
      </c>
      <c r="CS91" s="1019">
        <f t="shared" si="23"/>
        <v>1.2958189757397354</v>
      </c>
      <c r="CT91" s="1019">
        <f t="shared" si="24"/>
        <v>3.4005601134892594</v>
      </c>
      <c r="CU91" s="1019">
        <f t="shared" si="25"/>
        <v>-2.5383518725616572</v>
      </c>
      <c r="CV91" s="1019">
        <f t="shared" si="26"/>
        <v>4.9053943155680305E-2</v>
      </c>
      <c r="CW91" s="1019">
        <f t="shared" si="27"/>
        <v>0.11908189471502152</v>
      </c>
      <c r="CX91" s="1019">
        <f t="shared" si="28"/>
        <v>-4.8099932447131115E-2</v>
      </c>
      <c r="CY91" s="1019">
        <f t="shared" si="29"/>
        <v>-10.361166887235886</v>
      </c>
      <c r="CZ91" s="1019">
        <f t="shared" si="30"/>
        <v>-0.93719342266281314</v>
      </c>
      <c r="DA91" s="1019">
        <f t="shared" si="31"/>
        <v>-0.47995989483736756</v>
      </c>
      <c r="DB91" s="1019">
        <f t="shared" si="32"/>
        <v>0.41757688006400689</v>
      </c>
      <c r="DC91" s="1019">
        <f t="shared" si="33"/>
        <v>1.884770732998952</v>
      </c>
      <c r="DD91" s="1019">
        <f t="shared" si="34"/>
        <v>1.4511546253116006</v>
      </c>
      <c r="DE91" s="1019">
        <f t="shared" si="35"/>
        <v>1.5435303003471774</v>
      </c>
      <c r="DF91" s="1019">
        <f t="shared" si="36"/>
        <v>1.8484807756298376</v>
      </c>
      <c r="DG91" s="1811">
        <f t="shared" si="37"/>
        <v>1.8781751442796419</v>
      </c>
      <c r="DH91" s="1745"/>
      <c r="DI91" s="1745"/>
      <c r="DJ91" s="1745"/>
      <c r="DK91" s="1745"/>
      <c r="DL91" s="1745"/>
      <c r="DM91" s="1745"/>
      <c r="DN91" s="1745"/>
      <c r="DO91" s="1746"/>
      <c r="DY91" s="1745"/>
      <c r="DZ91" s="1745"/>
    </row>
    <row r="92" spans="1:130" ht="12.6" hidden="1" customHeight="1" outlineLevel="1">
      <c r="A92" s="396" t="s">
        <v>1249</v>
      </c>
      <c r="B92" s="397"/>
      <c r="C92" s="397"/>
      <c r="D92" s="399"/>
      <c r="E92" s="343"/>
      <c r="F92" s="343"/>
      <c r="G92" s="343"/>
      <c r="H92" s="344"/>
      <c r="I92" s="343">
        <f t="shared" ref="I92:AP92" si="187">+I90/D90-1</f>
        <v>1.2149766066252545</v>
      </c>
      <c r="J92" s="343">
        <f t="shared" si="187"/>
        <v>1.3650530854653926</v>
      </c>
      <c r="K92" s="343">
        <f t="shared" si="187"/>
        <v>-9.3693075703684459E-2</v>
      </c>
      <c r="L92" s="343">
        <f t="shared" si="187"/>
        <v>-0.52119106818022287</v>
      </c>
      <c r="M92" s="344">
        <f t="shared" si="187"/>
        <v>0.12271434683806159</v>
      </c>
      <c r="N92" s="343">
        <f t="shared" si="187"/>
        <v>0.54955904625822161</v>
      </c>
      <c r="O92" s="343">
        <f t="shared" si="187"/>
        <v>-0.79406717686723916</v>
      </c>
      <c r="P92" s="343">
        <f t="shared" si="187"/>
        <v>-1.3968941424968471</v>
      </c>
      <c r="Q92" s="343">
        <f t="shared" si="187"/>
        <v>1.4922586835450109</v>
      </c>
      <c r="R92" s="344">
        <f t="shared" si="187"/>
        <v>-0.19587852226212621</v>
      </c>
      <c r="S92" s="343">
        <f t="shared" si="187"/>
        <v>2.5008697741346779</v>
      </c>
      <c r="T92" s="343">
        <f t="shared" si="187"/>
        <v>1.2295580167922915</v>
      </c>
      <c r="U92" s="343">
        <f t="shared" si="187"/>
        <v>-3.4625442011107141</v>
      </c>
      <c r="V92" s="343">
        <f t="shared" si="187"/>
        <v>-0.44474342089969432</v>
      </c>
      <c r="W92" s="344">
        <f t="shared" si="187"/>
        <v>1.6206208593074427</v>
      </c>
      <c r="X92" s="263" t="s">
        <v>1109</v>
      </c>
      <c r="Y92" s="263" t="s">
        <v>1109</v>
      </c>
      <c r="Z92" s="263" t="s">
        <v>1109</v>
      </c>
      <c r="AA92" s="263" t="s">
        <v>1109</v>
      </c>
      <c r="AB92" s="262" t="s">
        <v>1109</v>
      </c>
      <c r="AC92" s="263" t="s">
        <v>1109</v>
      </c>
      <c r="AD92" s="263" t="s">
        <v>1109</v>
      </c>
      <c r="AE92" s="263" t="s">
        <v>1109</v>
      </c>
      <c r="AF92" s="263" t="s">
        <v>1109</v>
      </c>
      <c r="AG92" s="262" t="s">
        <v>1109</v>
      </c>
      <c r="AH92" s="263" t="s">
        <v>1109</v>
      </c>
      <c r="AI92" s="343">
        <f t="shared" si="187"/>
        <v>-0.73611261360815639</v>
      </c>
      <c r="AJ92" s="343">
        <f t="shared" si="187"/>
        <v>-0.1178994030217656</v>
      </c>
      <c r="AK92" s="343">
        <f t="shared" si="187"/>
        <v>5.8718173915980794</v>
      </c>
      <c r="AL92" s="344">
        <f t="shared" si="187"/>
        <v>1.4315418276596654</v>
      </c>
      <c r="AM92" s="343">
        <f>+AM90/AH90-1</f>
        <v>-1.4140927883222563</v>
      </c>
      <c r="AN92" s="343">
        <f t="shared" si="187"/>
        <v>-1.8656264777539366</v>
      </c>
      <c r="AO92" s="343">
        <f t="shared" si="187"/>
        <v>-0.50980768824905032</v>
      </c>
      <c r="AP92" s="343">
        <f t="shared" si="187"/>
        <v>-0.93117977128376572</v>
      </c>
      <c r="AQ92" s="344">
        <f t="shared" ref="AQ92:BF92" si="188">+AQ90/AL90-1</f>
        <v>-1.4028532156531903</v>
      </c>
      <c r="AR92" s="343">
        <f t="shared" si="188"/>
        <v>-2.6549452740883446</v>
      </c>
      <c r="AS92" s="343">
        <f t="shared" si="188"/>
        <v>-1.5617419077986123</v>
      </c>
      <c r="AT92" s="343">
        <f t="shared" si="188"/>
        <v>-6.6937909265455362</v>
      </c>
      <c r="AU92" s="1707" t="s">
        <v>812</v>
      </c>
      <c r="AV92" s="344">
        <f t="shared" si="188"/>
        <v>214.40917752066136</v>
      </c>
      <c r="AW92" s="343">
        <f t="shared" si="188"/>
        <v>-2.0666161972356805</v>
      </c>
      <c r="AX92" s="343">
        <f t="shared" si="188"/>
        <v>-1.1358909105227493</v>
      </c>
      <c r="AY92" s="343">
        <f t="shared" si="188"/>
        <v>1.0389134804636218</v>
      </c>
      <c r="AZ92" s="343">
        <f t="shared" si="188"/>
        <v>-0.95781038949977815</v>
      </c>
      <c r="BA92" s="344">
        <f t="shared" si="188"/>
        <v>-0.90954750243263049</v>
      </c>
      <c r="BB92" s="343">
        <f t="shared" si="188"/>
        <v>-0.21357720428352456</v>
      </c>
      <c r="BC92" s="343">
        <f t="shared" si="188"/>
        <v>-3.4202612086058544</v>
      </c>
      <c r="BD92" s="343">
        <f t="shared" si="188"/>
        <v>-0.62852190373103822</v>
      </c>
      <c r="BE92" s="343">
        <f t="shared" si="188"/>
        <v>-0.32017649528474179</v>
      </c>
      <c r="BF92" s="344">
        <f t="shared" si="188"/>
        <v>-0.48679380820430374</v>
      </c>
      <c r="BG92" s="399">
        <f t="shared" ref="BG92:BP92" si="189">+BG90/BB90-1</f>
        <v>-6.6164501091355188</v>
      </c>
      <c r="BH92" s="343">
        <f t="shared" si="189"/>
        <v>-10.155885531560946</v>
      </c>
      <c r="BI92" s="343">
        <f t="shared" si="189"/>
        <v>-2.6427889119818131</v>
      </c>
      <c r="BJ92" s="1812">
        <f t="shared" si="189"/>
        <v>-0.79580665029371134</v>
      </c>
      <c r="BK92" s="344">
        <f t="shared" si="189"/>
        <v>-1.8699446020018939</v>
      </c>
      <c r="BL92" s="343">
        <f t="shared" si="189"/>
        <v>-8.2664738370594182E-2</v>
      </c>
      <c r="BM92" s="343">
        <f t="shared" si="189"/>
        <v>-2.7164700476636989</v>
      </c>
      <c r="BN92" s="343">
        <f t="shared" si="189"/>
        <v>5.2653680507875178</v>
      </c>
      <c r="BO92" s="1812">
        <f t="shared" si="189"/>
        <v>-2.5488084359491516</v>
      </c>
      <c r="BP92" s="344">
        <f t="shared" si="189"/>
        <v>3.5044919200297606</v>
      </c>
      <c r="BQ92" s="343">
        <f t="shared" ref="BQ92:BZ92" si="190">+BQ90/BL90-1</f>
        <v>4.8546570910900977E-2</v>
      </c>
      <c r="BR92" s="343">
        <f t="shared" si="190"/>
        <v>1.419727713925405</v>
      </c>
      <c r="BS92" s="343">
        <f>+BS90/BN90-1</f>
        <v>-0.8584211342899335</v>
      </c>
      <c r="BT92" s="1812">
        <f t="shared" si="190"/>
        <v>6.6740381306146617</v>
      </c>
      <c r="BU92" s="3321">
        <f t="shared" si="190"/>
        <v>-0.23006305228297097</v>
      </c>
      <c r="BV92" s="343">
        <f t="shared" si="190"/>
        <v>6.2189592644591229E-2</v>
      </c>
      <c r="BW92" s="343">
        <f t="shared" si="190"/>
        <v>0.27205235217166801</v>
      </c>
      <c r="BX92" s="343">
        <f>+BX90/BS90-1</f>
        <v>1.1764040568764851</v>
      </c>
      <c r="BY92" s="1812">
        <f t="shared" si="190"/>
        <v>-0.31593124926804594</v>
      </c>
      <c r="BZ92" s="344">
        <f t="shared" si="190"/>
        <v>6.3656672710354023E-2</v>
      </c>
      <c r="CA92" s="344">
        <f t="shared" ref="CA92:CG92" si="191">+CA90/BZ90-1</f>
        <v>0.19756688625682917</v>
      </c>
      <c r="CB92" s="344">
        <f t="shared" si="191"/>
        <v>1.6064202041639497E-2</v>
      </c>
      <c r="CC92" s="344">
        <f t="shared" si="191"/>
        <v>-2.1374243408751914</v>
      </c>
      <c r="CD92" s="344">
        <f t="shared" si="191"/>
        <v>0.13496202305567362</v>
      </c>
      <c r="CE92" s="344">
        <f t="shared" si="191"/>
        <v>-5.3265242116747435E-2</v>
      </c>
      <c r="CF92" s="344">
        <f t="shared" si="191"/>
        <v>-5.786317119397355E-2</v>
      </c>
      <c r="CG92" s="344">
        <f t="shared" si="191"/>
        <v>-6.3156089383376135E-2</v>
      </c>
      <c r="CH92" s="343"/>
      <c r="CI92" s="343"/>
      <c r="CJ92" s="343"/>
      <c r="CK92" s="343"/>
      <c r="CL92" s="343"/>
      <c r="CM92" s="343"/>
      <c r="CN92" s="343"/>
      <c r="CO92" s="343"/>
      <c r="CP92" s="396" t="str">
        <f t="shared" si="20"/>
        <v>% Growth (y-o-y)</v>
      </c>
      <c r="CQ92" s="343"/>
      <c r="CR92" s="343">
        <f t="shared" si="22"/>
        <v>0.12271434683806159</v>
      </c>
      <c r="CS92" s="343">
        <f t="shared" si="23"/>
        <v>-0.19587852226212621</v>
      </c>
      <c r="CT92" s="343">
        <f t="shared" si="24"/>
        <v>1.6206208593074427</v>
      </c>
      <c r="CU92" s="343" t="str">
        <f t="shared" si="25"/>
        <v xml:space="preserve">n/a </v>
      </c>
      <c r="CV92" s="343" t="str">
        <f t="shared" si="26"/>
        <v xml:space="preserve">n/a </v>
      </c>
      <c r="CW92" s="343">
        <f t="shared" si="27"/>
        <v>1.4315418276596654</v>
      </c>
      <c r="CX92" s="343">
        <f t="shared" si="28"/>
        <v>-1.4028532156531903</v>
      </c>
      <c r="CY92" s="343">
        <f t="shared" si="29"/>
        <v>214.40917752066136</v>
      </c>
      <c r="CZ92" s="343">
        <f t="shared" si="30"/>
        <v>-0.90954750243263049</v>
      </c>
      <c r="DA92" s="343">
        <f t="shared" si="31"/>
        <v>-0.48679380820430374</v>
      </c>
      <c r="DB92" s="343">
        <f t="shared" si="32"/>
        <v>-1.8699446020018939</v>
      </c>
      <c r="DC92" s="343">
        <f t="shared" si="33"/>
        <v>3.5044919200297606</v>
      </c>
      <c r="DD92" s="343">
        <f t="shared" si="34"/>
        <v>-0.23006305228297097</v>
      </c>
      <c r="DE92" s="343">
        <f t="shared" si="35"/>
        <v>6.3656672710354023E-2</v>
      </c>
      <c r="DF92" s="343">
        <f t="shared" si="36"/>
        <v>0.19756688625682917</v>
      </c>
      <c r="DG92" s="1812">
        <f t="shared" si="37"/>
        <v>1.6064202041639497E-2</v>
      </c>
      <c r="DH92" s="343"/>
      <c r="DI92" s="343"/>
      <c r="DJ92" s="343"/>
      <c r="DK92" s="343"/>
      <c r="DL92" s="343"/>
      <c r="DM92" s="343"/>
      <c r="DN92" s="343"/>
      <c r="DO92" s="266"/>
      <c r="DY92" s="343"/>
      <c r="DZ92" s="343"/>
    </row>
    <row r="93" spans="1:130" ht="6" customHeight="1" collapsed="1">
      <c r="A93" s="3845"/>
      <c r="B93" s="3826"/>
      <c r="C93" s="3826"/>
      <c r="D93" s="3846"/>
      <c r="E93" s="3793"/>
      <c r="F93" s="3793"/>
      <c r="G93" s="3793"/>
      <c r="H93" s="3789"/>
      <c r="I93" s="3793"/>
      <c r="J93" s="3793"/>
      <c r="K93" s="3793"/>
      <c r="L93" s="3793"/>
      <c r="M93" s="3789"/>
      <c r="N93" s="3793"/>
      <c r="O93" s="3793"/>
      <c r="P93" s="3793"/>
      <c r="Q93" s="3793"/>
      <c r="R93" s="3789"/>
      <c r="S93" s="3793"/>
      <c r="T93" s="3793"/>
      <c r="U93" s="3793"/>
      <c r="V93" s="3793"/>
      <c r="W93" s="3789"/>
      <c r="X93" s="3793"/>
      <c r="Y93" s="3793"/>
      <c r="Z93" s="3793"/>
      <c r="AA93" s="3793"/>
      <c r="AB93" s="3789"/>
      <c r="AC93" s="3793"/>
      <c r="AD93" s="3793"/>
      <c r="AE93" s="3793"/>
      <c r="AF93" s="3793"/>
      <c r="AG93" s="3789"/>
      <c r="AH93" s="3793"/>
      <c r="AI93" s="3793"/>
      <c r="AJ93" s="3793"/>
      <c r="AK93" s="3793"/>
      <c r="AL93" s="3789"/>
      <c r="AM93" s="3793"/>
      <c r="AN93" s="3793"/>
      <c r="AO93" s="3793"/>
      <c r="AP93" s="3793"/>
      <c r="AQ93" s="3789"/>
      <c r="AR93" s="3793"/>
      <c r="AS93" s="3793"/>
      <c r="AT93" s="3793"/>
      <c r="AU93" s="3793"/>
      <c r="AV93" s="3789"/>
      <c r="AW93" s="3793"/>
      <c r="AX93" s="3793"/>
      <c r="AY93" s="3793"/>
      <c r="AZ93" s="3793"/>
      <c r="BA93" s="3789"/>
      <c r="BB93" s="3793"/>
      <c r="BC93" s="3793"/>
      <c r="BD93" s="3793"/>
      <c r="BE93" s="3793"/>
      <c r="BF93" s="3789"/>
      <c r="BG93" s="3846"/>
      <c r="BH93" s="3793"/>
      <c r="BI93" s="3793"/>
      <c r="BJ93" s="3792"/>
      <c r="BK93" s="3789"/>
      <c r="BL93" s="3793"/>
      <c r="BM93" s="3793"/>
      <c r="BN93" s="3793"/>
      <c r="BO93" s="3792"/>
      <c r="BP93" s="3789"/>
      <c r="BQ93" s="3793"/>
      <c r="BR93" s="3793"/>
      <c r="BS93" s="3793"/>
      <c r="BT93" s="3792"/>
      <c r="BU93" s="3827"/>
      <c r="BV93" s="3793"/>
      <c r="BW93" s="3793"/>
      <c r="BX93" s="3793"/>
      <c r="BY93" s="3792"/>
      <c r="BZ93" s="3789"/>
      <c r="CA93" s="3789"/>
      <c r="CB93" s="3789"/>
      <c r="CC93" s="370"/>
      <c r="CD93" s="370"/>
      <c r="CE93" s="370"/>
      <c r="CF93" s="370"/>
      <c r="CG93" s="370"/>
      <c r="CH93" s="369"/>
      <c r="CI93" s="369"/>
      <c r="CJ93" s="369"/>
      <c r="CK93" s="369"/>
      <c r="CL93" s="369"/>
      <c r="CM93" s="369"/>
      <c r="CN93" s="369"/>
      <c r="CO93" s="369"/>
      <c r="CP93" s="400"/>
      <c r="CQ93" s="369"/>
      <c r="CR93" s="369"/>
      <c r="CS93" s="369"/>
      <c r="CT93" s="369"/>
      <c r="CU93" s="369"/>
      <c r="CV93" s="369"/>
      <c r="CW93" s="369"/>
      <c r="CX93" s="369"/>
      <c r="CY93" s="369"/>
      <c r="CZ93" s="369"/>
      <c r="DA93" s="369"/>
      <c r="DB93" s="369"/>
      <c r="DC93" s="369"/>
      <c r="DD93" s="369"/>
      <c r="DE93" s="369"/>
      <c r="DF93" s="369"/>
      <c r="DG93" s="1801"/>
      <c r="DH93" s="371"/>
      <c r="DI93" s="371"/>
      <c r="DJ93" s="371"/>
      <c r="DK93" s="371"/>
      <c r="DL93" s="371"/>
      <c r="DM93" s="371"/>
      <c r="DN93" s="371"/>
      <c r="DO93" s="401"/>
      <c r="DY93" s="369"/>
      <c r="DZ93" s="369"/>
    </row>
    <row r="94" spans="1:130" ht="12.6" customHeight="1">
      <c r="A94" s="1744" t="s">
        <v>1559</v>
      </c>
      <c r="B94" s="1017"/>
      <c r="C94" s="1017"/>
      <c r="D94" s="1016">
        <f t="shared" ref="D94:AI94" si="192">D88/D102</f>
        <v>0.29402751815646727</v>
      </c>
      <c r="E94" s="1017">
        <f t="shared" si="192"/>
        <v>0.2734219318879883</v>
      </c>
      <c r="F94" s="1017">
        <f t="shared" si="192"/>
        <v>0.38389493692759635</v>
      </c>
      <c r="G94" s="1017">
        <f t="shared" si="192"/>
        <v>0.58803450132300861</v>
      </c>
      <c r="H94" s="1018">
        <f t="shared" si="192"/>
        <v>1.5944812996239031</v>
      </c>
      <c r="I94" s="1017">
        <f t="shared" si="192"/>
        <v>0.65557303780726917</v>
      </c>
      <c r="J94" s="1017">
        <f t="shared" si="192"/>
        <v>0.56955163750763849</v>
      </c>
      <c r="K94" s="1017">
        <f t="shared" si="192"/>
        <v>0.57932207590316676</v>
      </c>
      <c r="L94" s="1017">
        <f t="shared" si="192"/>
        <v>0.77037277728602049</v>
      </c>
      <c r="M94" s="1018">
        <f t="shared" si="192"/>
        <v>2.5757002377899649</v>
      </c>
      <c r="N94" s="1017">
        <f t="shared" si="192"/>
        <v>0.79377218421435669</v>
      </c>
      <c r="O94" s="1017">
        <f t="shared" si="192"/>
        <v>0.47365426451720877</v>
      </c>
      <c r="P94" s="1017">
        <f t="shared" si="192"/>
        <v>0.44227219905666831</v>
      </c>
      <c r="Q94" s="1017">
        <f t="shared" si="192"/>
        <v>0.45944700991512805</v>
      </c>
      <c r="R94" s="1018">
        <f t="shared" si="192"/>
        <v>2.1729462177030445</v>
      </c>
      <c r="S94" s="1017">
        <f t="shared" si="192"/>
        <v>0.50488308115543334</v>
      </c>
      <c r="T94" s="1017">
        <f t="shared" si="192"/>
        <v>0.45594706104209254</v>
      </c>
      <c r="U94" s="1017">
        <f t="shared" si="192"/>
        <v>0.43742235493908077</v>
      </c>
      <c r="V94" s="1017">
        <f t="shared" si="192"/>
        <v>0.44214075778633422</v>
      </c>
      <c r="W94" s="1018">
        <f t="shared" si="192"/>
        <v>1.840140696286737</v>
      </c>
      <c r="X94" s="1017">
        <f t="shared" si="192"/>
        <v>0.33736860686262238</v>
      </c>
      <c r="Y94" s="1017">
        <f t="shared" si="192"/>
        <v>0.30064197418444244</v>
      </c>
      <c r="Z94" s="1017">
        <f t="shared" si="192"/>
        <v>0.15887540968681726</v>
      </c>
      <c r="AA94" s="1017">
        <f t="shared" si="192"/>
        <v>0.1278359618579461</v>
      </c>
      <c r="AB94" s="1018">
        <f t="shared" si="192"/>
        <v>0.92461981065230237</v>
      </c>
      <c r="AC94" s="1017">
        <f t="shared" si="192"/>
        <v>0.14961866307761321</v>
      </c>
      <c r="AD94" s="1017">
        <f t="shared" si="192"/>
        <v>0.12091033459317839</v>
      </c>
      <c r="AE94" s="1017">
        <f t="shared" si="192"/>
        <v>9.2344431048873243E-2</v>
      </c>
      <c r="AF94" s="1017">
        <f t="shared" si="192"/>
        <v>-8.3411377439858415E-4</v>
      </c>
      <c r="AG94" s="1018">
        <f t="shared" si="192"/>
        <v>0.36248870170891706</v>
      </c>
      <c r="AH94" s="1017">
        <f t="shared" si="192"/>
        <v>0.10249913224574805</v>
      </c>
      <c r="AI94" s="1017">
        <f t="shared" si="192"/>
        <v>4.8895516177133835E-2</v>
      </c>
      <c r="AJ94" s="1017">
        <f t="shared" ref="AJ94:CB94" si="193">AJ88/AJ102</f>
        <v>1.6285140098404025E-2</v>
      </c>
      <c r="AK94" s="1017">
        <f t="shared" si="193"/>
        <v>-1.4134926390183954E-2</v>
      </c>
      <c r="AL94" s="1018">
        <f t="shared" si="193"/>
        <v>0.15324303414510268</v>
      </c>
      <c r="AM94" s="1017">
        <f t="shared" si="193"/>
        <v>-1.3905939855663052E-2</v>
      </c>
      <c r="AN94" s="1017">
        <f t="shared" si="193"/>
        <v>-1.3875510297692425E-2</v>
      </c>
      <c r="AO94" s="1017">
        <f t="shared" si="193"/>
        <v>5.7394333914000478E-2</v>
      </c>
      <c r="AP94" s="1017">
        <f t="shared" si="193"/>
        <v>-3.2736059818538464E-2</v>
      </c>
      <c r="AQ94" s="1018">
        <f t="shared" si="193"/>
        <v>-3.2745966864743742E-3</v>
      </c>
      <c r="AR94" s="1017">
        <f t="shared" si="193"/>
        <v>9.6149891465782941E-2</v>
      </c>
      <c r="AS94" s="1017">
        <f t="shared" si="193"/>
        <v>4.7575010275380213E-2</v>
      </c>
      <c r="AT94" s="1017">
        <f t="shared" si="193"/>
        <v>-0.10778955535524788</v>
      </c>
      <c r="AU94" s="1017">
        <f t="shared" si="193"/>
        <v>-0.31485781936570678</v>
      </c>
      <c r="AV94" s="1018">
        <f t="shared" si="193"/>
        <v>-0.27977684479532566</v>
      </c>
      <c r="AW94" s="1017">
        <f t="shared" si="193"/>
        <v>1.6215018073521933E-2</v>
      </c>
      <c r="AX94" s="1017">
        <f t="shared" si="193"/>
        <v>-2.583211924240509E-3</v>
      </c>
      <c r="AY94" s="1017">
        <f t="shared" si="193"/>
        <v>-8.1916203042685931E-2</v>
      </c>
      <c r="AZ94" s="1017">
        <f t="shared" si="193"/>
        <v>-0.24127394469768249</v>
      </c>
      <c r="BA94" s="1018">
        <f t="shared" si="193"/>
        <v>-0.3448628693067875</v>
      </c>
      <c r="BB94" s="1017">
        <f t="shared" si="193"/>
        <v>-3.6946598270662004E-2</v>
      </c>
      <c r="BC94" s="1017">
        <f t="shared" si="193"/>
        <v>4.7204324560445612E-2</v>
      </c>
      <c r="BD94" s="1017">
        <f t="shared" si="193"/>
        <v>3.588875849458086E-3</v>
      </c>
      <c r="BE94" s="1017">
        <f t="shared" si="193"/>
        <v>-1.2324198927069349E-3</v>
      </c>
      <c r="BF94" s="1018">
        <f t="shared" si="193"/>
        <v>1.2643437778464939E-2</v>
      </c>
      <c r="BG94" s="1016">
        <f t="shared" ref="BG94:BP94" si="194">BG88/BG102</f>
        <v>0.12785115661396573</v>
      </c>
      <c r="BH94" s="1017">
        <f t="shared" si="194"/>
        <v>0.23949051963789345</v>
      </c>
      <c r="BI94" s="1017">
        <f t="shared" si="194"/>
        <v>0.26818081587651615</v>
      </c>
      <c r="BJ94" s="1810">
        <f t="shared" si="194"/>
        <v>0.15857738027652357</v>
      </c>
      <c r="BK94" s="1018">
        <f t="shared" si="194"/>
        <v>0.79449712764591085</v>
      </c>
      <c r="BL94" s="1017">
        <f t="shared" si="194"/>
        <v>0.29563934254970925</v>
      </c>
      <c r="BM94" s="1017">
        <f t="shared" si="194"/>
        <v>0.15732944028780721</v>
      </c>
      <c r="BN94" s="1017">
        <f t="shared" si="194"/>
        <v>0.14479783337094876</v>
      </c>
      <c r="BO94" s="1810">
        <f t="shared" si="194"/>
        <v>0.38308363032421011</v>
      </c>
      <c r="BP94" s="1018">
        <f t="shared" si="194"/>
        <v>0.98128056151804388</v>
      </c>
      <c r="BQ94" s="1017">
        <f t="shared" ref="BQ94:BZ94" si="195">BQ88/BQ102</f>
        <v>0.3231178064226673</v>
      </c>
      <c r="BR94" s="1017">
        <f t="shared" si="195"/>
        <v>0.26098358393071269</v>
      </c>
      <c r="BS94" s="1017">
        <f t="shared" si="195"/>
        <v>0.22079462515476056</v>
      </c>
      <c r="BT94" s="1810">
        <f t="shared" si="195"/>
        <v>0.22220389740028648</v>
      </c>
      <c r="BU94" s="3331">
        <f t="shared" si="195"/>
        <v>1.0274338368671503</v>
      </c>
      <c r="BV94" s="1017">
        <f t="shared" si="195"/>
        <v>0.35450927754836531</v>
      </c>
      <c r="BW94" s="1017">
        <f t="shared" si="195"/>
        <v>0.33529213019658782</v>
      </c>
      <c r="BX94" s="1017">
        <f t="shared" si="195"/>
        <v>0.4659502280256767</v>
      </c>
      <c r="BY94" s="1810">
        <f t="shared" si="195"/>
        <v>0.52095302932467069</v>
      </c>
      <c r="BZ94" s="1018">
        <f t="shared" si="195"/>
        <v>1.6752597166470371</v>
      </c>
      <c r="CA94" s="1018">
        <f t="shared" si="193"/>
        <v>1.9802101919296973</v>
      </c>
      <c r="CB94" s="1018">
        <f t="shared" si="193"/>
        <v>2.0099045605795016</v>
      </c>
      <c r="CC94" s="1018">
        <f>CC88/CC102</f>
        <v>-2.0045527092305804</v>
      </c>
      <c r="CD94" s="1018">
        <f>CD88/CD102</f>
        <v>-2.2928696667098429</v>
      </c>
      <c r="CE94" s="1018">
        <f>CE88/CE102</f>
        <v>-2.1637228095172869</v>
      </c>
      <c r="CF94" s="1018">
        <f>CF88/CF102</f>
        <v>-2.0309006644072416</v>
      </c>
      <c r="CG94" s="1018">
        <f>CG88/CG102</f>
        <v>-1.8943174057269261</v>
      </c>
      <c r="CH94" s="1745"/>
      <c r="CI94" s="1745"/>
      <c r="CJ94" s="1745"/>
      <c r="CK94" s="1745"/>
      <c r="CL94" s="1745"/>
      <c r="CM94" s="4001"/>
      <c r="CN94" s="4001">
        <f t="shared" ref="CN94:CN95" si="196">SUM(BV94:BY94)</f>
        <v>1.6767046650953006</v>
      </c>
      <c r="CO94" s="965">
        <f t="shared" ref="CO94:CO95" si="197">CM94-CN94</f>
        <v>-1.6767046650953006</v>
      </c>
      <c r="CP94" s="1747" t="str">
        <f t="shared" si="20"/>
        <v>Recurring Earnings per Share - Basic</v>
      </c>
      <c r="CQ94" s="1019">
        <f t="shared" si="21"/>
        <v>1.5944812996239031</v>
      </c>
      <c r="CR94" s="1019">
        <f t="shared" si="22"/>
        <v>2.5757002377899649</v>
      </c>
      <c r="CS94" s="1019">
        <f t="shared" si="23"/>
        <v>2.1729462177030445</v>
      </c>
      <c r="CT94" s="1019">
        <f t="shared" si="24"/>
        <v>1.840140696286737</v>
      </c>
      <c r="CU94" s="1019">
        <f t="shared" si="25"/>
        <v>0.92461981065230237</v>
      </c>
      <c r="CV94" s="1019">
        <f t="shared" si="26"/>
        <v>0.36248870170891706</v>
      </c>
      <c r="CW94" s="1019">
        <f t="shared" si="27"/>
        <v>0.15324303414510268</v>
      </c>
      <c r="CX94" s="1019">
        <f t="shared" si="28"/>
        <v>-3.2745966864743742E-3</v>
      </c>
      <c r="CY94" s="1019">
        <f t="shared" si="29"/>
        <v>-0.27977684479532566</v>
      </c>
      <c r="CZ94" s="1019">
        <f t="shared" si="30"/>
        <v>-0.3448628693067875</v>
      </c>
      <c r="DA94" s="1019">
        <f t="shared" si="31"/>
        <v>1.2643437778464939E-2</v>
      </c>
      <c r="DB94" s="1019">
        <f t="shared" si="32"/>
        <v>0.79449712764591085</v>
      </c>
      <c r="DC94" s="1019">
        <f t="shared" si="33"/>
        <v>0.98128056151804388</v>
      </c>
      <c r="DD94" s="1019">
        <f t="shared" si="34"/>
        <v>1.0274338368671503</v>
      </c>
      <c r="DE94" s="1019">
        <f t="shared" si="35"/>
        <v>1.6752597166470371</v>
      </c>
      <c r="DF94" s="1019">
        <f t="shared" si="36"/>
        <v>1.9802101919296973</v>
      </c>
      <c r="DG94" s="1811">
        <f t="shared" si="37"/>
        <v>2.0099045605795016</v>
      </c>
      <c r="DH94" s="1745"/>
      <c r="DI94" s="1745"/>
      <c r="DJ94" s="1745"/>
      <c r="DK94" s="1745"/>
      <c r="DL94" s="1745"/>
      <c r="DM94" s="1745"/>
      <c r="DN94" s="1745"/>
      <c r="DO94" s="1746"/>
      <c r="DY94" s="1745"/>
      <c r="DZ94" s="1745"/>
    </row>
    <row r="95" spans="1:130" ht="12.6" customHeight="1">
      <c r="A95" s="2507" t="s">
        <v>1560</v>
      </c>
      <c r="B95" s="2508"/>
      <c r="C95" s="2508"/>
      <c r="D95" s="2509">
        <f t="shared" ref="D95:AI95" si="198">D88/D103</f>
        <v>0.28787446932989297</v>
      </c>
      <c r="E95" s="2508">
        <f t="shared" si="198"/>
        <v>0.26657999298819685</v>
      </c>
      <c r="F95" s="2508">
        <f t="shared" si="198"/>
        <v>0.37683191604848926</v>
      </c>
      <c r="G95" s="2508">
        <f t="shared" si="198"/>
        <v>0.57563185396156147</v>
      </c>
      <c r="H95" s="2510">
        <f t="shared" si="198"/>
        <v>1.5606697769540485</v>
      </c>
      <c r="I95" s="2508">
        <f t="shared" si="198"/>
        <v>0.63929687239412469</v>
      </c>
      <c r="J95" s="2508">
        <f t="shared" si="198"/>
        <v>0.55601095914624687</v>
      </c>
      <c r="K95" s="2508">
        <f t="shared" si="198"/>
        <v>0.56778360474744705</v>
      </c>
      <c r="L95" s="2508">
        <f t="shared" si="198"/>
        <v>0.75575707611981358</v>
      </c>
      <c r="M95" s="2510">
        <f t="shared" si="198"/>
        <v>2.5193848771715617</v>
      </c>
      <c r="N95" s="2508">
        <f t="shared" si="198"/>
        <v>0.78029961145171745</v>
      </c>
      <c r="O95" s="2508">
        <f t="shared" si="198"/>
        <v>0.46602197512705412</v>
      </c>
      <c r="P95" s="2508">
        <f t="shared" si="198"/>
        <v>0.43811437019648569</v>
      </c>
      <c r="Q95" s="2508">
        <f t="shared" si="198"/>
        <v>0.45418013751650632</v>
      </c>
      <c r="R95" s="2510">
        <f t="shared" si="198"/>
        <v>2.1435415242532883</v>
      </c>
      <c r="S95" s="2508">
        <f t="shared" si="198"/>
        <v>0.49791996382545789</v>
      </c>
      <c r="T95" s="2508">
        <f t="shared" si="198"/>
        <v>0.44969226954032027</v>
      </c>
      <c r="U95" s="2508">
        <f t="shared" si="198"/>
        <v>0.43178264049052156</v>
      </c>
      <c r="V95" s="2508">
        <f t="shared" si="198"/>
        <v>0.43849421547360801</v>
      </c>
      <c r="W95" s="2510">
        <f t="shared" si="198"/>
        <v>1.8177572333890812</v>
      </c>
      <c r="X95" s="2508">
        <f t="shared" si="198"/>
        <v>0.33736860686262238</v>
      </c>
      <c r="Y95" s="2508">
        <f t="shared" si="198"/>
        <v>0.29973785449222085</v>
      </c>
      <c r="Z95" s="2508">
        <f t="shared" si="198"/>
        <v>0.15878325352865583</v>
      </c>
      <c r="AA95" s="2508">
        <f t="shared" si="198"/>
        <v>0.1278359618579461</v>
      </c>
      <c r="AB95" s="2510">
        <f t="shared" si="198"/>
        <v>0.92461981065230237</v>
      </c>
      <c r="AC95" s="2508">
        <f t="shared" si="198"/>
        <v>0.14961866307761321</v>
      </c>
      <c r="AD95" s="2508">
        <f t="shared" si="198"/>
        <v>0.12085849045671054</v>
      </c>
      <c r="AE95" s="2508">
        <f t="shared" si="198"/>
        <v>9.2160673793326861E-2</v>
      </c>
      <c r="AF95" s="2508">
        <f t="shared" si="198"/>
        <v>-8.3411377439858415E-4</v>
      </c>
      <c r="AG95" s="2510">
        <f t="shared" si="198"/>
        <v>0.36211999953766305</v>
      </c>
      <c r="AH95" s="2508">
        <f t="shared" si="198"/>
        <v>0.10229674022239935</v>
      </c>
      <c r="AI95" s="2508">
        <f t="shared" si="198"/>
        <v>4.86531250718873E-2</v>
      </c>
      <c r="AJ95" s="2508">
        <f t="shared" ref="AJ95:CB95" si="199">AJ88/AJ103</f>
        <v>1.6265977573716221E-2</v>
      </c>
      <c r="AK95" s="2508">
        <f t="shared" si="199"/>
        <v>-1.4134926390183954E-2</v>
      </c>
      <c r="AL95" s="2510">
        <f t="shared" si="199"/>
        <v>0.15283712038327366</v>
      </c>
      <c r="AM95" s="2508">
        <f t="shared" si="199"/>
        <v>-1.3905939855663052E-2</v>
      </c>
      <c r="AN95" s="2508">
        <f t="shared" si="199"/>
        <v>-1.3875510297692425E-2</v>
      </c>
      <c r="AO95" s="2508">
        <f t="shared" si="199"/>
        <v>5.7278799524201958E-2</v>
      </c>
      <c r="AP95" s="2508">
        <f t="shared" si="199"/>
        <v>-3.2736059818538464E-2</v>
      </c>
      <c r="AQ95" s="2510">
        <f t="shared" si="199"/>
        <v>-3.2745966864743742E-3</v>
      </c>
      <c r="AR95" s="2508">
        <f t="shared" si="199"/>
        <v>9.5650493822950905E-2</v>
      </c>
      <c r="AS95" s="2508">
        <f t="shared" si="199"/>
        <v>4.7575010275380213E-2</v>
      </c>
      <c r="AT95" s="2508">
        <f t="shared" si="199"/>
        <v>-0.10778955535524788</v>
      </c>
      <c r="AU95" s="2508">
        <f t="shared" si="199"/>
        <v>-0.31485781936570678</v>
      </c>
      <c r="AV95" s="2510">
        <f t="shared" si="199"/>
        <v>-0.27977684479532566</v>
      </c>
      <c r="AW95" s="2508">
        <f t="shared" si="199"/>
        <v>1.6215018073521933E-2</v>
      </c>
      <c r="AX95" s="2508">
        <f t="shared" si="199"/>
        <v>-2.553592200742044E-3</v>
      </c>
      <c r="AY95" s="2508">
        <f t="shared" si="199"/>
        <v>-8.1916203042685931E-2</v>
      </c>
      <c r="AZ95" s="2508">
        <f t="shared" si="199"/>
        <v>-0.24127394469768249</v>
      </c>
      <c r="BA95" s="2510">
        <f t="shared" si="199"/>
        <v>-0.3448628693067875</v>
      </c>
      <c r="BB95" s="2508">
        <f t="shared" si="199"/>
        <v>-3.6946598270662004E-2</v>
      </c>
      <c r="BC95" s="2508">
        <f t="shared" si="199"/>
        <v>4.6808587440101843E-2</v>
      </c>
      <c r="BD95" s="2508">
        <f t="shared" si="199"/>
        <v>3.588875849458086E-3</v>
      </c>
      <c r="BE95" s="2508">
        <f t="shared" si="199"/>
        <v>-1.2324198927069349E-3</v>
      </c>
      <c r="BF95" s="2510">
        <f t="shared" si="199"/>
        <v>1.261679381001329E-2</v>
      </c>
      <c r="BG95" s="2509">
        <f t="shared" ref="BG95:BP95" si="200">BG88/BG103</f>
        <v>0.12681340002492056</v>
      </c>
      <c r="BH95" s="2508">
        <f t="shared" si="200"/>
        <v>0.23949051963789345</v>
      </c>
      <c r="BI95" s="2508">
        <f t="shared" si="200"/>
        <v>0.26818081587651615</v>
      </c>
      <c r="BJ95" s="2511">
        <f t="shared" si="200"/>
        <v>0.15857738027652357</v>
      </c>
      <c r="BK95" s="2510">
        <f t="shared" si="200"/>
        <v>0.79289569418598072</v>
      </c>
      <c r="BL95" s="2508">
        <f t="shared" si="200"/>
        <v>0.29563934254970925</v>
      </c>
      <c r="BM95" s="2508">
        <f t="shared" si="200"/>
        <v>0.15732944028780721</v>
      </c>
      <c r="BN95" s="2508">
        <f t="shared" si="200"/>
        <v>0.14479783337094876</v>
      </c>
      <c r="BO95" s="2511">
        <f t="shared" si="200"/>
        <v>0.38308363032421011</v>
      </c>
      <c r="BP95" s="2510">
        <f t="shared" si="200"/>
        <v>0.98128056151804388</v>
      </c>
      <c r="BQ95" s="2508">
        <f t="shared" ref="BQ95:BZ95" si="201">BQ88/BQ103</f>
        <v>0.3231178064226673</v>
      </c>
      <c r="BR95" s="2508">
        <f t="shared" si="201"/>
        <v>0.26098358393071269</v>
      </c>
      <c r="BS95" s="2508">
        <f t="shared" si="201"/>
        <v>0.22079462515476056</v>
      </c>
      <c r="BT95" s="2511">
        <f t="shared" si="201"/>
        <v>0.22220389740028648</v>
      </c>
      <c r="BU95" s="3332">
        <f t="shared" si="201"/>
        <v>1.0274338368671503</v>
      </c>
      <c r="BV95" s="2508">
        <f t="shared" si="201"/>
        <v>0.35450927754836531</v>
      </c>
      <c r="BW95" s="2508">
        <f t="shared" si="201"/>
        <v>0.33529213019658782</v>
      </c>
      <c r="BX95" s="2508">
        <f t="shared" si="201"/>
        <v>0.4659502280256767</v>
      </c>
      <c r="BY95" s="2511">
        <f t="shared" si="201"/>
        <v>0.52095302932467069</v>
      </c>
      <c r="BZ95" s="2510">
        <f t="shared" si="201"/>
        <v>1.6752597166470371</v>
      </c>
      <c r="CA95" s="2510">
        <f t="shared" si="199"/>
        <v>1.9802101919296973</v>
      </c>
      <c r="CB95" s="2510">
        <f t="shared" si="199"/>
        <v>2.0099045605795016</v>
      </c>
      <c r="CC95" s="2510">
        <f>CC88/CC103</f>
        <v>-2.0045527092305804</v>
      </c>
      <c r="CD95" s="2510">
        <f>CD88/CD103</f>
        <v>-2.2928696667098429</v>
      </c>
      <c r="CE95" s="2510">
        <f>CE88/CE103</f>
        <v>-2.1637228095172869</v>
      </c>
      <c r="CF95" s="2510">
        <f>CF88/CF103</f>
        <v>-2.0309006644072416</v>
      </c>
      <c r="CG95" s="2510">
        <f>CG88/CG103</f>
        <v>-1.8943174057269261</v>
      </c>
      <c r="CH95" s="1745"/>
      <c r="CI95" s="1745"/>
      <c r="CJ95" s="1745"/>
      <c r="CK95" s="1745"/>
      <c r="CL95" s="1745"/>
      <c r="CM95" s="4001"/>
      <c r="CN95" s="4001">
        <f t="shared" si="196"/>
        <v>1.6767046650953006</v>
      </c>
      <c r="CO95" s="965">
        <f t="shared" si="197"/>
        <v>-1.6767046650953006</v>
      </c>
      <c r="CP95" s="1747" t="str">
        <f t="shared" si="20"/>
        <v>Recurring Earnings per Share - Diluted</v>
      </c>
      <c r="CQ95" s="1019">
        <f t="shared" si="21"/>
        <v>1.5606697769540485</v>
      </c>
      <c r="CR95" s="1019">
        <f t="shared" si="22"/>
        <v>2.5193848771715617</v>
      </c>
      <c r="CS95" s="1019">
        <f t="shared" si="23"/>
        <v>2.1435415242532883</v>
      </c>
      <c r="CT95" s="1019">
        <f t="shared" si="24"/>
        <v>1.8177572333890812</v>
      </c>
      <c r="CU95" s="1019">
        <f t="shared" si="25"/>
        <v>0.92461981065230237</v>
      </c>
      <c r="CV95" s="1019">
        <f t="shared" si="26"/>
        <v>0.36211999953766305</v>
      </c>
      <c r="CW95" s="1019">
        <f t="shared" si="27"/>
        <v>0.15283712038327366</v>
      </c>
      <c r="CX95" s="1019">
        <f t="shared" si="28"/>
        <v>-3.2745966864743742E-3</v>
      </c>
      <c r="CY95" s="1019">
        <f t="shared" si="29"/>
        <v>-0.27977684479532566</v>
      </c>
      <c r="CZ95" s="1019">
        <f t="shared" si="30"/>
        <v>-0.3448628693067875</v>
      </c>
      <c r="DA95" s="1019">
        <f t="shared" si="31"/>
        <v>1.261679381001329E-2</v>
      </c>
      <c r="DB95" s="1019">
        <f t="shared" si="32"/>
        <v>0.79289569418598072</v>
      </c>
      <c r="DC95" s="1019">
        <f t="shared" si="33"/>
        <v>0.98128056151804388</v>
      </c>
      <c r="DD95" s="1019">
        <f t="shared" si="34"/>
        <v>1.0274338368671503</v>
      </c>
      <c r="DE95" s="1019">
        <f t="shared" si="35"/>
        <v>1.6752597166470371</v>
      </c>
      <c r="DF95" s="1019">
        <f t="shared" si="36"/>
        <v>1.9802101919296973</v>
      </c>
      <c r="DG95" s="1811">
        <f t="shared" si="37"/>
        <v>2.0099045605795016</v>
      </c>
      <c r="DH95" s="1745"/>
      <c r="DI95" s="1745"/>
      <c r="DJ95" s="1745"/>
      <c r="DK95" s="1745"/>
      <c r="DL95" s="1745"/>
      <c r="DM95" s="1745"/>
      <c r="DN95" s="1745"/>
      <c r="DO95" s="1746"/>
      <c r="DY95" s="1745"/>
      <c r="DZ95" s="1745"/>
    </row>
    <row r="96" spans="1:130" ht="12.6" hidden="1" customHeight="1" outlineLevel="1">
      <c r="A96" s="403" t="s">
        <v>1249</v>
      </c>
      <c r="B96" s="404"/>
      <c r="C96" s="404"/>
      <c r="D96" s="407"/>
      <c r="E96" s="405"/>
      <c r="F96" s="405"/>
      <c r="G96" s="405"/>
      <c r="H96" s="406"/>
      <c r="I96" s="405">
        <f t="shared" ref="I96:AP96" si="202">+I94/D94-1</f>
        <v>1.2296315729822429</v>
      </c>
      <c r="J96" s="405">
        <f t="shared" si="202"/>
        <v>1.083050300957439</v>
      </c>
      <c r="K96" s="405">
        <f t="shared" si="202"/>
        <v>0.50906412191736861</v>
      </c>
      <c r="L96" s="405">
        <f t="shared" si="202"/>
        <v>0.31008091455989772</v>
      </c>
      <c r="M96" s="406">
        <f t="shared" si="202"/>
        <v>0.61538441272249855</v>
      </c>
      <c r="N96" s="405">
        <f t="shared" si="202"/>
        <v>0.21080663547318812</v>
      </c>
      <c r="O96" s="405">
        <f t="shared" si="202"/>
        <v>-0.16837344794596187</v>
      </c>
      <c r="P96" s="405">
        <f t="shared" si="202"/>
        <v>-0.23656940162833739</v>
      </c>
      <c r="Q96" s="405">
        <f t="shared" si="202"/>
        <v>-0.40360430240833045</v>
      </c>
      <c r="R96" s="406">
        <f t="shared" si="202"/>
        <v>-0.15636680626799049</v>
      </c>
      <c r="S96" s="405">
        <f t="shared" si="202"/>
        <v>-0.36394460375914284</v>
      </c>
      <c r="T96" s="405">
        <f t="shared" si="202"/>
        <v>-3.7384237410308163E-2</v>
      </c>
      <c r="U96" s="405">
        <f t="shared" si="202"/>
        <v>-1.0965744914403164E-2</v>
      </c>
      <c r="V96" s="405">
        <f t="shared" si="202"/>
        <v>-3.7667569393891043E-2</v>
      </c>
      <c r="W96" s="406">
        <f t="shared" si="202"/>
        <v>-0.15315865561003439</v>
      </c>
      <c r="X96" s="408" t="s">
        <v>1109</v>
      </c>
      <c r="Y96" s="408" t="s">
        <v>1109</v>
      </c>
      <c r="Z96" s="408" t="s">
        <v>1109</v>
      </c>
      <c r="AA96" s="408" t="s">
        <v>1109</v>
      </c>
      <c r="AB96" s="409" t="s">
        <v>1109</v>
      </c>
      <c r="AC96" s="408" t="s">
        <v>1109</v>
      </c>
      <c r="AD96" s="408" t="s">
        <v>1109</v>
      </c>
      <c r="AE96" s="408" t="s">
        <v>1109</v>
      </c>
      <c r="AF96" s="408" t="s">
        <v>1109</v>
      </c>
      <c r="AG96" s="409" t="s">
        <v>1109</v>
      </c>
      <c r="AH96" s="405">
        <f t="shared" si="202"/>
        <v>-0.31493083725405535</v>
      </c>
      <c r="AI96" s="405">
        <f t="shared" si="202"/>
        <v>-0.59560515367317113</v>
      </c>
      <c r="AJ96" s="405">
        <f t="shared" si="202"/>
        <v>-0.82364783762883198</v>
      </c>
      <c r="AK96" s="408" t="s">
        <v>1109</v>
      </c>
      <c r="AL96" s="406">
        <f t="shared" si="202"/>
        <v>-0.57724741923636902</v>
      </c>
      <c r="AM96" s="405">
        <f t="shared" si="202"/>
        <v>-1.1356688544672036</v>
      </c>
      <c r="AN96" s="405">
        <f t="shared" si="202"/>
        <v>-1.2837787875564213</v>
      </c>
      <c r="AO96" s="405">
        <f t="shared" si="202"/>
        <v>2.5243377439304457</v>
      </c>
      <c r="AP96" s="405">
        <f t="shared" si="202"/>
        <v>1.3159696000449022</v>
      </c>
      <c r="AQ96" s="406">
        <f t="shared" ref="AQ96:BF96" si="203">+AQ94/AL94-1</f>
        <v>-1.0213686495098611</v>
      </c>
      <c r="AR96" s="405">
        <f t="shared" si="203"/>
        <v>-7.9143037050190381</v>
      </c>
      <c r="AS96" s="405">
        <f t="shared" si="203"/>
        <v>-4.4287034678135191</v>
      </c>
      <c r="AT96" s="405">
        <f t="shared" si="203"/>
        <v>-2.878052204887672</v>
      </c>
      <c r="AU96" s="405">
        <f t="shared" si="203"/>
        <v>8.6180731924066958</v>
      </c>
      <c r="AV96" s="406">
        <f t="shared" si="203"/>
        <v>84.438565900630067</v>
      </c>
      <c r="AW96" s="405">
        <f t="shared" si="203"/>
        <v>-0.83135687595349594</v>
      </c>
      <c r="AX96" s="405">
        <f t="shared" si="203"/>
        <v>-1.0542976640317681</v>
      </c>
      <c r="AY96" s="405">
        <f t="shared" si="203"/>
        <v>-0.24003580149569914</v>
      </c>
      <c r="AZ96" s="405">
        <f t="shared" si="203"/>
        <v>-0.23370508890731012</v>
      </c>
      <c r="BA96" s="406">
        <f t="shared" si="203"/>
        <v>0.23263549404553596</v>
      </c>
      <c r="BB96" s="405">
        <f t="shared" si="203"/>
        <v>-3.2785419111553993</v>
      </c>
      <c r="BC96" s="405">
        <f t="shared" si="203"/>
        <v>-19.273500566285971</v>
      </c>
      <c r="BD96" s="405">
        <f t="shared" si="203"/>
        <v>-1.0438115502935108</v>
      </c>
      <c r="BE96" s="405">
        <f t="shared" si="203"/>
        <v>-0.99489203074019794</v>
      </c>
      <c r="BF96" s="406">
        <f t="shared" si="203"/>
        <v>-1.0366622182430938</v>
      </c>
      <c r="BG96" s="407">
        <f t="shared" ref="BG96:BP96" si="204">+BG94/BB94-1</f>
        <v>-4.4604310707404924</v>
      </c>
      <c r="BH96" s="405">
        <f t="shared" si="204"/>
        <v>4.0734868440120025</v>
      </c>
      <c r="BI96" s="405">
        <f t="shared" si="204"/>
        <v>73.725576232181723</v>
      </c>
      <c r="BJ96" s="1813">
        <f t="shared" si="204"/>
        <v>-129.67155197261386</v>
      </c>
      <c r="BK96" s="406">
        <f t="shared" si="204"/>
        <v>61.838694789098106</v>
      </c>
      <c r="BL96" s="405">
        <f t="shared" si="204"/>
        <v>1.3123712790676096</v>
      </c>
      <c r="BM96" s="405">
        <f t="shared" si="204"/>
        <v>-0.34306610330259724</v>
      </c>
      <c r="BN96" s="405">
        <f t="shared" si="204"/>
        <v>-0.46007385764080566</v>
      </c>
      <c r="BO96" s="1813">
        <f t="shared" si="204"/>
        <v>1.4157520426696273</v>
      </c>
      <c r="BP96" s="406">
        <f t="shared" si="204"/>
        <v>0.23509642435784639</v>
      </c>
      <c r="BQ96" s="405">
        <f t="shared" ref="BQ96:BZ96" si="205">+BQ94/BL94-1</f>
        <v>9.2945896970183517E-2</v>
      </c>
      <c r="BR96" s="405">
        <f t="shared" si="205"/>
        <v>0.65883501176440995</v>
      </c>
      <c r="BS96" s="405">
        <f>+BS94/BN94-1</f>
        <v>0.52484757550978167</v>
      </c>
      <c r="BT96" s="1813">
        <f t="shared" si="205"/>
        <v>-0.41995982127393017</v>
      </c>
      <c r="BU96" s="3333">
        <f t="shared" si="205"/>
        <v>4.703372018060481E-2</v>
      </c>
      <c r="BV96" s="405">
        <f t="shared" si="205"/>
        <v>9.7151783348748966E-2</v>
      </c>
      <c r="BW96" s="405">
        <f t="shared" si="205"/>
        <v>0.28472498211076358</v>
      </c>
      <c r="BX96" s="405">
        <f>+BX94/BS94-1</f>
        <v>1.1103332008153748</v>
      </c>
      <c r="BY96" s="1813">
        <f t="shared" si="205"/>
        <v>1.3444819619261956</v>
      </c>
      <c r="BZ96" s="406">
        <f t="shared" si="205"/>
        <v>0.63052807541869216</v>
      </c>
      <c r="CA96" s="406">
        <f t="shared" ref="CA96:CG96" si="206">+CA94/BZ94-1</f>
        <v>0.18203176036071933</v>
      </c>
      <c r="CB96" s="406">
        <f t="shared" si="206"/>
        <v>1.4995563991551553E-2</v>
      </c>
      <c r="CC96" s="406">
        <f t="shared" si="206"/>
        <v>-1.9973372609556255</v>
      </c>
      <c r="CD96" s="406">
        <f t="shared" si="206"/>
        <v>0.14383106822365832</v>
      </c>
      <c r="CE96" s="406">
        <f t="shared" si="206"/>
        <v>-5.6325424452875916E-2</v>
      </c>
      <c r="CF96" s="406">
        <f t="shared" si="206"/>
        <v>-6.1385933783115743E-2</v>
      </c>
      <c r="CG96" s="406">
        <f t="shared" si="206"/>
        <v>-6.7252555023502358E-2</v>
      </c>
      <c r="CH96" s="343"/>
      <c r="CI96" s="343"/>
      <c r="CJ96" s="343"/>
      <c r="CK96" s="343"/>
      <c r="CL96" s="343"/>
      <c r="CM96" s="343"/>
      <c r="CN96" s="343"/>
      <c r="CO96" s="343"/>
      <c r="CP96" s="403" t="str">
        <f t="shared" si="20"/>
        <v>% Growth (y-o-y)</v>
      </c>
      <c r="CQ96" s="405"/>
      <c r="CR96" s="405">
        <f t="shared" si="22"/>
        <v>0.61538441272249855</v>
      </c>
      <c r="CS96" s="405">
        <f t="shared" si="23"/>
        <v>-0.15636680626799049</v>
      </c>
      <c r="CT96" s="405">
        <f t="shared" si="24"/>
        <v>-0.15315865561003439</v>
      </c>
      <c r="CU96" s="405" t="str">
        <f t="shared" si="25"/>
        <v xml:space="preserve">n/a </v>
      </c>
      <c r="CV96" s="405" t="str">
        <f t="shared" si="26"/>
        <v xml:space="preserve">n/a </v>
      </c>
      <c r="CW96" s="405">
        <f t="shared" si="27"/>
        <v>-0.57724741923636902</v>
      </c>
      <c r="CX96" s="405">
        <f t="shared" si="28"/>
        <v>-1.0213686495098611</v>
      </c>
      <c r="CY96" s="405">
        <f t="shared" si="29"/>
        <v>84.438565900630067</v>
      </c>
      <c r="CZ96" s="405">
        <f t="shared" si="30"/>
        <v>0.23263549404553596</v>
      </c>
      <c r="DA96" s="405">
        <f t="shared" si="31"/>
        <v>-1.0366622182430938</v>
      </c>
      <c r="DB96" s="405">
        <f t="shared" si="32"/>
        <v>61.838694789098106</v>
      </c>
      <c r="DC96" s="405">
        <f t="shared" si="33"/>
        <v>0.23509642435784639</v>
      </c>
      <c r="DD96" s="405">
        <f t="shared" si="34"/>
        <v>4.703372018060481E-2</v>
      </c>
      <c r="DE96" s="405">
        <f t="shared" si="35"/>
        <v>0.63052807541869216</v>
      </c>
      <c r="DF96" s="405">
        <f t="shared" si="36"/>
        <v>0.18203176036071933</v>
      </c>
      <c r="DG96" s="1813">
        <f t="shared" si="37"/>
        <v>1.4995563991551553E-2</v>
      </c>
      <c r="DH96" s="343"/>
      <c r="DI96" s="343"/>
      <c r="DJ96" s="343"/>
      <c r="DK96" s="343"/>
      <c r="DL96" s="343"/>
      <c r="DM96" s="343"/>
      <c r="DN96" s="343"/>
      <c r="DO96" s="266"/>
      <c r="DY96" s="343"/>
      <c r="DZ96" s="343"/>
    </row>
    <row r="97" spans="1:130" ht="12" customHeight="1" collapsed="1">
      <c r="A97" s="1814" t="s">
        <v>1233</v>
      </c>
      <c r="B97" s="1708"/>
      <c r="C97" s="1708"/>
      <c r="D97" s="1709" t="s">
        <v>812</v>
      </c>
      <c r="E97" s="1710" t="s">
        <v>812</v>
      </c>
      <c r="F97" s="1710" t="s">
        <v>812</v>
      </c>
      <c r="G97" s="1711" t="s">
        <v>812</v>
      </c>
      <c r="H97" s="1712" t="s">
        <v>812</v>
      </c>
      <c r="I97" s="1710">
        <v>0.5</v>
      </c>
      <c r="J97" s="1707" t="s">
        <v>1309</v>
      </c>
      <c r="K97" s="1707" t="s">
        <v>1310</v>
      </c>
      <c r="L97" s="1707" t="s">
        <v>1307</v>
      </c>
      <c r="M97" s="1712" t="s">
        <v>812</v>
      </c>
      <c r="N97" s="1707" t="s">
        <v>1308</v>
      </c>
      <c r="O97" s="1707" t="s">
        <v>1307</v>
      </c>
      <c r="P97" s="1707" t="s">
        <v>1305</v>
      </c>
      <c r="Q97" s="1707" t="s">
        <v>1306</v>
      </c>
      <c r="R97" s="1712" t="s">
        <v>812</v>
      </c>
      <c r="S97" s="1707" t="s">
        <v>1305</v>
      </c>
      <c r="T97" s="1707" t="s">
        <v>1304</v>
      </c>
      <c r="U97" s="1707" t="s">
        <v>1260</v>
      </c>
      <c r="V97" s="1707" t="s">
        <v>1259</v>
      </c>
      <c r="W97" s="1712" t="s">
        <v>812</v>
      </c>
      <c r="X97" s="1707" t="s">
        <v>1258</v>
      </c>
      <c r="Y97" s="1707" t="s">
        <v>1257</v>
      </c>
      <c r="Z97" s="1707" t="s">
        <v>1256</v>
      </c>
      <c r="AA97" s="1707" t="s">
        <v>812</v>
      </c>
      <c r="AB97" s="1712" t="s">
        <v>812</v>
      </c>
      <c r="AC97" s="1707" t="s">
        <v>812</v>
      </c>
      <c r="AD97" s="1707" t="s">
        <v>812</v>
      </c>
      <c r="AE97" s="1707" t="s">
        <v>812</v>
      </c>
      <c r="AF97" s="1707" t="s">
        <v>812</v>
      </c>
      <c r="AG97" s="1712" t="s">
        <v>812</v>
      </c>
      <c r="AH97" s="1707" t="s">
        <v>812</v>
      </c>
      <c r="AI97" s="1707" t="s">
        <v>812</v>
      </c>
      <c r="AJ97" s="1707" t="s">
        <v>812</v>
      </c>
      <c r="AK97" s="1707" t="s">
        <v>812</v>
      </c>
      <c r="AL97" s="1712" t="s">
        <v>812</v>
      </c>
      <c r="AM97" s="1707" t="s">
        <v>812</v>
      </c>
      <c r="AN97" s="1707" t="s">
        <v>812</v>
      </c>
      <c r="AO97" s="1707" t="s">
        <v>1255</v>
      </c>
      <c r="AP97" s="1707" t="s">
        <v>1252</v>
      </c>
      <c r="AQ97" s="1712" t="s">
        <v>812</v>
      </c>
      <c r="AR97" s="1707" t="s">
        <v>1253</v>
      </c>
      <c r="AS97" s="1707" t="s">
        <v>1254</v>
      </c>
      <c r="AT97" s="1707" t="s">
        <v>682</v>
      </c>
      <c r="AU97" s="1707" t="s">
        <v>812</v>
      </c>
      <c r="AV97" s="1712" t="s">
        <v>812</v>
      </c>
      <c r="AW97" s="1707" t="s">
        <v>77</v>
      </c>
      <c r="AX97" s="1707" t="s">
        <v>2</v>
      </c>
      <c r="AY97" s="1707" t="s">
        <v>2</v>
      </c>
      <c r="AZ97" s="1707" t="s">
        <v>1218</v>
      </c>
      <c r="BA97" s="1714"/>
      <c r="BB97" s="3094"/>
      <c r="BC97" s="3094"/>
      <c r="BD97" s="3094"/>
      <c r="BE97" s="3094"/>
      <c r="BF97" s="3095"/>
      <c r="BG97" s="3096"/>
      <c r="BH97" s="3094"/>
      <c r="BI97" s="3094"/>
      <c r="BJ97" s="3097"/>
      <c r="BK97" s="3095"/>
      <c r="BL97" s="3094"/>
      <c r="BM97" s="3094"/>
      <c r="BN97" s="3094"/>
      <c r="BO97" s="3097"/>
      <c r="BP97" s="3095"/>
      <c r="BQ97" s="3094"/>
      <c r="BR97" s="3094"/>
      <c r="BS97" s="3094"/>
      <c r="BT97" s="3097"/>
      <c r="BU97" s="3334"/>
      <c r="BV97" s="3094"/>
      <c r="BW97" s="3094"/>
      <c r="BX97" s="3094"/>
      <c r="BY97" s="3097"/>
      <c r="BZ97" s="3095"/>
      <c r="CA97" s="3095"/>
      <c r="CB97" s="3095"/>
      <c r="CC97" s="3095"/>
      <c r="CD97" s="3095"/>
      <c r="CE97" s="3095"/>
      <c r="CF97" s="3095"/>
      <c r="CG97" s="3095"/>
      <c r="CH97" s="1713"/>
      <c r="CI97" s="1713"/>
      <c r="CJ97" s="1713"/>
      <c r="CK97" s="1713"/>
      <c r="CL97" s="1713"/>
      <c r="CM97" s="1713"/>
      <c r="CN97" s="1713"/>
      <c r="CO97" s="1713"/>
      <c r="CP97" s="1814"/>
      <c r="CQ97" s="1718"/>
      <c r="CR97" s="1718"/>
      <c r="CS97" s="1718"/>
      <c r="CT97" s="1718"/>
      <c r="CU97" s="1718"/>
      <c r="CV97" s="1718"/>
      <c r="CW97" s="1718"/>
      <c r="CX97" s="1718"/>
      <c r="CY97" s="1718"/>
      <c r="CZ97" s="1718"/>
      <c r="DA97" s="1718"/>
      <c r="DB97" s="1718"/>
      <c r="DC97" s="1718"/>
      <c r="DD97" s="1718"/>
      <c r="DE97" s="1718"/>
      <c r="DF97" s="1718"/>
      <c r="DG97" s="1815"/>
      <c r="DH97" s="1713"/>
      <c r="DI97" s="1713"/>
      <c r="DJ97" s="1713"/>
      <c r="DK97" s="1713"/>
      <c r="DL97" s="1713"/>
      <c r="DM97" s="1713"/>
      <c r="DN97" s="1713"/>
      <c r="DO97" s="1715"/>
      <c r="DY97" s="3094"/>
      <c r="DZ97" s="3094"/>
    </row>
    <row r="98" spans="1:130" ht="12" hidden="1" customHeight="1" outlineLevel="1">
      <c r="A98" s="400"/>
      <c r="B98" s="371"/>
      <c r="C98" s="371"/>
      <c r="D98" s="367"/>
      <c r="E98" s="369"/>
      <c r="F98" s="369"/>
      <c r="G98" s="369"/>
      <c r="H98" s="370"/>
      <c r="I98" s="369"/>
      <c r="J98" s="369"/>
      <c r="K98" s="369"/>
      <c r="L98" s="369"/>
      <c r="M98" s="370"/>
      <c r="N98" s="369"/>
      <c r="O98" s="369"/>
      <c r="P98" s="369"/>
      <c r="Q98" s="369"/>
      <c r="R98" s="370"/>
      <c r="S98" s="369"/>
      <c r="T98" s="369"/>
      <c r="U98" s="369"/>
      <c r="V98" s="369"/>
      <c r="W98" s="370"/>
      <c r="X98" s="369"/>
      <c r="Y98" s="369"/>
      <c r="Z98" s="369"/>
      <c r="AA98" s="369"/>
      <c r="AB98" s="370"/>
      <c r="AC98" s="369"/>
      <c r="AD98" s="369"/>
      <c r="AE98" s="369"/>
      <c r="AF98" s="369"/>
      <c r="AG98" s="370"/>
      <c r="AH98" s="369"/>
      <c r="AI98" s="369"/>
      <c r="AJ98" s="369"/>
      <c r="AK98" s="369"/>
      <c r="AL98" s="370"/>
      <c r="AM98" s="369"/>
      <c r="AN98" s="369"/>
      <c r="AO98" s="369"/>
      <c r="AP98" s="369"/>
      <c r="AQ98" s="370"/>
      <c r="AR98" s="369"/>
      <c r="AS98" s="369"/>
      <c r="AT98" s="369"/>
      <c r="AU98" s="369"/>
      <c r="AV98" s="370"/>
      <c r="AW98" s="369"/>
      <c r="AX98" s="369"/>
      <c r="AY98" s="369"/>
      <c r="AZ98" s="369"/>
      <c r="BA98" s="370"/>
      <c r="BB98" s="369"/>
      <c r="BC98" s="369"/>
      <c r="BD98" s="369"/>
      <c r="BE98" s="369"/>
      <c r="BF98" s="370"/>
      <c r="BG98" s="367"/>
      <c r="BH98" s="369"/>
      <c r="BI98" s="369"/>
      <c r="BJ98" s="1801"/>
      <c r="BK98" s="370"/>
      <c r="BL98" s="369"/>
      <c r="BM98" s="369"/>
      <c r="BN98" s="369"/>
      <c r="BO98" s="1801"/>
      <c r="BP98" s="370"/>
      <c r="BQ98" s="369"/>
      <c r="BR98" s="369"/>
      <c r="BS98" s="369"/>
      <c r="BT98" s="1801"/>
      <c r="BU98" s="3329"/>
      <c r="BV98" s="369"/>
      <c r="BW98" s="369"/>
      <c r="BX98" s="369"/>
      <c r="BY98" s="1801"/>
      <c r="BZ98" s="370"/>
      <c r="CA98" s="370"/>
      <c r="CB98" s="370"/>
      <c r="CC98" s="370"/>
      <c r="CD98" s="370"/>
      <c r="CE98" s="370"/>
      <c r="CF98" s="370"/>
      <c r="CG98" s="370"/>
      <c r="CH98" s="369"/>
      <c r="CI98" s="369"/>
      <c r="CJ98" s="369"/>
      <c r="CK98" s="369"/>
      <c r="CL98" s="369"/>
      <c r="CM98" s="369"/>
      <c r="CN98" s="369"/>
      <c r="CO98" s="369"/>
      <c r="CP98" s="400"/>
      <c r="CQ98" s="369"/>
      <c r="CR98" s="369"/>
      <c r="CS98" s="369"/>
      <c r="CT98" s="369"/>
      <c r="CU98" s="369"/>
      <c r="CV98" s="369"/>
      <c r="CW98" s="369"/>
      <c r="CX98" s="369"/>
      <c r="CY98" s="369"/>
      <c r="CZ98" s="369"/>
      <c r="DA98" s="369"/>
      <c r="DB98" s="369"/>
      <c r="DC98" s="369"/>
      <c r="DD98" s="369"/>
      <c r="DE98" s="369"/>
      <c r="DF98" s="369"/>
      <c r="DG98" s="1801"/>
      <c r="DH98" s="371"/>
      <c r="DI98" s="371"/>
      <c r="DJ98" s="371"/>
      <c r="DK98" s="371"/>
      <c r="DL98" s="371"/>
      <c r="DM98" s="371"/>
      <c r="DN98" s="371"/>
      <c r="DO98" s="401"/>
      <c r="DY98" s="369"/>
      <c r="DZ98" s="369"/>
    </row>
    <row r="99" spans="1:130" ht="12" hidden="1" customHeight="1" outlineLevel="1">
      <c r="A99" s="1816" t="s">
        <v>1325</v>
      </c>
      <c r="B99" s="411"/>
      <c r="C99" s="411"/>
      <c r="D99" s="412">
        <v>7.4999999999999997E-2</v>
      </c>
      <c r="E99" s="411">
        <v>7.4999999999999997E-2</v>
      </c>
      <c r="F99" s="411">
        <v>8.5000000000000006E-2</v>
      </c>
      <c r="G99" s="411">
        <v>8.5000000000000006E-2</v>
      </c>
      <c r="H99" s="413">
        <f>SUM(D99:G99)</f>
        <v>0.32</v>
      </c>
      <c r="I99" s="411">
        <v>8.5000000000000006E-2</v>
      </c>
      <c r="J99" s="411">
        <v>0.125</v>
      </c>
      <c r="K99" s="411">
        <v>0.125</v>
      </c>
      <c r="L99" s="411">
        <v>0.125</v>
      </c>
      <c r="M99" s="413">
        <f>SUM(I99:L99)</f>
        <v>0.46</v>
      </c>
      <c r="N99" s="411">
        <v>0.125</v>
      </c>
      <c r="O99" s="411">
        <v>0.13500000000000001</v>
      </c>
      <c r="P99" s="411">
        <v>0.13500000000000001</v>
      </c>
      <c r="Q99" s="411">
        <v>0.13500000000000001</v>
      </c>
      <c r="R99" s="413">
        <f>SUM(N99:Q99)</f>
        <v>0.53</v>
      </c>
      <c r="S99" s="411">
        <v>0.13500000000000001</v>
      </c>
      <c r="T99" s="411">
        <v>0.15</v>
      </c>
      <c r="U99" s="411">
        <v>0.15</v>
      </c>
      <c r="V99" s="411">
        <v>0.15</v>
      </c>
      <c r="W99" s="413">
        <f>SUM(S99:V99)</f>
        <v>0.58500000000000008</v>
      </c>
      <c r="X99" s="411">
        <v>0.15</v>
      </c>
      <c r="Y99" s="411">
        <v>0.15</v>
      </c>
      <c r="Z99" s="411">
        <v>0</v>
      </c>
      <c r="AA99" s="411">
        <v>0</v>
      </c>
      <c r="AB99" s="413">
        <f>SUM(X99:AA99)</f>
        <v>0.3</v>
      </c>
      <c r="AC99" s="411">
        <v>0</v>
      </c>
      <c r="AD99" s="411">
        <v>0</v>
      </c>
      <c r="AE99" s="411">
        <v>0</v>
      </c>
      <c r="AF99" s="411">
        <v>0</v>
      </c>
      <c r="AG99" s="413">
        <f>SUM(AC99:AF99)</f>
        <v>0</v>
      </c>
      <c r="AH99" s="411">
        <v>0</v>
      </c>
      <c r="AI99" s="411">
        <v>0</v>
      </c>
      <c r="AJ99" s="411">
        <v>0</v>
      </c>
      <c r="AK99" s="411">
        <v>0</v>
      </c>
      <c r="AL99" s="413">
        <f>SUM(AH99:AK99)</f>
        <v>0</v>
      </c>
      <c r="AM99" s="411">
        <v>0</v>
      </c>
      <c r="AN99" s="411">
        <v>0</v>
      </c>
      <c r="AO99" s="411">
        <v>0</v>
      </c>
      <c r="AP99" s="411">
        <v>0</v>
      </c>
      <c r="AQ99" s="413">
        <f>SUM(AM99:AP99)</f>
        <v>0</v>
      </c>
      <c r="AR99" s="411">
        <v>0</v>
      </c>
      <c r="AS99" s="411">
        <v>0</v>
      </c>
      <c r="AT99" s="411">
        <v>0</v>
      </c>
      <c r="AU99" s="411">
        <v>0</v>
      </c>
      <c r="AV99" s="413">
        <f>SUM(AR99:AU99)</f>
        <v>0</v>
      </c>
      <c r="AW99" s="411">
        <v>0</v>
      </c>
      <c r="AX99" s="411">
        <v>0</v>
      </c>
      <c r="AY99" s="411">
        <v>0</v>
      </c>
      <c r="AZ99" s="411">
        <v>0</v>
      </c>
      <c r="BA99" s="413">
        <f>SUM(AW99:AZ99)</f>
        <v>0</v>
      </c>
      <c r="BB99" s="411">
        <v>0</v>
      </c>
      <c r="BC99" s="411">
        <v>0</v>
      </c>
      <c r="BD99" s="411">
        <v>0</v>
      </c>
      <c r="BE99" s="411">
        <v>0</v>
      </c>
      <c r="BF99" s="413">
        <f>SUM(BB99:BE99)</f>
        <v>0</v>
      </c>
      <c r="BG99" s="412">
        <v>0</v>
      </c>
      <c r="BH99" s="411">
        <v>0</v>
      </c>
      <c r="BI99" s="411">
        <v>0</v>
      </c>
      <c r="BJ99" s="2993">
        <v>0</v>
      </c>
      <c r="BK99" s="413">
        <f>SUM(BG99:BJ99)</f>
        <v>0</v>
      </c>
      <c r="BL99" s="411">
        <v>0</v>
      </c>
      <c r="BM99" s="411">
        <v>0</v>
      </c>
      <c r="BN99" s="411">
        <v>0</v>
      </c>
      <c r="BO99" s="2993">
        <v>0</v>
      </c>
      <c r="BP99" s="413">
        <f>SUM(BL99:BO99)</f>
        <v>0</v>
      </c>
      <c r="BQ99" s="411">
        <v>0</v>
      </c>
      <c r="BR99" s="411">
        <v>0.05</v>
      </c>
      <c r="BS99" s="411">
        <v>0.05</v>
      </c>
      <c r="BT99" s="411">
        <v>0.05</v>
      </c>
      <c r="BU99" s="3335">
        <f>SUM(BQ99:BT99)</f>
        <v>0.15000000000000002</v>
      </c>
      <c r="BV99" s="411">
        <f>0.2/4</f>
        <v>0.05</v>
      </c>
      <c r="BW99" s="411">
        <f t="shared" ref="BW99:BY99" si="207">0.2/4</f>
        <v>0.05</v>
      </c>
      <c r="BX99" s="411">
        <f t="shared" si="207"/>
        <v>0.05</v>
      </c>
      <c r="BY99" s="411">
        <f t="shared" si="207"/>
        <v>0.05</v>
      </c>
      <c r="BZ99" s="3335">
        <f>SUM(BV99:BY99)</f>
        <v>0.2</v>
      </c>
      <c r="CA99" s="3936">
        <f>+BZ99</f>
        <v>0.2</v>
      </c>
      <c r="CB99" s="3936">
        <f>+CA99</f>
        <v>0.2</v>
      </c>
      <c r="CC99" s="1674">
        <v>0</v>
      </c>
      <c r="CD99" s="1674">
        <v>0</v>
      </c>
      <c r="CE99" s="1674">
        <v>0</v>
      </c>
      <c r="CF99" s="1674">
        <v>0</v>
      </c>
      <c r="CG99" s="1674">
        <v>0</v>
      </c>
      <c r="CH99" s="414"/>
      <c r="CI99" s="414"/>
      <c r="CJ99" s="414"/>
      <c r="CK99" s="414"/>
      <c r="CL99" s="414"/>
      <c r="CM99" s="414"/>
      <c r="CN99" s="414"/>
      <c r="CO99" s="414"/>
      <c r="CP99" s="1816" t="str">
        <f t="shared" si="20"/>
        <v>Dividends per share</v>
      </c>
      <c r="CQ99" s="414">
        <f t="shared" si="21"/>
        <v>0.32</v>
      </c>
      <c r="CR99" s="414">
        <f t="shared" si="22"/>
        <v>0.46</v>
      </c>
      <c r="CS99" s="414">
        <f t="shared" si="23"/>
        <v>0.53</v>
      </c>
      <c r="CT99" s="414">
        <f t="shared" si="24"/>
        <v>0.58500000000000008</v>
      </c>
      <c r="CU99" s="414">
        <f t="shared" si="25"/>
        <v>0.3</v>
      </c>
      <c r="CV99" s="414">
        <f t="shared" si="26"/>
        <v>0</v>
      </c>
      <c r="CW99" s="414">
        <f t="shared" si="27"/>
        <v>0</v>
      </c>
      <c r="CX99" s="414">
        <f t="shared" si="28"/>
        <v>0</v>
      </c>
      <c r="CY99" s="414">
        <f t="shared" si="29"/>
        <v>0</v>
      </c>
      <c r="CZ99" s="414">
        <f t="shared" si="30"/>
        <v>0</v>
      </c>
      <c r="DA99" s="414">
        <f t="shared" si="31"/>
        <v>0</v>
      </c>
      <c r="DB99" s="414">
        <f t="shared" si="32"/>
        <v>0</v>
      </c>
      <c r="DC99" s="414">
        <f t="shared" si="33"/>
        <v>0</v>
      </c>
      <c r="DD99" s="414">
        <f t="shared" si="34"/>
        <v>0.15000000000000002</v>
      </c>
      <c r="DE99" s="414">
        <f t="shared" si="35"/>
        <v>0.2</v>
      </c>
      <c r="DF99" s="414">
        <f t="shared" si="36"/>
        <v>0.2</v>
      </c>
      <c r="DG99" s="1817">
        <f t="shared" si="37"/>
        <v>0.2</v>
      </c>
      <c r="DH99" s="414"/>
      <c r="DI99" s="415"/>
      <c r="DJ99" s="414"/>
      <c r="DK99" s="414"/>
      <c r="DL99" s="414"/>
      <c r="DM99" s="414"/>
      <c r="DN99" s="380"/>
      <c r="DO99" s="226"/>
      <c r="DY99" s="414"/>
      <c r="DZ99" s="414"/>
    </row>
    <row r="100" spans="1:130" ht="12" hidden="1" customHeight="1" outlineLevel="1">
      <c r="A100" s="1818" t="s">
        <v>824</v>
      </c>
      <c r="B100" s="416"/>
      <c r="C100" s="416"/>
      <c r="D100" s="417">
        <f t="shared" ref="D100:AI100" si="208">D99/D95</f>
        <v>0.26053022407503912</v>
      </c>
      <c r="E100" s="416">
        <f t="shared" si="208"/>
        <v>0.28134144336675976</v>
      </c>
      <c r="F100" s="416">
        <f t="shared" si="208"/>
        <v>0.22556475813227703</v>
      </c>
      <c r="G100" s="416">
        <f t="shared" si="208"/>
        <v>0.14766382265856329</v>
      </c>
      <c r="H100" s="418">
        <f t="shared" si="208"/>
        <v>0.20504017231918364</v>
      </c>
      <c r="I100" s="416">
        <f t="shared" si="208"/>
        <v>0.13295857319257734</v>
      </c>
      <c r="J100" s="416">
        <f t="shared" si="208"/>
        <v>0.2248157126110196</v>
      </c>
      <c r="K100" s="416">
        <f t="shared" si="208"/>
        <v>0.22015429638127826</v>
      </c>
      <c r="L100" s="416">
        <f t="shared" si="208"/>
        <v>0.16539706203185214</v>
      </c>
      <c r="M100" s="418">
        <f t="shared" si="208"/>
        <v>0.1825842506907592</v>
      </c>
      <c r="N100" s="416">
        <f t="shared" si="208"/>
        <v>0.16019487664160476</v>
      </c>
      <c r="O100" s="416">
        <f t="shared" si="208"/>
        <v>0.28968591011871109</v>
      </c>
      <c r="P100" s="416">
        <f t="shared" si="208"/>
        <v>0.30813871715610508</v>
      </c>
      <c r="Q100" s="416">
        <f t="shared" si="208"/>
        <v>0.29723889014211613</v>
      </c>
      <c r="R100" s="418">
        <f t="shared" si="208"/>
        <v>0.24725436573225601</v>
      </c>
      <c r="S100" s="416">
        <f t="shared" si="208"/>
        <v>0.27112791172864731</v>
      </c>
      <c r="T100" s="416">
        <f t="shared" si="208"/>
        <v>0.33356143781019726</v>
      </c>
      <c r="U100" s="416">
        <f t="shared" si="208"/>
        <v>0.34739701399202677</v>
      </c>
      <c r="V100" s="416">
        <f t="shared" si="208"/>
        <v>0.34207976914356392</v>
      </c>
      <c r="W100" s="418">
        <f t="shared" si="208"/>
        <v>0.32182515313626808</v>
      </c>
      <c r="X100" s="416">
        <f t="shared" si="208"/>
        <v>0.44461753983256802</v>
      </c>
      <c r="Y100" s="416">
        <f t="shared" si="208"/>
        <v>0.50043729129279191</v>
      </c>
      <c r="Z100" s="416">
        <f t="shared" si="208"/>
        <v>0</v>
      </c>
      <c r="AA100" s="416">
        <f t="shared" si="208"/>
        <v>0</v>
      </c>
      <c r="AB100" s="418">
        <f t="shared" si="208"/>
        <v>0.32445768146407711</v>
      </c>
      <c r="AC100" s="416">
        <f t="shared" si="208"/>
        <v>0</v>
      </c>
      <c r="AD100" s="416">
        <f t="shared" si="208"/>
        <v>0</v>
      </c>
      <c r="AE100" s="416">
        <f t="shared" si="208"/>
        <v>0</v>
      </c>
      <c r="AF100" s="416">
        <f t="shared" si="208"/>
        <v>0</v>
      </c>
      <c r="AG100" s="418">
        <f t="shared" si="208"/>
        <v>0</v>
      </c>
      <c r="AH100" s="416">
        <f t="shared" si="208"/>
        <v>0</v>
      </c>
      <c r="AI100" s="416">
        <f t="shared" si="208"/>
        <v>0</v>
      </c>
      <c r="AJ100" s="416">
        <f t="shared" ref="AJ100:CB100" si="209">AJ99/AJ95</f>
        <v>0</v>
      </c>
      <c r="AK100" s="416">
        <f t="shared" si="209"/>
        <v>0</v>
      </c>
      <c r="AL100" s="418">
        <f t="shared" si="209"/>
        <v>0</v>
      </c>
      <c r="AM100" s="416">
        <f t="shared" si="209"/>
        <v>0</v>
      </c>
      <c r="AN100" s="416">
        <f t="shared" si="209"/>
        <v>0</v>
      </c>
      <c r="AO100" s="416">
        <f t="shared" si="209"/>
        <v>0</v>
      </c>
      <c r="AP100" s="416">
        <f t="shared" si="209"/>
        <v>0</v>
      </c>
      <c r="AQ100" s="418">
        <f t="shared" si="209"/>
        <v>0</v>
      </c>
      <c r="AR100" s="416">
        <f t="shared" si="209"/>
        <v>0</v>
      </c>
      <c r="AS100" s="416">
        <f t="shared" si="209"/>
        <v>0</v>
      </c>
      <c r="AT100" s="416">
        <f t="shared" si="209"/>
        <v>0</v>
      </c>
      <c r="AU100" s="416">
        <f t="shared" si="209"/>
        <v>0</v>
      </c>
      <c r="AV100" s="418">
        <f t="shared" si="209"/>
        <v>0</v>
      </c>
      <c r="AW100" s="416">
        <f t="shared" si="209"/>
        <v>0</v>
      </c>
      <c r="AX100" s="416">
        <f t="shared" si="209"/>
        <v>0</v>
      </c>
      <c r="AY100" s="416">
        <f t="shared" si="209"/>
        <v>0</v>
      </c>
      <c r="AZ100" s="416">
        <f t="shared" si="209"/>
        <v>0</v>
      </c>
      <c r="BA100" s="418">
        <f t="shared" si="209"/>
        <v>0</v>
      </c>
      <c r="BB100" s="416">
        <f t="shared" si="209"/>
        <v>0</v>
      </c>
      <c r="BC100" s="416">
        <f t="shared" si="209"/>
        <v>0</v>
      </c>
      <c r="BD100" s="416">
        <f t="shared" si="209"/>
        <v>0</v>
      </c>
      <c r="BE100" s="416">
        <f t="shared" si="209"/>
        <v>0</v>
      </c>
      <c r="BF100" s="418">
        <f t="shared" si="209"/>
        <v>0</v>
      </c>
      <c r="BG100" s="417">
        <f t="shared" ref="BG100:BP100" si="210">BG99/BG95</f>
        <v>0</v>
      </c>
      <c r="BH100" s="416">
        <f t="shared" si="210"/>
        <v>0</v>
      </c>
      <c r="BI100" s="416">
        <f t="shared" si="210"/>
        <v>0</v>
      </c>
      <c r="BJ100" s="1819">
        <f t="shared" si="210"/>
        <v>0</v>
      </c>
      <c r="BK100" s="418">
        <f t="shared" si="210"/>
        <v>0</v>
      </c>
      <c r="BL100" s="416">
        <f t="shared" si="210"/>
        <v>0</v>
      </c>
      <c r="BM100" s="416">
        <f t="shared" si="210"/>
        <v>0</v>
      </c>
      <c r="BN100" s="416">
        <f t="shared" si="210"/>
        <v>0</v>
      </c>
      <c r="BO100" s="1819">
        <f t="shared" si="210"/>
        <v>0</v>
      </c>
      <c r="BP100" s="418">
        <f t="shared" si="210"/>
        <v>0</v>
      </c>
      <c r="BQ100" s="416">
        <f t="shared" ref="BQ100:BZ100" si="211">BQ99/BQ95</f>
        <v>0</v>
      </c>
      <c r="BR100" s="416">
        <f t="shared" si="211"/>
        <v>0.19158293118265349</v>
      </c>
      <c r="BS100" s="416">
        <f t="shared" si="211"/>
        <v>0.22645478785977571</v>
      </c>
      <c r="BT100" s="1819">
        <f t="shared" si="211"/>
        <v>0.22501855541232077</v>
      </c>
      <c r="BU100" s="3336">
        <f t="shared" si="211"/>
        <v>0.14599480240730614</v>
      </c>
      <c r="BV100" s="416">
        <f t="shared" si="211"/>
        <v>0.14104003242391466</v>
      </c>
      <c r="BW100" s="416">
        <f t="shared" si="211"/>
        <v>0.14912369094581523</v>
      </c>
      <c r="BX100" s="416">
        <f t="shared" si="211"/>
        <v>0.10730759852154144</v>
      </c>
      <c r="BY100" s="1819">
        <f t="shared" si="211"/>
        <v>9.5977942704002936E-2</v>
      </c>
      <c r="BZ100" s="3336">
        <f t="shared" si="211"/>
        <v>0.11938447394908518</v>
      </c>
      <c r="CA100" s="418">
        <f t="shared" si="209"/>
        <v>0.10099937916444203</v>
      </c>
      <c r="CB100" s="418">
        <f t="shared" si="209"/>
        <v>9.9507212393376246E-2</v>
      </c>
      <c r="CC100" s="418">
        <f>CC99/CC95</f>
        <v>0</v>
      </c>
      <c r="CD100" s="418">
        <f>CD99/CD95</f>
        <v>0</v>
      </c>
      <c r="CE100" s="418">
        <f>CE99/CE95</f>
        <v>0</v>
      </c>
      <c r="CF100" s="418">
        <f>CF99/CF95</f>
        <v>0</v>
      </c>
      <c r="CG100" s="418">
        <f>CG99/CG95</f>
        <v>0</v>
      </c>
      <c r="CH100" s="419"/>
      <c r="CI100" s="419"/>
      <c r="CJ100" s="419"/>
      <c r="CK100" s="419"/>
      <c r="CL100" s="419"/>
      <c r="CM100" s="419"/>
      <c r="CN100" s="419"/>
      <c r="CO100" s="419"/>
      <c r="CP100" s="1818" t="str">
        <f t="shared" si="20"/>
        <v>Payout Ratio</v>
      </c>
      <c r="CQ100" s="416">
        <f t="shared" si="21"/>
        <v>0.20504017231918364</v>
      </c>
      <c r="CR100" s="416">
        <f t="shared" si="22"/>
        <v>0.1825842506907592</v>
      </c>
      <c r="CS100" s="416">
        <f t="shared" si="23"/>
        <v>0.24725436573225601</v>
      </c>
      <c r="CT100" s="416">
        <f t="shared" si="24"/>
        <v>0.32182515313626808</v>
      </c>
      <c r="CU100" s="416">
        <f t="shared" si="25"/>
        <v>0.32445768146407711</v>
      </c>
      <c r="CV100" s="416">
        <f t="shared" si="26"/>
        <v>0</v>
      </c>
      <c r="CW100" s="416">
        <f t="shared" si="27"/>
        <v>0</v>
      </c>
      <c r="CX100" s="416">
        <f t="shared" si="28"/>
        <v>0</v>
      </c>
      <c r="CY100" s="416">
        <f t="shared" si="29"/>
        <v>0</v>
      </c>
      <c r="CZ100" s="416">
        <f t="shared" si="30"/>
        <v>0</v>
      </c>
      <c r="DA100" s="416">
        <f t="shared" si="31"/>
        <v>0</v>
      </c>
      <c r="DB100" s="416">
        <f t="shared" si="32"/>
        <v>0</v>
      </c>
      <c r="DC100" s="416">
        <f t="shared" si="33"/>
        <v>0</v>
      </c>
      <c r="DD100" s="416">
        <f t="shared" si="34"/>
        <v>0.14599480240730614</v>
      </c>
      <c r="DE100" s="416">
        <f t="shared" si="35"/>
        <v>0.11938447394908518</v>
      </c>
      <c r="DF100" s="416">
        <f t="shared" si="36"/>
        <v>0.10099937916444203</v>
      </c>
      <c r="DG100" s="1819">
        <f t="shared" si="37"/>
        <v>9.9507212393376246E-2</v>
      </c>
      <c r="DH100" s="420"/>
      <c r="DI100" s="420"/>
      <c r="DJ100" s="420"/>
      <c r="DK100" s="420"/>
      <c r="DL100" s="420"/>
      <c r="DM100" s="420"/>
      <c r="DN100" s="416"/>
      <c r="DO100" s="421"/>
      <c r="DY100" s="416"/>
      <c r="DZ100" s="416"/>
    </row>
    <row r="101" spans="1:130" ht="12" customHeight="1" collapsed="1">
      <c r="A101" s="1820"/>
      <c r="B101" s="422"/>
      <c r="C101" s="422"/>
      <c r="D101" s="423"/>
      <c r="E101" s="424"/>
      <c r="F101" s="424"/>
      <c r="G101" s="424"/>
      <c r="H101" s="425"/>
      <c r="I101" s="426"/>
      <c r="J101" s="426"/>
      <c r="K101" s="426"/>
      <c r="L101" s="424"/>
      <c r="M101" s="425"/>
      <c r="N101" s="426"/>
      <c r="O101" s="426"/>
      <c r="P101" s="427"/>
      <c r="Q101" s="426"/>
      <c r="R101" s="425"/>
      <c r="S101" s="426"/>
      <c r="T101" s="426"/>
      <c r="U101" s="426"/>
      <c r="V101" s="426"/>
      <c r="W101" s="425"/>
      <c r="X101" s="426"/>
      <c r="Y101" s="426"/>
      <c r="Z101" s="426"/>
      <c r="AA101" s="426"/>
      <c r="AB101" s="425"/>
      <c r="AC101" s="426"/>
      <c r="AD101" s="426"/>
      <c r="AE101" s="426"/>
      <c r="AF101" s="426"/>
      <c r="AG101" s="425"/>
      <c r="AH101" s="426"/>
      <c r="AI101" s="426"/>
      <c r="AJ101" s="1313"/>
      <c r="AK101" s="1313"/>
      <c r="AL101" s="428"/>
      <c r="AM101" s="426"/>
      <c r="AN101" s="426"/>
      <c r="AO101" s="426"/>
      <c r="AP101" s="426"/>
      <c r="AQ101" s="428"/>
      <c r="AR101" s="426"/>
      <c r="AS101" s="426"/>
      <c r="AT101" s="426"/>
      <c r="AU101" s="426"/>
      <c r="AV101" s="428"/>
      <c r="AW101" s="426"/>
      <c r="AX101" s="426"/>
      <c r="AY101" s="411"/>
      <c r="AZ101" s="411"/>
      <c r="BA101" s="1674"/>
      <c r="BB101" s="411"/>
      <c r="BC101" s="411"/>
      <c r="BD101" s="411"/>
      <c r="BE101" s="411"/>
      <c r="BF101" s="1674"/>
      <c r="BG101" s="412"/>
      <c r="BH101" s="411"/>
      <c r="BI101" s="411"/>
      <c r="BJ101" s="2993"/>
      <c r="BK101" s="1674"/>
      <c r="BL101" s="411"/>
      <c r="BM101" s="411"/>
      <c r="BN101" s="411"/>
      <c r="BO101" s="2993"/>
      <c r="BP101" s="1674"/>
      <c r="BQ101" s="411"/>
      <c r="BR101" s="411"/>
      <c r="BS101" s="411"/>
      <c r="BT101" s="2993"/>
      <c r="BU101" s="3335"/>
      <c r="BV101" s="411"/>
      <c r="BW101" s="411"/>
      <c r="BX101" s="411"/>
      <c r="BY101" s="2993"/>
      <c r="BZ101" s="3335"/>
      <c r="CA101" s="1674"/>
      <c r="CB101" s="1674"/>
      <c r="CC101" s="1674"/>
      <c r="CD101" s="1674"/>
      <c r="CE101" s="1674"/>
      <c r="CF101" s="1674"/>
      <c r="CG101" s="1674"/>
      <c r="CH101" s="424"/>
      <c r="CI101" s="424"/>
      <c r="CJ101" s="424"/>
      <c r="CK101" s="424"/>
      <c r="CL101" s="424"/>
      <c r="CM101" s="424"/>
      <c r="CN101" s="424"/>
      <c r="CO101" s="424"/>
      <c r="CP101" s="1820"/>
      <c r="CQ101" s="526"/>
      <c r="CR101" s="526"/>
      <c r="CS101" s="526"/>
      <c r="CT101" s="526"/>
      <c r="CU101" s="526"/>
      <c r="CV101" s="526"/>
      <c r="CW101" s="526"/>
      <c r="CX101" s="526"/>
      <c r="CY101" s="526"/>
      <c r="CZ101" s="526"/>
      <c r="DA101" s="526"/>
      <c r="DB101" s="526"/>
      <c r="DC101" s="526"/>
      <c r="DD101" s="526"/>
      <c r="DE101" s="526"/>
      <c r="DF101" s="526"/>
      <c r="DG101" s="1821"/>
      <c r="DH101" s="380"/>
      <c r="DI101" s="380"/>
      <c r="DJ101" s="380"/>
      <c r="DK101" s="380"/>
      <c r="DL101" s="380"/>
      <c r="DM101" s="380"/>
      <c r="DN101" s="380"/>
      <c r="DO101" s="226"/>
      <c r="DY101" s="411"/>
      <c r="DZ101" s="411"/>
    </row>
    <row r="102" spans="1:130" ht="12" customHeight="1">
      <c r="A102" s="1790" t="s">
        <v>1561</v>
      </c>
      <c r="B102" s="422"/>
      <c r="C102" s="422"/>
      <c r="D102" s="377">
        <v>65.266000000000005</v>
      </c>
      <c r="E102" s="376">
        <v>66.742999999999995</v>
      </c>
      <c r="F102" s="376">
        <v>86.805000000000007</v>
      </c>
      <c r="G102" s="376">
        <v>87.301000000000002</v>
      </c>
      <c r="H102" s="432">
        <v>76.575999999999993</v>
      </c>
      <c r="I102" s="376">
        <v>87.707999999999998</v>
      </c>
      <c r="J102" s="376">
        <v>88.366</v>
      </c>
      <c r="K102" s="376">
        <v>88.771000000000001</v>
      </c>
      <c r="L102" s="376">
        <v>89.248999999999995</v>
      </c>
      <c r="M102" s="433">
        <f>AVERAGE(I102:L102)</f>
        <v>88.523500000000013</v>
      </c>
      <c r="N102" s="376">
        <v>89.308999999999997</v>
      </c>
      <c r="O102" s="376">
        <v>89.635000000000005</v>
      </c>
      <c r="P102" s="376">
        <v>87.774000000000001</v>
      </c>
      <c r="Q102" s="376">
        <v>86.837000000000003</v>
      </c>
      <c r="R102" s="433">
        <f>AVERAGE(N102:Q102)</f>
        <v>88.388750000000002</v>
      </c>
      <c r="S102" s="376">
        <v>87.24</v>
      </c>
      <c r="T102" s="376">
        <v>87.497</v>
      </c>
      <c r="U102" s="376">
        <v>87.739000000000004</v>
      </c>
      <c r="V102" s="376">
        <v>87.781999999999996</v>
      </c>
      <c r="W102" s="433">
        <f>AVERAGE(S102:V102)</f>
        <v>87.564499999999995</v>
      </c>
      <c r="X102" s="376">
        <v>87.808999999999997</v>
      </c>
      <c r="Y102" s="376">
        <v>87.853999999999999</v>
      </c>
      <c r="Z102" s="376">
        <v>87.872</v>
      </c>
      <c r="AA102" s="376">
        <v>87.882000000000005</v>
      </c>
      <c r="AB102" s="433">
        <f>AVERAGE(X102:AA102)</f>
        <v>87.854250000000008</v>
      </c>
      <c r="AC102" s="376">
        <v>86.930999999999997</v>
      </c>
      <c r="AD102" s="376">
        <v>86.254000000000005</v>
      </c>
      <c r="AE102" s="376">
        <v>86.263999999999996</v>
      </c>
      <c r="AF102" s="376">
        <v>86.275999999999996</v>
      </c>
      <c r="AG102" s="434">
        <v>86.429000000000002</v>
      </c>
      <c r="AH102" s="845">
        <v>86.43</v>
      </c>
      <c r="AI102" s="845">
        <v>86.510999999999996</v>
      </c>
      <c r="AJ102" s="845">
        <v>86.581999999999994</v>
      </c>
      <c r="AK102" s="845">
        <v>86.876999999999995</v>
      </c>
      <c r="AL102" s="434">
        <v>86.600999999999999</v>
      </c>
      <c r="AM102" s="845">
        <v>87.156999999999996</v>
      </c>
      <c r="AN102" s="845">
        <v>87.203999999999994</v>
      </c>
      <c r="AO102" s="845">
        <v>87.256</v>
      </c>
      <c r="AP102" s="845">
        <v>87.731999999999999</v>
      </c>
      <c r="AQ102" s="434">
        <v>87.338999999999999</v>
      </c>
      <c r="AR102" s="845">
        <v>87.53</v>
      </c>
      <c r="AS102" s="845">
        <v>87.587999999999994</v>
      </c>
      <c r="AT102" s="845">
        <v>87.643000000000001</v>
      </c>
      <c r="AU102" s="845">
        <v>87.846000000000004</v>
      </c>
      <c r="AV102" s="2078">
        <v>87.652000000000001</v>
      </c>
      <c r="AW102" s="845">
        <v>87.974000000000004</v>
      </c>
      <c r="AX102" s="845">
        <v>89.23</v>
      </c>
      <c r="AY102" s="845">
        <v>101.55500000000001</v>
      </c>
      <c r="AZ102" s="845">
        <v>109.471</v>
      </c>
      <c r="BA102" s="2078">
        <v>97.242999999999995</v>
      </c>
      <c r="BB102" s="2700">
        <v>109.753</v>
      </c>
      <c r="BC102" s="2700">
        <v>109.884</v>
      </c>
      <c r="BD102" s="2700">
        <v>109.923</v>
      </c>
      <c r="BE102" s="2700">
        <v>110.352</v>
      </c>
      <c r="BF102" s="436">
        <f>AVERAGE(BB102:BE102)</f>
        <v>109.97800000000001</v>
      </c>
      <c r="BG102" s="2700">
        <v>111.446</v>
      </c>
      <c r="BH102" s="3192">
        <v>112.232</v>
      </c>
      <c r="BI102" s="3192">
        <v>113.375</v>
      </c>
      <c r="BJ102" s="3192">
        <v>114.49299999999999</v>
      </c>
      <c r="BK102" s="436">
        <f>AVERAGE(BG102:BJ102)</f>
        <v>112.8865</v>
      </c>
      <c r="BL102" s="3192">
        <v>114.86799999999999</v>
      </c>
      <c r="BM102" s="3192">
        <v>115.077</v>
      </c>
      <c r="BN102" s="3192">
        <v>115.202</v>
      </c>
      <c r="BO102" s="3192">
        <v>115.604</v>
      </c>
      <c r="BP102" s="436">
        <f>AVERAGE(BL102:BO102)</f>
        <v>115.18774999999999</v>
      </c>
      <c r="BQ102" s="3192">
        <v>115.902</v>
      </c>
      <c r="BR102" s="3192">
        <v>115.923</v>
      </c>
      <c r="BS102" s="3192">
        <v>115.501</v>
      </c>
      <c r="BT102" s="3192">
        <v>115.205</v>
      </c>
      <c r="BU102" s="4059">
        <f>AVERAGE(BQ102:BT102)</f>
        <v>115.63275</v>
      </c>
      <c r="BV102" s="2972">
        <f>+BT102+(BV1039/BV106)</f>
        <v>114.66033769063181</v>
      </c>
      <c r="BW102" s="2973">
        <f>+BV102+(BW1039/BW106)</f>
        <v>114.12635503438848</v>
      </c>
      <c r="BX102" s="2973">
        <f>+BW102+(BX1039/BX106)</f>
        <v>113.6028426263068</v>
      </c>
      <c r="BY102" s="2974">
        <f>+BX102+(BY1039/BY106)</f>
        <v>113.08959516740317</v>
      </c>
      <c r="BZ102" s="4059">
        <f>AVERAGE(BV102:BY102)</f>
        <v>113.86978262968256</v>
      </c>
      <c r="CA102" s="4059">
        <f>+BZ102+(CA1039/CA106)</f>
        <v>113.86978262968256</v>
      </c>
      <c r="CB102" s="4059">
        <f>+CA102+(CB1039/CB106)</f>
        <v>113.86978262968256</v>
      </c>
      <c r="CC102" s="2366">
        <f t="shared" ref="CC102:CG105" si="212">CB102</f>
        <v>113.86978262968256</v>
      </c>
      <c r="CD102" s="2366">
        <f t="shared" si="212"/>
        <v>113.86978262968256</v>
      </c>
      <c r="CE102" s="2366">
        <f t="shared" si="212"/>
        <v>113.86978262968256</v>
      </c>
      <c r="CF102" s="2366">
        <f t="shared" si="212"/>
        <v>113.86978262968256</v>
      </c>
      <c r="CG102" s="2366">
        <f t="shared" si="212"/>
        <v>113.86978262968256</v>
      </c>
      <c r="CH102" s="437"/>
      <c r="CI102" s="437"/>
      <c r="CJ102" s="437"/>
      <c r="CK102" s="437"/>
      <c r="CL102" s="437"/>
      <c r="CM102" s="437"/>
      <c r="CN102" s="437"/>
      <c r="CO102" s="437"/>
      <c r="CP102" s="1790" t="str">
        <f t="shared" si="20"/>
        <v>Average Basic Shares Outstanding (EPS calc)</v>
      </c>
      <c r="CQ102" s="435">
        <f t="shared" si="21"/>
        <v>76.575999999999993</v>
      </c>
      <c r="CR102" s="435">
        <f t="shared" si="22"/>
        <v>88.523500000000013</v>
      </c>
      <c r="CS102" s="435">
        <f t="shared" si="23"/>
        <v>88.388750000000002</v>
      </c>
      <c r="CT102" s="435">
        <f t="shared" si="24"/>
        <v>87.564499999999995</v>
      </c>
      <c r="CU102" s="435">
        <f t="shared" si="25"/>
        <v>87.854250000000008</v>
      </c>
      <c r="CV102" s="435">
        <f t="shared" si="26"/>
        <v>86.429000000000002</v>
      </c>
      <c r="CW102" s="435">
        <f t="shared" si="27"/>
        <v>86.600999999999999</v>
      </c>
      <c r="CX102" s="435">
        <f t="shared" si="28"/>
        <v>87.338999999999999</v>
      </c>
      <c r="CY102" s="435">
        <f t="shared" si="29"/>
        <v>87.652000000000001</v>
      </c>
      <c r="CZ102" s="435">
        <f t="shared" si="30"/>
        <v>97.242999999999995</v>
      </c>
      <c r="DA102" s="435">
        <f t="shared" si="31"/>
        <v>109.97800000000001</v>
      </c>
      <c r="DB102" s="435">
        <f t="shared" si="32"/>
        <v>112.8865</v>
      </c>
      <c r="DC102" s="435">
        <f t="shared" si="33"/>
        <v>115.18774999999999</v>
      </c>
      <c r="DD102" s="435">
        <f t="shared" si="34"/>
        <v>115.63275</v>
      </c>
      <c r="DE102" s="435">
        <f t="shared" si="35"/>
        <v>113.86978262968256</v>
      </c>
      <c r="DF102" s="435">
        <f t="shared" si="36"/>
        <v>113.86978262968256</v>
      </c>
      <c r="DG102" s="1822">
        <f t="shared" si="37"/>
        <v>113.86978262968256</v>
      </c>
      <c r="DH102" s="438"/>
      <c r="DI102" s="438"/>
      <c r="DJ102" s="438"/>
      <c r="DK102" s="438"/>
      <c r="DL102" s="438"/>
      <c r="DM102" s="438"/>
      <c r="DN102" s="380"/>
      <c r="DO102" s="226"/>
      <c r="DY102" s="437"/>
      <c r="DZ102" s="437"/>
    </row>
    <row r="103" spans="1:130" ht="12" customHeight="1">
      <c r="A103" s="1790" t="s">
        <v>1112</v>
      </c>
      <c r="B103" s="422"/>
      <c r="C103" s="422"/>
      <c r="D103" s="365">
        <f t="shared" ref="D103:BA103" si="213">IF(D82&lt;0,D102,D104)</f>
        <v>66.661000000000001</v>
      </c>
      <c r="E103" s="374">
        <f t="shared" si="213"/>
        <v>68.456000000000003</v>
      </c>
      <c r="F103" s="374">
        <f t="shared" si="213"/>
        <v>88.432000000000002</v>
      </c>
      <c r="G103" s="374">
        <f t="shared" si="213"/>
        <v>89.182000000000002</v>
      </c>
      <c r="H103" s="373">
        <f t="shared" si="213"/>
        <v>78.234999999999999</v>
      </c>
      <c r="I103" s="374">
        <f t="shared" si="213"/>
        <v>89.941000000000003</v>
      </c>
      <c r="J103" s="374">
        <f t="shared" si="213"/>
        <v>90.518000000000001</v>
      </c>
      <c r="K103" s="374">
        <f t="shared" si="213"/>
        <v>90.575000000000003</v>
      </c>
      <c r="L103" s="374">
        <f t="shared" si="213"/>
        <v>90.974999999999994</v>
      </c>
      <c r="M103" s="373">
        <f t="shared" si="213"/>
        <v>90.502250000000004</v>
      </c>
      <c r="N103" s="374">
        <f t="shared" si="213"/>
        <v>90.850999999999999</v>
      </c>
      <c r="O103" s="374">
        <f t="shared" si="213"/>
        <v>91.102999999999994</v>
      </c>
      <c r="P103" s="374">
        <f t="shared" si="213"/>
        <v>88.606999999999999</v>
      </c>
      <c r="Q103" s="374">
        <f t="shared" si="213"/>
        <v>87.843999999999994</v>
      </c>
      <c r="R103" s="373">
        <f t="shared" si="213"/>
        <v>89.601250000000007</v>
      </c>
      <c r="S103" s="374">
        <f t="shared" si="213"/>
        <v>88.46</v>
      </c>
      <c r="T103" s="374">
        <f t="shared" si="213"/>
        <v>88.713999999999999</v>
      </c>
      <c r="U103" s="374">
        <f t="shared" si="213"/>
        <v>88.885000000000005</v>
      </c>
      <c r="V103" s="374">
        <f t="shared" si="213"/>
        <v>88.512</v>
      </c>
      <c r="W103" s="373">
        <f t="shared" si="213"/>
        <v>88.642749999999992</v>
      </c>
      <c r="X103" s="374">
        <f t="shared" si="213"/>
        <v>87.808999999999997</v>
      </c>
      <c r="Y103" s="374">
        <f t="shared" si="213"/>
        <v>88.119</v>
      </c>
      <c r="Z103" s="374">
        <f t="shared" si="213"/>
        <v>87.923000000000002</v>
      </c>
      <c r="AA103" s="374">
        <f t="shared" si="213"/>
        <v>87.882000000000005</v>
      </c>
      <c r="AB103" s="373">
        <f t="shared" si="213"/>
        <v>87.854250000000008</v>
      </c>
      <c r="AC103" s="374">
        <f t="shared" si="213"/>
        <v>86.930999999999997</v>
      </c>
      <c r="AD103" s="374">
        <f t="shared" si="213"/>
        <v>86.290999999999997</v>
      </c>
      <c r="AE103" s="374">
        <f t="shared" si="213"/>
        <v>86.436000000000007</v>
      </c>
      <c r="AF103" s="374">
        <f t="shared" si="213"/>
        <v>86.275999999999996</v>
      </c>
      <c r="AG103" s="373">
        <f t="shared" si="213"/>
        <v>86.516999999999996</v>
      </c>
      <c r="AH103" s="374">
        <f t="shared" si="213"/>
        <v>86.600999999999999</v>
      </c>
      <c r="AI103" s="374">
        <f t="shared" si="213"/>
        <v>86.941999999999993</v>
      </c>
      <c r="AJ103" s="374">
        <f t="shared" si="213"/>
        <v>86.683999999999997</v>
      </c>
      <c r="AK103" s="374">
        <f t="shared" si="213"/>
        <v>86.876999999999995</v>
      </c>
      <c r="AL103" s="373">
        <f t="shared" si="213"/>
        <v>86.831000000000003</v>
      </c>
      <c r="AM103" s="2044">
        <f t="shared" si="213"/>
        <v>87.156999999999996</v>
      </c>
      <c r="AN103" s="2044">
        <f t="shared" si="213"/>
        <v>87.203999999999994</v>
      </c>
      <c r="AO103" s="2044">
        <f t="shared" si="213"/>
        <v>87.432000000000002</v>
      </c>
      <c r="AP103" s="2044">
        <f t="shared" si="213"/>
        <v>87.731999999999999</v>
      </c>
      <c r="AQ103" s="373">
        <f t="shared" si="213"/>
        <v>87.338999999999999</v>
      </c>
      <c r="AR103" s="2044">
        <f t="shared" si="213"/>
        <v>87.986999999999995</v>
      </c>
      <c r="AS103" s="2044">
        <f t="shared" si="213"/>
        <v>87.587999999999994</v>
      </c>
      <c r="AT103" s="2044">
        <f t="shared" si="213"/>
        <v>87.643000000000001</v>
      </c>
      <c r="AU103" s="2044">
        <f t="shared" si="213"/>
        <v>87.846000000000004</v>
      </c>
      <c r="AV103" s="373">
        <f t="shared" si="213"/>
        <v>87.652000000000001</v>
      </c>
      <c r="AW103" s="2044">
        <f t="shared" si="213"/>
        <v>87.974000000000004</v>
      </c>
      <c r="AX103" s="845">
        <v>90.265000000000001</v>
      </c>
      <c r="AY103" s="2044">
        <f t="shared" si="213"/>
        <v>101.55500000000001</v>
      </c>
      <c r="AZ103" s="845">
        <v>109.471</v>
      </c>
      <c r="BA103" s="373">
        <f t="shared" si="213"/>
        <v>97.242999999999995</v>
      </c>
      <c r="BB103" s="2700">
        <v>109.753</v>
      </c>
      <c r="BC103" s="2700">
        <v>110.813</v>
      </c>
      <c r="BD103" s="2700">
        <v>109.923</v>
      </c>
      <c r="BE103" s="2700">
        <v>110.352</v>
      </c>
      <c r="BF103" s="436">
        <f>AVERAGE(BB103:BE103)</f>
        <v>110.21025</v>
      </c>
      <c r="BG103" s="2700">
        <v>112.358</v>
      </c>
      <c r="BH103" s="3192">
        <v>112.232</v>
      </c>
      <c r="BI103" s="3192">
        <v>113.375</v>
      </c>
      <c r="BJ103" s="3192">
        <v>114.49299999999999</v>
      </c>
      <c r="BK103" s="436">
        <f>AVERAGE(BG103:BJ103)</f>
        <v>113.11450000000001</v>
      </c>
      <c r="BL103" s="3192">
        <v>114.86799999999999</v>
      </c>
      <c r="BM103" s="3192">
        <v>115.077</v>
      </c>
      <c r="BN103" s="3192">
        <v>115.202</v>
      </c>
      <c r="BO103" s="3192">
        <v>115.604</v>
      </c>
      <c r="BP103" s="436">
        <f>AVERAGE(BL103:BO103)</f>
        <v>115.18774999999999</v>
      </c>
      <c r="BQ103" s="3192">
        <v>115.902</v>
      </c>
      <c r="BR103" s="3192">
        <v>115.923</v>
      </c>
      <c r="BS103" s="3192">
        <v>115.501</v>
      </c>
      <c r="BT103" s="3192">
        <v>115.205</v>
      </c>
      <c r="BU103" s="4059">
        <f>AVERAGE(BQ103:BT103)</f>
        <v>115.63275</v>
      </c>
      <c r="BV103" s="2972">
        <f>BT103+(BV1039/BV106)</f>
        <v>114.66033769063181</v>
      </c>
      <c r="BW103" s="2973">
        <f>BV103+(BW1039/BW106)</f>
        <v>114.12635503438848</v>
      </c>
      <c r="BX103" s="2973">
        <f>BW103+(BX1039/BX106)</f>
        <v>113.6028426263068</v>
      </c>
      <c r="BY103" s="2974">
        <f>BX103+(BY1039/BY106)</f>
        <v>113.08959516740317</v>
      </c>
      <c r="BZ103" s="4059">
        <f>AVERAGE(BV103:BY103)</f>
        <v>113.86978262968256</v>
      </c>
      <c r="CA103" s="4059">
        <f>BZ103+(CA1039/CA106)</f>
        <v>113.86978262968256</v>
      </c>
      <c r="CB103" s="4059">
        <f>CA103+(CB1039/CB106)</f>
        <v>113.86978262968256</v>
      </c>
      <c r="CC103" s="2366">
        <f t="shared" si="212"/>
        <v>113.86978262968256</v>
      </c>
      <c r="CD103" s="2366">
        <f t="shared" si="212"/>
        <v>113.86978262968256</v>
      </c>
      <c r="CE103" s="2366">
        <f t="shared" si="212"/>
        <v>113.86978262968256</v>
      </c>
      <c r="CF103" s="2366">
        <f t="shared" si="212"/>
        <v>113.86978262968256</v>
      </c>
      <c r="CG103" s="2366">
        <f t="shared" si="212"/>
        <v>113.86978262968256</v>
      </c>
      <c r="CH103" s="437"/>
      <c r="CI103" s="437"/>
      <c r="CJ103" s="437"/>
      <c r="CK103" s="437"/>
      <c r="CL103" s="437"/>
      <c r="CM103" s="437"/>
      <c r="CN103" s="437"/>
      <c r="CO103" s="437"/>
      <c r="CP103" s="1790" t="str">
        <f t="shared" si="20"/>
        <v>Average Diluted Shares Outstanding (EPS calc)</v>
      </c>
      <c r="CQ103" s="374">
        <f t="shared" si="21"/>
        <v>78.234999999999999</v>
      </c>
      <c r="CR103" s="374">
        <f t="shared" si="22"/>
        <v>90.502250000000004</v>
      </c>
      <c r="CS103" s="374">
        <f t="shared" si="23"/>
        <v>89.601250000000007</v>
      </c>
      <c r="CT103" s="374">
        <f t="shared" si="24"/>
        <v>88.642749999999992</v>
      </c>
      <c r="CU103" s="374">
        <f t="shared" si="25"/>
        <v>87.854250000000008</v>
      </c>
      <c r="CV103" s="374">
        <f t="shared" si="26"/>
        <v>86.516999999999996</v>
      </c>
      <c r="CW103" s="374">
        <f t="shared" si="27"/>
        <v>86.831000000000003</v>
      </c>
      <c r="CX103" s="374">
        <f t="shared" si="28"/>
        <v>87.338999999999999</v>
      </c>
      <c r="CY103" s="374">
        <f t="shared" si="29"/>
        <v>87.652000000000001</v>
      </c>
      <c r="CZ103" s="374">
        <f t="shared" si="30"/>
        <v>97.242999999999995</v>
      </c>
      <c r="DA103" s="374">
        <f t="shared" si="31"/>
        <v>110.21025</v>
      </c>
      <c r="DB103" s="374">
        <f t="shared" si="32"/>
        <v>113.11450000000001</v>
      </c>
      <c r="DC103" s="374">
        <f t="shared" si="33"/>
        <v>115.18774999999999</v>
      </c>
      <c r="DD103" s="374">
        <f t="shared" si="34"/>
        <v>115.63275</v>
      </c>
      <c r="DE103" s="374">
        <f t="shared" si="35"/>
        <v>113.86978262968256</v>
      </c>
      <c r="DF103" s="374">
        <f t="shared" si="36"/>
        <v>113.86978262968256</v>
      </c>
      <c r="DG103" s="1802">
        <f t="shared" si="37"/>
        <v>113.86978262968256</v>
      </c>
      <c r="DH103" s="438"/>
      <c r="DI103" s="438"/>
      <c r="DJ103" s="438"/>
      <c r="DK103" s="438"/>
      <c r="DL103" s="438"/>
      <c r="DM103" s="438"/>
      <c r="DN103" s="380"/>
      <c r="DO103" s="226"/>
      <c r="DY103" s="437"/>
      <c r="DZ103" s="437"/>
    </row>
    <row r="104" spans="1:130" ht="12" hidden="1" customHeight="1" outlineLevel="1">
      <c r="A104" s="1783" t="s">
        <v>1111</v>
      </c>
      <c r="B104" s="422"/>
      <c r="C104" s="422"/>
      <c r="D104" s="377">
        <v>66.661000000000001</v>
      </c>
      <c r="E104" s="376">
        <v>68.456000000000003</v>
      </c>
      <c r="F104" s="376">
        <v>88.432000000000002</v>
      </c>
      <c r="G104" s="376">
        <v>89.182000000000002</v>
      </c>
      <c r="H104" s="432">
        <v>78.234999999999999</v>
      </c>
      <c r="I104" s="376">
        <v>89.941000000000003</v>
      </c>
      <c r="J104" s="376">
        <v>90.518000000000001</v>
      </c>
      <c r="K104" s="376">
        <v>90.575000000000003</v>
      </c>
      <c r="L104" s="376">
        <v>90.974999999999994</v>
      </c>
      <c r="M104" s="433">
        <f>AVERAGE(I104:L104)</f>
        <v>90.502250000000004</v>
      </c>
      <c r="N104" s="376">
        <v>90.850999999999999</v>
      </c>
      <c r="O104" s="376">
        <v>91.102999999999994</v>
      </c>
      <c r="P104" s="376">
        <v>88.606999999999999</v>
      </c>
      <c r="Q104" s="376">
        <v>87.843999999999994</v>
      </c>
      <c r="R104" s="433">
        <f>AVERAGE(N104:Q104)</f>
        <v>89.601250000000007</v>
      </c>
      <c r="S104" s="376">
        <v>88.46</v>
      </c>
      <c r="T104" s="376">
        <v>88.713999999999999</v>
      </c>
      <c r="U104" s="376">
        <v>88.885000000000005</v>
      </c>
      <c r="V104" s="376">
        <v>88.512</v>
      </c>
      <c r="W104" s="433">
        <f>AVERAGE(S104:V104)</f>
        <v>88.642749999999992</v>
      </c>
      <c r="X104" s="376">
        <v>87.808999999999997</v>
      </c>
      <c r="Y104" s="376">
        <v>88.119</v>
      </c>
      <c r="Z104" s="376">
        <v>87.923000000000002</v>
      </c>
      <c r="AA104" s="376">
        <v>87.882000000000005</v>
      </c>
      <c r="AB104" s="433">
        <f>AVERAGE(X104:AA104)</f>
        <v>87.933250000000001</v>
      </c>
      <c r="AC104" s="376">
        <v>86.930999999999997</v>
      </c>
      <c r="AD104" s="376">
        <v>86.290999999999997</v>
      </c>
      <c r="AE104" s="376">
        <v>86.436000000000007</v>
      </c>
      <c r="AF104" s="376">
        <f>AF102+0.088</f>
        <v>86.36399999999999</v>
      </c>
      <c r="AG104" s="434">
        <v>86.516999999999996</v>
      </c>
      <c r="AH104" s="845">
        <v>86.600999999999999</v>
      </c>
      <c r="AI104" s="376">
        <v>86.941999999999993</v>
      </c>
      <c r="AJ104" s="845">
        <v>86.683999999999997</v>
      </c>
      <c r="AK104" s="845">
        <v>86.876999999999995</v>
      </c>
      <c r="AL104" s="434">
        <v>86.831000000000003</v>
      </c>
      <c r="AM104" s="845">
        <v>87.156999999999996</v>
      </c>
      <c r="AN104" s="845">
        <v>87.203999999999994</v>
      </c>
      <c r="AO104" s="845">
        <v>87.432000000000002</v>
      </c>
      <c r="AP104" s="845">
        <v>87.731999999999999</v>
      </c>
      <c r="AQ104" s="434">
        <v>87.338999999999999</v>
      </c>
      <c r="AR104" s="845">
        <v>87.986999999999995</v>
      </c>
      <c r="AS104" s="845">
        <v>87.828999999999994</v>
      </c>
      <c r="AT104" s="845">
        <v>87.643000000000001</v>
      </c>
      <c r="AU104" s="845">
        <v>87.846000000000004</v>
      </c>
      <c r="AV104" s="432">
        <v>87.652000000000001</v>
      </c>
      <c r="AW104" s="845">
        <v>87.974000000000004</v>
      </c>
      <c r="AX104" s="435">
        <f>AW104</f>
        <v>87.974000000000004</v>
      </c>
      <c r="AY104" s="845">
        <v>101.55500000000001</v>
      </c>
      <c r="AZ104" s="435">
        <f>AY104</f>
        <v>101.55500000000001</v>
      </c>
      <c r="BA104" s="432">
        <v>97.242999999999995</v>
      </c>
      <c r="BB104" s="435">
        <f>AZ104</f>
        <v>101.55500000000001</v>
      </c>
      <c r="BC104" s="435">
        <f>BB104</f>
        <v>101.55500000000001</v>
      </c>
      <c r="BD104" s="435">
        <f>BC104</f>
        <v>101.55500000000001</v>
      </c>
      <c r="BE104" s="435">
        <f>BD104</f>
        <v>101.55500000000001</v>
      </c>
      <c r="BF104" s="373">
        <f>AVERAGE(BB104:BE104)</f>
        <v>101.55500000000001</v>
      </c>
      <c r="BG104" s="431">
        <f>BF104</f>
        <v>101.55500000000001</v>
      </c>
      <c r="BH104" s="435">
        <f>BG104</f>
        <v>101.55500000000001</v>
      </c>
      <c r="BI104" s="435">
        <f>BH104</f>
        <v>101.55500000000001</v>
      </c>
      <c r="BJ104" s="1822">
        <f>BI104</f>
        <v>101.55500000000001</v>
      </c>
      <c r="BK104" s="373">
        <f>AVERAGE(BG104:BJ104)</f>
        <v>101.55500000000001</v>
      </c>
      <c r="BL104" s="435">
        <f>BK104</f>
        <v>101.55500000000001</v>
      </c>
      <c r="BM104" s="435">
        <f>BL104</f>
        <v>101.55500000000001</v>
      </c>
      <c r="BN104" s="435">
        <f t="shared" ref="BN104:BO105" si="214">BM104</f>
        <v>101.55500000000001</v>
      </c>
      <c r="BO104" s="1822">
        <f t="shared" si="214"/>
        <v>101.55500000000001</v>
      </c>
      <c r="BP104" s="373">
        <f>AVERAGE(BL104:BO104)</f>
        <v>101.55500000000001</v>
      </c>
      <c r="BQ104" s="435">
        <f t="shared" ref="BQ104:BR105" si="215">BP104</f>
        <v>101.55500000000001</v>
      </c>
      <c r="BR104" s="435">
        <f t="shared" si="215"/>
        <v>101.55500000000001</v>
      </c>
      <c r="BS104" s="435">
        <f>BR104</f>
        <v>101.55500000000001</v>
      </c>
      <c r="BT104" s="1822">
        <f>BS104</f>
        <v>101.55500000000001</v>
      </c>
      <c r="BU104" s="3326">
        <f>AVERAGE(BQ104:BT104)</f>
        <v>101.55500000000001</v>
      </c>
      <c r="BV104" s="435">
        <f>BU104</f>
        <v>101.55500000000001</v>
      </c>
      <c r="BW104" s="435">
        <f t="shared" ref="BW104:BY104" si="216">BV104</f>
        <v>101.55500000000001</v>
      </c>
      <c r="BX104" s="435">
        <f t="shared" si="216"/>
        <v>101.55500000000001</v>
      </c>
      <c r="BY104" s="435">
        <f t="shared" si="216"/>
        <v>101.55500000000001</v>
      </c>
      <c r="BZ104" s="3326">
        <f>AVERAGE(BV104:BY104)</f>
        <v>101.55500000000001</v>
      </c>
      <c r="CA104" s="373">
        <f t="shared" ref="CA104:CB104" si="217">BZ104</f>
        <v>101.55500000000001</v>
      </c>
      <c r="CB104" s="373">
        <f t="shared" si="217"/>
        <v>101.55500000000001</v>
      </c>
      <c r="CC104" s="373">
        <f t="shared" si="212"/>
        <v>101.55500000000001</v>
      </c>
      <c r="CD104" s="373">
        <f t="shared" si="212"/>
        <v>101.55500000000001</v>
      </c>
      <c r="CE104" s="373">
        <f t="shared" si="212"/>
        <v>101.55500000000001</v>
      </c>
      <c r="CF104" s="373">
        <f t="shared" si="212"/>
        <v>101.55500000000001</v>
      </c>
      <c r="CG104" s="373">
        <f t="shared" si="212"/>
        <v>101.55500000000001</v>
      </c>
      <c r="CH104" s="374"/>
      <c r="CI104" s="374"/>
      <c r="CJ104" s="374"/>
      <c r="CK104" s="374"/>
      <c r="CL104" s="374"/>
      <c r="CM104" s="374"/>
      <c r="CN104" s="374"/>
      <c r="CO104" s="374"/>
      <c r="CP104" s="1783" t="str">
        <f t="shared" ref="CP104:CP130" si="218">A104</f>
        <v>Average Fully Diluted Shares Outstanding</v>
      </c>
      <c r="CQ104" s="435">
        <f t="shared" ref="CQ104:CQ129" si="219">H104</f>
        <v>78.234999999999999</v>
      </c>
      <c r="CR104" s="435">
        <f t="shared" ref="CR104:CR129" si="220">M104</f>
        <v>90.502250000000004</v>
      </c>
      <c r="CS104" s="435">
        <f t="shared" ref="CS104:CS129" si="221">R104</f>
        <v>89.601250000000007</v>
      </c>
      <c r="CT104" s="435">
        <f t="shared" ref="CT104:CT129" si="222">W104</f>
        <v>88.642749999999992</v>
      </c>
      <c r="CU104" s="435">
        <f t="shared" ref="CU104:CU129" si="223">AB104</f>
        <v>87.933250000000001</v>
      </c>
      <c r="CV104" s="435">
        <f t="shared" ref="CV104:CV129" si="224">AG104</f>
        <v>86.516999999999996</v>
      </c>
      <c r="CW104" s="435">
        <f t="shared" ref="CW104:CW130" si="225">AL104</f>
        <v>86.831000000000003</v>
      </c>
      <c r="CX104" s="435">
        <f t="shared" ref="CX104:CX130" si="226">AQ104</f>
        <v>87.338999999999999</v>
      </c>
      <c r="CY104" s="435">
        <f t="shared" ref="CY104:CY130" si="227">AV104</f>
        <v>87.652000000000001</v>
      </c>
      <c r="CZ104" s="435">
        <f t="shared" ref="CZ104:CZ130" si="228">BA104</f>
        <v>97.242999999999995</v>
      </c>
      <c r="DA104" s="435">
        <f t="shared" ref="DA104:DA130" si="229">BF104</f>
        <v>101.55500000000001</v>
      </c>
      <c r="DB104" s="435">
        <f t="shared" ref="DB104:DB130" si="230">BK104</f>
        <v>101.55500000000001</v>
      </c>
      <c r="DC104" s="435">
        <f t="shared" ref="DC104:DC130" si="231">BP104</f>
        <v>101.55500000000001</v>
      </c>
      <c r="DD104" s="435">
        <f t="shared" ref="DD104:DD130" si="232">BU104</f>
        <v>101.55500000000001</v>
      </c>
      <c r="DE104" s="435">
        <f t="shared" ref="DE104:DE130" si="233">BZ104</f>
        <v>101.55500000000001</v>
      </c>
      <c r="DF104" s="435">
        <f t="shared" ref="DF104:DF130" si="234">CA104</f>
        <v>101.55500000000001</v>
      </c>
      <c r="DG104" s="1822">
        <f t="shared" ref="DG104:DG130" si="235">CB104</f>
        <v>101.55500000000001</v>
      </c>
      <c r="DH104" s="438"/>
      <c r="DI104" s="438"/>
      <c r="DJ104" s="438"/>
      <c r="DK104" s="438"/>
      <c r="DL104" s="438"/>
      <c r="DM104" s="438"/>
      <c r="DN104" s="380"/>
      <c r="DO104" s="226"/>
      <c r="DY104" s="374"/>
      <c r="DZ104" s="374"/>
    </row>
    <row r="105" spans="1:130" ht="12" hidden="1" customHeight="1" outlineLevel="1">
      <c r="A105" s="1783" t="s">
        <v>1135</v>
      </c>
      <c r="B105" s="422"/>
      <c r="C105" s="422"/>
      <c r="D105" s="377">
        <v>65.492014999999995</v>
      </c>
      <c r="E105" s="376">
        <v>67.290841</v>
      </c>
      <c r="F105" s="376">
        <v>86.970848000000004</v>
      </c>
      <c r="G105" s="376">
        <v>87.537121999999997</v>
      </c>
      <c r="H105" s="433">
        <f>G105</f>
        <v>87.537121999999997</v>
      </c>
      <c r="I105" s="376">
        <v>87.991298</v>
      </c>
      <c r="J105" s="376">
        <v>88.609617999999998</v>
      </c>
      <c r="K105" s="376">
        <v>89.195892000000001</v>
      </c>
      <c r="L105" s="376">
        <v>89.286490999999998</v>
      </c>
      <c r="M105" s="433">
        <f>L105</f>
        <v>89.286490999999998</v>
      </c>
      <c r="N105" s="376">
        <v>89.409160999999997</v>
      </c>
      <c r="O105" s="376">
        <v>89.795355999999998</v>
      </c>
      <c r="P105" s="376">
        <v>86.417530999999997</v>
      </c>
      <c r="Q105" s="376">
        <v>87.105106000000006</v>
      </c>
      <c r="R105" s="433">
        <f>Q105</f>
        <v>87.105106000000006</v>
      </c>
      <c r="S105" s="376">
        <v>87.318657000000002</v>
      </c>
      <c r="T105" s="376">
        <v>87.646557999999999</v>
      </c>
      <c r="U105" s="376">
        <v>87.710181000000006</v>
      </c>
      <c r="V105" s="376">
        <v>87.747079999999997</v>
      </c>
      <c r="W105" s="433">
        <f>V105</f>
        <v>87.747079999999997</v>
      </c>
      <c r="X105" s="376">
        <v>87.779579999999996</v>
      </c>
      <c r="Y105" s="376">
        <v>87.789079999999998</v>
      </c>
      <c r="Z105" s="376">
        <v>87.814060999999995</v>
      </c>
      <c r="AA105" s="376">
        <v>87.814060999999995</v>
      </c>
      <c r="AB105" s="433">
        <f>AA105</f>
        <v>87.814060999999995</v>
      </c>
      <c r="AC105" s="376">
        <v>86.261275999999995</v>
      </c>
      <c r="AD105" s="376">
        <v>86.102481999999995</v>
      </c>
      <c r="AE105" s="376">
        <v>86.122787000000002</v>
      </c>
      <c r="AF105" s="376">
        <v>86.130454</v>
      </c>
      <c r="AG105" s="433">
        <f>AF105</f>
        <v>86.130454</v>
      </c>
      <c r="AH105" s="845">
        <v>86.144456000000005</v>
      </c>
      <c r="AI105" s="845">
        <v>86.226641000000001</v>
      </c>
      <c r="AJ105" s="845">
        <v>86.230639999999994</v>
      </c>
      <c r="AK105" s="845">
        <v>86.244978000000003</v>
      </c>
      <c r="AL105" s="433">
        <f>AK105</f>
        <v>86.244978000000003</v>
      </c>
      <c r="AM105" s="845">
        <v>86.271482000000006</v>
      </c>
      <c r="AN105" s="845">
        <v>86.284983999999994</v>
      </c>
      <c r="AO105" s="845">
        <v>86.290986000000004</v>
      </c>
      <c r="AP105" s="845">
        <v>86.572097999999997</v>
      </c>
      <c r="AQ105" s="433">
        <f>AP105</f>
        <v>86.572097999999997</v>
      </c>
      <c r="AR105" s="845">
        <v>86.588932999999997</v>
      </c>
      <c r="AS105" s="845">
        <v>86.588932999999997</v>
      </c>
      <c r="AT105" s="845">
        <v>86.588932999999997</v>
      </c>
      <c r="AU105" s="845">
        <f>86.871977</f>
        <v>86.871977000000001</v>
      </c>
      <c r="AV105" s="373">
        <f>AU105</f>
        <v>86.871977000000001</v>
      </c>
      <c r="AW105" s="845">
        <v>86.892311000000007</v>
      </c>
      <c r="AX105" s="845">
        <v>88.767611000000002</v>
      </c>
      <c r="AY105" s="845">
        <v>107.805297</v>
      </c>
      <c r="AZ105" s="845">
        <v>108.155002</v>
      </c>
      <c r="BA105" s="373">
        <f t="shared" ref="BA105:BG105" si="236">AZ105</f>
        <v>108.155002</v>
      </c>
      <c r="BB105" s="845">
        <v>108.297168</v>
      </c>
      <c r="BC105" s="845">
        <v>108.383736</v>
      </c>
      <c r="BD105" s="845">
        <v>108.424772</v>
      </c>
      <c r="BE105" s="435">
        <f t="shared" si="236"/>
        <v>108.424772</v>
      </c>
      <c r="BF105" s="373">
        <f t="shared" si="236"/>
        <v>108.424772</v>
      </c>
      <c r="BG105" s="431">
        <f t="shared" si="236"/>
        <v>108.424772</v>
      </c>
      <c r="BH105" s="435">
        <f t="shared" ref="BH105:BM105" si="237">BG105</f>
        <v>108.424772</v>
      </c>
      <c r="BI105" s="435">
        <f t="shared" si="237"/>
        <v>108.424772</v>
      </c>
      <c r="BJ105" s="1822">
        <f t="shared" si="237"/>
        <v>108.424772</v>
      </c>
      <c r="BK105" s="373">
        <f t="shared" si="237"/>
        <v>108.424772</v>
      </c>
      <c r="BL105" s="435">
        <f t="shared" si="237"/>
        <v>108.424772</v>
      </c>
      <c r="BM105" s="435">
        <f t="shared" si="237"/>
        <v>108.424772</v>
      </c>
      <c r="BN105" s="435">
        <f t="shared" si="214"/>
        <v>108.424772</v>
      </c>
      <c r="BO105" s="1822">
        <f t="shared" si="214"/>
        <v>108.424772</v>
      </c>
      <c r="BP105" s="373">
        <f>BO105</f>
        <v>108.424772</v>
      </c>
      <c r="BQ105" s="435">
        <f t="shared" si="215"/>
        <v>108.424772</v>
      </c>
      <c r="BR105" s="435">
        <f t="shared" si="215"/>
        <v>108.424772</v>
      </c>
      <c r="BS105" s="435">
        <f>BR105</f>
        <v>108.424772</v>
      </c>
      <c r="BT105" s="1822">
        <f>BS105</f>
        <v>108.424772</v>
      </c>
      <c r="BU105" s="3326">
        <f>BT105</f>
        <v>108.424772</v>
      </c>
      <c r="BV105" s="435">
        <f>BU105</f>
        <v>108.424772</v>
      </c>
      <c r="BW105" s="435">
        <f t="shared" ref="BW105:BY105" si="238">BV105</f>
        <v>108.424772</v>
      </c>
      <c r="BX105" s="435">
        <f t="shared" si="238"/>
        <v>108.424772</v>
      </c>
      <c r="BY105" s="435">
        <f t="shared" si="238"/>
        <v>108.424772</v>
      </c>
      <c r="BZ105" s="3326">
        <f>BY105</f>
        <v>108.424772</v>
      </c>
      <c r="CA105" s="373">
        <f>BZ105</f>
        <v>108.424772</v>
      </c>
      <c r="CB105" s="373">
        <f>CA105</f>
        <v>108.424772</v>
      </c>
      <c r="CC105" s="373">
        <f t="shared" si="212"/>
        <v>108.424772</v>
      </c>
      <c r="CD105" s="373">
        <f t="shared" si="212"/>
        <v>108.424772</v>
      </c>
      <c r="CE105" s="373">
        <f t="shared" si="212"/>
        <v>108.424772</v>
      </c>
      <c r="CF105" s="373">
        <f t="shared" si="212"/>
        <v>108.424772</v>
      </c>
      <c r="CG105" s="373">
        <f t="shared" si="212"/>
        <v>108.424772</v>
      </c>
      <c r="CH105" s="374"/>
      <c r="CI105" s="374"/>
      <c r="CJ105" s="374"/>
      <c r="CK105" s="374"/>
      <c r="CL105" s="374"/>
      <c r="CM105" s="374"/>
      <c r="CN105" s="374"/>
      <c r="CO105" s="374"/>
      <c r="CP105" s="1783" t="str">
        <f t="shared" si="218"/>
        <v>Period End Shares</v>
      </c>
      <c r="CQ105" s="435">
        <f t="shared" si="219"/>
        <v>87.537121999999997</v>
      </c>
      <c r="CR105" s="435">
        <f t="shared" si="220"/>
        <v>89.286490999999998</v>
      </c>
      <c r="CS105" s="435">
        <f t="shared" si="221"/>
        <v>87.105106000000006</v>
      </c>
      <c r="CT105" s="435">
        <f t="shared" si="222"/>
        <v>87.747079999999997</v>
      </c>
      <c r="CU105" s="435">
        <f t="shared" si="223"/>
        <v>87.814060999999995</v>
      </c>
      <c r="CV105" s="435">
        <f t="shared" si="224"/>
        <v>86.130454</v>
      </c>
      <c r="CW105" s="435">
        <f t="shared" si="225"/>
        <v>86.244978000000003</v>
      </c>
      <c r="CX105" s="435">
        <f t="shared" si="226"/>
        <v>86.572097999999997</v>
      </c>
      <c r="CY105" s="435">
        <f t="shared" si="227"/>
        <v>86.871977000000001</v>
      </c>
      <c r="CZ105" s="435">
        <f t="shared" si="228"/>
        <v>108.155002</v>
      </c>
      <c r="DA105" s="435">
        <f t="shared" si="229"/>
        <v>108.424772</v>
      </c>
      <c r="DB105" s="435">
        <f t="shared" si="230"/>
        <v>108.424772</v>
      </c>
      <c r="DC105" s="435">
        <f t="shared" si="231"/>
        <v>108.424772</v>
      </c>
      <c r="DD105" s="435">
        <f t="shared" si="232"/>
        <v>108.424772</v>
      </c>
      <c r="DE105" s="435">
        <f t="shared" si="233"/>
        <v>108.424772</v>
      </c>
      <c r="DF105" s="435">
        <f t="shared" si="234"/>
        <v>108.424772</v>
      </c>
      <c r="DG105" s="1822">
        <f t="shared" si="235"/>
        <v>108.424772</v>
      </c>
      <c r="DH105" s="438"/>
      <c r="DI105" s="438"/>
      <c r="DJ105" s="438"/>
      <c r="DK105" s="438"/>
      <c r="DL105" s="438"/>
      <c r="DM105" s="438"/>
      <c r="DN105" s="380"/>
      <c r="DO105" s="226"/>
      <c r="DY105" s="374"/>
      <c r="DZ105" s="374"/>
    </row>
    <row r="106" spans="1:130" ht="12" customHeight="1" collapsed="1">
      <c r="A106" s="4054" t="s">
        <v>1967</v>
      </c>
      <c r="B106" s="422"/>
      <c r="C106" s="422"/>
      <c r="D106" s="440"/>
      <c r="E106" s="387"/>
      <c r="F106" s="387"/>
      <c r="G106" s="387"/>
      <c r="H106" s="442"/>
      <c r="I106" s="387"/>
      <c r="J106" s="387"/>
      <c r="K106" s="387"/>
      <c r="L106" s="387"/>
      <c r="M106" s="442"/>
      <c r="N106" s="387"/>
      <c r="O106" s="387"/>
      <c r="P106" s="387"/>
      <c r="Q106" s="387"/>
      <c r="R106" s="442"/>
      <c r="S106" s="387"/>
      <c r="T106" s="387"/>
      <c r="U106" s="387"/>
      <c r="V106" s="387"/>
      <c r="W106" s="442"/>
      <c r="X106" s="387"/>
      <c r="Y106" s="387"/>
      <c r="Z106" s="387"/>
      <c r="AA106" s="387"/>
      <c r="AB106" s="442"/>
      <c r="AC106" s="387"/>
      <c r="AD106" s="387"/>
      <c r="AE106" s="387"/>
      <c r="AF106" s="387"/>
      <c r="AG106" s="442"/>
      <c r="AH106" s="443"/>
      <c r="AI106" s="443"/>
      <c r="AJ106" s="443"/>
      <c r="AK106" s="443"/>
      <c r="AL106" s="444"/>
      <c r="AM106" s="387"/>
      <c r="AN106" s="387"/>
      <c r="AO106" s="387"/>
      <c r="AP106" s="387"/>
      <c r="AQ106" s="444"/>
      <c r="AR106" s="387"/>
      <c r="AS106" s="387"/>
      <c r="AT106" s="387"/>
      <c r="AU106" s="387"/>
      <c r="AV106" s="444"/>
      <c r="AW106" s="387"/>
      <c r="AX106" s="387"/>
      <c r="AY106" s="387"/>
      <c r="AZ106" s="387"/>
      <c r="BA106" s="444"/>
      <c r="BB106" s="387"/>
      <c r="BC106" s="387"/>
      <c r="BD106" s="387"/>
      <c r="BE106" s="387"/>
      <c r="BF106" s="444"/>
      <c r="BG106" s="440"/>
      <c r="BH106" s="387"/>
      <c r="BI106" s="387"/>
      <c r="BJ106" s="2349"/>
      <c r="BK106" s="444"/>
      <c r="BL106" s="387"/>
      <c r="BM106" s="387"/>
      <c r="BN106" s="387"/>
      <c r="BO106" s="2349"/>
      <c r="BP106" s="444"/>
      <c r="BQ106" s="4055">
        <v>20.3123</v>
      </c>
      <c r="BR106" s="4055">
        <v>24.096800000000002</v>
      </c>
      <c r="BS106" s="4055">
        <v>25.875699999999998</v>
      </c>
      <c r="BT106" s="4055">
        <v>27</v>
      </c>
      <c r="BU106" s="4057">
        <f>AVERAGE(BQ106:BT106)</f>
        <v>24.321200000000001</v>
      </c>
      <c r="BV106" s="4056">
        <f>+BT106*1.02</f>
        <v>27.54</v>
      </c>
      <c r="BW106" s="4056">
        <f>+BV106*1.02</f>
        <v>28.090799999999998</v>
      </c>
      <c r="BX106" s="4056">
        <f>+BW106*1.02</f>
        <v>28.652615999999998</v>
      </c>
      <c r="BY106" s="4056">
        <f>+BX106*1.02</f>
        <v>29.22566832</v>
      </c>
      <c r="BZ106" s="4057">
        <f>AVERAGE(BV106:BY106)</f>
        <v>28.377271079999996</v>
      </c>
      <c r="CA106" s="4058">
        <f>+BY106*1.08</f>
        <v>31.563721785600002</v>
      </c>
      <c r="CB106" s="4058">
        <f>+CA106*1.08</f>
        <v>34.088819528448006</v>
      </c>
      <c r="CC106" s="444"/>
      <c r="CD106" s="444"/>
      <c r="CE106" s="444"/>
      <c r="CF106" s="444"/>
      <c r="CG106" s="444"/>
      <c r="CH106" s="387"/>
      <c r="CI106" s="387"/>
      <c r="CJ106" s="387"/>
      <c r="CK106" s="387"/>
      <c r="CL106" s="387"/>
      <c r="CM106" s="387"/>
      <c r="CN106" s="387"/>
      <c r="CO106" s="387"/>
      <c r="CP106" s="1783" t="str">
        <f t="shared" si="218"/>
        <v>Price per share</v>
      </c>
      <c r="CQ106" s="894"/>
      <c r="CR106" s="894"/>
      <c r="CS106" s="894"/>
      <c r="CT106" s="894"/>
      <c r="CU106" s="894"/>
      <c r="CV106" s="894"/>
      <c r="CW106" s="894"/>
      <c r="CX106" s="894"/>
      <c r="CY106" s="894"/>
      <c r="CZ106" s="894"/>
      <c r="DA106" s="894"/>
      <c r="DB106" s="894"/>
      <c r="DC106" s="894"/>
      <c r="DD106" s="894"/>
      <c r="DE106" s="894"/>
      <c r="DF106" s="894"/>
      <c r="DG106" s="1823"/>
      <c r="DH106" s="438"/>
      <c r="DI106" s="438"/>
      <c r="DJ106" s="438"/>
      <c r="DK106" s="438"/>
      <c r="DL106" s="438"/>
      <c r="DM106" s="438"/>
      <c r="DN106" s="380"/>
      <c r="DO106" s="226"/>
      <c r="DY106" s="387"/>
      <c r="DZ106" s="387"/>
    </row>
    <row r="107" spans="1:130" ht="12" customHeight="1">
      <c r="A107" s="1785" t="s">
        <v>689</v>
      </c>
      <c r="B107" s="445"/>
      <c r="C107" s="445"/>
      <c r="D107" s="253">
        <f t="shared" ref="D107:AV107" si="239">+SUM(D38:D41)</f>
        <v>68.324999999999989</v>
      </c>
      <c r="E107" s="254">
        <f t="shared" si="239"/>
        <v>69.323999999999998</v>
      </c>
      <c r="F107" s="254">
        <f t="shared" si="239"/>
        <v>115.593</v>
      </c>
      <c r="G107" s="254">
        <f t="shared" si="239"/>
        <v>131.60599999999999</v>
      </c>
      <c r="H107" s="255">
        <f t="shared" si="239"/>
        <v>384.84799999999996</v>
      </c>
      <c r="I107" s="254">
        <f t="shared" si="239"/>
        <v>151.358</v>
      </c>
      <c r="J107" s="254">
        <f t="shared" si="239"/>
        <v>143.55100000000002</v>
      </c>
      <c r="K107" s="254">
        <f t="shared" si="239"/>
        <v>131.37799999999999</v>
      </c>
      <c r="L107" s="254">
        <f t="shared" si="239"/>
        <v>163.90600000000001</v>
      </c>
      <c r="M107" s="255">
        <f t="shared" si="239"/>
        <v>590.19299999999998</v>
      </c>
      <c r="N107" s="254">
        <f t="shared" si="239"/>
        <v>192.30599999999998</v>
      </c>
      <c r="O107" s="254">
        <f t="shared" si="239"/>
        <v>157.09300000000002</v>
      </c>
      <c r="P107" s="254">
        <f t="shared" si="239"/>
        <v>130.209</v>
      </c>
      <c r="Q107" s="254">
        <f t="shared" si="239"/>
        <v>138.22</v>
      </c>
      <c r="R107" s="255">
        <f t="shared" si="239"/>
        <v>617.82799999999997</v>
      </c>
      <c r="S107" s="254">
        <f t="shared" si="239"/>
        <v>145.74100000000001</v>
      </c>
      <c r="T107" s="254">
        <f t="shared" si="239"/>
        <v>138.07999999999998</v>
      </c>
      <c r="U107" s="254">
        <f t="shared" si="239"/>
        <v>128.08100000000002</v>
      </c>
      <c r="V107" s="254">
        <f t="shared" si="239"/>
        <v>131.518</v>
      </c>
      <c r="W107" s="255">
        <f t="shared" si="239"/>
        <v>543.42000000000007</v>
      </c>
      <c r="X107" s="254">
        <f t="shared" si="239"/>
        <v>122.42299999999999</v>
      </c>
      <c r="Y107" s="254">
        <f t="shared" si="239"/>
        <v>118.08800000000001</v>
      </c>
      <c r="Z107" s="254">
        <f t="shared" si="239"/>
        <v>91.683999999999997</v>
      </c>
      <c r="AA107" s="254">
        <f t="shared" si="239"/>
        <v>93.419000000000011</v>
      </c>
      <c r="AB107" s="255">
        <f t="shared" si="239"/>
        <v>425.61400000000003</v>
      </c>
      <c r="AC107" s="254">
        <f t="shared" si="239"/>
        <v>106.69499999999999</v>
      </c>
      <c r="AD107" s="254">
        <f t="shared" si="239"/>
        <v>99.97</v>
      </c>
      <c r="AE107" s="254">
        <f t="shared" si="239"/>
        <v>81.600999999999999</v>
      </c>
      <c r="AF107" s="254">
        <f t="shared" si="239"/>
        <v>75.063999999999993</v>
      </c>
      <c r="AG107" s="255">
        <f t="shared" si="239"/>
        <v>363.33</v>
      </c>
      <c r="AH107" s="254">
        <f t="shared" si="239"/>
        <v>87.364999999999995</v>
      </c>
      <c r="AI107" s="254">
        <f t="shared" si="239"/>
        <v>81.710000000000008</v>
      </c>
      <c r="AJ107" s="254">
        <f t="shared" si="239"/>
        <v>70.201999999999998</v>
      </c>
      <c r="AK107" s="254">
        <f t="shared" si="239"/>
        <v>75.414000000000001</v>
      </c>
      <c r="AL107" s="255">
        <f t="shared" si="239"/>
        <v>314.69100000000003</v>
      </c>
      <c r="AM107" s="254">
        <f t="shared" si="239"/>
        <v>89.858000000000004</v>
      </c>
      <c r="AN107" s="254">
        <f t="shared" si="239"/>
        <v>90.212000000000003</v>
      </c>
      <c r="AO107" s="254">
        <f t="shared" si="239"/>
        <v>81.322000000000003</v>
      </c>
      <c r="AP107" s="254">
        <f t="shared" si="239"/>
        <v>86.771000000000001</v>
      </c>
      <c r="AQ107" s="255">
        <f t="shared" si="239"/>
        <v>348.16300000000001</v>
      </c>
      <c r="AR107" s="254">
        <f t="shared" si="239"/>
        <v>105.048</v>
      </c>
      <c r="AS107" s="254">
        <f t="shared" si="239"/>
        <v>93.646999999999991</v>
      </c>
      <c r="AT107" s="254">
        <f t="shared" si="239"/>
        <v>79.335000000000008</v>
      </c>
      <c r="AU107" s="254">
        <f t="shared" si="239"/>
        <v>75.893000000000001</v>
      </c>
      <c r="AV107" s="255">
        <f t="shared" si="239"/>
        <v>353.923</v>
      </c>
      <c r="AW107" s="2370">
        <f t="shared" ref="AW107:BK107" si="240">+SUM(AW38:AW42)</f>
        <v>146.70999999999998</v>
      </c>
      <c r="AX107" s="254">
        <f t="shared" si="240"/>
        <v>144.96799999999999</v>
      </c>
      <c r="AY107" s="254">
        <f t="shared" si="240"/>
        <v>119.09399999999999</v>
      </c>
      <c r="AZ107" s="254">
        <f t="shared" si="240"/>
        <v>127.00999999999999</v>
      </c>
      <c r="BA107" s="255">
        <f t="shared" si="240"/>
        <v>537.78199999999993</v>
      </c>
      <c r="BB107" s="254">
        <f t="shared" si="240"/>
        <v>138.19299999999998</v>
      </c>
      <c r="BC107" s="254">
        <f t="shared" si="240"/>
        <v>132.613</v>
      </c>
      <c r="BD107" s="254">
        <f t="shared" si="240"/>
        <v>120.83500000000001</v>
      </c>
      <c r="BE107" s="254">
        <f t="shared" si="240"/>
        <v>135.12299999999999</v>
      </c>
      <c r="BF107" s="255">
        <f t="shared" si="240"/>
        <v>526.76400000000001</v>
      </c>
      <c r="BG107" s="254">
        <f t="shared" si="240"/>
        <v>146.90100000000001</v>
      </c>
      <c r="BH107" s="254">
        <f t="shared" si="240"/>
        <v>155.423</v>
      </c>
      <c r="BI107" s="254">
        <f t="shared" si="240"/>
        <v>138.75200000000001</v>
      </c>
      <c r="BJ107" s="254">
        <f t="shared" si="240"/>
        <v>146.49199999999999</v>
      </c>
      <c r="BK107" s="255">
        <f t="shared" si="240"/>
        <v>587.56799999999998</v>
      </c>
      <c r="BL107" s="254">
        <f t="shared" ref="BL107:BM107" si="241">+SUM(BL38:BL42)</f>
        <v>152.87700000000001</v>
      </c>
      <c r="BM107" s="254">
        <f t="shared" si="241"/>
        <v>152.18299999999999</v>
      </c>
      <c r="BN107" s="254">
        <f>+SUM(BN38:BN44)</f>
        <v>136.82400000000001</v>
      </c>
      <c r="BO107" s="254">
        <f t="shared" ref="BO107:CG107" si="242">+SUM(BO38:BO44)</f>
        <v>154.321</v>
      </c>
      <c r="BP107" s="255">
        <f t="shared" si="242"/>
        <v>596.20500000000004</v>
      </c>
      <c r="BQ107" s="254">
        <f t="shared" si="242"/>
        <v>173.96600000000001</v>
      </c>
      <c r="BR107" s="254">
        <f t="shared" si="242"/>
        <v>169.38200000000001</v>
      </c>
      <c r="BS107" s="254">
        <f>+SUM(BS38:BS44)</f>
        <v>157.75099999999998</v>
      </c>
      <c r="BT107" s="254">
        <f t="shared" si="242"/>
        <v>167.572</v>
      </c>
      <c r="BU107" s="3315">
        <f t="shared" si="242"/>
        <v>668.67100000000005</v>
      </c>
      <c r="BV107" s="254">
        <f t="shared" ref="BV107:BZ107" si="243">+SUM(BV38:BV44)</f>
        <v>176.43480741757983</v>
      </c>
      <c r="BW107" s="254">
        <f t="shared" si="243"/>
        <v>175.08302139382249</v>
      </c>
      <c r="BX107" s="254">
        <f t="shared" si="243"/>
        <v>221.94900484526767</v>
      </c>
      <c r="BY107" s="254">
        <f t="shared" si="243"/>
        <v>235.52749180563794</v>
      </c>
      <c r="BZ107" s="3315">
        <f t="shared" si="243"/>
        <v>808.99432546230787</v>
      </c>
      <c r="CA107" s="255">
        <f t="shared" si="242"/>
        <v>943.95789252238421</v>
      </c>
      <c r="CB107" s="255">
        <f t="shared" si="242"/>
        <v>956.88394406042028</v>
      </c>
      <c r="CC107" s="255">
        <f t="shared" si="242"/>
        <v>95.486689876253081</v>
      </c>
      <c r="CD107" s="255">
        <f t="shared" si="242"/>
        <v>45.517312712226499</v>
      </c>
      <c r="CE107" s="255">
        <f t="shared" si="242"/>
        <v>68.288179274109439</v>
      </c>
      <c r="CF107" s="255">
        <f t="shared" si="242"/>
        <v>91.730288352075377</v>
      </c>
      <c r="CG107" s="255">
        <f t="shared" si="242"/>
        <v>115.85922304829364</v>
      </c>
      <c r="CH107" s="448"/>
      <c r="CI107" s="448"/>
      <c r="CJ107" s="448"/>
      <c r="CK107" s="448"/>
      <c r="CL107" s="448"/>
      <c r="CM107" s="965"/>
      <c r="CN107" s="965">
        <f t="shared" ref="CN107:CN108" si="244">SUM(BV107:BY107)</f>
        <v>808.99432546230787</v>
      </c>
      <c r="CO107" s="965">
        <f t="shared" ref="CO107:CO108" si="245">CM107-CN107</f>
        <v>-808.99432546230787</v>
      </c>
      <c r="CP107" s="1785" t="str">
        <f t="shared" si="218"/>
        <v>Total Wholly-owned EBITDA</v>
      </c>
      <c r="CQ107" s="254">
        <f t="shared" si="219"/>
        <v>384.84799999999996</v>
      </c>
      <c r="CR107" s="254">
        <f t="shared" si="220"/>
        <v>590.19299999999998</v>
      </c>
      <c r="CS107" s="254">
        <f t="shared" si="221"/>
        <v>617.82799999999997</v>
      </c>
      <c r="CT107" s="254">
        <f t="shared" si="222"/>
        <v>543.42000000000007</v>
      </c>
      <c r="CU107" s="254">
        <f t="shared" si="223"/>
        <v>425.61400000000003</v>
      </c>
      <c r="CV107" s="254">
        <f t="shared" si="224"/>
        <v>363.33</v>
      </c>
      <c r="CW107" s="254">
        <f t="shared" si="225"/>
        <v>314.69100000000003</v>
      </c>
      <c r="CX107" s="254">
        <f t="shared" si="226"/>
        <v>348.16300000000001</v>
      </c>
      <c r="CY107" s="254">
        <f t="shared" si="227"/>
        <v>353.923</v>
      </c>
      <c r="CZ107" s="254">
        <f t="shared" si="228"/>
        <v>537.78199999999993</v>
      </c>
      <c r="DA107" s="254">
        <f t="shared" si="229"/>
        <v>526.76400000000001</v>
      </c>
      <c r="DB107" s="254">
        <f t="shared" si="230"/>
        <v>587.56799999999998</v>
      </c>
      <c r="DC107" s="254">
        <f t="shared" si="231"/>
        <v>596.20500000000004</v>
      </c>
      <c r="DD107" s="254">
        <f t="shared" si="232"/>
        <v>668.67100000000005</v>
      </c>
      <c r="DE107" s="254">
        <f t="shared" si="233"/>
        <v>808.99432546230787</v>
      </c>
      <c r="DF107" s="254">
        <f t="shared" si="234"/>
        <v>943.95789252238421</v>
      </c>
      <c r="DG107" s="256">
        <f t="shared" si="235"/>
        <v>956.88394406042028</v>
      </c>
      <c r="DH107" s="450"/>
      <c r="DI107" s="240"/>
      <c r="DJ107" s="240"/>
      <c r="DK107" s="240"/>
      <c r="DL107" s="240"/>
      <c r="DM107" s="240"/>
      <c r="DN107" s="240"/>
      <c r="DO107" s="226"/>
      <c r="DY107" s="254"/>
      <c r="DZ107" s="254"/>
    </row>
    <row r="108" spans="1:130" ht="12" customHeight="1">
      <c r="A108" s="1824" t="s">
        <v>1250</v>
      </c>
      <c r="B108" s="1695"/>
      <c r="C108" s="1695"/>
      <c r="D108" s="365">
        <f t="shared" ref="D108:AI108" si="246">+D54</f>
        <v>-6.2679999999999998</v>
      </c>
      <c r="E108" s="374">
        <f t="shared" si="246"/>
        <v>-7.5629999999999997</v>
      </c>
      <c r="F108" s="374">
        <f t="shared" si="246"/>
        <v>-9.7159999999999993</v>
      </c>
      <c r="G108" s="374">
        <f t="shared" si="246"/>
        <v>-9.7910000000000004</v>
      </c>
      <c r="H108" s="317">
        <f t="shared" si="246"/>
        <v>-33.337999999999994</v>
      </c>
      <c r="I108" s="374">
        <f t="shared" si="246"/>
        <v>-9.7929999999999993</v>
      </c>
      <c r="J108" s="374">
        <f t="shared" si="246"/>
        <v>-11.497</v>
      </c>
      <c r="K108" s="374">
        <f t="shared" si="246"/>
        <v>-11.236000000000001</v>
      </c>
      <c r="L108" s="374">
        <f t="shared" si="246"/>
        <v>-11.574999999999999</v>
      </c>
      <c r="M108" s="317">
        <f t="shared" si="246"/>
        <v>-44.100999999999999</v>
      </c>
      <c r="N108" s="374">
        <f t="shared" si="246"/>
        <v>-9.49</v>
      </c>
      <c r="O108" s="374">
        <f t="shared" si="246"/>
        <v>-9.0850000000000009</v>
      </c>
      <c r="P108" s="374">
        <f t="shared" si="246"/>
        <v>-10.013</v>
      </c>
      <c r="Q108" s="374">
        <f t="shared" si="246"/>
        <v>-11.393000000000001</v>
      </c>
      <c r="R108" s="317">
        <f t="shared" si="246"/>
        <v>-39.981000000000002</v>
      </c>
      <c r="S108" s="374">
        <f t="shared" si="246"/>
        <v>-12.193</v>
      </c>
      <c r="T108" s="374">
        <f t="shared" si="246"/>
        <v>-9.9949999999999992</v>
      </c>
      <c r="U108" s="374">
        <f t="shared" si="246"/>
        <v>-11.670999999999999</v>
      </c>
      <c r="V108" s="374">
        <f t="shared" si="246"/>
        <v>-15.101000000000001</v>
      </c>
      <c r="W108" s="317">
        <f t="shared" si="246"/>
        <v>-48.959999999999994</v>
      </c>
      <c r="X108" s="374">
        <f t="shared" si="246"/>
        <v>-13.746</v>
      </c>
      <c r="Y108" s="374">
        <f t="shared" si="246"/>
        <v>-11.685</v>
      </c>
      <c r="Z108" s="374">
        <f t="shared" si="246"/>
        <v>-10.672000000000001</v>
      </c>
      <c r="AA108" s="374">
        <f t="shared" si="246"/>
        <v>-7.391</v>
      </c>
      <c r="AB108" s="317">
        <f t="shared" si="246"/>
        <v>-43.494</v>
      </c>
      <c r="AC108" s="374">
        <f t="shared" si="246"/>
        <v>-9.98</v>
      </c>
      <c r="AD108" s="374">
        <f t="shared" si="246"/>
        <v>-8.2159999999999993</v>
      </c>
      <c r="AE108" s="374">
        <f t="shared" si="246"/>
        <v>-9.157</v>
      </c>
      <c r="AF108" s="374">
        <f t="shared" si="246"/>
        <v>-9.5809999999999995</v>
      </c>
      <c r="AG108" s="317">
        <f t="shared" si="246"/>
        <v>-36.933999999999997</v>
      </c>
      <c r="AH108" s="374">
        <f t="shared" si="246"/>
        <v>-9.75</v>
      </c>
      <c r="AI108" s="374">
        <f t="shared" si="246"/>
        <v>-11.170999999999999</v>
      </c>
      <c r="AJ108" s="374">
        <f t="shared" ref="AJ108:CB108" si="247">+AJ54</f>
        <v>-9.1440000000000001</v>
      </c>
      <c r="AK108" s="374">
        <f t="shared" si="247"/>
        <v>-9.5</v>
      </c>
      <c r="AL108" s="317">
        <f t="shared" si="247"/>
        <v>-39.564999999999998</v>
      </c>
      <c r="AM108" s="374">
        <f t="shared" si="247"/>
        <v>-9.7989999999999995</v>
      </c>
      <c r="AN108" s="374">
        <f t="shared" si="247"/>
        <v>-10.457000000000001</v>
      </c>
      <c r="AO108" s="374">
        <f t="shared" si="247"/>
        <v>-9.57</v>
      </c>
      <c r="AP108" s="374">
        <f t="shared" si="247"/>
        <v>-10.363</v>
      </c>
      <c r="AQ108" s="317">
        <f t="shared" si="247"/>
        <v>-40.189</v>
      </c>
      <c r="AR108" s="374">
        <f t="shared" si="247"/>
        <v>-10.127000000000001</v>
      </c>
      <c r="AS108" s="374">
        <f t="shared" si="247"/>
        <v>-10.547000000000001</v>
      </c>
      <c r="AT108" s="374">
        <f t="shared" si="247"/>
        <v>-9.0820000000000007</v>
      </c>
      <c r="AU108" s="374">
        <f t="shared" si="247"/>
        <v>-10.198</v>
      </c>
      <c r="AV108" s="317">
        <f t="shared" si="247"/>
        <v>-39.954000000000001</v>
      </c>
      <c r="AW108" s="374">
        <f t="shared" si="247"/>
        <v>-11.638</v>
      </c>
      <c r="AX108" s="374">
        <f t="shared" si="247"/>
        <v>-12.628</v>
      </c>
      <c r="AY108" s="374">
        <f t="shared" si="247"/>
        <v>-10.409000000000001</v>
      </c>
      <c r="AZ108" s="374">
        <f t="shared" si="247"/>
        <v>-11.919</v>
      </c>
      <c r="BA108" s="317">
        <f t="shared" si="247"/>
        <v>-46.593999999999994</v>
      </c>
      <c r="BB108" s="374">
        <f t="shared" si="247"/>
        <v>-14.170999999999999</v>
      </c>
      <c r="BC108" s="374">
        <f t="shared" si="247"/>
        <v>-14.625</v>
      </c>
      <c r="BD108" s="374">
        <f t="shared" si="247"/>
        <v>-13.848000000000001</v>
      </c>
      <c r="BE108" s="374">
        <f t="shared" si="247"/>
        <v>-16.777000000000001</v>
      </c>
      <c r="BF108" s="317">
        <f t="shared" si="247"/>
        <v>-59.420999999999999</v>
      </c>
      <c r="BG108" s="374">
        <f t="shared" si="247"/>
        <v>-16.641999999999999</v>
      </c>
      <c r="BH108" s="374">
        <f t="shared" si="247"/>
        <v>-14.776999999999999</v>
      </c>
      <c r="BI108" s="374">
        <f t="shared" si="247"/>
        <v>-13.581</v>
      </c>
      <c r="BJ108" s="374">
        <f t="shared" si="247"/>
        <v>-15.177</v>
      </c>
      <c r="BK108" s="317">
        <f t="shared" si="247"/>
        <v>-60.177</v>
      </c>
      <c r="BL108" s="374">
        <f t="shared" si="247"/>
        <v>-15.185</v>
      </c>
      <c r="BM108" s="374">
        <f t="shared" ref="BM108:BU108" si="248">+BM54</f>
        <v>-14.286</v>
      </c>
      <c r="BN108" s="374">
        <f t="shared" si="248"/>
        <v>-14.884</v>
      </c>
      <c r="BO108" s="374">
        <f t="shared" si="248"/>
        <v>-15.52</v>
      </c>
      <c r="BP108" s="317">
        <f t="shared" si="248"/>
        <v>-59.875</v>
      </c>
      <c r="BQ108" s="374">
        <f t="shared" si="248"/>
        <v>-18.163</v>
      </c>
      <c r="BR108" s="374">
        <f t="shared" si="248"/>
        <v>-18.207000000000001</v>
      </c>
      <c r="BS108" s="374">
        <f>+BS54</f>
        <v>-17.48</v>
      </c>
      <c r="BT108" s="374">
        <f t="shared" si="248"/>
        <v>-19.196000000000002</v>
      </c>
      <c r="BU108" s="3338">
        <f t="shared" si="248"/>
        <v>-73.046000000000006</v>
      </c>
      <c r="BV108" s="374">
        <f t="shared" ref="BV108:BZ108" si="249">+BV54</f>
        <v>-19</v>
      </c>
      <c r="BW108" s="374">
        <f t="shared" si="249"/>
        <v>-19</v>
      </c>
      <c r="BX108" s="374">
        <f t="shared" si="249"/>
        <v>-19</v>
      </c>
      <c r="BY108" s="374">
        <f t="shared" si="249"/>
        <v>-19</v>
      </c>
      <c r="BZ108" s="3338">
        <f t="shared" si="249"/>
        <v>-76</v>
      </c>
      <c r="CA108" s="373">
        <f t="shared" si="247"/>
        <v>-70</v>
      </c>
      <c r="CB108" s="373">
        <f t="shared" si="247"/>
        <v>-71.400000000000006</v>
      </c>
      <c r="CC108" s="373">
        <f>+CC54</f>
        <v>-72.828000000000003</v>
      </c>
      <c r="CD108" s="373">
        <f>+CD54</f>
        <v>-74.284559999999999</v>
      </c>
      <c r="CE108" s="373">
        <f>+CE54</f>
        <v>-75.770251200000004</v>
      </c>
      <c r="CF108" s="373">
        <f>+CF54</f>
        <v>-77.285656224000007</v>
      </c>
      <c r="CG108" s="373">
        <f>+CG54</f>
        <v>-78.83136934848001</v>
      </c>
      <c r="CH108" s="451"/>
      <c r="CI108" s="451"/>
      <c r="CJ108" s="451"/>
      <c r="CK108" s="451"/>
      <c r="CL108" s="451"/>
      <c r="CM108" s="965"/>
      <c r="CN108" s="965">
        <f t="shared" si="244"/>
        <v>-76</v>
      </c>
      <c r="CO108" s="965">
        <f t="shared" si="245"/>
        <v>76</v>
      </c>
      <c r="CP108" s="1824" t="str">
        <f t="shared" si="218"/>
        <v>Less: Corporate Expense</v>
      </c>
      <c r="CQ108" s="374">
        <f t="shared" si="219"/>
        <v>-33.337999999999994</v>
      </c>
      <c r="CR108" s="374">
        <f t="shared" si="220"/>
        <v>-44.100999999999999</v>
      </c>
      <c r="CS108" s="374">
        <f t="shared" si="221"/>
        <v>-39.981000000000002</v>
      </c>
      <c r="CT108" s="374">
        <f t="shared" si="222"/>
        <v>-48.959999999999994</v>
      </c>
      <c r="CU108" s="374">
        <f t="shared" si="223"/>
        <v>-43.494</v>
      </c>
      <c r="CV108" s="374">
        <f t="shared" si="224"/>
        <v>-36.933999999999997</v>
      </c>
      <c r="CW108" s="374">
        <f t="shared" si="225"/>
        <v>-39.564999999999998</v>
      </c>
      <c r="CX108" s="374">
        <f t="shared" si="226"/>
        <v>-40.189</v>
      </c>
      <c r="CY108" s="374">
        <f t="shared" si="227"/>
        <v>-39.954000000000001</v>
      </c>
      <c r="CZ108" s="374">
        <f t="shared" si="228"/>
        <v>-46.593999999999994</v>
      </c>
      <c r="DA108" s="374">
        <f t="shared" si="229"/>
        <v>-59.420999999999999</v>
      </c>
      <c r="DB108" s="374">
        <f t="shared" si="230"/>
        <v>-60.177</v>
      </c>
      <c r="DC108" s="374">
        <f t="shared" si="231"/>
        <v>-59.875</v>
      </c>
      <c r="DD108" s="374">
        <f t="shared" si="232"/>
        <v>-73.046000000000006</v>
      </c>
      <c r="DE108" s="374">
        <f t="shared" si="233"/>
        <v>-76</v>
      </c>
      <c r="DF108" s="374">
        <f t="shared" si="234"/>
        <v>-70</v>
      </c>
      <c r="DG108" s="1802">
        <f t="shared" si="235"/>
        <v>-71.400000000000006</v>
      </c>
      <c r="DH108" s="451"/>
      <c r="DI108" s="454"/>
      <c r="DJ108" s="454"/>
      <c r="DK108" s="454"/>
      <c r="DL108" s="454"/>
      <c r="DM108" s="454"/>
      <c r="DN108" s="454"/>
      <c r="DO108" s="455"/>
      <c r="DY108" s="318"/>
      <c r="DZ108" s="318"/>
    </row>
    <row r="109" spans="1:130" ht="4.5" customHeight="1">
      <c r="A109" s="1784"/>
      <c r="B109" s="293"/>
      <c r="C109" s="293"/>
      <c r="D109" s="294" t="s">
        <v>343</v>
      </c>
      <c r="E109" s="295" t="s">
        <v>343</v>
      </c>
      <c r="F109" s="295" t="s">
        <v>343</v>
      </c>
      <c r="G109" s="295" t="s">
        <v>343</v>
      </c>
      <c r="H109" s="296" t="s">
        <v>343</v>
      </c>
      <c r="I109" s="295" t="s">
        <v>343</v>
      </c>
      <c r="J109" s="295" t="s">
        <v>343</v>
      </c>
      <c r="K109" s="295" t="s">
        <v>343</v>
      </c>
      <c r="L109" s="295" t="s">
        <v>343</v>
      </c>
      <c r="M109" s="296" t="s">
        <v>343</v>
      </c>
      <c r="N109" s="295" t="s">
        <v>343</v>
      </c>
      <c r="O109" s="295" t="s">
        <v>343</v>
      </c>
      <c r="P109" s="295" t="s">
        <v>343</v>
      </c>
      <c r="Q109" s="295" t="s">
        <v>343</v>
      </c>
      <c r="R109" s="296" t="s">
        <v>343</v>
      </c>
      <c r="S109" s="295" t="s">
        <v>343</v>
      </c>
      <c r="T109" s="295" t="s">
        <v>343</v>
      </c>
      <c r="U109" s="295" t="s">
        <v>343</v>
      </c>
      <c r="V109" s="295" t="s">
        <v>343</v>
      </c>
      <c r="W109" s="296" t="s">
        <v>343</v>
      </c>
      <c r="X109" s="295" t="s">
        <v>343</v>
      </c>
      <c r="Y109" s="295" t="s">
        <v>343</v>
      </c>
      <c r="Z109" s="295" t="s">
        <v>343</v>
      </c>
      <c r="AA109" s="295" t="s">
        <v>343</v>
      </c>
      <c r="AB109" s="296" t="s">
        <v>343</v>
      </c>
      <c r="AC109" s="295" t="s">
        <v>343</v>
      </c>
      <c r="AD109" s="295" t="s">
        <v>343</v>
      </c>
      <c r="AE109" s="295" t="s">
        <v>343</v>
      </c>
      <c r="AF109" s="295" t="s">
        <v>343</v>
      </c>
      <c r="AG109" s="296" t="s">
        <v>343</v>
      </c>
      <c r="AH109" s="295" t="s">
        <v>343</v>
      </c>
      <c r="AI109" s="295" t="s">
        <v>343</v>
      </c>
      <c r="AJ109" s="295" t="s">
        <v>343</v>
      </c>
      <c r="AK109" s="295" t="s">
        <v>343</v>
      </c>
      <c r="AL109" s="296" t="s">
        <v>343</v>
      </c>
      <c r="AM109" s="295" t="s">
        <v>343</v>
      </c>
      <c r="AN109" s="295" t="s">
        <v>343</v>
      </c>
      <c r="AO109" s="295" t="s">
        <v>343</v>
      </c>
      <c r="AP109" s="295" t="s">
        <v>343</v>
      </c>
      <c r="AQ109" s="296" t="s">
        <v>343</v>
      </c>
      <c r="AR109" s="295" t="s">
        <v>343</v>
      </c>
      <c r="AS109" s="295" t="s">
        <v>343</v>
      </c>
      <c r="AT109" s="295" t="s">
        <v>343</v>
      </c>
      <c r="AU109" s="295" t="s">
        <v>343</v>
      </c>
      <c r="AV109" s="296" t="s">
        <v>343</v>
      </c>
      <c r="AW109" s="295" t="s">
        <v>343</v>
      </c>
      <c r="AX109" s="295" t="s">
        <v>343</v>
      </c>
      <c r="AY109" s="295" t="s">
        <v>343</v>
      </c>
      <c r="AZ109" s="295" t="s">
        <v>343</v>
      </c>
      <c r="BA109" s="296" t="s">
        <v>343</v>
      </c>
      <c r="BB109" s="295" t="s">
        <v>343</v>
      </c>
      <c r="BC109" s="295" t="s">
        <v>343</v>
      </c>
      <c r="BD109" s="295" t="s">
        <v>343</v>
      </c>
      <c r="BE109" s="295" t="s">
        <v>343</v>
      </c>
      <c r="BF109" s="296" t="s">
        <v>343</v>
      </c>
      <c r="BG109" s="295" t="s">
        <v>343</v>
      </c>
      <c r="BH109" s="295" t="s">
        <v>343</v>
      </c>
      <c r="BI109" s="295" t="s">
        <v>343</v>
      </c>
      <c r="BJ109" s="295" t="s">
        <v>343</v>
      </c>
      <c r="BK109" s="296" t="s">
        <v>343</v>
      </c>
      <c r="BL109" s="295" t="s">
        <v>343</v>
      </c>
      <c r="BM109" s="295" t="s">
        <v>343</v>
      </c>
      <c r="BN109" s="295" t="s">
        <v>343</v>
      </c>
      <c r="BO109" s="295" t="s">
        <v>343</v>
      </c>
      <c r="BP109" s="296" t="s">
        <v>343</v>
      </c>
      <c r="BQ109" s="295" t="s">
        <v>343</v>
      </c>
      <c r="BR109" s="295" t="s">
        <v>343</v>
      </c>
      <c r="BS109" s="295" t="s">
        <v>343</v>
      </c>
      <c r="BT109" s="295" t="s">
        <v>343</v>
      </c>
      <c r="BU109" s="3314" t="s">
        <v>343</v>
      </c>
      <c r="BV109" s="295" t="s">
        <v>343</v>
      </c>
      <c r="BW109" s="295" t="s">
        <v>343</v>
      </c>
      <c r="BX109" s="295" t="s">
        <v>343</v>
      </c>
      <c r="BY109" s="295" t="s">
        <v>343</v>
      </c>
      <c r="BZ109" s="3314" t="s">
        <v>343</v>
      </c>
      <c r="CA109" s="297" t="s">
        <v>343</v>
      </c>
      <c r="CB109" s="297" t="s">
        <v>343</v>
      </c>
      <c r="CC109" s="297" t="s">
        <v>343</v>
      </c>
      <c r="CD109" s="297" t="s">
        <v>343</v>
      </c>
      <c r="CE109" s="297" t="s">
        <v>343</v>
      </c>
      <c r="CF109" s="297" t="s">
        <v>343</v>
      </c>
      <c r="CG109" s="297" t="s">
        <v>343</v>
      </c>
      <c r="CH109" s="295"/>
      <c r="CI109" s="295"/>
      <c r="CJ109" s="295"/>
      <c r="CK109" s="295"/>
      <c r="CL109" s="295"/>
      <c r="CM109" s="295"/>
      <c r="CN109" s="295"/>
      <c r="CO109" s="295"/>
      <c r="CP109" s="1784"/>
      <c r="CQ109" s="295" t="str">
        <f t="shared" si="219"/>
        <v xml:space="preserve">                </v>
      </c>
      <c r="CR109" s="295" t="str">
        <f t="shared" si="220"/>
        <v xml:space="preserve">                </v>
      </c>
      <c r="CS109" s="295" t="str">
        <f t="shared" si="221"/>
        <v xml:space="preserve">                </v>
      </c>
      <c r="CT109" s="295" t="str">
        <f t="shared" si="222"/>
        <v xml:space="preserve">                </v>
      </c>
      <c r="CU109" s="295" t="str">
        <f t="shared" si="223"/>
        <v xml:space="preserve">                </v>
      </c>
      <c r="CV109" s="295" t="str">
        <f t="shared" si="224"/>
        <v xml:space="preserve">                </v>
      </c>
      <c r="CW109" s="295" t="str">
        <f t="shared" si="225"/>
        <v xml:space="preserve">                </v>
      </c>
      <c r="CX109" s="295" t="str">
        <f t="shared" si="226"/>
        <v xml:space="preserve">                </v>
      </c>
      <c r="CY109" s="295" t="str">
        <f t="shared" si="227"/>
        <v xml:space="preserve">                </v>
      </c>
      <c r="CZ109" s="295" t="str">
        <f t="shared" si="228"/>
        <v xml:space="preserve">                </v>
      </c>
      <c r="DA109" s="295" t="str">
        <f t="shared" si="229"/>
        <v xml:space="preserve">                </v>
      </c>
      <c r="DB109" s="295" t="str">
        <f t="shared" si="230"/>
        <v xml:space="preserve">                </v>
      </c>
      <c r="DC109" s="295" t="str">
        <f t="shared" si="231"/>
        <v xml:space="preserve">                </v>
      </c>
      <c r="DD109" s="295" t="str">
        <f t="shared" si="232"/>
        <v xml:space="preserve">                </v>
      </c>
      <c r="DE109" s="295" t="str">
        <f t="shared" si="233"/>
        <v xml:space="preserve">                </v>
      </c>
      <c r="DF109" s="295" t="str">
        <f t="shared" si="234"/>
        <v xml:space="preserve">                </v>
      </c>
      <c r="DG109" s="297" t="str">
        <f t="shared" si="235"/>
        <v xml:space="preserve">                </v>
      </c>
      <c r="DH109" s="298"/>
      <c r="DI109" s="299"/>
      <c r="DJ109" s="299"/>
      <c r="DK109" s="299"/>
      <c r="DL109" s="299"/>
      <c r="DM109" s="299"/>
      <c r="DN109" s="299"/>
      <c r="DO109" s="300"/>
      <c r="DY109" s="295"/>
      <c r="DZ109" s="295"/>
    </row>
    <row r="110" spans="1:130" ht="12" customHeight="1">
      <c r="A110" s="1785" t="s">
        <v>1251</v>
      </c>
      <c r="B110" s="445"/>
      <c r="C110" s="445"/>
      <c r="D110" s="253">
        <f>SUM(D107:D109)</f>
        <v>62.056999999999988</v>
      </c>
      <c r="E110" s="254">
        <f t="shared" ref="E110:CB110" si="250">SUM(E107:E109)</f>
        <v>61.760999999999996</v>
      </c>
      <c r="F110" s="254">
        <f t="shared" si="250"/>
        <v>105.87700000000001</v>
      </c>
      <c r="G110" s="254">
        <f t="shared" si="250"/>
        <v>121.815</v>
      </c>
      <c r="H110" s="255">
        <f t="shared" si="250"/>
        <v>351.51</v>
      </c>
      <c r="I110" s="254">
        <f t="shared" si="250"/>
        <v>141.565</v>
      </c>
      <c r="J110" s="254">
        <f t="shared" si="250"/>
        <v>132.05400000000003</v>
      </c>
      <c r="K110" s="254">
        <f t="shared" si="250"/>
        <v>120.14199999999998</v>
      </c>
      <c r="L110" s="254">
        <f t="shared" si="250"/>
        <v>152.33100000000002</v>
      </c>
      <c r="M110" s="255">
        <f t="shared" si="250"/>
        <v>546.09199999999998</v>
      </c>
      <c r="N110" s="254">
        <f t="shared" si="250"/>
        <v>182.81599999999997</v>
      </c>
      <c r="O110" s="254">
        <f t="shared" si="250"/>
        <v>148.00800000000001</v>
      </c>
      <c r="P110" s="254">
        <f t="shared" si="250"/>
        <v>120.196</v>
      </c>
      <c r="Q110" s="254">
        <f t="shared" si="250"/>
        <v>126.827</v>
      </c>
      <c r="R110" s="255">
        <f t="shared" si="250"/>
        <v>577.84699999999998</v>
      </c>
      <c r="S110" s="254">
        <f t="shared" si="250"/>
        <v>133.548</v>
      </c>
      <c r="T110" s="254">
        <f t="shared" si="250"/>
        <v>128.08499999999998</v>
      </c>
      <c r="U110" s="254">
        <f t="shared" si="250"/>
        <v>116.41000000000003</v>
      </c>
      <c r="V110" s="254">
        <f t="shared" si="250"/>
        <v>116.417</v>
      </c>
      <c r="W110" s="255">
        <f t="shared" si="250"/>
        <v>494.46000000000009</v>
      </c>
      <c r="X110" s="254">
        <f t="shared" si="250"/>
        <v>108.67699999999999</v>
      </c>
      <c r="Y110" s="254">
        <f t="shared" si="250"/>
        <v>106.40300000000001</v>
      </c>
      <c r="Z110" s="254">
        <f t="shared" si="250"/>
        <v>81.012</v>
      </c>
      <c r="AA110" s="254">
        <f t="shared" si="250"/>
        <v>86.028000000000006</v>
      </c>
      <c r="AB110" s="255">
        <f t="shared" si="250"/>
        <v>382.12</v>
      </c>
      <c r="AC110" s="254">
        <f t="shared" si="250"/>
        <v>96.714999999999989</v>
      </c>
      <c r="AD110" s="254">
        <f t="shared" si="250"/>
        <v>91.754000000000005</v>
      </c>
      <c r="AE110" s="254">
        <f t="shared" si="250"/>
        <v>72.444000000000003</v>
      </c>
      <c r="AF110" s="254">
        <f t="shared" si="250"/>
        <v>65.48299999999999</v>
      </c>
      <c r="AG110" s="255">
        <f t="shared" si="250"/>
        <v>326.39599999999996</v>
      </c>
      <c r="AH110" s="253">
        <f t="shared" si="250"/>
        <v>77.614999999999995</v>
      </c>
      <c r="AI110" s="254">
        <f t="shared" si="250"/>
        <v>70.539000000000016</v>
      </c>
      <c r="AJ110" s="254">
        <f t="shared" si="250"/>
        <v>61.058</v>
      </c>
      <c r="AK110" s="254">
        <f t="shared" si="250"/>
        <v>65.914000000000001</v>
      </c>
      <c r="AL110" s="255">
        <f t="shared" si="250"/>
        <v>275.12600000000003</v>
      </c>
      <c r="AM110" s="254">
        <f t="shared" si="250"/>
        <v>80.058999999999997</v>
      </c>
      <c r="AN110" s="254">
        <f t="shared" si="250"/>
        <v>79.754999999999995</v>
      </c>
      <c r="AO110" s="254">
        <f t="shared" si="250"/>
        <v>71.75200000000001</v>
      </c>
      <c r="AP110" s="254">
        <f t="shared" si="250"/>
        <v>76.408000000000001</v>
      </c>
      <c r="AQ110" s="255">
        <f t="shared" si="250"/>
        <v>307.97399999999999</v>
      </c>
      <c r="AR110" s="254">
        <f t="shared" si="250"/>
        <v>94.921000000000006</v>
      </c>
      <c r="AS110" s="254">
        <f t="shared" si="250"/>
        <v>83.1</v>
      </c>
      <c r="AT110" s="254">
        <f t="shared" si="250"/>
        <v>70.253000000000014</v>
      </c>
      <c r="AU110" s="254">
        <f t="shared" si="250"/>
        <v>65.694999999999993</v>
      </c>
      <c r="AV110" s="255">
        <f t="shared" si="250"/>
        <v>313.96899999999999</v>
      </c>
      <c r="AW110" s="254">
        <f t="shared" si="250"/>
        <v>135.07199999999997</v>
      </c>
      <c r="AX110" s="254">
        <f t="shared" si="250"/>
        <v>132.33999999999997</v>
      </c>
      <c r="AY110" s="254">
        <f t="shared" si="250"/>
        <v>108.68499999999999</v>
      </c>
      <c r="AZ110" s="254">
        <f t="shared" si="250"/>
        <v>115.09099999999999</v>
      </c>
      <c r="BA110" s="255">
        <f t="shared" si="250"/>
        <v>491.18799999999993</v>
      </c>
      <c r="BB110" s="254">
        <f t="shared" si="250"/>
        <v>124.02199999999999</v>
      </c>
      <c r="BC110" s="254">
        <f t="shared" si="250"/>
        <v>117.988</v>
      </c>
      <c r="BD110" s="254">
        <f t="shared" si="250"/>
        <v>106.98700000000001</v>
      </c>
      <c r="BE110" s="254">
        <f t="shared" si="250"/>
        <v>118.34599999999999</v>
      </c>
      <c r="BF110" s="255">
        <f t="shared" si="250"/>
        <v>467.34300000000002</v>
      </c>
      <c r="BG110" s="254">
        <f t="shared" ref="BG110:BP110" si="251">SUM(BG107:BG109)</f>
        <v>130.25900000000001</v>
      </c>
      <c r="BH110" s="254">
        <f t="shared" si="251"/>
        <v>140.64600000000002</v>
      </c>
      <c r="BI110" s="254">
        <f t="shared" si="251"/>
        <v>125.17100000000001</v>
      </c>
      <c r="BJ110" s="254">
        <f t="shared" si="251"/>
        <v>131.315</v>
      </c>
      <c r="BK110" s="255">
        <f t="shared" si="251"/>
        <v>527.39099999999996</v>
      </c>
      <c r="BL110" s="254">
        <f t="shared" si="251"/>
        <v>137.69200000000001</v>
      </c>
      <c r="BM110" s="254">
        <f t="shared" si="251"/>
        <v>137.89699999999999</v>
      </c>
      <c r="BN110" s="254">
        <f t="shared" si="251"/>
        <v>121.94000000000001</v>
      </c>
      <c r="BO110" s="254">
        <f t="shared" si="251"/>
        <v>138.80099999999999</v>
      </c>
      <c r="BP110" s="255">
        <f t="shared" si="251"/>
        <v>536.33000000000004</v>
      </c>
      <c r="BQ110" s="254">
        <f t="shared" ref="BQ110:BZ110" si="252">SUM(BQ107:BQ109)</f>
        <v>155.803</v>
      </c>
      <c r="BR110" s="254">
        <f t="shared" si="252"/>
        <v>151.17500000000001</v>
      </c>
      <c r="BS110" s="254">
        <f t="shared" si="252"/>
        <v>140.27099999999999</v>
      </c>
      <c r="BT110" s="254">
        <f t="shared" si="252"/>
        <v>148.376</v>
      </c>
      <c r="BU110" s="3315">
        <f t="shared" si="252"/>
        <v>595.625</v>
      </c>
      <c r="BV110" s="254">
        <f t="shared" si="252"/>
        <v>157.43480741757983</v>
      </c>
      <c r="BW110" s="254">
        <f t="shared" si="252"/>
        <v>156.08302139382249</v>
      </c>
      <c r="BX110" s="254">
        <f t="shared" si="252"/>
        <v>202.94900484526767</v>
      </c>
      <c r="BY110" s="254">
        <f t="shared" si="252"/>
        <v>216.52749180563794</v>
      </c>
      <c r="BZ110" s="3315">
        <f t="shared" si="252"/>
        <v>732.99432546230787</v>
      </c>
      <c r="CA110" s="255">
        <f t="shared" si="250"/>
        <v>873.95789252238421</v>
      </c>
      <c r="CB110" s="255">
        <f t="shared" si="250"/>
        <v>885.4839440604203</v>
      </c>
      <c r="CC110" s="255">
        <f>SUM(CC107:CC109)</f>
        <v>22.658689876253078</v>
      </c>
      <c r="CD110" s="255">
        <f>SUM(CD107:CD109)</f>
        <v>-28.7672472877735</v>
      </c>
      <c r="CE110" s="255">
        <f>SUM(CE107:CE109)</f>
        <v>-7.4820719258905655</v>
      </c>
      <c r="CF110" s="255">
        <f>SUM(CF107:CF109)</f>
        <v>14.444632128075369</v>
      </c>
      <c r="CG110" s="255">
        <f>SUM(CG107:CG109)</f>
        <v>37.027853699813633</v>
      </c>
      <c r="CH110" s="448"/>
      <c r="CI110" s="448"/>
      <c r="CJ110" s="448"/>
      <c r="CK110" s="448"/>
      <c r="CL110" s="448"/>
      <c r="CM110" s="965"/>
      <c r="CN110" s="965">
        <f t="shared" ref="CN110" si="253">SUM(BV110:BY110)</f>
        <v>732.99432546230787</v>
      </c>
      <c r="CO110" s="965">
        <f t="shared" ref="CO110" si="254">CM110-CN110</f>
        <v>-732.99432546230787</v>
      </c>
      <c r="CP110" s="1785" t="str">
        <f t="shared" si="218"/>
        <v>Total Wholly-owned EBITDA less corp exp</v>
      </c>
      <c r="CQ110" s="254">
        <f t="shared" si="219"/>
        <v>351.51</v>
      </c>
      <c r="CR110" s="254">
        <f t="shared" si="220"/>
        <v>546.09199999999998</v>
      </c>
      <c r="CS110" s="254">
        <f t="shared" si="221"/>
        <v>577.84699999999998</v>
      </c>
      <c r="CT110" s="254">
        <f t="shared" si="222"/>
        <v>494.46000000000009</v>
      </c>
      <c r="CU110" s="254">
        <f t="shared" si="223"/>
        <v>382.12</v>
      </c>
      <c r="CV110" s="254">
        <f t="shared" si="224"/>
        <v>326.39599999999996</v>
      </c>
      <c r="CW110" s="254">
        <f t="shared" si="225"/>
        <v>275.12600000000003</v>
      </c>
      <c r="CX110" s="254">
        <f t="shared" si="226"/>
        <v>307.97399999999999</v>
      </c>
      <c r="CY110" s="254">
        <f t="shared" si="227"/>
        <v>313.96899999999999</v>
      </c>
      <c r="CZ110" s="254">
        <f t="shared" si="228"/>
        <v>491.18799999999993</v>
      </c>
      <c r="DA110" s="254">
        <f t="shared" si="229"/>
        <v>467.34300000000002</v>
      </c>
      <c r="DB110" s="254">
        <f t="shared" si="230"/>
        <v>527.39099999999996</v>
      </c>
      <c r="DC110" s="254">
        <f t="shared" si="231"/>
        <v>536.33000000000004</v>
      </c>
      <c r="DD110" s="254">
        <f t="shared" si="232"/>
        <v>595.625</v>
      </c>
      <c r="DE110" s="254">
        <f t="shared" si="233"/>
        <v>732.99432546230787</v>
      </c>
      <c r="DF110" s="254">
        <f t="shared" si="234"/>
        <v>873.95789252238421</v>
      </c>
      <c r="DG110" s="256">
        <f t="shared" si="235"/>
        <v>885.4839440604203</v>
      </c>
      <c r="DH110" s="450"/>
      <c r="DI110" s="240"/>
      <c r="DJ110" s="240"/>
      <c r="DK110" s="240"/>
      <c r="DL110" s="240"/>
      <c r="DM110" s="240"/>
      <c r="DN110" s="240"/>
      <c r="DO110" s="226"/>
      <c r="DY110" s="254"/>
      <c r="DZ110" s="254"/>
    </row>
    <row r="111" spans="1:130" ht="12.6" customHeight="1">
      <c r="A111" s="1793" t="s">
        <v>683</v>
      </c>
      <c r="B111" s="232"/>
      <c r="C111" s="232"/>
      <c r="D111" s="1685"/>
      <c r="E111" s="1686"/>
      <c r="F111" s="1686"/>
      <c r="G111" s="1686"/>
      <c r="H111" s="1687"/>
      <c r="I111" s="1689"/>
      <c r="J111" s="1686"/>
      <c r="K111" s="1686"/>
      <c r="L111" s="1686"/>
      <c r="M111" s="1687"/>
      <c r="N111" s="1686"/>
      <c r="O111" s="1686"/>
      <c r="P111" s="1686"/>
      <c r="Q111" s="1686"/>
      <c r="R111" s="1687"/>
      <c r="S111" s="1686"/>
      <c r="T111" s="1686"/>
      <c r="U111" s="1686"/>
      <c r="V111" s="1686"/>
      <c r="W111" s="1687"/>
      <c r="X111" s="1686"/>
      <c r="Y111" s="1686"/>
      <c r="Z111" s="1686"/>
      <c r="AA111" s="1686"/>
      <c r="AB111" s="1687"/>
      <c r="AC111" s="1686"/>
      <c r="AD111" s="1686"/>
      <c r="AE111" s="1686"/>
      <c r="AF111" s="1686"/>
      <c r="AG111" s="1687"/>
      <c r="AH111" s="1686"/>
      <c r="AI111" s="1686"/>
      <c r="AJ111" s="1686"/>
      <c r="AK111" s="1686"/>
      <c r="AL111" s="1687"/>
      <c r="AM111" s="1686"/>
      <c r="AN111" s="1686"/>
      <c r="AO111" s="1686" t="s">
        <v>1238</v>
      </c>
      <c r="AP111" s="1686" t="s">
        <v>1236</v>
      </c>
      <c r="AQ111" s="1687"/>
      <c r="AR111" s="1686" t="s">
        <v>1234</v>
      </c>
      <c r="AS111" s="1686" t="s">
        <v>1606</v>
      </c>
      <c r="AT111" s="1686" t="s">
        <v>1603</v>
      </c>
      <c r="AU111" s="1686" t="s">
        <v>1602</v>
      </c>
      <c r="AV111" s="1687"/>
      <c r="AW111" s="659" t="s">
        <v>1816</v>
      </c>
      <c r="AX111" s="659" t="s">
        <v>1817</v>
      </c>
      <c r="AY111" s="659" t="s">
        <v>1818</v>
      </c>
      <c r="AZ111" s="659" t="s">
        <v>1217</v>
      </c>
      <c r="BA111" s="264"/>
      <c r="BB111" s="261"/>
      <c r="BC111" s="261"/>
      <c r="BD111" s="261"/>
      <c r="BE111" s="261"/>
      <c r="BF111" s="264"/>
      <c r="BG111" s="260"/>
      <c r="BH111" s="261"/>
      <c r="BI111" s="261"/>
      <c r="BJ111" s="1787"/>
      <c r="BK111" s="264"/>
      <c r="BL111" s="261"/>
      <c r="BM111" s="261"/>
      <c r="BN111" s="261"/>
      <c r="BO111" s="1787"/>
      <c r="BP111" s="264"/>
      <c r="BQ111" s="261"/>
      <c r="BR111" s="261"/>
      <c r="BS111" s="261"/>
      <c r="BT111" s="1787"/>
      <c r="BU111" s="3316"/>
      <c r="BV111" s="261"/>
      <c r="BW111" s="261"/>
      <c r="BX111" s="261"/>
      <c r="BY111" s="1787"/>
      <c r="BZ111" s="264"/>
      <c r="CA111" s="264"/>
      <c r="CB111" s="264"/>
      <c r="CC111" s="264"/>
      <c r="CD111" s="264"/>
      <c r="CE111" s="264"/>
      <c r="CF111" s="264"/>
      <c r="CG111" s="264"/>
      <c r="CH111" s="261"/>
      <c r="CI111" s="261"/>
      <c r="CJ111" s="261"/>
      <c r="CK111" s="261"/>
      <c r="CL111" s="261"/>
      <c r="CM111" s="261"/>
      <c r="CN111" s="261"/>
      <c r="CO111" s="261"/>
      <c r="CP111" s="1793"/>
      <c r="CQ111" s="1716"/>
      <c r="CR111" s="1716"/>
      <c r="CS111" s="1716"/>
      <c r="CT111" s="1716"/>
      <c r="CU111" s="1716"/>
      <c r="CV111" s="1716"/>
      <c r="CW111" s="1716"/>
      <c r="CX111" s="1716"/>
      <c r="CY111" s="1716"/>
      <c r="CZ111" s="1716"/>
      <c r="DA111" s="1716"/>
      <c r="DB111" s="1716"/>
      <c r="DC111" s="1716"/>
      <c r="DD111" s="1716"/>
      <c r="DE111" s="1716"/>
      <c r="DF111" s="1716"/>
      <c r="DG111" s="1794"/>
      <c r="DH111" s="261"/>
      <c r="DI111" s="265"/>
      <c r="DJ111" s="265"/>
      <c r="DK111" s="265"/>
      <c r="DL111" s="265"/>
      <c r="DM111" s="265"/>
      <c r="DN111" s="265"/>
      <c r="DO111" s="266"/>
      <c r="DY111" s="261"/>
      <c r="DZ111" s="261"/>
    </row>
    <row r="112" spans="1:130" ht="12" customHeight="1">
      <c r="A112" s="1783"/>
      <c r="B112" s="422"/>
      <c r="C112" s="422"/>
      <c r="D112" s="440"/>
      <c r="E112" s="387"/>
      <c r="F112" s="387"/>
      <c r="G112" s="387"/>
      <c r="H112" s="442"/>
      <c r="I112" s="387"/>
      <c r="J112" s="387"/>
      <c r="K112" s="387"/>
      <c r="L112" s="387"/>
      <c r="M112" s="442"/>
      <c r="N112" s="387"/>
      <c r="O112" s="387"/>
      <c r="P112" s="387"/>
      <c r="Q112" s="387"/>
      <c r="R112" s="442"/>
      <c r="S112" s="387"/>
      <c r="T112" s="387"/>
      <c r="U112" s="387"/>
      <c r="V112" s="387"/>
      <c r="W112" s="442"/>
      <c r="X112" s="387"/>
      <c r="Y112" s="387"/>
      <c r="Z112" s="387"/>
      <c r="AA112" s="387"/>
      <c r="AB112" s="442"/>
      <c r="AC112" s="387"/>
      <c r="AD112" s="387"/>
      <c r="AE112" s="387"/>
      <c r="AF112" s="387"/>
      <c r="AG112" s="442"/>
      <c r="AH112" s="443"/>
      <c r="AI112" s="443"/>
      <c r="AJ112" s="443"/>
      <c r="AK112" s="443"/>
      <c r="AL112" s="444"/>
      <c r="AM112" s="387"/>
      <c r="AN112" s="387"/>
      <c r="AO112" s="387"/>
      <c r="AP112" s="387"/>
      <c r="AQ112" s="444"/>
      <c r="AR112" s="387"/>
      <c r="AS112" s="387"/>
      <c r="AT112" s="387"/>
      <c r="AU112" s="387"/>
      <c r="AV112" s="444"/>
      <c r="AW112" s="387"/>
      <c r="AX112" s="387"/>
      <c r="AY112" s="387"/>
      <c r="AZ112" s="387"/>
      <c r="BA112" s="444"/>
      <c r="BB112" s="387"/>
      <c r="BC112" s="387"/>
      <c r="BD112" s="387"/>
      <c r="BE112" s="387"/>
      <c r="BF112" s="444"/>
      <c r="BG112" s="440"/>
      <c r="BH112" s="387"/>
      <c r="BI112" s="387"/>
      <c r="BJ112" s="2349"/>
      <c r="BK112" s="444"/>
      <c r="BL112" s="387"/>
      <c r="BM112" s="387"/>
      <c r="BN112" s="387"/>
      <c r="BO112" s="2349"/>
      <c r="BP112" s="444"/>
      <c r="BQ112" s="387"/>
      <c r="BR112" s="387"/>
      <c r="BS112" s="387"/>
      <c r="BT112" s="2349"/>
      <c r="BU112" s="3337"/>
      <c r="BV112" s="387"/>
      <c r="BW112" s="387"/>
      <c r="BX112" s="387"/>
      <c r="BY112" s="2349"/>
      <c r="BZ112" s="444"/>
      <c r="CA112" s="444"/>
      <c r="CB112" s="444"/>
      <c r="CC112" s="444"/>
      <c r="CD112" s="444"/>
      <c r="CE112" s="444"/>
      <c r="CF112" s="444"/>
      <c r="CG112" s="444"/>
      <c r="CH112" s="387"/>
      <c r="CI112" s="387"/>
      <c r="CJ112" s="387"/>
      <c r="CK112" s="387"/>
      <c r="CL112" s="387"/>
      <c r="CM112" s="387"/>
      <c r="CN112" s="387"/>
      <c r="CO112" s="387"/>
      <c r="CP112" s="1783"/>
      <c r="CQ112" s="894"/>
      <c r="CR112" s="894"/>
      <c r="CS112" s="894"/>
      <c r="CT112" s="894"/>
      <c r="CU112" s="894"/>
      <c r="CV112" s="894"/>
      <c r="CW112" s="894"/>
      <c r="CX112" s="894"/>
      <c r="CY112" s="894"/>
      <c r="CZ112" s="894"/>
      <c r="DA112" s="894"/>
      <c r="DB112" s="894"/>
      <c r="DC112" s="894"/>
      <c r="DD112" s="894"/>
      <c r="DE112" s="894"/>
      <c r="DF112" s="894"/>
      <c r="DG112" s="1823"/>
      <c r="DH112" s="438"/>
      <c r="DI112" s="438"/>
      <c r="DJ112" s="438"/>
      <c r="DK112" s="438"/>
      <c r="DL112" s="438"/>
      <c r="DM112" s="438"/>
      <c r="DN112" s="380"/>
      <c r="DO112" s="226"/>
      <c r="DY112" s="387"/>
      <c r="DZ112" s="387"/>
    </row>
    <row r="113" spans="1:130" ht="12" customHeight="1">
      <c r="A113" s="1785" t="s">
        <v>1139</v>
      </c>
      <c r="B113" s="445"/>
      <c r="C113" s="445"/>
      <c r="D113" s="253">
        <f>D55</f>
        <v>67.543999999999997</v>
      </c>
      <c r="E113" s="254">
        <f>E55</f>
        <v>66.361000000000004</v>
      </c>
      <c r="F113" s="254">
        <f>F55</f>
        <v>109.01700000000001</v>
      </c>
      <c r="G113" s="254">
        <f>G55</f>
        <v>126.60399999999998</v>
      </c>
      <c r="H113" s="255">
        <f>SUM(D113:G113)</f>
        <v>369.52600000000001</v>
      </c>
      <c r="I113" s="254">
        <f>I55</f>
        <v>148.67999999999998</v>
      </c>
      <c r="J113" s="254">
        <f>J55</f>
        <v>137.70499999999998</v>
      </c>
      <c r="K113" s="254">
        <f>K55</f>
        <v>125.16000000000001</v>
      </c>
      <c r="L113" s="254">
        <f>L55</f>
        <v>159.19800000000004</v>
      </c>
      <c r="M113" s="255">
        <f>SUM(I113:L113)</f>
        <v>570.74300000000005</v>
      </c>
      <c r="N113" s="254">
        <f>N55</f>
        <v>189.57399999999998</v>
      </c>
      <c r="O113" s="254">
        <f>O55</f>
        <v>152.62800000000001</v>
      </c>
      <c r="P113" s="254">
        <f>P55</f>
        <v>122.87899999999999</v>
      </c>
      <c r="Q113" s="254">
        <f>Q55</f>
        <v>128.16899999999998</v>
      </c>
      <c r="R113" s="255">
        <f>SUM(N113:Q113)</f>
        <v>593.25</v>
      </c>
      <c r="S113" s="254">
        <f>S55</f>
        <v>133.548</v>
      </c>
      <c r="T113" s="254">
        <f>T55</f>
        <v>128.08499999999998</v>
      </c>
      <c r="U113" s="254">
        <f>U55</f>
        <v>116.41000000000003</v>
      </c>
      <c r="V113" s="254">
        <f>V55</f>
        <v>116.417</v>
      </c>
      <c r="W113" s="255">
        <f>SUM(S113:V113)</f>
        <v>494.46000000000004</v>
      </c>
      <c r="X113" s="254">
        <f>X55</f>
        <v>108.67699999999999</v>
      </c>
      <c r="Y113" s="254">
        <f>Y55</f>
        <v>106.40300000000001</v>
      </c>
      <c r="Z113" s="254">
        <f>Z55</f>
        <v>81.012</v>
      </c>
      <c r="AA113" s="254">
        <f>AA55</f>
        <v>86.028000000000006</v>
      </c>
      <c r="AB113" s="255">
        <f>SUM(X113:AA113)</f>
        <v>382.12</v>
      </c>
      <c r="AC113" s="254">
        <f>AC55</f>
        <v>96.714999999999989</v>
      </c>
      <c r="AD113" s="254">
        <f>AD55</f>
        <v>91.754000000000005</v>
      </c>
      <c r="AE113" s="254">
        <f>AE55</f>
        <v>72.444000000000003</v>
      </c>
      <c r="AF113" s="254">
        <f>AF55</f>
        <v>65.48299999999999</v>
      </c>
      <c r="AG113" s="255">
        <f>SUM(AC113:AF113)</f>
        <v>326.39600000000002</v>
      </c>
      <c r="AH113" s="254">
        <f>AH55</f>
        <v>82.515000000000001</v>
      </c>
      <c r="AI113" s="254">
        <f>AI55</f>
        <v>113.49900000000002</v>
      </c>
      <c r="AJ113" s="254">
        <f>AJ55</f>
        <v>115.37700000000001</v>
      </c>
      <c r="AK113" s="254">
        <f>AK55</f>
        <v>100.04299999999999</v>
      </c>
      <c r="AL113" s="255">
        <f>SUM(AH113:AK113)</f>
        <v>411.43400000000003</v>
      </c>
      <c r="AM113" s="254">
        <f>AM55</f>
        <v>111.74099999999999</v>
      </c>
      <c r="AN113" s="254">
        <f>AN55</f>
        <v>118.41200000000003</v>
      </c>
      <c r="AO113" s="254">
        <f>AO55</f>
        <v>121.69200000000001</v>
      </c>
      <c r="AP113" s="254">
        <f>AP55</f>
        <v>114.26799999999999</v>
      </c>
      <c r="AQ113" s="255">
        <f>SUM(AM113:AP113)</f>
        <v>466.113</v>
      </c>
      <c r="AR113" s="254">
        <f>AR55</f>
        <v>133.80199999999999</v>
      </c>
      <c r="AS113" s="254">
        <f>AS55</f>
        <v>113.83499999999999</v>
      </c>
      <c r="AT113" s="254">
        <f>AT55</f>
        <v>103.60300000000001</v>
      </c>
      <c r="AU113" s="254">
        <f>AU55</f>
        <v>100.857</v>
      </c>
      <c r="AV113" s="255">
        <f>SUM(AR113:AU113)</f>
        <v>452.09699999999998</v>
      </c>
      <c r="AW113" s="254">
        <f>AW55</f>
        <v>149.27450000000002</v>
      </c>
      <c r="AX113" s="254">
        <f>AX55</f>
        <v>146.26350000000002</v>
      </c>
      <c r="AY113" s="254">
        <f>AY55</f>
        <v>131.98100000000002</v>
      </c>
      <c r="AZ113" s="254">
        <f>AZ55</f>
        <v>123.28750000000001</v>
      </c>
      <c r="BA113" s="255">
        <f>SUM(AW113:AZ113)</f>
        <v>550.80650000000003</v>
      </c>
      <c r="BB113" s="254">
        <f>BB55</f>
        <v>134.24500000000003</v>
      </c>
      <c r="BC113" s="254">
        <f>BC55</f>
        <v>139.28700000000001</v>
      </c>
      <c r="BD113" s="254">
        <f>BD55</f>
        <v>135.42349999999999</v>
      </c>
      <c r="BE113" s="254">
        <f>BE55</f>
        <v>136.36500000000001</v>
      </c>
      <c r="BF113" s="255">
        <f>SUM(BB113:BE113)</f>
        <v>545.32050000000004</v>
      </c>
      <c r="BG113" s="253">
        <f>BG55</f>
        <v>149.17150000000004</v>
      </c>
      <c r="BH113" s="254">
        <f>BH55</f>
        <v>162.90950000000004</v>
      </c>
      <c r="BI113" s="254">
        <f>BI55</f>
        <v>163.15800000000002</v>
      </c>
      <c r="BJ113" s="256">
        <f>BJ55</f>
        <v>154.24700000000001</v>
      </c>
      <c r="BK113" s="255">
        <f>SUM(BG113:BJ113)</f>
        <v>629.4860000000001</v>
      </c>
      <c r="BL113" s="254">
        <f>BL55</f>
        <v>160.3595</v>
      </c>
      <c r="BM113" s="254">
        <f>BM55</f>
        <v>137.89699999999999</v>
      </c>
      <c r="BN113" s="254">
        <f>BN55</f>
        <v>121.94000000000001</v>
      </c>
      <c r="BO113" s="256">
        <f>BO55</f>
        <v>138.80099999999999</v>
      </c>
      <c r="BP113" s="255">
        <f>SUM(BL113:BO113)</f>
        <v>558.99749999999995</v>
      </c>
      <c r="BQ113" s="254">
        <f>BQ55</f>
        <v>155.803</v>
      </c>
      <c r="BR113" s="254">
        <f>BR55</f>
        <v>151.17500000000001</v>
      </c>
      <c r="BS113" s="254">
        <f>BS55</f>
        <v>140.27099999999999</v>
      </c>
      <c r="BT113" s="256">
        <f>BT55</f>
        <v>148.376</v>
      </c>
      <c r="BU113" s="3315">
        <f>SUM(BQ113:BT113)</f>
        <v>595.625</v>
      </c>
      <c r="BV113" s="254">
        <f>BV55</f>
        <v>157.43480741757983</v>
      </c>
      <c r="BW113" s="254">
        <f>BW55</f>
        <v>156.08302139382249</v>
      </c>
      <c r="BX113" s="254">
        <f>BX55</f>
        <v>202.94900484526767</v>
      </c>
      <c r="BY113" s="256">
        <f>BY55</f>
        <v>216.52749180563794</v>
      </c>
      <c r="BZ113" s="3315">
        <f>SUM(BV113:BY113)</f>
        <v>732.99432546230787</v>
      </c>
      <c r="CA113" s="255">
        <f t="shared" ref="CA113:CG113" si="255">CA55</f>
        <v>873.95789252238421</v>
      </c>
      <c r="CB113" s="255">
        <f t="shared" si="255"/>
        <v>885.4839440604203</v>
      </c>
      <c r="CC113" s="255">
        <f t="shared" si="255"/>
        <v>27.182735284795953</v>
      </c>
      <c r="CD113" s="255">
        <f t="shared" si="255"/>
        <v>-24.46940414965777</v>
      </c>
      <c r="CE113" s="255">
        <f t="shared" si="255"/>
        <v>-3.0982719250125115</v>
      </c>
      <c r="CF113" s="255">
        <f t="shared" si="255"/>
        <v>18.91610812897099</v>
      </c>
      <c r="CG113" s="255">
        <f t="shared" si="255"/>
        <v>41.588759220727141</v>
      </c>
      <c r="CH113" s="448"/>
      <c r="CI113" s="448"/>
      <c r="CJ113" s="448"/>
      <c r="CK113" s="448"/>
      <c r="CL113" s="448"/>
      <c r="CM113" s="965"/>
      <c r="CN113" s="965">
        <f t="shared" ref="CN113:CN114" si="256">SUM(BV113:BY113)</f>
        <v>732.99432546230787</v>
      </c>
      <c r="CO113" s="965">
        <f t="shared" ref="CO113:CO114" si="257">CM113-CN113</f>
        <v>-732.99432546230787</v>
      </c>
      <c r="CP113" s="1785" t="str">
        <f t="shared" si="218"/>
        <v>Total Consolidated EBITDA</v>
      </c>
      <c r="CQ113" s="254">
        <f t="shared" si="219"/>
        <v>369.52600000000001</v>
      </c>
      <c r="CR113" s="254">
        <f t="shared" si="220"/>
        <v>570.74300000000005</v>
      </c>
      <c r="CS113" s="254">
        <f t="shared" si="221"/>
        <v>593.25</v>
      </c>
      <c r="CT113" s="254">
        <f t="shared" si="222"/>
        <v>494.46000000000004</v>
      </c>
      <c r="CU113" s="254">
        <f t="shared" si="223"/>
        <v>382.12</v>
      </c>
      <c r="CV113" s="254">
        <f t="shared" si="224"/>
        <v>326.39600000000002</v>
      </c>
      <c r="CW113" s="254">
        <f t="shared" si="225"/>
        <v>411.43400000000003</v>
      </c>
      <c r="CX113" s="254">
        <f t="shared" si="226"/>
        <v>466.113</v>
      </c>
      <c r="CY113" s="254">
        <f t="shared" si="227"/>
        <v>452.09699999999998</v>
      </c>
      <c r="CZ113" s="254">
        <f t="shared" si="228"/>
        <v>550.80650000000003</v>
      </c>
      <c r="DA113" s="254">
        <f t="shared" si="229"/>
        <v>545.32050000000004</v>
      </c>
      <c r="DB113" s="254">
        <f t="shared" si="230"/>
        <v>629.4860000000001</v>
      </c>
      <c r="DC113" s="254">
        <f t="shared" si="231"/>
        <v>558.99749999999995</v>
      </c>
      <c r="DD113" s="254">
        <f t="shared" si="232"/>
        <v>595.625</v>
      </c>
      <c r="DE113" s="254">
        <f t="shared" si="233"/>
        <v>732.99432546230787</v>
      </c>
      <c r="DF113" s="254">
        <f t="shared" si="234"/>
        <v>873.95789252238421</v>
      </c>
      <c r="DG113" s="256">
        <f t="shared" si="235"/>
        <v>885.4839440604203</v>
      </c>
      <c r="DH113" s="450"/>
      <c r="DI113" s="240"/>
      <c r="DJ113" s="240"/>
      <c r="DK113" s="240"/>
      <c r="DL113" s="240"/>
      <c r="DM113" s="240"/>
      <c r="DN113" s="240"/>
      <c r="DO113" s="226"/>
      <c r="DY113" s="254"/>
      <c r="DZ113" s="254"/>
    </row>
    <row r="114" spans="1:130" ht="12" customHeight="1">
      <c r="A114" s="1824" t="s">
        <v>719</v>
      </c>
      <c r="B114" s="1695"/>
      <c r="C114" s="1695"/>
      <c r="D114" s="365">
        <f>D75</f>
        <v>13.144</v>
      </c>
      <c r="E114" s="374">
        <f>E75</f>
        <v>18.917999999999999</v>
      </c>
      <c r="F114" s="374">
        <f>F75</f>
        <v>24.03</v>
      </c>
      <c r="G114" s="374">
        <f>G75</f>
        <v>22.533000000000001</v>
      </c>
      <c r="H114" s="317">
        <f>SUM(D114:G114)</f>
        <v>78.625</v>
      </c>
      <c r="I114" s="374">
        <f>I75</f>
        <v>21.753</v>
      </c>
      <c r="J114" s="374">
        <f>J75</f>
        <v>21.475999999999999</v>
      </c>
      <c r="K114" s="374">
        <f>K75</f>
        <v>30.827000000000002</v>
      </c>
      <c r="L114" s="374">
        <f>L75</f>
        <v>23.256</v>
      </c>
      <c r="M114" s="317">
        <f>SUM(I114:L114)</f>
        <v>97.311999999999998</v>
      </c>
      <c r="N114" s="374">
        <f>N75</f>
        <v>25.245000000000001</v>
      </c>
      <c r="O114" s="374">
        <f>O75</f>
        <v>21.376999999999999</v>
      </c>
      <c r="P114" s="374">
        <f>P75</f>
        <v>27.021000000000001</v>
      </c>
      <c r="Q114" s="374">
        <f>Q75</f>
        <v>18.132000000000001</v>
      </c>
      <c r="R114" s="317">
        <f>SUM(N114:Q114)</f>
        <v>91.775000000000006</v>
      </c>
      <c r="S114" s="374">
        <f>S75</f>
        <v>21.872</v>
      </c>
      <c r="T114" s="374">
        <f>T75</f>
        <v>18.777999999999999</v>
      </c>
      <c r="U114" s="374">
        <f>U75</f>
        <v>27.62</v>
      </c>
      <c r="V114" s="374">
        <f>V75</f>
        <v>18.2</v>
      </c>
      <c r="W114" s="317">
        <f>SUM(S114:V114)</f>
        <v>86.47</v>
      </c>
      <c r="X114" s="374">
        <f>X75</f>
        <v>19.004999999999999</v>
      </c>
      <c r="Y114" s="374">
        <f>Y75</f>
        <v>13.244</v>
      </c>
      <c r="Z114" s="374">
        <f>Z75</f>
        <v>20.167000000000002</v>
      </c>
      <c r="AA114" s="374">
        <f>AA75</f>
        <v>8.1039999999999992</v>
      </c>
      <c r="AB114" s="317">
        <f>SUM(X114:AA114)</f>
        <v>60.519999999999996</v>
      </c>
      <c r="AC114" s="374">
        <f>AC75</f>
        <v>12.917</v>
      </c>
      <c r="AD114" s="374">
        <f>AD75</f>
        <v>13.843999999999999</v>
      </c>
      <c r="AE114" s="374">
        <f>AE75</f>
        <v>24.173999999999999</v>
      </c>
      <c r="AF114" s="374">
        <f>AF75</f>
        <v>8.5350000000000001</v>
      </c>
      <c r="AG114" s="317">
        <f>SUM(AC114:AF114)</f>
        <v>59.47</v>
      </c>
      <c r="AH114" s="374">
        <f>AH75</f>
        <v>8.1460000000000008</v>
      </c>
      <c r="AI114" s="374">
        <f>AI75</f>
        <v>0</v>
      </c>
      <c r="AJ114" s="374">
        <f>AJ75</f>
        <v>0</v>
      </c>
      <c r="AK114" s="374">
        <f>AK75</f>
        <v>0</v>
      </c>
      <c r="AL114" s="317">
        <f>SUM(AH114:AK114)</f>
        <v>8.1460000000000008</v>
      </c>
      <c r="AM114" s="374">
        <f>AM75</f>
        <v>0</v>
      </c>
      <c r="AN114" s="374">
        <f>AN75</f>
        <v>0</v>
      </c>
      <c r="AO114" s="374">
        <f>AO75</f>
        <v>0</v>
      </c>
      <c r="AP114" s="374">
        <f>AP75</f>
        <v>0</v>
      </c>
      <c r="AQ114" s="317">
        <f>SUM(AM114:AP114)</f>
        <v>0</v>
      </c>
      <c r="AR114" s="374">
        <f>AR75</f>
        <v>0</v>
      </c>
      <c r="AS114" s="374">
        <f>AS75</f>
        <v>0</v>
      </c>
      <c r="AT114" s="374">
        <f>AT75</f>
        <v>0</v>
      </c>
      <c r="AU114" s="374">
        <f>AU75</f>
        <v>0</v>
      </c>
      <c r="AV114" s="317">
        <f>SUM(AR114:AU114)</f>
        <v>0</v>
      </c>
      <c r="AW114" s="374">
        <f>AW75</f>
        <v>0</v>
      </c>
      <c r="AX114" s="374">
        <f>AX75</f>
        <v>0</v>
      </c>
      <c r="AY114" s="374">
        <f>AY75</f>
        <v>0</v>
      </c>
      <c r="AZ114" s="374">
        <f>AZ75</f>
        <v>0</v>
      </c>
      <c r="BA114" s="317">
        <f>SUM(AW114:AZ114)</f>
        <v>0</v>
      </c>
      <c r="BB114" s="374">
        <f>BB75</f>
        <v>0</v>
      </c>
      <c r="BC114" s="374">
        <f>BC75</f>
        <v>0</v>
      </c>
      <c r="BD114" s="374">
        <f>BD75</f>
        <v>0</v>
      </c>
      <c r="BE114" s="374">
        <f>BE75</f>
        <v>0</v>
      </c>
      <c r="BF114" s="317">
        <f>SUM(BB114:BE114)</f>
        <v>0</v>
      </c>
      <c r="BG114" s="365">
        <f>BG75</f>
        <v>0</v>
      </c>
      <c r="BH114" s="374">
        <f>BH75</f>
        <v>0</v>
      </c>
      <c r="BI114" s="374">
        <f>BI75</f>
        <v>0</v>
      </c>
      <c r="BJ114" s="1802">
        <f>BJ75</f>
        <v>0</v>
      </c>
      <c r="BK114" s="317">
        <f>SUM(BG114:BJ114)</f>
        <v>0</v>
      </c>
      <c r="BL114" s="374">
        <f>BL75</f>
        <v>0</v>
      </c>
      <c r="BM114" s="374">
        <f>BM75</f>
        <v>0</v>
      </c>
      <c r="BN114" s="374">
        <f>BN75</f>
        <v>0</v>
      </c>
      <c r="BO114" s="1802">
        <f>BO75</f>
        <v>0</v>
      </c>
      <c r="BP114" s="317">
        <f>SUM(BL114:BO114)</f>
        <v>0</v>
      </c>
      <c r="BQ114" s="374">
        <f>BQ75</f>
        <v>0</v>
      </c>
      <c r="BR114" s="374">
        <f>BR75</f>
        <v>0</v>
      </c>
      <c r="BS114" s="374">
        <f>BS75</f>
        <v>0</v>
      </c>
      <c r="BT114" s="1802">
        <f>BT75</f>
        <v>0</v>
      </c>
      <c r="BU114" s="3338">
        <f>SUM(BQ114:BT114)</f>
        <v>0</v>
      </c>
      <c r="BV114" s="374">
        <f>BV75</f>
        <v>0</v>
      </c>
      <c r="BW114" s="374">
        <f>BW75</f>
        <v>0</v>
      </c>
      <c r="BX114" s="374">
        <f>BX75</f>
        <v>0</v>
      </c>
      <c r="BY114" s="1802">
        <f>BY75</f>
        <v>0</v>
      </c>
      <c r="BZ114" s="3338">
        <f>SUM(BV114:BY114)</f>
        <v>0</v>
      </c>
      <c r="CA114" s="373">
        <f t="shared" ref="CA114:CG114" si="258">CA75</f>
        <v>0</v>
      </c>
      <c r="CB114" s="373">
        <f t="shared" si="258"/>
        <v>0</v>
      </c>
      <c r="CC114" s="373">
        <f t="shared" si="258"/>
        <v>0</v>
      </c>
      <c r="CD114" s="373">
        <f t="shared" si="258"/>
        <v>0</v>
      </c>
      <c r="CE114" s="373">
        <f t="shared" si="258"/>
        <v>0</v>
      </c>
      <c r="CF114" s="373">
        <f t="shared" si="258"/>
        <v>0</v>
      </c>
      <c r="CG114" s="373">
        <f t="shared" si="258"/>
        <v>0</v>
      </c>
      <c r="CH114" s="451"/>
      <c r="CI114" s="451"/>
      <c r="CJ114" s="451"/>
      <c r="CK114" s="451"/>
      <c r="CL114" s="451"/>
      <c r="CM114" s="965"/>
      <c r="CN114" s="965">
        <f t="shared" si="256"/>
        <v>0</v>
      </c>
      <c r="CO114" s="965">
        <f t="shared" si="257"/>
        <v>0</v>
      </c>
      <c r="CP114" s="1824" t="str">
        <f t="shared" si="218"/>
        <v>Plus: Op income from unconsolidated affiliates</v>
      </c>
      <c r="CQ114" s="374">
        <f t="shared" si="219"/>
        <v>78.625</v>
      </c>
      <c r="CR114" s="374">
        <f t="shared" si="220"/>
        <v>97.311999999999998</v>
      </c>
      <c r="CS114" s="374">
        <f t="shared" si="221"/>
        <v>91.775000000000006</v>
      </c>
      <c r="CT114" s="374">
        <f t="shared" si="222"/>
        <v>86.47</v>
      </c>
      <c r="CU114" s="374">
        <f t="shared" si="223"/>
        <v>60.519999999999996</v>
      </c>
      <c r="CV114" s="374">
        <f t="shared" si="224"/>
        <v>59.47</v>
      </c>
      <c r="CW114" s="374">
        <f t="shared" si="225"/>
        <v>8.1460000000000008</v>
      </c>
      <c r="CX114" s="374">
        <f t="shared" si="226"/>
        <v>0</v>
      </c>
      <c r="CY114" s="374">
        <f t="shared" si="227"/>
        <v>0</v>
      </c>
      <c r="CZ114" s="374">
        <f t="shared" si="228"/>
        <v>0</v>
      </c>
      <c r="DA114" s="374">
        <f t="shared" si="229"/>
        <v>0</v>
      </c>
      <c r="DB114" s="374">
        <f t="shared" si="230"/>
        <v>0</v>
      </c>
      <c r="DC114" s="374">
        <f t="shared" si="231"/>
        <v>0</v>
      </c>
      <c r="DD114" s="374">
        <f t="shared" si="232"/>
        <v>0</v>
      </c>
      <c r="DE114" s="374">
        <f t="shared" si="233"/>
        <v>0</v>
      </c>
      <c r="DF114" s="374">
        <f t="shared" si="234"/>
        <v>0</v>
      </c>
      <c r="DG114" s="1802">
        <f t="shared" si="235"/>
        <v>0</v>
      </c>
      <c r="DH114" s="451"/>
      <c r="DI114" s="454"/>
      <c r="DJ114" s="454"/>
      <c r="DK114" s="454"/>
      <c r="DL114" s="454"/>
      <c r="DM114" s="454"/>
      <c r="DN114" s="454"/>
      <c r="DO114" s="455"/>
      <c r="DY114" s="318"/>
      <c r="DZ114" s="318"/>
    </row>
    <row r="115" spans="1:130" ht="4.5" customHeight="1">
      <c r="A115" s="1784"/>
      <c r="B115" s="293"/>
      <c r="C115" s="293"/>
      <c r="D115" s="294" t="s">
        <v>343</v>
      </c>
      <c r="E115" s="295" t="s">
        <v>343</v>
      </c>
      <c r="F115" s="295" t="s">
        <v>343</v>
      </c>
      <c r="G115" s="295" t="s">
        <v>343</v>
      </c>
      <c r="H115" s="296" t="s">
        <v>343</v>
      </c>
      <c r="I115" s="295" t="s">
        <v>343</v>
      </c>
      <c r="J115" s="295" t="s">
        <v>343</v>
      </c>
      <c r="K115" s="295" t="s">
        <v>343</v>
      </c>
      <c r="L115" s="295" t="s">
        <v>343</v>
      </c>
      <c r="M115" s="296" t="s">
        <v>343</v>
      </c>
      <c r="N115" s="295" t="s">
        <v>343</v>
      </c>
      <c r="O115" s="295" t="s">
        <v>343</v>
      </c>
      <c r="P115" s="295" t="s">
        <v>343</v>
      </c>
      <c r="Q115" s="295" t="s">
        <v>343</v>
      </c>
      <c r="R115" s="296" t="s">
        <v>343</v>
      </c>
      <c r="S115" s="295" t="s">
        <v>343</v>
      </c>
      <c r="T115" s="295" t="s">
        <v>343</v>
      </c>
      <c r="U115" s="295" t="s">
        <v>343</v>
      </c>
      <c r="V115" s="295" t="s">
        <v>343</v>
      </c>
      <c r="W115" s="296" t="s">
        <v>343</v>
      </c>
      <c r="X115" s="295" t="s">
        <v>343</v>
      </c>
      <c r="Y115" s="295" t="s">
        <v>343</v>
      </c>
      <c r="Z115" s="295" t="s">
        <v>343</v>
      </c>
      <c r="AA115" s="295" t="s">
        <v>343</v>
      </c>
      <c r="AB115" s="296" t="s">
        <v>343</v>
      </c>
      <c r="AC115" s="295" t="s">
        <v>343</v>
      </c>
      <c r="AD115" s="295" t="s">
        <v>343</v>
      </c>
      <c r="AE115" s="295" t="s">
        <v>343</v>
      </c>
      <c r="AF115" s="295" t="s">
        <v>343</v>
      </c>
      <c r="AG115" s="296" t="s">
        <v>343</v>
      </c>
      <c r="AH115" s="295" t="s">
        <v>343</v>
      </c>
      <c r="AI115" s="295" t="s">
        <v>343</v>
      </c>
      <c r="AJ115" s="295" t="s">
        <v>343</v>
      </c>
      <c r="AK115" s="295" t="s">
        <v>343</v>
      </c>
      <c r="AL115" s="296" t="s">
        <v>343</v>
      </c>
      <c r="AM115" s="295" t="s">
        <v>343</v>
      </c>
      <c r="AN115" s="295" t="s">
        <v>343</v>
      </c>
      <c r="AO115" s="295" t="s">
        <v>343</v>
      </c>
      <c r="AP115" s="295" t="s">
        <v>343</v>
      </c>
      <c r="AQ115" s="296" t="s">
        <v>343</v>
      </c>
      <c r="AR115" s="295" t="s">
        <v>343</v>
      </c>
      <c r="AS115" s="295" t="s">
        <v>343</v>
      </c>
      <c r="AT115" s="295" t="s">
        <v>343</v>
      </c>
      <c r="AU115" s="295" t="s">
        <v>343</v>
      </c>
      <c r="AV115" s="296" t="s">
        <v>343</v>
      </c>
      <c r="AW115" s="295" t="s">
        <v>343</v>
      </c>
      <c r="AX115" s="295" t="s">
        <v>343</v>
      </c>
      <c r="AY115" s="295" t="s">
        <v>343</v>
      </c>
      <c r="AZ115" s="295" t="s">
        <v>343</v>
      </c>
      <c r="BA115" s="296" t="s">
        <v>343</v>
      </c>
      <c r="BB115" s="295" t="s">
        <v>343</v>
      </c>
      <c r="BC115" s="295" t="s">
        <v>343</v>
      </c>
      <c r="BD115" s="295" t="s">
        <v>343</v>
      </c>
      <c r="BE115" s="295" t="s">
        <v>343</v>
      </c>
      <c r="BF115" s="296" t="s">
        <v>343</v>
      </c>
      <c r="BG115" s="294" t="s">
        <v>343</v>
      </c>
      <c r="BH115" s="295" t="s">
        <v>343</v>
      </c>
      <c r="BI115" s="295" t="s">
        <v>343</v>
      </c>
      <c r="BJ115" s="297" t="s">
        <v>343</v>
      </c>
      <c r="BK115" s="296" t="s">
        <v>343</v>
      </c>
      <c r="BL115" s="295" t="s">
        <v>343</v>
      </c>
      <c r="BM115" s="295" t="s">
        <v>343</v>
      </c>
      <c r="BN115" s="295" t="s">
        <v>343</v>
      </c>
      <c r="BO115" s="297" t="s">
        <v>343</v>
      </c>
      <c r="BP115" s="296" t="s">
        <v>343</v>
      </c>
      <c r="BQ115" s="295" t="s">
        <v>343</v>
      </c>
      <c r="BR115" s="295" t="s">
        <v>343</v>
      </c>
      <c r="BS115" s="295" t="s">
        <v>343</v>
      </c>
      <c r="BT115" s="297" t="s">
        <v>343</v>
      </c>
      <c r="BU115" s="3314" t="s">
        <v>343</v>
      </c>
      <c r="BV115" s="295" t="s">
        <v>343</v>
      </c>
      <c r="BW115" s="295" t="s">
        <v>343</v>
      </c>
      <c r="BX115" s="295" t="s">
        <v>343</v>
      </c>
      <c r="BY115" s="297" t="s">
        <v>343</v>
      </c>
      <c r="BZ115" s="3314" t="s">
        <v>343</v>
      </c>
      <c r="CA115" s="297" t="s">
        <v>343</v>
      </c>
      <c r="CB115" s="297" t="s">
        <v>343</v>
      </c>
      <c r="CC115" s="297" t="s">
        <v>343</v>
      </c>
      <c r="CD115" s="297" t="s">
        <v>343</v>
      </c>
      <c r="CE115" s="297" t="s">
        <v>343</v>
      </c>
      <c r="CF115" s="297" t="s">
        <v>343</v>
      </c>
      <c r="CG115" s="297" t="s">
        <v>343</v>
      </c>
      <c r="CH115" s="295"/>
      <c r="CI115" s="295"/>
      <c r="CJ115" s="295"/>
      <c r="CK115" s="295"/>
      <c r="CL115" s="295"/>
      <c r="CM115" s="295"/>
      <c r="CN115" s="295"/>
      <c r="CO115" s="295"/>
      <c r="CP115" s="1784"/>
      <c r="CQ115" s="295" t="str">
        <f t="shared" si="219"/>
        <v xml:space="preserve">                </v>
      </c>
      <c r="CR115" s="295" t="str">
        <f t="shared" si="220"/>
        <v xml:space="preserve">                </v>
      </c>
      <c r="CS115" s="295" t="str">
        <f t="shared" si="221"/>
        <v xml:space="preserve">                </v>
      </c>
      <c r="CT115" s="295" t="str">
        <f t="shared" si="222"/>
        <v xml:space="preserve">                </v>
      </c>
      <c r="CU115" s="295" t="str">
        <f t="shared" si="223"/>
        <v xml:space="preserve">                </v>
      </c>
      <c r="CV115" s="295" t="str">
        <f t="shared" si="224"/>
        <v xml:space="preserve">                </v>
      </c>
      <c r="CW115" s="295" t="str">
        <f t="shared" si="225"/>
        <v xml:space="preserve">                </v>
      </c>
      <c r="CX115" s="295" t="str">
        <f t="shared" si="226"/>
        <v xml:space="preserve">                </v>
      </c>
      <c r="CY115" s="295" t="str">
        <f t="shared" si="227"/>
        <v xml:space="preserve">                </v>
      </c>
      <c r="CZ115" s="295" t="str">
        <f t="shared" si="228"/>
        <v xml:space="preserve">                </v>
      </c>
      <c r="DA115" s="295" t="str">
        <f t="shared" si="229"/>
        <v xml:space="preserve">                </v>
      </c>
      <c r="DB115" s="295" t="str">
        <f t="shared" si="230"/>
        <v xml:space="preserve">                </v>
      </c>
      <c r="DC115" s="295" t="str">
        <f t="shared" si="231"/>
        <v xml:space="preserve">                </v>
      </c>
      <c r="DD115" s="295" t="str">
        <f t="shared" si="232"/>
        <v xml:space="preserve">                </v>
      </c>
      <c r="DE115" s="295" t="str">
        <f t="shared" si="233"/>
        <v xml:space="preserve">                </v>
      </c>
      <c r="DF115" s="295" t="str">
        <f t="shared" si="234"/>
        <v xml:space="preserve">                </v>
      </c>
      <c r="DG115" s="297" t="str">
        <f t="shared" si="235"/>
        <v xml:space="preserve">                </v>
      </c>
      <c r="DH115" s="298"/>
      <c r="DI115" s="299"/>
      <c r="DJ115" s="299"/>
      <c r="DK115" s="299"/>
      <c r="DL115" s="299"/>
      <c r="DM115" s="299"/>
      <c r="DN115" s="299"/>
      <c r="DO115" s="300"/>
      <c r="DY115" s="295"/>
      <c r="DZ115" s="295"/>
    </row>
    <row r="116" spans="1:130" ht="12" customHeight="1">
      <c r="A116" s="1785" t="s">
        <v>498</v>
      </c>
      <c r="B116" s="445"/>
      <c r="C116" s="445"/>
      <c r="D116" s="253">
        <f>D114+D113</f>
        <v>80.688000000000002</v>
      </c>
      <c r="E116" s="254">
        <f>E114+E113</f>
        <v>85.278999999999996</v>
      </c>
      <c r="F116" s="254">
        <f>F114+F113</f>
        <v>133.04700000000003</v>
      </c>
      <c r="G116" s="254">
        <f>G114+G113</f>
        <v>149.137</v>
      </c>
      <c r="H116" s="255">
        <f>SUM(D116:G116)</f>
        <v>448.15100000000001</v>
      </c>
      <c r="I116" s="254">
        <f>I114+I113</f>
        <v>170.43299999999999</v>
      </c>
      <c r="J116" s="254">
        <f>J114+J113</f>
        <v>159.18099999999998</v>
      </c>
      <c r="K116" s="254">
        <f>K114+K113</f>
        <v>155.98700000000002</v>
      </c>
      <c r="L116" s="254">
        <f>L114+L113</f>
        <v>182.45400000000004</v>
      </c>
      <c r="M116" s="255">
        <f>SUM(I116:L116)</f>
        <v>668.05500000000006</v>
      </c>
      <c r="N116" s="254">
        <f>N114+N113</f>
        <v>214.81899999999999</v>
      </c>
      <c r="O116" s="254">
        <f>O114+O113</f>
        <v>174.00500000000002</v>
      </c>
      <c r="P116" s="254">
        <f>P114+P113</f>
        <v>149.89999999999998</v>
      </c>
      <c r="Q116" s="254">
        <f>Q114+Q113</f>
        <v>146.30099999999999</v>
      </c>
      <c r="R116" s="255">
        <f>SUM(N116:Q116)</f>
        <v>685.02499999999986</v>
      </c>
      <c r="S116" s="254">
        <f>S114+S113</f>
        <v>155.42000000000002</v>
      </c>
      <c r="T116" s="254">
        <f>T114+T113</f>
        <v>146.86299999999997</v>
      </c>
      <c r="U116" s="254">
        <f>U114+U113</f>
        <v>144.03000000000003</v>
      </c>
      <c r="V116" s="254">
        <f>V114+V113</f>
        <v>134.61699999999999</v>
      </c>
      <c r="W116" s="255">
        <f>SUM(S116:V116)</f>
        <v>580.93000000000006</v>
      </c>
      <c r="X116" s="254">
        <f>X114+X113</f>
        <v>127.68199999999999</v>
      </c>
      <c r="Y116" s="254">
        <f>Y114+Y113</f>
        <v>119.64700000000001</v>
      </c>
      <c r="Z116" s="254">
        <f>Z114+Z113</f>
        <v>101.179</v>
      </c>
      <c r="AA116" s="254">
        <f>AA114+AA113</f>
        <v>94.132000000000005</v>
      </c>
      <c r="AB116" s="255">
        <f>SUM(X116:AA116)</f>
        <v>442.64000000000004</v>
      </c>
      <c r="AC116" s="254">
        <f>AC114+AC113</f>
        <v>109.63199999999999</v>
      </c>
      <c r="AD116" s="254">
        <f>AD114+AD113</f>
        <v>105.598</v>
      </c>
      <c r="AE116" s="254">
        <f>AE114+AE113</f>
        <v>96.617999999999995</v>
      </c>
      <c r="AF116" s="254">
        <f>AF114+AF113</f>
        <v>74.017999999999986</v>
      </c>
      <c r="AG116" s="255">
        <f>SUM(AC116:AF116)</f>
        <v>385.86599999999993</v>
      </c>
      <c r="AH116" s="253">
        <f>AH114+AH113</f>
        <v>90.661000000000001</v>
      </c>
      <c r="AI116" s="254">
        <f>AI114+AI113</f>
        <v>113.49900000000002</v>
      </c>
      <c r="AJ116" s="254">
        <f>AJ114+AJ113</f>
        <v>115.37700000000001</v>
      </c>
      <c r="AK116" s="254">
        <f>AK114+AK113</f>
        <v>100.04299999999999</v>
      </c>
      <c r="AL116" s="255">
        <f>SUM(AH116:AK116)</f>
        <v>419.58000000000004</v>
      </c>
      <c r="AM116" s="254">
        <f>AM114+AM113</f>
        <v>111.74099999999999</v>
      </c>
      <c r="AN116" s="254">
        <f>AN114+AN113</f>
        <v>118.41200000000003</v>
      </c>
      <c r="AO116" s="254">
        <f>AO114+AO113</f>
        <v>121.69200000000001</v>
      </c>
      <c r="AP116" s="254">
        <f>AP114+AP113</f>
        <v>114.26799999999999</v>
      </c>
      <c r="AQ116" s="255">
        <f>SUM(AM116:AP116)</f>
        <v>466.113</v>
      </c>
      <c r="AR116" s="254">
        <f>AR114+AR113</f>
        <v>133.80199999999999</v>
      </c>
      <c r="AS116" s="254">
        <f>AS114+AS113</f>
        <v>113.83499999999999</v>
      </c>
      <c r="AT116" s="254">
        <f>AT114+AT113</f>
        <v>103.60300000000001</v>
      </c>
      <c r="AU116" s="254">
        <f>AU114+AU113</f>
        <v>100.857</v>
      </c>
      <c r="AV116" s="255">
        <f>SUM(AR116:AU116)</f>
        <v>452.09699999999998</v>
      </c>
      <c r="AW116" s="254">
        <f>AW114+AW113</f>
        <v>149.27450000000002</v>
      </c>
      <c r="AX116" s="254">
        <f>AX114+AX113</f>
        <v>146.26350000000002</v>
      </c>
      <c r="AY116" s="254">
        <f>AY114+AY113</f>
        <v>131.98100000000002</v>
      </c>
      <c r="AZ116" s="254">
        <f>AZ114+AZ113</f>
        <v>123.28750000000001</v>
      </c>
      <c r="BA116" s="255">
        <f>SUM(AW116:AZ116)</f>
        <v>550.80650000000003</v>
      </c>
      <c r="BB116" s="254">
        <f>BB114+BB113</f>
        <v>134.24500000000003</v>
      </c>
      <c r="BC116" s="254">
        <f>BC114+BC113</f>
        <v>139.28700000000001</v>
      </c>
      <c r="BD116" s="254">
        <f>BD114+BD113</f>
        <v>135.42349999999999</v>
      </c>
      <c r="BE116" s="254">
        <f>BE114+BE113</f>
        <v>136.36500000000001</v>
      </c>
      <c r="BF116" s="255">
        <f>SUM(BB116:BE116)</f>
        <v>545.32050000000004</v>
      </c>
      <c r="BG116" s="253">
        <f>BG114+BG113</f>
        <v>149.17150000000004</v>
      </c>
      <c r="BH116" s="254">
        <f>BH114+BH113</f>
        <v>162.90950000000004</v>
      </c>
      <c r="BI116" s="254">
        <f>BI114+BI113</f>
        <v>163.15800000000002</v>
      </c>
      <c r="BJ116" s="256">
        <f>BJ114+BJ113</f>
        <v>154.24700000000001</v>
      </c>
      <c r="BK116" s="255">
        <f>SUM(BG116:BJ116)</f>
        <v>629.4860000000001</v>
      </c>
      <c r="BL116" s="254">
        <f>BL114+BL113</f>
        <v>160.3595</v>
      </c>
      <c r="BM116" s="254">
        <f>BM114+BM113</f>
        <v>137.89699999999999</v>
      </c>
      <c r="BN116" s="254">
        <f>BN114+BN113</f>
        <v>121.94000000000001</v>
      </c>
      <c r="BO116" s="256">
        <f>BO114+BO113</f>
        <v>138.80099999999999</v>
      </c>
      <c r="BP116" s="255">
        <f>SUM(BL116:BO116)</f>
        <v>558.99749999999995</v>
      </c>
      <c r="BQ116" s="254">
        <f>BQ114+BQ113</f>
        <v>155.803</v>
      </c>
      <c r="BR116" s="254">
        <f>BR114+BR113</f>
        <v>151.17500000000001</v>
      </c>
      <c r="BS116" s="254">
        <f>BS114+BS113</f>
        <v>140.27099999999999</v>
      </c>
      <c r="BT116" s="256">
        <f>BT114+BT113</f>
        <v>148.376</v>
      </c>
      <c r="BU116" s="3315">
        <f>SUM(BQ116:BT116)</f>
        <v>595.625</v>
      </c>
      <c r="BV116" s="254">
        <f>BV114+BV113</f>
        <v>157.43480741757983</v>
      </c>
      <c r="BW116" s="254">
        <f>BW114+BW113</f>
        <v>156.08302139382249</v>
      </c>
      <c r="BX116" s="254">
        <f>BX114+BX113</f>
        <v>202.94900484526767</v>
      </c>
      <c r="BY116" s="256">
        <f>BY114+BY113</f>
        <v>216.52749180563794</v>
      </c>
      <c r="BZ116" s="3315">
        <f>SUM(BV116:BY116)</f>
        <v>732.99432546230787</v>
      </c>
      <c r="CA116" s="255">
        <f t="shared" ref="CA116:CG116" si="259">CA114+CA113</f>
        <v>873.95789252238421</v>
      </c>
      <c r="CB116" s="255">
        <f t="shared" si="259"/>
        <v>885.4839440604203</v>
      </c>
      <c r="CC116" s="255">
        <f t="shared" si="259"/>
        <v>27.182735284795953</v>
      </c>
      <c r="CD116" s="255">
        <f t="shared" si="259"/>
        <v>-24.46940414965777</v>
      </c>
      <c r="CE116" s="255">
        <f t="shared" si="259"/>
        <v>-3.0982719250125115</v>
      </c>
      <c r="CF116" s="255">
        <f t="shared" si="259"/>
        <v>18.91610812897099</v>
      </c>
      <c r="CG116" s="255">
        <f t="shared" si="259"/>
        <v>41.588759220727141</v>
      </c>
      <c r="CH116" s="448"/>
      <c r="CI116" s="448"/>
      <c r="CJ116" s="448"/>
      <c r="CK116" s="448"/>
      <c r="CL116" s="448"/>
      <c r="CM116" s="965"/>
      <c r="CN116" s="965">
        <f t="shared" ref="CN116" si="260">SUM(BV116:BY116)</f>
        <v>732.99432546230787</v>
      </c>
      <c r="CO116" s="965">
        <f t="shared" ref="CO116" si="261">CM116-CN116</f>
        <v>-732.99432546230787</v>
      </c>
      <c r="CP116" s="1785" t="str">
        <f t="shared" si="218"/>
        <v>Total Reported EBITDA</v>
      </c>
      <c r="CQ116" s="254">
        <f t="shared" si="219"/>
        <v>448.15100000000001</v>
      </c>
      <c r="CR116" s="254">
        <f t="shared" si="220"/>
        <v>668.05500000000006</v>
      </c>
      <c r="CS116" s="254">
        <f t="shared" si="221"/>
        <v>685.02499999999986</v>
      </c>
      <c r="CT116" s="254">
        <f t="shared" si="222"/>
        <v>580.93000000000006</v>
      </c>
      <c r="CU116" s="254">
        <f t="shared" si="223"/>
        <v>442.64000000000004</v>
      </c>
      <c r="CV116" s="254">
        <f t="shared" si="224"/>
        <v>385.86599999999993</v>
      </c>
      <c r="CW116" s="254">
        <f t="shared" si="225"/>
        <v>419.58000000000004</v>
      </c>
      <c r="CX116" s="254">
        <f t="shared" si="226"/>
        <v>466.113</v>
      </c>
      <c r="CY116" s="254">
        <f t="shared" si="227"/>
        <v>452.09699999999998</v>
      </c>
      <c r="CZ116" s="254">
        <f t="shared" si="228"/>
        <v>550.80650000000003</v>
      </c>
      <c r="DA116" s="254">
        <f t="shared" si="229"/>
        <v>545.32050000000004</v>
      </c>
      <c r="DB116" s="254">
        <f t="shared" si="230"/>
        <v>629.4860000000001</v>
      </c>
      <c r="DC116" s="254">
        <f t="shared" si="231"/>
        <v>558.99749999999995</v>
      </c>
      <c r="DD116" s="254">
        <f t="shared" si="232"/>
        <v>595.625</v>
      </c>
      <c r="DE116" s="254">
        <f t="shared" si="233"/>
        <v>732.99432546230787</v>
      </c>
      <c r="DF116" s="254">
        <f t="shared" si="234"/>
        <v>873.95789252238421</v>
      </c>
      <c r="DG116" s="256">
        <f t="shared" si="235"/>
        <v>885.4839440604203</v>
      </c>
      <c r="DH116" s="450"/>
      <c r="DI116" s="240"/>
      <c r="DJ116" s="240"/>
      <c r="DK116" s="240"/>
      <c r="DL116" s="240"/>
      <c r="DM116" s="240"/>
      <c r="DN116" s="240"/>
      <c r="DO116" s="226"/>
      <c r="DY116" s="254"/>
      <c r="DZ116" s="254"/>
    </row>
    <row r="117" spans="1:130" ht="12" customHeight="1">
      <c r="A117" s="981"/>
      <c r="B117" s="445"/>
      <c r="C117" s="445"/>
      <c r="D117" s="449"/>
      <c r="E117" s="448"/>
      <c r="F117" s="448"/>
      <c r="G117" s="448"/>
      <c r="H117" s="456"/>
      <c r="I117" s="448"/>
      <c r="J117" s="448"/>
      <c r="K117" s="448"/>
      <c r="L117" s="448"/>
      <c r="M117" s="456"/>
      <c r="N117" s="448"/>
      <c r="O117" s="448"/>
      <c r="P117" s="448"/>
      <c r="Q117" s="448"/>
      <c r="R117" s="456"/>
      <c r="S117" s="448"/>
      <c r="T117" s="448"/>
      <c r="U117" s="448"/>
      <c r="V117" s="448"/>
      <c r="W117" s="456"/>
      <c r="X117" s="448"/>
      <c r="Y117" s="448"/>
      <c r="Z117" s="448"/>
      <c r="AA117" s="448"/>
      <c r="AB117" s="456"/>
      <c r="AC117" s="448"/>
      <c r="AD117" s="448"/>
      <c r="AE117" s="448"/>
      <c r="AF117" s="448"/>
      <c r="AG117" s="456"/>
      <c r="AH117" s="457"/>
      <c r="AI117" s="457"/>
      <c r="AJ117" s="457"/>
      <c r="AK117" s="457"/>
      <c r="AL117" s="458"/>
      <c r="AM117" s="448"/>
      <c r="AN117" s="448"/>
      <c r="AO117" s="448"/>
      <c r="AP117" s="448"/>
      <c r="AQ117" s="459"/>
      <c r="AR117" s="448"/>
      <c r="AS117" s="448"/>
      <c r="AT117" s="448"/>
      <c r="AU117" s="448"/>
      <c r="AV117" s="459"/>
      <c r="AW117" s="448"/>
      <c r="AX117" s="448"/>
      <c r="AY117" s="448"/>
      <c r="AZ117" s="448"/>
      <c r="BA117" s="459"/>
      <c r="BB117" s="448"/>
      <c r="BC117" s="448"/>
      <c r="BD117" s="448"/>
      <c r="BE117" s="448"/>
      <c r="BF117" s="459"/>
      <c r="BG117" s="449"/>
      <c r="BH117" s="448"/>
      <c r="BI117" s="448"/>
      <c r="BJ117" s="2350"/>
      <c r="BK117" s="459"/>
      <c r="BL117" s="448"/>
      <c r="BM117" s="448"/>
      <c r="BN117" s="448"/>
      <c r="BO117" s="2350"/>
      <c r="BP117" s="459"/>
      <c r="BQ117" s="448"/>
      <c r="BR117" s="448"/>
      <c r="BS117" s="448"/>
      <c r="BT117" s="2350"/>
      <c r="BU117" s="3339"/>
      <c r="BV117" s="448"/>
      <c r="BW117" s="448"/>
      <c r="BX117" s="448"/>
      <c r="BY117" s="2350"/>
      <c r="BZ117" s="3339"/>
      <c r="CA117" s="459"/>
      <c r="CB117" s="459"/>
      <c r="CC117" s="459"/>
      <c r="CD117" s="459"/>
      <c r="CE117" s="459"/>
      <c r="CF117" s="459"/>
      <c r="CG117" s="459"/>
      <c r="CH117" s="448"/>
      <c r="CI117" s="448"/>
      <c r="CJ117" s="448"/>
      <c r="CK117" s="448"/>
      <c r="CL117" s="448"/>
      <c r="CM117" s="448"/>
      <c r="CN117" s="448"/>
      <c r="CO117" s="448"/>
      <c r="CP117" s="981"/>
      <c r="CQ117" s="450"/>
      <c r="CR117" s="450"/>
      <c r="CS117" s="450"/>
      <c r="CT117" s="450"/>
      <c r="CU117" s="450"/>
      <c r="CV117" s="450"/>
      <c r="CW117" s="450"/>
      <c r="CX117" s="450"/>
      <c r="CY117" s="450"/>
      <c r="CZ117" s="450"/>
      <c r="DA117" s="450"/>
      <c r="DB117" s="450"/>
      <c r="DC117" s="450"/>
      <c r="DD117" s="450"/>
      <c r="DE117" s="450"/>
      <c r="DF117" s="450"/>
      <c r="DG117" s="1825"/>
      <c r="DH117" s="450"/>
      <c r="DI117" s="240"/>
      <c r="DJ117" s="240"/>
      <c r="DK117" s="240"/>
      <c r="DL117" s="240"/>
      <c r="DM117" s="240"/>
      <c r="DN117" s="240"/>
      <c r="DO117" s="226"/>
      <c r="DY117" s="448"/>
      <c r="DZ117" s="448"/>
    </row>
    <row r="118" spans="1:130" s="1238" customFormat="1" ht="12" customHeight="1">
      <c r="A118" s="1785" t="s">
        <v>498</v>
      </c>
      <c r="B118" s="242"/>
      <c r="C118" s="242"/>
      <c r="D118" s="460">
        <f>D116</f>
        <v>80.688000000000002</v>
      </c>
      <c r="E118" s="461">
        <f>E116</f>
        <v>85.278999999999996</v>
      </c>
      <c r="F118" s="461">
        <f>F116</f>
        <v>133.04700000000003</v>
      </c>
      <c r="G118" s="461">
        <f>G116</f>
        <v>149.137</v>
      </c>
      <c r="H118" s="462">
        <f t="shared" ref="H118:AP118" si="262">H116</f>
        <v>448.15100000000001</v>
      </c>
      <c r="I118" s="461">
        <f t="shared" si="262"/>
        <v>170.43299999999999</v>
      </c>
      <c r="J118" s="461">
        <f t="shared" si="262"/>
        <v>159.18099999999998</v>
      </c>
      <c r="K118" s="461">
        <f t="shared" si="262"/>
        <v>155.98700000000002</v>
      </c>
      <c r="L118" s="461">
        <f t="shared" si="262"/>
        <v>182.45400000000004</v>
      </c>
      <c r="M118" s="462">
        <f t="shared" si="262"/>
        <v>668.05500000000006</v>
      </c>
      <c r="N118" s="461">
        <f t="shared" si="262"/>
        <v>214.81899999999999</v>
      </c>
      <c r="O118" s="461">
        <f t="shared" si="262"/>
        <v>174.00500000000002</v>
      </c>
      <c r="P118" s="461">
        <f t="shared" si="262"/>
        <v>149.89999999999998</v>
      </c>
      <c r="Q118" s="461">
        <f t="shared" si="262"/>
        <v>146.30099999999999</v>
      </c>
      <c r="R118" s="462">
        <f t="shared" si="262"/>
        <v>685.02499999999986</v>
      </c>
      <c r="S118" s="461">
        <f t="shared" si="262"/>
        <v>155.42000000000002</v>
      </c>
      <c r="T118" s="461">
        <f t="shared" si="262"/>
        <v>146.86299999999997</v>
      </c>
      <c r="U118" s="461">
        <f t="shared" si="262"/>
        <v>144.03000000000003</v>
      </c>
      <c r="V118" s="461">
        <f t="shared" si="262"/>
        <v>134.61699999999999</v>
      </c>
      <c r="W118" s="462">
        <f t="shared" si="262"/>
        <v>580.93000000000006</v>
      </c>
      <c r="X118" s="461">
        <f t="shared" si="262"/>
        <v>127.68199999999999</v>
      </c>
      <c r="Y118" s="461">
        <f t="shared" si="262"/>
        <v>119.64700000000001</v>
      </c>
      <c r="Z118" s="461">
        <f t="shared" si="262"/>
        <v>101.179</v>
      </c>
      <c r="AA118" s="461">
        <f t="shared" si="262"/>
        <v>94.132000000000005</v>
      </c>
      <c r="AB118" s="462">
        <f t="shared" si="262"/>
        <v>442.64000000000004</v>
      </c>
      <c r="AC118" s="461">
        <f t="shared" si="262"/>
        <v>109.63199999999999</v>
      </c>
      <c r="AD118" s="461">
        <f t="shared" si="262"/>
        <v>105.598</v>
      </c>
      <c r="AE118" s="461">
        <f t="shared" si="262"/>
        <v>96.617999999999995</v>
      </c>
      <c r="AF118" s="461">
        <f t="shared" si="262"/>
        <v>74.017999999999986</v>
      </c>
      <c r="AG118" s="462">
        <f t="shared" si="262"/>
        <v>385.86599999999993</v>
      </c>
      <c r="AH118" s="461">
        <f>AH116</f>
        <v>90.661000000000001</v>
      </c>
      <c r="AI118" s="461">
        <f>AI116</f>
        <v>113.49900000000002</v>
      </c>
      <c r="AJ118" s="461">
        <f t="shared" si="262"/>
        <v>115.37700000000001</v>
      </c>
      <c r="AK118" s="461">
        <f t="shared" si="262"/>
        <v>100.04299999999999</v>
      </c>
      <c r="AL118" s="462">
        <f>SUM(AH118:AK118)</f>
        <v>419.58000000000004</v>
      </c>
      <c r="AM118" s="461">
        <f t="shared" si="262"/>
        <v>111.74099999999999</v>
      </c>
      <c r="AN118" s="461">
        <f t="shared" si="262"/>
        <v>118.41200000000003</v>
      </c>
      <c r="AO118" s="461">
        <f t="shared" si="262"/>
        <v>121.69200000000001</v>
      </c>
      <c r="AP118" s="461">
        <f t="shared" si="262"/>
        <v>114.26799999999999</v>
      </c>
      <c r="AQ118" s="462">
        <f>SUM(AM118:AP118)</f>
        <v>466.113</v>
      </c>
      <c r="AR118" s="461">
        <f>AR116</f>
        <v>133.80199999999999</v>
      </c>
      <c r="AS118" s="461">
        <f>AS116</f>
        <v>113.83499999999999</v>
      </c>
      <c r="AT118" s="461">
        <f>AT116</f>
        <v>103.60300000000001</v>
      </c>
      <c r="AU118" s="461">
        <f>AU116</f>
        <v>100.857</v>
      </c>
      <c r="AV118" s="462">
        <f>SUM(AR118:AU118)</f>
        <v>452.09699999999998</v>
      </c>
      <c r="AW118" s="461">
        <f>AW116</f>
        <v>149.27450000000002</v>
      </c>
      <c r="AX118" s="461">
        <f>AX116</f>
        <v>146.26350000000002</v>
      </c>
      <c r="AY118" s="461">
        <f>AY116</f>
        <v>131.98100000000002</v>
      </c>
      <c r="AZ118" s="461">
        <f>AZ116</f>
        <v>123.28750000000001</v>
      </c>
      <c r="BA118" s="462">
        <f>SUM(AW118:AZ118)</f>
        <v>550.80650000000003</v>
      </c>
      <c r="BB118" s="461">
        <f>BB116</f>
        <v>134.24500000000003</v>
      </c>
      <c r="BC118" s="461">
        <f>BC116</f>
        <v>139.28700000000001</v>
      </c>
      <c r="BD118" s="461">
        <f>BD116</f>
        <v>135.42349999999999</v>
      </c>
      <c r="BE118" s="461">
        <f>BE116</f>
        <v>136.36500000000001</v>
      </c>
      <c r="BF118" s="462">
        <f>SUM(BB118:BE118)</f>
        <v>545.32050000000004</v>
      </c>
      <c r="BG118" s="460">
        <f>BG116</f>
        <v>149.17150000000004</v>
      </c>
      <c r="BH118" s="461">
        <f>BH116</f>
        <v>162.90950000000004</v>
      </c>
      <c r="BI118" s="461">
        <f>BI116</f>
        <v>163.15800000000002</v>
      </c>
      <c r="BJ118" s="1826">
        <f>BJ116</f>
        <v>154.24700000000001</v>
      </c>
      <c r="BK118" s="462">
        <f>SUM(BG118:BJ118)</f>
        <v>629.4860000000001</v>
      </c>
      <c r="BL118" s="461">
        <f>BL116</f>
        <v>160.3595</v>
      </c>
      <c r="BM118" s="461">
        <f>BM116</f>
        <v>137.89699999999999</v>
      </c>
      <c r="BN118" s="461">
        <f>BN116</f>
        <v>121.94000000000001</v>
      </c>
      <c r="BO118" s="1826">
        <f>BO116</f>
        <v>138.80099999999999</v>
      </c>
      <c r="BP118" s="462">
        <f>SUM(BL118:BO118)</f>
        <v>558.99749999999995</v>
      </c>
      <c r="BQ118" s="461">
        <f>BQ116</f>
        <v>155.803</v>
      </c>
      <c r="BR118" s="461">
        <f>BR116</f>
        <v>151.17500000000001</v>
      </c>
      <c r="BS118" s="461">
        <f>BS116</f>
        <v>140.27099999999999</v>
      </c>
      <c r="BT118" s="1826">
        <f>BT116</f>
        <v>148.376</v>
      </c>
      <c r="BU118" s="3340">
        <f>SUM(BQ118:BT118)</f>
        <v>595.625</v>
      </c>
      <c r="BV118" s="461">
        <f>BV116</f>
        <v>157.43480741757983</v>
      </c>
      <c r="BW118" s="461">
        <f>BW116</f>
        <v>156.08302139382249</v>
      </c>
      <c r="BX118" s="461">
        <f>BX116</f>
        <v>202.94900484526767</v>
      </c>
      <c r="BY118" s="1826">
        <f>BY116</f>
        <v>216.52749180563794</v>
      </c>
      <c r="BZ118" s="3340">
        <f>SUM(BV118:BY118)</f>
        <v>732.99432546230787</v>
      </c>
      <c r="CA118" s="462">
        <f t="shared" ref="CA118:CG118" si="263">CA116</f>
        <v>873.95789252238421</v>
      </c>
      <c r="CB118" s="462">
        <f t="shared" si="263"/>
        <v>885.4839440604203</v>
      </c>
      <c r="CC118" s="462">
        <f t="shared" si="263"/>
        <v>27.182735284795953</v>
      </c>
      <c r="CD118" s="462">
        <f t="shared" si="263"/>
        <v>-24.46940414965777</v>
      </c>
      <c r="CE118" s="462">
        <f t="shared" si="263"/>
        <v>-3.0982719250125115</v>
      </c>
      <c r="CF118" s="462">
        <f t="shared" si="263"/>
        <v>18.91610812897099</v>
      </c>
      <c r="CG118" s="462">
        <f t="shared" si="263"/>
        <v>41.588759220727141</v>
      </c>
      <c r="CH118" s="461"/>
      <c r="CI118" s="461"/>
      <c r="CJ118" s="461"/>
      <c r="CK118" s="461"/>
      <c r="CL118" s="461"/>
      <c r="CM118" s="965"/>
      <c r="CN118" s="965">
        <f t="shared" ref="CN118:CN123" si="264">SUM(BV118:BY118)</f>
        <v>732.99432546230787</v>
      </c>
      <c r="CO118" s="965">
        <f t="shared" ref="CO118:CO121" si="265">CM118-CN118</f>
        <v>-732.99432546230787</v>
      </c>
      <c r="CP118" s="1785" t="str">
        <f t="shared" si="218"/>
        <v>Total Reported EBITDA</v>
      </c>
      <c r="CQ118" s="461">
        <f t="shared" si="219"/>
        <v>448.15100000000001</v>
      </c>
      <c r="CR118" s="461">
        <f t="shared" si="220"/>
        <v>668.05500000000006</v>
      </c>
      <c r="CS118" s="461">
        <f t="shared" si="221"/>
        <v>685.02499999999986</v>
      </c>
      <c r="CT118" s="461">
        <f t="shared" si="222"/>
        <v>580.93000000000006</v>
      </c>
      <c r="CU118" s="461">
        <f t="shared" si="223"/>
        <v>442.64000000000004</v>
      </c>
      <c r="CV118" s="461">
        <f t="shared" si="224"/>
        <v>385.86599999999993</v>
      </c>
      <c r="CW118" s="461">
        <f t="shared" si="225"/>
        <v>419.58000000000004</v>
      </c>
      <c r="CX118" s="461">
        <f t="shared" si="226"/>
        <v>466.113</v>
      </c>
      <c r="CY118" s="461">
        <f t="shared" si="227"/>
        <v>452.09699999999998</v>
      </c>
      <c r="CZ118" s="461">
        <f t="shared" si="228"/>
        <v>550.80650000000003</v>
      </c>
      <c r="DA118" s="461">
        <f t="shared" si="229"/>
        <v>545.32050000000004</v>
      </c>
      <c r="DB118" s="461">
        <f t="shared" si="230"/>
        <v>629.4860000000001</v>
      </c>
      <c r="DC118" s="461">
        <f t="shared" si="231"/>
        <v>558.99749999999995</v>
      </c>
      <c r="DD118" s="461">
        <f t="shared" si="232"/>
        <v>595.625</v>
      </c>
      <c r="DE118" s="461">
        <f t="shared" si="233"/>
        <v>732.99432546230787</v>
      </c>
      <c r="DF118" s="461">
        <f t="shared" si="234"/>
        <v>873.95789252238421</v>
      </c>
      <c r="DG118" s="1826">
        <f t="shared" si="235"/>
        <v>885.4839440604203</v>
      </c>
      <c r="DH118" s="323"/>
      <c r="DI118" s="463"/>
      <c r="DJ118" s="463"/>
      <c r="DK118" s="463"/>
      <c r="DL118" s="463"/>
      <c r="DM118" s="463"/>
      <c r="DN118" s="463"/>
      <c r="DO118" s="269"/>
      <c r="DP118"/>
      <c r="DQ118"/>
      <c r="DR118"/>
      <c r="DS118"/>
      <c r="DT118"/>
      <c r="DU118"/>
      <c r="DY118" s="461"/>
      <c r="DZ118" s="461"/>
    </row>
    <row r="119" spans="1:130" ht="12" customHeight="1">
      <c r="A119" s="1824" t="s">
        <v>915</v>
      </c>
      <c r="B119" s="445"/>
      <c r="C119" s="445"/>
      <c r="D119" s="464">
        <f t="shared" ref="D119:AK119" si="266">-D114</f>
        <v>-13.144</v>
      </c>
      <c r="E119" s="465">
        <f t="shared" si="266"/>
        <v>-18.917999999999999</v>
      </c>
      <c r="F119" s="465">
        <f t="shared" si="266"/>
        <v>-24.03</v>
      </c>
      <c r="G119" s="465">
        <f t="shared" si="266"/>
        <v>-22.533000000000001</v>
      </c>
      <c r="H119" s="466">
        <f t="shared" si="266"/>
        <v>-78.625</v>
      </c>
      <c r="I119" s="465">
        <f t="shared" si="266"/>
        <v>-21.753</v>
      </c>
      <c r="J119" s="465">
        <f t="shared" si="266"/>
        <v>-21.475999999999999</v>
      </c>
      <c r="K119" s="465">
        <f t="shared" si="266"/>
        <v>-30.827000000000002</v>
      </c>
      <c r="L119" s="465">
        <f t="shared" si="266"/>
        <v>-23.256</v>
      </c>
      <c r="M119" s="466">
        <f t="shared" si="266"/>
        <v>-97.311999999999998</v>
      </c>
      <c r="N119" s="465">
        <f t="shared" si="266"/>
        <v>-25.245000000000001</v>
      </c>
      <c r="O119" s="465">
        <f t="shared" si="266"/>
        <v>-21.376999999999999</v>
      </c>
      <c r="P119" s="465">
        <f t="shared" si="266"/>
        <v>-27.021000000000001</v>
      </c>
      <c r="Q119" s="465">
        <f t="shared" si="266"/>
        <v>-18.132000000000001</v>
      </c>
      <c r="R119" s="466">
        <f t="shared" si="266"/>
        <v>-91.775000000000006</v>
      </c>
      <c r="S119" s="465">
        <f t="shared" si="266"/>
        <v>-21.872</v>
      </c>
      <c r="T119" s="465">
        <f t="shared" si="266"/>
        <v>-18.777999999999999</v>
      </c>
      <c r="U119" s="465">
        <f t="shared" si="266"/>
        <v>-27.62</v>
      </c>
      <c r="V119" s="465">
        <f t="shared" si="266"/>
        <v>-18.2</v>
      </c>
      <c r="W119" s="466">
        <f t="shared" si="266"/>
        <v>-86.47</v>
      </c>
      <c r="X119" s="465">
        <f t="shared" si="266"/>
        <v>-19.004999999999999</v>
      </c>
      <c r="Y119" s="465">
        <f t="shared" si="266"/>
        <v>-13.244</v>
      </c>
      <c r="Z119" s="465">
        <f t="shared" si="266"/>
        <v>-20.167000000000002</v>
      </c>
      <c r="AA119" s="465">
        <f t="shared" si="266"/>
        <v>-8.1039999999999992</v>
      </c>
      <c r="AB119" s="466">
        <f t="shared" si="266"/>
        <v>-60.519999999999996</v>
      </c>
      <c r="AC119" s="465">
        <f t="shared" si="266"/>
        <v>-12.917</v>
      </c>
      <c r="AD119" s="465">
        <f t="shared" si="266"/>
        <v>-13.843999999999999</v>
      </c>
      <c r="AE119" s="465">
        <f t="shared" si="266"/>
        <v>-24.173999999999999</v>
      </c>
      <c r="AF119" s="465">
        <f t="shared" si="266"/>
        <v>-8.5350000000000001</v>
      </c>
      <c r="AG119" s="466">
        <f t="shared" si="266"/>
        <v>-59.47</v>
      </c>
      <c r="AH119" s="464">
        <f t="shared" si="266"/>
        <v>-8.1460000000000008</v>
      </c>
      <c r="AI119" s="465">
        <f t="shared" si="266"/>
        <v>0</v>
      </c>
      <c r="AJ119" s="465">
        <f t="shared" si="266"/>
        <v>0</v>
      </c>
      <c r="AK119" s="465">
        <f t="shared" si="266"/>
        <v>0</v>
      </c>
      <c r="AL119" s="466">
        <f>SUM(AH119:AK119)</f>
        <v>-8.1460000000000008</v>
      </c>
      <c r="AM119" s="465">
        <f>-AM114</f>
        <v>0</v>
      </c>
      <c r="AN119" s="465">
        <f>-AN114</f>
        <v>0</v>
      </c>
      <c r="AO119" s="465">
        <f>-AO114</f>
        <v>0</v>
      </c>
      <c r="AP119" s="465">
        <f>-AP114</f>
        <v>0</v>
      </c>
      <c r="AQ119" s="466">
        <f>SUM(AM119:AP119)</f>
        <v>0</v>
      </c>
      <c r="AR119" s="465">
        <f>-AR114</f>
        <v>0</v>
      </c>
      <c r="AS119" s="465">
        <f>-AS114</f>
        <v>0</v>
      </c>
      <c r="AT119" s="465">
        <f>-AT114</f>
        <v>0</v>
      </c>
      <c r="AU119" s="465">
        <f>-AU114</f>
        <v>0</v>
      </c>
      <c r="AV119" s="466">
        <f>SUM(AR119:AU119)</f>
        <v>0</v>
      </c>
      <c r="AW119" s="465">
        <f>-AW114</f>
        <v>0</v>
      </c>
      <c r="AX119" s="465">
        <f>-AX114</f>
        <v>0</v>
      </c>
      <c r="AY119" s="465">
        <f>-AY114</f>
        <v>0</v>
      </c>
      <c r="AZ119" s="465">
        <f>-AZ114</f>
        <v>0</v>
      </c>
      <c r="BA119" s="466">
        <f>SUM(AW119:AZ119)</f>
        <v>0</v>
      </c>
      <c r="BB119" s="465">
        <f>-BB114</f>
        <v>0</v>
      </c>
      <c r="BC119" s="465">
        <f>-BC114</f>
        <v>0</v>
      </c>
      <c r="BD119" s="465">
        <f>-BD114</f>
        <v>0</v>
      </c>
      <c r="BE119" s="465">
        <f>-BE114</f>
        <v>0</v>
      </c>
      <c r="BF119" s="466">
        <f>SUM(BB119:BE119)</f>
        <v>0</v>
      </c>
      <c r="BG119" s="464">
        <f>-BG114</f>
        <v>0</v>
      </c>
      <c r="BH119" s="465">
        <f>-BH114</f>
        <v>0</v>
      </c>
      <c r="BI119" s="465">
        <f>-BI114</f>
        <v>0</v>
      </c>
      <c r="BJ119" s="1797">
        <f>-BJ114</f>
        <v>0</v>
      </c>
      <c r="BK119" s="466">
        <f>SUM(BG119:BJ119)</f>
        <v>0</v>
      </c>
      <c r="BL119" s="465">
        <f>-BL114</f>
        <v>0</v>
      </c>
      <c r="BM119" s="465">
        <f>-BM114</f>
        <v>0</v>
      </c>
      <c r="BN119" s="465">
        <f>-BN114</f>
        <v>0</v>
      </c>
      <c r="BO119" s="1797">
        <f>-BO114</f>
        <v>0</v>
      </c>
      <c r="BP119" s="466">
        <f>SUM(BL119:BO119)</f>
        <v>0</v>
      </c>
      <c r="BQ119" s="465">
        <f>-BQ114</f>
        <v>0</v>
      </c>
      <c r="BR119" s="465">
        <f>-BR114</f>
        <v>0</v>
      </c>
      <c r="BS119" s="465">
        <f>-BS114</f>
        <v>0</v>
      </c>
      <c r="BT119" s="1797">
        <f>-BT114</f>
        <v>0</v>
      </c>
      <c r="BU119" s="3322">
        <f>SUM(BQ119:BT119)</f>
        <v>0</v>
      </c>
      <c r="BV119" s="465">
        <f>-BV114</f>
        <v>0</v>
      </c>
      <c r="BW119" s="465">
        <f>-BW114</f>
        <v>0</v>
      </c>
      <c r="BX119" s="465">
        <f>-BX114</f>
        <v>0</v>
      </c>
      <c r="BY119" s="1797">
        <f>-BY114</f>
        <v>0</v>
      </c>
      <c r="BZ119" s="3322">
        <f>SUM(BV119:BY119)</f>
        <v>0</v>
      </c>
      <c r="CA119" s="466">
        <f t="shared" ref="CA119:CG119" si="267">-CA114</f>
        <v>0</v>
      </c>
      <c r="CB119" s="466">
        <f t="shared" si="267"/>
        <v>0</v>
      </c>
      <c r="CC119" s="466">
        <f t="shared" si="267"/>
        <v>0</v>
      </c>
      <c r="CD119" s="466">
        <f t="shared" si="267"/>
        <v>0</v>
      </c>
      <c r="CE119" s="466">
        <f t="shared" si="267"/>
        <v>0</v>
      </c>
      <c r="CF119" s="466">
        <f t="shared" si="267"/>
        <v>0</v>
      </c>
      <c r="CG119" s="466">
        <f t="shared" si="267"/>
        <v>0</v>
      </c>
      <c r="CH119" s="465"/>
      <c r="CI119" s="465"/>
      <c r="CJ119" s="465"/>
      <c r="CK119" s="465"/>
      <c r="CL119" s="465"/>
      <c r="CM119" s="965"/>
      <c r="CN119" s="965">
        <f t="shared" si="264"/>
        <v>0</v>
      </c>
      <c r="CO119" s="965">
        <f t="shared" si="265"/>
        <v>0</v>
      </c>
      <c r="CP119" s="1824" t="str">
        <f t="shared" si="218"/>
        <v>Less: Op income from unconsolidated affiliates</v>
      </c>
      <c r="CQ119" s="465">
        <f t="shared" si="219"/>
        <v>-78.625</v>
      </c>
      <c r="CR119" s="465">
        <f t="shared" si="220"/>
        <v>-97.311999999999998</v>
      </c>
      <c r="CS119" s="465">
        <f t="shared" si="221"/>
        <v>-91.775000000000006</v>
      </c>
      <c r="CT119" s="465">
        <f t="shared" si="222"/>
        <v>-86.47</v>
      </c>
      <c r="CU119" s="465">
        <f t="shared" si="223"/>
        <v>-60.519999999999996</v>
      </c>
      <c r="CV119" s="465">
        <f t="shared" si="224"/>
        <v>-59.47</v>
      </c>
      <c r="CW119" s="465">
        <f t="shared" si="225"/>
        <v>-8.1460000000000008</v>
      </c>
      <c r="CX119" s="465">
        <f t="shared" si="226"/>
        <v>0</v>
      </c>
      <c r="CY119" s="465">
        <f t="shared" si="227"/>
        <v>0</v>
      </c>
      <c r="CZ119" s="465">
        <f t="shared" si="228"/>
        <v>0</v>
      </c>
      <c r="DA119" s="465">
        <f t="shared" si="229"/>
        <v>0</v>
      </c>
      <c r="DB119" s="465">
        <f t="shared" si="230"/>
        <v>0</v>
      </c>
      <c r="DC119" s="465">
        <f t="shared" si="231"/>
        <v>0</v>
      </c>
      <c r="DD119" s="465">
        <f t="shared" si="232"/>
        <v>0</v>
      </c>
      <c r="DE119" s="465">
        <f t="shared" si="233"/>
        <v>0</v>
      </c>
      <c r="DF119" s="465">
        <f t="shared" si="234"/>
        <v>0</v>
      </c>
      <c r="DG119" s="1797">
        <f t="shared" si="235"/>
        <v>0</v>
      </c>
      <c r="DH119" s="311"/>
      <c r="DI119" s="240"/>
      <c r="DJ119" s="240"/>
      <c r="DK119" s="240"/>
      <c r="DL119" s="240"/>
      <c r="DM119" s="240"/>
      <c r="DN119" s="240"/>
      <c r="DO119" s="226"/>
      <c r="DY119" s="465"/>
      <c r="DZ119" s="465"/>
    </row>
    <row r="120" spans="1:130" ht="12" customHeight="1">
      <c r="A120" s="1824" t="s">
        <v>1108</v>
      </c>
      <c r="B120" s="445"/>
      <c r="C120" s="445"/>
      <c r="D120" s="329">
        <f t="shared" ref="D120:Q120" si="268">D927/2</f>
        <v>20.052499999999998</v>
      </c>
      <c r="E120" s="347">
        <f t="shared" si="268"/>
        <v>26.148499999999999</v>
      </c>
      <c r="F120" s="347">
        <f t="shared" si="268"/>
        <v>31.530999999999999</v>
      </c>
      <c r="G120" s="347">
        <f t="shared" si="268"/>
        <v>30.051499999999997</v>
      </c>
      <c r="H120" s="346">
        <f t="shared" si="268"/>
        <v>107.78350000000003</v>
      </c>
      <c r="I120" s="347">
        <f t="shared" si="268"/>
        <v>28.439999999999991</v>
      </c>
      <c r="J120" s="347">
        <f t="shared" si="268"/>
        <v>28.368499999999997</v>
      </c>
      <c r="K120" s="347">
        <f t="shared" si="268"/>
        <v>37.757000000000005</v>
      </c>
      <c r="L120" s="347">
        <f t="shared" si="268"/>
        <v>31.30149999999999</v>
      </c>
      <c r="M120" s="346">
        <f t="shared" si="268"/>
        <v>125.86699999999996</v>
      </c>
      <c r="N120" s="347">
        <f t="shared" si="268"/>
        <v>32.639500000000005</v>
      </c>
      <c r="O120" s="347">
        <f t="shared" si="268"/>
        <v>28.805000000000007</v>
      </c>
      <c r="P120" s="347">
        <f t="shared" si="268"/>
        <v>35.482000000000014</v>
      </c>
      <c r="Q120" s="347">
        <f t="shared" si="268"/>
        <v>26.58</v>
      </c>
      <c r="R120" s="346">
        <f t="shared" ref="R120:AG120" si="269">R927/2</f>
        <v>123.50650000000007</v>
      </c>
      <c r="S120" s="347">
        <f t="shared" si="269"/>
        <v>30.284499999999994</v>
      </c>
      <c r="T120" s="347">
        <f t="shared" si="269"/>
        <v>27.231499999999997</v>
      </c>
      <c r="U120" s="347">
        <f t="shared" si="269"/>
        <v>36.293999999999997</v>
      </c>
      <c r="V120" s="347">
        <f t="shared" si="269"/>
        <v>27.048000000000002</v>
      </c>
      <c r="W120" s="346">
        <f t="shared" si="269"/>
        <v>120.85799999999995</v>
      </c>
      <c r="X120" s="347">
        <f t="shared" si="269"/>
        <v>27.733000000000004</v>
      </c>
      <c r="Y120" s="347">
        <f t="shared" si="269"/>
        <v>22.585000000000008</v>
      </c>
      <c r="Z120" s="347">
        <f t="shared" si="269"/>
        <v>29.890999999999991</v>
      </c>
      <c r="AA120" s="347">
        <f t="shared" si="269"/>
        <v>18.359000000000009</v>
      </c>
      <c r="AB120" s="346">
        <f t="shared" si="269"/>
        <v>98.56800000000004</v>
      </c>
      <c r="AC120" s="347">
        <f t="shared" si="269"/>
        <v>22.962999999999994</v>
      </c>
      <c r="AD120" s="347">
        <f t="shared" si="269"/>
        <v>23.863</v>
      </c>
      <c r="AE120" s="347">
        <f t="shared" si="269"/>
        <v>33.779499999999999</v>
      </c>
      <c r="AF120" s="347">
        <f t="shared" si="269"/>
        <v>18.22399999999999</v>
      </c>
      <c r="AG120" s="346">
        <f t="shared" si="269"/>
        <v>98.829499999999996</v>
      </c>
      <c r="AH120" s="347">
        <f>(AH927-AH45)/2</f>
        <v>16.558499999999999</v>
      </c>
      <c r="AI120" s="347">
        <f>(AI927-AI45)/2</f>
        <v>0</v>
      </c>
      <c r="AJ120" s="347">
        <v>0</v>
      </c>
      <c r="AK120" s="347">
        <v>0</v>
      </c>
      <c r="AL120" s="466">
        <f>SUM(AH120:AK120)</f>
        <v>16.558499999999999</v>
      </c>
      <c r="AM120" s="347">
        <v>0</v>
      </c>
      <c r="AN120" s="347">
        <v>0</v>
      </c>
      <c r="AO120" s="347">
        <v>0</v>
      </c>
      <c r="AP120" s="347">
        <v>0</v>
      </c>
      <c r="AQ120" s="466">
        <f>SUM(AM120:AP120)</f>
        <v>0</v>
      </c>
      <c r="AR120" s="347">
        <v>0</v>
      </c>
      <c r="AS120" s="347">
        <v>0</v>
      </c>
      <c r="AT120" s="347">
        <v>0</v>
      </c>
      <c r="AU120" s="347">
        <v>0</v>
      </c>
      <c r="AV120" s="466">
        <f>SUM(AR120:AU120)</f>
        <v>0</v>
      </c>
      <c r="AW120" s="347">
        <v>0</v>
      </c>
      <c r="AX120" s="347">
        <v>0</v>
      </c>
      <c r="AY120" s="347">
        <v>0</v>
      </c>
      <c r="AZ120" s="347">
        <v>0</v>
      </c>
      <c r="BA120" s="466">
        <f>SUM(AW120:AZ120)</f>
        <v>0</v>
      </c>
      <c r="BB120" s="347">
        <v>0</v>
      </c>
      <c r="BC120" s="347">
        <v>0</v>
      </c>
      <c r="BD120" s="347">
        <v>0</v>
      </c>
      <c r="BE120" s="347">
        <v>0</v>
      </c>
      <c r="BF120" s="466">
        <f>SUM(BB120:BE120)</f>
        <v>0</v>
      </c>
      <c r="BG120" s="329">
        <v>0</v>
      </c>
      <c r="BH120" s="347">
        <v>0</v>
      </c>
      <c r="BI120" s="347">
        <v>0</v>
      </c>
      <c r="BJ120" s="1795">
        <v>0</v>
      </c>
      <c r="BK120" s="466">
        <f>SUM(BG120:BJ120)</f>
        <v>0</v>
      </c>
      <c r="BL120" s="347">
        <v>0</v>
      </c>
      <c r="BM120" s="347">
        <v>0</v>
      </c>
      <c r="BN120" s="347">
        <v>0</v>
      </c>
      <c r="BO120" s="1795">
        <v>0</v>
      </c>
      <c r="BP120" s="466">
        <f>SUM(BL120:BO120)</f>
        <v>0</v>
      </c>
      <c r="BQ120" s="347">
        <v>0</v>
      </c>
      <c r="BR120" s="347">
        <v>0</v>
      </c>
      <c r="BS120" s="347">
        <v>0</v>
      </c>
      <c r="BT120" s="1795">
        <v>0</v>
      </c>
      <c r="BU120" s="3322">
        <f>SUM(BQ120:BT120)</f>
        <v>0</v>
      </c>
      <c r="BV120" s="347">
        <v>0</v>
      </c>
      <c r="BW120" s="347">
        <v>0</v>
      </c>
      <c r="BX120" s="347">
        <v>0</v>
      </c>
      <c r="BY120" s="1795">
        <v>0</v>
      </c>
      <c r="BZ120" s="3322">
        <f>SUM(BV120:BY120)</f>
        <v>0</v>
      </c>
      <c r="CA120" s="346">
        <v>0</v>
      </c>
      <c r="CB120" s="346">
        <v>0</v>
      </c>
      <c r="CC120" s="346">
        <v>0</v>
      </c>
      <c r="CD120" s="346">
        <v>0</v>
      </c>
      <c r="CE120" s="346">
        <v>0</v>
      </c>
      <c r="CF120" s="346">
        <v>0</v>
      </c>
      <c r="CG120" s="346">
        <v>0</v>
      </c>
      <c r="CH120" s="347"/>
      <c r="CI120" s="347"/>
      <c r="CJ120" s="347"/>
      <c r="CK120" s="347"/>
      <c r="CL120" s="347"/>
      <c r="CM120" s="965"/>
      <c r="CN120" s="965">
        <f t="shared" si="264"/>
        <v>0</v>
      </c>
      <c r="CO120" s="965">
        <f t="shared" si="265"/>
        <v>0</v>
      </c>
      <c r="CP120" s="1824" t="str">
        <f t="shared" si="218"/>
        <v>Plus: Borgata EBITDA to Boyd</v>
      </c>
      <c r="CQ120" s="347">
        <f t="shared" si="219"/>
        <v>107.78350000000003</v>
      </c>
      <c r="CR120" s="347">
        <f t="shared" si="220"/>
        <v>125.86699999999996</v>
      </c>
      <c r="CS120" s="347">
        <f t="shared" si="221"/>
        <v>123.50650000000007</v>
      </c>
      <c r="CT120" s="347">
        <f t="shared" si="222"/>
        <v>120.85799999999995</v>
      </c>
      <c r="CU120" s="347">
        <f t="shared" si="223"/>
        <v>98.56800000000004</v>
      </c>
      <c r="CV120" s="347">
        <f t="shared" si="224"/>
        <v>98.829499999999996</v>
      </c>
      <c r="CW120" s="347">
        <f t="shared" si="225"/>
        <v>16.558499999999999</v>
      </c>
      <c r="CX120" s="347">
        <f t="shared" si="226"/>
        <v>0</v>
      </c>
      <c r="CY120" s="347">
        <f t="shared" si="227"/>
        <v>0</v>
      </c>
      <c r="CZ120" s="347">
        <f t="shared" si="228"/>
        <v>0</v>
      </c>
      <c r="DA120" s="347">
        <f t="shared" si="229"/>
        <v>0</v>
      </c>
      <c r="DB120" s="347">
        <f t="shared" si="230"/>
        <v>0</v>
      </c>
      <c r="DC120" s="347">
        <f t="shared" si="231"/>
        <v>0</v>
      </c>
      <c r="DD120" s="347">
        <f t="shared" si="232"/>
        <v>0</v>
      </c>
      <c r="DE120" s="347">
        <f t="shared" si="233"/>
        <v>0</v>
      </c>
      <c r="DF120" s="347">
        <f t="shared" si="234"/>
        <v>0</v>
      </c>
      <c r="DG120" s="1795">
        <f t="shared" si="235"/>
        <v>0</v>
      </c>
      <c r="DH120" s="290"/>
      <c r="DI120" s="240"/>
      <c r="DJ120" s="240"/>
      <c r="DK120" s="240"/>
      <c r="DL120" s="240"/>
      <c r="DM120" s="240"/>
      <c r="DN120" s="240"/>
      <c r="DO120" s="226"/>
      <c r="DY120" s="465"/>
      <c r="DZ120" s="465"/>
    </row>
    <row r="121" spans="1:130" ht="12" customHeight="1">
      <c r="A121" s="1824" t="s">
        <v>1545</v>
      </c>
      <c r="B121" s="445"/>
      <c r="C121" s="445"/>
      <c r="D121" s="347">
        <v>0</v>
      </c>
      <c r="E121" s="347">
        <v>0</v>
      </c>
      <c r="F121" s="347">
        <v>0</v>
      </c>
      <c r="G121" s="347">
        <v>0</v>
      </c>
      <c r="H121" s="346">
        <v>0</v>
      </c>
      <c r="I121" s="347">
        <v>0</v>
      </c>
      <c r="J121" s="347">
        <v>0</v>
      </c>
      <c r="K121" s="347">
        <v>0</v>
      </c>
      <c r="L121" s="347">
        <v>0</v>
      </c>
      <c r="M121" s="346">
        <v>0</v>
      </c>
      <c r="N121" s="347">
        <v>0</v>
      </c>
      <c r="O121" s="347">
        <v>0</v>
      </c>
      <c r="P121" s="347">
        <v>0</v>
      </c>
      <c r="Q121" s="347">
        <v>0</v>
      </c>
      <c r="R121" s="346">
        <v>0</v>
      </c>
      <c r="S121" s="347">
        <v>0</v>
      </c>
      <c r="T121" s="347">
        <v>0</v>
      </c>
      <c r="U121" s="347">
        <v>0</v>
      </c>
      <c r="V121" s="347">
        <v>0</v>
      </c>
      <c r="W121" s="346">
        <v>0</v>
      </c>
      <c r="X121" s="347">
        <v>0</v>
      </c>
      <c r="Y121" s="347">
        <v>0</v>
      </c>
      <c r="Z121" s="347">
        <v>0</v>
      </c>
      <c r="AA121" s="347">
        <v>0</v>
      </c>
      <c r="AB121" s="346">
        <v>0</v>
      </c>
      <c r="AC121" s="347">
        <v>0</v>
      </c>
      <c r="AD121" s="347">
        <v>0</v>
      </c>
      <c r="AE121" s="347">
        <v>0</v>
      </c>
      <c r="AF121" s="347">
        <v>0</v>
      </c>
      <c r="AG121" s="346">
        <v>0</v>
      </c>
      <c r="AH121" s="347">
        <f>-0.5*AH45</f>
        <v>-2.4500000000000002</v>
      </c>
      <c r="AI121" s="347">
        <f>-0.5*AI45</f>
        <v>-21.480000000000004</v>
      </c>
      <c r="AJ121" s="347">
        <f>-0.5*AJ45</f>
        <v>-27.159500000000008</v>
      </c>
      <c r="AK121" s="347">
        <f>-0.5*AK45</f>
        <v>-17.064499999999995</v>
      </c>
      <c r="AL121" s="346">
        <f>SUM(AH121:AK121)</f>
        <v>-68.154000000000011</v>
      </c>
      <c r="AM121" s="347">
        <f>-0.5*AM45</f>
        <v>-15.840999999999994</v>
      </c>
      <c r="AN121" s="347">
        <f>-0.5*AN45</f>
        <v>-19.328500000000005</v>
      </c>
      <c r="AO121" s="347">
        <f>-0.5*AO45</f>
        <v>-24.97</v>
      </c>
      <c r="AP121" s="347">
        <f>-0.5*AP45</f>
        <v>-18.929999999999993</v>
      </c>
      <c r="AQ121" s="346">
        <f>SUM(AM121:AP121)</f>
        <v>-79.069499999999991</v>
      </c>
      <c r="AR121" s="347">
        <f>-0.5*AR45</f>
        <v>-19.4405</v>
      </c>
      <c r="AS121" s="347">
        <f>-0.5*AS45</f>
        <v>-15.3675</v>
      </c>
      <c r="AT121" s="347">
        <f>-0.5*AT45</f>
        <v>-16.675000000000001</v>
      </c>
      <c r="AU121" s="347">
        <f>-0.5*AU45</f>
        <v>-7.0049999999999999</v>
      </c>
      <c r="AV121" s="346">
        <f>SUM(AR121:AU121)</f>
        <v>-58.488000000000007</v>
      </c>
      <c r="AW121" s="347">
        <v>0</v>
      </c>
      <c r="AX121" s="347">
        <v>0</v>
      </c>
      <c r="AY121" s="347">
        <v>0</v>
      </c>
      <c r="AZ121" s="347">
        <v>0</v>
      </c>
      <c r="BA121" s="466">
        <f>SUM(AW121:AZ121)</f>
        <v>0</v>
      </c>
      <c r="BB121" s="347">
        <v>0</v>
      </c>
      <c r="BC121" s="347">
        <v>0</v>
      </c>
      <c r="BD121" s="347">
        <v>0</v>
      </c>
      <c r="BE121" s="347">
        <v>0</v>
      </c>
      <c r="BF121" s="466">
        <f>SUM(BB121:BE121)</f>
        <v>0</v>
      </c>
      <c r="BG121" s="329">
        <v>0</v>
      </c>
      <c r="BH121" s="347">
        <v>0</v>
      </c>
      <c r="BI121" s="347">
        <v>0</v>
      </c>
      <c r="BJ121" s="1795">
        <v>0</v>
      </c>
      <c r="BK121" s="466">
        <f>SUM(BG121:BJ121)</f>
        <v>0</v>
      </c>
      <c r="BL121" s="347">
        <v>0</v>
      </c>
      <c r="BM121" s="347">
        <v>0</v>
      </c>
      <c r="BN121" s="347">
        <v>0</v>
      </c>
      <c r="BO121" s="1795">
        <v>0</v>
      </c>
      <c r="BP121" s="466">
        <f>SUM(BL121:BO121)</f>
        <v>0</v>
      </c>
      <c r="BQ121" s="347">
        <v>0</v>
      </c>
      <c r="BR121" s="347">
        <v>0</v>
      </c>
      <c r="BS121" s="347">
        <v>0</v>
      </c>
      <c r="BT121" s="1795">
        <v>0</v>
      </c>
      <c r="BU121" s="3322">
        <f>SUM(BQ121:BT121)</f>
        <v>0</v>
      </c>
      <c r="BV121" s="347">
        <v>0</v>
      </c>
      <c r="BW121" s="347">
        <v>0</v>
      </c>
      <c r="BX121" s="347">
        <v>0</v>
      </c>
      <c r="BY121" s="1795">
        <v>0</v>
      </c>
      <c r="BZ121" s="3322">
        <f>SUM(BV121:BY121)</f>
        <v>0</v>
      </c>
      <c r="CA121" s="346">
        <v>0</v>
      </c>
      <c r="CB121" s="346">
        <v>0</v>
      </c>
      <c r="CC121" s="346">
        <v>0</v>
      </c>
      <c r="CD121" s="346">
        <v>0</v>
      </c>
      <c r="CE121" s="346">
        <v>0</v>
      </c>
      <c r="CF121" s="346">
        <v>0</v>
      </c>
      <c r="CG121" s="346">
        <v>0</v>
      </c>
      <c r="CH121" s="467"/>
      <c r="CI121" s="467"/>
      <c r="CJ121" s="467"/>
      <c r="CK121" s="467"/>
      <c r="CL121" s="467"/>
      <c r="CM121" s="965"/>
      <c r="CN121" s="965">
        <f t="shared" si="264"/>
        <v>0</v>
      </c>
      <c r="CO121" s="965">
        <f t="shared" si="265"/>
        <v>0</v>
      </c>
      <c r="CP121" s="1824" t="str">
        <f t="shared" si="218"/>
        <v>Less: Borgata Noncontrolling interest (50%)</v>
      </c>
      <c r="CQ121" s="347">
        <f t="shared" si="219"/>
        <v>0</v>
      </c>
      <c r="CR121" s="347">
        <f t="shared" si="220"/>
        <v>0</v>
      </c>
      <c r="CS121" s="347">
        <f t="shared" si="221"/>
        <v>0</v>
      </c>
      <c r="CT121" s="347">
        <f t="shared" si="222"/>
        <v>0</v>
      </c>
      <c r="CU121" s="347">
        <f t="shared" si="223"/>
        <v>0</v>
      </c>
      <c r="CV121" s="347">
        <f t="shared" si="224"/>
        <v>0</v>
      </c>
      <c r="CW121" s="347">
        <f t="shared" si="225"/>
        <v>-68.154000000000011</v>
      </c>
      <c r="CX121" s="347">
        <f t="shared" si="226"/>
        <v>-79.069499999999991</v>
      </c>
      <c r="CY121" s="347">
        <f t="shared" si="227"/>
        <v>-58.488000000000007</v>
      </c>
      <c r="CZ121" s="347">
        <f t="shared" si="228"/>
        <v>0</v>
      </c>
      <c r="DA121" s="347">
        <f t="shared" si="229"/>
        <v>0</v>
      </c>
      <c r="DB121" s="347">
        <f t="shared" si="230"/>
        <v>0</v>
      </c>
      <c r="DC121" s="347">
        <f t="shared" si="231"/>
        <v>0</v>
      </c>
      <c r="DD121" s="347">
        <f t="shared" si="232"/>
        <v>0</v>
      </c>
      <c r="DE121" s="347">
        <f t="shared" si="233"/>
        <v>0</v>
      </c>
      <c r="DF121" s="347">
        <f t="shared" si="234"/>
        <v>0</v>
      </c>
      <c r="DG121" s="1795">
        <f t="shared" si="235"/>
        <v>0</v>
      </c>
      <c r="DH121" s="290"/>
      <c r="DI121" s="240"/>
      <c r="DJ121" s="240"/>
      <c r="DK121" s="240"/>
      <c r="DL121" s="240"/>
      <c r="DM121" s="240"/>
      <c r="DN121" s="240"/>
      <c r="DO121" s="226"/>
      <c r="DY121" s="465"/>
      <c r="DZ121" s="465"/>
    </row>
    <row r="122" spans="1:130" ht="4.5" customHeight="1">
      <c r="A122" s="1784"/>
      <c r="B122" s="293"/>
      <c r="C122" s="293"/>
      <c r="D122" s="294" t="s">
        <v>343</v>
      </c>
      <c r="E122" s="295" t="s">
        <v>343</v>
      </c>
      <c r="F122" s="295" t="s">
        <v>343</v>
      </c>
      <c r="G122" s="295" t="s">
        <v>343</v>
      </c>
      <c r="H122" s="296" t="s">
        <v>343</v>
      </c>
      <c r="I122" s="295" t="s">
        <v>343</v>
      </c>
      <c r="J122" s="295" t="s">
        <v>343</v>
      </c>
      <c r="K122" s="295" t="s">
        <v>343</v>
      </c>
      <c r="L122" s="295" t="s">
        <v>343</v>
      </c>
      <c r="M122" s="296" t="s">
        <v>343</v>
      </c>
      <c r="N122" s="295" t="s">
        <v>343</v>
      </c>
      <c r="O122" s="295" t="s">
        <v>343</v>
      </c>
      <c r="P122" s="295" t="s">
        <v>343</v>
      </c>
      <c r="Q122" s="295" t="s">
        <v>343</v>
      </c>
      <c r="R122" s="296" t="s">
        <v>343</v>
      </c>
      <c r="S122" s="295" t="s">
        <v>343</v>
      </c>
      <c r="T122" s="295" t="s">
        <v>343</v>
      </c>
      <c r="U122" s="295" t="s">
        <v>343</v>
      </c>
      <c r="V122" s="295" t="s">
        <v>343</v>
      </c>
      <c r="W122" s="296" t="s">
        <v>343</v>
      </c>
      <c r="X122" s="295" t="s">
        <v>343</v>
      </c>
      <c r="Y122" s="295" t="s">
        <v>343</v>
      </c>
      <c r="Z122" s="295" t="s">
        <v>343</v>
      </c>
      <c r="AA122" s="295" t="s">
        <v>343</v>
      </c>
      <c r="AB122" s="296" t="s">
        <v>343</v>
      </c>
      <c r="AC122" s="295" t="s">
        <v>343</v>
      </c>
      <c r="AD122" s="295" t="s">
        <v>343</v>
      </c>
      <c r="AE122" s="295" t="s">
        <v>343</v>
      </c>
      <c r="AF122" s="295" t="s">
        <v>343</v>
      </c>
      <c r="AG122" s="296" t="s">
        <v>343</v>
      </c>
      <c r="AH122" s="295" t="s">
        <v>343</v>
      </c>
      <c r="AI122" s="295" t="s">
        <v>343</v>
      </c>
      <c r="AJ122" s="295" t="s">
        <v>343</v>
      </c>
      <c r="AK122" s="295" t="s">
        <v>343</v>
      </c>
      <c r="AL122" s="296" t="s">
        <v>343</v>
      </c>
      <c r="AM122" s="295" t="s">
        <v>343</v>
      </c>
      <c r="AN122" s="295" t="s">
        <v>343</v>
      </c>
      <c r="AO122" s="295" t="s">
        <v>343</v>
      </c>
      <c r="AP122" s="295" t="s">
        <v>343</v>
      </c>
      <c r="AQ122" s="296" t="s">
        <v>343</v>
      </c>
      <c r="AR122" s="295" t="s">
        <v>343</v>
      </c>
      <c r="AS122" s="295" t="s">
        <v>343</v>
      </c>
      <c r="AT122" s="295" t="s">
        <v>343</v>
      </c>
      <c r="AU122" s="295" t="s">
        <v>343</v>
      </c>
      <c r="AV122" s="296" t="s">
        <v>343</v>
      </c>
      <c r="AW122" s="295" t="s">
        <v>343</v>
      </c>
      <c r="AX122" s="295" t="s">
        <v>343</v>
      </c>
      <c r="AY122" s="295" t="s">
        <v>343</v>
      </c>
      <c r="AZ122" s="295" t="s">
        <v>343</v>
      </c>
      <c r="BA122" s="296" t="s">
        <v>343</v>
      </c>
      <c r="BB122" s="295" t="s">
        <v>343</v>
      </c>
      <c r="BC122" s="295" t="s">
        <v>343</v>
      </c>
      <c r="BD122" s="295" t="s">
        <v>343</v>
      </c>
      <c r="BE122" s="295" t="s">
        <v>343</v>
      </c>
      <c r="BF122" s="296" t="s">
        <v>343</v>
      </c>
      <c r="BG122" s="294" t="s">
        <v>343</v>
      </c>
      <c r="BH122" s="295" t="s">
        <v>343</v>
      </c>
      <c r="BI122" s="295" t="s">
        <v>343</v>
      </c>
      <c r="BJ122" s="297" t="s">
        <v>343</v>
      </c>
      <c r="BK122" s="296" t="s">
        <v>343</v>
      </c>
      <c r="BL122" s="295" t="s">
        <v>343</v>
      </c>
      <c r="BM122" s="295" t="s">
        <v>343</v>
      </c>
      <c r="BN122" s="295" t="s">
        <v>343</v>
      </c>
      <c r="BO122" s="297" t="s">
        <v>343</v>
      </c>
      <c r="BP122" s="296" t="s">
        <v>343</v>
      </c>
      <c r="BQ122" s="295" t="s">
        <v>343</v>
      </c>
      <c r="BR122" s="295" t="s">
        <v>343</v>
      </c>
      <c r="BS122" s="295" t="s">
        <v>343</v>
      </c>
      <c r="BT122" s="297" t="s">
        <v>343</v>
      </c>
      <c r="BU122" s="3314" t="s">
        <v>343</v>
      </c>
      <c r="BV122" s="295" t="s">
        <v>343</v>
      </c>
      <c r="BW122" s="295" t="s">
        <v>343</v>
      </c>
      <c r="BX122" s="295" t="s">
        <v>343</v>
      </c>
      <c r="BY122" s="297" t="s">
        <v>343</v>
      </c>
      <c r="BZ122" s="3314" t="s">
        <v>343</v>
      </c>
      <c r="CA122" s="297" t="s">
        <v>343</v>
      </c>
      <c r="CB122" s="297" t="s">
        <v>343</v>
      </c>
      <c r="CC122" s="297" t="s">
        <v>343</v>
      </c>
      <c r="CD122" s="297" t="s">
        <v>343</v>
      </c>
      <c r="CE122" s="297" t="s">
        <v>343</v>
      </c>
      <c r="CF122" s="297" t="s">
        <v>343</v>
      </c>
      <c r="CG122" s="297" t="s">
        <v>343</v>
      </c>
      <c r="CH122" s="295"/>
      <c r="CI122" s="295"/>
      <c r="CJ122" s="295"/>
      <c r="CK122" s="295"/>
      <c r="CL122" s="295"/>
      <c r="CM122" s="965"/>
      <c r="CN122" s="965">
        <f t="shared" si="264"/>
        <v>0</v>
      </c>
      <c r="CO122" s="295"/>
      <c r="CP122" s="1784"/>
      <c r="CQ122" s="295" t="str">
        <f t="shared" si="219"/>
        <v xml:space="preserve">                </v>
      </c>
      <c r="CR122" s="295" t="str">
        <f t="shared" si="220"/>
        <v xml:space="preserve">                </v>
      </c>
      <c r="CS122" s="295" t="str">
        <f t="shared" si="221"/>
        <v xml:space="preserve">                </v>
      </c>
      <c r="CT122" s="295" t="str">
        <f t="shared" si="222"/>
        <v xml:space="preserve">                </v>
      </c>
      <c r="CU122" s="295" t="str">
        <f t="shared" si="223"/>
        <v xml:space="preserve">                </v>
      </c>
      <c r="CV122" s="295" t="str">
        <f t="shared" si="224"/>
        <v xml:space="preserve">                </v>
      </c>
      <c r="CW122" s="295" t="str">
        <f t="shared" si="225"/>
        <v xml:space="preserve">                </v>
      </c>
      <c r="CX122" s="295" t="str">
        <f t="shared" si="226"/>
        <v xml:space="preserve">                </v>
      </c>
      <c r="CY122" s="295" t="str">
        <f t="shared" si="227"/>
        <v xml:space="preserve">                </v>
      </c>
      <c r="CZ122" s="295" t="str">
        <f t="shared" si="228"/>
        <v xml:space="preserve">                </v>
      </c>
      <c r="DA122" s="295" t="str">
        <f t="shared" si="229"/>
        <v xml:space="preserve">                </v>
      </c>
      <c r="DB122" s="295" t="str">
        <f t="shared" si="230"/>
        <v xml:space="preserve">                </v>
      </c>
      <c r="DC122" s="295" t="str">
        <f t="shared" si="231"/>
        <v xml:space="preserve">                </v>
      </c>
      <c r="DD122" s="295" t="str">
        <f t="shared" si="232"/>
        <v xml:space="preserve">                </v>
      </c>
      <c r="DE122" s="295" t="str">
        <f t="shared" si="233"/>
        <v xml:space="preserve">                </v>
      </c>
      <c r="DF122" s="295" t="str">
        <f t="shared" si="234"/>
        <v xml:space="preserve">                </v>
      </c>
      <c r="DG122" s="297" t="str">
        <f t="shared" si="235"/>
        <v xml:space="preserve">                </v>
      </c>
      <c r="DH122" s="298"/>
      <c r="DI122" s="299"/>
      <c r="DJ122" s="299"/>
      <c r="DK122" s="299"/>
      <c r="DL122" s="299"/>
      <c r="DM122" s="299"/>
      <c r="DN122" s="299"/>
      <c r="DO122" s="300"/>
      <c r="DY122" s="295"/>
      <c r="DZ122" s="295"/>
    </row>
    <row r="123" spans="1:130" ht="12" customHeight="1">
      <c r="A123" s="1827" t="s">
        <v>9</v>
      </c>
      <c r="B123" s="242"/>
      <c r="C123" s="242"/>
      <c r="D123" s="460">
        <f t="shared" ref="D123:M123" si="270">SUM(D118:D120)</f>
        <v>87.596499999999992</v>
      </c>
      <c r="E123" s="461">
        <f t="shared" si="270"/>
        <v>92.509499999999989</v>
      </c>
      <c r="F123" s="461">
        <f t="shared" si="270"/>
        <v>140.54800000000003</v>
      </c>
      <c r="G123" s="461">
        <f t="shared" si="270"/>
        <v>156.65549999999999</v>
      </c>
      <c r="H123" s="462">
        <f t="shared" si="270"/>
        <v>477.30950000000007</v>
      </c>
      <c r="I123" s="461">
        <f t="shared" si="270"/>
        <v>177.12</v>
      </c>
      <c r="J123" s="461">
        <f t="shared" si="270"/>
        <v>166.07349999999997</v>
      </c>
      <c r="K123" s="461">
        <f t="shared" si="270"/>
        <v>162.91700000000003</v>
      </c>
      <c r="L123" s="461">
        <f t="shared" si="270"/>
        <v>190.49950000000001</v>
      </c>
      <c r="M123" s="462">
        <f t="shared" si="270"/>
        <v>696.61</v>
      </c>
      <c r="N123" s="461">
        <f t="shared" ref="N123:AG123" si="271">SUM(N118:N120)</f>
        <v>222.21349999999998</v>
      </c>
      <c r="O123" s="461">
        <f t="shared" si="271"/>
        <v>181.43300000000002</v>
      </c>
      <c r="P123" s="461">
        <f t="shared" si="271"/>
        <v>158.36099999999999</v>
      </c>
      <c r="Q123" s="461">
        <f t="shared" si="271"/>
        <v>154.74899999999997</v>
      </c>
      <c r="R123" s="462">
        <f t="shared" si="271"/>
        <v>716.75649999999996</v>
      </c>
      <c r="S123" s="461">
        <f t="shared" si="271"/>
        <v>163.83249999999998</v>
      </c>
      <c r="T123" s="461">
        <f t="shared" si="271"/>
        <v>155.31649999999996</v>
      </c>
      <c r="U123" s="461">
        <f t="shared" si="271"/>
        <v>152.70400000000001</v>
      </c>
      <c r="V123" s="461">
        <f t="shared" si="271"/>
        <v>143.46499999999997</v>
      </c>
      <c r="W123" s="462">
        <f t="shared" si="271"/>
        <v>615.31799999999998</v>
      </c>
      <c r="X123" s="461">
        <f t="shared" si="271"/>
        <v>136.41</v>
      </c>
      <c r="Y123" s="461">
        <f t="shared" si="271"/>
        <v>128.988</v>
      </c>
      <c r="Z123" s="461">
        <f t="shared" si="271"/>
        <v>110.90299999999999</v>
      </c>
      <c r="AA123" s="461">
        <f t="shared" si="271"/>
        <v>104.38700000000001</v>
      </c>
      <c r="AB123" s="462">
        <f t="shared" si="271"/>
        <v>480.6880000000001</v>
      </c>
      <c r="AC123" s="461">
        <f t="shared" si="271"/>
        <v>119.67799999999998</v>
      </c>
      <c r="AD123" s="461">
        <f t="shared" si="271"/>
        <v>115.617</v>
      </c>
      <c r="AE123" s="461">
        <f t="shared" si="271"/>
        <v>106.22349999999999</v>
      </c>
      <c r="AF123" s="461">
        <f t="shared" si="271"/>
        <v>83.706999999999979</v>
      </c>
      <c r="AG123" s="462">
        <f t="shared" si="271"/>
        <v>425.22549999999995</v>
      </c>
      <c r="AH123" s="461">
        <f>SUM(AH118:AH121)</f>
        <v>96.623499999999993</v>
      </c>
      <c r="AI123" s="461">
        <f>SUM(AI118:AI121)</f>
        <v>92.01900000000002</v>
      </c>
      <c r="AJ123" s="461">
        <f>SUM(AJ118:AJ121)</f>
        <v>88.217500000000001</v>
      </c>
      <c r="AK123" s="461">
        <f>SUM(AK118:AK121)</f>
        <v>82.978499999999997</v>
      </c>
      <c r="AL123" s="462">
        <f>SUM(AH123:AK123)</f>
        <v>359.83850000000001</v>
      </c>
      <c r="AM123" s="461">
        <f>SUM(AM118:AM121)</f>
        <v>95.899999999999991</v>
      </c>
      <c r="AN123" s="461">
        <f>SUM(AN118:AN121)</f>
        <v>99.083500000000029</v>
      </c>
      <c r="AO123" s="461">
        <f>SUM(AO118:AO121)</f>
        <v>96.722000000000008</v>
      </c>
      <c r="AP123" s="461">
        <f>SUM(AP118:AP121)</f>
        <v>95.337999999999994</v>
      </c>
      <c r="AQ123" s="462">
        <f>SUM(AM123:AP123)</f>
        <v>387.04349999999999</v>
      </c>
      <c r="AR123" s="461">
        <f>SUM(AR118:AR121)</f>
        <v>114.36149999999999</v>
      </c>
      <c r="AS123" s="461">
        <f>SUM(AS118:AS121)</f>
        <v>98.467500000000001</v>
      </c>
      <c r="AT123" s="461">
        <f>SUM(AT118:AT121)</f>
        <v>86.928000000000011</v>
      </c>
      <c r="AU123" s="461">
        <f>SUM(AU118:AU121)</f>
        <v>93.852000000000004</v>
      </c>
      <c r="AV123" s="462">
        <f>SUM(AR123:AU123)</f>
        <v>393.60900000000004</v>
      </c>
      <c r="AW123" s="461">
        <f>SUM(AW118:AW121)</f>
        <v>149.27450000000002</v>
      </c>
      <c r="AX123" s="461">
        <f>SUM(AX118:AX121)</f>
        <v>146.26350000000002</v>
      </c>
      <c r="AY123" s="461">
        <f>SUM(AY118:AY121)</f>
        <v>131.98100000000002</v>
      </c>
      <c r="AZ123" s="461">
        <f>SUM(AZ118:AZ121)</f>
        <v>123.28750000000001</v>
      </c>
      <c r="BA123" s="462">
        <f>SUM(AW123:AZ123)</f>
        <v>550.80650000000003</v>
      </c>
      <c r="BB123" s="461">
        <f>SUM(BB118:BB121)</f>
        <v>134.24500000000003</v>
      </c>
      <c r="BC123" s="461">
        <f>SUM(BC118:BC121)</f>
        <v>139.28700000000001</v>
      </c>
      <c r="BD123" s="461">
        <f>SUM(BD118:BD121)</f>
        <v>135.42349999999999</v>
      </c>
      <c r="BE123" s="461">
        <f>SUM(BE118:BE121)</f>
        <v>136.36500000000001</v>
      </c>
      <c r="BF123" s="462">
        <f>SUM(BB123:BE123)</f>
        <v>545.32050000000004</v>
      </c>
      <c r="BG123" s="460">
        <f>SUM(BG118:BG121)</f>
        <v>149.17150000000004</v>
      </c>
      <c r="BH123" s="461">
        <f>SUM(BH118:BH121)</f>
        <v>162.90950000000004</v>
      </c>
      <c r="BI123" s="461">
        <f>SUM(BI118:BI121)</f>
        <v>163.15800000000002</v>
      </c>
      <c r="BJ123" s="1826">
        <f>SUM(BJ118:BJ121)</f>
        <v>154.24700000000001</v>
      </c>
      <c r="BK123" s="462">
        <f>SUM(BG123:BJ123)</f>
        <v>629.4860000000001</v>
      </c>
      <c r="BL123" s="461">
        <f>SUM(BL118:BL121)</f>
        <v>160.3595</v>
      </c>
      <c r="BM123" s="461">
        <f>SUM(BM118:BM121)</f>
        <v>137.89699999999999</v>
      </c>
      <c r="BN123" s="461">
        <f>SUM(BN118:BN121)</f>
        <v>121.94000000000001</v>
      </c>
      <c r="BO123" s="1826">
        <f>SUM(BO118:BO121)</f>
        <v>138.80099999999999</v>
      </c>
      <c r="BP123" s="462">
        <f>SUM(BL123:BO123)</f>
        <v>558.99749999999995</v>
      </c>
      <c r="BQ123" s="461">
        <f>SUM(BQ118:BQ121)</f>
        <v>155.803</v>
      </c>
      <c r="BR123" s="461">
        <f>SUM(BR118:BR121)</f>
        <v>151.17500000000001</v>
      </c>
      <c r="BS123" s="461">
        <f>SUM(BS118:BS121)</f>
        <v>140.27099999999999</v>
      </c>
      <c r="BT123" s="1826">
        <f>SUM(BT118:BT121)</f>
        <v>148.376</v>
      </c>
      <c r="BU123" s="3340">
        <f>SUM(BQ123:BT123)</f>
        <v>595.625</v>
      </c>
      <c r="BV123" s="461">
        <f>SUM(BV118:BV121)</f>
        <v>157.43480741757983</v>
      </c>
      <c r="BW123" s="461">
        <f>SUM(BW118:BW121)</f>
        <v>156.08302139382249</v>
      </c>
      <c r="BX123" s="461">
        <f>SUM(BX118:BX121)</f>
        <v>202.94900484526767</v>
      </c>
      <c r="BY123" s="1826">
        <f>SUM(BY118:BY121)</f>
        <v>216.52749180563794</v>
      </c>
      <c r="BZ123" s="3340">
        <f>SUM(BV123:BY123)</f>
        <v>732.99432546230787</v>
      </c>
      <c r="CA123" s="462">
        <f t="shared" ref="CA123:CG123" si="272">SUM(CA118:CA121)</f>
        <v>873.95789252238421</v>
      </c>
      <c r="CB123" s="462">
        <f t="shared" si="272"/>
        <v>885.4839440604203</v>
      </c>
      <c r="CC123" s="462">
        <f t="shared" si="272"/>
        <v>27.182735284795953</v>
      </c>
      <c r="CD123" s="462">
        <f t="shared" si="272"/>
        <v>-24.46940414965777</v>
      </c>
      <c r="CE123" s="462">
        <f t="shared" si="272"/>
        <v>-3.0982719250125115</v>
      </c>
      <c r="CF123" s="462">
        <f t="shared" si="272"/>
        <v>18.91610812897099</v>
      </c>
      <c r="CG123" s="462">
        <f t="shared" si="272"/>
        <v>41.588759220727141</v>
      </c>
      <c r="CH123" s="461"/>
      <c r="CI123" s="461"/>
      <c r="CJ123" s="461"/>
      <c r="CK123" s="461"/>
      <c r="CL123" s="461"/>
      <c r="CM123" s="965"/>
      <c r="CN123" s="965">
        <f t="shared" si="264"/>
        <v>732.99432546230787</v>
      </c>
      <c r="CO123" s="965">
        <f t="shared" ref="CO123" si="273">CM123-CN123</f>
        <v>-732.99432546230787</v>
      </c>
      <c r="CP123" s="1827" t="str">
        <f t="shared" si="218"/>
        <v xml:space="preserve">Comparable Valuation EBITDA </v>
      </c>
      <c r="CQ123" s="461">
        <f t="shared" si="219"/>
        <v>477.30950000000007</v>
      </c>
      <c r="CR123" s="461">
        <f t="shared" si="220"/>
        <v>696.61</v>
      </c>
      <c r="CS123" s="461">
        <f t="shared" si="221"/>
        <v>716.75649999999996</v>
      </c>
      <c r="CT123" s="461">
        <f t="shared" si="222"/>
        <v>615.31799999999998</v>
      </c>
      <c r="CU123" s="461">
        <f t="shared" si="223"/>
        <v>480.6880000000001</v>
      </c>
      <c r="CV123" s="461">
        <f t="shared" si="224"/>
        <v>425.22549999999995</v>
      </c>
      <c r="CW123" s="461">
        <f t="shared" si="225"/>
        <v>359.83850000000001</v>
      </c>
      <c r="CX123" s="461">
        <f t="shared" si="226"/>
        <v>387.04349999999999</v>
      </c>
      <c r="CY123" s="461">
        <f t="shared" si="227"/>
        <v>393.60900000000004</v>
      </c>
      <c r="CZ123" s="461">
        <f t="shared" si="228"/>
        <v>550.80650000000003</v>
      </c>
      <c r="DA123" s="461">
        <f t="shared" si="229"/>
        <v>545.32050000000004</v>
      </c>
      <c r="DB123" s="461">
        <f t="shared" si="230"/>
        <v>629.4860000000001</v>
      </c>
      <c r="DC123" s="461">
        <f t="shared" si="231"/>
        <v>558.99749999999995</v>
      </c>
      <c r="DD123" s="461">
        <f t="shared" si="232"/>
        <v>595.625</v>
      </c>
      <c r="DE123" s="461">
        <f t="shared" si="233"/>
        <v>732.99432546230787</v>
      </c>
      <c r="DF123" s="461">
        <f t="shared" si="234"/>
        <v>873.95789252238421</v>
      </c>
      <c r="DG123" s="1826">
        <f t="shared" si="235"/>
        <v>885.4839440604203</v>
      </c>
      <c r="DH123" s="323"/>
      <c r="DI123" s="463"/>
      <c r="DJ123" s="463"/>
      <c r="DK123" s="463"/>
      <c r="DL123" s="463"/>
      <c r="DM123" s="463"/>
      <c r="DN123" s="463"/>
      <c r="DO123" s="269"/>
      <c r="DY123" s="461"/>
      <c r="DZ123" s="461"/>
    </row>
    <row r="124" spans="1:130" ht="12" customHeight="1">
      <c r="A124" s="1828"/>
      <c r="B124" s="445"/>
      <c r="C124" s="445"/>
      <c r="D124" s="468"/>
      <c r="E124" s="469"/>
      <c r="F124" s="469"/>
      <c r="G124" s="469"/>
      <c r="H124" s="470"/>
      <c r="I124" s="469"/>
      <c r="J124" s="469"/>
      <c r="K124" s="469"/>
      <c r="L124" s="469"/>
      <c r="M124" s="470"/>
      <c r="N124" s="469"/>
      <c r="O124" s="469"/>
      <c r="P124" s="469"/>
      <c r="Q124" s="469"/>
      <c r="R124" s="470"/>
      <c r="S124" s="469"/>
      <c r="T124" s="469"/>
      <c r="U124" s="469"/>
      <c r="V124" s="469"/>
      <c r="W124" s="470"/>
      <c r="X124" s="469"/>
      <c r="Y124" s="469"/>
      <c r="Z124" s="469"/>
      <c r="AA124" s="469"/>
      <c r="AB124" s="470"/>
      <c r="AC124" s="469"/>
      <c r="AD124" s="469"/>
      <c r="AE124" s="469"/>
      <c r="AF124" s="469"/>
      <c r="AG124" s="302"/>
      <c r="AH124" s="469"/>
      <c r="AI124" s="469"/>
      <c r="AJ124" s="469"/>
      <c r="AK124" s="303"/>
      <c r="AL124" s="1294"/>
      <c r="AM124" s="469"/>
      <c r="AN124" s="469"/>
      <c r="AO124" s="469"/>
      <c r="AP124" s="469"/>
      <c r="AQ124" s="302"/>
      <c r="AR124" s="469"/>
      <c r="AS124" s="469"/>
      <c r="AT124" s="469"/>
      <c r="AU124" s="469"/>
      <c r="AV124" s="302"/>
      <c r="AW124" s="469"/>
      <c r="AX124" s="469"/>
      <c r="AY124" s="469"/>
      <c r="AZ124" s="469"/>
      <c r="BA124" s="470"/>
      <c r="BB124" s="469"/>
      <c r="BC124" s="469"/>
      <c r="BD124" s="469"/>
      <c r="BE124" s="469"/>
      <c r="BF124" s="470"/>
      <c r="BG124" s="2994"/>
      <c r="BH124" s="2995"/>
      <c r="BI124" s="2995"/>
      <c r="BJ124" s="2996"/>
      <c r="BK124" s="470"/>
      <c r="BL124" s="2995"/>
      <c r="BM124" s="2995"/>
      <c r="BN124" s="2995"/>
      <c r="BO124" s="2996"/>
      <c r="BP124" s="470"/>
      <c r="BQ124" s="2995"/>
      <c r="BR124" s="2995"/>
      <c r="BS124" s="2995"/>
      <c r="BT124" s="2996"/>
      <c r="BU124" s="3322"/>
      <c r="BV124" s="2995"/>
      <c r="BW124" s="2995"/>
      <c r="BX124" s="2995"/>
      <c r="BY124" s="2996"/>
      <c r="BZ124" s="3322"/>
      <c r="CA124" s="470"/>
      <c r="CB124" s="470"/>
      <c r="CC124" s="470"/>
      <c r="CD124" s="470"/>
      <c r="CE124" s="470"/>
      <c r="CF124" s="470"/>
      <c r="CG124" s="470"/>
      <c r="CH124" s="469"/>
      <c r="CI124" s="469"/>
      <c r="CJ124" s="469"/>
      <c r="CK124" s="469"/>
      <c r="CL124" s="469"/>
      <c r="CM124" s="469"/>
      <c r="CN124" s="469"/>
      <c r="CO124" s="469"/>
      <c r="CP124" s="1828"/>
      <c r="CQ124" s="465"/>
      <c r="CR124" s="465"/>
      <c r="CS124" s="465"/>
      <c r="CT124" s="465"/>
      <c r="CU124" s="465"/>
      <c r="CV124" s="465"/>
      <c r="CW124" s="465"/>
      <c r="CX124" s="465"/>
      <c r="CY124" s="465"/>
      <c r="CZ124" s="465"/>
      <c r="DA124" s="465"/>
      <c r="DB124" s="465"/>
      <c r="DC124" s="465"/>
      <c r="DD124" s="465"/>
      <c r="DE124" s="465"/>
      <c r="DF124" s="465"/>
      <c r="DG124" s="1797"/>
      <c r="DH124" s="311"/>
      <c r="DI124" s="240"/>
      <c r="DJ124" s="240"/>
      <c r="DK124" s="240"/>
      <c r="DL124" s="240"/>
      <c r="DM124" s="240"/>
      <c r="DN124" s="240"/>
      <c r="DO124" s="226"/>
      <c r="DY124" s="469"/>
      <c r="DZ124" s="469"/>
    </row>
    <row r="125" spans="1:130" ht="12" customHeight="1">
      <c r="A125" s="967" t="s">
        <v>178</v>
      </c>
      <c r="B125" s="968"/>
      <c r="C125" s="968"/>
      <c r="D125" s="969"/>
      <c r="E125" s="970"/>
      <c r="F125" s="970"/>
      <c r="G125" s="970"/>
      <c r="H125" s="971"/>
      <c r="I125" s="970"/>
      <c r="J125" s="970"/>
      <c r="K125" s="970"/>
      <c r="L125" s="970"/>
      <c r="M125" s="971"/>
      <c r="N125" s="970"/>
      <c r="O125" s="970"/>
      <c r="P125" s="970"/>
      <c r="Q125" s="970"/>
      <c r="R125" s="971"/>
      <c r="S125" s="970"/>
      <c r="T125" s="970"/>
      <c r="U125" s="970"/>
      <c r="V125" s="970"/>
      <c r="W125" s="971"/>
      <c r="X125" s="970"/>
      <c r="Y125" s="970"/>
      <c r="Z125" s="970"/>
      <c r="AA125" s="970"/>
      <c r="AB125" s="971"/>
      <c r="AC125" s="970"/>
      <c r="AD125" s="970"/>
      <c r="AE125" s="970"/>
      <c r="AF125" s="970"/>
      <c r="AG125" s="971"/>
      <c r="AH125" s="970"/>
      <c r="AI125" s="970"/>
      <c r="AJ125" s="970"/>
      <c r="AK125" s="970"/>
      <c r="AL125" s="971"/>
      <c r="AM125" s="970"/>
      <c r="AN125" s="970"/>
      <c r="AO125" s="970"/>
      <c r="AP125" s="970"/>
      <c r="AQ125" s="971"/>
      <c r="AR125" s="970"/>
      <c r="AS125" s="970"/>
      <c r="AT125" s="970"/>
      <c r="AU125" s="970"/>
      <c r="AV125" s="971"/>
      <c r="AW125" s="970"/>
      <c r="AX125" s="970"/>
      <c r="AY125" s="970"/>
      <c r="AZ125" s="970"/>
      <c r="BA125" s="971"/>
      <c r="BB125" s="970"/>
      <c r="BC125" s="970"/>
      <c r="BD125" s="970"/>
      <c r="BE125" s="970"/>
      <c r="BF125" s="971"/>
      <c r="BG125" s="969"/>
      <c r="BH125" s="970"/>
      <c r="BI125" s="970"/>
      <c r="BJ125" s="2352"/>
      <c r="BK125" s="971"/>
      <c r="BL125" s="970"/>
      <c r="BM125" s="970"/>
      <c r="BN125" s="970"/>
      <c r="BO125" s="2352"/>
      <c r="BP125" s="971"/>
      <c r="BQ125" s="970"/>
      <c r="BR125" s="970"/>
      <c r="BS125" s="970"/>
      <c r="BT125" s="2352"/>
      <c r="BU125" s="3341"/>
      <c r="BV125" s="970"/>
      <c r="BW125" s="970"/>
      <c r="BX125" s="970"/>
      <c r="BY125" s="2352"/>
      <c r="BZ125" s="971"/>
      <c r="CA125" s="971"/>
      <c r="CB125" s="971"/>
      <c r="CC125" s="971"/>
      <c r="CD125" s="971"/>
      <c r="CE125" s="971"/>
      <c r="CF125" s="971"/>
      <c r="CG125" s="971"/>
      <c r="CH125" s="341"/>
      <c r="CI125" s="341"/>
      <c r="CJ125" s="341"/>
      <c r="CK125" s="341"/>
      <c r="CL125" s="341"/>
      <c r="CM125" s="341"/>
      <c r="CN125" s="341"/>
      <c r="CO125" s="341"/>
      <c r="CP125" s="967" t="str">
        <f t="shared" si="218"/>
        <v>Property EBITDA Margins</v>
      </c>
      <c r="CQ125" s="1756"/>
      <c r="CR125" s="1756"/>
      <c r="CS125" s="1756"/>
      <c r="CT125" s="1756"/>
      <c r="CU125" s="1756"/>
      <c r="CV125" s="1756"/>
      <c r="CW125" s="1756"/>
      <c r="CX125" s="1756"/>
      <c r="CY125" s="1756"/>
      <c r="CZ125" s="1756"/>
      <c r="DA125" s="1756"/>
      <c r="DB125" s="1756"/>
      <c r="DC125" s="1756"/>
      <c r="DD125" s="1756"/>
      <c r="DE125" s="1756"/>
      <c r="DF125" s="1756"/>
      <c r="DG125" s="1829"/>
      <c r="DH125" s="337"/>
      <c r="DI125" s="222"/>
      <c r="DJ125" s="222"/>
      <c r="DK125" s="222"/>
      <c r="DL125" s="222"/>
      <c r="DM125" s="222"/>
      <c r="DN125" s="222"/>
      <c r="DO125" s="226"/>
      <c r="DY125" s="341"/>
      <c r="DZ125" s="341"/>
    </row>
    <row r="126" spans="1:130" ht="12" hidden="1" customHeight="1" outlineLevel="1">
      <c r="A126" s="972" t="s">
        <v>1136</v>
      </c>
      <c r="B126" s="232"/>
      <c r="C126" s="232"/>
      <c r="D126" s="260">
        <f t="shared" ref="D126:R126" si="274">D37/D9</f>
        <v>0.14158538473447904</v>
      </c>
      <c r="E126" s="261">
        <f t="shared" si="274"/>
        <v>0.12050086446272332</v>
      </c>
      <c r="F126" s="261">
        <f t="shared" si="274"/>
        <v>8.7631167671355217E-2</v>
      </c>
      <c r="G126" s="261">
        <f t="shared" si="274"/>
        <v>0.12345010697806305</v>
      </c>
      <c r="H126" s="262">
        <f t="shared" si="274"/>
        <v>0.11887590479898121</v>
      </c>
      <c r="I126" s="261">
        <f t="shared" si="274"/>
        <v>0.17467838554453502</v>
      </c>
      <c r="J126" s="261">
        <f t="shared" si="274"/>
        <v>0.14677540843094986</v>
      </c>
      <c r="K126" s="261">
        <f t="shared" si="274"/>
        <v>0.13056827643630306</v>
      </c>
      <c r="L126" s="261">
        <f t="shared" si="274"/>
        <v>0.16786447638603696</v>
      </c>
      <c r="M126" s="262">
        <f t="shared" si="274"/>
        <v>0.15545521620956909</v>
      </c>
      <c r="N126" s="261">
        <f t="shared" si="274"/>
        <v>0.17353568035333694</v>
      </c>
      <c r="O126" s="261">
        <f t="shared" si="274"/>
        <v>0.13035013966086392</v>
      </c>
      <c r="P126" s="261">
        <f t="shared" si="274"/>
        <v>8.3959193891600947E-2</v>
      </c>
      <c r="Q126" s="261">
        <f t="shared" si="274"/>
        <v>0.11965049928673326</v>
      </c>
      <c r="R126" s="262">
        <f t="shared" si="274"/>
        <v>0.13102468568706513</v>
      </c>
      <c r="S126" s="343"/>
      <c r="T126" s="343"/>
      <c r="U126" s="343"/>
      <c r="V126" s="343"/>
      <c r="W126" s="344"/>
      <c r="X126" s="343"/>
      <c r="Y126" s="343"/>
      <c r="Z126" s="343"/>
      <c r="AA126" s="343"/>
      <c r="AB126" s="344"/>
      <c r="AC126" s="343"/>
      <c r="AD126" s="343"/>
      <c r="AE126" s="343"/>
      <c r="AF126" s="343"/>
      <c r="AG126" s="344"/>
      <c r="AH126" s="343"/>
      <c r="AI126" s="343"/>
      <c r="AJ126" s="343"/>
      <c r="AK126" s="343"/>
      <c r="AL126" s="344"/>
      <c r="AM126" s="343"/>
      <c r="AN126" s="343"/>
      <c r="AO126" s="343"/>
      <c r="AP126" s="343"/>
      <c r="AQ126" s="344"/>
      <c r="AR126" s="343"/>
      <c r="AS126" s="343"/>
      <c r="AT126" s="343"/>
      <c r="AU126" s="343"/>
      <c r="AV126" s="262"/>
      <c r="AW126" s="343"/>
      <c r="AX126" s="343"/>
      <c r="AY126" s="343"/>
      <c r="AZ126" s="343"/>
      <c r="BA126" s="262"/>
      <c r="BB126" s="343"/>
      <c r="BC126" s="343"/>
      <c r="BD126" s="343"/>
      <c r="BE126" s="343"/>
      <c r="BF126" s="262"/>
      <c r="BG126" s="259"/>
      <c r="BH126" s="263"/>
      <c r="BI126" s="263"/>
      <c r="BJ126" s="1792"/>
      <c r="BK126" s="262"/>
      <c r="BL126" s="263"/>
      <c r="BM126" s="263"/>
      <c r="BN126" s="263"/>
      <c r="BO126" s="1792"/>
      <c r="BP126" s="262"/>
      <c r="BQ126" s="263"/>
      <c r="BR126" s="263"/>
      <c r="BS126" s="263"/>
      <c r="BT126" s="1792"/>
      <c r="BU126" s="3342"/>
      <c r="BV126" s="263"/>
      <c r="BW126" s="263"/>
      <c r="BX126" s="263"/>
      <c r="BY126" s="1792"/>
      <c r="BZ126" s="3342"/>
      <c r="CA126" s="262"/>
      <c r="CB126" s="262"/>
      <c r="CC126" s="262"/>
      <c r="CD126" s="262"/>
      <c r="CE126" s="262"/>
      <c r="CF126" s="262"/>
      <c r="CG126" s="262"/>
      <c r="CH126" s="263"/>
      <c r="CI126" s="263"/>
      <c r="CJ126" s="263"/>
      <c r="CK126" s="263"/>
      <c r="CL126" s="263"/>
      <c r="CM126" s="263"/>
      <c r="CN126" s="263"/>
      <c r="CO126" s="263"/>
      <c r="CP126" s="972" t="str">
        <f t="shared" si="218"/>
        <v>Stardust/Echelon</v>
      </c>
      <c r="CQ126" s="343">
        <f t="shared" si="219"/>
        <v>0.11887590479898121</v>
      </c>
      <c r="CR126" s="343">
        <f t="shared" si="220"/>
        <v>0.15545521620956909</v>
      </c>
      <c r="CS126" s="343">
        <f t="shared" si="221"/>
        <v>0.13102468568706513</v>
      </c>
      <c r="CT126" s="343"/>
      <c r="CU126" s="343"/>
      <c r="CV126" s="343"/>
      <c r="CW126" s="343"/>
      <c r="CX126" s="343"/>
      <c r="CY126" s="343"/>
      <c r="CZ126" s="343"/>
      <c r="DA126" s="343"/>
      <c r="DB126" s="343"/>
      <c r="DC126" s="343"/>
      <c r="DD126" s="343"/>
      <c r="DE126" s="343"/>
      <c r="DF126" s="343"/>
      <c r="DG126" s="1812"/>
      <c r="DH126" s="261"/>
      <c r="DI126" s="265"/>
      <c r="DJ126" s="265"/>
      <c r="DK126" s="265"/>
      <c r="DL126" s="265"/>
      <c r="DM126" s="265"/>
      <c r="DN126" s="265"/>
      <c r="DO126" s="266"/>
      <c r="DY126" s="263"/>
      <c r="DZ126" s="263"/>
    </row>
    <row r="127" spans="1:130" ht="12" customHeight="1" collapsed="1">
      <c r="A127" s="972" t="s">
        <v>495</v>
      </c>
      <c r="B127" s="233"/>
      <c r="C127" s="233"/>
      <c r="D127" s="336">
        <f t="shared" ref="D127:R127" si="275">D38/D10</f>
        <v>0.2989207641583444</v>
      </c>
      <c r="E127" s="337">
        <f t="shared" si="275"/>
        <v>0.25470760894107025</v>
      </c>
      <c r="F127" s="337">
        <f t="shared" si="275"/>
        <v>0.26808128525972635</v>
      </c>
      <c r="G127" s="337">
        <f t="shared" si="275"/>
        <v>0.3269292290971878</v>
      </c>
      <c r="H127" s="309">
        <f t="shared" si="275"/>
        <v>0.29532473672571435</v>
      </c>
      <c r="I127" s="337">
        <f t="shared" si="275"/>
        <v>0.35323257660746471</v>
      </c>
      <c r="J127" s="337">
        <f t="shared" si="275"/>
        <v>0.3334749381391377</v>
      </c>
      <c r="K127" s="337">
        <f t="shared" si="275"/>
        <v>0.32166616800718073</v>
      </c>
      <c r="L127" s="337">
        <f t="shared" si="275"/>
        <v>0.32821977334639157</v>
      </c>
      <c r="M127" s="309">
        <f t="shared" si="275"/>
        <v>0.33426647192469977</v>
      </c>
      <c r="N127" s="337">
        <f t="shared" si="275"/>
        <v>0.33605936048684137</v>
      </c>
      <c r="O127" s="337">
        <f t="shared" si="275"/>
        <v>0.29846659986008434</v>
      </c>
      <c r="P127" s="337">
        <f t="shared" si="275"/>
        <v>0.2817555782762976</v>
      </c>
      <c r="Q127" s="337">
        <f t="shared" si="275"/>
        <v>0.32359237752214343</v>
      </c>
      <c r="R127" s="309">
        <f t="shared" si="275"/>
        <v>0.31165778134206484</v>
      </c>
      <c r="S127" s="337">
        <f t="shared" ref="S127:AX127" si="276">S38/S10</f>
        <v>0.34102922885572146</v>
      </c>
      <c r="T127" s="337">
        <f t="shared" si="276"/>
        <v>0.31644676731381932</v>
      </c>
      <c r="U127" s="337">
        <f t="shared" si="276"/>
        <v>0.30077655519526703</v>
      </c>
      <c r="V127" s="337">
        <f t="shared" si="276"/>
        <v>0.33943255332347633</v>
      </c>
      <c r="W127" s="309">
        <f t="shared" si="276"/>
        <v>0.32482913193007523</v>
      </c>
      <c r="X127" s="337">
        <f t="shared" si="276"/>
        <v>0.32279388263097236</v>
      </c>
      <c r="Y127" s="337">
        <f t="shared" si="276"/>
        <v>0.3154535715729474</v>
      </c>
      <c r="Z127" s="337">
        <f t="shared" si="276"/>
        <v>0.25128030232187148</v>
      </c>
      <c r="AA127" s="337">
        <f t="shared" si="276"/>
        <v>0.24786929006498173</v>
      </c>
      <c r="AB127" s="309">
        <f t="shared" si="276"/>
        <v>0.28648810881229669</v>
      </c>
      <c r="AC127" s="337">
        <f t="shared" si="276"/>
        <v>0.26643307720797887</v>
      </c>
      <c r="AD127" s="337">
        <f t="shared" si="276"/>
        <v>0.26435799117542602</v>
      </c>
      <c r="AE127" s="337">
        <f t="shared" si="276"/>
        <v>0.20804781457920118</v>
      </c>
      <c r="AF127" s="337">
        <f t="shared" si="276"/>
        <v>0.22415239471884152</v>
      </c>
      <c r="AG127" s="309">
        <f t="shared" si="276"/>
        <v>0.24197862420378194</v>
      </c>
      <c r="AH127" s="337">
        <f t="shared" si="276"/>
        <v>0.25811128426538588</v>
      </c>
      <c r="AI127" s="337">
        <f t="shared" si="276"/>
        <v>0.24046564496531181</v>
      </c>
      <c r="AJ127" s="337">
        <f t="shared" si="276"/>
        <v>0.1793767557506199</v>
      </c>
      <c r="AK127" s="337">
        <f t="shared" si="276"/>
        <v>0.22432505275336406</v>
      </c>
      <c r="AL127" s="309">
        <f t="shared" si="276"/>
        <v>0.22632811187982205</v>
      </c>
      <c r="AM127" s="337">
        <f t="shared" si="276"/>
        <v>0.25655744600987579</v>
      </c>
      <c r="AN127" s="337">
        <f t="shared" si="276"/>
        <v>0.25402407861113302</v>
      </c>
      <c r="AO127" s="337">
        <f t="shared" si="276"/>
        <v>0.21103382106020629</v>
      </c>
      <c r="AP127" s="337">
        <f t="shared" si="276"/>
        <v>0.24127678524650284</v>
      </c>
      <c r="AQ127" s="309">
        <f t="shared" si="276"/>
        <v>0.24108462293748742</v>
      </c>
      <c r="AR127" s="337">
        <f t="shared" si="276"/>
        <v>0.24863523893816744</v>
      </c>
      <c r="AS127" s="337">
        <f t="shared" si="276"/>
        <v>0.23179874754173183</v>
      </c>
      <c r="AT127" s="337">
        <f t="shared" si="276"/>
        <v>0.1748794915950341</v>
      </c>
      <c r="AU127" s="337">
        <f t="shared" si="276"/>
        <v>0.21143852147664091</v>
      </c>
      <c r="AV127" s="338">
        <f t="shared" si="276"/>
        <v>0.21772483282767294</v>
      </c>
      <c r="AW127" s="337">
        <f t="shared" si="276"/>
        <v>0.25653189554201811</v>
      </c>
      <c r="AX127" s="337">
        <f t="shared" si="276"/>
        <v>0.25868795510722159</v>
      </c>
      <c r="AY127" s="337">
        <f t="shared" ref="AY127:CB127" si="277">AY38/AY10</f>
        <v>0.18782388036295986</v>
      </c>
      <c r="AZ127" s="337">
        <f t="shared" si="277"/>
        <v>0.22351468995351151</v>
      </c>
      <c r="BA127" s="338">
        <f t="shared" si="277"/>
        <v>0.23248236951070844</v>
      </c>
      <c r="BB127" s="337">
        <f t="shared" si="277"/>
        <v>0.26417199870578367</v>
      </c>
      <c r="BC127" s="337">
        <f t="shared" si="277"/>
        <v>0.24671882376745127</v>
      </c>
      <c r="BD127" s="337">
        <f t="shared" si="277"/>
        <v>0.19865870672133817</v>
      </c>
      <c r="BE127" s="337">
        <f t="shared" si="277"/>
        <v>0.26202119526533624</v>
      </c>
      <c r="BF127" s="338">
        <f t="shared" si="277"/>
        <v>0.24364551203741822</v>
      </c>
      <c r="BG127" s="336">
        <f t="shared" si="277"/>
        <v>0.25865923274474062</v>
      </c>
      <c r="BH127" s="337">
        <f t="shared" si="277"/>
        <v>0.27559595378744312</v>
      </c>
      <c r="BI127" s="337">
        <f t="shared" si="277"/>
        <v>0.21794733215332859</v>
      </c>
      <c r="BJ127" s="1830">
        <f t="shared" si="277"/>
        <v>0.27715905511811023</v>
      </c>
      <c r="BK127" s="338">
        <f t="shared" si="277"/>
        <v>0.25784371896031177</v>
      </c>
      <c r="BL127" s="337">
        <f t="shared" si="277"/>
        <v>0.2794921653051175</v>
      </c>
      <c r="BM127" s="337">
        <f t="shared" ref="BM127:BU127" si="278">BM38/BM10</f>
        <v>0.27865053957763203</v>
      </c>
      <c r="BN127" s="337">
        <f t="shared" si="278"/>
        <v>0.24296912257605172</v>
      </c>
      <c r="BO127" s="1830">
        <f t="shared" si="278"/>
        <v>0.28441617201891689</v>
      </c>
      <c r="BP127" s="338">
        <f t="shared" si="278"/>
        <v>0.27230897699682194</v>
      </c>
      <c r="BQ127" s="337">
        <f t="shared" si="278"/>
        <v>0.30133178027218005</v>
      </c>
      <c r="BR127" s="337">
        <f t="shared" si="278"/>
        <v>0.2946838704858647</v>
      </c>
      <c r="BS127" s="337">
        <f>BS38/BS10</f>
        <v>0.27067745343502614</v>
      </c>
      <c r="BT127" s="1830">
        <f t="shared" si="278"/>
        <v>0.29628319234674882</v>
      </c>
      <c r="BU127" s="3343">
        <f t="shared" si="278"/>
        <v>0.29099649443895304</v>
      </c>
      <c r="BV127" s="337">
        <f t="shared" ref="BV127:BZ127" si="279">BV38/BV10</f>
        <v>0.31326026207241103</v>
      </c>
      <c r="BW127" s="337">
        <f t="shared" si="279"/>
        <v>0.31502952806800333</v>
      </c>
      <c r="BX127" s="337">
        <f t="shared" si="279"/>
        <v>0.29171560381670814</v>
      </c>
      <c r="BY127" s="1830">
        <f t="shared" si="279"/>
        <v>0.31658271564443879</v>
      </c>
      <c r="BZ127" s="3343">
        <f t="shared" si="279"/>
        <v>0.30932929055096536</v>
      </c>
      <c r="CA127" s="338">
        <f t="shared" si="277"/>
        <v>0.31610057201615205</v>
      </c>
      <c r="CB127" s="338">
        <f t="shared" si="277"/>
        <v>0.32293956629599058</v>
      </c>
      <c r="CC127" s="338">
        <f t="shared" ref="CC127:CG128" si="280">CC38/CC10</f>
        <v>0.30868566242853768</v>
      </c>
      <c r="CD127" s="338">
        <f t="shared" si="280"/>
        <v>0.29413167637440163</v>
      </c>
      <c r="CE127" s="338">
        <f t="shared" si="280"/>
        <v>0.30105195405700552</v>
      </c>
      <c r="CF127" s="338">
        <f t="shared" si="280"/>
        <v>0.30790438587997604</v>
      </c>
      <c r="CG127" s="338">
        <f t="shared" si="280"/>
        <v>0.31468963699879982</v>
      </c>
      <c r="CH127" s="261"/>
      <c r="CI127" s="261"/>
      <c r="CJ127" s="261"/>
      <c r="CK127" s="261"/>
      <c r="CL127" s="261"/>
      <c r="CM127" s="261"/>
      <c r="CN127" s="261"/>
      <c r="CO127" s="261"/>
      <c r="CP127" s="972" t="str">
        <f t="shared" si="218"/>
        <v>Las Vegas Locals Properties</v>
      </c>
      <c r="CQ127" s="337">
        <f t="shared" si="219"/>
        <v>0.29532473672571435</v>
      </c>
      <c r="CR127" s="337">
        <f t="shared" si="220"/>
        <v>0.33426647192469977</v>
      </c>
      <c r="CS127" s="337">
        <f t="shared" si="221"/>
        <v>0.31165778134206484</v>
      </c>
      <c r="CT127" s="337">
        <f t="shared" si="222"/>
        <v>0.32482913193007523</v>
      </c>
      <c r="CU127" s="337">
        <f t="shared" si="223"/>
        <v>0.28648810881229669</v>
      </c>
      <c r="CV127" s="337">
        <f t="shared" si="224"/>
        <v>0.24197862420378194</v>
      </c>
      <c r="CW127" s="337">
        <f t="shared" si="225"/>
        <v>0.22632811187982205</v>
      </c>
      <c r="CX127" s="337">
        <f t="shared" si="226"/>
        <v>0.24108462293748742</v>
      </c>
      <c r="CY127" s="337">
        <f t="shared" si="227"/>
        <v>0.21772483282767294</v>
      </c>
      <c r="CZ127" s="337">
        <f t="shared" si="228"/>
        <v>0.23248236951070844</v>
      </c>
      <c r="DA127" s="337">
        <f t="shared" si="229"/>
        <v>0.24364551203741822</v>
      </c>
      <c r="DB127" s="337">
        <f t="shared" si="230"/>
        <v>0.25784371896031177</v>
      </c>
      <c r="DC127" s="337">
        <f t="shared" si="231"/>
        <v>0.27230897699682194</v>
      </c>
      <c r="DD127" s="337">
        <f t="shared" si="232"/>
        <v>0.29099649443895304</v>
      </c>
      <c r="DE127" s="337">
        <f t="shared" si="233"/>
        <v>0.30932929055096536</v>
      </c>
      <c r="DF127" s="337">
        <f t="shared" si="234"/>
        <v>0.31610057201615205</v>
      </c>
      <c r="DG127" s="1830">
        <f t="shared" si="235"/>
        <v>0.32293956629599058</v>
      </c>
      <c r="DH127" s="261"/>
      <c r="DI127" s="265"/>
      <c r="DJ127" s="265"/>
      <c r="DK127" s="265"/>
      <c r="DL127" s="265"/>
      <c r="DM127" s="265"/>
      <c r="DN127" s="265"/>
      <c r="DO127" s="266"/>
      <c r="DY127" s="337"/>
      <c r="DZ127" s="337"/>
    </row>
    <row r="128" spans="1:130" ht="12" customHeight="1">
      <c r="A128" s="972" t="s">
        <v>396</v>
      </c>
      <c r="B128" s="233"/>
      <c r="C128" s="233"/>
      <c r="D128" s="336">
        <f t="shared" ref="D128:R128" si="281">D39/D11</f>
        <v>0.16860621101348178</v>
      </c>
      <c r="E128" s="337">
        <f t="shared" si="281"/>
        <v>0.14920209608764223</v>
      </c>
      <c r="F128" s="337">
        <f t="shared" si="281"/>
        <v>0.13288670433276778</v>
      </c>
      <c r="G128" s="337">
        <f t="shared" si="281"/>
        <v>0.19306790685981837</v>
      </c>
      <c r="H128" s="309">
        <f t="shared" si="281"/>
        <v>0.16180070003090827</v>
      </c>
      <c r="I128" s="337">
        <f t="shared" si="281"/>
        <v>0.18092444303496394</v>
      </c>
      <c r="J128" s="337">
        <f t="shared" si="281"/>
        <v>0.2133349215330097</v>
      </c>
      <c r="K128" s="337">
        <f t="shared" si="281"/>
        <v>0.15104158249430322</v>
      </c>
      <c r="L128" s="337">
        <f t="shared" si="281"/>
        <v>0.24851635260991986</v>
      </c>
      <c r="M128" s="309">
        <f t="shared" si="281"/>
        <v>0.20008876679203699</v>
      </c>
      <c r="N128" s="337">
        <f t="shared" si="281"/>
        <v>0.21720130172013016</v>
      </c>
      <c r="O128" s="337">
        <f t="shared" si="281"/>
        <v>0.19834939370187657</v>
      </c>
      <c r="P128" s="337">
        <f t="shared" si="281"/>
        <v>0.16413645908637131</v>
      </c>
      <c r="Q128" s="337">
        <f t="shared" si="281"/>
        <v>0.24773470746605677</v>
      </c>
      <c r="R128" s="309">
        <f t="shared" si="281"/>
        <v>0.20863303749109161</v>
      </c>
      <c r="S128" s="337">
        <f t="shared" ref="S128:AX128" si="282">S39/S11</f>
        <v>0.21745805461125126</v>
      </c>
      <c r="T128" s="337">
        <f t="shared" si="282"/>
        <v>0.20244983380524437</v>
      </c>
      <c r="U128" s="337">
        <f t="shared" si="282"/>
        <v>0.17421497075629117</v>
      </c>
      <c r="V128" s="337">
        <f t="shared" si="282"/>
        <v>0.22054800663706889</v>
      </c>
      <c r="W128" s="309">
        <f t="shared" si="282"/>
        <v>0.20438514289747217</v>
      </c>
      <c r="X128" s="337">
        <f t="shared" si="282"/>
        <v>0.16689917773145788</v>
      </c>
      <c r="Y128" s="337">
        <f t="shared" si="282"/>
        <v>0.16395108781959661</v>
      </c>
      <c r="Z128" s="337">
        <f t="shared" si="282"/>
        <v>0.12414984346324084</v>
      </c>
      <c r="AA128" s="337">
        <f t="shared" si="282"/>
        <v>0.21831947987819936</v>
      </c>
      <c r="AB128" s="309">
        <f t="shared" si="282"/>
        <v>0.16924056745146357</v>
      </c>
      <c r="AC128" s="337">
        <f t="shared" si="282"/>
        <v>0.22763146680303417</v>
      </c>
      <c r="AD128" s="337">
        <f t="shared" si="282"/>
        <v>0.20494294596800808</v>
      </c>
      <c r="AE128" s="337">
        <f t="shared" si="282"/>
        <v>0.15861239221977141</v>
      </c>
      <c r="AF128" s="337">
        <f t="shared" si="282"/>
        <v>0.2109769332805044</v>
      </c>
      <c r="AG128" s="309">
        <f t="shared" si="282"/>
        <v>0.20118875137465744</v>
      </c>
      <c r="AH128" s="337">
        <f t="shared" si="282"/>
        <v>0.1550169422482271</v>
      </c>
      <c r="AI128" s="337">
        <f t="shared" si="282"/>
        <v>0.1687113785042495</v>
      </c>
      <c r="AJ128" s="337">
        <f t="shared" si="282"/>
        <v>0.10942618212647887</v>
      </c>
      <c r="AK128" s="337">
        <f t="shared" si="282"/>
        <v>0.19018780739677593</v>
      </c>
      <c r="AL128" s="309">
        <f t="shared" si="282"/>
        <v>0.1568455831473598</v>
      </c>
      <c r="AM128" s="337">
        <f t="shared" si="282"/>
        <v>0.16175044012503142</v>
      </c>
      <c r="AN128" s="337">
        <f t="shared" si="282"/>
        <v>0.16552089776442519</v>
      </c>
      <c r="AO128" s="337">
        <f t="shared" si="282"/>
        <v>0.11260712209574887</v>
      </c>
      <c r="AP128" s="337">
        <f t="shared" si="282"/>
        <v>0.18474203609960629</v>
      </c>
      <c r="AQ128" s="309">
        <f t="shared" si="282"/>
        <v>0.1570308005832802</v>
      </c>
      <c r="AR128" s="337">
        <f t="shared" si="282"/>
        <v>0.14790906539433063</v>
      </c>
      <c r="AS128" s="337">
        <f t="shared" si="282"/>
        <v>0.14496147589338387</v>
      </c>
      <c r="AT128" s="337">
        <f t="shared" si="282"/>
        <v>0.11869946028722431</v>
      </c>
      <c r="AU128" s="337">
        <f t="shared" si="282"/>
        <v>0.17223146799805841</v>
      </c>
      <c r="AV128" s="338">
        <f t="shared" si="282"/>
        <v>0.14645504911275861</v>
      </c>
      <c r="AW128" s="337">
        <f t="shared" si="282"/>
        <v>0.131483090804874</v>
      </c>
      <c r="AX128" s="337">
        <f t="shared" si="282"/>
        <v>0.16563925313568986</v>
      </c>
      <c r="AY128" s="337">
        <f t="shared" ref="AY128:CB128" si="283">AY39/AY11</f>
        <v>0.10506132057561605</v>
      </c>
      <c r="AZ128" s="337">
        <f t="shared" si="283"/>
        <v>0.21884976015777771</v>
      </c>
      <c r="BA128" s="338">
        <f t="shared" si="283"/>
        <v>0.15731245173225095</v>
      </c>
      <c r="BB128" s="337">
        <f t="shared" si="283"/>
        <v>0.16735147937487665</v>
      </c>
      <c r="BC128" s="337">
        <f t="shared" si="283"/>
        <v>0.15392785138248849</v>
      </c>
      <c r="BD128" s="337">
        <f t="shared" si="283"/>
        <v>0.11830495138537628</v>
      </c>
      <c r="BE128" s="337">
        <f t="shared" si="283"/>
        <v>0.22002650517521935</v>
      </c>
      <c r="BF128" s="338">
        <f t="shared" si="283"/>
        <v>0.16635380671051164</v>
      </c>
      <c r="BG128" s="336">
        <f t="shared" si="283"/>
        <v>0.18862957793756513</v>
      </c>
      <c r="BH128" s="337">
        <f t="shared" si="283"/>
        <v>0.21061368381421777</v>
      </c>
      <c r="BI128" s="337">
        <f t="shared" si="283"/>
        <v>0.17895386786627857</v>
      </c>
      <c r="BJ128" s="1830">
        <f t="shared" si="283"/>
        <v>0.25910451583985655</v>
      </c>
      <c r="BK128" s="338">
        <f t="shared" si="283"/>
        <v>0.21057171283268786</v>
      </c>
      <c r="BL128" s="337">
        <f t="shared" si="283"/>
        <v>0.21638085487586384</v>
      </c>
      <c r="BM128" s="337">
        <f t="shared" si="283"/>
        <v>0.24088022698101735</v>
      </c>
      <c r="BN128" s="337">
        <f t="shared" si="283"/>
        <v>0.17697770554358197</v>
      </c>
      <c r="BO128" s="1830">
        <f t="shared" si="283"/>
        <v>0.24947548497466188</v>
      </c>
      <c r="BP128" s="338">
        <f t="shared" si="283"/>
        <v>0.22175687966664553</v>
      </c>
      <c r="BQ128" s="337">
        <f t="shared" si="283"/>
        <v>0.224516001580403</v>
      </c>
      <c r="BR128" s="337">
        <f t="shared" si="283"/>
        <v>0.21126240325044912</v>
      </c>
      <c r="BS128" s="337">
        <f>BS39/BS11</f>
        <v>0.19608376393799293</v>
      </c>
      <c r="BT128" s="1830">
        <f t="shared" si="283"/>
        <v>0.26050367978138678</v>
      </c>
      <c r="BU128" s="3343">
        <f t="shared" si="283"/>
        <v>0.2239234960561379</v>
      </c>
      <c r="BV128" s="337">
        <f t="shared" ref="BV128:BZ128" si="284">BV39/BV11</f>
        <v>0.23964739667151702</v>
      </c>
      <c r="BW128" s="337">
        <f t="shared" si="284"/>
        <v>0.23412436257652314</v>
      </c>
      <c r="BX128" s="337">
        <f t="shared" si="284"/>
        <v>0.20588762047533446</v>
      </c>
      <c r="BY128" s="1830">
        <f t="shared" si="284"/>
        <v>0.26952192758893079</v>
      </c>
      <c r="BZ128" s="3343">
        <f t="shared" si="284"/>
        <v>0.23803255030024015</v>
      </c>
      <c r="CA128" s="338">
        <f t="shared" si="283"/>
        <v>0.24550281941494353</v>
      </c>
      <c r="CB128" s="338">
        <f t="shared" si="283"/>
        <v>0.25304779122079413</v>
      </c>
      <c r="CC128" s="338">
        <f t="shared" si="280"/>
        <v>0.23732248156228461</v>
      </c>
      <c r="CD128" s="338">
        <f t="shared" si="280"/>
        <v>0.22126611275306959</v>
      </c>
      <c r="CE128" s="338">
        <f t="shared" si="280"/>
        <v>0.22890075870647086</v>
      </c>
      <c r="CF128" s="338">
        <f t="shared" si="280"/>
        <v>0.23646055518974082</v>
      </c>
      <c r="CG128" s="338">
        <f t="shared" si="280"/>
        <v>0.24394623602121399</v>
      </c>
      <c r="CH128" s="261"/>
      <c r="CI128" s="261"/>
      <c r="CJ128" s="261"/>
      <c r="CK128" s="261"/>
      <c r="CL128" s="261"/>
      <c r="CM128" s="261"/>
      <c r="CN128" s="261"/>
      <c r="CO128" s="261"/>
      <c r="CP128" s="972" t="str">
        <f t="shared" si="218"/>
        <v>Downtown Properties</v>
      </c>
      <c r="CQ128" s="337">
        <f t="shared" si="219"/>
        <v>0.16180070003090827</v>
      </c>
      <c r="CR128" s="337">
        <f t="shared" si="220"/>
        <v>0.20008876679203699</v>
      </c>
      <c r="CS128" s="337">
        <f t="shared" si="221"/>
        <v>0.20863303749109161</v>
      </c>
      <c r="CT128" s="337">
        <f t="shared" si="222"/>
        <v>0.20438514289747217</v>
      </c>
      <c r="CU128" s="337">
        <f t="shared" si="223"/>
        <v>0.16924056745146357</v>
      </c>
      <c r="CV128" s="337">
        <f t="shared" si="224"/>
        <v>0.20118875137465744</v>
      </c>
      <c r="CW128" s="337">
        <f t="shared" si="225"/>
        <v>0.1568455831473598</v>
      </c>
      <c r="CX128" s="337">
        <f t="shared" si="226"/>
        <v>0.1570308005832802</v>
      </c>
      <c r="CY128" s="337">
        <f t="shared" si="227"/>
        <v>0.14645504911275861</v>
      </c>
      <c r="CZ128" s="337">
        <f t="shared" si="228"/>
        <v>0.15731245173225095</v>
      </c>
      <c r="DA128" s="337">
        <f t="shared" si="229"/>
        <v>0.16635380671051164</v>
      </c>
      <c r="DB128" s="337">
        <f t="shared" si="230"/>
        <v>0.21057171283268786</v>
      </c>
      <c r="DC128" s="337">
        <f t="shared" si="231"/>
        <v>0.22175687966664553</v>
      </c>
      <c r="DD128" s="337">
        <f t="shared" si="232"/>
        <v>0.2239234960561379</v>
      </c>
      <c r="DE128" s="337">
        <f t="shared" si="233"/>
        <v>0.23803255030024015</v>
      </c>
      <c r="DF128" s="337">
        <f t="shared" si="234"/>
        <v>0.24550281941494353</v>
      </c>
      <c r="DG128" s="1830">
        <f t="shared" si="235"/>
        <v>0.25304779122079413</v>
      </c>
      <c r="DH128" s="261"/>
      <c r="DI128" s="265"/>
      <c r="DJ128" s="265"/>
      <c r="DK128" s="265"/>
      <c r="DL128" s="265"/>
      <c r="DM128" s="265"/>
      <c r="DN128" s="265"/>
      <c r="DO128" s="266"/>
      <c r="DY128" s="337"/>
      <c r="DZ128" s="337"/>
    </row>
    <row r="129" spans="1:130" ht="12" customHeight="1">
      <c r="A129" s="1778" t="s">
        <v>516</v>
      </c>
      <c r="B129" s="233"/>
      <c r="C129" s="233"/>
      <c r="D129" s="336">
        <f t="shared" ref="D129:R129" si="285">D41/D13</f>
        <v>0.23943410033336041</v>
      </c>
      <c r="E129" s="337">
        <f t="shared" si="285"/>
        <v>0.24565508021390373</v>
      </c>
      <c r="F129" s="337">
        <f t="shared" si="285"/>
        <v>0.23627684964200477</v>
      </c>
      <c r="G129" s="337">
        <f t="shared" si="285"/>
        <v>0.21395079567093767</v>
      </c>
      <c r="H129" s="338">
        <f t="shared" si="285"/>
        <v>0.23358447184556874</v>
      </c>
      <c r="I129" s="337">
        <f t="shared" si="285"/>
        <v>0.24824739886447439</v>
      </c>
      <c r="J129" s="337">
        <f t="shared" si="285"/>
        <v>0.24099213628026078</v>
      </c>
      <c r="K129" s="337">
        <f t="shared" si="285"/>
        <v>0.23417045982127899</v>
      </c>
      <c r="L129" s="337">
        <f t="shared" si="285"/>
        <v>0.31544047994947905</v>
      </c>
      <c r="M129" s="338">
        <f t="shared" si="285"/>
        <v>0.25946375152343315</v>
      </c>
      <c r="N129" s="337">
        <f t="shared" si="285"/>
        <v>0.32006641094635596</v>
      </c>
      <c r="O129" s="337">
        <f t="shared" si="285"/>
        <v>0.26537649800130941</v>
      </c>
      <c r="P129" s="337">
        <f t="shared" si="285"/>
        <v>0.26733248170944141</v>
      </c>
      <c r="Q129" s="337">
        <f t="shared" si="285"/>
        <v>0.22735145516059266</v>
      </c>
      <c r="R129" s="338">
        <f t="shared" si="285"/>
        <v>0.27188579730544532</v>
      </c>
      <c r="S129" s="337">
        <f t="shared" ref="S129:AX129" si="286">S41/S13</f>
        <v>0.24425928215974657</v>
      </c>
      <c r="T129" s="337">
        <f t="shared" si="286"/>
        <v>0.24696607618189084</v>
      </c>
      <c r="U129" s="337">
        <f t="shared" si="286"/>
        <v>0.24873389545877286</v>
      </c>
      <c r="V129" s="337">
        <f t="shared" si="286"/>
        <v>0.22290685949115011</v>
      </c>
      <c r="W129" s="338">
        <f t="shared" si="286"/>
        <v>0.2413931203134107</v>
      </c>
      <c r="X129" s="337">
        <f t="shared" si="286"/>
        <v>0.22385920125678094</v>
      </c>
      <c r="Y129" s="337">
        <f t="shared" si="286"/>
        <v>0.22680066834085394</v>
      </c>
      <c r="Z129" s="337">
        <f t="shared" si="286"/>
        <v>0.20680226777516875</v>
      </c>
      <c r="AA129" s="337">
        <f t="shared" si="286"/>
        <v>0.19630274079197646</v>
      </c>
      <c r="AB129" s="338">
        <f t="shared" si="286"/>
        <v>0.21391145804537035</v>
      </c>
      <c r="AC129" s="337">
        <f t="shared" si="286"/>
        <v>0.23302002610623979</v>
      </c>
      <c r="AD129" s="337">
        <f t="shared" si="286"/>
        <v>0.2221023257681459</v>
      </c>
      <c r="AE129" s="337">
        <f t="shared" si="286"/>
        <v>0.21562316688901922</v>
      </c>
      <c r="AF129" s="337">
        <f t="shared" si="286"/>
        <v>0.16332524878877239</v>
      </c>
      <c r="AG129" s="338">
        <f t="shared" si="286"/>
        <v>0.21027747867571897</v>
      </c>
      <c r="AH129" s="337">
        <f t="shared" si="286"/>
        <v>0.20545318990307807</v>
      </c>
      <c r="AI129" s="337">
        <f t="shared" si="286"/>
        <v>0.19585183717718019</v>
      </c>
      <c r="AJ129" s="337">
        <f t="shared" si="286"/>
        <v>0.20354010440128248</v>
      </c>
      <c r="AK129" s="337">
        <f t="shared" si="286"/>
        <v>0.17631819920484973</v>
      </c>
      <c r="AL129" s="338">
        <f t="shared" si="286"/>
        <v>0.19569203820784409</v>
      </c>
      <c r="AM129" s="337">
        <f t="shared" si="286"/>
        <v>0.22381469613859772</v>
      </c>
      <c r="AN129" s="337">
        <f t="shared" si="286"/>
        <v>0.23260394715847507</v>
      </c>
      <c r="AO129" s="337">
        <f t="shared" si="286"/>
        <v>0.23694826136472491</v>
      </c>
      <c r="AP129" s="337">
        <f t="shared" si="286"/>
        <v>0.17966879168256217</v>
      </c>
      <c r="AQ129" s="338">
        <f t="shared" si="286"/>
        <v>0.21663334863110839</v>
      </c>
      <c r="AR129" s="337">
        <f t="shared" si="286"/>
        <v>0.23850944929058518</v>
      </c>
      <c r="AS129" s="337">
        <f t="shared" si="286"/>
        <v>0.21821519030668127</v>
      </c>
      <c r="AT129" s="337">
        <f t="shared" si="286"/>
        <v>0.20907861695962912</v>
      </c>
      <c r="AU129" s="337">
        <f t="shared" si="286"/>
        <v>0.16142356611920122</v>
      </c>
      <c r="AV129" s="338">
        <f t="shared" si="286"/>
        <v>0.20812756711837851</v>
      </c>
      <c r="AW129" s="337">
        <f t="shared" si="286"/>
        <v>0.21684117721513466</v>
      </c>
      <c r="AX129" s="337">
        <f t="shared" si="286"/>
        <v>0.21681165365425173</v>
      </c>
      <c r="AY129" s="337">
        <f t="shared" ref="AY129:BL129" si="287">AY41/AY13</f>
        <v>0.19520460268769405</v>
      </c>
      <c r="AZ129" s="337">
        <f t="shared" si="287"/>
        <v>0.20269353398801171</v>
      </c>
      <c r="BA129" s="338">
        <f t="shared" si="287"/>
        <v>0.20824626321672302</v>
      </c>
      <c r="BB129" s="337">
        <f t="shared" si="287"/>
        <v>0.2083671965072105</v>
      </c>
      <c r="BC129" s="337">
        <f t="shared" si="287"/>
        <v>0.20180866937026548</v>
      </c>
      <c r="BD129" s="337">
        <f t="shared" si="287"/>
        <v>0.20686464324355106</v>
      </c>
      <c r="BE129" s="337">
        <f t="shared" si="287"/>
        <v>0.20042998925026875</v>
      </c>
      <c r="BF129" s="338">
        <f t="shared" si="287"/>
        <v>0.20442778333014622</v>
      </c>
      <c r="BG129" s="336">
        <f t="shared" si="287"/>
        <v>0.2341250160724454</v>
      </c>
      <c r="BH129" s="337">
        <f t="shared" si="287"/>
        <v>0.23775237972788679</v>
      </c>
      <c r="BI129" s="337">
        <f t="shared" si="287"/>
        <v>0.23501962474339547</v>
      </c>
      <c r="BJ129" s="1830">
        <f t="shared" si="287"/>
        <v>0.21569866681264213</v>
      </c>
      <c r="BK129" s="338">
        <f t="shared" si="287"/>
        <v>0.23093394595951833</v>
      </c>
      <c r="BL129" s="337">
        <f t="shared" si="287"/>
        <v>0.23334847144871765</v>
      </c>
      <c r="BM129" s="337">
        <f>BM41/BM13</f>
        <v>0.24084258337062217</v>
      </c>
      <c r="BN129" s="337">
        <f>BN44/BN16</f>
        <v>0.27766102151855299</v>
      </c>
      <c r="BO129" s="1830">
        <f t="shared" ref="BO129:CA129" si="288">BO44/BO16</f>
        <v>0.28013684584010129</v>
      </c>
      <c r="BP129" s="338">
        <f t="shared" si="288"/>
        <v>0.28264868745109539</v>
      </c>
      <c r="BQ129" s="337">
        <f t="shared" si="288"/>
        <v>0.28970466447261073</v>
      </c>
      <c r="BR129" s="337">
        <f t="shared" si="288"/>
        <v>0.28726030463888913</v>
      </c>
      <c r="BS129" s="337">
        <f>BS44/BS16</f>
        <v>0.28023088741128688</v>
      </c>
      <c r="BT129" s="1830">
        <f t="shared" si="288"/>
        <v>0.27951734657197541</v>
      </c>
      <c r="BU129" s="3343">
        <f t="shared" si="288"/>
        <v>0.2842497480961847</v>
      </c>
      <c r="BV129" s="337">
        <f t="shared" ref="BV129:BZ129" si="289">BV44/BV16</f>
        <v>0.28222694508566598</v>
      </c>
      <c r="BW129" s="337">
        <f t="shared" si="289"/>
        <v>0.2806874229087436</v>
      </c>
      <c r="BX129" s="337">
        <f t="shared" si="289"/>
        <v>0.28152430817540702</v>
      </c>
      <c r="BY129" s="1830">
        <f t="shared" si="289"/>
        <v>0.28884386194020562</v>
      </c>
      <c r="BZ129" s="3343">
        <f t="shared" si="289"/>
        <v>0.28371347162151495</v>
      </c>
      <c r="CA129" s="338">
        <f t="shared" si="288"/>
        <v>0.28534685186801201</v>
      </c>
      <c r="CB129" s="338">
        <f t="shared" ref="CB129:CG129" si="290">CB44/CB16</f>
        <v>0.28698724934025011</v>
      </c>
      <c r="CC129" s="338">
        <f t="shared" si="290"/>
        <v>-0.18777546940148773</v>
      </c>
      <c r="CD129" s="338">
        <f t="shared" si="290"/>
        <v>-0.21351157956291672</v>
      </c>
      <c r="CE129" s="338">
        <f t="shared" si="290"/>
        <v>-0.20133071485024934</v>
      </c>
      <c r="CF129" s="338">
        <f t="shared" si="290"/>
        <v>-0.18927768847422782</v>
      </c>
      <c r="CG129" s="338">
        <f t="shared" si="290"/>
        <v>-0.1773509948478956</v>
      </c>
      <c r="CH129" s="261"/>
      <c r="CI129" s="261"/>
      <c r="CJ129" s="261"/>
      <c r="CK129" s="261"/>
      <c r="CL129" s="261"/>
      <c r="CM129" s="261"/>
      <c r="CN129" s="261"/>
      <c r="CO129" s="261"/>
      <c r="CP129" s="972" t="str">
        <f t="shared" si="218"/>
        <v xml:space="preserve">Midwest &amp; South </v>
      </c>
      <c r="CQ129" s="337">
        <f t="shared" si="219"/>
        <v>0.23358447184556874</v>
      </c>
      <c r="CR129" s="337">
        <f t="shared" si="220"/>
        <v>0.25946375152343315</v>
      </c>
      <c r="CS129" s="337">
        <f t="shared" si="221"/>
        <v>0.27188579730544532</v>
      </c>
      <c r="CT129" s="337">
        <f t="shared" si="222"/>
        <v>0.2413931203134107</v>
      </c>
      <c r="CU129" s="337">
        <f t="shared" si="223"/>
        <v>0.21391145804537035</v>
      </c>
      <c r="CV129" s="337">
        <f t="shared" si="224"/>
        <v>0.21027747867571897</v>
      </c>
      <c r="CW129" s="337">
        <f t="shared" si="225"/>
        <v>0.19569203820784409</v>
      </c>
      <c r="CX129" s="337">
        <f t="shared" si="226"/>
        <v>0.21663334863110839</v>
      </c>
      <c r="CY129" s="337">
        <f t="shared" si="227"/>
        <v>0.20812756711837851</v>
      </c>
      <c r="CZ129" s="337">
        <f t="shared" si="228"/>
        <v>0.20824626321672302</v>
      </c>
      <c r="DA129" s="337">
        <f t="shared" si="229"/>
        <v>0.20442778333014622</v>
      </c>
      <c r="DB129" s="337">
        <f t="shared" si="230"/>
        <v>0.23093394595951833</v>
      </c>
      <c r="DC129" s="337">
        <f t="shared" si="231"/>
        <v>0.28264868745109539</v>
      </c>
      <c r="DD129" s="337">
        <f t="shared" si="232"/>
        <v>0.2842497480961847</v>
      </c>
      <c r="DE129" s="337">
        <f t="shared" si="233"/>
        <v>0.28371347162151495</v>
      </c>
      <c r="DF129" s="337">
        <f t="shared" si="234"/>
        <v>0.28534685186801201</v>
      </c>
      <c r="DG129" s="1830">
        <f t="shared" si="235"/>
        <v>0.28698724934025011</v>
      </c>
      <c r="DH129" s="261"/>
      <c r="DI129" s="265"/>
      <c r="DJ129" s="265"/>
      <c r="DK129" s="265"/>
      <c r="DL129" s="265"/>
      <c r="DM129" s="265"/>
      <c r="DN129" s="265"/>
      <c r="DO129" s="266"/>
      <c r="DY129" s="337"/>
      <c r="DZ129" s="337"/>
    </row>
    <row r="130" spans="1:130" ht="12" customHeight="1">
      <c r="A130" s="1288" t="s">
        <v>1537</v>
      </c>
      <c r="B130" s="1005"/>
      <c r="C130" s="1005"/>
      <c r="D130" s="1006"/>
      <c r="E130" s="1007"/>
      <c r="F130" s="1007"/>
      <c r="G130" s="1007"/>
      <c r="H130" s="1008"/>
      <c r="I130" s="1007"/>
      <c r="J130" s="1007"/>
      <c r="K130" s="1007"/>
      <c r="L130" s="1007"/>
      <c r="M130" s="1008"/>
      <c r="N130" s="1007"/>
      <c r="O130" s="1007"/>
      <c r="P130" s="1007"/>
      <c r="Q130" s="1007"/>
      <c r="R130" s="1008"/>
      <c r="S130" s="1007"/>
      <c r="T130" s="1007"/>
      <c r="U130" s="1007"/>
      <c r="V130" s="1007"/>
      <c r="W130" s="1008"/>
      <c r="X130" s="1007"/>
      <c r="Y130" s="1007"/>
      <c r="Z130" s="1007"/>
      <c r="AA130" s="1007"/>
      <c r="AB130" s="1008"/>
      <c r="AC130" s="1007"/>
      <c r="AD130" s="1007"/>
      <c r="AE130" s="1007"/>
      <c r="AF130" s="1007"/>
      <c r="AG130" s="1008"/>
      <c r="AH130" s="1007">
        <f>AH927/AH906</f>
        <v>0.21715810037357336</v>
      </c>
      <c r="AI130" s="1007">
        <f t="shared" ref="AI130:AV130" si="291">AI45/AI17</f>
        <v>0.22986537679515448</v>
      </c>
      <c r="AJ130" s="1007">
        <f t="shared" si="291"/>
        <v>0.26154260979262067</v>
      </c>
      <c r="AK130" s="1007">
        <f t="shared" si="291"/>
        <v>0.2022027893308686</v>
      </c>
      <c r="AL130" s="1008">
        <f t="shared" si="291"/>
        <v>0.23494695474563276</v>
      </c>
      <c r="AM130" s="1007">
        <f t="shared" si="291"/>
        <v>0.18736767401975271</v>
      </c>
      <c r="AN130" s="1007">
        <f t="shared" si="291"/>
        <v>0.21152246711462283</v>
      </c>
      <c r="AO130" s="1007">
        <f t="shared" si="291"/>
        <v>0.2472056945420705</v>
      </c>
      <c r="AP130" s="1007">
        <f t="shared" si="291"/>
        <v>0.2146136840315174</v>
      </c>
      <c r="AQ130" s="1008">
        <f t="shared" si="291"/>
        <v>0.21654748765531839</v>
      </c>
      <c r="AR130" s="1007">
        <f t="shared" si="291"/>
        <v>0.22072665342038036</v>
      </c>
      <c r="AS130" s="1007">
        <f t="shared" si="291"/>
        <v>0.17521206731427008</v>
      </c>
      <c r="AT130" s="1007">
        <f t="shared" si="291"/>
        <v>0.17825550133357565</v>
      </c>
      <c r="AU130" s="1007">
        <f t="shared" si="291"/>
        <v>9.4941212347101275E-2</v>
      </c>
      <c r="AV130" s="1008">
        <f t="shared" si="291"/>
        <v>0.17046378577195137</v>
      </c>
      <c r="AW130" s="1007"/>
      <c r="AX130" s="1007"/>
      <c r="AY130" s="1007"/>
      <c r="AZ130" s="1007"/>
      <c r="BA130" s="1008"/>
      <c r="BB130" s="1007"/>
      <c r="BC130" s="1007"/>
      <c r="BD130" s="1007"/>
      <c r="BE130" s="1007"/>
      <c r="BF130" s="1008"/>
      <c r="BG130" s="1006"/>
      <c r="BH130" s="1007"/>
      <c r="BI130" s="1007"/>
      <c r="BJ130" s="1831"/>
      <c r="BK130" s="1008"/>
      <c r="BL130" s="1007"/>
      <c r="BM130" s="1007"/>
      <c r="BN130" s="1007"/>
      <c r="BO130" s="1831"/>
      <c r="BP130" s="1008"/>
      <c r="BQ130" s="1007"/>
      <c r="BR130" s="1007"/>
      <c r="BS130" s="1007"/>
      <c r="BT130" s="1831"/>
      <c r="BU130" s="3344"/>
      <c r="BV130" s="1007"/>
      <c r="BW130" s="1007"/>
      <c r="BX130" s="1007"/>
      <c r="BY130" s="1831"/>
      <c r="BZ130" s="3344"/>
      <c r="CA130" s="1008"/>
      <c r="CB130" s="1008"/>
      <c r="CC130" s="1008"/>
      <c r="CD130" s="1008"/>
      <c r="CE130" s="1008"/>
      <c r="CF130" s="1008"/>
      <c r="CG130" s="1008"/>
      <c r="CH130" s="261"/>
      <c r="CI130" s="261"/>
      <c r="CJ130" s="261"/>
      <c r="CK130" s="261"/>
      <c r="CL130" s="261"/>
      <c r="CM130" s="261"/>
      <c r="CN130" s="261"/>
      <c r="CO130" s="261"/>
      <c r="CP130" s="1288" t="str">
        <f t="shared" si="218"/>
        <v>Atlantic City / Borgata</v>
      </c>
      <c r="CQ130" s="1007"/>
      <c r="CR130" s="1007"/>
      <c r="CS130" s="1007"/>
      <c r="CT130" s="1007"/>
      <c r="CU130" s="1007"/>
      <c r="CV130" s="1007"/>
      <c r="CW130" s="1007">
        <f t="shared" si="225"/>
        <v>0.23494695474563276</v>
      </c>
      <c r="CX130" s="1007">
        <f t="shared" si="226"/>
        <v>0.21654748765531839</v>
      </c>
      <c r="CY130" s="1007">
        <f t="shared" si="227"/>
        <v>0.17046378577195137</v>
      </c>
      <c r="CZ130" s="1007">
        <f t="shared" si="228"/>
        <v>0</v>
      </c>
      <c r="DA130" s="1007">
        <f t="shared" si="229"/>
        <v>0</v>
      </c>
      <c r="DB130" s="1007">
        <f t="shared" si="230"/>
        <v>0</v>
      </c>
      <c r="DC130" s="1007">
        <f t="shared" si="231"/>
        <v>0</v>
      </c>
      <c r="DD130" s="1007">
        <f t="shared" si="232"/>
        <v>0</v>
      </c>
      <c r="DE130" s="1007">
        <f t="shared" si="233"/>
        <v>0</v>
      </c>
      <c r="DF130" s="1007">
        <f t="shared" si="234"/>
        <v>0</v>
      </c>
      <c r="DG130" s="1831">
        <f t="shared" si="235"/>
        <v>0</v>
      </c>
      <c r="DH130" s="261"/>
      <c r="DI130" s="265"/>
      <c r="DJ130" s="265"/>
      <c r="DK130" s="265"/>
      <c r="DL130" s="265"/>
      <c r="DM130" s="265"/>
      <c r="DN130" s="265"/>
      <c r="DO130" s="266"/>
      <c r="DY130" s="337"/>
      <c r="DZ130" s="337"/>
    </row>
    <row r="131" spans="1:130" ht="12" customHeight="1">
      <c r="A131" s="61"/>
      <c r="B131" s="222"/>
      <c r="C131" s="222"/>
      <c r="D131" s="477"/>
      <c r="E131" s="480"/>
      <c r="F131" s="224"/>
      <c r="G131" s="224"/>
      <c r="H131" s="481"/>
      <c r="I131" s="224"/>
      <c r="J131" s="224"/>
      <c r="K131" s="224"/>
      <c r="L131" s="224"/>
      <c r="M131" s="481"/>
      <c r="N131" s="224"/>
      <c r="O131" s="224"/>
      <c r="P131" s="224"/>
      <c r="Q131" s="224"/>
      <c r="R131" s="481"/>
      <c r="S131" s="224"/>
      <c r="T131" s="224"/>
      <c r="U131" s="224"/>
      <c r="V131" s="224"/>
      <c r="W131" s="481"/>
      <c r="X131" s="224"/>
      <c r="Y131" s="224"/>
      <c r="Z131" s="224"/>
      <c r="AA131" s="224"/>
      <c r="AB131" s="482"/>
      <c r="AC131" s="224"/>
      <c r="AD131" s="224"/>
      <c r="AE131" s="224"/>
      <c r="AF131" s="224"/>
      <c r="AG131" s="482"/>
      <c r="AH131" s="224"/>
      <c r="AI131" s="224"/>
      <c r="AJ131" s="224"/>
      <c r="AK131" s="224"/>
      <c r="AL131" s="482"/>
      <c r="AM131" s="224"/>
      <c r="AN131" s="224"/>
      <c r="AO131" s="224"/>
      <c r="AP131" s="224"/>
      <c r="AQ131" s="482"/>
      <c r="AR131" s="224"/>
      <c r="AS131" s="224"/>
      <c r="AT131" s="224"/>
      <c r="AU131" s="224"/>
      <c r="AV131" s="482"/>
      <c r="AW131" s="224"/>
      <c r="AX131" s="224"/>
      <c r="AY131" s="224"/>
      <c r="AZ131" s="224"/>
      <c r="BA131" s="1547"/>
      <c r="BB131" s="224"/>
      <c r="BC131" s="224"/>
      <c r="BD131" s="224"/>
      <c r="BE131" s="224"/>
      <c r="BF131" s="1547"/>
      <c r="BG131" s="3008"/>
      <c r="BH131" s="1049"/>
      <c r="BI131" s="1049"/>
      <c r="BJ131" s="3009"/>
      <c r="BK131" s="1547"/>
      <c r="BL131" s="1049"/>
      <c r="BM131" s="1049"/>
      <c r="BN131" s="1049"/>
      <c r="BO131" s="3009"/>
      <c r="BP131" s="1547"/>
      <c r="BQ131" s="1049"/>
      <c r="BR131" s="1049"/>
      <c r="BS131" s="1049"/>
      <c r="BT131" s="3009"/>
      <c r="BU131" s="3345"/>
      <c r="BV131" s="1049"/>
      <c r="BW131" s="1049"/>
      <c r="BX131" s="1049"/>
      <c r="BY131" s="3009"/>
      <c r="BZ131" s="1049"/>
      <c r="CA131" s="1049"/>
      <c r="CB131" s="1049"/>
      <c r="CC131" s="1049"/>
      <c r="CD131" s="1049"/>
      <c r="CE131" s="1049"/>
      <c r="CF131" s="1049"/>
      <c r="CG131" s="1049"/>
      <c r="CH131" s="482"/>
      <c r="CI131" s="482"/>
      <c r="CJ131" s="482"/>
      <c r="CK131" s="482"/>
      <c r="CL131" s="482"/>
      <c r="CM131" s="482"/>
      <c r="CN131" s="482"/>
      <c r="CO131" s="482"/>
      <c r="CP131" s="61"/>
      <c r="CQ131" s="1757"/>
      <c r="CR131" s="1757"/>
      <c r="CS131" s="1757"/>
      <c r="CT131" s="1757"/>
      <c r="CU131" s="1757"/>
      <c r="CV131" s="1757"/>
      <c r="CW131" s="1757"/>
      <c r="CX131" s="1757"/>
      <c r="CY131" s="1757"/>
      <c r="CZ131" s="1757"/>
      <c r="DA131" s="1757"/>
      <c r="DB131" s="1757"/>
      <c r="DC131" s="1757"/>
      <c r="DD131" s="1757"/>
      <c r="DE131" s="1757"/>
      <c r="DF131" s="1757"/>
      <c r="DG131" s="1757"/>
      <c r="DH131" s="223"/>
      <c r="DI131" s="223"/>
      <c r="DJ131" s="223"/>
      <c r="DK131" s="223"/>
      <c r="DL131" s="223"/>
      <c r="DM131" s="223"/>
      <c r="DN131" s="223"/>
      <c r="DO131" s="226"/>
      <c r="DY131" s="482"/>
      <c r="DZ131" s="482"/>
    </row>
    <row r="132" spans="1:130" ht="12" customHeight="1">
      <c r="A132" s="1009"/>
      <c r="B132" s="445"/>
      <c r="C132" s="445"/>
      <c r="D132" s="483"/>
      <c r="E132" s="484"/>
      <c r="F132" s="484"/>
      <c r="G132" s="484"/>
      <c r="H132" s="485"/>
      <c r="I132" s="484"/>
      <c r="J132" s="484"/>
      <c r="K132" s="484"/>
      <c r="L132" s="484"/>
      <c r="M132" s="485"/>
      <c r="N132" s="484"/>
      <c r="O132" s="484"/>
      <c r="P132" s="484"/>
      <c r="Q132" s="484"/>
      <c r="R132" s="485"/>
      <c r="S132" s="484"/>
      <c r="T132" s="484"/>
      <c r="U132" s="484"/>
      <c r="V132" s="484"/>
      <c r="W132" s="485"/>
      <c r="X132" s="484"/>
      <c r="Y132" s="484"/>
      <c r="Z132" s="484"/>
      <c r="AA132" s="484"/>
      <c r="AB132" s="484"/>
      <c r="AC132" s="484"/>
      <c r="AD132" s="484"/>
      <c r="AE132" s="484"/>
      <c r="AF132" s="484"/>
      <c r="AG132" s="484"/>
      <c r="AH132" s="484"/>
      <c r="AI132" s="484"/>
      <c r="AJ132" s="484"/>
      <c r="AK132" s="484"/>
      <c r="AL132" s="484"/>
      <c r="AM132" s="484"/>
      <c r="AN132" s="1482"/>
      <c r="AO132" s="484"/>
      <c r="AP132" s="484"/>
      <c r="AQ132" s="484"/>
      <c r="AR132" s="484"/>
      <c r="AS132" s="1482"/>
      <c r="AT132" s="484"/>
      <c r="AU132" s="484"/>
      <c r="AV132" s="2205"/>
      <c r="AW132" s="337"/>
      <c r="AX132" s="337"/>
      <c r="AY132" s="337"/>
      <c r="AZ132" s="337"/>
      <c r="BA132" s="1548"/>
      <c r="BB132" s="484"/>
      <c r="BC132" s="1482"/>
      <c r="BD132" s="484"/>
      <c r="BE132" s="484"/>
      <c r="BF132" s="1548"/>
      <c r="BG132" s="3010"/>
      <c r="BH132" s="1286"/>
      <c r="BI132" s="1286"/>
      <c r="BJ132" s="3011"/>
      <c r="BK132" s="1548"/>
      <c r="BL132" s="1286"/>
      <c r="BM132" s="1286"/>
      <c r="BN132" s="1286"/>
      <c r="BO132" s="3011"/>
      <c r="BP132" s="1548"/>
      <c r="BQ132" s="1286"/>
      <c r="BR132" s="1286"/>
      <c r="BS132" s="1286"/>
      <c r="BT132" s="3011"/>
      <c r="BU132" s="3346"/>
      <c r="BV132" s="1286"/>
      <c r="BW132" s="1286"/>
      <c r="BX132" s="1286"/>
      <c r="BY132" s="3011"/>
      <c r="BZ132" s="1286"/>
      <c r="CA132" s="1286"/>
      <c r="CB132" s="1286"/>
      <c r="CC132" s="1286"/>
      <c r="CD132" s="1286"/>
      <c r="CE132" s="1286"/>
      <c r="CF132" s="1286"/>
      <c r="CG132" s="1286"/>
      <c r="CH132" s="486"/>
      <c r="CI132" s="486"/>
      <c r="CJ132" s="486"/>
      <c r="CK132" s="486"/>
      <c r="CL132" s="486"/>
      <c r="CM132" s="486"/>
      <c r="CN132" s="486"/>
      <c r="CO132" s="486"/>
      <c r="CP132" s="1009"/>
      <c r="CQ132" s="240"/>
      <c r="CR132" s="240"/>
      <c r="CS132" s="240"/>
      <c r="CT132" s="240"/>
      <c r="CU132" s="240"/>
      <c r="CV132" s="240"/>
      <c r="CW132" s="240"/>
      <c r="CX132" s="240"/>
      <c r="CY132" s="240"/>
      <c r="CZ132" s="240"/>
      <c r="DA132" s="240"/>
      <c r="DB132" s="240"/>
      <c r="DC132" s="240"/>
      <c r="DD132" s="240"/>
      <c r="DE132" s="240"/>
      <c r="DF132" s="240"/>
      <c r="DG132" s="240"/>
      <c r="DH132" s="239"/>
      <c r="DI132" s="239"/>
      <c r="DJ132" s="240"/>
      <c r="DK132" s="240"/>
      <c r="DL132" s="240"/>
      <c r="DM132" s="240"/>
      <c r="DN132" s="240"/>
      <c r="DO132" s="226"/>
      <c r="DY132" s="484"/>
      <c r="DZ132" s="484"/>
    </row>
    <row r="133" spans="1:130" ht="12" customHeight="1">
      <c r="A133" s="235" t="s">
        <v>1201</v>
      </c>
      <c r="B133" s="236"/>
      <c r="C133" s="236"/>
      <c r="D133" s="237" t="s">
        <v>417</v>
      </c>
      <c r="E133" s="109" t="s">
        <v>499</v>
      </c>
      <c r="F133" s="109" t="s">
        <v>1563</v>
      </c>
      <c r="G133" s="109" t="s">
        <v>1564</v>
      </c>
      <c r="H133" s="110">
        <v>2004</v>
      </c>
      <c r="I133" s="109" t="s">
        <v>1028</v>
      </c>
      <c r="J133" s="109" t="s">
        <v>342</v>
      </c>
      <c r="K133" s="109" t="s">
        <v>483</v>
      </c>
      <c r="L133" s="109" t="s">
        <v>440</v>
      </c>
      <c r="M133" s="110">
        <v>2005</v>
      </c>
      <c r="N133" s="109" t="s">
        <v>903</v>
      </c>
      <c r="O133" s="109" t="s">
        <v>764</v>
      </c>
      <c r="P133" s="109" t="s">
        <v>677</v>
      </c>
      <c r="Q133" s="109" t="s">
        <v>395</v>
      </c>
      <c r="R133" s="110">
        <v>2006</v>
      </c>
      <c r="S133" s="109" t="s">
        <v>1322</v>
      </c>
      <c r="T133" s="109" t="s">
        <v>1303</v>
      </c>
      <c r="U133" s="109" t="s">
        <v>645</v>
      </c>
      <c r="V133" s="109" t="s">
        <v>1126</v>
      </c>
      <c r="W133" s="110">
        <v>2007</v>
      </c>
      <c r="X133" s="109" t="s">
        <v>1595</v>
      </c>
      <c r="Y133" s="109" t="s">
        <v>530</v>
      </c>
      <c r="Z133" s="109" t="s">
        <v>657</v>
      </c>
      <c r="AA133" s="109" t="s">
        <v>1324</v>
      </c>
      <c r="AB133" s="110">
        <v>2008</v>
      </c>
      <c r="AC133" s="109" t="s">
        <v>216</v>
      </c>
      <c r="AD133" s="109" t="s">
        <v>574</v>
      </c>
      <c r="AE133" s="109" t="s">
        <v>575</v>
      </c>
      <c r="AF133" s="109" t="s">
        <v>1720</v>
      </c>
      <c r="AG133" s="110">
        <v>2009</v>
      </c>
      <c r="AH133" s="109" t="s">
        <v>729</v>
      </c>
      <c r="AI133" s="109" t="str">
        <f t="shared" ref="AI133:CG133" si="292">AI$6</f>
        <v>2Q10</v>
      </c>
      <c r="AJ133" s="109" t="str">
        <f t="shared" si="292"/>
        <v>3Q10</v>
      </c>
      <c r="AK133" s="109" t="str">
        <f t="shared" si="292"/>
        <v>4Q10</v>
      </c>
      <c r="AL133" s="110">
        <f t="shared" si="292"/>
        <v>2010</v>
      </c>
      <c r="AM133" s="109" t="str">
        <f t="shared" si="292"/>
        <v>1Q11</v>
      </c>
      <c r="AN133" s="109" t="str">
        <f t="shared" si="292"/>
        <v>2Q11</v>
      </c>
      <c r="AO133" s="109" t="str">
        <f t="shared" si="292"/>
        <v>3Q11</v>
      </c>
      <c r="AP133" s="109" t="str">
        <f t="shared" si="292"/>
        <v>4Q11</v>
      </c>
      <c r="AQ133" s="110">
        <f t="shared" si="292"/>
        <v>2011</v>
      </c>
      <c r="AR133" s="109" t="str">
        <f t="shared" si="292"/>
        <v>1Q12</v>
      </c>
      <c r="AS133" s="109" t="str">
        <f t="shared" si="292"/>
        <v>2Q12</v>
      </c>
      <c r="AT133" s="109" t="str">
        <f t="shared" si="292"/>
        <v>3Q12</v>
      </c>
      <c r="AU133" s="109" t="str">
        <f t="shared" si="292"/>
        <v>4Q12</v>
      </c>
      <c r="AV133" s="110">
        <f t="shared" si="292"/>
        <v>2012</v>
      </c>
      <c r="AW133" s="109" t="str">
        <f t="shared" si="292"/>
        <v>1Q13</v>
      </c>
      <c r="AX133" s="109" t="str">
        <f t="shared" si="292"/>
        <v>2Q13</v>
      </c>
      <c r="AY133" s="109" t="str">
        <f t="shared" si="292"/>
        <v>3Q13</v>
      </c>
      <c r="AZ133" s="109" t="str">
        <f t="shared" si="292"/>
        <v>4Q13</v>
      </c>
      <c r="BA133" s="110">
        <f t="shared" si="292"/>
        <v>2013</v>
      </c>
      <c r="BB133" s="109" t="str">
        <f t="shared" si="292"/>
        <v>1Q14</v>
      </c>
      <c r="BC133" s="109" t="str">
        <f t="shared" si="292"/>
        <v>2Q14</v>
      </c>
      <c r="BD133" s="109" t="str">
        <f t="shared" si="292"/>
        <v>3Q14</v>
      </c>
      <c r="BE133" s="109" t="str">
        <f t="shared" si="292"/>
        <v>4Q14</v>
      </c>
      <c r="BF133" s="110">
        <f t="shared" si="292"/>
        <v>2014</v>
      </c>
      <c r="BG133" s="109" t="str">
        <f t="shared" si="292"/>
        <v>1Q15</v>
      </c>
      <c r="BH133" s="109" t="str">
        <f t="shared" si="292"/>
        <v>2Q15</v>
      </c>
      <c r="BI133" s="109" t="str">
        <f t="shared" si="292"/>
        <v>3Q15</v>
      </c>
      <c r="BJ133" s="109" t="str">
        <f t="shared" si="292"/>
        <v>4Q15</v>
      </c>
      <c r="BK133" s="110">
        <f t="shared" si="292"/>
        <v>2015</v>
      </c>
      <c r="BL133" s="109" t="str">
        <f t="shared" si="292"/>
        <v>1Q16</v>
      </c>
      <c r="BM133" s="109" t="str">
        <f t="shared" si="292"/>
        <v>2Q16</v>
      </c>
      <c r="BN133" s="109" t="str">
        <f t="shared" si="292"/>
        <v>3Q16</v>
      </c>
      <c r="BO133" s="109" t="str">
        <f t="shared" si="292"/>
        <v>4Q16</v>
      </c>
      <c r="BP133" s="110">
        <f t="shared" si="292"/>
        <v>2016</v>
      </c>
      <c r="BQ133" s="109" t="str">
        <f t="shared" si="292"/>
        <v>1Q17</v>
      </c>
      <c r="BR133" s="109" t="str">
        <f t="shared" si="292"/>
        <v>2Q17</v>
      </c>
      <c r="BS133" s="109" t="str">
        <f t="shared" si="292"/>
        <v>3Q17</v>
      </c>
      <c r="BT133" s="109" t="str">
        <f t="shared" si="292"/>
        <v>4Q17A</v>
      </c>
      <c r="BU133" s="3347" t="str">
        <f t="shared" si="292"/>
        <v>2017A</v>
      </c>
      <c r="BV133" s="109" t="str">
        <f t="shared" si="292"/>
        <v>1Q18E</v>
      </c>
      <c r="BW133" s="109" t="str">
        <f t="shared" si="292"/>
        <v>2Q18E</v>
      </c>
      <c r="BX133" s="109" t="str">
        <f t="shared" si="292"/>
        <v>3Q18E</v>
      </c>
      <c r="BY133" s="109" t="str">
        <f t="shared" si="292"/>
        <v>4Q18E</v>
      </c>
      <c r="BZ133" s="110" t="str">
        <f t="shared" si="292"/>
        <v>2018E</v>
      </c>
      <c r="CA133" s="110" t="str">
        <f t="shared" si="292"/>
        <v>2019E</v>
      </c>
      <c r="CB133" s="110" t="str">
        <f t="shared" si="292"/>
        <v>2020E</v>
      </c>
      <c r="CC133" s="110" t="str">
        <f t="shared" si="292"/>
        <v>2021E</v>
      </c>
      <c r="CD133" s="110" t="str">
        <f t="shared" si="292"/>
        <v>2022E</v>
      </c>
      <c r="CE133" s="110" t="str">
        <f t="shared" si="292"/>
        <v>2023E</v>
      </c>
      <c r="CF133" s="110" t="str">
        <f t="shared" si="292"/>
        <v>2024E</v>
      </c>
      <c r="CG133" s="110" t="str">
        <f t="shared" si="292"/>
        <v>2025E</v>
      </c>
      <c r="CH133" s="247"/>
      <c r="CI133" s="247"/>
      <c r="CJ133" s="247"/>
      <c r="CK133" s="247"/>
      <c r="CL133" s="247"/>
      <c r="CM133" s="247"/>
      <c r="CN133" s="247"/>
      <c r="CO133" s="247"/>
      <c r="CP133" s="235" t="str">
        <f>A133</f>
        <v>FREE CASH FLOW SUMMARY ($ in millions)</v>
      </c>
      <c r="CQ133" s="109">
        <f>H133</f>
        <v>2004</v>
      </c>
      <c r="CR133" s="109">
        <f>M133</f>
        <v>2005</v>
      </c>
      <c r="CS133" s="109">
        <f>R133</f>
        <v>2006</v>
      </c>
      <c r="CT133" s="109">
        <f>W133</f>
        <v>2007</v>
      </c>
      <c r="CU133" s="109">
        <f>AB133</f>
        <v>2008</v>
      </c>
      <c r="CV133" s="109">
        <f>AG133</f>
        <v>2009</v>
      </c>
      <c r="CW133" s="109">
        <f>AL133</f>
        <v>2010</v>
      </c>
      <c r="CX133" s="109">
        <f>AQ133</f>
        <v>2011</v>
      </c>
      <c r="CY133" s="109">
        <f>AV133</f>
        <v>2012</v>
      </c>
      <c r="CZ133" s="109">
        <f>BA133</f>
        <v>2013</v>
      </c>
      <c r="DA133" s="109">
        <f>BF133</f>
        <v>2014</v>
      </c>
      <c r="DB133" s="109">
        <f>BK133</f>
        <v>2015</v>
      </c>
      <c r="DC133" s="109">
        <f>BP133</f>
        <v>2016</v>
      </c>
      <c r="DD133" s="109" t="str">
        <f>BU133</f>
        <v>2017A</v>
      </c>
      <c r="DE133" s="109" t="str">
        <f>BZ133</f>
        <v>2018E</v>
      </c>
      <c r="DF133" s="109" t="str">
        <f>CA133</f>
        <v>2019E</v>
      </c>
      <c r="DG133" s="1772" t="str">
        <f>CB133</f>
        <v>2020E</v>
      </c>
      <c r="DH133" s="239"/>
      <c r="DI133" s="240"/>
      <c r="DJ133" s="240"/>
      <c r="DK133" s="240"/>
      <c r="DL133" s="240"/>
      <c r="DM133" s="240"/>
      <c r="DN133" s="240"/>
      <c r="DO133" s="226"/>
      <c r="DY133" s="244"/>
      <c r="DZ133" s="244"/>
    </row>
    <row r="134" spans="1:130" ht="5.0999999999999996" customHeight="1">
      <c r="A134" s="976"/>
      <c r="B134" s="242"/>
      <c r="C134" s="242"/>
      <c r="D134" s="243"/>
      <c r="E134" s="244"/>
      <c r="F134" s="244"/>
      <c r="G134" s="244"/>
      <c r="H134" s="245"/>
      <c r="I134" s="244"/>
      <c r="J134" s="244"/>
      <c r="K134" s="244"/>
      <c r="L134" s="244"/>
      <c r="M134" s="245"/>
      <c r="N134" s="244"/>
      <c r="O134" s="244"/>
      <c r="P134" s="244"/>
      <c r="Q134" s="244"/>
      <c r="R134" s="245"/>
      <c r="S134" s="244"/>
      <c r="T134" s="244"/>
      <c r="U134" s="244"/>
      <c r="V134" s="244"/>
      <c r="W134" s="245"/>
      <c r="X134" s="244"/>
      <c r="Y134" s="244"/>
      <c r="Z134" s="244"/>
      <c r="AA134" s="244"/>
      <c r="AB134" s="245"/>
      <c r="AC134" s="244"/>
      <c r="AD134" s="244"/>
      <c r="AE134" s="244"/>
      <c r="AF134" s="244"/>
      <c r="AG134" s="245"/>
      <c r="AH134" s="244"/>
      <c r="AI134" s="244"/>
      <c r="AJ134" s="244"/>
      <c r="AK134" s="244"/>
      <c r="AL134" s="246"/>
      <c r="AM134" s="247"/>
      <c r="AN134" s="247"/>
      <c r="AO134" s="247"/>
      <c r="AP134" s="247"/>
      <c r="AQ134" s="246"/>
      <c r="AR134" s="247"/>
      <c r="AS134" s="247"/>
      <c r="AT134" s="247"/>
      <c r="AU134" s="247"/>
      <c r="AV134" s="246"/>
      <c r="AW134" s="247"/>
      <c r="AX134" s="247"/>
      <c r="AY134" s="247"/>
      <c r="AZ134" s="247"/>
      <c r="BA134" s="246"/>
      <c r="BB134" s="247"/>
      <c r="BC134" s="247"/>
      <c r="BD134" s="247"/>
      <c r="BE134" s="247"/>
      <c r="BF134" s="246"/>
      <c r="BG134" s="2964"/>
      <c r="BH134" s="2965"/>
      <c r="BI134" s="2965"/>
      <c r="BJ134" s="2348"/>
      <c r="BK134" s="246"/>
      <c r="BL134" s="2965"/>
      <c r="BM134" s="2965"/>
      <c r="BN134" s="2965"/>
      <c r="BO134" s="2348"/>
      <c r="BP134" s="246"/>
      <c r="BQ134" s="2965"/>
      <c r="BR134" s="2965"/>
      <c r="BS134" s="2965"/>
      <c r="BT134" s="2348"/>
      <c r="BU134" s="3348"/>
      <c r="BV134" s="2965"/>
      <c r="BW134" s="2965"/>
      <c r="BX134" s="2965"/>
      <c r="BY134" s="2348"/>
      <c r="BZ134" s="1549"/>
      <c r="CA134" s="1549"/>
      <c r="CB134" s="1549"/>
      <c r="CC134" s="1549"/>
      <c r="CD134" s="1549"/>
      <c r="CE134" s="1549"/>
      <c r="CF134" s="1549"/>
      <c r="CG134" s="1549"/>
      <c r="CH134" s="247"/>
      <c r="CI134" s="247"/>
      <c r="CJ134" s="247"/>
      <c r="CK134" s="247"/>
      <c r="CL134" s="247"/>
      <c r="CM134" s="247"/>
      <c r="CN134" s="247"/>
      <c r="CO134" s="247"/>
      <c r="CP134" s="976"/>
      <c r="CQ134" s="247"/>
      <c r="CR134" s="247"/>
      <c r="CS134" s="247"/>
      <c r="CT134" s="247"/>
      <c r="CU134" s="247"/>
      <c r="CV134" s="247"/>
      <c r="CW134" s="247"/>
      <c r="CX134" s="247"/>
      <c r="CY134" s="247"/>
      <c r="CZ134" s="247"/>
      <c r="DA134" s="247"/>
      <c r="DB134" s="247"/>
      <c r="DC134" s="247"/>
      <c r="DD134" s="247"/>
      <c r="DE134" s="247"/>
      <c r="DF134" s="247"/>
      <c r="DG134" s="1832"/>
      <c r="DH134" s="239"/>
      <c r="DI134" s="240"/>
      <c r="DJ134" s="240"/>
      <c r="DK134" s="240"/>
      <c r="DL134" s="240"/>
      <c r="DM134" s="240"/>
      <c r="DN134" s="240"/>
      <c r="DO134" s="226"/>
      <c r="DY134" s="247"/>
      <c r="DZ134" s="247"/>
    </row>
    <row r="135" spans="1:130" ht="12" customHeight="1">
      <c r="A135" s="1748" t="s">
        <v>1026</v>
      </c>
      <c r="B135" s="881"/>
      <c r="C135" s="881"/>
      <c r="D135" s="1581">
        <f>D88</f>
        <v>19.189999999999994</v>
      </c>
      <c r="E135" s="311">
        <f>E88</f>
        <v>18.249000000000002</v>
      </c>
      <c r="F135" s="311">
        <f>F88</f>
        <v>33.324000000000005</v>
      </c>
      <c r="G135" s="311">
        <f>G88</f>
        <v>51.335999999999977</v>
      </c>
      <c r="H135" s="978">
        <f>SUM(D135:G135)</f>
        <v>122.09899999999999</v>
      </c>
      <c r="I135" s="311">
        <f>I88</f>
        <v>57.498999999999967</v>
      </c>
      <c r="J135" s="311">
        <f>J88</f>
        <v>50.328999999999979</v>
      </c>
      <c r="K135" s="311">
        <f>K88</f>
        <v>51.427000000000014</v>
      </c>
      <c r="L135" s="311">
        <f>L88</f>
        <v>68.755000000000038</v>
      </c>
      <c r="M135" s="978">
        <f>SUM(I135:L135)</f>
        <v>228.01</v>
      </c>
      <c r="N135" s="311">
        <f>N88</f>
        <v>70.890999999999977</v>
      </c>
      <c r="O135" s="311">
        <f>O88</f>
        <v>42.45600000000001</v>
      </c>
      <c r="P135" s="311">
        <f>P88</f>
        <v>38.820000000000007</v>
      </c>
      <c r="Q135" s="311">
        <f>Q88</f>
        <v>39.896999999999977</v>
      </c>
      <c r="R135" s="978">
        <f>SUM(N135:Q135)</f>
        <v>192.06399999999996</v>
      </c>
      <c r="S135" s="311">
        <f>S88</f>
        <v>44.045999999999999</v>
      </c>
      <c r="T135" s="311">
        <f>T88</f>
        <v>39.89399999999997</v>
      </c>
      <c r="U135" s="311">
        <f>U88</f>
        <v>38.379000000000012</v>
      </c>
      <c r="V135" s="311">
        <f>V88</f>
        <v>38.811999999999991</v>
      </c>
      <c r="W135" s="978">
        <f>SUM(S135:V135)</f>
        <v>161.13099999999997</v>
      </c>
      <c r="X135" s="311">
        <f>X88</f>
        <v>29.624000000000009</v>
      </c>
      <c r="Y135" s="311">
        <f>Y88</f>
        <v>26.412600000000008</v>
      </c>
      <c r="Z135" s="311">
        <f>Z88</f>
        <v>13.960700000000006</v>
      </c>
      <c r="AA135" s="311">
        <f>AA88</f>
        <v>11.234480000000019</v>
      </c>
      <c r="AB135" s="978">
        <f>SUM(X135:AA135)</f>
        <v>81.231780000000043</v>
      </c>
      <c r="AC135" s="311">
        <f>AC88</f>
        <v>13.006499999999994</v>
      </c>
      <c r="AD135" s="311">
        <f>AD88</f>
        <v>10.429000000000009</v>
      </c>
      <c r="AE135" s="311">
        <f>AE88</f>
        <v>7.9660000000000011</v>
      </c>
      <c r="AF135" s="311">
        <f>AF88</f>
        <v>-7.196400000001224E-2</v>
      </c>
      <c r="AG135" s="978">
        <f>SUM(AC135:AF135)</f>
        <v>31.329535999999994</v>
      </c>
      <c r="AH135" s="311">
        <f>AH88</f>
        <v>8.8590000000000053</v>
      </c>
      <c r="AI135" s="311">
        <f>AI88</f>
        <v>4.2300000000000253</v>
      </c>
      <c r="AJ135" s="311">
        <f>AJ88</f>
        <v>1.410000000000017</v>
      </c>
      <c r="AK135" s="311">
        <f>AK88</f>
        <v>-1.2280000000000113</v>
      </c>
      <c r="AL135" s="978">
        <f>SUM(AH135:AK135)</f>
        <v>13.271000000000036</v>
      </c>
      <c r="AM135" s="311">
        <f>AM88</f>
        <v>-1.2120000000000246</v>
      </c>
      <c r="AN135" s="311">
        <f>AN88</f>
        <v>-1.2099999999999702</v>
      </c>
      <c r="AO135" s="311">
        <f>AO88</f>
        <v>5.0080000000000258</v>
      </c>
      <c r="AP135" s="311">
        <f>AP88-AP945</f>
        <v>-3.0880000000000036</v>
      </c>
      <c r="AQ135" s="978">
        <f t="shared" ref="AQ135:AQ142" si="293">SUM(AM135:AP135)</f>
        <v>-0.50199999999997269</v>
      </c>
      <c r="AR135" s="311">
        <f>AR88</f>
        <v>8.4159999999999808</v>
      </c>
      <c r="AS135" s="311">
        <f>AS88</f>
        <v>4.1670000000000016</v>
      </c>
      <c r="AT135" s="311">
        <f>AT88</f>
        <v>-9.4469999999999903</v>
      </c>
      <c r="AU135" s="311">
        <f>AU88-AU945</f>
        <v>-5.1349999999998808</v>
      </c>
      <c r="AV135" s="978">
        <f t="shared" ref="AV135:AV142" si="294">SUM(AR135:AU135)</f>
        <v>-1.9989999999998886</v>
      </c>
      <c r="AW135" s="311">
        <f>AW88</f>
        <v>1.4265000000000185</v>
      </c>
      <c r="AX135" s="311">
        <f>AX88</f>
        <v>-0.23049999999998061</v>
      </c>
      <c r="AY135" s="311">
        <f>AY88</f>
        <v>-8.3189999999999706</v>
      </c>
      <c r="AZ135" s="311">
        <f>AZ88-AZ945</f>
        <v>14.089500000000001</v>
      </c>
      <c r="BA135" s="978">
        <f t="shared" ref="BA135:BA142" si="295">SUM(AW135:AZ135)</f>
        <v>6.9665000000000683</v>
      </c>
      <c r="BB135" s="311">
        <f>BB88</f>
        <v>-4.0549999999999669</v>
      </c>
      <c r="BC135" s="311">
        <f>BC88</f>
        <v>5.1870000000000056</v>
      </c>
      <c r="BD135" s="311">
        <f>BD88</f>
        <v>0.3944999999999812</v>
      </c>
      <c r="BE135" s="311">
        <f>BE88</f>
        <v>-0.13599999999999568</v>
      </c>
      <c r="BF135" s="978">
        <f t="shared" ref="BF135:BF142" si="296">SUM(BB135:BE135)</f>
        <v>1.3905000000000243</v>
      </c>
      <c r="BG135" s="311">
        <f>BG88</f>
        <v>14.248500000000025</v>
      </c>
      <c r="BH135" s="311">
        <f>BH88</f>
        <v>26.878500000000056</v>
      </c>
      <c r="BI135" s="311">
        <f>BI88</f>
        <v>30.405000000000019</v>
      </c>
      <c r="BJ135" s="311">
        <f>BJ88</f>
        <v>18.156000000000013</v>
      </c>
      <c r="BK135" s="978">
        <f t="shared" ref="BK135:BK142" si="297">SUM(BG135:BJ135)</f>
        <v>89.688000000000102</v>
      </c>
      <c r="BL135" s="311">
        <f>BL88</f>
        <v>33.959499999999998</v>
      </c>
      <c r="BM135" s="311">
        <f>BM88</f>
        <v>18.10499999999999</v>
      </c>
      <c r="BN135" s="311">
        <f>BN88</f>
        <v>16.68100000000004</v>
      </c>
      <c r="BO135" s="311">
        <f>BO88</f>
        <v>44.285999999999987</v>
      </c>
      <c r="BP135" s="978">
        <f t="shared" ref="BP135:BP142" si="298">SUM(BL135:BO135)</f>
        <v>113.03150000000001</v>
      </c>
      <c r="BQ135" s="311">
        <f>BQ88</f>
        <v>37.449999999999989</v>
      </c>
      <c r="BR135" s="311">
        <f>BR88</f>
        <v>30.254000000000005</v>
      </c>
      <c r="BS135" s="311">
        <f>BS88</f>
        <v>25.501999999999999</v>
      </c>
      <c r="BT135" s="311">
        <f>BT88</f>
        <v>25.599000000000004</v>
      </c>
      <c r="BU135" s="3349">
        <f t="shared" ref="BU135:BU142" si="299">SUM(BQ135:BT135)</f>
        <v>118.80499999999999</v>
      </c>
      <c r="BV135" s="311">
        <f>BV88</f>
        <v>40.648153478157482</v>
      </c>
      <c r="BW135" s="311">
        <f>BW88</f>
        <v>38.265668691052191</v>
      </c>
      <c r="BX135" s="311">
        <f>BX88</f>
        <v>52.933270426092719</v>
      </c>
      <c r="BY135" s="311">
        <f>BY88</f>
        <v>58.914367187559321</v>
      </c>
      <c r="BZ135" s="3349">
        <f t="shared" ref="BZ135:BZ142" si="300">SUM(BV135:BY135)</f>
        <v>190.76145978286172</v>
      </c>
      <c r="CA135" s="978">
        <f>CA88</f>
        <v>225.48610411611662</v>
      </c>
      <c r="CB135" s="978">
        <f>CB88</f>
        <v>228.86739541959551</v>
      </c>
      <c r="CC135" s="978">
        <f>CC88-CC945</f>
        <v>-230.30607208691319</v>
      </c>
      <c r="CD135" s="978">
        <f>CD88-CD945</f>
        <v>-262.68425682267394</v>
      </c>
      <c r="CE135" s="978">
        <f>CE88-CE945</f>
        <v>-248.15024599237557</v>
      </c>
      <c r="CF135" s="978">
        <f>CF88-CF945</f>
        <v>-233.20116920032171</v>
      </c>
      <c r="CG135" s="978">
        <f>CG88-CG945</f>
        <v>-217.82732226357629</v>
      </c>
      <c r="CH135" s="311"/>
      <c r="CI135" s="311"/>
      <c r="CJ135" s="311"/>
      <c r="CK135" s="311"/>
      <c r="CL135" s="311"/>
      <c r="CM135" s="965"/>
      <c r="CN135" s="965">
        <f t="shared" ref="CN135:CN151" si="301">SUM(BV135:BY135)</f>
        <v>190.76145978286172</v>
      </c>
      <c r="CO135" s="965">
        <f t="shared" ref="CO135:CO157" si="302">CM135-CN135</f>
        <v>-190.76145978286172</v>
      </c>
      <c r="CP135" s="1748" t="str">
        <f t="shared" ref="CP135:CP151" si="303">A135</f>
        <v>Recurring net income</v>
      </c>
      <c r="CQ135" s="311">
        <f t="shared" ref="CQ135:CQ151" si="304">H135</f>
        <v>122.09899999999999</v>
      </c>
      <c r="CR135" s="311">
        <f t="shared" ref="CR135:CR151" si="305">M135</f>
        <v>228.01</v>
      </c>
      <c r="CS135" s="311">
        <f t="shared" ref="CS135:CS151" si="306">R135</f>
        <v>192.06399999999996</v>
      </c>
      <c r="CT135" s="311">
        <f t="shared" ref="CT135:CT151" si="307">W135</f>
        <v>161.13099999999997</v>
      </c>
      <c r="CU135" s="311">
        <f t="shared" ref="CU135:CU151" si="308">AB135</f>
        <v>81.231780000000043</v>
      </c>
      <c r="CV135" s="311">
        <f t="shared" ref="CV135:CV151" si="309">AG135</f>
        <v>31.329535999999994</v>
      </c>
      <c r="CW135" s="311">
        <f t="shared" ref="CW135:CW151" si="310">AL135</f>
        <v>13.271000000000036</v>
      </c>
      <c r="CX135" s="311">
        <f t="shared" ref="CX135:CX151" si="311">AQ135</f>
        <v>-0.50199999999997269</v>
      </c>
      <c r="CY135" s="311">
        <f t="shared" ref="CY135:CY151" si="312">AV135</f>
        <v>-1.9989999999998886</v>
      </c>
      <c r="CZ135" s="311">
        <f t="shared" ref="CZ135:CZ151" si="313">BA135</f>
        <v>6.9665000000000683</v>
      </c>
      <c r="DA135" s="311">
        <f t="shared" ref="DA135:DA151" si="314">BF135</f>
        <v>1.3905000000000243</v>
      </c>
      <c r="DB135" s="311">
        <f t="shared" ref="DB135:DB151" si="315">BK135</f>
        <v>89.688000000000102</v>
      </c>
      <c r="DC135" s="311">
        <f t="shared" ref="DC135:DC151" si="316">BP135</f>
        <v>113.03150000000001</v>
      </c>
      <c r="DD135" s="311">
        <f t="shared" ref="DD135:DD151" si="317">BU135</f>
        <v>118.80499999999999</v>
      </c>
      <c r="DE135" s="311">
        <f t="shared" ref="DE135:DE151" si="318">BZ135</f>
        <v>190.76145978286172</v>
      </c>
      <c r="DF135" s="311">
        <f t="shared" ref="DF135:DF151" si="319">CA135</f>
        <v>225.48610411611662</v>
      </c>
      <c r="DG135" s="1833">
        <f t="shared" ref="DG135:DG151" si="320">CB135</f>
        <v>228.86739541959551</v>
      </c>
      <c r="DH135" s="311"/>
      <c r="DI135" s="311"/>
      <c r="DJ135" s="311"/>
      <c r="DK135" s="311"/>
      <c r="DL135" s="311"/>
      <c r="DM135" s="311"/>
      <c r="DN135" s="311"/>
      <c r="DO135" s="312"/>
      <c r="DY135" s="311"/>
      <c r="DZ135" s="311"/>
    </row>
    <row r="136" spans="1:130" ht="12" customHeight="1">
      <c r="A136" s="488" t="s">
        <v>643</v>
      </c>
      <c r="B136" s="445"/>
      <c r="C136" s="445"/>
      <c r="D136" s="464">
        <f>D67</f>
        <v>24.974</v>
      </c>
      <c r="E136" s="465">
        <f>E67</f>
        <v>26.585000000000001</v>
      </c>
      <c r="F136" s="465">
        <f>F67</f>
        <v>42.055</v>
      </c>
      <c r="G136" s="465">
        <f>G67</f>
        <v>43.171999999999997</v>
      </c>
      <c r="H136" s="466">
        <f>SUM(D136:G136)</f>
        <v>136.786</v>
      </c>
      <c r="I136" s="465">
        <f>I67</f>
        <v>43.726999999999997</v>
      </c>
      <c r="J136" s="465">
        <f>J67</f>
        <v>44.454000000000001</v>
      </c>
      <c r="K136" s="465">
        <f>K67</f>
        <v>42.326999999999998</v>
      </c>
      <c r="L136" s="465">
        <f>L67</f>
        <v>45.728999999999999</v>
      </c>
      <c r="M136" s="466">
        <f>SUM(I136:L136)</f>
        <v>176.23699999999997</v>
      </c>
      <c r="N136" s="465">
        <f>N67</f>
        <v>54.444000000000003</v>
      </c>
      <c r="O136" s="465">
        <f>O67</f>
        <v>54.587000000000003</v>
      </c>
      <c r="P136" s="465">
        <f>P67</f>
        <v>43.298999999999999</v>
      </c>
      <c r="Q136" s="465">
        <f>Q67</f>
        <v>42.31</v>
      </c>
      <c r="R136" s="466">
        <f>SUM(N136:Q136)</f>
        <v>194.64000000000001</v>
      </c>
      <c r="S136" s="465">
        <f>S67</f>
        <v>40.936</v>
      </c>
      <c r="T136" s="465">
        <f>T67</f>
        <v>42.262</v>
      </c>
      <c r="U136" s="465">
        <f>U67</f>
        <v>41.764000000000003</v>
      </c>
      <c r="V136" s="465">
        <f>V67</f>
        <v>42.295000000000002</v>
      </c>
      <c r="W136" s="466">
        <f>SUM(S136:V136)</f>
        <v>167.25700000000001</v>
      </c>
      <c r="X136" s="465">
        <f>X67</f>
        <v>43.494</v>
      </c>
      <c r="Y136" s="465">
        <f>Y67</f>
        <v>42.9</v>
      </c>
      <c r="Z136" s="465">
        <f>Z67</f>
        <v>41.896999999999998</v>
      </c>
      <c r="AA136" s="465">
        <f>AA67</f>
        <v>42.003999999999998</v>
      </c>
      <c r="AB136" s="466">
        <f>SUM(X136:AA136)</f>
        <v>170.29499999999999</v>
      </c>
      <c r="AC136" s="465">
        <f>AC67</f>
        <v>42.975999999999999</v>
      </c>
      <c r="AD136" s="465">
        <f>AD67</f>
        <v>42.417999999999999</v>
      </c>
      <c r="AE136" s="465">
        <f>AE67</f>
        <v>40.902999999999999</v>
      </c>
      <c r="AF136" s="465">
        <f>AF67</f>
        <v>39.427999999999997</v>
      </c>
      <c r="AG136" s="466">
        <f>SUM(AC136:AF136)</f>
        <v>165.72499999999999</v>
      </c>
      <c r="AH136" s="465">
        <f>AH67</f>
        <v>40.045999999999999</v>
      </c>
      <c r="AI136" s="465">
        <f>AI67</f>
        <v>55.408000000000001</v>
      </c>
      <c r="AJ136" s="465">
        <f>AJ67</f>
        <v>52.451000000000001</v>
      </c>
      <c r="AK136" s="465">
        <f>AK67</f>
        <v>51.37</v>
      </c>
      <c r="AL136" s="466">
        <f>SUM(AH136:AK136)</f>
        <v>199.27500000000001</v>
      </c>
      <c r="AM136" s="465">
        <f>AM67</f>
        <v>50.584000000000003</v>
      </c>
      <c r="AN136" s="465">
        <f>AN67</f>
        <v>48.488</v>
      </c>
      <c r="AO136" s="465">
        <f>AO67</f>
        <v>46.033999999999999</v>
      </c>
      <c r="AP136" s="465">
        <f>AP67</f>
        <v>50.237000000000002</v>
      </c>
      <c r="AQ136" s="466">
        <f t="shared" si="293"/>
        <v>195.34299999999999</v>
      </c>
      <c r="AR136" s="465">
        <f>AR67</f>
        <v>50.014000000000003</v>
      </c>
      <c r="AS136" s="465">
        <f>AS67</f>
        <v>50.661000000000001</v>
      </c>
      <c r="AT136" s="465">
        <f>AT67</f>
        <v>50.408999999999999</v>
      </c>
      <c r="AU136" s="465">
        <f>AU67</f>
        <v>63.207000000000001</v>
      </c>
      <c r="AV136" s="466">
        <f t="shared" si="294"/>
        <v>214.291</v>
      </c>
      <c r="AW136" s="465">
        <f>AW67</f>
        <v>54.4</v>
      </c>
      <c r="AX136" s="465">
        <f>AX67</f>
        <v>54.8</v>
      </c>
      <c r="AY136" s="465">
        <f>AY67</f>
        <v>54.7</v>
      </c>
      <c r="AZ136" s="465">
        <f>AZ67</f>
        <v>54.8</v>
      </c>
      <c r="BA136" s="466">
        <f t="shared" si="295"/>
        <v>218.7</v>
      </c>
      <c r="BB136" s="465">
        <f>BB67</f>
        <v>52.3</v>
      </c>
      <c r="BC136" s="465">
        <f>BC67</f>
        <v>51.8</v>
      </c>
      <c r="BD136" s="465">
        <f>BD67</f>
        <v>52.1</v>
      </c>
      <c r="BE136" s="465">
        <f>BE67</f>
        <v>52.798999999999999</v>
      </c>
      <c r="BF136" s="466">
        <f t="shared" si="296"/>
        <v>208.999</v>
      </c>
      <c r="BG136" s="465">
        <f>BG67</f>
        <v>51.942</v>
      </c>
      <c r="BH136" s="465">
        <f>BH67</f>
        <v>51.963999999999999</v>
      </c>
      <c r="BI136" s="465">
        <f>BI67</f>
        <v>51.344999999999999</v>
      </c>
      <c r="BJ136" s="465">
        <f>BJ67</f>
        <v>51.866999999999997</v>
      </c>
      <c r="BK136" s="466">
        <f t="shared" si="297"/>
        <v>207.11799999999999</v>
      </c>
      <c r="BL136" s="465">
        <f>BL67</f>
        <v>47.652999999999999</v>
      </c>
      <c r="BM136" s="465">
        <f>BM67</f>
        <v>48.25</v>
      </c>
      <c r="BN136" s="465">
        <f>BN67</f>
        <v>47.927999999999997</v>
      </c>
      <c r="BO136" s="465">
        <f>BO67</f>
        <v>52.395000000000003</v>
      </c>
      <c r="BP136" s="466">
        <f t="shared" si="298"/>
        <v>196.226</v>
      </c>
      <c r="BQ136" s="465">
        <f>BQ67</f>
        <v>53.963999999999999</v>
      </c>
      <c r="BR136" s="465">
        <f>BR67</f>
        <v>52.563000000000002</v>
      </c>
      <c r="BS136" s="465">
        <f>BS67</f>
        <v>55.201000000000001</v>
      </c>
      <c r="BT136" s="465">
        <f>BT67</f>
        <v>55.793999999999997</v>
      </c>
      <c r="BU136" s="3322">
        <f t="shared" si="299"/>
        <v>217.52199999999999</v>
      </c>
      <c r="BV136" s="465">
        <f>BV67</f>
        <v>54.463999999999999</v>
      </c>
      <c r="BW136" s="465">
        <f>BW67</f>
        <v>53.063000000000002</v>
      </c>
      <c r="BX136" s="465">
        <f>BX67</f>
        <v>59.123249999999999</v>
      </c>
      <c r="BY136" s="465">
        <f>BY67</f>
        <v>59.716249999999995</v>
      </c>
      <c r="BZ136" s="3322">
        <f t="shared" si="300"/>
        <v>226.3665</v>
      </c>
      <c r="CA136" s="466">
        <f t="shared" ref="CA136:CG136" si="321">CA67</f>
        <v>233.3150364</v>
      </c>
      <c r="CB136" s="466">
        <f t="shared" si="321"/>
        <v>233.57523869514989</v>
      </c>
      <c r="CC136" s="466">
        <f t="shared" si="321"/>
        <v>233.57523869514989</v>
      </c>
      <c r="CD136" s="466">
        <f t="shared" si="321"/>
        <v>233.57523869514989</v>
      </c>
      <c r="CE136" s="466">
        <f t="shared" si="321"/>
        <v>233.57523869514989</v>
      </c>
      <c r="CF136" s="466">
        <f t="shared" si="321"/>
        <v>233.57523869514989</v>
      </c>
      <c r="CG136" s="466">
        <f t="shared" si="321"/>
        <v>233.57523869514989</v>
      </c>
      <c r="CH136" s="465"/>
      <c r="CI136" s="465"/>
      <c r="CJ136" s="465"/>
      <c r="CK136" s="465"/>
      <c r="CL136" s="465"/>
      <c r="CM136" s="965"/>
      <c r="CN136" s="965">
        <f t="shared" si="301"/>
        <v>226.3665</v>
      </c>
      <c r="CO136" s="965">
        <f t="shared" si="302"/>
        <v>-226.3665</v>
      </c>
      <c r="CP136" s="488" t="str">
        <f t="shared" si="303"/>
        <v>+ Depreciation</v>
      </c>
      <c r="CQ136" s="465">
        <f t="shared" si="304"/>
        <v>136.786</v>
      </c>
      <c r="CR136" s="465">
        <f t="shared" si="305"/>
        <v>176.23699999999997</v>
      </c>
      <c r="CS136" s="465">
        <f t="shared" si="306"/>
        <v>194.64000000000001</v>
      </c>
      <c r="CT136" s="465">
        <f t="shared" si="307"/>
        <v>167.25700000000001</v>
      </c>
      <c r="CU136" s="465">
        <f t="shared" si="308"/>
        <v>170.29499999999999</v>
      </c>
      <c r="CV136" s="465">
        <f t="shared" si="309"/>
        <v>165.72499999999999</v>
      </c>
      <c r="CW136" s="465">
        <f t="shared" si="310"/>
        <v>199.27500000000001</v>
      </c>
      <c r="CX136" s="465">
        <f t="shared" si="311"/>
        <v>195.34299999999999</v>
      </c>
      <c r="CY136" s="465">
        <f t="shared" si="312"/>
        <v>214.291</v>
      </c>
      <c r="CZ136" s="465">
        <f t="shared" si="313"/>
        <v>218.7</v>
      </c>
      <c r="DA136" s="465">
        <f t="shared" si="314"/>
        <v>208.999</v>
      </c>
      <c r="DB136" s="465">
        <f t="shared" si="315"/>
        <v>207.11799999999999</v>
      </c>
      <c r="DC136" s="465">
        <f t="shared" si="316"/>
        <v>196.226</v>
      </c>
      <c r="DD136" s="465">
        <f t="shared" si="317"/>
        <v>217.52199999999999</v>
      </c>
      <c r="DE136" s="465">
        <f t="shared" si="318"/>
        <v>226.3665</v>
      </c>
      <c r="DF136" s="465">
        <f t="shared" si="319"/>
        <v>233.3150364</v>
      </c>
      <c r="DG136" s="1797">
        <f t="shared" si="320"/>
        <v>233.57523869514989</v>
      </c>
      <c r="DH136" s="487"/>
      <c r="DI136" s="240"/>
      <c r="DJ136" s="240"/>
      <c r="DK136" s="240"/>
      <c r="DL136" s="240"/>
      <c r="DM136" s="240"/>
      <c r="DN136" s="240"/>
      <c r="DO136" s="226"/>
      <c r="DY136" s="465"/>
      <c r="DZ136" s="465"/>
    </row>
    <row r="137" spans="1:130" ht="12" customHeight="1">
      <c r="A137" s="488" t="s">
        <v>678</v>
      </c>
      <c r="B137" s="445"/>
      <c r="C137" s="445"/>
      <c r="D137" s="464">
        <f t="shared" ref="D137:G139" si="322">D1024</f>
        <v>0</v>
      </c>
      <c r="E137" s="465">
        <f t="shared" si="322"/>
        <v>0</v>
      </c>
      <c r="F137" s="465">
        <f t="shared" si="322"/>
        <v>0</v>
      </c>
      <c r="G137" s="465">
        <f t="shared" si="322"/>
        <v>0</v>
      </c>
      <c r="H137" s="466">
        <f t="shared" ref="H137:H142" si="323">SUM(D137:G137)</f>
        <v>0</v>
      </c>
      <c r="I137" s="465">
        <f t="shared" ref="I137:L139" si="324">I1024</f>
        <v>0</v>
      </c>
      <c r="J137" s="465">
        <f t="shared" si="324"/>
        <v>0</v>
      </c>
      <c r="K137" s="465">
        <f t="shared" si="324"/>
        <v>0</v>
      </c>
      <c r="L137" s="465">
        <f t="shared" si="324"/>
        <v>4.7839999999999998</v>
      </c>
      <c r="M137" s="466">
        <f t="shared" ref="M137:M142" si="325">SUM(I137:L137)</f>
        <v>4.7839999999999998</v>
      </c>
      <c r="N137" s="465">
        <f t="shared" ref="N137:Q139" si="326">N1024</f>
        <v>1.0760000000000001</v>
      </c>
      <c r="O137" s="465">
        <f t="shared" si="326"/>
        <v>1.1440000000000001</v>
      </c>
      <c r="P137" s="465">
        <f t="shared" si="326"/>
        <v>1.1319999999999997</v>
      </c>
      <c r="Q137" s="465">
        <f t="shared" si="326"/>
        <v>1.1339999999999999</v>
      </c>
      <c r="R137" s="466">
        <f t="shared" ref="R137:R142" si="327">SUM(N137:Q137)</f>
        <v>4.4859999999999998</v>
      </c>
      <c r="S137" s="465">
        <f t="shared" ref="S137:V139" si="328">S1024</f>
        <v>1.135</v>
      </c>
      <c r="T137" s="465">
        <f t="shared" si="328"/>
        <v>1.1489999999999998</v>
      </c>
      <c r="U137" s="465">
        <f t="shared" si="328"/>
        <v>1.4520000000000006</v>
      </c>
      <c r="V137" s="465">
        <f t="shared" si="328"/>
        <v>1.4439999999999988</v>
      </c>
      <c r="W137" s="466">
        <f t="shared" ref="W137:W142" si="329">SUM(S137:V137)</f>
        <v>5.18</v>
      </c>
      <c r="X137" s="465">
        <f t="shared" ref="X137:AA139" si="330">X1024</f>
        <v>1.212</v>
      </c>
      <c r="Y137" s="465">
        <f t="shared" si="330"/>
        <v>1.2</v>
      </c>
      <c r="Z137" s="465">
        <f t="shared" si="330"/>
        <v>1.1820000000000002</v>
      </c>
      <c r="AA137" s="465">
        <f t="shared" si="330"/>
        <v>1.1429999999999996</v>
      </c>
      <c r="AB137" s="466">
        <f t="shared" ref="AB137:AB142" si="331">SUM(X137:AA137)</f>
        <v>4.7370000000000001</v>
      </c>
      <c r="AC137" s="465">
        <f t="shared" ref="AC137:AF139" si="332">AC1024</f>
        <v>1.123</v>
      </c>
      <c r="AD137" s="465">
        <f t="shared" si="332"/>
        <v>1.1180000000000001</v>
      </c>
      <c r="AE137" s="465">
        <f t="shared" si="332"/>
        <v>1.0589999999999995</v>
      </c>
      <c r="AF137" s="465">
        <f t="shared" si="332"/>
        <v>2.9260000000000002</v>
      </c>
      <c r="AG137" s="466">
        <f t="shared" ref="AG137:AG142" si="333">SUM(AC137:AF137)</f>
        <v>6.226</v>
      </c>
      <c r="AH137" s="465">
        <f t="shared" ref="AH137:AK139" si="334">AH1024</f>
        <v>0.90100000000000002</v>
      </c>
      <c r="AI137" s="465">
        <f t="shared" si="334"/>
        <v>2.016</v>
      </c>
      <c r="AJ137" s="465">
        <f t="shared" si="334"/>
        <v>3.2320000000000002</v>
      </c>
      <c r="AK137" s="465">
        <f t="shared" si="334"/>
        <v>1.4259999999999999</v>
      </c>
      <c r="AL137" s="466">
        <f t="shared" ref="AL137:AL142" si="335">SUM(AH137:AK137)</f>
        <v>7.5750000000000002</v>
      </c>
      <c r="AM137" s="465">
        <f>AM1024</f>
        <v>2.0310000000000001</v>
      </c>
      <c r="AN137" s="465">
        <f>AN1024</f>
        <v>3.8989999999999996</v>
      </c>
      <c r="AO137" s="465">
        <f>AO1024</f>
        <v>3.2500000000000004</v>
      </c>
      <c r="AP137" s="465">
        <f>AP1024</f>
        <v>2.6730000000000005</v>
      </c>
      <c r="AQ137" s="466">
        <f t="shared" si="293"/>
        <v>11.853</v>
      </c>
      <c r="AR137" s="465">
        <f t="shared" ref="AR137:AU139" si="336">AR1024</f>
        <v>4.0389999999999997</v>
      </c>
      <c r="AS137" s="465">
        <f t="shared" si="336"/>
        <v>4.0280000000000005</v>
      </c>
      <c r="AT137" s="465">
        <f t="shared" si="336"/>
        <v>5.7949999999999999</v>
      </c>
      <c r="AU137" s="465">
        <f t="shared" si="336"/>
        <v>7.7539999999999978</v>
      </c>
      <c r="AV137" s="466">
        <f t="shared" si="294"/>
        <v>21.616</v>
      </c>
      <c r="AW137" s="465">
        <f t="shared" ref="AW137:AZ139" si="337">AW1024</f>
        <v>8.5139999999999993</v>
      </c>
      <c r="AX137" s="465">
        <f t="shared" si="337"/>
        <v>12.067000000000004</v>
      </c>
      <c r="AY137" s="465">
        <f t="shared" si="337"/>
        <v>10.006999999999998</v>
      </c>
      <c r="AZ137" s="465">
        <f t="shared" si="337"/>
        <v>-9.2070000000000007</v>
      </c>
      <c r="BA137" s="466">
        <f t="shared" si="295"/>
        <v>21.381</v>
      </c>
      <c r="BB137" s="465">
        <f t="shared" ref="BB137:BJ139" si="338">BB1024</f>
        <v>4.8289999999999997</v>
      </c>
      <c r="BC137" s="465">
        <f t="shared" si="338"/>
        <v>4.8330000000000011</v>
      </c>
      <c r="BD137" s="465">
        <f t="shared" si="338"/>
        <v>10.695999999999998</v>
      </c>
      <c r="BE137" s="465">
        <f t="shared" si="338"/>
        <v>-1.6599999999999984</v>
      </c>
      <c r="BF137" s="466">
        <f t="shared" si="296"/>
        <v>18.698</v>
      </c>
      <c r="BG137" s="465">
        <f t="shared" si="338"/>
        <v>5.3259999999999996</v>
      </c>
      <c r="BH137" s="465">
        <f t="shared" si="338"/>
        <v>5.8490000000000011</v>
      </c>
      <c r="BI137" s="465">
        <f t="shared" si="338"/>
        <v>5.4009999999999998</v>
      </c>
      <c r="BJ137" s="465">
        <f t="shared" si="338"/>
        <v>0.83899999999999864</v>
      </c>
      <c r="BK137" s="466">
        <f t="shared" si="297"/>
        <v>17.414999999999999</v>
      </c>
      <c r="BL137" s="465">
        <f t="shared" ref="BL137:BO139" si="339">BL1024</f>
        <v>4.5940000000000003</v>
      </c>
      <c r="BM137" s="465">
        <f t="shared" si="339"/>
        <v>4.4829999999999997</v>
      </c>
      <c r="BN137" s="465">
        <f t="shared" si="339"/>
        <v>3.577</v>
      </c>
      <c r="BO137" s="465">
        <f t="shared" si="339"/>
        <v>5</v>
      </c>
      <c r="BP137" s="466">
        <f t="shared" si="298"/>
        <v>17.654</v>
      </c>
      <c r="BQ137" s="465">
        <f t="shared" ref="BQ137:BT139" si="340">BQ1024</f>
        <v>2.2130000000000001</v>
      </c>
      <c r="BR137" s="465">
        <f t="shared" si="340"/>
        <v>2.1989999999999998</v>
      </c>
      <c r="BS137" s="465">
        <f t="shared" si="340"/>
        <v>2.5449999999999999</v>
      </c>
      <c r="BT137" s="465">
        <f t="shared" si="340"/>
        <v>2.5449999999999999</v>
      </c>
      <c r="BU137" s="3322">
        <f t="shared" si="299"/>
        <v>9.5019999999999989</v>
      </c>
      <c r="BV137" s="465">
        <f t="shared" ref="BV137:BY137" si="341">BV1024</f>
        <v>2.2130000000000001</v>
      </c>
      <c r="BW137" s="465">
        <f t="shared" si="341"/>
        <v>2.1989999999999998</v>
      </c>
      <c r="BX137" s="465">
        <f t="shared" si="341"/>
        <v>2.5449999999999999</v>
      </c>
      <c r="BY137" s="465">
        <f t="shared" si="341"/>
        <v>2.5449999999999999</v>
      </c>
      <c r="BZ137" s="3322">
        <f t="shared" si="300"/>
        <v>9.5019999999999989</v>
      </c>
      <c r="CA137" s="466">
        <f t="shared" ref="CA137:CB139" si="342">CA1024</f>
        <v>9.5019999999999989</v>
      </c>
      <c r="CB137" s="466">
        <f t="shared" si="342"/>
        <v>9.5019999999999989</v>
      </c>
      <c r="CC137" s="466">
        <f t="shared" ref="CC137:CG139" si="343">CC1024</f>
        <v>9.5019999999999989</v>
      </c>
      <c r="CD137" s="466">
        <f t="shared" si="343"/>
        <v>9.5019999999999989</v>
      </c>
      <c r="CE137" s="466">
        <f t="shared" si="343"/>
        <v>9.5019999999999989</v>
      </c>
      <c r="CF137" s="466">
        <f t="shared" si="343"/>
        <v>9.5019999999999989</v>
      </c>
      <c r="CG137" s="466">
        <f t="shared" si="343"/>
        <v>9.5019999999999989</v>
      </c>
      <c r="CH137" s="465"/>
      <c r="CI137" s="465"/>
      <c r="CJ137" s="465"/>
      <c r="CK137" s="465"/>
      <c r="CL137" s="465"/>
      <c r="CM137" s="965"/>
      <c r="CN137" s="965">
        <f t="shared" si="301"/>
        <v>9.5019999999999989</v>
      </c>
      <c r="CO137" s="965">
        <f t="shared" si="302"/>
        <v>-9.5019999999999989</v>
      </c>
      <c r="CP137" s="488" t="str">
        <f t="shared" si="303"/>
        <v>+ Amortization of def. financing</v>
      </c>
      <c r="CQ137" s="465">
        <f t="shared" si="304"/>
        <v>0</v>
      </c>
      <c r="CR137" s="465">
        <f t="shared" si="305"/>
        <v>4.7839999999999998</v>
      </c>
      <c r="CS137" s="465">
        <f t="shared" si="306"/>
        <v>4.4859999999999998</v>
      </c>
      <c r="CT137" s="465">
        <f t="shared" si="307"/>
        <v>5.18</v>
      </c>
      <c r="CU137" s="465">
        <f t="shared" si="308"/>
        <v>4.7370000000000001</v>
      </c>
      <c r="CV137" s="465">
        <f t="shared" si="309"/>
        <v>6.226</v>
      </c>
      <c r="CW137" s="465">
        <f t="shared" si="310"/>
        <v>7.5750000000000002</v>
      </c>
      <c r="CX137" s="465">
        <f t="shared" si="311"/>
        <v>11.853</v>
      </c>
      <c r="CY137" s="465">
        <f t="shared" si="312"/>
        <v>21.616</v>
      </c>
      <c r="CZ137" s="465">
        <f t="shared" si="313"/>
        <v>21.381</v>
      </c>
      <c r="DA137" s="465">
        <f t="shared" si="314"/>
        <v>18.698</v>
      </c>
      <c r="DB137" s="465">
        <f t="shared" si="315"/>
        <v>17.414999999999999</v>
      </c>
      <c r="DC137" s="465">
        <f t="shared" si="316"/>
        <v>17.654</v>
      </c>
      <c r="DD137" s="465">
        <f t="shared" si="317"/>
        <v>9.5019999999999989</v>
      </c>
      <c r="DE137" s="465">
        <f t="shared" si="318"/>
        <v>9.5019999999999989</v>
      </c>
      <c r="DF137" s="465">
        <f t="shared" si="319"/>
        <v>9.5019999999999989</v>
      </c>
      <c r="DG137" s="1797">
        <f t="shared" si="320"/>
        <v>9.5019999999999989</v>
      </c>
      <c r="DH137" s="487"/>
      <c r="DI137" s="240"/>
      <c r="DJ137" s="240"/>
      <c r="DK137" s="240"/>
      <c r="DL137" s="240"/>
      <c r="DM137" s="240"/>
      <c r="DN137" s="240"/>
      <c r="DO137" s="226"/>
      <c r="DY137" s="465"/>
      <c r="DZ137" s="465"/>
    </row>
    <row r="138" spans="1:130" ht="12" customHeight="1">
      <c r="A138" s="488" t="s">
        <v>1133</v>
      </c>
      <c r="B138" s="445"/>
      <c r="C138" s="445"/>
      <c r="D138" s="464">
        <f t="shared" si="322"/>
        <v>0</v>
      </c>
      <c r="E138" s="465">
        <f t="shared" si="322"/>
        <v>0</v>
      </c>
      <c r="F138" s="465">
        <f t="shared" si="322"/>
        <v>0</v>
      </c>
      <c r="G138" s="465">
        <f t="shared" si="322"/>
        <v>0</v>
      </c>
      <c r="H138" s="466">
        <f t="shared" si="323"/>
        <v>0</v>
      </c>
      <c r="I138" s="465">
        <f t="shared" si="324"/>
        <v>0</v>
      </c>
      <c r="J138" s="465">
        <f t="shared" si="324"/>
        <v>0</v>
      </c>
      <c r="K138" s="465">
        <f t="shared" si="324"/>
        <v>0</v>
      </c>
      <c r="L138" s="465">
        <f t="shared" si="324"/>
        <v>0</v>
      </c>
      <c r="M138" s="466">
        <f t="shared" si="325"/>
        <v>0</v>
      </c>
      <c r="N138" s="465">
        <f t="shared" si="326"/>
        <v>5.8070000000000004</v>
      </c>
      <c r="O138" s="465">
        <f t="shared" si="326"/>
        <v>6.2850000000000001</v>
      </c>
      <c r="P138" s="465">
        <f t="shared" si="326"/>
        <v>5.0899999999999981</v>
      </c>
      <c r="Q138" s="465">
        <f t="shared" si="326"/>
        <v>4.4659999999999993</v>
      </c>
      <c r="R138" s="466">
        <f t="shared" si="327"/>
        <v>21.647999999999996</v>
      </c>
      <c r="S138" s="465">
        <f t="shared" si="328"/>
        <v>4.3659999999999997</v>
      </c>
      <c r="T138" s="465">
        <f t="shared" si="328"/>
        <v>4.6449999999999996</v>
      </c>
      <c r="U138" s="465">
        <f t="shared" si="328"/>
        <v>3.7949999999999999</v>
      </c>
      <c r="V138" s="465">
        <f t="shared" si="328"/>
        <v>3.2530000000000019</v>
      </c>
      <c r="W138" s="466">
        <f t="shared" si="329"/>
        <v>16.059000000000001</v>
      </c>
      <c r="X138" s="465">
        <f t="shared" si="330"/>
        <v>3.359</v>
      </c>
      <c r="Y138" s="465">
        <f t="shared" si="330"/>
        <v>3.1180000000000003</v>
      </c>
      <c r="Z138" s="465">
        <f t="shared" si="330"/>
        <v>3.1379999999999999</v>
      </c>
      <c r="AA138" s="465">
        <f t="shared" si="330"/>
        <v>4.4089999999999989</v>
      </c>
      <c r="AB138" s="466">
        <f t="shared" si="331"/>
        <v>14.023999999999999</v>
      </c>
      <c r="AC138" s="465">
        <f t="shared" si="332"/>
        <v>3.9129999999999998</v>
      </c>
      <c r="AD138" s="465">
        <f t="shared" si="332"/>
        <v>4.0289999999999999</v>
      </c>
      <c r="AE138" s="465">
        <f t="shared" si="332"/>
        <v>3.4070000000000005</v>
      </c>
      <c r="AF138" s="465">
        <f t="shared" si="332"/>
        <v>4.5389999999999997</v>
      </c>
      <c r="AG138" s="466">
        <f t="shared" si="333"/>
        <v>15.888</v>
      </c>
      <c r="AH138" s="465">
        <f t="shared" si="334"/>
        <v>2.8559999999999999</v>
      </c>
      <c r="AI138" s="465">
        <f t="shared" si="334"/>
        <v>2.8719999999999999</v>
      </c>
      <c r="AJ138" s="465">
        <f t="shared" si="334"/>
        <v>2.3959999999999999</v>
      </c>
      <c r="AK138" s="465">
        <f t="shared" si="334"/>
        <v>3.2</v>
      </c>
      <c r="AL138" s="466">
        <f t="shared" si="335"/>
        <v>11.323999999999998</v>
      </c>
      <c r="AM138" s="465">
        <f t="shared" ref="AM138:AP139" si="344">AM1025</f>
        <v>3.8130000000000002</v>
      </c>
      <c r="AN138" s="465">
        <f t="shared" si="344"/>
        <v>2.14</v>
      </c>
      <c r="AO138" s="465">
        <f>AO1025</f>
        <v>1.7869999999999995</v>
      </c>
      <c r="AP138" s="465">
        <f t="shared" si="344"/>
        <v>2.2560000000000007</v>
      </c>
      <c r="AQ138" s="466">
        <f t="shared" si="293"/>
        <v>9.9960000000000004</v>
      </c>
      <c r="AR138" s="465">
        <f t="shared" si="336"/>
        <v>3.1160000000000001</v>
      </c>
      <c r="AS138" s="465">
        <f t="shared" si="336"/>
        <v>2.8370000000000002</v>
      </c>
      <c r="AT138" s="465">
        <f t="shared" si="336"/>
        <v>1.6069999999999989</v>
      </c>
      <c r="AU138" s="465">
        <f t="shared" si="336"/>
        <v>4.6870000000000012</v>
      </c>
      <c r="AV138" s="466">
        <f t="shared" si="294"/>
        <v>12.247</v>
      </c>
      <c r="AW138" s="465">
        <f t="shared" si="337"/>
        <v>4.0910000000000002</v>
      </c>
      <c r="AX138" s="465">
        <f t="shared" si="337"/>
        <v>2.8929999999999998</v>
      </c>
      <c r="AY138" s="465">
        <f t="shared" si="337"/>
        <v>2.0489999999999995</v>
      </c>
      <c r="AZ138" s="465">
        <f t="shared" si="337"/>
        <v>9.857999999999997</v>
      </c>
      <c r="BA138" s="466">
        <f t="shared" si="295"/>
        <v>18.890999999999998</v>
      </c>
      <c r="BB138" s="465">
        <f t="shared" si="338"/>
        <v>6.4809999999999999</v>
      </c>
      <c r="BC138" s="465">
        <f t="shared" si="338"/>
        <v>3.4239999999999995</v>
      </c>
      <c r="BD138" s="465">
        <f t="shared" si="338"/>
        <v>1.3340000000000014</v>
      </c>
      <c r="BE138" s="465">
        <f t="shared" si="338"/>
        <v>7.2369999999999965</v>
      </c>
      <c r="BF138" s="466">
        <f t="shared" si="296"/>
        <v>18.475999999999999</v>
      </c>
      <c r="BG138" s="465">
        <f t="shared" ref="BG138:BJ139" si="345">BG1025</f>
        <v>3.4409999999999998</v>
      </c>
      <c r="BH138" s="465">
        <f t="shared" si="345"/>
        <v>2.9260000000000002</v>
      </c>
      <c r="BI138" s="465">
        <f t="shared" si="345"/>
        <v>1.8600000000000003</v>
      </c>
      <c r="BJ138" s="465">
        <f t="shared" si="345"/>
        <v>11.036999999999999</v>
      </c>
      <c r="BK138" s="466">
        <f t="shared" si="297"/>
        <v>19.263999999999999</v>
      </c>
      <c r="BL138" s="465">
        <f t="shared" si="339"/>
        <v>3.2629999999999999</v>
      </c>
      <c r="BM138" s="465">
        <f t="shared" si="339"/>
        <v>2.3200000000000003</v>
      </c>
      <c r="BN138" s="465">
        <f t="shared" si="339"/>
        <v>1.5419999999999998</v>
      </c>
      <c r="BO138" s="465">
        <f t="shared" si="339"/>
        <v>8.3930000000000007</v>
      </c>
      <c r="BP138" s="466">
        <f t="shared" si="298"/>
        <v>15.518000000000001</v>
      </c>
      <c r="BQ138" s="465">
        <f t="shared" si="340"/>
        <v>3.0830000000000002</v>
      </c>
      <c r="BR138" s="465">
        <f t="shared" si="340"/>
        <v>5.7469999999999999</v>
      </c>
      <c r="BS138" s="465">
        <f t="shared" si="340"/>
        <v>2.3819999999999997</v>
      </c>
      <c r="BT138" s="465">
        <f t="shared" si="340"/>
        <v>6.2009999999999996</v>
      </c>
      <c r="BU138" s="3322">
        <f t="shared" si="299"/>
        <v>17.413</v>
      </c>
      <c r="BV138" s="465">
        <f t="shared" ref="BV138:BY138" si="346">BV1025</f>
        <v>3.6830000000000003</v>
      </c>
      <c r="BW138" s="465">
        <f t="shared" si="346"/>
        <v>6.3469999999999995</v>
      </c>
      <c r="BX138" s="465">
        <f t="shared" si="346"/>
        <v>2.9820000000000002</v>
      </c>
      <c r="BY138" s="465">
        <f t="shared" si="346"/>
        <v>6.8009999999999993</v>
      </c>
      <c r="BZ138" s="3322">
        <f t="shared" si="300"/>
        <v>19.812999999999999</v>
      </c>
      <c r="CA138" s="466">
        <f t="shared" si="342"/>
        <v>19.812999999999999</v>
      </c>
      <c r="CB138" s="466">
        <f t="shared" si="342"/>
        <v>19.812999999999999</v>
      </c>
      <c r="CC138" s="466">
        <f t="shared" si="343"/>
        <v>19.812999999999999</v>
      </c>
      <c r="CD138" s="466">
        <f t="shared" si="343"/>
        <v>19.812999999999999</v>
      </c>
      <c r="CE138" s="466">
        <f t="shared" si="343"/>
        <v>19.812999999999999</v>
      </c>
      <c r="CF138" s="466">
        <f t="shared" si="343"/>
        <v>19.812999999999999</v>
      </c>
      <c r="CG138" s="466">
        <f t="shared" si="343"/>
        <v>19.812999999999999</v>
      </c>
      <c r="CH138" s="465"/>
      <c r="CI138" s="465"/>
      <c r="CJ138" s="465"/>
      <c r="CK138" s="465"/>
      <c r="CL138" s="465"/>
      <c r="CM138" s="965"/>
      <c r="CN138" s="965">
        <f t="shared" si="301"/>
        <v>19.812999999999999</v>
      </c>
      <c r="CO138" s="965">
        <f t="shared" si="302"/>
        <v>-19.812999999999999</v>
      </c>
      <c r="CP138" s="488" t="str">
        <f t="shared" si="303"/>
        <v>+ Stock-based compensation</v>
      </c>
      <c r="CQ138" s="465">
        <f t="shared" si="304"/>
        <v>0</v>
      </c>
      <c r="CR138" s="465">
        <f t="shared" si="305"/>
        <v>0</v>
      </c>
      <c r="CS138" s="465">
        <f t="shared" si="306"/>
        <v>21.647999999999996</v>
      </c>
      <c r="CT138" s="465">
        <f t="shared" si="307"/>
        <v>16.059000000000001</v>
      </c>
      <c r="CU138" s="465">
        <f t="shared" si="308"/>
        <v>14.023999999999999</v>
      </c>
      <c r="CV138" s="465">
        <f t="shared" si="309"/>
        <v>15.888</v>
      </c>
      <c r="CW138" s="465">
        <f t="shared" si="310"/>
        <v>11.323999999999998</v>
      </c>
      <c r="CX138" s="465">
        <f t="shared" si="311"/>
        <v>9.9960000000000004</v>
      </c>
      <c r="CY138" s="465">
        <f t="shared" si="312"/>
        <v>12.247</v>
      </c>
      <c r="CZ138" s="465">
        <f t="shared" si="313"/>
        <v>18.890999999999998</v>
      </c>
      <c r="DA138" s="465">
        <f t="shared" si="314"/>
        <v>18.475999999999999</v>
      </c>
      <c r="DB138" s="465">
        <f t="shared" si="315"/>
        <v>19.263999999999999</v>
      </c>
      <c r="DC138" s="465">
        <f t="shared" si="316"/>
        <v>15.518000000000001</v>
      </c>
      <c r="DD138" s="465">
        <f t="shared" si="317"/>
        <v>17.413</v>
      </c>
      <c r="DE138" s="465">
        <f t="shared" si="318"/>
        <v>19.812999999999999</v>
      </c>
      <c r="DF138" s="465">
        <f t="shared" si="319"/>
        <v>19.812999999999999</v>
      </c>
      <c r="DG138" s="1797">
        <f t="shared" si="320"/>
        <v>19.812999999999999</v>
      </c>
      <c r="DH138" s="487"/>
      <c r="DI138" s="240"/>
      <c r="DJ138" s="240"/>
      <c r="DK138" s="240"/>
      <c r="DL138" s="240"/>
      <c r="DM138" s="240"/>
      <c r="DN138" s="240"/>
      <c r="DO138" s="226"/>
      <c r="DY138" s="465"/>
      <c r="DZ138" s="465"/>
    </row>
    <row r="139" spans="1:130" ht="12" hidden="1" customHeight="1" outlineLevel="1">
      <c r="A139" s="488" t="s">
        <v>1666</v>
      </c>
      <c r="B139" s="445"/>
      <c r="C139" s="445"/>
      <c r="D139" s="464">
        <f t="shared" si="322"/>
        <v>2.4369999999999998</v>
      </c>
      <c r="E139" s="465">
        <f t="shared" si="322"/>
        <v>11.471</v>
      </c>
      <c r="F139" s="465">
        <f t="shared" si="322"/>
        <v>1.5989999999999998</v>
      </c>
      <c r="G139" s="465">
        <f t="shared" si="322"/>
        <v>5.1869999999999994</v>
      </c>
      <c r="H139" s="466">
        <f t="shared" si="323"/>
        <v>20.693999999999999</v>
      </c>
      <c r="I139" s="465">
        <f t="shared" si="324"/>
        <v>6.4729999999999999</v>
      </c>
      <c r="J139" s="465">
        <f t="shared" si="324"/>
        <v>10.577000000000002</v>
      </c>
      <c r="K139" s="465">
        <f t="shared" si="324"/>
        <v>5.3249999999999984</v>
      </c>
      <c r="L139" s="465">
        <f t="shared" si="324"/>
        <v>0</v>
      </c>
      <c r="M139" s="466">
        <f t="shared" si="325"/>
        <v>22.375</v>
      </c>
      <c r="N139" s="465">
        <f t="shared" si="326"/>
        <v>-1.3620000000000001</v>
      </c>
      <c r="O139" s="465">
        <f t="shared" si="326"/>
        <v>-4.5659999999999998</v>
      </c>
      <c r="P139" s="465">
        <f t="shared" si="326"/>
        <v>-0.37600000000000033</v>
      </c>
      <c r="Q139" s="465">
        <f t="shared" si="326"/>
        <v>-5.9519999999999991</v>
      </c>
      <c r="R139" s="466">
        <f t="shared" si="327"/>
        <v>-12.256</v>
      </c>
      <c r="S139" s="465">
        <f t="shared" si="328"/>
        <v>-1.47</v>
      </c>
      <c r="T139" s="465">
        <f t="shared" si="328"/>
        <v>-2.7080000000000002</v>
      </c>
      <c r="U139" s="465">
        <f t="shared" si="328"/>
        <v>-0.47299999999999964</v>
      </c>
      <c r="V139" s="465">
        <f t="shared" si="328"/>
        <v>3.7000000000000144E-2</v>
      </c>
      <c r="W139" s="466">
        <f t="shared" si="329"/>
        <v>-4.6139999999999999</v>
      </c>
      <c r="X139" s="465">
        <f t="shared" si="330"/>
        <v>-5.8000000000000003E-2</v>
      </c>
      <c r="Y139" s="465">
        <f t="shared" si="330"/>
        <v>5.8000000000000003E-2</v>
      </c>
      <c r="Z139" s="465">
        <f t="shared" si="330"/>
        <v>0</v>
      </c>
      <c r="AA139" s="465">
        <f t="shared" si="330"/>
        <v>0</v>
      </c>
      <c r="AB139" s="466">
        <f t="shared" si="331"/>
        <v>0</v>
      </c>
      <c r="AC139" s="465">
        <f t="shared" si="332"/>
        <v>0</v>
      </c>
      <c r="AD139" s="465">
        <f t="shared" si="332"/>
        <v>0</v>
      </c>
      <c r="AE139" s="465">
        <f t="shared" si="332"/>
        <v>0</v>
      </c>
      <c r="AF139" s="465">
        <f t="shared" si="332"/>
        <v>0</v>
      </c>
      <c r="AG139" s="466">
        <f t="shared" si="333"/>
        <v>0</v>
      </c>
      <c r="AH139" s="465">
        <f t="shared" si="334"/>
        <v>0</v>
      </c>
      <c r="AI139" s="465">
        <f t="shared" si="334"/>
        <v>0</v>
      </c>
      <c r="AJ139" s="465">
        <f t="shared" si="334"/>
        <v>0</v>
      </c>
      <c r="AK139" s="465">
        <f t="shared" si="334"/>
        <v>0</v>
      </c>
      <c r="AL139" s="466">
        <f t="shared" si="335"/>
        <v>0</v>
      </c>
      <c r="AM139" s="465">
        <f t="shared" si="344"/>
        <v>0</v>
      </c>
      <c r="AN139" s="465">
        <f t="shared" si="344"/>
        <v>0</v>
      </c>
      <c r="AO139" s="465">
        <f t="shared" si="344"/>
        <v>0</v>
      </c>
      <c r="AP139" s="465">
        <f t="shared" si="344"/>
        <v>0</v>
      </c>
      <c r="AQ139" s="466">
        <f t="shared" si="293"/>
        <v>0</v>
      </c>
      <c r="AR139" s="465">
        <f t="shared" si="336"/>
        <v>0</v>
      </c>
      <c r="AS139" s="465">
        <f t="shared" si="336"/>
        <v>0</v>
      </c>
      <c r="AT139" s="465">
        <f t="shared" si="336"/>
        <v>0</v>
      </c>
      <c r="AU139" s="465">
        <f t="shared" si="336"/>
        <v>0</v>
      </c>
      <c r="AV139" s="466">
        <f t="shared" si="294"/>
        <v>0</v>
      </c>
      <c r="AW139" s="465">
        <f t="shared" si="337"/>
        <v>0</v>
      </c>
      <c r="AX139" s="465">
        <f t="shared" si="337"/>
        <v>0</v>
      </c>
      <c r="AY139" s="465">
        <f t="shared" si="337"/>
        <v>0</v>
      </c>
      <c r="AZ139" s="465">
        <f t="shared" si="337"/>
        <v>0</v>
      </c>
      <c r="BA139" s="466">
        <f t="shared" si="295"/>
        <v>0</v>
      </c>
      <c r="BB139" s="465">
        <f t="shared" si="338"/>
        <v>0</v>
      </c>
      <c r="BC139" s="465">
        <f t="shared" si="338"/>
        <v>0</v>
      </c>
      <c r="BD139" s="465">
        <f t="shared" si="338"/>
        <v>0</v>
      </c>
      <c r="BE139" s="465">
        <f t="shared" si="338"/>
        <v>0</v>
      </c>
      <c r="BF139" s="466">
        <f t="shared" si="296"/>
        <v>0</v>
      </c>
      <c r="BG139" s="465">
        <f t="shared" si="345"/>
        <v>0</v>
      </c>
      <c r="BH139" s="465">
        <f t="shared" si="345"/>
        <v>0</v>
      </c>
      <c r="BI139" s="465">
        <f t="shared" si="345"/>
        <v>0</v>
      </c>
      <c r="BJ139" s="465">
        <f t="shared" si="345"/>
        <v>0</v>
      </c>
      <c r="BK139" s="466">
        <f t="shared" si="297"/>
        <v>0</v>
      </c>
      <c r="BL139" s="465">
        <f t="shared" si="339"/>
        <v>0</v>
      </c>
      <c r="BM139" s="465">
        <f t="shared" si="339"/>
        <v>0</v>
      </c>
      <c r="BN139" s="465">
        <f t="shared" si="339"/>
        <v>0</v>
      </c>
      <c r="BO139" s="465">
        <f t="shared" si="339"/>
        <v>0</v>
      </c>
      <c r="BP139" s="466">
        <f t="shared" si="298"/>
        <v>0</v>
      </c>
      <c r="BQ139" s="465">
        <f t="shared" si="340"/>
        <v>0</v>
      </c>
      <c r="BR139" s="465">
        <f t="shared" si="340"/>
        <v>0</v>
      </c>
      <c r="BS139" s="465">
        <f t="shared" si="340"/>
        <v>0</v>
      </c>
      <c r="BT139" s="465">
        <f t="shared" si="340"/>
        <v>0</v>
      </c>
      <c r="BU139" s="3322">
        <f t="shared" si="299"/>
        <v>0</v>
      </c>
      <c r="BV139" s="465">
        <f t="shared" ref="BV139:BY139" si="347">BV1026</f>
        <v>0</v>
      </c>
      <c r="BW139" s="465">
        <f t="shared" si="347"/>
        <v>0</v>
      </c>
      <c r="BX139" s="465">
        <f t="shared" si="347"/>
        <v>0</v>
      </c>
      <c r="BY139" s="465">
        <f t="shared" si="347"/>
        <v>0</v>
      </c>
      <c r="BZ139" s="3322">
        <f t="shared" si="300"/>
        <v>0</v>
      </c>
      <c r="CA139" s="466">
        <f t="shared" si="342"/>
        <v>0</v>
      </c>
      <c r="CB139" s="466">
        <f t="shared" si="342"/>
        <v>0</v>
      </c>
      <c r="CC139" s="466">
        <f t="shared" si="343"/>
        <v>0</v>
      </c>
      <c r="CD139" s="466">
        <f t="shared" si="343"/>
        <v>0</v>
      </c>
      <c r="CE139" s="466">
        <f t="shared" si="343"/>
        <v>0</v>
      </c>
      <c r="CF139" s="466">
        <f t="shared" si="343"/>
        <v>0</v>
      </c>
      <c r="CG139" s="466">
        <f t="shared" si="343"/>
        <v>0</v>
      </c>
      <c r="CH139" s="465"/>
      <c r="CI139" s="465"/>
      <c r="CJ139" s="465"/>
      <c r="CK139" s="465"/>
      <c r="CL139" s="465"/>
      <c r="CM139" s="965"/>
      <c r="CN139" s="965">
        <f t="shared" si="301"/>
        <v>0</v>
      </c>
      <c r="CO139" s="965">
        <f t="shared" si="302"/>
        <v>0</v>
      </c>
      <c r="CP139" s="488" t="str">
        <f t="shared" si="303"/>
        <v>+ Tax impact from stock based compensation</v>
      </c>
      <c r="CQ139" s="465">
        <f t="shared" si="304"/>
        <v>20.693999999999999</v>
      </c>
      <c r="CR139" s="465">
        <f t="shared" si="305"/>
        <v>22.375</v>
      </c>
      <c r="CS139" s="465">
        <f t="shared" si="306"/>
        <v>-12.256</v>
      </c>
      <c r="CT139" s="465">
        <f t="shared" si="307"/>
        <v>-4.6139999999999999</v>
      </c>
      <c r="CU139" s="465">
        <f t="shared" si="308"/>
        <v>0</v>
      </c>
      <c r="CV139" s="465">
        <f t="shared" si="309"/>
        <v>0</v>
      </c>
      <c r="CW139" s="465">
        <f t="shared" si="310"/>
        <v>0</v>
      </c>
      <c r="CX139" s="465">
        <f t="shared" si="311"/>
        <v>0</v>
      </c>
      <c r="CY139" s="465">
        <f t="shared" si="312"/>
        <v>0</v>
      </c>
      <c r="CZ139" s="465">
        <f t="shared" si="313"/>
        <v>0</v>
      </c>
      <c r="DA139" s="465">
        <f t="shared" si="314"/>
        <v>0</v>
      </c>
      <c r="DB139" s="465">
        <f t="shared" si="315"/>
        <v>0</v>
      </c>
      <c r="DC139" s="465">
        <f t="shared" si="316"/>
        <v>0</v>
      </c>
      <c r="DD139" s="465">
        <f t="shared" si="317"/>
        <v>0</v>
      </c>
      <c r="DE139" s="465">
        <f t="shared" si="318"/>
        <v>0</v>
      </c>
      <c r="DF139" s="465">
        <f t="shared" si="319"/>
        <v>0</v>
      </c>
      <c r="DG139" s="1797">
        <f t="shared" si="320"/>
        <v>0</v>
      </c>
      <c r="DH139" s="487"/>
      <c r="DI139" s="240"/>
      <c r="DJ139" s="240"/>
      <c r="DK139" s="240"/>
      <c r="DL139" s="240"/>
      <c r="DM139" s="240"/>
      <c r="DN139" s="240"/>
      <c r="DO139" s="226"/>
      <c r="DY139" s="465"/>
      <c r="DZ139" s="465"/>
    </row>
    <row r="140" spans="1:130" ht="12" customHeight="1" collapsed="1">
      <c r="A140" s="488" t="s">
        <v>928</v>
      </c>
      <c r="B140" s="445"/>
      <c r="C140" s="445"/>
      <c r="D140" s="464">
        <f t="shared" ref="D140:G141" si="348">D1015</f>
        <v>-6.6840000000000002</v>
      </c>
      <c r="E140" s="465">
        <f t="shared" si="348"/>
        <v>-12.227999999999998</v>
      </c>
      <c r="F140" s="465">
        <f t="shared" si="348"/>
        <v>-16.951000000000001</v>
      </c>
      <c r="G140" s="465">
        <f t="shared" si="348"/>
        <v>-29.547999999999998</v>
      </c>
      <c r="H140" s="466">
        <f t="shared" si="323"/>
        <v>-65.411000000000001</v>
      </c>
      <c r="I140" s="465">
        <f t="shared" ref="I140:L141" si="349">I1015</f>
        <v>-18.641999999999999</v>
      </c>
      <c r="J140" s="465">
        <f t="shared" si="349"/>
        <v>-17.882999999999999</v>
      </c>
      <c r="K140" s="465">
        <f t="shared" si="349"/>
        <v>-27.641000000000002</v>
      </c>
      <c r="L140" s="465">
        <f t="shared" si="349"/>
        <v>-20.130000000000006</v>
      </c>
      <c r="M140" s="466">
        <f t="shared" si="325"/>
        <v>-84.296000000000006</v>
      </c>
      <c r="N140" s="465">
        <f t="shared" ref="N140:Q141" si="350">N1015</f>
        <v>-22.030999999999999</v>
      </c>
      <c r="O140" s="465">
        <f t="shared" si="350"/>
        <v>-17.073999999999998</v>
      </c>
      <c r="P140" s="465">
        <f t="shared" si="350"/>
        <v>-22.227000000000004</v>
      </c>
      <c r="Q140" s="465">
        <f t="shared" si="350"/>
        <v>-14.285999999999994</v>
      </c>
      <c r="R140" s="466">
        <f t="shared" si="327"/>
        <v>-75.617999999999995</v>
      </c>
      <c r="S140" s="465">
        <f t="shared" ref="S140:V141" si="351">S1015</f>
        <v>-17.311</v>
      </c>
      <c r="T140" s="465">
        <f t="shared" si="351"/>
        <v>-14.138999999999999</v>
      </c>
      <c r="U140" s="465">
        <f t="shared" si="351"/>
        <v>-23.536999999999999</v>
      </c>
      <c r="V140" s="465">
        <f t="shared" si="351"/>
        <v>-14.382000000000001</v>
      </c>
      <c r="W140" s="466">
        <f t="shared" si="329"/>
        <v>-69.369</v>
      </c>
      <c r="X140" s="465">
        <f t="shared" ref="X140:AA141" si="352">X1015</f>
        <v>-13.598000000000001</v>
      </c>
      <c r="Y140" s="465">
        <f t="shared" si="352"/>
        <v>-7.6790000000000003</v>
      </c>
      <c r="Z140" s="465">
        <f t="shared" si="352"/>
        <v>-14.274999999999997</v>
      </c>
      <c r="AA140" s="465">
        <f t="shared" si="352"/>
        <v>-4.7949999999999999</v>
      </c>
      <c r="AB140" s="466">
        <f t="shared" si="331"/>
        <v>-40.347000000000001</v>
      </c>
      <c r="AC140" s="465">
        <f t="shared" ref="AC140:AF141" si="353">AC1015</f>
        <v>-7.9</v>
      </c>
      <c r="AD140" s="465">
        <f t="shared" si="353"/>
        <v>-8.8059999999999992</v>
      </c>
      <c r="AE140" s="465">
        <f>AE1015</f>
        <v>-30.985000000000007</v>
      </c>
      <c r="AF140" s="465">
        <f t="shared" si="353"/>
        <v>-5.1319999999999943</v>
      </c>
      <c r="AG140" s="466">
        <f t="shared" si="333"/>
        <v>-52.822999999999993</v>
      </c>
      <c r="AH140" s="465">
        <f t="shared" ref="AH140:AK141" si="354">AH1015</f>
        <v>-4.6890000000000001</v>
      </c>
      <c r="AI140" s="465">
        <f t="shared" si="354"/>
        <v>9.1920000000000002</v>
      </c>
      <c r="AJ140" s="465">
        <f t="shared" si="354"/>
        <v>-9.516</v>
      </c>
      <c r="AK140" s="465">
        <f t="shared" si="354"/>
        <v>0</v>
      </c>
      <c r="AL140" s="466">
        <f t="shared" si="335"/>
        <v>-5.0129999999999999</v>
      </c>
      <c r="AM140" s="465">
        <f t="shared" ref="AM140:AP141" si="355">AM1015</f>
        <v>0</v>
      </c>
      <c r="AN140" s="465">
        <f t="shared" si="355"/>
        <v>0</v>
      </c>
      <c r="AO140" s="465">
        <f t="shared" si="355"/>
        <v>0</v>
      </c>
      <c r="AP140" s="465">
        <f t="shared" si="355"/>
        <v>0</v>
      </c>
      <c r="AQ140" s="466">
        <f t="shared" si="293"/>
        <v>0</v>
      </c>
      <c r="AR140" s="465">
        <f t="shared" ref="AR140:AU141" si="356">AR1015</f>
        <v>0</v>
      </c>
      <c r="AS140" s="465">
        <f t="shared" si="356"/>
        <v>0</v>
      </c>
      <c r="AT140" s="465">
        <f t="shared" si="356"/>
        <v>0</v>
      </c>
      <c r="AU140" s="465">
        <f t="shared" si="356"/>
        <v>0</v>
      </c>
      <c r="AV140" s="466">
        <f t="shared" si="294"/>
        <v>0</v>
      </c>
      <c r="AW140" s="465">
        <f t="shared" ref="AW140:AZ141" si="357">AW1015</f>
        <v>0</v>
      </c>
      <c r="AX140" s="465">
        <f t="shared" si="357"/>
        <v>0</v>
      </c>
      <c r="AY140" s="465">
        <f t="shared" si="357"/>
        <v>0</v>
      </c>
      <c r="AZ140" s="465">
        <f t="shared" si="357"/>
        <v>0</v>
      </c>
      <c r="BA140" s="466">
        <f t="shared" si="295"/>
        <v>0</v>
      </c>
      <c r="BB140" s="465">
        <f t="shared" ref="BB140:BE141" si="358">BB1015</f>
        <v>0</v>
      </c>
      <c r="BC140" s="465">
        <f t="shared" si="358"/>
        <v>0</v>
      </c>
      <c r="BD140" s="465">
        <f t="shared" si="358"/>
        <v>0</v>
      </c>
      <c r="BE140" s="465">
        <f t="shared" si="358"/>
        <v>0</v>
      </c>
      <c r="BF140" s="466">
        <f t="shared" si="296"/>
        <v>0</v>
      </c>
      <c r="BG140" s="465">
        <f t="shared" ref="BG140:BJ141" si="359">BG1015</f>
        <v>0</v>
      </c>
      <c r="BH140" s="465">
        <f t="shared" si="359"/>
        <v>0</v>
      </c>
      <c r="BI140" s="465">
        <f t="shared" si="359"/>
        <v>0</v>
      </c>
      <c r="BJ140" s="465">
        <f t="shared" si="359"/>
        <v>0</v>
      </c>
      <c r="BK140" s="466">
        <f t="shared" si="297"/>
        <v>0</v>
      </c>
      <c r="BL140" s="465">
        <f t="shared" ref="BL140:BO141" si="360">BL1015</f>
        <v>0</v>
      </c>
      <c r="BM140" s="465">
        <f t="shared" si="360"/>
        <v>0</v>
      </c>
      <c r="BN140" s="465">
        <f t="shared" si="360"/>
        <v>0</v>
      </c>
      <c r="BO140" s="465">
        <f t="shared" si="360"/>
        <v>0</v>
      </c>
      <c r="BP140" s="466">
        <f t="shared" si="298"/>
        <v>0</v>
      </c>
      <c r="BQ140" s="465">
        <f t="shared" ref="BQ140:BT141" si="361">BQ1015</f>
        <v>0</v>
      </c>
      <c r="BR140" s="465">
        <f t="shared" si="361"/>
        <v>0</v>
      </c>
      <c r="BS140" s="465">
        <f t="shared" si="361"/>
        <v>0</v>
      </c>
      <c r="BT140" s="465">
        <f t="shared" si="361"/>
        <v>0</v>
      </c>
      <c r="BU140" s="3322">
        <f t="shared" si="299"/>
        <v>0</v>
      </c>
      <c r="BV140" s="465">
        <f t="shared" ref="BV140:BY140" si="362">BV1015</f>
        <v>0</v>
      </c>
      <c r="BW140" s="465">
        <f t="shared" si="362"/>
        <v>0</v>
      </c>
      <c r="BX140" s="465">
        <f t="shared" si="362"/>
        <v>0</v>
      </c>
      <c r="BY140" s="465">
        <f t="shared" si="362"/>
        <v>0</v>
      </c>
      <c r="BZ140" s="3322">
        <f t="shared" si="300"/>
        <v>0</v>
      </c>
      <c r="CA140" s="466">
        <f t="shared" ref="CA140:CB141" si="363">CA1015</f>
        <v>0</v>
      </c>
      <c r="CB140" s="466">
        <f t="shared" si="363"/>
        <v>0</v>
      </c>
      <c r="CC140" s="466">
        <f t="shared" ref="CC140:CG141" si="364">CC1015</f>
        <v>0</v>
      </c>
      <c r="CD140" s="466">
        <f t="shared" si="364"/>
        <v>0</v>
      </c>
      <c r="CE140" s="466">
        <f t="shared" si="364"/>
        <v>0</v>
      </c>
      <c r="CF140" s="466">
        <f t="shared" si="364"/>
        <v>0</v>
      </c>
      <c r="CG140" s="466">
        <f t="shared" si="364"/>
        <v>0</v>
      </c>
      <c r="CH140" s="465"/>
      <c r="CI140" s="465"/>
      <c r="CJ140" s="465"/>
      <c r="CK140" s="465"/>
      <c r="CL140" s="465"/>
      <c r="CM140" s="965"/>
      <c r="CN140" s="965">
        <f t="shared" si="301"/>
        <v>0</v>
      </c>
      <c r="CO140" s="965">
        <f t="shared" si="302"/>
        <v>0</v>
      </c>
      <c r="CP140" s="488" t="str">
        <f t="shared" si="303"/>
        <v>- Income from joint venture</v>
      </c>
      <c r="CQ140" s="465">
        <f t="shared" si="304"/>
        <v>-65.411000000000001</v>
      </c>
      <c r="CR140" s="465">
        <f t="shared" si="305"/>
        <v>-84.296000000000006</v>
      </c>
      <c r="CS140" s="465">
        <f t="shared" si="306"/>
        <v>-75.617999999999995</v>
      </c>
      <c r="CT140" s="465">
        <f t="shared" si="307"/>
        <v>-69.369</v>
      </c>
      <c r="CU140" s="465">
        <f t="shared" si="308"/>
        <v>-40.347000000000001</v>
      </c>
      <c r="CV140" s="465">
        <f t="shared" si="309"/>
        <v>-52.822999999999993</v>
      </c>
      <c r="CW140" s="465">
        <f t="shared" si="310"/>
        <v>-5.0129999999999999</v>
      </c>
      <c r="CX140" s="465">
        <f t="shared" si="311"/>
        <v>0</v>
      </c>
      <c r="CY140" s="465">
        <f t="shared" si="312"/>
        <v>0</v>
      </c>
      <c r="CZ140" s="465">
        <f t="shared" si="313"/>
        <v>0</v>
      </c>
      <c r="DA140" s="465">
        <f t="shared" si="314"/>
        <v>0</v>
      </c>
      <c r="DB140" s="465">
        <f t="shared" si="315"/>
        <v>0</v>
      </c>
      <c r="DC140" s="465">
        <f t="shared" si="316"/>
        <v>0</v>
      </c>
      <c r="DD140" s="465">
        <f t="shared" si="317"/>
        <v>0</v>
      </c>
      <c r="DE140" s="465">
        <f t="shared" si="318"/>
        <v>0</v>
      </c>
      <c r="DF140" s="465">
        <f t="shared" si="319"/>
        <v>0</v>
      </c>
      <c r="DG140" s="1797">
        <f t="shared" si="320"/>
        <v>0</v>
      </c>
      <c r="DH140" s="487"/>
      <c r="DI140" s="240"/>
      <c r="DJ140" s="240"/>
      <c r="DK140" s="240"/>
      <c r="DL140" s="240"/>
      <c r="DM140" s="240"/>
      <c r="DN140" s="240"/>
      <c r="DO140" s="226"/>
      <c r="DY140" s="465"/>
      <c r="DZ140" s="465"/>
    </row>
    <row r="141" spans="1:130" ht="12" customHeight="1">
      <c r="A141" s="1285" t="s">
        <v>1191</v>
      </c>
      <c r="B141" s="445"/>
      <c r="C141" s="445"/>
      <c r="D141" s="464">
        <f t="shared" si="348"/>
        <v>0</v>
      </c>
      <c r="E141" s="465">
        <f t="shared" si="348"/>
        <v>0</v>
      </c>
      <c r="F141" s="465">
        <f t="shared" si="348"/>
        <v>0</v>
      </c>
      <c r="G141" s="465">
        <f t="shared" si="348"/>
        <v>0</v>
      </c>
      <c r="H141" s="466">
        <f t="shared" si="323"/>
        <v>0</v>
      </c>
      <c r="I141" s="465">
        <f t="shared" si="349"/>
        <v>6.7220000000000004</v>
      </c>
      <c r="J141" s="465">
        <f t="shared" si="349"/>
        <v>6.5669999999999993</v>
      </c>
      <c r="K141" s="465">
        <f t="shared" si="349"/>
        <v>6.3379999999999983</v>
      </c>
      <c r="L141" s="465">
        <f t="shared" si="349"/>
        <v>9.7110000000000021</v>
      </c>
      <c r="M141" s="466">
        <f t="shared" si="325"/>
        <v>29.338000000000001</v>
      </c>
      <c r="N141" s="465">
        <f t="shared" si="350"/>
        <v>20.297999999999998</v>
      </c>
      <c r="O141" s="465">
        <f t="shared" si="350"/>
        <v>22.355</v>
      </c>
      <c r="P141" s="465">
        <f t="shared" si="350"/>
        <v>17.399000000000004</v>
      </c>
      <c r="Q141" s="465">
        <f t="shared" si="350"/>
        <v>22.550999999999991</v>
      </c>
      <c r="R141" s="466">
        <f t="shared" si="327"/>
        <v>82.602999999999994</v>
      </c>
      <c r="S141" s="465">
        <f t="shared" si="351"/>
        <v>14.611000000000001</v>
      </c>
      <c r="T141" s="465">
        <f t="shared" si="351"/>
        <v>17.633999999999997</v>
      </c>
      <c r="U141" s="465">
        <f t="shared" si="351"/>
        <v>14.464000000000006</v>
      </c>
      <c r="V141" s="465">
        <f t="shared" si="351"/>
        <v>23.860999999999994</v>
      </c>
      <c r="W141" s="466">
        <f t="shared" si="329"/>
        <v>70.569999999999993</v>
      </c>
      <c r="X141" s="465">
        <f t="shared" si="352"/>
        <v>14.707000000000001</v>
      </c>
      <c r="Y141" s="465">
        <f t="shared" si="352"/>
        <v>4.8719999999999999</v>
      </c>
      <c r="Z141" s="465">
        <f t="shared" si="352"/>
        <v>0</v>
      </c>
      <c r="AA141" s="465">
        <f t="shared" si="352"/>
        <v>0</v>
      </c>
      <c r="AB141" s="466">
        <f t="shared" si="331"/>
        <v>19.579000000000001</v>
      </c>
      <c r="AC141" s="465">
        <f t="shared" si="353"/>
        <v>9.7029999999999994</v>
      </c>
      <c r="AD141" s="465">
        <f t="shared" si="353"/>
        <v>2.8780000000000001</v>
      </c>
      <c r="AE141" s="465">
        <f t="shared" si="353"/>
        <v>3.1959999999999997</v>
      </c>
      <c r="AF141" s="465">
        <f t="shared" si="353"/>
        <v>44.359000000000009</v>
      </c>
      <c r="AG141" s="466">
        <f t="shared" si="333"/>
        <v>60.13600000000001</v>
      </c>
      <c r="AH141" s="465">
        <f t="shared" si="354"/>
        <v>1.91</v>
      </c>
      <c r="AI141" s="465">
        <f t="shared" si="354"/>
        <v>-6.923</v>
      </c>
      <c r="AJ141" s="465">
        <f t="shared" si="354"/>
        <v>6.923</v>
      </c>
      <c r="AK141" s="465">
        <f t="shared" si="354"/>
        <v>0</v>
      </c>
      <c r="AL141" s="466">
        <f t="shared" si="335"/>
        <v>1.9100000000000001</v>
      </c>
      <c r="AM141" s="465">
        <f t="shared" si="355"/>
        <v>0</v>
      </c>
      <c r="AN141" s="465">
        <f t="shared" si="355"/>
        <v>0</v>
      </c>
      <c r="AO141" s="465">
        <f t="shared" si="355"/>
        <v>0</v>
      </c>
      <c r="AP141" s="465">
        <f t="shared" si="355"/>
        <v>0</v>
      </c>
      <c r="AQ141" s="466">
        <f t="shared" si="293"/>
        <v>0</v>
      </c>
      <c r="AR141" s="465">
        <f t="shared" si="356"/>
        <v>0</v>
      </c>
      <c r="AS141" s="465">
        <f t="shared" si="356"/>
        <v>0</v>
      </c>
      <c r="AT141" s="465">
        <f t="shared" si="356"/>
        <v>0</v>
      </c>
      <c r="AU141" s="465">
        <f t="shared" si="356"/>
        <v>0</v>
      </c>
      <c r="AV141" s="466">
        <f t="shared" si="294"/>
        <v>0</v>
      </c>
      <c r="AW141" s="465">
        <f t="shared" si="357"/>
        <v>0</v>
      </c>
      <c r="AX141" s="465">
        <f t="shared" si="357"/>
        <v>0</v>
      </c>
      <c r="AY141" s="465">
        <f t="shared" si="357"/>
        <v>0</v>
      </c>
      <c r="AZ141" s="465">
        <f t="shared" si="357"/>
        <v>0</v>
      </c>
      <c r="BA141" s="466">
        <f t="shared" si="295"/>
        <v>0</v>
      </c>
      <c r="BB141" s="465">
        <f t="shared" si="358"/>
        <v>0</v>
      </c>
      <c r="BC141" s="465">
        <f t="shared" si="358"/>
        <v>0</v>
      </c>
      <c r="BD141" s="465">
        <f t="shared" si="358"/>
        <v>0</v>
      </c>
      <c r="BE141" s="465">
        <f t="shared" si="358"/>
        <v>0</v>
      </c>
      <c r="BF141" s="466">
        <f t="shared" si="296"/>
        <v>0</v>
      </c>
      <c r="BG141" s="465">
        <f t="shared" si="359"/>
        <v>0</v>
      </c>
      <c r="BH141" s="465">
        <f t="shared" si="359"/>
        <v>0</v>
      </c>
      <c r="BI141" s="465">
        <f t="shared" si="359"/>
        <v>0</v>
      </c>
      <c r="BJ141" s="465">
        <f t="shared" si="359"/>
        <v>0</v>
      </c>
      <c r="BK141" s="466">
        <f t="shared" si="297"/>
        <v>0</v>
      </c>
      <c r="BL141" s="465">
        <f t="shared" si="360"/>
        <v>0</v>
      </c>
      <c r="BM141" s="465">
        <f t="shared" si="360"/>
        <v>0</v>
      </c>
      <c r="BN141" s="465">
        <f t="shared" si="360"/>
        <v>0</v>
      </c>
      <c r="BO141" s="465">
        <f t="shared" si="360"/>
        <v>0</v>
      </c>
      <c r="BP141" s="466">
        <f t="shared" si="298"/>
        <v>0</v>
      </c>
      <c r="BQ141" s="465">
        <f t="shared" si="361"/>
        <v>0</v>
      </c>
      <c r="BR141" s="465">
        <f t="shared" si="361"/>
        <v>0</v>
      </c>
      <c r="BS141" s="465">
        <f t="shared" si="361"/>
        <v>0</v>
      </c>
      <c r="BT141" s="465">
        <f t="shared" si="361"/>
        <v>0</v>
      </c>
      <c r="BU141" s="3322">
        <f t="shared" si="299"/>
        <v>0</v>
      </c>
      <c r="BV141" s="465">
        <f t="shared" ref="BV141:BY141" si="365">BV1016</f>
        <v>0</v>
      </c>
      <c r="BW141" s="465">
        <f t="shared" si="365"/>
        <v>0</v>
      </c>
      <c r="BX141" s="465">
        <f t="shared" si="365"/>
        <v>0</v>
      </c>
      <c r="BY141" s="465">
        <f t="shared" si="365"/>
        <v>0</v>
      </c>
      <c r="BZ141" s="3322">
        <f t="shared" si="300"/>
        <v>0</v>
      </c>
      <c r="CA141" s="466">
        <f t="shared" si="363"/>
        <v>0</v>
      </c>
      <c r="CB141" s="466">
        <f t="shared" si="363"/>
        <v>0</v>
      </c>
      <c r="CC141" s="466">
        <f t="shared" si="364"/>
        <v>0</v>
      </c>
      <c r="CD141" s="466">
        <f t="shared" si="364"/>
        <v>0</v>
      </c>
      <c r="CE141" s="466">
        <f t="shared" si="364"/>
        <v>0</v>
      </c>
      <c r="CF141" s="466">
        <f t="shared" si="364"/>
        <v>0</v>
      </c>
      <c r="CG141" s="466">
        <f t="shared" si="364"/>
        <v>0</v>
      </c>
      <c r="CH141" s="465"/>
      <c r="CI141" s="465"/>
      <c r="CJ141" s="465"/>
      <c r="CK141" s="465"/>
      <c r="CL141" s="465"/>
      <c r="CM141" s="965"/>
      <c r="CN141" s="965">
        <f t="shared" si="301"/>
        <v>0</v>
      </c>
      <c r="CO141" s="965">
        <f t="shared" si="302"/>
        <v>0</v>
      </c>
      <c r="CP141" s="1285" t="str">
        <f t="shared" si="303"/>
        <v>+ Distributions from joint venture</v>
      </c>
      <c r="CQ141" s="465">
        <f t="shared" si="304"/>
        <v>0</v>
      </c>
      <c r="CR141" s="465">
        <f t="shared" si="305"/>
        <v>29.338000000000001</v>
      </c>
      <c r="CS141" s="465">
        <f t="shared" si="306"/>
        <v>82.602999999999994</v>
      </c>
      <c r="CT141" s="465">
        <f t="shared" si="307"/>
        <v>70.569999999999993</v>
      </c>
      <c r="CU141" s="465">
        <f t="shared" si="308"/>
        <v>19.579000000000001</v>
      </c>
      <c r="CV141" s="465">
        <f t="shared" si="309"/>
        <v>60.13600000000001</v>
      </c>
      <c r="CW141" s="465">
        <f t="shared" si="310"/>
        <v>1.9100000000000001</v>
      </c>
      <c r="CX141" s="465">
        <f t="shared" si="311"/>
        <v>0</v>
      </c>
      <c r="CY141" s="465">
        <f t="shared" si="312"/>
        <v>0</v>
      </c>
      <c r="CZ141" s="465">
        <f t="shared" si="313"/>
        <v>0</v>
      </c>
      <c r="DA141" s="465">
        <f t="shared" si="314"/>
        <v>0</v>
      </c>
      <c r="DB141" s="465">
        <f t="shared" si="315"/>
        <v>0</v>
      </c>
      <c r="DC141" s="465">
        <f t="shared" si="316"/>
        <v>0</v>
      </c>
      <c r="DD141" s="465">
        <f t="shared" si="317"/>
        <v>0</v>
      </c>
      <c r="DE141" s="465">
        <f t="shared" si="318"/>
        <v>0</v>
      </c>
      <c r="DF141" s="465">
        <f t="shared" si="319"/>
        <v>0</v>
      </c>
      <c r="DG141" s="1797">
        <f t="shared" si="320"/>
        <v>0</v>
      </c>
      <c r="DH141" s="487"/>
      <c r="DI141" s="240"/>
      <c r="DJ141" s="240"/>
      <c r="DK141" s="240"/>
      <c r="DL141" s="240"/>
      <c r="DM141" s="240"/>
      <c r="DN141" s="240"/>
      <c r="DO141" s="226"/>
      <c r="DY141" s="465"/>
      <c r="DZ141" s="465"/>
    </row>
    <row r="142" spans="1:130" ht="12" customHeight="1">
      <c r="A142" s="488" t="s">
        <v>804</v>
      </c>
      <c r="B142" s="445"/>
      <c r="C142" s="445"/>
      <c r="D142" s="464">
        <f>D1162</f>
        <v>0</v>
      </c>
      <c r="E142" s="465">
        <f>E1162</f>
        <v>0</v>
      </c>
      <c r="F142" s="465">
        <f>F1162</f>
        <v>-1.9</v>
      </c>
      <c r="G142" s="465">
        <f>G1162</f>
        <v>-2.6</v>
      </c>
      <c r="H142" s="466">
        <f t="shared" si="323"/>
        <v>-4.5</v>
      </c>
      <c r="I142" s="465">
        <f>I1162</f>
        <v>-3.8</v>
      </c>
      <c r="J142" s="465">
        <f>J1162</f>
        <v>-5</v>
      </c>
      <c r="K142" s="465">
        <f>K1162</f>
        <v>-6.3</v>
      </c>
      <c r="L142" s="465">
        <f>L1162</f>
        <v>-7.7</v>
      </c>
      <c r="M142" s="466">
        <f t="shared" si="325"/>
        <v>-22.8</v>
      </c>
      <c r="N142" s="465">
        <f>N1162</f>
        <v>-2.2000000000000002</v>
      </c>
      <c r="O142" s="465">
        <f>O1162</f>
        <v>-2</v>
      </c>
      <c r="P142" s="465">
        <f>P1162</f>
        <v>-1.6</v>
      </c>
      <c r="Q142" s="465">
        <f>Q1162</f>
        <v>-1.6809999999999992</v>
      </c>
      <c r="R142" s="466">
        <f t="shared" si="327"/>
        <v>-7.4809999999999999</v>
      </c>
      <c r="S142" s="465">
        <f>S1162</f>
        <v>-1.7</v>
      </c>
      <c r="T142" s="465">
        <f>T1162</f>
        <v>-4.5999999999999996</v>
      </c>
      <c r="U142" s="465">
        <f>U1162</f>
        <v>-5.3</v>
      </c>
      <c r="V142" s="465">
        <f>V1162</f>
        <v>-6.4</v>
      </c>
      <c r="W142" s="466">
        <f t="shared" si="329"/>
        <v>-18</v>
      </c>
      <c r="X142" s="465">
        <f>X1162</f>
        <v>-6.7</v>
      </c>
      <c r="Y142" s="465">
        <f>Y1162</f>
        <v>-7.9</v>
      </c>
      <c r="Z142" s="465">
        <f>Z1162</f>
        <v>-10.8</v>
      </c>
      <c r="AA142" s="465">
        <f>AA1162</f>
        <v>-12.2</v>
      </c>
      <c r="AB142" s="466">
        <f t="shared" si="331"/>
        <v>-37.6</v>
      </c>
      <c r="AC142" s="465">
        <f>AC1162</f>
        <v>-0.378</v>
      </c>
      <c r="AD142" s="465">
        <f>AD1162</f>
        <v>0</v>
      </c>
      <c r="AE142" s="465">
        <f>AE1162</f>
        <v>0</v>
      </c>
      <c r="AF142" s="465">
        <f>AF1162</f>
        <v>0</v>
      </c>
      <c r="AG142" s="466">
        <f t="shared" si="333"/>
        <v>-0.378</v>
      </c>
      <c r="AH142" s="465">
        <f>AH1162</f>
        <v>0</v>
      </c>
      <c r="AI142" s="465">
        <f>AI1162</f>
        <v>0</v>
      </c>
      <c r="AJ142" s="465">
        <f>AJ1162</f>
        <v>0</v>
      </c>
      <c r="AK142" s="465">
        <f>AK1162</f>
        <v>0</v>
      </c>
      <c r="AL142" s="466">
        <f t="shared" si="335"/>
        <v>0</v>
      </c>
      <c r="AM142" s="465">
        <f>AM1162</f>
        <v>0</v>
      </c>
      <c r="AN142" s="465">
        <f>AN1162</f>
        <v>0</v>
      </c>
      <c r="AO142" s="465">
        <f>AO1162</f>
        <v>0</v>
      </c>
      <c r="AP142" s="465">
        <f>AP1162</f>
        <v>0</v>
      </c>
      <c r="AQ142" s="466">
        <f t="shared" si="293"/>
        <v>0</v>
      </c>
      <c r="AR142" s="465">
        <f>AR1162</f>
        <v>0</v>
      </c>
      <c r="AS142" s="465">
        <f>AS1162</f>
        <v>0</v>
      </c>
      <c r="AT142" s="465">
        <f>AT1162</f>
        <v>0</v>
      </c>
      <c r="AU142" s="465">
        <f>AU1162</f>
        <v>0</v>
      </c>
      <c r="AV142" s="466">
        <f t="shared" si="294"/>
        <v>0</v>
      </c>
      <c r="AW142" s="465">
        <f>AW1162</f>
        <v>0</v>
      </c>
      <c r="AX142" s="465">
        <f>AX1162</f>
        <v>0</v>
      </c>
      <c r="AY142" s="465">
        <f>AY1162</f>
        <v>0</v>
      </c>
      <c r="AZ142" s="465">
        <f>AZ1162</f>
        <v>0</v>
      </c>
      <c r="BA142" s="466">
        <f t="shared" si="295"/>
        <v>0</v>
      </c>
      <c r="BB142" s="465">
        <f>BB1162</f>
        <v>0</v>
      </c>
      <c r="BC142" s="465">
        <f>BC1162</f>
        <v>0</v>
      </c>
      <c r="BD142" s="465">
        <f>BD1162</f>
        <v>0</v>
      </c>
      <c r="BE142" s="465">
        <f>BE1162</f>
        <v>0</v>
      </c>
      <c r="BF142" s="466">
        <f t="shared" si="296"/>
        <v>0</v>
      </c>
      <c r="BG142" s="465">
        <f>BG1162</f>
        <v>0</v>
      </c>
      <c r="BH142" s="465">
        <f>BH1162</f>
        <v>0</v>
      </c>
      <c r="BI142" s="465">
        <f>BI1162</f>
        <v>0</v>
      </c>
      <c r="BJ142" s="465">
        <f>BJ1162</f>
        <v>0</v>
      </c>
      <c r="BK142" s="466">
        <f t="shared" si="297"/>
        <v>0</v>
      </c>
      <c r="BL142" s="465">
        <f>BL1162</f>
        <v>0</v>
      </c>
      <c r="BM142" s="465">
        <f>BM1162</f>
        <v>0</v>
      </c>
      <c r="BN142" s="465">
        <f>BN1162</f>
        <v>0</v>
      </c>
      <c r="BO142" s="465">
        <f>BO1162</f>
        <v>0</v>
      </c>
      <c r="BP142" s="466">
        <f t="shared" si="298"/>
        <v>0</v>
      </c>
      <c r="BQ142" s="465">
        <f>BQ1162</f>
        <v>0</v>
      </c>
      <c r="BR142" s="465">
        <f>BR1162</f>
        <v>0</v>
      </c>
      <c r="BS142" s="465">
        <f>BS1162</f>
        <v>0</v>
      </c>
      <c r="BT142" s="465">
        <f>BT1162</f>
        <v>0</v>
      </c>
      <c r="BU142" s="3322">
        <f t="shared" si="299"/>
        <v>0</v>
      </c>
      <c r="BV142" s="465">
        <f>BV1162</f>
        <v>0</v>
      </c>
      <c r="BW142" s="465">
        <f>BW1162</f>
        <v>0</v>
      </c>
      <c r="BX142" s="465">
        <f>BX1162</f>
        <v>0</v>
      </c>
      <c r="BY142" s="465">
        <f>BY1162</f>
        <v>0</v>
      </c>
      <c r="BZ142" s="3322">
        <f t="shared" si="300"/>
        <v>0</v>
      </c>
      <c r="CA142" s="466">
        <f t="shared" ref="CA142:CG142" si="366">CA1162</f>
        <v>0</v>
      </c>
      <c r="CB142" s="466">
        <f t="shared" si="366"/>
        <v>0</v>
      </c>
      <c r="CC142" s="466">
        <f t="shared" si="366"/>
        <v>0</v>
      </c>
      <c r="CD142" s="466">
        <f t="shared" si="366"/>
        <v>0</v>
      </c>
      <c r="CE142" s="466">
        <f t="shared" si="366"/>
        <v>0</v>
      </c>
      <c r="CF142" s="466">
        <f t="shared" si="366"/>
        <v>0</v>
      </c>
      <c r="CG142" s="466">
        <f t="shared" si="366"/>
        <v>0</v>
      </c>
      <c r="CH142" s="465"/>
      <c r="CI142" s="465"/>
      <c r="CJ142" s="465"/>
      <c r="CK142" s="465"/>
      <c r="CL142" s="465"/>
      <c r="CM142" s="965"/>
      <c r="CN142" s="965">
        <f t="shared" si="301"/>
        <v>0</v>
      </c>
      <c r="CO142" s="965">
        <f t="shared" si="302"/>
        <v>0</v>
      </c>
      <c r="CP142" s="488" t="str">
        <f t="shared" si="303"/>
        <v>- Capitalized interest</v>
      </c>
      <c r="CQ142" s="465">
        <f t="shared" si="304"/>
        <v>-4.5</v>
      </c>
      <c r="CR142" s="465">
        <f t="shared" si="305"/>
        <v>-22.8</v>
      </c>
      <c r="CS142" s="465">
        <f t="shared" si="306"/>
        <v>-7.4809999999999999</v>
      </c>
      <c r="CT142" s="465">
        <f t="shared" si="307"/>
        <v>-18</v>
      </c>
      <c r="CU142" s="465">
        <f t="shared" si="308"/>
        <v>-37.6</v>
      </c>
      <c r="CV142" s="465">
        <f t="shared" si="309"/>
        <v>-0.378</v>
      </c>
      <c r="CW142" s="465">
        <f t="shared" si="310"/>
        <v>0</v>
      </c>
      <c r="CX142" s="465">
        <f t="shared" si="311"/>
        <v>0</v>
      </c>
      <c r="CY142" s="465">
        <f t="shared" si="312"/>
        <v>0</v>
      </c>
      <c r="CZ142" s="465">
        <f t="shared" si="313"/>
        <v>0</v>
      </c>
      <c r="DA142" s="465">
        <f t="shared" si="314"/>
        <v>0</v>
      </c>
      <c r="DB142" s="465">
        <f t="shared" si="315"/>
        <v>0</v>
      </c>
      <c r="DC142" s="465">
        <f t="shared" si="316"/>
        <v>0</v>
      </c>
      <c r="DD142" s="465">
        <f t="shared" si="317"/>
        <v>0</v>
      </c>
      <c r="DE142" s="465">
        <f t="shared" si="318"/>
        <v>0</v>
      </c>
      <c r="DF142" s="465">
        <f t="shared" si="319"/>
        <v>0</v>
      </c>
      <c r="DG142" s="1797">
        <f t="shared" si="320"/>
        <v>0</v>
      </c>
      <c r="DH142" s="487"/>
      <c r="DI142" s="240"/>
      <c r="DJ142" s="240"/>
      <c r="DK142" s="240"/>
      <c r="DL142" s="240"/>
      <c r="DM142" s="240"/>
      <c r="DN142" s="240"/>
      <c r="DO142" s="226"/>
      <c r="DY142" s="465"/>
      <c r="DZ142" s="465"/>
    </row>
    <row r="143" spans="1:130" ht="12" customHeight="1">
      <c r="A143" s="488" t="s">
        <v>226</v>
      </c>
      <c r="B143" s="445"/>
      <c r="C143" s="445"/>
      <c r="D143" s="489">
        <f t="shared" ref="D143:AX143" si="367">-D1199-D1200-D1203-D1202</f>
        <v>-14.277809999999999</v>
      </c>
      <c r="E143" s="490">
        <f t="shared" si="367"/>
        <v>-15.205079999999999</v>
      </c>
      <c r="F143" s="490">
        <f t="shared" si="367"/>
        <v>-21.259079999999997</v>
      </c>
      <c r="G143" s="490">
        <f t="shared" si="367"/>
        <v>-21.572340000000001</v>
      </c>
      <c r="H143" s="489">
        <f t="shared" si="367"/>
        <v>-72.314310000000006</v>
      </c>
      <c r="I143" s="489">
        <f t="shared" si="367"/>
        <v>-22.170719999999999</v>
      </c>
      <c r="J143" s="490">
        <f t="shared" si="367"/>
        <v>-22.159079999999996</v>
      </c>
      <c r="K143" s="490">
        <f t="shared" si="367"/>
        <v>-22.501139999999999</v>
      </c>
      <c r="L143" s="490">
        <f t="shared" si="367"/>
        <v>-50.779150000000001</v>
      </c>
      <c r="M143" s="489">
        <f t="shared" si="367"/>
        <v>-117.61008999999999</v>
      </c>
      <c r="N143" s="489">
        <f t="shared" si="367"/>
        <v>-90.021230000000003</v>
      </c>
      <c r="O143" s="490">
        <f t="shared" si="367"/>
        <v>-27.907139999999998</v>
      </c>
      <c r="P143" s="490">
        <f t="shared" si="367"/>
        <v>-29.345129999999997</v>
      </c>
      <c r="Q143" s="490">
        <f t="shared" si="367"/>
        <v>-21.59028</v>
      </c>
      <c r="R143" s="489">
        <f t="shared" si="367"/>
        <v>-168.86377999999999</v>
      </c>
      <c r="S143" s="489">
        <f t="shared" si="367"/>
        <v>-21.622799999999998</v>
      </c>
      <c r="T143" s="490">
        <f t="shared" si="367"/>
        <v>-21.404699999999998</v>
      </c>
      <c r="U143" s="490">
        <f t="shared" si="367"/>
        <v>-21.604289999999999</v>
      </c>
      <c r="V143" s="490">
        <f t="shared" si="367"/>
        <v>-20.44107</v>
      </c>
      <c r="W143" s="489">
        <f t="shared" si="367"/>
        <v>-85.072859999999991</v>
      </c>
      <c r="X143" s="489">
        <f t="shared" si="367"/>
        <v>-20.19426</v>
      </c>
      <c r="Y143" s="490">
        <f t="shared" si="367"/>
        <v>-19.97475</v>
      </c>
      <c r="Z143" s="490">
        <f t="shared" si="367"/>
        <v>-19.99128</v>
      </c>
      <c r="AA143" s="490">
        <f t="shared" si="367"/>
        <v>-18.183389999999999</v>
      </c>
      <c r="AB143" s="489">
        <f t="shared" si="367"/>
        <v>-78.343680000000006</v>
      </c>
      <c r="AC143" s="489">
        <f t="shared" si="367"/>
        <v>-17.498849999999997</v>
      </c>
      <c r="AD143" s="490">
        <f t="shared" si="367"/>
        <v>-17.142000000000003</v>
      </c>
      <c r="AE143" s="490">
        <f t="shared" si="367"/>
        <v>-16.400790000000001</v>
      </c>
      <c r="AF143" s="490">
        <f t="shared" si="367"/>
        <v>-16.001939999999998</v>
      </c>
      <c r="AG143" s="489">
        <f t="shared" si="367"/>
        <v>-67.043579999999992</v>
      </c>
      <c r="AH143" s="489">
        <f t="shared" si="367"/>
        <v>-14.75198</v>
      </c>
      <c r="AI143" s="490">
        <f t="shared" si="367"/>
        <v>-13.065020000000001</v>
      </c>
      <c r="AJ143" s="490">
        <f t="shared" si="367"/>
        <v>-18.346825000000003</v>
      </c>
      <c r="AK143" s="490">
        <f t="shared" si="367"/>
        <v>-20.01764</v>
      </c>
      <c r="AL143" s="489">
        <f t="shared" si="367"/>
        <v>-66.181465000000003</v>
      </c>
      <c r="AM143" s="489">
        <f t="shared" si="367"/>
        <v>-20.858000000000001</v>
      </c>
      <c r="AN143" s="490">
        <f t="shared" si="367"/>
        <v>-10.015999999999998</v>
      </c>
      <c r="AO143" s="490">
        <f t="shared" si="367"/>
        <v>-24.617000000000001</v>
      </c>
      <c r="AP143" s="490">
        <f t="shared" si="367"/>
        <v>-16</v>
      </c>
      <c r="AQ143" s="489">
        <f t="shared" si="367"/>
        <v>-71.491</v>
      </c>
      <c r="AR143" s="489">
        <f t="shared" si="367"/>
        <v>-13.8</v>
      </c>
      <c r="AS143" s="490">
        <f t="shared" si="367"/>
        <v>-22.2</v>
      </c>
      <c r="AT143" s="490">
        <f t="shared" si="367"/>
        <v>-19.800000000000004</v>
      </c>
      <c r="AU143" s="490">
        <f t="shared" si="367"/>
        <v>-11.699999999999996</v>
      </c>
      <c r="AV143" s="489">
        <f t="shared" si="367"/>
        <v>-67.5</v>
      </c>
      <c r="AW143" s="489">
        <f t="shared" si="367"/>
        <v>-18.299999999999997</v>
      </c>
      <c r="AX143" s="490">
        <f t="shared" si="367"/>
        <v>-27.875</v>
      </c>
      <c r="AY143" s="490">
        <f>-AY1199-AY1200-AY1203-AY1202</f>
        <v>-40.161999999999992</v>
      </c>
      <c r="AZ143" s="490">
        <f t="shared" ref="AZ143:BK143" si="368">-AZ1199-AZ1200-AZ1203-AZ1202</f>
        <v>-43.808000000000014</v>
      </c>
      <c r="BA143" s="489">
        <f t="shared" si="368"/>
        <v>-130.14500000000001</v>
      </c>
      <c r="BB143" s="489">
        <f t="shared" si="368"/>
        <v>-14.306000000000001</v>
      </c>
      <c r="BC143" s="490">
        <f t="shared" si="368"/>
        <v>-31.203000000000003</v>
      </c>
      <c r="BD143" s="490">
        <f t="shared" si="368"/>
        <v>-36.108000000000004</v>
      </c>
      <c r="BE143" s="490">
        <f t="shared" si="368"/>
        <v>-47.756999999999991</v>
      </c>
      <c r="BF143" s="491">
        <f t="shared" si="368"/>
        <v>-129.37400000000002</v>
      </c>
      <c r="BG143" s="489">
        <f t="shared" si="368"/>
        <v>-8.0189999999999984</v>
      </c>
      <c r="BH143" s="490">
        <f t="shared" si="368"/>
        <v>-27.593000000000004</v>
      </c>
      <c r="BI143" s="490">
        <f t="shared" si="368"/>
        <v>-17.634999999999998</v>
      </c>
      <c r="BJ143" s="490">
        <f t="shared" si="368"/>
        <v>-26.922999999999995</v>
      </c>
      <c r="BK143" s="491">
        <f t="shared" si="368"/>
        <v>-80.169999999999987</v>
      </c>
      <c r="BL143" s="490">
        <f t="shared" ref="BL143:CA143" si="369">-BL1199-BL1200-BL1203-BL1202-BL1205</f>
        <v>-11.796999999999997</v>
      </c>
      <c r="BM143" s="490">
        <f t="shared" si="369"/>
        <v>-13.650000000000006</v>
      </c>
      <c r="BN143" s="490">
        <f t="shared" si="369"/>
        <v>-19.882999999999996</v>
      </c>
      <c r="BO143" s="490">
        <f t="shared" si="369"/>
        <v>-18.028000000000006</v>
      </c>
      <c r="BP143" s="491">
        <f t="shared" si="369"/>
        <v>-63.358000000000004</v>
      </c>
      <c r="BQ143" s="490">
        <f t="shared" si="369"/>
        <v>-65.037999999999997</v>
      </c>
      <c r="BR143" s="490">
        <f t="shared" si="369"/>
        <v>-25.713000000000008</v>
      </c>
      <c r="BS143" s="490">
        <f t="shared" si="369"/>
        <v>-32.501000000000005</v>
      </c>
      <c r="BT143" s="490">
        <f t="shared" si="369"/>
        <v>-21</v>
      </c>
      <c r="BU143" s="3350">
        <f t="shared" si="369"/>
        <v>-144.25200000000001</v>
      </c>
      <c r="BV143" s="490">
        <f t="shared" si="369"/>
        <v>-25</v>
      </c>
      <c r="BW143" s="490">
        <f t="shared" si="369"/>
        <v>-25</v>
      </c>
      <c r="BX143" s="490">
        <f t="shared" si="369"/>
        <v>-30</v>
      </c>
      <c r="BY143" s="490">
        <f t="shared" si="369"/>
        <v>-30</v>
      </c>
      <c r="BZ143" s="3350">
        <f t="shared" si="369"/>
        <v>-110</v>
      </c>
      <c r="CA143" s="491">
        <f t="shared" si="369"/>
        <v>-120</v>
      </c>
      <c r="CB143" s="491">
        <f>-CB1199-CB1200-CB1203-CB1202-CB1205</f>
        <v>-120</v>
      </c>
      <c r="CC143" s="491">
        <f>-CC1199-CC1200-CC1203-CC1202</f>
        <v>-100</v>
      </c>
      <c r="CD143" s="491">
        <f>-CD1199-CD1200-CD1203-CD1202</f>
        <v>-100</v>
      </c>
      <c r="CE143" s="491">
        <f>-CE1199-CE1200-CE1203-CE1202</f>
        <v>-100</v>
      </c>
      <c r="CF143" s="491">
        <f>-CF1199-CF1200-CF1203-CF1202</f>
        <v>-100</v>
      </c>
      <c r="CG143" s="491">
        <f>-CG1199-CG1200-CG1203-CG1202</f>
        <v>-100</v>
      </c>
      <c r="CH143" s="347"/>
      <c r="CI143" s="347"/>
      <c r="CJ143" s="347"/>
      <c r="CK143" s="347"/>
      <c r="CL143" s="347"/>
      <c r="CM143" s="965"/>
      <c r="CN143" s="965">
        <f t="shared" si="301"/>
        <v>-110</v>
      </c>
      <c r="CO143" s="965">
        <f t="shared" si="302"/>
        <v>110</v>
      </c>
      <c r="CP143" s="488" t="str">
        <f t="shared" si="303"/>
        <v>- Maintenance capex</v>
      </c>
      <c r="CQ143" s="490">
        <f t="shared" si="304"/>
        <v>-72.314310000000006</v>
      </c>
      <c r="CR143" s="490">
        <f t="shared" si="305"/>
        <v>-117.61008999999999</v>
      </c>
      <c r="CS143" s="490">
        <f t="shared" si="306"/>
        <v>-168.86377999999999</v>
      </c>
      <c r="CT143" s="490">
        <f t="shared" si="307"/>
        <v>-85.072859999999991</v>
      </c>
      <c r="CU143" s="490">
        <f t="shared" si="308"/>
        <v>-78.343680000000006</v>
      </c>
      <c r="CV143" s="490">
        <f t="shared" si="309"/>
        <v>-67.043579999999992</v>
      </c>
      <c r="CW143" s="490">
        <f t="shared" si="310"/>
        <v>-66.181465000000003</v>
      </c>
      <c r="CX143" s="490">
        <f t="shared" si="311"/>
        <v>-71.491</v>
      </c>
      <c r="CY143" s="490">
        <f t="shared" si="312"/>
        <v>-67.5</v>
      </c>
      <c r="CZ143" s="490">
        <f t="shared" si="313"/>
        <v>-130.14500000000001</v>
      </c>
      <c r="DA143" s="490">
        <f t="shared" si="314"/>
        <v>-129.37400000000002</v>
      </c>
      <c r="DB143" s="490">
        <f t="shared" si="315"/>
        <v>-80.169999999999987</v>
      </c>
      <c r="DC143" s="490">
        <f t="shared" si="316"/>
        <v>-63.358000000000004</v>
      </c>
      <c r="DD143" s="490">
        <f t="shared" si="317"/>
        <v>-144.25200000000001</v>
      </c>
      <c r="DE143" s="490">
        <f t="shared" si="318"/>
        <v>-110</v>
      </c>
      <c r="DF143" s="490">
        <f t="shared" si="319"/>
        <v>-120</v>
      </c>
      <c r="DG143" s="1834">
        <f t="shared" si="320"/>
        <v>-120</v>
      </c>
      <c r="DH143" s="492"/>
      <c r="DI143" s="240"/>
      <c r="DJ143" s="240"/>
      <c r="DK143" s="240"/>
      <c r="DL143" s="240"/>
      <c r="DM143" s="240"/>
      <c r="DN143" s="240"/>
      <c r="DO143" s="226"/>
      <c r="DY143" s="347"/>
      <c r="DZ143" s="347"/>
    </row>
    <row r="144" spans="1:130" ht="12" customHeight="1">
      <c r="A144" s="1749" t="s">
        <v>738</v>
      </c>
      <c r="B144" s="1750"/>
      <c r="C144" s="1750"/>
      <c r="D144" s="1751">
        <f>SUM(D135:D143)</f>
        <v>25.639189999999996</v>
      </c>
      <c r="E144" s="1752">
        <f>SUM(E135:E143)</f>
        <v>28.871920000000014</v>
      </c>
      <c r="F144" s="1752">
        <f>SUM(F135:F143)</f>
        <v>36.867920000000012</v>
      </c>
      <c r="G144" s="1753">
        <f>SUM(G135:G143)</f>
        <v>45.974659999999986</v>
      </c>
      <c r="H144" s="1754">
        <f>SUM(D144:G144)</f>
        <v>137.35369000000003</v>
      </c>
      <c r="I144" s="1753">
        <f>SUM(I135:I143)</f>
        <v>69.808279999999968</v>
      </c>
      <c r="J144" s="1753">
        <f>SUM(J135:J143)</f>
        <v>66.884919999999994</v>
      </c>
      <c r="K144" s="1753">
        <f>SUM(K135:K143)</f>
        <v>48.974860000000014</v>
      </c>
      <c r="L144" s="1753">
        <f>SUM(L135:L143)</f>
        <v>50.369850000000028</v>
      </c>
      <c r="M144" s="1754">
        <f t="shared" ref="M144:M151" si="370">SUM(I144:L144)</f>
        <v>236.03791000000001</v>
      </c>
      <c r="N144" s="1753">
        <f>SUM(N135:N143)</f>
        <v>36.901769999999956</v>
      </c>
      <c r="O144" s="1753">
        <f>SUM(O135:O143)</f>
        <v>75.279860000000014</v>
      </c>
      <c r="P144" s="1753">
        <f>SUM(P135:P143)</f>
        <v>52.191870000000009</v>
      </c>
      <c r="Q144" s="1753">
        <f>SUM(Q135:Q143)</f>
        <v>66.848719999999986</v>
      </c>
      <c r="R144" s="1754">
        <f t="shared" ref="R144:R151" si="371">SUM(N144:Q144)</f>
        <v>231.22221999999996</v>
      </c>
      <c r="S144" s="1753">
        <f>SUM(S135:S143)</f>
        <v>62.990200000000002</v>
      </c>
      <c r="T144" s="1753">
        <f>SUM(T135:T143)</f>
        <v>62.732299999999988</v>
      </c>
      <c r="U144" s="1753">
        <f>SUM(U135:U143)</f>
        <v>48.939710000000026</v>
      </c>
      <c r="V144" s="1753">
        <f>SUM(V135:V143)</f>
        <v>68.478929999999991</v>
      </c>
      <c r="W144" s="1754">
        <f t="shared" ref="W144:W151" si="372">SUM(S144:V144)</f>
        <v>243.14114000000001</v>
      </c>
      <c r="X144" s="1753">
        <f>SUM(X135:X143)</f>
        <v>51.845740000000006</v>
      </c>
      <c r="Y144" s="1753">
        <f>SUM(Y135:Y143)</f>
        <v>43.006850000000007</v>
      </c>
      <c r="Z144" s="1753">
        <f>SUM(Z135:Z143)</f>
        <v>15.111420000000013</v>
      </c>
      <c r="AA144" s="1753">
        <f>SUM(AA135:AA143)</f>
        <v>23.612090000000013</v>
      </c>
      <c r="AB144" s="1754">
        <f t="shared" ref="AB144:AB151" si="373">SUM(X144:AA144)</f>
        <v>133.57610000000005</v>
      </c>
      <c r="AC144" s="1753">
        <f>SUM(AC135:AC143)</f>
        <v>44.944649999999989</v>
      </c>
      <c r="AD144" s="1753">
        <f>SUM(AD135:AD143)</f>
        <v>34.924000000000014</v>
      </c>
      <c r="AE144" s="1753">
        <f>SUM(AE135:AE143)</f>
        <v>9.1452099999999916</v>
      </c>
      <c r="AF144" s="1753">
        <f>SUM(AF135:AF143)</f>
        <v>70.046096000000006</v>
      </c>
      <c r="AG144" s="1754">
        <f t="shared" ref="AG144:AG151" si="374">SUM(AC144:AF144)</f>
        <v>159.059956</v>
      </c>
      <c r="AH144" s="1753">
        <f>SUM(AH135:AH143)</f>
        <v>35.131020000000007</v>
      </c>
      <c r="AI144" s="1753">
        <f>SUM(AI135:AI143)</f>
        <v>53.729980000000012</v>
      </c>
      <c r="AJ144" s="1753">
        <f>SUM(AJ135:AJ143)</f>
        <v>38.54917500000002</v>
      </c>
      <c r="AK144" s="1753">
        <f>SUM(AK135:AK143)</f>
        <v>34.750359999999993</v>
      </c>
      <c r="AL144" s="1754">
        <f>SUM(AH144:AK144)</f>
        <v>162.16053500000004</v>
      </c>
      <c r="AM144" s="1753">
        <f>SUM(AM135:AM143)</f>
        <v>34.357999999999976</v>
      </c>
      <c r="AN144" s="1753">
        <f>SUM(AN135:AN143)</f>
        <v>43.30100000000003</v>
      </c>
      <c r="AO144" s="1753">
        <f>SUM(AO135:AO143)</f>
        <v>31.462000000000021</v>
      </c>
      <c r="AP144" s="1753">
        <f>SUM(AP135:AP143)</f>
        <v>36.078000000000003</v>
      </c>
      <c r="AQ144" s="1754">
        <f t="shared" ref="AQ144:AQ151" si="375">SUM(AM144:AP144)</f>
        <v>145.19900000000001</v>
      </c>
      <c r="AR144" s="1753">
        <f>SUM(AR135:AR143)</f>
        <v>51.784999999999997</v>
      </c>
      <c r="AS144" s="1753">
        <f>SUM(AS135:AS143)</f>
        <v>39.493000000000009</v>
      </c>
      <c r="AT144" s="1753">
        <f>SUM(AT135:AT143)</f>
        <v>28.564000000000007</v>
      </c>
      <c r="AU144" s="1753">
        <f>SUM(AU135:AU143)</f>
        <v>58.813000000000109</v>
      </c>
      <c r="AV144" s="1754">
        <f>SUM(AR144:AU144)</f>
        <v>178.65500000000011</v>
      </c>
      <c r="AW144" s="1753">
        <f>SUM(AW135:AW143)</f>
        <v>50.131500000000017</v>
      </c>
      <c r="AX144" s="1753">
        <f>SUM(AX135:AX143)</f>
        <v>41.654500000000027</v>
      </c>
      <c r="AY144" s="1753">
        <f>SUM(AY135:AY143)</f>
        <v>18.275000000000034</v>
      </c>
      <c r="AZ144" s="1753">
        <f>SUM(AZ135:AZ143)</f>
        <v>25.73249999999998</v>
      </c>
      <c r="BA144" s="1754">
        <f>SUM(AW144:AZ144)</f>
        <v>135.79350000000005</v>
      </c>
      <c r="BB144" s="1753">
        <f>SUM(BB135:BB143)</f>
        <v>45.249000000000038</v>
      </c>
      <c r="BC144" s="1753">
        <f>SUM(BC135:BC143)</f>
        <v>34.040999999999997</v>
      </c>
      <c r="BD144" s="1753">
        <f>SUM(BD135:BD143)</f>
        <v>28.416499999999971</v>
      </c>
      <c r="BE144" s="1753">
        <f>SUM(BE135:BE143)</f>
        <v>10.483000000000011</v>
      </c>
      <c r="BF144" s="1754">
        <f>SUM(BB144:BE144)</f>
        <v>118.18950000000001</v>
      </c>
      <c r="BG144" s="1753">
        <f>SUM(BG135:BG143)</f>
        <v>66.938500000000033</v>
      </c>
      <c r="BH144" s="1753">
        <f>SUM(BH135:BH143)</f>
        <v>60.02450000000006</v>
      </c>
      <c r="BI144" s="1753">
        <f>SUM(BI135:BI143)</f>
        <v>71.376000000000005</v>
      </c>
      <c r="BJ144" s="1753">
        <f>SUM(BJ135:BJ143)</f>
        <v>54.976000000000006</v>
      </c>
      <c r="BK144" s="1754">
        <f>SUM(BG144:BJ144)</f>
        <v>253.31500000000011</v>
      </c>
      <c r="BL144" s="1753">
        <f>SUM(BL135:BL143)</f>
        <v>77.672499999999999</v>
      </c>
      <c r="BM144" s="1753">
        <f>SUM(BM135:BM143)</f>
        <v>59.507999999999981</v>
      </c>
      <c r="BN144" s="1753">
        <f>SUM(BN135:BN143)</f>
        <v>49.845000000000041</v>
      </c>
      <c r="BO144" s="1753">
        <f>SUM(BO135:BO143)</f>
        <v>92.045999999999978</v>
      </c>
      <c r="BP144" s="1754">
        <f>SUM(BL144:BO144)</f>
        <v>279.07150000000001</v>
      </c>
      <c r="BQ144" s="1753">
        <f>SUM(BQ135:BQ143)</f>
        <v>31.671999999999983</v>
      </c>
      <c r="BR144" s="1753">
        <f>SUM(BR135:BR143)</f>
        <v>65.05</v>
      </c>
      <c r="BS144" s="1753">
        <f>SUM(BS135:BS143)</f>
        <v>53.129000000000005</v>
      </c>
      <c r="BT144" s="1753">
        <f>SUM(BT135:BT143)</f>
        <v>69.138999999999996</v>
      </c>
      <c r="BU144" s="3351">
        <f>SUM(BQ144:BT144)</f>
        <v>218.99</v>
      </c>
      <c r="BV144" s="1753">
        <f>SUM(BV135:BV143)</f>
        <v>76.008153478157482</v>
      </c>
      <c r="BW144" s="1753">
        <f>SUM(BW135:BW143)</f>
        <v>74.874668691052193</v>
      </c>
      <c r="BX144" s="1753">
        <f>SUM(BX135:BX143)</f>
        <v>87.583520426092718</v>
      </c>
      <c r="BY144" s="1753">
        <f>SUM(BY135:BY143)</f>
        <v>97.976617187559327</v>
      </c>
      <c r="BZ144" s="3351">
        <f>SUM(BV144:BY144)</f>
        <v>336.44295978286175</v>
      </c>
      <c r="CA144" s="1754">
        <f t="shared" ref="CA144:CG144" si="376">SUM(CA135:CA143)</f>
        <v>368.11614051611662</v>
      </c>
      <c r="CB144" s="1754">
        <f t="shared" si="376"/>
        <v>371.75763411474537</v>
      </c>
      <c r="CC144" s="1754">
        <f t="shared" si="376"/>
        <v>-67.4158333917633</v>
      </c>
      <c r="CD144" s="1754">
        <f t="shared" si="376"/>
        <v>-99.794018127524055</v>
      </c>
      <c r="CE144" s="1754">
        <f t="shared" si="376"/>
        <v>-85.260007297225684</v>
      </c>
      <c r="CF144" s="1754">
        <f t="shared" si="376"/>
        <v>-70.310930505171825</v>
      </c>
      <c r="CG144" s="1754">
        <f t="shared" si="376"/>
        <v>-54.937083568426402</v>
      </c>
      <c r="CH144" s="323"/>
      <c r="CI144" s="323"/>
      <c r="CJ144" s="323"/>
      <c r="CK144" s="323"/>
      <c r="CL144" s="323"/>
      <c r="CM144" s="965"/>
      <c r="CN144" s="965">
        <f t="shared" si="301"/>
        <v>336.44295978286175</v>
      </c>
      <c r="CO144" s="965">
        <f t="shared" si="302"/>
        <v>-336.44295978286175</v>
      </c>
      <c r="CP144" s="1749" t="str">
        <f t="shared" si="303"/>
        <v>Operating Free Cash Flow</v>
      </c>
      <c r="CQ144" s="1753">
        <f t="shared" si="304"/>
        <v>137.35369000000003</v>
      </c>
      <c r="CR144" s="1753">
        <f t="shared" si="305"/>
        <v>236.03791000000001</v>
      </c>
      <c r="CS144" s="1753">
        <f t="shared" si="306"/>
        <v>231.22221999999996</v>
      </c>
      <c r="CT144" s="1753">
        <f t="shared" si="307"/>
        <v>243.14114000000001</v>
      </c>
      <c r="CU144" s="1753">
        <f t="shared" si="308"/>
        <v>133.57610000000005</v>
      </c>
      <c r="CV144" s="1753">
        <f t="shared" si="309"/>
        <v>159.059956</v>
      </c>
      <c r="CW144" s="1753">
        <f t="shared" si="310"/>
        <v>162.16053500000004</v>
      </c>
      <c r="CX144" s="1753">
        <f t="shared" si="311"/>
        <v>145.19900000000001</v>
      </c>
      <c r="CY144" s="1753">
        <f t="shared" si="312"/>
        <v>178.65500000000011</v>
      </c>
      <c r="CZ144" s="1753">
        <f t="shared" si="313"/>
        <v>135.79350000000005</v>
      </c>
      <c r="DA144" s="1753">
        <f t="shared" si="314"/>
        <v>118.18950000000001</v>
      </c>
      <c r="DB144" s="1753">
        <f t="shared" si="315"/>
        <v>253.31500000000011</v>
      </c>
      <c r="DC144" s="1753">
        <f t="shared" si="316"/>
        <v>279.07150000000001</v>
      </c>
      <c r="DD144" s="1753">
        <f t="shared" si="317"/>
        <v>218.99</v>
      </c>
      <c r="DE144" s="1753">
        <f t="shared" si="318"/>
        <v>336.44295978286175</v>
      </c>
      <c r="DF144" s="1753">
        <f t="shared" si="319"/>
        <v>368.11614051611662</v>
      </c>
      <c r="DG144" s="1835">
        <f t="shared" si="320"/>
        <v>371.75763411474537</v>
      </c>
      <c r="DH144" s="311"/>
      <c r="DI144" s="311"/>
      <c r="DJ144" s="311"/>
      <c r="DK144" s="311"/>
      <c r="DL144" s="311"/>
      <c r="DM144" s="311"/>
      <c r="DN144" s="311"/>
      <c r="DO144" s="312"/>
      <c r="DY144" s="323"/>
      <c r="DZ144" s="323"/>
    </row>
    <row r="145" spans="1:130" ht="12" customHeight="1">
      <c r="A145" s="488" t="s">
        <v>330</v>
      </c>
      <c r="B145" s="445"/>
      <c r="C145" s="445"/>
      <c r="D145" s="494">
        <f>SUM(D1019:D1022)</f>
        <v>-5.2530000000000001</v>
      </c>
      <c r="E145" s="495">
        <f>SUM(E1019:E1022)</f>
        <v>12.688000000000001</v>
      </c>
      <c r="F145" s="495">
        <f>SUM(F1019:F1022)</f>
        <v>54.45</v>
      </c>
      <c r="G145" s="495">
        <f>SUM(G1019:G1022)</f>
        <v>-19.818999999999999</v>
      </c>
      <c r="H145" s="466">
        <f>SUM(D145:G145)</f>
        <v>42.066000000000003</v>
      </c>
      <c r="I145" s="495">
        <f>SUM(I1019:I1022)</f>
        <v>40.652000000000001</v>
      </c>
      <c r="J145" s="495">
        <f>SUM(J1019:J1022)</f>
        <v>-24.503</v>
      </c>
      <c r="K145" s="495">
        <f>SUM(K1019:K1022)</f>
        <v>25.444000000000006</v>
      </c>
      <c r="L145" s="495">
        <f>SUM(L1019:L1022)</f>
        <v>3.6609999999999943</v>
      </c>
      <c r="M145" s="466">
        <f t="shared" si="370"/>
        <v>45.253999999999998</v>
      </c>
      <c r="N145" s="495">
        <f>SUM(N1019:N1022)</f>
        <v>37.512</v>
      </c>
      <c r="O145" s="495">
        <f>SUM(O1019:O1022)</f>
        <v>-45.755000000000003</v>
      </c>
      <c r="P145" s="495">
        <f>SUM(P1019:P1022)</f>
        <v>32.550000000000004</v>
      </c>
      <c r="Q145" s="495">
        <f>SUM(Q1019:Q1022)</f>
        <v>-6.4570000000000007</v>
      </c>
      <c r="R145" s="466">
        <f t="shared" si="371"/>
        <v>17.850000000000001</v>
      </c>
      <c r="S145" s="495">
        <f>SUM(S1019:S1022)</f>
        <v>35.923999999999999</v>
      </c>
      <c r="T145" s="495">
        <f>SUM(T1019:T1022)</f>
        <v>-28.592000000000002</v>
      </c>
      <c r="U145" s="495">
        <f>SUM(U1019:U1022)</f>
        <v>35.292999999999992</v>
      </c>
      <c r="V145" s="495">
        <f>SUM(V1019:V1022)</f>
        <v>-21.589999999999989</v>
      </c>
      <c r="W145" s="466">
        <f t="shared" si="372"/>
        <v>21.034999999999997</v>
      </c>
      <c r="X145" s="495">
        <f>SUM(X1019:X1022)</f>
        <v>-8.761000000000001</v>
      </c>
      <c r="Y145" s="495">
        <f>SUM(Y1019:Y1022)</f>
        <v>7.6520000000000001</v>
      </c>
      <c r="Z145" s="495">
        <f>SUM(Z1019:Z1022)</f>
        <v>-13.597999999999995</v>
      </c>
      <c r="AA145" s="495">
        <f>SUM(AA1019:AA1022)</f>
        <v>-17.670000000000002</v>
      </c>
      <c r="AB145" s="466">
        <f t="shared" si="373"/>
        <v>-32.376999999999995</v>
      </c>
      <c r="AC145" s="495">
        <f>SUM(AC1019:AC1022)</f>
        <v>-3.9199999999999995</v>
      </c>
      <c r="AD145" s="495">
        <f>SUM(AD1019:AD1022)</f>
        <v>-4.8780000000000019</v>
      </c>
      <c r="AE145" s="495">
        <f>SUM(AE1019:AE1022)</f>
        <v>17.077000000000002</v>
      </c>
      <c r="AF145" s="495">
        <f>SUM(AF1019:AF1022)</f>
        <v>-11.66</v>
      </c>
      <c r="AG145" s="466">
        <f t="shared" si="374"/>
        <v>-3.3810000000000002</v>
      </c>
      <c r="AH145" s="495">
        <f>SUM(AH1019:AH1022)</f>
        <v>23.932999999999996</v>
      </c>
      <c r="AI145" s="495">
        <f>SUM(AI1019:AI1022)</f>
        <v>0.5610000000000035</v>
      </c>
      <c r="AJ145" s="495">
        <f>SUM(AJ1019:AJ1022)</f>
        <v>7.1869999999999958</v>
      </c>
      <c r="AK145" s="495">
        <f>SUM(AK1019:AK1022)</f>
        <v>15.812999999999997</v>
      </c>
      <c r="AL145" s="466">
        <f t="shared" ref="AL145:AL151" si="377">SUM(AH145:AK145)</f>
        <v>47.493999999999993</v>
      </c>
      <c r="AM145" s="495">
        <f>SUM(AM1019:AM1022)</f>
        <v>23.121000000000002</v>
      </c>
      <c r="AN145" s="495">
        <f>SUM(AN1019:AN1022)</f>
        <v>-26.086999999999996</v>
      </c>
      <c r="AO145" s="495">
        <f>SUM(AO1019:AO1022)</f>
        <v>23.309999999999992</v>
      </c>
      <c r="AP145" s="495">
        <f>SUM(AP1019:AP1022)</f>
        <v>-30.203999999999997</v>
      </c>
      <c r="AQ145" s="466">
        <f t="shared" si="375"/>
        <v>-9.86</v>
      </c>
      <c r="AR145" s="495">
        <f>SUM(AR1019:AR1022)</f>
        <v>-1.242</v>
      </c>
      <c r="AS145" s="495">
        <f>SUM(AS1019:AS1022)</f>
        <v>-15.317</v>
      </c>
      <c r="AT145" s="495">
        <f>SUM(AT1019:AT1022)</f>
        <v>-0.11000000000000298</v>
      </c>
      <c r="AU145" s="495">
        <f>SUM(AU1019:AU1022)</f>
        <v>1.1789999999999949</v>
      </c>
      <c r="AV145" s="466">
        <f>SUM(AR145:AU145)</f>
        <v>-15.490000000000009</v>
      </c>
      <c r="AW145" s="495">
        <f>SUM(AW1019:AW1022)</f>
        <v>5.0380000000000011</v>
      </c>
      <c r="AX145" s="495">
        <f>SUM(AX1019:AX1022)</f>
        <v>-7.4620000000000015</v>
      </c>
      <c r="AY145" s="495">
        <f>SUM(AY1019:AY1022)</f>
        <v>-30.731000000000002</v>
      </c>
      <c r="AZ145" s="495">
        <f>SUM(AZ1019:AZ1022)</f>
        <v>-25.94400000000001</v>
      </c>
      <c r="BA145" s="466">
        <f>SUM(AW145:AZ145)</f>
        <v>-59.099000000000011</v>
      </c>
      <c r="BB145" s="495">
        <f>SUM(BB1019:BB1022)</f>
        <v>-4.3289999999999997</v>
      </c>
      <c r="BC145" s="495">
        <f>SUM(BC1019:BC1022)</f>
        <v>-15.162000000000003</v>
      </c>
      <c r="BD145" s="495">
        <f>SUM(BD1019:BD1022)</f>
        <v>-3.3789999999999996</v>
      </c>
      <c r="BE145" s="495">
        <f>SUM(BE1019:BE1022)</f>
        <v>-7.8710000000000022</v>
      </c>
      <c r="BF145" s="466">
        <f>SUM(BB145:BE145)</f>
        <v>-30.741000000000007</v>
      </c>
      <c r="BG145" s="495">
        <f>SUM(BG1019:BG1022)</f>
        <v>-34.210000000000008</v>
      </c>
      <c r="BH145" s="495">
        <f>SUM(BH1019:BH1022)</f>
        <v>9.9300000000000068</v>
      </c>
      <c r="BI145" s="495">
        <f>SUM(BI1019:BI1022)</f>
        <v>16.920999999999999</v>
      </c>
      <c r="BJ145" s="495">
        <f>SUM(BJ1019:BJ1022)</f>
        <v>-22.710000000000008</v>
      </c>
      <c r="BK145" s="466">
        <f>SUM(BG145:BJ145)</f>
        <v>-30.06900000000001</v>
      </c>
      <c r="BL145" s="495">
        <f>SUM(BL1019:BL1022)</f>
        <v>17.760000000000002</v>
      </c>
      <c r="BM145" s="495">
        <f>SUM(BM1019:BM1022)</f>
        <v>-15.665000000000001</v>
      </c>
      <c r="BN145" s="495">
        <f>SUM(BN1019:BN1022)</f>
        <v>32.833999999999996</v>
      </c>
      <c r="BO145" s="495">
        <f>SUM(BO1019:BO1022)</f>
        <v>-28.423999999999999</v>
      </c>
      <c r="BP145" s="466">
        <f>SUM(BL145:BO145)</f>
        <v>6.5049999999999955</v>
      </c>
      <c r="BQ145" s="495">
        <f>SUM(BQ1019:BQ1022)</f>
        <v>7.15</v>
      </c>
      <c r="BR145" s="495">
        <f>SUM(BR1019:BR1022)</f>
        <v>-21.933</v>
      </c>
      <c r="BS145" s="495">
        <f>SUM(BS1019:BS1022)</f>
        <v>40.611000000000004</v>
      </c>
      <c r="BT145" s="495">
        <f>SUM(BT1019:BT1022)</f>
        <v>0</v>
      </c>
      <c r="BU145" s="3322">
        <f>SUM(BQ145:BT145)</f>
        <v>25.828000000000003</v>
      </c>
      <c r="BV145" s="495">
        <f>SUM(BV1019:BV1022)</f>
        <v>14.349281908172355</v>
      </c>
      <c r="BW145" s="495">
        <f>SUM(BW1019:BW1022)</f>
        <v>13.422760046520297</v>
      </c>
      <c r="BX145" s="495">
        <f>SUM(BX1019:BX1022)</f>
        <v>19.126827387924948</v>
      </c>
      <c r="BY145" s="495">
        <f>SUM(BY1019:BY1022)</f>
        <v>21.452809461828625</v>
      </c>
      <c r="BZ145" s="3322">
        <f>SUM(BV145:BY145)</f>
        <v>68.351678804446223</v>
      </c>
      <c r="CA145" s="496">
        <f t="shared" ref="CA145:CG145" si="378">SUM(CA1019:CA1022)</f>
        <v>81.855707156267599</v>
      </c>
      <c r="CB145" s="496">
        <f t="shared" si="378"/>
        <v>83.17065377428716</v>
      </c>
      <c r="CC145" s="496">
        <f t="shared" si="378"/>
        <v>0</v>
      </c>
      <c r="CD145" s="496">
        <f t="shared" si="378"/>
        <v>0</v>
      </c>
      <c r="CE145" s="496">
        <f t="shared" si="378"/>
        <v>0</v>
      </c>
      <c r="CF145" s="496">
        <f t="shared" si="378"/>
        <v>0</v>
      </c>
      <c r="CG145" s="496">
        <f t="shared" si="378"/>
        <v>0</v>
      </c>
      <c r="CH145" s="465"/>
      <c r="CI145" s="465"/>
      <c r="CJ145" s="465"/>
      <c r="CK145" s="465"/>
      <c r="CL145" s="465"/>
      <c r="CM145" s="965"/>
      <c r="CN145" s="965">
        <f t="shared" si="301"/>
        <v>68.351678804446223</v>
      </c>
      <c r="CO145" s="965">
        <f t="shared" si="302"/>
        <v>-68.351678804446223</v>
      </c>
      <c r="CP145" s="488" t="str">
        <f t="shared" si="303"/>
        <v>+/- Working capital</v>
      </c>
      <c r="CQ145" s="495">
        <f t="shared" si="304"/>
        <v>42.066000000000003</v>
      </c>
      <c r="CR145" s="495">
        <f t="shared" si="305"/>
        <v>45.253999999999998</v>
      </c>
      <c r="CS145" s="495">
        <f t="shared" si="306"/>
        <v>17.850000000000001</v>
      </c>
      <c r="CT145" s="495">
        <f t="shared" si="307"/>
        <v>21.034999999999997</v>
      </c>
      <c r="CU145" s="495">
        <f t="shared" si="308"/>
        <v>-32.376999999999995</v>
      </c>
      <c r="CV145" s="495">
        <f t="shared" si="309"/>
        <v>-3.3810000000000002</v>
      </c>
      <c r="CW145" s="495">
        <f t="shared" si="310"/>
        <v>47.493999999999993</v>
      </c>
      <c r="CX145" s="495">
        <f t="shared" si="311"/>
        <v>-9.86</v>
      </c>
      <c r="CY145" s="495">
        <f t="shared" si="312"/>
        <v>-15.490000000000009</v>
      </c>
      <c r="CZ145" s="495">
        <f t="shared" si="313"/>
        <v>-59.099000000000011</v>
      </c>
      <c r="DA145" s="495">
        <f t="shared" si="314"/>
        <v>-30.741000000000007</v>
      </c>
      <c r="DB145" s="495">
        <f t="shared" si="315"/>
        <v>-30.06900000000001</v>
      </c>
      <c r="DC145" s="495">
        <f t="shared" si="316"/>
        <v>6.5049999999999955</v>
      </c>
      <c r="DD145" s="495">
        <f t="shared" si="317"/>
        <v>25.828000000000003</v>
      </c>
      <c r="DE145" s="495">
        <f t="shared" si="318"/>
        <v>68.351678804446223</v>
      </c>
      <c r="DF145" s="495">
        <f t="shared" si="319"/>
        <v>81.855707156267599</v>
      </c>
      <c r="DG145" s="1836">
        <f t="shared" si="320"/>
        <v>83.17065377428716</v>
      </c>
      <c r="DH145" s="487"/>
      <c r="DI145" s="240"/>
      <c r="DJ145" s="240"/>
      <c r="DK145" s="240"/>
      <c r="DL145" s="240"/>
      <c r="DM145" s="240"/>
      <c r="DN145" s="240"/>
      <c r="DO145" s="226"/>
      <c r="DY145" s="465"/>
      <c r="DZ145" s="465"/>
    </row>
    <row r="146" spans="1:130" ht="12" customHeight="1">
      <c r="A146" s="488" t="s">
        <v>332</v>
      </c>
      <c r="B146" s="445"/>
      <c r="C146" s="445"/>
      <c r="D146" s="464">
        <f>D1023</f>
        <v>-2.7160000000000002</v>
      </c>
      <c r="E146" s="465">
        <f>E1023</f>
        <v>-2.9089999999999998</v>
      </c>
      <c r="F146" s="465">
        <f>F1023</f>
        <v>16.566000000000003</v>
      </c>
      <c r="G146" s="465">
        <f>G1023</f>
        <v>19.688999999999997</v>
      </c>
      <c r="H146" s="346">
        <f t="shared" ref="H146:H151" si="379">SUM(D146:G146)</f>
        <v>30.63</v>
      </c>
      <c r="I146" s="465">
        <f>I1023</f>
        <v>-6.7850000000000001</v>
      </c>
      <c r="J146" s="465">
        <f>J1023</f>
        <v>-0.26900000000000013</v>
      </c>
      <c r="K146" s="465">
        <f>K1023</f>
        <v>4.9870000000000001</v>
      </c>
      <c r="L146" s="465">
        <f>L1023</f>
        <v>-16.186000000000003</v>
      </c>
      <c r="M146" s="346">
        <f t="shared" si="370"/>
        <v>-18.253000000000004</v>
      </c>
      <c r="N146" s="465">
        <f>N1023</f>
        <v>-1.92</v>
      </c>
      <c r="O146" s="465">
        <f>O1023</f>
        <v>-9.7870000000000008</v>
      </c>
      <c r="P146" s="465">
        <f>P1023</f>
        <v>-10.48</v>
      </c>
      <c r="Q146" s="465">
        <f>Q1023</f>
        <v>8.0790000000000006</v>
      </c>
      <c r="R146" s="346">
        <f t="shared" si="371"/>
        <v>-14.108000000000001</v>
      </c>
      <c r="S146" s="465">
        <f>S1023</f>
        <v>64.966999999999999</v>
      </c>
      <c r="T146" s="465">
        <f>T1023</f>
        <v>-2.2340000000000018</v>
      </c>
      <c r="U146" s="465">
        <f>U1023</f>
        <v>-8.2359999999999971</v>
      </c>
      <c r="V146" s="465">
        <f>V1023</f>
        <v>13.873000000000005</v>
      </c>
      <c r="W146" s="346">
        <f t="shared" si="372"/>
        <v>68.37</v>
      </c>
      <c r="X146" s="465">
        <f>X1023</f>
        <v>-26.608000000000001</v>
      </c>
      <c r="Y146" s="465">
        <f>Y1023</f>
        <v>8.8930000000000007</v>
      </c>
      <c r="Z146" s="465">
        <f>Z1023</f>
        <v>6.3189999999999991</v>
      </c>
      <c r="AA146" s="465">
        <f>AA1023</f>
        <v>-32.756999999999991</v>
      </c>
      <c r="AB146" s="346">
        <f t="shared" si="373"/>
        <v>-44.152999999999992</v>
      </c>
      <c r="AC146" s="465">
        <f>AC1023</f>
        <v>-11.94</v>
      </c>
      <c r="AD146" s="465">
        <f>AD1023</f>
        <v>17.756</v>
      </c>
      <c r="AE146" s="465">
        <f>AE1023</f>
        <v>-2.4130000000000003</v>
      </c>
      <c r="AF146" s="465">
        <f>AF1023</f>
        <v>12.171000000000001</v>
      </c>
      <c r="AG146" s="346">
        <f t="shared" si="374"/>
        <v>15.574000000000002</v>
      </c>
      <c r="AH146" s="465">
        <f>AH1023</f>
        <v>0.68400000000000005</v>
      </c>
      <c r="AI146" s="465">
        <f>AI1023</f>
        <v>3.819</v>
      </c>
      <c r="AJ146" s="465">
        <f>AJ1023</f>
        <v>10.311000000000002</v>
      </c>
      <c r="AK146" s="465">
        <f>AK1023</f>
        <v>-8.5300000000000011</v>
      </c>
      <c r="AL146" s="346">
        <f t="shared" si="377"/>
        <v>6.2840000000000007</v>
      </c>
      <c r="AM146" s="465">
        <f>AM1023</f>
        <v>-4.2140000000000004</v>
      </c>
      <c r="AN146" s="465">
        <f>AN1023</f>
        <v>-0.77699999999999925</v>
      </c>
      <c r="AO146" s="465">
        <f>AO1023</f>
        <v>1.9169999999999998</v>
      </c>
      <c r="AP146" s="465">
        <f>AP1023</f>
        <v>0.69299999999999962</v>
      </c>
      <c r="AQ146" s="346">
        <f t="shared" si="375"/>
        <v>-2.3810000000000002</v>
      </c>
      <c r="AR146" s="465">
        <f>AR1023</f>
        <v>8.6790000000000003</v>
      </c>
      <c r="AS146" s="465">
        <f>AS1023</f>
        <v>1.3849999999999998</v>
      </c>
      <c r="AT146" s="465">
        <f>AT1023</f>
        <v>-5.492</v>
      </c>
      <c r="AU146" s="465">
        <f>AU1023</f>
        <v>-223.166</v>
      </c>
      <c r="AV146" s="346">
        <f>SUM(AR146:AU146)</f>
        <v>-218.59399999999999</v>
      </c>
      <c r="AW146" s="465">
        <f>AW1023</f>
        <v>8.92</v>
      </c>
      <c r="AX146" s="465">
        <f>AX1023</f>
        <v>-4.1879999999999997</v>
      </c>
      <c r="AY146" s="465">
        <f>AY1023</f>
        <v>2.2949999999999999</v>
      </c>
      <c r="AZ146" s="465">
        <f>AZ1023</f>
        <v>-4.0409999999999995</v>
      </c>
      <c r="BA146" s="346">
        <f>SUM(AW146:AZ146)</f>
        <v>2.9860000000000007</v>
      </c>
      <c r="BB146" s="465">
        <f>BB1023</f>
        <v>4.1429999999999998</v>
      </c>
      <c r="BC146" s="465">
        <f>BC1023</f>
        <v>6.2960000000000003</v>
      </c>
      <c r="BD146" s="465">
        <f>BD1023</f>
        <v>1.2509999999999994</v>
      </c>
      <c r="BE146" s="465">
        <f>BE1023</f>
        <v>-10.201999999999998</v>
      </c>
      <c r="BF146" s="346">
        <f>SUM(BB146:BE146)</f>
        <v>1.4880000000000013</v>
      </c>
      <c r="BG146" s="465">
        <f>BG1023</f>
        <v>5.3940000000000001</v>
      </c>
      <c r="BH146" s="465">
        <f>BH1023</f>
        <v>6.161999999999999</v>
      </c>
      <c r="BI146" s="465">
        <f>BI1023</f>
        <v>5.08</v>
      </c>
      <c r="BJ146" s="465">
        <f>BJ1023</f>
        <v>-0.32999999999999829</v>
      </c>
      <c r="BK146" s="346">
        <f>SUM(BG146:BJ146)</f>
        <v>16.306000000000001</v>
      </c>
      <c r="BL146" s="465">
        <f>BL1023</f>
        <v>6.5190000000000001</v>
      </c>
      <c r="BM146" s="465">
        <f>BM1023</f>
        <v>6.7629999999999999</v>
      </c>
      <c r="BN146" s="465">
        <f>BN1023</f>
        <v>-190.38800000000001</v>
      </c>
      <c r="BO146" s="465">
        <f>BO1023</f>
        <v>0</v>
      </c>
      <c r="BP146" s="346">
        <f>SUM(BL146:BO146)</f>
        <v>-177.10599999999999</v>
      </c>
      <c r="BQ146" s="465">
        <f>BQ1023</f>
        <v>15.159000000000001</v>
      </c>
      <c r="BR146" s="465">
        <f>BR1023</f>
        <v>17.488</v>
      </c>
      <c r="BS146" s="465">
        <f>BS1023</f>
        <v>10.618999999999998</v>
      </c>
      <c r="BT146" s="465">
        <f>BT1023</f>
        <v>-60.1</v>
      </c>
      <c r="BU146" s="3352">
        <f>SUM(BQ146:BT146)</f>
        <v>-16.834000000000003</v>
      </c>
      <c r="BV146" s="465">
        <f>BV1023</f>
        <v>0</v>
      </c>
      <c r="BW146" s="465">
        <f>BW1023</f>
        <v>0</v>
      </c>
      <c r="BX146" s="465">
        <f>BX1023</f>
        <v>0</v>
      </c>
      <c r="BY146" s="465">
        <f>BY1023</f>
        <v>0</v>
      </c>
      <c r="BZ146" s="3352">
        <f>SUM(BV146:BY146)</f>
        <v>0</v>
      </c>
      <c r="CA146" s="466">
        <f t="shared" ref="CA146:CG146" si="380">CA1023</f>
        <v>0</v>
      </c>
      <c r="CB146" s="466">
        <f t="shared" si="380"/>
        <v>0</v>
      </c>
      <c r="CC146" s="466">
        <f t="shared" si="380"/>
        <v>0</v>
      </c>
      <c r="CD146" s="466">
        <f t="shared" si="380"/>
        <v>0</v>
      </c>
      <c r="CE146" s="466">
        <f t="shared" si="380"/>
        <v>0</v>
      </c>
      <c r="CF146" s="466">
        <f t="shared" si="380"/>
        <v>0</v>
      </c>
      <c r="CG146" s="466">
        <f t="shared" si="380"/>
        <v>0</v>
      </c>
      <c r="CH146" s="465"/>
      <c r="CI146" s="465"/>
      <c r="CJ146" s="465"/>
      <c r="CK146" s="465"/>
      <c r="CL146" s="465"/>
      <c r="CM146" s="965"/>
      <c r="CN146" s="965">
        <f t="shared" si="301"/>
        <v>0</v>
      </c>
      <c r="CO146" s="965">
        <f t="shared" si="302"/>
        <v>0</v>
      </c>
      <c r="CP146" s="488" t="str">
        <f t="shared" si="303"/>
        <v>+/- Deferred taxes</v>
      </c>
      <c r="CQ146" s="465">
        <f t="shared" si="304"/>
        <v>30.63</v>
      </c>
      <c r="CR146" s="465">
        <f t="shared" si="305"/>
        <v>-18.253000000000004</v>
      </c>
      <c r="CS146" s="465">
        <f t="shared" si="306"/>
        <v>-14.108000000000001</v>
      </c>
      <c r="CT146" s="465">
        <f t="shared" si="307"/>
        <v>68.37</v>
      </c>
      <c r="CU146" s="465">
        <f t="shared" si="308"/>
        <v>-44.152999999999992</v>
      </c>
      <c r="CV146" s="465">
        <f t="shared" si="309"/>
        <v>15.574000000000002</v>
      </c>
      <c r="CW146" s="465">
        <f t="shared" si="310"/>
        <v>6.2840000000000007</v>
      </c>
      <c r="CX146" s="465">
        <f t="shared" si="311"/>
        <v>-2.3810000000000002</v>
      </c>
      <c r="CY146" s="465">
        <f t="shared" si="312"/>
        <v>-218.59399999999999</v>
      </c>
      <c r="CZ146" s="465">
        <f t="shared" si="313"/>
        <v>2.9860000000000007</v>
      </c>
      <c r="DA146" s="465">
        <f t="shared" si="314"/>
        <v>1.4880000000000013</v>
      </c>
      <c r="DB146" s="465">
        <f t="shared" si="315"/>
        <v>16.306000000000001</v>
      </c>
      <c r="DC146" s="465">
        <f t="shared" si="316"/>
        <v>-177.10599999999999</v>
      </c>
      <c r="DD146" s="465">
        <f t="shared" si="317"/>
        <v>-16.834000000000003</v>
      </c>
      <c r="DE146" s="465">
        <f t="shared" si="318"/>
        <v>0</v>
      </c>
      <c r="DF146" s="465">
        <f t="shared" si="319"/>
        <v>0</v>
      </c>
      <c r="DG146" s="1797">
        <f t="shared" si="320"/>
        <v>0</v>
      </c>
      <c r="DH146" s="487"/>
      <c r="DI146" s="240"/>
      <c r="DJ146" s="240"/>
      <c r="DK146" s="240"/>
      <c r="DL146" s="240"/>
      <c r="DM146" s="240"/>
      <c r="DN146" s="240"/>
      <c r="DO146" s="226"/>
      <c r="DY146" s="347"/>
      <c r="DZ146" s="347"/>
    </row>
    <row r="147" spans="1:130" ht="12" customHeight="1">
      <c r="A147" s="488" t="s">
        <v>227</v>
      </c>
      <c r="B147" s="445"/>
      <c r="C147" s="445"/>
      <c r="D147" s="329">
        <f t="shared" ref="D147:AX147" si="381">-D1198-D1162-D1201-D1204</f>
        <v>-10.789859999999999</v>
      </c>
      <c r="E147" s="347">
        <f t="shared" si="381"/>
        <v>-30.228149999999999</v>
      </c>
      <c r="F147" s="347">
        <f t="shared" si="381"/>
        <v>-60.963209999999997</v>
      </c>
      <c r="G147" s="347">
        <f t="shared" si="381"/>
        <v>-110.34503999999998</v>
      </c>
      <c r="H147" s="329">
        <f t="shared" si="381"/>
        <v>-212.32625999999996</v>
      </c>
      <c r="I147" s="329">
        <f t="shared" si="381"/>
        <v>-93.263300000000001</v>
      </c>
      <c r="J147" s="347">
        <f t="shared" si="381"/>
        <v>-117.40050000000002</v>
      </c>
      <c r="K147" s="347">
        <f t="shared" si="381"/>
        <v>-120.18358000000001</v>
      </c>
      <c r="L147" s="347">
        <f t="shared" si="381"/>
        <v>-170.10601999999994</v>
      </c>
      <c r="M147" s="329">
        <f t="shared" si="381"/>
        <v>-500.95339999999993</v>
      </c>
      <c r="N147" s="329">
        <f t="shared" si="381"/>
        <v>-123.62380999999999</v>
      </c>
      <c r="O147" s="347">
        <f t="shared" si="381"/>
        <v>-51.708019999999991</v>
      </c>
      <c r="P147" s="347">
        <f t="shared" si="381"/>
        <v>-57.071420000000025</v>
      </c>
      <c r="Q147" s="347">
        <f t="shared" si="381"/>
        <v>-52.11392000000005</v>
      </c>
      <c r="R147" s="329">
        <f t="shared" si="381"/>
        <v>-284.51717000000008</v>
      </c>
      <c r="S147" s="329">
        <f t="shared" si="381"/>
        <v>-25.6951</v>
      </c>
      <c r="T147" s="347">
        <f t="shared" si="381"/>
        <v>-53.377269999999989</v>
      </c>
      <c r="U147" s="347">
        <f t="shared" si="381"/>
        <v>-67.487350000000006</v>
      </c>
      <c r="V147" s="347">
        <f t="shared" si="381"/>
        <v>-72.42071</v>
      </c>
      <c r="W147" s="329">
        <f t="shared" si="381"/>
        <v>-218.98043000000001</v>
      </c>
      <c r="X147" s="329">
        <f t="shared" si="381"/>
        <v>-147.32146</v>
      </c>
      <c r="Y147" s="347">
        <f t="shared" si="381"/>
        <v>-178.85908000000001</v>
      </c>
      <c r="Z147" s="347">
        <f t="shared" si="381"/>
        <v>-167.16534999999996</v>
      </c>
      <c r="AA147" s="347">
        <f t="shared" si="381"/>
        <v>-83.025099999999966</v>
      </c>
      <c r="AB147" s="329">
        <f t="shared" si="381"/>
        <v>-576.37098999999989</v>
      </c>
      <c r="AC147" s="329">
        <f t="shared" si="381"/>
        <v>-74.892650000000003</v>
      </c>
      <c r="AD147" s="347">
        <f t="shared" si="381"/>
        <v>-27.799499999999998</v>
      </c>
      <c r="AE147" s="347">
        <f t="shared" si="381"/>
        <v>-3.1867099999999873</v>
      </c>
      <c r="AF147" s="347">
        <f t="shared" si="381"/>
        <v>-2.1001399999999961</v>
      </c>
      <c r="AG147" s="329">
        <f t="shared" si="381"/>
        <v>-107.97899999999998</v>
      </c>
      <c r="AH147" s="329">
        <f t="shared" si="381"/>
        <v>-21.567</v>
      </c>
      <c r="AI147" s="347">
        <f t="shared" si="381"/>
        <v>-6.9140000000000015</v>
      </c>
      <c r="AJ147" s="347">
        <f t="shared" si="381"/>
        <v>-1.7411749999999984</v>
      </c>
      <c r="AK147" s="347">
        <f t="shared" si="381"/>
        <v>-6.8903600000000083</v>
      </c>
      <c r="AL147" s="329">
        <f t="shared" si="381"/>
        <v>-37.112535000000008</v>
      </c>
      <c r="AM147" s="329">
        <f t="shared" si="381"/>
        <v>0</v>
      </c>
      <c r="AN147" s="347">
        <f t="shared" si="381"/>
        <v>0</v>
      </c>
      <c r="AO147" s="347">
        <f t="shared" si="381"/>
        <v>0</v>
      </c>
      <c r="AP147" s="347">
        <f t="shared" si="381"/>
        <v>-19.600000000000001</v>
      </c>
      <c r="AQ147" s="329">
        <f t="shared" si="381"/>
        <v>-19.600000000000001</v>
      </c>
      <c r="AR147" s="329">
        <f t="shared" si="381"/>
        <v>-18.999999999999996</v>
      </c>
      <c r="AS147" s="347">
        <f t="shared" si="381"/>
        <v>-15.400000000000004</v>
      </c>
      <c r="AT147" s="347">
        <f t="shared" si="381"/>
        <v>-11.500000000000002</v>
      </c>
      <c r="AU147" s="347">
        <f t="shared" si="381"/>
        <v>-11.999999999999998</v>
      </c>
      <c r="AV147" s="329">
        <f t="shared" si="381"/>
        <v>-57.9</v>
      </c>
      <c r="AW147" s="329">
        <f t="shared" si="381"/>
        <v>-5.3000000000000025</v>
      </c>
      <c r="AX147" s="347">
        <f t="shared" si="381"/>
        <v>-8</v>
      </c>
      <c r="AY147" s="347">
        <f>-AY1198-AY1162-AY1201-AY1204</f>
        <v>-2</v>
      </c>
      <c r="AZ147" s="347">
        <f t="shared" ref="AZ147:CB147" si="382">-AZ1198-AZ1162-AZ1201-AZ1204</f>
        <v>-9.4000000000001194E-2</v>
      </c>
      <c r="BA147" s="329">
        <f t="shared" si="382"/>
        <v>-15.394000000000004</v>
      </c>
      <c r="BB147" s="329">
        <f t="shared" si="382"/>
        <v>-4</v>
      </c>
      <c r="BC147" s="347">
        <f t="shared" si="382"/>
        <v>-4</v>
      </c>
      <c r="BD147" s="347">
        <f t="shared" si="382"/>
        <v>-5</v>
      </c>
      <c r="BE147" s="347">
        <f t="shared" si="382"/>
        <v>-7</v>
      </c>
      <c r="BF147" s="346">
        <f t="shared" si="382"/>
        <v>-20</v>
      </c>
      <c r="BG147" s="329">
        <f t="shared" si="382"/>
        <v>-11.25</v>
      </c>
      <c r="BH147" s="347">
        <f t="shared" si="382"/>
        <v>-11.25</v>
      </c>
      <c r="BI147" s="347">
        <f t="shared" si="382"/>
        <v>-11.25</v>
      </c>
      <c r="BJ147" s="347">
        <f t="shared" si="382"/>
        <v>-17.25</v>
      </c>
      <c r="BK147" s="346">
        <f t="shared" si="382"/>
        <v>-51</v>
      </c>
      <c r="BL147" s="347">
        <f t="shared" si="382"/>
        <v>-23.5</v>
      </c>
      <c r="BM147" s="347">
        <f t="shared" ref="BM147:BU147" si="383">-BM1198-BM1162-BM1201-BM1204</f>
        <v>-23.5</v>
      </c>
      <c r="BN147" s="347">
        <f t="shared" si="383"/>
        <v>-25</v>
      </c>
      <c r="BO147" s="347">
        <f t="shared" si="383"/>
        <v>-25</v>
      </c>
      <c r="BP147" s="346">
        <f t="shared" si="383"/>
        <v>-97</v>
      </c>
      <c r="BQ147" s="347">
        <f t="shared" si="383"/>
        <v>-15</v>
      </c>
      <c r="BR147" s="347">
        <f t="shared" si="383"/>
        <v>-13</v>
      </c>
      <c r="BS147" s="347">
        <f t="shared" si="383"/>
        <v>-10</v>
      </c>
      <c r="BT147" s="347">
        <f t="shared" si="383"/>
        <v>-8</v>
      </c>
      <c r="BU147" s="3352">
        <f t="shared" si="383"/>
        <v>-46</v>
      </c>
      <c r="BV147" s="347">
        <f t="shared" ref="BV147:BZ147" si="384">-BV1198-BV1162-BV1201-BV1204</f>
        <v>-12.5</v>
      </c>
      <c r="BW147" s="347">
        <f t="shared" si="384"/>
        <v>-12.5</v>
      </c>
      <c r="BX147" s="347">
        <f t="shared" si="384"/>
        <v>-12.5</v>
      </c>
      <c r="BY147" s="347">
        <f t="shared" si="384"/>
        <v>-12.5</v>
      </c>
      <c r="BZ147" s="3352">
        <f t="shared" si="384"/>
        <v>-50</v>
      </c>
      <c r="CA147" s="346">
        <f t="shared" si="382"/>
        <v>-50</v>
      </c>
      <c r="CB147" s="346">
        <f t="shared" si="382"/>
        <v>-50</v>
      </c>
      <c r="CC147" s="346">
        <f>-CC1198-CC1162-CC1201-CC1204</f>
        <v>-50</v>
      </c>
      <c r="CD147" s="346">
        <f>-CD1198-CD1162-CD1201-CD1204</f>
        <v>-50</v>
      </c>
      <c r="CE147" s="346">
        <f>-CE1198-CE1162-CE1201-CE1204</f>
        <v>-50</v>
      </c>
      <c r="CF147" s="346">
        <f>-CF1198-CF1162-CF1201-CF1204</f>
        <v>-50</v>
      </c>
      <c r="CG147" s="346">
        <f>-CG1198-CG1162-CG1201-CG1204</f>
        <v>-50</v>
      </c>
      <c r="CH147" s="347"/>
      <c r="CI147" s="347"/>
      <c r="CJ147" s="347"/>
      <c r="CK147" s="347"/>
      <c r="CL147" s="347"/>
      <c r="CM147" s="965"/>
      <c r="CN147" s="965">
        <f t="shared" si="301"/>
        <v>-50</v>
      </c>
      <c r="CO147" s="965">
        <f t="shared" si="302"/>
        <v>50</v>
      </c>
      <c r="CP147" s="488" t="str">
        <f t="shared" si="303"/>
        <v>- Growth capex</v>
      </c>
      <c r="CQ147" s="347">
        <f t="shared" si="304"/>
        <v>-212.32625999999996</v>
      </c>
      <c r="CR147" s="347">
        <f t="shared" si="305"/>
        <v>-500.95339999999993</v>
      </c>
      <c r="CS147" s="347">
        <f t="shared" si="306"/>
        <v>-284.51717000000008</v>
      </c>
      <c r="CT147" s="347">
        <f t="shared" si="307"/>
        <v>-218.98043000000001</v>
      </c>
      <c r="CU147" s="347">
        <f t="shared" si="308"/>
        <v>-576.37098999999989</v>
      </c>
      <c r="CV147" s="347">
        <f t="shared" si="309"/>
        <v>-107.97899999999998</v>
      </c>
      <c r="CW147" s="347">
        <f t="shared" si="310"/>
        <v>-37.112535000000008</v>
      </c>
      <c r="CX147" s="347">
        <f t="shared" si="311"/>
        <v>-19.600000000000001</v>
      </c>
      <c r="CY147" s="347">
        <f t="shared" si="312"/>
        <v>-57.9</v>
      </c>
      <c r="CZ147" s="347">
        <f t="shared" si="313"/>
        <v>-15.394000000000004</v>
      </c>
      <c r="DA147" s="347">
        <f t="shared" si="314"/>
        <v>-20</v>
      </c>
      <c r="DB147" s="347">
        <f t="shared" si="315"/>
        <v>-51</v>
      </c>
      <c r="DC147" s="347">
        <f t="shared" si="316"/>
        <v>-97</v>
      </c>
      <c r="DD147" s="347">
        <f t="shared" si="317"/>
        <v>-46</v>
      </c>
      <c r="DE147" s="347">
        <f t="shared" si="318"/>
        <v>-50</v>
      </c>
      <c r="DF147" s="347">
        <f t="shared" si="319"/>
        <v>-50</v>
      </c>
      <c r="DG147" s="1795">
        <f t="shared" si="320"/>
        <v>-50</v>
      </c>
      <c r="DH147" s="492"/>
      <c r="DI147" s="240"/>
      <c r="DJ147" s="240"/>
      <c r="DK147" s="240"/>
      <c r="DL147" s="240"/>
      <c r="DM147" s="240"/>
      <c r="DN147" s="240"/>
      <c r="DO147" s="226"/>
      <c r="DY147" s="347"/>
      <c r="DZ147" s="347"/>
    </row>
    <row r="148" spans="1:130" ht="12" customHeight="1">
      <c r="A148" s="488" t="s">
        <v>51</v>
      </c>
      <c r="B148" s="445"/>
      <c r="C148" s="445"/>
      <c r="D148" s="329">
        <f>D1033</f>
        <v>0</v>
      </c>
      <c r="E148" s="347">
        <f>E1033</f>
        <v>-30.806999999999999</v>
      </c>
      <c r="F148" s="347">
        <f>F1033</f>
        <v>0</v>
      </c>
      <c r="G148" s="347">
        <f>G1033</f>
        <v>0</v>
      </c>
      <c r="H148" s="346">
        <f t="shared" si="379"/>
        <v>-30.806999999999999</v>
      </c>
      <c r="I148" s="347">
        <f>I1033</f>
        <v>0</v>
      </c>
      <c r="J148" s="347">
        <f>J1033</f>
        <v>0</v>
      </c>
      <c r="K148" s="347">
        <f>K1033</f>
        <v>0</v>
      </c>
      <c r="L148" s="347">
        <f>L1033</f>
        <v>0</v>
      </c>
      <c r="M148" s="346">
        <f t="shared" si="370"/>
        <v>0</v>
      </c>
      <c r="N148" s="347">
        <f>N1033</f>
        <v>0</v>
      </c>
      <c r="O148" s="347">
        <f>O1033</f>
        <v>0</v>
      </c>
      <c r="P148" s="347">
        <f>P1033</f>
        <v>0</v>
      </c>
      <c r="Q148" s="347">
        <f>Q1033</f>
        <v>-2.9660000000000002</v>
      </c>
      <c r="R148" s="346">
        <f t="shared" si="371"/>
        <v>-2.9660000000000002</v>
      </c>
      <c r="S148" s="347">
        <f>S1033</f>
        <v>-4.8310000000000004</v>
      </c>
      <c r="T148" s="347">
        <f>T1033</f>
        <v>1.8260000000000005</v>
      </c>
      <c r="U148" s="347">
        <f>U1033</f>
        <v>-1.2460000000000004</v>
      </c>
      <c r="V148" s="347">
        <f>V1033</f>
        <v>-6.0460000000000003</v>
      </c>
      <c r="W148" s="346">
        <f t="shared" si="372"/>
        <v>-10.297000000000001</v>
      </c>
      <c r="X148" s="347">
        <f>X1033</f>
        <v>-4.95</v>
      </c>
      <c r="Y148" s="347">
        <f>Y1033</f>
        <v>-2.1789999999999994</v>
      </c>
      <c r="Z148" s="347">
        <f>Z1033</f>
        <v>1.1969999999999992</v>
      </c>
      <c r="AA148" s="347">
        <f>AA1033</f>
        <v>-5.8999999999999275E-2</v>
      </c>
      <c r="AB148" s="346">
        <f t="shared" si="373"/>
        <v>-5.9909999999999997</v>
      </c>
      <c r="AC148" s="347">
        <f>AC1033</f>
        <v>-0.56399999999999995</v>
      </c>
      <c r="AD148" s="347">
        <f>AD1033</f>
        <v>6.3999999999999946E-2</v>
      </c>
      <c r="AE148" s="347">
        <f>AE1033</f>
        <v>0.374</v>
      </c>
      <c r="AF148" s="347">
        <f>AF1033</f>
        <v>5.3000000000000047E-2</v>
      </c>
      <c r="AG148" s="346">
        <f t="shared" si="374"/>
        <v>-7.2999999999999954E-2</v>
      </c>
      <c r="AH148" s="347">
        <f>AH1033</f>
        <v>-0.745</v>
      </c>
      <c r="AI148" s="347">
        <f>AI1033</f>
        <v>0.58099999999999996</v>
      </c>
      <c r="AJ148" s="347">
        <f>AJ1033</f>
        <v>-0.56699999999999984</v>
      </c>
      <c r="AK148" s="347">
        <f>AK1033</f>
        <v>-0.4</v>
      </c>
      <c r="AL148" s="346">
        <f t="shared" si="377"/>
        <v>-1.1309999999999998</v>
      </c>
      <c r="AM148" s="347">
        <f>AM1033</f>
        <v>0</v>
      </c>
      <c r="AN148" s="347">
        <f>AN1033</f>
        <v>0</v>
      </c>
      <c r="AO148" s="347">
        <f>AO1033</f>
        <v>0</v>
      </c>
      <c r="AP148" s="347">
        <f>AP1033</f>
        <v>0</v>
      </c>
      <c r="AQ148" s="346">
        <f t="shared" si="375"/>
        <v>0</v>
      </c>
      <c r="AR148" s="347">
        <f>AR1033</f>
        <v>0</v>
      </c>
      <c r="AS148" s="347">
        <f>AS1033</f>
        <v>0</v>
      </c>
      <c r="AT148" s="347">
        <f>AT1033</f>
        <v>0</v>
      </c>
      <c r="AU148" s="347">
        <f>AU1033</f>
        <v>0</v>
      </c>
      <c r="AV148" s="346">
        <f>SUM(AR148:AU148)</f>
        <v>0</v>
      </c>
      <c r="AW148" s="347">
        <f>AW1033</f>
        <v>0</v>
      </c>
      <c r="AX148" s="347">
        <f>AX1033</f>
        <v>0</v>
      </c>
      <c r="AY148" s="347">
        <f>AY1033</f>
        <v>0</v>
      </c>
      <c r="AZ148" s="347">
        <f>AZ1033</f>
        <v>0</v>
      </c>
      <c r="BA148" s="346">
        <f>SUM(AW148:AZ148)</f>
        <v>0</v>
      </c>
      <c r="BB148" s="347">
        <f>BB1033</f>
        <v>0</v>
      </c>
      <c r="BC148" s="347">
        <f>BC1033</f>
        <v>0</v>
      </c>
      <c r="BD148" s="347">
        <f>BD1033</f>
        <v>0</v>
      </c>
      <c r="BE148" s="347">
        <f>BE1033</f>
        <v>0</v>
      </c>
      <c r="BF148" s="346">
        <f>SUM(BB148:BE148)</f>
        <v>0</v>
      </c>
      <c r="BG148" s="347">
        <f>BG1033</f>
        <v>0</v>
      </c>
      <c r="BH148" s="347">
        <f>BH1033</f>
        <v>0</v>
      </c>
      <c r="BI148" s="347">
        <f>BI1033</f>
        <v>0</v>
      </c>
      <c r="BJ148" s="347">
        <f>BJ1033</f>
        <v>0</v>
      </c>
      <c r="BK148" s="346">
        <f>SUM(BG148:BJ148)</f>
        <v>0</v>
      </c>
      <c r="BL148" s="347">
        <f>BL1033</f>
        <v>0</v>
      </c>
      <c r="BM148" s="347">
        <f>BM1033</f>
        <v>0</v>
      </c>
      <c r="BN148" s="347">
        <f>BN1033</f>
        <v>0</v>
      </c>
      <c r="BO148" s="347">
        <f>BO1033</f>
        <v>0</v>
      </c>
      <c r="BP148" s="346">
        <f>SUM(BL148:BO148)</f>
        <v>0</v>
      </c>
      <c r="BQ148" s="347">
        <f>BQ1033</f>
        <v>0</v>
      </c>
      <c r="BR148" s="347">
        <f>BR1033</f>
        <v>0</v>
      </c>
      <c r="BS148" s="347">
        <f>BS1033</f>
        <v>0</v>
      </c>
      <c r="BT148" s="347">
        <f>BT1033</f>
        <v>0</v>
      </c>
      <c r="BU148" s="3352">
        <f>SUM(BQ148:BT148)</f>
        <v>0</v>
      </c>
      <c r="BV148" s="347">
        <f>BV1033</f>
        <v>0</v>
      </c>
      <c r="BW148" s="347">
        <f>BW1033</f>
        <v>0</v>
      </c>
      <c r="BX148" s="347">
        <f>BX1033</f>
        <v>0</v>
      </c>
      <c r="BY148" s="347">
        <f>BY1033</f>
        <v>0</v>
      </c>
      <c r="BZ148" s="3352">
        <f>SUM(BV148:BY148)</f>
        <v>0</v>
      </c>
      <c r="CA148" s="346">
        <f t="shared" ref="CA148:CG148" si="385">CA1033</f>
        <v>0</v>
      </c>
      <c r="CB148" s="346">
        <f t="shared" si="385"/>
        <v>0</v>
      </c>
      <c r="CC148" s="346">
        <f t="shared" si="385"/>
        <v>0</v>
      </c>
      <c r="CD148" s="346">
        <f t="shared" si="385"/>
        <v>0</v>
      </c>
      <c r="CE148" s="346">
        <f t="shared" si="385"/>
        <v>0</v>
      </c>
      <c r="CF148" s="346">
        <f t="shared" si="385"/>
        <v>0</v>
      </c>
      <c r="CG148" s="346">
        <f t="shared" si="385"/>
        <v>0</v>
      </c>
      <c r="CH148" s="347"/>
      <c r="CI148" s="347"/>
      <c r="CJ148" s="347"/>
      <c r="CK148" s="347"/>
      <c r="CL148" s="347"/>
      <c r="CM148" s="965"/>
      <c r="CN148" s="965">
        <f t="shared" si="301"/>
        <v>0</v>
      </c>
      <c r="CO148" s="965">
        <f t="shared" si="302"/>
        <v>0</v>
      </c>
      <c r="CP148" s="488" t="str">
        <f t="shared" si="303"/>
        <v>- Investments in joint ventures</v>
      </c>
      <c r="CQ148" s="347">
        <f t="shared" si="304"/>
        <v>-30.806999999999999</v>
      </c>
      <c r="CR148" s="347">
        <f t="shared" si="305"/>
        <v>0</v>
      </c>
      <c r="CS148" s="347">
        <f t="shared" si="306"/>
        <v>-2.9660000000000002</v>
      </c>
      <c r="CT148" s="347">
        <f t="shared" si="307"/>
        <v>-10.297000000000001</v>
      </c>
      <c r="CU148" s="347">
        <f t="shared" si="308"/>
        <v>-5.9909999999999997</v>
      </c>
      <c r="CV148" s="347">
        <f t="shared" si="309"/>
        <v>-7.2999999999999954E-2</v>
      </c>
      <c r="CW148" s="347">
        <f t="shared" si="310"/>
        <v>-1.1309999999999998</v>
      </c>
      <c r="CX148" s="347">
        <f t="shared" si="311"/>
        <v>0</v>
      </c>
      <c r="CY148" s="347">
        <f t="shared" si="312"/>
        <v>0</v>
      </c>
      <c r="CZ148" s="347">
        <f t="shared" si="313"/>
        <v>0</v>
      </c>
      <c r="DA148" s="347">
        <f t="shared" si="314"/>
        <v>0</v>
      </c>
      <c r="DB148" s="347">
        <f t="shared" si="315"/>
        <v>0</v>
      </c>
      <c r="DC148" s="347">
        <f t="shared" si="316"/>
        <v>0</v>
      </c>
      <c r="DD148" s="347">
        <f t="shared" si="317"/>
        <v>0</v>
      </c>
      <c r="DE148" s="347">
        <f t="shared" si="318"/>
        <v>0</v>
      </c>
      <c r="DF148" s="347">
        <f t="shared" si="319"/>
        <v>0</v>
      </c>
      <c r="DG148" s="1795">
        <f t="shared" si="320"/>
        <v>0</v>
      </c>
      <c r="DH148" s="492"/>
      <c r="DI148" s="240"/>
      <c r="DJ148" s="240"/>
      <c r="DK148" s="240"/>
      <c r="DL148" s="240"/>
      <c r="DM148" s="240"/>
      <c r="DN148" s="240"/>
      <c r="DO148" s="226"/>
      <c r="DY148" s="347"/>
      <c r="DZ148" s="347"/>
    </row>
    <row r="149" spans="1:130" ht="12" customHeight="1">
      <c r="A149" s="488" t="s">
        <v>1367</v>
      </c>
      <c r="B149" s="445"/>
      <c r="C149" s="445"/>
      <c r="D149" s="329">
        <f>D1040</f>
        <v>-4.9000000000000004</v>
      </c>
      <c r="E149" s="347">
        <f>E1040</f>
        <v>-5.0169999999999995</v>
      </c>
      <c r="F149" s="347">
        <f>F1040</f>
        <v>-7.3729999999999993</v>
      </c>
      <c r="G149" s="347">
        <f>G1040</f>
        <v>-7.4270000000000014</v>
      </c>
      <c r="H149" s="346">
        <f t="shared" si="379"/>
        <v>-24.716999999999999</v>
      </c>
      <c r="I149" s="347">
        <f>I1040</f>
        <v>-7.452</v>
      </c>
      <c r="J149" s="347">
        <f>J1040</f>
        <v>-11.046000000000001</v>
      </c>
      <c r="K149" s="347">
        <f>K1040</f>
        <v>-11.079999999999997</v>
      </c>
      <c r="L149" s="347">
        <f>L1040</f>
        <v>-11.157000000000002</v>
      </c>
      <c r="M149" s="346">
        <f t="shared" si="370"/>
        <v>-40.734999999999999</v>
      </c>
      <c r="N149" s="347">
        <f>N1040</f>
        <v>-11.162000000000001</v>
      </c>
      <c r="O149" s="347">
        <f>O1040</f>
        <v>-12.106999999999998</v>
      </c>
      <c r="P149" s="347">
        <f>P1040</f>
        <v>-11.657000000000002</v>
      </c>
      <c r="Q149" s="347">
        <f>Q1040</f>
        <v>-11.735999999999995</v>
      </c>
      <c r="R149" s="346">
        <f t="shared" si="371"/>
        <v>-46.661999999999999</v>
      </c>
      <c r="S149" s="347">
        <f>S1040</f>
        <v>-11.77</v>
      </c>
      <c r="T149" s="347">
        <f>T1040</f>
        <v>-13.106999999999999</v>
      </c>
      <c r="U149" s="347">
        <f>U1040</f>
        <v>-13.156000000000002</v>
      </c>
      <c r="V149" s="347">
        <f>V1040</f>
        <v>-13.162000000000003</v>
      </c>
      <c r="W149" s="346">
        <f t="shared" si="372"/>
        <v>-51.195000000000007</v>
      </c>
      <c r="X149" s="347">
        <f>X1040</f>
        <v>-13.163</v>
      </c>
      <c r="Y149" s="347">
        <f>Y1040</f>
        <v>-13.166999999999998</v>
      </c>
      <c r="Z149" s="347">
        <f>Z1040</f>
        <v>0</v>
      </c>
      <c r="AA149" s="347">
        <f>AA1040</f>
        <v>0</v>
      </c>
      <c r="AB149" s="346">
        <f t="shared" si="373"/>
        <v>-26.33</v>
      </c>
      <c r="AC149" s="347">
        <f>AC1040</f>
        <v>0</v>
      </c>
      <c r="AD149" s="347">
        <f>AD1040</f>
        <v>0</v>
      </c>
      <c r="AE149" s="347">
        <f>AE1040</f>
        <v>0</v>
      </c>
      <c r="AF149" s="347">
        <f>AF1040</f>
        <v>0</v>
      </c>
      <c r="AG149" s="346">
        <f t="shared" si="374"/>
        <v>0</v>
      </c>
      <c r="AH149" s="347">
        <f>AH1040</f>
        <v>0</v>
      </c>
      <c r="AI149" s="347">
        <f>AI1040</f>
        <v>0</v>
      </c>
      <c r="AJ149" s="347">
        <f>AJ1040</f>
        <v>0</v>
      </c>
      <c r="AK149" s="347">
        <f>AK1040</f>
        <v>0</v>
      </c>
      <c r="AL149" s="346">
        <f t="shared" si="377"/>
        <v>0</v>
      </c>
      <c r="AM149" s="347">
        <f>AM1040</f>
        <v>0</v>
      </c>
      <c r="AN149" s="347">
        <f>AN1040</f>
        <v>0</v>
      </c>
      <c r="AO149" s="347">
        <f>AO1040</f>
        <v>0</v>
      </c>
      <c r="AP149" s="347">
        <f>AP1040</f>
        <v>0</v>
      </c>
      <c r="AQ149" s="346">
        <f t="shared" si="375"/>
        <v>0</v>
      </c>
      <c r="AR149" s="347">
        <f>AR1040</f>
        <v>0</v>
      </c>
      <c r="AS149" s="347">
        <f>AS1040</f>
        <v>0</v>
      </c>
      <c r="AT149" s="347">
        <f>AT1040</f>
        <v>0</v>
      </c>
      <c r="AU149" s="347">
        <f>AU1040</f>
        <v>0</v>
      </c>
      <c r="AV149" s="346">
        <f>SUM(AR149:AU149)</f>
        <v>0</v>
      </c>
      <c r="AW149" s="347">
        <f>AW1040</f>
        <v>0</v>
      </c>
      <c r="AX149" s="347">
        <f>AX1040</f>
        <v>0</v>
      </c>
      <c r="AY149" s="347">
        <f>AY1040</f>
        <v>0</v>
      </c>
      <c r="AZ149" s="347">
        <f>AZ1040</f>
        <v>0</v>
      </c>
      <c r="BA149" s="346">
        <f>SUM(AW149:AZ149)</f>
        <v>0</v>
      </c>
      <c r="BB149" s="347">
        <f>BB1040</f>
        <v>0</v>
      </c>
      <c r="BC149" s="347">
        <f>BC1040</f>
        <v>0</v>
      </c>
      <c r="BD149" s="347">
        <f>BD1040</f>
        <v>0</v>
      </c>
      <c r="BE149" s="347">
        <f>BE1040</f>
        <v>0</v>
      </c>
      <c r="BF149" s="346">
        <f>SUM(BB149:BE149)</f>
        <v>0</v>
      </c>
      <c r="BG149" s="347">
        <f>BG1040</f>
        <v>0</v>
      </c>
      <c r="BH149" s="347">
        <f>BH1040</f>
        <v>0</v>
      </c>
      <c r="BI149" s="347">
        <f>BI1040</f>
        <v>0</v>
      </c>
      <c r="BJ149" s="347">
        <f>BJ1040</f>
        <v>0</v>
      </c>
      <c r="BK149" s="346">
        <f>SUM(BG149:BJ149)</f>
        <v>0</v>
      </c>
      <c r="BL149" s="347">
        <f>BL1040</f>
        <v>0</v>
      </c>
      <c r="BM149" s="347">
        <f>BM1040</f>
        <v>0</v>
      </c>
      <c r="BN149" s="347">
        <f>BN1040</f>
        <v>0</v>
      </c>
      <c r="BO149" s="347">
        <f>BO1040</f>
        <v>0</v>
      </c>
      <c r="BP149" s="346">
        <f>SUM(BL149:BO149)</f>
        <v>0</v>
      </c>
      <c r="BQ149" s="347">
        <f>BQ1040</f>
        <v>0</v>
      </c>
      <c r="BR149" s="347">
        <f>BR1040</f>
        <v>-5.7961500000000008</v>
      </c>
      <c r="BS149" s="347">
        <f>BS1040</f>
        <v>0.14315000000000122</v>
      </c>
      <c r="BT149" s="347">
        <f>BT1040</f>
        <v>-5.7602500000000001</v>
      </c>
      <c r="BU149" s="3352">
        <f>SUM(BQ149:BT149)</f>
        <v>-11.41325</v>
      </c>
      <c r="BV149" s="347">
        <f>BV1040</f>
        <v>-5.7330168845315903</v>
      </c>
      <c r="BW149" s="347">
        <f>BW1040</f>
        <v>-5.7063177517194248</v>
      </c>
      <c r="BX149" s="347">
        <f>BX1040</f>
        <v>-5.68014213131534</v>
      </c>
      <c r="BY149" s="347">
        <f>BY1040</f>
        <v>-5.6544797583701589</v>
      </c>
      <c r="BZ149" s="3352">
        <f>SUM(BV149:BY149)</f>
        <v>-22.773956525936512</v>
      </c>
      <c r="CA149" s="346">
        <f t="shared" ref="CA149:CG149" si="386">CA1040</f>
        <v>-22.773956525936512</v>
      </c>
      <c r="CB149" s="346">
        <f t="shared" si="386"/>
        <v>-22.773956525936512</v>
      </c>
      <c r="CC149" s="346">
        <f t="shared" si="386"/>
        <v>0</v>
      </c>
      <c r="CD149" s="346">
        <f t="shared" si="386"/>
        <v>0</v>
      </c>
      <c r="CE149" s="346">
        <f t="shared" si="386"/>
        <v>0</v>
      </c>
      <c r="CF149" s="346">
        <f t="shared" si="386"/>
        <v>0</v>
      </c>
      <c r="CG149" s="346">
        <f t="shared" si="386"/>
        <v>0</v>
      </c>
      <c r="CH149" s="347"/>
      <c r="CI149" s="347"/>
      <c r="CJ149" s="347"/>
      <c r="CK149" s="347"/>
      <c r="CL149" s="347"/>
      <c r="CM149" s="965"/>
      <c r="CN149" s="965">
        <f t="shared" si="301"/>
        <v>-22.773956525936512</v>
      </c>
      <c r="CO149" s="965">
        <f t="shared" si="302"/>
        <v>22.773956525936512</v>
      </c>
      <c r="CP149" s="488" t="str">
        <f t="shared" si="303"/>
        <v>- Dividends</v>
      </c>
      <c r="CQ149" s="347">
        <f t="shared" si="304"/>
        <v>-24.716999999999999</v>
      </c>
      <c r="CR149" s="347">
        <f t="shared" si="305"/>
        <v>-40.734999999999999</v>
      </c>
      <c r="CS149" s="347">
        <f t="shared" si="306"/>
        <v>-46.661999999999999</v>
      </c>
      <c r="CT149" s="347">
        <f t="shared" si="307"/>
        <v>-51.195000000000007</v>
      </c>
      <c r="CU149" s="347">
        <f t="shared" si="308"/>
        <v>-26.33</v>
      </c>
      <c r="CV149" s="347">
        <f t="shared" si="309"/>
        <v>0</v>
      </c>
      <c r="CW149" s="347">
        <f t="shared" si="310"/>
        <v>0</v>
      </c>
      <c r="CX149" s="347">
        <f t="shared" si="311"/>
        <v>0</v>
      </c>
      <c r="CY149" s="347">
        <f t="shared" si="312"/>
        <v>0</v>
      </c>
      <c r="CZ149" s="347">
        <f t="shared" si="313"/>
        <v>0</v>
      </c>
      <c r="DA149" s="347">
        <f t="shared" si="314"/>
        <v>0</v>
      </c>
      <c r="DB149" s="347">
        <f t="shared" si="315"/>
        <v>0</v>
      </c>
      <c r="DC149" s="347">
        <f t="shared" si="316"/>
        <v>0</v>
      </c>
      <c r="DD149" s="347">
        <f t="shared" si="317"/>
        <v>-11.41325</v>
      </c>
      <c r="DE149" s="347">
        <f t="shared" si="318"/>
        <v>-22.773956525936512</v>
      </c>
      <c r="DF149" s="347">
        <f t="shared" si="319"/>
        <v>-22.773956525936512</v>
      </c>
      <c r="DG149" s="1795">
        <f t="shared" si="320"/>
        <v>-22.773956525936512</v>
      </c>
      <c r="DH149" s="492"/>
      <c r="DI149" s="240"/>
      <c r="DJ149" s="240"/>
      <c r="DK149" s="240"/>
      <c r="DL149" s="240"/>
      <c r="DM149" s="240"/>
      <c r="DN149" s="240"/>
      <c r="DO149" s="226"/>
      <c r="DY149" s="347"/>
      <c r="DZ149" s="347"/>
    </row>
    <row r="150" spans="1:130" ht="12" customHeight="1">
      <c r="A150" s="488" t="s">
        <v>237</v>
      </c>
      <c r="B150" s="445"/>
      <c r="C150" s="445"/>
      <c r="D150" s="489">
        <f>D1031</f>
        <v>-10</v>
      </c>
      <c r="E150" s="490">
        <f>E1031</f>
        <v>-177.22</v>
      </c>
      <c r="F150" s="490">
        <f>F1031</f>
        <v>-909.24499999999989</v>
      </c>
      <c r="G150" s="490">
        <f>G1031</f>
        <v>-2.8421709430404007E-14</v>
      </c>
      <c r="H150" s="346">
        <f t="shared" si="379"/>
        <v>-1096.4649999999999</v>
      </c>
      <c r="I150" s="490">
        <f>I1031</f>
        <v>0</v>
      </c>
      <c r="J150" s="490">
        <f>J1031</f>
        <v>0</v>
      </c>
      <c r="K150" s="490">
        <f>K1031</f>
        <v>0</v>
      </c>
      <c r="L150" s="490">
        <f>L1031</f>
        <v>0</v>
      </c>
      <c r="M150" s="346">
        <f t="shared" si="370"/>
        <v>0</v>
      </c>
      <c r="N150" s="490">
        <f>N1031</f>
        <v>0</v>
      </c>
      <c r="O150" s="490">
        <f>O1031</f>
        <v>0</v>
      </c>
      <c r="P150" s="490">
        <f>P1031</f>
        <v>0</v>
      </c>
      <c r="Q150" s="490">
        <f>Q1031</f>
        <v>404.62799999999999</v>
      </c>
      <c r="R150" s="346">
        <f t="shared" si="371"/>
        <v>404.62799999999999</v>
      </c>
      <c r="S150" s="490">
        <f>S1031</f>
        <v>-80.903999999999996</v>
      </c>
      <c r="T150" s="490">
        <f>T1031</f>
        <v>0</v>
      </c>
      <c r="U150" s="490">
        <f>U1031</f>
        <v>0</v>
      </c>
      <c r="V150" s="490">
        <f>V1031</f>
        <v>0</v>
      </c>
      <c r="W150" s="346">
        <f t="shared" si="372"/>
        <v>-80.903999999999996</v>
      </c>
      <c r="X150" s="490">
        <f>X1031</f>
        <v>0</v>
      </c>
      <c r="Y150" s="490">
        <f>Y1031</f>
        <v>0</v>
      </c>
      <c r="Z150" s="490">
        <f>Z1031</f>
        <v>0</v>
      </c>
      <c r="AA150" s="490">
        <f>AA1031</f>
        <v>0</v>
      </c>
      <c r="AB150" s="346">
        <f t="shared" si="373"/>
        <v>0</v>
      </c>
      <c r="AC150" s="490">
        <f>AC1031</f>
        <v>-9.375</v>
      </c>
      <c r="AD150" s="490">
        <f>AD1031</f>
        <v>0</v>
      </c>
      <c r="AE150" s="490">
        <f>AE1031</f>
        <v>0</v>
      </c>
      <c r="AF150" s="490">
        <f>AF1031</f>
        <v>0</v>
      </c>
      <c r="AG150" s="346">
        <f t="shared" si="374"/>
        <v>-9.375</v>
      </c>
      <c r="AH150" s="490">
        <f>AH1031</f>
        <v>0</v>
      </c>
      <c r="AI150" s="490">
        <f>AI1031</f>
        <v>0</v>
      </c>
      <c r="AJ150" s="490">
        <f>AJ1031</f>
        <v>0</v>
      </c>
      <c r="AK150" s="490">
        <f>AK1031</f>
        <v>0</v>
      </c>
      <c r="AL150" s="346">
        <f t="shared" si="377"/>
        <v>0</v>
      </c>
      <c r="AM150" s="490">
        <f>AM1031</f>
        <v>0</v>
      </c>
      <c r="AN150" s="490">
        <f>AN1031</f>
        <v>0</v>
      </c>
      <c r="AO150" s="490">
        <f>AO1031</f>
        <v>-34.494999999999997</v>
      </c>
      <c r="AP150" s="490">
        <f>AP1031</f>
        <v>-268.411</v>
      </c>
      <c r="AQ150" s="491">
        <f t="shared" si="375"/>
        <v>-302.90600000000001</v>
      </c>
      <c r="AR150" s="490">
        <f>AR1031</f>
        <v>0</v>
      </c>
      <c r="AS150" s="490">
        <f>AS1031</f>
        <v>0</v>
      </c>
      <c r="AT150" s="490">
        <f>AT1031</f>
        <v>0</v>
      </c>
      <c r="AU150" s="490">
        <f>AU1031</f>
        <v>-1324.1980000000001</v>
      </c>
      <c r="AV150" s="491">
        <f>SUM(AR150:AU150)</f>
        <v>-1324.1980000000001</v>
      </c>
      <c r="AW150" s="490">
        <f>AW1031</f>
        <v>343.75</v>
      </c>
      <c r="AX150" s="490">
        <f>AX1031</f>
        <v>56.750999999999998</v>
      </c>
      <c r="AY150" s="490">
        <f>AY1031</f>
        <v>0</v>
      </c>
      <c r="AZ150" s="490">
        <f>AZ1031</f>
        <v>-56.750999999999998</v>
      </c>
      <c r="BA150" s="491">
        <f>SUM(AW150:AZ150)</f>
        <v>343.75</v>
      </c>
      <c r="BB150" s="490">
        <f>BB1031</f>
        <v>0</v>
      </c>
      <c r="BC150" s="490">
        <f>BC1031</f>
        <v>0</v>
      </c>
      <c r="BD150" s="490">
        <f>BD1031</f>
        <v>0</v>
      </c>
      <c r="BE150" s="490">
        <f>BE1031</f>
        <v>0</v>
      </c>
      <c r="BF150" s="491">
        <f>SUM(BB150:BE150)</f>
        <v>0</v>
      </c>
      <c r="BG150" s="490">
        <f>BG1031</f>
        <v>0</v>
      </c>
      <c r="BH150" s="490">
        <f>BH1031</f>
        <v>0</v>
      </c>
      <c r="BI150" s="490">
        <f>BI1031</f>
        <v>0</v>
      </c>
      <c r="BJ150" s="490">
        <f>BJ1031</f>
        <v>0</v>
      </c>
      <c r="BK150" s="491">
        <f>SUM(BG150:BJ150)</f>
        <v>0</v>
      </c>
      <c r="BL150" s="490">
        <f>BL1031</f>
        <v>0</v>
      </c>
      <c r="BM150" s="490">
        <f>BM1031</f>
        <v>0</v>
      </c>
      <c r="BN150" s="490">
        <f>BN1031</f>
        <v>-372.322</v>
      </c>
      <c r="BO150" s="490">
        <f>BO1031</f>
        <v>-220.38099999999997</v>
      </c>
      <c r="BP150" s="491">
        <f>SUM(BL150:BO150)</f>
        <v>-592.70299999999997</v>
      </c>
      <c r="BQ150" s="490">
        <f>BQ1031</f>
        <v>-35.107999999999997</v>
      </c>
      <c r="BR150" s="490">
        <f>BR1031</f>
        <v>0</v>
      </c>
      <c r="BS150" s="490">
        <f>BS1031</f>
        <v>33.954999999999998</v>
      </c>
      <c r="BT150" s="490">
        <f>BT1031</f>
        <v>0</v>
      </c>
      <c r="BU150" s="3350">
        <f>SUM(BQ150:BT150)</f>
        <v>-1.1529999999999987</v>
      </c>
      <c r="BV150" s="490">
        <f>BV1031</f>
        <v>42.5</v>
      </c>
      <c r="BW150" s="490">
        <f>BW1031</f>
        <v>0</v>
      </c>
      <c r="BX150" s="490">
        <f>BX1031</f>
        <v>-855.5</v>
      </c>
      <c r="BY150" s="490">
        <f>BY1031</f>
        <v>0</v>
      </c>
      <c r="BZ150" s="3350">
        <f>SUM(BV150:BY150)</f>
        <v>-813</v>
      </c>
      <c r="CA150" s="491">
        <f t="shared" ref="CA150:CG150" si="387">CA1031</f>
        <v>0</v>
      </c>
      <c r="CB150" s="491">
        <f t="shared" si="387"/>
        <v>0</v>
      </c>
      <c r="CC150" s="491">
        <f t="shared" si="387"/>
        <v>0</v>
      </c>
      <c r="CD150" s="491">
        <f t="shared" si="387"/>
        <v>0</v>
      </c>
      <c r="CE150" s="491">
        <f t="shared" si="387"/>
        <v>0</v>
      </c>
      <c r="CF150" s="491">
        <f t="shared" si="387"/>
        <v>0</v>
      </c>
      <c r="CG150" s="491">
        <f t="shared" si="387"/>
        <v>0</v>
      </c>
      <c r="CH150" s="347"/>
      <c r="CI150" s="347"/>
      <c r="CJ150" s="347"/>
      <c r="CK150" s="347"/>
      <c r="CL150" s="347"/>
      <c r="CM150" s="965"/>
      <c r="CN150" s="965">
        <f t="shared" si="301"/>
        <v>-813</v>
      </c>
      <c r="CO150" s="965">
        <f t="shared" si="302"/>
        <v>813</v>
      </c>
      <c r="CP150" s="488" t="str">
        <f t="shared" si="303"/>
        <v>- Acquisitions / dispositions / debt amort</v>
      </c>
      <c r="CQ150" s="490">
        <f t="shared" si="304"/>
        <v>-1096.4649999999999</v>
      </c>
      <c r="CR150" s="490">
        <f t="shared" si="305"/>
        <v>0</v>
      </c>
      <c r="CS150" s="490">
        <f t="shared" si="306"/>
        <v>404.62799999999999</v>
      </c>
      <c r="CT150" s="490">
        <f t="shared" si="307"/>
        <v>-80.903999999999996</v>
      </c>
      <c r="CU150" s="490">
        <f t="shared" si="308"/>
        <v>0</v>
      </c>
      <c r="CV150" s="490">
        <f t="shared" si="309"/>
        <v>-9.375</v>
      </c>
      <c r="CW150" s="490">
        <f t="shared" si="310"/>
        <v>0</v>
      </c>
      <c r="CX150" s="490">
        <f t="shared" si="311"/>
        <v>-302.90600000000001</v>
      </c>
      <c r="CY150" s="490">
        <f t="shared" si="312"/>
        <v>-1324.1980000000001</v>
      </c>
      <c r="CZ150" s="490">
        <f t="shared" si="313"/>
        <v>343.75</v>
      </c>
      <c r="DA150" s="490">
        <f t="shared" si="314"/>
        <v>0</v>
      </c>
      <c r="DB150" s="490">
        <f t="shared" si="315"/>
        <v>0</v>
      </c>
      <c r="DC150" s="490">
        <f t="shared" si="316"/>
        <v>-592.70299999999997</v>
      </c>
      <c r="DD150" s="490">
        <f t="shared" si="317"/>
        <v>-1.1529999999999987</v>
      </c>
      <c r="DE150" s="490">
        <f t="shared" si="318"/>
        <v>-813</v>
      </c>
      <c r="DF150" s="490">
        <f t="shared" si="319"/>
        <v>0</v>
      </c>
      <c r="DG150" s="1834">
        <f t="shared" si="320"/>
        <v>0</v>
      </c>
      <c r="DH150" s="492"/>
      <c r="DI150" s="240"/>
      <c r="DJ150" s="240"/>
      <c r="DK150" s="240"/>
      <c r="DL150" s="240"/>
      <c r="DM150" s="240"/>
      <c r="DN150" s="240"/>
      <c r="DO150" s="226"/>
      <c r="DY150" s="347"/>
      <c r="DZ150" s="347"/>
    </row>
    <row r="151" spans="1:130" ht="12" customHeight="1">
      <c r="A151" s="1749" t="s">
        <v>992</v>
      </c>
      <c r="B151" s="1750"/>
      <c r="C151" s="1750"/>
      <c r="D151" s="1582">
        <f>SUM(D144:D150)</f>
        <v>-8.019670000000005</v>
      </c>
      <c r="E151" s="980">
        <f>SUM(E144:E150)</f>
        <v>-204.62122999999997</v>
      </c>
      <c r="F151" s="980">
        <f>SUM(F144:F150)</f>
        <v>-869.69728999999984</v>
      </c>
      <c r="G151" s="980">
        <f>SUM(G144:G150)</f>
        <v>-71.927380000000042</v>
      </c>
      <c r="H151" s="979">
        <f t="shared" si="379"/>
        <v>-1154.26557</v>
      </c>
      <c r="I151" s="980">
        <f>SUM(I144:I150)</f>
        <v>2.9599799999999714</v>
      </c>
      <c r="J151" s="980">
        <f>SUM(J144:J150)</f>
        <v>-86.333580000000026</v>
      </c>
      <c r="K151" s="980">
        <f>SUM(K144:K150)</f>
        <v>-51.857719999999986</v>
      </c>
      <c r="L151" s="980">
        <f>SUM(L144:L150)</f>
        <v>-143.41816999999995</v>
      </c>
      <c r="M151" s="979">
        <f t="shared" si="370"/>
        <v>-278.64949000000001</v>
      </c>
      <c r="N151" s="980">
        <f>SUM(N144:N150)</f>
        <v>-62.292040000000036</v>
      </c>
      <c r="O151" s="980">
        <f>SUM(O144:O150)</f>
        <v>-44.077159999999978</v>
      </c>
      <c r="P151" s="980">
        <f>SUM(P144:P150)</f>
        <v>5.5334499999999753</v>
      </c>
      <c r="Q151" s="980">
        <f>SUM(Q144:Q150)</f>
        <v>406.28279999999995</v>
      </c>
      <c r="R151" s="979">
        <f t="shared" si="371"/>
        <v>305.44704999999993</v>
      </c>
      <c r="S151" s="980">
        <f>SUM(S144:S150)</f>
        <v>40.681100000000001</v>
      </c>
      <c r="T151" s="980">
        <f>SUM(T144:T150)</f>
        <v>-32.751970000000007</v>
      </c>
      <c r="U151" s="980">
        <f>SUM(U144:U150)</f>
        <v>-5.8926399999999735</v>
      </c>
      <c r="V151" s="980">
        <f>SUM(V144:V150)</f>
        <v>-30.866779999999995</v>
      </c>
      <c r="W151" s="979">
        <f t="shared" si="372"/>
        <v>-28.830289999999977</v>
      </c>
      <c r="X151" s="980">
        <f>SUM(X144:X150)</f>
        <v>-148.95771999999999</v>
      </c>
      <c r="Y151" s="980">
        <f>SUM(Y144:Y150)</f>
        <v>-134.65323000000001</v>
      </c>
      <c r="Z151" s="980">
        <f>SUM(Z144:Z150)</f>
        <v>-158.13592999999995</v>
      </c>
      <c r="AA151" s="980">
        <f>SUM(AA144:AA150)</f>
        <v>-109.89900999999995</v>
      </c>
      <c r="AB151" s="979">
        <f t="shared" si="373"/>
        <v>-551.64588999999989</v>
      </c>
      <c r="AC151" s="980">
        <f>SUM(AC144:AC150)</f>
        <v>-55.747000000000014</v>
      </c>
      <c r="AD151" s="980">
        <f>SUM(AD144:AD150)</f>
        <v>20.066500000000016</v>
      </c>
      <c r="AE151" s="980">
        <f>SUM(AE144:AE150)</f>
        <v>20.996500000000005</v>
      </c>
      <c r="AF151" s="980">
        <f>SUM(AF144:AF150)</f>
        <v>68.509956000000017</v>
      </c>
      <c r="AG151" s="979">
        <f t="shared" si="374"/>
        <v>53.825956000000026</v>
      </c>
      <c r="AH151" s="980">
        <f>SUM(AH144:AH150)</f>
        <v>37.436019999999999</v>
      </c>
      <c r="AI151" s="980">
        <f>SUM(AI144:AI150)</f>
        <v>51.776980000000023</v>
      </c>
      <c r="AJ151" s="980">
        <f>SUM(AJ144:AJ150)</f>
        <v>53.739000000000019</v>
      </c>
      <c r="AK151" s="980">
        <f>SUM(AK144:AK150)</f>
        <v>34.742999999999981</v>
      </c>
      <c r="AL151" s="979">
        <f t="shared" si="377"/>
        <v>177.69500000000005</v>
      </c>
      <c r="AM151" s="980">
        <f>SUM(AM144:AM150)</f>
        <v>53.264999999999979</v>
      </c>
      <c r="AN151" s="980">
        <f>SUM(AN144:AN150)</f>
        <v>16.437000000000033</v>
      </c>
      <c r="AO151" s="980">
        <f>SUM(AO144:AO150)</f>
        <v>22.194000000000017</v>
      </c>
      <c r="AP151" s="980">
        <f>SUM(AP144:AP150)</f>
        <v>-281.44400000000002</v>
      </c>
      <c r="AQ151" s="979">
        <f t="shared" si="375"/>
        <v>-189.548</v>
      </c>
      <c r="AR151" s="980">
        <f>SUM(AR144:AR150)</f>
        <v>40.222000000000008</v>
      </c>
      <c r="AS151" s="980">
        <f>SUM(AS144:AS150)</f>
        <v>10.161000000000003</v>
      </c>
      <c r="AT151" s="980">
        <f>SUM(AT144:AT150)</f>
        <v>11.462000000000002</v>
      </c>
      <c r="AU151" s="980">
        <f>SUM(AU144:AU150)</f>
        <v>-1499.3720000000001</v>
      </c>
      <c r="AV151" s="979">
        <f>SUM(AR151:AU151)</f>
        <v>-1437.527</v>
      </c>
      <c r="AW151" s="980">
        <f>SUM(AW144:AW150)</f>
        <v>402.53950000000003</v>
      </c>
      <c r="AX151" s="980">
        <f>SUM(AX144:AX150)</f>
        <v>78.755500000000026</v>
      </c>
      <c r="AY151" s="980">
        <f>SUM(AY144:AY150)</f>
        <v>-12.160999999999968</v>
      </c>
      <c r="AZ151" s="980">
        <f>SUM(AZ144:AZ150)</f>
        <v>-61.097500000000025</v>
      </c>
      <c r="BA151" s="979">
        <f>SUM(AW151:AZ151)</f>
        <v>408.0365000000001</v>
      </c>
      <c r="BB151" s="980">
        <f>SUM(BB144:BB150)</f>
        <v>41.063000000000038</v>
      </c>
      <c r="BC151" s="980">
        <f>SUM(BC144:BC150)</f>
        <v>21.174999999999994</v>
      </c>
      <c r="BD151" s="980">
        <f>SUM(BD144:BD150)</f>
        <v>21.288499999999971</v>
      </c>
      <c r="BE151" s="980">
        <f>SUM(BE144:BE150)</f>
        <v>-14.589999999999989</v>
      </c>
      <c r="BF151" s="979">
        <f>SUM(BB151:BE151)</f>
        <v>68.936500000000009</v>
      </c>
      <c r="BG151" s="980">
        <f>SUM(BG144:BG150)</f>
        <v>26.872500000000024</v>
      </c>
      <c r="BH151" s="980">
        <f>SUM(BH144:BH150)</f>
        <v>64.866500000000059</v>
      </c>
      <c r="BI151" s="980">
        <f>SUM(BI144:BI150)</f>
        <v>82.126999999999995</v>
      </c>
      <c r="BJ151" s="980">
        <f>SUM(BJ144:BJ150)</f>
        <v>14.686</v>
      </c>
      <c r="BK151" s="979">
        <f>SUM(BG151:BJ151)</f>
        <v>188.55200000000011</v>
      </c>
      <c r="BL151" s="980">
        <f>SUM(BL144:BL150)</f>
        <v>78.45150000000001</v>
      </c>
      <c r="BM151" s="980">
        <f>SUM(BM144:BM150)</f>
        <v>27.10599999999998</v>
      </c>
      <c r="BN151" s="980">
        <f>SUM(BN144:BN150)</f>
        <v>-505.03099999999995</v>
      </c>
      <c r="BO151" s="980">
        <f>SUM(BO144:BO150)</f>
        <v>-181.75899999999999</v>
      </c>
      <c r="BP151" s="979">
        <f>SUM(BL151:BO151)</f>
        <v>-581.23249999999996</v>
      </c>
      <c r="BQ151" s="980">
        <f>SUM(BQ144:BQ150)</f>
        <v>3.8729999999999833</v>
      </c>
      <c r="BR151" s="980">
        <f>SUM(BR144:BR150)</f>
        <v>41.808849999999993</v>
      </c>
      <c r="BS151" s="980">
        <f>SUM(BS144:BS150)</f>
        <v>128.45715000000001</v>
      </c>
      <c r="BT151" s="980">
        <f>SUM(BT144:BT150)</f>
        <v>-4.7212500000000057</v>
      </c>
      <c r="BU151" s="3353">
        <f>SUM(BQ151:BT151)</f>
        <v>169.41774999999998</v>
      </c>
      <c r="BV151" s="980">
        <f>SUM(BV144:BV150)</f>
        <v>114.62441850179825</v>
      </c>
      <c r="BW151" s="980">
        <f>SUM(BW144:BW150)</f>
        <v>70.091110985853064</v>
      </c>
      <c r="BX151" s="980">
        <f>SUM(BX144:BX150)</f>
        <v>-766.96979431729767</v>
      </c>
      <c r="BY151" s="980">
        <f>SUM(BY144:BY150)</f>
        <v>101.27494689101779</v>
      </c>
      <c r="BZ151" s="3353">
        <f>SUM(BV151:BY151)</f>
        <v>-480.97931793862853</v>
      </c>
      <c r="CA151" s="979">
        <f t="shared" ref="CA151:CG151" si="388">SUM(CA144:CA150)</f>
        <v>377.19789114644772</v>
      </c>
      <c r="CB151" s="979">
        <f t="shared" si="388"/>
        <v>382.15433136309599</v>
      </c>
      <c r="CC151" s="979">
        <f t="shared" si="388"/>
        <v>-117.4158333917633</v>
      </c>
      <c r="CD151" s="979">
        <f t="shared" si="388"/>
        <v>-149.79401812752405</v>
      </c>
      <c r="CE151" s="979">
        <f t="shared" si="388"/>
        <v>-135.26000729722568</v>
      </c>
      <c r="CF151" s="979">
        <f t="shared" si="388"/>
        <v>-120.31093050517183</v>
      </c>
      <c r="CG151" s="979">
        <f t="shared" si="388"/>
        <v>-104.9370835684264</v>
      </c>
      <c r="CH151" s="352"/>
      <c r="CI151" s="352"/>
      <c r="CJ151" s="352"/>
      <c r="CK151" s="352"/>
      <c r="CL151" s="352"/>
      <c r="CM151" s="965"/>
      <c r="CN151" s="965">
        <f t="shared" si="301"/>
        <v>-480.97931793862853</v>
      </c>
      <c r="CO151" s="965">
        <f t="shared" si="302"/>
        <v>480.97931793862853</v>
      </c>
      <c r="CP151" s="1749" t="str">
        <f t="shared" si="303"/>
        <v>Net Free Cash Flow</v>
      </c>
      <c r="CQ151" s="980">
        <f t="shared" si="304"/>
        <v>-1154.26557</v>
      </c>
      <c r="CR151" s="980">
        <f t="shared" si="305"/>
        <v>-278.64949000000001</v>
      </c>
      <c r="CS151" s="980">
        <f t="shared" si="306"/>
        <v>305.44704999999993</v>
      </c>
      <c r="CT151" s="980">
        <f t="shared" si="307"/>
        <v>-28.830289999999977</v>
      </c>
      <c r="CU151" s="980">
        <f t="shared" si="308"/>
        <v>-551.64588999999989</v>
      </c>
      <c r="CV151" s="980">
        <f t="shared" si="309"/>
        <v>53.825956000000026</v>
      </c>
      <c r="CW151" s="980">
        <f t="shared" si="310"/>
        <v>177.69500000000005</v>
      </c>
      <c r="CX151" s="980">
        <f t="shared" si="311"/>
        <v>-189.548</v>
      </c>
      <c r="CY151" s="980">
        <f t="shared" si="312"/>
        <v>-1437.527</v>
      </c>
      <c r="CZ151" s="980">
        <f t="shared" si="313"/>
        <v>408.0365000000001</v>
      </c>
      <c r="DA151" s="980">
        <f t="shared" si="314"/>
        <v>68.936500000000009</v>
      </c>
      <c r="DB151" s="980">
        <f t="shared" si="315"/>
        <v>188.55200000000011</v>
      </c>
      <c r="DC151" s="980">
        <f t="shared" si="316"/>
        <v>-581.23249999999996</v>
      </c>
      <c r="DD151" s="980">
        <f t="shared" si="317"/>
        <v>169.41774999999998</v>
      </c>
      <c r="DE151" s="980">
        <f t="shared" si="318"/>
        <v>-480.97931793862853</v>
      </c>
      <c r="DF151" s="980">
        <f t="shared" si="319"/>
        <v>377.19789114644772</v>
      </c>
      <c r="DG151" s="1837">
        <f t="shared" si="320"/>
        <v>382.15433136309599</v>
      </c>
      <c r="DH151" s="620"/>
      <c r="DI151" s="311"/>
      <c r="DJ151" s="311"/>
      <c r="DK151" s="311"/>
      <c r="DL151" s="311"/>
      <c r="DM151" s="311"/>
      <c r="DN151" s="311"/>
      <c r="DO151" s="312"/>
      <c r="DY151" s="352"/>
      <c r="DZ151" s="352"/>
    </row>
    <row r="152" spans="1:130" ht="12" customHeight="1">
      <c r="A152" s="977"/>
      <c r="B152" s="242"/>
      <c r="C152" s="242"/>
      <c r="D152" s="353"/>
      <c r="E152" s="354"/>
      <c r="F152" s="354"/>
      <c r="G152" s="354"/>
      <c r="H152" s="355"/>
      <c r="I152" s="354"/>
      <c r="J152" s="354"/>
      <c r="K152" s="354"/>
      <c r="L152" s="354"/>
      <c r="M152" s="355"/>
      <c r="N152" s="354"/>
      <c r="O152" s="354"/>
      <c r="P152" s="354"/>
      <c r="Q152" s="354"/>
      <c r="R152" s="355"/>
      <c r="S152" s="354"/>
      <c r="T152" s="354"/>
      <c r="U152" s="354"/>
      <c r="V152" s="354"/>
      <c r="W152" s="355"/>
      <c r="X152" s="354"/>
      <c r="Y152" s="354"/>
      <c r="Z152" s="354"/>
      <c r="AA152" s="354"/>
      <c r="AB152" s="1487"/>
      <c r="AC152" s="352"/>
      <c r="AD152" s="352"/>
      <c r="AE152" s="352"/>
      <c r="AF152" s="352"/>
      <c r="AG152" s="1487"/>
      <c r="AH152" s="352"/>
      <c r="AI152" s="352"/>
      <c r="AJ152" s="352"/>
      <c r="AK152" s="352"/>
      <c r="AL152" s="1487"/>
      <c r="AM152" s="352"/>
      <c r="AN152" s="352"/>
      <c r="AO152" s="352"/>
      <c r="AP152" s="352"/>
      <c r="AQ152" s="1487"/>
      <c r="AR152" s="352"/>
      <c r="AS152" s="352"/>
      <c r="AT152" s="352"/>
      <c r="AU152" s="352"/>
      <c r="AV152" s="1487"/>
      <c r="AW152" s="352"/>
      <c r="AX152" s="352"/>
      <c r="AY152" s="352"/>
      <c r="AZ152" s="352"/>
      <c r="BA152" s="1487"/>
      <c r="BB152" s="352"/>
      <c r="BC152" s="352"/>
      <c r="BD152" s="352"/>
      <c r="BE152" s="352"/>
      <c r="BF152" s="1487"/>
      <c r="BG152" s="1583"/>
      <c r="BH152" s="2997"/>
      <c r="BI152" s="2997"/>
      <c r="BJ152" s="2998"/>
      <c r="BK152" s="1488"/>
      <c r="BL152" s="2997"/>
      <c r="BM152" s="2997"/>
      <c r="BN152" s="2997"/>
      <c r="BO152" s="2998"/>
      <c r="BP152" s="1488"/>
      <c r="BQ152" s="2997"/>
      <c r="BR152" s="2997"/>
      <c r="BS152" s="2997"/>
      <c r="BT152" s="2998"/>
      <c r="BU152" s="3354"/>
      <c r="BV152" s="1583"/>
      <c r="BW152" s="2997"/>
      <c r="BX152" s="2997"/>
      <c r="BY152" s="2998"/>
      <c r="BZ152" s="3354"/>
      <c r="CA152" s="1488"/>
      <c r="CB152" s="1488"/>
      <c r="CC152" s="1488"/>
      <c r="CD152" s="1488"/>
      <c r="CE152" s="1488"/>
      <c r="CF152" s="1488"/>
      <c r="CG152" s="1488"/>
      <c r="CH152" s="354"/>
      <c r="CI152" s="354"/>
      <c r="CJ152" s="354"/>
      <c r="CK152" s="354"/>
      <c r="CL152" s="354"/>
      <c r="CM152" s="354"/>
      <c r="CN152" s="354"/>
      <c r="CO152" s="354"/>
      <c r="CP152" s="977"/>
      <c r="CQ152" s="352"/>
      <c r="CR152" s="352"/>
      <c r="CS152" s="352"/>
      <c r="CT152" s="352"/>
      <c r="CU152" s="352"/>
      <c r="CV152" s="352"/>
      <c r="CW152" s="352"/>
      <c r="CX152" s="352"/>
      <c r="CY152" s="352"/>
      <c r="CZ152" s="352"/>
      <c r="DA152" s="352"/>
      <c r="DB152" s="352"/>
      <c r="DC152" s="352"/>
      <c r="DD152" s="352"/>
      <c r="DE152" s="352"/>
      <c r="DF152" s="352"/>
      <c r="DG152" s="1798"/>
      <c r="DH152" s="500"/>
      <c r="DI152" s="240"/>
      <c r="DJ152" s="240"/>
      <c r="DK152" s="240"/>
      <c r="DL152" s="240"/>
      <c r="DM152" s="240"/>
      <c r="DN152" s="240"/>
      <c r="DO152" s="226"/>
      <c r="DY152" s="352"/>
      <c r="DZ152" s="352"/>
    </row>
    <row r="153" spans="1:130" ht="12" customHeight="1">
      <c r="A153" s="1755" t="s">
        <v>266</v>
      </c>
      <c r="B153" s="1732"/>
      <c r="C153" s="1732"/>
      <c r="D153" s="808">
        <f>D151</f>
        <v>-8.019670000000005</v>
      </c>
      <c r="E153" s="620">
        <f t="shared" ref="E153:AQ153" si="389">E151</f>
        <v>-204.62122999999997</v>
      </c>
      <c r="F153" s="620">
        <f t="shared" si="389"/>
        <v>-869.69728999999984</v>
      </c>
      <c r="G153" s="620">
        <f t="shared" si="389"/>
        <v>-71.927380000000042</v>
      </c>
      <c r="H153" s="808">
        <f t="shared" si="389"/>
        <v>-1154.26557</v>
      </c>
      <c r="I153" s="808">
        <f t="shared" si="389"/>
        <v>2.9599799999999714</v>
      </c>
      <c r="J153" s="620">
        <f t="shared" si="389"/>
        <v>-86.333580000000026</v>
      </c>
      <c r="K153" s="620">
        <f t="shared" si="389"/>
        <v>-51.857719999999986</v>
      </c>
      <c r="L153" s="620">
        <f t="shared" si="389"/>
        <v>-143.41816999999995</v>
      </c>
      <c r="M153" s="808">
        <f t="shared" si="389"/>
        <v>-278.64949000000001</v>
      </c>
      <c r="N153" s="808">
        <f t="shared" si="389"/>
        <v>-62.292040000000036</v>
      </c>
      <c r="O153" s="620">
        <f t="shared" si="389"/>
        <v>-44.077159999999978</v>
      </c>
      <c r="P153" s="620">
        <f t="shared" si="389"/>
        <v>5.5334499999999753</v>
      </c>
      <c r="Q153" s="620">
        <f t="shared" si="389"/>
        <v>406.28279999999995</v>
      </c>
      <c r="R153" s="808">
        <f t="shared" si="389"/>
        <v>305.44704999999993</v>
      </c>
      <c r="S153" s="808">
        <f t="shared" si="389"/>
        <v>40.681100000000001</v>
      </c>
      <c r="T153" s="620">
        <f t="shared" si="389"/>
        <v>-32.751970000000007</v>
      </c>
      <c r="U153" s="620">
        <f t="shared" si="389"/>
        <v>-5.8926399999999735</v>
      </c>
      <c r="V153" s="620">
        <f t="shared" si="389"/>
        <v>-30.866779999999995</v>
      </c>
      <c r="W153" s="808">
        <f t="shared" si="389"/>
        <v>-28.830289999999977</v>
      </c>
      <c r="X153" s="808">
        <f t="shared" si="389"/>
        <v>-148.95771999999999</v>
      </c>
      <c r="Y153" s="620">
        <f t="shared" si="389"/>
        <v>-134.65323000000001</v>
      </c>
      <c r="Z153" s="620">
        <f t="shared" si="389"/>
        <v>-158.13592999999995</v>
      </c>
      <c r="AA153" s="620">
        <f t="shared" si="389"/>
        <v>-109.89900999999995</v>
      </c>
      <c r="AB153" s="808">
        <f t="shared" si="389"/>
        <v>-551.64588999999989</v>
      </c>
      <c r="AC153" s="808">
        <f t="shared" si="389"/>
        <v>-55.747000000000014</v>
      </c>
      <c r="AD153" s="620">
        <f t="shared" si="389"/>
        <v>20.066500000000016</v>
      </c>
      <c r="AE153" s="620">
        <f t="shared" si="389"/>
        <v>20.996500000000005</v>
      </c>
      <c r="AF153" s="620">
        <f t="shared" si="389"/>
        <v>68.509956000000017</v>
      </c>
      <c r="AG153" s="808">
        <f t="shared" si="389"/>
        <v>53.825956000000026</v>
      </c>
      <c r="AH153" s="808">
        <f t="shared" si="389"/>
        <v>37.436019999999999</v>
      </c>
      <c r="AI153" s="620">
        <f t="shared" si="389"/>
        <v>51.776980000000023</v>
      </c>
      <c r="AJ153" s="620">
        <f t="shared" si="389"/>
        <v>53.739000000000019</v>
      </c>
      <c r="AK153" s="620">
        <f t="shared" si="389"/>
        <v>34.742999999999981</v>
      </c>
      <c r="AL153" s="808">
        <f t="shared" si="389"/>
        <v>177.69500000000005</v>
      </c>
      <c r="AM153" s="808">
        <f t="shared" si="389"/>
        <v>53.264999999999979</v>
      </c>
      <c r="AN153" s="620">
        <f>AN151</f>
        <v>16.437000000000033</v>
      </c>
      <c r="AO153" s="620">
        <f>AO151</f>
        <v>22.194000000000017</v>
      </c>
      <c r="AP153" s="620">
        <f>AP151</f>
        <v>-281.44400000000002</v>
      </c>
      <c r="AQ153" s="808">
        <f t="shared" si="389"/>
        <v>-189.548</v>
      </c>
      <c r="AR153" s="808">
        <f t="shared" ref="AR153:BL153" si="390">AR151</f>
        <v>40.222000000000008</v>
      </c>
      <c r="AS153" s="620">
        <f t="shared" si="390"/>
        <v>10.161000000000003</v>
      </c>
      <c r="AT153" s="620">
        <f t="shared" si="390"/>
        <v>11.462000000000002</v>
      </c>
      <c r="AU153" s="620">
        <f t="shared" si="390"/>
        <v>-1499.3720000000001</v>
      </c>
      <c r="AV153" s="808">
        <f t="shared" si="390"/>
        <v>-1437.527</v>
      </c>
      <c r="AW153" s="808">
        <f t="shared" si="390"/>
        <v>402.53950000000003</v>
      </c>
      <c r="AX153" s="620">
        <f t="shared" si="390"/>
        <v>78.755500000000026</v>
      </c>
      <c r="AY153" s="620">
        <f t="shared" si="390"/>
        <v>-12.160999999999968</v>
      </c>
      <c r="AZ153" s="620">
        <f t="shared" si="390"/>
        <v>-61.097500000000025</v>
      </c>
      <c r="BA153" s="808">
        <f t="shared" si="390"/>
        <v>408.0365000000001</v>
      </c>
      <c r="BB153" s="808">
        <f t="shared" si="390"/>
        <v>41.063000000000038</v>
      </c>
      <c r="BC153" s="620">
        <f t="shared" si="390"/>
        <v>21.174999999999994</v>
      </c>
      <c r="BD153" s="620">
        <f t="shared" si="390"/>
        <v>21.288499999999971</v>
      </c>
      <c r="BE153" s="620">
        <f t="shared" si="390"/>
        <v>-14.589999999999989</v>
      </c>
      <c r="BF153" s="810">
        <f t="shared" si="390"/>
        <v>68.936500000000009</v>
      </c>
      <c r="BG153" s="808">
        <f t="shared" si="390"/>
        <v>26.872500000000024</v>
      </c>
      <c r="BH153" s="620">
        <f t="shared" si="390"/>
        <v>64.866500000000059</v>
      </c>
      <c r="BI153" s="620">
        <f t="shared" si="390"/>
        <v>82.126999999999995</v>
      </c>
      <c r="BJ153" s="809">
        <f t="shared" si="390"/>
        <v>14.686</v>
      </c>
      <c r="BK153" s="810">
        <f t="shared" si="390"/>
        <v>188.55200000000011</v>
      </c>
      <c r="BL153" s="620">
        <f t="shared" si="390"/>
        <v>78.45150000000001</v>
      </c>
      <c r="BM153" s="620">
        <f t="shared" ref="BM153:BU153" si="391">BM151</f>
        <v>27.10599999999998</v>
      </c>
      <c r="BN153" s="620">
        <f t="shared" si="391"/>
        <v>-505.03099999999995</v>
      </c>
      <c r="BO153" s="809">
        <f t="shared" si="391"/>
        <v>-181.75899999999999</v>
      </c>
      <c r="BP153" s="810">
        <f t="shared" si="391"/>
        <v>-581.23249999999996</v>
      </c>
      <c r="BQ153" s="620">
        <f t="shared" si="391"/>
        <v>3.8729999999999833</v>
      </c>
      <c r="BR153" s="620">
        <f t="shared" si="391"/>
        <v>41.808849999999993</v>
      </c>
      <c r="BS153" s="620">
        <f t="shared" si="391"/>
        <v>128.45715000000001</v>
      </c>
      <c r="BT153" s="809">
        <f t="shared" si="391"/>
        <v>-4.7212500000000057</v>
      </c>
      <c r="BU153" s="3961">
        <f t="shared" si="391"/>
        <v>169.41774999999998</v>
      </c>
      <c r="BV153" s="808">
        <f t="shared" ref="BV153:BZ153" si="392">BV151</f>
        <v>114.62441850179825</v>
      </c>
      <c r="BW153" s="620">
        <f t="shared" si="392"/>
        <v>70.091110985853064</v>
      </c>
      <c r="BX153" s="620">
        <f t="shared" si="392"/>
        <v>-766.96979431729767</v>
      </c>
      <c r="BY153" s="809">
        <f t="shared" si="392"/>
        <v>101.27494689101779</v>
      </c>
      <c r="BZ153" s="3961">
        <f t="shared" si="392"/>
        <v>-480.97931793862853</v>
      </c>
      <c r="CA153" s="810">
        <f t="shared" ref="CA153:CG153" si="393">CA151</f>
        <v>377.19789114644772</v>
      </c>
      <c r="CB153" s="810">
        <f t="shared" si="393"/>
        <v>382.15433136309599</v>
      </c>
      <c r="CC153" s="810">
        <f t="shared" si="393"/>
        <v>-117.4158333917633</v>
      </c>
      <c r="CD153" s="810">
        <f t="shared" si="393"/>
        <v>-149.79401812752405</v>
      </c>
      <c r="CE153" s="810">
        <f t="shared" si="393"/>
        <v>-135.26000729722568</v>
      </c>
      <c r="CF153" s="810">
        <f t="shared" si="393"/>
        <v>-120.31093050517183</v>
      </c>
      <c r="CG153" s="810">
        <f t="shared" si="393"/>
        <v>-104.9370835684264</v>
      </c>
      <c r="CH153" s="352"/>
      <c r="CI153" s="352"/>
      <c r="CJ153" s="352"/>
      <c r="CK153" s="352"/>
      <c r="CL153" s="352"/>
      <c r="CM153" s="965"/>
      <c r="CN153" s="965">
        <f t="shared" ref="CN153:CN155" si="394">SUM(BV153:BY153)</f>
        <v>-480.97931793862853</v>
      </c>
      <c r="CO153" s="965">
        <f t="shared" si="302"/>
        <v>480.97931793862853</v>
      </c>
      <c r="CP153" s="1755" t="str">
        <f>A153</f>
        <v>BYD Consolidated FCF</v>
      </c>
      <c r="CQ153" s="620">
        <f>H153</f>
        <v>-1154.26557</v>
      </c>
      <c r="CR153" s="620">
        <f>M153</f>
        <v>-278.64949000000001</v>
      </c>
      <c r="CS153" s="620">
        <f>R153</f>
        <v>305.44704999999993</v>
      </c>
      <c r="CT153" s="620">
        <f>W153</f>
        <v>-28.830289999999977</v>
      </c>
      <c r="CU153" s="620">
        <f>AB153</f>
        <v>-551.64588999999989</v>
      </c>
      <c r="CV153" s="620">
        <f>AG153</f>
        <v>53.825956000000026</v>
      </c>
      <c r="CW153" s="620">
        <f>AL153</f>
        <v>177.69500000000005</v>
      </c>
      <c r="CX153" s="620">
        <f>AQ153</f>
        <v>-189.548</v>
      </c>
      <c r="CY153" s="620">
        <f>AV153</f>
        <v>-1437.527</v>
      </c>
      <c r="CZ153" s="620">
        <f>BA153</f>
        <v>408.0365000000001</v>
      </c>
      <c r="DA153" s="620">
        <f>BF153</f>
        <v>68.936500000000009</v>
      </c>
      <c r="DB153" s="620">
        <f>BK153</f>
        <v>188.55200000000011</v>
      </c>
      <c r="DC153" s="620">
        <f>BP153</f>
        <v>-581.23249999999996</v>
      </c>
      <c r="DD153" s="620">
        <f>BU153</f>
        <v>169.41774999999998</v>
      </c>
      <c r="DE153" s="620">
        <f t="shared" ref="DE153:DG155" si="395">BZ153</f>
        <v>-480.97931793862853</v>
      </c>
      <c r="DF153" s="620">
        <f t="shared" si="395"/>
        <v>377.19789114644772</v>
      </c>
      <c r="DG153" s="809">
        <f t="shared" si="395"/>
        <v>382.15433136309599</v>
      </c>
      <c r="DH153" s="620"/>
      <c r="DI153" s="311"/>
      <c r="DJ153" s="311"/>
      <c r="DK153" s="311"/>
      <c r="DL153" s="311"/>
      <c r="DM153" s="311"/>
      <c r="DN153" s="311"/>
      <c r="DO153" s="312"/>
      <c r="DY153" s="620"/>
      <c r="DZ153" s="620"/>
    </row>
    <row r="154" spans="1:130" ht="12" customHeight="1">
      <c r="A154" s="3099" t="s">
        <v>267</v>
      </c>
      <c r="B154" s="242"/>
      <c r="C154" s="242"/>
      <c r="D154" s="582">
        <f t="shared" ref="D154:AI154" si="396">D965</f>
        <v>22.807329999999997</v>
      </c>
      <c r="E154" s="621">
        <f t="shared" si="396"/>
        <v>33.968769999999999</v>
      </c>
      <c r="F154" s="621">
        <f t="shared" si="396"/>
        <v>44.639709999999994</v>
      </c>
      <c r="G154" s="621">
        <f t="shared" si="396"/>
        <v>68.751619999999988</v>
      </c>
      <c r="H154" s="582">
        <f t="shared" si="396"/>
        <v>170.16743000000002</v>
      </c>
      <c r="I154" s="582">
        <f t="shared" si="396"/>
        <v>46.14297999999998</v>
      </c>
      <c r="J154" s="621">
        <f t="shared" si="396"/>
        <v>44.668419999999998</v>
      </c>
      <c r="K154" s="621">
        <f t="shared" si="396"/>
        <v>63.385280000000009</v>
      </c>
      <c r="L154" s="621">
        <f t="shared" si="396"/>
        <v>51.182829999999981</v>
      </c>
      <c r="M154" s="585">
        <f t="shared" si="396"/>
        <v>205.37950999999993</v>
      </c>
      <c r="N154" s="582">
        <f t="shared" si="396"/>
        <v>55.202960000000012</v>
      </c>
      <c r="O154" s="621">
        <f t="shared" si="396"/>
        <v>47.787840000000017</v>
      </c>
      <c r="P154" s="621">
        <f t="shared" si="396"/>
        <v>57.476450000000028</v>
      </c>
      <c r="Q154" s="621">
        <f t="shared" si="396"/>
        <v>40.992799999999988</v>
      </c>
      <c r="R154" s="582">
        <f t="shared" si="396"/>
        <v>201.46005000000014</v>
      </c>
      <c r="S154" s="582">
        <f t="shared" si="396"/>
        <v>46.854099999999995</v>
      </c>
      <c r="T154" s="621">
        <f t="shared" si="396"/>
        <v>41.253029999999995</v>
      </c>
      <c r="U154" s="621">
        <f t="shared" si="396"/>
        <v>58.881359999999994</v>
      </c>
      <c r="V154" s="621">
        <f t="shared" si="396"/>
        <v>42.032220000000002</v>
      </c>
      <c r="W154" s="585">
        <f t="shared" si="396"/>
        <v>189.02070999999989</v>
      </c>
      <c r="X154" s="582">
        <f t="shared" si="396"/>
        <v>40.194280000000006</v>
      </c>
      <c r="Y154" s="621">
        <f t="shared" si="396"/>
        <v>32.758170000000007</v>
      </c>
      <c r="Z154" s="621">
        <f t="shared" si="396"/>
        <v>42.277369999999983</v>
      </c>
      <c r="AA154" s="621">
        <f t="shared" si="396"/>
        <v>24.972510000000018</v>
      </c>
      <c r="AB154" s="582">
        <f t="shared" si="396"/>
        <v>140.20233000000007</v>
      </c>
      <c r="AC154" s="582">
        <f t="shared" si="396"/>
        <v>32.439499999999988</v>
      </c>
      <c r="AD154" s="621">
        <f t="shared" si="396"/>
        <v>34.264499999999998</v>
      </c>
      <c r="AE154" s="621">
        <f t="shared" si="396"/>
        <v>48.6965</v>
      </c>
      <c r="AF154" s="621">
        <f t="shared" si="396"/>
        <v>25.84849999999998</v>
      </c>
      <c r="AG154" s="585">
        <f t="shared" si="396"/>
        <v>141.249</v>
      </c>
      <c r="AH154" s="582">
        <f t="shared" si="396"/>
        <v>25.715019999999999</v>
      </c>
      <c r="AI154" s="621">
        <f t="shared" si="396"/>
        <v>31.969980000000003</v>
      </c>
      <c r="AJ154" s="621">
        <f t="shared" ref="AJ154:AV154" si="397">AJ965</f>
        <v>31.498000000000019</v>
      </c>
      <c r="AK154" s="621">
        <f t="shared" si="397"/>
        <v>8.9529999999999905</v>
      </c>
      <c r="AL154" s="582">
        <f t="shared" si="397"/>
        <v>98.136000000000081</v>
      </c>
      <c r="AM154" s="582">
        <f t="shared" si="397"/>
        <v>12.518999999999986</v>
      </c>
      <c r="AN154" s="621">
        <f t="shared" si="397"/>
        <v>14.600000000000012</v>
      </c>
      <c r="AO154" s="621">
        <f t="shared" si="397"/>
        <v>24.902999999999995</v>
      </c>
      <c r="AP154" s="621">
        <f t="shared" si="397"/>
        <v>1.4999999999999865</v>
      </c>
      <c r="AQ154" s="585">
        <f t="shared" si="397"/>
        <v>53.521999999999998</v>
      </c>
      <c r="AR154" s="582">
        <f t="shared" si="397"/>
        <v>1.5220000000000027</v>
      </c>
      <c r="AS154" s="621">
        <f t="shared" si="397"/>
        <v>-1.1090000000000011</v>
      </c>
      <c r="AT154" s="621">
        <f t="shared" si="397"/>
        <v>10.232000000000005</v>
      </c>
      <c r="AU154" s="621">
        <f t="shared" si="397"/>
        <v>-5.1950000000000038</v>
      </c>
      <c r="AV154" s="585">
        <f t="shared" si="397"/>
        <v>5.4500000000000268</v>
      </c>
      <c r="AW154" s="3100">
        <f>AW965/2</f>
        <v>3.2215000000000003</v>
      </c>
      <c r="AX154" s="621">
        <f t="shared" ref="AX154:BL154" si="398">AX965/2</f>
        <v>0.6620000000000007</v>
      </c>
      <c r="AY154" s="621">
        <f t="shared" si="398"/>
        <v>10.389499999999998</v>
      </c>
      <c r="AZ154" s="621">
        <f t="shared" si="398"/>
        <v>-1.8930000000000002</v>
      </c>
      <c r="BA154" s="585">
        <f t="shared" si="398"/>
        <v>12.37999999999999</v>
      </c>
      <c r="BB154" s="582">
        <f t="shared" si="398"/>
        <v>1.3015000000000003</v>
      </c>
      <c r="BC154" s="621">
        <f t="shared" si="398"/>
        <v>8.9535</v>
      </c>
      <c r="BD154" s="621">
        <f t="shared" si="398"/>
        <v>17.4665</v>
      </c>
      <c r="BE154" s="621">
        <f t="shared" si="398"/>
        <v>6.3625734374999983</v>
      </c>
      <c r="BF154" s="585">
        <f t="shared" si="398"/>
        <v>34.084073437499995</v>
      </c>
      <c r="BG154" s="582">
        <f t="shared" si="398"/>
        <v>7.7225000000000019</v>
      </c>
      <c r="BH154" s="621">
        <f t="shared" si="398"/>
        <v>9.0230000000000015</v>
      </c>
      <c r="BI154" s="621">
        <f t="shared" si="398"/>
        <v>29.949500000000008</v>
      </c>
      <c r="BJ154" s="842">
        <f t="shared" si="398"/>
        <v>12.824999999999998</v>
      </c>
      <c r="BK154" s="585">
        <f t="shared" si="398"/>
        <v>59.519999999999918</v>
      </c>
      <c r="BL154" s="621">
        <f t="shared" si="398"/>
        <v>11.848999999999998</v>
      </c>
      <c r="BM154" s="621">
        <f>BM965/2</f>
        <v>19.176000000000002</v>
      </c>
      <c r="BN154" s="621">
        <f>BN965/2</f>
        <v>59.920110437372067</v>
      </c>
      <c r="BO154" s="3262">
        <v>0</v>
      </c>
      <c r="BP154" s="585">
        <f t="shared" ref="BP154:BU154" si="399">BP965/2</f>
        <v>0</v>
      </c>
      <c r="BQ154" s="621">
        <f t="shared" si="399"/>
        <v>0</v>
      </c>
      <c r="BR154" s="621">
        <f t="shared" si="399"/>
        <v>0</v>
      </c>
      <c r="BS154" s="621">
        <f t="shared" si="399"/>
        <v>0</v>
      </c>
      <c r="BT154" s="3262">
        <f t="shared" si="399"/>
        <v>0</v>
      </c>
      <c r="BU154" s="3962">
        <f t="shared" si="399"/>
        <v>0</v>
      </c>
      <c r="BV154" s="582">
        <f t="shared" ref="BV154:BZ154" si="400">BV965/2</f>
        <v>0</v>
      </c>
      <c r="BW154" s="621">
        <f t="shared" si="400"/>
        <v>0</v>
      </c>
      <c r="BX154" s="621">
        <f t="shared" si="400"/>
        <v>0</v>
      </c>
      <c r="BY154" s="3262">
        <f t="shared" si="400"/>
        <v>0</v>
      </c>
      <c r="BZ154" s="3962">
        <f t="shared" si="400"/>
        <v>0</v>
      </c>
      <c r="CA154" s="3263">
        <v>0</v>
      </c>
      <c r="CB154" s="3263">
        <v>0</v>
      </c>
      <c r="CC154" s="585">
        <f>CC965/2</f>
        <v>1.0240454085428716</v>
      </c>
      <c r="CD154" s="585">
        <f>CD965/2</f>
        <v>0.79784313811573426</v>
      </c>
      <c r="CE154" s="585">
        <f>CE965/2</f>
        <v>0.88380000087804333</v>
      </c>
      <c r="CF154" s="585">
        <f>CF965/2</f>
        <v>0.97147600089560626</v>
      </c>
      <c r="CG154" s="585">
        <f>CG965/2</f>
        <v>1.0609055209135185</v>
      </c>
      <c r="CH154" s="354"/>
      <c r="CI154" s="354"/>
      <c r="CJ154" s="354"/>
      <c r="CK154" s="354"/>
      <c r="CL154" s="354"/>
      <c r="CM154" s="965"/>
      <c r="CN154" s="965">
        <f t="shared" si="394"/>
        <v>0</v>
      </c>
      <c r="CO154" s="965">
        <f t="shared" si="302"/>
        <v>0</v>
      </c>
      <c r="CP154" s="1003" t="str">
        <f>A154</f>
        <v>Borgata Net FCF</v>
      </c>
      <c r="CQ154" s="621">
        <f>H154</f>
        <v>170.16743000000002</v>
      </c>
      <c r="CR154" s="621">
        <f>M154</f>
        <v>205.37950999999993</v>
      </c>
      <c r="CS154" s="621">
        <f>R154</f>
        <v>201.46005000000014</v>
      </c>
      <c r="CT154" s="621">
        <f>W154</f>
        <v>189.02070999999989</v>
      </c>
      <c r="CU154" s="621">
        <f>AB154</f>
        <v>140.20233000000007</v>
      </c>
      <c r="CV154" s="621">
        <f>AG154</f>
        <v>141.249</v>
      </c>
      <c r="CW154" s="621">
        <f>AL154</f>
        <v>98.136000000000081</v>
      </c>
      <c r="CX154" s="621">
        <f>AQ154</f>
        <v>53.521999999999998</v>
      </c>
      <c r="CY154" s="621">
        <f>AV154</f>
        <v>5.4500000000000268</v>
      </c>
      <c r="CZ154" s="621">
        <f>BA154</f>
        <v>12.37999999999999</v>
      </c>
      <c r="DA154" s="621">
        <f>BF154</f>
        <v>34.084073437499995</v>
      </c>
      <c r="DB154" s="621">
        <f>BK154</f>
        <v>59.519999999999918</v>
      </c>
      <c r="DC154" s="621">
        <f>BP154</f>
        <v>0</v>
      </c>
      <c r="DD154" s="621">
        <f>BU154</f>
        <v>0</v>
      </c>
      <c r="DE154" s="621">
        <f t="shared" si="395"/>
        <v>0</v>
      </c>
      <c r="DF154" s="621">
        <f t="shared" si="395"/>
        <v>0</v>
      </c>
      <c r="DG154" s="842">
        <f t="shared" si="395"/>
        <v>0</v>
      </c>
      <c r="DH154" s="500"/>
      <c r="DI154" s="240"/>
      <c r="DJ154" s="240"/>
      <c r="DK154" s="240"/>
      <c r="DL154" s="240"/>
      <c r="DM154" s="240"/>
      <c r="DN154" s="240"/>
      <c r="DO154" s="226"/>
      <c r="DY154" s="621"/>
      <c r="DZ154" s="621"/>
    </row>
    <row r="155" spans="1:130" ht="12" customHeight="1">
      <c r="A155" s="1003" t="s">
        <v>268</v>
      </c>
      <c r="B155" s="242"/>
      <c r="C155" s="242"/>
      <c r="D155" s="582">
        <f>D153-D154</f>
        <v>-30.827000000000002</v>
      </c>
      <c r="E155" s="621">
        <f t="shared" ref="E155:AQ155" si="401">E153-E154</f>
        <v>-238.58999999999997</v>
      </c>
      <c r="F155" s="621">
        <f t="shared" si="401"/>
        <v>-914.33699999999988</v>
      </c>
      <c r="G155" s="621">
        <f t="shared" si="401"/>
        <v>-140.67900000000003</v>
      </c>
      <c r="H155" s="582">
        <f t="shared" si="401"/>
        <v>-1324.433</v>
      </c>
      <c r="I155" s="582">
        <f t="shared" si="401"/>
        <v>-43.183000000000007</v>
      </c>
      <c r="J155" s="621">
        <f t="shared" si="401"/>
        <v>-131.00200000000001</v>
      </c>
      <c r="K155" s="621">
        <f t="shared" si="401"/>
        <v>-115.24299999999999</v>
      </c>
      <c r="L155" s="621">
        <f t="shared" si="401"/>
        <v>-194.60099999999994</v>
      </c>
      <c r="M155" s="582">
        <f t="shared" si="401"/>
        <v>-484.02899999999994</v>
      </c>
      <c r="N155" s="582">
        <f t="shared" si="401"/>
        <v>-117.49500000000005</v>
      </c>
      <c r="O155" s="621">
        <f t="shared" si="401"/>
        <v>-91.864999999999995</v>
      </c>
      <c r="P155" s="621">
        <f t="shared" si="401"/>
        <v>-51.943000000000055</v>
      </c>
      <c r="Q155" s="621">
        <f t="shared" si="401"/>
        <v>365.28999999999996</v>
      </c>
      <c r="R155" s="582">
        <f t="shared" si="401"/>
        <v>103.9869999999998</v>
      </c>
      <c r="S155" s="582">
        <f t="shared" si="401"/>
        <v>-6.1729999999999947</v>
      </c>
      <c r="T155" s="621">
        <f t="shared" si="401"/>
        <v>-74.004999999999995</v>
      </c>
      <c r="U155" s="621">
        <f t="shared" si="401"/>
        <v>-64.773999999999972</v>
      </c>
      <c r="V155" s="621">
        <f t="shared" si="401"/>
        <v>-72.899000000000001</v>
      </c>
      <c r="W155" s="582">
        <f t="shared" si="401"/>
        <v>-217.85099999999989</v>
      </c>
      <c r="X155" s="582">
        <f t="shared" si="401"/>
        <v>-189.15199999999999</v>
      </c>
      <c r="Y155" s="621">
        <f t="shared" si="401"/>
        <v>-167.41140000000001</v>
      </c>
      <c r="Z155" s="621">
        <f t="shared" si="401"/>
        <v>-200.41329999999994</v>
      </c>
      <c r="AA155" s="621">
        <f t="shared" si="401"/>
        <v>-134.87151999999998</v>
      </c>
      <c r="AB155" s="582">
        <f t="shared" si="401"/>
        <v>-691.84821999999997</v>
      </c>
      <c r="AC155" s="582">
        <f t="shared" si="401"/>
        <v>-88.186499999999995</v>
      </c>
      <c r="AD155" s="621">
        <f t="shared" si="401"/>
        <v>-14.197999999999983</v>
      </c>
      <c r="AE155" s="621">
        <f t="shared" si="401"/>
        <v>-27.699999999999996</v>
      </c>
      <c r="AF155" s="621">
        <f t="shared" si="401"/>
        <v>42.661456000000037</v>
      </c>
      <c r="AG155" s="582">
        <f t="shared" si="401"/>
        <v>-87.423043999999976</v>
      </c>
      <c r="AH155" s="582">
        <f t="shared" si="401"/>
        <v>11.721</v>
      </c>
      <c r="AI155" s="621">
        <f t="shared" si="401"/>
        <v>19.80700000000002</v>
      </c>
      <c r="AJ155" s="621">
        <f t="shared" si="401"/>
        <v>22.241</v>
      </c>
      <c r="AK155" s="621">
        <f t="shared" si="401"/>
        <v>25.789999999999992</v>
      </c>
      <c r="AL155" s="582">
        <f t="shared" si="401"/>
        <v>79.558999999999969</v>
      </c>
      <c r="AM155" s="582">
        <f t="shared" si="401"/>
        <v>40.745999999999995</v>
      </c>
      <c r="AN155" s="621">
        <f t="shared" si="401"/>
        <v>1.8370000000000211</v>
      </c>
      <c r="AO155" s="621">
        <f t="shared" si="401"/>
        <v>-2.7089999999999783</v>
      </c>
      <c r="AP155" s="621">
        <f t="shared" si="401"/>
        <v>-282.94400000000002</v>
      </c>
      <c r="AQ155" s="582">
        <f t="shared" si="401"/>
        <v>-243.07</v>
      </c>
      <c r="AR155" s="582">
        <f t="shared" ref="AR155:CB155" si="402">AR153-AR154</f>
        <v>38.700000000000003</v>
      </c>
      <c r="AS155" s="621">
        <f t="shared" si="402"/>
        <v>11.270000000000005</v>
      </c>
      <c r="AT155" s="621">
        <f t="shared" si="402"/>
        <v>1.2299999999999969</v>
      </c>
      <c r="AU155" s="621">
        <f t="shared" si="402"/>
        <v>-1494.1770000000001</v>
      </c>
      <c r="AV155" s="582">
        <f t="shared" si="402"/>
        <v>-1442.9770000000001</v>
      </c>
      <c r="AW155" s="582">
        <f t="shared" si="402"/>
        <v>399.31800000000004</v>
      </c>
      <c r="AX155" s="621">
        <f t="shared" si="402"/>
        <v>78.09350000000002</v>
      </c>
      <c r="AY155" s="621">
        <f t="shared" si="402"/>
        <v>-22.550499999999964</v>
      </c>
      <c r="AZ155" s="621">
        <f t="shared" si="402"/>
        <v>-59.204500000000024</v>
      </c>
      <c r="BA155" s="582">
        <f t="shared" si="402"/>
        <v>395.65650000000011</v>
      </c>
      <c r="BB155" s="582">
        <f t="shared" si="402"/>
        <v>39.761500000000041</v>
      </c>
      <c r="BC155" s="621">
        <f t="shared" si="402"/>
        <v>12.221499999999994</v>
      </c>
      <c r="BD155" s="621">
        <f t="shared" si="402"/>
        <v>3.8219999999999708</v>
      </c>
      <c r="BE155" s="621">
        <f t="shared" si="402"/>
        <v>-20.952573437499986</v>
      </c>
      <c r="BF155" s="585">
        <f t="shared" si="402"/>
        <v>34.852426562500014</v>
      </c>
      <c r="BG155" s="582">
        <f t="shared" ref="BG155:BP155" si="403">BG153-BG154</f>
        <v>19.15000000000002</v>
      </c>
      <c r="BH155" s="621">
        <f t="shared" si="403"/>
        <v>55.843500000000056</v>
      </c>
      <c r="BI155" s="621">
        <f t="shared" si="403"/>
        <v>52.177499999999988</v>
      </c>
      <c r="BJ155" s="842">
        <f t="shared" si="403"/>
        <v>1.8610000000000024</v>
      </c>
      <c r="BK155" s="585">
        <f t="shared" si="403"/>
        <v>129.03200000000018</v>
      </c>
      <c r="BL155" s="621">
        <f t="shared" si="403"/>
        <v>66.602500000000006</v>
      </c>
      <c r="BM155" s="621">
        <f t="shared" si="403"/>
        <v>7.9299999999999784</v>
      </c>
      <c r="BN155" s="621">
        <f t="shared" si="403"/>
        <v>-564.95111043737199</v>
      </c>
      <c r="BO155" s="842">
        <f t="shared" si="403"/>
        <v>-181.75899999999999</v>
      </c>
      <c r="BP155" s="585">
        <f t="shared" si="403"/>
        <v>-581.23249999999996</v>
      </c>
      <c r="BQ155" s="621">
        <f t="shared" ref="BQ155:BZ155" si="404">BQ153-BQ154</f>
        <v>3.8729999999999833</v>
      </c>
      <c r="BR155" s="621">
        <f t="shared" si="404"/>
        <v>41.808849999999993</v>
      </c>
      <c r="BS155" s="621">
        <f t="shared" si="404"/>
        <v>128.45715000000001</v>
      </c>
      <c r="BT155" s="842">
        <f t="shared" si="404"/>
        <v>-4.7212500000000057</v>
      </c>
      <c r="BU155" s="3962">
        <f t="shared" si="404"/>
        <v>169.41774999999998</v>
      </c>
      <c r="BV155" s="582">
        <f t="shared" si="404"/>
        <v>114.62441850179825</v>
      </c>
      <c r="BW155" s="621">
        <f t="shared" si="404"/>
        <v>70.091110985853064</v>
      </c>
      <c r="BX155" s="621">
        <f t="shared" si="404"/>
        <v>-766.96979431729767</v>
      </c>
      <c r="BY155" s="842">
        <f t="shared" si="404"/>
        <v>101.27494689101779</v>
      </c>
      <c r="BZ155" s="3962">
        <f t="shared" si="404"/>
        <v>-480.97931793862853</v>
      </c>
      <c r="CA155" s="585">
        <f t="shared" si="402"/>
        <v>377.19789114644772</v>
      </c>
      <c r="CB155" s="585">
        <f t="shared" si="402"/>
        <v>382.15433136309599</v>
      </c>
      <c r="CC155" s="585">
        <f>CC153-CC154</f>
        <v>-118.43987880030618</v>
      </c>
      <c r="CD155" s="585">
        <f>CD153-CD154</f>
        <v>-150.59186126563978</v>
      </c>
      <c r="CE155" s="585">
        <f>CE153-CE154</f>
        <v>-136.14380729810372</v>
      </c>
      <c r="CF155" s="585">
        <f>CF153-CF154</f>
        <v>-121.28240650606743</v>
      </c>
      <c r="CG155" s="585">
        <f>CG153-CG154</f>
        <v>-105.99798908933992</v>
      </c>
      <c r="CH155" s="1492"/>
      <c r="CI155" s="1492"/>
      <c r="CJ155" s="1492"/>
      <c r="CK155" s="1492"/>
      <c r="CL155" s="1492"/>
      <c r="CM155" s="965"/>
      <c r="CN155" s="965">
        <f t="shared" si="394"/>
        <v>-480.97931793862853</v>
      </c>
      <c r="CO155" s="965">
        <f t="shared" si="302"/>
        <v>480.97931793862853</v>
      </c>
      <c r="CP155" s="1003" t="str">
        <f>A155</f>
        <v>BYD Wholly Owned</v>
      </c>
      <c r="CQ155" s="621">
        <f>H155</f>
        <v>-1324.433</v>
      </c>
      <c r="CR155" s="621">
        <f>M155</f>
        <v>-484.02899999999994</v>
      </c>
      <c r="CS155" s="621">
        <f>R155</f>
        <v>103.9869999999998</v>
      </c>
      <c r="CT155" s="621">
        <f>W155</f>
        <v>-217.85099999999989</v>
      </c>
      <c r="CU155" s="621">
        <f>AB155</f>
        <v>-691.84821999999997</v>
      </c>
      <c r="CV155" s="621">
        <f>AG155</f>
        <v>-87.423043999999976</v>
      </c>
      <c r="CW155" s="621">
        <f>AL155</f>
        <v>79.558999999999969</v>
      </c>
      <c r="CX155" s="621">
        <f>AQ155</f>
        <v>-243.07</v>
      </c>
      <c r="CY155" s="621">
        <f>AV155</f>
        <v>-1442.9770000000001</v>
      </c>
      <c r="CZ155" s="621">
        <f>BA155</f>
        <v>395.65650000000011</v>
      </c>
      <c r="DA155" s="621">
        <f>BF155</f>
        <v>34.852426562500014</v>
      </c>
      <c r="DB155" s="621">
        <f>BK155</f>
        <v>129.03200000000018</v>
      </c>
      <c r="DC155" s="621">
        <f>BP155</f>
        <v>-581.23249999999996</v>
      </c>
      <c r="DD155" s="621">
        <f>BU155</f>
        <v>169.41774999999998</v>
      </c>
      <c r="DE155" s="621">
        <f t="shared" si="395"/>
        <v>-480.97931793862853</v>
      </c>
      <c r="DF155" s="621">
        <f t="shared" si="395"/>
        <v>377.19789114644772</v>
      </c>
      <c r="DG155" s="842">
        <f t="shared" si="395"/>
        <v>382.15433136309599</v>
      </c>
      <c r="DH155" s="1493"/>
      <c r="DI155" s="1494"/>
      <c r="DJ155" s="1494"/>
      <c r="DK155" s="1494"/>
      <c r="DL155" s="1494"/>
      <c r="DM155" s="1494"/>
      <c r="DN155" s="1494"/>
      <c r="DO155" s="276"/>
      <c r="DY155" s="621"/>
      <c r="DZ155" s="621"/>
    </row>
    <row r="156" spans="1:130" ht="4.5" customHeight="1">
      <c r="A156" s="1784"/>
      <c r="B156" s="293"/>
      <c r="C156" s="293"/>
      <c r="D156" s="294" t="s">
        <v>343</v>
      </c>
      <c r="E156" s="295" t="s">
        <v>343</v>
      </c>
      <c r="F156" s="295" t="s">
        <v>343</v>
      </c>
      <c r="G156" s="295" t="s">
        <v>343</v>
      </c>
      <c r="H156" s="296" t="s">
        <v>343</v>
      </c>
      <c r="I156" s="295" t="s">
        <v>343</v>
      </c>
      <c r="J156" s="295" t="s">
        <v>343</v>
      </c>
      <c r="K156" s="295" t="s">
        <v>343</v>
      </c>
      <c r="L156" s="295" t="s">
        <v>343</v>
      </c>
      <c r="M156" s="296" t="s">
        <v>343</v>
      </c>
      <c r="N156" s="295" t="s">
        <v>343</v>
      </c>
      <c r="O156" s="295" t="s">
        <v>343</v>
      </c>
      <c r="P156" s="295" t="s">
        <v>343</v>
      </c>
      <c r="Q156" s="295" t="s">
        <v>343</v>
      </c>
      <c r="R156" s="296" t="s">
        <v>343</v>
      </c>
      <c r="S156" s="295" t="s">
        <v>343</v>
      </c>
      <c r="T156" s="295" t="s">
        <v>343</v>
      </c>
      <c r="U156" s="295" t="s">
        <v>343</v>
      </c>
      <c r="V156" s="295" t="s">
        <v>343</v>
      </c>
      <c r="W156" s="296" t="s">
        <v>343</v>
      </c>
      <c r="X156" s="295" t="s">
        <v>343</v>
      </c>
      <c r="Y156" s="295" t="s">
        <v>343</v>
      </c>
      <c r="Z156" s="295" t="s">
        <v>343</v>
      </c>
      <c r="AA156" s="295" t="s">
        <v>343</v>
      </c>
      <c r="AB156" s="296" t="s">
        <v>343</v>
      </c>
      <c r="AC156" s="295" t="s">
        <v>343</v>
      </c>
      <c r="AD156" s="295" t="s">
        <v>343</v>
      </c>
      <c r="AE156" s="295" t="s">
        <v>343</v>
      </c>
      <c r="AF156" s="295" t="s">
        <v>343</v>
      </c>
      <c r="AG156" s="296" t="s">
        <v>343</v>
      </c>
      <c r="AH156" s="295" t="s">
        <v>343</v>
      </c>
      <c r="AI156" s="295" t="s">
        <v>343</v>
      </c>
      <c r="AJ156" s="295" t="s">
        <v>343</v>
      </c>
      <c r="AK156" s="295" t="s">
        <v>343</v>
      </c>
      <c r="AL156" s="296" t="s">
        <v>343</v>
      </c>
      <c r="AM156" s="295" t="s">
        <v>343</v>
      </c>
      <c r="AN156" s="295" t="s">
        <v>343</v>
      </c>
      <c r="AO156" s="295" t="s">
        <v>343</v>
      </c>
      <c r="AP156" s="295" t="s">
        <v>343</v>
      </c>
      <c r="AQ156" s="296" t="s">
        <v>343</v>
      </c>
      <c r="AR156" s="295" t="s">
        <v>343</v>
      </c>
      <c r="AS156" s="295" t="s">
        <v>343</v>
      </c>
      <c r="AT156" s="295" t="s">
        <v>343</v>
      </c>
      <c r="AU156" s="295" t="s">
        <v>343</v>
      </c>
      <c r="AV156" s="296" t="s">
        <v>343</v>
      </c>
      <c r="AW156" s="295" t="s">
        <v>343</v>
      </c>
      <c r="AX156" s="295" t="s">
        <v>343</v>
      </c>
      <c r="AY156" s="295" t="s">
        <v>343</v>
      </c>
      <c r="AZ156" s="295" t="s">
        <v>343</v>
      </c>
      <c r="BA156" s="296" t="s">
        <v>343</v>
      </c>
      <c r="BB156" s="295" t="s">
        <v>343</v>
      </c>
      <c r="BC156" s="295" t="s">
        <v>343</v>
      </c>
      <c r="BD156" s="295" t="s">
        <v>343</v>
      </c>
      <c r="BE156" s="295" t="s">
        <v>343</v>
      </c>
      <c r="BF156" s="296" t="s">
        <v>343</v>
      </c>
      <c r="BG156" s="295" t="s">
        <v>343</v>
      </c>
      <c r="BH156" s="295" t="s">
        <v>343</v>
      </c>
      <c r="BI156" s="295" t="s">
        <v>343</v>
      </c>
      <c r="BJ156" s="297" t="s">
        <v>343</v>
      </c>
      <c r="BK156" s="296" t="s">
        <v>343</v>
      </c>
      <c r="BL156" s="295" t="s">
        <v>343</v>
      </c>
      <c r="BM156" s="295" t="s">
        <v>343</v>
      </c>
      <c r="BN156" s="295" t="s">
        <v>343</v>
      </c>
      <c r="BO156" s="297" t="s">
        <v>343</v>
      </c>
      <c r="BP156" s="296" t="s">
        <v>343</v>
      </c>
      <c r="BQ156" s="295" t="s">
        <v>343</v>
      </c>
      <c r="BR156" s="295" t="s">
        <v>343</v>
      </c>
      <c r="BS156" s="295" t="s">
        <v>343</v>
      </c>
      <c r="BT156" s="297" t="s">
        <v>343</v>
      </c>
      <c r="BU156" s="3963" t="s">
        <v>343</v>
      </c>
      <c r="BV156" s="294" t="s">
        <v>343</v>
      </c>
      <c r="BW156" s="295" t="s">
        <v>343</v>
      </c>
      <c r="BX156" s="295" t="s">
        <v>343</v>
      </c>
      <c r="BY156" s="297" t="s">
        <v>343</v>
      </c>
      <c r="BZ156" s="3963" t="s">
        <v>343</v>
      </c>
      <c r="CA156" s="297" t="s">
        <v>343</v>
      </c>
      <c r="CB156" s="297" t="s">
        <v>343</v>
      </c>
      <c r="CC156" s="297" t="s">
        <v>343</v>
      </c>
      <c r="CD156" s="297" t="s">
        <v>343</v>
      </c>
      <c r="CE156" s="297" t="s">
        <v>343</v>
      </c>
      <c r="CF156" s="297" t="s">
        <v>343</v>
      </c>
      <c r="CG156" s="297" t="s">
        <v>343</v>
      </c>
      <c r="CH156" s="295"/>
      <c r="CI156" s="295"/>
      <c r="CJ156" s="295"/>
      <c r="CK156" s="295"/>
      <c r="CL156" s="295"/>
      <c r="CM156" s="295"/>
      <c r="CN156" s="295"/>
      <c r="CO156" s="295"/>
      <c r="CP156" s="1784"/>
      <c r="CQ156" s="295" t="s">
        <v>343</v>
      </c>
      <c r="CR156" s="295" t="s">
        <v>343</v>
      </c>
      <c r="CS156" s="295" t="s">
        <v>343</v>
      </c>
      <c r="CT156" s="295" t="s">
        <v>343</v>
      </c>
      <c r="CU156" s="295" t="s">
        <v>343</v>
      </c>
      <c r="CV156" s="295" t="s">
        <v>343</v>
      </c>
      <c r="CW156" s="295" t="s">
        <v>343</v>
      </c>
      <c r="CX156" s="295" t="s">
        <v>343</v>
      </c>
      <c r="CY156" s="295" t="s">
        <v>343</v>
      </c>
      <c r="CZ156" s="295" t="s">
        <v>343</v>
      </c>
      <c r="DA156" s="295" t="s">
        <v>343</v>
      </c>
      <c r="DB156" s="295" t="s">
        <v>343</v>
      </c>
      <c r="DC156" s="295" t="s">
        <v>343</v>
      </c>
      <c r="DD156" s="295" t="s">
        <v>343</v>
      </c>
      <c r="DE156" s="295" t="s">
        <v>343</v>
      </c>
      <c r="DF156" s="295" t="s">
        <v>343</v>
      </c>
      <c r="DG156" s="297" t="s">
        <v>343</v>
      </c>
      <c r="DH156" s="298"/>
      <c r="DI156" s="299"/>
      <c r="DJ156" s="299"/>
      <c r="DK156" s="299"/>
      <c r="DL156" s="299"/>
      <c r="DM156" s="299"/>
      <c r="DN156" s="299"/>
      <c r="DO156" s="300"/>
      <c r="DY156" s="295"/>
      <c r="DZ156" s="295"/>
    </row>
    <row r="157" spans="1:130" ht="12" customHeight="1">
      <c r="A157" s="1755" t="s">
        <v>270</v>
      </c>
      <c r="B157" s="1732"/>
      <c r="C157" s="1732"/>
      <c r="D157" s="1731">
        <f>D155+D154*0.5</f>
        <v>-19.423335000000002</v>
      </c>
      <c r="E157" s="352">
        <f t="shared" ref="E157:AQ157" si="405">E155+E154*0.5</f>
        <v>-221.60561499999997</v>
      </c>
      <c r="F157" s="352">
        <f t="shared" si="405"/>
        <v>-892.01714499999991</v>
      </c>
      <c r="G157" s="352">
        <f t="shared" si="405"/>
        <v>-106.30319000000003</v>
      </c>
      <c r="H157" s="1731">
        <f t="shared" si="405"/>
        <v>-1239.349285</v>
      </c>
      <c r="I157" s="1731">
        <f t="shared" si="405"/>
        <v>-20.111510000000017</v>
      </c>
      <c r="J157" s="352">
        <f t="shared" si="405"/>
        <v>-108.66779000000001</v>
      </c>
      <c r="K157" s="352">
        <f t="shared" si="405"/>
        <v>-83.550359999999984</v>
      </c>
      <c r="L157" s="352">
        <f t="shared" si="405"/>
        <v>-169.00958499999996</v>
      </c>
      <c r="M157" s="1731">
        <f t="shared" si="405"/>
        <v>-381.33924500000001</v>
      </c>
      <c r="N157" s="1731">
        <f t="shared" si="405"/>
        <v>-89.893520000000038</v>
      </c>
      <c r="O157" s="352">
        <f t="shared" si="405"/>
        <v>-67.971079999999986</v>
      </c>
      <c r="P157" s="352">
        <f t="shared" si="405"/>
        <v>-23.204775000000041</v>
      </c>
      <c r="Q157" s="352">
        <f t="shared" si="405"/>
        <v>385.78639999999996</v>
      </c>
      <c r="R157" s="1731">
        <f t="shared" si="405"/>
        <v>204.71702499999986</v>
      </c>
      <c r="S157" s="1731">
        <f t="shared" si="405"/>
        <v>17.254050000000003</v>
      </c>
      <c r="T157" s="352">
        <f t="shared" si="405"/>
        <v>-53.378484999999998</v>
      </c>
      <c r="U157" s="352">
        <f t="shared" si="405"/>
        <v>-35.333319999999972</v>
      </c>
      <c r="V157" s="352">
        <f t="shared" si="405"/>
        <v>-51.882890000000003</v>
      </c>
      <c r="W157" s="1731">
        <f t="shared" si="405"/>
        <v>-123.34064499999994</v>
      </c>
      <c r="X157" s="1731">
        <f t="shared" si="405"/>
        <v>-169.05485999999999</v>
      </c>
      <c r="Y157" s="352">
        <f t="shared" si="405"/>
        <v>-151.03231500000001</v>
      </c>
      <c r="Z157" s="352">
        <f t="shared" si="405"/>
        <v>-179.27461499999995</v>
      </c>
      <c r="AA157" s="352">
        <f t="shared" si="405"/>
        <v>-122.38526499999996</v>
      </c>
      <c r="AB157" s="1731">
        <f t="shared" si="405"/>
        <v>-621.74705499999993</v>
      </c>
      <c r="AC157" s="1731">
        <f t="shared" si="405"/>
        <v>-71.966750000000005</v>
      </c>
      <c r="AD157" s="352">
        <f t="shared" si="405"/>
        <v>2.9342500000000165</v>
      </c>
      <c r="AE157" s="352">
        <f t="shared" si="405"/>
        <v>-3.3517499999999956</v>
      </c>
      <c r="AF157" s="352">
        <f t="shared" si="405"/>
        <v>55.58570600000003</v>
      </c>
      <c r="AG157" s="1731">
        <f t="shared" si="405"/>
        <v>-16.798543999999978</v>
      </c>
      <c r="AH157" s="1731">
        <f t="shared" si="405"/>
        <v>24.578510000000001</v>
      </c>
      <c r="AI157" s="352">
        <f t="shared" si="405"/>
        <v>35.79199000000002</v>
      </c>
      <c r="AJ157" s="352">
        <f t="shared" si="405"/>
        <v>37.990000000000009</v>
      </c>
      <c r="AK157" s="352">
        <f t="shared" si="405"/>
        <v>30.266499999999986</v>
      </c>
      <c r="AL157" s="1731">
        <f t="shared" si="405"/>
        <v>128.62700000000001</v>
      </c>
      <c r="AM157" s="1731">
        <f t="shared" si="405"/>
        <v>47.005499999999991</v>
      </c>
      <c r="AN157" s="352">
        <f t="shared" si="405"/>
        <v>9.1370000000000271</v>
      </c>
      <c r="AO157" s="352">
        <f t="shared" si="405"/>
        <v>9.7425000000000193</v>
      </c>
      <c r="AP157" s="352">
        <f t="shared" si="405"/>
        <v>-282.19400000000002</v>
      </c>
      <c r="AQ157" s="1487">
        <f t="shared" si="405"/>
        <v>-216.309</v>
      </c>
      <c r="AR157" s="1731">
        <f t="shared" ref="AR157:BA157" si="406">AR155+AR154*0.5</f>
        <v>39.461000000000006</v>
      </c>
      <c r="AS157" s="352">
        <f t="shared" si="406"/>
        <v>10.715500000000004</v>
      </c>
      <c r="AT157" s="352">
        <f t="shared" si="406"/>
        <v>6.3459999999999992</v>
      </c>
      <c r="AU157" s="352">
        <f t="shared" si="406"/>
        <v>-1496.7745000000002</v>
      </c>
      <c r="AV157" s="1487">
        <f t="shared" si="406"/>
        <v>-1440.2520000000002</v>
      </c>
      <c r="AW157" s="1731">
        <f t="shared" si="406"/>
        <v>400.92875000000004</v>
      </c>
      <c r="AX157" s="352">
        <f t="shared" si="406"/>
        <v>78.424500000000023</v>
      </c>
      <c r="AY157" s="352">
        <f t="shared" si="406"/>
        <v>-17.355749999999965</v>
      </c>
      <c r="AZ157" s="352">
        <f t="shared" si="406"/>
        <v>-60.151000000000025</v>
      </c>
      <c r="BA157" s="1487">
        <f t="shared" si="406"/>
        <v>401.84650000000011</v>
      </c>
      <c r="BB157" s="1731">
        <f>BB155+BB154</f>
        <v>41.063000000000038</v>
      </c>
      <c r="BC157" s="352">
        <f t="shared" ref="BC157:CB157" si="407">BC155+BC154</f>
        <v>21.174999999999994</v>
      </c>
      <c r="BD157" s="352">
        <f t="shared" si="407"/>
        <v>21.288499999999971</v>
      </c>
      <c r="BE157" s="352">
        <f t="shared" si="407"/>
        <v>-14.589999999999987</v>
      </c>
      <c r="BF157" s="1487">
        <f t="shared" si="407"/>
        <v>68.936500000000009</v>
      </c>
      <c r="BG157" s="1731">
        <f t="shared" si="407"/>
        <v>26.872500000000024</v>
      </c>
      <c r="BH157" s="352">
        <f t="shared" si="407"/>
        <v>64.866500000000059</v>
      </c>
      <c r="BI157" s="352">
        <f t="shared" si="407"/>
        <v>82.126999999999995</v>
      </c>
      <c r="BJ157" s="1798">
        <f t="shared" si="407"/>
        <v>14.686</v>
      </c>
      <c r="BK157" s="1487">
        <f t="shared" si="407"/>
        <v>188.55200000000011</v>
      </c>
      <c r="BL157" s="352">
        <f t="shared" si="407"/>
        <v>78.45150000000001</v>
      </c>
      <c r="BM157" s="352">
        <f t="shared" ref="BM157:BU157" si="408">BM155+BM154</f>
        <v>27.10599999999998</v>
      </c>
      <c r="BN157" s="352">
        <f t="shared" si="408"/>
        <v>-505.03099999999995</v>
      </c>
      <c r="BO157" s="1798">
        <f t="shared" si="408"/>
        <v>-181.75899999999999</v>
      </c>
      <c r="BP157" s="1487">
        <f t="shared" si="408"/>
        <v>-581.23249999999996</v>
      </c>
      <c r="BQ157" s="352">
        <f t="shared" si="408"/>
        <v>3.8729999999999833</v>
      </c>
      <c r="BR157" s="352">
        <f t="shared" si="408"/>
        <v>41.808849999999993</v>
      </c>
      <c r="BS157" s="352">
        <f t="shared" si="408"/>
        <v>128.45715000000001</v>
      </c>
      <c r="BT157" s="1798">
        <f t="shared" si="408"/>
        <v>-4.7212500000000057</v>
      </c>
      <c r="BU157" s="3964">
        <f t="shared" si="408"/>
        <v>169.41774999999998</v>
      </c>
      <c r="BV157" s="1731">
        <f t="shared" ref="BV157:BZ157" si="409">BV155+BV154</f>
        <v>114.62441850179825</v>
      </c>
      <c r="BW157" s="352">
        <f t="shared" si="409"/>
        <v>70.091110985853064</v>
      </c>
      <c r="BX157" s="352">
        <f t="shared" si="409"/>
        <v>-766.96979431729767</v>
      </c>
      <c r="BY157" s="1798">
        <f t="shared" si="409"/>
        <v>101.27494689101779</v>
      </c>
      <c r="BZ157" s="3964">
        <f t="shared" si="409"/>
        <v>-480.97931793862853</v>
      </c>
      <c r="CA157" s="1487">
        <f t="shared" si="407"/>
        <v>377.19789114644772</v>
      </c>
      <c r="CB157" s="1487">
        <f t="shared" si="407"/>
        <v>382.15433136309599</v>
      </c>
      <c r="CC157" s="1487">
        <f>CC155+CC154</f>
        <v>-117.4158333917633</v>
      </c>
      <c r="CD157" s="1487">
        <f>CD155+CD154</f>
        <v>-149.79401812752405</v>
      </c>
      <c r="CE157" s="1487">
        <f>CE155+CE154</f>
        <v>-135.26000729722568</v>
      </c>
      <c r="CF157" s="1487">
        <f>CF155+CF154</f>
        <v>-120.31093050517183</v>
      </c>
      <c r="CG157" s="1487">
        <f>CG155+CG154</f>
        <v>-104.9370835684264</v>
      </c>
      <c r="CH157" s="352"/>
      <c r="CI157" s="352"/>
      <c r="CJ157" s="352"/>
      <c r="CK157" s="352"/>
      <c r="CL157" s="352"/>
      <c r="CM157" s="965"/>
      <c r="CN157" s="965">
        <f t="shared" ref="CN157" si="410">SUM(BV157:BY157)</f>
        <v>-480.97931793862853</v>
      </c>
      <c r="CO157" s="965">
        <f t="shared" si="302"/>
        <v>480.97931793862853</v>
      </c>
      <c r="CP157" s="1755" t="str">
        <f>A157</f>
        <v>Net FCF Attributable to BYD</v>
      </c>
      <c r="CQ157" s="352">
        <f>H157</f>
        <v>-1239.349285</v>
      </c>
      <c r="CR157" s="352">
        <f>M157</f>
        <v>-381.33924500000001</v>
      </c>
      <c r="CS157" s="352">
        <f>R157</f>
        <v>204.71702499999986</v>
      </c>
      <c r="CT157" s="352">
        <f>W157</f>
        <v>-123.34064499999994</v>
      </c>
      <c r="CU157" s="352">
        <f>AB157</f>
        <v>-621.74705499999993</v>
      </c>
      <c r="CV157" s="352">
        <f>AG157</f>
        <v>-16.798543999999978</v>
      </c>
      <c r="CW157" s="352">
        <f>AL157</f>
        <v>128.62700000000001</v>
      </c>
      <c r="CX157" s="352">
        <f>AQ157</f>
        <v>-216.309</v>
      </c>
      <c r="CY157" s="352">
        <f>AV157</f>
        <v>-1440.2520000000002</v>
      </c>
      <c r="CZ157" s="352">
        <f>BA157</f>
        <v>401.84650000000011</v>
      </c>
      <c r="DA157" s="352">
        <f>BF157</f>
        <v>68.936500000000009</v>
      </c>
      <c r="DB157" s="352">
        <f>BK157</f>
        <v>188.55200000000011</v>
      </c>
      <c r="DC157" s="352">
        <f>BP157</f>
        <v>-581.23249999999996</v>
      </c>
      <c r="DD157" s="352">
        <f>BU157</f>
        <v>169.41774999999998</v>
      </c>
      <c r="DE157" s="352">
        <f>BZ157</f>
        <v>-480.97931793862853</v>
      </c>
      <c r="DF157" s="352">
        <f>CA157</f>
        <v>377.19789114644772</v>
      </c>
      <c r="DG157" s="1798">
        <f>CB157</f>
        <v>382.15433136309599</v>
      </c>
      <c r="DH157" s="620"/>
      <c r="DI157" s="311"/>
      <c r="DJ157" s="311"/>
      <c r="DK157" s="311"/>
      <c r="DL157" s="311"/>
      <c r="DM157" s="311"/>
      <c r="DN157" s="311"/>
      <c r="DO157" s="312"/>
      <c r="DY157" s="352"/>
      <c r="DZ157" s="352"/>
    </row>
    <row r="158" spans="1:130" ht="12" customHeight="1">
      <c r="A158" s="977"/>
      <c r="B158" s="242"/>
      <c r="C158" s="242"/>
      <c r="D158" s="353"/>
      <c r="E158" s="354"/>
      <c r="F158" s="354"/>
      <c r="G158" s="354"/>
      <c r="H158" s="355"/>
      <c r="I158" s="354"/>
      <c r="J158" s="354"/>
      <c r="K158" s="354"/>
      <c r="L158" s="354"/>
      <c r="M158" s="355"/>
      <c r="N158" s="354"/>
      <c r="O158" s="354"/>
      <c r="P158" s="354"/>
      <c r="Q158" s="354"/>
      <c r="R158" s="355"/>
      <c r="S158" s="354"/>
      <c r="T158" s="354"/>
      <c r="U158" s="354"/>
      <c r="V158" s="354"/>
      <c r="W158" s="355"/>
      <c r="X158" s="354"/>
      <c r="Y158" s="354"/>
      <c r="Z158" s="354"/>
      <c r="AA158" s="354"/>
      <c r="AB158" s="355"/>
      <c r="AC158" s="354"/>
      <c r="AD158" s="354"/>
      <c r="AE158" s="354"/>
      <c r="AF158" s="354"/>
      <c r="AG158" s="355"/>
      <c r="AH158" s="354"/>
      <c r="AI158" s="354"/>
      <c r="AJ158" s="354"/>
      <c r="AK158" s="354"/>
      <c r="AL158" s="355"/>
      <c r="AM158" s="354"/>
      <c r="AN158" s="354"/>
      <c r="AO158" s="354"/>
      <c r="AP158" s="354"/>
      <c r="AQ158" s="355"/>
      <c r="AR158" s="354"/>
      <c r="AS158" s="354"/>
      <c r="AT158" s="354"/>
      <c r="AU158" s="354"/>
      <c r="AV158" s="355"/>
      <c r="AW158" s="354"/>
      <c r="AX158" s="354"/>
      <c r="AY158" s="354"/>
      <c r="AZ158" s="354"/>
      <c r="BA158" s="355"/>
      <c r="BB158" s="354"/>
      <c r="BC158" s="354"/>
      <c r="BD158" s="354"/>
      <c r="BE158" s="354"/>
      <c r="BF158" s="355"/>
      <c r="BG158" s="353"/>
      <c r="BH158" s="354"/>
      <c r="BI158" s="354"/>
      <c r="BJ158" s="1838"/>
      <c r="BK158" s="355"/>
      <c r="BL158" s="354"/>
      <c r="BM158" s="354"/>
      <c r="BN158" s="354"/>
      <c r="BO158" s="1838"/>
      <c r="BP158" s="355"/>
      <c r="BQ158" s="354"/>
      <c r="BR158" s="354"/>
      <c r="BS158" s="354"/>
      <c r="BT158" s="1838"/>
      <c r="BU158" s="3357"/>
      <c r="BV158" s="353"/>
      <c r="BW158" s="354"/>
      <c r="BX158" s="354"/>
      <c r="BY158" s="1838"/>
      <c r="BZ158" s="3357"/>
      <c r="CA158" s="355"/>
      <c r="CB158" s="355"/>
      <c r="CC158" s="355"/>
      <c r="CD158" s="355"/>
      <c r="CE158" s="355"/>
      <c r="CF158" s="355"/>
      <c r="CG158" s="355"/>
      <c r="CH158" s="354"/>
      <c r="CI158" s="354"/>
      <c r="CJ158" s="354"/>
      <c r="CK158" s="354"/>
      <c r="CL158" s="354"/>
      <c r="CM158" s="354"/>
      <c r="CN158" s="354"/>
      <c r="CO158" s="354"/>
      <c r="CP158" s="977"/>
      <c r="CQ158" s="354"/>
      <c r="CR158" s="354"/>
      <c r="CS158" s="354"/>
      <c r="CT158" s="354"/>
      <c r="CU158" s="354"/>
      <c r="CV158" s="354"/>
      <c r="CW158" s="354"/>
      <c r="CX158" s="354"/>
      <c r="CY158" s="354"/>
      <c r="CZ158" s="354"/>
      <c r="DA158" s="354"/>
      <c r="DB158" s="354"/>
      <c r="DC158" s="354"/>
      <c r="DD158" s="354"/>
      <c r="DE158" s="354"/>
      <c r="DF158" s="354"/>
      <c r="DG158" s="1838"/>
      <c r="DH158" s="500"/>
      <c r="DI158" s="240"/>
      <c r="DJ158" s="240"/>
      <c r="DK158" s="240"/>
      <c r="DL158" s="240"/>
      <c r="DM158" s="240"/>
      <c r="DN158" s="240"/>
      <c r="DO158" s="226"/>
      <c r="DY158" s="354"/>
      <c r="DZ158" s="354"/>
    </row>
    <row r="159" spans="1:130" ht="12" customHeight="1">
      <c r="A159" s="1002" t="s">
        <v>1179</v>
      </c>
      <c r="B159" s="242"/>
      <c r="C159" s="242"/>
      <c r="D159" s="353"/>
      <c r="E159" s="354"/>
      <c r="F159" s="354"/>
      <c r="G159" s="354"/>
      <c r="H159" s="355"/>
      <c r="I159" s="354"/>
      <c r="J159" s="354"/>
      <c r="K159" s="354"/>
      <c r="L159" s="354"/>
      <c r="M159" s="355"/>
      <c r="N159" s="354"/>
      <c r="O159" s="354"/>
      <c r="P159" s="354"/>
      <c r="Q159" s="354"/>
      <c r="R159" s="355"/>
      <c r="S159" s="354"/>
      <c r="T159" s="354"/>
      <c r="U159" s="354"/>
      <c r="V159" s="354"/>
      <c r="W159" s="355"/>
      <c r="X159" s="354"/>
      <c r="Y159" s="354"/>
      <c r="Z159" s="354"/>
      <c r="AA159" s="354"/>
      <c r="AB159" s="355"/>
      <c r="AC159" s="354"/>
      <c r="AD159" s="354"/>
      <c r="AE159" s="354"/>
      <c r="AF159" s="354"/>
      <c r="AG159" s="355"/>
      <c r="AH159" s="354"/>
      <c r="AI159" s="354"/>
      <c r="AJ159" s="354"/>
      <c r="AK159" s="354"/>
      <c r="AL159" s="355"/>
      <c r="AM159" s="354"/>
      <c r="AN159" s="354"/>
      <c r="AO159" s="354"/>
      <c r="AP159" s="354"/>
      <c r="AQ159" s="355"/>
      <c r="AR159" s="354"/>
      <c r="AS159" s="354"/>
      <c r="AT159" s="354"/>
      <c r="AU159" s="354"/>
      <c r="AV159" s="355"/>
      <c r="AW159" s="354"/>
      <c r="AX159" s="354"/>
      <c r="AY159" s="354"/>
      <c r="AZ159" s="354"/>
      <c r="BA159" s="355"/>
      <c r="BB159" s="354"/>
      <c r="BC159" s="354"/>
      <c r="BD159" s="354"/>
      <c r="BE159" s="354"/>
      <c r="BF159" s="355"/>
      <c r="BG159" s="353"/>
      <c r="BH159" s="354"/>
      <c r="BI159" s="354"/>
      <c r="BJ159" s="1838"/>
      <c r="BK159" s="355"/>
      <c r="BL159" s="354"/>
      <c r="BM159" s="354"/>
      <c r="BN159" s="354"/>
      <c r="BO159" s="1838"/>
      <c r="BP159" s="355"/>
      <c r="BQ159" s="354"/>
      <c r="BR159" s="354"/>
      <c r="BS159" s="354"/>
      <c r="BT159" s="1838"/>
      <c r="BU159" s="3357"/>
      <c r="BV159" s="353"/>
      <c r="BW159" s="354"/>
      <c r="BX159" s="354"/>
      <c r="BY159" s="1838"/>
      <c r="BZ159" s="3357"/>
      <c r="CA159" s="355"/>
      <c r="CB159" s="355"/>
      <c r="CC159" s="355"/>
      <c r="CD159" s="355"/>
      <c r="CE159" s="355"/>
      <c r="CF159" s="355"/>
      <c r="CG159" s="355"/>
      <c r="CH159" s="354"/>
      <c r="CI159" s="354"/>
      <c r="CJ159" s="354"/>
      <c r="CK159" s="354"/>
      <c r="CL159" s="354"/>
      <c r="CM159" s="354"/>
      <c r="CN159" s="354"/>
      <c r="CO159" s="354"/>
      <c r="CP159" s="1002" t="str">
        <f>A159</f>
        <v>BYD Consolidated</v>
      </c>
      <c r="CQ159" s="354"/>
      <c r="CR159" s="354"/>
      <c r="CS159" s="354"/>
      <c r="CT159" s="354"/>
      <c r="CU159" s="354"/>
      <c r="CV159" s="354"/>
      <c r="CW159" s="354"/>
      <c r="CX159" s="354"/>
      <c r="CY159" s="354"/>
      <c r="CZ159" s="354"/>
      <c r="DA159" s="354"/>
      <c r="DB159" s="354"/>
      <c r="DC159" s="354"/>
      <c r="DD159" s="354"/>
      <c r="DE159" s="354"/>
      <c r="DF159" s="354"/>
      <c r="DG159" s="1838"/>
      <c r="DH159" s="500"/>
      <c r="DI159" s="240"/>
      <c r="DJ159" s="240"/>
      <c r="DK159" s="240"/>
      <c r="DL159" s="240"/>
      <c r="DM159" s="240"/>
      <c r="DN159" s="240"/>
      <c r="DO159" s="226"/>
      <c r="DY159" s="354"/>
      <c r="DZ159" s="354"/>
    </row>
    <row r="160" spans="1:130" ht="12" customHeight="1">
      <c r="A160" s="981" t="s">
        <v>723</v>
      </c>
      <c r="B160" s="445"/>
      <c r="C160" s="445"/>
      <c r="D160" s="982">
        <f t="shared" ref="D160:AI160" si="411">D144/D103</f>
        <v>0.38462054274613333</v>
      </c>
      <c r="E160" s="983">
        <f t="shared" si="411"/>
        <v>0.42175879396984944</v>
      </c>
      <c r="F160" s="983">
        <f t="shared" si="411"/>
        <v>0.4169070019902299</v>
      </c>
      <c r="G160" s="983">
        <f t="shared" si="411"/>
        <v>0.51551501424054169</v>
      </c>
      <c r="H160" s="984">
        <f t="shared" si="411"/>
        <v>1.7556552693807124</v>
      </c>
      <c r="I160" s="983">
        <f t="shared" si="411"/>
        <v>0.77615636917534792</v>
      </c>
      <c r="J160" s="983">
        <f t="shared" si="411"/>
        <v>0.73891292339645143</v>
      </c>
      <c r="K160" s="983">
        <f t="shared" si="411"/>
        <v>0.54071057134971034</v>
      </c>
      <c r="L160" s="983">
        <f t="shared" si="411"/>
        <v>0.55366694146743645</v>
      </c>
      <c r="M160" s="984">
        <f t="shared" si="411"/>
        <v>2.6080888596692349</v>
      </c>
      <c r="N160" s="983">
        <f t="shared" si="411"/>
        <v>0.4061790183927525</v>
      </c>
      <c r="O160" s="983">
        <f t="shared" si="411"/>
        <v>0.82631592812530896</v>
      </c>
      <c r="P160" s="983">
        <f t="shared" si="411"/>
        <v>0.58902648774927502</v>
      </c>
      <c r="Q160" s="983">
        <f t="shared" si="411"/>
        <v>0.76099357952734381</v>
      </c>
      <c r="R160" s="984">
        <f t="shared" si="411"/>
        <v>2.5805691326850901</v>
      </c>
      <c r="S160" s="983">
        <f t="shared" si="411"/>
        <v>0.71207551435677152</v>
      </c>
      <c r="T160" s="983">
        <f t="shared" si="411"/>
        <v>0.70712965259147365</v>
      </c>
      <c r="U160" s="983">
        <f t="shared" si="411"/>
        <v>0.55059582606739066</v>
      </c>
      <c r="V160" s="983">
        <f t="shared" si="411"/>
        <v>0.77366831616052045</v>
      </c>
      <c r="W160" s="984">
        <f t="shared" si="411"/>
        <v>2.7429331784043254</v>
      </c>
      <c r="X160" s="983">
        <f t="shared" si="411"/>
        <v>0.59043765445455487</v>
      </c>
      <c r="Y160" s="983">
        <f t="shared" si="411"/>
        <v>0.48805422213143596</v>
      </c>
      <c r="Z160" s="983">
        <f t="shared" si="411"/>
        <v>0.17187106900356008</v>
      </c>
      <c r="AA160" s="983">
        <f t="shared" si="411"/>
        <v>0.26867947930179115</v>
      </c>
      <c r="AB160" s="984">
        <f t="shared" si="411"/>
        <v>1.5204284368712959</v>
      </c>
      <c r="AC160" s="983">
        <f t="shared" si="411"/>
        <v>0.51701521896676661</v>
      </c>
      <c r="AD160" s="983">
        <f t="shared" si="411"/>
        <v>0.40472355170295876</v>
      </c>
      <c r="AE160" s="983">
        <f t="shared" si="411"/>
        <v>0.10580325327409865</v>
      </c>
      <c r="AF160" s="983">
        <f t="shared" si="411"/>
        <v>0.81188390745978034</v>
      </c>
      <c r="AG160" s="984">
        <f t="shared" si="411"/>
        <v>1.8384821017834645</v>
      </c>
      <c r="AH160" s="983">
        <f t="shared" si="411"/>
        <v>0.40566529254858497</v>
      </c>
      <c r="AI160" s="983">
        <f t="shared" si="411"/>
        <v>0.61799797566193571</v>
      </c>
      <c r="AJ160" s="983">
        <f t="shared" ref="AJ160:CB160" si="412">AJ144/AJ103</f>
        <v>0.44470923123067718</v>
      </c>
      <c r="AK160" s="983">
        <f t="shared" si="412"/>
        <v>0.39999493536839437</v>
      </c>
      <c r="AL160" s="984">
        <f t="shared" si="412"/>
        <v>1.8675419493038203</v>
      </c>
      <c r="AM160" s="983">
        <f t="shared" si="412"/>
        <v>0.39420815310302071</v>
      </c>
      <c r="AN160" s="983">
        <f t="shared" si="412"/>
        <v>0.49654832347140077</v>
      </c>
      <c r="AO160" s="983">
        <f t="shared" si="412"/>
        <v>0.35984536554122082</v>
      </c>
      <c r="AP160" s="983">
        <f t="shared" si="412"/>
        <v>0.41122965394610866</v>
      </c>
      <c r="AQ160" s="984">
        <f t="shared" si="412"/>
        <v>1.6624760988790805</v>
      </c>
      <c r="AR160" s="983">
        <f t="shared" si="412"/>
        <v>0.58855285439894534</v>
      </c>
      <c r="AS160" s="983">
        <f t="shared" si="412"/>
        <v>0.45089509978535885</v>
      </c>
      <c r="AT160" s="983">
        <f t="shared" si="412"/>
        <v>0.32591307919628498</v>
      </c>
      <c r="AU160" s="983">
        <f t="shared" si="412"/>
        <v>0.66950117250643293</v>
      </c>
      <c r="AV160" s="984">
        <f t="shared" si="412"/>
        <v>2.0382307306165304</v>
      </c>
      <c r="AW160" s="983">
        <f t="shared" si="412"/>
        <v>0.5698444995112194</v>
      </c>
      <c r="AX160" s="983">
        <f t="shared" si="412"/>
        <v>0.46146900792112144</v>
      </c>
      <c r="AY160" s="983">
        <f t="shared" si="412"/>
        <v>0.17995175028309815</v>
      </c>
      <c r="AZ160" s="983">
        <f t="shared" si="412"/>
        <v>0.23506225393026445</v>
      </c>
      <c r="BA160" s="984">
        <f t="shared" si="412"/>
        <v>1.3964347048116581</v>
      </c>
      <c r="BB160" s="983">
        <f t="shared" si="412"/>
        <v>0.41228030213297168</v>
      </c>
      <c r="BC160" s="983">
        <f t="shared" si="412"/>
        <v>0.30719319935386641</v>
      </c>
      <c r="BD160" s="983">
        <f t="shared" si="412"/>
        <v>0.258512777125806</v>
      </c>
      <c r="BE160" s="983">
        <f t="shared" si="412"/>
        <v>9.4996012759170759E-2</v>
      </c>
      <c r="BF160" s="984">
        <f t="shared" si="412"/>
        <v>1.0724002531524972</v>
      </c>
      <c r="BG160" s="983">
        <f t="shared" ref="BG160:BP160" si="413">BG144/BG103</f>
        <v>0.59576087150002699</v>
      </c>
      <c r="BH160" s="983">
        <f t="shared" si="413"/>
        <v>0.53482518354836461</v>
      </c>
      <c r="BI160" s="983">
        <f t="shared" si="413"/>
        <v>0.62955678059536935</v>
      </c>
      <c r="BJ160" s="1839">
        <f t="shared" si="413"/>
        <v>0.48016909330701446</v>
      </c>
      <c r="BK160" s="984">
        <f t="shared" si="413"/>
        <v>2.2394564799384704</v>
      </c>
      <c r="BL160" s="983">
        <f t="shared" si="413"/>
        <v>0.67618919107149078</v>
      </c>
      <c r="BM160" s="983">
        <f t="shared" si="413"/>
        <v>0.51711462759717386</v>
      </c>
      <c r="BN160" s="983">
        <f t="shared" si="413"/>
        <v>0.43267477995173731</v>
      </c>
      <c r="BO160" s="1839">
        <f t="shared" si="413"/>
        <v>0.79621812394034785</v>
      </c>
      <c r="BP160" s="984">
        <f t="shared" si="413"/>
        <v>2.4227532875674718</v>
      </c>
      <c r="BQ160" s="983">
        <f t="shared" ref="BQ160:BZ160" si="414">BQ144/BQ103</f>
        <v>0.2732653448603129</v>
      </c>
      <c r="BR160" s="983">
        <f t="shared" si="414"/>
        <v>0.56114834847269301</v>
      </c>
      <c r="BS160" s="983">
        <f t="shared" si="414"/>
        <v>0.45998735941680163</v>
      </c>
      <c r="BT160" s="1839">
        <f t="shared" si="414"/>
        <v>0.60013888286098693</v>
      </c>
      <c r="BU160" s="3965">
        <f t="shared" si="414"/>
        <v>1.8938406290605387</v>
      </c>
      <c r="BV160" s="982">
        <f t="shared" si="414"/>
        <v>0.66289839197262057</v>
      </c>
      <c r="BW160" s="983">
        <f t="shared" si="414"/>
        <v>0.65606816820261193</v>
      </c>
      <c r="BX160" s="983">
        <f t="shared" si="414"/>
        <v>0.77096240200781008</v>
      </c>
      <c r="BY160" s="1839">
        <f t="shared" si="414"/>
        <v>0.86636278998547522</v>
      </c>
      <c r="BZ160" s="3965">
        <f t="shared" si="414"/>
        <v>2.954628980692906</v>
      </c>
      <c r="CA160" s="984">
        <f t="shared" si="412"/>
        <v>3.2327816213830145</v>
      </c>
      <c r="CB160" s="984">
        <f t="shared" si="412"/>
        <v>3.264761076463484</v>
      </c>
      <c r="CC160" s="984">
        <f>CC144/CC103</f>
        <v>-0.59204322547103849</v>
      </c>
      <c r="CD160" s="984">
        <f>CD144/CD103</f>
        <v>-0.87638718387709158</v>
      </c>
      <c r="CE160" s="984">
        <f>CE144/CE103</f>
        <v>-0.74875006633235519</v>
      </c>
      <c r="CF160" s="984">
        <f>CF144/CF103</f>
        <v>-0.61746785566308615</v>
      </c>
      <c r="CG160" s="984">
        <f>CG144/CG103</f>
        <v>-0.48245533011236197</v>
      </c>
      <c r="CH160" s="354"/>
      <c r="CI160" s="354"/>
      <c r="CJ160" s="354"/>
      <c r="CK160" s="354"/>
      <c r="CL160" s="354"/>
      <c r="CM160" s="965"/>
      <c r="CN160" s="965">
        <f t="shared" ref="CN160" si="415">SUM(BV160:BY160)</f>
        <v>2.9562917521685179</v>
      </c>
      <c r="CO160" s="965">
        <f t="shared" ref="CO160" si="416">CM160-CN160</f>
        <v>-2.9562917521685179</v>
      </c>
      <c r="CP160" s="981" t="str">
        <f>A160</f>
        <v>Operating Cash Flow per Share</v>
      </c>
      <c r="CQ160" s="983">
        <f>H160</f>
        <v>1.7556552693807124</v>
      </c>
      <c r="CR160" s="983">
        <f>M160</f>
        <v>2.6080888596692349</v>
      </c>
      <c r="CS160" s="983">
        <f>R160</f>
        <v>2.5805691326850901</v>
      </c>
      <c r="CT160" s="983">
        <f>W160</f>
        <v>2.7429331784043254</v>
      </c>
      <c r="CU160" s="983">
        <f>AB160</f>
        <v>1.5204284368712959</v>
      </c>
      <c r="CV160" s="983">
        <f>AG160</f>
        <v>1.8384821017834645</v>
      </c>
      <c r="CW160" s="983">
        <f>AL160</f>
        <v>1.8675419493038203</v>
      </c>
      <c r="CX160" s="983">
        <f>AQ160</f>
        <v>1.6624760988790805</v>
      </c>
      <c r="CY160" s="983">
        <f>AV160</f>
        <v>2.0382307306165304</v>
      </c>
      <c r="CZ160" s="983">
        <f>BA160</f>
        <v>1.3964347048116581</v>
      </c>
      <c r="DA160" s="983">
        <f>BF160</f>
        <v>1.0724002531524972</v>
      </c>
      <c r="DB160" s="983">
        <f>BK160</f>
        <v>2.2394564799384704</v>
      </c>
      <c r="DC160" s="983">
        <f>BP160</f>
        <v>2.4227532875674718</v>
      </c>
      <c r="DD160" s="983">
        <f>BU160</f>
        <v>1.8938406290605387</v>
      </c>
      <c r="DE160" s="983">
        <f t="shared" ref="DE160:DG162" si="417">BZ160</f>
        <v>2.954628980692906</v>
      </c>
      <c r="DF160" s="983">
        <f t="shared" si="417"/>
        <v>3.2327816213830145</v>
      </c>
      <c r="DG160" s="1839">
        <f t="shared" si="417"/>
        <v>3.264761076463484</v>
      </c>
      <c r="DH160" s="500"/>
      <c r="DI160" s="240"/>
      <c r="DJ160" s="240"/>
      <c r="DK160" s="240"/>
      <c r="DL160" s="240"/>
      <c r="DM160" s="240"/>
      <c r="DN160" s="240"/>
      <c r="DO160" s="226"/>
      <c r="DY160" s="983"/>
      <c r="DZ160" s="983"/>
    </row>
    <row r="161" spans="1:130" ht="12" customHeight="1">
      <c r="A161" s="2318" t="s">
        <v>884</v>
      </c>
      <c r="B161" s="2319"/>
      <c r="C161" s="2319"/>
      <c r="D161" s="2320">
        <f>+D160*4/'EBITDA Val'!$F$23</f>
        <v>4.0993396509046987E-2</v>
      </c>
      <c r="E161" s="2321">
        <f>+E160*4/'EBITDA Val'!$F$23</f>
        <v>4.495164337541694E-2</v>
      </c>
      <c r="F161" s="2321">
        <f>+F160*4/'EBITDA Val'!$F$23</f>
        <v>4.4434532586222208E-2</v>
      </c>
      <c r="G161" s="2321">
        <f>+G160*4/'EBITDA Val'!$F$23</f>
        <v>5.4944312735469403E-2</v>
      </c>
      <c r="H161" s="2322">
        <f>+H160/'EBITDA Val'!$F$23</f>
        <v>4.6780049810304085E-2</v>
      </c>
      <c r="I161" s="2321">
        <f>+I160*4/'EBITDA Val'!$F$23</f>
        <v>8.2723833645121009E-2</v>
      </c>
      <c r="J161" s="2321">
        <f>+J160*4/'EBITDA Val'!$F$23</f>
        <v>7.8754374995624987E-2</v>
      </c>
      <c r="K161" s="2321">
        <f>+K160*4/'EBITDA Val'!$F$23</f>
        <v>5.7629690524882531E-2</v>
      </c>
      <c r="L161" s="2321">
        <f>+L160*4/'EBITDA Val'!$F$23</f>
        <v>5.9010598610971111E-2</v>
      </c>
      <c r="M161" s="2322">
        <f>+M160/'EBITDA Val'!$F$23</f>
        <v>6.9493441504642553E-2</v>
      </c>
      <c r="N161" s="2321">
        <f>+N160*4/'EBITDA Val'!$F$23</f>
        <v>4.3291129058646682E-2</v>
      </c>
      <c r="O161" s="2321">
        <f>+O160*4/'EBITDA Val'!$F$23</f>
        <v>8.8069909738908492E-2</v>
      </c>
      <c r="P161" s="2321">
        <f>+P160*4/'EBITDA Val'!$F$23</f>
        <v>6.2779268611699968E-2</v>
      </c>
      <c r="Q161" s="2321">
        <f>+Q160*4/'EBITDA Val'!$F$23</f>
        <v>8.1107762273098197E-2</v>
      </c>
      <c r="R161" s="2322">
        <f>+R160/'EBITDA Val'!$F$23</f>
        <v>6.8760168736613114E-2</v>
      </c>
      <c r="S161" s="2321">
        <f>+S160*4/'EBITDA Val'!$F$23</f>
        <v>7.5894006326327895E-2</v>
      </c>
      <c r="T161" s="2321">
        <f>+T160*4/'EBITDA Val'!$F$23</f>
        <v>7.53668694475325E-2</v>
      </c>
      <c r="U161" s="2321">
        <f>+U160*4/'EBITDA Val'!$F$23</f>
        <v>5.8683274827326472E-2</v>
      </c>
      <c r="V161" s="2321">
        <f>+V160*4/'EBITDA Val'!$F$23</f>
        <v>8.2458653467681373E-2</v>
      </c>
      <c r="W161" s="2322">
        <f>+W160/'EBITDA Val'!$F$23</f>
        <v>7.308641562494872E-2</v>
      </c>
      <c r="X161" s="2321">
        <f>+X160*4/'EBITDA Val'!$F$23</f>
        <v>6.2929672736962941E-2</v>
      </c>
      <c r="Y161" s="2321">
        <f>+Y160*4/'EBITDA Val'!$F$23</f>
        <v>5.2017503024933222E-2</v>
      </c>
      <c r="Z161" s="2321">
        <f>+Z160*4/'EBITDA Val'!$F$23</f>
        <v>1.8318259419510801E-2</v>
      </c>
      <c r="AA161" s="2321">
        <f>+AA160*4/'EBITDA Val'!$F$23</f>
        <v>2.8636235470481337E-2</v>
      </c>
      <c r="AB161" s="2322">
        <f>+AB160/'EBITDA Val'!$F$23</f>
        <v>4.0512348437817633E-2</v>
      </c>
      <c r="AC161" s="2321">
        <f>+AC160*4/'EBITDA Val'!$F$23</f>
        <v>5.5104206657795536E-2</v>
      </c>
      <c r="AD161" s="2321">
        <f>+AD160*4/'EBITDA Val'!$F$23</f>
        <v>4.3136003378945777E-2</v>
      </c>
      <c r="AE161" s="2321">
        <f>+AE160*4/'EBITDA Val'!$F$23</f>
        <v>1.1276659022019573E-2</v>
      </c>
      <c r="AF161" s="2321">
        <f>+AF160*4/'EBITDA Val'!$F$23</f>
        <v>8.6531724749243838E-2</v>
      </c>
      <c r="AG161" s="2322">
        <f>+AG160/'EBITDA Val'!$F$23</f>
        <v>4.8986999781067533E-2</v>
      </c>
      <c r="AH161" s="2321">
        <f>+AH160*4/'EBITDA Val'!$F$23</f>
        <v>4.3236375438165199E-2</v>
      </c>
      <c r="AI161" s="2321">
        <f>+AI160*4/'EBITDA Val'!$F$23</f>
        <v>6.5867090398287836E-2</v>
      </c>
      <c r="AJ161" s="2321">
        <f>+AJ160*4/'EBITDA Val'!$F$23</f>
        <v>4.7397733144756427E-2</v>
      </c>
      <c r="AK161" s="2321">
        <f>+AK160*4/'EBITDA Val'!$F$23</f>
        <v>4.2632020822637291E-2</v>
      </c>
      <c r="AL161" s="2322">
        <f>+AL160/'EBITDA Val'!$F$23</f>
        <v>4.9761309600421536E-2</v>
      </c>
      <c r="AM161" s="2321">
        <f>+AM160*4/'EBITDA Val'!$F$23</f>
        <v>4.2015257458355521E-2</v>
      </c>
      <c r="AN161" s="2321">
        <f>+AN160*4/'EBITDA Val'!$F$23</f>
        <v>5.2922816250615588E-2</v>
      </c>
      <c r="AO161" s="2321">
        <f>+AO160*4/'EBITDA Val'!$F$23</f>
        <v>3.8352823399011013E-2</v>
      </c>
      <c r="AP161" s="2321">
        <f>+AP160*4/'EBITDA Val'!$F$23</f>
        <v>4.382943287461856E-2</v>
      </c>
      <c r="AQ161" s="2322">
        <f>+AQ160/'EBITDA Val'!$F$23</f>
        <v>4.4297258163577949E-2</v>
      </c>
      <c r="AR161" s="2321">
        <f>+AR160*4/'EBITDA Val'!$F$23</f>
        <v>6.272878810540318E-2</v>
      </c>
      <c r="AS161" s="2321">
        <f>+AS160*4/'EBITDA Val'!$F$23</f>
        <v>4.8057031685090207E-2</v>
      </c>
      <c r="AT161" s="2321">
        <f>+AT160*4/'EBITDA Val'!$F$23</f>
        <v>3.473627276272688E-2</v>
      </c>
      <c r="AU161" s="2321">
        <f>+AU160*4/'EBITDA Val'!$F$23</f>
        <v>7.1356373302044543E-2</v>
      </c>
      <c r="AV161" s="2322">
        <f>+AV160/'EBITDA Val'!$F$23</f>
        <v>5.4309371985519057E-2</v>
      </c>
      <c r="AW161" s="2321">
        <f>+AW160*4/'EBITDA Val'!$F$23</f>
        <v>6.0734825420860047E-2</v>
      </c>
      <c r="AX161" s="2321">
        <f>+AX160*4/'EBITDA Val'!$F$23</f>
        <v>4.9184013634012411E-2</v>
      </c>
      <c r="AY161" s="2321">
        <f>+AY160*4/'EBITDA Val'!$F$23</f>
        <v>1.9179509755725889E-2</v>
      </c>
      <c r="AZ161" s="2321">
        <f>+AZ160*4/'EBITDA Val'!$F$23</f>
        <v>2.5053264474315422E-2</v>
      </c>
      <c r="BA161" s="2322">
        <f>+BA160/'EBITDA Val'!$F$23</f>
        <v>3.720849200137645E-2</v>
      </c>
      <c r="BB161" s="2321">
        <f>+BB160*4/'EBITDA Val'!$F$23</f>
        <v>4.3941412430905588E-2</v>
      </c>
      <c r="BC161" s="2321">
        <f>+BC160*4/'EBITDA Val'!$F$23</f>
        <v>3.2741081732359859E-2</v>
      </c>
      <c r="BD161" s="2321">
        <f>+BD160*4/'EBITDA Val'!$F$23</f>
        <v>2.7552654103469864E-2</v>
      </c>
      <c r="BE161" s="2321">
        <f>+BE160*4/'EBITDA Val'!$F$23</f>
        <v>1.01248081811E-2</v>
      </c>
      <c r="BF161" s="2322">
        <f>+BF160/'EBITDA Val'!$F$23</f>
        <v>2.8574480499666859E-2</v>
      </c>
      <c r="BG161" s="2321">
        <f>+BG160*4/'EBITDA Val'!$F$23</f>
        <v>6.3497028670399885E-2</v>
      </c>
      <c r="BH161" s="2321">
        <f>+BH160*4/'EBITDA Val'!$F$23</f>
        <v>5.7002417644376725E-2</v>
      </c>
      <c r="BI161" s="2321">
        <f>+BI160*4/'EBITDA Val'!$F$23</f>
        <v>6.7099044028283442E-2</v>
      </c>
      <c r="BJ161" s="2324">
        <f>+BJ160*4/'EBITDA Val'!$F$23</f>
        <v>5.1177094943460108E-2</v>
      </c>
      <c r="BK161" s="2322">
        <f>+BK160/'EBITDA Val'!$F$23</f>
        <v>5.9671102582959511E-2</v>
      </c>
      <c r="BL161" s="2321">
        <f>+BL160*4/'EBITDA Val'!$F$23</f>
        <v>7.2069191694270271E-2</v>
      </c>
      <c r="BM161" s="2321">
        <f>+BM160*4/'EBITDA Val'!$F$23</f>
        <v>5.5114801768950047E-2</v>
      </c>
      <c r="BN161" s="2321">
        <f>+BN160*4/'EBITDA Val'!$F$23</f>
        <v>4.6115084460616816E-2</v>
      </c>
      <c r="BO161" s="2324">
        <f>+BO160*4/'EBITDA Val'!$F$23</f>
        <v>8.486204358543542E-2</v>
      </c>
      <c r="BP161" s="2322">
        <f>+BP160/'EBITDA Val'!$F$23</f>
        <v>6.4555110246935027E-2</v>
      </c>
      <c r="BQ161" s="2321">
        <f>+BQ160*4/'EBITDA Val'!$F$23</f>
        <v>2.9125003449007501E-2</v>
      </c>
      <c r="BR161" s="2321">
        <f>+BR160*4/'EBITDA Val'!$F$23</f>
        <v>5.9807977455123153E-2</v>
      </c>
      <c r="BS161" s="2321">
        <f>+BS160*4/'EBITDA Val'!$F$23</f>
        <v>4.9026097459824315E-2</v>
      </c>
      <c r="BT161" s="2324">
        <f>+BT160*4/'EBITDA Val'!$F$23</f>
        <v>6.3963643257232819E-2</v>
      </c>
      <c r="BU161" s="3966">
        <f>+BU160/'EBITDA Val'!$F$23</f>
        <v>5.0462047137237905E-2</v>
      </c>
      <c r="BV161" s="2320">
        <f>+BV160*4/'EBITDA Val'!$F$23</f>
        <v>7.065263969865393E-2</v>
      </c>
      <c r="BW161" s="2321">
        <f>+BW160*4/'EBITDA Val'!$F$23</f>
        <v>6.9924664876377496E-2</v>
      </c>
      <c r="BX161" s="2321">
        <f>+BX160*4/'EBITDA Val'!$F$23</f>
        <v>8.2170253344823876E-2</v>
      </c>
      <c r="BY161" s="2324">
        <f>+BY160*4/'EBITDA Val'!$F$23</f>
        <v>9.2338160403461253E-2</v>
      </c>
      <c r="BZ161" s="3966">
        <f>+BZ160/'EBITDA Val'!$F$23</f>
        <v>7.8727124452249025E-2</v>
      </c>
      <c r="CA161" s="2322">
        <f>+CA160/'EBITDA Val'!$F$23</f>
        <v>8.6138599024327592E-2</v>
      </c>
      <c r="CB161" s="2322">
        <f>+CB160/'EBITDA Val'!$F$23</f>
        <v>8.6990702810111481E-2</v>
      </c>
      <c r="CC161" s="2322">
        <f>+CC160/'EBITDA Val'!$F$23</f>
        <v>-1.5775199186545123E-2</v>
      </c>
      <c r="CD161" s="2322">
        <f>+CD160/'EBITDA Val'!$F$23</f>
        <v>-2.3351643588518295E-2</v>
      </c>
      <c r="CE161" s="2322">
        <f>+CE160/'EBITDA Val'!$F$23</f>
        <v>-1.9950707869234086E-2</v>
      </c>
      <c r="CF161" s="2322">
        <f>+CF160/'EBITDA Val'!$F$23</f>
        <v>-1.6452647366455801E-2</v>
      </c>
      <c r="CG161" s="2322">
        <f>+CG160/'EBITDA Val'!$F$23</f>
        <v>-1.2855191316609697E-2</v>
      </c>
      <c r="CH161" s="2315"/>
      <c r="CI161" s="2315"/>
      <c r="CJ161" s="2315"/>
      <c r="CK161" s="2315"/>
      <c r="CL161" s="2315"/>
      <c r="CM161" s="2315"/>
      <c r="CN161" s="2315"/>
      <c r="CO161" s="2315"/>
      <c r="CP161" s="2323"/>
      <c r="CQ161" s="2321"/>
      <c r="CR161" s="2321"/>
      <c r="CS161" s="2321"/>
      <c r="CT161" s="2321"/>
      <c r="CU161" s="2321"/>
      <c r="CV161" s="2321"/>
      <c r="CW161" s="2321"/>
      <c r="CX161" s="2321"/>
      <c r="CY161" s="2321"/>
      <c r="CZ161" s="2321"/>
      <c r="DA161" s="2321"/>
      <c r="DB161" s="2321"/>
      <c r="DC161" s="2321"/>
      <c r="DD161" s="2321"/>
      <c r="DE161" s="2321"/>
      <c r="DF161" s="2321"/>
      <c r="DG161" s="2324"/>
      <c r="DH161" s="2321"/>
      <c r="DI161" s="1726"/>
      <c r="DJ161" s="1726"/>
      <c r="DK161" s="1726"/>
      <c r="DL161" s="1726"/>
      <c r="DM161" s="1726"/>
      <c r="DN161" s="1726"/>
      <c r="DO161" s="421"/>
      <c r="DY161" s="2321"/>
      <c r="DZ161" s="2321"/>
    </row>
    <row r="162" spans="1:130" ht="12" customHeight="1">
      <c r="A162" s="981" t="s">
        <v>1248</v>
      </c>
      <c r="B162" s="445"/>
      <c r="C162" s="445"/>
      <c r="D162" s="982">
        <f t="shared" ref="D162:AI162" si="418">D151/D103</f>
        <v>-0.12030527594845569</v>
      </c>
      <c r="E162" s="983">
        <f t="shared" si="418"/>
        <v>-2.9890912410891661</v>
      </c>
      <c r="F162" s="983">
        <f t="shared" si="418"/>
        <v>-9.8346445856703433</v>
      </c>
      <c r="G162" s="983">
        <f t="shared" si="418"/>
        <v>-0.80652351371353004</v>
      </c>
      <c r="H162" s="984">
        <f t="shared" si="418"/>
        <v>-14.753825909119959</v>
      </c>
      <c r="I162" s="983">
        <f t="shared" si="418"/>
        <v>3.2910241158092206E-2</v>
      </c>
      <c r="J162" s="983">
        <f t="shared" si="418"/>
        <v>-0.95377250933516011</v>
      </c>
      <c r="K162" s="983">
        <f t="shared" si="418"/>
        <v>-0.57253900082804288</v>
      </c>
      <c r="L162" s="983">
        <f t="shared" si="418"/>
        <v>-1.5764569387194278</v>
      </c>
      <c r="M162" s="984">
        <f t="shared" si="418"/>
        <v>-3.0789233416848751</v>
      </c>
      <c r="N162" s="983">
        <f t="shared" si="418"/>
        <v>-0.68565057071468705</v>
      </c>
      <c r="O162" s="983">
        <f t="shared" si="418"/>
        <v>-0.48381677881079638</v>
      </c>
      <c r="P162" s="983">
        <f t="shared" si="418"/>
        <v>6.2449355017097696E-2</v>
      </c>
      <c r="Q162" s="983">
        <f t="shared" si="418"/>
        <v>4.6250489504120935</v>
      </c>
      <c r="R162" s="984">
        <f t="shared" si="418"/>
        <v>3.4089596964328055</v>
      </c>
      <c r="S162" s="983">
        <f t="shared" si="418"/>
        <v>0.45988130228351803</v>
      </c>
      <c r="T162" s="983">
        <f t="shared" si="418"/>
        <v>-0.36918603602588101</v>
      </c>
      <c r="U162" s="983">
        <f t="shared" si="418"/>
        <v>-6.6295100410642668E-2</v>
      </c>
      <c r="V162" s="983">
        <f t="shared" si="418"/>
        <v>-0.3487298897324656</v>
      </c>
      <c r="W162" s="984">
        <f t="shared" si="418"/>
        <v>-0.32524137619827881</v>
      </c>
      <c r="X162" s="983">
        <f t="shared" si="418"/>
        <v>-1.6963832864512749</v>
      </c>
      <c r="Y162" s="983">
        <f t="shared" si="418"/>
        <v>-1.5280839546522318</v>
      </c>
      <c r="Z162" s="983">
        <f t="shared" si="418"/>
        <v>-1.7985729558818504</v>
      </c>
      <c r="AA162" s="983">
        <f t="shared" si="418"/>
        <v>-1.2505292323797814</v>
      </c>
      <c r="AB162" s="984">
        <f t="shared" si="418"/>
        <v>-6.2791030598974986</v>
      </c>
      <c r="AC162" s="983">
        <f t="shared" si="418"/>
        <v>-0.64127871530294156</v>
      </c>
      <c r="AD162" s="983">
        <f t="shared" si="418"/>
        <v>0.23254452955696442</v>
      </c>
      <c r="AE162" s="983">
        <f t="shared" si="418"/>
        <v>0.24291383219954651</v>
      </c>
      <c r="AF162" s="983">
        <f t="shared" si="418"/>
        <v>0.79407895590894362</v>
      </c>
      <c r="AG162" s="984">
        <f t="shared" si="418"/>
        <v>0.6221431163817519</v>
      </c>
      <c r="AH162" s="983">
        <f t="shared" si="418"/>
        <v>0.43228161337628895</v>
      </c>
      <c r="AI162" s="983">
        <f t="shared" si="418"/>
        <v>0.59553472429895826</v>
      </c>
      <c r="AJ162" s="983">
        <f t="shared" ref="AJ162:CB162" si="419">AJ151/AJ103</f>
        <v>0.61994139633611767</v>
      </c>
      <c r="AK162" s="983">
        <f t="shared" si="419"/>
        <v>0.39991021789426412</v>
      </c>
      <c r="AL162" s="984">
        <f t="shared" si="419"/>
        <v>2.0464465455885574</v>
      </c>
      <c r="AM162" s="983">
        <f t="shared" si="419"/>
        <v>0.6111385201418128</v>
      </c>
      <c r="AN162" s="983">
        <f t="shared" si="419"/>
        <v>0.18848906013485658</v>
      </c>
      <c r="AO162" s="983">
        <f t="shared" si="419"/>
        <v>0.25384298654954729</v>
      </c>
      <c r="AP162" s="983">
        <f t="shared" si="419"/>
        <v>-3.2079970820225232</v>
      </c>
      <c r="AQ162" s="984">
        <f t="shared" si="419"/>
        <v>-2.1702561284191484</v>
      </c>
      <c r="AR162" s="983">
        <f t="shared" si="419"/>
        <v>0.45713571323036367</v>
      </c>
      <c r="AS162" s="983">
        <f t="shared" si="419"/>
        <v>0.11600904233456642</v>
      </c>
      <c r="AT162" s="983">
        <f t="shared" si="419"/>
        <v>0.13078055292493412</v>
      </c>
      <c r="AU162" s="983">
        <f t="shared" si="419"/>
        <v>-17.068187509960612</v>
      </c>
      <c r="AV162" s="984">
        <f t="shared" si="419"/>
        <v>-16.400390179345596</v>
      </c>
      <c r="AW162" s="983">
        <f t="shared" si="419"/>
        <v>4.5756644008457048</v>
      </c>
      <c r="AX162" s="983">
        <f t="shared" si="419"/>
        <v>0.8724921065750848</v>
      </c>
      <c r="AY162" s="983">
        <f t="shared" si="419"/>
        <v>-0.11974791984638833</v>
      </c>
      <c r="AZ162" s="983">
        <f t="shared" si="419"/>
        <v>-0.55811584803281256</v>
      </c>
      <c r="BA162" s="984">
        <f t="shared" si="419"/>
        <v>4.1960501012926397</v>
      </c>
      <c r="BB162" s="983">
        <f t="shared" si="419"/>
        <v>0.37414011462101299</v>
      </c>
      <c r="BC162" s="983">
        <f t="shared" si="419"/>
        <v>0.19108768826762196</v>
      </c>
      <c r="BD162" s="983">
        <f t="shared" si="419"/>
        <v>0.193667385351564</v>
      </c>
      <c r="BE162" s="983">
        <f t="shared" si="419"/>
        <v>-0.13221328113672601</v>
      </c>
      <c r="BF162" s="984">
        <f t="shared" si="419"/>
        <v>0.62549989678818452</v>
      </c>
      <c r="BG162" s="983">
        <f t="shared" ref="BG162:BP162" si="420">BG151/BG103</f>
        <v>0.23916855052599745</v>
      </c>
      <c r="BH162" s="983">
        <f t="shared" si="420"/>
        <v>0.57796795922731536</v>
      </c>
      <c r="BI162" s="983">
        <f t="shared" si="420"/>
        <v>0.72438368246968021</v>
      </c>
      <c r="BJ162" s="1839">
        <f t="shared" si="420"/>
        <v>0.12826985055854945</v>
      </c>
      <c r="BK162" s="984">
        <f t="shared" si="420"/>
        <v>1.6669127300213509</v>
      </c>
      <c r="BL162" s="983">
        <f t="shared" si="420"/>
        <v>0.68297088832398944</v>
      </c>
      <c r="BM162" s="983">
        <f t="shared" si="420"/>
        <v>0.23554663399289155</v>
      </c>
      <c r="BN162" s="983">
        <f t="shared" si="420"/>
        <v>-4.3838735438620855</v>
      </c>
      <c r="BO162" s="1839">
        <f t="shared" si="420"/>
        <v>-1.5722552852842462</v>
      </c>
      <c r="BP162" s="984">
        <f t="shared" si="420"/>
        <v>-5.0459575779542529</v>
      </c>
      <c r="BQ162" s="983">
        <f t="shared" ref="BQ162:BZ162" si="421">BQ151/BQ103</f>
        <v>3.3416161929906159E-2</v>
      </c>
      <c r="BR162" s="983">
        <f t="shared" si="421"/>
        <v>0.36066052465860954</v>
      </c>
      <c r="BS162" s="983">
        <f t="shared" si="421"/>
        <v>1.1121734876754314</v>
      </c>
      <c r="BT162" s="1839">
        <f t="shared" si="421"/>
        <v>-4.0981294214660874E-2</v>
      </c>
      <c r="BU162" s="3965">
        <f t="shared" si="421"/>
        <v>1.4651363908581261</v>
      </c>
      <c r="BV162" s="982">
        <f t="shared" si="421"/>
        <v>0.99968673396959218</v>
      </c>
      <c r="BW162" s="983">
        <f t="shared" si="421"/>
        <v>0.61415359287285798</v>
      </c>
      <c r="BX162" s="983">
        <f t="shared" si="421"/>
        <v>-6.7513257290596345</v>
      </c>
      <c r="BY162" s="1839">
        <f t="shared" si="421"/>
        <v>0.89552842364590213</v>
      </c>
      <c r="BZ162" s="3965">
        <f t="shared" si="421"/>
        <v>-4.2239416536240153</v>
      </c>
      <c r="CA162" s="984">
        <f t="shared" si="419"/>
        <v>3.3125372020173081</v>
      </c>
      <c r="CB162" s="984">
        <f t="shared" si="419"/>
        <v>3.3560644671282565</v>
      </c>
      <c r="CC162" s="984">
        <f>CC151/CC103</f>
        <v>-1.0311412798039046</v>
      </c>
      <c r="CD162" s="984">
        <f>CD151/CD103</f>
        <v>-1.3154852382099576</v>
      </c>
      <c r="CE162" s="984">
        <f>CE151/CE103</f>
        <v>-1.1878481206652212</v>
      </c>
      <c r="CF162" s="984">
        <f>CF151/CF103</f>
        <v>-1.0565659099959521</v>
      </c>
      <c r="CG162" s="984">
        <f>CG151/CG103</f>
        <v>-0.92155338444522805</v>
      </c>
      <c r="CH162" s="354"/>
      <c r="CI162" s="1635"/>
      <c r="CJ162" s="354"/>
      <c r="CK162" s="354"/>
      <c r="CL162" s="354"/>
      <c r="CM162" s="965"/>
      <c r="CN162" s="965">
        <f t="shared" ref="CN162" si="422">SUM(BV162:BY162)</f>
        <v>-4.2419569785712818</v>
      </c>
      <c r="CO162" s="965">
        <f t="shared" ref="CO162" si="423">CM162-CN162</f>
        <v>4.2419569785712818</v>
      </c>
      <c r="CP162" s="981" t="str">
        <f>A162</f>
        <v>Net Free Cash Flow per Share</v>
      </c>
      <c r="CQ162" s="983">
        <f>H162</f>
        <v>-14.753825909119959</v>
      </c>
      <c r="CR162" s="983">
        <f>M162</f>
        <v>-3.0789233416848751</v>
      </c>
      <c r="CS162" s="983">
        <f>R162</f>
        <v>3.4089596964328055</v>
      </c>
      <c r="CT162" s="983">
        <f>W162</f>
        <v>-0.32524137619827881</v>
      </c>
      <c r="CU162" s="983">
        <f>AB162</f>
        <v>-6.2791030598974986</v>
      </c>
      <c r="CV162" s="983">
        <f>AG162</f>
        <v>0.6221431163817519</v>
      </c>
      <c r="CW162" s="983">
        <f>AL162</f>
        <v>2.0464465455885574</v>
      </c>
      <c r="CX162" s="983">
        <f>AQ162</f>
        <v>-2.1702561284191484</v>
      </c>
      <c r="CY162" s="983">
        <f>AV162</f>
        <v>-16.400390179345596</v>
      </c>
      <c r="CZ162" s="983">
        <f>BA162</f>
        <v>4.1960501012926397</v>
      </c>
      <c r="DA162" s="983">
        <f>BF162</f>
        <v>0.62549989678818452</v>
      </c>
      <c r="DB162" s="983">
        <f>BK162</f>
        <v>1.6669127300213509</v>
      </c>
      <c r="DC162" s="983">
        <f>BP162</f>
        <v>-5.0459575779542529</v>
      </c>
      <c r="DD162" s="983">
        <f>BU162</f>
        <v>1.4651363908581261</v>
      </c>
      <c r="DE162" s="983">
        <f t="shared" si="417"/>
        <v>-4.2239416536240153</v>
      </c>
      <c r="DF162" s="983">
        <f t="shared" si="417"/>
        <v>3.3125372020173081</v>
      </c>
      <c r="DG162" s="1839">
        <f t="shared" si="417"/>
        <v>3.3560644671282565</v>
      </c>
      <c r="DH162" s="505"/>
      <c r="DI162" s="463"/>
      <c r="DJ162" s="463"/>
      <c r="DK162" s="463"/>
      <c r="DL162" s="463"/>
      <c r="DM162" s="463"/>
      <c r="DN162" s="463"/>
      <c r="DO162" s="269"/>
      <c r="DY162" s="983"/>
      <c r="DZ162" s="983"/>
    </row>
    <row r="163" spans="1:130" s="1238" customFormat="1" ht="12" customHeight="1">
      <c r="A163" s="2318" t="s">
        <v>885</v>
      </c>
      <c r="B163" s="2319"/>
      <c r="C163" s="2319"/>
      <c r="D163" s="2321">
        <f>+D162*4/'EBITDA Val'!$F$23</f>
        <v>-1.2822304923896157E-2</v>
      </c>
      <c r="E163" s="2321">
        <f>+E162*4/'EBITDA Val'!$F$23</f>
        <v>-0.31858153382245308</v>
      </c>
      <c r="F163" s="2321">
        <f>+F162*4/'EBITDA Val'!$F$23</f>
        <v>-1.0481902036419231</v>
      </c>
      <c r="G163" s="2321">
        <f>+G162*4/'EBITDA Val'!$F$23</f>
        <v>-8.5960406470933115E-2</v>
      </c>
      <c r="H163" s="2322">
        <f>+H162/'EBITDA Val'!$F$23</f>
        <v>-0.39312086088782194</v>
      </c>
      <c r="I163" s="2321">
        <f>+I162*4/'EBITDA Val'!$F$23</f>
        <v>3.5076196278275729E-3</v>
      </c>
      <c r="J163" s="2321">
        <f>+J162*4/'EBITDA Val'!$F$23</f>
        <v>-0.10165441080044339</v>
      </c>
      <c r="K163" s="2321">
        <f>+K162*4/'EBITDA Val'!$F$23</f>
        <v>-6.1022009147673098E-2</v>
      </c>
      <c r="L163" s="2321">
        <f>+L162*4/'EBITDA Val'!$F$23</f>
        <v>-0.16802099000473517</v>
      </c>
      <c r="M163" s="2322">
        <f>+M162/'EBITDA Val'!$F$23</f>
        <v>-8.2038991251928456E-2</v>
      </c>
      <c r="N163" s="2321">
        <f>+N162*4/'EBITDA Val'!$F$23</f>
        <v>-7.3077598797195525E-2</v>
      </c>
      <c r="O163" s="2321">
        <f>+O162*4/'EBITDA Val'!$F$23</f>
        <v>-5.1565870376850134E-2</v>
      </c>
      <c r="P163" s="2321">
        <f>+P162*4/'EBITDA Val'!$F$23</f>
        <v>6.6559397833304227E-3</v>
      </c>
      <c r="Q163" s="2321">
        <f>+Q162*4/'EBITDA Val'!$F$23</f>
        <v>0.49294419935114236</v>
      </c>
      <c r="R163" s="2322">
        <f>+R162/'EBITDA Val'!$F$23</f>
        <v>9.0832925564423267E-2</v>
      </c>
      <c r="S163" s="2321">
        <f>+S162*4/'EBITDA Val'!$F$23</f>
        <v>4.9014793741915058E-2</v>
      </c>
      <c r="T163" s="2321">
        <f>+T162*4/'EBITDA Val'!$F$23</f>
        <v>-3.9348365150640129E-2</v>
      </c>
      <c r="U163" s="2321">
        <f>+U162*4/'EBITDA Val'!$F$23</f>
        <v>-7.0658247173613284E-3</v>
      </c>
      <c r="V163" s="2321">
        <f>+V162*4/'EBITDA Val'!$F$23</f>
        <v>-3.7168120408469556E-2</v>
      </c>
      <c r="W163" s="2322">
        <f>+W162/'EBITDA Val'!$F$23</f>
        <v>-8.6661704289442785E-3</v>
      </c>
      <c r="X163" s="2321">
        <f>+X162*4/'EBITDA Val'!$F$23</f>
        <v>-0.18080290822822007</v>
      </c>
      <c r="Y163" s="2321">
        <f>+Y162*4/'EBITDA Val'!$F$23</f>
        <v>-0.16286532956591865</v>
      </c>
      <c r="Z163" s="2321">
        <f>+Z162*4/'EBITDA Val'!$F$23</f>
        <v>-0.19169442641959503</v>
      </c>
      <c r="AA163" s="2321">
        <f>+AA162*4/'EBITDA Val'!$F$23</f>
        <v>-0.13328315826056822</v>
      </c>
      <c r="AB163" s="2322">
        <f>+AB162/'EBITDA Val'!$F$23</f>
        <v>-0.16730890114301888</v>
      </c>
      <c r="AC163" s="2321">
        <f>+AC162*4/'EBITDA Val'!$F$23</f>
        <v>-6.834838425824051E-2</v>
      </c>
      <c r="AD163" s="2321">
        <f>+AD162*4/'EBITDA Val'!$F$23</f>
        <v>2.4784921881904013E-2</v>
      </c>
      <c r="AE163" s="2321">
        <f>+AE162*4/'EBITDA Val'!$F$23</f>
        <v>2.5890096690599149E-2</v>
      </c>
      <c r="AF163" s="2321">
        <f>+AF162*4/'EBITDA Val'!$F$23</f>
        <v>8.4634048058507175E-2</v>
      </c>
      <c r="AG163" s="2322">
        <f>+AG162/'EBITDA Val'!$F$23</f>
        <v>1.6577221326452223E-2</v>
      </c>
      <c r="AH163" s="2321">
        <f>+AH162*4/'EBITDA Val'!$F$23</f>
        <v>4.6073180215964717E-2</v>
      </c>
      <c r="AI163" s="2321">
        <f>+AI162*4/'EBITDA Val'!$F$23</f>
        <v>6.3472925584754411E-2</v>
      </c>
      <c r="AJ163" s="2321">
        <f>+AJ162*4/'EBITDA Val'!$F$23</f>
        <v>6.6074222897534521E-2</v>
      </c>
      <c r="AK163" s="2321">
        <f>+AK162*4/'EBITDA Val'!$F$23</f>
        <v>4.26229915155091E-2</v>
      </c>
      <c r="AL163" s="2322">
        <f>+AL162/'EBITDA Val'!$F$23</f>
        <v>5.4528285254158204E-2</v>
      </c>
      <c r="AM163" s="2321">
        <f>+AM162*4/'EBITDA Val'!$F$23</f>
        <v>6.5136000015114603E-2</v>
      </c>
      <c r="AN163" s="2321">
        <f>+AN162*4/'EBITDA Val'!$F$23</f>
        <v>2.0089428205153911E-2</v>
      </c>
      <c r="AO163" s="2321">
        <f>+AO162*4/'EBITDA Val'!$F$23</f>
        <v>2.7054941278928567E-2</v>
      </c>
      <c r="AP163" s="2321">
        <f>+AP162*4/'EBITDA Val'!$F$23</f>
        <v>-0.34191282515561133</v>
      </c>
      <c r="AQ163" s="2322">
        <f>+AQ162/'EBITDA Val'!$F$23</f>
        <v>-5.7827234969868059E-2</v>
      </c>
      <c r="AR163" s="2321">
        <f>+AR162*4/'EBITDA Val'!$F$23</f>
        <v>4.8722165012562074E-2</v>
      </c>
      <c r="AS163" s="2321">
        <f>+AS162*4/'EBITDA Val'!$F$23</f>
        <v>1.236440632396125E-2</v>
      </c>
      <c r="AT163" s="2321">
        <f>+AT162*4/'EBITDA Val'!$F$23</f>
        <v>1.3938774625625806E-2</v>
      </c>
      <c r="AU163" s="2321">
        <f>+AU162*4/'EBITDA Val'!$F$23</f>
        <v>-1.8191513466518106</v>
      </c>
      <c r="AV163" s="2322">
        <f>+AV162/'EBITDA Val'!$F$23</f>
        <v>-0.43699414280164123</v>
      </c>
      <c r="AW163" s="2321">
        <f>+AW162*4/'EBITDA Val'!$F$23</f>
        <v>0.48768072484366692</v>
      </c>
      <c r="AX163" s="2321">
        <f>+AX162*4/'EBITDA Val'!$F$23</f>
        <v>9.2991431556097501E-2</v>
      </c>
      <c r="AY163" s="2321">
        <f>+AY162*4/'EBITDA Val'!$F$23</f>
        <v>-1.2762901129377918E-2</v>
      </c>
      <c r="AZ163" s="2321">
        <f>+AZ162*4/'EBITDA Val'!$F$23</f>
        <v>-5.9484769308053562E-2</v>
      </c>
      <c r="BA163" s="2322">
        <f>+BA162/'EBITDA Val'!$F$23</f>
        <v>0.1118052251876536</v>
      </c>
      <c r="BB163" s="2321">
        <f>+BB162*4/'EBITDA Val'!$F$23</f>
        <v>3.9876377790675509E-2</v>
      </c>
      <c r="BC163" s="2321">
        <f>+BC162*4/'EBITDA Val'!$F$23</f>
        <v>2.0366393633639429E-2</v>
      </c>
      <c r="BD163" s="2321">
        <f>+BD162*4/'EBITDA Val'!$F$23</f>
        <v>2.0641341364408632E-2</v>
      </c>
      <c r="BE163" s="2321">
        <f>+BE162*4/'EBITDA Val'!$F$23</f>
        <v>-1.4091476806472263E-2</v>
      </c>
      <c r="BF163" s="2322">
        <f>+BF162/'EBITDA Val'!$F$23</f>
        <v>1.666666391655168E-2</v>
      </c>
      <c r="BG163" s="2321">
        <f>+BG162*4/'EBITDA Val'!$F$23</f>
        <v>2.5490919320649872E-2</v>
      </c>
      <c r="BH163" s="2321">
        <f>+BH162*4/'EBITDA Val'!$F$23</f>
        <v>6.1600635142799398E-2</v>
      </c>
      <c r="BI163" s="2321">
        <f>+BI162*4/'EBITDA Val'!$F$23</f>
        <v>7.7205828134258483E-2</v>
      </c>
      <c r="BJ163" s="2324">
        <f>+BJ162*4/'EBITDA Val'!$F$23</f>
        <v>1.3671180448553099E-2</v>
      </c>
      <c r="BK163" s="2322">
        <f>+BK162/'EBITDA Val'!$F$23</f>
        <v>4.4415473754898772E-2</v>
      </c>
      <c r="BL163" s="2321">
        <f>+BL162*4/'EBITDA Val'!$F$23</f>
        <v>7.2791994492298367E-2</v>
      </c>
      <c r="BM163" s="2321">
        <f>+BM162*4/'EBITDA Val'!$F$23</f>
        <v>2.5104890380270882E-2</v>
      </c>
      <c r="BN163" s="2321">
        <f>+BN162*4/'EBITDA Val'!$F$23</f>
        <v>-0.4672393865027536</v>
      </c>
      <c r="BO163" s="2324">
        <f>+BO162*4/'EBITDA Val'!$F$23</f>
        <v>-0.16757317189280535</v>
      </c>
      <c r="BP163" s="2322">
        <f>+BP162/'EBITDA Val'!$F$23</f>
        <v>-0.13445130769928731</v>
      </c>
      <c r="BQ163" s="2321">
        <f>+BQ162*4/'EBITDA Val'!$F$23</f>
        <v>3.5615413727584501E-3</v>
      </c>
      <c r="BR163" s="2321">
        <f>+BR162*4/'EBITDA Val'!$F$23</f>
        <v>3.8439704200224835E-2</v>
      </c>
      <c r="BS163" s="2321">
        <f>+BS162*4/'EBITDA Val'!$F$23</f>
        <v>0.11853700907811686</v>
      </c>
      <c r="BT163" s="2324">
        <f>+BT162*4/'EBITDA Val'!$F$23</f>
        <v>-4.3678437745441907E-3</v>
      </c>
      <c r="BU163" s="3966">
        <f>+BU162/'EBITDA Val'!$F$23</f>
        <v>3.9039072498218121E-2</v>
      </c>
      <c r="BV163" s="2320">
        <f>+BV162*4/'EBITDA Val'!$F$23</f>
        <v>0.10654801321285289</v>
      </c>
      <c r="BW163" s="2321">
        <f>+BW162*4/'EBITDA Val'!$F$23</f>
        <v>6.5457350692550806E-2</v>
      </c>
      <c r="BX163" s="2321">
        <f>+BX162*4/'EBITDA Val'!$F$23</f>
        <v>-0.71956575849290005</v>
      </c>
      <c r="BY163" s="2324">
        <f>+BY162*4/'EBITDA Val'!$F$23</f>
        <v>9.5446674515950125E-2</v>
      </c>
      <c r="BZ163" s="3966">
        <f>+BZ162/'EBITDA Val'!$F$23</f>
        <v>-0.11254840537234254</v>
      </c>
      <c r="CA163" s="2322">
        <f>+CA162/'EBITDA Val'!$F$23</f>
        <v>8.8263714415595731E-2</v>
      </c>
      <c r="CB163" s="2322">
        <f>+CB162/'EBITDA Val'!$F$23</f>
        <v>8.9423513645836838E-2</v>
      </c>
      <c r="CC163" s="2322">
        <f>+CC162/'EBITDA Val'!$F$23</f>
        <v>-2.7475120698212219E-2</v>
      </c>
      <c r="CD163" s="2322">
        <f>+CD162/'EBITDA Val'!$F$23</f>
        <v>-3.5051565100185388E-2</v>
      </c>
      <c r="CE163" s="2322">
        <f>+CE162/'EBITDA Val'!$F$23</f>
        <v>-3.1650629380901178E-2</v>
      </c>
      <c r="CF163" s="2322">
        <f>+CF162/'EBITDA Val'!$F$23</f>
        <v>-2.815256887812289E-2</v>
      </c>
      <c r="CG163" s="2322">
        <f>+CG162/'EBITDA Val'!$F$23</f>
        <v>-2.4555112828276791E-2</v>
      </c>
      <c r="CH163" s="2315"/>
      <c r="CI163" s="2315"/>
      <c r="CJ163" s="2315"/>
      <c r="CK163" s="2315"/>
      <c r="CL163" s="2315"/>
      <c r="CM163" s="2315"/>
      <c r="CN163" s="2315"/>
      <c r="CO163" s="2315"/>
      <c r="CP163" s="2323"/>
      <c r="CQ163" s="2321"/>
      <c r="CR163" s="2321"/>
      <c r="CS163" s="2321"/>
      <c r="CT163" s="2321"/>
      <c r="CU163" s="2321"/>
      <c r="CV163" s="2321"/>
      <c r="CW163" s="2321"/>
      <c r="CX163" s="2321"/>
      <c r="CY163" s="2321"/>
      <c r="CZ163" s="2321"/>
      <c r="DA163" s="2321"/>
      <c r="DB163" s="2321"/>
      <c r="DC163" s="2321"/>
      <c r="DD163" s="2321"/>
      <c r="DE163" s="2321"/>
      <c r="DF163" s="2321"/>
      <c r="DG163" s="2324"/>
      <c r="DH163" s="2315"/>
      <c r="DI163" s="2316"/>
      <c r="DJ163" s="2316"/>
      <c r="DK163" s="2316"/>
      <c r="DL163" s="2316"/>
      <c r="DM163" s="2316"/>
      <c r="DN163" s="2316"/>
      <c r="DO163" s="2317"/>
      <c r="DP163"/>
      <c r="DQ163"/>
      <c r="DR163"/>
      <c r="DS163"/>
      <c r="DT163"/>
      <c r="DU163"/>
      <c r="DY163" s="2321"/>
      <c r="DZ163" s="2321"/>
    </row>
    <row r="164" spans="1:130" ht="12" customHeight="1">
      <c r="A164" s="2310"/>
      <c r="B164" s="2311"/>
      <c r="C164" s="2311"/>
      <c r="D164" s="2313"/>
      <c r="E164" s="2313"/>
      <c r="F164" s="2313"/>
      <c r="G164" s="2313"/>
      <c r="H164" s="2314"/>
      <c r="I164" s="2313"/>
      <c r="J164" s="2313"/>
      <c r="K164" s="2313"/>
      <c r="L164" s="2313"/>
      <c r="M164" s="2314"/>
      <c r="N164" s="2313"/>
      <c r="O164" s="2313"/>
      <c r="P164" s="2313"/>
      <c r="Q164" s="2313"/>
      <c r="R164" s="2314"/>
      <c r="S164" s="2313"/>
      <c r="T164" s="2313"/>
      <c r="U164" s="2313"/>
      <c r="V164" s="2313"/>
      <c r="W164" s="2314"/>
      <c r="X164" s="2313"/>
      <c r="Y164" s="2313"/>
      <c r="Z164" s="2313"/>
      <c r="AA164" s="2313"/>
      <c r="AB164" s="2314"/>
      <c r="AC164" s="2313"/>
      <c r="AD164" s="2313"/>
      <c r="AE164" s="2313"/>
      <c r="AF164" s="2313"/>
      <c r="AG164" s="2314"/>
      <c r="AH164" s="2313"/>
      <c r="AI164" s="2313"/>
      <c r="AJ164" s="2313"/>
      <c r="AK164" s="2313"/>
      <c r="AL164" s="2314"/>
      <c r="AM164" s="2313"/>
      <c r="AN164" s="2313"/>
      <c r="AO164" s="2313"/>
      <c r="AP164" s="2313"/>
      <c r="AQ164" s="2314"/>
      <c r="AR164" s="2313"/>
      <c r="AS164" s="2313"/>
      <c r="AT164" s="2313"/>
      <c r="AU164" s="2313"/>
      <c r="AV164" s="2314"/>
      <c r="AW164" s="2313"/>
      <c r="AX164" s="2313"/>
      <c r="AY164" s="2313"/>
      <c r="AZ164" s="2313"/>
      <c r="BA164" s="2314"/>
      <c r="BB164" s="2313"/>
      <c r="BC164" s="2313"/>
      <c r="BD164" s="2313"/>
      <c r="BE164" s="2313"/>
      <c r="BF164" s="2314"/>
      <c r="BG164" s="2312"/>
      <c r="BH164" s="2313"/>
      <c r="BI164" s="2313"/>
      <c r="BJ164" s="2999"/>
      <c r="BK164" s="2314"/>
      <c r="BL164" s="2313"/>
      <c r="BM164" s="2313"/>
      <c r="BN164" s="2313"/>
      <c r="BO164" s="2999"/>
      <c r="BP164" s="2314"/>
      <c r="BQ164" s="2313"/>
      <c r="BR164" s="2313"/>
      <c r="BS164" s="2313"/>
      <c r="BT164" s="2999"/>
      <c r="BU164" s="3358"/>
      <c r="BV164" s="2312"/>
      <c r="BW164" s="2313"/>
      <c r="BX164" s="2313"/>
      <c r="BY164" s="2999"/>
      <c r="BZ164" s="2314"/>
      <c r="CA164" s="2314"/>
      <c r="CB164" s="2314"/>
      <c r="CC164" s="2314"/>
      <c r="CD164" s="2314"/>
      <c r="CE164" s="2314"/>
      <c r="CF164" s="2314"/>
      <c r="CG164" s="2314"/>
      <c r="CH164" s="2315"/>
      <c r="CI164" s="2315"/>
      <c r="CJ164" s="2315"/>
      <c r="CK164" s="2315"/>
      <c r="CL164" s="2315"/>
      <c r="CM164" s="2315"/>
      <c r="CN164" s="2315"/>
      <c r="CO164" s="2315"/>
      <c r="CP164" s="2319"/>
      <c r="CQ164" s="2321"/>
      <c r="CR164" s="2321"/>
      <c r="CS164" s="2321"/>
      <c r="CT164" s="2321"/>
      <c r="CU164" s="2313"/>
      <c r="CV164" s="2313"/>
      <c r="CW164" s="2313"/>
      <c r="CX164" s="2313"/>
      <c r="CY164" s="2313"/>
      <c r="CZ164" s="2313"/>
      <c r="DA164" s="2313"/>
      <c r="DB164" s="2313"/>
      <c r="DC164" s="2313"/>
      <c r="DD164" s="2313"/>
      <c r="DE164" s="2313"/>
      <c r="DF164" s="2313"/>
      <c r="DG164" s="2313"/>
      <c r="DH164" s="2315"/>
      <c r="DI164" s="2316"/>
      <c r="DJ164" s="2316"/>
      <c r="DK164" s="2316"/>
      <c r="DL164" s="2316"/>
      <c r="DM164" s="2316"/>
      <c r="DN164" s="2316"/>
      <c r="DO164" s="2317"/>
      <c r="DY164" s="2321"/>
      <c r="DZ164" s="2321"/>
    </row>
    <row r="165" spans="1:130" ht="12.75" customHeight="1">
      <c r="A165" s="1305" t="s">
        <v>1263</v>
      </c>
      <c r="B165" s="2426"/>
      <c r="C165" s="2426"/>
      <c r="D165" s="2426" t="str">
        <f>D$6</f>
        <v>1Q04</v>
      </c>
      <c r="E165" s="2426" t="str">
        <f t="shared" ref="E165:CC165" si="424">E$6</f>
        <v>2Q04</v>
      </c>
      <c r="F165" s="2426" t="str">
        <f t="shared" si="424"/>
        <v>3Q04</v>
      </c>
      <c r="G165" s="2426" t="str">
        <f t="shared" si="424"/>
        <v>4Q04</v>
      </c>
      <c r="H165" s="2427">
        <f t="shared" si="424"/>
        <v>2004</v>
      </c>
      <c r="I165" s="2426" t="str">
        <f t="shared" si="424"/>
        <v>1Q05</v>
      </c>
      <c r="J165" s="2426" t="str">
        <f t="shared" si="424"/>
        <v>2Q05</v>
      </c>
      <c r="K165" s="2426" t="str">
        <f t="shared" si="424"/>
        <v>3Q05</v>
      </c>
      <c r="L165" s="2426" t="str">
        <f t="shared" si="424"/>
        <v>4Q05</v>
      </c>
      <c r="M165" s="2427">
        <f t="shared" si="424"/>
        <v>2005</v>
      </c>
      <c r="N165" s="2426" t="str">
        <f t="shared" si="424"/>
        <v>1Q06</v>
      </c>
      <c r="O165" s="2426" t="str">
        <f t="shared" si="424"/>
        <v>2Q06</v>
      </c>
      <c r="P165" s="2426" t="str">
        <f t="shared" si="424"/>
        <v>3Q06</v>
      </c>
      <c r="Q165" s="2426" t="str">
        <f t="shared" si="424"/>
        <v>4Q06</v>
      </c>
      <c r="R165" s="2427">
        <f t="shared" si="424"/>
        <v>2006</v>
      </c>
      <c r="S165" s="2426" t="str">
        <f t="shared" si="424"/>
        <v>1Q07</v>
      </c>
      <c r="T165" s="2426" t="str">
        <f t="shared" si="424"/>
        <v>2Q07</v>
      </c>
      <c r="U165" s="2426" t="str">
        <f t="shared" si="424"/>
        <v>3Q07</v>
      </c>
      <c r="V165" s="2426" t="str">
        <f t="shared" si="424"/>
        <v>4Q07</v>
      </c>
      <c r="W165" s="2427">
        <f t="shared" si="424"/>
        <v>2007</v>
      </c>
      <c r="X165" s="2426" t="str">
        <f t="shared" si="424"/>
        <v>1Q08</v>
      </c>
      <c r="Y165" s="2426" t="str">
        <f t="shared" si="424"/>
        <v>2Q08</v>
      </c>
      <c r="Z165" s="2426" t="str">
        <f t="shared" si="424"/>
        <v>3Q08</v>
      </c>
      <c r="AA165" s="2426" t="str">
        <f t="shared" si="424"/>
        <v>4Q08</v>
      </c>
      <c r="AB165" s="2427">
        <f t="shared" si="424"/>
        <v>2008</v>
      </c>
      <c r="AC165" s="2426" t="str">
        <f t="shared" si="424"/>
        <v>1Q09</v>
      </c>
      <c r="AD165" s="2426" t="str">
        <f t="shared" si="424"/>
        <v>2Q09</v>
      </c>
      <c r="AE165" s="2426" t="str">
        <f t="shared" si="424"/>
        <v>3Q09</v>
      </c>
      <c r="AF165" s="2426" t="str">
        <f t="shared" si="424"/>
        <v>4Q09</v>
      </c>
      <c r="AG165" s="2427">
        <f t="shared" si="424"/>
        <v>2009</v>
      </c>
      <c r="AH165" s="2428" t="str">
        <f t="shared" si="424"/>
        <v>1Q10</v>
      </c>
      <c r="AI165" s="2426" t="str">
        <f t="shared" si="424"/>
        <v>2Q10</v>
      </c>
      <c r="AJ165" s="2426" t="str">
        <f t="shared" si="424"/>
        <v>3Q10</v>
      </c>
      <c r="AK165" s="2429" t="str">
        <f t="shared" si="424"/>
        <v>4Q10</v>
      </c>
      <c r="AL165" s="2427">
        <f t="shared" si="424"/>
        <v>2010</v>
      </c>
      <c r="AM165" s="2428" t="str">
        <f t="shared" si="424"/>
        <v>1Q11</v>
      </c>
      <c r="AN165" s="2426" t="str">
        <f t="shared" si="424"/>
        <v>2Q11</v>
      </c>
      <c r="AO165" s="2426" t="str">
        <f t="shared" si="424"/>
        <v>3Q11</v>
      </c>
      <c r="AP165" s="2429" t="str">
        <f t="shared" si="424"/>
        <v>4Q11</v>
      </c>
      <c r="AQ165" s="2427">
        <f t="shared" si="424"/>
        <v>2011</v>
      </c>
      <c r="AR165" s="2428" t="str">
        <f t="shared" si="424"/>
        <v>1Q12</v>
      </c>
      <c r="AS165" s="2426" t="str">
        <f t="shared" si="424"/>
        <v>2Q12</v>
      </c>
      <c r="AT165" s="2426" t="str">
        <f t="shared" si="424"/>
        <v>3Q12</v>
      </c>
      <c r="AU165" s="2429" t="str">
        <f t="shared" si="424"/>
        <v>4Q12</v>
      </c>
      <c r="AV165" s="2427">
        <f t="shared" si="424"/>
        <v>2012</v>
      </c>
      <c r="AW165" s="2428" t="str">
        <f t="shared" si="424"/>
        <v>1Q13</v>
      </c>
      <c r="AX165" s="2426" t="str">
        <f t="shared" si="424"/>
        <v>2Q13</v>
      </c>
      <c r="AY165" s="2426" t="str">
        <f t="shared" si="424"/>
        <v>3Q13</v>
      </c>
      <c r="AZ165" s="2429" t="str">
        <f t="shared" si="424"/>
        <v>4Q13</v>
      </c>
      <c r="BA165" s="2427">
        <f t="shared" si="424"/>
        <v>2013</v>
      </c>
      <c r="BB165" s="2428" t="str">
        <f t="shared" si="424"/>
        <v>1Q14</v>
      </c>
      <c r="BC165" s="2426" t="str">
        <f t="shared" si="424"/>
        <v>2Q14</v>
      </c>
      <c r="BD165" s="2426" t="str">
        <f t="shared" si="424"/>
        <v>3Q14</v>
      </c>
      <c r="BE165" s="2429" t="str">
        <f t="shared" si="424"/>
        <v>4Q14</v>
      </c>
      <c r="BF165" s="2427">
        <f t="shared" si="424"/>
        <v>2014</v>
      </c>
      <c r="BG165" s="2428" t="str">
        <f t="shared" si="424"/>
        <v>1Q15</v>
      </c>
      <c r="BH165" s="2426" t="str">
        <f t="shared" si="424"/>
        <v>2Q15</v>
      </c>
      <c r="BI165" s="2426" t="str">
        <f t="shared" si="424"/>
        <v>3Q15</v>
      </c>
      <c r="BJ165" s="2429" t="str">
        <f t="shared" si="424"/>
        <v>4Q15</v>
      </c>
      <c r="BK165" s="2427">
        <f t="shared" si="424"/>
        <v>2015</v>
      </c>
      <c r="BL165" s="2426" t="str">
        <f t="shared" si="424"/>
        <v>1Q16</v>
      </c>
      <c r="BM165" s="2426" t="str">
        <f t="shared" si="424"/>
        <v>2Q16</v>
      </c>
      <c r="BN165" s="2426" t="str">
        <f t="shared" si="424"/>
        <v>3Q16</v>
      </c>
      <c r="BO165" s="2429" t="str">
        <f t="shared" si="424"/>
        <v>4Q16</v>
      </c>
      <c r="BP165" s="2427">
        <f t="shared" si="424"/>
        <v>2016</v>
      </c>
      <c r="BQ165" s="2426" t="str">
        <f t="shared" si="424"/>
        <v>1Q17</v>
      </c>
      <c r="BR165" s="2426" t="str">
        <f t="shared" si="424"/>
        <v>2Q17</v>
      </c>
      <c r="BS165" s="2426" t="str">
        <f t="shared" si="424"/>
        <v>3Q17</v>
      </c>
      <c r="BT165" s="2429" t="str">
        <f t="shared" si="424"/>
        <v>4Q17A</v>
      </c>
      <c r="BU165" s="3359" t="str">
        <f t="shared" si="424"/>
        <v>2017A</v>
      </c>
      <c r="BV165" s="2426" t="str">
        <f t="shared" si="424"/>
        <v>1Q18E</v>
      </c>
      <c r="BW165" s="2426" t="str">
        <f t="shared" si="424"/>
        <v>2Q18E</v>
      </c>
      <c r="BX165" s="2426" t="str">
        <f t="shared" si="424"/>
        <v>3Q18E</v>
      </c>
      <c r="BY165" s="2429" t="str">
        <f t="shared" si="424"/>
        <v>4Q18E</v>
      </c>
      <c r="BZ165" s="2427" t="str">
        <f t="shared" si="424"/>
        <v>2018E</v>
      </c>
      <c r="CA165" s="2427" t="str">
        <f t="shared" si="424"/>
        <v>2019E</v>
      </c>
      <c r="CB165" s="2427" t="str">
        <f t="shared" si="424"/>
        <v>2020E</v>
      </c>
      <c r="CC165" s="2427" t="str">
        <f t="shared" si="424"/>
        <v>2021E</v>
      </c>
      <c r="CD165" s="2427" t="str">
        <f>CD$6</f>
        <v>2022E</v>
      </c>
      <c r="CE165" s="2427" t="str">
        <f>CE$6</f>
        <v>2023E</v>
      </c>
      <c r="CF165" s="2427" t="str">
        <f>CF$6</f>
        <v>2024E</v>
      </c>
      <c r="CG165" s="2427" t="str">
        <f>CG$6</f>
        <v>2025E</v>
      </c>
      <c r="CH165" s="2430"/>
      <c r="CI165" s="61"/>
      <c r="CJ165" s="61"/>
      <c r="CK165" s="61"/>
      <c r="CL165" s="61"/>
      <c r="CM165" s="61"/>
      <c r="CN165" s="61"/>
      <c r="CO165" s="61"/>
      <c r="CP165" s="61"/>
      <c r="CQ165" s="61"/>
      <c r="CR165" s="61"/>
      <c r="CS165" s="61"/>
      <c r="CT165" s="61"/>
      <c r="CU165" s="1305" t="str">
        <f>A165</f>
        <v>Return on Equity / Assets</v>
      </c>
      <c r="CV165" s="2426">
        <f>H165</f>
        <v>2004</v>
      </c>
      <c r="CW165" s="2426">
        <f>M165</f>
        <v>2005</v>
      </c>
      <c r="CX165" s="2426">
        <f>R165</f>
        <v>2006</v>
      </c>
      <c r="CY165" s="2426">
        <f>W165</f>
        <v>2007</v>
      </c>
      <c r="CZ165" s="2426">
        <f>AB165</f>
        <v>2008</v>
      </c>
      <c r="DA165" s="2426">
        <f>AG165</f>
        <v>2009</v>
      </c>
      <c r="DB165" s="2426">
        <f>AL165</f>
        <v>2010</v>
      </c>
      <c r="DC165" s="2426">
        <f>AQ165</f>
        <v>2011</v>
      </c>
      <c r="DD165" s="2426">
        <f>AV165</f>
        <v>2012</v>
      </c>
      <c r="DE165" s="2426">
        <f>BA165</f>
        <v>2013</v>
      </c>
      <c r="DF165" s="2426">
        <f>BF165</f>
        <v>2014</v>
      </c>
      <c r="DG165" s="2426">
        <f>BK165</f>
        <v>2015</v>
      </c>
      <c r="DH165" s="2426">
        <f>BP165</f>
        <v>2016</v>
      </c>
      <c r="DI165" s="2426" t="str">
        <f>BU165</f>
        <v>2017A</v>
      </c>
      <c r="DJ165" s="2426" t="str">
        <f>BZ165</f>
        <v>2018E</v>
      </c>
      <c r="DK165" s="2426" t="str">
        <f>CA165</f>
        <v>2019E</v>
      </c>
      <c r="DL165" s="2429" t="str">
        <f>CB165</f>
        <v>2020E</v>
      </c>
      <c r="DM165" s="61"/>
      <c r="DN165" s="61"/>
      <c r="DO165" s="61"/>
      <c r="DY165" s="3476"/>
      <c r="DZ165" s="3476"/>
    </row>
    <row r="166" spans="1:130" ht="12.75" customHeight="1">
      <c r="A166" s="59"/>
      <c r="B166" s="2431"/>
      <c r="C166" s="2431"/>
      <c r="D166" s="61"/>
      <c r="E166" s="61"/>
      <c r="F166" s="61"/>
      <c r="G166" s="61"/>
      <c r="H166" s="112"/>
      <c r="I166" s="61"/>
      <c r="J166" s="61"/>
      <c r="K166" s="61"/>
      <c r="L166" s="61"/>
      <c r="M166" s="112"/>
      <c r="N166" s="61"/>
      <c r="O166" s="61"/>
      <c r="P166" s="61"/>
      <c r="Q166" s="61"/>
      <c r="R166" s="112"/>
      <c r="S166" s="61"/>
      <c r="T166" s="61"/>
      <c r="U166" s="61"/>
      <c r="V166" s="61"/>
      <c r="W166" s="112"/>
      <c r="X166" s="61"/>
      <c r="Y166" s="61"/>
      <c r="Z166" s="61"/>
      <c r="AA166" s="61"/>
      <c r="AB166" s="112"/>
      <c r="AC166" s="61"/>
      <c r="AD166" s="61"/>
      <c r="AE166" s="61"/>
      <c r="AF166" s="61"/>
      <c r="AG166" s="112"/>
      <c r="AH166" s="61"/>
      <c r="AI166" s="61"/>
      <c r="AJ166" s="61"/>
      <c r="AK166" s="61"/>
      <c r="AL166" s="112"/>
      <c r="AM166" s="61"/>
      <c r="AN166" s="61"/>
      <c r="AO166" s="61"/>
      <c r="AP166" s="61"/>
      <c r="AQ166" s="112"/>
      <c r="AR166" s="61"/>
      <c r="AS166" s="61"/>
      <c r="AT166" s="61"/>
      <c r="AU166" s="61"/>
      <c r="AV166" s="112"/>
      <c r="AW166" s="61"/>
      <c r="AX166" s="61"/>
      <c r="AY166" s="61"/>
      <c r="AZ166" s="61"/>
      <c r="BA166" s="112"/>
      <c r="BB166" s="61"/>
      <c r="BC166" s="61"/>
      <c r="BD166" s="77"/>
      <c r="BE166" s="61"/>
      <c r="BF166" s="112"/>
      <c r="BG166" s="59"/>
      <c r="BH166" s="61"/>
      <c r="BI166" s="61"/>
      <c r="BJ166" s="60"/>
      <c r="BK166" s="112"/>
      <c r="BL166" s="61"/>
      <c r="BM166" s="61"/>
      <c r="BN166" s="61"/>
      <c r="BO166" s="60"/>
      <c r="BP166" s="112"/>
      <c r="BQ166" s="61"/>
      <c r="BR166" s="61"/>
      <c r="BS166" s="61"/>
      <c r="BT166" s="60"/>
      <c r="BU166" s="3360"/>
      <c r="BV166" s="61"/>
      <c r="BW166" s="61"/>
      <c r="BX166" s="61"/>
      <c r="BY166" s="60"/>
      <c r="BZ166" s="112"/>
      <c r="CA166" s="112"/>
      <c r="CB166" s="112"/>
      <c r="CC166" s="112"/>
      <c r="CD166" s="112"/>
      <c r="CE166" s="112"/>
      <c r="CF166" s="112"/>
      <c r="CG166" s="112"/>
      <c r="CH166" s="2432"/>
      <c r="CI166" s="61"/>
      <c r="CJ166" s="61"/>
      <c r="CK166" s="61"/>
      <c r="CL166" s="61"/>
      <c r="CM166" s="61"/>
      <c r="CN166" s="61"/>
      <c r="CO166" s="61"/>
      <c r="CP166" s="61"/>
      <c r="CQ166" s="61"/>
      <c r="CR166" s="61"/>
      <c r="CS166" s="61"/>
      <c r="CT166" s="61"/>
      <c r="CU166" s="59"/>
      <c r="CV166" s="61"/>
      <c r="CW166" s="61"/>
      <c r="CX166" s="61"/>
      <c r="CY166" s="61"/>
      <c r="CZ166" s="61"/>
      <c r="DA166" s="61"/>
      <c r="DB166" s="61"/>
      <c r="DC166" s="61"/>
      <c r="DD166" s="61"/>
      <c r="DE166" s="61"/>
      <c r="DF166" s="61"/>
      <c r="DG166" s="61"/>
      <c r="DH166" s="61"/>
      <c r="DI166" s="61"/>
      <c r="DJ166" s="61"/>
      <c r="DK166" s="61"/>
      <c r="DL166" s="60"/>
      <c r="DM166" s="61"/>
      <c r="DN166" s="61"/>
      <c r="DO166" s="61"/>
      <c r="DY166" s="77"/>
      <c r="DZ166" s="77"/>
    </row>
    <row r="167" spans="1:130" ht="12.75" customHeight="1">
      <c r="A167" s="2433" t="s">
        <v>1264</v>
      </c>
      <c r="B167" s="2431"/>
      <c r="C167" s="2431"/>
      <c r="D167" s="201"/>
      <c r="E167" s="201"/>
      <c r="F167" s="201"/>
      <c r="G167" s="201"/>
      <c r="H167" s="375"/>
      <c r="I167" s="858">
        <f>(I55+G55+F55+E55)</f>
        <v>450.66199999999998</v>
      </c>
      <c r="J167" s="858">
        <f>(J55+I55+G55+F55)</f>
        <v>522.00599999999997</v>
      </c>
      <c r="K167" s="858">
        <f>(K55+J55+I55+G55)</f>
        <v>538.14899999999989</v>
      </c>
      <c r="L167" s="858">
        <f>(L55+K55+J55+I55)</f>
        <v>570.74300000000005</v>
      </c>
      <c r="M167" s="375">
        <f>+L167</f>
        <v>570.74300000000005</v>
      </c>
      <c r="N167" s="858">
        <f>(N55+L55+K55+J55)</f>
        <v>611.63700000000006</v>
      </c>
      <c r="O167" s="858">
        <f>(O55+N55+L55+K55)</f>
        <v>626.56000000000006</v>
      </c>
      <c r="P167" s="858">
        <f>(P55+O55+N55+L55)</f>
        <v>624.279</v>
      </c>
      <c r="Q167" s="858">
        <f>(Q55+P55+O55+N55)</f>
        <v>593.25</v>
      </c>
      <c r="R167" s="375">
        <f>+Q167</f>
        <v>593.25</v>
      </c>
      <c r="S167" s="858">
        <f>(S55+Q55+P55+O55)</f>
        <v>537.22400000000005</v>
      </c>
      <c r="T167" s="858">
        <f>(T55+S55+Q55+P55)</f>
        <v>512.68099999999993</v>
      </c>
      <c r="U167" s="858">
        <f>(U55+T55+S55+Q55)</f>
        <v>506.21199999999999</v>
      </c>
      <c r="V167" s="858">
        <f>(V55+U55+T55+S55)</f>
        <v>494.46000000000004</v>
      </c>
      <c r="W167" s="375">
        <f>+V167</f>
        <v>494.46000000000004</v>
      </c>
      <c r="X167" s="858">
        <f>(X55+V55+U55+T55)</f>
        <v>469.589</v>
      </c>
      <c r="Y167" s="858">
        <f>(Y55+X55+V55+U55)</f>
        <v>447.90699999999998</v>
      </c>
      <c r="Z167" s="858">
        <f>(Z55+Y55+X55+V55)</f>
        <v>412.50900000000001</v>
      </c>
      <c r="AA167" s="858">
        <f>(AA55+Z55+Y55+X55)</f>
        <v>382.12</v>
      </c>
      <c r="AB167" s="375">
        <f>+AA167</f>
        <v>382.12</v>
      </c>
      <c r="AC167" s="858">
        <f>(AC55+AA55+Z55+Y55)</f>
        <v>370.15800000000002</v>
      </c>
      <c r="AD167" s="858">
        <f>(AD55+AC55+AA55+Z55)</f>
        <v>355.50900000000001</v>
      </c>
      <c r="AE167" s="858">
        <f>(AE55+AD55+AC55+AA55)</f>
        <v>346.94100000000003</v>
      </c>
      <c r="AF167" s="858">
        <f>(AF55+AE55+AD55+AC55)</f>
        <v>326.39599999999996</v>
      </c>
      <c r="AG167" s="375">
        <f>+AF167</f>
        <v>326.39599999999996</v>
      </c>
      <c r="AH167" s="858">
        <f>(AH55+AF55+AE55+AD55)</f>
        <v>312.19600000000003</v>
      </c>
      <c r="AI167" s="858">
        <f>(AI55+AH55+AF55+AE55)</f>
        <v>333.94100000000003</v>
      </c>
      <c r="AJ167" s="858">
        <f>(AJ55+AI55+AH55+AF55)</f>
        <v>376.87400000000002</v>
      </c>
      <c r="AK167" s="858">
        <f>(AK55+AJ55+AI55+AH55)</f>
        <v>411.43400000000003</v>
      </c>
      <c r="AL167" s="375">
        <f>+AK167</f>
        <v>411.43400000000003</v>
      </c>
      <c r="AM167" s="858">
        <f>(AM55+AK55+AJ55+AI55)</f>
        <v>440.66</v>
      </c>
      <c r="AN167" s="858">
        <f>(AN55+AM55+AK55+AJ55)</f>
        <v>445.57300000000004</v>
      </c>
      <c r="AO167" s="858">
        <f>(AO55+AN55+AM55+AK55)</f>
        <v>451.88800000000003</v>
      </c>
      <c r="AP167" s="858">
        <f>(AP55+AO55+AN55+AM55)</f>
        <v>466.113</v>
      </c>
      <c r="AQ167" s="375">
        <f>+AP167</f>
        <v>466.113</v>
      </c>
      <c r="AR167" s="858">
        <f>(AR55+AP55+AO55+AN55)</f>
        <v>488.17400000000004</v>
      </c>
      <c r="AS167" s="858">
        <f>(AS55+AR55+AP55+AO55)</f>
        <v>483.59699999999998</v>
      </c>
      <c r="AT167" s="858">
        <f>(AT55+AS55+AR55+AP55)</f>
        <v>465.50799999999998</v>
      </c>
      <c r="AU167" s="858">
        <f>(AU55+AT55+AS55+AR55)</f>
        <v>452.09699999999998</v>
      </c>
      <c r="AV167" s="375">
        <f>+AU167</f>
        <v>452.09699999999998</v>
      </c>
      <c r="AW167" s="858">
        <f>(AW55+AU55+AT55+AS55)</f>
        <v>467.56950000000001</v>
      </c>
      <c r="AX167" s="858">
        <f>(AX55+AW55+AU55+AT55)</f>
        <v>499.99799999999999</v>
      </c>
      <c r="AY167" s="858">
        <f>(AY55+AX55+AW55+AU55)</f>
        <v>528.37599999999998</v>
      </c>
      <c r="AZ167" s="858">
        <f>(AZ55+AY55+AX55+AW55)</f>
        <v>550.80650000000003</v>
      </c>
      <c r="BA167" s="375">
        <f>+AZ167</f>
        <v>550.80650000000003</v>
      </c>
      <c r="BB167" s="858">
        <f>(BB55+AZ55+AY55+AX55)</f>
        <v>535.77700000000004</v>
      </c>
      <c r="BC167" s="858">
        <f>(BC55+BB55+AZ55+AY55)</f>
        <v>528.80050000000006</v>
      </c>
      <c r="BD167" s="858">
        <f>(BD55+BC55+BB55+AZ55)</f>
        <v>532.24300000000005</v>
      </c>
      <c r="BE167" s="858">
        <f>(BE55+BD55+BC55+BB55)</f>
        <v>545.32050000000004</v>
      </c>
      <c r="BF167" s="375">
        <f>+BE167</f>
        <v>545.32050000000004</v>
      </c>
      <c r="BG167" s="858">
        <f>(BG55+BE55+BD55+BC55)</f>
        <v>560.24700000000007</v>
      </c>
      <c r="BH167" s="858">
        <f>(BH55+BG55+BE55+BD55)</f>
        <v>583.86950000000002</v>
      </c>
      <c r="BI167" s="858">
        <f>(BI55+BH55+BG55+BE55)</f>
        <v>611.60400000000004</v>
      </c>
      <c r="BJ167" s="3000">
        <f>(BJ55+BI55+BH55+BG55)</f>
        <v>629.4860000000001</v>
      </c>
      <c r="BK167" s="375">
        <f>+BJ167</f>
        <v>629.4860000000001</v>
      </c>
      <c r="BL167" s="858">
        <f>(BL55+BJ55+BI55+BH55)</f>
        <v>640.67399999999998</v>
      </c>
      <c r="BM167" s="858">
        <f>(BM55+BL55+BJ55+BI55)</f>
        <v>615.66149999999993</v>
      </c>
      <c r="BN167" s="858">
        <f>(BN55+BM55+BL55+BJ55)</f>
        <v>574.44350000000009</v>
      </c>
      <c r="BO167" s="3000">
        <f>(BO55+BN55+BM55+BL55)</f>
        <v>558.99749999999995</v>
      </c>
      <c r="BP167" s="375">
        <f>+BO167</f>
        <v>558.99749999999995</v>
      </c>
      <c r="BQ167" s="858">
        <f>(BQ55+BN55+BO55+BM55)</f>
        <v>554.44100000000003</v>
      </c>
      <c r="BR167" s="858">
        <f>(BR55+BQ55+BO55+BN55)</f>
        <v>567.71900000000005</v>
      </c>
      <c r="BS167" s="858">
        <f>(BS55+BR55+BQ55+BO55)</f>
        <v>586.04999999999995</v>
      </c>
      <c r="BT167" s="3000">
        <f>(BT55+BS55+BR55+BQ55)</f>
        <v>595.625</v>
      </c>
      <c r="BU167" s="3325">
        <f>+BT167</f>
        <v>595.625</v>
      </c>
      <c r="BV167" s="858">
        <f>(BV55+BS55+BT55+BR55)</f>
        <v>597.25680741757992</v>
      </c>
      <c r="BW167" s="858">
        <f>(BW55+BV55+BT55+BS55)</f>
        <v>602.16482881140223</v>
      </c>
      <c r="BX167" s="858">
        <f>(BX55+BW55+BV55+BT55)</f>
        <v>664.84283365667</v>
      </c>
      <c r="BY167" s="3000">
        <f>(BY55+BX55+BW55+BV55)</f>
        <v>732.99432546230787</v>
      </c>
      <c r="BZ167" s="3325">
        <f>+BY167</f>
        <v>732.99432546230787</v>
      </c>
      <c r="CA167" s="2448">
        <f t="shared" ref="CA167:CG167" si="425">CA55</f>
        <v>873.95789252238421</v>
      </c>
      <c r="CB167" s="2448">
        <f t="shared" si="425"/>
        <v>885.4839440604203</v>
      </c>
      <c r="CC167" s="2448">
        <f t="shared" si="425"/>
        <v>27.182735284795953</v>
      </c>
      <c r="CD167" s="2448">
        <f t="shared" si="425"/>
        <v>-24.46940414965777</v>
      </c>
      <c r="CE167" s="2448">
        <f t="shared" si="425"/>
        <v>-3.0982719250125115</v>
      </c>
      <c r="CF167" s="2448">
        <f t="shared" si="425"/>
        <v>18.91610812897099</v>
      </c>
      <c r="CG167" s="2448">
        <f t="shared" si="425"/>
        <v>41.588759220727141</v>
      </c>
      <c r="CH167" s="2432"/>
      <c r="CI167" s="61"/>
      <c r="CJ167" s="61"/>
      <c r="CK167" s="61"/>
      <c r="CL167" s="61"/>
      <c r="CM167" s="965"/>
      <c r="CN167" s="965"/>
      <c r="CO167" s="61"/>
      <c r="CP167" s="61"/>
      <c r="CQ167" s="61"/>
      <c r="CR167" s="61"/>
      <c r="CS167" s="61"/>
      <c r="CT167" s="61"/>
      <c r="CU167" s="994" t="str">
        <f>A167</f>
        <v>TTM EBITDA</v>
      </c>
      <c r="CV167" s="201">
        <f>H167</f>
        <v>0</v>
      </c>
      <c r="CW167" s="201">
        <f>M167</f>
        <v>570.74300000000005</v>
      </c>
      <c r="CX167" s="201">
        <f>R167</f>
        <v>593.25</v>
      </c>
      <c r="CY167" s="201">
        <f>W167</f>
        <v>494.46000000000004</v>
      </c>
      <c r="CZ167" s="201">
        <f>AB167</f>
        <v>382.12</v>
      </c>
      <c r="DA167" s="201">
        <f>AG167</f>
        <v>326.39599999999996</v>
      </c>
      <c r="DB167" s="201">
        <f>AL167</f>
        <v>411.43400000000003</v>
      </c>
      <c r="DC167" s="201">
        <f>AQ167</f>
        <v>466.113</v>
      </c>
      <c r="DD167" s="201">
        <f>AV167</f>
        <v>452.09699999999998</v>
      </c>
      <c r="DE167" s="201">
        <f>BA167</f>
        <v>550.80650000000003</v>
      </c>
      <c r="DF167" s="201">
        <f>BF167</f>
        <v>545.32050000000004</v>
      </c>
      <c r="DG167" s="201">
        <f>BK167</f>
        <v>629.4860000000001</v>
      </c>
      <c r="DH167" s="201">
        <f>BP167</f>
        <v>558.99749999999995</v>
      </c>
      <c r="DI167" s="201">
        <f>BU167</f>
        <v>595.625</v>
      </c>
      <c r="DJ167" s="201">
        <f>BZ167</f>
        <v>732.99432546230787</v>
      </c>
      <c r="DK167" s="201">
        <f>CA167</f>
        <v>873.95789252238421</v>
      </c>
      <c r="DL167" s="1804">
        <f>CB167</f>
        <v>885.4839440604203</v>
      </c>
      <c r="DM167" s="61"/>
      <c r="DN167" s="61"/>
      <c r="DO167" s="61"/>
      <c r="DY167" s="201"/>
      <c r="DZ167" s="201"/>
    </row>
    <row r="168" spans="1:130" ht="12.75" customHeight="1">
      <c r="A168" s="2434" t="s">
        <v>1265</v>
      </c>
      <c r="B168" s="2431"/>
      <c r="C168" s="2431"/>
      <c r="D168" s="201"/>
      <c r="E168" s="201"/>
      <c r="F168" s="201"/>
      <c r="G168" s="201"/>
      <c r="H168" s="375"/>
      <c r="I168" s="104">
        <f>-(I73+G73+F73+E73)</f>
        <v>116.249</v>
      </c>
      <c r="J168" s="104">
        <f>-(J73+I73+G73+F73)</f>
        <v>127.125</v>
      </c>
      <c r="K168" s="104">
        <f>-(K73+J73+I73+G73)</f>
        <v>127.93899999999999</v>
      </c>
      <c r="L168" s="104">
        <f>-(L73+K73+J73+I73)</f>
        <v>128.839</v>
      </c>
      <c r="M168" s="375">
        <f>+L168</f>
        <v>128.839</v>
      </c>
      <c r="N168" s="104">
        <f>-(N73+L73+K73+J73)</f>
        <v>138.54399999999998</v>
      </c>
      <c r="O168" s="104">
        <f>-(O73+N73+L73+K73)</f>
        <v>150.101</v>
      </c>
      <c r="P168" s="104">
        <f>-(P73+O73+N73+L73)</f>
        <v>155.97000000000003</v>
      </c>
      <c r="Q168" s="104">
        <f>-(Q73+P73+O73+N73)</f>
        <v>160.471</v>
      </c>
      <c r="R168" s="375">
        <f>+Q168</f>
        <v>160.471</v>
      </c>
      <c r="S168" s="104">
        <f>-(S73+Q73+P73+O73)</f>
        <v>155.249</v>
      </c>
      <c r="T168" s="104">
        <f>-(T73+S73+Q73+P73)</f>
        <v>144.726</v>
      </c>
      <c r="U168" s="104">
        <f>-(U73+T73+S73+Q73)</f>
        <v>141.74900000000002</v>
      </c>
      <c r="V168" s="104">
        <f>-(V73+U73+T73+S73)</f>
        <v>137.57300000000001</v>
      </c>
      <c r="W168" s="375">
        <f>+V168</f>
        <v>137.57300000000001</v>
      </c>
      <c r="X168" s="104">
        <f>-(X73+V73+U73+T73)</f>
        <v>131.27799999999999</v>
      </c>
      <c r="Y168" s="104">
        <f>-(Y73+X73+V73+U73)</f>
        <v>124.63800000000001</v>
      </c>
      <c r="Z168" s="104">
        <f>-(Z73+Y73+X73+V73)</f>
        <v>116.492</v>
      </c>
      <c r="AA168" s="104">
        <f>-(AA73+Z73+Y73+X73)</f>
        <v>109.07599999999999</v>
      </c>
      <c r="AB168" s="375">
        <f>+AA168</f>
        <v>109.07599999999999</v>
      </c>
      <c r="AC168" s="104">
        <f>-(AC73+AA73+Z73+Y73)</f>
        <v>124.08999999999999</v>
      </c>
      <c r="AD168" s="104">
        <f>-(AD73+AC73+AA73+Z73)</f>
        <v>133.16800000000001</v>
      </c>
      <c r="AE168" s="104">
        <f>-(AE73+AD73+AC73+AA73)</f>
        <v>139.12299999999999</v>
      </c>
      <c r="AF168" s="104">
        <f>-(AF73+AE73+AD73+AC73)</f>
        <v>146.82400000000001</v>
      </c>
      <c r="AG168" s="375">
        <f>+AF168</f>
        <v>146.82400000000001</v>
      </c>
      <c r="AH168" s="104">
        <f>-(AH73+AF73+AE73+AD73)</f>
        <v>130.56400000000002</v>
      </c>
      <c r="AI168" s="104">
        <f>-(AI73+AH73+AF73+AE73)</f>
        <v>128.97900000000001</v>
      </c>
      <c r="AJ168" s="104">
        <f>-(AJ73+AI73+AH73+AF73)</f>
        <v>142.46100000000001</v>
      </c>
      <c r="AK168" s="104">
        <f>-(AK73+AJ73+AI73+AH73)</f>
        <v>164.453</v>
      </c>
      <c r="AL168" s="375">
        <f>+AK168</f>
        <v>164.453</v>
      </c>
      <c r="AM168" s="104">
        <f>-(AM73+AK73+AJ73+AI73)</f>
        <v>192.732</v>
      </c>
      <c r="AN168" s="104">
        <f>-(AN73+AM73+AK73+AJ73)</f>
        <v>224.80400000000003</v>
      </c>
      <c r="AO168" s="104">
        <f>-(AO73+AN73+AM73+AK73)</f>
        <v>239.09100000000001</v>
      </c>
      <c r="AP168" s="104">
        <f>-(AP73+AO73+AN73+AM73)</f>
        <v>250.733</v>
      </c>
      <c r="AQ168" s="375">
        <f>+AP168</f>
        <v>250.733</v>
      </c>
      <c r="AR168" s="104">
        <f>-(AR73+AP73+AO73+AN73)</f>
        <v>257.27099999999996</v>
      </c>
      <c r="AS168" s="104">
        <f>-(AS73+AR73+AP73+AO73)</f>
        <v>254.92899999999997</v>
      </c>
      <c r="AT168" s="104">
        <f>-(AT73+AS73+AR73+AP73)</f>
        <v>268.70400000000001</v>
      </c>
      <c r="AU168" s="104">
        <f>-(AU73+AT73+AS73+AR73)</f>
        <v>288.83499999999998</v>
      </c>
      <c r="AV168" s="375">
        <f>+AU168</f>
        <v>288.83499999999998</v>
      </c>
      <c r="AW168" s="104">
        <f>-(AW73+AU73+AT73+AS73)</f>
        <v>299.21100000000001</v>
      </c>
      <c r="AX168" s="104">
        <f>-(AX73+AW73+AU73+AT73)</f>
        <v>301.53100000000001</v>
      </c>
      <c r="AY168" s="104">
        <f>-(AY73+AX73+AW73+AU73)</f>
        <v>289.988</v>
      </c>
      <c r="AZ168" s="104">
        <f>-(AZ73+AY73+AX73+AW73)</f>
        <v>260.8</v>
      </c>
      <c r="BA168" s="375">
        <f>+AZ168</f>
        <v>260.8</v>
      </c>
      <c r="BB168" s="104">
        <f>-(BB73+AZ73+AY73+AX73)</f>
        <v>243.89999999999998</v>
      </c>
      <c r="BC168" s="104">
        <f>-(BC73+BB73+AZ73+AY73)</f>
        <v>234.09999999999997</v>
      </c>
      <c r="BD168" s="104">
        <f>-(BD73+BC73+BB73+AZ73)</f>
        <v>228.9</v>
      </c>
      <c r="BE168" s="104">
        <f>-(BE73+BD73+BC73+BB73)</f>
        <v>228.00099999999998</v>
      </c>
      <c r="BF168" s="375">
        <f>+BE168</f>
        <v>228.00099999999998</v>
      </c>
      <c r="BG168" s="104">
        <f>-(BG73+BE73+BD73+BC73)</f>
        <v>227.16499999999999</v>
      </c>
      <c r="BH168" s="104">
        <f>-(BH73+BG73+BE73+BD73)</f>
        <v>226.93099999999998</v>
      </c>
      <c r="BI168" s="104">
        <f>-(BI73+BH73+BG73+BE73)</f>
        <v>225.929</v>
      </c>
      <c r="BJ168" s="1800">
        <f>-(BJ73+BI73+BH73+BG73)</f>
        <v>222.732</v>
      </c>
      <c r="BK168" s="375">
        <f>+BJ168</f>
        <v>222.732</v>
      </c>
      <c r="BL168" s="104">
        <f>-(BL73+BJ73+BI73+BH73)</f>
        <v>218.83600000000001</v>
      </c>
      <c r="BM168" s="104">
        <f>-(BM73+BL73+BJ73+BI73)</f>
        <v>223.09800000000001</v>
      </c>
      <c r="BN168" s="104">
        <f>-(BN73+BM73+BL73+BJ73)</f>
        <v>221.15299999999999</v>
      </c>
      <c r="BO168" s="1800">
        <f>-(BO73+BN73+BM73+BL73)</f>
        <v>209.73099999999999</v>
      </c>
      <c r="BP168" s="375">
        <f>+BO168</f>
        <v>209.73099999999999</v>
      </c>
      <c r="BQ168" s="104">
        <f>-(BQ73+BN73+BO73+BM73)</f>
        <v>200.37700000000001</v>
      </c>
      <c r="BR168" s="104">
        <f>-(BR73+BQ73+BO73+BN73)</f>
        <v>181.72199999999998</v>
      </c>
      <c r="BS168" s="104">
        <f>-(BS73+BR73+BQ73+BO73)</f>
        <v>170.42599999999999</v>
      </c>
      <c r="BT168" s="1800">
        <f>-(BT73+BS73+BR73+BQ73)</f>
        <v>171.29</v>
      </c>
      <c r="BU168" s="3325">
        <f>+BT168</f>
        <v>171.29</v>
      </c>
      <c r="BV168" s="104">
        <f>-(BV73+BS73+BT73+BR73)</f>
        <v>171.93637203124999</v>
      </c>
      <c r="BW168" s="104">
        <f>-(BW73+BV73+BT73+BS73)</f>
        <v>174.3909646875</v>
      </c>
      <c r="BX168" s="104">
        <f>-(BX73+BW73+BV73+BT73)</f>
        <v>200.02762171875</v>
      </c>
      <c r="BY168" s="1800">
        <f>-(BY73+BX73+BW73+BV73)</f>
        <v>226.43468687500001</v>
      </c>
      <c r="BZ168" s="3325">
        <f>+BY168</f>
        <v>226.43468687500001</v>
      </c>
      <c r="CA168" s="375">
        <f t="shared" ref="CA168:CG168" si="426">-CA73</f>
        <v>312.22104485</v>
      </c>
      <c r="CB168" s="375">
        <f t="shared" si="426"/>
        <v>318.79065617138781</v>
      </c>
      <c r="CC168" s="375">
        <f t="shared" si="426"/>
        <v>129.86223374999997</v>
      </c>
      <c r="CD168" s="375">
        <f t="shared" si="426"/>
        <v>128.63910874999999</v>
      </c>
      <c r="CE168" s="375">
        <f t="shared" si="426"/>
        <v>127.41598374999998</v>
      </c>
      <c r="CF168" s="375">
        <f t="shared" si="426"/>
        <v>126.19285875</v>
      </c>
      <c r="CG168" s="375">
        <f t="shared" si="426"/>
        <v>124.96973374999999</v>
      </c>
      <c r="CH168" s="2432"/>
      <c r="CI168" s="61"/>
      <c r="CJ168" s="61"/>
      <c r="CK168" s="61"/>
      <c r="CL168" s="61"/>
      <c r="CM168" s="965"/>
      <c r="CN168" s="965"/>
      <c r="CO168" s="61"/>
      <c r="CP168" s="61"/>
      <c r="CQ168" s="61"/>
      <c r="CR168" s="61"/>
      <c r="CS168" s="61"/>
      <c r="CT168" s="61"/>
      <c r="CU168" s="994"/>
      <c r="CV168" s="201"/>
      <c r="CW168" s="201"/>
      <c r="CX168" s="201"/>
      <c r="CY168" s="201"/>
      <c r="CZ168" s="201"/>
      <c r="DA168" s="201"/>
      <c r="DB168" s="201"/>
      <c r="DC168" s="201"/>
      <c r="DD168" s="201"/>
      <c r="DE168" s="201"/>
      <c r="DF168" s="201"/>
      <c r="DG168" s="201"/>
      <c r="DH168" s="201"/>
      <c r="DI168" s="201"/>
      <c r="DJ168" s="201"/>
      <c r="DK168" s="201"/>
      <c r="DL168" s="1804"/>
      <c r="DM168" s="61"/>
      <c r="DN168" s="61"/>
      <c r="DO168" s="61"/>
      <c r="DY168" s="201"/>
      <c r="DZ168" s="201"/>
    </row>
    <row r="169" spans="1:130" ht="12.75" customHeight="1">
      <c r="A169" s="2434" t="s">
        <v>1266</v>
      </c>
      <c r="B169" s="2431"/>
      <c r="C169" s="2431"/>
      <c r="D169" s="201"/>
      <c r="E169" s="201"/>
      <c r="F169" s="201"/>
      <c r="G169" s="201"/>
      <c r="H169" s="375"/>
      <c r="I169" s="201">
        <f>(I88+G88+F88+E88)</f>
        <v>160.40799999999996</v>
      </c>
      <c r="J169" s="201">
        <f>(J88+I88+G88+F88)</f>
        <v>192.48799999999994</v>
      </c>
      <c r="K169" s="201">
        <f>(K88+J88+I88+G88)</f>
        <v>210.59099999999995</v>
      </c>
      <c r="L169" s="201">
        <f>(L88+K88+J88+I88)</f>
        <v>228.01</v>
      </c>
      <c r="M169" s="375">
        <f>+L169</f>
        <v>228.01</v>
      </c>
      <c r="N169" s="201">
        <f>(N88+L88+K88+J88)</f>
        <v>241.40200000000002</v>
      </c>
      <c r="O169" s="201">
        <f>(O88+N88+L88+K88)</f>
        <v>233.52900000000005</v>
      </c>
      <c r="P169" s="201">
        <f>(P88+O88+N88+L88)</f>
        <v>220.92200000000003</v>
      </c>
      <c r="Q169" s="201">
        <f>(Q88+P88+O88+N88)</f>
        <v>192.06399999999996</v>
      </c>
      <c r="R169" s="375">
        <f>+Q169</f>
        <v>192.06399999999996</v>
      </c>
      <c r="S169" s="201">
        <f>(S88+Q88+P88+O88)</f>
        <v>165.21899999999999</v>
      </c>
      <c r="T169" s="201">
        <f>(T88+S88+Q88+P88)</f>
        <v>162.65699999999995</v>
      </c>
      <c r="U169" s="201">
        <f>(U88+T88+S88+Q88)</f>
        <v>162.21599999999995</v>
      </c>
      <c r="V169" s="201">
        <f>(V88+U88+T88+S88)</f>
        <v>161.13099999999997</v>
      </c>
      <c r="W169" s="375">
        <f>+V169</f>
        <v>161.13099999999997</v>
      </c>
      <c r="X169" s="201">
        <f>(X88+V88+U88+T88)</f>
        <v>146.709</v>
      </c>
      <c r="Y169" s="201">
        <f>(Y88+X88+V88+U88)</f>
        <v>133.22760000000002</v>
      </c>
      <c r="Z169" s="201">
        <f>(Z88+Y88+X88+V88)</f>
        <v>108.80930000000001</v>
      </c>
      <c r="AA169" s="201">
        <f>(AA88+Z88+Y88+X88)</f>
        <v>81.231780000000043</v>
      </c>
      <c r="AB169" s="375">
        <f>+AA169</f>
        <v>81.231780000000043</v>
      </c>
      <c r="AC169" s="201">
        <f>(AC88+AA88+Z88+Y88)</f>
        <v>64.614280000000036</v>
      </c>
      <c r="AD169" s="201">
        <f>(AD88+AC88+AA88+Z88)</f>
        <v>48.630680000000027</v>
      </c>
      <c r="AE169" s="201">
        <f>(AE88+AD88+AC88+AA88)</f>
        <v>42.635980000000025</v>
      </c>
      <c r="AF169" s="201">
        <f>(AF88+AE88+AD88+AC88)</f>
        <v>31.32953599999999</v>
      </c>
      <c r="AG169" s="375">
        <f>+AF169</f>
        <v>31.32953599999999</v>
      </c>
      <c r="AH169" s="201">
        <f>(AH88+AF88+AE88+AD88)</f>
        <v>27.182036000000004</v>
      </c>
      <c r="AI169" s="201">
        <f>(AI88+AH88+AF88+AE88)</f>
        <v>20.98303600000002</v>
      </c>
      <c r="AJ169" s="201">
        <f>(AJ88+AI88+AH88+AF88)</f>
        <v>14.427036000000037</v>
      </c>
      <c r="AK169" s="201">
        <f>(AK88+AJ88+AI88+AH88)</f>
        <v>13.271000000000036</v>
      </c>
      <c r="AL169" s="375">
        <f>+AK169</f>
        <v>13.271000000000036</v>
      </c>
      <c r="AM169" s="201">
        <f>(AM88+AK88+AJ88+AI88)</f>
        <v>3.2000000000000064</v>
      </c>
      <c r="AN169" s="201">
        <f>(AN88+AM88+AK88+AJ88)</f>
        <v>-2.2399999999999891</v>
      </c>
      <c r="AO169" s="201">
        <f>(AO88+AN88+AM88+AK88)</f>
        <v>1.3580000000000196</v>
      </c>
      <c r="AP169" s="201">
        <f>(AP88+AO88+AN88+AM88)</f>
        <v>-0.28599999999998538</v>
      </c>
      <c r="AQ169" s="375">
        <f>+AP169</f>
        <v>-0.28599999999998538</v>
      </c>
      <c r="AR169" s="201">
        <f>(AR88+AP88+AO88+AN88)</f>
        <v>9.3420000000000201</v>
      </c>
      <c r="AS169" s="201">
        <f>(AS88+AR88+AP88+AO88)</f>
        <v>14.718999999999992</v>
      </c>
      <c r="AT169" s="201">
        <f>(AT88+AS88+AR88+AP88)</f>
        <v>0.26399999999997581</v>
      </c>
      <c r="AU169" s="201">
        <f>(AU88+AT88+AS88+AR88)</f>
        <v>-24.522999999999882</v>
      </c>
      <c r="AV169" s="375">
        <f>+AU169</f>
        <v>-24.522999999999882</v>
      </c>
      <c r="AW169" s="201">
        <f>(AW88+AU88+AT88+AS88)</f>
        <v>-31.512499999999847</v>
      </c>
      <c r="AX169" s="201">
        <f>(AX88+AW88+AU88+AT88)</f>
        <v>-35.909999999999833</v>
      </c>
      <c r="AY169" s="201">
        <f>(AY88+AX88+AW88+AU88)</f>
        <v>-34.781999999999812</v>
      </c>
      <c r="AZ169" s="201">
        <f>(AZ88+AY88+AX88+AW88)</f>
        <v>-33.535499999999928</v>
      </c>
      <c r="BA169" s="375">
        <f>+AZ169</f>
        <v>-33.535499999999928</v>
      </c>
      <c r="BB169" s="201">
        <f>(BB88+AZ88+AY88+AX88)</f>
        <v>-39.016999999999918</v>
      </c>
      <c r="BC169" s="201">
        <f>(BC88+BB88+AZ88+AY88)</f>
        <v>-33.599499999999935</v>
      </c>
      <c r="BD169" s="201">
        <f>(BD88+BC88+BB88+AZ88)</f>
        <v>-24.885999999999981</v>
      </c>
      <c r="BE169" s="201">
        <f>(BE88+BD88+BC88+BB88)</f>
        <v>1.3905000000000243</v>
      </c>
      <c r="BF169" s="375">
        <f>+BE169</f>
        <v>1.3905000000000243</v>
      </c>
      <c r="BG169" s="201">
        <f>(BG88+BE88+BD88+BC88)</f>
        <v>19.694000000000017</v>
      </c>
      <c r="BH169" s="201">
        <f>(BH88+BG88+BE88+BD88)</f>
        <v>41.385500000000064</v>
      </c>
      <c r="BI169" s="201">
        <f>(BI88+BH88+BG88+BE88)</f>
        <v>71.3960000000001</v>
      </c>
      <c r="BJ169" s="1804">
        <f>(BJ88+BI88+BH88+BG88)</f>
        <v>89.688000000000116</v>
      </c>
      <c r="BK169" s="375">
        <f>+BJ169</f>
        <v>89.688000000000116</v>
      </c>
      <c r="BL169" s="201">
        <f>(BL88+BJ88+BI88+BH88)</f>
        <v>109.39900000000009</v>
      </c>
      <c r="BM169" s="201">
        <f>(BM88+BL88+BJ88+BI88)</f>
        <v>100.62550000000002</v>
      </c>
      <c r="BN169" s="201">
        <f>(BN88+BM88+BL88+BJ88)</f>
        <v>86.901500000000027</v>
      </c>
      <c r="BO169" s="1804">
        <f>(BO88+BN88+BM88+BL88)</f>
        <v>113.03150000000002</v>
      </c>
      <c r="BP169" s="375">
        <f>+BO169</f>
        <v>113.03150000000002</v>
      </c>
      <c r="BQ169" s="201">
        <f>(BQ88+BN88+BO88+BM88)</f>
        <v>116.52200000000001</v>
      </c>
      <c r="BR169" s="201">
        <f>(BR88+BQ88+BO88+BN88)</f>
        <v>128.67100000000002</v>
      </c>
      <c r="BS169" s="201">
        <f>(BS88+BR88+BQ88+BO88)</f>
        <v>137.49199999999996</v>
      </c>
      <c r="BT169" s="1804">
        <f>(BT88+BS88+BR88+BQ88)</f>
        <v>118.80499999999999</v>
      </c>
      <c r="BU169" s="3325">
        <f>+BT169</f>
        <v>118.80499999999999</v>
      </c>
      <c r="BV169" s="201">
        <f>(BV88+BS88+BT88+BR88)</f>
        <v>122.00315347815749</v>
      </c>
      <c r="BW169" s="201">
        <f>(BW88+BV88+BT88+BS88)</f>
        <v>130.01482216920968</v>
      </c>
      <c r="BX169" s="201">
        <f>(BX88+BW88+BV88+BT88)</f>
        <v>157.44609259530239</v>
      </c>
      <c r="BY169" s="1804">
        <f>(BY88+BX88+BW88+BV88)</f>
        <v>190.76145978286172</v>
      </c>
      <c r="BZ169" s="3325">
        <f>+BY169</f>
        <v>190.76145978286172</v>
      </c>
      <c r="CA169" s="375">
        <f t="shared" ref="CA169:CG169" si="427">CA88</f>
        <v>225.48610411611662</v>
      </c>
      <c r="CB169" s="375">
        <f t="shared" si="427"/>
        <v>228.86739541959551</v>
      </c>
      <c r="CC169" s="375">
        <f t="shared" si="427"/>
        <v>-228.25798126982744</v>
      </c>
      <c r="CD169" s="375">
        <f t="shared" si="427"/>
        <v>-261.0885705464425</v>
      </c>
      <c r="CE169" s="375">
        <f t="shared" si="427"/>
        <v>-246.38264599061949</v>
      </c>
      <c r="CF169" s="375">
        <f t="shared" si="427"/>
        <v>-231.2582171985305</v>
      </c>
      <c r="CG169" s="375">
        <f t="shared" si="427"/>
        <v>-215.70551122174925</v>
      </c>
      <c r="CH169" s="2432"/>
      <c r="CI169" s="61"/>
      <c r="CJ169" s="61"/>
      <c r="CK169" s="61"/>
      <c r="CL169" s="61"/>
      <c r="CM169" s="965"/>
      <c r="CN169" s="965"/>
      <c r="CO169" s="61"/>
      <c r="CP169" s="61"/>
      <c r="CQ169" s="61"/>
      <c r="CR169" s="61"/>
      <c r="CS169" s="61"/>
      <c r="CT169" s="61"/>
      <c r="CU169" s="994"/>
      <c r="CV169" s="201"/>
      <c r="CW169" s="201"/>
      <c r="CX169" s="201"/>
      <c r="CY169" s="201"/>
      <c r="CZ169" s="201"/>
      <c r="DA169" s="201"/>
      <c r="DB169" s="201"/>
      <c r="DC169" s="201"/>
      <c r="DD169" s="201"/>
      <c r="DE169" s="201"/>
      <c r="DF169" s="201"/>
      <c r="DG169" s="201"/>
      <c r="DH169" s="201"/>
      <c r="DI169" s="201"/>
      <c r="DJ169" s="201"/>
      <c r="DK169" s="201"/>
      <c r="DL169" s="1804"/>
      <c r="DM169" s="61"/>
      <c r="DN169" s="61"/>
      <c r="DO169" s="61"/>
      <c r="DY169" s="201"/>
      <c r="DZ169" s="201"/>
    </row>
    <row r="170" spans="1:130" ht="12.75" customHeight="1">
      <c r="A170" s="2434" t="s">
        <v>1267</v>
      </c>
      <c r="B170" s="2431"/>
      <c r="C170" s="2431"/>
      <c r="D170" s="201"/>
      <c r="E170" s="201"/>
      <c r="F170" s="201"/>
      <c r="G170" s="201"/>
      <c r="H170" s="375"/>
      <c r="I170" s="201">
        <f>(I21+G21+F21+E21)</f>
        <v>1970.9099999999999</v>
      </c>
      <c r="J170" s="201">
        <f>(J21+I21+G21+F21)</f>
        <v>2183.2649999999999</v>
      </c>
      <c r="K170" s="201">
        <f>(K21+J21+I21+G21)</f>
        <v>2197.2860000000001</v>
      </c>
      <c r="L170" s="201">
        <f>(L21+K21+J21+I21)</f>
        <v>2223.02</v>
      </c>
      <c r="M170" s="375">
        <f>+L170</f>
        <v>2223.02</v>
      </c>
      <c r="N170" s="201">
        <f>(N21+L21+K21+J21)</f>
        <v>2302.6030000000001</v>
      </c>
      <c r="O170" s="201">
        <f>(O21+N21+L21+K21)</f>
        <v>2359.2190000000001</v>
      </c>
      <c r="P170" s="201">
        <f>(P21+O21+N21+L21)</f>
        <v>2353.3909999999996</v>
      </c>
      <c r="Q170" s="201">
        <f>(Q21+P21+O21+N21)</f>
        <v>2308.8609999999999</v>
      </c>
      <c r="R170" s="375">
        <f>+Q170</f>
        <v>2308.8609999999999</v>
      </c>
      <c r="S170" s="201">
        <f>(S21+Q21+P21+O21)</f>
        <v>2179.4179999999997</v>
      </c>
      <c r="T170" s="201">
        <f>(T21+S21+Q21+P21)</f>
        <v>2079.9429999999998</v>
      </c>
      <c r="U170" s="201">
        <f>(U21+T21+S21+Q21)</f>
        <v>2039.3119999999999</v>
      </c>
      <c r="V170" s="201">
        <f>(V21+U21+T21+S21)</f>
        <v>1997.1189999999999</v>
      </c>
      <c r="W170" s="375">
        <f>+V170</f>
        <v>1997.1189999999999</v>
      </c>
      <c r="X170" s="201">
        <f>(X21+V21+U21+T21)</f>
        <v>1951.2069999999999</v>
      </c>
      <c r="Y170" s="201">
        <f>(Y21+X21+V21+U21)</f>
        <v>1900.5800000000002</v>
      </c>
      <c r="Z170" s="201">
        <f>(Z21+Y21+X21+V21)</f>
        <v>1836.98</v>
      </c>
      <c r="AA170" s="201">
        <f>(AA21+Z21+Y21+X21)</f>
        <v>1780.9670000000001</v>
      </c>
      <c r="AB170" s="375">
        <f>+AA170</f>
        <v>1780.9670000000001</v>
      </c>
      <c r="AC170" s="201">
        <f>(AC21+AA21+Z21+Y21)</f>
        <v>1744.694</v>
      </c>
      <c r="AD170" s="201">
        <f>(AD21+AC21+AA21+Z21)</f>
        <v>1706.88</v>
      </c>
      <c r="AE170" s="201">
        <f>(AE21+AD21+AC21+AA21)</f>
        <v>1678.6680000000001</v>
      </c>
      <c r="AF170" s="201">
        <f>(AF21+AE21+AD21+AC21)</f>
        <v>1640.9860000000001</v>
      </c>
      <c r="AG170" s="375">
        <f>+AF170</f>
        <v>1640.9860000000001</v>
      </c>
      <c r="AH170" s="201">
        <f>(AH21+AF21+AE21+AD21)</f>
        <v>1621.3</v>
      </c>
      <c r="AI170" s="201">
        <f>(AI21+AH21+AF21+AE21)</f>
        <v>1775.2220000000002</v>
      </c>
      <c r="AJ170" s="201">
        <f>(AJ21+AI21+AH21+AF21)</f>
        <v>1970.8520000000003</v>
      </c>
      <c r="AK170" s="201">
        <f>(AK21+AJ21+AI21+AH21)</f>
        <v>2136.4920000000002</v>
      </c>
      <c r="AL170" s="375">
        <f>+AK170</f>
        <v>2136.4920000000002</v>
      </c>
      <c r="AM170" s="201">
        <f>(AM21+AK21+AJ21+AI21)</f>
        <v>2284.7380000000003</v>
      </c>
      <c r="AN170" s="201">
        <f>(AN21+AM21+AK21+AJ21)</f>
        <v>2280.7939999999999</v>
      </c>
      <c r="AO170" s="201">
        <f>(AO21+AN21+AM21+AK21)</f>
        <v>2276.087</v>
      </c>
      <c r="AP170" s="201">
        <f>(AP21+AO21+AN21+AM21)</f>
        <v>2330.8429999999998</v>
      </c>
      <c r="AQ170" s="375">
        <f>+AP170</f>
        <v>2330.8429999999998</v>
      </c>
      <c r="AR170" s="201">
        <f>(AR21+AP21+AO21+AN21)</f>
        <v>2399.107</v>
      </c>
      <c r="AS170" s="201">
        <f>(AS21+AR21+AP21+AO21)</f>
        <v>2440.2490000000003</v>
      </c>
      <c r="AT170" s="201">
        <f>(AT21+AS21+AR21+AP21)</f>
        <v>2463.473</v>
      </c>
      <c r="AU170" s="201">
        <f>(AU21+AT21+AS21+AR21)</f>
        <v>2482.819</v>
      </c>
      <c r="AV170" s="375">
        <f>+AU170</f>
        <v>2482.819</v>
      </c>
      <c r="AW170" s="201">
        <f>(AW21+AU21+AT21+AS21)</f>
        <v>2421.09</v>
      </c>
      <c r="AX170" s="201">
        <f>(AX21+AW21+AU21+AT21)</f>
        <v>2372.8910000000001</v>
      </c>
      <c r="AY170" s="201">
        <f>(AY21+AX21+AW21+AU21)</f>
        <v>2299.0190000000002</v>
      </c>
      <c r="AZ170" s="201">
        <f>(AZ21+AY21+AX21+AW21)</f>
        <v>2198.7380000000003</v>
      </c>
      <c r="BA170" s="375">
        <f>+AZ170</f>
        <v>2198.7380000000003</v>
      </c>
      <c r="BB170" s="201">
        <f>(BB21+AZ21+AY21+AX21)</f>
        <v>2169.8830000000003</v>
      </c>
      <c r="BC170" s="201">
        <f>(BC21+BB21+AZ21+AY21)</f>
        <v>2144.692</v>
      </c>
      <c r="BD170" s="201">
        <f>(BD21+BC21+BB21+AZ21)</f>
        <v>2135.0700000000002</v>
      </c>
      <c r="BE170" s="201">
        <f>(BE21+BD21+BC21+BB21)</f>
        <v>2142.2560000000003</v>
      </c>
      <c r="BF170" s="375">
        <f>+BE170</f>
        <v>2142.2560000000003</v>
      </c>
      <c r="BG170" s="201">
        <f>(BG21+BE21+BD21+BC21)</f>
        <v>2151.7489999999998</v>
      </c>
      <c r="BH170" s="201">
        <f>(BH21+BG21+BE21+BD21)</f>
        <v>2170.9340000000002</v>
      </c>
      <c r="BI170" s="201">
        <f>(BI21+BH21+BG21+BE21)</f>
        <v>2188.3509999999997</v>
      </c>
      <c r="BJ170" s="1804">
        <f>(BJ21+BI21+BH21+BG21)</f>
        <v>2199.4300000000003</v>
      </c>
      <c r="BK170" s="375">
        <f>+BJ170</f>
        <v>2199.4300000000003</v>
      </c>
      <c r="BL170" s="201">
        <f>(BL21+BJ21+BI21+BH21)</f>
        <v>2201.2299999999996</v>
      </c>
      <c r="BM170" s="201">
        <f>(BM21+BL21+BJ21+BI21)</f>
        <v>2186.2379999999998</v>
      </c>
      <c r="BN170" s="201">
        <f>(BN21+BM21+BL21+BJ21)</f>
        <v>2171.826</v>
      </c>
      <c r="BO170" s="1804">
        <f>(BO21+BN21+BM21+BL21)</f>
        <v>2183.9749999999999</v>
      </c>
      <c r="BP170" s="375">
        <f>+BO170</f>
        <v>2183.9749999999999</v>
      </c>
      <c r="BQ170" s="201">
        <f>(BQ21+BN21+BO21+BM21)</f>
        <v>2236.9389999999999</v>
      </c>
      <c r="BR170" s="201">
        <f>(BR21+BQ21+BO21+BN21)</f>
        <v>2291.9339999999997</v>
      </c>
      <c r="BS170" s="201">
        <f>(BS21+BR21+BQ21+BO21)</f>
        <v>2347.6979999999999</v>
      </c>
      <c r="BT170" s="1804">
        <f>(BT21+BS21+BR21+BQ21)</f>
        <v>2383.7069999999999</v>
      </c>
      <c r="BU170" s="3325">
        <f>+BT170</f>
        <v>2383.7069999999999</v>
      </c>
      <c r="BV170" s="201">
        <f>(BV21+BS21+BT21+BR21)</f>
        <v>2388.1397824175797</v>
      </c>
      <c r="BW170" s="201">
        <f>(BW21+BV21+BT21+BS21)</f>
        <v>2395.0055488114022</v>
      </c>
      <c r="BX170" s="201">
        <f>(BX21+BW21+BV21+BT21)</f>
        <v>2604.1209189710353</v>
      </c>
      <c r="BY170" s="1804">
        <f>(BY21+BX21+BW21+BV21)</f>
        <v>2811.3833788202169</v>
      </c>
      <c r="BZ170" s="3325">
        <f>+BY170</f>
        <v>2811.3833788202169</v>
      </c>
      <c r="CA170" s="375">
        <f t="shared" ref="CA170:CG170" si="428">CA21</f>
        <v>3245.9083136045824</v>
      </c>
      <c r="CB170" s="375">
        <f t="shared" si="428"/>
        <v>3250.7003416061184</v>
      </c>
      <c r="CC170" s="375">
        <f t="shared" si="428"/>
        <v>2423.7290837026148</v>
      </c>
      <c r="CD170" s="375">
        <f t="shared" si="428"/>
        <v>2301.8476249596565</v>
      </c>
      <c r="CE170" s="375">
        <f t="shared" si="428"/>
        <v>2348.1625792819809</v>
      </c>
      <c r="CF170" s="375">
        <f t="shared" si="428"/>
        <v>2395.4038326907516</v>
      </c>
      <c r="CG170" s="375">
        <f t="shared" si="428"/>
        <v>2443.5899111676972</v>
      </c>
      <c r="CH170" s="2432"/>
      <c r="CI170" s="61"/>
      <c r="CJ170" s="61"/>
      <c r="CK170" s="61"/>
      <c r="CL170" s="61"/>
      <c r="CM170" s="965"/>
      <c r="CN170" s="965"/>
      <c r="CO170" s="61"/>
      <c r="CP170" s="61"/>
      <c r="CQ170" s="61"/>
      <c r="CR170" s="61"/>
      <c r="CS170" s="61"/>
      <c r="CT170" s="61"/>
      <c r="CU170" s="994"/>
      <c r="CV170" s="201"/>
      <c r="CW170" s="201"/>
      <c r="CX170" s="201"/>
      <c r="CY170" s="201"/>
      <c r="CZ170" s="201"/>
      <c r="DA170" s="201"/>
      <c r="DB170" s="201"/>
      <c r="DC170" s="201"/>
      <c r="DD170" s="201"/>
      <c r="DE170" s="201"/>
      <c r="DF170" s="201"/>
      <c r="DG170" s="201"/>
      <c r="DH170" s="201"/>
      <c r="DI170" s="201"/>
      <c r="DJ170" s="201"/>
      <c r="DK170" s="201"/>
      <c r="DL170" s="1804"/>
      <c r="DM170" s="61"/>
      <c r="DN170" s="61"/>
      <c r="DO170" s="61"/>
      <c r="DY170" s="201"/>
      <c r="DZ170" s="201"/>
    </row>
    <row r="171" spans="1:130" ht="12.75" customHeight="1">
      <c r="A171" s="2434" t="s">
        <v>1268</v>
      </c>
      <c r="B171" s="2431"/>
      <c r="C171" s="2431"/>
      <c r="D171" s="201"/>
      <c r="E171" s="201"/>
      <c r="F171" s="201"/>
      <c r="G171" s="201"/>
      <c r="H171" s="375"/>
      <c r="I171" s="201">
        <f>AVERAGE(H1072:I1072)</f>
        <v>3940.5545000000002</v>
      </c>
      <c r="J171" s="201">
        <f>AVERAGE(I1072:J1072)</f>
        <v>4024.1075000000001</v>
      </c>
      <c r="K171" s="201">
        <f>AVERAGE(J1072:K1072)</f>
        <v>4147.5879999999997</v>
      </c>
      <c r="L171" s="201">
        <f>AVERAGE(K1072:L1072)</f>
        <v>4317.0045</v>
      </c>
      <c r="M171" s="375">
        <f>AVERAGE(H1072:M1072)</f>
        <v>4171.0378333333338</v>
      </c>
      <c r="N171" s="201">
        <f>AVERAGE(M1072:N1072)</f>
        <v>4464.8085000000001</v>
      </c>
      <c r="O171" s="201">
        <f>AVERAGE(N1072:O1072)</f>
        <v>4494.7555000000002</v>
      </c>
      <c r="P171" s="201">
        <f>AVERAGE(O1072:P1072)</f>
        <v>4459.2080000000005</v>
      </c>
      <c r="Q171" s="201">
        <f>AVERAGE(P1072:Q1072)</f>
        <v>4167.4249999999993</v>
      </c>
      <c r="R171" s="375">
        <f>AVERAGE(M1072:R1072)</f>
        <v>4275.1051666666663</v>
      </c>
      <c r="S171" s="201">
        <f>AVERAGE(R1072:S1072)</f>
        <v>4089.6224999999999</v>
      </c>
      <c r="T171" s="201">
        <f>AVERAGE(S1072:T1072)</f>
        <v>4299.2974999999997</v>
      </c>
      <c r="U171" s="201">
        <f>AVERAGE(T1072:U1072)</f>
        <v>4345.7969999999996</v>
      </c>
      <c r="V171" s="201">
        <f>AVERAGE(U1072:V1072)</f>
        <v>4429.2704999999996</v>
      </c>
      <c r="W171" s="375">
        <f>AVERAGE(R1072:W1072)</f>
        <v>4307.6718333333329</v>
      </c>
      <c r="X171" s="201">
        <f>AVERAGE(W1072:X1072)</f>
        <v>4523.1539999999995</v>
      </c>
      <c r="Y171" s="201">
        <f>AVERAGE(X1072:Y1072)</f>
        <v>4664.0209999999997</v>
      </c>
      <c r="Z171" s="201">
        <f>AVERAGE(Y1072:Z1072)</f>
        <v>4829.1049999999996</v>
      </c>
      <c r="AA171" s="201">
        <f>AVERAGE(Z1072:AA1072)</f>
        <v>4747.1535000000003</v>
      </c>
      <c r="AB171" s="375">
        <f>AVERAGE(W1072:AB1072)</f>
        <v>4652.5619999999999</v>
      </c>
      <c r="AC171" s="201">
        <f>AVERAGE(AB1072:AC1072)</f>
        <v>4591.9645</v>
      </c>
      <c r="AD171" s="201">
        <f>AVERAGE(AC1072:AD1072)</f>
        <v>4570.8760000000002</v>
      </c>
      <c r="AE171" s="201">
        <f>AVERAGE(AD1072:AE1072)</f>
        <v>4551.8490000000002</v>
      </c>
      <c r="AF171" s="201">
        <f>AVERAGE(AE1072:AF1072)</f>
        <v>4500.2025000000012</v>
      </c>
      <c r="AG171" s="375">
        <f>AVERAGE(AB1072:AG1072)</f>
        <v>4534.5901666666678</v>
      </c>
      <c r="AH171" s="201">
        <f>AVERAGE(AG1072:AH1072)</f>
        <v>4969.7230000000009</v>
      </c>
      <c r="AI171" s="201">
        <f>AVERAGE(AH1072:AI1072)</f>
        <v>5458.2980000000007</v>
      </c>
      <c r="AJ171" s="201">
        <f>AVERAGE(AI1072:AJ1072)</f>
        <v>5423.652000000001</v>
      </c>
      <c r="AK171" s="201">
        <f>AVERAGE(AJ1072:AK1072)</f>
        <v>5556.3715000000011</v>
      </c>
      <c r="AL171" s="375">
        <f>AVERAGE(AG1072:AL1072)</f>
        <v>5365.3070000000007</v>
      </c>
      <c r="AM171" s="201">
        <f>AVERAGE(AL1072:AM1072)</f>
        <v>5685.4920000000002</v>
      </c>
      <c r="AN171" s="201">
        <f>AVERAGE(AM1072:AN1072)</f>
        <v>5652.4865000000009</v>
      </c>
      <c r="AO171" s="201">
        <f>AVERAGE(AN1072:AO1072)</f>
        <v>5637.6785</v>
      </c>
      <c r="AP171" s="201">
        <f>AVERAGE(AO1072:AP1072)</f>
        <v>5760.9380000000001</v>
      </c>
      <c r="AQ171" s="375">
        <f>AVERAGE(AL1072:AQ1072)</f>
        <v>5735.4081666666671</v>
      </c>
      <c r="AR171" s="201">
        <f>AVERAGE(AQ1072:AR1072)</f>
        <v>5858.2350000000006</v>
      </c>
      <c r="AS171" s="201">
        <f>AVERAGE(AR1072:AS1072)</f>
        <v>5936.1820000000007</v>
      </c>
      <c r="AT171" s="201">
        <f>AVERAGE(AS1072:AT1072)</f>
        <v>6212.3</v>
      </c>
      <c r="AU171" s="201">
        <f>AVERAGE(AT1072:AU1072)</f>
        <v>6358.9225000000006</v>
      </c>
      <c r="AV171" s="375">
        <f>AVERAGE(AQ1072:AV1072)</f>
        <v>6134.2426666666661</v>
      </c>
      <c r="AW171" s="201">
        <f>AVERAGE(AV1072:AW1072)</f>
        <v>6243.5889999999999</v>
      </c>
      <c r="AX171" s="201">
        <f>AVERAGE(AW1072:AX1072)</f>
        <v>6002.0309999999999</v>
      </c>
      <c r="AY171" s="201">
        <f>AVERAGE(AX1072:AY1072)</f>
        <v>5811.0789999999997</v>
      </c>
      <c r="AZ171" s="201">
        <f>AVERAGE(AY1072:AZ1072)</f>
        <v>5757.4060000000009</v>
      </c>
      <c r="BA171" s="375">
        <f>AVERAGE(AV1072,BA1072)</f>
        <v>6036.9619999999995</v>
      </c>
      <c r="BB171" s="201">
        <f>AVERAGE(BA1072:BB1072)</f>
        <v>5710.9110000000001</v>
      </c>
      <c r="BC171" s="201">
        <f>AVERAGE(BB1072:BC1072)</f>
        <v>5668.2510000000002</v>
      </c>
      <c r="BD171" s="201">
        <f>AVERAGE(BC1072:BD1072)</f>
        <v>5082.9960000000001</v>
      </c>
      <c r="BE171" s="201">
        <f>AVERAGE(BD1072:BE1072)</f>
        <v>4494.2525000000005</v>
      </c>
      <c r="BF171" s="375">
        <f>AVERAGE(BA1072:BF1072)</f>
        <v>5090.9436666666661</v>
      </c>
      <c r="BG171" s="201">
        <f>AVERAGE(BF1072:BG1072)</f>
        <v>4452.8540000000003</v>
      </c>
      <c r="BH171" s="201">
        <f>AVERAGE(BG1072:BH1072)</f>
        <v>4423.1285000000007</v>
      </c>
      <c r="BI171" s="201">
        <f>AVERAGE(BH1072:BI1072)</f>
        <v>4414.3125</v>
      </c>
      <c r="BJ171" s="1804">
        <f>AVERAGE(BI1072:BJ1072)</f>
        <v>4380.0259999999998</v>
      </c>
      <c r="BK171" s="375">
        <f>AVERAGE(BF1072:BK1072)</f>
        <v>4406.0221666666666</v>
      </c>
      <c r="BL171" s="201">
        <f>AVERAGE(BK1072:BL1072)</f>
        <v>4573.9915000000001</v>
      </c>
      <c r="BM171" s="201">
        <f>AVERAGE(BL1072:BM1072)</f>
        <v>4813.2014999999992</v>
      </c>
      <c r="BN171" s="201">
        <f>AVERAGE(BM1072:BN1072)</f>
        <v>4642.9869999999992</v>
      </c>
      <c r="BO171" s="1804">
        <f>AVERAGE(BN1072:BO1072)</f>
        <v>4563.7024999999994</v>
      </c>
      <c r="BP171" s="375">
        <f>AVERAGE(BK1072:BP1072)</f>
        <v>4629.2431666666662</v>
      </c>
      <c r="BQ171" s="201">
        <f>AVERAGE(BO1072:BQ1072)</f>
        <v>4674.4660000000003</v>
      </c>
      <c r="BR171" s="201">
        <f>AVERAGE(BQ1072:BR1072)</f>
        <v>4675.2094999999999</v>
      </c>
      <c r="BS171" s="201">
        <f>AVERAGE(BR1072:BS1072)</f>
        <v>4661.9459999999999</v>
      </c>
      <c r="BT171" s="1804">
        <f>AVERAGE(BS1072:BT1072)</f>
        <v>4692.8834999999999</v>
      </c>
      <c r="BU171" s="3325">
        <f>AVERAGE(BP1072:BU1072)</f>
        <v>4689.5558333333347</v>
      </c>
      <c r="BV171" s="201">
        <f>AVERAGE(BT1072:BV1072)</f>
        <v>4736.8057121978754</v>
      </c>
      <c r="BW171" s="201">
        <f>AVERAGE(BV1072:BW1072)</f>
        <v>4759.3868120632924</v>
      </c>
      <c r="BX171" s="201">
        <f>AVERAGE(BW1072:BX1072)</f>
        <v>5513.0865516803469</v>
      </c>
      <c r="BY171" s="1804">
        <f>AVERAGE(BX1072:BY1072)</f>
        <v>6275.6524345423295</v>
      </c>
      <c r="BZ171" s="3325">
        <f>AVERAGE(BU1072:BZ1072)</f>
        <v>5515.7934577446949</v>
      </c>
      <c r="CA171" s="375">
        <f t="shared" ref="CA171:CG171" si="429">AVERAGE(BZ1072:CA1072)</f>
        <v>6389.9003088520149</v>
      </c>
      <c r="CB171" s="375">
        <f t="shared" si="429"/>
        <v>6582.6929645463588</v>
      </c>
      <c r="CC171" s="375">
        <f t="shared" si="429"/>
        <v>6167.8654930125813</v>
      </c>
      <c r="CD171" s="375">
        <f t="shared" si="429"/>
        <v>5609.3228020319748</v>
      </c>
      <c r="CE171" s="375">
        <f t="shared" si="429"/>
        <v>5516.2455633368245</v>
      </c>
      <c r="CF171" s="375">
        <f t="shared" si="429"/>
        <v>5423.1683246416742</v>
      </c>
      <c r="CG171" s="375">
        <f t="shared" si="429"/>
        <v>5330.0910859465257</v>
      </c>
      <c r="CH171" s="2432"/>
      <c r="CI171" s="61"/>
      <c r="CJ171" s="61"/>
      <c r="CK171" s="61"/>
      <c r="CL171" s="61"/>
      <c r="CM171" s="965"/>
      <c r="CN171" s="965"/>
      <c r="CO171" s="61"/>
      <c r="CP171" s="61"/>
      <c r="CQ171" s="61"/>
      <c r="CR171" s="61"/>
      <c r="CS171" s="61"/>
      <c r="CT171" s="61"/>
      <c r="CU171" s="994"/>
      <c r="CV171" s="201"/>
      <c r="CW171" s="201"/>
      <c r="CX171" s="201"/>
      <c r="CY171" s="201"/>
      <c r="CZ171" s="201"/>
      <c r="DA171" s="201"/>
      <c r="DB171" s="201"/>
      <c r="DC171" s="201"/>
      <c r="DD171" s="201"/>
      <c r="DE171" s="201"/>
      <c r="DF171" s="201"/>
      <c r="DG171" s="201"/>
      <c r="DH171" s="201"/>
      <c r="DI171" s="201"/>
      <c r="DJ171" s="201"/>
      <c r="DK171" s="201"/>
      <c r="DL171" s="1804"/>
      <c r="DM171" s="61"/>
      <c r="DN171" s="61"/>
      <c r="DO171" s="61"/>
      <c r="DY171" s="201"/>
      <c r="DZ171" s="201"/>
    </row>
    <row r="172" spans="1:130" ht="12.75" customHeight="1">
      <c r="A172" s="2434" t="s">
        <v>1269</v>
      </c>
      <c r="B172" s="2431"/>
      <c r="C172" s="2431"/>
      <c r="D172" s="201"/>
      <c r="E172" s="201"/>
      <c r="F172" s="201"/>
      <c r="G172" s="201"/>
      <c r="H172" s="375"/>
      <c r="I172" s="201">
        <f>AVERAGE(H1124:I1124)</f>
        <v>965.92399999999998</v>
      </c>
      <c r="J172" s="201">
        <f>AVERAGE(I1124:J1124)</f>
        <v>1015.4255000000001</v>
      </c>
      <c r="K172" s="201">
        <f>AVERAGE(J1124:K1124)</f>
        <v>1062.4030000000002</v>
      </c>
      <c r="L172" s="201">
        <f>AVERAGE(K1124:L1124)</f>
        <v>1090.0185000000001</v>
      </c>
      <c r="M172" s="375">
        <f>AVERAGE(H1124:M1124)</f>
        <v>1042.1103333333333</v>
      </c>
      <c r="N172" s="201">
        <f>AVERAGE(M1124:N1124)</f>
        <v>1129.8440000000001</v>
      </c>
      <c r="O172" s="201">
        <f>AVERAGE(N1124:O1124)</f>
        <v>1169.819</v>
      </c>
      <c r="P172" s="201">
        <f>AVERAGE(O1124:P1124)</f>
        <v>1111.4475</v>
      </c>
      <c r="Q172" s="201">
        <f>AVERAGE(P1124:Q1124)</f>
        <v>1077.4465</v>
      </c>
      <c r="R172" s="375">
        <f>AVERAGE(M1124:R1124)</f>
        <v>1117.0811666666666</v>
      </c>
      <c r="S172" s="201">
        <f>AVERAGE(R1124:S1124)</f>
        <v>1217.8589999999999</v>
      </c>
      <c r="T172" s="201">
        <f>AVERAGE(S1124:T1124)</f>
        <v>1339.0194999999999</v>
      </c>
      <c r="U172" s="201">
        <f>AVERAGE(T1124:U1124)</f>
        <v>1361.9904999999999</v>
      </c>
      <c r="V172" s="201">
        <f>AVERAGE(U1124:V1124)</f>
        <v>1378.5569999999998</v>
      </c>
      <c r="W172" s="375">
        <f>AVERAGE(R1124:W1124)</f>
        <v>1321.7518333333333</v>
      </c>
      <c r="X172" s="201">
        <f>AVERAGE(W1124:X1124)</f>
        <v>1357.7265</v>
      </c>
      <c r="Y172" s="201">
        <f>AVERAGE(X1124:Y1124)</f>
        <v>1342.2905000000001</v>
      </c>
      <c r="Z172" s="201">
        <f>AVERAGE(Y1124:Z1124)</f>
        <v>1360.8724999999999</v>
      </c>
      <c r="AA172" s="201">
        <f>AVERAGE(Z1124:AA1124)</f>
        <v>1255.3664999999999</v>
      </c>
      <c r="AB172" s="375">
        <f>AVERAGE(W1124:AB1124)</f>
        <v>1287.3736666666666</v>
      </c>
      <c r="AC172" s="201">
        <f>AVERAGE(AB1124:AC1124)</f>
        <v>1136.9180000000001</v>
      </c>
      <c r="AD172" s="201">
        <f>AVERAGE(AC1124:AD1124)</f>
        <v>1136.607</v>
      </c>
      <c r="AE172" s="201">
        <f>AVERAGE(AD1124:AE1124)</f>
        <v>1146.8945000000001</v>
      </c>
      <c r="AF172" s="201">
        <f>AVERAGE(AE1124:AF1124)</f>
        <v>1153.6289999999999</v>
      </c>
      <c r="AG172" s="375">
        <f>AVERAGE(AB1124:AG1124)</f>
        <v>1146.7271666666666</v>
      </c>
      <c r="AH172" s="201">
        <f>AVERAGE(AG1124:AH1124)</f>
        <v>1162.6944999999998</v>
      </c>
      <c r="AI172" s="201">
        <f>AVERAGE(AH1124:AI1124)</f>
        <v>1173.9645</v>
      </c>
      <c r="AJ172" s="201">
        <f>AVERAGE(AI1124:AJ1124)</f>
        <v>1184.1264999999999</v>
      </c>
      <c r="AK172" s="201">
        <f>AVERAGE(AJ1124:AK1124)</f>
        <v>1189.2745</v>
      </c>
      <c r="AL172" s="375">
        <f>AVERAGE(AG1124:AL1124)</f>
        <v>1178.6753333333334</v>
      </c>
      <c r="AM172" s="201">
        <f>AVERAGE(AL1124:AM1124)</f>
        <v>1191.231</v>
      </c>
      <c r="AN172" s="201">
        <f>AVERAGE(AM1124:AN1124)</f>
        <v>1194.6089999999999</v>
      </c>
      <c r="AO172" s="201">
        <f>AVERAGE(AN1124:AO1124)</f>
        <v>1198.3065000000001</v>
      </c>
      <c r="AP172" s="201">
        <f>AVERAGE(AO1124:AP1124)</f>
        <v>1201.3720000000001</v>
      </c>
      <c r="AQ172" s="375">
        <f>AVERAGE(AL1124:AQ1124)</f>
        <v>1197.2098333333333</v>
      </c>
      <c r="AR172" s="201">
        <f>AVERAGE(AQ1124:AR1124)</f>
        <v>1206.4995000000001</v>
      </c>
      <c r="AS172" s="201">
        <f>AVERAGE(AR1124:AS1124)</f>
        <v>1212.799</v>
      </c>
      <c r="AT172" s="201">
        <f>AVERAGE(AS1124:AT1124)</f>
        <v>1207.575</v>
      </c>
      <c r="AU172" s="201">
        <f>AVERAGE(AT1124:AU1124)</f>
        <v>752.125</v>
      </c>
      <c r="AV172" s="375">
        <f>AVERAGE(AQ1124:AV1124)</f>
        <v>905.95516666666674</v>
      </c>
      <c r="AW172" s="201">
        <f>AVERAGE(AV1124:AW1124)</f>
        <v>302.33950000000004</v>
      </c>
      <c r="AX172" s="201">
        <f>AVERAGE(AW1124:AX1124)</f>
        <v>314.45850000000002</v>
      </c>
      <c r="AY172" s="201">
        <f>AVERAGE(AX1124:AY1124)</f>
        <v>418.9</v>
      </c>
      <c r="AZ172" s="201">
        <f>AVERAGE(AY1124:AZ1124)</f>
        <v>489.87899999999996</v>
      </c>
      <c r="BA172" s="375">
        <f>AVERAGE(AV1124,BA1124)</f>
        <v>386.88900000000001</v>
      </c>
      <c r="BB172" s="201">
        <f>AVERAGE(BA1124:BB1124)</f>
        <v>470.68449999999996</v>
      </c>
      <c r="BC172" s="201">
        <f>AVERAGE(BB1124:BC1124)</f>
        <v>473.53699999999998</v>
      </c>
      <c r="BD172" s="201">
        <f>AVERAGE(BC1124:BD1124)</f>
        <v>469.1244999999999</v>
      </c>
      <c r="BE172" s="201">
        <f>AVERAGE(BD1124:BE1124)</f>
        <v>450.29699999999991</v>
      </c>
      <c r="BF172" s="375">
        <f>AVERAGE(BA1124:BF1124)</f>
        <v>459.28199999999993</v>
      </c>
      <c r="BG172" s="201">
        <f>AVERAGE(BF1124:BG1124)</f>
        <v>458.43099999999998</v>
      </c>
      <c r="BH172" s="201">
        <f>AVERAGE(BG1124:BH1124)</f>
        <v>476.62200000000007</v>
      </c>
      <c r="BI172" s="201">
        <f>AVERAGE(BH1124:BI1124)</f>
        <v>490.27000000000004</v>
      </c>
      <c r="BJ172" s="1804">
        <f>AVERAGE(BI1124:BJ1124)</f>
        <v>507.04100000000005</v>
      </c>
      <c r="BK172" s="375">
        <f>AVERAGE(BF1124:BK1124)</f>
        <v>485.55400000000009</v>
      </c>
      <c r="BL172" s="201">
        <f>AVERAGE(BK1124:BL1124)</f>
        <v>525.75500000000011</v>
      </c>
      <c r="BM172" s="201">
        <f>AVERAGE(BL1124:BM1124)</f>
        <v>560.26900000000001</v>
      </c>
      <c r="BN172" s="201">
        <f>AVERAGE(BM1124:BN1124)</f>
        <v>749.98250000000007</v>
      </c>
      <c r="BO172" s="1804">
        <f>AVERAGE(BN1124:BO1124)</f>
        <v>928.52600000000007</v>
      </c>
      <c r="BP172" s="375">
        <f>AVERAGE(BK1124:BP1124)</f>
        <v>736.60450000000003</v>
      </c>
      <c r="BQ172" s="201">
        <f>AVERAGE(BO1124:BQ1124)</f>
        <v>951.28633333333335</v>
      </c>
      <c r="BR172" s="201">
        <f>AVERAGE(BQ1124:BR1124)</f>
        <v>1005.0119999999999</v>
      </c>
      <c r="BS172" s="201">
        <f>AVERAGE(BR1124:BS1124)</f>
        <v>1029.2134999999998</v>
      </c>
      <c r="BT172" s="1804">
        <f>AVERAGE(BS1124:BT1124)</f>
        <v>1034.4175</v>
      </c>
      <c r="BU172" s="3325">
        <f>AVERAGE(BP1124:BU1124)</f>
        <v>1007.9433333333333</v>
      </c>
      <c r="BV172" s="201">
        <f>AVERAGE(BT1124:BV1124)</f>
        <v>1042.1743788645419</v>
      </c>
      <c r="BW172" s="201">
        <f>AVERAGE(BV1124:BW1124)</f>
        <v>1068.4013120632922</v>
      </c>
      <c r="BX172" s="201">
        <f>AVERAGE(BW1124:BX1124)</f>
        <v>1096.7220516803472</v>
      </c>
      <c r="BY172" s="1804">
        <f>AVERAGE(BX1124:BY1124)</f>
        <v>1135.6200595423306</v>
      </c>
      <c r="BZ172" s="3325">
        <f>AVERAGE(BU1124:BZ1124)</f>
        <v>1100.0488744113616</v>
      </c>
      <c r="CA172" s="375">
        <f t="shared" ref="CA172:CG172" si="430">AVERAGE(BZ1124:CA1124)</f>
        <v>1266.2880770520151</v>
      </c>
      <c r="CB172" s="375">
        <f t="shared" si="430"/>
        <v>1485.5038702939346</v>
      </c>
      <c r="CC172" s="375">
        <f t="shared" si="430"/>
        <v>1484.2345991058505</v>
      </c>
      <c r="CD172" s="375">
        <f t="shared" si="430"/>
        <v>1244.3743231977155</v>
      </c>
      <c r="CE172" s="375">
        <f t="shared" si="430"/>
        <v>995.45171492918462</v>
      </c>
      <c r="CF172" s="375">
        <f t="shared" si="430"/>
        <v>761.44428333460951</v>
      </c>
      <c r="CG172" s="375">
        <f t="shared" si="430"/>
        <v>542.77541912446964</v>
      </c>
      <c r="CH172" s="2432"/>
      <c r="CI172" s="61"/>
      <c r="CJ172" s="61"/>
      <c r="CK172" s="61"/>
      <c r="CL172" s="61"/>
      <c r="CM172" s="965"/>
      <c r="CN172" s="965"/>
      <c r="CO172" s="61"/>
      <c r="CP172" s="61"/>
      <c r="CQ172" s="61"/>
      <c r="CR172" s="61"/>
      <c r="CS172" s="61"/>
      <c r="CT172" s="61"/>
      <c r="CU172" s="994"/>
      <c r="CV172" s="201"/>
      <c r="CW172" s="201"/>
      <c r="CX172" s="201"/>
      <c r="CY172" s="201"/>
      <c r="CZ172" s="201"/>
      <c r="DA172" s="201"/>
      <c r="DB172" s="201"/>
      <c r="DC172" s="201"/>
      <c r="DD172" s="201"/>
      <c r="DE172" s="201"/>
      <c r="DF172" s="201"/>
      <c r="DG172" s="201"/>
      <c r="DH172" s="201"/>
      <c r="DI172" s="201"/>
      <c r="DJ172" s="201"/>
      <c r="DK172" s="201"/>
      <c r="DL172" s="1804"/>
      <c r="DM172" s="61"/>
      <c r="DN172" s="61"/>
      <c r="DO172" s="61"/>
      <c r="DY172" s="201"/>
      <c r="DZ172" s="201"/>
    </row>
    <row r="173" spans="1:130" ht="12.75" customHeight="1">
      <c r="A173" s="994"/>
      <c r="B173" s="2431"/>
      <c r="C173" s="2431"/>
      <c r="D173" s="2435"/>
      <c r="E173" s="2435"/>
      <c r="F173" s="2435"/>
      <c r="G173" s="2435"/>
      <c r="H173" s="2436"/>
      <c r="I173" s="2435"/>
      <c r="J173" s="2435"/>
      <c r="K173" s="2435"/>
      <c r="L173" s="2435"/>
      <c r="M173" s="2436"/>
      <c r="N173" s="2435"/>
      <c r="O173" s="2435"/>
      <c r="P173" s="2435"/>
      <c r="Q173" s="2435"/>
      <c r="R173" s="2436"/>
      <c r="S173" s="2435"/>
      <c r="T173" s="2435"/>
      <c r="U173" s="2435"/>
      <c r="V173" s="2435"/>
      <c r="W173" s="2436"/>
      <c r="X173" s="2435"/>
      <c r="Y173" s="2435"/>
      <c r="Z173" s="2435"/>
      <c r="AA173" s="2435"/>
      <c r="AB173" s="2436"/>
      <c r="AC173" s="2435"/>
      <c r="AD173" s="2435"/>
      <c r="AE173" s="2435"/>
      <c r="AF173" s="2435"/>
      <c r="AG173" s="2436"/>
      <c r="AH173" s="2435"/>
      <c r="AI173" s="2435"/>
      <c r="AJ173" s="2435"/>
      <c r="AK173" s="2435"/>
      <c r="AL173" s="2436"/>
      <c r="AM173" s="2435"/>
      <c r="AN173" s="2435"/>
      <c r="AO173" s="2435"/>
      <c r="AP173" s="2435"/>
      <c r="AQ173" s="2436"/>
      <c r="AR173" s="2435"/>
      <c r="AS173" s="2435"/>
      <c r="AT173" s="2435"/>
      <c r="AU173" s="2435"/>
      <c r="AV173" s="2436"/>
      <c r="AW173" s="2435"/>
      <c r="AX173" s="2435"/>
      <c r="AY173" s="2435"/>
      <c r="AZ173" s="2435"/>
      <c r="BA173" s="2436"/>
      <c r="BB173" s="2435"/>
      <c r="BC173" s="2435"/>
      <c r="BD173" s="2435"/>
      <c r="BE173" s="2435"/>
      <c r="BF173" s="2436"/>
      <c r="BG173" s="2441"/>
      <c r="BH173" s="2435"/>
      <c r="BI173" s="2435"/>
      <c r="BJ173" s="3001"/>
      <c r="BK173" s="378"/>
      <c r="BL173" s="2435"/>
      <c r="BM173" s="2435"/>
      <c r="BN173" s="2435"/>
      <c r="BO173" s="3001"/>
      <c r="BP173" s="378"/>
      <c r="BQ173" s="2435"/>
      <c r="BR173" s="2435"/>
      <c r="BS173" s="2435"/>
      <c r="BT173" s="3001"/>
      <c r="BU173" s="3325"/>
      <c r="BV173" s="2435"/>
      <c r="BW173" s="2435"/>
      <c r="BX173" s="2435"/>
      <c r="BY173" s="3001"/>
      <c r="BZ173" s="3325"/>
      <c r="CA173" s="378"/>
      <c r="CB173" s="378"/>
      <c r="CC173" s="378"/>
      <c r="CD173" s="378"/>
      <c r="CE173" s="378"/>
      <c r="CF173" s="378"/>
      <c r="CG173" s="378"/>
      <c r="CH173" s="2432"/>
      <c r="CI173" s="61"/>
      <c r="CJ173" s="61"/>
      <c r="CK173" s="61"/>
      <c r="CL173" s="61"/>
      <c r="CM173" s="61"/>
      <c r="CN173" s="61"/>
      <c r="CO173" s="61"/>
      <c r="CP173" s="61"/>
      <c r="CQ173" s="61"/>
      <c r="CR173" s="61"/>
      <c r="CS173" s="61"/>
      <c r="CT173" s="61"/>
      <c r="CU173" s="994"/>
      <c r="CV173" s="201"/>
      <c r="CW173" s="201"/>
      <c r="CX173" s="201"/>
      <c r="CY173" s="201"/>
      <c r="CZ173" s="201"/>
      <c r="DA173" s="201"/>
      <c r="DB173" s="201"/>
      <c r="DC173" s="201"/>
      <c r="DD173" s="201"/>
      <c r="DE173" s="201"/>
      <c r="DF173" s="201"/>
      <c r="DG173" s="201"/>
      <c r="DH173" s="201"/>
      <c r="DI173" s="201"/>
      <c r="DJ173" s="201"/>
      <c r="DK173" s="201"/>
      <c r="DL173" s="1804"/>
      <c r="DM173" s="61"/>
      <c r="DN173" s="61"/>
      <c r="DO173" s="61"/>
      <c r="DY173" s="364"/>
      <c r="DZ173" s="364"/>
    </row>
    <row r="174" spans="1:130" ht="12.75" customHeight="1">
      <c r="A174" s="2437" t="s">
        <v>1270</v>
      </c>
      <c r="B174" s="2431"/>
      <c r="C174" s="2431"/>
      <c r="D174" s="201"/>
      <c r="E174" s="201"/>
      <c r="F174" s="201"/>
      <c r="G174" s="201"/>
      <c r="H174" s="375"/>
      <c r="I174" s="201"/>
      <c r="J174" s="201"/>
      <c r="K174" s="201"/>
      <c r="L174" s="201"/>
      <c r="M174" s="375"/>
      <c r="N174" s="201"/>
      <c r="O174" s="201"/>
      <c r="P174" s="201"/>
      <c r="Q174" s="201"/>
      <c r="R174" s="375"/>
      <c r="S174" s="201"/>
      <c r="T174" s="201"/>
      <c r="U174" s="201"/>
      <c r="V174" s="201"/>
      <c r="W174" s="375"/>
      <c r="X174" s="201"/>
      <c r="Y174" s="201"/>
      <c r="Z174" s="201"/>
      <c r="AA174" s="201"/>
      <c r="AB174" s="375"/>
      <c r="AC174" s="201"/>
      <c r="AD174" s="201"/>
      <c r="AE174" s="201"/>
      <c r="AF174" s="201"/>
      <c r="AG174" s="375"/>
      <c r="AH174" s="201"/>
      <c r="AI174" s="201"/>
      <c r="AJ174" s="201"/>
      <c r="AK174" s="201"/>
      <c r="AL174" s="375"/>
      <c r="AM174" s="201"/>
      <c r="AN174" s="201"/>
      <c r="AO174" s="201"/>
      <c r="AP174" s="201"/>
      <c r="AQ174" s="375"/>
      <c r="AR174" s="201"/>
      <c r="AS174" s="201"/>
      <c r="AT174" s="201"/>
      <c r="AU174" s="201"/>
      <c r="AV174" s="375"/>
      <c r="AW174" s="201"/>
      <c r="AX174" s="201"/>
      <c r="AY174" s="201"/>
      <c r="AZ174" s="201"/>
      <c r="BA174" s="375"/>
      <c r="BB174" s="201"/>
      <c r="BC174" s="201"/>
      <c r="BD174" s="201"/>
      <c r="BE174" s="201"/>
      <c r="BF174" s="375"/>
      <c r="BG174" s="1555"/>
      <c r="BH174" s="201"/>
      <c r="BI174" s="201"/>
      <c r="BJ174" s="1804"/>
      <c r="BK174" s="378"/>
      <c r="BL174" s="201"/>
      <c r="BM174" s="201"/>
      <c r="BN174" s="201"/>
      <c r="BO174" s="1804"/>
      <c r="BP174" s="378"/>
      <c r="BQ174" s="201"/>
      <c r="BR174" s="201"/>
      <c r="BS174" s="201"/>
      <c r="BT174" s="1804"/>
      <c r="BU174" s="3325"/>
      <c r="BV174" s="201"/>
      <c r="BW174" s="201"/>
      <c r="BX174" s="201"/>
      <c r="BY174" s="1804"/>
      <c r="BZ174" s="3325"/>
      <c r="CA174" s="378"/>
      <c r="CB174" s="378"/>
      <c r="CC174" s="378"/>
      <c r="CD174" s="378"/>
      <c r="CE174" s="378"/>
      <c r="CF174" s="378"/>
      <c r="CG174" s="378"/>
      <c r="CH174" s="2432"/>
      <c r="CI174" s="61"/>
      <c r="CJ174" s="61"/>
      <c r="CK174" s="61"/>
      <c r="CL174" s="61"/>
      <c r="CM174" s="61"/>
      <c r="CN174" s="61"/>
      <c r="CO174" s="61"/>
      <c r="CP174" s="61"/>
      <c r="CQ174" s="61"/>
      <c r="CR174" s="61"/>
      <c r="CS174" s="61"/>
      <c r="CT174" s="61"/>
      <c r="CU174" s="994"/>
      <c r="CV174" s="201"/>
      <c r="CW174" s="201"/>
      <c r="CX174" s="201"/>
      <c r="CY174" s="201"/>
      <c r="CZ174" s="201"/>
      <c r="DA174" s="201"/>
      <c r="DB174" s="201"/>
      <c r="DC174" s="201"/>
      <c r="DD174" s="201"/>
      <c r="DE174" s="201"/>
      <c r="DF174" s="201"/>
      <c r="DG174" s="201"/>
      <c r="DH174" s="201"/>
      <c r="DI174" s="201"/>
      <c r="DJ174" s="201"/>
      <c r="DK174" s="201"/>
      <c r="DL174" s="1804"/>
      <c r="DM174" s="61"/>
      <c r="DN174" s="61"/>
      <c r="DO174" s="61"/>
      <c r="DY174" s="364"/>
      <c r="DZ174" s="364"/>
    </row>
    <row r="175" spans="1:130" ht="12.75" customHeight="1">
      <c r="A175" s="2438" t="s">
        <v>1271</v>
      </c>
      <c r="B175" s="2431"/>
      <c r="C175" s="2431"/>
      <c r="D175" s="310"/>
      <c r="E175" s="310"/>
      <c r="F175" s="310"/>
      <c r="G175" s="310"/>
      <c r="H175" s="2439"/>
      <c r="I175" s="310">
        <f t="shared" ref="I175:CB177" si="431">+I169/I170</f>
        <v>8.138778533773737E-2</v>
      </c>
      <c r="J175" s="310">
        <f t="shared" si="431"/>
        <v>8.81652021170128E-2</v>
      </c>
      <c r="K175" s="310">
        <f t="shared" si="431"/>
        <v>9.5841415273205194E-2</v>
      </c>
      <c r="L175" s="310">
        <f t="shared" si="431"/>
        <v>0.10256767820352493</v>
      </c>
      <c r="M175" s="2439">
        <f t="shared" si="431"/>
        <v>0.10256767820352493</v>
      </c>
      <c r="N175" s="310">
        <f t="shared" si="431"/>
        <v>0.10483874119854791</v>
      </c>
      <c r="O175" s="310">
        <f t="shared" si="431"/>
        <v>9.8985723665331635E-2</v>
      </c>
      <c r="P175" s="310">
        <f t="shared" si="431"/>
        <v>9.3873903656468499E-2</v>
      </c>
      <c r="Q175" s="310">
        <f t="shared" si="431"/>
        <v>8.3185605369920479E-2</v>
      </c>
      <c r="R175" s="2439">
        <f t="shared" si="431"/>
        <v>8.3185605369920479E-2</v>
      </c>
      <c r="S175" s="310">
        <f t="shared" si="431"/>
        <v>7.5808770965459599E-2</v>
      </c>
      <c r="T175" s="310">
        <f t="shared" si="431"/>
        <v>7.8202623821902795E-2</v>
      </c>
      <c r="U175" s="310">
        <f t="shared" si="431"/>
        <v>7.9544473822544051E-2</v>
      </c>
      <c r="V175" s="310">
        <f t="shared" si="431"/>
        <v>8.0681722020570626E-2</v>
      </c>
      <c r="W175" s="2439">
        <f t="shared" si="431"/>
        <v>8.0681722020570626E-2</v>
      </c>
      <c r="X175" s="310">
        <f t="shared" si="431"/>
        <v>7.5188844648466313E-2</v>
      </c>
      <c r="Y175" s="310">
        <f t="shared" si="431"/>
        <v>7.0098391017478875E-2</v>
      </c>
      <c r="Z175" s="310">
        <f t="shared" si="431"/>
        <v>5.9232708031660662E-2</v>
      </c>
      <c r="AA175" s="310">
        <f t="shared" si="431"/>
        <v>4.5611052871838746E-2</v>
      </c>
      <c r="AB175" s="2439">
        <f t="shared" si="431"/>
        <v>4.5611052871838746E-2</v>
      </c>
      <c r="AC175" s="310">
        <f t="shared" si="431"/>
        <v>3.7034735030899421E-2</v>
      </c>
      <c r="AD175" s="310">
        <f t="shared" si="431"/>
        <v>2.8490977690288726E-2</v>
      </c>
      <c r="AE175" s="310">
        <f t="shared" si="431"/>
        <v>2.5398697062194563E-2</v>
      </c>
      <c r="AF175" s="310">
        <f t="shared" si="431"/>
        <v>1.9091897188641457E-2</v>
      </c>
      <c r="AG175" s="2439">
        <f t="shared" si="431"/>
        <v>1.9091897188641457E-2</v>
      </c>
      <c r="AH175" s="310">
        <f t="shared" si="431"/>
        <v>1.6765580706840193E-2</v>
      </c>
      <c r="AI175" s="310">
        <f t="shared" si="431"/>
        <v>1.1819950406202727E-2</v>
      </c>
      <c r="AJ175" s="310">
        <f t="shared" si="431"/>
        <v>7.3202026331759228E-3</v>
      </c>
      <c r="AK175" s="310">
        <f t="shared" si="431"/>
        <v>6.2115842231096749E-3</v>
      </c>
      <c r="AL175" s="2439">
        <f t="shared" si="431"/>
        <v>6.2115842231096749E-3</v>
      </c>
      <c r="AM175" s="310">
        <f t="shared" si="431"/>
        <v>1.4005982305192132E-3</v>
      </c>
      <c r="AN175" s="310">
        <f t="shared" si="431"/>
        <v>-9.821141234149114E-4</v>
      </c>
      <c r="AO175" s="310">
        <f t="shared" si="431"/>
        <v>5.9663800197444982E-4</v>
      </c>
      <c r="AP175" s="310">
        <f t="shared" si="431"/>
        <v>-1.2270238707625755E-4</v>
      </c>
      <c r="AQ175" s="2439">
        <f t="shared" si="431"/>
        <v>-1.2270238707625755E-4</v>
      </c>
      <c r="AR175" s="310">
        <f t="shared" si="431"/>
        <v>3.8939488734766811E-3</v>
      </c>
      <c r="AS175" s="310">
        <f t="shared" si="431"/>
        <v>6.0317615128620029E-3</v>
      </c>
      <c r="AT175" s="310">
        <f t="shared" si="431"/>
        <v>1.0716577774547389E-4</v>
      </c>
      <c r="AU175" s="310">
        <f t="shared" si="431"/>
        <v>-9.8770792393645616E-3</v>
      </c>
      <c r="AV175" s="2439">
        <f t="shared" si="431"/>
        <v>-9.8770792393645616E-3</v>
      </c>
      <c r="AW175" s="310">
        <f t="shared" si="431"/>
        <v>-1.301583171216264E-2</v>
      </c>
      <c r="AX175" s="310">
        <f t="shared" si="431"/>
        <v>-1.5133438493382053E-2</v>
      </c>
      <c r="AY175" s="310">
        <f t="shared" si="431"/>
        <v>-1.5129061569304042E-2</v>
      </c>
      <c r="AZ175" s="310">
        <f t="shared" si="431"/>
        <v>-1.5252158283524423E-2</v>
      </c>
      <c r="BA175" s="2439">
        <f t="shared" si="431"/>
        <v>-1.5252158283524423E-2</v>
      </c>
      <c r="BB175" s="310">
        <f t="shared" si="431"/>
        <v>-1.7981153822579334E-2</v>
      </c>
      <c r="BC175" s="310">
        <f t="shared" si="431"/>
        <v>-1.5666352091582351E-2</v>
      </c>
      <c r="BD175" s="310">
        <f t="shared" si="431"/>
        <v>-1.1655823930831298E-2</v>
      </c>
      <c r="BE175" s="310">
        <f t="shared" si="431"/>
        <v>6.4908208916209084E-4</v>
      </c>
      <c r="BF175" s="2439">
        <f t="shared" si="431"/>
        <v>6.4908208916209084E-4</v>
      </c>
      <c r="BG175" s="310">
        <f t="shared" si="431"/>
        <v>9.1525545033365966E-3</v>
      </c>
      <c r="BH175" s="310">
        <f t="shared" si="431"/>
        <v>1.9063453794541916E-2</v>
      </c>
      <c r="BI175" s="310">
        <f t="shared" si="431"/>
        <v>3.2625479185011963E-2</v>
      </c>
      <c r="BJ175" s="1891">
        <f t="shared" si="431"/>
        <v>4.0777837894363587E-2</v>
      </c>
      <c r="BK175" s="2439">
        <f t="shared" si="431"/>
        <v>4.0777837894363587E-2</v>
      </c>
      <c r="BL175" s="310">
        <f t="shared" si="431"/>
        <v>4.9699031904889591E-2</v>
      </c>
      <c r="BM175" s="310">
        <f t="shared" ref="BM175:BP177" si="432">+BM169/BM170</f>
        <v>4.6026782079535727E-2</v>
      </c>
      <c r="BN175" s="310">
        <f t="shared" si="432"/>
        <v>4.0013104180537495E-2</v>
      </c>
      <c r="BO175" s="1891">
        <f t="shared" si="432"/>
        <v>5.1754942249796827E-2</v>
      </c>
      <c r="BP175" s="2439">
        <f t="shared" si="432"/>
        <v>5.1754942249796827E-2</v>
      </c>
      <c r="BQ175" s="310">
        <f t="shared" ref="BQ175:BU177" si="433">+BQ169/BQ170</f>
        <v>5.2089931822012138E-2</v>
      </c>
      <c r="BR175" s="310">
        <f t="shared" si="433"/>
        <v>5.6140796375462834E-2</v>
      </c>
      <c r="BS175" s="310">
        <f t="shared" si="433"/>
        <v>5.8564602431828955E-2</v>
      </c>
      <c r="BT175" s="1891">
        <f t="shared" si="433"/>
        <v>4.9840437604118291E-2</v>
      </c>
      <c r="BU175" s="3317">
        <f t="shared" si="433"/>
        <v>4.9840437604118291E-2</v>
      </c>
      <c r="BV175" s="310">
        <f t="shared" ref="BV175:BZ175" si="434">+BV169/BV170</f>
        <v>5.1087107369674291E-2</v>
      </c>
      <c r="BW175" s="310">
        <f t="shared" si="434"/>
        <v>5.4285812504164629E-2</v>
      </c>
      <c r="BX175" s="310">
        <f t="shared" si="434"/>
        <v>6.0460361670729934E-2</v>
      </c>
      <c r="BY175" s="1891">
        <f t="shared" si="434"/>
        <v>6.7853235962045788E-2</v>
      </c>
      <c r="BZ175" s="3317">
        <f t="shared" si="434"/>
        <v>6.7853235962045788E-2</v>
      </c>
      <c r="CA175" s="2439">
        <f t="shared" si="431"/>
        <v>6.9467798326599745E-2</v>
      </c>
      <c r="CB175" s="2439">
        <f t="shared" si="431"/>
        <v>7.0405565376264689E-2</v>
      </c>
      <c r="CC175" s="2439">
        <f t="shared" ref="CC175:CG177" si="435">+CC169/CC170</f>
        <v>-9.4176359397861689E-2</v>
      </c>
      <c r="CD175" s="2439">
        <f t="shared" si="435"/>
        <v>-0.11342565325149118</v>
      </c>
      <c r="CE175" s="2439">
        <f t="shared" si="435"/>
        <v>-0.10492571858715088</v>
      </c>
      <c r="CF175" s="2439">
        <f t="shared" si="435"/>
        <v>-9.6542476071251285E-2</v>
      </c>
      <c r="CG175" s="2439">
        <f t="shared" si="435"/>
        <v>-8.8274022672925473E-2</v>
      </c>
      <c r="CH175" s="2432"/>
      <c r="CI175" s="61"/>
      <c r="CJ175" s="61"/>
      <c r="CK175" s="61"/>
      <c r="CL175" s="61"/>
      <c r="CM175" s="61"/>
      <c r="CN175" s="61"/>
      <c r="CO175" s="61"/>
      <c r="CP175" s="61"/>
      <c r="CQ175" s="61"/>
      <c r="CR175" s="61"/>
      <c r="CS175" s="61"/>
      <c r="CT175" s="61"/>
      <c r="CU175" s="994"/>
      <c r="CV175" s="201"/>
      <c r="CW175" s="201"/>
      <c r="CX175" s="201"/>
      <c r="CY175" s="201"/>
      <c r="CZ175" s="201"/>
      <c r="DA175" s="201"/>
      <c r="DB175" s="201"/>
      <c r="DC175" s="201"/>
      <c r="DD175" s="201"/>
      <c r="DE175" s="201"/>
      <c r="DF175" s="201"/>
      <c r="DG175" s="201"/>
      <c r="DH175" s="201"/>
      <c r="DI175" s="201"/>
      <c r="DJ175" s="201"/>
      <c r="DK175" s="201"/>
      <c r="DL175" s="1804"/>
      <c r="DM175" s="61"/>
      <c r="DN175" s="61"/>
      <c r="DO175" s="61"/>
      <c r="DY175" s="2440"/>
      <c r="DZ175" s="2440"/>
    </row>
    <row r="176" spans="1:130" ht="12.75" customHeight="1">
      <c r="A176" s="2438" t="s">
        <v>1272</v>
      </c>
      <c r="B176" s="2431"/>
      <c r="C176" s="2431"/>
      <c r="D176" s="2440"/>
      <c r="E176" s="2440"/>
      <c r="F176" s="2440"/>
      <c r="G176" s="2440"/>
      <c r="H176" s="2439"/>
      <c r="I176" s="2440">
        <f t="shared" si="431"/>
        <v>0.50016057384817281</v>
      </c>
      <c r="J176" s="2440">
        <f t="shared" si="431"/>
        <v>0.54254639072142075</v>
      </c>
      <c r="K176" s="2440">
        <f t="shared" si="431"/>
        <v>0.52977441346633281</v>
      </c>
      <c r="L176" s="2440">
        <f t="shared" si="431"/>
        <v>0.51494502727527847</v>
      </c>
      <c r="M176" s="2439">
        <f t="shared" si="431"/>
        <v>0.53296567636823555</v>
      </c>
      <c r="N176" s="2440">
        <f t="shared" si="431"/>
        <v>0.51572267881142042</v>
      </c>
      <c r="O176" s="2440">
        <f t="shared" si="431"/>
        <v>0.52488261041117812</v>
      </c>
      <c r="P176" s="2440">
        <f t="shared" si="431"/>
        <v>0.52775986228944671</v>
      </c>
      <c r="Q176" s="2440">
        <f t="shared" si="431"/>
        <v>0.55402580730307094</v>
      </c>
      <c r="R176" s="2439">
        <f t="shared" si="431"/>
        <v>0.54007115848339171</v>
      </c>
      <c r="S176" s="2440">
        <f t="shared" si="431"/>
        <v>0.53291422374559017</v>
      </c>
      <c r="T176" s="2440">
        <f t="shared" si="431"/>
        <v>0.48378671166626641</v>
      </c>
      <c r="U176" s="2440">
        <f t="shared" si="431"/>
        <v>0.46926075930375949</v>
      </c>
      <c r="V176" s="2440">
        <f t="shared" si="431"/>
        <v>0.45089117948429658</v>
      </c>
      <c r="W176" s="2439">
        <f t="shared" si="431"/>
        <v>0.46361911428489738</v>
      </c>
      <c r="X176" s="2440">
        <f t="shared" si="431"/>
        <v>0.43138195162048432</v>
      </c>
      <c r="Y176" s="2440">
        <f t="shared" si="431"/>
        <v>0.40749816520980509</v>
      </c>
      <c r="Z176" s="2440">
        <f t="shared" si="431"/>
        <v>0.38039760990908256</v>
      </c>
      <c r="AA176" s="2440">
        <f t="shared" si="431"/>
        <v>0.37516524376134036</v>
      </c>
      <c r="AB176" s="2439">
        <f t="shared" si="431"/>
        <v>0.38279274945718084</v>
      </c>
      <c r="AC176" s="2440">
        <f t="shared" si="431"/>
        <v>0.37994501046338663</v>
      </c>
      <c r="AD176" s="2440">
        <f t="shared" si="431"/>
        <v>0.37342513776352715</v>
      </c>
      <c r="AE176" s="2440">
        <f t="shared" si="431"/>
        <v>0.36878815619762434</v>
      </c>
      <c r="AF176" s="2440">
        <f t="shared" si="431"/>
        <v>0.36464714643396595</v>
      </c>
      <c r="AG176" s="2439">
        <f t="shared" si="431"/>
        <v>0.36188187679290817</v>
      </c>
      <c r="AH176" s="2440">
        <f t="shared" si="431"/>
        <v>0.3262354863641293</v>
      </c>
      <c r="AI176" s="2440">
        <f t="shared" si="431"/>
        <v>0.32523361677944296</v>
      </c>
      <c r="AJ176" s="2440">
        <f t="shared" si="431"/>
        <v>0.36338098388318424</v>
      </c>
      <c r="AK176" s="2440">
        <f t="shared" si="431"/>
        <v>0.3845120867098249</v>
      </c>
      <c r="AL176" s="2439">
        <f t="shared" si="431"/>
        <v>0.39820498621980066</v>
      </c>
      <c r="AM176" s="2440">
        <f t="shared" si="431"/>
        <v>0.40185405238456062</v>
      </c>
      <c r="AN176" s="2440">
        <f t="shared" si="431"/>
        <v>0.40350277705218746</v>
      </c>
      <c r="AO176" s="2440">
        <f t="shared" si="431"/>
        <v>0.40372770458620511</v>
      </c>
      <c r="AP176" s="2440">
        <f t="shared" si="431"/>
        <v>0.40459435598855598</v>
      </c>
      <c r="AQ176" s="2439">
        <f t="shared" si="431"/>
        <v>0.40639531350994512</v>
      </c>
      <c r="AR176" s="2440">
        <f t="shared" si="431"/>
        <v>0.40952727229276392</v>
      </c>
      <c r="AS176" s="2440">
        <f t="shared" si="431"/>
        <v>0.41108055649237168</v>
      </c>
      <c r="AT176" s="2440">
        <f t="shared" si="431"/>
        <v>0.39654765545772097</v>
      </c>
      <c r="AU176" s="2440">
        <f t="shared" si="431"/>
        <v>0.39044649466949782</v>
      </c>
      <c r="AV176" s="2439">
        <f t="shared" si="431"/>
        <v>0.40474743744514402</v>
      </c>
      <c r="AW176" s="2440">
        <f t="shared" si="431"/>
        <v>0.38777216117204388</v>
      </c>
      <c r="AX176" s="2440">
        <f t="shared" si="431"/>
        <v>0.39534800803261433</v>
      </c>
      <c r="AY176" s="2440">
        <f t="shared" si="431"/>
        <v>0.39562687067238295</v>
      </c>
      <c r="AZ176" s="2440">
        <f t="shared" si="431"/>
        <v>0.38189733362559458</v>
      </c>
      <c r="BA176" s="2439">
        <f t="shared" si="431"/>
        <v>0.364212661931614</v>
      </c>
      <c r="BB176" s="2440">
        <f t="shared" si="431"/>
        <v>0.37995391628410952</v>
      </c>
      <c r="BC176" s="2440">
        <f t="shared" si="431"/>
        <v>0.37836927122669761</v>
      </c>
      <c r="BD176" s="2440">
        <f t="shared" si="431"/>
        <v>0.42004164473078476</v>
      </c>
      <c r="BE176" s="2440">
        <f t="shared" si="431"/>
        <v>0.47666569690955285</v>
      </c>
      <c r="BF176" s="2439">
        <f t="shared" si="431"/>
        <v>0.42079742779842205</v>
      </c>
      <c r="BG176" s="2440">
        <f t="shared" si="431"/>
        <v>0.48322918290157274</v>
      </c>
      <c r="BH176" s="2440">
        <f t="shared" si="431"/>
        <v>0.49081413754992642</v>
      </c>
      <c r="BI176" s="2440">
        <f t="shared" si="431"/>
        <v>0.49573993685313389</v>
      </c>
      <c r="BJ176" s="3002">
        <f t="shared" si="431"/>
        <v>0.5021499872375188</v>
      </c>
      <c r="BK176" s="2439">
        <f t="shared" si="431"/>
        <v>0.49918722984182301</v>
      </c>
      <c r="BL176" s="2440">
        <f t="shared" si="431"/>
        <v>0.4812492546171106</v>
      </c>
      <c r="BM176" s="2440">
        <f t="shared" si="432"/>
        <v>0.45421701127617453</v>
      </c>
      <c r="BN176" s="2440">
        <f t="shared" si="432"/>
        <v>0.46776482466998087</v>
      </c>
      <c r="BO176" s="3002">
        <f t="shared" si="432"/>
        <v>0.47855332375412291</v>
      </c>
      <c r="BP176" s="2439">
        <f t="shared" si="432"/>
        <v>0.47177798213883704</v>
      </c>
      <c r="BQ176" s="2440">
        <f t="shared" si="433"/>
        <v>0.47854428719772474</v>
      </c>
      <c r="BR176" s="2440">
        <f t="shared" si="433"/>
        <v>0.49023129337840365</v>
      </c>
      <c r="BS176" s="2440">
        <f t="shared" si="433"/>
        <v>0.50358755764223784</v>
      </c>
      <c r="BT176" s="3002">
        <f t="shared" si="433"/>
        <v>0.50794080014984389</v>
      </c>
      <c r="BU176" s="3317">
        <f>+BU170/BU171</f>
        <v>0.50830123037593988</v>
      </c>
      <c r="BV176" s="2440">
        <f t="shared" ref="BV176:BY176" si="436">+BV170/BV171</f>
        <v>0.50416671645784772</v>
      </c>
      <c r="BW176" s="2440">
        <f t="shared" si="436"/>
        <v>0.50321725116793303</v>
      </c>
      <c r="BX176" s="2440">
        <f t="shared" si="436"/>
        <v>0.47235262761788477</v>
      </c>
      <c r="BY176" s="3002">
        <f t="shared" si="436"/>
        <v>0.44798264533355175</v>
      </c>
      <c r="BZ176" s="3317">
        <f>+BZ170/BZ171</f>
        <v>0.5096970001428841</v>
      </c>
      <c r="CA176" s="2439">
        <f t="shared" si="431"/>
        <v>0.50797479721365635</v>
      </c>
      <c r="CB176" s="2439">
        <f t="shared" si="431"/>
        <v>0.49382530206315611</v>
      </c>
      <c r="CC176" s="2439">
        <f t="shared" si="435"/>
        <v>0.39296075545882059</v>
      </c>
      <c r="CD176" s="2439">
        <f t="shared" si="435"/>
        <v>0.41036105537121403</v>
      </c>
      <c r="CE176" s="2439">
        <f t="shared" si="435"/>
        <v>0.42568129941292121</v>
      </c>
      <c r="CF176" s="2439">
        <f t="shared" si="435"/>
        <v>0.44169822681080501</v>
      </c>
      <c r="CG176" s="2439">
        <f t="shared" si="435"/>
        <v>0.45845181100385657</v>
      </c>
      <c r="CH176" s="2432"/>
      <c r="CI176" s="61"/>
      <c r="CJ176" s="61"/>
      <c r="CK176" s="61"/>
      <c r="CL176" s="61"/>
      <c r="CM176" s="61"/>
      <c r="CN176" s="61"/>
      <c r="CO176" s="61"/>
      <c r="CP176" s="61"/>
      <c r="CQ176" s="61"/>
      <c r="CR176" s="61"/>
      <c r="CS176" s="61"/>
      <c r="CT176" s="61"/>
      <c r="CU176" s="994"/>
      <c r="CV176" s="201"/>
      <c r="CW176" s="201"/>
      <c r="CX176" s="201"/>
      <c r="CY176" s="201"/>
      <c r="CZ176" s="201"/>
      <c r="DA176" s="201"/>
      <c r="DB176" s="201"/>
      <c r="DC176" s="201"/>
      <c r="DD176" s="201"/>
      <c r="DE176" s="201"/>
      <c r="DF176" s="201"/>
      <c r="DG176" s="201"/>
      <c r="DH176" s="201"/>
      <c r="DI176" s="201"/>
      <c r="DJ176" s="201"/>
      <c r="DK176" s="201"/>
      <c r="DL176" s="1804"/>
      <c r="DM176" s="61"/>
      <c r="DN176" s="61"/>
      <c r="DO176" s="61"/>
      <c r="DY176" s="2440"/>
      <c r="DZ176" s="2440"/>
    </row>
    <row r="177" spans="1:130" ht="12.75" customHeight="1">
      <c r="A177" s="2438" t="s">
        <v>1273</v>
      </c>
      <c r="B177" s="2431"/>
      <c r="C177" s="2431"/>
      <c r="D177" s="2440"/>
      <c r="E177" s="2440"/>
      <c r="F177" s="2440"/>
      <c r="G177" s="2440"/>
      <c r="H177" s="2439"/>
      <c r="I177" s="2440">
        <f>+I171/I172</f>
        <v>4.0795699247559849</v>
      </c>
      <c r="J177" s="2440">
        <f t="shared" si="431"/>
        <v>3.9629766043889973</v>
      </c>
      <c r="K177" s="2440">
        <f t="shared" si="431"/>
        <v>3.9039686446668531</v>
      </c>
      <c r="L177" s="2440">
        <f t="shared" si="431"/>
        <v>3.9604873678749484</v>
      </c>
      <c r="M177" s="2439">
        <f t="shared" si="431"/>
        <v>4.0024915787867634</v>
      </c>
      <c r="N177" s="2440">
        <f>+N171/N172</f>
        <v>3.9517035095110473</v>
      </c>
      <c r="O177" s="2440">
        <f t="shared" si="431"/>
        <v>3.8422657693198694</v>
      </c>
      <c r="P177" s="2440">
        <f t="shared" si="431"/>
        <v>4.0120725450369905</v>
      </c>
      <c r="Q177" s="2440">
        <f t="shared" si="431"/>
        <v>3.8678718618511447</v>
      </c>
      <c r="R177" s="2439">
        <f t="shared" si="431"/>
        <v>3.8270318166972945</v>
      </c>
      <c r="S177" s="2440">
        <f>+S171/S172</f>
        <v>3.3580426798176144</v>
      </c>
      <c r="T177" s="2440">
        <f t="shared" si="431"/>
        <v>3.2107803508462722</v>
      </c>
      <c r="U177" s="2440">
        <f t="shared" si="431"/>
        <v>3.1907689517658162</v>
      </c>
      <c r="V177" s="2440">
        <f t="shared" si="431"/>
        <v>3.2129759596447593</v>
      </c>
      <c r="W177" s="2439">
        <f t="shared" si="431"/>
        <v>3.2590624992513093</v>
      </c>
      <c r="X177" s="2440">
        <f>+X171/X172</f>
        <v>3.3314176308704289</v>
      </c>
      <c r="Y177" s="2440">
        <f t="shared" si="431"/>
        <v>3.4746733289105447</v>
      </c>
      <c r="Z177" s="2440">
        <f t="shared" si="431"/>
        <v>3.548535957630123</v>
      </c>
      <c r="AA177" s="2440">
        <f t="shared" si="431"/>
        <v>3.7814881152237221</v>
      </c>
      <c r="AB177" s="2439">
        <f t="shared" si="431"/>
        <v>3.6139950042994511</v>
      </c>
      <c r="AC177" s="2440">
        <f>+AC171/AC172</f>
        <v>4.0389583945368086</v>
      </c>
      <c r="AD177" s="2440">
        <f t="shared" si="431"/>
        <v>4.0215096334968905</v>
      </c>
      <c r="AE177" s="2440">
        <f t="shared" si="431"/>
        <v>3.9688471781842183</v>
      </c>
      <c r="AF177" s="2440">
        <f t="shared" si="431"/>
        <v>3.9009096511963564</v>
      </c>
      <c r="AG177" s="2439">
        <f t="shared" si="431"/>
        <v>3.9543758083694143</v>
      </c>
      <c r="AH177" s="2440">
        <f>+AH171/AH172</f>
        <v>4.2743153941125565</v>
      </c>
      <c r="AI177" s="2440">
        <f t="shared" si="431"/>
        <v>4.6494574580406818</v>
      </c>
      <c r="AJ177" s="2440">
        <f t="shared" si="431"/>
        <v>4.580297797574838</v>
      </c>
      <c r="AK177" s="2440">
        <f t="shared" si="431"/>
        <v>4.6720681390208911</v>
      </c>
      <c r="AL177" s="2439">
        <f t="shared" si="431"/>
        <v>4.5519803870220414</v>
      </c>
      <c r="AM177" s="2440">
        <f>+AM171/AM172</f>
        <v>4.7727871420404613</v>
      </c>
      <c r="AN177" s="2440">
        <f t="shared" si="431"/>
        <v>4.7316624100437892</v>
      </c>
      <c r="AO177" s="2440">
        <f t="shared" si="431"/>
        <v>4.7047049315012472</v>
      </c>
      <c r="AP177" s="2440">
        <f t="shared" si="431"/>
        <v>4.7952990414292991</v>
      </c>
      <c r="AQ177" s="2439">
        <f t="shared" si="431"/>
        <v>4.7906457222271959</v>
      </c>
      <c r="AR177" s="2440">
        <f>+AR171/AR172</f>
        <v>4.8555635539011828</v>
      </c>
      <c r="AS177" s="2440">
        <f t="shared" si="431"/>
        <v>4.894613204661284</v>
      </c>
      <c r="AT177" s="2440">
        <f t="shared" si="431"/>
        <v>5.1444423741796577</v>
      </c>
      <c r="AU177" s="2440">
        <f t="shared" si="431"/>
        <v>8.4546086089413333</v>
      </c>
      <c r="AV177" s="2439">
        <f t="shared" si="431"/>
        <v>6.7710223335187107</v>
      </c>
      <c r="AW177" s="2440">
        <f>+AW171/AW172</f>
        <v>20.650920571079858</v>
      </c>
      <c r="AX177" s="2440">
        <f t="shared" si="431"/>
        <v>19.086877918707874</v>
      </c>
      <c r="AY177" s="2440">
        <f t="shared" si="431"/>
        <v>13.872234423490093</v>
      </c>
      <c r="AZ177" s="2440">
        <f t="shared" si="431"/>
        <v>11.752710363171316</v>
      </c>
      <c r="BA177" s="2439">
        <f t="shared" si="431"/>
        <v>15.603860538810872</v>
      </c>
      <c r="BB177" s="2440">
        <f>+BB171/BB172</f>
        <v>12.133203876482018</v>
      </c>
      <c r="BC177" s="2440">
        <f t="shared" si="431"/>
        <v>11.970027685270635</v>
      </c>
      <c r="BD177" s="2440">
        <f t="shared" si="431"/>
        <v>10.835068302763981</v>
      </c>
      <c r="BE177" s="2440">
        <f t="shared" si="431"/>
        <v>9.9806405550114725</v>
      </c>
      <c r="BF177" s="2439">
        <f t="shared" si="431"/>
        <v>11.084570409174901</v>
      </c>
      <c r="BG177" s="2440">
        <f t="shared" ref="BG177:BL177" si="437">+BG171/BG172</f>
        <v>9.7132480133324322</v>
      </c>
      <c r="BH177" s="2440">
        <f t="shared" si="437"/>
        <v>9.2801601688549837</v>
      </c>
      <c r="BI177" s="2440">
        <f t="shared" si="437"/>
        <v>9.0038397209700776</v>
      </c>
      <c r="BJ177" s="3002">
        <f t="shared" si="437"/>
        <v>8.6384059671703071</v>
      </c>
      <c r="BK177" s="2439">
        <f t="shared" si="437"/>
        <v>9.074216599320911</v>
      </c>
      <c r="BL177" s="2440">
        <f t="shared" si="437"/>
        <v>8.6998535439510789</v>
      </c>
      <c r="BM177" s="2440">
        <f t="shared" si="432"/>
        <v>8.5908759899262659</v>
      </c>
      <c r="BN177" s="2440">
        <f t="shared" si="432"/>
        <v>6.190793785188319</v>
      </c>
      <c r="BO177" s="3002">
        <f t="shared" si="432"/>
        <v>4.9149969952376118</v>
      </c>
      <c r="BP177" s="2439">
        <f t="shared" si="432"/>
        <v>6.2845708472683315</v>
      </c>
      <c r="BQ177" s="2440">
        <f t="shared" si="433"/>
        <v>4.9138370185773024</v>
      </c>
      <c r="BR177" s="2440">
        <f t="shared" si="433"/>
        <v>4.6518942062383335</v>
      </c>
      <c r="BS177" s="2440">
        <f t="shared" si="433"/>
        <v>4.5296199476590626</v>
      </c>
      <c r="BT177" s="3002">
        <f t="shared" si="433"/>
        <v>4.5367402426969763</v>
      </c>
      <c r="BU177" s="3317">
        <f t="shared" si="433"/>
        <v>4.6525986910639832</v>
      </c>
      <c r="BV177" s="2440">
        <f t="shared" ref="BV177:BZ177" si="438">+BV171/BV172</f>
        <v>4.545118176248649</v>
      </c>
      <c r="BW177" s="2440">
        <f t="shared" si="438"/>
        <v>4.4546808004868366</v>
      </c>
      <c r="BX177" s="2440">
        <f t="shared" si="438"/>
        <v>5.0268767216209875</v>
      </c>
      <c r="BY177" s="3002">
        <f t="shared" si="438"/>
        <v>5.5261901917015255</v>
      </c>
      <c r="BZ177" s="3317">
        <f t="shared" si="438"/>
        <v>5.0141349044115948</v>
      </c>
      <c r="CA177" s="2439">
        <f t="shared" si="431"/>
        <v>5.0461663697632195</v>
      </c>
      <c r="CB177" s="2439">
        <f t="shared" si="431"/>
        <v>4.431286310444853</v>
      </c>
      <c r="CC177" s="2439">
        <f t="shared" si="435"/>
        <v>4.1555866550532485</v>
      </c>
      <c r="CD177" s="2439">
        <f t="shared" si="435"/>
        <v>4.507745537225075</v>
      </c>
      <c r="CE177" s="2439">
        <f t="shared" si="435"/>
        <v>5.5414496560782398</v>
      </c>
      <c r="CF177" s="2439">
        <f t="shared" si="435"/>
        <v>7.1222129357802455</v>
      </c>
      <c r="CG177" s="2439">
        <f t="shared" si="435"/>
        <v>9.8200671919599696</v>
      </c>
      <c r="CH177" s="2432"/>
      <c r="CI177" s="61"/>
      <c r="CJ177" s="61"/>
      <c r="CK177" s="61"/>
      <c r="CL177" s="61"/>
      <c r="CM177" s="61"/>
      <c r="CN177" s="61"/>
      <c r="CO177" s="61"/>
      <c r="CP177" s="61"/>
      <c r="CQ177" s="61"/>
      <c r="CR177" s="61"/>
      <c r="CS177" s="61"/>
      <c r="CT177" s="61"/>
      <c r="CU177" s="994"/>
      <c r="CV177" s="201"/>
      <c r="CW177" s="201"/>
      <c r="CX177" s="201"/>
      <c r="CY177" s="201"/>
      <c r="CZ177" s="201"/>
      <c r="DA177" s="201"/>
      <c r="DB177" s="201"/>
      <c r="DC177" s="201"/>
      <c r="DD177" s="201"/>
      <c r="DE177" s="201"/>
      <c r="DF177" s="201"/>
      <c r="DG177" s="201"/>
      <c r="DH177" s="201"/>
      <c r="DI177" s="201"/>
      <c r="DJ177" s="201"/>
      <c r="DK177" s="201"/>
      <c r="DL177" s="1804"/>
      <c r="DM177" s="61"/>
      <c r="DN177" s="61"/>
      <c r="DO177" s="61"/>
      <c r="DY177" s="2440"/>
      <c r="DZ177" s="2440"/>
    </row>
    <row r="178" spans="1:130" ht="3.95" customHeight="1">
      <c r="A178" s="242"/>
      <c r="B178" s="2431"/>
      <c r="C178" s="2431"/>
      <c r="D178" s="2435"/>
      <c r="E178" s="2435"/>
      <c r="F178" s="2435"/>
      <c r="G178" s="2435"/>
      <c r="H178" s="2441"/>
      <c r="I178" s="2435" t="s">
        <v>1274</v>
      </c>
      <c r="J178" s="2435" t="s">
        <v>1274</v>
      </c>
      <c r="K178" s="2435" t="s">
        <v>1274</v>
      </c>
      <c r="L178" s="2435" t="s">
        <v>1274</v>
      </c>
      <c r="M178" s="2441" t="s">
        <v>1274</v>
      </c>
      <c r="N178" s="2435" t="s">
        <v>1274</v>
      </c>
      <c r="O178" s="2435" t="s">
        <v>1274</v>
      </c>
      <c r="P178" s="2435" t="s">
        <v>1274</v>
      </c>
      <c r="Q178" s="2435" t="s">
        <v>1274</v>
      </c>
      <c r="R178" s="2441" t="s">
        <v>1274</v>
      </c>
      <c r="S178" s="2435" t="s">
        <v>1274</v>
      </c>
      <c r="T178" s="2435" t="s">
        <v>1274</v>
      </c>
      <c r="U178" s="2435" t="s">
        <v>1274</v>
      </c>
      <c r="V178" s="2435" t="s">
        <v>1274</v>
      </c>
      <c r="W178" s="2441" t="s">
        <v>1274</v>
      </c>
      <c r="X178" s="2435" t="s">
        <v>1274</v>
      </c>
      <c r="Y178" s="2435" t="s">
        <v>1274</v>
      </c>
      <c r="Z178" s="2435" t="s">
        <v>1274</v>
      </c>
      <c r="AA178" s="2435" t="s">
        <v>1274</v>
      </c>
      <c r="AB178" s="2441" t="s">
        <v>1274</v>
      </c>
      <c r="AC178" s="2435" t="s">
        <v>1274</v>
      </c>
      <c r="AD178" s="2435" t="s">
        <v>1274</v>
      </c>
      <c r="AE178" s="2435" t="s">
        <v>1274</v>
      </c>
      <c r="AF178" s="2435" t="s">
        <v>1274</v>
      </c>
      <c r="AG178" s="2441" t="s">
        <v>1274</v>
      </c>
      <c r="AH178" s="2435" t="s">
        <v>1274</v>
      </c>
      <c r="AI178" s="2435" t="s">
        <v>1274</v>
      </c>
      <c r="AJ178" s="2435" t="s">
        <v>1274</v>
      </c>
      <c r="AK178" s="2435" t="s">
        <v>1274</v>
      </c>
      <c r="AL178" s="2441" t="s">
        <v>1274</v>
      </c>
      <c r="AM178" s="2435" t="s">
        <v>1274</v>
      </c>
      <c r="AN178" s="2435" t="s">
        <v>1274</v>
      </c>
      <c r="AO178" s="2435" t="s">
        <v>1274</v>
      </c>
      <c r="AP178" s="2435" t="s">
        <v>1274</v>
      </c>
      <c r="AQ178" s="2441" t="s">
        <v>1274</v>
      </c>
      <c r="AR178" s="2435" t="s">
        <v>1274</v>
      </c>
      <c r="AS178" s="2435" t="s">
        <v>1274</v>
      </c>
      <c r="AT178" s="2435" t="s">
        <v>1274</v>
      </c>
      <c r="AU178" s="2435" t="s">
        <v>1274</v>
      </c>
      <c r="AV178" s="2441" t="s">
        <v>1274</v>
      </c>
      <c r="AW178" s="2435" t="s">
        <v>1274</v>
      </c>
      <c r="AX178" s="2435" t="s">
        <v>1274</v>
      </c>
      <c r="AY178" s="2435" t="s">
        <v>1274</v>
      </c>
      <c r="AZ178" s="2435" t="s">
        <v>1274</v>
      </c>
      <c r="BA178" s="2441" t="s">
        <v>1274</v>
      </c>
      <c r="BB178" s="2435" t="s">
        <v>1274</v>
      </c>
      <c r="BC178" s="2435" t="s">
        <v>1274</v>
      </c>
      <c r="BD178" s="2435" t="s">
        <v>1274</v>
      </c>
      <c r="BE178" s="2435" t="s">
        <v>1274</v>
      </c>
      <c r="BF178" s="2441" t="s">
        <v>1274</v>
      </c>
      <c r="BG178" s="2435" t="s">
        <v>1274</v>
      </c>
      <c r="BH178" s="2435" t="s">
        <v>1274</v>
      </c>
      <c r="BI178" s="2435" t="s">
        <v>1274</v>
      </c>
      <c r="BJ178" s="3001" t="s">
        <v>1274</v>
      </c>
      <c r="BK178" s="2436" t="s">
        <v>1274</v>
      </c>
      <c r="BL178" s="2435" t="s">
        <v>1274</v>
      </c>
      <c r="BM178" s="2435" t="s">
        <v>1274</v>
      </c>
      <c r="BN178" s="2435" t="s">
        <v>1274</v>
      </c>
      <c r="BO178" s="3001" t="s">
        <v>1274</v>
      </c>
      <c r="BP178" s="2441" t="s">
        <v>1274</v>
      </c>
      <c r="BQ178" s="2435" t="s">
        <v>1274</v>
      </c>
      <c r="BR178" s="2435" t="s">
        <v>1274</v>
      </c>
      <c r="BS178" s="2435" t="s">
        <v>1274</v>
      </c>
      <c r="BT178" s="3001" t="s">
        <v>1274</v>
      </c>
      <c r="BU178" s="3361" t="s">
        <v>1274</v>
      </c>
      <c r="BV178" s="2441" t="s">
        <v>1274</v>
      </c>
      <c r="BW178" s="2435" t="s">
        <v>1274</v>
      </c>
      <c r="BX178" s="2435" t="s">
        <v>1274</v>
      </c>
      <c r="BY178" s="3001" t="s">
        <v>1274</v>
      </c>
      <c r="BZ178" s="3361" t="s">
        <v>1274</v>
      </c>
      <c r="CA178" s="2441" t="s">
        <v>1274</v>
      </c>
      <c r="CB178" s="2441" t="s">
        <v>1274</v>
      </c>
      <c r="CC178" s="2441" t="s">
        <v>1274</v>
      </c>
      <c r="CD178" s="2441" t="s">
        <v>1274</v>
      </c>
      <c r="CE178" s="2441" t="s">
        <v>1274</v>
      </c>
      <c r="CF178" s="2441" t="s">
        <v>1274</v>
      </c>
      <c r="CG178" s="2441" t="s">
        <v>1274</v>
      </c>
      <c r="CH178" s="2432"/>
      <c r="CI178" s="61"/>
      <c r="CJ178" s="61"/>
      <c r="CK178" s="61"/>
      <c r="CL178" s="61"/>
      <c r="CM178" s="61"/>
      <c r="CN178" s="61"/>
      <c r="CO178" s="61"/>
      <c r="CP178" s="61"/>
      <c r="CQ178" s="61"/>
      <c r="CR178" s="61"/>
      <c r="CS178" s="61"/>
      <c r="CT178" s="61"/>
      <c r="CU178" s="994"/>
      <c r="CV178" s="201"/>
      <c r="CW178" s="201"/>
      <c r="CX178" s="201"/>
      <c r="CY178" s="201"/>
      <c r="CZ178" s="201"/>
      <c r="DA178" s="201"/>
      <c r="DB178" s="201"/>
      <c r="DC178" s="201"/>
      <c r="DD178" s="201"/>
      <c r="DE178" s="201"/>
      <c r="DF178" s="201"/>
      <c r="DG178" s="201"/>
      <c r="DH178" s="201"/>
      <c r="DI178" s="201"/>
      <c r="DJ178" s="201"/>
      <c r="DK178" s="201"/>
      <c r="DL178" s="1804"/>
      <c r="DM178" s="61"/>
      <c r="DN178" s="61"/>
      <c r="DO178" s="61"/>
      <c r="DY178" s="2435"/>
      <c r="DZ178" s="2435"/>
    </row>
    <row r="179" spans="1:130" ht="12.75" customHeight="1">
      <c r="A179" s="242" t="s">
        <v>1275</v>
      </c>
      <c r="B179" s="2431"/>
      <c r="C179" s="2431"/>
      <c r="D179" s="2442"/>
      <c r="E179" s="2442"/>
      <c r="F179" s="2442"/>
      <c r="G179" s="2442"/>
      <c r="H179" s="2443"/>
      <c r="I179" s="2442">
        <f t="shared" ref="I179:CB179" si="439">+I175*I176*I177</f>
        <v>0.16606689553215359</v>
      </c>
      <c r="J179" s="2442">
        <f t="shared" si="439"/>
        <v>0.18956388233307112</v>
      </c>
      <c r="K179" s="2442">
        <f t="shared" si="439"/>
        <v>0.19822139056459734</v>
      </c>
      <c r="L179" s="2442">
        <f t="shared" si="439"/>
        <v>0.20917993593686707</v>
      </c>
      <c r="M179" s="2443">
        <f t="shared" si="439"/>
        <v>0.21879641023295357</v>
      </c>
      <c r="N179" s="2442">
        <f t="shared" si="439"/>
        <v>0.21365958486304304</v>
      </c>
      <c r="O179" s="2442">
        <f t="shared" si="439"/>
        <v>0.19962831856894106</v>
      </c>
      <c r="P179" s="2442">
        <f t="shared" si="439"/>
        <v>0.19876962249678912</v>
      </c>
      <c r="Q179" s="2442">
        <f t="shared" si="439"/>
        <v>0.17825850285837858</v>
      </c>
      <c r="R179" s="2443">
        <f t="shared" si="439"/>
        <v>0.17193379114349641</v>
      </c>
      <c r="S179" s="2442">
        <f t="shared" si="439"/>
        <v>0.13566348813778936</v>
      </c>
      <c r="T179" s="2442">
        <f t="shared" si="439"/>
        <v>0.12147470593221379</v>
      </c>
      <c r="U179" s="2442">
        <f t="shared" si="439"/>
        <v>0.11910215232778787</v>
      </c>
      <c r="V179" s="2442">
        <f t="shared" si="439"/>
        <v>0.11688381401712081</v>
      </c>
      <c r="W179" s="2443">
        <f t="shared" si="439"/>
        <v>0.12190715074980667</v>
      </c>
      <c r="X179" s="2442">
        <f t="shared" si="439"/>
        <v>0.10805489912732794</v>
      </c>
      <c r="Y179" s="2442">
        <f t="shared" si="439"/>
        <v>9.9253924541669633E-2</v>
      </c>
      <c r="Z179" s="2442">
        <f t="shared" si="439"/>
        <v>7.9955543226863643E-2</v>
      </c>
      <c r="AA179" s="2442">
        <f t="shared" si="439"/>
        <v>6.4707621240490371E-2</v>
      </c>
      <c r="AB179" s="2443">
        <f t="shared" si="439"/>
        <v>6.3098836105859993E-2</v>
      </c>
      <c r="AC179" s="2442">
        <f t="shared" si="439"/>
        <v>5.6832841066813987E-2</v>
      </c>
      <c r="AD179" s="2442">
        <f t="shared" si="439"/>
        <v>4.278583538549386E-2</v>
      </c>
      <c r="AE179" s="2442">
        <f t="shared" si="439"/>
        <v>3.7175154297104072E-2</v>
      </c>
      <c r="AF179" s="2442">
        <f t="shared" si="439"/>
        <v>2.7157375551412101E-2</v>
      </c>
      <c r="AG179" s="2443">
        <f t="shared" si="439"/>
        <v>2.7320828276066241E-2</v>
      </c>
      <c r="AH179" s="2442">
        <f t="shared" si="439"/>
        <v>2.3378485062069194E-2</v>
      </c>
      <c r="AI179" s="2442">
        <f t="shared" si="439"/>
        <v>1.7873654612213585E-2</v>
      </c>
      <c r="AJ179" s="2442">
        <f t="shared" si="439"/>
        <v>1.2183694900840441E-2</v>
      </c>
      <c r="AK179" s="2442">
        <f t="shared" si="439"/>
        <v>1.1158904020896804E-2</v>
      </c>
      <c r="AL179" s="2443">
        <f t="shared" si="439"/>
        <v>1.1259249790584151E-2</v>
      </c>
      <c r="AM179" s="2442">
        <f t="shared" si="439"/>
        <v>2.6862967803893676E-3</v>
      </c>
      <c r="AN179" s="2442">
        <f t="shared" si="439"/>
        <v>-1.8750905107863655E-3</v>
      </c>
      <c r="AO179" s="2442">
        <f t="shared" si="439"/>
        <v>1.1332659882926609E-3</v>
      </c>
      <c r="AP179" s="2442">
        <f t="shared" si="439"/>
        <v>-2.3806115008505723E-4</v>
      </c>
      <c r="AQ179" s="2443">
        <f t="shared" si="439"/>
        <v>-2.3888878293263716E-4</v>
      </c>
      <c r="AR179" s="2442">
        <f t="shared" si="439"/>
        <v>7.7430616423794793E-3</v>
      </c>
      <c r="AS179" s="2442">
        <f t="shared" si="439"/>
        <v>1.2136388634885082E-2</v>
      </c>
      <c r="AT179" s="2442">
        <f t="shared" si="439"/>
        <v>2.1861996149305494E-4</v>
      </c>
      <c r="AU179" s="2442">
        <f t="shared" si="439"/>
        <v>-3.2604952634202933E-2</v>
      </c>
      <c r="AV179" s="2443">
        <f t="shared" si="439"/>
        <v>-2.7068668409087809E-2</v>
      </c>
      <c r="AW179" s="2442">
        <f t="shared" si="439"/>
        <v>-0.10422885531000695</v>
      </c>
      <c r="AX179" s="2442">
        <f t="shared" si="439"/>
        <v>-0.11419630889290586</v>
      </c>
      <c r="AY179" s="2442">
        <f t="shared" si="439"/>
        <v>-8.3031749820959219E-2</v>
      </c>
      <c r="AZ179" s="2442">
        <f t="shared" si="439"/>
        <v>-6.845670053217208E-2</v>
      </c>
      <c r="BA179" s="2443">
        <f t="shared" si="439"/>
        <v>-8.667990043655914E-2</v>
      </c>
      <c r="BB179" s="2442">
        <f t="shared" si="439"/>
        <v>-8.2894167961766144E-2</v>
      </c>
      <c r="BC179" s="2442">
        <f t="shared" si="439"/>
        <v>-7.0954328806407813E-2</v>
      </c>
      <c r="BD179" s="2442">
        <f t="shared" si="439"/>
        <v>-5.3047751716228816E-2</v>
      </c>
      <c r="BE179" s="2442">
        <f t="shared" si="439"/>
        <v>3.087961945116278E-3</v>
      </c>
      <c r="BF179" s="2443">
        <f t="shared" si="439"/>
        <v>3.0275517002626377E-3</v>
      </c>
      <c r="BG179" s="2442">
        <f t="shared" si="439"/>
        <v>4.2959572978267219E-2</v>
      </c>
      <c r="BH179" s="2442">
        <f t="shared" si="439"/>
        <v>8.6830863871160069E-2</v>
      </c>
      <c r="BI179" s="2442">
        <f t="shared" si="439"/>
        <v>0.1456258796173539</v>
      </c>
      <c r="BJ179" s="3003">
        <f t="shared" si="439"/>
        <v>0.17688510396595172</v>
      </c>
      <c r="BK179" s="2443">
        <f t="shared" si="439"/>
        <v>0.18471271990345067</v>
      </c>
      <c r="BL179" s="2442">
        <f t="shared" si="439"/>
        <v>0.20807980903652859</v>
      </c>
      <c r="BM179" s="2442">
        <f t="shared" ref="BM179:BU179" si="440">+BM175*BM176*BM177</f>
        <v>0.17960211969607459</v>
      </c>
      <c r="BN179" s="2442">
        <f t="shared" si="440"/>
        <v>0.11587137033197444</v>
      </c>
      <c r="BO179" s="3003">
        <f t="shared" si="440"/>
        <v>0.12173218628234428</v>
      </c>
      <c r="BP179" s="2443">
        <f t="shared" si="440"/>
        <v>0.15344937480018112</v>
      </c>
      <c r="BQ179" s="2442">
        <f t="shared" si="440"/>
        <v>0.12248888259721311</v>
      </c>
      <c r="BR179" s="2442">
        <f t="shared" si="440"/>
        <v>0.12802931706288087</v>
      </c>
      <c r="BS179" s="2442">
        <f t="shared" si="440"/>
        <v>0.13358938645868909</v>
      </c>
      <c r="BT179" s="3003">
        <f t="shared" si="440"/>
        <v>0.11485207858529074</v>
      </c>
      <c r="BU179" s="3362">
        <f t="shared" si="440"/>
        <v>0.11786872939285609</v>
      </c>
      <c r="BV179" s="2442">
        <f t="shared" ref="BV179:BZ179" si="441">+BV175*BV176*BV177</f>
        <v>0.11706596895145416</v>
      </c>
      <c r="BW179" s="2442">
        <f t="shared" si="441"/>
        <v>0.12169099822437095</v>
      </c>
      <c r="BX179" s="2442">
        <f t="shared" si="441"/>
        <v>0.1435606153392017</v>
      </c>
      <c r="BY179" s="3003">
        <f t="shared" si="441"/>
        <v>0.16798000192048479</v>
      </c>
      <c r="BZ179" s="3362">
        <f t="shared" si="441"/>
        <v>0.17341180398456257</v>
      </c>
      <c r="CA179" s="2443">
        <f t="shared" si="439"/>
        <v>0.17806856765252033</v>
      </c>
      <c r="CB179" s="2443">
        <f t="shared" si="439"/>
        <v>0.15406718218398843</v>
      </c>
      <c r="CC179" s="2443">
        <f>+CC175*CC176*CC177</f>
        <v>-0.15378834411173087</v>
      </c>
      <c r="CD179" s="2443">
        <f>+CD175*CD176*CD177</f>
        <v>-0.20981513816157296</v>
      </c>
      <c r="CE179" s="2443">
        <f>+CE175*CE176*CE177</f>
        <v>-0.24750838468156833</v>
      </c>
      <c r="CF179" s="2443">
        <f>+CF175*CF176*CF177</f>
        <v>-0.30370996573219561</v>
      </c>
      <c r="CG179" s="2443">
        <f>+CG175*CG176*CG177</f>
        <v>-0.39741208540669659</v>
      </c>
      <c r="CH179" s="2432"/>
      <c r="CI179" s="61"/>
      <c r="CJ179" s="61"/>
      <c r="CK179" s="61"/>
      <c r="CL179" s="61"/>
      <c r="CM179" s="61"/>
      <c r="CN179" s="61"/>
      <c r="CO179" s="61"/>
      <c r="CP179" s="61"/>
      <c r="CQ179" s="61"/>
      <c r="CR179" s="61"/>
      <c r="CS179" s="61"/>
      <c r="CT179" s="61"/>
      <c r="CU179" s="994"/>
      <c r="CV179" s="201"/>
      <c r="CW179" s="201"/>
      <c r="CX179" s="201"/>
      <c r="CY179" s="201"/>
      <c r="CZ179" s="201"/>
      <c r="DA179" s="201"/>
      <c r="DB179" s="201"/>
      <c r="DC179" s="201"/>
      <c r="DD179" s="201"/>
      <c r="DE179" s="201"/>
      <c r="DF179" s="201"/>
      <c r="DG179" s="201"/>
      <c r="DH179" s="201"/>
      <c r="DI179" s="201"/>
      <c r="DJ179" s="201"/>
      <c r="DK179" s="201"/>
      <c r="DL179" s="1804"/>
      <c r="DM179" s="61"/>
      <c r="DN179" s="61"/>
      <c r="DO179" s="61"/>
      <c r="DY179" s="3005"/>
      <c r="DZ179" s="3005"/>
    </row>
    <row r="180" spans="1:130" ht="3.95" customHeight="1">
      <c r="A180" s="242"/>
      <c r="B180" s="2431"/>
      <c r="C180" s="2431"/>
      <c r="D180" s="2442"/>
      <c r="E180" s="2442"/>
      <c r="F180" s="2442"/>
      <c r="G180" s="2442"/>
      <c r="H180" s="2443"/>
      <c r="I180" s="2442"/>
      <c r="J180" s="2442"/>
      <c r="K180" s="2442"/>
      <c r="L180" s="2442"/>
      <c r="M180" s="2443"/>
      <c r="N180" s="2442"/>
      <c r="O180" s="2442"/>
      <c r="P180" s="2442"/>
      <c r="Q180" s="2442"/>
      <c r="R180" s="2443"/>
      <c r="S180" s="2442"/>
      <c r="T180" s="2442"/>
      <c r="U180" s="2442"/>
      <c r="V180" s="2442"/>
      <c r="W180" s="2443"/>
      <c r="X180" s="2442"/>
      <c r="Y180" s="2442"/>
      <c r="Z180" s="2442"/>
      <c r="AA180" s="2442"/>
      <c r="AB180" s="2443"/>
      <c r="AC180" s="2442"/>
      <c r="AD180" s="2442"/>
      <c r="AE180" s="2442"/>
      <c r="AF180" s="2442"/>
      <c r="AG180" s="2443"/>
      <c r="AH180" s="2442"/>
      <c r="AI180" s="2442"/>
      <c r="AJ180" s="2442"/>
      <c r="AK180" s="2442"/>
      <c r="AL180" s="2443"/>
      <c r="AM180" s="2442"/>
      <c r="AN180" s="2442"/>
      <c r="AO180" s="2442"/>
      <c r="AP180" s="2442"/>
      <c r="AQ180" s="2443"/>
      <c r="AR180" s="2442"/>
      <c r="AS180" s="2442"/>
      <c r="AT180" s="2442"/>
      <c r="AU180" s="2442"/>
      <c r="AV180" s="2443"/>
      <c r="AW180" s="2442"/>
      <c r="AX180" s="2442"/>
      <c r="AY180" s="2442"/>
      <c r="AZ180" s="2442"/>
      <c r="BA180" s="2443"/>
      <c r="BB180" s="2442"/>
      <c r="BC180" s="2442"/>
      <c r="BD180" s="2442"/>
      <c r="BE180" s="2442"/>
      <c r="BF180" s="2443"/>
      <c r="BG180" s="3004"/>
      <c r="BH180" s="3005"/>
      <c r="BI180" s="3005"/>
      <c r="BJ180" s="3006"/>
      <c r="BK180" s="2443"/>
      <c r="BL180" s="3005"/>
      <c r="BM180" s="3005"/>
      <c r="BN180" s="3005"/>
      <c r="BO180" s="3006"/>
      <c r="BP180" s="2443"/>
      <c r="BQ180" s="3005"/>
      <c r="BR180" s="3005"/>
      <c r="BS180" s="3005"/>
      <c r="BT180" s="3006"/>
      <c r="BU180" s="3362"/>
      <c r="BV180" s="3005"/>
      <c r="BW180" s="3005"/>
      <c r="BX180" s="3005"/>
      <c r="BY180" s="3006"/>
      <c r="BZ180" s="3362"/>
      <c r="CA180" s="2443"/>
      <c r="CB180" s="2443"/>
      <c r="CC180" s="2443"/>
      <c r="CD180" s="2443"/>
      <c r="CE180" s="2443"/>
      <c r="CF180" s="2443"/>
      <c r="CG180" s="2443"/>
      <c r="CH180" s="2432"/>
      <c r="CI180" s="61"/>
      <c r="CJ180" s="61"/>
      <c r="CK180" s="61"/>
      <c r="CL180" s="61"/>
      <c r="CM180" s="61"/>
      <c r="CN180" s="61"/>
      <c r="CO180" s="61"/>
      <c r="CP180" s="61"/>
      <c r="CQ180" s="61"/>
      <c r="CR180" s="61"/>
      <c r="CS180" s="61"/>
      <c r="CT180" s="61"/>
      <c r="CU180" s="994"/>
      <c r="CV180" s="201"/>
      <c r="CW180" s="201"/>
      <c r="CX180" s="201"/>
      <c r="CY180" s="201"/>
      <c r="CZ180" s="201"/>
      <c r="DA180" s="201"/>
      <c r="DB180" s="201"/>
      <c r="DC180" s="201"/>
      <c r="DD180" s="201"/>
      <c r="DE180" s="201"/>
      <c r="DF180" s="201"/>
      <c r="DG180" s="201"/>
      <c r="DH180" s="201"/>
      <c r="DI180" s="201"/>
      <c r="DJ180" s="201"/>
      <c r="DK180" s="201"/>
      <c r="DL180" s="1804"/>
      <c r="DM180" s="61"/>
      <c r="DN180" s="61"/>
      <c r="DO180" s="61"/>
      <c r="DY180" s="3005"/>
      <c r="DZ180" s="3005"/>
    </row>
    <row r="181" spans="1:130" ht="12.75" customHeight="1">
      <c r="A181" s="2444" t="s">
        <v>1276</v>
      </c>
      <c r="B181" s="2431"/>
      <c r="C181" s="2431"/>
      <c r="D181" s="2440"/>
      <c r="E181" s="2440"/>
      <c r="F181" s="2440"/>
      <c r="G181" s="2440"/>
      <c r="H181" s="2445"/>
      <c r="I181" s="2440">
        <f t="shared" ref="I181:BB181" si="442">+I175*I176</f>
        <v>4.0706961418754628E-2</v>
      </c>
      <c r="J181" s="2440">
        <f t="shared" si="442"/>
        <v>4.7833712195809855E-2</v>
      </c>
      <c r="K181" s="2440">
        <f t="shared" si="442"/>
        <v>5.0774329562145511E-2</v>
      </c>
      <c r="L181" s="2440">
        <f t="shared" si="442"/>
        <v>5.2816715850076128E-2</v>
      </c>
      <c r="M181" s="2445">
        <f t="shared" si="442"/>
        <v>5.4665051987261196E-2</v>
      </c>
      <c r="N181" s="2440">
        <f t="shared" si="442"/>
        <v>5.4067716454132358E-2</v>
      </c>
      <c r="O181" s="2440">
        <f t="shared" si="442"/>
        <v>5.1955885030898798E-2</v>
      </c>
      <c r="P181" s="2440">
        <f t="shared" si="442"/>
        <v>4.9542878466310607E-2</v>
      </c>
      <c r="Q181" s="2440">
        <f t="shared" si="442"/>
        <v>4.6086972171064867E-2</v>
      </c>
      <c r="R181" s="2445">
        <f t="shared" si="442"/>
        <v>4.4926146261275203E-2</v>
      </c>
      <c r="S181" s="2440">
        <f t="shared" si="442"/>
        <v>4.0399572332165137E-2</v>
      </c>
      <c r="T181" s="2440">
        <f t="shared" si="442"/>
        <v>3.7833390222472382E-2</v>
      </c>
      <c r="U181" s="2440">
        <f t="shared" si="442"/>
        <v>3.7327100184385044E-2</v>
      </c>
      <c r="V181" s="2440">
        <f t="shared" si="442"/>
        <v>3.6378676804679232E-2</v>
      </c>
      <c r="W181" s="2445">
        <f t="shared" si="442"/>
        <v>3.7405588502157257E-2</v>
      </c>
      <c r="X181" s="2440">
        <f t="shared" si="442"/>
        <v>3.2435110544544808E-2</v>
      </c>
      <c r="Y181" s="2440">
        <f t="shared" si="442"/>
        <v>2.8564965723782122E-2</v>
      </c>
      <c r="Z181" s="2440">
        <f t="shared" si="442"/>
        <v>2.2531980563686233E-2</v>
      </c>
      <c r="AA181" s="2440">
        <f t="shared" si="442"/>
        <v>1.7111681768874766E-2</v>
      </c>
      <c r="AB181" s="2445">
        <f t="shared" si="442"/>
        <v>1.7459580334447996E-2</v>
      </c>
      <c r="AC181" s="2440">
        <f t="shared" si="442"/>
        <v>1.4071162788823833E-2</v>
      </c>
      <c r="AD181" s="2440">
        <f t="shared" si="442"/>
        <v>1.0639247269013646E-2</v>
      </c>
      <c r="AE181" s="2440">
        <f t="shared" si="442"/>
        <v>9.3667386593887514E-3</v>
      </c>
      <c r="AF181" s="2440">
        <f t="shared" si="442"/>
        <v>6.9618058298487641E-3</v>
      </c>
      <c r="AG181" s="2445">
        <f t="shared" si="442"/>
        <v>6.9090115861628176E-3</v>
      </c>
      <c r="AH181" s="2440">
        <f t="shared" si="442"/>
        <v>5.4695273760730729E-3</v>
      </c>
      <c r="AI181" s="2440">
        <f t="shared" si="442"/>
        <v>3.8442452207629587E-3</v>
      </c>
      <c r="AJ181" s="2440">
        <f t="shared" si="442"/>
        <v>2.6600224350677429E-3</v>
      </c>
      <c r="AK181" s="2440">
        <f t="shared" si="442"/>
        <v>2.3884292114017278E-3</v>
      </c>
      <c r="AL181" s="2445">
        <f t="shared" si="442"/>
        <v>2.4734838099665195E-3</v>
      </c>
      <c r="AM181" s="2440">
        <f t="shared" si="442"/>
        <v>5.6283607469679079E-4</v>
      </c>
      <c r="AN181" s="2440">
        <f t="shared" si="442"/>
        <v>-3.9628577618009152E-4</v>
      </c>
      <c r="AO181" s="2440">
        <f t="shared" si="442"/>
        <v>2.4087929100604434E-4</v>
      </c>
      <c r="AP181" s="2440">
        <f t="shared" si="442"/>
        <v>-4.9644693277376941E-5</v>
      </c>
      <c r="AQ181" s="2445">
        <f t="shared" si="442"/>
        <v>-4.9865675064274328E-5</v>
      </c>
      <c r="AR181" s="2440">
        <f t="shared" si="442"/>
        <v>1.5946782606023862E-3</v>
      </c>
      <c r="AS181" s="2440">
        <f t="shared" si="442"/>
        <v>2.4795398793365821E-3</v>
      </c>
      <c r="AT181" s="2440">
        <f t="shared" si="442"/>
        <v>4.2496337910270885E-5</v>
      </c>
      <c r="AU181" s="2440">
        <f t="shared" si="442"/>
        <v>-3.8564709665827629E-3</v>
      </c>
      <c r="AV181" s="2445">
        <f t="shared" si="442"/>
        <v>-3.9977225115754387E-3</v>
      </c>
      <c r="AW181" s="2440">
        <f t="shared" si="442"/>
        <v>-5.047177192476931E-3</v>
      </c>
      <c r="AX181" s="2440">
        <f t="shared" si="442"/>
        <v>-5.9829747630426831E-3</v>
      </c>
      <c r="AY181" s="2440">
        <f t="shared" si="442"/>
        <v>-5.9854632848735691E-3</v>
      </c>
      <c r="AZ181" s="2440">
        <f t="shared" si="442"/>
        <v>-5.824758580513502E-3</v>
      </c>
      <c r="BA181" s="2445">
        <f t="shared" si="442"/>
        <v>-5.555029168644747E-3</v>
      </c>
      <c r="BB181" s="2440">
        <f t="shared" si="442"/>
        <v>-6.832009814196004E-3</v>
      </c>
      <c r="BC181" s="2440">
        <f>+BC175*BC176</f>
        <v>-5.9276662236728639E-3</v>
      </c>
      <c r="BD181" s="2440">
        <f>+BD175*BD176</f>
        <v>-4.8959314545988196E-3</v>
      </c>
      <c r="BE181" s="2440">
        <f>+BE175*BE176</f>
        <v>3.0939516638195657E-4</v>
      </c>
      <c r="BF181" s="2445">
        <f>+BF175*BF176</f>
        <v>2.7313207354943389E-4</v>
      </c>
      <c r="BG181" s="2440">
        <f>+BG175*BG176</f>
        <v>4.4227814341094539E-3</v>
      </c>
      <c r="BH181" s="2440">
        <f t="shared" ref="BH181:BP181" si="443">+BH175*BH176</f>
        <v>9.3566126328909621E-3</v>
      </c>
      <c r="BI181" s="2440">
        <f t="shared" si="443"/>
        <v>1.6173752990981064E-2</v>
      </c>
      <c r="BJ181" s="3002">
        <f t="shared" si="443"/>
        <v>2.0476590778228287E-2</v>
      </c>
      <c r="BK181" s="2445">
        <f t="shared" si="443"/>
        <v>2.0355775937426275E-2</v>
      </c>
      <c r="BL181" s="2440">
        <f t="shared" si="443"/>
        <v>2.3917622059420114E-2</v>
      </c>
      <c r="BM181" s="2440">
        <f t="shared" si="443"/>
        <v>2.0906147394826508E-2</v>
      </c>
      <c r="BN181" s="2440">
        <f t="shared" ref="BN181" si="444">+BN175*BN176</f>
        <v>1.8716722661510799E-2</v>
      </c>
      <c r="BO181" s="3002">
        <f t="shared" si="443"/>
        <v>2.4767499634342955E-2</v>
      </c>
      <c r="BP181" s="2445">
        <f t="shared" si="443"/>
        <v>2.4416842220321189E-2</v>
      </c>
      <c r="BQ181" s="2440">
        <f t="shared" ref="BQ181:CG181" si="445">+BQ175*BQ176</f>
        <v>2.4927339293942877E-2</v>
      </c>
      <c r="BR181" s="2440">
        <f t="shared" si="445"/>
        <v>2.7521975218436742E-2</v>
      </c>
      <c r="BS181" s="2440">
        <f t="shared" si="445"/>
        <v>2.9492405102933408E-2</v>
      </c>
      <c r="BT181" s="3002">
        <f t="shared" si="445"/>
        <v>2.5315991756454215E-2</v>
      </c>
      <c r="BU181" s="3363">
        <f t="shared" si="445"/>
        <v>2.5333955756648589E-2</v>
      </c>
      <c r="BV181" s="2440">
        <f t="shared" ref="BV181:BZ181" si="446">+BV175*BV176</f>
        <v>2.5756419175898201E-2</v>
      </c>
      <c r="BW181" s="2440">
        <f t="shared" si="446"/>
        <v>2.7317557345763532E-2</v>
      </c>
      <c r="BX181" s="2440">
        <f t="shared" si="446"/>
        <v>2.8558610701896931E-2</v>
      </c>
      <c r="BY181" s="3002">
        <f t="shared" si="446"/>
        <v>3.0397072140718958E-2</v>
      </c>
      <c r="BZ181" s="3363">
        <f t="shared" si="446"/>
        <v>3.4584590819841998E-2</v>
      </c>
      <c r="CA181" s="2445">
        <f t="shared" si="445"/>
        <v>3.5287890767833681E-2</v>
      </c>
      <c r="CB181" s="2445">
        <f t="shared" si="445"/>
        <v>3.4768049588861198E-2</v>
      </c>
      <c r="CC181" s="2445">
        <f t="shared" si="445"/>
        <v>-3.7007613335345128E-2</v>
      </c>
      <c r="CD181" s="2445">
        <f t="shared" si="445"/>
        <v>-4.6545470774451293E-2</v>
      </c>
      <c r="CE181" s="2445">
        <f t="shared" si="445"/>
        <v>-4.466491623001289E-2</v>
      </c>
      <c r="CF181" s="2445">
        <f t="shared" si="445"/>
        <v>-4.2642640492596265E-2</v>
      </c>
      <c r="CG181" s="2445">
        <f t="shared" si="445"/>
        <v>-4.0469385558998178E-2</v>
      </c>
      <c r="CH181" s="2432"/>
      <c r="CI181" s="61"/>
      <c r="CJ181" s="61"/>
      <c r="CK181" s="61"/>
      <c r="CL181" s="61"/>
      <c r="CM181" s="61"/>
      <c r="CN181" s="61"/>
      <c r="CO181" s="61"/>
      <c r="CP181" s="61"/>
      <c r="CQ181" s="61"/>
      <c r="CR181" s="61"/>
      <c r="CS181" s="61"/>
      <c r="CT181" s="61"/>
      <c r="CU181" s="994"/>
      <c r="CV181" s="201"/>
      <c r="CW181" s="201"/>
      <c r="CX181" s="201"/>
      <c r="CY181" s="201"/>
      <c r="CZ181" s="201"/>
      <c r="DA181" s="201"/>
      <c r="DB181" s="201"/>
      <c r="DC181" s="201"/>
      <c r="DD181" s="201"/>
      <c r="DE181" s="201"/>
      <c r="DF181" s="201"/>
      <c r="DG181" s="201"/>
      <c r="DH181" s="201"/>
      <c r="DI181" s="201"/>
      <c r="DJ181" s="201"/>
      <c r="DK181" s="201"/>
      <c r="DL181" s="1804"/>
      <c r="DM181" s="61"/>
      <c r="DN181" s="61"/>
      <c r="DO181" s="61"/>
      <c r="DY181" s="780"/>
      <c r="DZ181" s="780"/>
    </row>
    <row r="182" spans="1:130" ht="12.75" customHeight="1">
      <c r="A182" s="1001" t="s">
        <v>1277</v>
      </c>
      <c r="B182" s="2431"/>
      <c r="C182" s="2431"/>
      <c r="D182" s="2446"/>
      <c r="E182" s="2446"/>
      <c r="F182" s="2446"/>
      <c r="G182" s="2446"/>
      <c r="H182" s="2447"/>
      <c r="I182" s="2446">
        <f t="shared" ref="I182:AN182" si="447">(I167+I168*(1-I1220))/I171</f>
        <v>0.13053318952777695</v>
      </c>
      <c r="J182" s="2446">
        <f t="shared" si="447"/>
        <v>0.15000721752545801</v>
      </c>
      <c r="K182" s="2446">
        <f t="shared" si="447"/>
        <v>0.14684864046162152</v>
      </c>
      <c r="L182" s="2446">
        <f t="shared" si="447"/>
        <v>0.14478092054771058</v>
      </c>
      <c r="M182" s="2447">
        <f t="shared" si="447"/>
        <v>0.15383386282585043</v>
      </c>
      <c r="N182" s="2446">
        <f t="shared" si="447"/>
        <v>0.15618103138833717</v>
      </c>
      <c r="O182" s="2446">
        <f t="shared" si="447"/>
        <v>0.14944153422688664</v>
      </c>
      <c r="P182" s="2446">
        <f t="shared" si="447"/>
        <v>0.15999398438036397</v>
      </c>
      <c r="Q182" s="2446">
        <f t="shared" si="447"/>
        <v>0.17081000156559578</v>
      </c>
      <c r="R182" s="2447">
        <f t="shared" si="447"/>
        <v>0.16141291832307231</v>
      </c>
      <c r="S182" s="2446">
        <f t="shared" si="447"/>
        <v>0.15318680194035644</v>
      </c>
      <c r="T182" s="2446">
        <f t="shared" si="447"/>
        <v>0.13614085848139326</v>
      </c>
      <c r="U182" s="2446">
        <f t="shared" si="447"/>
        <v>0.13600308133744576</v>
      </c>
      <c r="V182" s="2446">
        <f t="shared" si="447"/>
        <v>0.13306611077726202</v>
      </c>
      <c r="W182" s="2447">
        <f t="shared" si="447"/>
        <v>0.13365633856329076</v>
      </c>
      <c r="X182" s="2446">
        <f t="shared" si="447"/>
        <v>0.12282941077764971</v>
      </c>
      <c r="Y182" s="2446">
        <f t="shared" si="447"/>
        <v>0.11273647790327085</v>
      </c>
      <c r="Z182" s="2446">
        <f t="shared" si="447"/>
        <v>9.9533670052329007E-2</v>
      </c>
      <c r="AA182" s="2446">
        <f t="shared" si="447"/>
        <v>0.10084205633726223</v>
      </c>
      <c r="AB182" s="2447">
        <f t="shared" si="447"/>
        <v>0.10308275190054635</v>
      </c>
      <c r="AC182" s="2446">
        <f t="shared" si="447"/>
        <v>9.9120771955574838E-2</v>
      </c>
      <c r="AD182" s="2446">
        <f t="shared" si="447"/>
        <v>9.5111439432594744E-2</v>
      </c>
      <c r="AE182" s="2446">
        <f t="shared" si="447"/>
        <v>9.3793505649587453E-2</v>
      </c>
      <c r="AF182" s="2446">
        <f t="shared" si="447"/>
        <v>7.7320785236701189E-2</v>
      </c>
      <c r="AG182" s="2447">
        <f t="shared" si="447"/>
        <v>9.7809063607426916E-2</v>
      </c>
      <c r="AH182" s="2446">
        <f t="shared" si="447"/>
        <v>8.1076748293251941E-2</v>
      </c>
      <c r="AI182" s="2446">
        <f t="shared" si="447"/>
        <v>7.7957678803068364E-2</v>
      </c>
      <c r="AJ182" s="2446">
        <f t="shared" si="447"/>
        <v>8.7873884757924528E-2</v>
      </c>
      <c r="AK182" s="2446">
        <f t="shared" si="447"/>
        <v>9.0500538504249398E-2</v>
      </c>
      <c r="AL182" s="2447">
        <f t="shared" si="447"/>
        <v>0.10025894059655059</v>
      </c>
      <c r="AM182" s="2446">
        <f t="shared" si="447"/>
        <v>0.10021928880598144</v>
      </c>
      <c r="AN182" s="2446">
        <f t="shared" si="447"/>
        <v>0.12625524106013544</v>
      </c>
      <c r="AO182" s="2446">
        <f t="shared" ref="AO182:BT182" si="448">(AO167+AO168*(1-AO1220))/AO171</f>
        <v>0.11211022858248369</v>
      </c>
      <c r="AP182" s="2446">
        <f t="shared" si="448"/>
        <v>0.18404190442304383</v>
      </c>
      <c r="AQ182" s="2447">
        <f t="shared" si="448"/>
        <v>0.13634908519670605</v>
      </c>
      <c r="AR182" s="2446">
        <f t="shared" si="448"/>
        <v>0.1056197616895556</v>
      </c>
      <c r="AS182" s="2446">
        <f t="shared" si="448"/>
        <v>8.1491345745102403E-2</v>
      </c>
      <c r="AT182" s="2446">
        <f t="shared" si="448"/>
        <v>0.10391374673106822</v>
      </c>
      <c r="AU182" s="2446">
        <f t="shared" si="448"/>
        <v>0.10791059394959086</v>
      </c>
      <c r="AV182" s="2447">
        <f t="shared" si="448"/>
        <v>0.11170512491500798</v>
      </c>
      <c r="AW182" s="2446">
        <f t="shared" si="448"/>
        <v>0.1121905076862694</v>
      </c>
      <c r="AX182" s="2446">
        <f t="shared" si="448"/>
        <v>8.6680372268295822E-2</v>
      </c>
      <c r="AY182" s="2446">
        <f t="shared" si="448"/>
        <v>0.14410577020557067</v>
      </c>
      <c r="AZ182" s="2446">
        <f t="shared" si="448"/>
        <v>0.15388775359794693</v>
      </c>
      <c r="BA182" s="2447">
        <f t="shared" si="448"/>
        <v>0.13840737704701725</v>
      </c>
      <c r="BB182" s="2446">
        <f t="shared" si="448"/>
        <v>0.44198330723870566</v>
      </c>
      <c r="BC182" s="2446">
        <f t="shared" si="448"/>
        <v>9.9218798385043591E-2</v>
      </c>
      <c r="BD182" s="2446">
        <f t="shared" si="448"/>
        <v>0.14746365325252619</v>
      </c>
      <c r="BE182" s="2446">
        <f t="shared" si="448"/>
        <v>0.15896021305585453</v>
      </c>
      <c r="BF182" s="2447">
        <f t="shared" si="448"/>
        <v>0.13622644354540428</v>
      </c>
      <c r="BG182" s="2446">
        <f t="shared" si="448"/>
        <v>0.22363931875611362</v>
      </c>
      <c r="BH182" s="2446">
        <f t="shared" si="448"/>
        <v>-1.7899347290969405</v>
      </c>
      <c r="BI182" s="2446">
        <f t="shared" si="448"/>
        <v>0.18321394234026692</v>
      </c>
      <c r="BJ182" s="3007">
        <f t="shared" si="448"/>
        <v>0.1899579056216098</v>
      </c>
      <c r="BK182" s="2447">
        <f t="shared" si="448"/>
        <v>0.17572807641722793</v>
      </c>
      <c r="BL182" s="2446">
        <f t="shared" si="448"/>
        <v>0.1789809613219287</v>
      </c>
      <c r="BM182" s="2446">
        <f t="shared" si="448"/>
        <v>0.15538212554933992</v>
      </c>
      <c r="BN182" s="2446">
        <f t="shared" si="448"/>
        <v>-0.15404935442411574</v>
      </c>
      <c r="BO182" s="3007">
        <f t="shared" si="448"/>
        <v>8.303571867588079E-2</v>
      </c>
      <c r="BP182" s="2447">
        <f t="shared" si="448"/>
        <v>0.15020223068140837</v>
      </c>
      <c r="BQ182" s="2446">
        <f t="shared" si="448"/>
        <v>0.14790214082553749</v>
      </c>
      <c r="BR182" s="2446">
        <f t="shared" si="448"/>
        <v>0.1446441904165103</v>
      </c>
      <c r="BS182" s="2446">
        <f t="shared" si="448"/>
        <v>0.14928430081586269</v>
      </c>
      <c r="BT182" s="3007">
        <f t="shared" si="448"/>
        <v>0.20658059777137361</v>
      </c>
      <c r="BU182" s="3364">
        <f t="shared" ref="BU182:CG182" si="449">(BU167+BU168*(1-BU1220))/BU171</f>
        <v>0.14892647082603946</v>
      </c>
      <c r="BV182" s="2446">
        <f t="shared" si="449"/>
        <v>0.15222304630803879</v>
      </c>
      <c r="BW182" s="2446">
        <f t="shared" si="449"/>
        <v>0.15290337854907782</v>
      </c>
      <c r="BX182" s="2446">
        <f t="shared" si="449"/>
        <v>0.1467168551975</v>
      </c>
      <c r="BY182" s="3007">
        <f t="shared" si="449"/>
        <v>0.14277835003742578</v>
      </c>
      <c r="BZ182" s="3364">
        <f t="shared" si="449"/>
        <v>0.16244758018525893</v>
      </c>
      <c r="CA182" s="2447">
        <f t="shared" si="449"/>
        <v>0.17195214192813951</v>
      </c>
      <c r="CB182" s="2447">
        <f t="shared" si="449"/>
        <v>0.16938557251707695</v>
      </c>
      <c r="CC182" s="2447">
        <f t="shared" si="449"/>
        <v>1.8092675229172399E-2</v>
      </c>
      <c r="CD182" s="2447">
        <f t="shared" si="449"/>
        <v>1.054423477222894E-2</v>
      </c>
      <c r="CE182" s="2447">
        <f t="shared" si="449"/>
        <v>1.4452242308129385E-2</v>
      </c>
      <c r="CF182" s="2447">
        <f t="shared" si="449"/>
        <v>1.8613006322856576E-2</v>
      </c>
      <c r="CG182" s="2447">
        <f t="shared" si="449"/>
        <v>2.3042586735910673E-2</v>
      </c>
      <c r="CH182" s="2432"/>
      <c r="CI182" s="61"/>
      <c r="CJ182" s="61"/>
      <c r="CK182" s="61"/>
      <c r="CL182" s="61"/>
      <c r="CM182" s="61"/>
      <c r="CN182" s="61"/>
      <c r="CO182" s="61"/>
      <c r="CP182" s="61"/>
      <c r="CQ182" s="61"/>
      <c r="CR182" s="61"/>
      <c r="CS182" s="61"/>
      <c r="CT182" s="61"/>
      <c r="CU182" s="994"/>
      <c r="CV182" s="201"/>
      <c r="CW182" s="201"/>
      <c r="CX182" s="201"/>
      <c r="CY182" s="201"/>
      <c r="CZ182" s="201"/>
      <c r="DA182" s="201"/>
      <c r="DB182" s="201"/>
      <c r="DC182" s="201"/>
      <c r="DD182" s="201"/>
      <c r="DE182" s="201"/>
      <c r="DF182" s="201"/>
      <c r="DG182" s="201"/>
      <c r="DH182" s="201"/>
      <c r="DI182" s="201"/>
      <c r="DJ182" s="201"/>
      <c r="DK182" s="201"/>
      <c r="DL182" s="1804"/>
      <c r="DM182" s="61"/>
      <c r="DN182" s="61"/>
      <c r="DO182" s="61"/>
      <c r="DY182" s="2446"/>
      <c r="DZ182" s="2446"/>
    </row>
    <row r="183" spans="1:130" ht="12.75" customHeight="1">
      <c r="A183" s="228"/>
      <c r="B183" s="748"/>
      <c r="C183" s="748"/>
      <c r="D183" s="2402"/>
      <c r="E183" s="2402"/>
      <c r="F183" s="2402"/>
      <c r="G183" s="2402"/>
      <c r="H183" s="2407"/>
      <c r="I183" s="2402"/>
      <c r="J183" s="2402"/>
      <c r="K183" s="2402"/>
      <c r="L183" s="2402"/>
      <c r="M183" s="2407"/>
      <c r="N183" s="2402"/>
      <c r="O183" s="2402"/>
      <c r="P183" s="2402"/>
      <c r="Q183" s="2402"/>
      <c r="R183" s="2407"/>
      <c r="S183" s="2402"/>
      <c r="T183" s="2402"/>
      <c r="U183" s="2402"/>
      <c r="V183" s="2402"/>
      <c r="W183" s="2407"/>
      <c r="X183" s="2402"/>
      <c r="Y183" s="2402"/>
      <c r="Z183" s="2402"/>
      <c r="AA183" s="2402"/>
      <c r="AB183" s="2407"/>
      <c r="AC183" s="2402"/>
      <c r="AD183" s="2402"/>
      <c r="AE183" s="2402"/>
      <c r="AF183" s="2402"/>
      <c r="AG183" s="2407"/>
      <c r="AH183" s="2402"/>
      <c r="AI183" s="2402"/>
      <c r="AJ183" s="2402"/>
      <c r="AK183" s="2402"/>
      <c r="AL183" s="2407"/>
      <c r="AM183" s="2402"/>
      <c r="AN183" s="2402"/>
      <c r="AO183" s="2402"/>
      <c r="AP183" s="2402"/>
      <c r="AQ183" s="2407"/>
      <c r="AR183" s="2402"/>
      <c r="AS183" s="2402"/>
      <c r="AT183" s="2402"/>
      <c r="AU183" s="2402"/>
      <c r="AV183" s="2407"/>
      <c r="AW183" s="2402"/>
      <c r="AX183" s="2402"/>
      <c r="AY183" s="2402"/>
      <c r="AZ183" s="2402"/>
      <c r="BA183" s="2407"/>
      <c r="BB183" s="2402"/>
      <c r="BC183" s="2402"/>
      <c r="BD183" s="2402"/>
      <c r="BE183" s="2402"/>
      <c r="BF183" s="2407"/>
      <c r="BG183" s="3052"/>
      <c r="BH183" s="1612"/>
      <c r="BI183" s="1612"/>
      <c r="BJ183" s="3053"/>
      <c r="BK183" s="2407"/>
      <c r="BL183" s="1612"/>
      <c r="BM183" s="1612"/>
      <c r="BN183" s="1612"/>
      <c r="BO183" s="3053"/>
      <c r="BP183" s="2407"/>
      <c r="BQ183" s="1612"/>
      <c r="BR183" s="1612"/>
      <c r="BS183" s="1612"/>
      <c r="BT183" s="3053"/>
      <c r="BU183" s="3365"/>
      <c r="BV183" s="1612"/>
      <c r="BW183" s="1612"/>
      <c r="BX183" s="1612"/>
      <c r="BY183" s="3053"/>
      <c r="BZ183" s="2407"/>
      <c r="CA183" s="2407"/>
      <c r="CB183" s="2407"/>
      <c r="CC183" s="2407"/>
      <c r="CD183" s="2407"/>
      <c r="CE183" s="2407"/>
      <c r="CF183" s="2407"/>
      <c r="CG183" s="2407"/>
      <c r="CH183" s="514"/>
      <c r="CI183" s="61"/>
      <c r="CJ183" s="61"/>
      <c r="CK183" s="61"/>
      <c r="CL183" s="61"/>
      <c r="CM183" s="61"/>
      <c r="CN183" s="61"/>
      <c r="CO183" s="61"/>
      <c r="CP183" s="61"/>
      <c r="CQ183" s="61"/>
      <c r="CR183" s="61"/>
      <c r="CS183" s="61"/>
      <c r="CT183" s="61"/>
      <c r="CU183" s="228"/>
      <c r="CV183" s="2402"/>
      <c r="CW183" s="2402"/>
      <c r="CX183" s="2402"/>
      <c r="CY183" s="2402"/>
      <c r="CZ183" s="2402"/>
      <c r="DA183" s="2402"/>
      <c r="DB183" s="2402"/>
      <c r="DC183" s="2402"/>
      <c r="DD183" s="2402"/>
      <c r="DE183" s="2402"/>
      <c r="DF183" s="2402"/>
      <c r="DG183" s="2402"/>
      <c r="DH183" s="2402"/>
      <c r="DI183" s="2402"/>
      <c r="DJ183" s="2402"/>
      <c r="DK183" s="2402"/>
      <c r="DL183" s="2402"/>
      <c r="DM183" s="61"/>
      <c r="DN183" s="61"/>
      <c r="DO183" s="61"/>
      <c r="DY183" s="1612"/>
      <c r="DZ183" s="1612"/>
    </row>
    <row r="184" spans="1:130" ht="12" customHeight="1">
      <c r="A184" s="1410"/>
      <c r="B184" s="985"/>
      <c r="C184" s="985"/>
      <c r="D184" s="1411"/>
      <c r="E184" s="1411"/>
      <c r="F184" s="1411"/>
      <c r="G184" s="1411"/>
      <c r="H184" s="1411"/>
      <c r="I184" s="1411"/>
      <c r="J184" s="1411"/>
      <c r="K184" s="1411"/>
      <c r="L184" s="1411"/>
      <c r="M184" s="1411"/>
      <c r="N184" s="1411"/>
      <c r="O184" s="1411"/>
      <c r="P184" s="1411"/>
      <c r="Q184" s="1411"/>
      <c r="R184" s="1411"/>
      <c r="S184" s="1411"/>
      <c r="T184" s="1411"/>
      <c r="U184" s="1411"/>
      <c r="V184" s="1411"/>
      <c r="W184" s="1411"/>
      <c r="X184" s="1411"/>
      <c r="Y184" s="1411"/>
      <c r="Z184" s="1411"/>
      <c r="AA184" s="1411"/>
      <c r="AB184" s="1411"/>
      <c r="AC184" s="1411"/>
      <c r="AD184" s="1411"/>
      <c r="AE184" s="1411"/>
      <c r="AF184" s="1411"/>
      <c r="AG184" s="1411"/>
      <c r="AH184" s="1411"/>
      <c r="AI184" s="1411"/>
      <c r="AJ184" s="1411"/>
      <c r="AK184" s="1411"/>
      <c r="AL184" s="1412"/>
      <c r="AM184" s="1412"/>
      <c r="AN184" s="1412"/>
      <c r="AO184" s="1412"/>
      <c r="AP184" s="1412"/>
      <c r="AQ184" s="1413"/>
      <c r="AR184" s="1412"/>
      <c r="AS184" s="1412"/>
      <c r="AT184" s="1412"/>
      <c r="AU184" s="1412"/>
      <c r="AV184" s="1384"/>
      <c r="AW184" s="1412"/>
      <c r="AX184" s="1412"/>
      <c r="AY184" s="1412"/>
      <c r="AZ184" s="1412"/>
      <c r="BA184" s="1383"/>
      <c r="BB184" s="1412"/>
      <c r="BC184" s="1412"/>
      <c r="BD184" s="1412"/>
      <c r="BE184" s="1412"/>
      <c r="BF184" s="1010"/>
      <c r="BG184" s="3051"/>
      <c r="BH184" s="3051"/>
      <c r="BI184" s="3051"/>
      <c r="BJ184" s="3051"/>
      <c r="BK184" s="1010"/>
      <c r="BL184" s="3051"/>
      <c r="BM184" s="3051"/>
      <c r="BN184" s="3051"/>
      <c r="BO184" s="3051"/>
      <c r="BP184" s="1010"/>
      <c r="BQ184" s="3051"/>
      <c r="BR184" s="3051"/>
      <c r="BS184" s="3051"/>
      <c r="BT184" s="3051"/>
      <c r="BU184" s="3366"/>
      <c r="BV184" s="3051"/>
      <c r="BW184" s="3051"/>
      <c r="BX184" s="3051"/>
      <c r="BY184" s="3051"/>
      <c r="BZ184" s="1010"/>
      <c r="CA184" s="1010"/>
      <c r="CB184" s="1010"/>
      <c r="CC184" s="1010"/>
      <c r="CD184" s="1010"/>
      <c r="CE184" s="1010"/>
      <c r="CF184" s="1010"/>
      <c r="CG184" s="1010"/>
      <c r="CH184" s="508"/>
      <c r="CI184" s="508"/>
      <c r="CJ184" s="508"/>
      <c r="CK184" s="508"/>
      <c r="CL184" s="508"/>
      <c r="CM184" s="508"/>
      <c r="CN184" s="508"/>
      <c r="CO184" s="508"/>
      <c r="CP184" s="1410"/>
      <c r="CQ184" s="1758"/>
      <c r="CR184" s="1758"/>
      <c r="CS184" s="1758"/>
      <c r="CT184" s="1758"/>
      <c r="CU184" s="1758"/>
      <c r="CV184" s="1758"/>
      <c r="CW184" s="1758"/>
      <c r="CX184" s="1758"/>
      <c r="CY184" s="1758"/>
      <c r="CZ184" s="1758"/>
      <c r="DA184" s="1758"/>
      <c r="DB184" s="1758"/>
      <c r="DC184" s="1758"/>
      <c r="DD184" s="1758"/>
      <c r="DE184" s="1758"/>
      <c r="DF184" s="1758"/>
      <c r="DG184" s="1758"/>
      <c r="DH184" s="239"/>
      <c r="DI184" s="240"/>
      <c r="DJ184" s="240"/>
      <c r="DK184" s="240"/>
      <c r="DL184" s="240"/>
      <c r="DM184" s="240"/>
      <c r="DN184" s="240"/>
      <c r="DO184" s="226"/>
      <c r="DY184" s="508"/>
      <c r="DZ184" s="508"/>
    </row>
    <row r="185" spans="1:130" ht="12" customHeight="1">
      <c r="A185" s="973" t="s">
        <v>716</v>
      </c>
      <c r="B185" s="974"/>
      <c r="C185" s="974"/>
      <c r="D185" s="975" t="str">
        <f t="shared" ref="D185:AH185" si="450">D$6</f>
        <v>1Q04</v>
      </c>
      <c r="E185" s="960" t="str">
        <f t="shared" si="450"/>
        <v>2Q04</v>
      </c>
      <c r="F185" s="960" t="str">
        <f t="shared" si="450"/>
        <v>3Q04</v>
      </c>
      <c r="G185" s="960" t="str">
        <f t="shared" si="450"/>
        <v>4Q04</v>
      </c>
      <c r="H185" s="958">
        <f t="shared" si="450"/>
        <v>2004</v>
      </c>
      <c r="I185" s="960" t="str">
        <f t="shared" si="450"/>
        <v>1Q05</v>
      </c>
      <c r="J185" s="960" t="str">
        <f t="shared" si="450"/>
        <v>2Q05</v>
      </c>
      <c r="K185" s="960" t="str">
        <f t="shared" si="450"/>
        <v>3Q05</v>
      </c>
      <c r="L185" s="960" t="str">
        <f t="shared" si="450"/>
        <v>4Q05</v>
      </c>
      <c r="M185" s="958">
        <f t="shared" si="450"/>
        <v>2005</v>
      </c>
      <c r="N185" s="960" t="str">
        <f t="shared" si="450"/>
        <v>1Q06</v>
      </c>
      <c r="O185" s="960" t="str">
        <f t="shared" si="450"/>
        <v>2Q06</v>
      </c>
      <c r="P185" s="960" t="str">
        <f t="shared" si="450"/>
        <v>3Q06</v>
      </c>
      <c r="Q185" s="960" t="str">
        <f t="shared" si="450"/>
        <v>4Q06</v>
      </c>
      <c r="R185" s="958">
        <f t="shared" si="450"/>
        <v>2006</v>
      </c>
      <c r="S185" s="960" t="str">
        <f t="shared" si="450"/>
        <v>1Q07</v>
      </c>
      <c r="T185" s="960" t="str">
        <f t="shared" si="450"/>
        <v>2Q07</v>
      </c>
      <c r="U185" s="960" t="str">
        <f t="shared" si="450"/>
        <v>3Q07</v>
      </c>
      <c r="V185" s="960" t="str">
        <f t="shared" si="450"/>
        <v>4Q07</v>
      </c>
      <c r="W185" s="958">
        <f t="shared" si="450"/>
        <v>2007</v>
      </c>
      <c r="X185" s="960" t="str">
        <f t="shared" si="450"/>
        <v>1Q08</v>
      </c>
      <c r="Y185" s="960" t="str">
        <f t="shared" si="450"/>
        <v>2Q08</v>
      </c>
      <c r="Z185" s="960" t="str">
        <f t="shared" si="450"/>
        <v>3Q08</v>
      </c>
      <c r="AA185" s="960" t="str">
        <f t="shared" si="450"/>
        <v>4Q08</v>
      </c>
      <c r="AB185" s="958">
        <f t="shared" si="450"/>
        <v>2008</v>
      </c>
      <c r="AC185" s="960" t="str">
        <f t="shared" si="450"/>
        <v>1Q09</v>
      </c>
      <c r="AD185" s="960" t="str">
        <f t="shared" si="450"/>
        <v>2Q09</v>
      </c>
      <c r="AE185" s="960" t="str">
        <f t="shared" si="450"/>
        <v>3Q09</v>
      </c>
      <c r="AF185" s="960" t="str">
        <f t="shared" si="450"/>
        <v>4Q09</v>
      </c>
      <c r="AG185" s="958">
        <f t="shared" si="450"/>
        <v>2009</v>
      </c>
      <c r="AH185" s="960" t="str">
        <f t="shared" si="450"/>
        <v>1Q10</v>
      </c>
      <c r="AI185" s="960" t="str">
        <f t="shared" ref="AI185:CG185" si="451">AI$6</f>
        <v>2Q10</v>
      </c>
      <c r="AJ185" s="960" t="str">
        <f t="shared" si="451"/>
        <v>3Q10</v>
      </c>
      <c r="AK185" s="960" t="str">
        <f t="shared" si="451"/>
        <v>4Q10</v>
      </c>
      <c r="AL185" s="958">
        <f t="shared" si="451"/>
        <v>2010</v>
      </c>
      <c r="AM185" s="960" t="str">
        <f t="shared" si="451"/>
        <v>1Q11</v>
      </c>
      <c r="AN185" s="960" t="str">
        <f t="shared" si="451"/>
        <v>2Q11</v>
      </c>
      <c r="AO185" s="960" t="str">
        <f t="shared" si="451"/>
        <v>3Q11</v>
      </c>
      <c r="AP185" s="960" t="str">
        <f t="shared" si="451"/>
        <v>4Q11</v>
      </c>
      <c r="AQ185" s="958">
        <f t="shared" si="451"/>
        <v>2011</v>
      </c>
      <c r="AR185" s="109" t="str">
        <f t="shared" si="451"/>
        <v>1Q12</v>
      </c>
      <c r="AS185" s="109" t="str">
        <f t="shared" si="451"/>
        <v>2Q12</v>
      </c>
      <c r="AT185" s="109" t="str">
        <f t="shared" si="451"/>
        <v>3Q12</v>
      </c>
      <c r="AU185" s="109" t="str">
        <f t="shared" si="451"/>
        <v>4Q12</v>
      </c>
      <c r="AV185" s="110">
        <f t="shared" si="451"/>
        <v>2012</v>
      </c>
      <c r="AW185" s="109" t="str">
        <f t="shared" si="451"/>
        <v>1Q13</v>
      </c>
      <c r="AX185" s="109" t="str">
        <f t="shared" si="451"/>
        <v>2Q13</v>
      </c>
      <c r="AY185" s="109" t="str">
        <f t="shared" si="451"/>
        <v>3Q13</v>
      </c>
      <c r="AZ185" s="109" t="str">
        <f t="shared" si="451"/>
        <v>4Q13</v>
      </c>
      <c r="BA185" s="110">
        <f t="shared" si="451"/>
        <v>2013</v>
      </c>
      <c r="BB185" s="109" t="str">
        <f t="shared" si="451"/>
        <v>1Q14</v>
      </c>
      <c r="BC185" s="109" t="str">
        <f t="shared" si="451"/>
        <v>2Q14</v>
      </c>
      <c r="BD185" s="109" t="str">
        <f t="shared" si="451"/>
        <v>3Q14</v>
      </c>
      <c r="BE185" s="109" t="str">
        <f t="shared" si="451"/>
        <v>4Q14</v>
      </c>
      <c r="BF185" s="110">
        <f t="shared" si="451"/>
        <v>2014</v>
      </c>
      <c r="BG185" s="109" t="str">
        <f t="shared" si="451"/>
        <v>1Q15</v>
      </c>
      <c r="BH185" s="109" t="str">
        <f t="shared" si="451"/>
        <v>2Q15</v>
      </c>
      <c r="BI185" s="109" t="str">
        <f t="shared" si="451"/>
        <v>3Q15</v>
      </c>
      <c r="BJ185" s="109" t="str">
        <f t="shared" si="451"/>
        <v>4Q15</v>
      </c>
      <c r="BK185" s="110">
        <f t="shared" si="451"/>
        <v>2015</v>
      </c>
      <c r="BL185" s="109" t="str">
        <f t="shared" si="451"/>
        <v>1Q16</v>
      </c>
      <c r="BM185" s="109" t="str">
        <f t="shared" si="451"/>
        <v>2Q16</v>
      </c>
      <c r="BN185" s="109" t="str">
        <f t="shared" si="451"/>
        <v>3Q16</v>
      </c>
      <c r="BO185" s="109" t="str">
        <f t="shared" si="451"/>
        <v>4Q16</v>
      </c>
      <c r="BP185" s="110">
        <f t="shared" si="451"/>
        <v>2016</v>
      </c>
      <c r="BQ185" s="109" t="str">
        <f t="shared" si="451"/>
        <v>1Q17</v>
      </c>
      <c r="BR185" s="109" t="str">
        <f t="shared" si="451"/>
        <v>2Q17</v>
      </c>
      <c r="BS185" s="109" t="str">
        <f t="shared" si="451"/>
        <v>3Q17</v>
      </c>
      <c r="BT185" s="109" t="str">
        <f t="shared" si="451"/>
        <v>4Q17A</v>
      </c>
      <c r="BU185" s="3347" t="str">
        <f t="shared" si="451"/>
        <v>2017A</v>
      </c>
      <c r="BV185" s="109" t="str">
        <f t="shared" si="451"/>
        <v>1Q18E</v>
      </c>
      <c r="BW185" s="109" t="str">
        <f t="shared" si="451"/>
        <v>2Q18E</v>
      </c>
      <c r="BX185" s="109" t="str">
        <f t="shared" si="451"/>
        <v>3Q18E</v>
      </c>
      <c r="BY185" s="109" t="str">
        <f t="shared" si="451"/>
        <v>4Q18E</v>
      </c>
      <c r="BZ185" s="110" t="str">
        <f t="shared" si="451"/>
        <v>2018E</v>
      </c>
      <c r="CA185" s="110" t="str">
        <f t="shared" si="451"/>
        <v>2019E</v>
      </c>
      <c r="CB185" s="110" t="str">
        <f t="shared" si="451"/>
        <v>2020E</v>
      </c>
      <c r="CC185" s="110" t="str">
        <f t="shared" si="451"/>
        <v>2021E</v>
      </c>
      <c r="CD185" s="110" t="str">
        <f t="shared" si="451"/>
        <v>2022E</v>
      </c>
      <c r="CE185" s="110" t="str">
        <f t="shared" si="451"/>
        <v>2023E</v>
      </c>
      <c r="CF185" s="110" t="str">
        <f t="shared" si="451"/>
        <v>2024E</v>
      </c>
      <c r="CG185" s="110" t="str">
        <f t="shared" si="451"/>
        <v>2025E</v>
      </c>
      <c r="CH185" s="244"/>
      <c r="CI185" s="244"/>
      <c r="CJ185" s="244"/>
      <c r="CK185" s="244"/>
      <c r="CL185" s="244"/>
      <c r="CM185" s="244"/>
      <c r="CN185" s="244"/>
      <c r="CO185" s="244"/>
      <c r="CP185" s="973" t="str">
        <f>A185</f>
        <v>PROPERTY DRIVERS</v>
      </c>
      <c r="CQ185" s="109">
        <f>H185</f>
        <v>2004</v>
      </c>
      <c r="CR185" s="109">
        <f>M185</f>
        <v>2005</v>
      </c>
      <c r="CS185" s="109">
        <f>R185</f>
        <v>2006</v>
      </c>
      <c r="CT185" s="109">
        <f>W185</f>
        <v>2007</v>
      </c>
      <c r="CU185" s="109">
        <f>AB185</f>
        <v>2008</v>
      </c>
      <c r="CV185" s="109">
        <f>AG185</f>
        <v>2009</v>
      </c>
      <c r="CW185" s="109">
        <f>AL185</f>
        <v>2010</v>
      </c>
      <c r="CX185" s="109">
        <f>AQ185</f>
        <v>2011</v>
      </c>
      <c r="CY185" s="109">
        <f>AV185</f>
        <v>2012</v>
      </c>
      <c r="CZ185" s="109">
        <f>BA185</f>
        <v>2013</v>
      </c>
      <c r="DA185" s="109">
        <f>BF185</f>
        <v>2014</v>
      </c>
      <c r="DB185" s="109">
        <f>BK185</f>
        <v>2015</v>
      </c>
      <c r="DC185" s="109">
        <f>BP185</f>
        <v>2016</v>
      </c>
      <c r="DD185" s="109" t="str">
        <f>BU185</f>
        <v>2017A</v>
      </c>
      <c r="DE185" s="109" t="str">
        <f>BZ185</f>
        <v>2018E</v>
      </c>
      <c r="DF185" s="109" t="str">
        <f>CA185</f>
        <v>2019E</v>
      </c>
      <c r="DG185" s="1772" t="str">
        <f>CB185</f>
        <v>2020E</v>
      </c>
      <c r="DH185" s="239"/>
      <c r="DI185" s="240"/>
      <c r="DJ185" s="240"/>
      <c r="DK185" s="240"/>
      <c r="DL185" s="240"/>
      <c r="DM185" s="240"/>
      <c r="DN185" s="240"/>
      <c r="DO185" s="226"/>
      <c r="DY185" s="244"/>
      <c r="DZ185" s="244"/>
    </row>
    <row r="186" spans="1:130" ht="12" customHeight="1">
      <c r="A186" s="515"/>
      <c r="B186" s="228"/>
      <c r="C186" s="228"/>
      <c r="D186" s="509"/>
      <c r="E186" s="510"/>
      <c r="F186" s="510"/>
      <c r="G186" s="510"/>
      <c r="H186" s="512"/>
      <c r="I186" s="510"/>
      <c r="J186" s="510"/>
      <c r="K186" s="510"/>
      <c r="L186" s="510"/>
      <c r="M186" s="512"/>
      <c r="N186" s="510"/>
      <c r="O186" s="510"/>
      <c r="P186" s="510"/>
      <c r="Q186" s="510"/>
      <c r="R186" s="512"/>
      <c r="S186" s="510"/>
      <c r="T186" s="510"/>
      <c r="U186" s="510"/>
      <c r="V186" s="510"/>
      <c r="W186" s="512"/>
      <c r="X186" s="510"/>
      <c r="Y186" s="510"/>
      <c r="Z186" s="510"/>
      <c r="AA186" s="510"/>
      <c r="AB186" s="512"/>
      <c r="AC186" s="510"/>
      <c r="AD186" s="510"/>
      <c r="AE186" s="510"/>
      <c r="AF186" s="510"/>
      <c r="AG186" s="512"/>
      <c r="AH186" s="510"/>
      <c r="AI186" s="510"/>
      <c r="AJ186" s="510"/>
      <c r="AK186" s="510"/>
      <c r="AL186" s="512"/>
      <c r="AM186" s="510"/>
      <c r="AN186" s="510"/>
      <c r="AO186" s="510"/>
      <c r="AP186" s="510"/>
      <c r="AQ186" s="512"/>
      <c r="AR186" s="510"/>
      <c r="AS186" s="510"/>
      <c r="AT186" s="510"/>
      <c r="AU186" s="510"/>
      <c r="AV186" s="512"/>
      <c r="AW186" s="510"/>
      <c r="AX186" s="510"/>
      <c r="AY186" s="510"/>
      <c r="AZ186" s="510"/>
      <c r="BA186" s="512"/>
      <c r="BB186" s="510"/>
      <c r="BC186" s="510"/>
      <c r="BD186" s="510"/>
      <c r="BE186" s="510"/>
      <c r="BF186" s="512"/>
      <c r="BG186" s="3048"/>
      <c r="BH186" s="3049"/>
      <c r="BI186" s="3049"/>
      <c r="BJ186" s="3050"/>
      <c r="BK186" s="512"/>
      <c r="BL186" s="3049"/>
      <c r="BM186" s="3049"/>
      <c r="BN186" s="3049"/>
      <c r="BO186" s="3050"/>
      <c r="BP186" s="512"/>
      <c r="BQ186" s="3049"/>
      <c r="BR186" s="3049"/>
      <c r="BS186" s="3049"/>
      <c r="BT186" s="3050"/>
      <c r="BU186" s="3367"/>
      <c r="BV186" s="3049"/>
      <c r="BW186" s="3049"/>
      <c r="BX186" s="3049"/>
      <c r="BY186" s="3050"/>
      <c r="BZ186" s="512"/>
      <c r="CA186" s="512"/>
      <c r="CB186" s="512"/>
      <c r="CC186" s="512"/>
      <c r="CD186" s="512"/>
      <c r="CE186" s="512"/>
      <c r="CF186" s="512"/>
      <c r="CG186" s="512"/>
      <c r="CH186" s="510"/>
      <c r="CI186" s="510"/>
      <c r="CJ186" s="510"/>
      <c r="CK186" s="510"/>
      <c r="CL186" s="510"/>
      <c r="CM186" s="510"/>
      <c r="CN186" s="510"/>
      <c r="CO186" s="510"/>
      <c r="CP186" s="1916"/>
      <c r="CQ186" s="231"/>
      <c r="CR186" s="231"/>
      <c r="CS186" s="231"/>
      <c r="CT186" s="231"/>
      <c r="CU186" s="231"/>
      <c r="CV186" s="231"/>
      <c r="CW186" s="231"/>
      <c r="CX186" s="231"/>
      <c r="CY186" s="231"/>
      <c r="CZ186" s="231"/>
      <c r="DA186" s="231"/>
      <c r="DB186" s="231"/>
      <c r="DC186" s="231"/>
      <c r="DD186" s="231"/>
      <c r="DE186" s="231"/>
      <c r="DF186" s="231"/>
      <c r="DG186" s="1915"/>
      <c r="DH186" s="514"/>
      <c r="DI186" s="514"/>
      <c r="DJ186" s="514"/>
      <c r="DK186" s="514"/>
      <c r="DL186" s="514"/>
      <c r="DM186" s="514"/>
      <c r="DN186" s="514"/>
      <c r="DO186" s="226"/>
      <c r="DY186" s="510"/>
      <c r="DZ186" s="510"/>
    </row>
    <row r="187" spans="1:130" ht="12" hidden="1" customHeight="1" outlineLevel="1">
      <c r="A187" s="1300" t="s">
        <v>610</v>
      </c>
      <c r="B187" s="1301"/>
      <c r="C187" s="1301"/>
      <c r="D187" s="1302" t="str">
        <f t="shared" ref="D187:AH187" si="452">D$6</f>
        <v>1Q04</v>
      </c>
      <c r="E187" s="1303" t="str">
        <f t="shared" si="452"/>
        <v>2Q04</v>
      </c>
      <c r="F187" s="1303" t="str">
        <f t="shared" si="452"/>
        <v>3Q04</v>
      </c>
      <c r="G187" s="1303" t="str">
        <f t="shared" si="452"/>
        <v>4Q04</v>
      </c>
      <c r="H187" s="1304">
        <f t="shared" si="452"/>
        <v>2004</v>
      </c>
      <c r="I187" s="1303" t="str">
        <f t="shared" si="452"/>
        <v>1Q05</v>
      </c>
      <c r="J187" s="1303" t="str">
        <f t="shared" si="452"/>
        <v>2Q05</v>
      </c>
      <c r="K187" s="1303" t="str">
        <f t="shared" si="452"/>
        <v>3Q05</v>
      </c>
      <c r="L187" s="1303" t="str">
        <f t="shared" si="452"/>
        <v>4Q05</v>
      </c>
      <c r="M187" s="1304">
        <f t="shared" si="452"/>
        <v>2005</v>
      </c>
      <c r="N187" s="1303" t="str">
        <f t="shared" si="452"/>
        <v>1Q06</v>
      </c>
      <c r="O187" s="1303" t="str">
        <f t="shared" si="452"/>
        <v>2Q06</v>
      </c>
      <c r="P187" s="1303" t="str">
        <f t="shared" si="452"/>
        <v>3Q06</v>
      </c>
      <c r="Q187" s="1303" t="str">
        <f t="shared" si="452"/>
        <v>4Q06</v>
      </c>
      <c r="R187" s="1304">
        <f t="shared" si="452"/>
        <v>2006</v>
      </c>
      <c r="S187" s="1303" t="str">
        <f t="shared" si="452"/>
        <v>1Q07</v>
      </c>
      <c r="T187" s="1303" t="str">
        <f t="shared" si="452"/>
        <v>2Q07</v>
      </c>
      <c r="U187" s="1303" t="str">
        <f t="shared" si="452"/>
        <v>3Q07</v>
      </c>
      <c r="V187" s="1303" t="str">
        <f t="shared" si="452"/>
        <v>4Q07</v>
      </c>
      <c r="W187" s="1304">
        <f t="shared" si="452"/>
        <v>2007</v>
      </c>
      <c r="X187" s="1303" t="str">
        <f t="shared" si="452"/>
        <v>1Q08</v>
      </c>
      <c r="Y187" s="1303" t="str">
        <f t="shared" si="452"/>
        <v>2Q08</v>
      </c>
      <c r="Z187" s="1303" t="str">
        <f t="shared" si="452"/>
        <v>3Q08</v>
      </c>
      <c r="AA187" s="1303" t="str">
        <f t="shared" si="452"/>
        <v>4Q08</v>
      </c>
      <c r="AB187" s="1304">
        <f t="shared" si="452"/>
        <v>2008</v>
      </c>
      <c r="AC187" s="1303" t="str">
        <f t="shared" si="452"/>
        <v>1Q09</v>
      </c>
      <c r="AD187" s="1303" t="str">
        <f t="shared" si="452"/>
        <v>2Q09</v>
      </c>
      <c r="AE187" s="1303" t="str">
        <f t="shared" si="452"/>
        <v>3Q09</v>
      </c>
      <c r="AF187" s="1303" t="str">
        <f t="shared" si="452"/>
        <v>4Q09</v>
      </c>
      <c r="AG187" s="1304">
        <f t="shared" si="452"/>
        <v>2009</v>
      </c>
      <c r="AH187" s="1303" t="str">
        <f t="shared" si="452"/>
        <v>1Q10</v>
      </c>
      <c r="AI187" s="109" t="str">
        <f t="shared" ref="AI187:BJ187" si="453">AI$6</f>
        <v>2Q10</v>
      </c>
      <c r="AJ187" s="109" t="str">
        <f t="shared" si="453"/>
        <v>3Q10</v>
      </c>
      <c r="AK187" s="109" t="str">
        <f t="shared" si="453"/>
        <v>4Q10</v>
      </c>
      <c r="AL187" s="110">
        <f t="shared" si="453"/>
        <v>2010</v>
      </c>
      <c r="AM187" s="109" t="str">
        <f t="shared" si="453"/>
        <v>1Q11</v>
      </c>
      <c r="AN187" s="109" t="str">
        <f t="shared" si="453"/>
        <v>2Q11</v>
      </c>
      <c r="AO187" s="109" t="str">
        <f t="shared" si="453"/>
        <v>3Q11</v>
      </c>
      <c r="AP187" s="109" t="str">
        <f t="shared" si="453"/>
        <v>4Q11</v>
      </c>
      <c r="AQ187" s="110">
        <f t="shared" si="453"/>
        <v>2011</v>
      </c>
      <c r="AR187" s="109" t="str">
        <f t="shared" si="453"/>
        <v>1Q12</v>
      </c>
      <c r="AS187" s="109" t="str">
        <f t="shared" si="453"/>
        <v>2Q12</v>
      </c>
      <c r="AT187" s="109" t="str">
        <f t="shared" si="453"/>
        <v>3Q12</v>
      </c>
      <c r="AU187" s="109" t="str">
        <f t="shared" si="453"/>
        <v>4Q12</v>
      </c>
      <c r="AV187" s="110">
        <f>AV$6</f>
        <v>2012</v>
      </c>
      <c r="AW187" s="109" t="str">
        <f t="shared" si="453"/>
        <v>1Q13</v>
      </c>
      <c r="AX187" s="109" t="str">
        <f t="shared" si="453"/>
        <v>2Q13</v>
      </c>
      <c r="AY187" s="109" t="str">
        <f t="shared" si="453"/>
        <v>3Q13</v>
      </c>
      <c r="AZ187" s="109" t="str">
        <f t="shared" si="453"/>
        <v>4Q13</v>
      </c>
      <c r="BA187" s="110">
        <f>BA$6</f>
        <v>2013</v>
      </c>
      <c r="BB187" s="109" t="str">
        <f t="shared" si="453"/>
        <v>1Q14</v>
      </c>
      <c r="BC187" s="109" t="str">
        <f t="shared" si="453"/>
        <v>2Q14</v>
      </c>
      <c r="BD187" s="109" t="str">
        <f t="shared" si="453"/>
        <v>3Q14</v>
      </c>
      <c r="BE187" s="109" t="str">
        <f t="shared" si="453"/>
        <v>4Q14</v>
      </c>
      <c r="BF187" s="110">
        <f t="shared" ref="BF187:CG187" si="454">BF$6</f>
        <v>2014</v>
      </c>
      <c r="BG187" s="960" t="str">
        <f t="shared" si="453"/>
        <v>1Q15</v>
      </c>
      <c r="BH187" s="960" t="str">
        <f t="shared" si="453"/>
        <v>2Q15</v>
      </c>
      <c r="BI187" s="960" t="str">
        <f t="shared" si="453"/>
        <v>3Q15</v>
      </c>
      <c r="BJ187" s="960" t="str">
        <f t="shared" si="453"/>
        <v>4Q15</v>
      </c>
      <c r="BK187" s="110">
        <f t="shared" si="454"/>
        <v>2015</v>
      </c>
      <c r="BL187" s="960" t="str">
        <f>BL$6</f>
        <v>1Q16</v>
      </c>
      <c r="BM187" s="960" t="str">
        <f>BM$6</f>
        <v>2Q16</v>
      </c>
      <c r="BN187" s="960" t="str">
        <f>BN$6</f>
        <v>3Q16</v>
      </c>
      <c r="BO187" s="960" t="str">
        <f>BO$6</f>
        <v>4Q16</v>
      </c>
      <c r="BP187" s="110">
        <f t="shared" si="454"/>
        <v>2016</v>
      </c>
      <c r="BQ187" s="960" t="str">
        <f t="shared" si="454"/>
        <v>1Q17</v>
      </c>
      <c r="BR187" s="960" t="str">
        <f t="shared" si="454"/>
        <v>2Q17</v>
      </c>
      <c r="BS187" s="960" t="str">
        <f t="shared" si="454"/>
        <v>3Q17</v>
      </c>
      <c r="BT187" s="960" t="str">
        <f t="shared" si="454"/>
        <v>4Q17A</v>
      </c>
      <c r="BU187" s="3347" t="str">
        <f t="shared" si="454"/>
        <v>2017A</v>
      </c>
      <c r="BV187" s="960" t="str">
        <f t="shared" si="454"/>
        <v>1Q18E</v>
      </c>
      <c r="BW187" s="960" t="str">
        <f t="shared" si="454"/>
        <v>2Q18E</v>
      </c>
      <c r="BX187" s="960" t="str">
        <f t="shared" si="454"/>
        <v>3Q18E</v>
      </c>
      <c r="BY187" s="960" t="str">
        <f t="shared" si="454"/>
        <v>4Q18E</v>
      </c>
      <c r="BZ187" s="110" t="str">
        <f t="shared" si="454"/>
        <v>2018E</v>
      </c>
      <c r="CA187" s="110" t="str">
        <f t="shared" si="454"/>
        <v>2019E</v>
      </c>
      <c r="CB187" s="110" t="str">
        <f t="shared" si="454"/>
        <v>2020E</v>
      </c>
      <c r="CC187" s="110" t="str">
        <f t="shared" si="454"/>
        <v>2021E</v>
      </c>
      <c r="CD187" s="110" t="str">
        <f t="shared" si="454"/>
        <v>2022E</v>
      </c>
      <c r="CE187" s="110" t="str">
        <f t="shared" si="454"/>
        <v>2023E</v>
      </c>
      <c r="CF187" s="110" t="str">
        <f t="shared" si="454"/>
        <v>2024E</v>
      </c>
      <c r="CG187" s="110" t="str">
        <f t="shared" si="454"/>
        <v>2025E</v>
      </c>
      <c r="CH187" s="521"/>
      <c r="CI187" s="521"/>
      <c r="CJ187" s="521"/>
      <c r="CK187" s="521"/>
      <c r="CL187" s="521"/>
      <c r="CM187" s="521"/>
      <c r="CN187" s="521"/>
      <c r="CO187" s="521"/>
      <c r="CP187" s="1300" t="str">
        <f>A187</f>
        <v>Stardust &amp; Echelon Development</v>
      </c>
      <c r="CQ187" s="109">
        <f>H187</f>
        <v>2004</v>
      </c>
      <c r="CR187" s="109">
        <f>M187</f>
        <v>2005</v>
      </c>
      <c r="CS187" s="109">
        <f>R187</f>
        <v>2006</v>
      </c>
      <c r="CT187" s="109">
        <f>W187</f>
        <v>2007</v>
      </c>
      <c r="CU187" s="109">
        <f>AB187</f>
        <v>2008</v>
      </c>
      <c r="CV187" s="109">
        <f>AG187</f>
        <v>2009</v>
      </c>
      <c r="CW187" s="109">
        <f>AL187</f>
        <v>2010</v>
      </c>
      <c r="CX187" s="109">
        <f>AQ187</f>
        <v>2011</v>
      </c>
      <c r="CY187" s="109">
        <f>AV187</f>
        <v>2012</v>
      </c>
      <c r="CZ187" s="109">
        <f>BA187</f>
        <v>2013</v>
      </c>
      <c r="DA187" s="109">
        <f>BF187</f>
        <v>2014</v>
      </c>
      <c r="DB187" s="109">
        <f>BK187</f>
        <v>2015</v>
      </c>
      <c r="DC187" s="109">
        <f>BP187</f>
        <v>2016</v>
      </c>
      <c r="DD187" s="109" t="str">
        <f>BU187</f>
        <v>2017A</v>
      </c>
      <c r="DE187" s="109" t="str">
        <f>BZ187</f>
        <v>2018E</v>
      </c>
      <c r="DF187" s="109" t="str">
        <f>CA187</f>
        <v>2019E</v>
      </c>
      <c r="DG187" s="1772" t="str">
        <f>CB187</f>
        <v>2020E</v>
      </c>
      <c r="DH187" s="522" t="s">
        <v>1323</v>
      </c>
      <c r="DI187" s="514"/>
      <c r="DJ187" s="514"/>
      <c r="DK187" s="514"/>
      <c r="DL187" s="514"/>
      <c r="DM187" s="514"/>
      <c r="DN187" s="514"/>
      <c r="DO187" s="226"/>
      <c r="DY187" s="244"/>
      <c r="DZ187" s="244"/>
    </row>
    <row r="188" spans="1:130" ht="12" hidden="1" customHeight="1" outlineLevel="1">
      <c r="A188" s="217" t="s">
        <v>183</v>
      </c>
      <c r="B188" s="228"/>
      <c r="C188" s="228"/>
      <c r="D188" s="509">
        <v>1237</v>
      </c>
      <c r="E188" s="510">
        <v>1237</v>
      </c>
      <c r="F188" s="510">
        <v>1237</v>
      </c>
      <c r="G188" s="510">
        <v>1237</v>
      </c>
      <c r="H188" s="524">
        <f>G188</f>
        <v>1237</v>
      </c>
      <c r="I188" s="510">
        <v>1237</v>
      </c>
      <c r="J188" s="510">
        <v>1237</v>
      </c>
      <c r="K188" s="510">
        <v>1237</v>
      </c>
      <c r="L188" s="510">
        <v>1299</v>
      </c>
      <c r="M188" s="524">
        <f>L188</f>
        <v>1299</v>
      </c>
      <c r="N188" s="510">
        <v>1299</v>
      </c>
      <c r="O188" s="510">
        <v>1299</v>
      </c>
      <c r="P188" s="510">
        <v>1299</v>
      </c>
      <c r="Q188" s="510">
        <v>1299</v>
      </c>
      <c r="R188" s="524">
        <f>Q188</f>
        <v>1299</v>
      </c>
      <c r="S188" s="510"/>
      <c r="T188" s="510"/>
      <c r="U188" s="510"/>
      <c r="V188" s="510"/>
      <c r="W188" s="425"/>
      <c r="X188" s="510"/>
      <c r="Y188" s="510"/>
      <c r="Z188" s="510"/>
      <c r="AA188" s="510"/>
      <c r="AB188" s="425"/>
      <c r="AC188" s="510"/>
      <c r="AD188" s="231"/>
      <c r="AE188" s="231"/>
      <c r="AF188" s="231"/>
      <c r="AG188" s="425"/>
      <c r="AH188" s="510"/>
      <c r="AI188" s="231"/>
      <c r="AJ188" s="231"/>
      <c r="AK188" s="231"/>
      <c r="AL188" s="525"/>
      <c r="AM188" s="510"/>
      <c r="AN188" s="231"/>
      <c r="AO188" s="231"/>
      <c r="AP188" s="231"/>
      <c r="AQ188" s="525"/>
      <c r="AR188" s="510"/>
      <c r="AS188" s="231"/>
      <c r="AT188" s="231"/>
      <c r="AU188" s="231"/>
      <c r="AV188" s="525"/>
      <c r="AW188" s="510"/>
      <c r="AX188" s="231"/>
      <c r="AY188" s="231"/>
      <c r="AZ188" s="231"/>
      <c r="BA188" s="512"/>
      <c r="BB188" s="510"/>
      <c r="BC188" s="231"/>
      <c r="BD188" s="231"/>
      <c r="BE188" s="231"/>
      <c r="BF188" s="525"/>
      <c r="BG188" s="2946"/>
      <c r="BH188" s="2947"/>
      <c r="BI188" s="2947"/>
      <c r="BJ188" s="2948"/>
      <c r="BK188" s="525"/>
      <c r="BL188" s="2947"/>
      <c r="BM188" s="2947"/>
      <c r="BN188" s="2947"/>
      <c r="BO188" s="2948"/>
      <c r="BP188" s="525"/>
      <c r="BQ188" s="2947"/>
      <c r="BR188" s="2947"/>
      <c r="BS188" s="2947"/>
      <c r="BT188" s="2948"/>
      <c r="BU188" s="3367"/>
      <c r="BV188" s="2947"/>
      <c r="BW188" s="2947"/>
      <c r="BX188" s="2947"/>
      <c r="BY188" s="2948"/>
      <c r="BZ188" s="525"/>
      <c r="CA188" s="525"/>
      <c r="CB188" s="525"/>
      <c r="CC188" s="525"/>
      <c r="CD188" s="525"/>
      <c r="CE188" s="525"/>
      <c r="CF188" s="525"/>
      <c r="CG188" s="525"/>
      <c r="CH188" s="231"/>
      <c r="CI188" s="231"/>
      <c r="CJ188" s="231"/>
      <c r="CK188" s="231"/>
      <c r="CL188" s="231"/>
      <c r="CM188" s="231"/>
      <c r="CN188" s="231"/>
      <c r="CO188" s="231"/>
      <c r="CP188" s="1840" t="str">
        <f t="shared" ref="CP188:CP251" si="455">A188</f>
        <v>Slots</v>
      </c>
      <c r="CQ188" s="231">
        <f t="shared" ref="CQ188:CQ251" si="456">H188</f>
        <v>1237</v>
      </c>
      <c r="CR188" s="231">
        <f t="shared" ref="CR188:CR251" si="457">M188</f>
        <v>1299</v>
      </c>
      <c r="CS188" s="231">
        <f>R188</f>
        <v>1299</v>
      </c>
      <c r="CT188" s="231"/>
      <c r="CU188" s="231"/>
      <c r="CV188" s="231"/>
      <c r="CW188" s="231"/>
      <c r="CX188" s="231"/>
      <c r="CY188" s="231"/>
      <c r="CZ188" s="231"/>
      <c r="DA188" s="231"/>
      <c r="DB188" s="231"/>
      <c r="DC188" s="231"/>
      <c r="DD188" s="231"/>
      <c r="DE188" s="231"/>
      <c r="DF188" s="231"/>
      <c r="DG188" s="1841"/>
      <c r="DH188" s="514"/>
      <c r="DI188" s="514"/>
      <c r="DJ188" s="514"/>
      <c r="DK188" s="514"/>
      <c r="DL188" s="514"/>
      <c r="DM188" s="514"/>
      <c r="DN188" s="514"/>
      <c r="DO188" s="226"/>
      <c r="DY188" s="231"/>
      <c r="DZ188" s="231"/>
    </row>
    <row r="189" spans="1:130" ht="12" hidden="1" customHeight="1" outlineLevel="1">
      <c r="A189" s="217" t="s">
        <v>184</v>
      </c>
      <c r="B189" s="228"/>
      <c r="C189" s="228"/>
      <c r="D189" s="509">
        <v>61</v>
      </c>
      <c r="E189" s="510">
        <v>61</v>
      </c>
      <c r="F189" s="510">
        <v>61</v>
      </c>
      <c r="G189" s="510">
        <v>61</v>
      </c>
      <c r="H189" s="524">
        <f>G189</f>
        <v>61</v>
      </c>
      <c r="I189" s="510">
        <v>61</v>
      </c>
      <c r="J189" s="510">
        <v>61</v>
      </c>
      <c r="K189" s="510">
        <v>61</v>
      </c>
      <c r="L189" s="510">
        <v>57</v>
      </c>
      <c r="M189" s="524">
        <f>L189</f>
        <v>57</v>
      </c>
      <c r="N189" s="510">
        <v>57</v>
      </c>
      <c r="O189" s="510">
        <v>57</v>
      </c>
      <c r="P189" s="510">
        <v>57</v>
      </c>
      <c r="Q189" s="510">
        <v>57</v>
      </c>
      <c r="R189" s="524">
        <f>Q189</f>
        <v>57</v>
      </c>
      <c r="S189" s="510"/>
      <c r="T189" s="231"/>
      <c r="U189" s="231"/>
      <c r="V189" s="231"/>
      <c r="W189" s="425"/>
      <c r="X189" s="231"/>
      <c r="Y189" s="231"/>
      <c r="Z189" s="231"/>
      <c r="AA189" s="231"/>
      <c r="AB189" s="425"/>
      <c r="AC189" s="231"/>
      <c r="AD189" s="231"/>
      <c r="AE189" s="231"/>
      <c r="AF189" s="231"/>
      <c r="AG189" s="425"/>
      <c r="AH189" s="231"/>
      <c r="AI189" s="231"/>
      <c r="AJ189" s="231"/>
      <c r="AK189" s="231"/>
      <c r="AL189" s="525"/>
      <c r="AM189" s="231"/>
      <c r="AN189" s="231"/>
      <c r="AO189" s="231"/>
      <c r="AP189" s="231"/>
      <c r="AQ189" s="525"/>
      <c r="AR189" s="231"/>
      <c r="AS189" s="231"/>
      <c r="AT189" s="231"/>
      <c r="AU189" s="231"/>
      <c r="AV189" s="525"/>
      <c r="AW189" s="231"/>
      <c r="AX189" s="231"/>
      <c r="AY189" s="231"/>
      <c r="AZ189" s="231"/>
      <c r="BA189" s="512"/>
      <c r="BB189" s="231"/>
      <c r="BC189" s="231"/>
      <c r="BD189" s="231"/>
      <c r="BE189" s="231"/>
      <c r="BF189" s="525"/>
      <c r="BG189" s="527"/>
      <c r="BH189" s="231"/>
      <c r="BI189" s="231"/>
      <c r="BJ189" s="1841"/>
      <c r="BK189" s="525"/>
      <c r="BL189" s="231"/>
      <c r="BM189" s="231"/>
      <c r="BN189" s="231"/>
      <c r="BO189" s="1841"/>
      <c r="BP189" s="525"/>
      <c r="BQ189" s="231"/>
      <c r="BR189" s="231"/>
      <c r="BS189" s="231"/>
      <c r="BT189" s="1841"/>
      <c r="BU189" s="3367"/>
      <c r="BV189" s="231"/>
      <c r="BW189" s="231"/>
      <c r="BX189" s="231"/>
      <c r="BY189" s="1841"/>
      <c r="BZ189" s="525"/>
      <c r="CA189" s="525"/>
      <c r="CB189" s="525"/>
      <c r="CC189" s="525"/>
      <c r="CD189" s="525"/>
      <c r="CE189" s="525"/>
      <c r="CF189" s="525"/>
      <c r="CG189" s="525"/>
      <c r="CH189" s="231"/>
      <c r="CI189" s="231"/>
      <c r="CJ189" s="231"/>
      <c r="CK189" s="231"/>
      <c r="CL189" s="231"/>
      <c r="CM189" s="231"/>
      <c r="CN189" s="231"/>
      <c r="CO189" s="231"/>
      <c r="CP189" s="1840" t="str">
        <f t="shared" si="455"/>
        <v>Tables</v>
      </c>
      <c r="CQ189" s="231">
        <f t="shared" si="456"/>
        <v>61</v>
      </c>
      <c r="CR189" s="231">
        <f t="shared" si="457"/>
        <v>57</v>
      </c>
      <c r="CS189" s="231">
        <f>R189</f>
        <v>57</v>
      </c>
      <c r="CT189" s="231"/>
      <c r="CU189" s="231"/>
      <c r="CV189" s="231"/>
      <c r="CW189" s="231"/>
      <c r="CX189" s="231"/>
      <c r="CY189" s="231"/>
      <c r="CZ189" s="231"/>
      <c r="DA189" s="231"/>
      <c r="DB189" s="231"/>
      <c r="DC189" s="231"/>
      <c r="DD189" s="231"/>
      <c r="DE189" s="231"/>
      <c r="DF189" s="231"/>
      <c r="DG189" s="1841"/>
      <c r="DH189" s="514"/>
      <c r="DI189" s="514"/>
      <c r="DJ189" s="514"/>
      <c r="DK189" s="514"/>
      <c r="DL189" s="514"/>
      <c r="DM189" s="514"/>
      <c r="DN189" s="514"/>
      <c r="DO189" s="226"/>
      <c r="DY189" s="231"/>
      <c r="DZ189" s="231"/>
    </row>
    <row r="190" spans="1:130" ht="12" hidden="1" customHeight="1" outlineLevel="1">
      <c r="A190" s="217" t="s">
        <v>182</v>
      </c>
      <c r="B190" s="228"/>
      <c r="C190" s="228"/>
      <c r="D190" s="523">
        <f>(D189*6)+D188</f>
        <v>1603</v>
      </c>
      <c r="E190" s="526">
        <f t="shared" ref="E190:R190" si="458">(E189*6)+E188</f>
        <v>1603</v>
      </c>
      <c r="F190" s="526">
        <f t="shared" si="458"/>
        <v>1603</v>
      </c>
      <c r="G190" s="526">
        <f t="shared" si="458"/>
        <v>1603</v>
      </c>
      <c r="H190" s="524">
        <f t="shared" si="458"/>
        <v>1603</v>
      </c>
      <c r="I190" s="526">
        <f t="shared" si="458"/>
        <v>1603</v>
      </c>
      <c r="J190" s="526">
        <f t="shared" si="458"/>
        <v>1603</v>
      </c>
      <c r="K190" s="526">
        <f t="shared" si="458"/>
        <v>1603</v>
      </c>
      <c r="L190" s="526">
        <f t="shared" si="458"/>
        <v>1641</v>
      </c>
      <c r="M190" s="524">
        <f t="shared" si="458"/>
        <v>1641</v>
      </c>
      <c r="N190" s="526">
        <f t="shared" si="458"/>
        <v>1641</v>
      </c>
      <c r="O190" s="526">
        <f t="shared" si="458"/>
        <v>1641</v>
      </c>
      <c r="P190" s="526">
        <f t="shared" si="458"/>
        <v>1641</v>
      </c>
      <c r="Q190" s="526">
        <f t="shared" si="458"/>
        <v>1641</v>
      </c>
      <c r="R190" s="524">
        <f t="shared" si="458"/>
        <v>1641</v>
      </c>
      <c r="S190" s="526"/>
      <c r="T190" s="526"/>
      <c r="U190" s="526"/>
      <c r="V190" s="526"/>
      <c r="W190" s="425"/>
      <c r="X190" s="526"/>
      <c r="Y190" s="526"/>
      <c r="Z190" s="526"/>
      <c r="AA190" s="526"/>
      <c r="AB190" s="425"/>
      <c r="AC190" s="526"/>
      <c r="AD190" s="526"/>
      <c r="AE190" s="526"/>
      <c r="AF190" s="526"/>
      <c r="AG190" s="425"/>
      <c r="AH190" s="526"/>
      <c r="AI190" s="526"/>
      <c r="AJ190" s="526"/>
      <c r="AK190" s="526"/>
      <c r="AL190" s="524"/>
      <c r="AM190" s="526"/>
      <c r="AN190" s="526"/>
      <c r="AO190" s="526"/>
      <c r="AP190" s="526"/>
      <c r="AQ190" s="524"/>
      <c r="AR190" s="526"/>
      <c r="AS190" s="526"/>
      <c r="AT190" s="526"/>
      <c r="AU190" s="526"/>
      <c r="AV190" s="524"/>
      <c r="AW190" s="526"/>
      <c r="AX190" s="526"/>
      <c r="AY190" s="526"/>
      <c r="AZ190" s="526"/>
      <c r="BA190" s="524"/>
      <c r="BB190" s="526"/>
      <c r="BC190" s="526"/>
      <c r="BD190" s="526"/>
      <c r="BE190" s="526"/>
      <c r="BF190" s="524"/>
      <c r="BG190" s="523"/>
      <c r="BH190" s="526"/>
      <c r="BI190" s="526"/>
      <c r="BJ190" s="1821"/>
      <c r="BK190" s="524"/>
      <c r="BL190" s="526"/>
      <c r="BM190" s="526"/>
      <c r="BN190" s="526"/>
      <c r="BO190" s="1821"/>
      <c r="BP190" s="524"/>
      <c r="BQ190" s="526"/>
      <c r="BR190" s="526"/>
      <c r="BS190" s="526"/>
      <c r="BT190" s="1821"/>
      <c r="BU190" s="3368"/>
      <c r="BV190" s="526"/>
      <c r="BW190" s="526"/>
      <c r="BX190" s="526"/>
      <c r="BY190" s="1821"/>
      <c r="BZ190" s="524"/>
      <c r="CA190" s="524"/>
      <c r="CB190" s="524"/>
      <c r="CC190" s="524"/>
      <c r="CD190" s="524"/>
      <c r="CE190" s="524"/>
      <c r="CF190" s="524"/>
      <c r="CG190" s="524"/>
      <c r="CH190" s="526"/>
      <c r="CI190" s="526"/>
      <c r="CJ190" s="526"/>
      <c r="CK190" s="526"/>
      <c r="CL190" s="526"/>
      <c r="CM190" s="526"/>
      <c r="CN190" s="526"/>
      <c r="CO190" s="526"/>
      <c r="CP190" s="1840" t="str">
        <f t="shared" si="455"/>
        <v>Positions</v>
      </c>
      <c r="CQ190" s="526">
        <f t="shared" si="456"/>
        <v>1603</v>
      </c>
      <c r="CR190" s="526">
        <f t="shared" si="457"/>
        <v>1641</v>
      </c>
      <c r="CS190" s="526">
        <f>R190</f>
        <v>1641</v>
      </c>
      <c r="CT190" s="526"/>
      <c r="CU190" s="526"/>
      <c r="CV190" s="526"/>
      <c r="CW190" s="526"/>
      <c r="CX190" s="526"/>
      <c r="CY190" s="526"/>
      <c r="CZ190" s="526"/>
      <c r="DA190" s="526"/>
      <c r="DB190" s="526"/>
      <c r="DC190" s="526"/>
      <c r="DD190" s="526"/>
      <c r="DE190" s="526"/>
      <c r="DF190" s="526"/>
      <c r="DG190" s="1821"/>
      <c r="DH190" s="526"/>
      <c r="DI190" s="526"/>
      <c r="DJ190" s="526"/>
      <c r="DK190" s="526"/>
      <c r="DL190" s="526"/>
      <c r="DM190" s="526"/>
      <c r="DN190" s="514"/>
      <c r="DO190" s="226"/>
      <c r="DY190" s="526"/>
      <c r="DZ190" s="526"/>
    </row>
    <row r="191" spans="1:130" ht="12" hidden="1" customHeight="1" outlineLevel="1">
      <c r="A191" s="195" t="s">
        <v>1573</v>
      </c>
      <c r="B191" s="228"/>
      <c r="C191" s="228"/>
      <c r="D191" s="527">
        <f>D190</f>
        <v>1603</v>
      </c>
      <c r="E191" s="231">
        <f>AVERAGE(D190:E190)</f>
        <v>1603</v>
      </c>
      <c r="F191" s="231">
        <f>AVERAGE(E190:F190)</f>
        <v>1603</v>
      </c>
      <c r="G191" s="231">
        <f>AVERAGE(F190:G190)</f>
        <v>1603</v>
      </c>
      <c r="H191" s="525">
        <f>AVERAGE(D190:H190)</f>
        <v>1603</v>
      </c>
      <c r="I191" s="231">
        <f>AVERAGE(H190:I190)</f>
        <v>1603</v>
      </c>
      <c r="J191" s="231">
        <f>AVERAGE(I190:J190)</f>
        <v>1603</v>
      </c>
      <c r="K191" s="231">
        <f>AVERAGE(J190:K190)</f>
        <v>1603</v>
      </c>
      <c r="L191" s="231">
        <f>AVERAGE(K190:L190)</f>
        <v>1622</v>
      </c>
      <c r="M191" s="525">
        <f>AVERAGE(H190:M190)</f>
        <v>1615.6666666666667</v>
      </c>
      <c r="N191" s="231">
        <f>AVERAGE(M190:N190)</f>
        <v>1641</v>
      </c>
      <c r="O191" s="231">
        <f>AVERAGE(N190:O190)</f>
        <v>1641</v>
      </c>
      <c r="P191" s="231">
        <f>AVERAGE(O190:P190)</f>
        <v>1641</v>
      </c>
      <c r="Q191" s="231">
        <f>AVERAGE(P190:Q190)</f>
        <v>1641</v>
      </c>
      <c r="R191" s="525">
        <f>AVERAGE(M190:R190)</f>
        <v>1641</v>
      </c>
      <c r="S191" s="510"/>
      <c r="T191" s="231"/>
      <c r="U191" s="231"/>
      <c r="V191" s="231"/>
      <c r="W191" s="512"/>
      <c r="X191" s="510"/>
      <c r="Y191" s="231"/>
      <c r="Z191" s="231"/>
      <c r="AA191" s="231"/>
      <c r="AB191" s="512"/>
      <c r="AC191" s="231"/>
      <c r="AD191" s="231"/>
      <c r="AE191" s="231"/>
      <c r="AF191" s="231"/>
      <c r="AG191" s="512"/>
      <c r="AH191" s="231"/>
      <c r="AI191" s="231"/>
      <c r="AJ191" s="231"/>
      <c r="AK191" s="231"/>
      <c r="AL191" s="525"/>
      <c r="AM191" s="231"/>
      <c r="AN191" s="231"/>
      <c r="AO191" s="231"/>
      <c r="AP191" s="231"/>
      <c r="AQ191" s="525"/>
      <c r="AR191" s="231"/>
      <c r="AS191" s="231"/>
      <c r="AT191" s="231"/>
      <c r="AU191" s="231"/>
      <c r="AV191" s="525"/>
      <c r="AW191" s="231"/>
      <c r="AX191" s="231"/>
      <c r="AY191" s="231"/>
      <c r="AZ191" s="231"/>
      <c r="BA191" s="525"/>
      <c r="BB191" s="231"/>
      <c r="BC191" s="231"/>
      <c r="BD191" s="231"/>
      <c r="BE191" s="231"/>
      <c r="BF191" s="525"/>
      <c r="BG191" s="527"/>
      <c r="BH191" s="231"/>
      <c r="BI191" s="231"/>
      <c r="BJ191" s="1841"/>
      <c r="BK191" s="525"/>
      <c r="BL191" s="231"/>
      <c r="BM191" s="231"/>
      <c r="BN191" s="231"/>
      <c r="BO191" s="1841"/>
      <c r="BP191" s="525"/>
      <c r="BQ191" s="231"/>
      <c r="BR191" s="231"/>
      <c r="BS191" s="231"/>
      <c r="BT191" s="1841"/>
      <c r="BU191" s="3367"/>
      <c r="BV191" s="231"/>
      <c r="BW191" s="231"/>
      <c r="BX191" s="231"/>
      <c r="BY191" s="1841"/>
      <c r="BZ191" s="525"/>
      <c r="CA191" s="525"/>
      <c r="CB191" s="525"/>
      <c r="CC191" s="525"/>
      <c r="CD191" s="525"/>
      <c r="CE191" s="525"/>
      <c r="CF191" s="525"/>
      <c r="CG191" s="525"/>
      <c r="CH191" s="231"/>
      <c r="CI191" s="231"/>
      <c r="CJ191" s="231"/>
      <c r="CK191" s="231"/>
      <c r="CL191" s="231"/>
      <c r="CM191" s="231"/>
      <c r="CN191" s="231"/>
      <c r="CO191" s="231"/>
      <c r="CP191" s="1842" t="str">
        <f t="shared" si="455"/>
        <v>Average Positions</v>
      </c>
      <c r="CQ191" s="231">
        <f t="shared" si="456"/>
        <v>1603</v>
      </c>
      <c r="CR191" s="231">
        <f t="shared" si="457"/>
        <v>1615.6666666666667</v>
      </c>
      <c r="CS191" s="231">
        <f>R191</f>
        <v>1641</v>
      </c>
      <c r="CT191" s="231"/>
      <c r="CU191" s="231"/>
      <c r="CV191" s="231"/>
      <c r="CW191" s="231"/>
      <c r="CX191" s="231"/>
      <c r="CY191" s="231"/>
      <c r="CZ191" s="231"/>
      <c r="DA191" s="231"/>
      <c r="DB191" s="231"/>
      <c r="DC191" s="231"/>
      <c r="DD191" s="231"/>
      <c r="DE191" s="231"/>
      <c r="DF191" s="231"/>
      <c r="DG191" s="1841"/>
      <c r="DH191" s="514"/>
      <c r="DI191" s="514"/>
      <c r="DJ191" s="514"/>
      <c r="DK191" s="514"/>
      <c r="DL191" s="514"/>
      <c r="DM191" s="514"/>
      <c r="DN191" s="514"/>
      <c r="DO191" s="226" t="s">
        <v>1095</v>
      </c>
      <c r="DY191" s="231"/>
      <c r="DZ191" s="231"/>
    </row>
    <row r="192" spans="1:130" ht="5.0999999999999996" hidden="1" customHeight="1" outlineLevel="1">
      <c r="A192" s="217"/>
      <c r="B192" s="228"/>
      <c r="C192" s="228"/>
      <c r="D192" s="509"/>
      <c r="E192" s="510"/>
      <c r="F192" s="510"/>
      <c r="G192" s="510"/>
      <c r="H192" s="512"/>
      <c r="I192" s="510"/>
      <c r="J192" s="510"/>
      <c r="K192" s="510"/>
      <c r="L192" s="510"/>
      <c r="M192" s="512"/>
      <c r="N192" s="510"/>
      <c r="O192" s="510"/>
      <c r="P192" s="510"/>
      <c r="Q192" s="510"/>
      <c r="R192" s="512"/>
      <c r="S192" s="510"/>
      <c r="T192" s="510"/>
      <c r="U192" s="510"/>
      <c r="V192" s="510"/>
      <c r="W192" s="512"/>
      <c r="X192" s="510"/>
      <c r="Y192" s="510"/>
      <c r="Z192" s="510"/>
      <c r="AA192" s="510"/>
      <c r="AB192" s="512"/>
      <c r="AC192" s="510"/>
      <c r="AD192" s="510"/>
      <c r="AE192" s="510"/>
      <c r="AF192" s="510"/>
      <c r="AG192" s="512"/>
      <c r="AH192" s="510"/>
      <c r="AI192" s="510"/>
      <c r="AJ192" s="510"/>
      <c r="AK192" s="510"/>
      <c r="AL192" s="512"/>
      <c r="AM192" s="510"/>
      <c r="AN192" s="510"/>
      <c r="AO192" s="510"/>
      <c r="AP192" s="510"/>
      <c r="AQ192" s="512"/>
      <c r="AR192" s="510"/>
      <c r="AS192" s="510"/>
      <c r="AT192" s="510"/>
      <c r="AU192" s="510"/>
      <c r="AV192" s="512"/>
      <c r="AW192" s="510"/>
      <c r="AX192" s="510"/>
      <c r="AY192" s="510"/>
      <c r="AZ192" s="510"/>
      <c r="BA192" s="512"/>
      <c r="BB192" s="510"/>
      <c r="BC192" s="510"/>
      <c r="BD192" s="510"/>
      <c r="BE192" s="510"/>
      <c r="BF192" s="512"/>
      <c r="BG192" s="509"/>
      <c r="BH192" s="510"/>
      <c r="BI192" s="510"/>
      <c r="BJ192" s="2811"/>
      <c r="BK192" s="512"/>
      <c r="BL192" s="510"/>
      <c r="BM192" s="510"/>
      <c r="BN192" s="510"/>
      <c r="BO192" s="2811"/>
      <c r="BP192" s="512"/>
      <c r="BQ192" s="510"/>
      <c r="BR192" s="510"/>
      <c r="BS192" s="510"/>
      <c r="BT192" s="2811"/>
      <c r="BU192" s="3367"/>
      <c r="BV192" s="510"/>
      <c r="BW192" s="510"/>
      <c r="BX192" s="510"/>
      <c r="BY192" s="2811"/>
      <c r="BZ192" s="512"/>
      <c r="CA192" s="512"/>
      <c r="CB192" s="512"/>
      <c r="CC192" s="512"/>
      <c r="CD192" s="512"/>
      <c r="CE192" s="512"/>
      <c r="CF192" s="512"/>
      <c r="CG192" s="512"/>
      <c r="CH192" s="510"/>
      <c r="CI192" s="510"/>
      <c r="CJ192" s="510"/>
      <c r="CK192" s="510"/>
      <c r="CL192" s="510"/>
      <c r="CM192" s="510"/>
      <c r="CN192" s="510"/>
      <c r="CO192" s="510"/>
      <c r="CP192" s="1840"/>
      <c r="CQ192" s="231"/>
      <c r="CR192" s="231"/>
      <c r="CS192" s="231"/>
      <c r="CT192" s="231"/>
      <c r="CU192" s="231"/>
      <c r="CV192" s="231"/>
      <c r="CW192" s="231"/>
      <c r="CX192" s="231"/>
      <c r="CY192" s="231"/>
      <c r="CZ192" s="231"/>
      <c r="DA192" s="231"/>
      <c r="DB192" s="231"/>
      <c r="DC192" s="231"/>
      <c r="DD192" s="231"/>
      <c r="DE192" s="231"/>
      <c r="DF192" s="231"/>
      <c r="DG192" s="1841"/>
      <c r="DH192" s="514"/>
      <c r="DI192" s="514"/>
      <c r="DJ192" s="514"/>
      <c r="DK192" s="514"/>
      <c r="DL192" s="514"/>
      <c r="DM192" s="514"/>
      <c r="DN192" s="514"/>
      <c r="DO192" s="226"/>
      <c r="DY192" s="510"/>
      <c r="DZ192" s="510"/>
    </row>
    <row r="193" spans="1:130" ht="12" hidden="1" customHeight="1" outlineLevel="1">
      <c r="A193" s="217" t="s">
        <v>639</v>
      </c>
      <c r="B193" s="228"/>
      <c r="C193" s="228"/>
      <c r="D193" s="509">
        <v>1552</v>
      </c>
      <c r="E193" s="510">
        <v>1552</v>
      </c>
      <c r="F193" s="510">
        <v>1552</v>
      </c>
      <c r="G193" s="510">
        <v>1552</v>
      </c>
      <c r="H193" s="525">
        <f>AVERAGE(D193:G193)</f>
        <v>1552</v>
      </c>
      <c r="I193" s="510">
        <v>1552</v>
      </c>
      <c r="J193" s="510">
        <v>1552</v>
      </c>
      <c r="K193" s="510">
        <v>1552</v>
      </c>
      <c r="L193" s="510">
        <v>1552</v>
      </c>
      <c r="M193" s="525">
        <f>H193</f>
        <v>1552</v>
      </c>
      <c r="N193" s="510">
        <v>1552</v>
      </c>
      <c r="O193" s="510">
        <v>1552</v>
      </c>
      <c r="P193" s="510">
        <v>1552</v>
      </c>
      <c r="Q193" s="510">
        <v>1552</v>
      </c>
      <c r="R193" s="525">
        <f>M193</f>
        <v>1552</v>
      </c>
      <c r="S193" s="510"/>
      <c r="T193" s="231"/>
      <c r="U193" s="231"/>
      <c r="V193" s="231"/>
      <c r="W193" s="512"/>
      <c r="X193" s="231"/>
      <c r="Y193" s="231"/>
      <c r="Z193" s="231"/>
      <c r="AA193" s="231"/>
      <c r="AB193" s="512"/>
      <c r="AC193" s="231"/>
      <c r="AD193" s="231"/>
      <c r="AE193" s="231"/>
      <c r="AF193" s="231"/>
      <c r="AG193" s="525"/>
      <c r="AH193" s="231"/>
      <c r="AI193" s="231"/>
      <c r="AJ193" s="231"/>
      <c r="AK193" s="231"/>
      <c r="AL193" s="525"/>
      <c r="AM193" s="231"/>
      <c r="AN193" s="231"/>
      <c r="AO193" s="231"/>
      <c r="AP193" s="231"/>
      <c r="AQ193" s="525"/>
      <c r="AR193" s="231"/>
      <c r="AS193" s="231"/>
      <c r="AT193" s="231"/>
      <c r="AU193" s="231"/>
      <c r="AV193" s="525"/>
      <c r="AW193" s="231"/>
      <c r="AX193" s="231"/>
      <c r="AY193" s="231"/>
      <c r="AZ193" s="231"/>
      <c r="BA193" s="525"/>
      <c r="BB193" s="231"/>
      <c r="BC193" s="231"/>
      <c r="BD193" s="231"/>
      <c r="BE193" s="231"/>
      <c r="BF193" s="525"/>
      <c r="BG193" s="527"/>
      <c r="BH193" s="231"/>
      <c r="BI193" s="231"/>
      <c r="BJ193" s="1841"/>
      <c r="BK193" s="525"/>
      <c r="BL193" s="231"/>
      <c r="BM193" s="231"/>
      <c r="BN193" s="231"/>
      <c r="BO193" s="1841"/>
      <c r="BP193" s="525"/>
      <c r="BQ193" s="231"/>
      <c r="BR193" s="231"/>
      <c r="BS193" s="231"/>
      <c r="BT193" s="1841"/>
      <c r="BU193" s="3367"/>
      <c r="BV193" s="231"/>
      <c r="BW193" s="231"/>
      <c r="BX193" s="231"/>
      <c r="BY193" s="1841"/>
      <c r="BZ193" s="525"/>
      <c r="CA193" s="525"/>
      <c r="CB193" s="525"/>
      <c r="CC193" s="525"/>
      <c r="CD193" s="525"/>
      <c r="CE193" s="525"/>
      <c r="CF193" s="525"/>
      <c r="CG193" s="525"/>
      <c r="CH193" s="231"/>
      <c r="CI193" s="231"/>
      <c r="CJ193" s="231"/>
      <c r="CK193" s="231"/>
      <c r="CL193" s="231"/>
      <c r="CM193" s="231"/>
      <c r="CN193" s="231"/>
      <c r="CO193" s="231"/>
      <c r="CP193" s="1840" t="str">
        <f t="shared" si="455"/>
        <v>Number of Rooms</v>
      </c>
      <c r="CQ193" s="231">
        <f t="shared" si="456"/>
        <v>1552</v>
      </c>
      <c r="CR193" s="231">
        <f t="shared" si="457"/>
        <v>1552</v>
      </c>
      <c r="CS193" s="231">
        <f>R193</f>
        <v>1552</v>
      </c>
      <c r="CT193" s="231"/>
      <c r="CU193" s="231"/>
      <c r="CV193" s="231"/>
      <c r="CW193" s="231"/>
      <c r="CX193" s="231"/>
      <c r="CY193" s="231"/>
      <c r="CZ193" s="231"/>
      <c r="DA193" s="231"/>
      <c r="DB193" s="231"/>
      <c r="DC193" s="231"/>
      <c r="DD193" s="231"/>
      <c r="DE193" s="231"/>
      <c r="DF193" s="231"/>
      <c r="DG193" s="1841"/>
      <c r="DH193" s="514"/>
      <c r="DI193" s="514"/>
      <c r="DJ193" s="514"/>
      <c r="DK193" s="514"/>
      <c r="DL193" s="514"/>
      <c r="DM193" s="514"/>
      <c r="DN193" s="514"/>
      <c r="DO193" s="226"/>
      <c r="DY193" s="231"/>
      <c r="DZ193" s="231"/>
    </row>
    <row r="194" spans="1:130" ht="12" hidden="1" customHeight="1" outlineLevel="1">
      <c r="A194" s="195" t="s">
        <v>431</v>
      </c>
      <c r="B194" s="228"/>
      <c r="C194" s="228"/>
      <c r="D194" s="527">
        <f>D193</f>
        <v>1552</v>
      </c>
      <c r="E194" s="231">
        <f>AVERAGE(D193:E193)</f>
        <v>1552</v>
      </c>
      <c r="F194" s="231">
        <f>AVERAGE(E193:F193)</f>
        <v>1552</v>
      </c>
      <c r="G194" s="231">
        <f>AVERAGE(F193:G193)</f>
        <v>1552</v>
      </c>
      <c r="H194" s="525">
        <f>AVERAGE(D194:G194)</f>
        <v>1552</v>
      </c>
      <c r="I194" s="231">
        <f>AVERAGE(H193:I193)</f>
        <v>1552</v>
      </c>
      <c r="J194" s="231">
        <f>AVERAGE(I193:J193)</f>
        <v>1552</v>
      </c>
      <c r="K194" s="231">
        <f>AVERAGE(J193:K193)</f>
        <v>1552</v>
      </c>
      <c r="L194" s="231">
        <f>AVERAGE(K193:L193)</f>
        <v>1552</v>
      </c>
      <c r="M194" s="525">
        <f>AVERAGE(H193:M193)</f>
        <v>1552</v>
      </c>
      <c r="N194" s="231">
        <f>AVERAGE(M193:N193)</f>
        <v>1552</v>
      </c>
      <c r="O194" s="231">
        <f>AVERAGE(N193:O193)</f>
        <v>1552</v>
      </c>
      <c r="P194" s="231">
        <f>AVERAGE(O193:P193)</f>
        <v>1552</v>
      </c>
      <c r="Q194" s="231">
        <f>AVERAGE(P193:Q193)</f>
        <v>1552</v>
      </c>
      <c r="R194" s="525">
        <f>AVERAGE(M193:R193)</f>
        <v>1552</v>
      </c>
      <c r="S194" s="510"/>
      <c r="T194" s="231"/>
      <c r="U194" s="231"/>
      <c r="V194" s="231"/>
      <c r="W194" s="512"/>
      <c r="X194" s="231"/>
      <c r="Y194" s="231"/>
      <c r="Z194" s="231"/>
      <c r="AA194" s="231"/>
      <c r="AB194" s="512"/>
      <c r="AC194" s="231"/>
      <c r="AD194" s="231"/>
      <c r="AE194" s="231"/>
      <c r="AF194" s="231"/>
      <c r="AG194" s="525"/>
      <c r="AH194" s="231"/>
      <c r="AI194" s="231"/>
      <c r="AJ194" s="231"/>
      <c r="AK194" s="231"/>
      <c r="AL194" s="525"/>
      <c r="AM194" s="231"/>
      <c r="AN194" s="231"/>
      <c r="AO194" s="231"/>
      <c r="AP194" s="231"/>
      <c r="AQ194" s="525"/>
      <c r="AR194" s="231"/>
      <c r="AS194" s="231"/>
      <c r="AT194" s="231"/>
      <c r="AU194" s="231"/>
      <c r="AV194" s="525"/>
      <c r="AW194" s="231"/>
      <c r="AX194" s="231"/>
      <c r="AY194" s="231"/>
      <c r="AZ194" s="231"/>
      <c r="BA194" s="525"/>
      <c r="BB194" s="231"/>
      <c r="BC194" s="231"/>
      <c r="BD194" s="231"/>
      <c r="BE194" s="231"/>
      <c r="BF194" s="525"/>
      <c r="BG194" s="527"/>
      <c r="BH194" s="231"/>
      <c r="BI194" s="231"/>
      <c r="BJ194" s="1841"/>
      <c r="BK194" s="525"/>
      <c r="BL194" s="231"/>
      <c r="BM194" s="231"/>
      <c r="BN194" s="231"/>
      <c r="BO194" s="1841"/>
      <c r="BP194" s="525"/>
      <c r="BQ194" s="231"/>
      <c r="BR194" s="231"/>
      <c r="BS194" s="231"/>
      <c r="BT194" s="1841"/>
      <c r="BU194" s="3367"/>
      <c r="BV194" s="231"/>
      <c r="BW194" s="231"/>
      <c r="BX194" s="231"/>
      <c r="BY194" s="1841"/>
      <c r="BZ194" s="525"/>
      <c r="CA194" s="525"/>
      <c r="CB194" s="525"/>
      <c r="CC194" s="525"/>
      <c r="CD194" s="525"/>
      <c r="CE194" s="525"/>
      <c r="CF194" s="525"/>
      <c r="CG194" s="525"/>
      <c r="CH194" s="231"/>
      <c r="CI194" s="231"/>
      <c r="CJ194" s="231"/>
      <c r="CK194" s="231"/>
      <c r="CL194" s="231"/>
      <c r="CM194" s="231"/>
      <c r="CN194" s="231"/>
      <c r="CO194" s="231"/>
      <c r="CP194" s="1842" t="str">
        <f t="shared" si="455"/>
        <v>Average Rooms</v>
      </c>
      <c r="CQ194" s="231">
        <f t="shared" si="456"/>
        <v>1552</v>
      </c>
      <c r="CR194" s="231">
        <f t="shared" si="457"/>
        <v>1552</v>
      </c>
      <c r="CS194" s="231">
        <f>R194</f>
        <v>1552</v>
      </c>
      <c r="CT194" s="231"/>
      <c r="CU194" s="231"/>
      <c r="CV194" s="231"/>
      <c r="CW194" s="231"/>
      <c r="CX194" s="231"/>
      <c r="CY194" s="231"/>
      <c r="CZ194" s="231"/>
      <c r="DA194" s="231"/>
      <c r="DB194" s="231"/>
      <c r="DC194" s="231"/>
      <c r="DD194" s="231"/>
      <c r="DE194" s="231"/>
      <c r="DF194" s="231"/>
      <c r="DG194" s="1841"/>
      <c r="DH194" s="514"/>
      <c r="DI194" s="514"/>
      <c r="DJ194" s="514"/>
      <c r="DK194" s="514"/>
      <c r="DL194" s="514"/>
      <c r="DM194" s="514"/>
      <c r="DN194" s="514"/>
      <c r="DO194" s="226" t="s">
        <v>1096</v>
      </c>
      <c r="DY194" s="231"/>
      <c r="DZ194" s="231"/>
    </row>
    <row r="195" spans="1:130" ht="5.0999999999999996" hidden="1" customHeight="1" outlineLevel="1">
      <c r="A195" s="217"/>
      <c r="B195" s="228"/>
      <c r="C195" s="228"/>
      <c r="D195" s="509"/>
      <c r="E195" s="510"/>
      <c r="F195" s="510"/>
      <c r="G195" s="510"/>
      <c r="H195" s="512"/>
      <c r="I195" s="510"/>
      <c r="J195" s="510"/>
      <c r="K195" s="510"/>
      <c r="L195" s="510"/>
      <c r="M195" s="512"/>
      <c r="N195" s="510"/>
      <c r="O195" s="510"/>
      <c r="P195" s="510"/>
      <c r="Q195" s="510"/>
      <c r="R195" s="512"/>
      <c r="S195" s="510"/>
      <c r="T195" s="510"/>
      <c r="U195" s="510"/>
      <c r="V195" s="510"/>
      <c r="W195" s="512"/>
      <c r="X195" s="510"/>
      <c r="Y195" s="510"/>
      <c r="Z195" s="510"/>
      <c r="AA195" s="510"/>
      <c r="AB195" s="512"/>
      <c r="AC195" s="510"/>
      <c r="AD195" s="510"/>
      <c r="AE195" s="510"/>
      <c r="AF195" s="510"/>
      <c r="AG195" s="512"/>
      <c r="AH195" s="510"/>
      <c r="AI195" s="510"/>
      <c r="AJ195" s="510"/>
      <c r="AK195" s="510"/>
      <c r="AL195" s="512"/>
      <c r="AM195" s="510"/>
      <c r="AN195" s="510"/>
      <c r="AO195" s="510"/>
      <c r="AP195" s="510"/>
      <c r="AQ195" s="512"/>
      <c r="AR195" s="510"/>
      <c r="AS195" s="510"/>
      <c r="AT195" s="510"/>
      <c r="AU195" s="510"/>
      <c r="AV195" s="512"/>
      <c r="AW195" s="510"/>
      <c r="AX195" s="510"/>
      <c r="AY195" s="510"/>
      <c r="AZ195" s="510"/>
      <c r="BA195" s="512"/>
      <c r="BB195" s="510"/>
      <c r="BC195" s="510"/>
      <c r="BD195" s="510"/>
      <c r="BE195" s="510"/>
      <c r="BF195" s="512"/>
      <c r="BG195" s="509"/>
      <c r="BH195" s="510"/>
      <c r="BI195" s="510"/>
      <c r="BJ195" s="2811"/>
      <c r="BK195" s="512"/>
      <c r="BL195" s="510"/>
      <c r="BM195" s="510"/>
      <c r="BN195" s="510"/>
      <c r="BO195" s="2811"/>
      <c r="BP195" s="512"/>
      <c r="BQ195" s="510"/>
      <c r="BR195" s="510"/>
      <c r="BS195" s="510"/>
      <c r="BT195" s="2811"/>
      <c r="BU195" s="3367"/>
      <c r="BV195" s="510"/>
      <c r="BW195" s="510"/>
      <c r="BX195" s="510"/>
      <c r="BY195" s="2811"/>
      <c r="BZ195" s="512"/>
      <c r="CA195" s="512"/>
      <c r="CB195" s="512"/>
      <c r="CC195" s="512"/>
      <c r="CD195" s="512"/>
      <c r="CE195" s="512"/>
      <c r="CF195" s="512"/>
      <c r="CG195" s="512"/>
      <c r="CH195" s="510"/>
      <c r="CI195" s="510"/>
      <c r="CJ195" s="510"/>
      <c r="CK195" s="510"/>
      <c r="CL195" s="510"/>
      <c r="CM195" s="510"/>
      <c r="CN195" s="510"/>
      <c r="CO195" s="510"/>
      <c r="CP195" s="1840"/>
      <c r="CQ195" s="231"/>
      <c r="CR195" s="231"/>
      <c r="CS195" s="231"/>
      <c r="CT195" s="231"/>
      <c r="CU195" s="231"/>
      <c r="CV195" s="231"/>
      <c r="CW195" s="231"/>
      <c r="CX195" s="231"/>
      <c r="CY195" s="231"/>
      <c r="CZ195" s="231"/>
      <c r="DA195" s="231"/>
      <c r="DB195" s="231"/>
      <c r="DC195" s="231"/>
      <c r="DD195" s="231"/>
      <c r="DE195" s="231"/>
      <c r="DF195" s="231"/>
      <c r="DG195" s="1841"/>
      <c r="DH195" s="514"/>
      <c r="DI195" s="514"/>
      <c r="DJ195" s="514"/>
      <c r="DK195" s="514"/>
      <c r="DL195" s="514"/>
      <c r="DM195" s="514"/>
      <c r="DN195" s="514"/>
      <c r="DO195" s="226"/>
      <c r="DY195" s="510"/>
      <c r="DZ195" s="510"/>
    </row>
    <row r="196" spans="1:130" ht="12" hidden="1" customHeight="1" outlineLevel="1">
      <c r="A196" s="529" t="s">
        <v>1214</v>
      </c>
      <c r="B196" s="530"/>
      <c r="C196" s="530"/>
      <c r="D196" s="531"/>
      <c r="E196" s="532"/>
      <c r="F196" s="532"/>
      <c r="G196" s="532"/>
      <c r="H196" s="507">
        <v>59</v>
      </c>
      <c r="I196" s="532"/>
      <c r="J196" s="532"/>
      <c r="K196" s="532"/>
      <c r="L196" s="532"/>
      <c r="M196" s="507">
        <v>62</v>
      </c>
      <c r="N196" s="532"/>
      <c r="O196" s="532"/>
      <c r="P196" s="532"/>
      <c r="Q196" s="532"/>
      <c r="R196" s="507"/>
      <c r="S196" s="532"/>
      <c r="T196" s="532"/>
      <c r="U196" s="532"/>
      <c r="V196" s="532"/>
      <c r="W196" s="507"/>
      <c r="X196" s="532"/>
      <c r="Y196" s="532"/>
      <c r="Z196" s="532"/>
      <c r="AA196" s="532"/>
      <c r="AB196" s="507"/>
      <c r="AC196" s="532"/>
      <c r="AD196" s="532"/>
      <c r="AE196" s="532"/>
      <c r="AF196" s="532"/>
      <c r="AG196" s="507"/>
      <c r="AH196" s="508"/>
      <c r="AI196" s="508"/>
      <c r="AJ196" s="508"/>
      <c r="AK196" s="508"/>
      <c r="AL196" s="533"/>
      <c r="AM196" s="532"/>
      <c r="AN196" s="532"/>
      <c r="AO196" s="532"/>
      <c r="AP196" s="532"/>
      <c r="AQ196" s="533"/>
      <c r="AR196" s="532"/>
      <c r="AS196" s="532"/>
      <c r="AT196" s="532"/>
      <c r="AU196" s="532"/>
      <c r="AV196" s="533"/>
      <c r="AW196" s="532"/>
      <c r="AX196" s="532"/>
      <c r="AY196" s="532"/>
      <c r="AZ196" s="532"/>
      <c r="BA196" s="534"/>
      <c r="BB196" s="532"/>
      <c r="BC196" s="532"/>
      <c r="BD196" s="532"/>
      <c r="BE196" s="532"/>
      <c r="BF196" s="534"/>
      <c r="BG196" s="544"/>
      <c r="BH196" s="535"/>
      <c r="BI196" s="535"/>
      <c r="BJ196" s="1844"/>
      <c r="BK196" s="534"/>
      <c r="BL196" s="535"/>
      <c r="BM196" s="535"/>
      <c r="BN196" s="535"/>
      <c r="BO196" s="1844"/>
      <c r="BP196" s="534"/>
      <c r="BQ196" s="535"/>
      <c r="BR196" s="535"/>
      <c r="BS196" s="535"/>
      <c r="BT196" s="1844"/>
      <c r="BU196" s="3369"/>
      <c r="BV196" s="535"/>
      <c r="BW196" s="535"/>
      <c r="BX196" s="535"/>
      <c r="BY196" s="1844"/>
      <c r="BZ196" s="534"/>
      <c r="CA196" s="534"/>
      <c r="CB196" s="534"/>
      <c r="CC196" s="534"/>
      <c r="CD196" s="534"/>
      <c r="CE196" s="534"/>
      <c r="CF196" s="534"/>
      <c r="CG196" s="534"/>
      <c r="CH196" s="535"/>
      <c r="CI196" s="535"/>
      <c r="CJ196" s="535"/>
      <c r="CK196" s="535"/>
      <c r="CL196" s="535"/>
      <c r="CM196" s="535"/>
      <c r="CN196" s="535"/>
      <c r="CO196" s="535"/>
      <c r="CP196" s="1843" t="str">
        <f t="shared" si="455"/>
        <v>Average Daily Rate</v>
      </c>
      <c r="CQ196" s="535">
        <f t="shared" si="456"/>
        <v>59</v>
      </c>
      <c r="CR196" s="535">
        <f t="shared" si="457"/>
        <v>62</v>
      </c>
      <c r="CS196" s="535">
        <f>R196</f>
        <v>0</v>
      </c>
      <c r="CT196" s="535"/>
      <c r="CU196" s="535"/>
      <c r="CV196" s="535"/>
      <c r="CW196" s="535"/>
      <c r="CX196" s="535"/>
      <c r="CY196" s="535"/>
      <c r="CZ196" s="535"/>
      <c r="DA196" s="535"/>
      <c r="DB196" s="535"/>
      <c r="DC196" s="535"/>
      <c r="DD196" s="535"/>
      <c r="DE196" s="535"/>
      <c r="DF196" s="535"/>
      <c r="DG196" s="1844"/>
      <c r="DH196" s="532"/>
      <c r="DI196" s="535"/>
      <c r="DJ196" s="535"/>
      <c r="DK196" s="535"/>
      <c r="DL196" s="535"/>
      <c r="DM196" s="535"/>
      <c r="DN196" s="536"/>
      <c r="DO196" s="537" t="s">
        <v>1097</v>
      </c>
      <c r="DY196" s="535"/>
      <c r="DZ196" s="535"/>
    </row>
    <row r="197" spans="1:130" ht="12" hidden="1" customHeight="1" outlineLevel="1">
      <c r="A197" s="217" t="s">
        <v>628</v>
      </c>
      <c r="B197" s="228"/>
      <c r="C197" s="228"/>
      <c r="D197" s="509"/>
      <c r="E197" s="510"/>
      <c r="F197" s="510"/>
      <c r="G197" s="510"/>
      <c r="H197" s="538">
        <v>0.91</v>
      </c>
      <c r="I197" s="510"/>
      <c r="J197" s="510"/>
      <c r="K197" s="510"/>
      <c r="L197" s="510"/>
      <c r="M197" s="538">
        <v>0.93</v>
      </c>
      <c r="N197" s="510"/>
      <c r="O197" s="510"/>
      <c r="P197" s="510"/>
      <c r="Q197" s="510"/>
      <c r="R197" s="512"/>
      <c r="S197" s="539"/>
      <c r="T197" s="510"/>
      <c r="U197" s="510"/>
      <c r="V197" s="510"/>
      <c r="W197" s="512"/>
      <c r="X197" s="510"/>
      <c r="Y197" s="510"/>
      <c r="Z197" s="510"/>
      <c r="AA197" s="510"/>
      <c r="AB197" s="512"/>
      <c r="AC197" s="510"/>
      <c r="AD197" s="510"/>
      <c r="AE197" s="510"/>
      <c r="AF197" s="510"/>
      <c r="AG197" s="512"/>
      <c r="AH197" s="510"/>
      <c r="AI197" s="510"/>
      <c r="AJ197" s="510"/>
      <c r="AK197" s="510"/>
      <c r="AL197" s="540"/>
      <c r="AM197" s="539"/>
      <c r="AN197" s="539"/>
      <c r="AO197" s="539"/>
      <c r="AP197" s="539"/>
      <c r="AQ197" s="540"/>
      <c r="AR197" s="539"/>
      <c r="AS197" s="539"/>
      <c r="AT197" s="539"/>
      <c r="AU197" s="539"/>
      <c r="AV197" s="540"/>
      <c r="AW197" s="539"/>
      <c r="AX197" s="539"/>
      <c r="AY197" s="539"/>
      <c r="AZ197" s="539"/>
      <c r="BA197" s="541"/>
      <c r="BB197" s="539"/>
      <c r="BC197" s="539"/>
      <c r="BD197" s="539"/>
      <c r="BE197" s="539"/>
      <c r="BF197" s="541"/>
      <c r="BG197" s="2949"/>
      <c r="BH197" s="542"/>
      <c r="BI197" s="542"/>
      <c r="BJ197" s="1845"/>
      <c r="BK197" s="541"/>
      <c r="BL197" s="542"/>
      <c r="BM197" s="542"/>
      <c r="BN197" s="542"/>
      <c r="BO197" s="1845"/>
      <c r="BP197" s="541"/>
      <c r="BQ197" s="542"/>
      <c r="BR197" s="542"/>
      <c r="BS197" s="542"/>
      <c r="BT197" s="1845"/>
      <c r="BU197" s="3370"/>
      <c r="BV197" s="542"/>
      <c r="BW197" s="542"/>
      <c r="BX197" s="542"/>
      <c r="BY197" s="1845"/>
      <c r="BZ197" s="541"/>
      <c r="CA197" s="541"/>
      <c r="CB197" s="541"/>
      <c r="CC197" s="541"/>
      <c r="CD197" s="541"/>
      <c r="CE197" s="541"/>
      <c r="CF197" s="541"/>
      <c r="CG197" s="541"/>
      <c r="CH197" s="542"/>
      <c r="CI197" s="542"/>
      <c r="CJ197" s="542"/>
      <c r="CK197" s="542"/>
      <c r="CL197" s="542"/>
      <c r="CM197" s="542"/>
      <c r="CN197" s="542"/>
      <c r="CO197" s="542"/>
      <c r="CP197" s="1840" t="str">
        <f t="shared" si="455"/>
        <v>Occupancy Rate</v>
      </c>
      <c r="CQ197" s="542">
        <f t="shared" si="456"/>
        <v>0.91</v>
      </c>
      <c r="CR197" s="542">
        <f t="shared" si="457"/>
        <v>0.93</v>
      </c>
      <c r="CS197" s="542">
        <f>R197</f>
        <v>0</v>
      </c>
      <c r="CT197" s="542"/>
      <c r="CU197" s="542"/>
      <c r="CV197" s="542"/>
      <c r="CW197" s="542"/>
      <c r="CX197" s="542"/>
      <c r="CY197" s="542"/>
      <c r="CZ197" s="542"/>
      <c r="DA197" s="542"/>
      <c r="DB197" s="542"/>
      <c r="DC197" s="542"/>
      <c r="DD197" s="542"/>
      <c r="DE197" s="542"/>
      <c r="DF197" s="542"/>
      <c r="DG197" s="1845"/>
      <c r="DH197" s="514"/>
      <c r="DI197" s="514"/>
      <c r="DJ197" s="514"/>
      <c r="DK197" s="514"/>
      <c r="DL197" s="514"/>
      <c r="DM197" s="514"/>
      <c r="DN197" s="514"/>
      <c r="DO197" s="226" t="s">
        <v>1098</v>
      </c>
      <c r="DY197" s="542"/>
      <c r="DZ197" s="542"/>
    </row>
    <row r="198" spans="1:130" ht="12" hidden="1" customHeight="1" outlineLevel="1">
      <c r="A198" s="529" t="s">
        <v>1327</v>
      </c>
      <c r="B198" s="530"/>
      <c r="C198" s="530"/>
      <c r="D198" s="531"/>
      <c r="E198" s="532"/>
      <c r="F198" s="532"/>
      <c r="G198" s="532"/>
      <c r="H198" s="543">
        <f>H196*H197</f>
        <v>53.690000000000005</v>
      </c>
      <c r="I198" s="532"/>
      <c r="J198" s="532"/>
      <c r="K198" s="532"/>
      <c r="L198" s="532"/>
      <c r="M198" s="543">
        <f>M196*M197</f>
        <v>57.660000000000004</v>
      </c>
      <c r="N198" s="532"/>
      <c r="O198" s="532"/>
      <c r="P198" s="532"/>
      <c r="Q198" s="532"/>
      <c r="R198" s="507"/>
      <c r="S198" s="532"/>
      <c r="T198" s="532"/>
      <c r="U198" s="532"/>
      <c r="V198" s="532"/>
      <c r="W198" s="507"/>
      <c r="X198" s="532"/>
      <c r="Y198" s="532"/>
      <c r="Z198" s="532"/>
      <c r="AA198" s="532"/>
      <c r="AB198" s="507"/>
      <c r="AC198" s="532"/>
      <c r="AD198" s="532"/>
      <c r="AE198" s="532"/>
      <c r="AF198" s="532"/>
      <c r="AG198" s="507"/>
      <c r="AH198" s="508"/>
      <c r="AI198" s="508"/>
      <c r="AJ198" s="508"/>
      <c r="AK198" s="508"/>
      <c r="AL198" s="533"/>
      <c r="AM198" s="532"/>
      <c r="AN198" s="532"/>
      <c r="AO198" s="532"/>
      <c r="AP198" s="532"/>
      <c r="AQ198" s="533"/>
      <c r="AR198" s="532"/>
      <c r="AS198" s="532"/>
      <c r="AT198" s="532"/>
      <c r="AU198" s="532"/>
      <c r="AV198" s="533"/>
      <c r="AW198" s="532"/>
      <c r="AX198" s="532"/>
      <c r="AY198" s="532"/>
      <c r="AZ198" s="532"/>
      <c r="BA198" s="534"/>
      <c r="BB198" s="532"/>
      <c r="BC198" s="532"/>
      <c r="BD198" s="532"/>
      <c r="BE198" s="532"/>
      <c r="BF198" s="534"/>
      <c r="BG198" s="544"/>
      <c r="BH198" s="535"/>
      <c r="BI198" s="535"/>
      <c r="BJ198" s="1844"/>
      <c r="BK198" s="534"/>
      <c r="BL198" s="535"/>
      <c r="BM198" s="535"/>
      <c r="BN198" s="535"/>
      <c r="BO198" s="1844"/>
      <c r="BP198" s="534"/>
      <c r="BQ198" s="535"/>
      <c r="BR198" s="535"/>
      <c r="BS198" s="535"/>
      <c r="BT198" s="1844"/>
      <c r="BU198" s="3369"/>
      <c r="BV198" s="535"/>
      <c r="BW198" s="535"/>
      <c r="BX198" s="535"/>
      <c r="BY198" s="1844"/>
      <c r="BZ198" s="534"/>
      <c r="CA198" s="534"/>
      <c r="CB198" s="534"/>
      <c r="CC198" s="534"/>
      <c r="CD198" s="534"/>
      <c r="CE198" s="534"/>
      <c r="CF198" s="534"/>
      <c r="CG198" s="534"/>
      <c r="CH198" s="535"/>
      <c r="CI198" s="535"/>
      <c r="CJ198" s="535"/>
      <c r="CK198" s="535"/>
      <c r="CL198" s="535"/>
      <c r="CM198" s="535"/>
      <c r="CN198" s="535"/>
      <c r="CO198" s="535"/>
      <c r="CP198" s="1843" t="str">
        <f t="shared" si="455"/>
        <v>RevPAR</v>
      </c>
      <c r="CQ198" s="535">
        <f t="shared" si="456"/>
        <v>53.690000000000005</v>
      </c>
      <c r="CR198" s="535">
        <f t="shared" si="457"/>
        <v>57.660000000000004</v>
      </c>
      <c r="CS198" s="535">
        <f>R198</f>
        <v>0</v>
      </c>
      <c r="CT198" s="535"/>
      <c r="CU198" s="535"/>
      <c r="CV198" s="535"/>
      <c r="CW198" s="535"/>
      <c r="CX198" s="535"/>
      <c r="CY198" s="535"/>
      <c r="CZ198" s="535"/>
      <c r="DA198" s="535"/>
      <c r="DB198" s="535"/>
      <c r="DC198" s="535"/>
      <c r="DD198" s="535"/>
      <c r="DE198" s="535"/>
      <c r="DF198" s="535"/>
      <c r="DG198" s="1844"/>
      <c r="DH198" s="532"/>
      <c r="DI198" s="535"/>
      <c r="DJ198" s="535"/>
      <c r="DK198" s="535"/>
      <c r="DL198" s="535"/>
      <c r="DM198" s="535"/>
      <c r="DN198" s="536"/>
      <c r="DO198" s="537"/>
      <c r="DY198" s="535"/>
      <c r="DZ198" s="535"/>
    </row>
    <row r="199" spans="1:130" ht="5.0999999999999996" hidden="1" customHeight="1" outlineLevel="1">
      <c r="A199" s="529"/>
      <c r="B199" s="530"/>
      <c r="C199" s="530"/>
      <c r="D199" s="531"/>
      <c r="E199" s="532"/>
      <c r="F199" s="532"/>
      <c r="G199" s="532"/>
      <c r="H199" s="543"/>
      <c r="I199" s="532"/>
      <c r="J199" s="532"/>
      <c r="K199" s="532"/>
      <c r="L199" s="532"/>
      <c r="M199" s="543"/>
      <c r="N199" s="532"/>
      <c r="O199" s="532"/>
      <c r="P199" s="532"/>
      <c r="Q199" s="532"/>
      <c r="R199" s="507"/>
      <c r="S199" s="532"/>
      <c r="T199" s="532"/>
      <c r="U199" s="532"/>
      <c r="V199" s="532"/>
      <c r="W199" s="507"/>
      <c r="X199" s="532"/>
      <c r="Y199" s="532"/>
      <c r="Z199" s="532"/>
      <c r="AA199" s="532"/>
      <c r="AB199" s="507"/>
      <c r="AC199" s="532"/>
      <c r="AD199" s="532"/>
      <c r="AE199" s="532"/>
      <c r="AF199" s="532"/>
      <c r="AG199" s="507"/>
      <c r="AH199" s="508"/>
      <c r="AI199" s="508"/>
      <c r="AJ199" s="508"/>
      <c r="AK199" s="508"/>
      <c r="AL199" s="533"/>
      <c r="AM199" s="532"/>
      <c r="AN199" s="532"/>
      <c r="AO199" s="532"/>
      <c r="AP199" s="532"/>
      <c r="AQ199" s="533"/>
      <c r="AR199" s="532"/>
      <c r="AS199" s="532"/>
      <c r="AT199" s="532"/>
      <c r="AU199" s="532"/>
      <c r="AV199" s="533"/>
      <c r="AW199" s="532"/>
      <c r="AX199" s="532"/>
      <c r="AY199" s="532"/>
      <c r="AZ199" s="532"/>
      <c r="BA199" s="534"/>
      <c r="BB199" s="532"/>
      <c r="BC199" s="532"/>
      <c r="BD199" s="532"/>
      <c r="BE199" s="532"/>
      <c r="BF199" s="534"/>
      <c r="BG199" s="544"/>
      <c r="BH199" s="535"/>
      <c r="BI199" s="535"/>
      <c r="BJ199" s="1844"/>
      <c r="BK199" s="534"/>
      <c r="BL199" s="535"/>
      <c r="BM199" s="535"/>
      <c r="BN199" s="535"/>
      <c r="BO199" s="1844"/>
      <c r="BP199" s="534"/>
      <c r="BQ199" s="535"/>
      <c r="BR199" s="535"/>
      <c r="BS199" s="535"/>
      <c r="BT199" s="1844"/>
      <c r="BU199" s="3369"/>
      <c r="BV199" s="535"/>
      <c r="BW199" s="535"/>
      <c r="BX199" s="535"/>
      <c r="BY199" s="1844"/>
      <c r="BZ199" s="534"/>
      <c r="CA199" s="534"/>
      <c r="CB199" s="534"/>
      <c r="CC199" s="534"/>
      <c r="CD199" s="534"/>
      <c r="CE199" s="534"/>
      <c r="CF199" s="534"/>
      <c r="CG199" s="534"/>
      <c r="CH199" s="535"/>
      <c r="CI199" s="535"/>
      <c r="CJ199" s="535"/>
      <c r="CK199" s="535"/>
      <c r="CL199" s="535"/>
      <c r="CM199" s="535"/>
      <c r="CN199" s="535"/>
      <c r="CO199" s="535"/>
      <c r="CP199" s="1843"/>
      <c r="CQ199" s="535"/>
      <c r="CR199" s="535"/>
      <c r="CS199" s="535"/>
      <c r="CT199" s="535"/>
      <c r="CU199" s="535"/>
      <c r="CV199" s="535"/>
      <c r="CW199" s="535"/>
      <c r="CX199" s="535"/>
      <c r="CY199" s="535"/>
      <c r="CZ199" s="535"/>
      <c r="DA199" s="535"/>
      <c r="DB199" s="535"/>
      <c r="DC199" s="535"/>
      <c r="DD199" s="535"/>
      <c r="DE199" s="535"/>
      <c r="DF199" s="535"/>
      <c r="DG199" s="1844"/>
      <c r="DH199" s="532"/>
      <c r="DI199" s="535"/>
      <c r="DJ199" s="535"/>
      <c r="DK199" s="535"/>
      <c r="DL199" s="535"/>
      <c r="DM199" s="535"/>
      <c r="DN199" s="536"/>
      <c r="DO199" s="537"/>
      <c r="DY199" s="535"/>
      <c r="DZ199" s="535"/>
    </row>
    <row r="200" spans="1:130" ht="12" hidden="1" customHeight="1" outlineLevel="1">
      <c r="A200" s="529" t="s">
        <v>1102</v>
      </c>
      <c r="B200" s="530"/>
      <c r="C200" s="530"/>
      <c r="D200" s="544">
        <f t="shared" ref="D200:R200" si="459">(D203)/D191/D$5*1000000</f>
        <v>265.66945219471734</v>
      </c>
      <c r="E200" s="535">
        <f t="shared" si="459"/>
        <v>261.69339082626669</v>
      </c>
      <c r="F200" s="535">
        <f t="shared" si="459"/>
        <v>242.96834739211803</v>
      </c>
      <c r="G200" s="535">
        <f t="shared" si="459"/>
        <v>263.04619056660067</v>
      </c>
      <c r="H200" s="534">
        <f t="shared" si="459"/>
        <v>258.31518089374777</v>
      </c>
      <c r="I200" s="535">
        <f t="shared" si="459"/>
        <v>282.33173910029802</v>
      </c>
      <c r="J200" s="535">
        <f t="shared" si="459"/>
        <v>263.93506680468624</v>
      </c>
      <c r="K200" s="535">
        <f t="shared" si="459"/>
        <v>260.59833464428112</v>
      </c>
      <c r="L200" s="535">
        <f t="shared" si="459"/>
        <v>274.13820833109952</v>
      </c>
      <c r="M200" s="534">
        <f t="shared" si="459"/>
        <v>268.89616794458374</v>
      </c>
      <c r="N200" s="535">
        <f t="shared" si="459"/>
        <v>263.68068251066421</v>
      </c>
      <c r="O200" s="535">
        <f t="shared" si="459"/>
        <v>237.34522637630499</v>
      </c>
      <c r="P200" s="535">
        <f t="shared" si="459"/>
        <v>211.66838884031475</v>
      </c>
      <c r="Q200" s="535">
        <f t="shared" si="459"/>
        <v>74.291921680841483</v>
      </c>
      <c r="R200" s="534">
        <f t="shared" si="459"/>
        <v>196.26856327164356</v>
      </c>
      <c r="S200" s="535"/>
      <c r="T200" s="535"/>
      <c r="U200" s="535"/>
      <c r="V200" s="535"/>
      <c r="W200" s="534"/>
      <c r="X200" s="535"/>
      <c r="Y200" s="535"/>
      <c r="Z200" s="535"/>
      <c r="AA200" s="535"/>
      <c r="AB200" s="534"/>
      <c r="AC200" s="535"/>
      <c r="AD200" s="535"/>
      <c r="AE200" s="535"/>
      <c r="AF200" s="535"/>
      <c r="AG200" s="534"/>
      <c r="AH200" s="535"/>
      <c r="AI200" s="535"/>
      <c r="AJ200" s="535"/>
      <c r="AK200" s="535"/>
      <c r="AL200" s="534"/>
      <c r="AM200" s="535"/>
      <c r="AN200" s="535"/>
      <c r="AO200" s="535"/>
      <c r="AP200" s="535"/>
      <c r="AQ200" s="534"/>
      <c r="AR200" s="535"/>
      <c r="AS200" s="535"/>
      <c r="AT200" s="535"/>
      <c r="AU200" s="535"/>
      <c r="AV200" s="534"/>
      <c r="AW200" s="535"/>
      <c r="AX200" s="535"/>
      <c r="AY200" s="535"/>
      <c r="AZ200" s="535"/>
      <c r="BA200" s="534"/>
      <c r="BB200" s="535"/>
      <c r="BC200" s="535"/>
      <c r="BD200" s="535"/>
      <c r="BE200" s="535"/>
      <c r="BF200" s="534"/>
      <c r="BG200" s="544"/>
      <c r="BH200" s="535"/>
      <c r="BI200" s="535"/>
      <c r="BJ200" s="1844"/>
      <c r="BK200" s="534"/>
      <c r="BL200" s="535"/>
      <c r="BM200" s="535"/>
      <c r="BN200" s="535"/>
      <c r="BO200" s="1844"/>
      <c r="BP200" s="534"/>
      <c r="BQ200" s="535"/>
      <c r="BR200" s="535"/>
      <c r="BS200" s="535"/>
      <c r="BT200" s="1844"/>
      <c r="BU200" s="3369"/>
      <c r="BV200" s="535"/>
      <c r="BW200" s="535"/>
      <c r="BX200" s="535"/>
      <c r="BY200" s="1844"/>
      <c r="BZ200" s="534"/>
      <c r="CA200" s="534"/>
      <c r="CB200" s="534"/>
      <c r="CC200" s="534"/>
      <c r="CD200" s="534"/>
      <c r="CE200" s="534"/>
      <c r="CF200" s="534"/>
      <c r="CG200" s="534"/>
      <c r="CH200" s="535"/>
      <c r="CI200" s="535"/>
      <c r="CJ200" s="535"/>
      <c r="CK200" s="535"/>
      <c r="CL200" s="535"/>
      <c r="CM200" s="535"/>
      <c r="CN200" s="535"/>
      <c r="CO200" s="535"/>
      <c r="CP200" s="1843" t="str">
        <f t="shared" si="455"/>
        <v>Net Revenues/Day/Position</v>
      </c>
      <c r="CQ200" s="535">
        <f t="shared" si="456"/>
        <v>258.31518089374777</v>
      </c>
      <c r="CR200" s="535">
        <f t="shared" si="457"/>
        <v>268.89616794458374</v>
      </c>
      <c r="CS200" s="535">
        <f>R200</f>
        <v>196.26856327164356</v>
      </c>
      <c r="CT200" s="535"/>
      <c r="CU200" s="535"/>
      <c r="CV200" s="535"/>
      <c r="CW200" s="535"/>
      <c r="CX200" s="535"/>
      <c r="CY200" s="535"/>
      <c r="CZ200" s="535"/>
      <c r="DA200" s="535"/>
      <c r="DB200" s="535"/>
      <c r="DC200" s="535"/>
      <c r="DD200" s="535"/>
      <c r="DE200" s="535"/>
      <c r="DF200" s="535"/>
      <c r="DG200" s="1844"/>
      <c r="DH200" s="532"/>
      <c r="DI200" s="535"/>
      <c r="DJ200" s="535"/>
      <c r="DK200" s="535"/>
      <c r="DL200" s="535"/>
      <c r="DM200" s="535"/>
      <c r="DN200" s="536"/>
      <c r="DO200" s="537"/>
      <c r="DY200" s="535"/>
      <c r="DZ200" s="535"/>
    </row>
    <row r="201" spans="1:130" ht="12" hidden="1" customHeight="1" outlineLevel="1">
      <c r="A201" s="257" t="s">
        <v>1249</v>
      </c>
      <c r="B201" s="545"/>
      <c r="C201" s="545"/>
      <c r="D201" s="399"/>
      <c r="E201" s="343"/>
      <c r="F201" s="343"/>
      <c r="G201" s="343"/>
      <c r="H201" s="344"/>
      <c r="I201" s="343">
        <f t="shared" ref="I201:R201" si="460">I200/D200-1</f>
        <v>6.2718113685755528E-2</v>
      </c>
      <c r="J201" s="343">
        <f t="shared" si="460"/>
        <v>8.5660397128934918E-3</v>
      </c>
      <c r="K201" s="343">
        <f t="shared" si="460"/>
        <v>7.2560839473096772E-2</v>
      </c>
      <c r="L201" s="343">
        <f t="shared" si="460"/>
        <v>4.2167566618648511E-2</v>
      </c>
      <c r="M201" s="344">
        <f t="shared" si="460"/>
        <v>4.0961537816812443E-2</v>
      </c>
      <c r="N201" s="343">
        <f t="shared" si="460"/>
        <v>-6.6060785971385427E-2</v>
      </c>
      <c r="O201" s="343">
        <f t="shared" si="460"/>
        <v>-0.10074387140098329</v>
      </c>
      <c r="P201" s="343">
        <f t="shared" si="460"/>
        <v>-0.187760009559371</v>
      </c>
      <c r="Q201" s="343">
        <f t="shared" si="460"/>
        <v>-0.72899829566583818</v>
      </c>
      <c r="R201" s="344">
        <f t="shared" si="460"/>
        <v>-0.27009535029114973</v>
      </c>
      <c r="S201" s="548"/>
      <c r="T201" s="548"/>
      <c r="U201" s="548"/>
      <c r="V201" s="548"/>
      <c r="W201" s="549"/>
      <c r="X201" s="548"/>
      <c r="Y201" s="548"/>
      <c r="Z201" s="548"/>
      <c r="AA201" s="548"/>
      <c r="AB201" s="549"/>
      <c r="AC201" s="548"/>
      <c r="AD201" s="548"/>
      <c r="AE201" s="548"/>
      <c r="AF201" s="548"/>
      <c r="AG201" s="549"/>
      <c r="AH201" s="548"/>
      <c r="AI201" s="548"/>
      <c r="AJ201" s="548"/>
      <c r="AK201" s="548"/>
      <c r="AL201" s="549"/>
      <c r="AM201" s="548"/>
      <c r="AN201" s="548"/>
      <c r="AO201" s="548"/>
      <c r="AP201" s="548"/>
      <c r="AQ201" s="549"/>
      <c r="AR201" s="548"/>
      <c r="AS201" s="548"/>
      <c r="AT201" s="548"/>
      <c r="AU201" s="548"/>
      <c r="AV201" s="550"/>
      <c r="AW201" s="548"/>
      <c r="AX201" s="548"/>
      <c r="AY201" s="548"/>
      <c r="AZ201" s="548"/>
      <c r="BA201" s="550"/>
      <c r="BB201" s="548"/>
      <c r="BC201" s="548"/>
      <c r="BD201" s="548"/>
      <c r="BE201" s="548"/>
      <c r="BF201" s="550"/>
      <c r="BG201" s="607"/>
      <c r="BH201" s="548"/>
      <c r="BI201" s="548"/>
      <c r="BJ201" s="2812"/>
      <c r="BK201" s="550"/>
      <c r="BL201" s="548"/>
      <c r="BM201" s="548"/>
      <c r="BN201" s="548"/>
      <c r="BO201" s="2812"/>
      <c r="BP201" s="550"/>
      <c r="BQ201" s="548"/>
      <c r="BR201" s="548"/>
      <c r="BS201" s="548"/>
      <c r="BT201" s="2812"/>
      <c r="BU201" s="3371"/>
      <c r="BV201" s="548"/>
      <c r="BW201" s="548"/>
      <c r="BX201" s="548"/>
      <c r="BY201" s="2812"/>
      <c r="BZ201" s="550"/>
      <c r="CA201" s="550"/>
      <c r="CB201" s="550"/>
      <c r="CC201" s="550"/>
      <c r="CD201" s="550"/>
      <c r="CE201" s="550"/>
      <c r="CF201" s="550"/>
      <c r="CG201" s="550"/>
      <c r="CH201" s="548"/>
      <c r="CI201" s="548"/>
      <c r="CJ201" s="548"/>
      <c r="CK201" s="548"/>
      <c r="CL201" s="548"/>
      <c r="CM201" s="548"/>
      <c r="CN201" s="548"/>
      <c r="CO201" s="548"/>
      <c r="CP201" s="396" t="str">
        <f t="shared" si="455"/>
        <v>% Growth (y-o-y)</v>
      </c>
      <c r="CQ201" s="561"/>
      <c r="CR201" s="561">
        <f t="shared" si="457"/>
        <v>4.0961537816812443E-2</v>
      </c>
      <c r="CS201" s="561">
        <f>R201</f>
        <v>-0.27009535029114973</v>
      </c>
      <c r="CT201" s="561"/>
      <c r="CU201" s="561"/>
      <c r="CV201" s="561"/>
      <c r="CW201" s="561"/>
      <c r="CX201" s="561"/>
      <c r="CY201" s="561"/>
      <c r="CZ201" s="561"/>
      <c r="DA201" s="561"/>
      <c r="DB201" s="561"/>
      <c r="DC201" s="561"/>
      <c r="DD201" s="561"/>
      <c r="DE201" s="561"/>
      <c r="DF201" s="561"/>
      <c r="DG201" s="1846"/>
      <c r="DH201" s="548"/>
      <c r="DI201" s="551"/>
      <c r="DJ201" s="551"/>
      <c r="DK201" s="551"/>
      <c r="DL201" s="551"/>
      <c r="DM201" s="551"/>
      <c r="DN201" s="551"/>
      <c r="DO201" s="266"/>
      <c r="DY201" s="548"/>
      <c r="DZ201" s="548"/>
    </row>
    <row r="202" spans="1:130" ht="5.0999999999999996" hidden="1" customHeight="1" outlineLevel="1">
      <c r="A202" s="552"/>
      <c r="B202" s="228"/>
      <c r="C202" s="228"/>
      <c r="D202" s="509"/>
      <c r="E202" s="510"/>
      <c r="F202" s="510"/>
      <c r="G202" s="510"/>
      <c r="H202" s="512"/>
      <c r="I202" s="510"/>
      <c r="J202" s="510"/>
      <c r="K202" s="510"/>
      <c r="L202" s="510"/>
      <c r="M202" s="512"/>
      <c r="N202" s="510"/>
      <c r="O202" s="510"/>
      <c r="P202" s="510"/>
      <c r="Q202" s="510"/>
      <c r="R202" s="512"/>
      <c r="S202" s="510"/>
      <c r="T202" s="510"/>
      <c r="U202" s="510"/>
      <c r="V202" s="510"/>
      <c r="W202" s="512"/>
      <c r="X202" s="510"/>
      <c r="Y202" s="510"/>
      <c r="Z202" s="510"/>
      <c r="AA202" s="510"/>
      <c r="AB202" s="512"/>
      <c r="AC202" s="510"/>
      <c r="AD202" s="510"/>
      <c r="AE202" s="510"/>
      <c r="AF202" s="510"/>
      <c r="AG202" s="512"/>
      <c r="AH202" s="510"/>
      <c r="AI202" s="510"/>
      <c r="AJ202" s="510"/>
      <c r="AK202" s="510"/>
      <c r="AL202" s="512"/>
      <c r="AM202" s="510"/>
      <c r="AN202" s="510"/>
      <c r="AO202" s="510"/>
      <c r="AP202" s="510"/>
      <c r="AQ202" s="512"/>
      <c r="AR202" s="510"/>
      <c r="AS202" s="510"/>
      <c r="AT202" s="510"/>
      <c r="AU202" s="510"/>
      <c r="AV202" s="512"/>
      <c r="AW202" s="510"/>
      <c r="AX202" s="510"/>
      <c r="AY202" s="510"/>
      <c r="AZ202" s="510"/>
      <c r="BA202" s="512"/>
      <c r="BB202" s="510"/>
      <c r="BC202" s="510"/>
      <c r="BD202" s="510"/>
      <c r="BE202" s="510"/>
      <c r="BF202" s="512"/>
      <c r="BG202" s="509"/>
      <c r="BH202" s="510"/>
      <c r="BI202" s="510"/>
      <c r="BJ202" s="2811"/>
      <c r="BK202" s="512"/>
      <c r="BL202" s="510"/>
      <c r="BM202" s="510"/>
      <c r="BN202" s="510"/>
      <c r="BO202" s="2811"/>
      <c r="BP202" s="512"/>
      <c r="BQ202" s="510"/>
      <c r="BR202" s="510"/>
      <c r="BS202" s="510"/>
      <c r="BT202" s="2811"/>
      <c r="BU202" s="3367"/>
      <c r="BV202" s="510"/>
      <c r="BW202" s="510"/>
      <c r="BX202" s="510"/>
      <c r="BY202" s="2811"/>
      <c r="BZ202" s="512"/>
      <c r="CA202" s="512"/>
      <c r="CB202" s="512"/>
      <c r="CC202" s="512"/>
      <c r="CD202" s="512"/>
      <c r="CE202" s="512"/>
      <c r="CF202" s="512"/>
      <c r="CG202" s="512"/>
      <c r="CH202" s="510"/>
      <c r="CI202" s="510"/>
      <c r="CJ202" s="510"/>
      <c r="CK202" s="510"/>
      <c r="CL202" s="510"/>
      <c r="CM202" s="510"/>
      <c r="CN202" s="510"/>
      <c r="CO202" s="510"/>
      <c r="CP202" s="994"/>
      <c r="CQ202" s="231"/>
      <c r="CR202" s="231"/>
      <c r="CS202" s="231"/>
      <c r="CT202" s="231"/>
      <c r="CU202" s="231"/>
      <c r="CV202" s="231"/>
      <c r="CW202" s="231"/>
      <c r="CX202" s="231"/>
      <c r="CY202" s="231"/>
      <c r="CZ202" s="231"/>
      <c r="DA202" s="231"/>
      <c r="DB202" s="231"/>
      <c r="DC202" s="231"/>
      <c r="DD202" s="231"/>
      <c r="DE202" s="231"/>
      <c r="DF202" s="231"/>
      <c r="DG202" s="1841"/>
      <c r="DH202" s="514"/>
      <c r="DI202" s="514"/>
      <c r="DJ202" s="514"/>
      <c r="DK202" s="514"/>
      <c r="DL202" s="514"/>
      <c r="DM202" s="514"/>
      <c r="DN202" s="514"/>
      <c r="DO202" s="226"/>
      <c r="DY202" s="510"/>
      <c r="DZ202" s="510"/>
    </row>
    <row r="203" spans="1:130" ht="12" hidden="1" customHeight="1" outlineLevel="1">
      <c r="A203" s="228" t="s">
        <v>504</v>
      </c>
      <c r="B203" s="228"/>
      <c r="C203" s="228"/>
      <c r="D203" s="553">
        <v>38.753999999999998</v>
      </c>
      <c r="E203" s="554">
        <v>38.173999999999999</v>
      </c>
      <c r="F203" s="554">
        <v>35.832000000000001</v>
      </c>
      <c r="G203" s="555">
        <v>38.792999999999999</v>
      </c>
      <c r="H203" s="556">
        <f>SUM(D203:G203)</f>
        <v>151.553</v>
      </c>
      <c r="I203" s="555">
        <v>40.731999999999999</v>
      </c>
      <c r="J203" s="555">
        <v>38.500999999999998</v>
      </c>
      <c r="K203" s="555">
        <v>38.432000000000002</v>
      </c>
      <c r="L203" s="555">
        <v>40.908000000000001</v>
      </c>
      <c r="M203" s="556">
        <f>SUM(I203:L203)</f>
        <v>158.57300000000001</v>
      </c>
      <c r="N203" s="555">
        <v>38.942999999999998</v>
      </c>
      <c r="O203" s="555">
        <v>35.442999999999998</v>
      </c>
      <c r="P203" s="555">
        <v>31.956</v>
      </c>
      <c r="Q203" s="555">
        <v>11.215999999999999</v>
      </c>
      <c r="R203" s="556">
        <f>SUM(N203:Q203)</f>
        <v>117.55799999999999</v>
      </c>
      <c r="S203" s="557"/>
      <c r="T203" s="557"/>
      <c r="U203" s="557"/>
      <c r="V203" s="557"/>
      <c r="W203" s="556"/>
      <c r="X203" s="557"/>
      <c r="Y203" s="557"/>
      <c r="Z203" s="557"/>
      <c r="AA203" s="557"/>
      <c r="AB203" s="556"/>
      <c r="AC203" s="557"/>
      <c r="AD203" s="557"/>
      <c r="AE203" s="557"/>
      <c r="AF203" s="557"/>
      <c r="AG203" s="556"/>
      <c r="AH203" s="557"/>
      <c r="AI203" s="557"/>
      <c r="AJ203" s="557"/>
      <c r="AK203" s="557"/>
      <c r="AL203" s="556"/>
      <c r="AM203" s="557"/>
      <c r="AN203" s="557"/>
      <c r="AO203" s="557"/>
      <c r="AP203" s="557"/>
      <c r="AQ203" s="556"/>
      <c r="AR203" s="557"/>
      <c r="AS203" s="557"/>
      <c r="AT203" s="557"/>
      <c r="AU203" s="557"/>
      <c r="AV203" s="556"/>
      <c r="AW203" s="557"/>
      <c r="AX203" s="557"/>
      <c r="AY203" s="557"/>
      <c r="AZ203" s="557"/>
      <c r="BA203" s="556"/>
      <c r="BB203" s="557"/>
      <c r="BC203" s="557"/>
      <c r="BD203" s="557"/>
      <c r="BE203" s="557"/>
      <c r="BF203" s="556"/>
      <c r="BG203" s="661"/>
      <c r="BH203" s="557"/>
      <c r="BI203" s="557"/>
      <c r="BJ203" s="1848"/>
      <c r="BK203" s="556"/>
      <c r="BL203" s="557"/>
      <c r="BM203" s="557"/>
      <c r="BN203" s="557"/>
      <c r="BO203" s="1848"/>
      <c r="BP203" s="556"/>
      <c r="BQ203" s="557"/>
      <c r="BR203" s="557"/>
      <c r="BS203" s="557"/>
      <c r="BT203" s="1848"/>
      <c r="BU203" s="3372"/>
      <c r="BV203" s="557"/>
      <c r="BW203" s="557"/>
      <c r="BX203" s="557"/>
      <c r="BY203" s="1848"/>
      <c r="BZ203" s="556"/>
      <c r="CA203" s="556"/>
      <c r="CB203" s="556"/>
      <c r="CC203" s="556"/>
      <c r="CD203" s="556"/>
      <c r="CE203" s="556"/>
      <c r="CF203" s="556"/>
      <c r="CG203" s="556"/>
      <c r="CH203" s="557"/>
      <c r="CI203" s="557"/>
      <c r="CJ203" s="557"/>
      <c r="CK203" s="557"/>
      <c r="CL203" s="557"/>
      <c r="CM203" s="557"/>
      <c r="CN203" s="557"/>
      <c r="CO203" s="557"/>
      <c r="CP203" s="1847" t="str">
        <f t="shared" si="455"/>
        <v>Net Revenues</v>
      </c>
      <c r="CQ203" s="557">
        <f t="shared" si="456"/>
        <v>151.553</v>
      </c>
      <c r="CR203" s="557">
        <f t="shared" si="457"/>
        <v>158.57300000000001</v>
      </c>
      <c r="CS203" s="557">
        <f>R203</f>
        <v>117.55799999999999</v>
      </c>
      <c r="CT203" s="557"/>
      <c r="CU203" s="557"/>
      <c r="CV203" s="557"/>
      <c r="CW203" s="557"/>
      <c r="CX203" s="557"/>
      <c r="CY203" s="557"/>
      <c r="CZ203" s="557"/>
      <c r="DA203" s="557"/>
      <c r="DB203" s="557"/>
      <c r="DC203" s="557"/>
      <c r="DD203" s="557"/>
      <c r="DE203" s="557"/>
      <c r="DF203" s="557"/>
      <c r="DG203" s="1848"/>
      <c r="DH203" s="558"/>
      <c r="DI203" s="558"/>
      <c r="DJ203" s="558"/>
      <c r="DK203" s="558"/>
      <c r="DL203" s="558"/>
      <c r="DM203" s="558"/>
      <c r="DN203" s="559"/>
      <c r="DO203" s="269"/>
      <c r="DY203" s="557"/>
      <c r="DZ203" s="557"/>
    </row>
    <row r="204" spans="1:130" ht="12" hidden="1" customHeight="1" outlineLevel="1">
      <c r="A204" s="257" t="s">
        <v>1249</v>
      </c>
      <c r="B204" s="545"/>
      <c r="C204" s="545"/>
      <c r="D204" s="560"/>
      <c r="E204" s="561"/>
      <c r="F204" s="561"/>
      <c r="G204" s="561"/>
      <c r="H204" s="562"/>
      <c r="I204" s="561">
        <f t="shared" ref="I204:P204" si="461">I203/D203-1</f>
        <v>5.103989265624187E-2</v>
      </c>
      <c r="J204" s="561">
        <f t="shared" si="461"/>
        <v>8.5660397128934918E-3</v>
      </c>
      <c r="K204" s="561">
        <f t="shared" si="461"/>
        <v>7.2560839473096772E-2</v>
      </c>
      <c r="L204" s="561">
        <f t="shared" si="461"/>
        <v>5.4520145387054519E-2</v>
      </c>
      <c r="M204" s="562">
        <f>M203/H203-1</f>
        <v>4.6320429156796683E-2</v>
      </c>
      <c r="N204" s="561">
        <f t="shared" si="461"/>
        <v>-4.3921241284493817E-2</v>
      </c>
      <c r="O204" s="561">
        <f t="shared" si="461"/>
        <v>-7.9426508402379192E-2</v>
      </c>
      <c r="P204" s="561">
        <f t="shared" si="461"/>
        <v>-0.16850541215653625</v>
      </c>
      <c r="Q204" s="561">
        <f>Q203/L203-1</f>
        <v>-0.72582379974577105</v>
      </c>
      <c r="R204" s="562">
        <f>R203/M203-1</f>
        <v>-0.25865058994910872</v>
      </c>
      <c r="S204" s="561"/>
      <c r="T204" s="561"/>
      <c r="U204" s="561"/>
      <c r="V204" s="561"/>
      <c r="W204" s="562"/>
      <c r="X204" s="343"/>
      <c r="Y204" s="343"/>
      <c r="Z204" s="343"/>
      <c r="AA204" s="343"/>
      <c r="AB204" s="344"/>
      <c r="AC204" s="343"/>
      <c r="AD204" s="343"/>
      <c r="AE204" s="343"/>
      <c r="AF204" s="343"/>
      <c r="AG204" s="344"/>
      <c r="AH204" s="343"/>
      <c r="AI204" s="343"/>
      <c r="AJ204" s="343"/>
      <c r="AK204" s="343"/>
      <c r="AL204" s="344"/>
      <c r="AM204" s="343"/>
      <c r="AN204" s="343"/>
      <c r="AO204" s="343"/>
      <c r="AP204" s="343"/>
      <c r="AQ204" s="344"/>
      <c r="AR204" s="343"/>
      <c r="AS204" s="343"/>
      <c r="AT204" s="343"/>
      <c r="AU204" s="343"/>
      <c r="AV204" s="344"/>
      <c r="AW204" s="343"/>
      <c r="AX204" s="343"/>
      <c r="AY204" s="343"/>
      <c r="AZ204" s="343"/>
      <c r="BA204" s="344"/>
      <c r="BB204" s="343"/>
      <c r="BC204" s="343"/>
      <c r="BD204" s="343"/>
      <c r="BE204" s="343"/>
      <c r="BF204" s="344"/>
      <c r="BG204" s="399"/>
      <c r="BH204" s="343"/>
      <c r="BI204" s="343"/>
      <c r="BJ204" s="1812"/>
      <c r="BK204" s="344"/>
      <c r="BL204" s="343"/>
      <c r="BM204" s="343"/>
      <c r="BN204" s="343"/>
      <c r="BO204" s="1812"/>
      <c r="BP204" s="344"/>
      <c r="BQ204" s="343"/>
      <c r="BR204" s="343"/>
      <c r="BS204" s="343"/>
      <c r="BT204" s="1812"/>
      <c r="BU204" s="3321"/>
      <c r="BV204" s="343"/>
      <c r="BW204" s="343"/>
      <c r="BX204" s="343"/>
      <c r="BY204" s="1812"/>
      <c r="BZ204" s="344"/>
      <c r="CA204" s="344"/>
      <c r="CB204" s="344"/>
      <c r="CC204" s="344"/>
      <c r="CD204" s="344"/>
      <c r="CE204" s="344"/>
      <c r="CF204" s="344"/>
      <c r="CG204" s="344"/>
      <c r="CH204" s="343"/>
      <c r="CI204" s="343"/>
      <c r="CJ204" s="343"/>
      <c r="CK204" s="343"/>
      <c r="CL204" s="343"/>
      <c r="CM204" s="343"/>
      <c r="CN204" s="343"/>
      <c r="CO204" s="343"/>
      <c r="CP204" s="396" t="str">
        <f t="shared" si="455"/>
        <v>% Growth (y-o-y)</v>
      </c>
      <c r="CQ204" s="343"/>
      <c r="CR204" s="343">
        <f t="shared" si="457"/>
        <v>4.6320429156796683E-2</v>
      </c>
      <c r="CS204" s="343">
        <f>R204</f>
        <v>-0.25865058994910872</v>
      </c>
      <c r="CT204" s="343"/>
      <c r="CU204" s="343"/>
      <c r="CV204" s="343"/>
      <c r="CW204" s="343"/>
      <c r="CX204" s="343"/>
      <c r="CY204" s="343"/>
      <c r="CZ204" s="343"/>
      <c r="DA204" s="343"/>
      <c r="DB204" s="343"/>
      <c r="DC204" s="343"/>
      <c r="DD204" s="343"/>
      <c r="DE204" s="343"/>
      <c r="DF204" s="343"/>
      <c r="DG204" s="1812"/>
      <c r="DH204" s="561"/>
      <c r="DI204" s="561"/>
      <c r="DJ204" s="561"/>
      <c r="DK204" s="561"/>
      <c r="DL204" s="561"/>
      <c r="DM204" s="561"/>
      <c r="DN204" s="551"/>
      <c r="DO204" s="266"/>
      <c r="DY204" s="343"/>
      <c r="DZ204" s="343"/>
    </row>
    <row r="205" spans="1:130" ht="5.0999999999999996" hidden="1" customHeight="1" outlineLevel="1">
      <c r="A205" s="552"/>
      <c r="B205" s="228"/>
      <c r="C205" s="228"/>
      <c r="D205" s="446"/>
      <c r="E205" s="447"/>
      <c r="F205" s="447"/>
      <c r="G205" s="447"/>
      <c r="H205" s="563"/>
      <c r="I205" s="447"/>
      <c r="J205" s="447"/>
      <c r="K205" s="447"/>
      <c r="L205" s="447"/>
      <c r="M205" s="563"/>
      <c r="N205" s="447"/>
      <c r="O205" s="447"/>
      <c r="P205" s="447"/>
      <c r="Q205" s="447"/>
      <c r="R205" s="563"/>
      <c r="S205" s="447"/>
      <c r="T205" s="447"/>
      <c r="U205" s="447"/>
      <c r="V205" s="447"/>
      <c r="W205" s="563"/>
      <c r="X205" s="447"/>
      <c r="Y205" s="447"/>
      <c r="Z205" s="447"/>
      <c r="AA205" s="447"/>
      <c r="AB205" s="563"/>
      <c r="AC205" s="447"/>
      <c r="AD205" s="447"/>
      <c r="AE205" s="447"/>
      <c r="AF205" s="447"/>
      <c r="AG205" s="563"/>
      <c r="AH205" s="447"/>
      <c r="AI205" s="447"/>
      <c r="AJ205" s="447"/>
      <c r="AK205" s="447"/>
      <c r="AL205" s="563"/>
      <c r="AM205" s="447"/>
      <c r="AN205" s="447"/>
      <c r="AO205" s="447"/>
      <c r="AP205" s="447"/>
      <c r="AQ205" s="563"/>
      <c r="AR205" s="447"/>
      <c r="AS205" s="447"/>
      <c r="AT205" s="447"/>
      <c r="AU205" s="447"/>
      <c r="AV205" s="563"/>
      <c r="AW205" s="447"/>
      <c r="AX205" s="447"/>
      <c r="AY205" s="447"/>
      <c r="AZ205" s="447"/>
      <c r="BA205" s="563"/>
      <c r="BB205" s="447"/>
      <c r="BC205" s="447"/>
      <c r="BD205" s="447"/>
      <c r="BE205" s="447"/>
      <c r="BF205" s="563"/>
      <c r="BG205" s="446"/>
      <c r="BH205" s="447"/>
      <c r="BI205" s="447"/>
      <c r="BJ205" s="2802"/>
      <c r="BK205" s="563"/>
      <c r="BL205" s="447"/>
      <c r="BM205" s="447"/>
      <c r="BN205" s="447"/>
      <c r="BO205" s="2802"/>
      <c r="BP205" s="563"/>
      <c r="BQ205" s="447"/>
      <c r="BR205" s="447"/>
      <c r="BS205" s="447"/>
      <c r="BT205" s="2802"/>
      <c r="BU205" s="3320"/>
      <c r="BV205" s="447"/>
      <c r="BW205" s="447"/>
      <c r="BX205" s="447"/>
      <c r="BY205" s="2802"/>
      <c r="BZ205" s="563"/>
      <c r="CA205" s="563"/>
      <c r="CB205" s="563"/>
      <c r="CC205" s="563"/>
      <c r="CD205" s="563"/>
      <c r="CE205" s="563"/>
      <c r="CF205" s="563"/>
      <c r="CG205" s="563"/>
      <c r="CH205" s="447"/>
      <c r="CI205" s="447"/>
      <c r="CJ205" s="447"/>
      <c r="CK205" s="447"/>
      <c r="CL205" s="447"/>
      <c r="CM205" s="447"/>
      <c r="CN205" s="447"/>
      <c r="CO205" s="447"/>
      <c r="CP205" s="994"/>
      <c r="CQ205" s="564"/>
      <c r="CR205" s="564"/>
      <c r="CS205" s="564"/>
      <c r="CT205" s="564"/>
      <c r="CU205" s="564"/>
      <c r="CV205" s="564"/>
      <c r="CW205" s="564"/>
      <c r="CX205" s="564"/>
      <c r="CY205" s="564"/>
      <c r="CZ205" s="564"/>
      <c r="DA205" s="564"/>
      <c r="DB205" s="564"/>
      <c r="DC205" s="564"/>
      <c r="DD205" s="564"/>
      <c r="DE205" s="564"/>
      <c r="DF205" s="564"/>
      <c r="DG205" s="1789"/>
      <c r="DH205" s="564"/>
      <c r="DI205" s="564"/>
      <c r="DJ205" s="564"/>
      <c r="DK205" s="564"/>
      <c r="DL205" s="564"/>
      <c r="DM205" s="564"/>
      <c r="DN205" s="514"/>
      <c r="DO205" s="226"/>
      <c r="DY205" s="447"/>
      <c r="DZ205" s="447"/>
    </row>
    <row r="206" spans="1:130" ht="12" hidden="1" customHeight="1" outlineLevel="1">
      <c r="A206" s="228" t="s">
        <v>1326</v>
      </c>
      <c r="B206" s="228"/>
      <c r="C206" s="228"/>
      <c r="D206" s="565">
        <f>D203-D210</f>
        <v>33.266999999999996</v>
      </c>
      <c r="E206" s="566">
        <f>E203-E210</f>
        <v>33.573999999999998</v>
      </c>
      <c r="F206" s="566">
        <f>F203-F210</f>
        <v>32.692</v>
      </c>
      <c r="G206" s="566">
        <f>G203-G210</f>
        <v>34.003999999999998</v>
      </c>
      <c r="H206" s="556">
        <f>SUM(D206:G206)</f>
        <v>133.53699999999998</v>
      </c>
      <c r="I206" s="566">
        <f>I203-I210</f>
        <v>33.616999999999997</v>
      </c>
      <c r="J206" s="566">
        <f>J203-J210</f>
        <v>32.849999999999994</v>
      </c>
      <c r="K206" s="566">
        <f>K203-K210</f>
        <v>33.414000000000001</v>
      </c>
      <c r="L206" s="566">
        <f>L203-L210</f>
        <v>34.041000000000004</v>
      </c>
      <c r="M206" s="556">
        <f>SUM(I206:L206)</f>
        <v>133.922</v>
      </c>
      <c r="N206" s="566">
        <f>N203-N210</f>
        <v>32.184999999999995</v>
      </c>
      <c r="O206" s="566">
        <f>O203-O210</f>
        <v>30.822999999999997</v>
      </c>
      <c r="P206" s="566">
        <f>P203-P210</f>
        <v>29.273</v>
      </c>
      <c r="Q206" s="566">
        <f>Q203-Q210</f>
        <v>9.8739999999999988</v>
      </c>
      <c r="R206" s="556">
        <f>SUM(N206:Q206)</f>
        <v>102.15499999999999</v>
      </c>
      <c r="S206" s="557"/>
      <c r="T206" s="557"/>
      <c r="U206" s="557"/>
      <c r="V206" s="557"/>
      <c r="W206" s="556"/>
      <c r="X206" s="557"/>
      <c r="Y206" s="557"/>
      <c r="Z206" s="557"/>
      <c r="AA206" s="557"/>
      <c r="AB206" s="556"/>
      <c r="AC206" s="557"/>
      <c r="AD206" s="557"/>
      <c r="AE206" s="557"/>
      <c r="AF206" s="557"/>
      <c r="AG206" s="556"/>
      <c r="AH206" s="557"/>
      <c r="AI206" s="557"/>
      <c r="AJ206" s="557"/>
      <c r="AK206" s="557"/>
      <c r="AL206" s="556"/>
      <c r="AM206" s="557"/>
      <c r="AN206" s="557"/>
      <c r="AO206" s="557"/>
      <c r="AP206" s="557"/>
      <c r="AQ206" s="556"/>
      <c r="AR206" s="557"/>
      <c r="AS206" s="557"/>
      <c r="AT206" s="557"/>
      <c r="AU206" s="557"/>
      <c r="AV206" s="556"/>
      <c r="AW206" s="557"/>
      <c r="AX206" s="557"/>
      <c r="AY206" s="557"/>
      <c r="AZ206" s="557"/>
      <c r="BA206" s="556"/>
      <c r="BB206" s="557"/>
      <c r="BC206" s="557"/>
      <c r="BD206" s="557"/>
      <c r="BE206" s="557"/>
      <c r="BF206" s="556"/>
      <c r="BG206" s="661"/>
      <c r="BH206" s="557"/>
      <c r="BI206" s="557"/>
      <c r="BJ206" s="1848"/>
      <c r="BK206" s="556"/>
      <c r="BL206" s="557"/>
      <c r="BM206" s="557"/>
      <c r="BN206" s="557"/>
      <c r="BO206" s="1848"/>
      <c r="BP206" s="556"/>
      <c r="BQ206" s="557"/>
      <c r="BR206" s="557"/>
      <c r="BS206" s="557"/>
      <c r="BT206" s="1848"/>
      <c r="BU206" s="3372"/>
      <c r="BV206" s="557"/>
      <c r="BW206" s="557"/>
      <c r="BX206" s="557"/>
      <c r="BY206" s="1848"/>
      <c r="BZ206" s="556"/>
      <c r="CA206" s="556"/>
      <c r="CB206" s="556"/>
      <c r="CC206" s="556"/>
      <c r="CD206" s="556"/>
      <c r="CE206" s="556"/>
      <c r="CF206" s="556"/>
      <c r="CG206" s="556"/>
      <c r="CH206" s="557"/>
      <c r="CI206" s="557"/>
      <c r="CJ206" s="557"/>
      <c r="CK206" s="557"/>
      <c r="CL206" s="557"/>
      <c r="CM206" s="557"/>
      <c r="CN206" s="557"/>
      <c r="CO206" s="557"/>
      <c r="CP206" s="1847" t="str">
        <f t="shared" si="455"/>
        <v>Total Expenses</v>
      </c>
      <c r="CQ206" s="557">
        <f t="shared" si="456"/>
        <v>133.53699999999998</v>
      </c>
      <c r="CR206" s="557">
        <f t="shared" si="457"/>
        <v>133.922</v>
      </c>
      <c r="CS206" s="557">
        <f>R206</f>
        <v>102.15499999999999</v>
      </c>
      <c r="CT206" s="557"/>
      <c r="CU206" s="557"/>
      <c r="CV206" s="557"/>
      <c r="CW206" s="557"/>
      <c r="CX206" s="557"/>
      <c r="CY206" s="557"/>
      <c r="CZ206" s="557"/>
      <c r="DA206" s="557"/>
      <c r="DB206" s="557"/>
      <c r="DC206" s="557"/>
      <c r="DD206" s="557"/>
      <c r="DE206" s="557"/>
      <c r="DF206" s="557"/>
      <c r="DG206" s="1848"/>
      <c r="DH206" s="558"/>
      <c r="DI206" s="558"/>
      <c r="DJ206" s="558"/>
      <c r="DK206" s="558"/>
      <c r="DL206" s="558"/>
      <c r="DM206" s="558"/>
      <c r="DN206" s="559"/>
      <c r="DO206" s="269"/>
      <c r="DY206" s="557"/>
      <c r="DZ206" s="557"/>
    </row>
    <row r="207" spans="1:130" ht="12" hidden="1" customHeight="1" outlineLevel="1">
      <c r="A207" s="567" t="s">
        <v>430</v>
      </c>
      <c r="B207" s="545"/>
      <c r="C207" s="545"/>
      <c r="D207" s="560">
        <f t="shared" ref="D207:R207" si="462">D206/D203</f>
        <v>0.85841461526552088</v>
      </c>
      <c r="E207" s="561">
        <f t="shared" si="462"/>
        <v>0.87949913553727666</v>
      </c>
      <c r="F207" s="561">
        <f t="shared" si="462"/>
        <v>0.91236883232864474</v>
      </c>
      <c r="G207" s="561">
        <f t="shared" si="462"/>
        <v>0.87654989302193687</v>
      </c>
      <c r="H207" s="562">
        <f t="shared" si="462"/>
        <v>0.88112409520101864</v>
      </c>
      <c r="I207" s="561">
        <f t="shared" si="462"/>
        <v>0.82532161445546492</v>
      </c>
      <c r="J207" s="561">
        <f t="shared" si="462"/>
        <v>0.85322459156905006</v>
      </c>
      <c r="K207" s="561">
        <f t="shared" si="462"/>
        <v>0.86943172356369691</v>
      </c>
      <c r="L207" s="561">
        <f t="shared" si="462"/>
        <v>0.83213552361396315</v>
      </c>
      <c r="M207" s="562">
        <f t="shared" si="462"/>
        <v>0.84454478379043085</v>
      </c>
      <c r="N207" s="561">
        <f t="shared" si="462"/>
        <v>0.826464319646663</v>
      </c>
      <c r="O207" s="561">
        <f t="shared" si="462"/>
        <v>0.86964986033913605</v>
      </c>
      <c r="P207" s="561">
        <f t="shared" si="462"/>
        <v>0.91604080610839911</v>
      </c>
      <c r="Q207" s="561">
        <f t="shared" si="462"/>
        <v>0.88034950071326667</v>
      </c>
      <c r="R207" s="562">
        <f t="shared" si="462"/>
        <v>0.86897531431293484</v>
      </c>
      <c r="S207" s="343"/>
      <c r="T207" s="343"/>
      <c r="U207" s="343"/>
      <c r="V207" s="343"/>
      <c r="W207" s="344"/>
      <c r="X207" s="343"/>
      <c r="Y207" s="343"/>
      <c r="Z207" s="343"/>
      <c r="AA207" s="343"/>
      <c r="AB207" s="344"/>
      <c r="AC207" s="343"/>
      <c r="AD207" s="343"/>
      <c r="AE207" s="343"/>
      <c r="AF207" s="343"/>
      <c r="AG207" s="344"/>
      <c r="AH207" s="343"/>
      <c r="AI207" s="343"/>
      <c r="AJ207" s="343"/>
      <c r="AK207" s="343"/>
      <c r="AL207" s="344"/>
      <c r="AM207" s="343"/>
      <c r="AN207" s="343"/>
      <c r="AO207" s="343"/>
      <c r="AP207" s="343"/>
      <c r="AQ207" s="344"/>
      <c r="AR207" s="343"/>
      <c r="AS207" s="343"/>
      <c r="AT207" s="343"/>
      <c r="AU207" s="343"/>
      <c r="AV207" s="344"/>
      <c r="AW207" s="343"/>
      <c r="AX207" s="343"/>
      <c r="AY207" s="343"/>
      <c r="AZ207" s="343"/>
      <c r="BA207" s="344"/>
      <c r="BB207" s="343"/>
      <c r="BC207" s="343"/>
      <c r="BD207" s="343"/>
      <c r="BE207" s="343"/>
      <c r="BF207" s="344"/>
      <c r="BG207" s="399"/>
      <c r="BH207" s="343"/>
      <c r="BI207" s="343"/>
      <c r="BJ207" s="1812"/>
      <c r="BK207" s="344"/>
      <c r="BL207" s="343"/>
      <c r="BM207" s="343"/>
      <c r="BN207" s="343"/>
      <c r="BO207" s="1812"/>
      <c r="BP207" s="344"/>
      <c r="BQ207" s="343"/>
      <c r="BR207" s="343"/>
      <c r="BS207" s="343"/>
      <c r="BT207" s="1812"/>
      <c r="BU207" s="3321"/>
      <c r="BV207" s="343"/>
      <c r="BW207" s="343"/>
      <c r="BX207" s="343"/>
      <c r="BY207" s="1812"/>
      <c r="BZ207" s="344"/>
      <c r="CA207" s="344"/>
      <c r="CB207" s="344"/>
      <c r="CC207" s="344"/>
      <c r="CD207" s="344"/>
      <c r="CE207" s="344"/>
      <c r="CF207" s="344"/>
      <c r="CG207" s="344"/>
      <c r="CH207" s="343"/>
      <c r="CI207" s="343"/>
      <c r="CJ207" s="343"/>
      <c r="CK207" s="343"/>
      <c r="CL207" s="343"/>
      <c r="CM207" s="343"/>
      <c r="CN207" s="343"/>
      <c r="CO207" s="343"/>
      <c r="CP207" s="1849" t="str">
        <f t="shared" si="455"/>
        <v>% of Revenue</v>
      </c>
      <c r="CQ207" s="343">
        <f t="shared" si="456"/>
        <v>0.88112409520101864</v>
      </c>
      <c r="CR207" s="343">
        <f t="shared" si="457"/>
        <v>0.84454478379043085</v>
      </c>
      <c r="CS207" s="343">
        <f>R207</f>
        <v>0.86897531431293484</v>
      </c>
      <c r="CT207" s="343"/>
      <c r="CU207" s="343"/>
      <c r="CV207" s="343"/>
      <c r="CW207" s="343"/>
      <c r="CX207" s="343"/>
      <c r="CY207" s="343"/>
      <c r="CZ207" s="343"/>
      <c r="DA207" s="343"/>
      <c r="DB207" s="343"/>
      <c r="DC207" s="343"/>
      <c r="DD207" s="343"/>
      <c r="DE207" s="343"/>
      <c r="DF207" s="343"/>
      <c r="DG207" s="1812"/>
      <c r="DH207" s="561"/>
      <c r="DI207" s="568"/>
      <c r="DJ207" s="568"/>
      <c r="DK207" s="568"/>
      <c r="DL207" s="568"/>
      <c r="DM207" s="568"/>
      <c r="DN207" s="551"/>
      <c r="DO207" s="266"/>
      <c r="DY207" s="343"/>
      <c r="DZ207" s="343"/>
    </row>
    <row r="208" spans="1:130" ht="12" hidden="1" customHeight="1" outlineLevel="1">
      <c r="A208" s="257" t="s">
        <v>1249</v>
      </c>
      <c r="B208" s="545"/>
      <c r="C208" s="545"/>
      <c r="D208" s="560"/>
      <c r="E208" s="561"/>
      <c r="F208" s="561"/>
      <c r="G208" s="561"/>
      <c r="H208" s="562"/>
      <c r="I208" s="561">
        <f t="shared" ref="I208:O208" si="463">I206/D206-1</f>
        <v>1.0520936663961367E-2</v>
      </c>
      <c r="J208" s="561">
        <f t="shared" si="463"/>
        <v>-2.1564305712754028E-2</v>
      </c>
      <c r="K208" s="561">
        <f t="shared" si="463"/>
        <v>2.2084913740364698E-2</v>
      </c>
      <c r="L208" s="561">
        <f t="shared" si="463"/>
        <v>1.0881072814965531E-3</v>
      </c>
      <c r="M208" s="562">
        <f>M206/H206-1</f>
        <v>2.8830960707519893E-3</v>
      </c>
      <c r="N208" s="561">
        <f t="shared" si="463"/>
        <v>-4.2597495314870559E-2</v>
      </c>
      <c r="O208" s="561">
        <f t="shared" si="463"/>
        <v>-6.1704718417047166E-2</v>
      </c>
      <c r="P208" s="561">
        <f>P206/K206-1</f>
        <v>-0.12393008918417436</v>
      </c>
      <c r="Q208" s="561">
        <f>Q206/L206-1</f>
        <v>-0.70993801592197658</v>
      </c>
      <c r="R208" s="562">
        <f>R206/M206-1</f>
        <v>-0.23720523887038736</v>
      </c>
      <c r="S208" s="561"/>
      <c r="T208" s="561"/>
      <c r="U208" s="561"/>
      <c r="V208" s="561"/>
      <c r="W208" s="562"/>
      <c r="X208" s="398"/>
      <c r="Y208" s="398"/>
      <c r="Z208" s="398"/>
      <c r="AA208" s="398"/>
      <c r="AB208" s="344"/>
      <c r="AC208" s="398"/>
      <c r="AD208" s="398"/>
      <c r="AE208" s="398"/>
      <c r="AF208" s="398"/>
      <c r="AG208" s="344"/>
      <c r="AH208" s="398"/>
      <c r="AI208" s="398"/>
      <c r="AJ208" s="398"/>
      <c r="AK208" s="398"/>
      <c r="AL208" s="344"/>
      <c r="AM208" s="398"/>
      <c r="AN208" s="398"/>
      <c r="AO208" s="398"/>
      <c r="AP208" s="398"/>
      <c r="AQ208" s="344"/>
      <c r="AR208" s="398"/>
      <c r="AS208" s="398"/>
      <c r="AT208" s="398"/>
      <c r="AU208" s="398"/>
      <c r="AV208" s="344"/>
      <c r="AW208" s="398"/>
      <c r="AX208" s="398"/>
      <c r="AY208" s="398"/>
      <c r="AZ208" s="398"/>
      <c r="BA208" s="344"/>
      <c r="BB208" s="398"/>
      <c r="BC208" s="398"/>
      <c r="BD208" s="398"/>
      <c r="BE208" s="398"/>
      <c r="BF208" s="344"/>
      <c r="BG208" s="399"/>
      <c r="BH208" s="343"/>
      <c r="BI208" s="343"/>
      <c r="BJ208" s="1812"/>
      <c r="BK208" s="344"/>
      <c r="BL208" s="343"/>
      <c r="BM208" s="343"/>
      <c r="BN208" s="343"/>
      <c r="BO208" s="1812"/>
      <c r="BP208" s="344"/>
      <c r="BQ208" s="343"/>
      <c r="BR208" s="343"/>
      <c r="BS208" s="343"/>
      <c r="BT208" s="1812"/>
      <c r="BU208" s="3321"/>
      <c r="BV208" s="343"/>
      <c r="BW208" s="343"/>
      <c r="BX208" s="343"/>
      <c r="BY208" s="1812"/>
      <c r="BZ208" s="344"/>
      <c r="CA208" s="344"/>
      <c r="CB208" s="344"/>
      <c r="CC208" s="344"/>
      <c r="CD208" s="344"/>
      <c r="CE208" s="344"/>
      <c r="CF208" s="344"/>
      <c r="CG208" s="344"/>
      <c r="CH208" s="343"/>
      <c r="CI208" s="343"/>
      <c r="CJ208" s="343"/>
      <c r="CK208" s="343"/>
      <c r="CL208" s="343"/>
      <c r="CM208" s="343"/>
      <c r="CN208" s="343"/>
      <c r="CO208" s="343"/>
      <c r="CP208" s="396" t="str">
        <f t="shared" si="455"/>
        <v>% Growth (y-o-y)</v>
      </c>
      <c r="CQ208" s="343"/>
      <c r="CR208" s="343">
        <f t="shared" si="457"/>
        <v>2.8830960707519893E-3</v>
      </c>
      <c r="CS208" s="343">
        <f>R208</f>
        <v>-0.23720523887038736</v>
      </c>
      <c r="CT208" s="343"/>
      <c r="CU208" s="343"/>
      <c r="CV208" s="343"/>
      <c r="CW208" s="343"/>
      <c r="CX208" s="343"/>
      <c r="CY208" s="343"/>
      <c r="CZ208" s="343"/>
      <c r="DA208" s="343"/>
      <c r="DB208" s="343"/>
      <c r="DC208" s="343"/>
      <c r="DD208" s="343"/>
      <c r="DE208" s="343"/>
      <c r="DF208" s="343"/>
      <c r="DG208" s="1812"/>
      <c r="DH208" s="561"/>
      <c r="DI208" s="568"/>
      <c r="DJ208" s="568"/>
      <c r="DK208" s="568"/>
      <c r="DL208" s="568"/>
      <c r="DM208" s="568"/>
      <c r="DN208" s="551"/>
      <c r="DO208" s="266"/>
      <c r="DY208" s="343"/>
      <c r="DZ208" s="343"/>
    </row>
    <row r="209" spans="1:130" ht="5.0999999999999996" hidden="1" customHeight="1" outlineLevel="1">
      <c r="A209" s="552"/>
      <c r="B209" s="228"/>
      <c r="C209" s="228"/>
      <c r="D209" s="509"/>
      <c r="E209" s="510"/>
      <c r="F209" s="510"/>
      <c r="G209" s="510"/>
      <c r="H209" s="512"/>
      <c r="I209" s="510"/>
      <c r="J209" s="510"/>
      <c r="K209" s="510"/>
      <c r="L209" s="510"/>
      <c r="M209" s="512"/>
      <c r="N209" s="510"/>
      <c r="O209" s="510"/>
      <c r="P209" s="510"/>
      <c r="Q209" s="510"/>
      <c r="R209" s="512"/>
      <c r="S209" s="510"/>
      <c r="T209" s="510"/>
      <c r="U209" s="510"/>
      <c r="V209" s="510"/>
      <c r="W209" s="512"/>
      <c r="X209" s="510"/>
      <c r="Y209" s="510"/>
      <c r="Z209" s="510"/>
      <c r="AA209" s="510"/>
      <c r="AB209" s="512"/>
      <c r="AC209" s="510"/>
      <c r="AD209" s="510"/>
      <c r="AE209" s="510"/>
      <c r="AF209" s="510"/>
      <c r="AG209" s="512"/>
      <c r="AH209" s="510"/>
      <c r="AI209" s="510"/>
      <c r="AJ209" s="510"/>
      <c r="AK209" s="510"/>
      <c r="AL209" s="569"/>
      <c r="AM209" s="570"/>
      <c r="AN209" s="570"/>
      <c r="AO209" s="570"/>
      <c r="AP209" s="570"/>
      <c r="AQ209" s="571"/>
      <c r="AR209" s="570"/>
      <c r="AS209" s="570"/>
      <c r="AT209" s="570"/>
      <c r="AU209" s="570"/>
      <c r="AV209" s="571"/>
      <c r="AW209" s="570"/>
      <c r="AX209" s="570"/>
      <c r="AY209" s="570"/>
      <c r="AZ209" s="570"/>
      <c r="BA209" s="571"/>
      <c r="BB209" s="570"/>
      <c r="BC209" s="570"/>
      <c r="BD209" s="570"/>
      <c r="BE209" s="570"/>
      <c r="BF209" s="571"/>
      <c r="BG209" s="2820"/>
      <c r="BH209" s="572"/>
      <c r="BI209" s="572"/>
      <c r="BJ209" s="2821"/>
      <c r="BK209" s="571"/>
      <c r="BL209" s="572"/>
      <c r="BM209" s="572"/>
      <c r="BN209" s="572"/>
      <c r="BO209" s="2821"/>
      <c r="BP209" s="571"/>
      <c r="BQ209" s="572"/>
      <c r="BR209" s="572"/>
      <c r="BS209" s="572"/>
      <c r="BT209" s="2821"/>
      <c r="BU209" s="3373"/>
      <c r="BV209" s="572"/>
      <c r="BW209" s="572"/>
      <c r="BX209" s="572"/>
      <c r="BY209" s="2821"/>
      <c r="BZ209" s="571"/>
      <c r="CA209" s="571"/>
      <c r="CB209" s="571"/>
      <c r="CC209" s="571"/>
      <c r="CD209" s="571"/>
      <c r="CE209" s="571"/>
      <c r="CF209" s="571"/>
      <c r="CG209" s="571"/>
      <c r="CH209" s="572"/>
      <c r="CI209" s="572"/>
      <c r="CJ209" s="572"/>
      <c r="CK209" s="572"/>
      <c r="CL209" s="572"/>
      <c r="CM209" s="572"/>
      <c r="CN209" s="572"/>
      <c r="CO209" s="572"/>
      <c r="CP209" s="994"/>
      <c r="CQ209" s="592"/>
      <c r="CR209" s="592"/>
      <c r="CS209" s="592"/>
      <c r="CT209" s="592"/>
      <c r="CU209" s="592"/>
      <c r="CV209" s="592"/>
      <c r="CW209" s="592"/>
      <c r="CX209" s="592"/>
      <c r="CY209" s="592"/>
      <c r="CZ209" s="592"/>
      <c r="DA209" s="592"/>
      <c r="DB209" s="592"/>
      <c r="DC209" s="592"/>
      <c r="DD209" s="592"/>
      <c r="DE209" s="592"/>
      <c r="DF209" s="592"/>
      <c r="DG209" s="1850"/>
      <c r="DH209" s="514"/>
      <c r="DI209" s="514"/>
      <c r="DJ209" s="514"/>
      <c r="DK209" s="514"/>
      <c r="DL209" s="514"/>
      <c r="DM209" s="514"/>
      <c r="DN209" s="514"/>
      <c r="DO209" s="226"/>
      <c r="DY209" s="572"/>
      <c r="DZ209" s="572"/>
    </row>
    <row r="210" spans="1:130" ht="12" hidden="1" customHeight="1" outlineLevel="1">
      <c r="A210" s="228" t="s">
        <v>401</v>
      </c>
      <c r="B210" s="228"/>
      <c r="C210" s="228"/>
      <c r="D210" s="553">
        <v>5.4870000000000001</v>
      </c>
      <c r="E210" s="554">
        <v>4.5999999999999996</v>
      </c>
      <c r="F210" s="554">
        <v>3.14</v>
      </c>
      <c r="G210" s="554">
        <v>4.7889999999999997</v>
      </c>
      <c r="H210" s="355">
        <f>SUM(D210:G210)</f>
        <v>18.015999999999998</v>
      </c>
      <c r="I210" s="554">
        <v>7.1150000000000002</v>
      </c>
      <c r="J210" s="554">
        <v>5.6509999999999998</v>
      </c>
      <c r="K210" s="554">
        <v>5.0179999999999998</v>
      </c>
      <c r="L210" s="554">
        <v>6.867</v>
      </c>
      <c r="M210" s="355">
        <f>SUM(I210:L210)</f>
        <v>24.651</v>
      </c>
      <c r="N210" s="554">
        <v>6.758</v>
      </c>
      <c r="O210" s="554">
        <v>4.62</v>
      </c>
      <c r="P210" s="554">
        <v>2.6829999999999998</v>
      </c>
      <c r="Q210" s="554">
        <v>1.3420000000000001</v>
      </c>
      <c r="R210" s="355">
        <f>SUM(N210:Q210)</f>
        <v>15.403</v>
      </c>
      <c r="S210" s="557"/>
      <c r="T210" s="557"/>
      <c r="U210" s="557"/>
      <c r="V210" s="557"/>
      <c r="W210" s="355"/>
      <c r="X210" s="557"/>
      <c r="Y210" s="557"/>
      <c r="Z210" s="557"/>
      <c r="AA210" s="557"/>
      <c r="AB210" s="355"/>
      <c r="AC210" s="557"/>
      <c r="AD210" s="557"/>
      <c r="AE210" s="557"/>
      <c r="AF210" s="557"/>
      <c r="AG210" s="355"/>
      <c r="AH210" s="557"/>
      <c r="AI210" s="557"/>
      <c r="AJ210" s="557"/>
      <c r="AK210" s="557"/>
      <c r="AL210" s="355"/>
      <c r="AM210" s="557"/>
      <c r="AN210" s="557"/>
      <c r="AO210" s="557"/>
      <c r="AP210" s="557"/>
      <c r="AQ210" s="355"/>
      <c r="AR210" s="557"/>
      <c r="AS210" s="557"/>
      <c r="AT210" s="557"/>
      <c r="AU210" s="557"/>
      <c r="AV210" s="556"/>
      <c r="AW210" s="557"/>
      <c r="AX210" s="557"/>
      <c r="AY210" s="557"/>
      <c r="AZ210" s="557"/>
      <c r="BA210" s="556"/>
      <c r="BB210" s="557"/>
      <c r="BC210" s="557"/>
      <c r="BD210" s="557"/>
      <c r="BE210" s="557"/>
      <c r="BF210" s="556"/>
      <c r="BG210" s="661"/>
      <c r="BH210" s="557"/>
      <c r="BI210" s="557"/>
      <c r="BJ210" s="1848"/>
      <c r="BK210" s="556"/>
      <c r="BL210" s="557"/>
      <c r="BM210" s="557"/>
      <c r="BN210" s="557"/>
      <c r="BO210" s="1848"/>
      <c r="BP210" s="556"/>
      <c r="BQ210" s="557"/>
      <c r="BR210" s="557"/>
      <c r="BS210" s="557"/>
      <c r="BT210" s="1848"/>
      <c r="BU210" s="3372"/>
      <c r="BV210" s="557"/>
      <c r="BW210" s="557"/>
      <c r="BX210" s="557"/>
      <c r="BY210" s="1848"/>
      <c r="BZ210" s="556"/>
      <c r="CA210" s="556"/>
      <c r="CB210" s="556"/>
      <c r="CC210" s="556"/>
      <c r="CD210" s="556"/>
      <c r="CE210" s="556"/>
      <c r="CF210" s="556"/>
      <c r="CG210" s="556"/>
      <c r="CH210" s="557"/>
      <c r="CI210" s="557"/>
      <c r="CJ210" s="557"/>
      <c r="CK210" s="557"/>
      <c r="CL210" s="557"/>
      <c r="CM210" s="557"/>
      <c r="CN210" s="557"/>
      <c r="CO210" s="557"/>
      <c r="CP210" s="1847" t="str">
        <f t="shared" si="455"/>
        <v>EBITDA</v>
      </c>
      <c r="CQ210" s="557">
        <f t="shared" si="456"/>
        <v>18.015999999999998</v>
      </c>
      <c r="CR210" s="557">
        <f t="shared" si="457"/>
        <v>24.651</v>
      </c>
      <c r="CS210" s="557">
        <f>R210</f>
        <v>15.403</v>
      </c>
      <c r="CT210" s="557"/>
      <c r="CU210" s="557"/>
      <c r="CV210" s="557"/>
      <c r="CW210" s="557"/>
      <c r="CX210" s="557"/>
      <c r="CY210" s="557"/>
      <c r="CZ210" s="557"/>
      <c r="DA210" s="557"/>
      <c r="DB210" s="557"/>
      <c r="DC210" s="557"/>
      <c r="DD210" s="557"/>
      <c r="DE210" s="557"/>
      <c r="DF210" s="557"/>
      <c r="DG210" s="1848"/>
      <c r="DH210" s="558"/>
      <c r="DI210" s="558"/>
      <c r="DJ210" s="558"/>
      <c r="DK210" s="558"/>
      <c r="DL210" s="558"/>
      <c r="DM210" s="558"/>
      <c r="DN210" s="559"/>
      <c r="DO210" s="269" t="s">
        <v>1099</v>
      </c>
      <c r="DY210" s="557"/>
      <c r="DZ210" s="557"/>
    </row>
    <row r="211" spans="1:130" ht="12" hidden="1" customHeight="1" outlineLevel="1">
      <c r="A211" s="301" t="s">
        <v>56</v>
      </c>
      <c r="B211" s="545"/>
      <c r="C211" s="545"/>
      <c r="D211" s="560">
        <f t="shared" ref="D211:R211" si="464">D210/D203</f>
        <v>0.14158538473447904</v>
      </c>
      <c r="E211" s="561">
        <f t="shared" si="464"/>
        <v>0.12050086446272332</v>
      </c>
      <c r="F211" s="561">
        <f t="shared" si="464"/>
        <v>8.7631167671355217E-2</v>
      </c>
      <c r="G211" s="561">
        <f t="shared" si="464"/>
        <v>0.12345010697806305</v>
      </c>
      <c r="H211" s="503">
        <f t="shared" si="464"/>
        <v>0.11887590479898121</v>
      </c>
      <c r="I211" s="561">
        <f t="shared" si="464"/>
        <v>0.17467838554453502</v>
      </c>
      <c r="J211" s="561">
        <f t="shared" si="464"/>
        <v>0.14677540843094986</v>
      </c>
      <c r="K211" s="561">
        <f t="shared" si="464"/>
        <v>0.13056827643630306</v>
      </c>
      <c r="L211" s="561">
        <f t="shared" si="464"/>
        <v>0.16786447638603696</v>
      </c>
      <c r="M211" s="503">
        <f t="shared" si="464"/>
        <v>0.15545521620956909</v>
      </c>
      <c r="N211" s="561">
        <f t="shared" si="464"/>
        <v>0.17353568035333694</v>
      </c>
      <c r="O211" s="561">
        <f t="shared" si="464"/>
        <v>0.13035013966086392</v>
      </c>
      <c r="P211" s="561">
        <f t="shared" si="464"/>
        <v>8.3959193891600947E-2</v>
      </c>
      <c r="Q211" s="561">
        <f t="shared" si="464"/>
        <v>0.11965049928673326</v>
      </c>
      <c r="R211" s="503">
        <f t="shared" si="464"/>
        <v>0.13102468568706513</v>
      </c>
      <c r="S211" s="343"/>
      <c r="T211" s="343"/>
      <c r="U211" s="343"/>
      <c r="V211" s="343"/>
      <c r="W211" s="262"/>
      <c r="X211" s="343"/>
      <c r="Y211" s="343"/>
      <c r="Z211" s="343"/>
      <c r="AA211" s="343"/>
      <c r="AB211" s="262"/>
      <c r="AC211" s="343"/>
      <c r="AD211" s="343"/>
      <c r="AE211" s="343"/>
      <c r="AF211" s="343"/>
      <c r="AG211" s="262"/>
      <c r="AH211" s="343"/>
      <c r="AI211" s="343"/>
      <c r="AJ211" s="343"/>
      <c r="AK211" s="343"/>
      <c r="AL211" s="262"/>
      <c r="AM211" s="343"/>
      <c r="AN211" s="343"/>
      <c r="AO211" s="343"/>
      <c r="AP211" s="343"/>
      <c r="AQ211" s="262"/>
      <c r="AR211" s="343"/>
      <c r="AS211" s="343"/>
      <c r="AT211" s="343"/>
      <c r="AU211" s="343"/>
      <c r="AV211" s="344"/>
      <c r="AW211" s="343"/>
      <c r="AX211" s="343"/>
      <c r="AY211" s="343"/>
      <c r="AZ211" s="343"/>
      <c r="BA211" s="344"/>
      <c r="BB211" s="343"/>
      <c r="BC211" s="343"/>
      <c r="BD211" s="343"/>
      <c r="BE211" s="343"/>
      <c r="BF211" s="344"/>
      <c r="BG211" s="399"/>
      <c r="BH211" s="343"/>
      <c r="BI211" s="343"/>
      <c r="BJ211" s="1812"/>
      <c r="BK211" s="344"/>
      <c r="BL211" s="343"/>
      <c r="BM211" s="343"/>
      <c r="BN211" s="343"/>
      <c r="BO211" s="1812"/>
      <c r="BP211" s="344"/>
      <c r="BQ211" s="343"/>
      <c r="BR211" s="343"/>
      <c r="BS211" s="343"/>
      <c r="BT211" s="1812"/>
      <c r="BU211" s="3321"/>
      <c r="BV211" s="343"/>
      <c r="BW211" s="343"/>
      <c r="BX211" s="343"/>
      <c r="BY211" s="1812"/>
      <c r="BZ211" s="344"/>
      <c r="CA211" s="344"/>
      <c r="CB211" s="344"/>
      <c r="CC211" s="344"/>
      <c r="CD211" s="344"/>
      <c r="CE211" s="344"/>
      <c r="CF211" s="344"/>
      <c r="CG211" s="344"/>
      <c r="CH211" s="343"/>
      <c r="CI211" s="343"/>
      <c r="CJ211" s="343"/>
      <c r="CK211" s="343"/>
      <c r="CL211" s="343"/>
      <c r="CM211" s="343"/>
      <c r="CN211" s="343"/>
      <c r="CO211" s="343"/>
      <c r="CP211" s="1786" t="str">
        <f t="shared" si="455"/>
        <v>% Margin</v>
      </c>
      <c r="CQ211" s="343">
        <f t="shared" si="456"/>
        <v>0.11887590479898121</v>
      </c>
      <c r="CR211" s="343">
        <f t="shared" si="457"/>
        <v>0.15545521620956909</v>
      </c>
      <c r="CS211" s="343">
        <f>R211</f>
        <v>0.13102468568706513</v>
      </c>
      <c r="CT211" s="343"/>
      <c r="CU211" s="343"/>
      <c r="CV211" s="343"/>
      <c r="CW211" s="343"/>
      <c r="CX211" s="343"/>
      <c r="CY211" s="343"/>
      <c r="CZ211" s="343"/>
      <c r="DA211" s="343"/>
      <c r="DB211" s="343"/>
      <c r="DC211" s="343"/>
      <c r="DD211" s="343"/>
      <c r="DE211" s="343"/>
      <c r="DF211" s="343"/>
      <c r="DG211" s="1812"/>
      <c r="DH211" s="573"/>
      <c r="DI211" s="573"/>
      <c r="DJ211" s="573"/>
      <c r="DK211" s="573"/>
      <c r="DL211" s="573"/>
      <c r="DM211" s="573"/>
      <c r="DN211" s="551"/>
      <c r="DO211" s="266"/>
      <c r="DY211" s="343"/>
      <c r="DZ211" s="343"/>
    </row>
    <row r="212" spans="1:130" ht="12" hidden="1" customHeight="1" outlineLevel="1">
      <c r="A212" s="257" t="s">
        <v>1249</v>
      </c>
      <c r="B212" s="545"/>
      <c r="C212" s="545"/>
      <c r="D212" s="574"/>
      <c r="E212" s="575"/>
      <c r="F212" s="576"/>
      <c r="G212" s="575"/>
      <c r="H212" s="577"/>
      <c r="I212" s="575">
        <f t="shared" ref="I212:R212" si="465">I210/D210-1</f>
        <v>0.29670129396755973</v>
      </c>
      <c r="J212" s="575">
        <f t="shared" si="465"/>
        <v>0.22847826086956524</v>
      </c>
      <c r="K212" s="575">
        <f t="shared" si="465"/>
        <v>0.59808917197452227</v>
      </c>
      <c r="L212" s="575">
        <f t="shared" si="465"/>
        <v>0.43391104614742115</v>
      </c>
      <c r="M212" s="577">
        <f t="shared" si="465"/>
        <v>0.36828374777975137</v>
      </c>
      <c r="N212" s="575">
        <f t="shared" si="465"/>
        <v>-5.0175685172171525E-2</v>
      </c>
      <c r="O212" s="575">
        <f t="shared" si="465"/>
        <v>-0.1824455848522385</v>
      </c>
      <c r="P212" s="575">
        <f t="shared" si="465"/>
        <v>-0.46532483060980467</v>
      </c>
      <c r="Q212" s="575">
        <f t="shared" si="465"/>
        <v>-0.80457259356341926</v>
      </c>
      <c r="R212" s="577">
        <f t="shared" si="465"/>
        <v>-0.37515719443430284</v>
      </c>
      <c r="S212" s="575"/>
      <c r="T212" s="575"/>
      <c r="U212" s="575"/>
      <c r="V212" s="398"/>
      <c r="W212" s="577"/>
      <c r="X212" s="398"/>
      <c r="Y212" s="398"/>
      <c r="Z212" s="398"/>
      <c r="AA212" s="398"/>
      <c r="AB212" s="549"/>
      <c r="AC212" s="398"/>
      <c r="AD212" s="398"/>
      <c r="AE212" s="398"/>
      <c r="AF212" s="398"/>
      <c r="AG212" s="549"/>
      <c r="AH212" s="398"/>
      <c r="AI212" s="398"/>
      <c r="AJ212" s="398"/>
      <c r="AK212" s="398"/>
      <c r="AL212" s="549"/>
      <c r="AM212" s="398"/>
      <c r="AN212" s="398"/>
      <c r="AO212" s="398"/>
      <c r="AP212" s="398"/>
      <c r="AQ212" s="549"/>
      <c r="AR212" s="398"/>
      <c r="AS212" s="398"/>
      <c r="AT212" s="398"/>
      <c r="AU212" s="398"/>
      <c r="AV212" s="549"/>
      <c r="AW212" s="398"/>
      <c r="AX212" s="398"/>
      <c r="AY212" s="398"/>
      <c r="AZ212" s="398"/>
      <c r="BA212" s="549"/>
      <c r="BB212" s="398"/>
      <c r="BC212" s="398"/>
      <c r="BD212" s="398"/>
      <c r="BE212" s="398"/>
      <c r="BF212" s="344"/>
      <c r="BG212" s="399"/>
      <c r="BH212" s="343"/>
      <c r="BI212" s="343"/>
      <c r="BJ212" s="1812"/>
      <c r="BK212" s="577"/>
      <c r="BL212" s="343"/>
      <c r="BM212" s="343"/>
      <c r="BN212" s="343"/>
      <c r="BO212" s="1812"/>
      <c r="BP212" s="577"/>
      <c r="BQ212" s="343"/>
      <c r="BR212" s="343"/>
      <c r="BS212" s="343"/>
      <c r="BT212" s="1812"/>
      <c r="BU212" s="3374"/>
      <c r="BV212" s="343"/>
      <c r="BW212" s="343"/>
      <c r="BX212" s="343"/>
      <c r="BY212" s="1812"/>
      <c r="BZ212" s="577"/>
      <c r="CA212" s="577"/>
      <c r="CB212" s="577"/>
      <c r="CC212" s="577"/>
      <c r="CD212" s="577"/>
      <c r="CE212" s="577"/>
      <c r="CF212" s="577"/>
      <c r="CG212" s="577"/>
      <c r="CH212" s="575"/>
      <c r="CI212" s="575"/>
      <c r="CJ212" s="575"/>
      <c r="CK212" s="575"/>
      <c r="CL212" s="575"/>
      <c r="CM212" s="575"/>
      <c r="CN212" s="575"/>
      <c r="CO212" s="575"/>
      <c r="CP212" s="396" t="str">
        <f t="shared" si="455"/>
        <v>% Growth (y-o-y)</v>
      </c>
      <c r="CQ212" s="343"/>
      <c r="CR212" s="343">
        <f t="shared" si="457"/>
        <v>0.36828374777975137</v>
      </c>
      <c r="CS212" s="343">
        <f>R212</f>
        <v>-0.37515719443430284</v>
      </c>
      <c r="CT212" s="343"/>
      <c r="CU212" s="343"/>
      <c r="CV212" s="343"/>
      <c r="CW212" s="343"/>
      <c r="CX212" s="343"/>
      <c r="CY212" s="343"/>
      <c r="CZ212" s="343"/>
      <c r="DA212" s="343"/>
      <c r="DB212" s="343"/>
      <c r="DC212" s="343"/>
      <c r="DD212" s="343"/>
      <c r="DE212" s="343"/>
      <c r="DF212" s="343"/>
      <c r="DG212" s="1812"/>
      <c r="DH212" s="568"/>
      <c r="DI212" s="568"/>
      <c r="DJ212" s="568"/>
      <c r="DK212" s="568"/>
      <c r="DL212" s="568"/>
      <c r="DM212" s="568"/>
      <c r="DN212" s="551"/>
      <c r="DO212" s="266"/>
      <c r="DY212" s="575"/>
      <c r="DZ212" s="575"/>
    </row>
    <row r="213" spans="1:130" ht="5.0999999999999996" hidden="1" customHeight="1" outlineLevel="1">
      <c r="A213" s="227"/>
      <c r="B213" s="248"/>
      <c r="C213" s="248"/>
      <c r="D213" s="578"/>
      <c r="E213" s="248"/>
      <c r="F213" s="248"/>
      <c r="G213" s="248"/>
      <c r="H213" s="579"/>
      <c r="I213" s="248"/>
      <c r="J213" s="248"/>
      <c r="K213" s="248"/>
      <c r="L213" s="248"/>
      <c r="M213" s="579"/>
      <c r="N213" s="248"/>
      <c r="O213" s="248"/>
      <c r="P213" s="248"/>
      <c r="Q213" s="248"/>
      <c r="R213" s="579"/>
      <c r="S213" s="248"/>
      <c r="T213" s="248"/>
      <c r="U213" s="248"/>
      <c r="V213" s="248"/>
      <c r="W213" s="579"/>
      <c r="X213" s="248"/>
      <c r="Y213" s="248"/>
      <c r="Z213" s="248"/>
      <c r="AA213" s="248"/>
      <c r="AB213" s="579"/>
      <c r="AC213" s="248"/>
      <c r="AD213" s="248"/>
      <c r="AE213" s="248"/>
      <c r="AF213" s="248"/>
      <c r="AG213" s="579"/>
      <c r="AH213" s="248"/>
      <c r="AI213" s="248"/>
      <c r="AJ213" s="248"/>
      <c r="AK213" s="248"/>
      <c r="AL213" s="579"/>
      <c r="AM213" s="248"/>
      <c r="AN213" s="248"/>
      <c r="AO213" s="248"/>
      <c r="AP213" s="248"/>
      <c r="AQ213" s="579"/>
      <c r="AR213" s="248"/>
      <c r="AS213" s="248"/>
      <c r="AT213" s="248"/>
      <c r="AU213" s="248"/>
      <c r="AV213" s="579"/>
      <c r="AW213" s="248"/>
      <c r="AX213" s="248"/>
      <c r="AY213" s="248"/>
      <c r="AZ213" s="248"/>
      <c r="BA213" s="579"/>
      <c r="BB213" s="248"/>
      <c r="BC213" s="248"/>
      <c r="BD213" s="248"/>
      <c r="BE213" s="248"/>
      <c r="BF213" s="579"/>
      <c r="BG213" s="578"/>
      <c r="BH213" s="248"/>
      <c r="BI213" s="248"/>
      <c r="BJ213" s="1552"/>
      <c r="BK213" s="579"/>
      <c r="BL213" s="248"/>
      <c r="BM213" s="248"/>
      <c r="BN213" s="248"/>
      <c r="BO213" s="1552"/>
      <c r="BP213" s="579"/>
      <c r="BQ213" s="248"/>
      <c r="BR213" s="248"/>
      <c r="BS213" s="248"/>
      <c r="BT213" s="1552"/>
      <c r="BU213" s="3375"/>
      <c r="BV213" s="248"/>
      <c r="BW213" s="248"/>
      <c r="BX213" s="248"/>
      <c r="BY213" s="1552"/>
      <c r="BZ213" s="579"/>
      <c r="CA213" s="579"/>
      <c r="CB213" s="579"/>
      <c r="CC213" s="579"/>
      <c r="CD213" s="579"/>
      <c r="CE213" s="579"/>
      <c r="CF213" s="579"/>
      <c r="CG213" s="579"/>
      <c r="CH213" s="248"/>
      <c r="CI213" s="248"/>
      <c r="CJ213" s="248"/>
      <c r="CK213" s="248"/>
      <c r="CL213" s="248"/>
      <c r="CM213" s="248"/>
      <c r="CN213" s="248"/>
      <c r="CO213" s="248"/>
      <c r="CP213" s="1851"/>
      <c r="CQ213" s="248"/>
      <c r="CR213" s="248"/>
      <c r="CS213" s="248"/>
      <c r="CT213" s="248"/>
      <c r="CU213" s="248"/>
      <c r="CV213" s="248"/>
      <c r="CW213" s="248"/>
      <c r="CX213" s="248"/>
      <c r="CY213" s="248"/>
      <c r="CZ213" s="248"/>
      <c r="DA213" s="248"/>
      <c r="DB213" s="248"/>
      <c r="DC213" s="248"/>
      <c r="DD213" s="248"/>
      <c r="DE213" s="248"/>
      <c r="DF213" s="248"/>
      <c r="DG213" s="1552"/>
      <c r="DH213" s="248"/>
      <c r="DI213" s="248"/>
      <c r="DJ213" s="248"/>
      <c r="DK213" s="248"/>
      <c r="DL213" s="248"/>
      <c r="DM213" s="248"/>
      <c r="DN213" s="248"/>
      <c r="DO213" s="227"/>
      <c r="DY213" s="248"/>
      <c r="DZ213" s="248"/>
    </row>
    <row r="214" spans="1:130" ht="12" hidden="1" customHeight="1" outlineLevel="1">
      <c r="A214" s="552" t="s">
        <v>372</v>
      </c>
      <c r="B214" s="228"/>
      <c r="C214" s="228"/>
      <c r="D214" s="584">
        <v>3.6819999999999999</v>
      </c>
      <c r="E214" s="583">
        <v>3.6869999999999998</v>
      </c>
      <c r="F214" s="583">
        <v>3.6560000000000001</v>
      </c>
      <c r="G214" s="583">
        <v>3.7069999999999999</v>
      </c>
      <c r="H214" s="585">
        <f>SUM(D214:G214)</f>
        <v>14.731999999999999</v>
      </c>
      <c r="I214" s="583">
        <v>3.6579999999999999</v>
      </c>
      <c r="J214" s="583">
        <v>3.383</v>
      </c>
      <c r="K214" s="583">
        <v>3.4249999999999998</v>
      </c>
      <c r="L214" s="583">
        <v>3.4590000000000001</v>
      </c>
      <c r="M214" s="585">
        <f>SUM(I214:L214)</f>
        <v>13.925000000000001</v>
      </c>
      <c r="N214" s="583">
        <v>2.0249999999999999</v>
      </c>
      <c r="O214" s="583">
        <v>2.0249999999999999</v>
      </c>
      <c r="P214" s="583">
        <v>2.0249999999999999</v>
      </c>
      <c r="Q214" s="583">
        <v>2.0249999999999999</v>
      </c>
      <c r="R214" s="585">
        <f>SUM(N214:Q214)</f>
        <v>8.1</v>
      </c>
      <c r="S214" s="583"/>
      <c r="T214" s="583"/>
      <c r="U214" s="583"/>
      <c r="V214" s="583"/>
      <c r="W214" s="586"/>
      <c r="X214" s="583"/>
      <c r="Y214" s="583"/>
      <c r="Z214" s="583"/>
      <c r="AA214" s="583"/>
      <c r="AB214" s="586"/>
      <c r="AC214" s="583"/>
      <c r="AD214" s="583"/>
      <c r="AE214" s="583"/>
      <c r="AF214" s="583"/>
      <c r="AG214" s="585"/>
      <c r="AH214" s="583"/>
      <c r="AI214" s="583"/>
      <c r="AJ214" s="583"/>
      <c r="AK214" s="583"/>
      <c r="AL214" s="585"/>
      <c r="AM214" s="583"/>
      <c r="AN214" s="583"/>
      <c r="AO214" s="583"/>
      <c r="AP214" s="583"/>
      <c r="AQ214" s="585"/>
      <c r="AR214" s="583"/>
      <c r="AS214" s="583"/>
      <c r="AT214" s="583"/>
      <c r="AU214" s="583"/>
      <c r="AV214" s="587"/>
      <c r="AW214" s="583"/>
      <c r="AX214" s="583"/>
      <c r="AY214" s="583"/>
      <c r="AZ214" s="583"/>
      <c r="BA214" s="588"/>
      <c r="BB214" s="583"/>
      <c r="BC214" s="583"/>
      <c r="BD214" s="583"/>
      <c r="BE214" s="583"/>
      <c r="BF214" s="588"/>
      <c r="BG214" s="580"/>
      <c r="BH214" s="581"/>
      <c r="BI214" s="581"/>
      <c r="BJ214" s="869"/>
      <c r="BK214" s="588"/>
      <c r="BL214" s="581"/>
      <c r="BM214" s="581"/>
      <c r="BN214" s="581"/>
      <c r="BO214" s="869"/>
      <c r="BP214" s="588"/>
      <c r="BQ214" s="581"/>
      <c r="BR214" s="581"/>
      <c r="BS214" s="581"/>
      <c r="BT214" s="869"/>
      <c r="BU214" s="3376"/>
      <c r="BV214" s="581"/>
      <c r="BW214" s="581"/>
      <c r="BX214" s="581"/>
      <c r="BY214" s="869"/>
      <c r="BZ214" s="588"/>
      <c r="CA214" s="588"/>
      <c r="CB214" s="588"/>
      <c r="CC214" s="588"/>
      <c r="CD214" s="588"/>
      <c r="CE214" s="588"/>
      <c r="CF214" s="588"/>
      <c r="CG214" s="588"/>
      <c r="CH214" s="581"/>
      <c r="CI214" s="581"/>
      <c r="CJ214" s="581"/>
      <c r="CK214" s="581"/>
      <c r="CL214" s="581"/>
      <c r="CM214" s="581"/>
      <c r="CN214" s="581"/>
      <c r="CO214" s="581"/>
      <c r="CP214" s="994" t="str">
        <f t="shared" si="455"/>
        <v>Depreciation</v>
      </c>
      <c r="CQ214" s="581">
        <f t="shared" si="456"/>
        <v>14.731999999999999</v>
      </c>
      <c r="CR214" s="581">
        <f t="shared" si="457"/>
        <v>13.925000000000001</v>
      </c>
      <c r="CS214" s="581">
        <f>R214</f>
        <v>8.1</v>
      </c>
      <c r="CT214" s="581"/>
      <c r="CU214" s="581"/>
      <c r="CV214" s="581"/>
      <c r="CW214" s="581"/>
      <c r="CX214" s="581"/>
      <c r="CY214" s="581"/>
      <c r="CZ214" s="581"/>
      <c r="DA214" s="581"/>
      <c r="DB214" s="581"/>
      <c r="DC214" s="581"/>
      <c r="DD214" s="581"/>
      <c r="DE214" s="581"/>
      <c r="DF214" s="581"/>
      <c r="DG214" s="869"/>
      <c r="DH214" s="589"/>
      <c r="DI214" s="590"/>
      <c r="DJ214" s="590"/>
      <c r="DK214" s="590"/>
      <c r="DL214" s="590"/>
      <c r="DM214" s="590"/>
      <c r="DN214" s="514"/>
      <c r="DO214" s="226"/>
      <c r="DY214" s="581"/>
      <c r="DZ214" s="581"/>
    </row>
    <row r="215" spans="1:130" ht="12" hidden="1" customHeight="1" outlineLevel="1">
      <c r="A215" s="567" t="s">
        <v>430</v>
      </c>
      <c r="B215" s="228"/>
      <c r="C215" s="228"/>
      <c r="D215" s="591">
        <f t="shared" ref="D215:M215" si="466">D214/D203</f>
        <v>9.500954740155855E-2</v>
      </c>
      <c r="E215" s="592">
        <f t="shared" si="466"/>
        <v>9.6584062450882802E-2</v>
      </c>
      <c r="F215" s="592">
        <f t="shared" si="466"/>
        <v>0.10203170350524671</v>
      </c>
      <c r="G215" s="592">
        <f t="shared" si="466"/>
        <v>9.5558477044827672E-2</v>
      </c>
      <c r="H215" s="594">
        <f t="shared" si="466"/>
        <v>9.7206917711955554E-2</v>
      </c>
      <c r="I215" s="592">
        <f t="shared" si="466"/>
        <v>8.9806540312285174E-2</v>
      </c>
      <c r="J215" s="592">
        <f t="shared" si="466"/>
        <v>8.7867847588374334E-2</v>
      </c>
      <c r="K215" s="592">
        <f t="shared" si="466"/>
        <v>8.9118442964196493E-2</v>
      </c>
      <c r="L215" s="592">
        <f t="shared" si="466"/>
        <v>8.4555588149017299E-2</v>
      </c>
      <c r="M215" s="594">
        <f t="shared" si="466"/>
        <v>8.7814445082075768E-2</v>
      </c>
      <c r="N215" s="592"/>
      <c r="O215" s="592"/>
      <c r="P215" s="592"/>
      <c r="Q215" s="592"/>
      <c r="R215" s="594"/>
      <c r="S215" s="380"/>
      <c r="T215" s="380"/>
      <c r="U215" s="380"/>
      <c r="V215" s="380"/>
      <c r="W215" s="309"/>
      <c r="X215" s="380"/>
      <c r="Y215" s="380"/>
      <c r="Z215" s="380"/>
      <c r="AA215" s="380"/>
      <c r="AB215" s="309"/>
      <c r="AC215" s="380"/>
      <c r="AD215" s="380"/>
      <c r="AE215" s="380"/>
      <c r="AF215" s="380"/>
      <c r="AG215" s="309"/>
      <c r="AH215" s="380"/>
      <c r="AI215" s="380"/>
      <c r="AJ215" s="380"/>
      <c r="AK215" s="380"/>
      <c r="AL215" s="309"/>
      <c r="AM215" s="380"/>
      <c r="AN215" s="380"/>
      <c r="AO215" s="380"/>
      <c r="AP215" s="380"/>
      <c r="AQ215" s="309"/>
      <c r="AR215" s="380"/>
      <c r="AS215" s="380"/>
      <c r="AT215" s="380"/>
      <c r="AU215" s="380"/>
      <c r="AV215" s="478"/>
      <c r="AW215" s="380"/>
      <c r="AX215" s="380"/>
      <c r="AY215" s="380"/>
      <c r="AZ215" s="380"/>
      <c r="BA215" s="478"/>
      <c r="BB215" s="380"/>
      <c r="BC215" s="380"/>
      <c r="BD215" s="380"/>
      <c r="BE215" s="380"/>
      <c r="BF215" s="478"/>
      <c r="BG215" s="2950"/>
      <c r="BH215" s="380"/>
      <c r="BI215" s="380"/>
      <c r="BJ215" s="1852"/>
      <c r="BK215" s="478"/>
      <c r="BL215" s="380"/>
      <c r="BM215" s="380"/>
      <c r="BN215" s="380"/>
      <c r="BO215" s="1852"/>
      <c r="BP215" s="478"/>
      <c r="BQ215" s="380"/>
      <c r="BR215" s="380"/>
      <c r="BS215" s="380"/>
      <c r="BT215" s="1852"/>
      <c r="BU215" s="3377"/>
      <c r="BV215" s="380"/>
      <c r="BW215" s="380"/>
      <c r="BX215" s="380"/>
      <c r="BY215" s="1852"/>
      <c r="BZ215" s="478"/>
      <c r="CA215" s="478"/>
      <c r="CB215" s="478"/>
      <c r="CC215" s="478"/>
      <c r="CD215" s="478"/>
      <c r="CE215" s="478"/>
      <c r="CF215" s="478"/>
      <c r="CG215" s="478"/>
      <c r="CH215" s="380"/>
      <c r="CI215" s="380"/>
      <c r="CJ215" s="380"/>
      <c r="CK215" s="380"/>
      <c r="CL215" s="380"/>
      <c r="CM215" s="380"/>
      <c r="CN215" s="380"/>
      <c r="CO215" s="380"/>
      <c r="CP215" s="1849" t="str">
        <f t="shared" si="455"/>
        <v>% of Revenue</v>
      </c>
      <c r="CQ215" s="380">
        <f t="shared" si="456"/>
        <v>9.7206917711955554E-2</v>
      </c>
      <c r="CR215" s="380">
        <f t="shared" si="457"/>
        <v>8.7814445082075768E-2</v>
      </c>
      <c r="CS215" s="380"/>
      <c r="CT215" s="380"/>
      <c r="CU215" s="380"/>
      <c r="CV215" s="380"/>
      <c r="CW215" s="380"/>
      <c r="CX215" s="380"/>
      <c r="CY215" s="380"/>
      <c r="CZ215" s="380"/>
      <c r="DA215" s="380"/>
      <c r="DB215" s="380"/>
      <c r="DC215" s="380"/>
      <c r="DD215" s="380"/>
      <c r="DE215" s="380"/>
      <c r="DF215" s="380"/>
      <c r="DG215" s="1852"/>
      <c r="DH215" s="595"/>
      <c r="DI215" s="570"/>
      <c r="DJ215" s="570"/>
      <c r="DK215" s="570"/>
      <c r="DL215" s="570"/>
      <c r="DM215" s="570"/>
      <c r="DN215" s="514"/>
      <c r="DO215" s="226"/>
      <c r="DY215" s="380"/>
      <c r="DZ215" s="380"/>
    </row>
    <row r="216" spans="1:130" ht="5.0999999999999996" hidden="1" customHeight="1" outlineLevel="1">
      <c r="A216" s="552"/>
      <c r="B216" s="228"/>
      <c r="C216" s="228"/>
      <c r="D216" s="509"/>
      <c r="E216" s="510"/>
      <c r="F216" s="510"/>
      <c r="G216" s="510"/>
      <c r="H216" s="512"/>
      <c r="I216" s="510"/>
      <c r="J216" s="510"/>
      <c r="K216" s="510"/>
      <c r="L216" s="510"/>
      <c r="M216" s="512"/>
      <c r="N216" s="510"/>
      <c r="O216" s="510"/>
      <c r="P216" s="510"/>
      <c r="Q216" s="510"/>
      <c r="R216" s="512"/>
      <c r="S216" s="510"/>
      <c r="T216" s="510"/>
      <c r="U216" s="510"/>
      <c r="V216" s="510"/>
      <c r="W216" s="425"/>
      <c r="X216" s="510"/>
      <c r="Y216" s="510"/>
      <c r="Z216" s="510"/>
      <c r="AA216" s="510"/>
      <c r="AB216" s="425"/>
      <c r="AC216" s="510"/>
      <c r="AD216" s="510"/>
      <c r="AE216" s="510"/>
      <c r="AF216" s="510"/>
      <c r="AG216" s="425"/>
      <c r="AH216" s="426"/>
      <c r="AI216" s="426"/>
      <c r="AJ216" s="426"/>
      <c r="AK216" s="426"/>
      <c r="AL216" s="512"/>
      <c r="AM216" s="510"/>
      <c r="AN216" s="510"/>
      <c r="AO216" s="510"/>
      <c r="AP216" s="510"/>
      <c r="AQ216" s="512"/>
      <c r="AR216" s="510"/>
      <c r="AS216" s="510"/>
      <c r="AT216" s="510"/>
      <c r="AU216" s="510"/>
      <c r="AV216" s="512"/>
      <c r="AW216" s="510"/>
      <c r="AX216" s="510"/>
      <c r="AY216" s="510"/>
      <c r="AZ216" s="510"/>
      <c r="BA216" s="512"/>
      <c r="BB216" s="510"/>
      <c r="BC216" s="510"/>
      <c r="BD216" s="510"/>
      <c r="BE216" s="510"/>
      <c r="BF216" s="512"/>
      <c r="BG216" s="509"/>
      <c r="BH216" s="510"/>
      <c r="BI216" s="510"/>
      <c r="BJ216" s="2811"/>
      <c r="BK216" s="512"/>
      <c r="BL216" s="510"/>
      <c r="BM216" s="510"/>
      <c r="BN216" s="510"/>
      <c r="BO216" s="2811"/>
      <c r="BP216" s="512"/>
      <c r="BQ216" s="510"/>
      <c r="BR216" s="510"/>
      <c r="BS216" s="510"/>
      <c r="BT216" s="2811"/>
      <c r="BU216" s="3367"/>
      <c r="BV216" s="510"/>
      <c r="BW216" s="510"/>
      <c r="BX216" s="510"/>
      <c r="BY216" s="2811"/>
      <c r="BZ216" s="512"/>
      <c r="CA216" s="512"/>
      <c r="CB216" s="512"/>
      <c r="CC216" s="512"/>
      <c r="CD216" s="512"/>
      <c r="CE216" s="512"/>
      <c r="CF216" s="512"/>
      <c r="CG216" s="512"/>
      <c r="CH216" s="510"/>
      <c r="CI216" s="510"/>
      <c r="CJ216" s="510"/>
      <c r="CK216" s="510"/>
      <c r="CL216" s="510"/>
      <c r="CM216" s="510"/>
      <c r="CN216" s="510"/>
      <c r="CO216" s="510"/>
      <c r="CP216" s="994"/>
      <c r="CQ216" s="231"/>
      <c r="CR216" s="231"/>
      <c r="CS216" s="231"/>
      <c r="CT216" s="231"/>
      <c r="CU216" s="231"/>
      <c r="CV216" s="231"/>
      <c r="CW216" s="231"/>
      <c r="CX216" s="231"/>
      <c r="CY216" s="231"/>
      <c r="CZ216" s="231"/>
      <c r="DA216" s="231"/>
      <c r="DB216" s="231"/>
      <c r="DC216" s="231"/>
      <c r="DD216" s="231"/>
      <c r="DE216" s="231"/>
      <c r="DF216" s="231"/>
      <c r="DG216" s="1841"/>
      <c r="DH216" s="514"/>
      <c r="DI216" s="514"/>
      <c r="DJ216" s="514"/>
      <c r="DK216" s="514"/>
      <c r="DL216" s="514"/>
      <c r="DM216" s="514"/>
      <c r="DN216" s="514"/>
      <c r="DO216" s="226"/>
      <c r="DY216" s="510"/>
      <c r="DZ216" s="510"/>
    </row>
    <row r="217" spans="1:130" ht="12" hidden="1" customHeight="1" outlineLevel="1">
      <c r="A217" s="552"/>
      <c r="B217" s="552"/>
      <c r="C217" s="552"/>
      <c r="D217" s="596"/>
      <c r="E217" s="570"/>
      <c r="F217" s="570"/>
      <c r="G217" s="570"/>
      <c r="H217" s="569"/>
      <c r="I217" s="570"/>
      <c r="J217" s="570"/>
      <c r="K217" s="570"/>
      <c r="L217" s="570"/>
      <c r="M217" s="569"/>
      <c r="N217" s="570"/>
      <c r="O217" s="570"/>
      <c r="P217" s="570"/>
      <c r="Q217" s="570"/>
      <c r="R217" s="569"/>
      <c r="S217" s="570"/>
      <c r="T217" s="570"/>
      <c r="U217" s="570"/>
      <c r="V217" s="570"/>
      <c r="W217" s="569"/>
      <c r="X217" s="570"/>
      <c r="Y217" s="570"/>
      <c r="Z217" s="570"/>
      <c r="AA217" s="570"/>
      <c r="AB217" s="569"/>
      <c r="AC217" s="570"/>
      <c r="AD217" s="570"/>
      <c r="AE217" s="570"/>
      <c r="AF217" s="570"/>
      <c r="AG217" s="569"/>
      <c r="AH217" s="570"/>
      <c r="AI217" s="570"/>
      <c r="AJ217" s="570"/>
      <c r="AK217" s="570"/>
      <c r="AL217" s="569"/>
      <c r="AM217" s="570"/>
      <c r="AN217" s="570"/>
      <c r="AO217" s="570"/>
      <c r="AP217" s="570"/>
      <c r="AQ217" s="569"/>
      <c r="AR217" s="570"/>
      <c r="AS217" s="570"/>
      <c r="AT217" s="570"/>
      <c r="AU217" s="570"/>
      <c r="AV217" s="569"/>
      <c r="AW217" s="570"/>
      <c r="AX217" s="570"/>
      <c r="AY217" s="570"/>
      <c r="AZ217" s="570"/>
      <c r="BA217" s="569"/>
      <c r="BB217" s="570"/>
      <c r="BC217" s="570"/>
      <c r="BD217" s="570"/>
      <c r="BE217" s="570"/>
      <c r="BF217" s="569"/>
      <c r="BG217" s="596"/>
      <c r="BH217" s="570"/>
      <c r="BI217" s="570"/>
      <c r="BJ217" s="2807"/>
      <c r="BK217" s="569"/>
      <c r="BL217" s="570"/>
      <c r="BM217" s="570"/>
      <c r="BN217" s="570"/>
      <c r="BO217" s="2807"/>
      <c r="BP217" s="569"/>
      <c r="BQ217" s="570"/>
      <c r="BR217" s="570"/>
      <c r="BS217" s="570"/>
      <c r="BT217" s="2807"/>
      <c r="BU217" s="3378"/>
      <c r="BV217" s="570"/>
      <c r="BW217" s="570"/>
      <c r="BX217" s="570"/>
      <c r="BY217" s="2807"/>
      <c r="BZ217" s="569"/>
      <c r="CA217" s="569"/>
      <c r="CB217" s="569"/>
      <c r="CC217" s="569"/>
      <c r="CD217" s="569"/>
      <c r="CE217" s="569"/>
      <c r="CF217" s="569"/>
      <c r="CG217" s="569"/>
      <c r="CH217" s="570"/>
      <c r="CI217" s="570"/>
      <c r="CJ217" s="570"/>
      <c r="CK217" s="570"/>
      <c r="CL217" s="570"/>
      <c r="CM217" s="570"/>
      <c r="CN217" s="570"/>
      <c r="CO217" s="570"/>
      <c r="CP217" s="994"/>
      <c r="CQ217" s="592"/>
      <c r="CR217" s="592"/>
      <c r="CS217" s="592"/>
      <c r="CT217" s="592"/>
      <c r="CU217" s="592"/>
      <c r="CV217" s="592"/>
      <c r="CW217" s="592"/>
      <c r="CX217" s="592"/>
      <c r="CY217" s="592"/>
      <c r="CZ217" s="592"/>
      <c r="DA217" s="592"/>
      <c r="DB217" s="592"/>
      <c r="DC217" s="592"/>
      <c r="DD217" s="592"/>
      <c r="DE217" s="592"/>
      <c r="DF217" s="592"/>
      <c r="DG217" s="1850"/>
      <c r="DH217" s="595"/>
      <c r="DI217" s="595"/>
      <c r="DJ217" s="595"/>
      <c r="DK217" s="595"/>
      <c r="DL217" s="595"/>
      <c r="DM217" s="595"/>
      <c r="DN217" s="514"/>
      <c r="DO217" s="226"/>
      <c r="DY217" s="570"/>
      <c r="DZ217" s="570"/>
    </row>
    <row r="218" spans="1:130" ht="12" hidden="1" customHeight="1" outlineLevel="1">
      <c r="A218" s="552"/>
      <c r="B218" s="228"/>
      <c r="C218" s="228"/>
      <c r="D218" s="596"/>
      <c r="E218" s="570"/>
      <c r="F218" s="570"/>
      <c r="G218" s="570"/>
      <c r="H218" s="569"/>
      <c r="I218" s="570"/>
      <c r="J218" s="570"/>
      <c r="K218" s="570"/>
      <c r="L218" s="570"/>
      <c r="M218" s="569"/>
      <c r="N218" s="570"/>
      <c r="O218" s="570"/>
      <c r="P218" s="570"/>
      <c r="Q218" s="570"/>
      <c r="R218" s="569"/>
      <c r="S218" s="570"/>
      <c r="T218" s="570"/>
      <c r="U218" s="570"/>
      <c r="V218" s="570"/>
      <c r="W218" s="569"/>
      <c r="X218" s="570"/>
      <c r="Y218" s="570"/>
      <c r="Z218" s="570"/>
      <c r="AA218" s="570"/>
      <c r="AB218" s="569"/>
      <c r="AC218" s="570"/>
      <c r="AD218" s="570"/>
      <c r="AE218" s="570"/>
      <c r="AF218" s="570"/>
      <c r="AG218" s="569"/>
      <c r="AH218" s="570"/>
      <c r="AI218" s="570"/>
      <c r="AJ218" s="570"/>
      <c r="AK218" s="570"/>
      <c r="AL218" s="569"/>
      <c r="AM218" s="570"/>
      <c r="AN218" s="570"/>
      <c r="AO218" s="570"/>
      <c r="AP218" s="570"/>
      <c r="AQ218" s="569"/>
      <c r="AR218" s="570"/>
      <c r="AS218" s="570"/>
      <c r="AT218" s="570"/>
      <c r="AU218" s="570"/>
      <c r="AV218" s="569"/>
      <c r="AW218" s="570"/>
      <c r="AX218" s="570"/>
      <c r="AY218" s="570"/>
      <c r="AZ218" s="570"/>
      <c r="BA218" s="569"/>
      <c r="BB218" s="570"/>
      <c r="BC218" s="570"/>
      <c r="BD218" s="570"/>
      <c r="BE218" s="570"/>
      <c r="BF218" s="569"/>
      <c r="BG218" s="596"/>
      <c r="BH218" s="570"/>
      <c r="BI218" s="570"/>
      <c r="BJ218" s="2807"/>
      <c r="BK218" s="569"/>
      <c r="BL218" s="570"/>
      <c r="BM218" s="570"/>
      <c r="BN218" s="570"/>
      <c r="BO218" s="2807"/>
      <c r="BP218" s="569"/>
      <c r="BQ218" s="570"/>
      <c r="BR218" s="570"/>
      <c r="BS218" s="570"/>
      <c r="BT218" s="2807"/>
      <c r="BU218" s="3378"/>
      <c r="BV218" s="570"/>
      <c r="BW218" s="570"/>
      <c r="BX218" s="570"/>
      <c r="BY218" s="2807"/>
      <c r="BZ218" s="569"/>
      <c r="CA218" s="569"/>
      <c r="CB218" s="569"/>
      <c r="CC218" s="569"/>
      <c r="CD218" s="569"/>
      <c r="CE218" s="569"/>
      <c r="CF218" s="569"/>
      <c r="CG218" s="569"/>
      <c r="CH218" s="570"/>
      <c r="CI218" s="570"/>
      <c r="CJ218" s="570"/>
      <c r="CK218" s="570"/>
      <c r="CL218" s="570"/>
      <c r="CM218" s="570"/>
      <c r="CN218" s="570"/>
      <c r="CO218" s="570"/>
      <c r="CP218" s="994"/>
      <c r="CQ218" s="592"/>
      <c r="CR218" s="592"/>
      <c r="CS218" s="592"/>
      <c r="CT218" s="592"/>
      <c r="CU218" s="592"/>
      <c r="CV218" s="592"/>
      <c r="CW218" s="592"/>
      <c r="CX218" s="592"/>
      <c r="CY218" s="592"/>
      <c r="CZ218" s="592"/>
      <c r="DA218" s="592"/>
      <c r="DB218" s="592"/>
      <c r="DC218" s="592"/>
      <c r="DD218" s="592"/>
      <c r="DE218" s="592"/>
      <c r="DF218" s="592"/>
      <c r="DG218" s="1850"/>
      <c r="DH218" s="595"/>
      <c r="DI218" s="595"/>
      <c r="DJ218" s="595"/>
      <c r="DK218" s="595"/>
      <c r="DL218" s="595"/>
      <c r="DM218" s="595"/>
      <c r="DN218" s="514"/>
      <c r="DO218" s="226"/>
      <c r="DY218" s="570"/>
      <c r="DZ218" s="570"/>
    </row>
    <row r="219" spans="1:130" ht="12" hidden="1" customHeight="1" outlineLevel="1">
      <c r="A219" s="228" t="s">
        <v>611</v>
      </c>
      <c r="B219" s="228"/>
      <c r="C219" s="228"/>
      <c r="D219" s="596"/>
      <c r="E219" s="570"/>
      <c r="F219" s="570"/>
      <c r="G219" s="570"/>
      <c r="H219" s="569"/>
      <c r="I219" s="570"/>
      <c r="J219" s="570"/>
      <c r="K219" s="570"/>
      <c r="L219" s="570"/>
      <c r="M219" s="569"/>
      <c r="N219" s="570"/>
      <c r="O219" s="570"/>
      <c r="P219" s="570"/>
      <c r="Q219" s="570"/>
      <c r="R219" s="569"/>
      <c r="S219" s="570"/>
      <c r="T219" s="570"/>
      <c r="U219" s="570"/>
      <c r="V219" s="570"/>
      <c r="W219" s="569"/>
      <c r="X219" s="570"/>
      <c r="Y219" s="570"/>
      <c r="Z219" s="570"/>
      <c r="AA219" s="570"/>
      <c r="AB219" s="569"/>
      <c r="AC219" s="570"/>
      <c r="AD219" s="570"/>
      <c r="AE219" s="570"/>
      <c r="AF219" s="570"/>
      <c r="AG219" s="569"/>
      <c r="AH219" s="570"/>
      <c r="AI219" s="570"/>
      <c r="AJ219" s="570"/>
      <c r="AK219" s="570"/>
      <c r="AL219" s="569"/>
      <c r="AM219" s="570"/>
      <c r="AN219" s="570"/>
      <c r="AO219" s="570"/>
      <c r="AP219" s="570"/>
      <c r="AQ219" s="569"/>
      <c r="AR219" s="570"/>
      <c r="AS219" s="570"/>
      <c r="AT219" s="570"/>
      <c r="AU219" s="570"/>
      <c r="AV219" s="569"/>
      <c r="AW219" s="570"/>
      <c r="AX219" s="570"/>
      <c r="AY219" s="570"/>
      <c r="AZ219" s="570"/>
      <c r="BA219" s="569"/>
      <c r="BB219" s="570"/>
      <c r="BC219" s="570"/>
      <c r="BD219" s="570"/>
      <c r="BE219" s="570"/>
      <c r="BF219" s="569"/>
      <c r="BG219" s="596"/>
      <c r="BH219" s="570"/>
      <c r="BI219" s="570"/>
      <c r="BJ219" s="2807"/>
      <c r="BK219" s="569"/>
      <c r="BL219" s="570"/>
      <c r="BM219" s="570"/>
      <c r="BN219" s="570"/>
      <c r="BO219" s="2807"/>
      <c r="BP219" s="569"/>
      <c r="BQ219" s="570"/>
      <c r="BR219" s="570"/>
      <c r="BS219" s="570"/>
      <c r="BT219" s="2807"/>
      <c r="BU219" s="3378"/>
      <c r="BV219" s="570"/>
      <c r="BW219" s="570"/>
      <c r="BX219" s="570"/>
      <c r="BY219" s="2807"/>
      <c r="BZ219" s="569"/>
      <c r="CA219" s="569"/>
      <c r="CB219" s="569"/>
      <c r="CC219" s="569"/>
      <c r="CD219" s="569"/>
      <c r="CE219" s="569"/>
      <c r="CF219" s="569"/>
      <c r="CG219" s="569"/>
      <c r="CH219" s="570"/>
      <c r="CI219" s="570"/>
      <c r="CJ219" s="570"/>
      <c r="CK219" s="570"/>
      <c r="CL219" s="570"/>
      <c r="CM219" s="570"/>
      <c r="CN219" s="570"/>
      <c r="CO219" s="570"/>
      <c r="CP219" s="1847" t="str">
        <f t="shared" si="455"/>
        <v>(Sam's LV/Eldorado/JW)</v>
      </c>
      <c r="CQ219" s="592"/>
      <c r="CR219" s="592"/>
      <c r="CS219" s="592"/>
      <c r="CT219" s="592"/>
      <c r="CU219" s="592"/>
      <c r="CV219" s="592"/>
      <c r="CW219" s="592"/>
      <c r="CX219" s="592"/>
      <c r="CY219" s="592"/>
      <c r="CZ219" s="592"/>
      <c r="DA219" s="592"/>
      <c r="DB219" s="592"/>
      <c r="DC219" s="592"/>
      <c r="DD219" s="592"/>
      <c r="DE219" s="592"/>
      <c r="DF219" s="592"/>
      <c r="DG219" s="1850"/>
      <c r="DH219" s="595"/>
      <c r="DI219" s="595"/>
      <c r="DJ219" s="595"/>
      <c r="DK219" s="595"/>
      <c r="DL219" s="595"/>
      <c r="DM219" s="595"/>
      <c r="DN219" s="514"/>
      <c r="DO219" s="226"/>
      <c r="DY219" s="570"/>
      <c r="DZ219" s="570"/>
    </row>
    <row r="220" spans="1:130" ht="12" hidden="1" customHeight="1" outlineLevel="1">
      <c r="A220" s="516" t="s">
        <v>1596</v>
      </c>
      <c r="B220" s="517"/>
      <c r="C220" s="517"/>
      <c r="D220" s="518" t="str">
        <f t="shared" ref="D220:CC220" si="467">D$6</f>
        <v>1Q04</v>
      </c>
      <c r="E220" s="519" t="str">
        <f t="shared" si="467"/>
        <v>2Q04</v>
      </c>
      <c r="F220" s="519" t="str">
        <f t="shared" si="467"/>
        <v>3Q04</v>
      </c>
      <c r="G220" s="519" t="str">
        <f t="shared" si="467"/>
        <v>4Q04</v>
      </c>
      <c r="H220" s="520">
        <f t="shared" si="467"/>
        <v>2004</v>
      </c>
      <c r="I220" s="519" t="str">
        <f t="shared" si="467"/>
        <v>1Q05</v>
      </c>
      <c r="J220" s="519" t="str">
        <f t="shared" si="467"/>
        <v>2Q05</v>
      </c>
      <c r="K220" s="519" t="str">
        <f t="shared" si="467"/>
        <v>3Q05</v>
      </c>
      <c r="L220" s="519" t="str">
        <f t="shared" si="467"/>
        <v>4Q05</v>
      </c>
      <c r="M220" s="520">
        <f t="shared" si="467"/>
        <v>2005</v>
      </c>
      <c r="N220" s="519" t="str">
        <f t="shared" si="467"/>
        <v>1Q06</v>
      </c>
      <c r="O220" s="519" t="str">
        <f t="shared" si="467"/>
        <v>2Q06</v>
      </c>
      <c r="P220" s="519" t="str">
        <f t="shared" si="467"/>
        <v>3Q06</v>
      </c>
      <c r="Q220" s="519" t="str">
        <f t="shared" si="467"/>
        <v>4Q06</v>
      </c>
      <c r="R220" s="520">
        <f t="shared" si="467"/>
        <v>2006</v>
      </c>
      <c r="S220" s="519" t="str">
        <f t="shared" si="467"/>
        <v>1Q07</v>
      </c>
      <c r="T220" s="519" t="str">
        <f t="shared" si="467"/>
        <v>2Q07</v>
      </c>
      <c r="U220" s="519" t="str">
        <f t="shared" si="467"/>
        <v>3Q07</v>
      </c>
      <c r="V220" s="519" t="str">
        <f t="shared" si="467"/>
        <v>4Q07</v>
      </c>
      <c r="W220" s="520">
        <f t="shared" si="467"/>
        <v>2007</v>
      </c>
      <c r="X220" s="519" t="str">
        <f t="shared" si="467"/>
        <v>1Q08</v>
      </c>
      <c r="Y220" s="519" t="str">
        <f t="shared" si="467"/>
        <v>2Q08</v>
      </c>
      <c r="Z220" s="519" t="str">
        <f t="shared" si="467"/>
        <v>3Q08</v>
      </c>
      <c r="AA220" s="519" t="str">
        <f t="shared" si="467"/>
        <v>4Q08</v>
      </c>
      <c r="AB220" s="520">
        <f t="shared" si="467"/>
        <v>2008</v>
      </c>
      <c r="AC220" s="519" t="str">
        <f t="shared" si="467"/>
        <v>1Q09</v>
      </c>
      <c r="AD220" s="519" t="str">
        <f t="shared" si="467"/>
        <v>2Q09</v>
      </c>
      <c r="AE220" s="519" t="str">
        <f t="shared" si="467"/>
        <v>3Q09</v>
      </c>
      <c r="AF220" s="519" t="str">
        <f t="shared" si="467"/>
        <v>4Q09</v>
      </c>
      <c r="AG220" s="520">
        <f t="shared" si="467"/>
        <v>2009</v>
      </c>
      <c r="AH220" s="519" t="str">
        <f t="shared" si="467"/>
        <v>1Q10</v>
      </c>
      <c r="AI220" s="519" t="str">
        <f t="shared" si="467"/>
        <v>2Q10</v>
      </c>
      <c r="AJ220" s="519" t="str">
        <f t="shared" si="467"/>
        <v>3Q10</v>
      </c>
      <c r="AK220" s="519" t="str">
        <f t="shared" si="467"/>
        <v>4Q10</v>
      </c>
      <c r="AL220" s="520">
        <f t="shared" si="467"/>
        <v>2010</v>
      </c>
      <c r="AM220" s="519" t="str">
        <f t="shared" si="467"/>
        <v>1Q11</v>
      </c>
      <c r="AN220" s="519" t="str">
        <f t="shared" si="467"/>
        <v>2Q11</v>
      </c>
      <c r="AO220" s="519" t="str">
        <f t="shared" si="467"/>
        <v>3Q11</v>
      </c>
      <c r="AP220" s="519" t="str">
        <f t="shared" si="467"/>
        <v>4Q11</v>
      </c>
      <c r="AQ220" s="520">
        <f t="shared" si="467"/>
        <v>2011</v>
      </c>
      <c r="AR220" s="519" t="str">
        <f t="shared" si="467"/>
        <v>1Q12</v>
      </c>
      <c r="AS220" s="519" t="str">
        <f t="shared" si="467"/>
        <v>2Q12</v>
      </c>
      <c r="AT220" s="519" t="str">
        <f t="shared" si="467"/>
        <v>3Q12</v>
      </c>
      <c r="AU220" s="519" t="str">
        <f t="shared" si="467"/>
        <v>4Q12</v>
      </c>
      <c r="AV220" s="520">
        <f t="shared" si="467"/>
        <v>2012</v>
      </c>
      <c r="AW220" s="519" t="str">
        <f t="shared" si="467"/>
        <v>1Q13</v>
      </c>
      <c r="AX220" s="519" t="str">
        <f t="shared" si="467"/>
        <v>2Q13</v>
      </c>
      <c r="AY220" s="519" t="str">
        <f t="shared" si="467"/>
        <v>3Q13</v>
      </c>
      <c r="AZ220" s="519" t="str">
        <f t="shared" si="467"/>
        <v>4Q13</v>
      </c>
      <c r="BA220" s="520">
        <f t="shared" si="467"/>
        <v>2013</v>
      </c>
      <c r="BB220" s="519" t="str">
        <f t="shared" si="467"/>
        <v>1Q14</v>
      </c>
      <c r="BC220" s="519" t="str">
        <f t="shared" si="467"/>
        <v>2Q14</v>
      </c>
      <c r="BD220" s="519" t="str">
        <f t="shared" si="467"/>
        <v>3Q14</v>
      </c>
      <c r="BE220" s="519" t="str">
        <f t="shared" si="467"/>
        <v>4Q14</v>
      </c>
      <c r="BF220" s="520">
        <f t="shared" si="467"/>
        <v>2014</v>
      </c>
      <c r="BG220" s="518" t="str">
        <f t="shared" si="467"/>
        <v>1Q15</v>
      </c>
      <c r="BH220" s="519" t="str">
        <f t="shared" si="467"/>
        <v>2Q15</v>
      </c>
      <c r="BI220" s="519" t="str">
        <f t="shared" si="467"/>
        <v>3Q15</v>
      </c>
      <c r="BJ220" s="2951" t="str">
        <f t="shared" si="467"/>
        <v>4Q15</v>
      </c>
      <c r="BK220" s="520">
        <f t="shared" si="467"/>
        <v>2015</v>
      </c>
      <c r="BL220" s="519" t="str">
        <f t="shared" si="467"/>
        <v>1Q16</v>
      </c>
      <c r="BM220" s="519" t="str">
        <f t="shared" si="467"/>
        <v>2Q16</v>
      </c>
      <c r="BN220" s="519" t="str">
        <f t="shared" si="467"/>
        <v>3Q16</v>
      </c>
      <c r="BO220" s="2951" t="str">
        <f t="shared" si="467"/>
        <v>4Q16</v>
      </c>
      <c r="BP220" s="520">
        <f t="shared" si="467"/>
        <v>2016</v>
      </c>
      <c r="BQ220" s="519" t="str">
        <f t="shared" si="467"/>
        <v>1Q17</v>
      </c>
      <c r="BR220" s="519" t="str">
        <f t="shared" si="467"/>
        <v>2Q17</v>
      </c>
      <c r="BS220" s="519" t="str">
        <f t="shared" si="467"/>
        <v>3Q17</v>
      </c>
      <c r="BT220" s="2951" t="str">
        <f t="shared" si="467"/>
        <v>4Q17A</v>
      </c>
      <c r="BU220" s="3379" t="str">
        <f t="shared" si="467"/>
        <v>2017A</v>
      </c>
      <c r="BV220" s="519" t="str">
        <f t="shared" si="467"/>
        <v>1Q18E</v>
      </c>
      <c r="BW220" s="519" t="str">
        <f t="shared" si="467"/>
        <v>2Q18E</v>
      </c>
      <c r="BX220" s="519" t="str">
        <f t="shared" si="467"/>
        <v>3Q18E</v>
      </c>
      <c r="BY220" s="2951" t="str">
        <f t="shared" si="467"/>
        <v>4Q18E</v>
      </c>
      <c r="BZ220" s="520" t="str">
        <f t="shared" si="467"/>
        <v>2018E</v>
      </c>
      <c r="CA220" s="520" t="str">
        <f t="shared" si="467"/>
        <v>2019E</v>
      </c>
      <c r="CB220" s="520" t="str">
        <f t="shared" si="467"/>
        <v>2020E</v>
      </c>
      <c r="CC220" s="520" t="str">
        <f t="shared" si="467"/>
        <v>2021E</v>
      </c>
      <c r="CD220" s="520" t="str">
        <f>CD$6</f>
        <v>2022E</v>
      </c>
      <c r="CE220" s="520" t="str">
        <f>CE$6</f>
        <v>2023E</v>
      </c>
      <c r="CF220" s="520" t="str">
        <f>CF$6</f>
        <v>2024E</v>
      </c>
      <c r="CG220" s="520" t="str">
        <f>CG$6</f>
        <v>2025E</v>
      </c>
      <c r="CH220" s="521"/>
      <c r="CI220" s="521"/>
      <c r="CJ220" s="521"/>
      <c r="CK220" s="521"/>
      <c r="CL220" s="521"/>
      <c r="CM220" s="521"/>
      <c r="CN220" s="521"/>
      <c r="CO220" s="521"/>
      <c r="CP220" s="1300" t="str">
        <f t="shared" si="455"/>
        <v>Boulder Strip Properties</v>
      </c>
      <c r="CQ220" s="1303">
        <f t="shared" si="456"/>
        <v>2004</v>
      </c>
      <c r="CR220" s="1303">
        <f t="shared" si="457"/>
        <v>2005</v>
      </c>
      <c r="CS220" s="1303">
        <f>R220</f>
        <v>2006</v>
      </c>
      <c r="CT220" s="1303">
        <f>W220</f>
        <v>2007</v>
      </c>
      <c r="CU220" s="1303">
        <f>AB220</f>
        <v>2008</v>
      </c>
      <c r="CV220" s="1303">
        <f>AG220</f>
        <v>2009</v>
      </c>
      <c r="CW220" s="1303">
        <f>AL220</f>
        <v>2010</v>
      </c>
      <c r="CX220" s="1303">
        <f>AQ220</f>
        <v>2011</v>
      </c>
      <c r="CY220" s="1303">
        <f>AV220</f>
        <v>2012</v>
      </c>
      <c r="CZ220" s="1303">
        <f>BA220</f>
        <v>2013</v>
      </c>
      <c r="DA220" s="1303">
        <f>BF220</f>
        <v>2014</v>
      </c>
      <c r="DB220" s="1303">
        <f>BK220</f>
        <v>2015</v>
      </c>
      <c r="DC220" s="1303">
        <f>BP220</f>
        <v>2016</v>
      </c>
      <c r="DD220" s="1303" t="str">
        <f>BU220</f>
        <v>2017A</v>
      </c>
      <c r="DE220" s="1303" t="str">
        <f>BZ220</f>
        <v>2018E</v>
      </c>
      <c r="DF220" s="1303" t="str">
        <f>CA220</f>
        <v>2019E</v>
      </c>
      <c r="DG220" s="1949" t="str">
        <f>CB220</f>
        <v>2020E</v>
      </c>
      <c r="DH220" s="223"/>
      <c r="DI220" s="595"/>
      <c r="DJ220" s="595"/>
      <c r="DK220" s="595"/>
      <c r="DL220" s="595"/>
      <c r="DM220" s="595"/>
      <c r="DN220" s="514"/>
      <c r="DO220" s="226"/>
      <c r="DY220" s="521"/>
      <c r="DZ220" s="521"/>
    </row>
    <row r="221" spans="1:130" ht="12" hidden="1" customHeight="1" outlineLevel="1">
      <c r="A221" s="217" t="s">
        <v>183</v>
      </c>
      <c r="B221" s="228"/>
      <c r="C221" s="228"/>
      <c r="D221" s="598">
        <v>3899</v>
      </c>
      <c r="E221" s="599">
        <v>3899</v>
      </c>
      <c r="F221" s="600">
        <f>1138+2761</f>
        <v>3899</v>
      </c>
      <c r="G221" s="600">
        <f>2868+513+536</f>
        <v>3917</v>
      </c>
      <c r="H221" s="511">
        <f t="shared" ref="H221:K222" si="468">G221</f>
        <v>3917</v>
      </c>
      <c r="I221" s="231">
        <f t="shared" si="468"/>
        <v>3917</v>
      </c>
      <c r="J221" s="231">
        <f t="shared" si="468"/>
        <v>3917</v>
      </c>
      <c r="K221" s="231">
        <f t="shared" si="468"/>
        <v>3917</v>
      </c>
      <c r="L221" s="231">
        <f>3035+498+518</f>
        <v>4051</v>
      </c>
      <c r="M221" s="511">
        <f>L221</f>
        <v>4051</v>
      </c>
      <c r="N221" s="510"/>
      <c r="O221" s="510"/>
      <c r="P221" s="510"/>
      <c r="Q221" s="510"/>
      <c r="R221" s="361"/>
      <c r="S221" s="510"/>
      <c r="T221" s="510"/>
      <c r="U221" s="510"/>
      <c r="V221" s="510"/>
      <c r="W221" s="361"/>
      <c r="X221" s="510"/>
      <c r="Y221" s="510"/>
      <c r="Z221" s="510"/>
      <c r="AA221" s="510"/>
      <c r="AB221" s="361"/>
      <c r="AC221" s="510"/>
      <c r="AD221" s="510"/>
      <c r="AE221" s="510"/>
      <c r="AF221" s="510"/>
      <c r="AG221" s="361"/>
      <c r="AH221" s="601"/>
      <c r="AI221" s="601"/>
      <c r="AJ221" s="601"/>
      <c r="AK221" s="601"/>
      <c r="AL221" s="512"/>
      <c r="AM221" s="510"/>
      <c r="AN221" s="510"/>
      <c r="AO221" s="510"/>
      <c r="AP221" s="510"/>
      <c r="AQ221" s="512"/>
      <c r="AR221" s="510"/>
      <c r="AS221" s="510"/>
      <c r="AT221" s="510"/>
      <c r="AU221" s="510"/>
      <c r="AV221" s="512"/>
      <c r="AW221" s="510"/>
      <c r="AX221" s="510"/>
      <c r="AY221" s="510"/>
      <c r="AZ221" s="510"/>
      <c r="BA221" s="512"/>
      <c r="BB221" s="510"/>
      <c r="BC221" s="510"/>
      <c r="BD221" s="510"/>
      <c r="BE221" s="510"/>
      <c r="BF221" s="512"/>
      <c r="BG221" s="509"/>
      <c r="BH221" s="510"/>
      <c r="BI221" s="510"/>
      <c r="BJ221" s="2811"/>
      <c r="BK221" s="512"/>
      <c r="BL221" s="510"/>
      <c r="BM221" s="510"/>
      <c r="BN221" s="510"/>
      <c r="BO221" s="2811"/>
      <c r="BP221" s="512"/>
      <c r="BQ221" s="510"/>
      <c r="BR221" s="510"/>
      <c r="BS221" s="510"/>
      <c r="BT221" s="2811"/>
      <c r="BU221" s="3367"/>
      <c r="BV221" s="510"/>
      <c r="BW221" s="510"/>
      <c r="BX221" s="510"/>
      <c r="BY221" s="2811"/>
      <c r="BZ221" s="512"/>
      <c r="CA221" s="512"/>
      <c r="CB221" s="512"/>
      <c r="CC221" s="512"/>
      <c r="CD221" s="512"/>
      <c r="CE221" s="512"/>
      <c r="CF221" s="512"/>
      <c r="CG221" s="512"/>
      <c r="CH221" s="510"/>
      <c r="CI221" s="510"/>
      <c r="CJ221" s="510"/>
      <c r="CK221" s="510"/>
      <c r="CL221" s="510"/>
      <c r="CM221" s="510"/>
      <c r="CN221" s="510"/>
      <c r="CO221" s="510"/>
      <c r="CP221" s="1840" t="str">
        <f t="shared" si="455"/>
        <v>Slots</v>
      </c>
      <c r="CQ221" s="231">
        <f t="shared" si="456"/>
        <v>3917</v>
      </c>
      <c r="CR221" s="231">
        <f t="shared" si="457"/>
        <v>4051</v>
      </c>
      <c r="CS221" s="231"/>
      <c r="CT221" s="231"/>
      <c r="CU221" s="231"/>
      <c r="CV221" s="231"/>
      <c r="CW221" s="231"/>
      <c r="CX221" s="231"/>
      <c r="CY221" s="231"/>
      <c r="CZ221" s="231"/>
      <c r="DA221" s="231"/>
      <c r="DB221" s="231"/>
      <c r="DC221" s="231"/>
      <c r="DD221" s="231"/>
      <c r="DE221" s="231"/>
      <c r="DF221" s="231"/>
      <c r="DG221" s="1841"/>
      <c r="DH221" s="223"/>
      <c r="DI221" s="595"/>
      <c r="DJ221" s="595"/>
      <c r="DK221" s="595"/>
      <c r="DL221" s="595"/>
      <c r="DM221" s="595"/>
      <c r="DN221" s="514"/>
      <c r="DO221" s="226"/>
      <c r="DY221" s="510"/>
      <c r="DZ221" s="510"/>
    </row>
    <row r="222" spans="1:130" ht="12" hidden="1" customHeight="1" outlineLevel="1">
      <c r="A222" s="217" t="s">
        <v>184</v>
      </c>
      <c r="B222" s="228"/>
      <c r="C222" s="228"/>
      <c r="D222" s="598">
        <v>58</v>
      </c>
      <c r="E222" s="599">
        <v>58</v>
      </c>
      <c r="F222" s="600">
        <f>18+40</f>
        <v>58</v>
      </c>
      <c r="G222" s="600">
        <f>40+9+9</f>
        <v>58</v>
      </c>
      <c r="H222" s="511">
        <f t="shared" si="468"/>
        <v>58</v>
      </c>
      <c r="I222" s="231">
        <f t="shared" si="468"/>
        <v>58</v>
      </c>
      <c r="J222" s="231">
        <f t="shared" si="468"/>
        <v>58</v>
      </c>
      <c r="K222" s="231">
        <f t="shared" si="468"/>
        <v>58</v>
      </c>
      <c r="L222" s="231">
        <f>40+6+7</f>
        <v>53</v>
      </c>
      <c r="M222" s="511">
        <f>L222</f>
        <v>53</v>
      </c>
      <c r="N222" s="510"/>
      <c r="O222" s="510"/>
      <c r="P222" s="510"/>
      <c r="Q222" s="510"/>
      <c r="R222" s="361"/>
      <c r="S222" s="510"/>
      <c r="T222" s="510"/>
      <c r="U222" s="510"/>
      <c r="V222" s="510"/>
      <c r="W222" s="361"/>
      <c r="X222" s="510"/>
      <c r="Y222" s="510"/>
      <c r="Z222" s="510"/>
      <c r="AA222" s="510"/>
      <c r="AB222" s="361"/>
      <c r="AC222" s="510"/>
      <c r="AD222" s="510"/>
      <c r="AE222" s="510"/>
      <c r="AF222" s="510"/>
      <c r="AG222" s="361"/>
      <c r="AH222" s="601"/>
      <c r="AI222" s="601"/>
      <c r="AJ222" s="601"/>
      <c r="AK222" s="601"/>
      <c r="AL222" s="512"/>
      <c r="AM222" s="510"/>
      <c r="AN222" s="510"/>
      <c r="AO222" s="510"/>
      <c r="AP222" s="510"/>
      <c r="AQ222" s="512"/>
      <c r="AR222" s="510"/>
      <c r="AS222" s="510"/>
      <c r="AT222" s="510"/>
      <c r="AU222" s="510"/>
      <c r="AV222" s="512"/>
      <c r="AW222" s="510"/>
      <c r="AX222" s="510"/>
      <c r="AY222" s="510"/>
      <c r="AZ222" s="510"/>
      <c r="BA222" s="512"/>
      <c r="BB222" s="510"/>
      <c r="BC222" s="510"/>
      <c r="BD222" s="510"/>
      <c r="BE222" s="510"/>
      <c r="BF222" s="512"/>
      <c r="BG222" s="509"/>
      <c r="BH222" s="510"/>
      <c r="BI222" s="510"/>
      <c r="BJ222" s="2811"/>
      <c r="BK222" s="512"/>
      <c r="BL222" s="510"/>
      <c r="BM222" s="510"/>
      <c r="BN222" s="510"/>
      <c r="BO222" s="2811"/>
      <c r="BP222" s="512"/>
      <c r="BQ222" s="510"/>
      <c r="BR222" s="510"/>
      <c r="BS222" s="510"/>
      <c r="BT222" s="2811"/>
      <c r="BU222" s="3367"/>
      <c r="BV222" s="510"/>
      <c r="BW222" s="510"/>
      <c r="BX222" s="510"/>
      <c r="BY222" s="2811"/>
      <c r="BZ222" s="512"/>
      <c r="CA222" s="512"/>
      <c r="CB222" s="512"/>
      <c r="CC222" s="512"/>
      <c r="CD222" s="512"/>
      <c r="CE222" s="512"/>
      <c r="CF222" s="512"/>
      <c r="CG222" s="512"/>
      <c r="CH222" s="510"/>
      <c r="CI222" s="510"/>
      <c r="CJ222" s="510"/>
      <c r="CK222" s="510"/>
      <c r="CL222" s="510"/>
      <c r="CM222" s="510"/>
      <c r="CN222" s="510"/>
      <c r="CO222" s="510"/>
      <c r="CP222" s="1840" t="str">
        <f t="shared" si="455"/>
        <v>Tables</v>
      </c>
      <c r="CQ222" s="231">
        <f t="shared" si="456"/>
        <v>58</v>
      </c>
      <c r="CR222" s="231">
        <f t="shared" si="457"/>
        <v>53</v>
      </c>
      <c r="CS222" s="231"/>
      <c r="CT222" s="231"/>
      <c r="CU222" s="231"/>
      <c r="CV222" s="231"/>
      <c r="CW222" s="231"/>
      <c r="CX222" s="231"/>
      <c r="CY222" s="231"/>
      <c r="CZ222" s="231"/>
      <c r="DA222" s="231"/>
      <c r="DB222" s="231"/>
      <c r="DC222" s="231"/>
      <c r="DD222" s="231"/>
      <c r="DE222" s="231"/>
      <c r="DF222" s="231"/>
      <c r="DG222" s="1841"/>
      <c r="DH222" s="223"/>
      <c r="DI222" s="595"/>
      <c r="DJ222" s="595"/>
      <c r="DK222" s="595"/>
      <c r="DL222" s="595"/>
      <c r="DM222" s="595"/>
      <c r="DN222" s="514"/>
      <c r="DO222" s="226"/>
      <c r="DY222" s="510"/>
      <c r="DZ222" s="510"/>
    </row>
    <row r="223" spans="1:130" ht="12" hidden="1" customHeight="1" outlineLevel="1">
      <c r="A223" s="217" t="s">
        <v>182</v>
      </c>
      <c r="B223" s="228"/>
      <c r="C223" s="228"/>
      <c r="D223" s="527">
        <v>4247</v>
      </c>
      <c r="E223" s="231">
        <v>4247</v>
      </c>
      <c r="F223" s="231">
        <f>(F222*6)+F221</f>
        <v>4247</v>
      </c>
      <c r="G223" s="231">
        <f>(G222*6)+G221</f>
        <v>4265</v>
      </c>
      <c r="H223" s="511">
        <f>G223</f>
        <v>4265</v>
      </c>
      <c r="I223" s="231">
        <f>(I222*6)+I221</f>
        <v>4265</v>
      </c>
      <c r="J223" s="231">
        <f>(J222*6)+J221</f>
        <v>4265</v>
      </c>
      <c r="K223" s="231">
        <f>(K222*6)+K221</f>
        <v>4265</v>
      </c>
      <c r="L223" s="231">
        <f>(L222*6)+L221</f>
        <v>4369</v>
      </c>
      <c r="M223" s="511">
        <f>L223</f>
        <v>4369</v>
      </c>
      <c r="N223" s="510"/>
      <c r="O223" s="510"/>
      <c r="P223" s="510"/>
      <c r="Q223" s="510"/>
      <c r="R223" s="361"/>
      <c r="S223" s="510"/>
      <c r="T223" s="510"/>
      <c r="U223" s="510"/>
      <c r="V223" s="510"/>
      <c r="W223" s="361"/>
      <c r="X223" s="510"/>
      <c r="Y223" s="510"/>
      <c r="Z223" s="510"/>
      <c r="AA223" s="510"/>
      <c r="AB223" s="361"/>
      <c r="AC223" s="510"/>
      <c r="AD223" s="510"/>
      <c r="AE223" s="510"/>
      <c r="AF223" s="510"/>
      <c r="AG223" s="361"/>
      <c r="AH223" s="601"/>
      <c r="AI223" s="601"/>
      <c r="AJ223" s="601"/>
      <c r="AK223" s="601"/>
      <c r="AL223" s="512"/>
      <c r="AM223" s="510"/>
      <c r="AN223" s="510"/>
      <c r="AO223" s="510"/>
      <c r="AP223" s="510"/>
      <c r="AQ223" s="512"/>
      <c r="AR223" s="510"/>
      <c r="AS223" s="510"/>
      <c r="AT223" s="510"/>
      <c r="AU223" s="510"/>
      <c r="AV223" s="512"/>
      <c r="AW223" s="510"/>
      <c r="AX223" s="510"/>
      <c r="AY223" s="510"/>
      <c r="AZ223" s="510"/>
      <c r="BA223" s="512"/>
      <c r="BB223" s="510"/>
      <c r="BC223" s="510"/>
      <c r="BD223" s="510"/>
      <c r="BE223" s="510"/>
      <c r="BF223" s="512"/>
      <c r="BG223" s="509"/>
      <c r="BH223" s="510"/>
      <c r="BI223" s="510"/>
      <c r="BJ223" s="2811"/>
      <c r="BK223" s="512"/>
      <c r="BL223" s="510"/>
      <c r="BM223" s="510"/>
      <c r="BN223" s="510"/>
      <c r="BO223" s="2811"/>
      <c r="BP223" s="512"/>
      <c r="BQ223" s="510"/>
      <c r="BR223" s="510"/>
      <c r="BS223" s="510"/>
      <c r="BT223" s="2811"/>
      <c r="BU223" s="3367"/>
      <c r="BV223" s="510"/>
      <c r="BW223" s="510"/>
      <c r="BX223" s="510"/>
      <c r="BY223" s="2811"/>
      <c r="BZ223" s="512"/>
      <c r="CA223" s="512"/>
      <c r="CB223" s="512"/>
      <c r="CC223" s="512"/>
      <c r="CD223" s="512"/>
      <c r="CE223" s="512"/>
      <c r="CF223" s="512"/>
      <c r="CG223" s="512"/>
      <c r="CH223" s="510"/>
      <c r="CI223" s="510"/>
      <c r="CJ223" s="510"/>
      <c r="CK223" s="510"/>
      <c r="CL223" s="510"/>
      <c r="CM223" s="510"/>
      <c r="CN223" s="510"/>
      <c r="CO223" s="510"/>
      <c r="CP223" s="1840" t="str">
        <f t="shared" si="455"/>
        <v>Positions</v>
      </c>
      <c r="CQ223" s="231">
        <f t="shared" si="456"/>
        <v>4265</v>
      </c>
      <c r="CR223" s="231">
        <f t="shared" si="457"/>
        <v>4369</v>
      </c>
      <c r="CS223" s="231"/>
      <c r="CT223" s="231"/>
      <c r="CU223" s="231"/>
      <c r="CV223" s="231"/>
      <c r="CW223" s="231"/>
      <c r="CX223" s="231"/>
      <c r="CY223" s="231"/>
      <c r="CZ223" s="231"/>
      <c r="DA223" s="231"/>
      <c r="DB223" s="231"/>
      <c r="DC223" s="231"/>
      <c r="DD223" s="231"/>
      <c r="DE223" s="231"/>
      <c r="DF223" s="231"/>
      <c r="DG223" s="1841"/>
      <c r="DH223" s="223"/>
      <c r="DI223" s="595"/>
      <c r="DJ223" s="595"/>
      <c r="DK223" s="595"/>
      <c r="DL223" s="595"/>
      <c r="DM223" s="595"/>
      <c r="DN223" s="514"/>
      <c r="DO223" s="226"/>
      <c r="DY223" s="510"/>
      <c r="DZ223" s="510"/>
    </row>
    <row r="224" spans="1:130" ht="12" hidden="1" customHeight="1" outlineLevel="1">
      <c r="A224" s="195" t="s">
        <v>1573</v>
      </c>
      <c r="B224" s="228"/>
      <c r="C224" s="228"/>
      <c r="D224" s="527">
        <v>4247</v>
      </c>
      <c r="E224" s="231">
        <v>4247</v>
      </c>
      <c r="F224" s="231">
        <f>AVERAGE(E223:F223)</f>
        <v>4247</v>
      </c>
      <c r="G224" s="231">
        <f>AVERAGE(F223:G223)</f>
        <v>4256</v>
      </c>
      <c r="H224" s="511">
        <f>AVERAGE(D223:G223)</f>
        <v>4251.5</v>
      </c>
      <c r="I224" s="231">
        <f>AVERAGE(H223:I223)</f>
        <v>4265</v>
      </c>
      <c r="J224" s="231">
        <f>AVERAGE(I223:J223)</f>
        <v>4265</v>
      </c>
      <c r="K224" s="231">
        <f>AVERAGE(J223:K223)</f>
        <v>4265</v>
      </c>
      <c r="L224" s="231">
        <f>AVERAGE(K223:L223)</f>
        <v>4317</v>
      </c>
      <c r="M224" s="511">
        <f>AVERAGE(I223:L223)</f>
        <v>4291</v>
      </c>
      <c r="N224" s="510"/>
      <c r="O224" s="510"/>
      <c r="P224" s="510"/>
      <c r="Q224" s="510"/>
      <c r="R224" s="361"/>
      <c r="S224" s="510"/>
      <c r="T224" s="510"/>
      <c r="U224" s="510"/>
      <c r="V224" s="510"/>
      <c r="W224" s="361"/>
      <c r="X224" s="510"/>
      <c r="Y224" s="510"/>
      <c r="Z224" s="510"/>
      <c r="AA224" s="510"/>
      <c r="AB224" s="361"/>
      <c r="AC224" s="510"/>
      <c r="AD224" s="510"/>
      <c r="AE224" s="510"/>
      <c r="AF224" s="510"/>
      <c r="AG224" s="361"/>
      <c r="AH224" s="601"/>
      <c r="AI224" s="601"/>
      <c r="AJ224" s="601"/>
      <c r="AK224" s="601"/>
      <c r="AL224" s="512"/>
      <c r="AM224" s="510"/>
      <c r="AN224" s="510"/>
      <c r="AO224" s="510"/>
      <c r="AP224" s="510"/>
      <c r="AQ224" s="512"/>
      <c r="AR224" s="510"/>
      <c r="AS224" s="510"/>
      <c r="AT224" s="510"/>
      <c r="AU224" s="510"/>
      <c r="AV224" s="512"/>
      <c r="AW224" s="510"/>
      <c r="AX224" s="510"/>
      <c r="AY224" s="510"/>
      <c r="AZ224" s="510"/>
      <c r="BA224" s="512"/>
      <c r="BB224" s="510"/>
      <c r="BC224" s="510"/>
      <c r="BD224" s="510"/>
      <c r="BE224" s="510"/>
      <c r="BF224" s="512"/>
      <c r="BG224" s="509"/>
      <c r="BH224" s="510"/>
      <c r="BI224" s="510"/>
      <c r="BJ224" s="2811"/>
      <c r="BK224" s="512"/>
      <c r="BL224" s="510"/>
      <c r="BM224" s="510"/>
      <c r="BN224" s="510"/>
      <c r="BO224" s="2811"/>
      <c r="BP224" s="512"/>
      <c r="BQ224" s="510"/>
      <c r="BR224" s="510"/>
      <c r="BS224" s="510"/>
      <c r="BT224" s="2811"/>
      <c r="BU224" s="3367"/>
      <c r="BV224" s="510"/>
      <c r="BW224" s="510"/>
      <c r="BX224" s="510"/>
      <c r="BY224" s="2811"/>
      <c r="BZ224" s="512"/>
      <c r="CA224" s="512"/>
      <c r="CB224" s="512"/>
      <c r="CC224" s="512"/>
      <c r="CD224" s="512"/>
      <c r="CE224" s="512"/>
      <c r="CF224" s="512"/>
      <c r="CG224" s="512"/>
      <c r="CH224" s="510"/>
      <c r="CI224" s="510"/>
      <c r="CJ224" s="510"/>
      <c r="CK224" s="510"/>
      <c r="CL224" s="510"/>
      <c r="CM224" s="510"/>
      <c r="CN224" s="510"/>
      <c r="CO224" s="510"/>
      <c r="CP224" s="1842" t="str">
        <f t="shared" si="455"/>
        <v>Average Positions</v>
      </c>
      <c r="CQ224" s="231">
        <f t="shared" si="456"/>
        <v>4251.5</v>
      </c>
      <c r="CR224" s="231">
        <f t="shared" si="457"/>
        <v>4291</v>
      </c>
      <c r="CS224" s="231"/>
      <c r="CT224" s="231"/>
      <c r="CU224" s="231"/>
      <c r="CV224" s="231"/>
      <c r="CW224" s="231"/>
      <c r="CX224" s="231"/>
      <c r="CY224" s="231"/>
      <c r="CZ224" s="231"/>
      <c r="DA224" s="231"/>
      <c r="DB224" s="231"/>
      <c r="DC224" s="231"/>
      <c r="DD224" s="231"/>
      <c r="DE224" s="231"/>
      <c r="DF224" s="231"/>
      <c r="DG224" s="1841"/>
      <c r="DH224" s="223"/>
      <c r="DI224" s="595"/>
      <c r="DJ224" s="595"/>
      <c r="DK224" s="595"/>
      <c r="DL224" s="595"/>
      <c r="DM224" s="595"/>
      <c r="DN224" s="514"/>
      <c r="DO224" s="226"/>
      <c r="DY224" s="510"/>
      <c r="DZ224" s="510"/>
    </row>
    <row r="225" spans="1:130" ht="5.0999999999999996" hidden="1" customHeight="1" outlineLevel="1">
      <c r="A225" s="217"/>
      <c r="B225" s="228"/>
      <c r="C225" s="228"/>
      <c r="D225" s="479"/>
      <c r="E225" s="482"/>
      <c r="F225" s="482"/>
      <c r="G225" s="482"/>
      <c r="H225" s="481"/>
      <c r="I225" s="482"/>
      <c r="J225" s="482"/>
      <c r="K225" s="482"/>
      <c r="L225" s="482"/>
      <c r="M225" s="481"/>
      <c r="N225" s="482"/>
      <c r="O225" s="482"/>
      <c r="P225" s="482"/>
      <c r="Q225" s="482"/>
      <c r="R225" s="481"/>
      <c r="S225" s="482"/>
      <c r="T225" s="482"/>
      <c r="U225" s="482"/>
      <c r="V225" s="482"/>
      <c r="W225" s="481"/>
      <c r="X225" s="482"/>
      <c r="Y225" s="482"/>
      <c r="Z225" s="482"/>
      <c r="AA225" s="482"/>
      <c r="AB225" s="481"/>
      <c r="AC225" s="482"/>
      <c r="AD225" s="482"/>
      <c r="AE225" s="482"/>
      <c r="AF225" s="482"/>
      <c r="AG225" s="481"/>
      <c r="AH225" s="482"/>
      <c r="AI225" s="482"/>
      <c r="AJ225" s="482"/>
      <c r="AK225" s="482"/>
      <c r="AL225" s="481"/>
      <c r="AM225" s="482"/>
      <c r="AN225" s="482"/>
      <c r="AO225" s="482"/>
      <c r="AP225" s="482"/>
      <c r="AQ225" s="481"/>
      <c r="AR225" s="482"/>
      <c r="AS225" s="482"/>
      <c r="AT225" s="482"/>
      <c r="AU225" s="482"/>
      <c r="AV225" s="481"/>
      <c r="AW225" s="482"/>
      <c r="AX225" s="482"/>
      <c r="AY225" s="482"/>
      <c r="AZ225" s="482"/>
      <c r="BA225" s="481"/>
      <c r="BB225" s="482"/>
      <c r="BC225" s="482"/>
      <c r="BD225" s="482"/>
      <c r="BE225" s="482"/>
      <c r="BF225" s="481"/>
      <c r="BG225" s="479"/>
      <c r="BH225" s="482"/>
      <c r="BI225" s="482"/>
      <c r="BJ225" s="2799"/>
      <c r="BK225" s="481"/>
      <c r="BL225" s="482"/>
      <c r="BM225" s="482"/>
      <c r="BN225" s="482"/>
      <c r="BO225" s="2799"/>
      <c r="BP225" s="481"/>
      <c r="BQ225" s="482"/>
      <c r="BR225" s="482"/>
      <c r="BS225" s="482"/>
      <c r="BT225" s="2799"/>
      <c r="BU225" s="3380"/>
      <c r="BV225" s="482"/>
      <c r="BW225" s="482"/>
      <c r="BX225" s="482"/>
      <c r="BY225" s="2799"/>
      <c r="BZ225" s="481"/>
      <c r="CA225" s="481"/>
      <c r="CB225" s="481"/>
      <c r="CC225" s="481"/>
      <c r="CD225" s="481"/>
      <c r="CE225" s="481"/>
      <c r="CF225" s="481"/>
      <c r="CG225" s="481"/>
      <c r="CH225" s="482"/>
      <c r="CI225" s="482"/>
      <c r="CJ225" s="482"/>
      <c r="CK225" s="482"/>
      <c r="CL225" s="482"/>
      <c r="CM225" s="482"/>
      <c r="CN225" s="482"/>
      <c r="CO225" s="482"/>
      <c r="CP225" s="1840"/>
      <c r="CQ225" s="223"/>
      <c r="CR225" s="223"/>
      <c r="CS225" s="223"/>
      <c r="CT225" s="223"/>
      <c r="CU225" s="223"/>
      <c r="CV225" s="223"/>
      <c r="CW225" s="223"/>
      <c r="CX225" s="223"/>
      <c r="CY225" s="223"/>
      <c r="CZ225" s="223"/>
      <c r="DA225" s="223"/>
      <c r="DB225" s="223"/>
      <c r="DC225" s="223"/>
      <c r="DD225" s="223"/>
      <c r="DE225" s="223"/>
      <c r="DF225" s="223"/>
      <c r="DG225" s="1853"/>
      <c r="DH225" s="223"/>
      <c r="DI225" s="595"/>
      <c r="DJ225" s="595"/>
      <c r="DK225" s="595"/>
      <c r="DL225" s="595"/>
      <c r="DM225" s="595"/>
      <c r="DN225" s="514"/>
      <c r="DO225" s="226"/>
      <c r="DY225" s="482"/>
      <c r="DZ225" s="482"/>
    </row>
    <row r="226" spans="1:130" ht="12" hidden="1" customHeight="1" outlineLevel="1">
      <c r="A226" s="217" t="s">
        <v>639</v>
      </c>
      <c r="B226" s="228"/>
      <c r="C226" s="228"/>
      <c r="D226" s="597">
        <v>648</v>
      </c>
      <c r="E226" s="223">
        <v>648</v>
      </c>
      <c r="F226" s="482">
        <v>648</v>
      </c>
      <c r="G226" s="482">
        <v>648</v>
      </c>
      <c r="H226" s="525">
        <f>G226</f>
        <v>648</v>
      </c>
      <c r="I226" s="231">
        <f>H226</f>
        <v>648</v>
      </c>
      <c r="J226" s="231">
        <f>I226</f>
        <v>648</v>
      </c>
      <c r="K226" s="231">
        <f>J226</f>
        <v>648</v>
      </c>
      <c r="L226" s="510">
        <v>648</v>
      </c>
      <c r="M226" s="525">
        <f>H226</f>
        <v>648</v>
      </c>
      <c r="N226" s="510"/>
      <c r="O226" s="510"/>
      <c r="P226" s="510"/>
      <c r="Q226" s="510"/>
      <c r="R226" s="512"/>
      <c r="S226" s="510"/>
      <c r="T226" s="510"/>
      <c r="U226" s="510"/>
      <c r="V226" s="510"/>
      <c r="W226" s="512"/>
      <c r="X226" s="510"/>
      <c r="Y226" s="510"/>
      <c r="Z226" s="510"/>
      <c r="AA226" s="510"/>
      <c r="AB226" s="512"/>
      <c r="AC226" s="510"/>
      <c r="AD226" s="510"/>
      <c r="AE226" s="510"/>
      <c r="AF226" s="510"/>
      <c r="AG226" s="512"/>
      <c r="AH226" s="510"/>
      <c r="AI226" s="510"/>
      <c r="AJ226" s="510"/>
      <c r="AK226" s="510"/>
      <c r="AL226" s="512"/>
      <c r="AM226" s="510"/>
      <c r="AN226" s="510"/>
      <c r="AO226" s="510"/>
      <c r="AP226" s="510"/>
      <c r="AQ226" s="512"/>
      <c r="AR226" s="510"/>
      <c r="AS226" s="510"/>
      <c r="AT226" s="510"/>
      <c r="AU226" s="510"/>
      <c r="AV226" s="512"/>
      <c r="AW226" s="510"/>
      <c r="AX226" s="510"/>
      <c r="AY226" s="510"/>
      <c r="AZ226" s="510"/>
      <c r="BA226" s="512"/>
      <c r="BB226" s="510"/>
      <c r="BC226" s="510"/>
      <c r="BD226" s="510"/>
      <c r="BE226" s="510"/>
      <c r="BF226" s="512"/>
      <c r="BG226" s="509"/>
      <c r="BH226" s="510"/>
      <c r="BI226" s="510"/>
      <c r="BJ226" s="2811"/>
      <c r="BK226" s="512"/>
      <c r="BL226" s="510"/>
      <c r="BM226" s="510"/>
      <c r="BN226" s="510"/>
      <c r="BO226" s="2811"/>
      <c r="BP226" s="512"/>
      <c r="BQ226" s="510"/>
      <c r="BR226" s="510"/>
      <c r="BS226" s="510"/>
      <c r="BT226" s="2811"/>
      <c r="BU226" s="3367"/>
      <c r="BV226" s="510"/>
      <c r="BW226" s="510"/>
      <c r="BX226" s="510"/>
      <c r="BY226" s="2811"/>
      <c r="BZ226" s="512"/>
      <c r="CA226" s="512"/>
      <c r="CB226" s="512"/>
      <c r="CC226" s="512"/>
      <c r="CD226" s="512"/>
      <c r="CE226" s="512"/>
      <c r="CF226" s="512"/>
      <c r="CG226" s="512"/>
      <c r="CH226" s="510"/>
      <c r="CI226" s="510"/>
      <c r="CJ226" s="510"/>
      <c r="CK226" s="510"/>
      <c r="CL226" s="510"/>
      <c r="CM226" s="510"/>
      <c r="CN226" s="510"/>
      <c r="CO226" s="510"/>
      <c r="CP226" s="1840" t="str">
        <f t="shared" si="455"/>
        <v>Number of Rooms</v>
      </c>
      <c r="CQ226" s="231">
        <f t="shared" si="456"/>
        <v>648</v>
      </c>
      <c r="CR226" s="231">
        <f t="shared" si="457"/>
        <v>648</v>
      </c>
      <c r="CS226" s="231"/>
      <c r="CT226" s="231"/>
      <c r="CU226" s="231"/>
      <c r="CV226" s="231"/>
      <c r="CW226" s="231"/>
      <c r="CX226" s="231"/>
      <c r="CY226" s="231"/>
      <c r="CZ226" s="231"/>
      <c r="DA226" s="231"/>
      <c r="DB226" s="231"/>
      <c r="DC226" s="231"/>
      <c r="DD226" s="231"/>
      <c r="DE226" s="231"/>
      <c r="DF226" s="231"/>
      <c r="DG226" s="1841"/>
      <c r="DH226" s="223"/>
      <c r="DI226" s="595"/>
      <c r="DJ226" s="595"/>
      <c r="DK226" s="595"/>
      <c r="DL226" s="595"/>
      <c r="DM226" s="595"/>
      <c r="DN226" s="514"/>
      <c r="DO226" s="226"/>
      <c r="DY226" s="510"/>
      <c r="DZ226" s="510"/>
    </row>
    <row r="227" spans="1:130" ht="12" hidden="1" customHeight="1" outlineLevel="1">
      <c r="A227" s="195" t="s">
        <v>431</v>
      </c>
      <c r="B227" s="228"/>
      <c r="C227" s="228"/>
      <c r="D227" s="527">
        <v>648</v>
      </c>
      <c r="E227" s="231">
        <v>648</v>
      </c>
      <c r="F227" s="231">
        <f>AVERAGE(E226:F226)</f>
        <v>648</v>
      </c>
      <c r="G227" s="231">
        <f>AVERAGE(F226:G226)</f>
        <v>648</v>
      </c>
      <c r="H227" s="511">
        <f>AVERAGE(D226:G226)</f>
        <v>648</v>
      </c>
      <c r="I227" s="231">
        <f>AVERAGE(H226:I226)</f>
        <v>648</v>
      </c>
      <c r="J227" s="231">
        <f>AVERAGE(I226:J226)</f>
        <v>648</v>
      </c>
      <c r="K227" s="231">
        <f>AVERAGE(J226:K226)</f>
        <v>648</v>
      </c>
      <c r="L227" s="231">
        <f>AVERAGE(K226:L226)</f>
        <v>648</v>
      </c>
      <c r="M227" s="511">
        <f>AVERAGE(I226:L226)</f>
        <v>648</v>
      </c>
      <c r="N227" s="510"/>
      <c r="O227" s="510"/>
      <c r="P227" s="510"/>
      <c r="Q227" s="510"/>
      <c r="R227" s="361"/>
      <c r="S227" s="510"/>
      <c r="T227" s="510"/>
      <c r="U227" s="510"/>
      <c r="V227" s="510"/>
      <c r="W227" s="361"/>
      <c r="X227" s="510"/>
      <c r="Y227" s="510"/>
      <c r="Z227" s="510"/>
      <c r="AA227" s="510"/>
      <c r="AB227" s="361"/>
      <c r="AC227" s="510"/>
      <c r="AD227" s="510"/>
      <c r="AE227" s="510"/>
      <c r="AF227" s="510"/>
      <c r="AG227" s="361"/>
      <c r="AH227" s="601"/>
      <c r="AI227" s="601"/>
      <c r="AJ227" s="601"/>
      <c r="AK227" s="601"/>
      <c r="AL227" s="512"/>
      <c r="AM227" s="510"/>
      <c r="AN227" s="510"/>
      <c r="AO227" s="510"/>
      <c r="AP227" s="510"/>
      <c r="AQ227" s="512"/>
      <c r="AR227" s="510"/>
      <c r="AS227" s="510"/>
      <c r="AT227" s="510"/>
      <c r="AU227" s="510"/>
      <c r="AV227" s="512"/>
      <c r="AW227" s="510"/>
      <c r="AX227" s="510"/>
      <c r="AY227" s="510"/>
      <c r="AZ227" s="510"/>
      <c r="BA227" s="512"/>
      <c r="BB227" s="510"/>
      <c r="BC227" s="510"/>
      <c r="BD227" s="510"/>
      <c r="BE227" s="510"/>
      <c r="BF227" s="512"/>
      <c r="BG227" s="509"/>
      <c r="BH227" s="510"/>
      <c r="BI227" s="510"/>
      <c r="BJ227" s="2811"/>
      <c r="BK227" s="512"/>
      <c r="BL227" s="510"/>
      <c r="BM227" s="510"/>
      <c r="BN227" s="510"/>
      <c r="BO227" s="2811"/>
      <c r="BP227" s="512"/>
      <c r="BQ227" s="510"/>
      <c r="BR227" s="510"/>
      <c r="BS227" s="510"/>
      <c r="BT227" s="2811"/>
      <c r="BU227" s="3367"/>
      <c r="BV227" s="510"/>
      <c r="BW227" s="510"/>
      <c r="BX227" s="510"/>
      <c r="BY227" s="2811"/>
      <c r="BZ227" s="512"/>
      <c r="CA227" s="512"/>
      <c r="CB227" s="512"/>
      <c r="CC227" s="512"/>
      <c r="CD227" s="512"/>
      <c r="CE227" s="512"/>
      <c r="CF227" s="512"/>
      <c r="CG227" s="512"/>
      <c r="CH227" s="510"/>
      <c r="CI227" s="510"/>
      <c r="CJ227" s="510"/>
      <c r="CK227" s="510"/>
      <c r="CL227" s="510"/>
      <c r="CM227" s="510"/>
      <c r="CN227" s="510"/>
      <c r="CO227" s="510"/>
      <c r="CP227" s="1842" t="str">
        <f t="shared" si="455"/>
        <v>Average Rooms</v>
      </c>
      <c r="CQ227" s="231">
        <f t="shared" si="456"/>
        <v>648</v>
      </c>
      <c r="CR227" s="231">
        <f t="shared" si="457"/>
        <v>648</v>
      </c>
      <c r="CS227" s="231"/>
      <c r="CT227" s="231"/>
      <c r="CU227" s="231"/>
      <c r="CV227" s="231"/>
      <c r="CW227" s="231"/>
      <c r="CX227" s="231"/>
      <c r="CY227" s="231"/>
      <c r="CZ227" s="231"/>
      <c r="DA227" s="231"/>
      <c r="DB227" s="231"/>
      <c r="DC227" s="231"/>
      <c r="DD227" s="231"/>
      <c r="DE227" s="231"/>
      <c r="DF227" s="231"/>
      <c r="DG227" s="1841"/>
      <c r="DH227" s="223"/>
      <c r="DI227" s="595"/>
      <c r="DJ227" s="595"/>
      <c r="DK227" s="595"/>
      <c r="DL227" s="595"/>
      <c r="DM227" s="595"/>
      <c r="DN227" s="514"/>
      <c r="DO227" s="226"/>
      <c r="DY227" s="510"/>
      <c r="DZ227" s="510"/>
    </row>
    <row r="228" spans="1:130" ht="5.0999999999999996" hidden="1" customHeight="1" outlineLevel="1">
      <c r="A228" s="217"/>
      <c r="B228" s="228"/>
      <c r="C228" s="228"/>
      <c r="D228" s="479"/>
      <c r="E228" s="482"/>
      <c r="F228" s="482"/>
      <c r="G228" s="482"/>
      <c r="H228" s="481"/>
      <c r="I228" s="482"/>
      <c r="J228" s="482"/>
      <c r="K228" s="482"/>
      <c r="L228" s="482"/>
      <c r="M228" s="481"/>
      <c r="N228" s="482"/>
      <c r="O228" s="482"/>
      <c r="P228" s="482"/>
      <c r="Q228" s="482"/>
      <c r="R228" s="481"/>
      <c r="S228" s="482"/>
      <c r="T228" s="482"/>
      <c r="U228" s="482"/>
      <c r="V228" s="482"/>
      <c r="W228" s="481"/>
      <c r="X228" s="482"/>
      <c r="Y228" s="482"/>
      <c r="Z228" s="482"/>
      <c r="AA228" s="482"/>
      <c r="AB228" s="481"/>
      <c r="AC228" s="482"/>
      <c r="AD228" s="482"/>
      <c r="AE228" s="482"/>
      <c r="AF228" s="482"/>
      <c r="AG228" s="481"/>
      <c r="AH228" s="482"/>
      <c r="AI228" s="482"/>
      <c r="AJ228" s="482"/>
      <c r="AK228" s="482"/>
      <c r="AL228" s="481"/>
      <c r="AM228" s="482"/>
      <c r="AN228" s="482"/>
      <c r="AO228" s="482"/>
      <c r="AP228" s="482"/>
      <c r="AQ228" s="481"/>
      <c r="AR228" s="482"/>
      <c r="AS228" s="482"/>
      <c r="AT228" s="482"/>
      <c r="AU228" s="482"/>
      <c r="AV228" s="481"/>
      <c r="AW228" s="482"/>
      <c r="AX228" s="482"/>
      <c r="AY228" s="482"/>
      <c r="AZ228" s="482"/>
      <c r="BA228" s="481"/>
      <c r="BB228" s="482"/>
      <c r="BC228" s="482"/>
      <c r="BD228" s="482"/>
      <c r="BE228" s="482"/>
      <c r="BF228" s="481"/>
      <c r="BG228" s="479"/>
      <c r="BH228" s="482"/>
      <c r="BI228" s="482"/>
      <c r="BJ228" s="2799"/>
      <c r="BK228" s="481"/>
      <c r="BL228" s="482"/>
      <c r="BM228" s="482"/>
      <c r="BN228" s="482"/>
      <c r="BO228" s="2799"/>
      <c r="BP228" s="481"/>
      <c r="BQ228" s="482"/>
      <c r="BR228" s="482"/>
      <c r="BS228" s="482"/>
      <c r="BT228" s="2799"/>
      <c r="BU228" s="3380"/>
      <c r="BV228" s="482"/>
      <c r="BW228" s="482"/>
      <c r="BX228" s="482"/>
      <c r="BY228" s="2799"/>
      <c r="BZ228" s="481"/>
      <c r="CA228" s="481"/>
      <c r="CB228" s="481"/>
      <c r="CC228" s="481"/>
      <c r="CD228" s="481"/>
      <c r="CE228" s="481"/>
      <c r="CF228" s="481"/>
      <c r="CG228" s="481"/>
      <c r="CH228" s="482"/>
      <c r="CI228" s="482"/>
      <c r="CJ228" s="482"/>
      <c r="CK228" s="482"/>
      <c r="CL228" s="482"/>
      <c r="CM228" s="482"/>
      <c r="CN228" s="482"/>
      <c r="CO228" s="482"/>
      <c r="CP228" s="1840"/>
      <c r="CQ228" s="223"/>
      <c r="CR228" s="223"/>
      <c r="CS228" s="223"/>
      <c r="CT228" s="223"/>
      <c r="CU228" s="223"/>
      <c r="CV228" s="223"/>
      <c r="CW228" s="223"/>
      <c r="CX228" s="223"/>
      <c r="CY228" s="223"/>
      <c r="CZ228" s="223"/>
      <c r="DA228" s="223"/>
      <c r="DB228" s="223"/>
      <c r="DC228" s="223"/>
      <c r="DD228" s="223"/>
      <c r="DE228" s="223"/>
      <c r="DF228" s="223"/>
      <c r="DG228" s="1853"/>
      <c r="DH228" s="223"/>
      <c r="DI228" s="595"/>
      <c r="DJ228" s="595"/>
      <c r="DK228" s="595"/>
      <c r="DL228" s="595"/>
      <c r="DM228" s="595"/>
      <c r="DN228" s="514"/>
      <c r="DO228" s="226"/>
      <c r="DY228" s="482"/>
      <c r="DZ228" s="482"/>
    </row>
    <row r="229" spans="1:130" ht="12" hidden="1" customHeight="1" outlineLevel="1">
      <c r="A229" s="529" t="s">
        <v>1102</v>
      </c>
      <c r="B229" s="602"/>
      <c r="C229" s="646"/>
      <c r="D229" s="603">
        <f t="shared" ref="D229:M229" si="469">D232/D224/D$5*1000000</f>
        <v>122.03313521891343</v>
      </c>
      <c r="E229" s="604">
        <f t="shared" si="469"/>
        <v>114.59931638881487</v>
      </c>
      <c r="F229" s="604">
        <f t="shared" si="469"/>
        <v>109.8678350958733</v>
      </c>
      <c r="G229" s="604">
        <f t="shared" si="469"/>
        <v>124.98467636482512</v>
      </c>
      <c r="H229" s="606">
        <f t="shared" si="469"/>
        <v>117.81055737961979</v>
      </c>
      <c r="I229" s="604">
        <f t="shared" si="469"/>
        <v>130.50149798098215</v>
      </c>
      <c r="J229" s="604">
        <f t="shared" si="469"/>
        <v>123.67468404983059</v>
      </c>
      <c r="K229" s="604">
        <f t="shared" si="469"/>
        <v>117.44227534532853</v>
      </c>
      <c r="L229" s="604">
        <f t="shared" si="469"/>
        <v>130.08228338922964</v>
      </c>
      <c r="M229" s="606">
        <f t="shared" si="469"/>
        <v>125.03966569085343</v>
      </c>
      <c r="N229" s="532"/>
      <c r="O229" s="532"/>
      <c r="P229" s="532"/>
      <c r="Q229" s="532"/>
      <c r="R229" s="507"/>
      <c r="S229" s="532"/>
      <c r="T229" s="532"/>
      <c r="U229" s="532"/>
      <c r="V229" s="532"/>
      <c r="W229" s="507"/>
      <c r="X229" s="532"/>
      <c r="Y229" s="532"/>
      <c r="Z229" s="532"/>
      <c r="AA229" s="532"/>
      <c r="AB229" s="507"/>
      <c r="AC229" s="532"/>
      <c r="AD229" s="532"/>
      <c r="AE229" s="532"/>
      <c r="AF229" s="532"/>
      <c r="AG229" s="507"/>
      <c r="AH229" s="508"/>
      <c r="AI229" s="508"/>
      <c r="AJ229" s="508"/>
      <c r="AK229" s="508"/>
      <c r="AL229" s="533"/>
      <c r="AM229" s="532"/>
      <c r="AN229" s="532"/>
      <c r="AO229" s="532"/>
      <c r="AP229" s="532"/>
      <c r="AQ229" s="533"/>
      <c r="AR229" s="532"/>
      <c r="AS229" s="532"/>
      <c r="AT229" s="532"/>
      <c r="AU229" s="532"/>
      <c r="AV229" s="533"/>
      <c r="AW229" s="532"/>
      <c r="AX229" s="532"/>
      <c r="AY229" s="532"/>
      <c r="AZ229" s="532"/>
      <c r="BA229" s="533"/>
      <c r="BB229" s="532"/>
      <c r="BC229" s="532"/>
      <c r="BD229" s="532"/>
      <c r="BE229" s="532"/>
      <c r="BF229" s="533"/>
      <c r="BG229" s="531"/>
      <c r="BH229" s="532"/>
      <c r="BI229" s="532"/>
      <c r="BJ229" s="2952"/>
      <c r="BK229" s="533"/>
      <c r="BL229" s="532"/>
      <c r="BM229" s="532"/>
      <c r="BN229" s="532"/>
      <c r="BO229" s="2952"/>
      <c r="BP229" s="533"/>
      <c r="BQ229" s="532"/>
      <c r="BR229" s="532"/>
      <c r="BS229" s="532"/>
      <c r="BT229" s="2952"/>
      <c r="BU229" s="3369"/>
      <c r="BV229" s="532"/>
      <c r="BW229" s="532"/>
      <c r="BX229" s="532"/>
      <c r="BY229" s="2952"/>
      <c r="BZ229" s="533"/>
      <c r="CA229" s="533"/>
      <c r="CB229" s="533"/>
      <c r="CC229" s="533"/>
      <c r="CD229" s="533"/>
      <c r="CE229" s="533"/>
      <c r="CF229" s="533"/>
      <c r="CG229" s="533"/>
      <c r="CH229" s="532"/>
      <c r="CI229" s="532"/>
      <c r="CJ229" s="532"/>
      <c r="CK229" s="532"/>
      <c r="CL229" s="532"/>
      <c r="CM229" s="532"/>
      <c r="CN229" s="532"/>
      <c r="CO229" s="532"/>
      <c r="CP229" s="1843" t="str">
        <f t="shared" si="455"/>
        <v>Net Revenues/Day/Position</v>
      </c>
      <c r="CQ229" s="535">
        <f t="shared" si="456"/>
        <v>117.81055737961979</v>
      </c>
      <c r="CR229" s="535">
        <f t="shared" si="457"/>
        <v>125.03966569085343</v>
      </c>
      <c r="CS229" s="535"/>
      <c r="CT229" s="535"/>
      <c r="CU229" s="535"/>
      <c r="CV229" s="535"/>
      <c r="CW229" s="535"/>
      <c r="CX229" s="535"/>
      <c r="CY229" s="535"/>
      <c r="CZ229" s="535"/>
      <c r="DA229" s="535"/>
      <c r="DB229" s="535"/>
      <c r="DC229" s="535"/>
      <c r="DD229" s="535"/>
      <c r="DE229" s="535"/>
      <c r="DF229" s="535"/>
      <c r="DG229" s="1844"/>
      <c r="DH229" s="223"/>
      <c r="DI229" s="595"/>
      <c r="DJ229" s="595"/>
      <c r="DK229" s="595"/>
      <c r="DL229" s="595"/>
      <c r="DM229" s="595"/>
      <c r="DN229" s="514"/>
      <c r="DO229" s="226"/>
      <c r="DY229" s="532"/>
      <c r="DZ229" s="532"/>
    </row>
    <row r="230" spans="1:130" ht="12" hidden="1" customHeight="1" outlineLevel="1">
      <c r="A230" s="257" t="s">
        <v>1249</v>
      </c>
      <c r="B230" s="545"/>
      <c r="C230" s="545"/>
      <c r="D230" s="560"/>
      <c r="E230" s="561"/>
      <c r="F230" s="561"/>
      <c r="G230" s="561"/>
      <c r="H230" s="344"/>
      <c r="I230" s="561">
        <f>I229/D229-1</f>
        <v>6.9393962114285168E-2</v>
      </c>
      <c r="J230" s="561">
        <f>J229/E229-1</f>
        <v>7.9192162283277856E-2</v>
      </c>
      <c r="K230" s="561">
        <f>K229/F229-1</f>
        <v>6.8941380731181168E-2</v>
      </c>
      <c r="L230" s="561">
        <f>L229/G229-1</f>
        <v>4.0785856095869155E-2</v>
      </c>
      <c r="M230" s="344">
        <f>M229/H229-1</f>
        <v>6.136214335986323E-2</v>
      </c>
      <c r="N230" s="548"/>
      <c r="O230" s="548"/>
      <c r="P230" s="548"/>
      <c r="Q230" s="548"/>
      <c r="R230" s="549"/>
      <c r="S230" s="548"/>
      <c r="T230" s="548"/>
      <c r="U230" s="548"/>
      <c r="V230" s="548"/>
      <c r="W230" s="549"/>
      <c r="X230" s="548"/>
      <c r="Y230" s="548"/>
      <c r="Z230" s="548"/>
      <c r="AA230" s="548"/>
      <c r="AB230" s="549"/>
      <c r="AC230" s="548"/>
      <c r="AD230" s="548"/>
      <c r="AE230" s="548"/>
      <c r="AF230" s="548"/>
      <c r="AG230" s="549"/>
      <c r="AH230" s="398"/>
      <c r="AI230" s="398"/>
      <c r="AJ230" s="398"/>
      <c r="AK230" s="398"/>
      <c r="AL230" s="550"/>
      <c r="AM230" s="548"/>
      <c r="AN230" s="548"/>
      <c r="AO230" s="548"/>
      <c r="AP230" s="548"/>
      <c r="AQ230" s="550"/>
      <c r="AR230" s="548"/>
      <c r="AS230" s="548"/>
      <c r="AT230" s="548"/>
      <c r="AU230" s="548"/>
      <c r="AV230" s="550"/>
      <c r="AW230" s="548"/>
      <c r="AX230" s="548"/>
      <c r="AY230" s="548"/>
      <c r="AZ230" s="548"/>
      <c r="BA230" s="550"/>
      <c r="BB230" s="548"/>
      <c r="BC230" s="548"/>
      <c r="BD230" s="548"/>
      <c r="BE230" s="548"/>
      <c r="BF230" s="550"/>
      <c r="BG230" s="607"/>
      <c r="BH230" s="548"/>
      <c r="BI230" s="548"/>
      <c r="BJ230" s="2812"/>
      <c r="BK230" s="550"/>
      <c r="BL230" s="548"/>
      <c r="BM230" s="548"/>
      <c r="BN230" s="548"/>
      <c r="BO230" s="2812"/>
      <c r="BP230" s="550"/>
      <c r="BQ230" s="548"/>
      <c r="BR230" s="548"/>
      <c r="BS230" s="548"/>
      <c r="BT230" s="2812"/>
      <c r="BU230" s="3371"/>
      <c r="BV230" s="548"/>
      <c r="BW230" s="548"/>
      <c r="BX230" s="548"/>
      <c r="BY230" s="2812"/>
      <c r="BZ230" s="550"/>
      <c r="CA230" s="550"/>
      <c r="CB230" s="550"/>
      <c r="CC230" s="550"/>
      <c r="CD230" s="550"/>
      <c r="CE230" s="550"/>
      <c r="CF230" s="550"/>
      <c r="CG230" s="550"/>
      <c r="CH230" s="548"/>
      <c r="CI230" s="548"/>
      <c r="CJ230" s="548"/>
      <c r="CK230" s="548"/>
      <c r="CL230" s="548"/>
      <c r="CM230" s="548"/>
      <c r="CN230" s="548"/>
      <c r="CO230" s="548"/>
      <c r="CP230" s="396" t="str">
        <f t="shared" si="455"/>
        <v>% Growth (y-o-y)</v>
      </c>
      <c r="CQ230" s="561"/>
      <c r="CR230" s="561">
        <f t="shared" si="457"/>
        <v>6.136214335986323E-2</v>
      </c>
      <c r="CS230" s="561"/>
      <c r="CT230" s="561"/>
      <c r="CU230" s="561"/>
      <c r="CV230" s="561"/>
      <c r="CW230" s="561"/>
      <c r="CX230" s="561"/>
      <c r="CY230" s="561"/>
      <c r="CZ230" s="561"/>
      <c r="DA230" s="561"/>
      <c r="DB230" s="561"/>
      <c r="DC230" s="561"/>
      <c r="DD230" s="561"/>
      <c r="DE230" s="561"/>
      <c r="DF230" s="561"/>
      <c r="DG230" s="1846"/>
      <c r="DH230" s="609"/>
      <c r="DI230" s="573"/>
      <c r="DJ230" s="573"/>
      <c r="DK230" s="573"/>
      <c r="DL230" s="573"/>
      <c r="DM230" s="573"/>
      <c r="DN230" s="551"/>
      <c r="DO230" s="266"/>
      <c r="DY230" s="548"/>
      <c r="DZ230" s="548"/>
    </row>
    <row r="231" spans="1:130" ht="5.0999999999999996" hidden="1" customHeight="1" outlineLevel="1">
      <c r="A231" s="610"/>
      <c r="B231" s="228"/>
      <c r="C231" s="228"/>
      <c r="D231" s="315"/>
      <c r="E231" s="472"/>
      <c r="F231" s="472"/>
      <c r="G231" s="472"/>
      <c r="H231" s="471"/>
      <c r="I231" s="472"/>
      <c r="J231" s="472"/>
      <c r="K231" s="472"/>
      <c r="L231" s="472"/>
      <c r="M231" s="471"/>
      <c r="N231" s="447"/>
      <c r="O231" s="447"/>
      <c r="P231" s="447"/>
      <c r="Q231" s="447"/>
      <c r="R231" s="563"/>
      <c r="S231" s="447"/>
      <c r="T231" s="447"/>
      <c r="U231" s="447"/>
      <c r="V231" s="447"/>
      <c r="W231" s="563"/>
      <c r="X231" s="447"/>
      <c r="Y231" s="447"/>
      <c r="Z231" s="447"/>
      <c r="AA231" s="447"/>
      <c r="AB231" s="563"/>
      <c r="AC231" s="447"/>
      <c r="AD231" s="447"/>
      <c r="AE231" s="447"/>
      <c r="AF231" s="447"/>
      <c r="AG231" s="563"/>
      <c r="AH231" s="447"/>
      <c r="AI231" s="447"/>
      <c r="AJ231" s="447"/>
      <c r="AK231" s="447"/>
      <c r="AL231" s="563"/>
      <c r="AM231" s="447"/>
      <c r="AN231" s="447"/>
      <c r="AO231" s="447"/>
      <c r="AP231" s="447"/>
      <c r="AQ231" s="563"/>
      <c r="AR231" s="447"/>
      <c r="AS231" s="447"/>
      <c r="AT231" s="447"/>
      <c r="AU231" s="447"/>
      <c r="AV231" s="563"/>
      <c r="AW231" s="447"/>
      <c r="AX231" s="447"/>
      <c r="AY231" s="447"/>
      <c r="AZ231" s="447"/>
      <c r="BA231" s="563"/>
      <c r="BB231" s="447"/>
      <c r="BC231" s="447"/>
      <c r="BD231" s="447"/>
      <c r="BE231" s="447"/>
      <c r="BF231" s="563"/>
      <c r="BG231" s="446"/>
      <c r="BH231" s="447"/>
      <c r="BI231" s="447"/>
      <c r="BJ231" s="2802"/>
      <c r="BK231" s="563"/>
      <c r="BL231" s="447"/>
      <c r="BM231" s="447"/>
      <c r="BN231" s="447"/>
      <c r="BO231" s="2802"/>
      <c r="BP231" s="563"/>
      <c r="BQ231" s="447"/>
      <c r="BR231" s="447"/>
      <c r="BS231" s="447"/>
      <c r="BT231" s="2802"/>
      <c r="BU231" s="3320"/>
      <c r="BV231" s="447"/>
      <c r="BW231" s="447"/>
      <c r="BX231" s="447"/>
      <c r="BY231" s="2802"/>
      <c r="BZ231" s="563"/>
      <c r="CA231" s="563"/>
      <c r="CB231" s="563"/>
      <c r="CC231" s="563"/>
      <c r="CD231" s="563"/>
      <c r="CE231" s="563"/>
      <c r="CF231" s="563"/>
      <c r="CG231" s="563"/>
      <c r="CH231" s="447"/>
      <c r="CI231" s="447"/>
      <c r="CJ231" s="447"/>
      <c r="CK231" s="447"/>
      <c r="CL231" s="447"/>
      <c r="CM231" s="447"/>
      <c r="CN231" s="447"/>
      <c r="CO231" s="447"/>
      <c r="CP231" s="1854"/>
      <c r="CQ231" s="564"/>
      <c r="CR231" s="564"/>
      <c r="CS231" s="564"/>
      <c r="CT231" s="564"/>
      <c r="CU231" s="564"/>
      <c r="CV231" s="564"/>
      <c r="CW231" s="564"/>
      <c r="CX231" s="564"/>
      <c r="CY231" s="564"/>
      <c r="CZ231" s="564"/>
      <c r="DA231" s="564"/>
      <c r="DB231" s="564"/>
      <c r="DC231" s="564"/>
      <c r="DD231" s="564"/>
      <c r="DE231" s="564"/>
      <c r="DF231" s="564"/>
      <c r="DG231" s="1789"/>
      <c r="DH231" s="564"/>
      <c r="DI231" s="595"/>
      <c r="DJ231" s="595"/>
      <c r="DK231" s="595"/>
      <c r="DL231" s="595"/>
      <c r="DM231" s="595"/>
      <c r="DN231" s="514"/>
      <c r="DO231" s="226"/>
      <c r="DY231" s="447"/>
      <c r="DZ231" s="447"/>
    </row>
    <row r="232" spans="1:130" ht="12" hidden="1" customHeight="1" outlineLevel="1">
      <c r="A232" s="228" t="s">
        <v>21</v>
      </c>
      <c r="B232" s="228"/>
      <c r="C232" s="228"/>
      <c r="D232" s="353">
        <v>47.163000000000004</v>
      </c>
      <c r="E232" s="354">
        <v>44.29</v>
      </c>
      <c r="F232" s="611">
        <v>42.927999999999997</v>
      </c>
      <c r="G232" s="611">
        <v>48.938000000000002</v>
      </c>
      <c r="H232" s="355">
        <f>SUM(D232:G232)</f>
        <v>183.31900000000002</v>
      </c>
      <c r="I232" s="611">
        <v>50.093000000000004</v>
      </c>
      <c r="J232" s="611">
        <v>48</v>
      </c>
      <c r="K232" s="611">
        <v>46.082000000000001</v>
      </c>
      <c r="L232" s="611">
        <v>51.664000000000001</v>
      </c>
      <c r="M232" s="355">
        <f>SUM(I232:L232)</f>
        <v>195.839</v>
      </c>
      <c r="N232" s="612"/>
      <c r="O232" s="612"/>
      <c r="P232" s="612"/>
      <c r="Q232" s="612"/>
      <c r="R232" s="613"/>
      <c r="S232" s="612"/>
      <c r="T232" s="612"/>
      <c r="U232" s="612"/>
      <c r="V232" s="612"/>
      <c r="W232" s="613"/>
      <c r="X232" s="612"/>
      <c r="Y232" s="612"/>
      <c r="Z232" s="612"/>
      <c r="AA232" s="612"/>
      <c r="AB232" s="613"/>
      <c r="AC232" s="612"/>
      <c r="AD232" s="612"/>
      <c r="AE232" s="612"/>
      <c r="AF232" s="612"/>
      <c r="AG232" s="613"/>
      <c r="AH232" s="612"/>
      <c r="AI232" s="612"/>
      <c r="AJ232" s="612"/>
      <c r="AK232" s="612"/>
      <c r="AL232" s="613"/>
      <c r="AM232" s="612"/>
      <c r="AN232" s="612"/>
      <c r="AO232" s="612"/>
      <c r="AP232" s="612"/>
      <c r="AQ232" s="613"/>
      <c r="AR232" s="612"/>
      <c r="AS232" s="612"/>
      <c r="AT232" s="612"/>
      <c r="AU232" s="612"/>
      <c r="AV232" s="613"/>
      <c r="AW232" s="612"/>
      <c r="AX232" s="612"/>
      <c r="AY232" s="612"/>
      <c r="AZ232" s="612"/>
      <c r="BA232" s="613"/>
      <c r="BB232" s="612"/>
      <c r="BC232" s="612"/>
      <c r="BD232" s="612"/>
      <c r="BE232" s="612"/>
      <c r="BF232" s="613"/>
      <c r="BG232" s="2953"/>
      <c r="BH232" s="612"/>
      <c r="BI232" s="612"/>
      <c r="BJ232" s="2954"/>
      <c r="BK232" s="613"/>
      <c r="BL232" s="612"/>
      <c r="BM232" s="612"/>
      <c r="BN232" s="612"/>
      <c r="BO232" s="2954"/>
      <c r="BP232" s="613"/>
      <c r="BQ232" s="612"/>
      <c r="BR232" s="612"/>
      <c r="BS232" s="612"/>
      <c r="BT232" s="2954"/>
      <c r="BU232" s="3323"/>
      <c r="BV232" s="612"/>
      <c r="BW232" s="612"/>
      <c r="BX232" s="612"/>
      <c r="BY232" s="2954"/>
      <c r="BZ232" s="613"/>
      <c r="CA232" s="613"/>
      <c r="CB232" s="613"/>
      <c r="CC232" s="613"/>
      <c r="CD232" s="613"/>
      <c r="CE232" s="613"/>
      <c r="CF232" s="613"/>
      <c r="CG232" s="613"/>
      <c r="CH232" s="612"/>
      <c r="CI232" s="612"/>
      <c r="CJ232" s="612"/>
      <c r="CK232" s="612"/>
      <c r="CL232" s="612"/>
      <c r="CM232" s="612"/>
      <c r="CN232" s="612"/>
      <c r="CO232" s="612"/>
      <c r="CP232" s="1847" t="str">
        <f t="shared" si="455"/>
        <v>Total Net Revenues</v>
      </c>
      <c r="CQ232" s="352">
        <f t="shared" si="456"/>
        <v>183.31900000000002</v>
      </c>
      <c r="CR232" s="352">
        <f t="shared" si="457"/>
        <v>195.839</v>
      </c>
      <c r="CS232" s="352"/>
      <c r="CT232" s="352"/>
      <c r="CU232" s="352"/>
      <c r="CV232" s="352"/>
      <c r="CW232" s="352"/>
      <c r="CX232" s="352"/>
      <c r="CY232" s="352"/>
      <c r="CZ232" s="352"/>
      <c r="DA232" s="352"/>
      <c r="DB232" s="352"/>
      <c r="DC232" s="352"/>
      <c r="DD232" s="352"/>
      <c r="DE232" s="352"/>
      <c r="DF232" s="352"/>
      <c r="DG232" s="1798"/>
      <c r="DH232" s="352"/>
      <c r="DI232" s="614"/>
      <c r="DJ232" s="614"/>
      <c r="DK232" s="614"/>
      <c r="DL232" s="614"/>
      <c r="DM232" s="614"/>
      <c r="DN232" s="559"/>
      <c r="DO232" s="269"/>
      <c r="DY232" s="612"/>
      <c r="DZ232" s="612"/>
    </row>
    <row r="233" spans="1:130" ht="12" hidden="1" customHeight="1" outlineLevel="1">
      <c r="A233" s="257" t="s">
        <v>1249</v>
      </c>
      <c r="B233" s="545"/>
      <c r="C233" s="545"/>
      <c r="D233" s="358"/>
      <c r="E233" s="502"/>
      <c r="F233" s="502"/>
      <c r="G233" s="502"/>
      <c r="H233" s="503"/>
      <c r="I233" s="502">
        <f>I232/D232-1</f>
        <v>6.2124970845790051E-2</v>
      </c>
      <c r="J233" s="502">
        <f>J232/E232-1</f>
        <v>8.3766087152856272E-2</v>
      </c>
      <c r="K233" s="502">
        <f>K232/F232-1</f>
        <v>7.3471859858367683E-2</v>
      </c>
      <c r="L233" s="502">
        <f>L232/G232-1</f>
        <v>5.5703134578446223E-2</v>
      </c>
      <c r="M233" s="503">
        <f>M232/H232-1</f>
        <v>6.8296248615800748E-2</v>
      </c>
      <c r="N233" s="615"/>
      <c r="O233" s="615"/>
      <c r="P233" s="615"/>
      <c r="Q233" s="615"/>
      <c r="R233" s="616"/>
      <c r="S233" s="615"/>
      <c r="T233" s="615"/>
      <c r="U233" s="615"/>
      <c r="V233" s="615"/>
      <c r="W233" s="616"/>
      <c r="X233" s="615"/>
      <c r="Y233" s="615"/>
      <c r="Z233" s="615"/>
      <c r="AA233" s="615"/>
      <c r="AB233" s="616"/>
      <c r="AC233" s="615"/>
      <c r="AD233" s="615"/>
      <c r="AE233" s="615"/>
      <c r="AF233" s="615"/>
      <c r="AG233" s="616"/>
      <c r="AH233" s="615"/>
      <c r="AI233" s="615"/>
      <c r="AJ233" s="615"/>
      <c r="AK233" s="615"/>
      <c r="AL233" s="616"/>
      <c r="AM233" s="615"/>
      <c r="AN233" s="615"/>
      <c r="AO233" s="615"/>
      <c r="AP233" s="615"/>
      <c r="AQ233" s="616"/>
      <c r="AR233" s="615"/>
      <c r="AS233" s="615"/>
      <c r="AT233" s="615"/>
      <c r="AU233" s="615"/>
      <c r="AV233" s="616"/>
      <c r="AW233" s="615"/>
      <c r="AX233" s="615"/>
      <c r="AY233" s="615"/>
      <c r="AZ233" s="615"/>
      <c r="BA233" s="616"/>
      <c r="BB233" s="615"/>
      <c r="BC233" s="615"/>
      <c r="BD233" s="615"/>
      <c r="BE233" s="615"/>
      <c r="BF233" s="616"/>
      <c r="BG233" s="608"/>
      <c r="BH233" s="615"/>
      <c r="BI233" s="615"/>
      <c r="BJ233" s="2801"/>
      <c r="BK233" s="616"/>
      <c r="BL233" s="615"/>
      <c r="BM233" s="615"/>
      <c r="BN233" s="615"/>
      <c r="BO233" s="2801"/>
      <c r="BP233" s="616"/>
      <c r="BQ233" s="615"/>
      <c r="BR233" s="615"/>
      <c r="BS233" s="615"/>
      <c r="BT233" s="2801"/>
      <c r="BU233" s="3381"/>
      <c r="BV233" s="615"/>
      <c r="BW233" s="615"/>
      <c r="BX233" s="615"/>
      <c r="BY233" s="2801"/>
      <c r="BZ233" s="616"/>
      <c r="CA233" s="616"/>
      <c r="CB233" s="616"/>
      <c r="CC233" s="616"/>
      <c r="CD233" s="616"/>
      <c r="CE233" s="616"/>
      <c r="CF233" s="616"/>
      <c r="CG233" s="616"/>
      <c r="CH233" s="615"/>
      <c r="CI233" s="615"/>
      <c r="CJ233" s="615"/>
      <c r="CK233" s="615"/>
      <c r="CL233" s="615"/>
      <c r="CM233" s="615"/>
      <c r="CN233" s="615"/>
      <c r="CO233" s="615"/>
      <c r="CP233" s="396" t="str">
        <f t="shared" si="455"/>
        <v>% Growth (y-o-y)</v>
      </c>
      <c r="CQ233" s="502"/>
      <c r="CR233" s="502">
        <f t="shared" si="457"/>
        <v>6.8296248615800748E-2</v>
      </c>
      <c r="CS233" s="502"/>
      <c r="CT233" s="502"/>
      <c r="CU233" s="502"/>
      <c r="CV233" s="502"/>
      <c r="CW233" s="502"/>
      <c r="CX233" s="502"/>
      <c r="CY233" s="502"/>
      <c r="CZ233" s="502"/>
      <c r="DA233" s="502"/>
      <c r="DB233" s="502"/>
      <c r="DC233" s="502"/>
      <c r="DD233" s="502"/>
      <c r="DE233" s="502"/>
      <c r="DF233" s="502"/>
      <c r="DG233" s="1855"/>
      <c r="DH233" s="502"/>
      <c r="DI233" s="573"/>
      <c r="DJ233" s="573"/>
      <c r="DK233" s="573"/>
      <c r="DL233" s="573"/>
      <c r="DM233" s="573"/>
      <c r="DN233" s="551"/>
      <c r="DO233" s="266"/>
      <c r="DY233" s="615"/>
      <c r="DZ233" s="615"/>
    </row>
    <row r="234" spans="1:130" ht="5.0999999999999996" hidden="1" customHeight="1" outlineLevel="1">
      <c r="A234" s="552"/>
      <c r="B234" s="228"/>
      <c r="C234" s="228"/>
      <c r="D234" s="446"/>
      <c r="E234" s="447"/>
      <c r="F234" s="447"/>
      <c r="G234" s="447"/>
      <c r="H234" s="563"/>
      <c r="I234" s="447"/>
      <c r="J234" s="447"/>
      <c r="K234" s="447"/>
      <c r="L234" s="447"/>
      <c r="M234" s="563"/>
      <c r="N234" s="447"/>
      <c r="O234" s="447"/>
      <c r="P234" s="447"/>
      <c r="Q234" s="447"/>
      <c r="R234" s="563"/>
      <c r="S234" s="447"/>
      <c r="T234" s="447"/>
      <c r="U234" s="447"/>
      <c r="V234" s="447"/>
      <c r="W234" s="563"/>
      <c r="X234" s="447"/>
      <c r="Y234" s="447"/>
      <c r="Z234" s="447"/>
      <c r="AA234" s="447"/>
      <c r="AB234" s="563"/>
      <c r="AC234" s="447"/>
      <c r="AD234" s="447"/>
      <c r="AE234" s="447"/>
      <c r="AF234" s="447"/>
      <c r="AG234" s="563"/>
      <c r="AH234" s="447"/>
      <c r="AI234" s="447"/>
      <c r="AJ234" s="447"/>
      <c r="AK234" s="447"/>
      <c r="AL234" s="563"/>
      <c r="AM234" s="447"/>
      <c r="AN234" s="447"/>
      <c r="AO234" s="447"/>
      <c r="AP234" s="447"/>
      <c r="AQ234" s="563"/>
      <c r="AR234" s="447"/>
      <c r="AS234" s="447"/>
      <c r="AT234" s="447"/>
      <c r="AU234" s="447"/>
      <c r="AV234" s="563"/>
      <c r="AW234" s="447"/>
      <c r="AX234" s="447"/>
      <c r="AY234" s="447"/>
      <c r="AZ234" s="447"/>
      <c r="BA234" s="563"/>
      <c r="BB234" s="447"/>
      <c r="BC234" s="447"/>
      <c r="BD234" s="447"/>
      <c r="BE234" s="447"/>
      <c r="BF234" s="563"/>
      <c r="BG234" s="446"/>
      <c r="BH234" s="447"/>
      <c r="BI234" s="447"/>
      <c r="BJ234" s="2802"/>
      <c r="BK234" s="563"/>
      <c r="BL234" s="447"/>
      <c r="BM234" s="447"/>
      <c r="BN234" s="447"/>
      <c r="BO234" s="2802"/>
      <c r="BP234" s="563"/>
      <c r="BQ234" s="447"/>
      <c r="BR234" s="447"/>
      <c r="BS234" s="447"/>
      <c r="BT234" s="2802"/>
      <c r="BU234" s="3320"/>
      <c r="BV234" s="447"/>
      <c r="BW234" s="447"/>
      <c r="BX234" s="447"/>
      <c r="BY234" s="2802"/>
      <c r="BZ234" s="563"/>
      <c r="CA234" s="563"/>
      <c r="CB234" s="563"/>
      <c r="CC234" s="563"/>
      <c r="CD234" s="563"/>
      <c r="CE234" s="563"/>
      <c r="CF234" s="563"/>
      <c r="CG234" s="563"/>
      <c r="CH234" s="447"/>
      <c r="CI234" s="447"/>
      <c r="CJ234" s="447"/>
      <c r="CK234" s="447"/>
      <c r="CL234" s="447"/>
      <c r="CM234" s="447"/>
      <c r="CN234" s="447"/>
      <c r="CO234" s="447"/>
      <c r="CP234" s="994"/>
      <c r="CQ234" s="564"/>
      <c r="CR234" s="564"/>
      <c r="CS234" s="564"/>
      <c r="CT234" s="564"/>
      <c r="CU234" s="564"/>
      <c r="CV234" s="564"/>
      <c r="CW234" s="564"/>
      <c r="CX234" s="564"/>
      <c r="CY234" s="564"/>
      <c r="CZ234" s="564"/>
      <c r="DA234" s="564"/>
      <c r="DB234" s="564"/>
      <c r="DC234" s="564"/>
      <c r="DD234" s="564"/>
      <c r="DE234" s="564"/>
      <c r="DF234" s="564"/>
      <c r="DG234" s="1789"/>
      <c r="DH234" s="564"/>
      <c r="DI234" s="595"/>
      <c r="DJ234" s="595"/>
      <c r="DK234" s="595"/>
      <c r="DL234" s="595"/>
      <c r="DM234" s="595"/>
      <c r="DN234" s="514"/>
      <c r="DO234" s="226"/>
      <c r="DY234" s="447"/>
      <c r="DZ234" s="447"/>
    </row>
    <row r="235" spans="1:130" ht="12" hidden="1" customHeight="1" outlineLevel="1">
      <c r="A235" s="228" t="s">
        <v>1326</v>
      </c>
      <c r="B235" s="228"/>
      <c r="C235" s="228"/>
      <c r="D235" s="353">
        <v>33.064999999999998</v>
      </c>
      <c r="E235" s="354">
        <v>33.009</v>
      </c>
      <c r="F235" s="354">
        <f>F232-F238</f>
        <v>33.000999999999998</v>
      </c>
      <c r="G235" s="354">
        <f>G232-G238</f>
        <v>34.806000000000004</v>
      </c>
      <c r="H235" s="355">
        <f>SUM(D235:G235)</f>
        <v>133.881</v>
      </c>
      <c r="I235" s="354">
        <f>I232-I238</f>
        <v>34.194000000000003</v>
      </c>
      <c r="J235" s="354">
        <f>J232-J238</f>
        <v>33.087000000000003</v>
      </c>
      <c r="K235" s="354">
        <f>K232-K238</f>
        <v>33.358000000000004</v>
      </c>
      <c r="L235" s="354">
        <f>L232-L238</f>
        <v>36.078000000000003</v>
      </c>
      <c r="M235" s="355">
        <f>SUM(I235:L235)</f>
        <v>136.71700000000001</v>
      </c>
      <c r="N235" s="612"/>
      <c r="O235" s="612"/>
      <c r="P235" s="612"/>
      <c r="Q235" s="612"/>
      <c r="R235" s="613"/>
      <c r="S235" s="612"/>
      <c r="T235" s="612"/>
      <c r="U235" s="612"/>
      <c r="V235" s="612"/>
      <c r="W235" s="613"/>
      <c r="X235" s="612"/>
      <c r="Y235" s="612"/>
      <c r="Z235" s="612"/>
      <c r="AA235" s="612"/>
      <c r="AB235" s="613"/>
      <c r="AC235" s="612"/>
      <c r="AD235" s="612"/>
      <c r="AE235" s="612"/>
      <c r="AF235" s="612"/>
      <c r="AG235" s="613"/>
      <c r="AH235" s="612"/>
      <c r="AI235" s="612"/>
      <c r="AJ235" s="612"/>
      <c r="AK235" s="612"/>
      <c r="AL235" s="613"/>
      <c r="AM235" s="612"/>
      <c r="AN235" s="612"/>
      <c r="AO235" s="612"/>
      <c r="AP235" s="612"/>
      <c r="AQ235" s="613"/>
      <c r="AR235" s="612"/>
      <c r="AS235" s="612"/>
      <c r="AT235" s="612"/>
      <c r="AU235" s="612"/>
      <c r="AV235" s="613"/>
      <c r="AW235" s="612"/>
      <c r="AX235" s="612"/>
      <c r="AY235" s="612"/>
      <c r="AZ235" s="612"/>
      <c r="BA235" s="613"/>
      <c r="BB235" s="612"/>
      <c r="BC235" s="612"/>
      <c r="BD235" s="612"/>
      <c r="BE235" s="612"/>
      <c r="BF235" s="613"/>
      <c r="BG235" s="2953"/>
      <c r="BH235" s="612"/>
      <c r="BI235" s="612"/>
      <c r="BJ235" s="2954"/>
      <c r="BK235" s="613"/>
      <c r="BL235" s="612"/>
      <c r="BM235" s="612"/>
      <c r="BN235" s="612"/>
      <c r="BO235" s="2954"/>
      <c r="BP235" s="613"/>
      <c r="BQ235" s="612"/>
      <c r="BR235" s="612"/>
      <c r="BS235" s="612"/>
      <c r="BT235" s="2954"/>
      <c r="BU235" s="3323"/>
      <c r="BV235" s="612"/>
      <c r="BW235" s="612"/>
      <c r="BX235" s="612"/>
      <c r="BY235" s="2954"/>
      <c r="BZ235" s="613"/>
      <c r="CA235" s="613"/>
      <c r="CB235" s="613"/>
      <c r="CC235" s="613"/>
      <c r="CD235" s="613"/>
      <c r="CE235" s="613"/>
      <c r="CF235" s="613"/>
      <c r="CG235" s="613"/>
      <c r="CH235" s="612"/>
      <c r="CI235" s="612"/>
      <c r="CJ235" s="612"/>
      <c r="CK235" s="612"/>
      <c r="CL235" s="612"/>
      <c r="CM235" s="612"/>
      <c r="CN235" s="612"/>
      <c r="CO235" s="612"/>
      <c r="CP235" s="1847" t="str">
        <f t="shared" si="455"/>
        <v>Total Expenses</v>
      </c>
      <c r="CQ235" s="352">
        <f t="shared" si="456"/>
        <v>133.881</v>
      </c>
      <c r="CR235" s="352">
        <f t="shared" si="457"/>
        <v>136.71700000000001</v>
      </c>
      <c r="CS235" s="352"/>
      <c r="CT235" s="352"/>
      <c r="CU235" s="352"/>
      <c r="CV235" s="352"/>
      <c r="CW235" s="352"/>
      <c r="CX235" s="352"/>
      <c r="CY235" s="352"/>
      <c r="CZ235" s="352"/>
      <c r="DA235" s="352"/>
      <c r="DB235" s="352"/>
      <c r="DC235" s="352"/>
      <c r="DD235" s="352"/>
      <c r="DE235" s="352"/>
      <c r="DF235" s="352"/>
      <c r="DG235" s="1798"/>
      <c r="DH235" s="352"/>
      <c r="DI235" s="614"/>
      <c r="DJ235" s="614"/>
      <c r="DK235" s="614"/>
      <c r="DL235" s="614"/>
      <c r="DM235" s="614"/>
      <c r="DN235" s="559"/>
      <c r="DO235" s="269"/>
      <c r="DY235" s="612"/>
      <c r="DZ235" s="612"/>
    </row>
    <row r="236" spans="1:130" ht="12" hidden="1" customHeight="1" outlineLevel="1">
      <c r="A236" s="257" t="s">
        <v>1249</v>
      </c>
      <c r="B236" s="545"/>
      <c r="C236" s="545"/>
      <c r="D236" s="358"/>
      <c r="E236" s="502"/>
      <c r="F236" s="502"/>
      <c r="G236" s="502"/>
      <c r="H236" s="503"/>
      <c r="I236" s="502">
        <f>I235/D235-1</f>
        <v>3.4144866172690413E-2</v>
      </c>
      <c r="J236" s="502">
        <f>J235/E235-1</f>
        <v>2.3629919112970743E-3</v>
      </c>
      <c r="K236" s="502">
        <f>K235/F235-1</f>
        <v>1.0817854004424365E-2</v>
      </c>
      <c r="L236" s="502">
        <f>L235/G235-1</f>
        <v>3.654542320289611E-2</v>
      </c>
      <c r="M236" s="503">
        <f>M235/H235-1</f>
        <v>2.1182990865022067E-2</v>
      </c>
      <c r="N236" s="615"/>
      <c r="O236" s="615"/>
      <c r="P236" s="615"/>
      <c r="Q236" s="615"/>
      <c r="R236" s="616"/>
      <c r="S236" s="615"/>
      <c r="T236" s="615"/>
      <c r="U236" s="615"/>
      <c r="V236" s="615"/>
      <c r="W236" s="616"/>
      <c r="X236" s="615"/>
      <c r="Y236" s="615"/>
      <c r="Z236" s="615"/>
      <c r="AA236" s="615"/>
      <c r="AB236" s="616"/>
      <c r="AC236" s="615"/>
      <c r="AD236" s="615"/>
      <c r="AE236" s="615"/>
      <c r="AF236" s="615"/>
      <c r="AG236" s="616"/>
      <c r="AH236" s="615"/>
      <c r="AI236" s="615"/>
      <c r="AJ236" s="615"/>
      <c r="AK236" s="615"/>
      <c r="AL236" s="616"/>
      <c r="AM236" s="615"/>
      <c r="AN236" s="615"/>
      <c r="AO236" s="615"/>
      <c r="AP236" s="615"/>
      <c r="AQ236" s="616"/>
      <c r="AR236" s="615"/>
      <c r="AS236" s="615"/>
      <c r="AT236" s="615"/>
      <c r="AU236" s="615"/>
      <c r="AV236" s="616"/>
      <c r="AW236" s="615"/>
      <c r="AX236" s="615"/>
      <c r="AY236" s="615"/>
      <c r="AZ236" s="615"/>
      <c r="BA236" s="616"/>
      <c r="BB236" s="615"/>
      <c r="BC236" s="615"/>
      <c r="BD236" s="615"/>
      <c r="BE236" s="615"/>
      <c r="BF236" s="616"/>
      <c r="BG236" s="608"/>
      <c r="BH236" s="615"/>
      <c r="BI236" s="615"/>
      <c r="BJ236" s="2801"/>
      <c r="BK236" s="616"/>
      <c r="BL236" s="615"/>
      <c r="BM236" s="615"/>
      <c r="BN236" s="615"/>
      <c r="BO236" s="2801"/>
      <c r="BP236" s="616"/>
      <c r="BQ236" s="615"/>
      <c r="BR236" s="615"/>
      <c r="BS236" s="615"/>
      <c r="BT236" s="2801"/>
      <c r="BU236" s="3381"/>
      <c r="BV236" s="615"/>
      <c r="BW236" s="615"/>
      <c r="BX236" s="615"/>
      <c r="BY236" s="2801"/>
      <c r="BZ236" s="616"/>
      <c r="CA236" s="616"/>
      <c r="CB236" s="616"/>
      <c r="CC236" s="616"/>
      <c r="CD236" s="616"/>
      <c r="CE236" s="616"/>
      <c r="CF236" s="616"/>
      <c r="CG236" s="616"/>
      <c r="CH236" s="615"/>
      <c r="CI236" s="615"/>
      <c r="CJ236" s="615"/>
      <c r="CK236" s="615"/>
      <c r="CL236" s="615"/>
      <c r="CM236" s="615"/>
      <c r="CN236" s="615"/>
      <c r="CO236" s="615"/>
      <c r="CP236" s="396" t="str">
        <f t="shared" si="455"/>
        <v>% Growth (y-o-y)</v>
      </c>
      <c r="CQ236" s="502"/>
      <c r="CR236" s="502">
        <f t="shared" si="457"/>
        <v>2.1182990865022067E-2</v>
      </c>
      <c r="CS236" s="502"/>
      <c r="CT236" s="502"/>
      <c r="CU236" s="502"/>
      <c r="CV236" s="502"/>
      <c r="CW236" s="502"/>
      <c r="CX236" s="502"/>
      <c r="CY236" s="502"/>
      <c r="CZ236" s="502"/>
      <c r="DA236" s="502"/>
      <c r="DB236" s="502"/>
      <c r="DC236" s="502"/>
      <c r="DD236" s="502"/>
      <c r="DE236" s="502"/>
      <c r="DF236" s="502"/>
      <c r="DG236" s="1855"/>
      <c r="DH236" s="502"/>
      <c r="DI236" s="573"/>
      <c r="DJ236" s="573"/>
      <c r="DK236" s="573"/>
      <c r="DL236" s="573"/>
      <c r="DM236" s="573"/>
      <c r="DN236" s="551"/>
      <c r="DO236" s="266"/>
      <c r="DY236" s="615"/>
      <c r="DZ236" s="615"/>
    </row>
    <row r="237" spans="1:130" ht="5.0999999999999996" hidden="1" customHeight="1" outlineLevel="1">
      <c r="A237" s="552"/>
      <c r="B237" s="228"/>
      <c r="C237" s="228"/>
      <c r="D237" s="617"/>
      <c r="E237" s="618"/>
      <c r="F237" s="618"/>
      <c r="G237" s="618"/>
      <c r="H237" s="619"/>
      <c r="I237" s="618"/>
      <c r="J237" s="618"/>
      <c r="K237" s="618"/>
      <c r="L237" s="618"/>
      <c r="M237" s="619"/>
      <c r="N237" s="618"/>
      <c r="O237" s="618"/>
      <c r="P237" s="618"/>
      <c r="Q237" s="618"/>
      <c r="R237" s="619"/>
      <c r="S237" s="618"/>
      <c r="T237" s="618"/>
      <c r="U237" s="618"/>
      <c r="V237" s="618"/>
      <c r="W237" s="619"/>
      <c r="X237" s="618"/>
      <c r="Y237" s="618"/>
      <c r="Z237" s="618"/>
      <c r="AA237" s="618"/>
      <c r="AB237" s="619"/>
      <c r="AC237" s="618"/>
      <c r="AD237" s="618"/>
      <c r="AE237" s="618"/>
      <c r="AF237" s="618"/>
      <c r="AG237" s="619"/>
      <c r="AH237" s="618"/>
      <c r="AI237" s="618"/>
      <c r="AJ237" s="618"/>
      <c r="AK237" s="618"/>
      <c r="AL237" s="619"/>
      <c r="AM237" s="618"/>
      <c r="AN237" s="618"/>
      <c r="AO237" s="618"/>
      <c r="AP237" s="618"/>
      <c r="AQ237" s="619"/>
      <c r="AR237" s="618"/>
      <c r="AS237" s="618"/>
      <c r="AT237" s="618"/>
      <c r="AU237" s="618"/>
      <c r="AV237" s="619"/>
      <c r="AW237" s="618"/>
      <c r="AX237" s="618"/>
      <c r="AY237" s="618"/>
      <c r="AZ237" s="618"/>
      <c r="BA237" s="619"/>
      <c r="BB237" s="618"/>
      <c r="BC237" s="618"/>
      <c r="BD237" s="618"/>
      <c r="BE237" s="618"/>
      <c r="BF237" s="619"/>
      <c r="BG237" s="617"/>
      <c r="BH237" s="618"/>
      <c r="BI237" s="618"/>
      <c r="BJ237" s="2806"/>
      <c r="BK237" s="619"/>
      <c r="BL237" s="618"/>
      <c r="BM237" s="618"/>
      <c r="BN237" s="618"/>
      <c r="BO237" s="2806"/>
      <c r="BP237" s="619"/>
      <c r="BQ237" s="618"/>
      <c r="BR237" s="618"/>
      <c r="BS237" s="618"/>
      <c r="BT237" s="2806"/>
      <c r="BU237" s="3355"/>
      <c r="BV237" s="618"/>
      <c r="BW237" s="618"/>
      <c r="BX237" s="618"/>
      <c r="BY237" s="2806"/>
      <c r="BZ237" s="619"/>
      <c r="CA237" s="619"/>
      <c r="CB237" s="619"/>
      <c r="CC237" s="619"/>
      <c r="CD237" s="619"/>
      <c r="CE237" s="619"/>
      <c r="CF237" s="619"/>
      <c r="CG237" s="619"/>
      <c r="CH237" s="618"/>
      <c r="CI237" s="618"/>
      <c r="CJ237" s="618"/>
      <c r="CK237" s="618"/>
      <c r="CL237" s="618"/>
      <c r="CM237" s="618"/>
      <c r="CN237" s="618"/>
      <c r="CO237" s="618"/>
      <c r="CP237" s="994"/>
      <c r="CQ237" s="620"/>
      <c r="CR237" s="620"/>
      <c r="CS237" s="620"/>
      <c r="CT237" s="620"/>
      <c r="CU237" s="620"/>
      <c r="CV237" s="620"/>
      <c r="CW237" s="620"/>
      <c r="CX237" s="620"/>
      <c r="CY237" s="620"/>
      <c r="CZ237" s="620"/>
      <c r="DA237" s="620"/>
      <c r="DB237" s="620"/>
      <c r="DC237" s="620"/>
      <c r="DD237" s="620"/>
      <c r="DE237" s="620"/>
      <c r="DF237" s="620"/>
      <c r="DG237" s="809"/>
      <c r="DH237" s="620"/>
      <c r="DI237" s="595"/>
      <c r="DJ237" s="595"/>
      <c r="DK237" s="595"/>
      <c r="DL237" s="595"/>
      <c r="DM237" s="595"/>
      <c r="DN237" s="514"/>
      <c r="DO237" s="226"/>
      <c r="DY237" s="618"/>
      <c r="DZ237" s="618"/>
    </row>
    <row r="238" spans="1:130" ht="12" hidden="1" customHeight="1" outlineLevel="1">
      <c r="A238" s="228" t="s">
        <v>401</v>
      </c>
      <c r="B238" s="228"/>
      <c r="C238" s="228"/>
      <c r="D238" s="353">
        <v>14.097999999999999</v>
      </c>
      <c r="E238" s="354">
        <v>11.281000000000001</v>
      </c>
      <c r="F238" s="611">
        <v>9.9269999999999996</v>
      </c>
      <c r="G238" s="611">
        <v>14.132</v>
      </c>
      <c r="H238" s="355">
        <f>SUM(D238:G238)</f>
        <v>49.437999999999995</v>
      </c>
      <c r="I238" s="611">
        <v>15.898999999999999</v>
      </c>
      <c r="J238" s="611">
        <v>14.913</v>
      </c>
      <c r="K238" s="611">
        <v>12.724</v>
      </c>
      <c r="L238" s="611">
        <v>15.586</v>
      </c>
      <c r="M238" s="355">
        <f>SUM(I238:L238)</f>
        <v>59.122</v>
      </c>
      <c r="N238" s="612"/>
      <c r="O238" s="612"/>
      <c r="P238" s="612"/>
      <c r="Q238" s="612"/>
      <c r="R238" s="613"/>
      <c r="S238" s="612"/>
      <c r="T238" s="612"/>
      <c r="U238" s="612"/>
      <c r="V238" s="612"/>
      <c r="W238" s="613"/>
      <c r="X238" s="612"/>
      <c r="Y238" s="612"/>
      <c r="Z238" s="612"/>
      <c r="AA238" s="612"/>
      <c r="AB238" s="613"/>
      <c r="AC238" s="612"/>
      <c r="AD238" s="612"/>
      <c r="AE238" s="612"/>
      <c r="AF238" s="612"/>
      <c r="AG238" s="613"/>
      <c r="AH238" s="612"/>
      <c r="AI238" s="612"/>
      <c r="AJ238" s="612"/>
      <c r="AK238" s="612"/>
      <c r="AL238" s="613"/>
      <c r="AM238" s="612"/>
      <c r="AN238" s="612"/>
      <c r="AO238" s="612"/>
      <c r="AP238" s="612"/>
      <c r="AQ238" s="613"/>
      <c r="AR238" s="612"/>
      <c r="AS238" s="612"/>
      <c r="AT238" s="612"/>
      <c r="AU238" s="612"/>
      <c r="AV238" s="613"/>
      <c r="AW238" s="612"/>
      <c r="AX238" s="612"/>
      <c r="AY238" s="612"/>
      <c r="AZ238" s="612"/>
      <c r="BA238" s="613"/>
      <c r="BB238" s="612"/>
      <c r="BC238" s="612"/>
      <c r="BD238" s="612"/>
      <c r="BE238" s="612"/>
      <c r="BF238" s="613"/>
      <c r="BG238" s="2953"/>
      <c r="BH238" s="612"/>
      <c r="BI238" s="612"/>
      <c r="BJ238" s="2954"/>
      <c r="BK238" s="613"/>
      <c r="BL238" s="612"/>
      <c r="BM238" s="612"/>
      <c r="BN238" s="612"/>
      <c r="BO238" s="2954"/>
      <c r="BP238" s="613"/>
      <c r="BQ238" s="612"/>
      <c r="BR238" s="612"/>
      <c r="BS238" s="612"/>
      <c r="BT238" s="2954"/>
      <c r="BU238" s="3323"/>
      <c r="BV238" s="612"/>
      <c r="BW238" s="612"/>
      <c r="BX238" s="612"/>
      <c r="BY238" s="2954"/>
      <c r="BZ238" s="613"/>
      <c r="CA238" s="613"/>
      <c r="CB238" s="613"/>
      <c r="CC238" s="613"/>
      <c r="CD238" s="613"/>
      <c r="CE238" s="613"/>
      <c r="CF238" s="613"/>
      <c r="CG238" s="613"/>
      <c r="CH238" s="612"/>
      <c r="CI238" s="612"/>
      <c r="CJ238" s="612"/>
      <c r="CK238" s="612"/>
      <c r="CL238" s="612"/>
      <c r="CM238" s="612"/>
      <c r="CN238" s="612"/>
      <c r="CO238" s="612"/>
      <c r="CP238" s="1847" t="str">
        <f t="shared" si="455"/>
        <v>EBITDA</v>
      </c>
      <c r="CQ238" s="352">
        <f t="shared" si="456"/>
        <v>49.437999999999995</v>
      </c>
      <c r="CR238" s="352">
        <f t="shared" si="457"/>
        <v>59.122</v>
      </c>
      <c r="CS238" s="352"/>
      <c r="CT238" s="352"/>
      <c r="CU238" s="352"/>
      <c r="CV238" s="352"/>
      <c r="CW238" s="352"/>
      <c r="CX238" s="352"/>
      <c r="CY238" s="352"/>
      <c r="CZ238" s="352"/>
      <c r="DA238" s="352"/>
      <c r="DB238" s="352"/>
      <c r="DC238" s="352"/>
      <c r="DD238" s="352"/>
      <c r="DE238" s="352"/>
      <c r="DF238" s="352"/>
      <c r="DG238" s="1798"/>
      <c r="DH238" s="352"/>
      <c r="DI238" s="614"/>
      <c r="DJ238" s="614"/>
      <c r="DK238" s="614"/>
      <c r="DL238" s="614"/>
      <c r="DM238" s="614"/>
      <c r="DN238" s="559"/>
      <c r="DO238" s="269"/>
      <c r="DY238" s="612"/>
      <c r="DZ238" s="612"/>
    </row>
    <row r="239" spans="1:130" ht="12" hidden="1" customHeight="1" outlineLevel="1">
      <c r="A239" s="212" t="s">
        <v>56</v>
      </c>
      <c r="B239" s="545"/>
      <c r="C239" s="545"/>
      <c r="D239" s="560">
        <v>0.2989207641583444</v>
      </c>
      <c r="E239" s="561">
        <v>0.25470760894107025</v>
      </c>
      <c r="F239" s="561">
        <f t="shared" ref="F239:M239" si="470">F238/F232</f>
        <v>0.23124767051807679</v>
      </c>
      <c r="G239" s="561">
        <f t="shared" si="470"/>
        <v>0.28877355020638357</v>
      </c>
      <c r="H239" s="503">
        <f t="shared" si="470"/>
        <v>0.2696829024814667</v>
      </c>
      <c r="I239" s="561">
        <f t="shared" si="470"/>
        <v>0.31738965524125123</v>
      </c>
      <c r="J239" s="561">
        <f t="shared" si="470"/>
        <v>0.31068750000000001</v>
      </c>
      <c r="K239" s="561">
        <f t="shared" si="470"/>
        <v>0.27611648799965277</v>
      </c>
      <c r="L239" s="561">
        <f t="shared" si="470"/>
        <v>0.30168008671415297</v>
      </c>
      <c r="M239" s="503">
        <f t="shared" si="470"/>
        <v>0.30189083890338492</v>
      </c>
      <c r="N239" s="548"/>
      <c r="O239" s="548"/>
      <c r="P239" s="548"/>
      <c r="Q239" s="548"/>
      <c r="R239" s="616"/>
      <c r="S239" s="548"/>
      <c r="T239" s="548"/>
      <c r="U239" s="548"/>
      <c r="V239" s="548"/>
      <c r="W239" s="616"/>
      <c r="X239" s="548"/>
      <c r="Y239" s="548"/>
      <c r="Z239" s="548"/>
      <c r="AA239" s="548"/>
      <c r="AB239" s="616"/>
      <c r="AC239" s="548"/>
      <c r="AD239" s="548"/>
      <c r="AE239" s="548"/>
      <c r="AF239" s="548"/>
      <c r="AG239" s="616"/>
      <c r="AH239" s="615"/>
      <c r="AI239" s="615"/>
      <c r="AJ239" s="615"/>
      <c r="AK239" s="615"/>
      <c r="AL239" s="550"/>
      <c r="AM239" s="548"/>
      <c r="AN239" s="548"/>
      <c r="AO239" s="548"/>
      <c r="AP239" s="548"/>
      <c r="AQ239" s="550"/>
      <c r="AR239" s="548"/>
      <c r="AS239" s="548"/>
      <c r="AT239" s="548"/>
      <c r="AU239" s="548"/>
      <c r="AV239" s="550"/>
      <c r="AW239" s="548"/>
      <c r="AX239" s="548"/>
      <c r="AY239" s="548"/>
      <c r="AZ239" s="548"/>
      <c r="BA239" s="550"/>
      <c r="BB239" s="548"/>
      <c r="BC239" s="548"/>
      <c r="BD239" s="548"/>
      <c r="BE239" s="548"/>
      <c r="BF239" s="550"/>
      <c r="BG239" s="607"/>
      <c r="BH239" s="548"/>
      <c r="BI239" s="548"/>
      <c r="BJ239" s="2812"/>
      <c r="BK239" s="550"/>
      <c r="BL239" s="548"/>
      <c r="BM239" s="548"/>
      <c r="BN239" s="548"/>
      <c r="BO239" s="2812"/>
      <c r="BP239" s="550"/>
      <c r="BQ239" s="548"/>
      <c r="BR239" s="548"/>
      <c r="BS239" s="548"/>
      <c r="BT239" s="2812"/>
      <c r="BU239" s="3371"/>
      <c r="BV239" s="548"/>
      <c r="BW239" s="548"/>
      <c r="BX239" s="548"/>
      <c r="BY239" s="2812"/>
      <c r="BZ239" s="550"/>
      <c r="CA239" s="550"/>
      <c r="CB239" s="550"/>
      <c r="CC239" s="550"/>
      <c r="CD239" s="550"/>
      <c r="CE239" s="550"/>
      <c r="CF239" s="550"/>
      <c r="CG239" s="550"/>
      <c r="CH239" s="548"/>
      <c r="CI239" s="548"/>
      <c r="CJ239" s="548"/>
      <c r="CK239" s="548"/>
      <c r="CL239" s="548"/>
      <c r="CM239" s="548"/>
      <c r="CN239" s="548"/>
      <c r="CO239" s="548"/>
      <c r="CP239" s="1856" t="str">
        <f t="shared" si="455"/>
        <v>% Margin</v>
      </c>
      <c r="CQ239" s="561">
        <f t="shared" si="456"/>
        <v>0.2696829024814667</v>
      </c>
      <c r="CR239" s="561">
        <f t="shared" si="457"/>
        <v>0.30189083890338492</v>
      </c>
      <c r="CS239" s="561"/>
      <c r="CT239" s="561"/>
      <c r="CU239" s="561"/>
      <c r="CV239" s="561"/>
      <c r="CW239" s="561"/>
      <c r="CX239" s="561"/>
      <c r="CY239" s="561"/>
      <c r="CZ239" s="561"/>
      <c r="DA239" s="561"/>
      <c r="DB239" s="561"/>
      <c r="DC239" s="561"/>
      <c r="DD239" s="561"/>
      <c r="DE239" s="561"/>
      <c r="DF239" s="561"/>
      <c r="DG239" s="1846"/>
      <c r="DH239" s="573"/>
      <c r="DI239" s="573"/>
      <c r="DJ239" s="573"/>
      <c r="DK239" s="573"/>
      <c r="DL239" s="573"/>
      <c r="DM239" s="573"/>
      <c r="DN239" s="551"/>
      <c r="DO239" s="266"/>
      <c r="DY239" s="548"/>
      <c r="DZ239" s="548"/>
    </row>
    <row r="240" spans="1:130" ht="12" hidden="1" customHeight="1" outlineLevel="1">
      <c r="A240" s="257" t="s">
        <v>1249</v>
      </c>
      <c r="B240" s="545"/>
      <c r="C240" s="545"/>
      <c r="D240" s="358"/>
      <c r="E240" s="502"/>
      <c r="F240" s="502"/>
      <c r="G240" s="502"/>
      <c r="H240" s="503"/>
      <c r="I240" s="502">
        <f>+I238/D238-1</f>
        <v>0.12774861682508165</v>
      </c>
      <c r="J240" s="502">
        <f>+J238/E238-1</f>
        <v>0.32195727329137491</v>
      </c>
      <c r="K240" s="502">
        <f>+K238/F238-1</f>
        <v>0.2817568248211948</v>
      </c>
      <c r="L240" s="502">
        <f>+L238/G238-1</f>
        <v>0.10288706481743559</v>
      </c>
      <c r="M240" s="503">
        <f>+M238/H238-1</f>
        <v>0.1958817104251791</v>
      </c>
      <c r="N240" s="615"/>
      <c r="O240" s="615"/>
      <c r="P240" s="615"/>
      <c r="Q240" s="615"/>
      <c r="R240" s="616"/>
      <c r="S240" s="615"/>
      <c r="T240" s="615"/>
      <c r="U240" s="615"/>
      <c r="V240" s="615"/>
      <c r="W240" s="616"/>
      <c r="X240" s="615"/>
      <c r="Y240" s="615"/>
      <c r="Z240" s="615"/>
      <c r="AA240" s="615"/>
      <c r="AB240" s="616"/>
      <c r="AC240" s="615"/>
      <c r="AD240" s="615"/>
      <c r="AE240" s="615"/>
      <c r="AF240" s="615"/>
      <c r="AG240" s="616"/>
      <c r="AH240" s="615"/>
      <c r="AI240" s="615"/>
      <c r="AJ240" s="615"/>
      <c r="AK240" s="615"/>
      <c r="AL240" s="550"/>
      <c r="AM240" s="548"/>
      <c r="AN240" s="548"/>
      <c r="AO240" s="548"/>
      <c r="AP240" s="548"/>
      <c r="AQ240" s="550"/>
      <c r="AR240" s="548"/>
      <c r="AS240" s="548"/>
      <c r="AT240" s="548"/>
      <c r="AU240" s="548"/>
      <c r="AV240" s="550"/>
      <c r="AW240" s="548"/>
      <c r="AX240" s="548"/>
      <c r="AY240" s="548"/>
      <c r="AZ240" s="548"/>
      <c r="BA240" s="550"/>
      <c r="BB240" s="548"/>
      <c r="BC240" s="548"/>
      <c r="BD240" s="548"/>
      <c r="BE240" s="548"/>
      <c r="BF240" s="550"/>
      <c r="BG240" s="607"/>
      <c r="BH240" s="548"/>
      <c r="BI240" s="548"/>
      <c r="BJ240" s="2812"/>
      <c r="BK240" s="550"/>
      <c r="BL240" s="548"/>
      <c r="BM240" s="548"/>
      <c r="BN240" s="548"/>
      <c r="BO240" s="2812"/>
      <c r="BP240" s="550"/>
      <c r="BQ240" s="548"/>
      <c r="BR240" s="548"/>
      <c r="BS240" s="548"/>
      <c r="BT240" s="2812"/>
      <c r="BU240" s="3371"/>
      <c r="BV240" s="548"/>
      <c r="BW240" s="548"/>
      <c r="BX240" s="548"/>
      <c r="BY240" s="2812"/>
      <c r="BZ240" s="550"/>
      <c r="CA240" s="550"/>
      <c r="CB240" s="550"/>
      <c r="CC240" s="550"/>
      <c r="CD240" s="550"/>
      <c r="CE240" s="550"/>
      <c r="CF240" s="550"/>
      <c r="CG240" s="550"/>
      <c r="CH240" s="548"/>
      <c r="CI240" s="548"/>
      <c r="CJ240" s="548"/>
      <c r="CK240" s="548"/>
      <c r="CL240" s="548"/>
      <c r="CM240" s="548"/>
      <c r="CN240" s="548"/>
      <c r="CO240" s="548"/>
      <c r="CP240" s="396" t="str">
        <f t="shared" si="455"/>
        <v>% Growth (y-o-y)</v>
      </c>
      <c r="CQ240" s="561"/>
      <c r="CR240" s="561">
        <f t="shared" si="457"/>
        <v>0.1958817104251791</v>
      </c>
      <c r="CS240" s="561"/>
      <c r="CT240" s="561"/>
      <c r="CU240" s="561"/>
      <c r="CV240" s="561"/>
      <c r="CW240" s="561"/>
      <c r="CX240" s="561"/>
      <c r="CY240" s="561"/>
      <c r="CZ240" s="561"/>
      <c r="DA240" s="561"/>
      <c r="DB240" s="561"/>
      <c r="DC240" s="561"/>
      <c r="DD240" s="561"/>
      <c r="DE240" s="561"/>
      <c r="DF240" s="561"/>
      <c r="DG240" s="1846"/>
      <c r="DH240" s="573"/>
      <c r="DI240" s="573"/>
      <c r="DJ240" s="573"/>
      <c r="DK240" s="573"/>
      <c r="DL240" s="573"/>
      <c r="DM240" s="573"/>
      <c r="DN240" s="551"/>
      <c r="DO240" s="266"/>
      <c r="DY240" s="548"/>
      <c r="DZ240" s="548"/>
    </row>
    <row r="241" spans="1:130" ht="5.0999999999999996" hidden="1" customHeight="1" outlineLevel="1">
      <c r="A241" s="552"/>
      <c r="B241" s="228"/>
      <c r="C241" s="228"/>
      <c r="D241" s="596"/>
      <c r="E241" s="570"/>
      <c r="F241" s="570"/>
      <c r="G241" s="618"/>
      <c r="H241" s="619"/>
      <c r="I241" s="618"/>
      <c r="J241" s="618"/>
      <c r="K241" s="618"/>
      <c r="L241" s="618"/>
      <c r="M241" s="619"/>
      <c r="N241" s="618"/>
      <c r="O241" s="618"/>
      <c r="P241" s="618"/>
      <c r="Q241" s="618"/>
      <c r="R241" s="619"/>
      <c r="S241" s="618"/>
      <c r="T241" s="618"/>
      <c r="U241" s="618"/>
      <c r="V241" s="618"/>
      <c r="W241" s="619"/>
      <c r="X241" s="618"/>
      <c r="Y241" s="618"/>
      <c r="Z241" s="618"/>
      <c r="AA241" s="618"/>
      <c r="AB241" s="619"/>
      <c r="AC241" s="618"/>
      <c r="AD241" s="618"/>
      <c r="AE241" s="618"/>
      <c r="AF241" s="618"/>
      <c r="AG241" s="619"/>
      <c r="AH241" s="618"/>
      <c r="AI241" s="618"/>
      <c r="AJ241" s="618"/>
      <c r="AK241" s="618"/>
      <c r="AL241" s="619"/>
      <c r="AM241" s="618"/>
      <c r="AN241" s="618"/>
      <c r="AO241" s="618"/>
      <c r="AP241" s="618"/>
      <c r="AQ241" s="619"/>
      <c r="AR241" s="618"/>
      <c r="AS241" s="618"/>
      <c r="AT241" s="618"/>
      <c r="AU241" s="618"/>
      <c r="AV241" s="619"/>
      <c r="AW241" s="618"/>
      <c r="AX241" s="618"/>
      <c r="AY241" s="618"/>
      <c r="AZ241" s="618"/>
      <c r="BA241" s="619"/>
      <c r="BB241" s="618"/>
      <c r="BC241" s="618"/>
      <c r="BD241" s="618"/>
      <c r="BE241" s="618"/>
      <c r="BF241" s="619"/>
      <c r="BG241" s="617"/>
      <c r="BH241" s="618"/>
      <c r="BI241" s="618"/>
      <c r="BJ241" s="2806"/>
      <c r="BK241" s="619"/>
      <c r="BL241" s="618"/>
      <c r="BM241" s="618"/>
      <c r="BN241" s="618"/>
      <c r="BO241" s="2806"/>
      <c r="BP241" s="619"/>
      <c r="BQ241" s="618"/>
      <c r="BR241" s="618"/>
      <c r="BS241" s="618"/>
      <c r="BT241" s="2806"/>
      <c r="BU241" s="3355"/>
      <c r="BV241" s="618"/>
      <c r="BW241" s="618"/>
      <c r="BX241" s="618"/>
      <c r="BY241" s="2806"/>
      <c r="BZ241" s="619"/>
      <c r="CA241" s="619"/>
      <c r="CB241" s="619"/>
      <c r="CC241" s="619"/>
      <c r="CD241" s="619"/>
      <c r="CE241" s="619"/>
      <c r="CF241" s="619"/>
      <c r="CG241" s="619"/>
      <c r="CH241" s="618"/>
      <c r="CI241" s="618"/>
      <c r="CJ241" s="618"/>
      <c r="CK241" s="618"/>
      <c r="CL241" s="618"/>
      <c r="CM241" s="618"/>
      <c r="CN241" s="618"/>
      <c r="CO241" s="618"/>
      <c r="CP241" s="994"/>
      <c r="CQ241" s="620"/>
      <c r="CR241" s="620"/>
      <c r="CS241" s="620"/>
      <c r="CT241" s="620"/>
      <c r="CU241" s="620"/>
      <c r="CV241" s="620"/>
      <c r="CW241" s="620"/>
      <c r="CX241" s="620"/>
      <c r="CY241" s="620"/>
      <c r="CZ241" s="620"/>
      <c r="DA241" s="620"/>
      <c r="DB241" s="620"/>
      <c r="DC241" s="620"/>
      <c r="DD241" s="620"/>
      <c r="DE241" s="620"/>
      <c r="DF241" s="620"/>
      <c r="DG241" s="809"/>
      <c r="DH241" s="595"/>
      <c r="DI241" s="595"/>
      <c r="DJ241" s="595"/>
      <c r="DK241" s="595"/>
      <c r="DL241" s="595"/>
      <c r="DM241" s="595"/>
      <c r="DN241" s="514"/>
      <c r="DO241" s="226"/>
      <c r="DY241" s="618"/>
      <c r="DZ241" s="618"/>
    </row>
    <row r="242" spans="1:130" ht="12" hidden="1" customHeight="1" outlineLevel="1">
      <c r="A242" s="552" t="s">
        <v>372</v>
      </c>
      <c r="B242" s="228"/>
      <c r="C242" s="228"/>
      <c r="D242" s="582">
        <v>4.6790000000000003</v>
      </c>
      <c r="E242" s="621">
        <v>4.7989999999999995</v>
      </c>
      <c r="F242" s="622">
        <v>4.9009999999999998</v>
      </c>
      <c r="G242" s="622">
        <v>5.1689999999999996</v>
      </c>
      <c r="H242" s="585">
        <f>SUM(D242:G242)</f>
        <v>19.547999999999998</v>
      </c>
      <c r="I242" s="622">
        <v>5.1210000000000004</v>
      </c>
      <c r="J242" s="622">
        <v>5.12</v>
      </c>
      <c r="K242" s="622">
        <v>5.42</v>
      </c>
      <c r="L242" s="622">
        <v>5.4530000000000003</v>
      </c>
      <c r="M242" s="585">
        <f>SUM(I242:L242)</f>
        <v>21.114000000000001</v>
      </c>
      <c r="N242" s="618"/>
      <c r="O242" s="618"/>
      <c r="P242" s="618"/>
      <c r="Q242" s="618"/>
      <c r="R242" s="619"/>
      <c r="S242" s="618"/>
      <c r="T242" s="618"/>
      <c r="U242" s="618"/>
      <c r="V242" s="618"/>
      <c r="W242" s="619"/>
      <c r="X242" s="618"/>
      <c r="Y242" s="618"/>
      <c r="Z242" s="618"/>
      <c r="AA242" s="618"/>
      <c r="AB242" s="619"/>
      <c r="AC242" s="618"/>
      <c r="AD242" s="618"/>
      <c r="AE242" s="618"/>
      <c r="AF242" s="618"/>
      <c r="AG242" s="619"/>
      <c r="AH242" s="618"/>
      <c r="AI242" s="618"/>
      <c r="AJ242" s="618"/>
      <c r="AK242" s="618"/>
      <c r="AL242" s="619"/>
      <c r="AM242" s="618"/>
      <c r="AN242" s="618"/>
      <c r="AO242" s="618"/>
      <c r="AP242" s="618"/>
      <c r="AQ242" s="619"/>
      <c r="AR242" s="618"/>
      <c r="AS242" s="618"/>
      <c r="AT242" s="618"/>
      <c r="AU242" s="618"/>
      <c r="AV242" s="619"/>
      <c r="AW242" s="618"/>
      <c r="AX242" s="618"/>
      <c r="AY242" s="618"/>
      <c r="AZ242" s="618"/>
      <c r="BA242" s="619"/>
      <c r="BB242" s="618"/>
      <c r="BC242" s="618"/>
      <c r="BD242" s="618"/>
      <c r="BE242" s="618"/>
      <c r="BF242" s="619"/>
      <c r="BG242" s="617"/>
      <c r="BH242" s="618"/>
      <c r="BI242" s="618"/>
      <c r="BJ242" s="2806"/>
      <c r="BK242" s="619"/>
      <c r="BL242" s="618"/>
      <c r="BM242" s="618"/>
      <c r="BN242" s="618"/>
      <c r="BO242" s="2806"/>
      <c r="BP242" s="619"/>
      <c r="BQ242" s="618"/>
      <c r="BR242" s="618"/>
      <c r="BS242" s="618"/>
      <c r="BT242" s="2806"/>
      <c r="BU242" s="3355"/>
      <c r="BV242" s="618"/>
      <c r="BW242" s="618"/>
      <c r="BX242" s="618"/>
      <c r="BY242" s="2806"/>
      <c r="BZ242" s="619"/>
      <c r="CA242" s="619"/>
      <c r="CB242" s="619"/>
      <c r="CC242" s="619"/>
      <c r="CD242" s="619"/>
      <c r="CE242" s="619"/>
      <c r="CF242" s="619"/>
      <c r="CG242" s="619"/>
      <c r="CH242" s="618"/>
      <c r="CI242" s="618"/>
      <c r="CJ242" s="618"/>
      <c r="CK242" s="618"/>
      <c r="CL242" s="618"/>
      <c r="CM242" s="618"/>
      <c r="CN242" s="618"/>
      <c r="CO242" s="618"/>
      <c r="CP242" s="994" t="str">
        <f t="shared" si="455"/>
        <v>Depreciation</v>
      </c>
      <c r="CQ242" s="620">
        <f t="shared" si="456"/>
        <v>19.547999999999998</v>
      </c>
      <c r="CR242" s="620">
        <f t="shared" si="457"/>
        <v>21.114000000000001</v>
      </c>
      <c r="CS242" s="620"/>
      <c r="CT242" s="620"/>
      <c r="CU242" s="620"/>
      <c r="CV242" s="620"/>
      <c r="CW242" s="620"/>
      <c r="CX242" s="620"/>
      <c r="CY242" s="620"/>
      <c r="CZ242" s="620"/>
      <c r="DA242" s="620"/>
      <c r="DB242" s="620"/>
      <c r="DC242" s="620"/>
      <c r="DD242" s="620"/>
      <c r="DE242" s="620"/>
      <c r="DF242" s="620"/>
      <c r="DG242" s="809"/>
      <c r="DH242" s="620"/>
      <c r="DI242" s="595"/>
      <c r="DJ242" s="595"/>
      <c r="DK242" s="595"/>
      <c r="DL242" s="595"/>
      <c r="DM242" s="595"/>
      <c r="DN242" s="514"/>
      <c r="DO242" s="226"/>
      <c r="DY242" s="618"/>
      <c r="DZ242" s="618"/>
    </row>
    <row r="243" spans="1:130" ht="12" hidden="1" customHeight="1" outlineLevel="1">
      <c r="A243" s="567" t="s">
        <v>1103</v>
      </c>
      <c r="B243" s="545"/>
      <c r="C243" s="545"/>
      <c r="D243" s="358">
        <v>9.9209125797765196E-2</v>
      </c>
      <c r="E243" s="502">
        <v>0.1083540302551366</v>
      </c>
      <c r="F243" s="502">
        <f t="shared" ref="F243:M243" si="471">F242/F232</f>
        <v>0.11416790905702572</v>
      </c>
      <c r="G243" s="502">
        <f t="shared" si="471"/>
        <v>0.10562344190608523</v>
      </c>
      <c r="H243" s="503">
        <f t="shared" si="471"/>
        <v>0.10663379136914339</v>
      </c>
      <c r="I243" s="502">
        <f t="shared" si="471"/>
        <v>0.10222985247439763</v>
      </c>
      <c r="J243" s="502">
        <f t="shared" si="471"/>
        <v>0.10666666666666667</v>
      </c>
      <c r="K243" s="502">
        <f t="shared" si="471"/>
        <v>0.1176164228983117</v>
      </c>
      <c r="L243" s="502">
        <f t="shared" si="471"/>
        <v>0.10554738309074017</v>
      </c>
      <c r="M243" s="503">
        <f t="shared" si="471"/>
        <v>0.10781305051598507</v>
      </c>
      <c r="N243" s="615"/>
      <c r="O243" s="615"/>
      <c r="P243" s="615"/>
      <c r="Q243" s="615"/>
      <c r="R243" s="616"/>
      <c r="S243" s="615"/>
      <c r="T243" s="615"/>
      <c r="U243" s="615"/>
      <c r="V243" s="615"/>
      <c r="W243" s="616"/>
      <c r="X243" s="615"/>
      <c r="Y243" s="615"/>
      <c r="Z243" s="615"/>
      <c r="AA243" s="615"/>
      <c r="AB243" s="616"/>
      <c r="AC243" s="615"/>
      <c r="AD243" s="615"/>
      <c r="AE243" s="615"/>
      <c r="AF243" s="615"/>
      <c r="AG243" s="616"/>
      <c r="AH243" s="615"/>
      <c r="AI243" s="615"/>
      <c r="AJ243" s="615"/>
      <c r="AK243" s="615"/>
      <c r="AL243" s="616"/>
      <c r="AM243" s="615"/>
      <c r="AN243" s="615"/>
      <c r="AO243" s="615"/>
      <c r="AP243" s="615"/>
      <c r="AQ243" s="616"/>
      <c r="AR243" s="615"/>
      <c r="AS243" s="615"/>
      <c r="AT243" s="615"/>
      <c r="AU243" s="615"/>
      <c r="AV243" s="616"/>
      <c r="AW243" s="615"/>
      <c r="AX243" s="615"/>
      <c r="AY243" s="615"/>
      <c r="AZ243" s="615"/>
      <c r="BA243" s="616"/>
      <c r="BB243" s="615"/>
      <c r="BC243" s="615"/>
      <c r="BD243" s="615"/>
      <c r="BE243" s="615"/>
      <c r="BF243" s="616"/>
      <c r="BG243" s="608"/>
      <c r="BH243" s="615"/>
      <c r="BI243" s="615"/>
      <c r="BJ243" s="2801"/>
      <c r="BK243" s="616"/>
      <c r="BL243" s="615"/>
      <c r="BM243" s="615"/>
      <c r="BN243" s="615"/>
      <c r="BO243" s="2801"/>
      <c r="BP243" s="616"/>
      <c r="BQ243" s="615"/>
      <c r="BR243" s="615"/>
      <c r="BS243" s="615"/>
      <c r="BT243" s="2801"/>
      <c r="BU243" s="3381"/>
      <c r="BV243" s="615"/>
      <c r="BW243" s="615"/>
      <c r="BX243" s="615"/>
      <c r="BY243" s="2801"/>
      <c r="BZ243" s="616"/>
      <c r="CA243" s="616"/>
      <c r="CB243" s="616"/>
      <c r="CC243" s="616"/>
      <c r="CD243" s="616"/>
      <c r="CE243" s="616"/>
      <c r="CF243" s="616"/>
      <c r="CG243" s="616"/>
      <c r="CH243" s="615"/>
      <c r="CI243" s="615"/>
      <c r="CJ243" s="615"/>
      <c r="CK243" s="615"/>
      <c r="CL243" s="615"/>
      <c r="CM243" s="615"/>
      <c r="CN243" s="615"/>
      <c r="CO243" s="615"/>
      <c r="CP243" s="1849" t="str">
        <f t="shared" si="455"/>
        <v>% of Net Revenues</v>
      </c>
      <c r="CQ243" s="502">
        <f t="shared" si="456"/>
        <v>0.10663379136914339</v>
      </c>
      <c r="CR243" s="502">
        <f t="shared" si="457"/>
        <v>0.10781305051598507</v>
      </c>
      <c r="CS243" s="502"/>
      <c r="CT243" s="502"/>
      <c r="CU243" s="502"/>
      <c r="CV243" s="502"/>
      <c r="CW243" s="502"/>
      <c r="CX243" s="502"/>
      <c r="CY243" s="502"/>
      <c r="CZ243" s="502"/>
      <c r="DA243" s="502"/>
      <c r="DB243" s="502"/>
      <c r="DC243" s="502"/>
      <c r="DD243" s="502"/>
      <c r="DE243" s="502"/>
      <c r="DF243" s="502"/>
      <c r="DG243" s="1855"/>
      <c r="DH243" s="502"/>
      <c r="DI243" s="573"/>
      <c r="DJ243" s="573"/>
      <c r="DK243" s="573"/>
      <c r="DL243" s="573"/>
      <c r="DM243" s="573"/>
      <c r="DN243" s="551"/>
      <c r="DO243" s="266"/>
      <c r="DY243" s="615"/>
      <c r="DZ243" s="615"/>
    </row>
    <row r="244" spans="1:130" ht="5.0999999999999996" hidden="1" customHeight="1" outlineLevel="1">
      <c r="A244" s="552"/>
      <c r="B244" s="228"/>
      <c r="C244" s="228"/>
      <c r="D244" s="596"/>
      <c r="E244" s="570"/>
      <c r="F244" s="570"/>
      <c r="G244" s="570"/>
      <c r="H244" s="302"/>
      <c r="I244" s="570"/>
      <c r="J244" s="570"/>
      <c r="K244" s="570"/>
      <c r="L244" s="570"/>
      <c r="M244" s="302"/>
      <c r="N244" s="570"/>
      <c r="O244" s="570"/>
      <c r="P244" s="570"/>
      <c r="Q244" s="570"/>
      <c r="R244" s="302"/>
      <c r="S244" s="570"/>
      <c r="T244" s="570"/>
      <c r="U244" s="570"/>
      <c r="V244" s="570"/>
      <c r="W244" s="302"/>
      <c r="X244" s="570"/>
      <c r="Y244" s="570"/>
      <c r="Z244" s="570"/>
      <c r="AA244" s="570"/>
      <c r="AB244" s="302"/>
      <c r="AC244" s="570"/>
      <c r="AD244" s="570"/>
      <c r="AE244" s="570"/>
      <c r="AF244" s="570"/>
      <c r="AG244" s="302"/>
      <c r="AH244" s="303"/>
      <c r="AI244" s="303"/>
      <c r="AJ244" s="303"/>
      <c r="AK244" s="303"/>
      <c r="AL244" s="569"/>
      <c r="AM244" s="570"/>
      <c r="AN244" s="570"/>
      <c r="AO244" s="570"/>
      <c r="AP244" s="570"/>
      <c r="AQ244" s="569"/>
      <c r="AR244" s="570"/>
      <c r="AS244" s="570"/>
      <c r="AT244" s="570"/>
      <c r="AU244" s="570"/>
      <c r="AV244" s="569"/>
      <c r="AW244" s="570"/>
      <c r="AX244" s="570"/>
      <c r="AY244" s="570"/>
      <c r="AZ244" s="570"/>
      <c r="BA244" s="569"/>
      <c r="BB244" s="570"/>
      <c r="BC244" s="570"/>
      <c r="BD244" s="570"/>
      <c r="BE244" s="570"/>
      <c r="BF244" s="569"/>
      <c r="BG244" s="596"/>
      <c r="BH244" s="570"/>
      <c r="BI244" s="570"/>
      <c r="BJ244" s="2807"/>
      <c r="BK244" s="569"/>
      <c r="BL244" s="570"/>
      <c r="BM244" s="570"/>
      <c r="BN244" s="570"/>
      <c r="BO244" s="2807"/>
      <c r="BP244" s="569"/>
      <c r="BQ244" s="570"/>
      <c r="BR244" s="570"/>
      <c r="BS244" s="570"/>
      <c r="BT244" s="2807"/>
      <c r="BU244" s="3378"/>
      <c r="BV244" s="570"/>
      <c r="BW244" s="570"/>
      <c r="BX244" s="570"/>
      <c r="BY244" s="2807"/>
      <c r="BZ244" s="569"/>
      <c r="CA244" s="569"/>
      <c r="CB244" s="569"/>
      <c r="CC244" s="569"/>
      <c r="CD244" s="569"/>
      <c r="CE244" s="569"/>
      <c r="CF244" s="569"/>
      <c r="CG244" s="569"/>
      <c r="CH244" s="570"/>
      <c r="CI244" s="570"/>
      <c r="CJ244" s="570"/>
      <c r="CK244" s="570"/>
      <c r="CL244" s="570"/>
      <c r="CM244" s="570"/>
      <c r="CN244" s="570"/>
      <c r="CO244" s="570"/>
      <c r="CP244" s="994"/>
      <c r="CQ244" s="592"/>
      <c r="CR244" s="592"/>
      <c r="CS244" s="592"/>
      <c r="CT244" s="592"/>
      <c r="CU244" s="592"/>
      <c r="CV244" s="592"/>
      <c r="CW244" s="592"/>
      <c r="CX244" s="592"/>
      <c r="CY244" s="592"/>
      <c r="CZ244" s="592"/>
      <c r="DA244" s="592"/>
      <c r="DB244" s="592"/>
      <c r="DC244" s="592"/>
      <c r="DD244" s="592"/>
      <c r="DE244" s="592"/>
      <c r="DF244" s="592"/>
      <c r="DG244" s="1850"/>
      <c r="DH244" s="595"/>
      <c r="DI244" s="595"/>
      <c r="DJ244" s="595"/>
      <c r="DK244" s="595"/>
      <c r="DL244" s="595"/>
      <c r="DM244" s="595"/>
      <c r="DN244" s="514"/>
      <c r="DO244" s="226"/>
      <c r="DY244" s="570"/>
      <c r="DZ244" s="570"/>
    </row>
    <row r="245" spans="1:130" ht="12" hidden="1" customHeight="1" outlineLevel="1">
      <c r="A245" s="552" t="s">
        <v>1182</v>
      </c>
      <c r="B245" s="228"/>
      <c r="C245" s="228"/>
      <c r="D245" s="627">
        <v>218.126</v>
      </c>
      <c r="E245" s="628">
        <v>218.126</v>
      </c>
      <c r="F245" s="628">
        <f>+E247</f>
        <v>218.126</v>
      </c>
      <c r="G245" s="628">
        <f>+F247</f>
        <v>218.126</v>
      </c>
      <c r="H245" s="629">
        <f>G245</f>
        <v>218.126</v>
      </c>
      <c r="I245" s="628">
        <f>H247</f>
        <v>218.126</v>
      </c>
      <c r="J245" s="628">
        <f>I247</f>
        <v>218.126</v>
      </c>
      <c r="K245" s="628">
        <f>+J247</f>
        <v>218.126</v>
      </c>
      <c r="L245" s="628">
        <f>+K247</f>
        <v>218.126</v>
      </c>
      <c r="M245" s="629">
        <f>H247</f>
        <v>218.126</v>
      </c>
      <c r="N245" s="572"/>
      <c r="O245" s="572"/>
      <c r="P245" s="572"/>
      <c r="Q245" s="572"/>
      <c r="R245" s="630"/>
      <c r="S245" s="572"/>
      <c r="T245" s="572"/>
      <c r="U245" s="572"/>
      <c r="V245" s="572"/>
      <c r="W245" s="630"/>
      <c r="X245" s="572"/>
      <c r="Y245" s="572"/>
      <c r="Z245" s="572"/>
      <c r="AA245" s="572"/>
      <c r="AB245" s="630"/>
      <c r="AC245" s="572"/>
      <c r="AD245" s="572"/>
      <c r="AE245" s="572"/>
      <c r="AF245" s="572"/>
      <c r="AG245" s="630"/>
      <c r="AH245" s="631"/>
      <c r="AI245" s="631"/>
      <c r="AJ245" s="631"/>
      <c r="AK245" s="631"/>
      <c r="AL245" s="571"/>
      <c r="AM245" s="572"/>
      <c r="AN245" s="572"/>
      <c r="AO245" s="572"/>
      <c r="AP245" s="572"/>
      <c r="AQ245" s="571"/>
      <c r="AR245" s="572"/>
      <c r="AS245" s="572"/>
      <c r="AT245" s="572"/>
      <c r="AU245" s="572"/>
      <c r="AV245" s="571"/>
      <c r="AW245" s="572"/>
      <c r="AX245" s="572"/>
      <c r="AY245" s="572"/>
      <c r="AZ245" s="572"/>
      <c r="BA245" s="571"/>
      <c r="BB245" s="572"/>
      <c r="BC245" s="572"/>
      <c r="BD245" s="572"/>
      <c r="BE245" s="572"/>
      <c r="BF245" s="571"/>
      <c r="BG245" s="2820"/>
      <c r="BH245" s="572"/>
      <c r="BI245" s="572"/>
      <c r="BJ245" s="2821"/>
      <c r="BK245" s="571"/>
      <c r="BL245" s="572"/>
      <c r="BM245" s="572"/>
      <c r="BN245" s="572"/>
      <c r="BO245" s="2821"/>
      <c r="BP245" s="571"/>
      <c r="BQ245" s="572"/>
      <c r="BR245" s="572"/>
      <c r="BS245" s="572"/>
      <c r="BT245" s="2821"/>
      <c r="BU245" s="3373"/>
      <c r="BV245" s="572"/>
      <c r="BW245" s="572"/>
      <c r="BX245" s="572"/>
      <c r="BY245" s="2821"/>
      <c r="BZ245" s="571"/>
      <c r="CA245" s="571"/>
      <c r="CB245" s="571"/>
      <c r="CC245" s="571"/>
      <c r="CD245" s="571"/>
      <c r="CE245" s="571"/>
      <c r="CF245" s="571"/>
      <c r="CG245" s="571"/>
      <c r="CH245" s="572"/>
      <c r="CI245" s="572"/>
      <c r="CJ245" s="572"/>
      <c r="CK245" s="572"/>
      <c r="CL245" s="572"/>
      <c r="CM245" s="572"/>
      <c r="CN245" s="572"/>
      <c r="CO245" s="572"/>
      <c r="CP245" s="994" t="str">
        <f t="shared" si="455"/>
        <v>Beginning Investment</v>
      </c>
      <c r="CQ245" s="1759">
        <f t="shared" si="456"/>
        <v>218.126</v>
      </c>
      <c r="CR245" s="1759">
        <f t="shared" si="457"/>
        <v>218.126</v>
      </c>
      <c r="CS245" s="1759"/>
      <c r="CT245" s="1759"/>
      <c r="CU245" s="1759"/>
      <c r="CV245" s="1759"/>
      <c r="CW245" s="1759"/>
      <c r="CX245" s="1759"/>
      <c r="CY245" s="1759"/>
      <c r="CZ245" s="1759"/>
      <c r="DA245" s="1759"/>
      <c r="DB245" s="1759"/>
      <c r="DC245" s="1759"/>
      <c r="DD245" s="1759"/>
      <c r="DE245" s="1759"/>
      <c r="DF245" s="1759"/>
      <c r="DG245" s="1857"/>
      <c r="DH245" s="632"/>
      <c r="DI245" s="595"/>
      <c r="DJ245" s="595"/>
      <c r="DK245" s="595"/>
      <c r="DL245" s="595"/>
      <c r="DM245" s="595"/>
      <c r="DN245" s="514"/>
      <c r="DO245" s="226"/>
      <c r="DY245" s="572"/>
      <c r="DZ245" s="572"/>
    </row>
    <row r="246" spans="1:130" ht="12" hidden="1" customHeight="1" outlineLevel="1">
      <c r="A246" s="633" t="s">
        <v>1178</v>
      </c>
      <c r="B246" s="228"/>
      <c r="C246" s="228"/>
      <c r="D246" s="627">
        <v>0</v>
      </c>
      <c r="E246" s="628">
        <v>0</v>
      </c>
      <c r="F246" s="634">
        <v>0</v>
      </c>
      <c r="G246" s="634">
        <v>0</v>
      </c>
      <c r="H246" s="629">
        <f>SUM(D246:G246)</f>
        <v>0</v>
      </c>
      <c r="I246" s="634">
        <v>0</v>
      </c>
      <c r="J246" s="634">
        <v>0</v>
      </c>
      <c r="K246" s="634">
        <v>0</v>
      </c>
      <c r="L246" s="634">
        <v>0</v>
      </c>
      <c r="M246" s="629">
        <f>SUM(I246:L246)</f>
        <v>0</v>
      </c>
      <c r="N246" s="635"/>
      <c r="O246" s="635"/>
      <c r="P246" s="635"/>
      <c r="Q246" s="635"/>
      <c r="R246" s="636"/>
      <c r="S246" s="635"/>
      <c r="T246" s="635"/>
      <c r="U246" s="635"/>
      <c r="V246" s="635"/>
      <c r="W246" s="636"/>
      <c r="X246" s="635"/>
      <c r="Y246" s="635"/>
      <c r="Z246" s="635"/>
      <c r="AA246" s="635"/>
      <c r="AB246" s="636"/>
      <c r="AC246" s="635"/>
      <c r="AD246" s="635"/>
      <c r="AE246" s="635"/>
      <c r="AF246" s="635"/>
      <c r="AG246" s="636"/>
      <c r="AH246" s="637"/>
      <c r="AI246" s="637"/>
      <c r="AJ246" s="637"/>
      <c r="AK246" s="637"/>
      <c r="AL246" s="638"/>
      <c r="AM246" s="635"/>
      <c r="AN246" s="635"/>
      <c r="AO246" s="635"/>
      <c r="AP246" s="635"/>
      <c r="AQ246" s="638"/>
      <c r="AR246" s="635"/>
      <c r="AS246" s="635"/>
      <c r="AT246" s="635"/>
      <c r="AU246" s="635"/>
      <c r="AV246" s="638"/>
      <c r="AW246" s="635"/>
      <c r="AX246" s="635"/>
      <c r="AY246" s="635"/>
      <c r="AZ246" s="635"/>
      <c r="BA246" s="638"/>
      <c r="BB246" s="635"/>
      <c r="BC246" s="635"/>
      <c r="BD246" s="635"/>
      <c r="BE246" s="635"/>
      <c r="BF246" s="638"/>
      <c r="BG246" s="2907"/>
      <c r="BH246" s="635"/>
      <c r="BI246" s="635"/>
      <c r="BJ246" s="2908"/>
      <c r="BK246" s="638"/>
      <c r="BL246" s="635"/>
      <c r="BM246" s="635"/>
      <c r="BN246" s="635"/>
      <c r="BO246" s="2908"/>
      <c r="BP246" s="638"/>
      <c r="BQ246" s="635"/>
      <c r="BR246" s="635"/>
      <c r="BS246" s="635"/>
      <c r="BT246" s="2908"/>
      <c r="BU246" s="3382"/>
      <c r="BV246" s="635"/>
      <c r="BW246" s="635"/>
      <c r="BX246" s="635"/>
      <c r="BY246" s="2908"/>
      <c r="BZ246" s="638"/>
      <c r="CA246" s="638"/>
      <c r="CB246" s="638"/>
      <c r="CC246" s="638"/>
      <c r="CD246" s="638"/>
      <c r="CE246" s="638"/>
      <c r="CF246" s="638"/>
      <c r="CG246" s="638"/>
      <c r="CH246" s="635"/>
      <c r="CI246" s="635"/>
      <c r="CJ246" s="635"/>
      <c r="CK246" s="635"/>
      <c r="CL246" s="635"/>
      <c r="CM246" s="635"/>
      <c r="CN246" s="635"/>
      <c r="CO246" s="635"/>
      <c r="CP246" s="90" t="str">
        <f t="shared" si="455"/>
        <v>Capital Improvements</v>
      </c>
      <c r="CQ246" s="916">
        <f t="shared" si="456"/>
        <v>0</v>
      </c>
      <c r="CR246" s="916">
        <f t="shared" si="457"/>
        <v>0</v>
      </c>
      <c r="CS246" s="916"/>
      <c r="CT246" s="916"/>
      <c r="CU246" s="916"/>
      <c r="CV246" s="916"/>
      <c r="CW246" s="916"/>
      <c r="CX246" s="916"/>
      <c r="CY246" s="916"/>
      <c r="CZ246" s="916"/>
      <c r="DA246" s="916"/>
      <c r="DB246" s="916"/>
      <c r="DC246" s="916"/>
      <c r="DD246" s="916"/>
      <c r="DE246" s="916"/>
      <c r="DF246" s="916"/>
      <c r="DG246" s="1858"/>
      <c r="DH246" s="639"/>
      <c r="DI246" s="595"/>
      <c r="DJ246" s="595"/>
      <c r="DK246" s="595"/>
      <c r="DL246" s="595"/>
      <c r="DM246" s="595"/>
      <c r="DN246" s="514"/>
      <c r="DO246" s="226"/>
      <c r="DY246" s="635"/>
      <c r="DZ246" s="635"/>
    </row>
    <row r="247" spans="1:130" ht="12" hidden="1" customHeight="1" outlineLevel="1">
      <c r="A247" s="552" t="s">
        <v>637</v>
      </c>
      <c r="B247" s="228"/>
      <c r="C247" s="228"/>
      <c r="D247" s="627">
        <v>218.126</v>
      </c>
      <c r="E247" s="628">
        <v>218.126</v>
      </c>
      <c r="F247" s="628">
        <f t="shared" ref="F247:M247" si="472">SUM(F245:F246)</f>
        <v>218.126</v>
      </c>
      <c r="G247" s="628">
        <f t="shared" si="472"/>
        <v>218.126</v>
      </c>
      <c r="H247" s="640">
        <f>G247</f>
        <v>218.126</v>
      </c>
      <c r="I247" s="628">
        <f t="shared" si="472"/>
        <v>218.126</v>
      </c>
      <c r="J247" s="628">
        <f t="shared" si="472"/>
        <v>218.126</v>
      </c>
      <c r="K247" s="628">
        <f t="shared" si="472"/>
        <v>218.126</v>
      </c>
      <c r="L247" s="628">
        <f t="shared" si="472"/>
        <v>218.126</v>
      </c>
      <c r="M247" s="640">
        <f t="shared" si="472"/>
        <v>218.126</v>
      </c>
      <c r="N247" s="572"/>
      <c r="O247" s="572"/>
      <c r="P247" s="572"/>
      <c r="Q247" s="572"/>
      <c r="R247" s="571"/>
      <c r="S247" s="572"/>
      <c r="T247" s="572"/>
      <c r="U247" s="572"/>
      <c r="V247" s="572"/>
      <c r="W247" s="571"/>
      <c r="X247" s="572"/>
      <c r="Y247" s="572"/>
      <c r="Z247" s="572"/>
      <c r="AA247" s="572"/>
      <c r="AB247" s="571"/>
      <c r="AC247" s="572"/>
      <c r="AD247" s="572"/>
      <c r="AE247" s="572"/>
      <c r="AF247" s="572"/>
      <c r="AG247" s="571"/>
      <c r="AH247" s="572"/>
      <c r="AI247" s="572"/>
      <c r="AJ247" s="572"/>
      <c r="AK247" s="572"/>
      <c r="AL247" s="571"/>
      <c r="AM247" s="572"/>
      <c r="AN247" s="572"/>
      <c r="AO247" s="572"/>
      <c r="AP247" s="572"/>
      <c r="AQ247" s="571"/>
      <c r="AR247" s="572"/>
      <c r="AS247" s="572"/>
      <c r="AT247" s="572"/>
      <c r="AU247" s="572"/>
      <c r="AV247" s="571"/>
      <c r="AW247" s="572"/>
      <c r="AX247" s="572"/>
      <c r="AY247" s="572"/>
      <c r="AZ247" s="572"/>
      <c r="BA247" s="571"/>
      <c r="BB247" s="572"/>
      <c r="BC247" s="572"/>
      <c r="BD247" s="572"/>
      <c r="BE247" s="572"/>
      <c r="BF247" s="571"/>
      <c r="BG247" s="2820"/>
      <c r="BH247" s="572"/>
      <c r="BI247" s="572"/>
      <c r="BJ247" s="2821"/>
      <c r="BK247" s="571"/>
      <c r="BL247" s="572"/>
      <c r="BM247" s="572"/>
      <c r="BN247" s="572"/>
      <c r="BO247" s="2821"/>
      <c r="BP247" s="571"/>
      <c r="BQ247" s="572"/>
      <c r="BR247" s="572"/>
      <c r="BS247" s="572"/>
      <c r="BT247" s="2821"/>
      <c r="BU247" s="3373"/>
      <c r="BV247" s="572"/>
      <c r="BW247" s="572"/>
      <c r="BX247" s="572"/>
      <c r="BY247" s="2821"/>
      <c r="BZ247" s="571"/>
      <c r="CA247" s="571"/>
      <c r="CB247" s="571"/>
      <c r="CC247" s="571"/>
      <c r="CD247" s="571"/>
      <c r="CE247" s="571"/>
      <c r="CF247" s="571"/>
      <c r="CG247" s="571"/>
      <c r="CH247" s="572"/>
      <c r="CI247" s="572"/>
      <c r="CJ247" s="572"/>
      <c r="CK247" s="572"/>
      <c r="CL247" s="572"/>
      <c r="CM247" s="572"/>
      <c r="CN247" s="572"/>
      <c r="CO247" s="572"/>
      <c r="CP247" s="994" t="str">
        <f t="shared" si="455"/>
        <v>Ending Investment</v>
      </c>
      <c r="CQ247" s="1759">
        <f t="shared" si="456"/>
        <v>218.126</v>
      </c>
      <c r="CR247" s="1759">
        <f t="shared" si="457"/>
        <v>218.126</v>
      </c>
      <c r="CS247" s="1759"/>
      <c r="CT247" s="1759"/>
      <c r="CU247" s="1759"/>
      <c r="CV247" s="1759"/>
      <c r="CW247" s="1759"/>
      <c r="CX247" s="1759"/>
      <c r="CY247" s="1759"/>
      <c r="CZ247" s="1759"/>
      <c r="DA247" s="1759"/>
      <c r="DB247" s="1759"/>
      <c r="DC247" s="1759"/>
      <c r="DD247" s="1759"/>
      <c r="DE247" s="1759"/>
      <c r="DF247" s="1759"/>
      <c r="DG247" s="1857"/>
      <c r="DH247" s="632"/>
      <c r="DI247" s="595"/>
      <c r="DJ247" s="595"/>
      <c r="DK247" s="595"/>
      <c r="DL247" s="595"/>
      <c r="DM247" s="595"/>
      <c r="DN247" s="514"/>
      <c r="DO247" s="226"/>
      <c r="DY247" s="572"/>
      <c r="DZ247" s="572"/>
    </row>
    <row r="248" spans="1:130" ht="12" hidden="1" customHeight="1" outlineLevel="1">
      <c r="A248" s="228"/>
      <c r="B248" s="228"/>
      <c r="C248" s="228"/>
      <c r="D248" s="596"/>
      <c r="E248" s="570"/>
      <c r="F248" s="570"/>
      <c r="G248" s="570"/>
      <c r="H248" s="569"/>
      <c r="I248" s="570"/>
      <c r="J248" s="570"/>
      <c r="K248" s="570"/>
      <c r="L248" s="570"/>
      <c r="M248" s="569"/>
      <c r="N248" s="570"/>
      <c r="O248" s="570"/>
      <c r="P248" s="570"/>
      <c r="Q248" s="570"/>
      <c r="R248" s="569"/>
      <c r="S248" s="570"/>
      <c r="T248" s="570"/>
      <c r="U248" s="570"/>
      <c r="V248" s="570"/>
      <c r="W248" s="569"/>
      <c r="X248" s="570"/>
      <c r="Y248" s="570"/>
      <c r="Z248" s="570"/>
      <c r="AA248" s="570"/>
      <c r="AB248" s="569"/>
      <c r="AC248" s="570"/>
      <c r="AD248" s="570"/>
      <c r="AE248" s="570"/>
      <c r="AF248" s="570"/>
      <c r="AG248" s="569"/>
      <c r="AH248" s="570"/>
      <c r="AI248" s="570"/>
      <c r="AJ248" s="570"/>
      <c r="AK248" s="570"/>
      <c r="AL248" s="569"/>
      <c r="AM248" s="570"/>
      <c r="AN248" s="570"/>
      <c r="AO248" s="570"/>
      <c r="AP248" s="570"/>
      <c r="AQ248" s="569"/>
      <c r="AR248" s="570"/>
      <c r="AS248" s="570"/>
      <c r="AT248" s="570"/>
      <c r="AU248" s="570"/>
      <c r="AV248" s="569"/>
      <c r="AW248" s="570"/>
      <c r="AX248" s="570"/>
      <c r="AY248" s="570"/>
      <c r="AZ248" s="570"/>
      <c r="BA248" s="569"/>
      <c r="BB248" s="570"/>
      <c r="BC248" s="570"/>
      <c r="BD248" s="570"/>
      <c r="BE248" s="570"/>
      <c r="BF248" s="569"/>
      <c r="BG248" s="596"/>
      <c r="BH248" s="570"/>
      <c r="BI248" s="570"/>
      <c r="BJ248" s="2807"/>
      <c r="BK248" s="569"/>
      <c r="BL248" s="570"/>
      <c r="BM248" s="570"/>
      <c r="BN248" s="570"/>
      <c r="BO248" s="2807"/>
      <c r="BP248" s="569"/>
      <c r="BQ248" s="570"/>
      <c r="BR248" s="570"/>
      <c r="BS248" s="570"/>
      <c r="BT248" s="2807"/>
      <c r="BU248" s="3378"/>
      <c r="BV248" s="570"/>
      <c r="BW248" s="570"/>
      <c r="BX248" s="570"/>
      <c r="BY248" s="2807"/>
      <c r="BZ248" s="569"/>
      <c r="CA248" s="569"/>
      <c r="CB248" s="569"/>
      <c r="CC248" s="569"/>
      <c r="CD248" s="569"/>
      <c r="CE248" s="569"/>
      <c r="CF248" s="569"/>
      <c r="CG248" s="569"/>
      <c r="CH248" s="570"/>
      <c r="CI248" s="570"/>
      <c r="CJ248" s="570"/>
      <c r="CK248" s="570"/>
      <c r="CL248" s="570"/>
      <c r="CM248" s="570"/>
      <c r="CN248" s="570"/>
      <c r="CO248" s="570"/>
      <c r="CP248" s="1847"/>
      <c r="CQ248" s="592"/>
      <c r="CR248" s="592"/>
      <c r="CS248" s="592"/>
      <c r="CT248" s="592"/>
      <c r="CU248" s="592"/>
      <c r="CV248" s="592"/>
      <c r="CW248" s="592"/>
      <c r="CX248" s="592"/>
      <c r="CY248" s="592"/>
      <c r="CZ248" s="592"/>
      <c r="DA248" s="592"/>
      <c r="DB248" s="592"/>
      <c r="DC248" s="592"/>
      <c r="DD248" s="592"/>
      <c r="DE248" s="592"/>
      <c r="DF248" s="592"/>
      <c r="DG248" s="1850"/>
      <c r="DH248" s="595"/>
      <c r="DI248" s="595"/>
      <c r="DJ248" s="595"/>
      <c r="DK248" s="595"/>
      <c r="DL248" s="595"/>
      <c r="DM248" s="595"/>
      <c r="DN248" s="514"/>
      <c r="DO248" s="226"/>
      <c r="DY248" s="570"/>
      <c r="DZ248" s="570"/>
    </row>
    <row r="249" spans="1:130" ht="12" hidden="1" customHeight="1" outlineLevel="1">
      <c r="A249" s="552"/>
      <c r="B249" s="228"/>
      <c r="C249" s="228"/>
      <c r="D249" s="596"/>
      <c r="E249" s="570"/>
      <c r="F249" s="570"/>
      <c r="G249" s="570"/>
      <c r="H249" s="569"/>
      <c r="I249" s="570"/>
      <c r="J249" s="570"/>
      <c r="K249" s="570"/>
      <c r="L249" s="570"/>
      <c r="M249" s="569"/>
      <c r="N249" s="570"/>
      <c r="O249" s="570"/>
      <c r="P249" s="570"/>
      <c r="Q249" s="570"/>
      <c r="R249" s="569"/>
      <c r="S249" s="570"/>
      <c r="T249" s="570"/>
      <c r="U249" s="570"/>
      <c r="V249" s="570"/>
      <c r="W249" s="569"/>
      <c r="X249" s="570"/>
      <c r="Y249" s="570"/>
      <c r="Z249" s="570"/>
      <c r="AA249" s="570"/>
      <c r="AB249" s="569"/>
      <c r="AC249" s="570"/>
      <c r="AD249" s="570"/>
      <c r="AE249" s="570"/>
      <c r="AF249" s="570"/>
      <c r="AG249" s="569"/>
      <c r="AH249" s="570"/>
      <c r="AI249" s="570"/>
      <c r="AJ249" s="570"/>
      <c r="AK249" s="570"/>
      <c r="AL249" s="569"/>
      <c r="AM249" s="570"/>
      <c r="AN249" s="570"/>
      <c r="AO249" s="570"/>
      <c r="AP249" s="570"/>
      <c r="AQ249" s="569"/>
      <c r="AR249" s="570"/>
      <c r="AS249" s="570"/>
      <c r="AT249" s="570"/>
      <c r="AU249" s="570"/>
      <c r="AV249" s="569"/>
      <c r="AW249" s="570"/>
      <c r="AX249" s="570"/>
      <c r="AY249" s="570"/>
      <c r="AZ249" s="570"/>
      <c r="BA249" s="569"/>
      <c r="BB249" s="570"/>
      <c r="BC249" s="570"/>
      <c r="BD249" s="570"/>
      <c r="BE249" s="570"/>
      <c r="BF249" s="569"/>
      <c r="BG249" s="596"/>
      <c r="BH249" s="570"/>
      <c r="BI249" s="570"/>
      <c r="BJ249" s="2807"/>
      <c r="BK249" s="569"/>
      <c r="BL249" s="570"/>
      <c r="BM249" s="570"/>
      <c r="BN249" s="570"/>
      <c r="BO249" s="2807"/>
      <c r="BP249" s="569"/>
      <c r="BQ249" s="570"/>
      <c r="BR249" s="570"/>
      <c r="BS249" s="570"/>
      <c r="BT249" s="2807"/>
      <c r="BU249" s="3378"/>
      <c r="BV249" s="570"/>
      <c r="BW249" s="570"/>
      <c r="BX249" s="570"/>
      <c r="BY249" s="2807"/>
      <c r="BZ249" s="569"/>
      <c r="CA249" s="569"/>
      <c r="CB249" s="569"/>
      <c r="CC249" s="569"/>
      <c r="CD249" s="569"/>
      <c r="CE249" s="569"/>
      <c r="CF249" s="569"/>
      <c r="CG249" s="569"/>
      <c r="CH249" s="570"/>
      <c r="CI249" s="570"/>
      <c r="CJ249" s="570"/>
      <c r="CK249" s="570"/>
      <c r="CL249" s="570"/>
      <c r="CM249" s="570"/>
      <c r="CN249" s="570"/>
      <c r="CO249" s="570"/>
      <c r="CP249" s="994"/>
      <c r="CQ249" s="592"/>
      <c r="CR249" s="592"/>
      <c r="CS249" s="592"/>
      <c r="CT249" s="592"/>
      <c r="CU249" s="592"/>
      <c r="CV249" s="592"/>
      <c r="CW249" s="592"/>
      <c r="CX249" s="592"/>
      <c r="CY249" s="592"/>
      <c r="CZ249" s="592"/>
      <c r="DA249" s="592"/>
      <c r="DB249" s="592"/>
      <c r="DC249" s="592"/>
      <c r="DD249" s="592"/>
      <c r="DE249" s="592"/>
      <c r="DF249" s="592"/>
      <c r="DG249" s="1850"/>
      <c r="DH249" s="595"/>
      <c r="DI249" s="595"/>
      <c r="DJ249" s="595"/>
      <c r="DK249" s="595"/>
      <c r="DL249" s="595"/>
      <c r="DM249" s="595"/>
      <c r="DN249" s="514"/>
      <c r="DO249" s="226"/>
      <c r="DY249" s="570"/>
      <c r="DZ249" s="570"/>
    </row>
    <row r="250" spans="1:130" ht="12" hidden="1" customHeight="1" outlineLevel="1">
      <c r="A250" s="515" t="s">
        <v>756</v>
      </c>
      <c r="B250" s="228"/>
      <c r="C250" s="228"/>
      <c r="D250" s="596"/>
      <c r="E250" s="570"/>
      <c r="F250" s="570"/>
      <c r="G250" s="570"/>
      <c r="H250" s="342"/>
      <c r="I250" s="570"/>
      <c r="J250" s="570"/>
      <c r="K250" s="570"/>
      <c r="L250" s="570"/>
      <c r="M250" s="569"/>
      <c r="N250" s="570"/>
      <c r="O250" s="570"/>
      <c r="P250" s="570"/>
      <c r="Q250" s="570"/>
      <c r="R250" s="569"/>
      <c r="S250" s="570"/>
      <c r="T250" s="570"/>
      <c r="U250" s="570"/>
      <c r="V250" s="570"/>
      <c r="W250" s="569"/>
      <c r="X250" s="570"/>
      <c r="Y250" s="570"/>
      <c r="Z250" s="570"/>
      <c r="AA250" s="570"/>
      <c r="AB250" s="569"/>
      <c r="AC250" s="570"/>
      <c r="AD250" s="570"/>
      <c r="AE250" s="570"/>
      <c r="AF250" s="570"/>
      <c r="AG250" s="569"/>
      <c r="AH250" s="570"/>
      <c r="AI250" s="570"/>
      <c r="AJ250" s="570"/>
      <c r="AK250" s="570"/>
      <c r="AL250" s="569"/>
      <c r="AM250" s="570"/>
      <c r="AN250" s="570"/>
      <c r="AO250" s="570"/>
      <c r="AP250" s="570"/>
      <c r="AQ250" s="569"/>
      <c r="AR250" s="570"/>
      <c r="AS250" s="570"/>
      <c r="AT250" s="570"/>
      <c r="AU250" s="570"/>
      <c r="AV250" s="569"/>
      <c r="AW250" s="570"/>
      <c r="AX250" s="570"/>
      <c r="AY250" s="570"/>
      <c r="AZ250" s="570"/>
      <c r="BA250" s="569"/>
      <c r="BB250" s="570"/>
      <c r="BC250" s="570"/>
      <c r="BD250" s="570"/>
      <c r="BE250" s="570"/>
      <c r="BF250" s="569"/>
      <c r="BG250" s="596"/>
      <c r="BH250" s="570"/>
      <c r="BI250" s="570"/>
      <c r="BJ250" s="2807"/>
      <c r="BK250" s="569"/>
      <c r="BL250" s="570"/>
      <c r="BM250" s="570"/>
      <c r="BN250" s="570"/>
      <c r="BO250" s="2807"/>
      <c r="BP250" s="569"/>
      <c r="BQ250" s="570"/>
      <c r="BR250" s="570"/>
      <c r="BS250" s="570"/>
      <c r="BT250" s="2807"/>
      <c r="BU250" s="3378"/>
      <c r="BV250" s="570"/>
      <c r="BW250" s="570"/>
      <c r="BX250" s="570"/>
      <c r="BY250" s="2807"/>
      <c r="BZ250" s="569"/>
      <c r="CA250" s="569"/>
      <c r="CB250" s="569"/>
      <c r="CC250" s="569"/>
      <c r="CD250" s="569"/>
      <c r="CE250" s="569"/>
      <c r="CF250" s="569"/>
      <c r="CG250" s="569"/>
      <c r="CH250" s="570"/>
      <c r="CI250" s="570"/>
      <c r="CJ250" s="570"/>
      <c r="CK250" s="570"/>
      <c r="CL250" s="570"/>
      <c r="CM250" s="570"/>
      <c r="CN250" s="570"/>
      <c r="CO250" s="570"/>
      <c r="CP250" s="1859" t="str">
        <f t="shared" si="455"/>
        <v>(Barbary, Sun, Orleans, Gold, South in 2005)</v>
      </c>
      <c r="CQ250" s="592"/>
      <c r="CR250" s="592"/>
      <c r="CS250" s="592"/>
      <c r="CT250" s="592"/>
      <c r="CU250" s="592"/>
      <c r="CV250" s="592"/>
      <c r="CW250" s="592"/>
      <c r="CX250" s="592"/>
      <c r="CY250" s="592"/>
      <c r="CZ250" s="592"/>
      <c r="DA250" s="592"/>
      <c r="DB250" s="592"/>
      <c r="DC250" s="592"/>
      <c r="DD250" s="592"/>
      <c r="DE250" s="592"/>
      <c r="DF250" s="592"/>
      <c r="DG250" s="1850"/>
      <c r="DH250" s="595"/>
      <c r="DI250" s="595"/>
      <c r="DJ250" s="595"/>
      <c r="DK250" s="595"/>
      <c r="DL250" s="595"/>
      <c r="DM250" s="595"/>
      <c r="DN250" s="514"/>
      <c r="DO250" s="226"/>
      <c r="DY250" s="570"/>
      <c r="DZ250" s="570"/>
    </row>
    <row r="251" spans="1:130" ht="12" hidden="1" customHeight="1" outlineLevel="1">
      <c r="A251" s="516" t="s">
        <v>807</v>
      </c>
      <c r="B251" s="517"/>
      <c r="C251" s="517"/>
      <c r="D251" s="518" t="str">
        <f t="shared" ref="D251:M251" si="473">D$6</f>
        <v>1Q04</v>
      </c>
      <c r="E251" s="519" t="str">
        <f t="shared" si="473"/>
        <v>2Q04</v>
      </c>
      <c r="F251" s="519" t="str">
        <f t="shared" si="473"/>
        <v>3Q04</v>
      </c>
      <c r="G251" s="519" t="str">
        <f t="shared" si="473"/>
        <v>4Q04</v>
      </c>
      <c r="H251" s="520">
        <f t="shared" si="473"/>
        <v>2004</v>
      </c>
      <c r="I251" s="519" t="str">
        <f t="shared" si="473"/>
        <v>1Q05</v>
      </c>
      <c r="J251" s="519" t="str">
        <f t="shared" si="473"/>
        <v>2Q05</v>
      </c>
      <c r="K251" s="519" t="str">
        <f t="shared" si="473"/>
        <v>3Q05</v>
      </c>
      <c r="L251" s="519" t="str">
        <f t="shared" si="473"/>
        <v>4Q05</v>
      </c>
      <c r="M251" s="520">
        <f t="shared" si="473"/>
        <v>2005</v>
      </c>
      <c r="N251" s="641"/>
      <c r="O251" s="641"/>
      <c r="P251" s="641"/>
      <c r="Q251" s="641"/>
      <c r="R251" s="642"/>
      <c r="S251" s="641"/>
      <c r="T251" s="641"/>
      <c r="U251" s="641"/>
      <c r="V251" s="641"/>
      <c r="W251" s="642"/>
      <c r="X251" s="641"/>
      <c r="Y251" s="641"/>
      <c r="Z251" s="641"/>
      <c r="AA251" s="641"/>
      <c r="AB251" s="642"/>
      <c r="AC251" s="641"/>
      <c r="AD251" s="641"/>
      <c r="AE251" s="641"/>
      <c r="AF251" s="641"/>
      <c r="AG251" s="642"/>
      <c r="AH251" s="641"/>
      <c r="AI251" s="641"/>
      <c r="AJ251" s="641"/>
      <c r="AK251" s="641"/>
      <c r="AL251" s="642"/>
      <c r="AM251" s="641"/>
      <c r="AN251" s="641"/>
      <c r="AO251" s="641"/>
      <c r="AP251" s="641"/>
      <c r="AQ251" s="642"/>
      <c r="AR251" s="641"/>
      <c r="AS251" s="641"/>
      <c r="AT251" s="641"/>
      <c r="AU251" s="641"/>
      <c r="AV251" s="642"/>
      <c r="AW251" s="641"/>
      <c r="AX251" s="641"/>
      <c r="AY251" s="641"/>
      <c r="AZ251" s="641"/>
      <c r="BA251" s="642"/>
      <c r="BB251" s="641"/>
      <c r="BC251" s="641"/>
      <c r="BD251" s="641"/>
      <c r="BE251" s="641"/>
      <c r="BF251" s="642"/>
      <c r="BG251" s="2955"/>
      <c r="BH251" s="641"/>
      <c r="BI251" s="641"/>
      <c r="BJ251" s="2956"/>
      <c r="BK251" s="642"/>
      <c r="BL251" s="641"/>
      <c r="BM251" s="641"/>
      <c r="BN251" s="641"/>
      <c r="BO251" s="2956"/>
      <c r="BP251" s="642"/>
      <c r="BQ251" s="641"/>
      <c r="BR251" s="641"/>
      <c r="BS251" s="641"/>
      <c r="BT251" s="2956"/>
      <c r="BU251" s="3379"/>
      <c r="BV251" s="641"/>
      <c r="BW251" s="641"/>
      <c r="BX251" s="641"/>
      <c r="BY251" s="2956"/>
      <c r="BZ251" s="642"/>
      <c r="CA251" s="642"/>
      <c r="CB251" s="642"/>
      <c r="CC251" s="642"/>
      <c r="CD251" s="642"/>
      <c r="CE251" s="642"/>
      <c r="CF251" s="642"/>
      <c r="CG251" s="642"/>
      <c r="CH251" s="643"/>
      <c r="CI251" s="643"/>
      <c r="CJ251" s="643"/>
      <c r="CK251" s="643"/>
      <c r="CL251" s="643"/>
      <c r="CM251" s="643"/>
      <c r="CN251" s="643"/>
      <c r="CO251" s="643"/>
      <c r="CP251" s="1300" t="str">
        <f t="shared" si="455"/>
        <v>Coast Properties</v>
      </c>
      <c r="CQ251" s="1303">
        <f t="shared" si="456"/>
        <v>2004</v>
      </c>
      <c r="CR251" s="1303">
        <f t="shared" si="457"/>
        <v>2005</v>
      </c>
      <c r="CS251" s="1303"/>
      <c r="CT251" s="1303"/>
      <c r="CU251" s="1303"/>
      <c r="CV251" s="1303"/>
      <c r="CW251" s="1303"/>
      <c r="CX251" s="1303"/>
      <c r="CY251" s="1303"/>
      <c r="CZ251" s="1303"/>
      <c r="DA251" s="1303"/>
      <c r="DB251" s="1303"/>
      <c r="DC251" s="1303"/>
      <c r="DD251" s="1303"/>
      <c r="DE251" s="1303"/>
      <c r="DF251" s="1303"/>
      <c r="DG251" s="1949"/>
      <c r="DH251" s="223"/>
      <c r="DI251" s="595"/>
      <c r="DJ251" s="595"/>
      <c r="DK251" s="595"/>
      <c r="DL251" s="595"/>
      <c r="DM251" s="595"/>
      <c r="DN251" s="514"/>
      <c r="DO251" s="226"/>
      <c r="DY251" s="643"/>
      <c r="DZ251" s="643"/>
    </row>
    <row r="252" spans="1:130" ht="12" hidden="1" customHeight="1" outlineLevel="1">
      <c r="A252" s="217" t="s">
        <v>182</v>
      </c>
      <c r="B252" s="228"/>
      <c r="C252" s="228"/>
      <c r="D252" s="527">
        <f>D253+(D254*D255)</f>
        <v>9255</v>
      </c>
      <c r="E252" s="231">
        <f>E253+(E254*E255)</f>
        <v>9255</v>
      </c>
      <c r="F252" s="231">
        <f>F253+(F254*F255)</f>
        <v>9255</v>
      </c>
      <c r="G252" s="231">
        <f>G253+(G254*G255)</f>
        <v>9247</v>
      </c>
      <c r="H252" s="511">
        <f>G252</f>
        <v>9247</v>
      </c>
      <c r="I252" s="231">
        <f>I253+(I254*I255)</f>
        <v>9247</v>
      </c>
      <c r="J252" s="231">
        <f>J253+(J254*J255)</f>
        <v>9247</v>
      </c>
      <c r="K252" s="231">
        <f>K253+(K254*K255)</f>
        <v>9247</v>
      </c>
      <c r="L252" s="231">
        <f>L253+(L254*L255)</f>
        <v>12121</v>
      </c>
      <c r="M252" s="525">
        <f>M253+(M254*M255)</f>
        <v>12121</v>
      </c>
      <c r="N252" s="510"/>
      <c r="O252" s="510"/>
      <c r="P252" s="510"/>
      <c r="Q252" s="510"/>
      <c r="R252" s="512"/>
      <c r="S252" s="510"/>
      <c r="T252" s="510"/>
      <c r="U252" s="510"/>
      <c r="V252" s="510"/>
      <c r="W252" s="512"/>
      <c r="X252" s="510"/>
      <c r="Y252" s="510"/>
      <c r="Z252" s="510"/>
      <c r="AA252" s="510"/>
      <c r="AB252" s="512"/>
      <c r="AC252" s="510"/>
      <c r="AD252" s="510"/>
      <c r="AE252" s="510"/>
      <c r="AF252" s="510"/>
      <c r="AG252" s="512"/>
      <c r="AH252" s="510"/>
      <c r="AI252" s="510"/>
      <c r="AJ252" s="510"/>
      <c r="AK252" s="510"/>
      <c r="AL252" s="512"/>
      <c r="AM252" s="510"/>
      <c r="AN252" s="510"/>
      <c r="AO252" s="510"/>
      <c r="AP252" s="510"/>
      <c r="AQ252" s="512"/>
      <c r="AR252" s="510"/>
      <c r="AS252" s="510"/>
      <c r="AT252" s="510"/>
      <c r="AU252" s="510"/>
      <c r="AV252" s="512"/>
      <c r="AW252" s="510"/>
      <c r="AX252" s="510"/>
      <c r="AY252" s="510"/>
      <c r="AZ252" s="510"/>
      <c r="BA252" s="512"/>
      <c r="BB252" s="510"/>
      <c r="BC252" s="510"/>
      <c r="BD252" s="510"/>
      <c r="BE252" s="510"/>
      <c r="BF252" s="512"/>
      <c r="BG252" s="509"/>
      <c r="BH252" s="510"/>
      <c r="BI252" s="510"/>
      <c r="BJ252" s="2811"/>
      <c r="BK252" s="512"/>
      <c r="BL252" s="510"/>
      <c r="BM252" s="510"/>
      <c r="BN252" s="510"/>
      <c r="BO252" s="2811"/>
      <c r="BP252" s="512"/>
      <c r="BQ252" s="510"/>
      <c r="BR252" s="510"/>
      <c r="BS252" s="510"/>
      <c r="BT252" s="2811"/>
      <c r="BU252" s="3367"/>
      <c r="BV252" s="510"/>
      <c r="BW252" s="510"/>
      <c r="BX252" s="510"/>
      <c r="BY252" s="2811"/>
      <c r="BZ252" s="512"/>
      <c r="CA252" s="512"/>
      <c r="CB252" s="512"/>
      <c r="CC252" s="512"/>
      <c r="CD252" s="512"/>
      <c r="CE252" s="512"/>
      <c r="CF252" s="512"/>
      <c r="CG252" s="512"/>
      <c r="CH252" s="510"/>
      <c r="CI252" s="510"/>
      <c r="CJ252" s="510"/>
      <c r="CK252" s="510"/>
      <c r="CL252" s="510"/>
      <c r="CM252" s="510"/>
      <c r="CN252" s="510"/>
      <c r="CO252" s="510"/>
      <c r="CP252" s="1840" t="str">
        <f>A252</f>
        <v>Positions</v>
      </c>
      <c r="CQ252" s="231">
        <f>H252</f>
        <v>9247</v>
      </c>
      <c r="CR252" s="231">
        <f>M252</f>
        <v>12121</v>
      </c>
      <c r="CS252" s="231"/>
      <c r="CT252" s="231"/>
      <c r="CU252" s="231"/>
      <c r="CV252" s="231"/>
      <c r="CW252" s="231"/>
      <c r="CX252" s="231"/>
      <c r="CY252" s="231"/>
      <c r="CZ252" s="231"/>
      <c r="DA252" s="231"/>
      <c r="DB252" s="231"/>
      <c r="DC252" s="231"/>
      <c r="DD252" s="231"/>
      <c r="DE252" s="231"/>
      <c r="DF252" s="231"/>
      <c r="DG252" s="1841"/>
      <c r="DH252" s="223"/>
      <c r="DI252" s="595"/>
      <c r="DJ252" s="595"/>
      <c r="DK252" s="595"/>
      <c r="DL252" s="595"/>
      <c r="DM252" s="595"/>
      <c r="DN252" s="514"/>
      <c r="DO252" s="226"/>
      <c r="DY252" s="510"/>
      <c r="DZ252" s="510"/>
    </row>
    <row r="253" spans="1:130" ht="12" hidden="1" customHeight="1" outlineLevel="1">
      <c r="A253" s="217" t="s">
        <v>183</v>
      </c>
      <c r="B253" s="228"/>
      <c r="C253" s="228"/>
      <c r="D253" s="509">
        <f>2976+2047+2359+601</f>
        <v>7983</v>
      </c>
      <c r="E253" s="510">
        <f>2976+2047+2359+601</f>
        <v>7983</v>
      </c>
      <c r="F253" s="510">
        <f>2976+2047+2359+601</f>
        <v>7983</v>
      </c>
      <c r="G253" s="510">
        <f>548+2052+3000+2423</f>
        <v>8023</v>
      </c>
      <c r="H253" s="511">
        <f>G253</f>
        <v>8023</v>
      </c>
      <c r="I253" s="510">
        <f>548+2052+3000+2423</f>
        <v>8023</v>
      </c>
      <c r="J253" s="510">
        <f>548+2052+3000+2423</f>
        <v>8023</v>
      </c>
      <c r="K253" s="510">
        <f>548+2052+3000+2423</f>
        <v>8023</v>
      </c>
      <c r="L253" s="510">
        <f>590+2057+3102+2434+2366</f>
        <v>10549</v>
      </c>
      <c r="M253" s="511">
        <f>L253</f>
        <v>10549</v>
      </c>
      <c r="N253" s="510"/>
      <c r="O253" s="510"/>
      <c r="P253" s="510"/>
      <c r="Q253" s="510"/>
      <c r="R253" s="361"/>
      <c r="S253" s="510"/>
      <c r="T253" s="510"/>
      <c r="U253" s="510"/>
      <c r="V253" s="510"/>
      <c r="W253" s="361"/>
      <c r="X253" s="510"/>
      <c r="Y253" s="510"/>
      <c r="Z253" s="510"/>
      <c r="AA253" s="510"/>
      <c r="AB253" s="361"/>
      <c r="AC253" s="510"/>
      <c r="AD253" s="510"/>
      <c r="AE253" s="510"/>
      <c r="AF253" s="510"/>
      <c r="AG253" s="361"/>
      <c r="AH253" s="601"/>
      <c r="AI253" s="601"/>
      <c r="AJ253" s="601"/>
      <c r="AK253" s="601"/>
      <c r="AL253" s="512"/>
      <c r="AM253" s="510"/>
      <c r="AN253" s="510"/>
      <c r="AO253" s="510"/>
      <c r="AP253" s="510"/>
      <c r="AQ253" s="512"/>
      <c r="AR253" s="510"/>
      <c r="AS253" s="510"/>
      <c r="AT253" s="510"/>
      <c r="AU253" s="510"/>
      <c r="AV253" s="512"/>
      <c r="AW253" s="510"/>
      <c r="AX253" s="510"/>
      <c r="AY253" s="510"/>
      <c r="AZ253" s="510"/>
      <c r="BA253" s="512"/>
      <c r="BB253" s="510"/>
      <c r="BC253" s="510"/>
      <c r="BD253" s="510"/>
      <c r="BE253" s="510"/>
      <c r="BF253" s="512"/>
      <c r="BG253" s="509"/>
      <c r="BH253" s="510"/>
      <c r="BI253" s="510"/>
      <c r="BJ253" s="2811"/>
      <c r="BK253" s="512"/>
      <c r="BL253" s="510"/>
      <c r="BM253" s="510"/>
      <c r="BN253" s="510"/>
      <c r="BO253" s="2811"/>
      <c r="BP253" s="512"/>
      <c r="BQ253" s="510"/>
      <c r="BR253" s="510"/>
      <c r="BS253" s="510"/>
      <c r="BT253" s="2811"/>
      <c r="BU253" s="3367"/>
      <c r="BV253" s="510"/>
      <c r="BW253" s="510"/>
      <c r="BX253" s="510"/>
      <c r="BY253" s="2811"/>
      <c r="BZ253" s="512"/>
      <c r="CA253" s="512"/>
      <c r="CB253" s="512"/>
      <c r="CC253" s="512"/>
      <c r="CD253" s="512"/>
      <c r="CE253" s="512"/>
      <c r="CF253" s="512"/>
      <c r="CG253" s="512"/>
      <c r="CH253" s="510"/>
      <c r="CI253" s="510"/>
      <c r="CJ253" s="510"/>
      <c r="CK253" s="510"/>
      <c r="CL253" s="510"/>
      <c r="CM253" s="510"/>
      <c r="CN253" s="510"/>
      <c r="CO253" s="510"/>
      <c r="CP253" s="1840" t="str">
        <f>A253</f>
        <v>Slots</v>
      </c>
      <c r="CQ253" s="231">
        <f>H253</f>
        <v>8023</v>
      </c>
      <c r="CR253" s="231">
        <f>M253</f>
        <v>10549</v>
      </c>
      <c r="CS253" s="231"/>
      <c r="CT253" s="231"/>
      <c r="CU253" s="231"/>
      <c r="CV253" s="231"/>
      <c r="CW253" s="231"/>
      <c r="CX253" s="231"/>
      <c r="CY253" s="231"/>
      <c r="CZ253" s="231"/>
      <c r="DA253" s="231"/>
      <c r="DB253" s="231"/>
      <c r="DC253" s="231"/>
      <c r="DD253" s="231"/>
      <c r="DE253" s="231"/>
      <c r="DF253" s="231"/>
      <c r="DG253" s="1841"/>
      <c r="DH253" s="223"/>
      <c r="DI253" s="595"/>
      <c r="DJ253" s="595"/>
      <c r="DK253" s="595"/>
      <c r="DL253" s="595"/>
      <c r="DM253" s="595"/>
      <c r="DN253" s="514"/>
      <c r="DO253" s="226"/>
      <c r="DY253" s="510"/>
      <c r="DZ253" s="510"/>
    </row>
    <row r="254" spans="1:130" ht="12" hidden="1" customHeight="1" outlineLevel="1">
      <c r="A254" s="217" t="s">
        <v>184</v>
      </c>
      <c r="B254" s="228"/>
      <c r="C254" s="228"/>
      <c r="D254" s="509">
        <f>64+52+60+36</f>
        <v>212</v>
      </c>
      <c r="E254" s="510">
        <f>64+52+60+36</f>
        <v>212</v>
      </c>
      <c r="F254" s="510">
        <f>64+52+60+36</f>
        <v>212</v>
      </c>
      <c r="G254" s="510">
        <f>36+48+68+52</f>
        <v>204</v>
      </c>
      <c r="H254" s="511">
        <f>G254</f>
        <v>204</v>
      </c>
      <c r="I254" s="510">
        <f>36+48+68+52</f>
        <v>204</v>
      </c>
      <c r="J254" s="510">
        <f>36+48+68+52</f>
        <v>204</v>
      </c>
      <c r="K254" s="510">
        <f>36+48+68+52</f>
        <v>204</v>
      </c>
      <c r="L254" s="510">
        <f>36+54+68+52+52</f>
        <v>262</v>
      </c>
      <c r="M254" s="511">
        <f>L254</f>
        <v>262</v>
      </c>
      <c r="N254" s="510"/>
      <c r="O254" s="510"/>
      <c r="P254" s="510"/>
      <c r="Q254" s="510"/>
      <c r="R254" s="361"/>
      <c r="S254" s="510"/>
      <c r="T254" s="510"/>
      <c r="U254" s="510"/>
      <c r="V254" s="510"/>
      <c r="W254" s="361"/>
      <c r="X254" s="510"/>
      <c r="Y254" s="510"/>
      <c r="Z254" s="510"/>
      <c r="AA254" s="510"/>
      <c r="AB254" s="361"/>
      <c r="AC254" s="510"/>
      <c r="AD254" s="510"/>
      <c r="AE254" s="510"/>
      <c r="AF254" s="510"/>
      <c r="AG254" s="361"/>
      <c r="AH254" s="601"/>
      <c r="AI254" s="601"/>
      <c r="AJ254" s="601"/>
      <c r="AK254" s="601"/>
      <c r="AL254" s="512"/>
      <c r="AM254" s="510"/>
      <c r="AN254" s="510"/>
      <c r="AO254" s="510"/>
      <c r="AP254" s="510"/>
      <c r="AQ254" s="512"/>
      <c r="AR254" s="510"/>
      <c r="AS254" s="510"/>
      <c r="AT254" s="510"/>
      <c r="AU254" s="510"/>
      <c r="AV254" s="512"/>
      <c r="AW254" s="510"/>
      <c r="AX254" s="510"/>
      <c r="AY254" s="510"/>
      <c r="AZ254" s="510"/>
      <c r="BA254" s="512"/>
      <c r="BB254" s="510"/>
      <c r="BC254" s="510"/>
      <c r="BD254" s="510"/>
      <c r="BE254" s="510"/>
      <c r="BF254" s="512"/>
      <c r="BG254" s="509"/>
      <c r="BH254" s="510"/>
      <c r="BI254" s="510"/>
      <c r="BJ254" s="2811"/>
      <c r="BK254" s="512"/>
      <c r="BL254" s="510"/>
      <c r="BM254" s="510"/>
      <c r="BN254" s="510"/>
      <c r="BO254" s="2811"/>
      <c r="BP254" s="512"/>
      <c r="BQ254" s="510"/>
      <c r="BR254" s="510"/>
      <c r="BS254" s="510"/>
      <c r="BT254" s="2811"/>
      <c r="BU254" s="3367"/>
      <c r="BV254" s="510"/>
      <c r="BW254" s="510"/>
      <c r="BX254" s="510"/>
      <c r="BY254" s="2811"/>
      <c r="BZ254" s="512"/>
      <c r="CA254" s="512"/>
      <c r="CB254" s="512"/>
      <c r="CC254" s="512"/>
      <c r="CD254" s="512"/>
      <c r="CE254" s="512"/>
      <c r="CF254" s="512"/>
      <c r="CG254" s="512"/>
      <c r="CH254" s="510"/>
      <c r="CI254" s="510"/>
      <c r="CJ254" s="510"/>
      <c r="CK254" s="510"/>
      <c r="CL254" s="510"/>
      <c r="CM254" s="510"/>
      <c r="CN254" s="510"/>
      <c r="CO254" s="510"/>
      <c r="CP254" s="1840" t="str">
        <f>A254</f>
        <v>Tables</v>
      </c>
      <c r="CQ254" s="231">
        <f>H254</f>
        <v>204</v>
      </c>
      <c r="CR254" s="231">
        <f>M254</f>
        <v>262</v>
      </c>
      <c r="CS254" s="231"/>
      <c r="CT254" s="231"/>
      <c r="CU254" s="231"/>
      <c r="CV254" s="231"/>
      <c r="CW254" s="231"/>
      <c r="CX254" s="231"/>
      <c r="CY254" s="231"/>
      <c r="CZ254" s="231"/>
      <c r="DA254" s="231"/>
      <c r="DB254" s="231"/>
      <c r="DC254" s="231"/>
      <c r="DD254" s="231"/>
      <c r="DE254" s="231"/>
      <c r="DF254" s="231"/>
      <c r="DG254" s="1841"/>
      <c r="DH254" s="223"/>
      <c r="DI254" s="595"/>
      <c r="DJ254" s="595"/>
      <c r="DK254" s="595"/>
      <c r="DL254" s="595"/>
      <c r="DM254" s="595"/>
      <c r="DN254" s="514"/>
      <c r="DO254" s="226"/>
      <c r="DY254" s="510"/>
      <c r="DZ254" s="510"/>
    </row>
    <row r="255" spans="1:130" ht="12" hidden="1" customHeight="1" outlineLevel="1">
      <c r="A255" s="195" t="s">
        <v>1088</v>
      </c>
      <c r="B255" s="228"/>
      <c r="C255" s="228"/>
      <c r="D255" s="509">
        <v>6</v>
      </c>
      <c r="E255" s="510">
        <v>6</v>
      </c>
      <c r="F255" s="510">
        <v>6</v>
      </c>
      <c r="G255" s="510">
        <v>6</v>
      </c>
      <c r="H255" s="511">
        <f>G255</f>
        <v>6</v>
      </c>
      <c r="I255" s="510">
        <v>6</v>
      </c>
      <c r="J255" s="510">
        <v>6</v>
      </c>
      <c r="K255" s="510">
        <v>6</v>
      </c>
      <c r="L255" s="510">
        <v>6</v>
      </c>
      <c r="M255" s="511">
        <f>L255</f>
        <v>6</v>
      </c>
      <c r="N255" s="510"/>
      <c r="O255" s="510"/>
      <c r="P255" s="510"/>
      <c r="Q255" s="510"/>
      <c r="R255" s="361"/>
      <c r="S255" s="510"/>
      <c r="T255" s="510"/>
      <c r="U255" s="510"/>
      <c r="V255" s="510"/>
      <c r="W255" s="361"/>
      <c r="X255" s="510"/>
      <c r="Y255" s="510"/>
      <c r="Z255" s="510"/>
      <c r="AA255" s="510"/>
      <c r="AB255" s="361"/>
      <c r="AC255" s="510"/>
      <c r="AD255" s="510"/>
      <c r="AE255" s="510"/>
      <c r="AF255" s="510"/>
      <c r="AG255" s="361"/>
      <c r="AH255" s="601"/>
      <c r="AI255" s="601"/>
      <c r="AJ255" s="601"/>
      <c r="AK255" s="601"/>
      <c r="AL255" s="512"/>
      <c r="AM255" s="510"/>
      <c r="AN255" s="510"/>
      <c r="AO255" s="510"/>
      <c r="AP255" s="510"/>
      <c r="AQ255" s="512"/>
      <c r="AR255" s="510"/>
      <c r="AS255" s="510"/>
      <c r="AT255" s="510"/>
      <c r="AU255" s="510"/>
      <c r="AV255" s="512"/>
      <c r="AW255" s="510"/>
      <c r="AX255" s="510"/>
      <c r="AY255" s="510"/>
      <c r="AZ255" s="510"/>
      <c r="BA255" s="512"/>
      <c r="BB255" s="510"/>
      <c r="BC255" s="510"/>
      <c r="BD255" s="510"/>
      <c r="BE255" s="510"/>
      <c r="BF255" s="512"/>
      <c r="BG255" s="509"/>
      <c r="BH255" s="510"/>
      <c r="BI255" s="510"/>
      <c r="BJ255" s="2811"/>
      <c r="BK255" s="512"/>
      <c r="BL255" s="510"/>
      <c r="BM255" s="510"/>
      <c r="BN255" s="510"/>
      <c r="BO255" s="2811"/>
      <c r="BP255" s="512"/>
      <c r="BQ255" s="510"/>
      <c r="BR255" s="510"/>
      <c r="BS255" s="510"/>
      <c r="BT255" s="2811"/>
      <c r="BU255" s="3367"/>
      <c r="BV255" s="510"/>
      <c r="BW255" s="510"/>
      <c r="BX255" s="510"/>
      <c r="BY255" s="2811"/>
      <c r="BZ255" s="512"/>
      <c r="CA255" s="512"/>
      <c r="CB255" s="512"/>
      <c r="CC255" s="512"/>
      <c r="CD255" s="512"/>
      <c r="CE255" s="512"/>
      <c r="CF255" s="512"/>
      <c r="CG255" s="512"/>
      <c r="CH255" s="510"/>
      <c r="CI255" s="510"/>
      <c r="CJ255" s="510"/>
      <c r="CK255" s="510"/>
      <c r="CL255" s="510"/>
      <c r="CM255" s="510"/>
      <c r="CN255" s="510"/>
      <c r="CO255" s="510"/>
      <c r="CP255" s="1842" t="str">
        <f>A255</f>
        <v>Positions/Table</v>
      </c>
      <c r="CQ255" s="231">
        <f>H255</f>
        <v>6</v>
      </c>
      <c r="CR255" s="231">
        <f>M255</f>
        <v>6</v>
      </c>
      <c r="CS255" s="231"/>
      <c r="CT255" s="231"/>
      <c r="CU255" s="231"/>
      <c r="CV255" s="231"/>
      <c r="CW255" s="231"/>
      <c r="CX255" s="231"/>
      <c r="CY255" s="231"/>
      <c r="CZ255" s="231"/>
      <c r="DA255" s="231"/>
      <c r="DB255" s="231"/>
      <c r="DC255" s="231"/>
      <c r="DD255" s="231"/>
      <c r="DE255" s="231"/>
      <c r="DF255" s="231"/>
      <c r="DG255" s="1841"/>
      <c r="DH255" s="223"/>
      <c r="DI255" s="595"/>
      <c r="DJ255" s="595"/>
      <c r="DK255" s="595"/>
      <c r="DL255" s="595"/>
      <c r="DM255" s="595"/>
      <c r="DN255" s="514"/>
      <c r="DO255" s="226"/>
      <c r="DY255" s="510"/>
      <c r="DZ255" s="510"/>
    </row>
    <row r="256" spans="1:130" ht="12" hidden="1" customHeight="1" outlineLevel="1">
      <c r="A256" s="195" t="s">
        <v>1573</v>
      </c>
      <c r="B256" s="228"/>
      <c r="C256" s="228"/>
      <c r="D256" s="527">
        <f>+AVERAGE(D252:D252)</f>
        <v>9255</v>
      </c>
      <c r="E256" s="231">
        <f>+AVERAGE(D252:E252)</f>
        <v>9255</v>
      </c>
      <c r="F256" s="231">
        <f>+AVERAGE(E252:F252)</f>
        <v>9255</v>
      </c>
      <c r="G256" s="231">
        <f>+AVERAGE(F252:G252)</f>
        <v>9251</v>
      </c>
      <c r="H256" s="511">
        <f>+AVERAGE(D252:G252)</f>
        <v>9253</v>
      </c>
      <c r="I256" s="231">
        <f>+AVERAGE(H252:I252)</f>
        <v>9247</v>
      </c>
      <c r="J256" s="231">
        <f>+AVERAGE(I252:J252)</f>
        <v>9247</v>
      </c>
      <c r="K256" s="231">
        <f>+AVERAGE(J252:K252)</f>
        <v>9247</v>
      </c>
      <c r="L256" s="231">
        <f>+AVERAGE(K252:L252)</f>
        <v>10684</v>
      </c>
      <c r="M256" s="511">
        <f>+AVERAGE(I252:L252)</f>
        <v>9965.5</v>
      </c>
      <c r="N256" s="510"/>
      <c r="O256" s="510"/>
      <c r="P256" s="510"/>
      <c r="Q256" s="510"/>
      <c r="R256" s="361"/>
      <c r="S256" s="510"/>
      <c r="T256" s="510"/>
      <c r="U256" s="510"/>
      <c r="V256" s="510"/>
      <c r="W256" s="361"/>
      <c r="X256" s="510"/>
      <c r="Y256" s="510"/>
      <c r="Z256" s="510"/>
      <c r="AA256" s="510"/>
      <c r="AB256" s="361"/>
      <c r="AC256" s="510"/>
      <c r="AD256" s="510"/>
      <c r="AE256" s="510"/>
      <c r="AF256" s="510"/>
      <c r="AG256" s="361"/>
      <c r="AH256" s="601"/>
      <c r="AI256" s="601"/>
      <c r="AJ256" s="601"/>
      <c r="AK256" s="601"/>
      <c r="AL256" s="512"/>
      <c r="AM256" s="510"/>
      <c r="AN256" s="510"/>
      <c r="AO256" s="510"/>
      <c r="AP256" s="510"/>
      <c r="AQ256" s="512"/>
      <c r="AR256" s="510"/>
      <c r="AS256" s="510"/>
      <c r="AT256" s="510"/>
      <c r="AU256" s="510"/>
      <c r="AV256" s="512"/>
      <c r="AW256" s="510"/>
      <c r="AX256" s="510"/>
      <c r="AY256" s="510"/>
      <c r="AZ256" s="510"/>
      <c r="BA256" s="512"/>
      <c r="BB256" s="510"/>
      <c r="BC256" s="510"/>
      <c r="BD256" s="510"/>
      <c r="BE256" s="510"/>
      <c r="BF256" s="512"/>
      <c r="BG256" s="509"/>
      <c r="BH256" s="510"/>
      <c r="BI256" s="510"/>
      <c r="BJ256" s="2811"/>
      <c r="BK256" s="512"/>
      <c r="BL256" s="510"/>
      <c r="BM256" s="510"/>
      <c r="BN256" s="510"/>
      <c r="BO256" s="2811"/>
      <c r="BP256" s="512"/>
      <c r="BQ256" s="510"/>
      <c r="BR256" s="510"/>
      <c r="BS256" s="510"/>
      <c r="BT256" s="2811"/>
      <c r="BU256" s="3367"/>
      <c r="BV256" s="510"/>
      <c r="BW256" s="510"/>
      <c r="BX256" s="510"/>
      <c r="BY256" s="2811"/>
      <c r="BZ256" s="512"/>
      <c r="CA256" s="512"/>
      <c r="CB256" s="512"/>
      <c r="CC256" s="512"/>
      <c r="CD256" s="512"/>
      <c r="CE256" s="512"/>
      <c r="CF256" s="512"/>
      <c r="CG256" s="512"/>
      <c r="CH256" s="510"/>
      <c r="CI256" s="510"/>
      <c r="CJ256" s="510"/>
      <c r="CK256" s="510"/>
      <c r="CL256" s="510"/>
      <c r="CM256" s="510"/>
      <c r="CN256" s="510"/>
      <c r="CO256" s="510"/>
      <c r="CP256" s="1842" t="str">
        <f>A256</f>
        <v>Average Positions</v>
      </c>
      <c r="CQ256" s="231">
        <f>H256</f>
        <v>9253</v>
      </c>
      <c r="CR256" s="231">
        <f>M256</f>
        <v>9965.5</v>
      </c>
      <c r="CS256" s="231"/>
      <c r="CT256" s="231"/>
      <c r="CU256" s="231"/>
      <c r="CV256" s="231"/>
      <c r="CW256" s="231"/>
      <c r="CX256" s="231"/>
      <c r="CY256" s="231"/>
      <c r="CZ256" s="231"/>
      <c r="DA256" s="231"/>
      <c r="DB256" s="231"/>
      <c r="DC256" s="231"/>
      <c r="DD256" s="231"/>
      <c r="DE256" s="231"/>
      <c r="DF256" s="231"/>
      <c r="DG256" s="1841"/>
      <c r="DH256" s="223"/>
      <c r="DI256" s="595"/>
      <c r="DJ256" s="595"/>
      <c r="DK256" s="595"/>
      <c r="DL256" s="595"/>
      <c r="DM256" s="595"/>
      <c r="DN256" s="514"/>
      <c r="DO256" s="226"/>
      <c r="DY256" s="510"/>
      <c r="DZ256" s="510"/>
    </row>
    <row r="257" spans="1:130" ht="6" hidden="1" customHeight="1" outlineLevel="1">
      <c r="A257" s="61"/>
      <c r="B257" s="77"/>
      <c r="C257" s="77"/>
      <c r="D257" s="479"/>
      <c r="E257" s="482"/>
      <c r="F257" s="482"/>
      <c r="G257" s="482"/>
      <c r="H257" s="481"/>
      <c r="I257" s="482"/>
      <c r="J257" s="482"/>
      <c r="K257" s="482"/>
      <c r="L257" s="482"/>
      <c r="M257" s="481"/>
      <c r="N257" s="482"/>
      <c r="O257" s="482"/>
      <c r="P257" s="482"/>
      <c r="Q257" s="482"/>
      <c r="R257" s="481"/>
      <c r="S257" s="482"/>
      <c r="T257" s="482"/>
      <c r="U257" s="482"/>
      <c r="V257" s="482"/>
      <c r="W257" s="481"/>
      <c r="X257" s="482"/>
      <c r="Y257" s="482"/>
      <c r="Z257" s="482"/>
      <c r="AA257" s="482"/>
      <c r="AB257" s="481"/>
      <c r="AC257" s="482"/>
      <c r="AD257" s="482"/>
      <c r="AE257" s="482"/>
      <c r="AF257" s="482"/>
      <c r="AG257" s="481"/>
      <c r="AH257" s="482"/>
      <c r="AI257" s="482"/>
      <c r="AJ257" s="482"/>
      <c r="AK257" s="482"/>
      <c r="AL257" s="481"/>
      <c r="AM257" s="482"/>
      <c r="AN257" s="482"/>
      <c r="AO257" s="482"/>
      <c r="AP257" s="482"/>
      <c r="AQ257" s="481"/>
      <c r="AR257" s="482"/>
      <c r="AS257" s="482"/>
      <c r="AT257" s="482"/>
      <c r="AU257" s="482"/>
      <c r="AV257" s="481"/>
      <c r="AW257" s="482"/>
      <c r="AX257" s="482"/>
      <c r="AY257" s="482"/>
      <c r="AZ257" s="482"/>
      <c r="BA257" s="481"/>
      <c r="BB257" s="482"/>
      <c r="BC257" s="482"/>
      <c r="BD257" s="482"/>
      <c r="BE257" s="482"/>
      <c r="BF257" s="481"/>
      <c r="BG257" s="479"/>
      <c r="BH257" s="482"/>
      <c r="BI257" s="482"/>
      <c r="BJ257" s="2799"/>
      <c r="BK257" s="481"/>
      <c r="BL257" s="482"/>
      <c r="BM257" s="482"/>
      <c r="BN257" s="482"/>
      <c r="BO257" s="2799"/>
      <c r="BP257" s="481"/>
      <c r="BQ257" s="482"/>
      <c r="BR257" s="482"/>
      <c r="BS257" s="482"/>
      <c r="BT257" s="2799"/>
      <c r="BU257" s="3380"/>
      <c r="BV257" s="482"/>
      <c r="BW257" s="482"/>
      <c r="BX257" s="482"/>
      <c r="BY257" s="2799"/>
      <c r="BZ257" s="481"/>
      <c r="CA257" s="481"/>
      <c r="CB257" s="481"/>
      <c r="CC257" s="481"/>
      <c r="CD257" s="481"/>
      <c r="CE257" s="481"/>
      <c r="CF257" s="481"/>
      <c r="CG257" s="481"/>
      <c r="CH257" s="482"/>
      <c r="CI257" s="482"/>
      <c r="CJ257" s="482"/>
      <c r="CK257" s="482"/>
      <c r="CL257" s="482"/>
      <c r="CM257" s="482"/>
      <c r="CN257" s="482"/>
      <c r="CO257" s="482"/>
      <c r="CP257" s="59"/>
      <c r="CQ257" s="223"/>
      <c r="CR257" s="223"/>
      <c r="CS257" s="223"/>
      <c r="CT257" s="223"/>
      <c r="CU257" s="223"/>
      <c r="CV257" s="223"/>
      <c r="CW257" s="223"/>
      <c r="CX257" s="223"/>
      <c r="CY257" s="223"/>
      <c r="CZ257" s="223"/>
      <c r="DA257" s="223"/>
      <c r="DB257" s="223"/>
      <c r="DC257" s="223"/>
      <c r="DD257" s="223"/>
      <c r="DE257" s="223"/>
      <c r="DF257" s="223"/>
      <c r="DG257" s="1853"/>
      <c r="DH257" s="223"/>
      <c r="DI257" s="595"/>
      <c r="DJ257" s="595"/>
      <c r="DK257" s="595"/>
      <c r="DL257" s="595"/>
      <c r="DM257" s="595"/>
      <c r="DN257" s="514"/>
      <c r="DO257" s="226"/>
      <c r="DY257" s="482"/>
      <c r="DZ257" s="482"/>
    </row>
    <row r="258" spans="1:130" ht="12" hidden="1" customHeight="1" outlineLevel="1">
      <c r="A258" s="217" t="s">
        <v>639</v>
      </c>
      <c r="B258" s="228"/>
      <c r="C258" s="228"/>
      <c r="D258" s="598"/>
      <c r="E258" s="599">
        <f>+D258</f>
        <v>0</v>
      </c>
      <c r="F258" s="599">
        <f>+E258</f>
        <v>0</v>
      </c>
      <c r="G258" s="600">
        <f>197+711+1885+419</f>
        <v>3212</v>
      </c>
      <c r="H258" s="644">
        <f>+G258</f>
        <v>3212</v>
      </c>
      <c r="I258" s="599">
        <f>+H258</f>
        <v>3212</v>
      </c>
      <c r="J258" s="599">
        <f>+I258</f>
        <v>3212</v>
      </c>
      <c r="K258" s="599">
        <f>+J258</f>
        <v>3212</v>
      </c>
      <c r="L258" s="510">
        <f>197+711+1885+419+647</f>
        <v>3859</v>
      </c>
      <c r="M258" s="644">
        <f>+L258</f>
        <v>3859</v>
      </c>
      <c r="N258" s="600"/>
      <c r="O258" s="510"/>
      <c r="P258" s="600"/>
      <c r="Q258" s="600"/>
      <c r="R258" s="645"/>
      <c r="S258" s="600"/>
      <c r="T258" s="600"/>
      <c r="U258" s="600"/>
      <c r="V258" s="600"/>
      <c r="W258" s="645"/>
      <c r="X258" s="600"/>
      <c r="Y258" s="600"/>
      <c r="Z258" s="600"/>
      <c r="AA258" s="600"/>
      <c r="AB258" s="645"/>
      <c r="AC258" s="600"/>
      <c r="AD258" s="600"/>
      <c r="AE258" s="600"/>
      <c r="AF258" s="600"/>
      <c r="AG258" s="645"/>
      <c r="AH258" s="600"/>
      <c r="AI258" s="600"/>
      <c r="AJ258" s="600"/>
      <c r="AK258" s="600"/>
      <c r="AL258" s="645"/>
      <c r="AM258" s="600"/>
      <c r="AN258" s="600"/>
      <c r="AO258" s="600"/>
      <c r="AP258" s="600"/>
      <c r="AQ258" s="645"/>
      <c r="AR258" s="600"/>
      <c r="AS258" s="600"/>
      <c r="AT258" s="600"/>
      <c r="AU258" s="600"/>
      <c r="AV258" s="645"/>
      <c r="AW258" s="600"/>
      <c r="AX258" s="600"/>
      <c r="AY258" s="600"/>
      <c r="AZ258" s="600"/>
      <c r="BA258" s="645"/>
      <c r="BB258" s="600"/>
      <c r="BC258" s="600"/>
      <c r="BD258" s="600"/>
      <c r="BE258" s="600"/>
      <c r="BF258" s="645"/>
      <c r="BG258" s="2957"/>
      <c r="BH258" s="600"/>
      <c r="BI258" s="600"/>
      <c r="BJ258" s="2958"/>
      <c r="BK258" s="645"/>
      <c r="BL258" s="600"/>
      <c r="BM258" s="600"/>
      <c r="BN258" s="600"/>
      <c r="BO258" s="2958"/>
      <c r="BP258" s="645"/>
      <c r="BQ258" s="600"/>
      <c r="BR258" s="600"/>
      <c r="BS258" s="600"/>
      <c r="BT258" s="2958"/>
      <c r="BU258" s="3383"/>
      <c r="BV258" s="600"/>
      <c r="BW258" s="600"/>
      <c r="BX258" s="600"/>
      <c r="BY258" s="2958"/>
      <c r="BZ258" s="645"/>
      <c r="CA258" s="645"/>
      <c r="CB258" s="645"/>
      <c r="CC258" s="645"/>
      <c r="CD258" s="645"/>
      <c r="CE258" s="645"/>
      <c r="CF258" s="645"/>
      <c r="CG258" s="645"/>
      <c r="CH258" s="600"/>
      <c r="CI258" s="600"/>
      <c r="CJ258" s="600"/>
      <c r="CK258" s="600"/>
      <c r="CL258" s="600"/>
      <c r="CM258" s="600"/>
      <c r="CN258" s="600"/>
      <c r="CO258" s="600"/>
      <c r="CP258" s="1840" t="str">
        <f>A258</f>
        <v>Number of Rooms</v>
      </c>
      <c r="CQ258" s="599">
        <f>H258</f>
        <v>3212</v>
      </c>
      <c r="CR258" s="599">
        <f>M258</f>
        <v>3859</v>
      </c>
      <c r="CS258" s="599"/>
      <c r="CT258" s="599"/>
      <c r="CU258" s="599"/>
      <c r="CV258" s="599"/>
      <c r="CW258" s="599"/>
      <c r="CX258" s="599"/>
      <c r="CY258" s="599"/>
      <c r="CZ258" s="599"/>
      <c r="DA258" s="599"/>
      <c r="DB258" s="599"/>
      <c r="DC258" s="599"/>
      <c r="DD258" s="599"/>
      <c r="DE258" s="599"/>
      <c r="DF258" s="599"/>
      <c r="DG258" s="1860"/>
      <c r="DH258" s="223"/>
      <c r="DI258" s="595"/>
      <c r="DJ258" s="595"/>
      <c r="DK258" s="595"/>
      <c r="DL258" s="595"/>
      <c r="DM258" s="595"/>
      <c r="DN258" s="514"/>
      <c r="DO258" s="226"/>
      <c r="DY258" s="600"/>
      <c r="DZ258" s="600"/>
    </row>
    <row r="259" spans="1:130" ht="6" hidden="1" customHeight="1" outlineLevel="1">
      <c r="A259" s="217"/>
      <c r="B259" s="228"/>
      <c r="C259" s="228"/>
      <c r="D259" s="479"/>
      <c r="E259" s="482"/>
      <c r="F259" s="482"/>
      <c r="G259" s="482"/>
      <c r="H259" s="481"/>
      <c r="I259" s="482"/>
      <c r="J259" s="482"/>
      <c r="K259" s="482"/>
      <c r="L259" s="482"/>
      <c r="M259" s="481"/>
      <c r="N259" s="482"/>
      <c r="O259" s="482"/>
      <c r="P259" s="482"/>
      <c r="Q259" s="482"/>
      <c r="R259" s="481"/>
      <c r="S259" s="482"/>
      <c r="T259" s="482"/>
      <c r="U259" s="482"/>
      <c r="V259" s="482"/>
      <c r="W259" s="481"/>
      <c r="X259" s="482"/>
      <c r="Y259" s="482"/>
      <c r="Z259" s="482"/>
      <c r="AA259" s="482"/>
      <c r="AB259" s="481"/>
      <c r="AC259" s="482"/>
      <c r="AD259" s="482"/>
      <c r="AE259" s="482"/>
      <c r="AF259" s="482"/>
      <c r="AG259" s="481"/>
      <c r="AH259" s="482"/>
      <c r="AI259" s="482"/>
      <c r="AJ259" s="482"/>
      <c r="AK259" s="482"/>
      <c r="AL259" s="481"/>
      <c r="AM259" s="482"/>
      <c r="AN259" s="482"/>
      <c r="AO259" s="482"/>
      <c r="AP259" s="482"/>
      <c r="AQ259" s="481"/>
      <c r="AR259" s="482"/>
      <c r="AS259" s="482"/>
      <c r="AT259" s="482"/>
      <c r="AU259" s="482"/>
      <c r="AV259" s="481"/>
      <c r="AW259" s="482"/>
      <c r="AX259" s="482"/>
      <c r="AY259" s="482"/>
      <c r="AZ259" s="482"/>
      <c r="BA259" s="481"/>
      <c r="BB259" s="482"/>
      <c r="BC259" s="482"/>
      <c r="BD259" s="482"/>
      <c r="BE259" s="482"/>
      <c r="BF259" s="481"/>
      <c r="BG259" s="479"/>
      <c r="BH259" s="482"/>
      <c r="BI259" s="482"/>
      <c r="BJ259" s="2799"/>
      <c r="BK259" s="481"/>
      <c r="BL259" s="482"/>
      <c r="BM259" s="482"/>
      <c r="BN259" s="482"/>
      <c r="BO259" s="2799"/>
      <c r="BP259" s="481"/>
      <c r="BQ259" s="482"/>
      <c r="BR259" s="482"/>
      <c r="BS259" s="482"/>
      <c r="BT259" s="2799"/>
      <c r="BU259" s="3380"/>
      <c r="BV259" s="482"/>
      <c r="BW259" s="482"/>
      <c r="BX259" s="482"/>
      <c r="BY259" s="2799"/>
      <c r="BZ259" s="481"/>
      <c r="CA259" s="481"/>
      <c r="CB259" s="481"/>
      <c r="CC259" s="481"/>
      <c r="CD259" s="481"/>
      <c r="CE259" s="481"/>
      <c r="CF259" s="481"/>
      <c r="CG259" s="481"/>
      <c r="CH259" s="482"/>
      <c r="CI259" s="482"/>
      <c r="CJ259" s="482"/>
      <c r="CK259" s="482"/>
      <c r="CL259" s="482"/>
      <c r="CM259" s="482"/>
      <c r="CN259" s="482"/>
      <c r="CO259" s="482"/>
      <c r="CP259" s="1840"/>
      <c r="CQ259" s="223"/>
      <c r="CR259" s="223"/>
      <c r="CS259" s="223"/>
      <c r="CT259" s="223"/>
      <c r="CU259" s="223"/>
      <c r="CV259" s="223"/>
      <c r="CW259" s="223"/>
      <c r="CX259" s="223"/>
      <c r="CY259" s="223"/>
      <c r="CZ259" s="223"/>
      <c r="DA259" s="223"/>
      <c r="DB259" s="223"/>
      <c r="DC259" s="223"/>
      <c r="DD259" s="223"/>
      <c r="DE259" s="223"/>
      <c r="DF259" s="223"/>
      <c r="DG259" s="1853"/>
      <c r="DH259" s="223"/>
      <c r="DI259" s="595"/>
      <c r="DJ259" s="595"/>
      <c r="DK259" s="595"/>
      <c r="DL259" s="595"/>
      <c r="DM259" s="595"/>
      <c r="DN259" s="514"/>
      <c r="DO259" s="226"/>
      <c r="DY259" s="482"/>
      <c r="DZ259" s="482"/>
    </row>
    <row r="260" spans="1:130" ht="12" hidden="1" customHeight="1" outlineLevel="1">
      <c r="A260" s="529" t="s">
        <v>1102</v>
      </c>
      <c r="B260" s="646"/>
      <c r="C260" s="646"/>
      <c r="D260" s="603">
        <f t="shared" ref="D260:M260" si="474">D263*1000000/D256/D5</f>
        <v>195.4393526516703</v>
      </c>
      <c r="E260" s="604">
        <f t="shared" si="474"/>
        <v>193.07705353656195</v>
      </c>
      <c r="F260" s="604">
        <f t="shared" si="474"/>
        <v>190.23794423695767</v>
      </c>
      <c r="G260" s="604">
        <f t="shared" si="474"/>
        <v>210.61060378901456</v>
      </c>
      <c r="H260" s="606">
        <f t="shared" si="474"/>
        <v>197.37785821457408</v>
      </c>
      <c r="I260" s="604">
        <f t="shared" si="474"/>
        <v>225.78614085048605</v>
      </c>
      <c r="J260" s="604">
        <f t="shared" si="474"/>
        <v>214.30769943801195</v>
      </c>
      <c r="K260" s="604">
        <f t="shared" si="474"/>
        <v>212.98799610684546</v>
      </c>
      <c r="L260" s="604">
        <f t="shared" si="474"/>
        <v>194.67346540133155</v>
      </c>
      <c r="M260" s="606">
        <f t="shared" si="474"/>
        <v>203.65741259399721</v>
      </c>
      <c r="N260" s="532"/>
      <c r="O260" s="532"/>
      <c r="P260" s="532"/>
      <c r="Q260" s="532"/>
      <c r="R260" s="647"/>
      <c r="S260" s="532"/>
      <c r="T260" s="532"/>
      <c r="U260" s="532"/>
      <c r="V260" s="532"/>
      <c r="W260" s="647"/>
      <c r="X260" s="532"/>
      <c r="Y260" s="532"/>
      <c r="Z260" s="532"/>
      <c r="AA260" s="532"/>
      <c r="AB260" s="647"/>
      <c r="AC260" s="532"/>
      <c r="AD260" s="532"/>
      <c r="AE260" s="532"/>
      <c r="AF260" s="532"/>
      <c r="AG260" s="647"/>
      <c r="AH260" s="648"/>
      <c r="AI260" s="648"/>
      <c r="AJ260" s="648"/>
      <c r="AK260" s="648"/>
      <c r="AL260" s="533"/>
      <c r="AM260" s="532"/>
      <c r="AN260" s="532"/>
      <c r="AO260" s="532"/>
      <c r="AP260" s="532"/>
      <c r="AQ260" s="533"/>
      <c r="AR260" s="532"/>
      <c r="AS260" s="532"/>
      <c r="AT260" s="532"/>
      <c r="AU260" s="532"/>
      <c r="AV260" s="533"/>
      <c r="AW260" s="532"/>
      <c r="AX260" s="532"/>
      <c r="AY260" s="532"/>
      <c r="AZ260" s="532"/>
      <c r="BA260" s="533"/>
      <c r="BB260" s="532"/>
      <c r="BC260" s="532"/>
      <c r="BD260" s="532"/>
      <c r="BE260" s="532"/>
      <c r="BF260" s="533"/>
      <c r="BG260" s="531"/>
      <c r="BH260" s="532"/>
      <c r="BI260" s="532"/>
      <c r="BJ260" s="2952"/>
      <c r="BK260" s="533"/>
      <c r="BL260" s="532"/>
      <c r="BM260" s="532"/>
      <c r="BN260" s="532"/>
      <c r="BO260" s="2952"/>
      <c r="BP260" s="533"/>
      <c r="BQ260" s="532"/>
      <c r="BR260" s="532"/>
      <c r="BS260" s="532"/>
      <c r="BT260" s="2952"/>
      <c r="BU260" s="3369"/>
      <c r="BV260" s="532"/>
      <c r="BW260" s="532"/>
      <c r="BX260" s="532"/>
      <c r="BY260" s="2952"/>
      <c r="BZ260" s="533"/>
      <c r="CA260" s="533"/>
      <c r="CB260" s="533"/>
      <c r="CC260" s="533"/>
      <c r="CD260" s="533"/>
      <c r="CE260" s="533"/>
      <c r="CF260" s="533"/>
      <c r="CG260" s="533"/>
      <c r="CH260" s="532"/>
      <c r="CI260" s="532"/>
      <c r="CJ260" s="532"/>
      <c r="CK260" s="532"/>
      <c r="CL260" s="532"/>
      <c r="CM260" s="532"/>
      <c r="CN260" s="532"/>
      <c r="CO260" s="532"/>
      <c r="CP260" s="1843" t="str">
        <f>A260</f>
        <v>Net Revenues/Day/Position</v>
      </c>
      <c r="CQ260" s="535">
        <f>H260</f>
        <v>197.37785821457408</v>
      </c>
      <c r="CR260" s="535">
        <f>M260</f>
        <v>203.65741259399721</v>
      </c>
      <c r="CS260" s="535"/>
      <c r="CT260" s="535"/>
      <c r="CU260" s="535"/>
      <c r="CV260" s="535"/>
      <c r="CW260" s="535"/>
      <c r="CX260" s="535"/>
      <c r="CY260" s="535"/>
      <c r="CZ260" s="535"/>
      <c r="DA260" s="535"/>
      <c r="DB260" s="535"/>
      <c r="DC260" s="535"/>
      <c r="DD260" s="535"/>
      <c r="DE260" s="535"/>
      <c r="DF260" s="535"/>
      <c r="DG260" s="1844"/>
      <c r="DH260" s="223"/>
      <c r="DI260" s="595"/>
      <c r="DJ260" s="595"/>
      <c r="DK260" s="595"/>
      <c r="DL260" s="595"/>
      <c r="DM260" s="595"/>
      <c r="DN260" s="514"/>
      <c r="DO260" s="226"/>
      <c r="DY260" s="532"/>
      <c r="DZ260" s="532"/>
    </row>
    <row r="261" spans="1:130" ht="12" hidden="1" customHeight="1" outlineLevel="1">
      <c r="A261" s="257" t="s">
        <v>1249</v>
      </c>
      <c r="B261" s="545"/>
      <c r="C261" s="545"/>
      <c r="D261" s="358"/>
      <c r="E261" s="502"/>
      <c r="F261" s="502"/>
      <c r="G261" s="502"/>
      <c r="H261" s="503"/>
      <c r="I261" s="502">
        <f>+I260/D260-1</f>
        <v>0.15527470689540479</v>
      </c>
      <c r="J261" s="502">
        <f>+J260/E260-1</f>
        <v>0.10995944630691024</v>
      </c>
      <c r="K261" s="502">
        <f>+K260/F260-1</f>
        <v>0.11958735130963483</v>
      </c>
      <c r="L261" s="502">
        <f>+L260/G260-1</f>
        <v>-7.5671111050270357E-2</v>
      </c>
      <c r="M261" s="503">
        <f>M260/H260-1</f>
        <v>3.1814887628360378E-2</v>
      </c>
      <c r="N261" s="548"/>
      <c r="O261" s="548"/>
      <c r="P261" s="548"/>
      <c r="Q261" s="548"/>
      <c r="R261" s="616"/>
      <c r="S261" s="548"/>
      <c r="T261" s="548"/>
      <c r="U261" s="548"/>
      <c r="V261" s="548"/>
      <c r="W261" s="616"/>
      <c r="X261" s="548"/>
      <c r="Y261" s="548"/>
      <c r="Z261" s="548"/>
      <c r="AA261" s="548"/>
      <c r="AB261" s="616"/>
      <c r="AC261" s="548"/>
      <c r="AD261" s="548"/>
      <c r="AE261" s="548"/>
      <c r="AF261" s="548"/>
      <c r="AG261" s="616"/>
      <c r="AH261" s="615"/>
      <c r="AI261" s="615"/>
      <c r="AJ261" s="615"/>
      <c r="AK261" s="615"/>
      <c r="AL261" s="550"/>
      <c r="AM261" s="548"/>
      <c r="AN261" s="548"/>
      <c r="AO261" s="548"/>
      <c r="AP261" s="548"/>
      <c r="AQ261" s="550"/>
      <c r="AR261" s="548"/>
      <c r="AS261" s="548"/>
      <c r="AT261" s="548"/>
      <c r="AU261" s="548"/>
      <c r="AV261" s="550"/>
      <c r="AW261" s="548"/>
      <c r="AX261" s="548"/>
      <c r="AY261" s="548"/>
      <c r="AZ261" s="548"/>
      <c r="BA261" s="550"/>
      <c r="BB261" s="548"/>
      <c r="BC261" s="548"/>
      <c r="BD261" s="548"/>
      <c r="BE261" s="548"/>
      <c r="BF261" s="550"/>
      <c r="BG261" s="607"/>
      <c r="BH261" s="548"/>
      <c r="BI261" s="548"/>
      <c r="BJ261" s="2812"/>
      <c r="BK261" s="550"/>
      <c r="BL261" s="548"/>
      <c r="BM261" s="548"/>
      <c r="BN261" s="548"/>
      <c r="BO261" s="2812"/>
      <c r="BP261" s="550"/>
      <c r="BQ261" s="548"/>
      <c r="BR261" s="548"/>
      <c r="BS261" s="548"/>
      <c r="BT261" s="2812"/>
      <c r="BU261" s="3371"/>
      <c r="BV261" s="548"/>
      <c r="BW261" s="548"/>
      <c r="BX261" s="548"/>
      <c r="BY261" s="2812"/>
      <c r="BZ261" s="550"/>
      <c r="CA261" s="550"/>
      <c r="CB261" s="550"/>
      <c r="CC261" s="550"/>
      <c r="CD261" s="550"/>
      <c r="CE261" s="550"/>
      <c r="CF261" s="550"/>
      <c r="CG261" s="550"/>
      <c r="CH261" s="548"/>
      <c r="CI261" s="548"/>
      <c r="CJ261" s="548"/>
      <c r="CK261" s="548"/>
      <c r="CL261" s="548"/>
      <c r="CM261" s="548"/>
      <c r="CN261" s="548"/>
      <c r="CO261" s="548"/>
      <c r="CP261" s="396" t="str">
        <f>A261</f>
        <v>% Growth (y-o-y)</v>
      </c>
      <c r="CQ261" s="561"/>
      <c r="CR261" s="561">
        <f>M261</f>
        <v>3.1814887628360378E-2</v>
      </c>
      <c r="CS261" s="561"/>
      <c r="CT261" s="561"/>
      <c r="CU261" s="561"/>
      <c r="CV261" s="561"/>
      <c r="CW261" s="561"/>
      <c r="CX261" s="561"/>
      <c r="CY261" s="561"/>
      <c r="CZ261" s="561"/>
      <c r="DA261" s="561"/>
      <c r="DB261" s="561"/>
      <c r="DC261" s="561"/>
      <c r="DD261" s="561"/>
      <c r="DE261" s="561"/>
      <c r="DF261" s="561"/>
      <c r="DG261" s="1846"/>
      <c r="DH261" s="609"/>
      <c r="DI261" s="573"/>
      <c r="DJ261" s="573"/>
      <c r="DK261" s="573"/>
      <c r="DL261" s="573"/>
      <c r="DM261" s="573"/>
      <c r="DN261" s="551"/>
      <c r="DO261" s="266"/>
      <c r="DY261" s="548"/>
      <c r="DZ261" s="548"/>
    </row>
    <row r="262" spans="1:130" ht="6" hidden="1" customHeight="1" outlineLevel="1">
      <c r="A262" s="429"/>
      <c r="B262" s="649"/>
      <c r="C262" s="649"/>
      <c r="D262" s="316"/>
      <c r="E262" s="318"/>
      <c r="F262" s="318"/>
      <c r="G262" s="318"/>
      <c r="H262" s="317"/>
      <c r="I262" s="318"/>
      <c r="J262" s="318"/>
      <c r="K262" s="318"/>
      <c r="L262" s="318"/>
      <c r="M262" s="317"/>
      <c r="N262" s="447"/>
      <c r="O262" s="447"/>
      <c r="P262" s="447"/>
      <c r="Q262" s="447"/>
      <c r="R262" s="563"/>
      <c r="S262" s="447"/>
      <c r="T262" s="447"/>
      <c r="U262" s="447"/>
      <c r="V262" s="447"/>
      <c r="W262" s="563"/>
      <c r="X262" s="447"/>
      <c r="Y262" s="447"/>
      <c r="Z262" s="447"/>
      <c r="AA262" s="447"/>
      <c r="AB262" s="563"/>
      <c r="AC262" s="447"/>
      <c r="AD262" s="447"/>
      <c r="AE262" s="447"/>
      <c r="AF262" s="447"/>
      <c r="AG262" s="563"/>
      <c r="AH262" s="447"/>
      <c r="AI262" s="447"/>
      <c r="AJ262" s="447"/>
      <c r="AK262" s="447"/>
      <c r="AL262" s="563"/>
      <c r="AM262" s="447"/>
      <c r="AN262" s="447"/>
      <c r="AO262" s="447"/>
      <c r="AP262" s="447"/>
      <c r="AQ262" s="563"/>
      <c r="AR262" s="447"/>
      <c r="AS262" s="447"/>
      <c r="AT262" s="447"/>
      <c r="AU262" s="447"/>
      <c r="AV262" s="563"/>
      <c r="AW262" s="447"/>
      <c r="AX262" s="447"/>
      <c r="AY262" s="447"/>
      <c r="AZ262" s="447"/>
      <c r="BA262" s="563"/>
      <c r="BB262" s="447"/>
      <c r="BC262" s="447"/>
      <c r="BD262" s="447"/>
      <c r="BE262" s="447"/>
      <c r="BF262" s="563"/>
      <c r="BG262" s="446"/>
      <c r="BH262" s="447"/>
      <c r="BI262" s="447"/>
      <c r="BJ262" s="2802"/>
      <c r="BK262" s="563"/>
      <c r="BL262" s="447"/>
      <c r="BM262" s="447"/>
      <c r="BN262" s="447"/>
      <c r="BO262" s="2802"/>
      <c r="BP262" s="563"/>
      <c r="BQ262" s="447"/>
      <c r="BR262" s="447"/>
      <c r="BS262" s="447"/>
      <c r="BT262" s="2802"/>
      <c r="BU262" s="3320"/>
      <c r="BV262" s="447"/>
      <c r="BW262" s="447"/>
      <c r="BX262" s="447"/>
      <c r="BY262" s="2802"/>
      <c r="BZ262" s="563"/>
      <c r="CA262" s="563"/>
      <c r="CB262" s="563"/>
      <c r="CC262" s="563"/>
      <c r="CD262" s="563"/>
      <c r="CE262" s="563"/>
      <c r="CF262" s="563"/>
      <c r="CG262" s="563"/>
      <c r="CH262" s="447"/>
      <c r="CI262" s="447"/>
      <c r="CJ262" s="447"/>
      <c r="CK262" s="447"/>
      <c r="CL262" s="447"/>
      <c r="CM262" s="447"/>
      <c r="CN262" s="447"/>
      <c r="CO262" s="447"/>
      <c r="CP262" s="1790"/>
      <c r="CQ262" s="564"/>
      <c r="CR262" s="564"/>
      <c r="CS262" s="564"/>
      <c r="CT262" s="564"/>
      <c r="CU262" s="564"/>
      <c r="CV262" s="564"/>
      <c r="CW262" s="564"/>
      <c r="CX262" s="564"/>
      <c r="CY262" s="564"/>
      <c r="CZ262" s="564"/>
      <c r="DA262" s="564"/>
      <c r="DB262" s="564"/>
      <c r="DC262" s="564"/>
      <c r="DD262" s="564"/>
      <c r="DE262" s="564"/>
      <c r="DF262" s="564"/>
      <c r="DG262" s="1789"/>
      <c r="DH262" s="564"/>
      <c r="DI262" s="650"/>
      <c r="DJ262" s="650"/>
      <c r="DK262" s="650"/>
      <c r="DL262" s="650"/>
      <c r="DM262" s="650"/>
      <c r="DN262" s="651"/>
      <c r="DO262" s="320"/>
      <c r="DY262" s="447"/>
      <c r="DZ262" s="447"/>
    </row>
    <row r="263" spans="1:130" ht="12" hidden="1" customHeight="1" outlineLevel="1">
      <c r="A263" s="228" t="s">
        <v>504</v>
      </c>
      <c r="B263" s="649"/>
      <c r="C263" s="649"/>
      <c r="D263" s="652">
        <v>164.6</v>
      </c>
      <c r="E263" s="655">
        <f>J263/1.109</f>
        <v>162.61045987376016</v>
      </c>
      <c r="F263" s="655">
        <v>161.97999999999999</v>
      </c>
      <c r="G263" s="655">
        <v>179.249</v>
      </c>
      <c r="H263" s="656">
        <f>SUM(D263:G263)</f>
        <v>668.43945987376014</v>
      </c>
      <c r="I263" s="655">
        <v>187.90600000000001</v>
      </c>
      <c r="J263" s="655">
        <v>180.33500000000001</v>
      </c>
      <c r="K263" s="655">
        <v>181.19399999999999</v>
      </c>
      <c r="L263" s="655">
        <v>191.35</v>
      </c>
      <c r="M263" s="656">
        <f>SUM(I263:L263)</f>
        <v>740.78499999999997</v>
      </c>
      <c r="N263" s="657"/>
      <c r="O263" s="657"/>
      <c r="P263" s="657"/>
      <c r="Q263" s="657"/>
      <c r="R263" s="658"/>
      <c r="S263" s="657"/>
      <c r="T263" s="657"/>
      <c r="U263" s="657"/>
      <c r="V263" s="657"/>
      <c r="W263" s="658"/>
      <c r="X263" s="657"/>
      <c r="Y263" s="657"/>
      <c r="Z263" s="657"/>
      <c r="AA263" s="657"/>
      <c r="AB263" s="658"/>
      <c r="AC263" s="657"/>
      <c r="AD263" s="657"/>
      <c r="AE263" s="657"/>
      <c r="AF263" s="657"/>
      <c r="AG263" s="658"/>
      <c r="AH263" s="657"/>
      <c r="AI263" s="657"/>
      <c r="AJ263" s="657"/>
      <c r="AK263" s="657"/>
      <c r="AL263" s="658"/>
      <c r="AM263" s="657"/>
      <c r="AN263" s="657"/>
      <c r="AO263" s="657"/>
      <c r="AP263" s="657"/>
      <c r="AQ263" s="658"/>
      <c r="AR263" s="657"/>
      <c r="AS263" s="657"/>
      <c r="AT263" s="657"/>
      <c r="AU263" s="657"/>
      <c r="AV263" s="658"/>
      <c r="AW263" s="657"/>
      <c r="AX263" s="657"/>
      <c r="AY263" s="657"/>
      <c r="AZ263" s="657"/>
      <c r="BA263" s="658"/>
      <c r="BB263" s="657"/>
      <c r="BC263" s="657"/>
      <c r="BD263" s="657"/>
      <c r="BE263" s="657"/>
      <c r="BF263" s="658"/>
      <c r="BG263" s="2959"/>
      <c r="BH263" s="657"/>
      <c r="BI263" s="657"/>
      <c r="BJ263" s="2960"/>
      <c r="BK263" s="658"/>
      <c r="BL263" s="657"/>
      <c r="BM263" s="657"/>
      <c r="BN263" s="657"/>
      <c r="BO263" s="2960"/>
      <c r="BP263" s="658"/>
      <c r="BQ263" s="657"/>
      <c r="BR263" s="657"/>
      <c r="BS263" s="657"/>
      <c r="BT263" s="2960"/>
      <c r="BU263" s="3384"/>
      <c r="BV263" s="657"/>
      <c r="BW263" s="657"/>
      <c r="BX263" s="657"/>
      <c r="BY263" s="2960"/>
      <c r="BZ263" s="658"/>
      <c r="CA263" s="658"/>
      <c r="CB263" s="658"/>
      <c r="CC263" s="658"/>
      <c r="CD263" s="658"/>
      <c r="CE263" s="658"/>
      <c r="CF263" s="658"/>
      <c r="CG263" s="658"/>
      <c r="CH263" s="657"/>
      <c r="CI263" s="657"/>
      <c r="CJ263" s="657"/>
      <c r="CK263" s="657"/>
      <c r="CL263" s="657"/>
      <c r="CM263" s="657"/>
      <c r="CN263" s="657"/>
      <c r="CO263" s="657"/>
      <c r="CP263" s="1847" t="str">
        <f>A263</f>
        <v>Net Revenues</v>
      </c>
      <c r="CQ263" s="1760">
        <f>H263</f>
        <v>668.43945987376014</v>
      </c>
      <c r="CR263" s="1760">
        <f>M263</f>
        <v>740.78499999999997</v>
      </c>
      <c r="CS263" s="1760"/>
      <c r="CT263" s="1760"/>
      <c r="CU263" s="1760"/>
      <c r="CV263" s="1760"/>
      <c r="CW263" s="1760"/>
      <c r="CX263" s="1760"/>
      <c r="CY263" s="1760"/>
      <c r="CZ263" s="1760"/>
      <c r="DA263" s="1760"/>
      <c r="DB263" s="1760"/>
      <c r="DC263" s="1760"/>
      <c r="DD263" s="1760"/>
      <c r="DE263" s="1760"/>
      <c r="DF263" s="1760"/>
      <c r="DG263" s="1861"/>
      <c r="DH263" s="521"/>
      <c r="DI263" s="614"/>
      <c r="DJ263" s="614"/>
      <c r="DK263" s="614"/>
      <c r="DL263" s="614"/>
      <c r="DM263" s="614"/>
      <c r="DN263" s="559"/>
      <c r="DO263" s="269"/>
      <c r="DY263" s="657"/>
      <c r="DZ263" s="657"/>
    </row>
    <row r="264" spans="1:130" ht="12" hidden="1" customHeight="1" outlineLevel="1">
      <c r="A264" s="257" t="s">
        <v>1249</v>
      </c>
      <c r="B264" s="545"/>
      <c r="C264" s="545"/>
      <c r="D264" s="259"/>
      <c r="E264" s="263"/>
      <c r="F264" s="263"/>
      <c r="G264" s="263"/>
      <c r="H264" s="262"/>
      <c r="I264" s="263">
        <f>+I263/D263-1</f>
        <v>0.14159173754556509</v>
      </c>
      <c r="J264" s="263">
        <f>+J263/E263-1</f>
        <v>0.10899999999999999</v>
      </c>
      <c r="K264" s="263">
        <f>+K263/F263-1</f>
        <v>0.11861958266452644</v>
      </c>
      <c r="L264" s="263">
        <f>+L263/G263-1</f>
        <v>6.7509442172620115E-2</v>
      </c>
      <c r="M264" s="262">
        <f>+M263/H263-1</f>
        <v>0.10823050473397067</v>
      </c>
      <c r="N264" s="659"/>
      <c r="O264" s="659"/>
      <c r="P264" s="659"/>
      <c r="Q264" s="659"/>
      <c r="R264" s="660"/>
      <c r="S264" s="659"/>
      <c r="T264" s="659"/>
      <c r="U264" s="659"/>
      <c r="V264" s="659"/>
      <c r="W264" s="660"/>
      <c r="X264" s="659"/>
      <c r="Y264" s="659"/>
      <c r="Z264" s="659"/>
      <c r="AA264" s="659"/>
      <c r="AB264" s="660"/>
      <c r="AC264" s="659"/>
      <c r="AD264" s="659"/>
      <c r="AE264" s="659"/>
      <c r="AF264" s="659"/>
      <c r="AG264" s="660"/>
      <c r="AH264" s="659"/>
      <c r="AI264" s="659"/>
      <c r="AJ264" s="659"/>
      <c r="AK264" s="659"/>
      <c r="AL264" s="660"/>
      <c r="AM264" s="659"/>
      <c r="AN264" s="659"/>
      <c r="AO264" s="659"/>
      <c r="AP264" s="659"/>
      <c r="AQ264" s="660"/>
      <c r="AR264" s="659"/>
      <c r="AS264" s="659"/>
      <c r="AT264" s="659"/>
      <c r="AU264" s="659"/>
      <c r="AV264" s="660"/>
      <c r="AW264" s="659"/>
      <c r="AX264" s="659"/>
      <c r="AY264" s="659"/>
      <c r="AZ264" s="659"/>
      <c r="BA264" s="660"/>
      <c r="BB264" s="659"/>
      <c r="BC264" s="659"/>
      <c r="BD264" s="659"/>
      <c r="BE264" s="659"/>
      <c r="BF264" s="660"/>
      <c r="BG264" s="258"/>
      <c r="BH264" s="659"/>
      <c r="BI264" s="659"/>
      <c r="BJ264" s="2961"/>
      <c r="BK264" s="660"/>
      <c r="BL264" s="659"/>
      <c r="BM264" s="659"/>
      <c r="BN264" s="659"/>
      <c r="BO264" s="2961"/>
      <c r="BP264" s="660"/>
      <c r="BQ264" s="659"/>
      <c r="BR264" s="659"/>
      <c r="BS264" s="659"/>
      <c r="BT264" s="2961"/>
      <c r="BU264" s="3342"/>
      <c r="BV264" s="659"/>
      <c r="BW264" s="659"/>
      <c r="BX264" s="659"/>
      <c r="BY264" s="2961"/>
      <c r="BZ264" s="660"/>
      <c r="CA264" s="660"/>
      <c r="CB264" s="660"/>
      <c r="CC264" s="660"/>
      <c r="CD264" s="660"/>
      <c r="CE264" s="660"/>
      <c r="CF264" s="660"/>
      <c r="CG264" s="660"/>
      <c r="CH264" s="659"/>
      <c r="CI264" s="659"/>
      <c r="CJ264" s="659"/>
      <c r="CK264" s="659"/>
      <c r="CL264" s="659"/>
      <c r="CM264" s="659"/>
      <c r="CN264" s="659"/>
      <c r="CO264" s="659"/>
      <c r="CP264" s="396" t="str">
        <f>A264</f>
        <v>% Growth (y-o-y)</v>
      </c>
      <c r="CQ264" s="263"/>
      <c r="CR264" s="263">
        <f>M264</f>
        <v>0.10823050473397067</v>
      </c>
      <c r="CS264" s="263"/>
      <c r="CT264" s="263"/>
      <c r="CU264" s="263"/>
      <c r="CV264" s="263"/>
      <c r="CW264" s="263"/>
      <c r="CX264" s="263"/>
      <c r="CY264" s="263"/>
      <c r="CZ264" s="263"/>
      <c r="DA264" s="263"/>
      <c r="DB264" s="263"/>
      <c r="DC264" s="263"/>
      <c r="DD264" s="263"/>
      <c r="DE264" s="263"/>
      <c r="DF264" s="263"/>
      <c r="DG264" s="1792"/>
      <c r="DH264" s="609"/>
      <c r="DI264" s="573"/>
      <c r="DJ264" s="573"/>
      <c r="DK264" s="573"/>
      <c r="DL264" s="573"/>
      <c r="DM264" s="573"/>
      <c r="DN264" s="551"/>
      <c r="DO264" s="266"/>
      <c r="DY264" s="659"/>
      <c r="DZ264" s="659"/>
    </row>
    <row r="265" spans="1:130" ht="6" hidden="1" customHeight="1" outlineLevel="1">
      <c r="A265" s="552"/>
      <c r="B265" s="228"/>
      <c r="C265" s="228"/>
      <c r="D265" s="446"/>
      <c r="E265" s="447"/>
      <c r="F265" s="447"/>
      <c r="G265" s="447"/>
      <c r="H265" s="563"/>
      <c r="I265" s="447"/>
      <c r="J265" s="447"/>
      <c r="K265" s="447"/>
      <c r="L265" s="447"/>
      <c r="M265" s="563"/>
      <c r="N265" s="447"/>
      <c r="O265" s="447"/>
      <c r="P265" s="447"/>
      <c r="Q265" s="447"/>
      <c r="R265" s="563"/>
      <c r="S265" s="447"/>
      <c r="T265" s="447"/>
      <c r="U265" s="447"/>
      <c r="V265" s="447"/>
      <c r="W265" s="563"/>
      <c r="X265" s="447"/>
      <c r="Y265" s="447"/>
      <c r="Z265" s="447"/>
      <c r="AA265" s="447"/>
      <c r="AB265" s="563"/>
      <c r="AC265" s="447"/>
      <c r="AD265" s="447"/>
      <c r="AE265" s="447"/>
      <c r="AF265" s="447"/>
      <c r="AG265" s="563"/>
      <c r="AH265" s="447"/>
      <c r="AI265" s="447"/>
      <c r="AJ265" s="447"/>
      <c r="AK265" s="447"/>
      <c r="AL265" s="563"/>
      <c r="AM265" s="447"/>
      <c r="AN265" s="447"/>
      <c r="AO265" s="447"/>
      <c r="AP265" s="447"/>
      <c r="AQ265" s="563"/>
      <c r="AR265" s="447"/>
      <c r="AS265" s="447"/>
      <c r="AT265" s="447"/>
      <c r="AU265" s="447"/>
      <c r="AV265" s="563"/>
      <c r="AW265" s="447"/>
      <c r="AX265" s="447"/>
      <c r="AY265" s="447"/>
      <c r="AZ265" s="447"/>
      <c r="BA265" s="563"/>
      <c r="BB265" s="447"/>
      <c r="BC265" s="447"/>
      <c r="BD265" s="447"/>
      <c r="BE265" s="447"/>
      <c r="BF265" s="563"/>
      <c r="BG265" s="446"/>
      <c r="BH265" s="447"/>
      <c r="BI265" s="447"/>
      <c r="BJ265" s="2802"/>
      <c r="BK265" s="563"/>
      <c r="BL265" s="447"/>
      <c r="BM265" s="447"/>
      <c r="BN265" s="447"/>
      <c r="BO265" s="2802"/>
      <c r="BP265" s="563"/>
      <c r="BQ265" s="447"/>
      <c r="BR265" s="447"/>
      <c r="BS265" s="447"/>
      <c r="BT265" s="2802"/>
      <c r="BU265" s="3320"/>
      <c r="BV265" s="447"/>
      <c r="BW265" s="447"/>
      <c r="BX265" s="447"/>
      <c r="BY265" s="2802"/>
      <c r="BZ265" s="563"/>
      <c r="CA265" s="563"/>
      <c r="CB265" s="563"/>
      <c r="CC265" s="563"/>
      <c r="CD265" s="563"/>
      <c r="CE265" s="563"/>
      <c r="CF265" s="563"/>
      <c r="CG265" s="563"/>
      <c r="CH265" s="447"/>
      <c r="CI265" s="447"/>
      <c r="CJ265" s="447"/>
      <c r="CK265" s="447"/>
      <c r="CL265" s="447"/>
      <c r="CM265" s="447"/>
      <c r="CN265" s="447"/>
      <c r="CO265" s="447"/>
      <c r="CP265" s="994"/>
      <c r="CQ265" s="564"/>
      <c r="CR265" s="564"/>
      <c r="CS265" s="564"/>
      <c r="CT265" s="564"/>
      <c r="CU265" s="564"/>
      <c r="CV265" s="564"/>
      <c r="CW265" s="564"/>
      <c r="CX265" s="564"/>
      <c r="CY265" s="564"/>
      <c r="CZ265" s="564"/>
      <c r="DA265" s="564"/>
      <c r="DB265" s="564"/>
      <c r="DC265" s="564"/>
      <c r="DD265" s="564"/>
      <c r="DE265" s="564"/>
      <c r="DF265" s="564"/>
      <c r="DG265" s="1789"/>
      <c r="DH265" s="223"/>
      <c r="DI265" s="595"/>
      <c r="DJ265" s="595"/>
      <c r="DK265" s="595"/>
      <c r="DL265" s="595"/>
      <c r="DM265" s="595"/>
      <c r="DN265" s="514"/>
      <c r="DO265" s="226"/>
      <c r="DY265" s="447"/>
      <c r="DZ265" s="447"/>
    </row>
    <row r="266" spans="1:130" ht="12" hidden="1" customHeight="1" outlineLevel="1">
      <c r="A266" s="228" t="s">
        <v>1326</v>
      </c>
      <c r="B266" s="649"/>
      <c r="C266" s="649"/>
      <c r="D266" s="661">
        <f>D263-D270</f>
        <v>111.786</v>
      </c>
      <c r="E266" s="557">
        <f>E263-E270</f>
        <v>116.23245987376016</v>
      </c>
      <c r="F266" s="557">
        <f>F263-F270</f>
        <v>116.97499999999999</v>
      </c>
      <c r="G266" s="557">
        <f>G263-G270</f>
        <v>118.78</v>
      </c>
      <c r="H266" s="656">
        <f>SUM(D266:G266)</f>
        <v>463.77345987376009</v>
      </c>
      <c r="I266" s="557">
        <f>I263-I270</f>
        <v>119.736</v>
      </c>
      <c r="J266" s="557">
        <f>J263-J270</f>
        <v>119.10400000000001</v>
      </c>
      <c r="K266" s="557">
        <f>K263-K270</f>
        <v>120.81099999999998</v>
      </c>
      <c r="L266" s="557">
        <f>L263-L270</f>
        <v>127.17399999999999</v>
      </c>
      <c r="M266" s="556">
        <f>SUM(I266:L266)</f>
        <v>486.82499999999999</v>
      </c>
      <c r="N266" s="662"/>
      <c r="O266" s="662"/>
      <c r="P266" s="662"/>
      <c r="Q266" s="662"/>
      <c r="R266" s="663"/>
      <c r="S266" s="662"/>
      <c r="T266" s="662"/>
      <c r="U266" s="662"/>
      <c r="V266" s="662"/>
      <c r="W266" s="663"/>
      <c r="X266" s="662"/>
      <c r="Y266" s="662"/>
      <c r="Z266" s="662"/>
      <c r="AA266" s="662"/>
      <c r="AB266" s="663"/>
      <c r="AC266" s="662"/>
      <c r="AD266" s="662"/>
      <c r="AE266" s="662"/>
      <c r="AF266" s="662"/>
      <c r="AG266" s="663"/>
      <c r="AH266" s="662"/>
      <c r="AI266" s="662"/>
      <c r="AJ266" s="662"/>
      <c r="AK266" s="662"/>
      <c r="AL266" s="663"/>
      <c r="AM266" s="662"/>
      <c r="AN266" s="662"/>
      <c r="AO266" s="662"/>
      <c r="AP266" s="662"/>
      <c r="AQ266" s="663"/>
      <c r="AR266" s="662"/>
      <c r="AS266" s="662"/>
      <c r="AT266" s="662"/>
      <c r="AU266" s="662"/>
      <c r="AV266" s="663"/>
      <c r="AW266" s="662"/>
      <c r="AX266" s="662"/>
      <c r="AY266" s="662"/>
      <c r="AZ266" s="662"/>
      <c r="BA266" s="663"/>
      <c r="BB266" s="662"/>
      <c r="BC266" s="662"/>
      <c r="BD266" s="662"/>
      <c r="BE266" s="662"/>
      <c r="BF266" s="663"/>
      <c r="BG266" s="2962"/>
      <c r="BH266" s="662"/>
      <c r="BI266" s="662"/>
      <c r="BJ266" s="2963"/>
      <c r="BK266" s="663"/>
      <c r="BL266" s="662"/>
      <c r="BM266" s="662"/>
      <c r="BN266" s="662"/>
      <c r="BO266" s="2963"/>
      <c r="BP266" s="663"/>
      <c r="BQ266" s="662"/>
      <c r="BR266" s="662"/>
      <c r="BS266" s="662"/>
      <c r="BT266" s="2963"/>
      <c r="BU266" s="3385"/>
      <c r="BV266" s="662"/>
      <c r="BW266" s="662"/>
      <c r="BX266" s="662"/>
      <c r="BY266" s="2963"/>
      <c r="BZ266" s="663"/>
      <c r="CA266" s="663"/>
      <c r="CB266" s="663"/>
      <c r="CC266" s="663"/>
      <c r="CD266" s="663"/>
      <c r="CE266" s="663"/>
      <c r="CF266" s="663"/>
      <c r="CG266" s="663"/>
      <c r="CH266" s="662"/>
      <c r="CI266" s="662"/>
      <c r="CJ266" s="662"/>
      <c r="CK266" s="662"/>
      <c r="CL266" s="662"/>
      <c r="CM266" s="662"/>
      <c r="CN266" s="662"/>
      <c r="CO266" s="662"/>
      <c r="CP266" s="1847" t="str">
        <f>A266</f>
        <v>Total Expenses</v>
      </c>
      <c r="CQ266" s="690">
        <f>H266</f>
        <v>463.77345987376009</v>
      </c>
      <c r="CR266" s="690">
        <f>M266</f>
        <v>486.82499999999999</v>
      </c>
      <c r="CS266" s="690"/>
      <c r="CT266" s="690"/>
      <c r="CU266" s="690"/>
      <c r="CV266" s="690"/>
      <c r="CW266" s="690"/>
      <c r="CX266" s="690"/>
      <c r="CY266" s="690"/>
      <c r="CZ266" s="690"/>
      <c r="DA266" s="690"/>
      <c r="DB266" s="690"/>
      <c r="DC266" s="690"/>
      <c r="DD266" s="690"/>
      <c r="DE266" s="690"/>
      <c r="DF266" s="690"/>
      <c r="DG266" s="1862"/>
      <c r="DH266" s="614"/>
      <c r="DI266" s="614"/>
      <c r="DJ266" s="614"/>
      <c r="DK266" s="614"/>
      <c r="DL266" s="614"/>
      <c r="DM266" s="614"/>
      <c r="DN266" s="559"/>
      <c r="DO266" s="269"/>
      <c r="DY266" s="662"/>
      <c r="DZ266" s="662"/>
    </row>
    <row r="267" spans="1:130" ht="12" hidden="1" customHeight="1" outlineLevel="1">
      <c r="A267" s="567" t="s">
        <v>430</v>
      </c>
      <c r="B267" s="545"/>
      <c r="C267" s="545"/>
      <c r="D267" s="560">
        <f t="shared" ref="D267:M267" si="475">+D266/D263</f>
        <v>0.6791373025516404</v>
      </c>
      <c r="E267" s="561">
        <f t="shared" si="475"/>
        <v>0.71479079490947406</v>
      </c>
      <c r="F267" s="561">
        <f t="shared" si="475"/>
        <v>0.72215705642671935</v>
      </c>
      <c r="G267" s="561">
        <f t="shared" si="475"/>
        <v>0.66265362707741748</v>
      </c>
      <c r="H267" s="562">
        <f t="shared" si="475"/>
        <v>0.69381520349104941</v>
      </c>
      <c r="I267" s="561">
        <f t="shared" si="475"/>
        <v>0.63721222313284298</v>
      </c>
      <c r="J267" s="561">
        <f t="shared" si="475"/>
        <v>0.66045970000277265</v>
      </c>
      <c r="K267" s="561">
        <f t="shared" si="475"/>
        <v>0.66674945086481885</v>
      </c>
      <c r="L267" s="561">
        <f t="shared" si="475"/>
        <v>0.66461458061144496</v>
      </c>
      <c r="M267" s="562">
        <f t="shared" si="475"/>
        <v>0.65717448382459154</v>
      </c>
      <c r="N267" s="548"/>
      <c r="O267" s="548"/>
      <c r="P267" s="548"/>
      <c r="Q267" s="548"/>
      <c r="R267" s="550"/>
      <c r="S267" s="548"/>
      <c r="T267" s="548"/>
      <c r="U267" s="548"/>
      <c r="V267" s="548"/>
      <c r="W267" s="550"/>
      <c r="X267" s="548"/>
      <c r="Y267" s="548"/>
      <c r="Z267" s="548"/>
      <c r="AA267" s="548"/>
      <c r="AB267" s="550"/>
      <c r="AC267" s="548"/>
      <c r="AD267" s="548"/>
      <c r="AE267" s="548"/>
      <c r="AF267" s="548"/>
      <c r="AG267" s="550"/>
      <c r="AH267" s="548"/>
      <c r="AI267" s="548"/>
      <c r="AJ267" s="548"/>
      <c r="AK267" s="548"/>
      <c r="AL267" s="550"/>
      <c r="AM267" s="548"/>
      <c r="AN267" s="548"/>
      <c r="AO267" s="548"/>
      <c r="AP267" s="548"/>
      <c r="AQ267" s="550"/>
      <c r="AR267" s="548"/>
      <c r="AS267" s="548"/>
      <c r="AT267" s="548"/>
      <c r="AU267" s="548"/>
      <c r="AV267" s="550"/>
      <c r="AW267" s="548"/>
      <c r="AX267" s="548"/>
      <c r="AY267" s="548"/>
      <c r="AZ267" s="548"/>
      <c r="BA267" s="550"/>
      <c r="BB267" s="548"/>
      <c r="BC267" s="548"/>
      <c r="BD267" s="548"/>
      <c r="BE267" s="548"/>
      <c r="BF267" s="550"/>
      <c r="BG267" s="607"/>
      <c r="BH267" s="548"/>
      <c r="BI267" s="548"/>
      <c r="BJ267" s="2812"/>
      <c r="BK267" s="550"/>
      <c r="BL267" s="548"/>
      <c r="BM267" s="548"/>
      <c r="BN267" s="548"/>
      <c r="BO267" s="2812"/>
      <c r="BP267" s="550"/>
      <c r="BQ267" s="548"/>
      <c r="BR267" s="548"/>
      <c r="BS267" s="548"/>
      <c r="BT267" s="2812"/>
      <c r="BU267" s="3371"/>
      <c r="BV267" s="548"/>
      <c r="BW267" s="548"/>
      <c r="BX267" s="548"/>
      <c r="BY267" s="2812"/>
      <c r="BZ267" s="550"/>
      <c r="CA267" s="550"/>
      <c r="CB267" s="550"/>
      <c r="CC267" s="550"/>
      <c r="CD267" s="550"/>
      <c r="CE267" s="550"/>
      <c r="CF267" s="550"/>
      <c r="CG267" s="550"/>
      <c r="CH267" s="548"/>
      <c r="CI267" s="548"/>
      <c r="CJ267" s="548"/>
      <c r="CK267" s="548"/>
      <c r="CL267" s="548"/>
      <c r="CM267" s="548"/>
      <c r="CN267" s="548"/>
      <c r="CO267" s="548"/>
      <c r="CP267" s="1849" t="str">
        <f>A267</f>
        <v>% of Revenue</v>
      </c>
      <c r="CQ267" s="561">
        <f>H267</f>
        <v>0.69381520349104941</v>
      </c>
      <c r="CR267" s="561">
        <f>M267</f>
        <v>0.65717448382459154</v>
      </c>
      <c r="CS267" s="561"/>
      <c r="CT267" s="561"/>
      <c r="CU267" s="561"/>
      <c r="CV267" s="561"/>
      <c r="CW267" s="561"/>
      <c r="CX267" s="561"/>
      <c r="CY267" s="561"/>
      <c r="CZ267" s="561"/>
      <c r="DA267" s="561"/>
      <c r="DB267" s="561"/>
      <c r="DC267" s="561"/>
      <c r="DD267" s="561"/>
      <c r="DE267" s="561"/>
      <c r="DF267" s="561"/>
      <c r="DG267" s="1846"/>
      <c r="DH267" s="573"/>
      <c r="DI267" s="573"/>
      <c r="DJ267" s="573"/>
      <c r="DK267" s="573"/>
      <c r="DL267" s="573"/>
      <c r="DM267" s="573"/>
      <c r="DN267" s="551"/>
      <c r="DO267" s="266"/>
      <c r="DY267" s="548"/>
      <c r="DZ267" s="548"/>
    </row>
    <row r="268" spans="1:130" ht="12" hidden="1" customHeight="1" outlineLevel="1">
      <c r="A268" s="257" t="s">
        <v>1249</v>
      </c>
      <c r="B268" s="545"/>
      <c r="C268" s="545"/>
      <c r="D268" s="560"/>
      <c r="E268" s="561"/>
      <c r="F268" s="561"/>
      <c r="G268" s="561"/>
      <c r="H268" s="562"/>
      <c r="I268" s="561">
        <f>+I266/D266-1</f>
        <v>7.1118029091299384E-2</v>
      </c>
      <c r="J268" s="561">
        <f>+J266/E266-1</f>
        <v>2.4705148022838186E-2</v>
      </c>
      <c r="K268" s="561">
        <f>+K266/F266-1</f>
        <v>3.2793331908527401E-2</v>
      </c>
      <c r="L268" s="561">
        <f>+L266/G266-1</f>
        <v>7.0668462704158941E-2</v>
      </c>
      <c r="M268" s="562">
        <f>+M266/H266-1</f>
        <v>4.9704310661749851E-2</v>
      </c>
      <c r="N268" s="548"/>
      <c r="O268" s="548"/>
      <c r="P268" s="548"/>
      <c r="Q268" s="548"/>
      <c r="R268" s="550"/>
      <c r="S268" s="548"/>
      <c r="T268" s="548"/>
      <c r="U268" s="548"/>
      <c r="V268" s="548"/>
      <c r="W268" s="550"/>
      <c r="X268" s="548"/>
      <c r="Y268" s="548"/>
      <c r="Z268" s="548"/>
      <c r="AA268" s="548"/>
      <c r="AB268" s="550"/>
      <c r="AC268" s="548"/>
      <c r="AD268" s="548"/>
      <c r="AE268" s="548"/>
      <c r="AF268" s="548"/>
      <c r="AG268" s="550"/>
      <c r="AH268" s="548"/>
      <c r="AI268" s="548"/>
      <c r="AJ268" s="548"/>
      <c r="AK268" s="548"/>
      <c r="AL268" s="550"/>
      <c r="AM268" s="548"/>
      <c r="AN268" s="548"/>
      <c r="AO268" s="548"/>
      <c r="AP268" s="548"/>
      <c r="AQ268" s="550"/>
      <c r="AR268" s="548"/>
      <c r="AS268" s="548"/>
      <c r="AT268" s="548"/>
      <c r="AU268" s="548"/>
      <c r="AV268" s="550"/>
      <c r="AW268" s="548"/>
      <c r="AX268" s="548"/>
      <c r="AY268" s="548"/>
      <c r="AZ268" s="548"/>
      <c r="BA268" s="550"/>
      <c r="BB268" s="548"/>
      <c r="BC268" s="548"/>
      <c r="BD268" s="548"/>
      <c r="BE268" s="548"/>
      <c r="BF268" s="550"/>
      <c r="BG268" s="607"/>
      <c r="BH268" s="548"/>
      <c r="BI268" s="548"/>
      <c r="BJ268" s="2812"/>
      <c r="BK268" s="550"/>
      <c r="BL268" s="548"/>
      <c r="BM268" s="548"/>
      <c r="BN268" s="548"/>
      <c r="BO268" s="2812"/>
      <c r="BP268" s="550"/>
      <c r="BQ268" s="548"/>
      <c r="BR268" s="548"/>
      <c r="BS268" s="548"/>
      <c r="BT268" s="2812"/>
      <c r="BU268" s="3371"/>
      <c r="BV268" s="548"/>
      <c r="BW268" s="548"/>
      <c r="BX268" s="548"/>
      <c r="BY268" s="2812"/>
      <c r="BZ268" s="550"/>
      <c r="CA268" s="550"/>
      <c r="CB268" s="550"/>
      <c r="CC268" s="550"/>
      <c r="CD268" s="550"/>
      <c r="CE268" s="550"/>
      <c r="CF268" s="550"/>
      <c r="CG268" s="550"/>
      <c r="CH268" s="548"/>
      <c r="CI268" s="548"/>
      <c r="CJ268" s="548"/>
      <c r="CK268" s="548"/>
      <c r="CL268" s="548"/>
      <c r="CM268" s="548"/>
      <c r="CN268" s="548"/>
      <c r="CO268" s="548"/>
      <c r="CP268" s="396" t="str">
        <f>A268</f>
        <v>% Growth (y-o-y)</v>
      </c>
      <c r="CQ268" s="561"/>
      <c r="CR268" s="561">
        <f>M268</f>
        <v>4.9704310661749851E-2</v>
      </c>
      <c r="CS268" s="561"/>
      <c r="CT268" s="561"/>
      <c r="CU268" s="561"/>
      <c r="CV268" s="561"/>
      <c r="CW268" s="561"/>
      <c r="CX268" s="561"/>
      <c r="CY268" s="561"/>
      <c r="CZ268" s="561"/>
      <c r="DA268" s="561"/>
      <c r="DB268" s="561"/>
      <c r="DC268" s="561"/>
      <c r="DD268" s="561"/>
      <c r="DE268" s="561"/>
      <c r="DF268" s="561"/>
      <c r="DG268" s="1846"/>
      <c r="DH268" s="573"/>
      <c r="DI268" s="573"/>
      <c r="DJ268" s="573"/>
      <c r="DK268" s="573"/>
      <c r="DL268" s="573"/>
      <c r="DM268" s="573"/>
      <c r="DN268" s="551"/>
      <c r="DO268" s="266"/>
      <c r="DY268" s="548"/>
      <c r="DZ268" s="548"/>
    </row>
    <row r="269" spans="1:130" ht="6" hidden="1" customHeight="1" outlineLevel="1">
      <c r="A269" s="552"/>
      <c r="B269" s="228"/>
      <c r="C269" s="228"/>
      <c r="D269" s="664"/>
      <c r="E269" s="570"/>
      <c r="F269" s="570"/>
      <c r="G269" s="570"/>
      <c r="H269" s="569"/>
      <c r="I269" s="570"/>
      <c r="J269" s="665"/>
      <c r="K269" s="570"/>
      <c r="L269" s="570"/>
      <c r="M269" s="569"/>
      <c r="N269" s="482"/>
      <c r="O269" s="482"/>
      <c r="P269" s="665"/>
      <c r="Q269" s="665"/>
      <c r="R269" s="666"/>
      <c r="S269" s="482"/>
      <c r="T269" s="482"/>
      <c r="U269" s="665"/>
      <c r="V269" s="665"/>
      <c r="W269" s="666"/>
      <c r="X269" s="665"/>
      <c r="Y269" s="665"/>
      <c r="Z269" s="665"/>
      <c r="AA269" s="665"/>
      <c r="AB269" s="666"/>
      <c r="AC269" s="665"/>
      <c r="AD269" s="665"/>
      <c r="AE269" s="665"/>
      <c r="AF269" s="665"/>
      <c r="AG269" s="666"/>
      <c r="AH269" s="665"/>
      <c r="AI269" s="665"/>
      <c r="AJ269" s="665"/>
      <c r="AK269" s="665"/>
      <c r="AL269" s="666"/>
      <c r="AM269" s="665"/>
      <c r="AN269" s="665"/>
      <c r="AO269" s="665"/>
      <c r="AP269" s="665"/>
      <c r="AQ269" s="569"/>
      <c r="AR269" s="665"/>
      <c r="AS269" s="665"/>
      <c r="AT269" s="665"/>
      <c r="AU269" s="665"/>
      <c r="AV269" s="569"/>
      <c r="AW269" s="665"/>
      <c r="AX269" s="665"/>
      <c r="AY269" s="665"/>
      <c r="AZ269" s="665"/>
      <c r="BA269" s="569"/>
      <c r="BB269" s="665"/>
      <c r="BC269" s="665"/>
      <c r="BD269" s="665"/>
      <c r="BE269" s="665"/>
      <c r="BF269" s="569"/>
      <c r="BG269" s="596"/>
      <c r="BH269" s="570"/>
      <c r="BI269" s="570"/>
      <c r="BJ269" s="2807"/>
      <c r="BK269" s="569"/>
      <c r="BL269" s="570"/>
      <c r="BM269" s="570"/>
      <c r="BN269" s="570"/>
      <c r="BO269" s="2807"/>
      <c r="BP269" s="569"/>
      <c r="BQ269" s="570"/>
      <c r="BR269" s="570"/>
      <c r="BS269" s="570"/>
      <c r="BT269" s="2807"/>
      <c r="BU269" s="3378"/>
      <c r="BV269" s="570"/>
      <c r="BW269" s="570"/>
      <c r="BX269" s="570"/>
      <c r="BY269" s="2807"/>
      <c r="BZ269" s="569"/>
      <c r="CA269" s="569"/>
      <c r="CB269" s="569"/>
      <c r="CC269" s="569"/>
      <c r="CD269" s="569"/>
      <c r="CE269" s="569"/>
      <c r="CF269" s="569"/>
      <c r="CG269" s="569"/>
      <c r="CH269" s="570"/>
      <c r="CI269" s="570"/>
      <c r="CJ269" s="570"/>
      <c r="CK269" s="570"/>
      <c r="CL269" s="570"/>
      <c r="CM269" s="570"/>
      <c r="CN269" s="570"/>
      <c r="CO269" s="570"/>
      <c r="CP269" s="994"/>
      <c r="CQ269" s="1031"/>
      <c r="CR269" s="1031"/>
      <c r="CS269" s="1031"/>
      <c r="CT269" s="1031"/>
      <c r="CU269" s="1031"/>
      <c r="CV269" s="1031"/>
      <c r="CW269" s="1031"/>
      <c r="CX269" s="1031"/>
      <c r="CY269" s="1031"/>
      <c r="CZ269" s="1031"/>
      <c r="DA269" s="1031"/>
      <c r="DB269" s="1031"/>
      <c r="DC269" s="1031"/>
      <c r="DD269" s="1031"/>
      <c r="DE269" s="1031"/>
      <c r="DF269" s="1031"/>
      <c r="DG269" s="1663"/>
      <c r="DH269" s="595"/>
      <c r="DI269" s="595"/>
      <c r="DJ269" s="595"/>
      <c r="DK269" s="595"/>
      <c r="DL269" s="595"/>
      <c r="DM269" s="595"/>
      <c r="DN269" s="514"/>
      <c r="DO269" s="226"/>
      <c r="DY269" s="570"/>
      <c r="DZ269" s="570"/>
    </row>
    <row r="270" spans="1:130" ht="12" hidden="1" customHeight="1" outlineLevel="1">
      <c r="A270" s="228" t="s">
        <v>401</v>
      </c>
      <c r="B270" s="228"/>
      <c r="C270" s="228"/>
      <c r="D270" s="652">
        <f>99.192-E270</f>
        <v>52.813999999999993</v>
      </c>
      <c r="E270" s="655">
        <v>46.378</v>
      </c>
      <c r="F270" s="655">
        <v>45.005000000000003</v>
      </c>
      <c r="G270" s="655">
        <v>60.469000000000001</v>
      </c>
      <c r="H270" s="656">
        <f>+H263-H266</f>
        <v>204.66600000000005</v>
      </c>
      <c r="I270" s="655">
        <v>68.17</v>
      </c>
      <c r="J270" s="655">
        <v>61.231000000000002</v>
      </c>
      <c r="K270" s="655">
        <v>60.383000000000003</v>
      </c>
      <c r="L270" s="655">
        <v>64.176000000000002</v>
      </c>
      <c r="M270" s="656">
        <f>+M263-M266</f>
        <v>253.95999999999998</v>
      </c>
      <c r="N270" s="657"/>
      <c r="O270" s="657"/>
      <c r="P270" s="657"/>
      <c r="Q270" s="657"/>
      <c r="R270" s="658"/>
      <c r="S270" s="657"/>
      <c r="T270" s="657"/>
      <c r="U270" s="657"/>
      <c r="V270" s="657"/>
      <c r="W270" s="658"/>
      <c r="X270" s="657"/>
      <c r="Y270" s="657"/>
      <c r="Z270" s="657"/>
      <c r="AA270" s="657"/>
      <c r="AB270" s="658"/>
      <c r="AC270" s="657"/>
      <c r="AD270" s="657"/>
      <c r="AE270" s="657"/>
      <c r="AF270" s="657"/>
      <c r="AG270" s="658"/>
      <c r="AH270" s="657"/>
      <c r="AI270" s="657"/>
      <c r="AJ270" s="657"/>
      <c r="AK270" s="657"/>
      <c r="AL270" s="658"/>
      <c r="AM270" s="657"/>
      <c r="AN270" s="657"/>
      <c r="AO270" s="657"/>
      <c r="AP270" s="657"/>
      <c r="AQ270" s="658"/>
      <c r="AR270" s="657"/>
      <c r="AS270" s="657"/>
      <c r="AT270" s="657"/>
      <c r="AU270" s="657"/>
      <c r="AV270" s="658"/>
      <c r="AW270" s="657"/>
      <c r="AX270" s="657"/>
      <c r="AY270" s="657"/>
      <c r="AZ270" s="657"/>
      <c r="BA270" s="658"/>
      <c r="BB270" s="657"/>
      <c r="BC270" s="657"/>
      <c r="BD270" s="657"/>
      <c r="BE270" s="657"/>
      <c r="BF270" s="658"/>
      <c r="BG270" s="2959"/>
      <c r="BH270" s="657"/>
      <c r="BI270" s="657"/>
      <c r="BJ270" s="2960"/>
      <c r="BK270" s="658"/>
      <c r="BL270" s="657"/>
      <c r="BM270" s="657"/>
      <c r="BN270" s="657"/>
      <c r="BO270" s="2960"/>
      <c r="BP270" s="658"/>
      <c r="BQ270" s="657"/>
      <c r="BR270" s="657"/>
      <c r="BS270" s="657"/>
      <c r="BT270" s="2960"/>
      <c r="BU270" s="3384"/>
      <c r="BV270" s="657"/>
      <c r="BW270" s="657"/>
      <c r="BX270" s="657"/>
      <c r="BY270" s="2960"/>
      <c r="BZ270" s="658"/>
      <c r="CA270" s="658"/>
      <c r="CB270" s="658"/>
      <c r="CC270" s="658"/>
      <c r="CD270" s="658"/>
      <c r="CE270" s="658"/>
      <c r="CF270" s="658"/>
      <c r="CG270" s="658"/>
      <c r="CH270" s="657"/>
      <c r="CI270" s="657"/>
      <c r="CJ270" s="657"/>
      <c r="CK270" s="657"/>
      <c r="CL270" s="657"/>
      <c r="CM270" s="657"/>
      <c r="CN270" s="657"/>
      <c r="CO270" s="657"/>
      <c r="CP270" s="1847" t="str">
        <f>A270</f>
        <v>EBITDA</v>
      </c>
      <c r="CQ270" s="1760">
        <f>H270</f>
        <v>204.66600000000005</v>
      </c>
      <c r="CR270" s="1760">
        <f>M270</f>
        <v>253.95999999999998</v>
      </c>
      <c r="CS270" s="1760"/>
      <c r="CT270" s="1760"/>
      <c r="CU270" s="1760"/>
      <c r="CV270" s="1760"/>
      <c r="CW270" s="1760"/>
      <c r="CX270" s="1760"/>
      <c r="CY270" s="1760"/>
      <c r="CZ270" s="1760"/>
      <c r="DA270" s="1760"/>
      <c r="DB270" s="1760"/>
      <c r="DC270" s="1760"/>
      <c r="DD270" s="1760"/>
      <c r="DE270" s="1760"/>
      <c r="DF270" s="1760"/>
      <c r="DG270" s="1861"/>
      <c r="DH270" s="614"/>
      <c r="DI270" s="614"/>
      <c r="DJ270" s="614"/>
      <c r="DK270" s="614"/>
      <c r="DL270" s="614"/>
      <c r="DM270" s="614"/>
      <c r="DN270" s="559"/>
      <c r="DO270" s="269"/>
      <c r="DY270" s="657"/>
      <c r="DZ270" s="657"/>
    </row>
    <row r="271" spans="1:130" ht="12" hidden="1" customHeight="1" outlineLevel="1">
      <c r="A271" s="212" t="s">
        <v>56</v>
      </c>
      <c r="B271" s="545"/>
      <c r="C271" s="545"/>
      <c r="D271" s="560">
        <f t="shared" ref="D271:M271" si="476">+D270/D263</f>
        <v>0.3208626974483596</v>
      </c>
      <c r="E271" s="561">
        <f t="shared" si="476"/>
        <v>0.28520920509052594</v>
      </c>
      <c r="F271" s="561">
        <f t="shared" si="476"/>
        <v>0.27784294357328071</v>
      </c>
      <c r="G271" s="561">
        <f t="shared" si="476"/>
        <v>0.33734637292258257</v>
      </c>
      <c r="H271" s="562">
        <f t="shared" si="476"/>
        <v>0.30618479650895053</v>
      </c>
      <c r="I271" s="561">
        <f t="shared" si="476"/>
        <v>0.36278777686715696</v>
      </c>
      <c r="J271" s="561">
        <f t="shared" si="476"/>
        <v>0.3395402999972274</v>
      </c>
      <c r="K271" s="561">
        <f t="shared" si="476"/>
        <v>0.3332505491351811</v>
      </c>
      <c r="L271" s="561">
        <f t="shared" si="476"/>
        <v>0.33538541938855504</v>
      </c>
      <c r="M271" s="562">
        <f t="shared" si="476"/>
        <v>0.34282551617540852</v>
      </c>
      <c r="N271" s="548"/>
      <c r="O271" s="548"/>
      <c r="P271" s="548"/>
      <c r="Q271" s="548"/>
      <c r="R271" s="550"/>
      <c r="S271" s="548"/>
      <c r="T271" s="548"/>
      <c r="U271" s="548"/>
      <c r="V271" s="548"/>
      <c r="W271" s="550"/>
      <c r="X271" s="548"/>
      <c r="Y271" s="548"/>
      <c r="Z271" s="548"/>
      <c r="AA271" s="548"/>
      <c r="AB271" s="550"/>
      <c r="AC271" s="548"/>
      <c r="AD271" s="548"/>
      <c r="AE271" s="548"/>
      <c r="AF271" s="548"/>
      <c r="AG271" s="550"/>
      <c r="AH271" s="548"/>
      <c r="AI271" s="548"/>
      <c r="AJ271" s="548"/>
      <c r="AK271" s="548"/>
      <c r="AL271" s="550"/>
      <c r="AM271" s="548"/>
      <c r="AN271" s="548"/>
      <c r="AO271" s="548"/>
      <c r="AP271" s="548"/>
      <c r="AQ271" s="550"/>
      <c r="AR271" s="548"/>
      <c r="AS271" s="548"/>
      <c r="AT271" s="548"/>
      <c r="AU271" s="548"/>
      <c r="AV271" s="550"/>
      <c r="AW271" s="548"/>
      <c r="AX271" s="548"/>
      <c r="AY271" s="548"/>
      <c r="AZ271" s="548"/>
      <c r="BA271" s="550"/>
      <c r="BB271" s="548"/>
      <c r="BC271" s="548"/>
      <c r="BD271" s="548"/>
      <c r="BE271" s="548"/>
      <c r="BF271" s="550"/>
      <c r="BG271" s="607"/>
      <c r="BH271" s="548"/>
      <c r="BI271" s="548"/>
      <c r="BJ271" s="2812"/>
      <c r="BK271" s="550"/>
      <c r="BL271" s="548"/>
      <c r="BM271" s="548"/>
      <c r="BN271" s="548"/>
      <c r="BO271" s="2812"/>
      <c r="BP271" s="550"/>
      <c r="BQ271" s="548"/>
      <c r="BR271" s="548"/>
      <c r="BS271" s="548"/>
      <c r="BT271" s="2812"/>
      <c r="BU271" s="3371"/>
      <c r="BV271" s="548"/>
      <c r="BW271" s="548"/>
      <c r="BX271" s="548"/>
      <c r="BY271" s="2812"/>
      <c r="BZ271" s="550"/>
      <c r="CA271" s="550"/>
      <c r="CB271" s="550"/>
      <c r="CC271" s="550"/>
      <c r="CD271" s="550"/>
      <c r="CE271" s="550"/>
      <c r="CF271" s="550"/>
      <c r="CG271" s="550"/>
      <c r="CH271" s="548"/>
      <c r="CI271" s="548"/>
      <c r="CJ271" s="548"/>
      <c r="CK271" s="548"/>
      <c r="CL271" s="548"/>
      <c r="CM271" s="548"/>
      <c r="CN271" s="548"/>
      <c r="CO271" s="548"/>
      <c r="CP271" s="1856" t="str">
        <f>A271</f>
        <v>% Margin</v>
      </c>
      <c r="CQ271" s="561">
        <f>H271</f>
        <v>0.30618479650895053</v>
      </c>
      <c r="CR271" s="561">
        <f>M271</f>
        <v>0.34282551617540852</v>
      </c>
      <c r="CS271" s="561"/>
      <c r="CT271" s="561"/>
      <c r="CU271" s="561"/>
      <c r="CV271" s="561"/>
      <c r="CW271" s="561"/>
      <c r="CX271" s="561"/>
      <c r="CY271" s="561"/>
      <c r="CZ271" s="561"/>
      <c r="DA271" s="561"/>
      <c r="DB271" s="561"/>
      <c r="DC271" s="561"/>
      <c r="DD271" s="561"/>
      <c r="DE271" s="561"/>
      <c r="DF271" s="561"/>
      <c r="DG271" s="1846"/>
      <c r="DH271" s="573"/>
      <c r="DI271" s="573"/>
      <c r="DJ271" s="573"/>
      <c r="DK271" s="573"/>
      <c r="DL271" s="573"/>
      <c r="DM271" s="573"/>
      <c r="DN271" s="551"/>
      <c r="DO271" s="266"/>
      <c r="DY271" s="548"/>
      <c r="DZ271" s="548"/>
    </row>
    <row r="272" spans="1:130" ht="12" hidden="1" customHeight="1" outlineLevel="1">
      <c r="A272" s="257" t="s">
        <v>1249</v>
      </c>
      <c r="B272" s="545"/>
      <c r="C272" s="545"/>
      <c r="D272" s="560"/>
      <c r="E272" s="561"/>
      <c r="F272" s="561"/>
      <c r="G272" s="561"/>
      <c r="H272" s="562"/>
      <c r="I272" s="561">
        <f>+I270/D270-1</f>
        <v>0.29075623887605584</v>
      </c>
      <c r="J272" s="561">
        <f>+J270/E270-1</f>
        <v>0.32025960584760016</v>
      </c>
      <c r="K272" s="561">
        <f>+K270/F270-1</f>
        <v>0.34169536718142424</v>
      </c>
      <c r="L272" s="561">
        <f>+L270/G270-1</f>
        <v>6.1304139311052053E-2</v>
      </c>
      <c r="M272" s="562">
        <f>+M270/H270-1</f>
        <v>0.24085094739722246</v>
      </c>
      <c r="N272" s="548"/>
      <c r="O272" s="548"/>
      <c r="P272" s="548"/>
      <c r="Q272" s="548"/>
      <c r="R272" s="550"/>
      <c r="S272" s="548"/>
      <c r="T272" s="548"/>
      <c r="U272" s="548"/>
      <c r="V272" s="548"/>
      <c r="W272" s="550"/>
      <c r="X272" s="548"/>
      <c r="Y272" s="548"/>
      <c r="Z272" s="548"/>
      <c r="AA272" s="548"/>
      <c r="AB272" s="550"/>
      <c r="AC272" s="548"/>
      <c r="AD272" s="548"/>
      <c r="AE272" s="548"/>
      <c r="AF272" s="548"/>
      <c r="AG272" s="550"/>
      <c r="AH272" s="548"/>
      <c r="AI272" s="548"/>
      <c r="AJ272" s="548"/>
      <c r="AK272" s="548"/>
      <c r="AL272" s="550"/>
      <c r="AM272" s="548"/>
      <c r="AN272" s="548"/>
      <c r="AO272" s="548"/>
      <c r="AP272" s="548"/>
      <c r="AQ272" s="550"/>
      <c r="AR272" s="548"/>
      <c r="AS272" s="548"/>
      <c r="AT272" s="548"/>
      <c r="AU272" s="548"/>
      <c r="AV272" s="550"/>
      <c r="AW272" s="548"/>
      <c r="AX272" s="548"/>
      <c r="AY272" s="548"/>
      <c r="AZ272" s="548"/>
      <c r="BA272" s="550"/>
      <c r="BB272" s="548"/>
      <c r="BC272" s="548"/>
      <c r="BD272" s="548"/>
      <c r="BE272" s="548"/>
      <c r="BF272" s="550"/>
      <c r="BG272" s="607"/>
      <c r="BH272" s="548"/>
      <c r="BI272" s="548"/>
      <c r="BJ272" s="2812"/>
      <c r="BK272" s="550"/>
      <c r="BL272" s="548"/>
      <c r="BM272" s="548"/>
      <c r="BN272" s="548"/>
      <c r="BO272" s="2812"/>
      <c r="BP272" s="550"/>
      <c r="BQ272" s="548"/>
      <c r="BR272" s="548"/>
      <c r="BS272" s="548"/>
      <c r="BT272" s="2812"/>
      <c r="BU272" s="3371"/>
      <c r="BV272" s="548"/>
      <c r="BW272" s="548"/>
      <c r="BX272" s="548"/>
      <c r="BY272" s="2812"/>
      <c r="BZ272" s="550"/>
      <c r="CA272" s="550"/>
      <c r="CB272" s="550"/>
      <c r="CC272" s="550"/>
      <c r="CD272" s="550"/>
      <c r="CE272" s="550"/>
      <c r="CF272" s="550"/>
      <c r="CG272" s="550"/>
      <c r="CH272" s="548"/>
      <c r="CI272" s="548"/>
      <c r="CJ272" s="548"/>
      <c r="CK272" s="548"/>
      <c r="CL272" s="548"/>
      <c r="CM272" s="548"/>
      <c r="CN272" s="548"/>
      <c r="CO272" s="548"/>
      <c r="CP272" s="396" t="str">
        <f>A272</f>
        <v>% Growth (y-o-y)</v>
      </c>
      <c r="CQ272" s="561"/>
      <c r="CR272" s="561">
        <f>M272</f>
        <v>0.24085094739722246</v>
      </c>
      <c r="CS272" s="561"/>
      <c r="CT272" s="561"/>
      <c r="CU272" s="561"/>
      <c r="CV272" s="561"/>
      <c r="CW272" s="561"/>
      <c r="CX272" s="561"/>
      <c r="CY272" s="561"/>
      <c r="CZ272" s="561"/>
      <c r="DA272" s="561"/>
      <c r="DB272" s="561"/>
      <c r="DC272" s="561"/>
      <c r="DD272" s="561"/>
      <c r="DE272" s="561"/>
      <c r="DF272" s="561"/>
      <c r="DG272" s="1846"/>
      <c r="DH272" s="573"/>
      <c r="DI272" s="573"/>
      <c r="DJ272" s="573"/>
      <c r="DK272" s="573"/>
      <c r="DL272" s="573"/>
      <c r="DM272" s="573"/>
      <c r="DN272" s="551"/>
      <c r="DO272" s="266"/>
      <c r="DY272" s="548"/>
      <c r="DZ272" s="548"/>
    </row>
    <row r="273" spans="1:130" ht="6" hidden="1" customHeight="1" outlineLevel="1">
      <c r="A273" s="552"/>
      <c r="B273" s="228"/>
      <c r="C273" s="228"/>
      <c r="D273" s="596"/>
      <c r="E273" s="570"/>
      <c r="F273" s="570"/>
      <c r="G273" s="570"/>
      <c r="H273" s="569"/>
      <c r="I273" s="570"/>
      <c r="J273" s="570"/>
      <c r="K273" s="618"/>
      <c r="L273" s="618"/>
      <c r="M273" s="569"/>
      <c r="N273" s="570"/>
      <c r="O273" s="570"/>
      <c r="P273" s="618"/>
      <c r="Q273" s="618"/>
      <c r="R273" s="666"/>
      <c r="S273" s="570"/>
      <c r="T273" s="570"/>
      <c r="U273" s="618"/>
      <c r="V273" s="618"/>
      <c r="W273" s="666"/>
      <c r="X273" s="618"/>
      <c r="Y273" s="618"/>
      <c r="Z273" s="618"/>
      <c r="AA273" s="618"/>
      <c r="AB273" s="666"/>
      <c r="AC273" s="618"/>
      <c r="AD273" s="618"/>
      <c r="AE273" s="618"/>
      <c r="AF273" s="618"/>
      <c r="AG273" s="666"/>
      <c r="AH273" s="665"/>
      <c r="AI273" s="665"/>
      <c r="AJ273" s="665"/>
      <c r="AK273" s="665"/>
      <c r="AL273" s="569"/>
      <c r="AM273" s="570"/>
      <c r="AN273" s="570"/>
      <c r="AO273" s="570"/>
      <c r="AP273" s="570"/>
      <c r="AQ273" s="569"/>
      <c r="AR273" s="570"/>
      <c r="AS273" s="570"/>
      <c r="AT273" s="570"/>
      <c r="AU273" s="570"/>
      <c r="AV273" s="569"/>
      <c r="AW273" s="570"/>
      <c r="AX273" s="570"/>
      <c r="AY273" s="570"/>
      <c r="AZ273" s="570"/>
      <c r="BA273" s="569"/>
      <c r="BB273" s="570"/>
      <c r="BC273" s="570"/>
      <c r="BD273" s="570"/>
      <c r="BE273" s="570"/>
      <c r="BF273" s="569"/>
      <c r="BG273" s="596"/>
      <c r="BH273" s="570"/>
      <c r="BI273" s="570"/>
      <c r="BJ273" s="2807"/>
      <c r="BK273" s="569"/>
      <c r="BL273" s="570"/>
      <c r="BM273" s="570"/>
      <c r="BN273" s="570"/>
      <c r="BO273" s="2807"/>
      <c r="BP273" s="569"/>
      <c r="BQ273" s="570"/>
      <c r="BR273" s="570"/>
      <c r="BS273" s="570"/>
      <c r="BT273" s="2807"/>
      <c r="BU273" s="3378"/>
      <c r="BV273" s="570"/>
      <c r="BW273" s="570"/>
      <c r="BX273" s="570"/>
      <c r="BY273" s="2807"/>
      <c r="BZ273" s="569"/>
      <c r="CA273" s="569"/>
      <c r="CB273" s="569"/>
      <c r="CC273" s="569"/>
      <c r="CD273" s="569"/>
      <c r="CE273" s="569"/>
      <c r="CF273" s="569"/>
      <c r="CG273" s="569"/>
      <c r="CH273" s="570"/>
      <c r="CI273" s="570"/>
      <c r="CJ273" s="570"/>
      <c r="CK273" s="570"/>
      <c r="CL273" s="570"/>
      <c r="CM273" s="570"/>
      <c r="CN273" s="570"/>
      <c r="CO273" s="570"/>
      <c r="CP273" s="994"/>
      <c r="CQ273" s="592"/>
      <c r="CR273" s="592"/>
      <c r="CS273" s="592"/>
      <c r="CT273" s="592"/>
      <c r="CU273" s="592"/>
      <c r="CV273" s="592"/>
      <c r="CW273" s="592"/>
      <c r="CX273" s="592"/>
      <c r="CY273" s="592"/>
      <c r="CZ273" s="592"/>
      <c r="DA273" s="592"/>
      <c r="DB273" s="592"/>
      <c r="DC273" s="592"/>
      <c r="DD273" s="592"/>
      <c r="DE273" s="592"/>
      <c r="DF273" s="592"/>
      <c r="DG273" s="1850"/>
      <c r="DH273" s="595"/>
      <c r="DI273" s="595"/>
      <c r="DJ273" s="595"/>
      <c r="DK273" s="595"/>
      <c r="DL273" s="595"/>
      <c r="DM273" s="595"/>
      <c r="DN273" s="514"/>
      <c r="DO273" s="226"/>
      <c r="DY273" s="570"/>
      <c r="DZ273" s="570"/>
    </row>
    <row r="274" spans="1:130" ht="12" hidden="1" customHeight="1" outlineLevel="1">
      <c r="A274" s="217" t="s">
        <v>372</v>
      </c>
      <c r="B274" s="228"/>
      <c r="C274" s="228"/>
      <c r="D274" s="667">
        <v>12.676</v>
      </c>
      <c r="E274" s="622">
        <v>12.574</v>
      </c>
      <c r="F274" s="622">
        <v>14.316000000000001</v>
      </c>
      <c r="G274" s="622">
        <v>14.553000000000001</v>
      </c>
      <c r="H274" s="317">
        <f>+SUM(D274:G274)</f>
        <v>54.119</v>
      </c>
      <c r="I274" s="622">
        <v>14.555</v>
      </c>
      <c r="J274" s="622">
        <v>14.673999999999999</v>
      </c>
      <c r="K274" s="622">
        <v>13.166</v>
      </c>
      <c r="L274" s="622">
        <v>14.821999999999999</v>
      </c>
      <c r="M274" s="317">
        <f>+SUM(I274:L274)</f>
        <v>57.216999999999999</v>
      </c>
      <c r="N274" s="618"/>
      <c r="O274" s="618"/>
      <c r="P274" s="618"/>
      <c r="Q274" s="618"/>
      <c r="R274" s="666"/>
      <c r="S274" s="668"/>
      <c r="T274" s="618"/>
      <c r="U274" s="618"/>
      <c r="V274" s="618"/>
      <c r="W274" s="666"/>
      <c r="X274" s="618"/>
      <c r="Y274" s="618"/>
      <c r="Z274" s="618"/>
      <c r="AA274" s="618"/>
      <c r="AB274" s="666"/>
      <c r="AC274" s="618"/>
      <c r="AD274" s="618"/>
      <c r="AE274" s="618"/>
      <c r="AF274" s="618"/>
      <c r="AG274" s="666"/>
      <c r="AH274" s="665"/>
      <c r="AI274" s="665"/>
      <c r="AJ274" s="665"/>
      <c r="AK274" s="665"/>
      <c r="AL274" s="619"/>
      <c r="AM274" s="618"/>
      <c r="AN274" s="618"/>
      <c r="AO274" s="618"/>
      <c r="AP274" s="618"/>
      <c r="AQ274" s="619"/>
      <c r="AR274" s="618"/>
      <c r="AS274" s="618"/>
      <c r="AT274" s="618"/>
      <c r="AU274" s="618"/>
      <c r="AV274" s="619"/>
      <c r="AW274" s="618"/>
      <c r="AX274" s="618"/>
      <c r="AY274" s="618"/>
      <c r="AZ274" s="618"/>
      <c r="BA274" s="619"/>
      <c r="BB274" s="618"/>
      <c r="BC274" s="618"/>
      <c r="BD274" s="618"/>
      <c r="BE274" s="618"/>
      <c r="BF274" s="619"/>
      <c r="BG274" s="617"/>
      <c r="BH274" s="618"/>
      <c r="BI274" s="618"/>
      <c r="BJ274" s="2806"/>
      <c r="BK274" s="619"/>
      <c r="BL274" s="618"/>
      <c r="BM274" s="618"/>
      <c r="BN274" s="618"/>
      <c r="BO274" s="2806"/>
      <c r="BP274" s="619"/>
      <c r="BQ274" s="618"/>
      <c r="BR274" s="618"/>
      <c r="BS274" s="618"/>
      <c r="BT274" s="2806"/>
      <c r="BU274" s="3355"/>
      <c r="BV274" s="618"/>
      <c r="BW274" s="618"/>
      <c r="BX274" s="618"/>
      <c r="BY274" s="2806"/>
      <c r="BZ274" s="619"/>
      <c r="CA274" s="619"/>
      <c r="CB274" s="619"/>
      <c r="CC274" s="619"/>
      <c r="CD274" s="619"/>
      <c r="CE274" s="619"/>
      <c r="CF274" s="619"/>
      <c r="CG274" s="619"/>
      <c r="CH274" s="618"/>
      <c r="CI274" s="618"/>
      <c r="CJ274" s="618"/>
      <c r="CK274" s="618"/>
      <c r="CL274" s="618"/>
      <c r="CM274" s="618"/>
      <c r="CN274" s="618"/>
      <c r="CO274" s="618"/>
      <c r="CP274" s="1840" t="str">
        <f>A274</f>
        <v>Depreciation</v>
      </c>
      <c r="CQ274" s="620">
        <f>H274</f>
        <v>54.119</v>
      </c>
      <c r="CR274" s="620">
        <f>M274</f>
        <v>57.216999999999999</v>
      </c>
      <c r="CS274" s="620"/>
      <c r="CT274" s="620"/>
      <c r="CU274" s="620"/>
      <c r="CV274" s="620"/>
      <c r="CW274" s="620"/>
      <c r="CX274" s="620"/>
      <c r="CY274" s="620"/>
      <c r="CZ274" s="620"/>
      <c r="DA274" s="620"/>
      <c r="DB274" s="620"/>
      <c r="DC274" s="620"/>
      <c r="DD274" s="620"/>
      <c r="DE274" s="620"/>
      <c r="DF274" s="620"/>
      <c r="DG274" s="809"/>
      <c r="DH274" s="595"/>
      <c r="DI274" s="595"/>
      <c r="DJ274" s="595"/>
      <c r="DK274" s="595"/>
      <c r="DL274" s="595"/>
      <c r="DM274" s="595"/>
      <c r="DN274" s="514"/>
      <c r="DO274" s="226"/>
      <c r="DY274" s="618"/>
      <c r="DZ274" s="618"/>
    </row>
    <row r="275" spans="1:130" ht="12" hidden="1" customHeight="1" outlineLevel="1">
      <c r="A275" s="669" t="s">
        <v>1103</v>
      </c>
      <c r="B275" s="545"/>
      <c r="C275" s="545"/>
      <c r="D275" s="560">
        <f t="shared" ref="D275:L275" si="477">D274/D266</f>
        <v>0.11339523732846689</v>
      </c>
      <c r="E275" s="561">
        <f t="shared" si="477"/>
        <v>0.10817976332649756</v>
      </c>
      <c r="F275" s="561">
        <f t="shared" si="477"/>
        <v>0.12238512502671513</v>
      </c>
      <c r="G275" s="561">
        <f t="shared" si="477"/>
        <v>0.12252062636807544</v>
      </c>
      <c r="H275" s="562">
        <f>H274/H266</f>
        <v>0.11669274911662966</v>
      </c>
      <c r="I275" s="561">
        <f t="shared" si="477"/>
        <v>0.12155909667936125</v>
      </c>
      <c r="J275" s="561">
        <f t="shared" si="477"/>
        <v>0.12320325094035463</v>
      </c>
      <c r="K275" s="561">
        <f t="shared" si="477"/>
        <v>0.10898014253668956</v>
      </c>
      <c r="L275" s="561">
        <f t="shared" si="477"/>
        <v>0.11654898013744948</v>
      </c>
      <c r="M275" s="562">
        <f>M274/M266</f>
        <v>0.11753094027627997</v>
      </c>
      <c r="N275" s="548"/>
      <c r="O275" s="548"/>
      <c r="P275" s="548"/>
      <c r="Q275" s="548"/>
      <c r="R275" s="550"/>
      <c r="S275" s="548"/>
      <c r="T275" s="548"/>
      <c r="U275" s="548"/>
      <c r="V275" s="548"/>
      <c r="W275" s="550"/>
      <c r="X275" s="548"/>
      <c r="Y275" s="548"/>
      <c r="Z275" s="548"/>
      <c r="AA275" s="548"/>
      <c r="AB275" s="550"/>
      <c r="AC275" s="548"/>
      <c r="AD275" s="548"/>
      <c r="AE275" s="548"/>
      <c r="AF275" s="548"/>
      <c r="AG275" s="550"/>
      <c r="AH275" s="548"/>
      <c r="AI275" s="548"/>
      <c r="AJ275" s="548"/>
      <c r="AK275" s="548"/>
      <c r="AL275" s="550"/>
      <c r="AM275" s="548"/>
      <c r="AN275" s="548"/>
      <c r="AO275" s="548"/>
      <c r="AP275" s="548"/>
      <c r="AQ275" s="550"/>
      <c r="AR275" s="548"/>
      <c r="AS275" s="548"/>
      <c r="AT275" s="548"/>
      <c r="AU275" s="548"/>
      <c r="AV275" s="550"/>
      <c r="AW275" s="548"/>
      <c r="AX275" s="548"/>
      <c r="AY275" s="548"/>
      <c r="AZ275" s="548"/>
      <c r="BA275" s="550"/>
      <c r="BB275" s="548"/>
      <c r="BC275" s="548"/>
      <c r="BD275" s="548"/>
      <c r="BE275" s="548"/>
      <c r="BF275" s="550"/>
      <c r="BG275" s="607"/>
      <c r="BH275" s="548"/>
      <c r="BI275" s="548"/>
      <c r="BJ275" s="2812"/>
      <c r="BK275" s="550"/>
      <c r="BL275" s="548"/>
      <c r="BM275" s="548"/>
      <c r="BN275" s="548"/>
      <c r="BO275" s="2812"/>
      <c r="BP275" s="550"/>
      <c r="BQ275" s="548"/>
      <c r="BR275" s="548"/>
      <c r="BS275" s="548"/>
      <c r="BT275" s="2812"/>
      <c r="BU275" s="3371"/>
      <c r="BV275" s="548"/>
      <c r="BW275" s="548"/>
      <c r="BX275" s="548"/>
      <c r="BY275" s="2812"/>
      <c r="BZ275" s="550"/>
      <c r="CA275" s="550"/>
      <c r="CB275" s="550"/>
      <c r="CC275" s="550"/>
      <c r="CD275" s="550"/>
      <c r="CE275" s="550"/>
      <c r="CF275" s="550"/>
      <c r="CG275" s="550"/>
      <c r="CH275" s="548"/>
      <c r="CI275" s="548"/>
      <c r="CJ275" s="548"/>
      <c r="CK275" s="548"/>
      <c r="CL275" s="548"/>
      <c r="CM275" s="548"/>
      <c r="CN275" s="548"/>
      <c r="CO275" s="548"/>
      <c r="CP275" s="1863" t="str">
        <f>A275</f>
        <v>% of Net Revenues</v>
      </c>
      <c r="CQ275" s="561">
        <f>H275</f>
        <v>0.11669274911662966</v>
      </c>
      <c r="CR275" s="561">
        <f>M275</f>
        <v>0.11753094027627997</v>
      </c>
      <c r="CS275" s="561"/>
      <c r="CT275" s="561"/>
      <c r="CU275" s="561"/>
      <c r="CV275" s="561"/>
      <c r="CW275" s="561"/>
      <c r="CX275" s="561"/>
      <c r="CY275" s="561"/>
      <c r="CZ275" s="561"/>
      <c r="DA275" s="561"/>
      <c r="DB275" s="561"/>
      <c r="DC275" s="561"/>
      <c r="DD275" s="561"/>
      <c r="DE275" s="561"/>
      <c r="DF275" s="561"/>
      <c r="DG275" s="1846"/>
      <c r="DH275" s="573"/>
      <c r="DI275" s="573"/>
      <c r="DJ275" s="573"/>
      <c r="DK275" s="573"/>
      <c r="DL275" s="573"/>
      <c r="DM275" s="573"/>
      <c r="DN275" s="551"/>
      <c r="DO275" s="266"/>
      <c r="DY275" s="548"/>
      <c r="DZ275" s="548"/>
    </row>
    <row r="276" spans="1:130" ht="6" hidden="1" customHeight="1" outlineLevel="1">
      <c r="A276" s="552"/>
      <c r="B276" s="228"/>
      <c r="C276" s="228"/>
      <c r="D276" s="596"/>
      <c r="E276" s="570"/>
      <c r="F276" s="510"/>
      <c r="G276" s="570"/>
      <c r="H276" s="569"/>
      <c r="I276" s="570"/>
      <c r="J276" s="570"/>
      <c r="K276" s="570"/>
      <c r="L276" s="570"/>
      <c r="M276" s="569"/>
      <c r="N276" s="570"/>
      <c r="O276" s="570"/>
      <c r="P276" s="570"/>
      <c r="Q276" s="570"/>
      <c r="R276" s="569"/>
      <c r="S276" s="570"/>
      <c r="T276" s="570"/>
      <c r="U276" s="570"/>
      <c r="V276" s="570"/>
      <c r="W276" s="569"/>
      <c r="X276" s="570"/>
      <c r="Y276" s="570"/>
      <c r="Z276" s="570"/>
      <c r="AA276" s="570"/>
      <c r="AB276" s="569"/>
      <c r="AC276" s="570"/>
      <c r="AD276" s="570"/>
      <c r="AE276" s="570"/>
      <c r="AF276" s="570"/>
      <c r="AG276" s="569"/>
      <c r="AH276" s="570"/>
      <c r="AI276" s="570"/>
      <c r="AJ276" s="570"/>
      <c r="AK276" s="570"/>
      <c r="AL276" s="569"/>
      <c r="AM276" s="570"/>
      <c r="AN276" s="570"/>
      <c r="AO276" s="570"/>
      <c r="AP276" s="570"/>
      <c r="AQ276" s="569"/>
      <c r="AR276" s="570"/>
      <c r="AS276" s="570"/>
      <c r="AT276" s="570"/>
      <c r="AU276" s="570"/>
      <c r="AV276" s="569"/>
      <c r="AW276" s="570"/>
      <c r="AX276" s="570"/>
      <c r="AY276" s="570"/>
      <c r="AZ276" s="570"/>
      <c r="BA276" s="569"/>
      <c r="BB276" s="570"/>
      <c r="BC276" s="570"/>
      <c r="BD276" s="570"/>
      <c r="BE276" s="570"/>
      <c r="BF276" s="569"/>
      <c r="BG276" s="596"/>
      <c r="BH276" s="570"/>
      <c r="BI276" s="570"/>
      <c r="BJ276" s="2807"/>
      <c r="BK276" s="569"/>
      <c r="BL276" s="570"/>
      <c r="BM276" s="570"/>
      <c r="BN276" s="570"/>
      <c r="BO276" s="2807"/>
      <c r="BP276" s="569"/>
      <c r="BQ276" s="570"/>
      <c r="BR276" s="570"/>
      <c r="BS276" s="570"/>
      <c r="BT276" s="2807"/>
      <c r="BU276" s="3378"/>
      <c r="BV276" s="570"/>
      <c r="BW276" s="570"/>
      <c r="BX276" s="570"/>
      <c r="BY276" s="2807"/>
      <c r="BZ276" s="569"/>
      <c r="CA276" s="569"/>
      <c r="CB276" s="569"/>
      <c r="CC276" s="569"/>
      <c r="CD276" s="569"/>
      <c r="CE276" s="569"/>
      <c r="CF276" s="569"/>
      <c r="CG276" s="569"/>
      <c r="CH276" s="570"/>
      <c r="CI276" s="570"/>
      <c r="CJ276" s="570"/>
      <c r="CK276" s="570"/>
      <c r="CL276" s="570"/>
      <c r="CM276" s="570"/>
      <c r="CN276" s="570"/>
      <c r="CO276" s="570"/>
      <c r="CP276" s="994"/>
      <c r="CQ276" s="592"/>
      <c r="CR276" s="592"/>
      <c r="CS276" s="592"/>
      <c r="CT276" s="592"/>
      <c r="CU276" s="592"/>
      <c r="CV276" s="592"/>
      <c r="CW276" s="592"/>
      <c r="CX276" s="592"/>
      <c r="CY276" s="592"/>
      <c r="CZ276" s="592"/>
      <c r="DA276" s="592"/>
      <c r="DB276" s="592"/>
      <c r="DC276" s="592"/>
      <c r="DD276" s="592"/>
      <c r="DE276" s="592"/>
      <c r="DF276" s="592"/>
      <c r="DG276" s="1850"/>
      <c r="DH276" s="595"/>
      <c r="DI276" s="595"/>
      <c r="DJ276" s="595"/>
      <c r="DK276" s="595"/>
      <c r="DL276" s="595"/>
      <c r="DM276" s="595"/>
      <c r="DN276" s="514"/>
      <c r="DO276" s="226"/>
      <c r="DY276" s="570"/>
      <c r="DZ276" s="570"/>
    </row>
    <row r="277" spans="1:130" ht="12" hidden="1" customHeight="1" outlineLevel="1">
      <c r="A277" s="670" t="s">
        <v>1182</v>
      </c>
      <c r="B277" s="228"/>
      <c r="C277" s="228"/>
      <c r="D277" s="623"/>
      <c r="E277" s="624"/>
      <c r="F277" s="671">
        <f>1315.346-36.949</f>
        <v>1278.3969999999999</v>
      </c>
      <c r="G277" s="672">
        <f>F279</f>
        <v>1339.3969999999999</v>
      </c>
      <c r="H277" s="673">
        <f>G277</f>
        <v>1339.3969999999999</v>
      </c>
      <c r="I277" s="672">
        <f>H279</f>
        <v>1442.3969999999999</v>
      </c>
      <c r="J277" s="672">
        <f>I279</f>
        <v>1517.3969999999999</v>
      </c>
      <c r="K277" s="672">
        <f>J279</f>
        <v>1604.3969999999999</v>
      </c>
      <c r="L277" s="672">
        <f>K279</f>
        <v>1706.3969999999999</v>
      </c>
      <c r="M277" s="673">
        <f>H279</f>
        <v>1442.3969999999999</v>
      </c>
      <c r="N277" s="532"/>
      <c r="O277" s="532"/>
      <c r="P277" s="532"/>
      <c r="Q277" s="532"/>
      <c r="R277" s="533"/>
      <c r="S277" s="532"/>
      <c r="T277" s="532"/>
      <c r="U277" s="532"/>
      <c r="V277" s="532"/>
      <c r="W277" s="533"/>
      <c r="X277" s="532"/>
      <c r="Y277" s="532"/>
      <c r="Z277" s="532"/>
      <c r="AA277" s="532"/>
      <c r="AB277" s="533"/>
      <c r="AC277" s="532"/>
      <c r="AD277" s="532"/>
      <c r="AE277" s="532"/>
      <c r="AF277" s="532"/>
      <c r="AG277" s="533"/>
      <c r="AH277" s="532"/>
      <c r="AI277" s="532"/>
      <c r="AJ277" s="532"/>
      <c r="AK277" s="532"/>
      <c r="AL277" s="533"/>
      <c r="AM277" s="532"/>
      <c r="AN277" s="532"/>
      <c r="AO277" s="532"/>
      <c r="AP277" s="532"/>
      <c r="AQ277" s="533"/>
      <c r="AR277" s="532"/>
      <c r="AS277" s="532"/>
      <c r="AT277" s="532"/>
      <c r="AU277" s="532"/>
      <c r="AV277" s="533"/>
      <c r="AW277" s="532"/>
      <c r="AX277" s="532"/>
      <c r="AY277" s="532"/>
      <c r="AZ277" s="532"/>
      <c r="BA277" s="533"/>
      <c r="BB277" s="532"/>
      <c r="BC277" s="532"/>
      <c r="BD277" s="532"/>
      <c r="BE277" s="532"/>
      <c r="BF277" s="533"/>
      <c r="BG277" s="531"/>
      <c r="BH277" s="532"/>
      <c r="BI277" s="532"/>
      <c r="BJ277" s="2952"/>
      <c r="BK277" s="533"/>
      <c r="BL277" s="532"/>
      <c r="BM277" s="532"/>
      <c r="BN277" s="532"/>
      <c r="BO277" s="2952"/>
      <c r="BP277" s="533"/>
      <c r="BQ277" s="532"/>
      <c r="BR277" s="532"/>
      <c r="BS277" s="532"/>
      <c r="BT277" s="2952"/>
      <c r="BU277" s="3369"/>
      <c r="BV277" s="532"/>
      <c r="BW277" s="532"/>
      <c r="BX277" s="532"/>
      <c r="BY277" s="2952"/>
      <c r="BZ277" s="533"/>
      <c r="CA277" s="533"/>
      <c r="CB277" s="533"/>
      <c r="CC277" s="533"/>
      <c r="CD277" s="533"/>
      <c r="CE277" s="533"/>
      <c r="CF277" s="533"/>
      <c r="CG277" s="533"/>
      <c r="CH277" s="532"/>
      <c r="CI277" s="532"/>
      <c r="CJ277" s="532"/>
      <c r="CK277" s="532"/>
      <c r="CL277" s="532"/>
      <c r="CM277" s="532"/>
      <c r="CN277" s="532"/>
      <c r="CO277" s="532"/>
      <c r="CP277" s="1864" t="str">
        <f>A277</f>
        <v>Beginning Investment</v>
      </c>
      <c r="CQ277" s="535">
        <f>H277</f>
        <v>1339.3969999999999</v>
      </c>
      <c r="CR277" s="535">
        <f>M277</f>
        <v>1442.3969999999999</v>
      </c>
      <c r="CS277" s="535"/>
      <c r="CT277" s="535"/>
      <c r="CU277" s="535"/>
      <c r="CV277" s="535"/>
      <c r="CW277" s="535"/>
      <c r="CX277" s="535"/>
      <c r="CY277" s="535"/>
      <c r="CZ277" s="535"/>
      <c r="DA277" s="535"/>
      <c r="DB277" s="535"/>
      <c r="DC277" s="535"/>
      <c r="DD277" s="535"/>
      <c r="DE277" s="535"/>
      <c r="DF277" s="535"/>
      <c r="DG277" s="1844"/>
      <c r="DH277" s="595"/>
      <c r="DI277" s="595"/>
      <c r="DJ277" s="595"/>
      <c r="DK277" s="595"/>
      <c r="DL277" s="595"/>
      <c r="DM277" s="595"/>
      <c r="DN277" s="514"/>
      <c r="DO277" s="226"/>
      <c r="DY277" s="532"/>
      <c r="DZ277" s="532"/>
    </row>
    <row r="278" spans="1:130" ht="12" hidden="1" customHeight="1" outlineLevel="1">
      <c r="A278" s="674" t="s">
        <v>1178</v>
      </c>
      <c r="B278" s="675"/>
      <c r="C278" s="675"/>
      <c r="D278" s="623"/>
      <c r="E278" s="624"/>
      <c r="F278" s="634">
        <f>18+43</f>
        <v>61</v>
      </c>
      <c r="G278" s="634">
        <f>41+1</f>
        <v>42</v>
      </c>
      <c r="H278" s="640">
        <f>SUM(D278:G278)</f>
        <v>103</v>
      </c>
      <c r="I278" s="634">
        <v>75</v>
      </c>
      <c r="J278" s="634">
        <v>87</v>
      </c>
      <c r="K278" s="634">
        <f>86+16</f>
        <v>102</v>
      </c>
      <c r="L278" s="634">
        <v>148</v>
      </c>
      <c r="M278" s="640">
        <f>SUM(I278:L278)</f>
        <v>412</v>
      </c>
      <c r="N278" s="635"/>
      <c r="O278" s="635"/>
      <c r="P278" s="635"/>
      <c r="Q278" s="635"/>
      <c r="R278" s="638"/>
      <c r="S278" s="635"/>
      <c r="T278" s="635"/>
      <c r="U278" s="635"/>
      <c r="V278" s="635"/>
      <c r="W278" s="638"/>
      <c r="X278" s="635"/>
      <c r="Y278" s="635"/>
      <c r="Z278" s="635"/>
      <c r="AA278" s="635"/>
      <c r="AB278" s="638"/>
      <c r="AC278" s="635"/>
      <c r="AD278" s="635"/>
      <c r="AE278" s="635"/>
      <c r="AF278" s="635"/>
      <c r="AG278" s="638"/>
      <c r="AH278" s="635"/>
      <c r="AI278" s="635"/>
      <c r="AJ278" s="635"/>
      <c r="AK278" s="635"/>
      <c r="AL278" s="638"/>
      <c r="AM278" s="635"/>
      <c r="AN278" s="635"/>
      <c r="AO278" s="635"/>
      <c r="AP278" s="635"/>
      <c r="AQ278" s="638"/>
      <c r="AR278" s="635"/>
      <c r="AS278" s="635"/>
      <c r="AT278" s="635"/>
      <c r="AU278" s="635"/>
      <c r="AV278" s="638"/>
      <c r="AW278" s="635"/>
      <c r="AX278" s="635"/>
      <c r="AY278" s="635"/>
      <c r="AZ278" s="635"/>
      <c r="BA278" s="638"/>
      <c r="BB278" s="635"/>
      <c r="BC278" s="635"/>
      <c r="BD278" s="635"/>
      <c r="BE278" s="635"/>
      <c r="BF278" s="638"/>
      <c r="BG278" s="2907"/>
      <c r="BH278" s="635"/>
      <c r="BI278" s="635"/>
      <c r="BJ278" s="2908"/>
      <c r="BK278" s="638"/>
      <c r="BL278" s="635"/>
      <c r="BM278" s="635"/>
      <c r="BN278" s="635"/>
      <c r="BO278" s="2908"/>
      <c r="BP278" s="638"/>
      <c r="BQ278" s="635"/>
      <c r="BR278" s="635"/>
      <c r="BS278" s="635"/>
      <c r="BT278" s="2908"/>
      <c r="BU278" s="3382"/>
      <c r="BV278" s="635"/>
      <c r="BW278" s="635"/>
      <c r="BX278" s="635"/>
      <c r="BY278" s="2908"/>
      <c r="BZ278" s="638"/>
      <c r="CA278" s="638"/>
      <c r="CB278" s="638"/>
      <c r="CC278" s="638"/>
      <c r="CD278" s="638"/>
      <c r="CE278" s="638"/>
      <c r="CF278" s="638"/>
      <c r="CG278" s="638"/>
      <c r="CH278" s="635"/>
      <c r="CI278" s="635"/>
      <c r="CJ278" s="635"/>
      <c r="CK278" s="635"/>
      <c r="CL278" s="635"/>
      <c r="CM278" s="635"/>
      <c r="CN278" s="635"/>
      <c r="CO278" s="635"/>
      <c r="CP278" s="1865" t="str">
        <f>A278</f>
        <v>Capital Improvements</v>
      </c>
      <c r="CQ278" s="916">
        <f>H278</f>
        <v>103</v>
      </c>
      <c r="CR278" s="916">
        <f>M278</f>
        <v>412</v>
      </c>
      <c r="CS278" s="916"/>
      <c r="CT278" s="916"/>
      <c r="CU278" s="916"/>
      <c r="CV278" s="916"/>
      <c r="CW278" s="916"/>
      <c r="CX278" s="916"/>
      <c r="CY278" s="916"/>
      <c r="CZ278" s="916"/>
      <c r="DA278" s="916"/>
      <c r="DB278" s="916"/>
      <c r="DC278" s="916"/>
      <c r="DD278" s="916"/>
      <c r="DE278" s="916"/>
      <c r="DF278" s="916"/>
      <c r="DG278" s="1858"/>
      <c r="DH278" s="650"/>
      <c r="DI278" s="650"/>
      <c r="DJ278" s="650"/>
      <c r="DK278" s="650"/>
      <c r="DL278" s="650"/>
      <c r="DM278" s="650"/>
      <c r="DN278" s="651"/>
      <c r="DO278" s="320"/>
      <c r="DY278" s="635"/>
      <c r="DZ278" s="635"/>
    </row>
    <row r="279" spans="1:130" ht="12" hidden="1" customHeight="1" outlineLevel="1">
      <c r="A279" s="670" t="s">
        <v>637</v>
      </c>
      <c r="B279" s="228"/>
      <c r="C279" s="228"/>
      <c r="D279" s="623"/>
      <c r="E279" s="624"/>
      <c r="F279" s="672">
        <f t="shared" ref="F279:M279" si="478">F277+F278</f>
        <v>1339.3969999999999</v>
      </c>
      <c r="G279" s="672">
        <f t="shared" si="478"/>
        <v>1381.3969999999999</v>
      </c>
      <c r="H279" s="673">
        <f t="shared" si="478"/>
        <v>1442.3969999999999</v>
      </c>
      <c r="I279" s="672">
        <f t="shared" si="478"/>
        <v>1517.3969999999999</v>
      </c>
      <c r="J279" s="672">
        <f t="shared" si="478"/>
        <v>1604.3969999999999</v>
      </c>
      <c r="K279" s="672">
        <f t="shared" si="478"/>
        <v>1706.3969999999999</v>
      </c>
      <c r="L279" s="672">
        <f t="shared" si="478"/>
        <v>1854.3969999999999</v>
      </c>
      <c r="M279" s="673">
        <f t="shared" si="478"/>
        <v>1854.3969999999999</v>
      </c>
      <c r="N279" s="532"/>
      <c r="O279" s="532"/>
      <c r="P279" s="532"/>
      <c r="Q279" s="532"/>
      <c r="R279" s="533"/>
      <c r="S279" s="532"/>
      <c r="T279" s="532"/>
      <c r="U279" s="532"/>
      <c r="V279" s="532"/>
      <c r="W279" s="533"/>
      <c r="X279" s="532"/>
      <c r="Y279" s="532"/>
      <c r="Z279" s="532"/>
      <c r="AA279" s="532"/>
      <c r="AB279" s="533"/>
      <c r="AC279" s="532"/>
      <c r="AD279" s="532"/>
      <c r="AE279" s="532"/>
      <c r="AF279" s="532"/>
      <c r="AG279" s="533"/>
      <c r="AH279" s="532"/>
      <c r="AI279" s="532"/>
      <c r="AJ279" s="532"/>
      <c r="AK279" s="532"/>
      <c r="AL279" s="533"/>
      <c r="AM279" s="532"/>
      <c r="AN279" s="532"/>
      <c r="AO279" s="532"/>
      <c r="AP279" s="532"/>
      <c r="AQ279" s="533"/>
      <c r="AR279" s="532"/>
      <c r="AS279" s="532"/>
      <c r="AT279" s="532"/>
      <c r="AU279" s="532"/>
      <c r="AV279" s="533"/>
      <c r="AW279" s="532"/>
      <c r="AX279" s="532"/>
      <c r="AY279" s="532"/>
      <c r="AZ279" s="532"/>
      <c r="BA279" s="533"/>
      <c r="BB279" s="532"/>
      <c r="BC279" s="532"/>
      <c r="BD279" s="532"/>
      <c r="BE279" s="532"/>
      <c r="BF279" s="533"/>
      <c r="BG279" s="531"/>
      <c r="BH279" s="532"/>
      <c r="BI279" s="532"/>
      <c r="BJ279" s="2952"/>
      <c r="BK279" s="533"/>
      <c r="BL279" s="532"/>
      <c r="BM279" s="532"/>
      <c r="BN279" s="532"/>
      <c r="BO279" s="2952"/>
      <c r="BP279" s="533"/>
      <c r="BQ279" s="532"/>
      <c r="BR279" s="532"/>
      <c r="BS279" s="532"/>
      <c r="BT279" s="2952"/>
      <c r="BU279" s="3369"/>
      <c r="BV279" s="532"/>
      <c r="BW279" s="532"/>
      <c r="BX279" s="532"/>
      <c r="BY279" s="2952"/>
      <c r="BZ279" s="533"/>
      <c r="CA279" s="533"/>
      <c r="CB279" s="533"/>
      <c r="CC279" s="533"/>
      <c r="CD279" s="533"/>
      <c r="CE279" s="533"/>
      <c r="CF279" s="533"/>
      <c r="CG279" s="533"/>
      <c r="CH279" s="532"/>
      <c r="CI279" s="532"/>
      <c r="CJ279" s="532"/>
      <c r="CK279" s="532"/>
      <c r="CL279" s="532"/>
      <c r="CM279" s="532"/>
      <c r="CN279" s="532"/>
      <c r="CO279" s="532"/>
      <c r="CP279" s="1864" t="str">
        <f>A279</f>
        <v>Ending Investment</v>
      </c>
      <c r="CQ279" s="535">
        <f>H279</f>
        <v>1442.3969999999999</v>
      </c>
      <c r="CR279" s="535">
        <f>M279</f>
        <v>1854.3969999999999</v>
      </c>
      <c r="CS279" s="535"/>
      <c r="CT279" s="535"/>
      <c r="CU279" s="535"/>
      <c r="CV279" s="535"/>
      <c r="CW279" s="535"/>
      <c r="CX279" s="535"/>
      <c r="CY279" s="535"/>
      <c r="CZ279" s="535"/>
      <c r="DA279" s="535"/>
      <c r="DB279" s="535"/>
      <c r="DC279" s="535"/>
      <c r="DD279" s="535"/>
      <c r="DE279" s="535"/>
      <c r="DF279" s="535"/>
      <c r="DG279" s="1844"/>
      <c r="DH279" s="595"/>
      <c r="DI279" s="595"/>
      <c r="DJ279" s="595"/>
      <c r="DK279" s="595"/>
      <c r="DL279" s="595"/>
      <c r="DM279" s="595"/>
      <c r="DN279" s="514"/>
      <c r="DO279" s="226"/>
      <c r="DY279" s="532"/>
      <c r="DZ279" s="532"/>
    </row>
    <row r="280" spans="1:130" ht="6" hidden="1" customHeight="1" outlineLevel="1">
      <c r="A280" s="670"/>
      <c r="B280" s="228"/>
      <c r="C280" s="228"/>
      <c r="D280" s="623"/>
      <c r="E280" s="624"/>
      <c r="F280" s="671"/>
      <c r="G280" s="671"/>
      <c r="H280" s="676"/>
      <c r="I280" s="671"/>
      <c r="J280" s="671"/>
      <c r="K280" s="671"/>
      <c r="L280" s="671"/>
      <c r="M280" s="676"/>
      <c r="N280" s="532"/>
      <c r="O280" s="532"/>
      <c r="P280" s="532"/>
      <c r="Q280" s="532"/>
      <c r="R280" s="533"/>
      <c r="S280" s="532"/>
      <c r="T280" s="532"/>
      <c r="U280" s="532"/>
      <c r="V280" s="532"/>
      <c r="W280" s="533"/>
      <c r="X280" s="532"/>
      <c r="Y280" s="532"/>
      <c r="Z280" s="532"/>
      <c r="AA280" s="532"/>
      <c r="AB280" s="533"/>
      <c r="AC280" s="532"/>
      <c r="AD280" s="532"/>
      <c r="AE280" s="532"/>
      <c r="AF280" s="532"/>
      <c r="AG280" s="533"/>
      <c r="AH280" s="532"/>
      <c r="AI280" s="532"/>
      <c r="AJ280" s="532"/>
      <c r="AK280" s="532"/>
      <c r="AL280" s="533"/>
      <c r="AM280" s="532"/>
      <c r="AN280" s="532"/>
      <c r="AO280" s="532"/>
      <c r="AP280" s="532"/>
      <c r="AQ280" s="533"/>
      <c r="AR280" s="532"/>
      <c r="AS280" s="532"/>
      <c r="AT280" s="532"/>
      <c r="AU280" s="532"/>
      <c r="AV280" s="533"/>
      <c r="AW280" s="532"/>
      <c r="AX280" s="532"/>
      <c r="AY280" s="532"/>
      <c r="AZ280" s="532"/>
      <c r="BA280" s="533"/>
      <c r="BB280" s="532"/>
      <c r="BC280" s="532"/>
      <c r="BD280" s="532"/>
      <c r="BE280" s="532"/>
      <c r="BF280" s="533"/>
      <c r="BG280" s="531"/>
      <c r="BH280" s="532"/>
      <c r="BI280" s="532"/>
      <c r="BJ280" s="2952"/>
      <c r="BK280" s="533"/>
      <c r="BL280" s="532"/>
      <c r="BM280" s="532"/>
      <c r="BN280" s="532"/>
      <c r="BO280" s="2952"/>
      <c r="BP280" s="533"/>
      <c r="BQ280" s="532"/>
      <c r="BR280" s="532"/>
      <c r="BS280" s="532"/>
      <c r="BT280" s="2952"/>
      <c r="BU280" s="3369"/>
      <c r="BV280" s="532"/>
      <c r="BW280" s="532"/>
      <c r="BX280" s="532"/>
      <c r="BY280" s="2952"/>
      <c r="BZ280" s="533"/>
      <c r="CA280" s="533"/>
      <c r="CB280" s="533"/>
      <c r="CC280" s="533"/>
      <c r="CD280" s="533"/>
      <c r="CE280" s="533"/>
      <c r="CF280" s="533"/>
      <c r="CG280" s="533"/>
      <c r="CH280" s="532"/>
      <c r="CI280" s="532"/>
      <c r="CJ280" s="532"/>
      <c r="CK280" s="532"/>
      <c r="CL280" s="532"/>
      <c r="CM280" s="532"/>
      <c r="CN280" s="532"/>
      <c r="CO280" s="532"/>
      <c r="CP280" s="1864"/>
      <c r="CQ280" s="535"/>
      <c r="CR280" s="535"/>
      <c r="CS280" s="535"/>
      <c r="CT280" s="535"/>
      <c r="CU280" s="535"/>
      <c r="CV280" s="535"/>
      <c r="CW280" s="535"/>
      <c r="CX280" s="535"/>
      <c r="CY280" s="535"/>
      <c r="CZ280" s="535"/>
      <c r="DA280" s="535"/>
      <c r="DB280" s="535"/>
      <c r="DC280" s="535"/>
      <c r="DD280" s="535"/>
      <c r="DE280" s="535"/>
      <c r="DF280" s="535"/>
      <c r="DG280" s="1844"/>
      <c r="DH280" s="595"/>
      <c r="DI280" s="595"/>
      <c r="DJ280" s="595"/>
      <c r="DK280" s="595"/>
      <c r="DL280" s="595"/>
      <c r="DM280" s="595"/>
      <c r="DN280" s="514"/>
      <c r="DO280" s="226"/>
      <c r="DY280" s="532"/>
      <c r="DZ280" s="532"/>
    </row>
    <row r="281" spans="1:130" ht="12" hidden="1" customHeight="1" outlineLevel="1">
      <c r="A281" s="670" t="s">
        <v>1104</v>
      </c>
      <c r="B281" s="228"/>
      <c r="C281" s="228"/>
      <c r="D281" s="623"/>
      <c r="E281" s="624"/>
      <c r="F281" s="671">
        <f>30+43</f>
        <v>73</v>
      </c>
      <c r="G281" s="671">
        <f>F281+41</f>
        <v>114</v>
      </c>
      <c r="H281" s="673">
        <f>G281</f>
        <v>114</v>
      </c>
      <c r="I281" s="672">
        <f>H281+I278</f>
        <v>189</v>
      </c>
      <c r="J281" s="672">
        <f>I281+J278</f>
        <v>276</v>
      </c>
      <c r="K281" s="672">
        <f>J281+86</f>
        <v>362</v>
      </c>
      <c r="L281" s="672">
        <f>K281+L278</f>
        <v>510</v>
      </c>
      <c r="M281" s="673">
        <f>L281</f>
        <v>510</v>
      </c>
      <c r="N281" s="532"/>
      <c r="O281" s="532"/>
      <c r="P281" s="532"/>
      <c r="Q281" s="532"/>
      <c r="R281" s="533"/>
      <c r="S281" s="532"/>
      <c r="T281" s="532"/>
      <c r="U281" s="532"/>
      <c r="V281" s="532"/>
      <c r="W281" s="533"/>
      <c r="X281" s="532"/>
      <c r="Y281" s="532"/>
      <c r="Z281" s="532"/>
      <c r="AA281" s="532"/>
      <c r="AB281" s="533"/>
      <c r="AC281" s="532"/>
      <c r="AD281" s="532"/>
      <c r="AE281" s="532"/>
      <c r="AF281" s="532"/>
      <c r="AG281" s="533"/>
      <c r="AH281" s="532"/>
      <c r="AI281" s="532"/>
      <c r="AJ281" s="532"/>
      <c r="AK281" s="532"/>
      <c r="AL281" s="533"/>
      <c r="AM281" s="532"/>
      <c r="AN281" s="532"/>
      <c r="AO281" s="532"/>
      <c r="AP281" s="532"/>
      <c r="AQ281" s="533"/>
      <c r="AR281" s="532"/>
      <c r="AS281" s="532"/>
      <c r="AT281" s="532"/>
      <c r="AU281" s="532"/>
      <c r="AV281" s="533"/>
      <c r="AW281" s="532"/>
      <c r="AX281" s="532"/>
      <c r="AY281" s="532"/>
      <c r="AZ281" s="532"/>
      <c r="BA281" s="533"/>
      <c r="BB281" s="532"/>
      <c r="BC281" s="532"/>
      <c r="BD281" s="532"/>
      <c r="BE281" s="532"/>
      <c r="BF281" s="533"/>
      <c r="BG281" s="531"/>
      <c r="BH281" s="532"/>
      <c r="BI281" s="532"/>
      <c r="BJ281" s="2952"/>
      <c r="BK281" s="533"/>
      <c r="BL281" s="532"/>
      <c r="BM281" s="532"/>
      <c r="BN281" s="532"/>
      <c r="BO281" s="2952"/>
      <c r="BP281" s="533"/>
      <c r="BQ281" s="532"/>
      <c r="BR281" s="532"/>
      <c r="BS281" s="532"/>
      <c r="BT281" s="2952"/>
      <c r="BU281" s="3369"/>
      <c r="BV281" s="532"/>
      <c r="BW281" s="532"/>
      <c r="BX281" s="532"/>
      <c r="BY281" s="2952"/>
      <c r="BZ281" s="533"/>
      <c r="CA281" s="533"/>
      <c r="CB281" s="533"/>
      <c r="CC281" s="533"/>
      <c r="CD281" s="533"/>
      <c r="CE281" s="533"/>
      <c r="CF281" s="533"/>
      <c r="CG281" s="533"/>
      <c r="CH281" s="532"/>
      <c r="CI281" s="532"/>
      <c r="CJ281" s="532"/>
      <c r="CK281" s="532"/>
      <c r="CL281" s="532"/>
      <c r="CM281" s="532"/>
      <c r="CN281" s="532"/>
      <c r="CO281" s="532"/>
      <c r="CP281" s="1864" t="str">
        <f>A281</f>
        <v>South Coast cumulative investment</v>
      </c>
      <c r="CQ281" s="535">
        <f>H281</f>
        <v>114</v>
      </c>
      <c r="CR281" s="535">
        <f>M281</f>
        <v>510</v>
      </c>
      <c r="CS281" s="535"/>
      <c r="CT281" s="535"/>
      <c r="CU281" s="535"/>
      <c r="CV281" s="535"/>
      <c r="CW281" s="535"/>
      <c r="CX281" s="535"/>
      <c r="CY281" s="535"/>
      <c r="CZ281" s="535"/>
      <c r="DA281" s="535"/>
      <c r="DB281" s="535"/>
      <c r="DC281" s="535"/>
      <c r="DD281" s="535"/>
      <c r="DE281" s="535"/>
      <c r="DF281" s="535"/>
      <c r="DG281" s="1844"/>
      <c r="DH281" s="595"/>
      <c r="DI281" s="595"/>
      <c r="DJ281" s="595"/>
      <c r="DK281" s="595"/>
      <c r="DL281" s="595"/>
      <c r="DM281" s="595"/>
      <c r="DN281" s="514"/>
      <c r="DO281" s="226"/>
      <c r="DY281" s="532"/>
      <c r="DZ281" s="532"/>
    </row>
    <row r="282" spans="1:130" ht="12" hidden="1" customHeight="1" outlineLevel="1">
      <c r="A282" s="228"/>
      <c r="B282" s="228"/>
      <c r="C282" s="228"/>
      <c r="D282" s="596"/>
      <c r="E282" s="570"/>
      <c r="F282" s="570"/>
      <c r="G282" s="532"/>
      <c r="H282" s="569"/>
      <c r="I282" s="570"/>
      <c r="J282" s="570"/>
      <c r="K282" s="570"/>
      <c r="L282" s="570"/>
      <c r="M282" s="533"/>
      <c r="N282" s="570"/>
      <c r="O282" s="570"/>
      <c r="P282" s="570"/>
      <c r="Q282" s="570"/>
      <c r="R282" s="533"/>
      <c r="S282" s="570"/>
      <c r="T282" s="570"/>
      <c r="U282" s="570"/>
      <c r="V282" s="570"/>
      <c r="W282" s="533"/>
      <c r="X282" s="570"/>
      <c r="Y282" s="570"/>
      <c r="Z282" s="570"/>
      <c r="AA282" s="570"/>
      <c r="AB282" s="533"/>
      <c r="AC282" s="570"/>
      <c r="AD282" s="570"/>
      <c r="AE282" s="570"/>
      <c r="AF282" s="570"/>
      <c r="AG282" s="533"/>
      <c r="AH282" s="532"/>
      <c r="AI282" s="532"/>
      <c r="AJ282" s="532"/>
      <c r="AK282" s="532"/>
      <c r="AL282" s="569"/>
      <c r="AM282" s="570"/>
      <c r="AN282" s="570"/>
      <c r="AO282" s="570"/>
      <c r="AP282" s="570"/>
      <c r="AQ282" s="569"/>
      <c r="AR282" s="570"/>
      <c r="AS282" s="570"/>
      <c r="AT282" s="570"/>
      <c r="AU282" s="570"/>
      <c r="AV282" s="569"/>
      <c r="AW282" s="570"/>
      <c r="AX282" s="570"/>
      <c r="AY282" s="570"/>
      <c r="AZ282" s="570"/>
      <c r="BA282" s="569"/>
      <c r="BB282" s="601"/>
      <c r="BC282" s="570"/>
      <c r="BD282" s="570"/>
      <c r="BE282" s="570"/>
      <c r="BF282" s="569"/>
      <c r="BG282" s="596"/>
      <c r="BH282" s="570"/>
      <c r="BI282" s="570"/>
      <c r="BJ282" s="2807"/>
      <c r="BK282" s="569"/>
      <c r="BL282" s="570"/>
      <c r="BM282" s="570"/>
      <c r="BN282" s="570"/>
      <c r="BO282" s="2807"/>
      <c r="BP282" s="569"/>
      <c r="BQ282" s="570"/>
      <c r="BR282" s="570"/>
      <c r="BS282" s="570"/>
      <c r="BT282" s="2807"/>
      <c r="BU282" s="3378"/>
      <c r="BV282" s="570"/>
      <c r="BW282" s="570"/>
      <c r="BX282" s="570"/>
      <c r="BY282" s="2807"/>
      <c r="BZ282" s="569"/>
      <c r="CA282" s="569"/>
      <c r="CB282" s="569"/>
      <c r="CC282" s="569"/>
      <c r="CD282" s="569"/>
      <c r="CE282" s="569"/>
      <c r="CF282" s="569"/>
      <c r="CG282" s="569"/>
      <c r="CH282" s="570"/>
      <c r="CI282" s="570"/>
      <c r="CJ282" s="570"/>
      <c r="CK282" s="570"/>
      <c r="CL282" s="570"/>
      <c r="CM282" s="570"/>
      <c r="CN282" s="570"/>
      <c r="CO282" s="570"/>
      <c r="CP282" s="1847"/>
      <c r="CQ282" s="592"/>
      <c r="CR282" s="592"/>
      <c r="CS282" s="592"/>
      <c r="CT282" s="592"/>
      <c r="CU282" s="592"/>
      <c r="CV282" s="592"/>
      <c r="CW282" s="592"/>
      <c r="CX282" s="592"/>
      <c r="CY282" s="592"/>
      <c r="CZ282" s="592"/>
      <c r="DA282" s="592"/>
      <c r="DB282" s="592"/>
      <c r="DC282" s="592"/>
      <c r="DD282" s="592"/>
      <c r="DE282" s="592"/>
      <c r="DF282" s="592"/>
      <c r="DG282" s="1850"/>
      <c r="DH282" s="595"/>
      <c r="DI282" s="595"/>
      <c r="DJ282" s="595"/>
      <c r="DK282" s="595"/>
      <c r="DL282" s="595"/>
      <c r="DM282" s="595"/>
      <c r="DN282" s="514"/>
      <c r="DO282" s="226"/>
      <c r="DY282" s="570"/>
      <c r="DZ282" s="570"/>
    </row>
    <row r="283" spans="1:130" ht="12" hidden="1" customHeight="1" outlineLevel="1">
      <c r="A283" s="552"/>
      <c r="B283" s="228"/>
      <c r="C283" s="228"/>
      <c r="D283" s="596"/>
      <c r="E283" s="570"/>
      <c r="F283" s="570"/>
      <c r="G283" s="570"/>
      <c r="H283" s="569"/>
      <c r="I283" s="570"/>
      <c r="J283" s="570"/>
      <c r="K283" s="570"/>
      <c r="L283" s="570"/>
      <c r="M283" s="569"/>
      <c r="N283" s="570"/>
      <c r="O283" s="570"/>
      <c r="P283" s="570"/>
      <c r="Q283" s="570"/>
      <c r="R283" s="569"/>
      <c r="S283" s="570"/>
      <c r="T283" s="570"/>
      <c r="U283" s="570"/>
      <c r="V283" s="570"/>
      <c r="W283" s="569"/>
      <c r="X283" s="570"/>
      <c r="Y283" s="570"/>
      <c r="Z283" s="570"/>
      <c r="AA283" s="570"/>
      <c r="AB283" s="569"/>
      <c r="AC283" s="570"/>
      <c r="AD283" s="570"/>
      <c r="AE283" s="570"/>
      <c r="AF283" s="570"/>
      <c r="AG283" s="569"/>
      <c r="AH283" s="570"/>
      <c r="AI283" s="570"/>
      <c r="AJ283" s="570"/>
      <c r="AK283" s="570"/>
      <c r="AL283" s="569"/>
      <c r="AM283" s="570"/>
      <c r="AN283" s="570"/>
      <c r="AO283" s="570"/>
      <c r="AP283" s="570"/>
      <c r="AQ283" s="569"/>
      <c r="AR283" s="570"/>
      <c r="AS283" s="570"/>
      <c r="AT283" s="570"/>
      <c r="AU283" s="570"/>
      <c r="AV283" s="569"/>
      <c r="AW283" s="570"/>
      <c r="AX283" s="570"/>
      <c r="AY283" s="570"/>
      <c r="AZ283" s="570"/>
      <c r="BA283" s="569"/>
      <c r="BB283" s="570"/>
      <c r="BC283" s="570"/>
      <c r="BD283" s="570"/>
      <c r="BE283" s="570"/>
      <c r="BF283" s="569"/>
      <c r="BG283" s="596"/>
      <c r="BH283" s="570"/>
      <c r="BI283" s="570"/>
      <c r="BJ283" s="2807"/>
      <c r="BK283" s="569"/>
      <c r="BL283" s="570"/>
      <c r="BM283" s="570"/>
      <c r="BN283" s="570"/>
      <c r="BO283" s="2807"/>
      <c r="BP283" s="569"/>
      <c r="BQ283" s="570"/>
      <c r="BR283" s="570"/>
      <c r="BS283" s="570"/>
      <c r="BT283" s="2807"/>
      <c r="BU283" s="3378"/>
      <c r="BV283" s="570"/>
      <c r="BW283" s="570"/>
      <c r="BX283" s="570"/>
      <c r="BY283" s="2807"/>
      <c r="BZ283" s="569"/>
      <c r="CA283" s="569"/>
      <c r="CB283" s="569"/>
      <c r="CC283" s="569"/>
      <c r="CD283" s="569"/>
      <c r="CE283" s="569"/>
      <c r="CF283" s="569"/>
      <c r="CG283" s="569"/>
      <c r="CH283" s="570"/>
      <c r="CI283" s="570"/>
      <c r="CJ283" s="570"/>
      <c r="CK283" s="570"/>
      <c r="CL283" s="570"/>
      <c r="CM283" s="570"/>
      <c r="CN283" s="570"/>
      <c r="CO283" s="570"/>
      <c r="CP283" s="994"/>
      <c r="CQ283" s="592"/>
      <c r="CR283" s="592"/>
      <c r="CS283" s="592"/>
      <c r="CT283" s="592"/>
      <c r="CU283" s="592"/>
      <c r="CV283" s="592"/>
      <c r="CW283" s="592"/>
      <c r="CX283" s="592"/>
      <c r="CY283" s="592"/>
      <c r="CZ283" s="592"/>
      <c r="DA283" s="592"/>
      <c r="DB283" s="592"/>
      <c r="DC283" s="592"/>
      <c r="DD283" s="592"/>
      <c r="DE283" s="592"/>
      <c r="DF283" s="592"/>
      <c r="DG283" s="1850"/>
      <c r="DH283" s="595"/>
      <c r="DI283" s="595"/>
      <c r="DJ283" s="595"/>
      <c r="DK283" s="595"/>
      <c r="DL283" s="595"/>
      <c r="DM283" s="595"/>
      <c r="DN283" s="514"/>
      <c r="DO283" s="226"/>
      <c r="DY283" s="570"/>
      <c r="DZ283" s="570"/>
    </row>
    <row r="284" spans="1:130" ht="12" hidden="1" customHeight="1" outlineLevel="1">
      <c r="A284" s="228"/>
      <c r="B284" s="228"/>
      <c r="C284" s="228"/>
      <c r="D284" s="596"/>
      <c r="E284" s="570"/>
      <c r="F284" s="677" t="s">
        <v>208</v>
      </c>
      <c r="G284" s="570"/>
      <c r="H284" s="569"/>
      <c r="I284" s="570"/>
      <c r="J284" s="570"/>
      <c r="K284" s="570"/>
      <c r="L284" s="570"/>
      <c r="M284" s="569"/>
      <c r="N284" s="570"/>
      <c r="O284" s="570"/>
      <c r="P284" s="570"/>
      <c r="Q284" s="570"/>
      <c r="R284" s="569"/>
      <c r="S284" s="570"/>
      <c r="T284" s="570"/>
      <c r="U284" s="570"/>
      <c r="V284" s="570"/>
      <c r="W284" s="569"/>
      <c r="X284" s="570"/>
      <c r="Y284" s="570"/>
      <c r="Z284" s="570"/>
      <c r="AA284" s="570"/>
      <c r="AB284" s="569"/>
      <c r="AC284" s="570"/>
      <c r="AD284" s="570"/>
      <c r="AE284" s="570"/>
      <c r="AF284" s="570"/>
      <c r="AG284" s="569"/>
      <c r="AH284" s="570"/>
      <c r="AI284" s="570"/>
      <c r="AJ284" s="570"/>
      <c r="AK284" s="570"/>
      <c r="AL284" s="569"/>
      <c r="AM284" s="570"/>
      <c r="AN284" s="570"/>
      <c r="AO284" s="570"/>
      <c r="AP284" s="570"/>
      <c r="AQ284" s="569"/>
      <c r="AR284" s="570"/>
      <c r="AS284" s="570"/>
      <c r="AT284" s="570"/>
      <c r="AU284" s="570"/>
      <c r="AV284" s="569"/>
      <c r="AW284" s="570"/>
      <c r="AX284" s="570"/>
      <c r="AY284" s="570"/>
      <c r="AZ284" s="570"/>
      <c r="BA284" s="569"/>
      <c r="BB284" s="570"/>
      <c r="BC284" s="570"/>
      <c r="BD284" s="570"/>
      <c r="BE284" s="570"/>
      <c r="BF284" s="569"/>
      <c r="BG284" s="2809"/>
      <c r="BH284" s="1540"/>
      <c r="BI284" s="1540"/>
      <c r="BJ284" s="2810"/>
      <c r="BK284" s="569"/>
      <c r="BL284" s="1540"/>
      <c r="BM284" s="1540"/>
      <c r="BN284" s="1540"/>
      <c r="BO284" s="2810"/>
      <c r="BP284" s="569"/>
      <c r="BQ284" s="1540"/>
      <c r="BR284" s="1540"/>
      <c r="BS284" s="1540"/>
      <c r="BT284" s="2810"/>
      <c r="BU284" s="3378"/>
      <c r="BV284" s="1540"/>
      <c r="BW284" s="1540"/>
      <c r="BX284" s="1540"/>
      <c r="BY284" s="2810"/>
      <c r="BZ284" s="569"/>
      <c r="CA284" s="569"/>
      <c r="CB284" s="569"/>
      <c r="CC284" s="569"/>
      <c r="CD284" s="569"/>
      <c r="CE284" s="569"/>
      <c r="CF284" s="569"/>
      <c r="CG284" s="569"/>
      <c r="CH284" s="570"/>
      <c r="CI284" s="570"/>
      <c r="CJ284" s="570"/>
      <c r="CK284" s="570"/>
      <c r="CL284" s="570"/>
      <c r="CM284" s="570"/>
      <c r="CN284" s="570"/>
      <c r="CO284" s="570"/>
      <c r="CP284" s="1847"/>
      <c r="CQ284" s="592"/>
      <c r="CR284" s="592"/>
      <c r="CS284" s="592"/>
      <c r="CT284" s="592"/>
      <c r="CU284" s="592"/>
      <c r="CV284" s="592"/>
      <c r="CW284" s="592"/>
      <c r="CX284" s="592"/>
      <c r="CY284" s="592"/>
      <c r="CZ284" s="592"/>
      <c r="DA284" s="592"/>
      <c r="DB284" s="592"/>
      <c r="DC284" s="592"/>
      <c r="DD284" s="592"/>
      <c r="DE284" s="592"/>
      <c r="DF284" s="592"/>
      <c r="DG284" s="1850"/>
      <c r="DH284" s="595"/>
      <c r="DI284" s="595"/>
      <c r="DJ284" s="595"/>
      <c r="DK284" s="595"/>
      <c r="DL284" s="595"/>
      <c r="DM284" s="595"/>
      <c r="DN284" s="514"/>
      <c r="DO284" s="226"/>
      <c r="DY284" s="570"/>
      <c r="DZ284" s="570"/>
    </row>
    <row r="285" spans="1:130" ht="12" customHeight="1" collapsed="1">
      <c r="A285" s="1300" t="s">
        <v>494</v>
      </c>
      <c r="B285" s="1301"/>
      <c r="C285" s="1301"/>
      <c r="D285" s="1302" t="str">
        <f t="shared" ref="D285:AH285" si="479">D$6</f>
        <v>1Q04</v>
      </c>
      <c r="E285" s="1303" t="str">
        <f t="shared" si="479"/>
        <v>2Q04</v>
      </c>
      <c r="F285" s="1303" t="str">
        <f t="shared" si="479"/>
        <v>3Q04</v>
      </c>
      <c r="G285" s="1303" t="str">
        <f t="shared" si="479"/>
        <v>4Q04</v>
      </c>
      <c r="H285" s="1304">
        <f t="shared" si="479"/>
        <v>2004</v>
      </c>
      <c r="I285" s="1303" t="str">
        <f t="shared" si="479"/>
        <v>1Q05</v>
      </c>
      <c r="J285" s="1303" t="str">
        <f t="shared" si="479"/>
        <v>2Q05</v>
      </c>
      <c r="K285" s="1303" t="str">
        <f t="shared" si="479"/>
        <v>3Q05</v>
      </c>
      <c r="L285" s="1303" t="str">
        <f t="shared" si="479"/>
        <v>4Q05</v>
      </c>
      <c r="M285" s="1304">
        <f t="shared" si="479"/>
        <v>2005</v>
      </c>
      <c r="N285" s="1303" t="str">
        <f t="shared" si="479"/>
        <v>1Q06</v>
      </c>
      <c r="O285" s="1303" t="str">
        <f t="shared" si="479"/>
        <v>2Q06</v>
      </c>
      <c r="P285" s="1303" t="str">
        <f t="shared" si="479"/>
        <v>3Q06</v>
      </c>
      <c r="Q285" s="1303" t="str">
        <f t="shared" si="479"/>
        <v>4Q06</v>
      </c>
      <c r="R285" s="1304">
        <f t="shared" si="479"/>
        <v>2006</v>
      </c>
      <c r="S285" s="1303" t="str">
        <f t="shared" si="479"/>
        <v>1Q07</v>
      </c>
      <c r="T285" s="1303" t="str">
        <f t="shared" si="479"/>
        <v>2Q07</v>
      </c>
      <c r="U285" s="1303" t="str">
        <f t="shared" si="479"/>
        <v>3Q07</v>
      </c>
      <c r="V285" s="1303" t="str">
        <f t="shared" si="479"/>
        <v>4Q07</v>
      </c>
      <c r="W285" s="1304">
        <f t="shared" si="479"/>
        <v>2007</v>
      </c>
      <c r="X285" s="1303" t="str">
        <f t="shared" si="479"/>
        <v>1Q08</v>
      </c>
      <c r="Y285" s="1303" t="str">
        <f t="shared" si="479"/>
        <v>2Q08</v>
      </c>
      <c r="Z285" s="1303" t="str">
        <f t="shared" si="479"/>
        <v>3Q08</v>
      </c>
      <c r="AA285" s="1303" t="str">
        <f t="shared" si="479"/>
        <v>4Q08</v>
      </c>
      <c r="AB285" s="1304">
        <f t="shared" si="479"/>
        <v>2008</v>
      </c>
      <c r="AC285" s="1303" t="str">
        <f t="shared" si="479"/>
        <v>1Q09</v>
      </c>
      <c r="AD285" s="1303" t="str">
        <f t="shared" si="479"/>
        <v>2Q09</v>
      </c>
      <c r="AE285" s="1303" t="str">
        <f t="shared" si="479"/>
        <v>3Q09</v>
      </c>
      <c r="AF285" s="1303" t="str">
        <f t="shared" si="479"/>
        <v>4Q09</v>
      </c>
      <c r="AG285" s="1304">
        <f t="shared" si="479"/>
        <v>2009</v>
      </c>
      <c r="AH285" s="1303" t="str">
        <f t="shared" si="479"/>
        <v>1Q10</v>
      </c>
      <c r="AI285" s="109" t="str">
        <f t="shared" ref="AI285:CG285" si="480">AI$6</f>
        <v>2Q10</v>
      </c>
      <c r="AJ285" s="109" t="str">
        <f t="shared" si="480"/>
        <v>3Q10</v>
      </c>
      <c r="AK285" s="109" t="str">
        <f t="shared" si="480"/>
        <v>4Q10</v>
      </c>
      <c r="AL285" s="110">
        <f t="shared" si="480"/>
        <v>2010</v>
      </c>
      <c r="AM285" s="109" t="str">
        <f t="shared" si="480"/>
        <v>1Q11</v>
      </c>
      <c r="AN285" s="109" t="str">
        <f t="shared" si="480"/>
        <v>2Q11</v>
      </c>
      <c r="AO285" s="109" t="str">
        <f t="shared" si="480"/>
        <v>3Q11</v>
      </c>
      <c r="AP285" s="109" t="str">
        <f t="shared" si="480"/>
        <v>4Q11</v>
      </c>
      <c r="AQ285" s="110">
        <f t="shared" si="480"/>
        <v>2011</v>
      </c>
      <c r="AR285" s="109" t="str">
        <f t="shared" si="480"/>
        <v>1Q12</v>
      </c>
      <c r="AS285" s="109" t="str">
        <f t="shared" si="480"/>
        <v>2Q12</v>
      </c>
      <c r="AT285" s="109" t="str">
        <f t="shared" si="480"/>
        <v>3Q12</v>
      </c>
      <c r="AU285" s="109" t="str">
        <f t="shared" si="480"/>
        <v>4Q12</v>
      </c>
      <c r="AV285" s="110">
        <f t="shared" si="480"/>
        <v>2012</v>
      </c>
      <c r="AW285" s="109" t="str">
        <f t="shared" si="480"/>
        <v>1Q13</v>
      </c>
      <c r="AX285" s="109" t="str">
        <f t="shared" si="480"/>
        <v>2Q13</v>
      </c>
      <c r="AY285" s="109" t="str">
        <f t="shared" si="480"/>
        <v>3Q13</v>
      </c>
      <c r="AZ285" s="109" t="str">
        <f t="shared" si="480"/>
        <v>4Q13</v>
      </c>
      <c r="BA285" s="110">
        <f t="shared" si="480"/>
        <v>2013</v>
      </c>
      <c r="BB285" s="109" t="str">
        <f t="shared" si="480"/>
        <v>1Q14</v>
      </c>
      <c r="BC285" s="109" t="str">
        <f t="shared" si="480"/>
        <v>2Q14</v>
      </c>
      <c r="BD285" s="109" t="str">
        <f t="shared" si="480"/>
        <v>3Q14</v>
      </c>
      <c r="BE285" s="109" t="str">
        <f t="shared" si="480"/>
        <v>4Q14</v>
      </c>
      <c r="BF285" s="110">
        <f t="shared" si="480"/>
        <v>2014</v>
      </c>
      <c r="BG285" s="109" t="str">
        <f t="shared" si="480"/>
        <v>1Q15</v>
      </c>
      <c r="BH285" s="109" t="str">
        <f t="shared" si="480"/>
        <v>2Q15</v>
      </c>
      <c r="BI285" s="109" t="str">
        <f t="shared" si="480"/>
        <v>3Q15</v>
      </c>
      <c r="BJ285" s="109" t="str">
        <f t="shared" si="480"/>
        <v>4Q15</v>
      </c>
      <c r="BK285" s="110">
        <f t="shared" si="480"/>
        <v>2015</v>
      </c>
      <c r="BL285" s="109" t="str">
        <f t="shared" si="480"/>
        <v>1Q16</v>
      </c>
      <c r="BM285" s="109" t="str">
        <f t="shared" si="480"/>
        <v>2Q16</v>
      </c>
      <c r="BN285" s="109" t="str">
        <f t="shared" si="480"/>
        <v>3Q16</v>
      </c>
      <c r="BO285" s="109" t="str">
        <f t="shared" si="480"/>
        <v>4Q16</v>
      </c>
      <c r="BP285" s="110">
        <f t="shared" si="480"/>
        <v>2016</v>
      </c>
      <c r="BQ285" s="109" t="str">
        <f t="shared" si="480"/>
        <v>1Q17</v>
      </c>
      <c r="BR285" s="109" t="str">
        <f t="shared" si="480"/>
        <v>2Q17</v>
      </c>
      <c r="BS285" s="109" t="str">
        <f t="shared" si="480"/>
        <v>3Q17</v>
      </c>
      <c r="BT285" s="109" t="str">
        <f t="shared" si="480"/>
        <v>4Q17A</v>
      </c>
      <c r="BU285" s="3347" t="str">
        <f t="shared" si="480"/>
        <v>2017A</v>
      </c>
      <c r="BV285" s="109" t="str">
        <f t="shared" si="480"/>
        <v>1Q18E</v>
      </c>
      <c r="BW285" s="109" t="str">
        <f t="shared" si="480"/>
        <v>2Q18E</v>
      </c>
      <c r="BX285" s="109" t="str">
        <f t="shared" si="480"/>
        <v>3Q18E</v>
      </c>
      <c r="BY285" s="109" t="str">
        <f t="shared" si="480"/>
        <v>4Q18E</v>
      </c>
      <c r="BZ285" s="110" t="str">
        <f t="shared" si="480"/>
        <v>2018E</v>
      </c>
      <c r="CA285" s="110" t="str">
        <f t="shared" si="480"/>
        <v>2019E</v>
      </c>
      <c r="CB285" s="110" t="str">
        <f t="shared" si="480"/>
        <v>2020E</v>
      </c>
      <c r="CC285" s="110" t="str">
        <f t="shared" si="480"/>
        <v>2021E</v>
      </c>
      <c r="CD285" s="110" t="str">
        <f t="shared" si="480"/>
        <v>2022E</v>
      </c>
      <c r="CE285" s="110" t="str">
        <f t="shared" si="480"/>
        <v>2023E</v>
      </c>
      <c r="CF285" s="110" t="str">
        <f t="shared" si="480"/>
        <v>2024E</v>
      </c>
      <c r="CG285" s="110" t="str">
        <f t="shared" si="480"/>
        <v>2025E</v>
      </c>
      <c r="CH285" s="521"/>
      <c r="CI285" s="521"/>
      <c r="CJ285" s="521"/>
      <c r="CK285" s="521"/>
      <c r="CL285" s="521"/>
      <c r="CM285" s="521"/>
      <c r="CN285" s="521"/>
      <c r="CO285" s="521"/>
      <c r="CP285" s="1300" t="str">
        <f>A285</f>
        <v>Las Vegas Locals</v>
      </c>
      <c r="CQ285" s="109">
        <f>H285</f>
        <v>2004</v>
      </c>
      <c r="CR285" s="109">
        <f>M285</f>
        <v>2005</v>
      </c>
      <c r="CS285" s="109">
        <f>R285</f>
        <v>2006</v>
      </c>
      <c r="CT285" s="109">
        <f>W285</f>
        <v>2007</v>
      </c>
      <c r="CU285" s="109">
        <f>AB285</f>
        <v>2008</v>
      </c>
      <c r="CV285" s="109">
        <f>AG285</f>
        <v>2009</v>
      </c>
      <c r="CW285" s="109">
        <f>AL285</f>
        <v>2010</v>
      </c>
      <c r="CX285" s="109">
        <f>AQ285</f>
        <v>2011</v>
      </c>
      <c r="CY285" s="109">
        <f>AV285</f>
        <v>2012</v>
      </c>
      <c r="CZ285" s="109">
        <f>BA285</f>
        <v>2013</v>
      </c>
      <c r="DA285" s="109">
        <f>BF285</f>
        <v>2014</v>
      </c>
      <c r="DB285" s="109">
        <f>BK285</f>
        <v>2015</v>
      </c>
      <c r="DC285" s="109">
        <f>BP285</f>
        <v>2016</v>
      </c>
      <c r="DD285" s="109" t="str">
        <f>BU285</f>
        <v>2017A</v>
      </c>
      <c r="DE285" s="109" t="str">
        <f>BZ285</f>
        <v>2018E</v>
      </c>
      <c r="DF285" s="109" t="str">
        <f>CA285</f>
        <v>2019E</v>
      </c>
      <c r="DG285" s="1772" t="str">
        <f>CB285</f>
        <v>2020E</v>
      </c>
      <c r="DH285" s="223"/>
      <c r="DI285" s="595"/>
      <c r="DJ285" s="595"/>
      <c r="DK285" s="595"/>
      <c r="DL285" s="595"/>
      <c r="DM285" s="595"/>
      <c r="DN285" s="514"/>
      <c r="DO285" s="226"/>
      <c r="DY285" s="244"/>
      <c r="DZ285" s="244"/>
    </row>
    <row r="286" spans="1:130" ht="12" customHeight="1">
      <c r="A286" s="217" t="s">
        <v>183</v>
      </c>
      <c r="B286" s="228"/>
      <c r="C286" s="228"/>
      <c r="D286" s="527">
        <f>D221</f>
        <v>3899</v>
      </c>
      <c r="E286" s="231">
        <f>E221</f>
        <v>3899</v>
      </c>
      <c r="F286" s="231">
        <f>F221+F253</f>
        <v>11882</v>
      </c>
      <c r="G286" s="231">
        <f>G221+G253</f>
        <v>11940</v>
      </c>
      <c r="H286" s="511">
        <f>G286</f>
        <v>11940</v>
      </c>
      <c r="I286" s="231">
        <f t="shared" ref="I286:L287" si="481">I221+I253</f>
        <v>11940</v>
      </c>
      <c r="J286" s="231">
        <f t="shared" si="481"/>
        <v>11940</v>
      </c>
      <c r="K286" s="231">
        <f t="shared" si="481"/>
        <v>11940</v>
      </c>
      <c r="L286" s="231">
        <f t="shared" si="481"/>
        <v>14600</v>
      </c>
      <c r="M286" s="525">
        <f t="shared" ref="M286:O287" si="482">L286</f>
        <v>14600</v>
      </c>
      <c r="N286" s="231">
        <f t="shared" si="482"/>
        <v>14600</v>
      </c>
      <c r="O286" s="231">
        <f t="shared" si="482"/>
        <v>14600</v>
      </c>
      <c r="P286" s="510">
        <f>O286-2366</f>
        <v>12234</v>
      </c>
      <c r="Q286" s="510">
        <f>642+2040+2983+3121+2407+492+525</f>
        <v>12210</v>
      </c>
      <c r="R286" s="511">
        <f t="shared" ref="R286:T287" si="483">Q286</f>
        <v>12210</v>
      </c>
      <c r="S286" s="510">
        <f>R286-642</f>
        <v>11568</v>
      </c>
      <c r="T286" s="231">
        <f t="shared" si="483"/>
        <v>11568</v>
      </c>
      <c r="U286" s="231">
        <f t="shared" ref="U286:W287" si="484">T286</f>
        <v>11568</v>
      </c>
      <c r="V286" s="510">
        <f>2048+3000+2866+2397+493+514</f>
        <v>11318</v>
      </c>
      <c r="W286" s="511">
        <f t="shared" si="484"/>
        <v>11318</v>
      </c>
      <c r="X286" s="231">
        <f t="shared" ref="X286:Z287" si="485">W286</f>
        <v>11318</v>
      </c>
      <c r="Y286" s="231">
        <f t="shared" si="485"/>
        <v>11318</v>
      </c>
      <c r="Z286" s="231">
        <f t="shared" si="485"/>
        <v>11318</v>
      </c>
      <c r="AA286" s="510">
        <f>2019+2844+2834+2353+482+513</f>
        <v>11045</v>
      </c>
      <c r="AB286" s="511">
        <f>AA286</f>
        <v>11045</v>
      </c>
      <c r="AC286" s="231">
        <f>AB286-($AB$286-$AF$286)/4</f>
        <v>10881</v>
      </c>
      <c r="AD286" s="231">
        <f>AC286-($AB$286-$AF$286)/4</f>
        <v>10717</v>
      </c>
      <c r="AE286" s="231">
        <f>AD286-($AB$286-$AF$286)/4</f>
        <v>10553</v>
      </c>
      <c r="AF286" s="510">
        <f>2058+2812+2370+2217+448+484</f>
        <v>10389</v>
      </c>
      <c r="AG286" s="511">
        <f t="shared" ref="AC286:AG287" si="486">AF286</f>
        <v>10389</v>
      </c>
      <c r="AH286" s="492">
        <f t="shared" ref="AH286:AM287" si="487">AG286</f>
        <v>10389</v>
      </c>
      <c r="AI286" s="492">
        <f t="shared" si="487"/>
        <v>10389</v>
      </c>
      <c r="AJ286" s="492">
        <f t="shared" si="487"/>
        <v>10389</v>
      </c>
      <c r="AK286" s="601">
        <f>1970+2713+2296+2143+438+472</f>
        <v>10032</v>
      </c>
      <c r="AL286" s="525">
        <f t="shared" si="487"/>
        <v>10032</v>
      </c>
      <c r="AM286" s="492">
        <f t="shared" si="487"/>
        <v>10032</v>
      </c>
      <c r="AN286" s="492">
        <f>AM286</f>
        <v>10032</v>
      </c>
      <c r="AO286" s="492">
        <f>AN286</f>
        <v>10032</v>
      </c>
      <c r="AP286" s="601">
        <f>1920+2623+2115+2035+426+446</f>
        <v>9565</v>
      </c>
      <c r="AQ286" s="525">
        <f t="shared" ref="AQ286:AT287" si="488">AP286</f>
        <v>9565</v>
      </c>
      <c r="AR286" s="492">
        <f t="shared" si="488"/>
        <v>9565</v>
      </c>
      <c r="AS286" s="492">
        <f t="shared" si="488"/>
        <v>9565</v>
      </c>
      <c r="AT286" s="492">
        <f t="shared" si="488"/>
        <v>9565</v>
      </c>
      <c r="AU286" s="601">
        <f>1880+2593+2053+2016+406+433</f>
        <v>9381</v>
      </c>
      <c r="AV286" s="525">
        <f t="shared" ref="AV286:BK286" si="489">AU286</f>
        <v>9381</v>
      </c>
      <c r="AW286" s="492">
        <f t="shared" si="489"/>
        <v>9381</v>
      </c>
      <c r="AX286" s="492">
        <f t="shared" si="489"/>
        <v>9381</v>
      </c>
      <c r="AY286" s="492">
        <f t="shared" si="489"/>
        <v>9381</v>
      </c>
      <c r="AZ286" s="601">
        <f>1878+2631+2030+2006+399+429</f>
        <v>9373</v>
      </c>
      <c r="BA286" s="525">
        <f>AZ286</f>
        <v>9373</v>
      </c>
      <c r="BB286" s="492">
        <f t="shared" si="489"/>
        <v>9373</v>
      </c>
      <c r="BC286" s="492">
        <f t="shared" si="489"/>
        <v>9373</v>
      </c>
      <c r="BD286" s="492">
        <f t="shared" si="489"/>
        <v>9373</v>
      </c>
      <c r="BE286" s="492">
        <f t="shared" si="489"/>
        <v>9373</v>
      </c>
      <c r="BF286" s="525">
        <f t="shared" si="489"/>
        <v>9373</v>
      </c>
      <c r="BG286" s="2795">
        <f t="shared" si="489"/>
        <v>9373</v>
      </c>
      <c r="BH286" s="2796">
        <f t="shared" si="489"/>
        <v>9373</v>
      </c>
      <c r="BI286" s="2796">
        <f t="shared" si="489"/>
        <v>9373</v>
      </c>
      <c r="BJ286" s="2797">
        <f t="shared" si="489"/>
        <v>9373</v>
      </c>
      <c r="BK286" s="525">
        <f t="shared" si="489"/>
        <v>9373</v>
      </c>
      <c r="BL286" s="2796">
        <f>BK286</f>
        <v>9373</v>
      </c>
      <c r="BM286" s="2796">
        <f>BL286</f>
        <v>9373</v>
      </c>
      <c r="BN286" s="2796">
        <f>BM286</f>
        <v>9373</v>
      </c>
      <c r="BO286" s="3551">
        <f>BN286+1837</f>
        <v>11210</v>
      </c>
      <c r="BP286" s="525">
        <f t="shared" ref="BP286:CB286" si="490">BO286</f>
        <v>11210</v>
      </c>
      <c r="BQ286" s="3551">
        <f>BP286+1650+1500</f>
        <v>14360</v>
      </c>
      <c r="BR286" s="2796">
        <f t="shared" si="490"/>
        <v>14360</v>
      </c>
      <c r="BS286" s="2796">
        <f>BR286</f>
        <v>14360</v>
      </c>
      <c r="BT286" s="2796">
        <f>BS286</f>
        <v>14360</v>
      </c>
      <c r="BU286" s="3367">
        <f t="shared" si="490"/>
        <v>14360</v>
      </c>
      <c r="BV286" s="3967">
        <f t="shared" ref="BV286:BY287" si="491">BU286</f>
        <v>14360</v>
      </c>
      <c r="BW286" s="2796">
        <f t="shared" si="491"/>
        <v>14360</v>
      </c>
      <c r="BX286" s="2796">
        <f t="shared" si="491"/>
        <v>14360</v>
      </c>
      <c r="BY286" s="2796">
        <f t="shared" si="491"/>
        <v>14360</v>
      </c>
      <c r="BZ286" s="4002">
        <f t="shared" si="490"/>
        <v>14360</v>
      </c>
      <c r="CA286" s="525">
        <f t="shared" si="490"/>
        <v>14360</v>
      </c>
      <c r="CB286" s="525">
        <f t="shared" si="490"/>
        <v>14360</v>
      </c>
      <c r="CC286" s="525">
        <f t="shared" ref="CC286:CG289" si="492">CB286</f>
        <v>14360</v>
      </c>
      <c r="CD286" s="525">
        <f t="shared" si="492"/>
        <v>14360</v>
      </c>
      <c r="CE286" s="525">
        <f t="shared" si="492"/>
        <v>14360</v>
      </c>
      <c r="CF286" s="525">
        <f t="shared" si="492"/>
        <v>14360</v>
      </c>
      <c r="CG286" s="525">
        <f t="shared" si="492"/>
        <v>14360</v>
      </c>
      <c r="CH286" s="231"/>
      <c r="CI286" s="231"/>
      <c r="CJ286" s="231"/>
      <c r="CK286" s="231"/>
      <c r="CL286" s="231"/>
      <c r="CM286" s="231"/>
      <c r="CN286" s="231"/>
      <c r="CO286" s="231"/>
      <c r="CP286" s="1840"/>
      <c r="CQ286" s="492"/>
      <c r="CR286" s="492"/>
      <c r="CS286" s="492"/>
      <c r="CT286" s="492"/>
      <c r="CU286" s="492"/>
      <c r="CV286" s="492"/>
      <c r="CW286" s="492"/>
      <c r="CX286" s="492"/>
      <c r="CY286" s="492"/>
      <c r="CZ286" s="492"/>
      <c r="DA286" s="492"/>
      <c r="DB286" s="492"/>
      <c r="DC286" s="492"/>
      <c r="DD286" s="492"/>
      <c r="DE286" s="492"/>
      <c r="DF286" s="492"/>
      <c r="DG286" s="1866"/>
      <c r="DH286" s="223"/>
      <c r="DI286" s="595"/>
      <c r="DJ286" s="595"/>
      <c r="DK286" s="595"/>
      <c r="DL286" s="595"/>
      <c r="DM286" s="595"/>
      <c r="DN286" s="514"/>
      <c r="DO286" s="226"/>
      <c r="DW286" s="2786"/>
      <c r="DX286" s="2786"/>
      <c r="DY286" s="231"/>
      <c r="DZ286" s="231"/>
    </row>
    <row r="287" spans="1:130" ht="12" customHeight="1">
      <c r="A287" s="217" t="s">
        <v>184</v>
      </c>
      <c r="B287" s="228"/>
      <c r="C287" s="228"/>
      <c r="D287" s="527">
        <f>D222</f>
        <v>58</v>
      </c>
      <c r="E287" s="231">
        <f>E222</f>
        <v>58</v>
      </c>
      <c r="F287" s="231">
        <f>F222+F254</f>
        <v>270</v>
      </c>
      <c r="G287" s="231">
        <f>G222+G254</f>
        <v>262</v>
      </c>
      <c r="H287" s="511">
        <f>G287</f>
        <v>262</v>
      </c>
      <c r="I287" s="231">
        <f t="shared" si="481"/>
        <v>262</v>
      </c>
      <c r="J287" s="231">
        <f t="shared" si="481"/>
        <v>262</v>
      </c>
      <c r="K287" s="231">
        <f t="shared" si="481"/>
        <v>262</v>
      </c>
      <c r="L287" s="231">
        <f t="shared" si="481"/>
        <v>315</v>
      </c>
      <c r="M287" s="525">
        <f t="shared" si="482"/>
        <v>315</v>
      </c>
      <c r="N287" s="231">
        <f t="shared" si="482"/>
        <v>315</v>
      </c>
      <c r="O287" s="231">
        <f t="shared" si="482"/>
        <v>315</v>
      </c>
      <c r="P287" s="510">
        <f>O287-53</f>
        <v>262</v>
      </c>
      <c r="Q287" s="510">
        <f>36+48+60+36+45+6+7</f>
        <v>238</v>
      </c>
      <c r="R287" s="511">
        <f t="shared" si="483"/>
        <v>238</v>
      </c>
      <c r="S287" s="510">
        <f>R287-36</f>
        <v>202</v>
      </c>
      <c r="T287" s="231">
        <f t="shared" si="483"/>
        <v>202</v>
      </c>
      <c r="U287" s="231">
        <f t="shared" si="484"/>
        <v>202</v>
      </c>
      <c r="V287" s="510">
        <f>51+60+36+41+6+7</f>
        <v>201</v>
      </c>
      <c r="W287" s="511">
        <f t="shared" si="484"/>
        <v>201</v>
      </c>
      <c r="X287" s="231">
        <f t="shared" si="485"/>
        <v>201</v>
      </c>
      <c r="Y287" s="231">
        <f t="shared" si="485"/>
        <v>201</v>
      </c>
      <c r="Z287" s="231">
        <f t="shared" si="485"/>
        <v>201</v>
      </c>
      <c r="AA287" s="510">
        <f>49+60+34+36+6+6</f>
        <v>191</v>
      </c>
      <c r="AB287" s="511">
        <f>AA287</f>
        <v>191</v>
      </c>
      <c r="AC287" s="231">
        <f t="shared" si="486"/>
        <v>191</v>
      </c>
      <c r="AD287" s="231">
        <f t="shared" si="486"/>
        <v>191</v>
      </c>
      <c r="AE287" s="231">
        <f t="shared" si="486"/>
        <v>191</v>
      </c>
      <c r="AF287" s="510">
        <f>49+60+30+36+5+7</f>
        <v>187</v>
      </c>
      <c r="AG287" s="511">
        <f t="shared" si="486"/>
        <v>187</v>
      </c>
      <c r="AH287" s="492">
        <f t="shared" si="487"/>
        <v>187</v>
      </c>
      <c r="AI287" s="492">
        <f t="shared" si="487"/>
        <v>187</v>
      </c>
      <c r="AJ287" s="492">
        <f t="shared" si="487"/>
        <v>187</v>
      </c>
      <c r="AK287" s="601">
        <f>49+60+29+35+3+6</f>
        <v>182</v>
      </c>
      <c r="AL287" s="525">
        <f t="shared" si="487"/>
        <v>182</v>
      </c>
      <c r="AM287" s="492">
        <f t="shared" si="487"/>
        <v>182</v>
      </c>
      <c r="AN287" s="492">
        <f>AM287</f>
        <v>182</v>
      </c>
      <c r="AO287" s="492">
        <f>AN287</f>
        <v>182</v>
      </c>
      <c r="AP287" s="601">
        <f>49+60+26+34+4+7</f>
        <v>180</v>
      </c>
      <c r="AQ287" s="525">
        <f t="shared" si="488"/>
        <v>180</v>
      </c>
      <c r="AR287" s="492">
        <f t="shared" si="488"/>
        <v>180</v>
      </c>
      <c r="AS287" s="492">
        <f t="shared" si="488"/>
        <v>180</v>
      </c>
      <c r="AT287" s="492">
        <f t="shared" si="488"/>
        <v>180</v>
      </c>
      <c r="AU287" s="601">
        <f>49+60+26+34+4+8</f>
        <v>181</v>
      </c>
      <c r="AV287" s="525">
        <f t="shared" ref="AV287:BF287" si="493">AU287</f>
        <v>181</v>
      </c>
      <c r="AW287" s="492">
        <f t="shared" si="493"/>
        <v>181</v>
      </c>
      <c r="AX287" s="492">
        <f t="shared" si="493"/>
        <v>181</v>
      </c>
      <c r="AY287" s="492">
        <f t="shared" si="493"/>
        <v>181</v>
      </c>
      <c r="AZ287" s="601">
        <f>49+60+29+34+4+7</f>
        <v>183</v>
      </c>
      <c r="BA287" s="525">
        <f>AZ287</f>
        <v>183</v>
      </c>
      <c r="BB287" s="492">
        <f t="shared" si="493"/>
        <v>183</v>
      </c>
      <c r="BC287" s="492">
        <f t="shared" si="493"/>
        <v>183</v>
      </c>
      <c r="BD287" s="492">
        <f t="shared" si="493"/>
        <v>183</v>
      </c>
      <c r="BE287" s="492">
        <f t="shared" si="493"/>
        <v>183</v>
      </c>
      <c r="BF287" s="525">
        <f t="shared" si="493"/>
        <v>183</v>
      </c>
      <c r="BG287" s="2798">
        <f>BF287</f>
        <v>183</v>
      </c>
      <c r="BH287" s="492">
        <f>BG287</f>
        <v>183</v>
      </c>
      <c r="BI287" s="492">
        <f>BH287</f>
        <v>183</v>
      </c>
      <c r="BJ287" s="1866">
        <f>BI287</f>
        <v>183</v>
      </c>
      <c r="BK287" s="525">
        <f>BJ287</f>
        <v>183</v>
      </c>
      <c r="BL287" s="492">
        <f t="shared" ref="BL287:CB287" si="494">BK287</f>
        <v>183</v>
      </c>
      <c r="BM287" s="492">
        <f t="shared" si="494"/>
        <v>183</v>
      </c>
      <c r="BN287" s="492">
        <f>BM287</f>
        <v>183</v>
      </c>
      <c r="BO287" s="3552">
        <f>BN287+30</f>
        <v>213</v>
      </c>
      <c r="BP287" s="525">
        <f t="shared" si="494"/>
        <v>213</v>
      </c>
      <c r="BQ287" s="3552">
        <f>BP287+25+20</f>
        <v>258</v>
      </c>
      <c r="BR287" s="492">
        <f>BQ287</f>
        <v>258</v>
      </c>
      <c r="BS287" s="492">
        <f>BR287</f>
        <v>258</v>
      </c>
      <c r="BT287" s="492">
        <f>BS287</f>
        <v>258</v>
      </c>
      <c r="BU287" s="3367">
        <f t="shared" si="494"/>
        <v>258</v>
      </c>
      <c r="BV287" s="3968">
        <f t="shared" si="491"/>
        <v>258</v>
      </c>
      <c r="BW287" s="492">
        <f t="shared" si="491"/>
        <v>258</v>
      </c>
      <c r="BX287" s="492">
        <f t="shared" si="491"/>
        <v>258</v>
      </c>
      <c r="BY287" s="492">
        <f t="shared" si="491"/>
        <v>258</v>
      </c>
      <c r="BZ287" s="4002">
        <f t="shared" si="494"/>
        <v>258</v>
      </c>
      <c r="CA287" s="525">
        <f t="shared" si="494"/>
        <v>258</v>
      </c>
      <c r="CB287" s="525">
        <f t="shared" si="494"/>
        <v>258</v>
      </c>
      <c r="CC287" s="525">
        <f t="shared" si="492"/>
        <v>258</v>
      </c>
      <c r="CD287" s="525">
        <f t="shared" si="492"/>
        <v>258</v>
      </c>
      <c r="CE287" s="525">
        <f t="shared" si="492"/>
        <v>258</v>
      </c>
      <c r="CF287" s="525">
        <f t="shared" si="492"/>
        <v>258</v>
      </c>
      <c r="CG287" s="525">
        <f t="shared" si="492"/>
        <v>258</v>
      </c>
      <c r="CH287" s="3260"/>
      <c r="CI287" s="231"/>
      <c r="CJ287" s="231"/>
      <c r="CK287" s="231"/>
      <c r="CL287" s="231"/>
      <c r="CM287" s="231"/>
      <c r="CN287" s="231"/>
      <c r="CO287" s="231"/>
      <c r="CP287" s="1840"/>
      <c r="CQ287" s="492"/>
      <c r="CR287" s="492"/>
      <c r="CS287" s="492"/>
      <c r="CT287" s="492"/>
      <c r="CU287" s="492"/>
      <c r="CV287" s="492"/>
      <c r="CW287" s="492"/>
      <c r="CX287" s="492"/>
      <c r="CY287" s="492"/>
      <c r="CZ287" s="492"/>
      <c r="DA287" s="492"/>
      <c r="DB287" s="492"/>
      <c r="DC287" s="492"/>
      <c r="DD287" s="492"/>
      <c r="DE287" s="492"/>
      <c r="DF287" s="492"/>
      <c r="DG287" s="1866"/>
      <c r="DH287" s="223"/>
      <c r="DI287" s="595"/>
      <c r="DJ287" s="595"/>
      <c r="DK287" s="595"/>
      <c r="DL287" s="595"/>
      <c r="DM287" s="595"/>
      <c r="DN287" s="514"/>
      <c r="DO287" s="226"/>
      <c r="DW287" s="1447"/>
      <c r="DX287" s="1447"/>
      <c r="DY287" s="231"/>
      <c r="DZ287" s="231"/>
    </row>
    <row r="288" spans="1:130" ht="12" customHeight="1">
      <c r="A288" s="217" t="s">
        <v>182</v>
      </c>
      <c r="B288" s="228"/>
      <c r="C288" s="228"/>
      <c r="D288" s="527">
        <f>D286+(D287*6)</f>
        <v>4247</v>
      </c>
      <c r="E288" s="231">
        <f t="shared" ref="E288:L288" si="495">E286+(E287*6)</f>
        <v>4247</v>
      </c>
      <c r="F288" s="231">
        <f t="shared" si="495"/>
        <v>13502</v>
      </c>
      <c r="G288" s="231">
        <f t="shared" si="495"/>
        <v>13512</v>
      </c>
      <c r="H288" s="511">
        <f>G288</f>
        <v>13512</v>
      </c>
      <c r="I288" s="231">
        <f t="shared" si="495"/>
        <v>13512</v>
      </c>
      <c r="J288" s="231">
        <f t="shared" si="495"/>
        <v>13512</v>
      </c>
      <c r="K288" s="231">
        <f t="shared" si="495"/>
        <v>13512</v>
      </c>
      <c r="L288" s="231">
        <f t="shared" si="495"/>
        <v>16490</v>
      </c>
      <c r="M288" s="511">
        <f>L288</f>
        <v>16490</v>
      </c>
      <c r="N288" s="231">
        <f>N286+(N287*6)</f>
        <v>16490</v>
      </c>
      <c r="O288" s="231">
        <f>O286+(O287*6)</f>
        <v>16490</v>
      </c>
      <c r="P288" s="231">
        <f>P286+(P287*6)</f>
        <v>13806</v>
      </c>
      <c r="Q288" s="231">
        <f>Q286+(Q287*6)</f>
        <v>13638</v>
      </c>
      <c r="R288" s="511">
        <f>Q288</f>
        <v>13638</v>
      </c>
      <c r="S288" s="231">
        <f>S286+(S287*6)</f>
        <v>12780</v>
      </c>
      <c r="T288" s="231">
        <f>T286+(T287*6)</f>
        <v>12780</v>
      </c>
      <c r="U288" s="231">
        <f>U286+(U287*6)</f>
        <v>12780</v>
      </c>
      <c r="V288" s="231">
        <f>V286+(V287*6)</f>
        <v>12524</v>
      </c>
      <c r="W288" s="511">
        <f>V288</f>
        <v>12524</v>
      </c>
      <c r="X288" s="231">
        <f>X286+(X287*6)</f>
        <v>12524</v>
      </c>
      <c r="Y288" s="231">
        <f>Y286+(Y287*6)</f>
        <v>12524</v>
      </c>
      <c r="Z288" s="231">
        <f>Z286+(Z287*6)</f>
        <v>12524</v>
      </c>
      <c r="AA288" s="231">
        <f>AA286+(AA287*6)</f>
        <v>12191</v>
      </c>
      <c r="AB288" s="511">
        <f>AA288</f>
        <v>12191</v>
      </c>
      <c r="AC288" s="231">
        <f>AC286+(AC287*6)</f>
        <v>12027</v>
      </c>
      <c r="AD288" s="231">
        <f>AD286+(AD287*6)</f>
        <v>11863</v>
      </c>
      <c r="AE288" s="231">
        <f>AE286+(AE287*6)</f>
        <v>11699</v>
      </c>
      <c r="AF288" s="231">
        <f>AF286+(AF287*6)</f>
        <v>11511</v>
      </c>
      <c r="AG288" s="511">
        <f>AF288</f>
        <v>11511</v>
      </c>
      <c r="AH288" s="231">
        <f t="shared" ref="AH288:AQ288" si="496">AH286+(AH287*6)</f>
        <v>11511</v>
      </c>
      <c r="AI288" s="231">
        <f t="shared" si="496"/>
        <v>11511</v>
      </c>
      <c r="AJ288" s="231">
        <f t="shared" si="496"/>
        <v>11511</v>
      </c>
      <c r="AK288" s="231">
        <f t="shared" si="496"/>
        <v>11124</v>
      </c>
      <c r="AL288" s="525">
        <f t="shared" si="496"/>
        <v>11124</v>
      </c>
      <c r="AM288" s="231">
        <f t="shared" si="496"/>
        <v>11124</v>
      </c>
      <c r="AN288" s="231">
        <f t="shared" si="496"/>
        <v>11124</v>
      </c>
      <c r="AO288" s="231">
        <f t="shared" si="496"/>
        <v>11124</v>
      </c>
      <c r="AP288" s="231">
        <f t="shared" si="496"/>
        <v>10645</v>
      </c>
      <c r="AQ288" s="525">
        <f t="shared" si="496"/>
        <v>10645</v>
      </c>
      <c r="AR288" s="231">
        <f t="shared" ref="AR288:BF288" si="497">AR286+(AR287*6)</f>
        <v>10645</v>
      </c>
      <c r="AS288" s="231">
        <f t="shared" si="497"/>
        <v>10645</v>
      </c>
      <c r="AT288" s="231">
        <f t="shared" si="497"/>
        <v>10645</v>
      </c>
      <c r="AU288" s="231">
        <f t="shared" si="497"/>
        <v>10467</v>
      </c>
      <c r="AV288" s="525">
        <f t="shared" si="497"/>
        <v>10467</v>
      </c>
      <c r="AW288" s="231">
        <f t="shared" si="497"/>
        <v>10467</v>
      </c>
      <c r="AX288" s="231">
        <f t="shared" si="497"/>
        <v>10467</v>
      </c>
      <c r="AY288" s="231">
        <f t="shared" si="497"/>
        <v>10467</v>
      </c>
      <c r="AZ288" s="231">
        <f>AZ286+(AZ287*6)</f>
        <v>10471</v>
      </c>
      <c r="BA288" s="525">
        <f>BA286+(BA287*6)</f>
        <v>10471</v>
      </c>
      <c r="BB288" s="231">
        <f t="shared" si="497"/>
        <v>10471</v>
      </c>
      <c r="BC288" s="231">
        <f t="shared" si="497"/>
        <v>10471</v>
      </c>
      <c r="BD288" s="231">
        <f t="shared" si="497"/>
        <v>10471</v>
      </c>
      <c r="BE288" s="231">
        <f t="shared" si="497"/>
        <v>10471</v>
      </c>
      <c r="BF288" s="525">
        <f t="shared" si="497"/>
        <v>10471</v>
      </c>
      <c r="BG288" s="527">
        <f t="shared" ref="BG288:BP288" si="498">BG286+(BG287*6)</f>
        <v>10471</v>
      </c>
      <c r="BH288" s="231">
        <f t="shared" si="498"/>
        <v>10471</v>
      </c>
      <c r="BI288" s="231">
        <f t="shared" si="498"/>
        <v>10471</v>
      </c>
      <c r="BJ288" s="1841">
        <f t="shared" si="498"/>
        <v>10471</v>
      </c>
      <c r="BK288" s="525">
        <f t="shared" si="498"/>
        <v>10471</v>
      </c>
      <c r="BL288" s="231">
        <f t="shared" si="498"/>
        <v>10471</v>
      </c>
      <c r="BM288" s="231">
        <f t="shared" si="498"/>
        <v>10471</v>
      </c>
      <c r="BN288" s="231">
        <f t="shared" si="498"/>
        <v>10471</v>
      </c>
      <c r="BO288" s="3553">
        <f t="shared" si="498"/>
        <v>12488</v>
      </c>
      <c r="BP288" s="525">
        <f t="shared" si="498"/>
        <v>12488</v>
      </c>
      <c r="BQ288" s="231">
        <f t="shared" ref="BQ288:BV288" si="499">BQ286+(BQ287*6)</f>
        <v>15908</v>
      </c>
      <c r="BR288" s="231">
        <f t="shared" si="499"/>
        <v>15908</v>
      </c>
      <c r="BS288" s="231">
        <f t="shared" si="499"/>
        <v>15908</v>
      </c>
      <c r="BT288" s="231">
        <f t="shared" si="499"/>
        <v>15908</v>
      </c>
      <c r="BU288" s="3367">
        <f t="shared" si="499"/>
        <v>15908</v>
      </c>
      <c r="BV288" s="231">
        <f t="shared" si="499"/>
        <v>15908</v>
      </c>
      <c r="BW288" s="231">
        <f t="shared" ref="BW288:BY288" si="500">BW286+(BW287*6)</f>
        <v>15908</v>
      </c>
      <c r="BX288" s="231">
        <f t="shared" si="500"/>
        <v>15908</v>
      </c>
      <c r="BY288" s="231">
        <f t="shared" si="500"/>
        <v>15908</v>
      </c>
      <c r="BZ288" s="4002">
        <f>BZ286+(BZ287*6)</f>
        <v>15908</v>
      </c>
      <c r="CA288" s="525">
        <f>BZ288</f>
        <v>15908</v>
      </c>
      <c r="CB288" s="525">
        <f>CA288</f>
        <v>15908</v>
      </c>
      <c r="CC288" s="525">
        <f t="shared" si="492"/>
        <v>15908</v>
      </c>
      <c r="CD288" s="525">
        <f t="shared" si="492"/>
        <v>15908</v>
      </c>
      <c r="CE288" s="525">
        <f t="shared" si="492"/>
        <v>15908</v>
      </c>
      <c r="CF288" s="525">
        <f t="shared" si="492"/>
        <v>15908</v>
      </c>
      <c r="CG288" s="525">
        <f t="shared" si="492"/>
        <v>15908</v>
      </c>
      <c r="CH288" s="3260"/>
      <c r="CI288" s="231"/>
      <c r="CJ288" s="231"/>
      <c r="CK288" s="231"/>
      <c r="CL288" s="231"/>
      <c r="CM288" s="231"/>
      <c r="CN288" s="231"/>
      <c r="CO288" s="231"/>
      <c r="CP288" s="1840"/>
      <c r="CQ288" s="231"/>
      <c r="CR288" s="231"/>
      <c r="CS288" s="231"/>
      <c r="CT288" s="231"/>
      <c r="CU288" s="231"/>
      <c r="CV288" s="231"/>
      <c r="CW288" s="231"/>
      <c r="CX288" s="231"/>
      <c r="CY288" s="231"/>
      <c r="CZ288" s="231"/>
      <c r="DA288" s="231"/>
      <c r="DB288" s="231"/>
      <c r="DC288" s="231"/>
      <c r="DD288" s="231"/>
      <c r="DE288" s="231"/>
      <c r="DF288" s="231"/>
      <c r="DG288" s="1841"/>
      <c r="DH288" s="223"/>
      <c r="DI288" s="595"/>
      <c r="DJ288" s="595"/>
      <c r="DK288" s="595"/>
      <c r="DL288" s="595"/>
      <c r="DM288" s="595"/>
      <c r="DN288" s="514"/>
      <c r="DO288" s="226"/>
      <c r="DW288" s="2519"/>
      <c r="DX288" s="2519"/>
      <c r="DY288" s="231"/>
      <c r="DZ288" s="231"/>
    </row>
    <row r="289" spans="1:132" ht="12" customHeight="1">
      <c r="A289" s="195" t="s">
        <v>1573</v>
      </c>
      <c r="B289" s="228"/>
      <c r="C289" s="228"/>
      <c r="D289" s="509">
        <v>4247</v>
      </c>
      <c r="E289" s="231">
        <f>+AVERAGE(D288:E288)</f>
        <v>4247</v>
      </c>
      <c r="F289" s="231">
        <f>F286</f>
        <v>11882</v>
      </c>
      <c r="G289" s="231">
        <f>+AVERAGE(F288:G288)</f>
        <v>13507</v>
      </c>
      <c r="H289" s="511">
        <f>+AVERAGE(D288:G288)</f>
        <v>8877</v>
      </c>
      <c r="I289" s="231">
        <f>+AVERAGE(H288:I288)</f>
        <v>13512</v>
      </c>
      <c r="J289" s="231">
        <f>+AVERAGE(I288:J288)</f>
        <v>13512</v>
      </c>
      <c r="K289" s="231">
        <f>+AVERAGE(J288:K288)</f>
        <v>13512</v>
      </c>
      <c r="L289" s="231">
        <f>(L288*8+K288*84)/92</f>
        <v>13770.95652173913</v>
      </c>
      <c r="M289" s="525">
        <f>+AVERAGE(I288:L288)</f>
        <v>14256.5</v>
      </c>
      <c r="N289" s="231">
        <f>AVERAGE(M288:N288)</f>
        <v>16490</v>
      </c>
      <c r="O289" s="231">
        <f>AVERAGE(N288:O288)</f>
        <v>16490</v>
      </c>
      <c r="P289" s="231">
        <f>P288</f>
        <v>13806</v>
      </c>
      <c r="Q289" s="231">
        <f>AVERAGE(P288:Q288)</f>
        <v>13722</v>
      </c>
      <c r="R289" s="511">
        <f>AVERAGE(N288:Q288)</f>
        <v>15106</v>
      </c>
      <c r="S289" s="231">
        <f>AVERAGE(R288:S288)</f>
        <v>13209</v>
      </c>
      <c r="T289" s="231">
        <f>AVERAGE(S288:T288)</f>
        <v>12780</v>
      </c>
      <c r="U289" s="231">
        <f>AVERAGE(T288:U288)</f>
        <v>12780</v>
      </c>
      <c r="V289" s="231">
        <f>AVERAGE(U288:V288)</f>
        <v>12652</v>
      </c>
      <c r="W289" s="511">
        <f>AVERAGE(S288:V288)</f>
        <v>12716</v>
      </c>
      <c r="X289" s="231">
        <f>AVERAGE(W288:X288)</f>
        <v>12524</v>
      </c>
      <c r="Y289" s="231">
        <f>AVERAGE(X288:Y288)</f>
        <v>12524</v>
      </c>
      <c r="Z289" s="231">
        <f>AVERAGE(Y288:Z288)</f>
        <v>12524</v>
      </c>
      <c r="AA289" s="231">
        <f>AVERAGE(Z288:AA288)</f>
        <v>12357.5</v>
      </c>
      <c r="AB289" s="511">
        <f>AVERAGE(X288:AA288)</f>
        <v>12440.75</v>
      </c>
      <c r="AC289" s="231">
        <f>AVERAGE(AB288:AC288)</f>
        <v>12109</v>
      </c>
      <c r="AD289" s="231">
        <f>AVERAGE(AC288:AD288)</f>
        <v>11945</v>
      </c>
      <c r="AE289" s="231">
        <f>AVERAGE(AD288:AE288)</f>
        <v>11781</v>
      </c>
      <c r="AF289" s="231">
        <f>AVERAGE(AE288:AF288)</f>
        <v>11605</v>
      </c>
      <c r="AG289" s="511">
        <f>AVERAGE(AC288:AF288)</f>
        <v>11775</v>
      </c>
      <c r="AH289" s="231">
        <f>AVERAGE(AG288:AH288)</f>
        <v>11511</v>
      </c>
      <c r="AI289" s="231">
        <f>AVERAGE(AH288:AI288)</f>
        <v>11511</v>
      </c>
      <c r="AJ289" s="231">
        <f>AVERAGE(AI288:AJ288)</f>
        <v>11511</v>
      </c>
      <c r="AK289" s="231">
        <f>AVERAGE(AJ288:AK288)</f>
        <v>11317.5</v>
      </c>
      <c r="AL289" s="511">
        <f>AVERAGE(AH288:AK288)</f>
        <v>11414.25</v>
      </c>
      <c r="AM289" s="231">
        <f>AVERAGE(AL288:AM288)</f>
        <v>11124</v>
      </c>
      <c r="AN289" s="231">
        <f>AVERAGE(AM288:AN288)</f>
        <v>11124</v>
      </c>
      <c r="AO289" s="231">
        <f>AVERAGE(AN288:AO288)</f>
        <v>11124</v>
      </c>
      <c r="AP289" s="231">
        <f>AVERAGE(AO288:AP288)</f>
        <v>10884.5</v>
      </c>
      <c r="AQ289" s="511">
        <f>AVERAGE(AM288:AP288)</f>
        <v>11004.25</v>
      </c>
      <c r="AR289" s="231">
        <f>AVERAGE(AQ288:AR288)</f>
        <v>10645</v>
      </c>
      <c r="AS289" s="231">
        <f>AVERAGE(AR288:AS288)</f>
        <v>10645</v>
      </c>
      <c r="AT289" s="231">
        <f>AVERAGE(AS288:AT288)</f>
        <v>10645</v>
      </c>
      <c r="AU289" s="231">
        <f>AVERAGE(AT288:AU288)</f>
        <v>10556</v>
      </c>
      <c r="AV289" s="511">
        <f>AVERAGE(AR288:AU288)</f>
        <v>10600.5</v>
      </c>
      <c r="AW289" s="231">
        <f>AVERAGE(AV288:AW288)</f>
        <v>10467</v>
      </c>
      <c r="AX289" s="231">
        <f>AVERAGE(AW288:AX288)</f>
        <v>10467</v>
      </c>
      <c r="AY289" s="231">
        <f>AVERAGE(AX288:AY288)</f>
        <v>10467</v>
      </c>
      <c r="AZ289" s="231">
        <f>AVERAGE(AY288:AZ288)</f>
        <v>10469</v>
      </c>
      <c r="BA289" s="511">
        <f>AVERAGE(AW288:AZ288)</f>
        <v>10468</v>
      </c>
      <c r="BB289" s="231">
        <f>AVERAGE(BA288:BB288)</f>
        <v>10471</v>
      </c>
      <c r="BC289" s="231">
        <f>AVERAGE(BB288:BC288)</f>
        <v>10471</v>
      </c>
      <c r="BD289" s="231">
        <f>AVERAGE(BC288:BD288)</f>
        <v>10471</v>
      </c>
      <c r="BE289" s="231">
        <f>AVERAGE(BD288:BE288)</f>
        <v>10471</v>
      </c>
      <c r="BF289" s="511">
        <f>AVERAGE(BB288:BE288)</f>
        <v>10471</v>
      </c>
      <c r="BG289" s="527">
        <f>AVERAGE(BF288:BG288)</f>
        <v>10471</v>
      </c>
      <c r="BH289" s="231">
        <f>AVERAGE(BG288:BH288)</f>
        <v>10471</v>
      </c>
      <c r="BI289" s="231">
        <f>AVERAGE(BH288:BI288)</f>
        <v>10471</v>
      </c>
      <c r="BJ289" s="1841">
        <f>AVERAGE(BI288:BJ288)</f>
        <v>10471</v>
      </c>
      <c r="BK289" s="511">
        <f>AVERAGE(BG288:BJ288)</f>
        <v>10471</v>
      </c>
      <c r="BL289" s="231">
        <f>AVERAGE(BK288:BL288)</f>
        <v>10471</v>
      </c>
      <c r="BM289" s="231">
        <f>AVERAGE(BL288:BM288)</f>
        <v>10471</v>
      </c>
      <c r="BN289" s="231">
        <f>AVERAGE(BM288:BN288)</f>
        <v>10471</v>
      </c>
      <c r="BO289" s="3554">
        <f>AVERAGE(BN288:BO288)</f>
        <v>11479.5</v>
      </c>
      <c r="BP289" s="511">
        <f>AVERAGE(BL288:BO288)</f>
        <v>10975.25</v>
      </c>
      <c r="BQ289" s="231">
        <f>AVERAGE(BP288:BQ288)</f>
        <v>14198</v>
      </c>
      <c r="BR289" s="231">
        <f>AVERAGE(BQ288:BR288)</f>
        <v>15908</v>
      </c>
      <c r="BS289" s="231">
        <f>AVERAGE(BR288:BS288)</f>
        <v>15908</v>
      </c>
      <c r="BT289" s="231">
        <f>AVERAGE(BS288:BT288)</f>
        <v>15908</v>
      </c>
      <c r="BU289" s="3386">
        <f>AVERAGE(BQ288:BT288)</f>
        <v>15908</v>
      </c>
      <c r="BV289" s="231">
        <f>AVERAGE(BU288:BV288)</f>
        <v>15908</v>
      </c>
      <c r="BW289" s="231">
        <f t="shared" ref="BW289:BY289" si="501">AVERAGE(BV288:BW288)</f>
        <v>15908</v>
      </c>
      <c r="BX289" s="231">
        <f t="shared" si="501"/>
        <v>15908</v>
      </c>
      <c r="BY289" s="231">
        <f t="shared" si="501"/>
        <v>15908</v>
      </c>
      <c r="BZ289" s="4002">
        <f>AVERAGE(BV288:BY288)</f>
        <v>15908</v>
      </c>
      <c r="CA289" s="525">
        <f>AVERAGE(BZ288:CA288)</f>
        <v>15908</v>
      </c>
      <c r="CB289" s="525">
        <f>AVERAGE(CA288:CB288)</f>
        <v>15908</v>
      </c>
      <c r="CC289" s="525">
        <f t="shared" si="492"/>
        <v>15908</v>
      </c>
      <c r="CD289" s="525">
        <f t="shared" si="492"/>
        <v>15908</v>
      </c>
      <c r="CE289" s="525">
        <f t="shared" si="492"/>
        <v>15908</v>
      </c>
      <c r="CF289" s="525">
        <f t="shared" si="492"/>
        <v>15908</v>
      </c>
      <c r="CG289" s="525">
        <f t="shared" si="492"/>
        <v>15908</v>
      </c>
      <c r="CH289" s="3260"/>
      <c r="CI289" s="231"/>
      <c r="CJ289" s="231"/>
      <c r="CK289" s="231"/>
      <c r="CL289" s="231"/>
      <c r="CM289" s="231"/>
      <c r="CN289" s="231"/>
      <c r="CO289" s="231"/>
      <c r="CP289" s="1842"/>
      <c r="CQ289" s="231"/>
      <c r="CR289" s="231"/>
      <c r="CS289" s="231"/>
      <c r="CT289" s="231"/>
      <c r="CU289" s="231"/>
      <c r="CV289" s="231"/>
      <c r="CW289" s="231"/>
      <c r="CX289" s="231"/>
      <c r="CY289" s="231"/>
      <c r="CZ289" s="231"/>
      <c r="DA289" s="231"/>
      <c r="DB289" s="231"/>
      <c r="DC289" s="231"/>
      <c r="DD289" s="231"/>
      <c r="DE289" s="231"/>
      <c r="DF289" s="231"/>
      <c r="DG289" s="1841"/>
      <c r="DH289" s="223"/>
      <c r="DI289" s="595"/>
      <c r="DJ289" s="595"/>
      <c r="DK289" s="595"/>
      <c r="DL289" s="595"/>
      <c r="DM289" s="595"/>
      <c r="DN289" s="514"/>
      <c r="DO289" s="226"/>
      <c r="DW289" s="2519"/>
      <c r="DX289" s="2519"/>
      <c r="DY289" s="492"/>
      <c r="DZ289" s="492"/>
    </row>
    <row r="290" spans="1:132" ht="6" customHeight="1">
      <c r="A290" s="61"/>
      <c r="B290" s="77"/>
      <c r="C290" s="77"/>
      <c r="D290" s="479"/>
      <c r="E290" s="482"/>
      <c r="F290" s="482"/>
      <c r="G290" s="482"/>
      <c r="H290" s="481"/>
      <c r="I290" s="482"/>
      <c r="J290" s="482"/>
      <c r="K290" s="482"/>
      <c r="L290" s="482"/>
      <c r="M290" s="481"/>
      <c r="N290" s="482"/>
      <c r="O290" s="482"/>
      <c r="P290" s="482"/>
      <c r="Q290" s="482"/>
      <c r="R290" s="481"/>
      <c r="S290" s="482"/>
      <c r="T290" s="482"/>
      <c r="U290" s="482"/>
      <c r="V290" s="482"/>
      <c r="W290" s="481"/>
      <c r="X290" s="482"/>
      <c r="Y290" s="482"/>
      <c r="Z290" s="482"/>
      <c r="AA290" s="482"/>
      <c r="AB290" s="481"/>
      <c r="AC290" s="482"/>
      <c r="AD290" s="482"/>
      <c r="AE290" s="482"/>
      <c r="AF290" s="482"/>
      <c r="AG290" s="481"/>
      <c r="AH290" s="482"/>
      <c r="AI290" s="482"/>
      <c r="AJ290" s="482"/>
      <c r="AK290" s="482"/>
      <c r="AL290" s="481"/>
      <c r="AM290" s="482"/>
      <c r="AN290" s="482"/>
      <c r="AO290" s="482"/>
      <c r="AP290" s="482"/>
      <c r="AQ290" s="481"/>
      <c r="AR290" s="482"/>
      <c r="AS290" s="482"/>
      <c r="AT290" s="482"/>
      <c r="AU290" s="482"/>
      <c r="AV290" s="481"/>
      <c r="AW290" s="482"/>
      <c r="AX290" s="482"/>
      <c r="AY290" s="482"/>
      <c r="AZ290" s="482"/>
      <c r="BA290" s="481"/>
      <c r="BB290" s="482"/>
      <c r="BC290" s="482"/>
      <c r="BD290" s="482"/>
      <c r="BE290" s="482"/>
      <c r="BF290" s="481"/>
      <c r="BG290" s="479"/>
      <c r="BH290" s="482"/>
      <c r="BI290" s="482"/>
      <c r="BJ290" s="2799"/>
      <c r="BK290" s="481"/>
      <c r="BL290" s="482"/>
      <c r="BM290" s="482"/>
      <c r="BN290" s="482"/>
      <c r="BO290" s="3471"/>
      <c r="BP290" s="481"/>
      <c r="BQ290" s="482"/>
      <c r="BR290" s="482"/>
      <c r="BS290" s="482"/>
      <c r="BT290" s="482"/>
      <c r="BU290" s="3380"/>
      <c r="BV290" s="482"/>
      <c r="BW290" s="482"/>
      <c r="BX290" s="482"/>
      <c r="BY290" s="482"/>
      <c r="BZ290" s="4002"/>
      <c r="CA290" s="525"/>
      <c r="CB290" s="525"/>
      <c r="CC290" s="525"/>
      <c r="CD290" s="525"/>
      <c r="CE290" s="525"/>
      <c r="CF290" s="525"/>
      <c r="CG290" s="525"/>
      <c r="CH290" s="482"/>
      <c r="CI290" s="482"/>
      <c r="CJ290" s="482"/>
      <c r="CK290" s="482"/>
      <c r="CL290" s="482"/>
      <c r="CM290" s="482"/>
      <c r="CN290" s="482"/>
      <c r="CO290" s="482"/>
      <c r="CP290" s="59"/>
      <c r="CQ290" s="223"/>
      <c r="CR290" s="223"/>
      <c r="CS290" s="223"/>
      <c r="CT290" s="223"/>
      <c r="CU290" s="223"/>
      <c r="CV290" s="223"/>
      <c r="CW290" s="223"/>
      <c r="CX290" s="223"/>
      <c r="CY290" s="223"/>
      <c r="CZ290" s="223"/>
      <c r="DA290" s="223"/>
      <c r="DB290" s="223"/>
      <c r="DC290" s="223"/>
      <c r="DD290" s="223"/>
      <c r="DE290" s="223"/>
      <c r="DF290" s="223"/>
      <c r="DG290" s="1853"/>
      <c r="DH290" s="223"/>
      <c r="DI290" s="595"/>
      <c r="DJ290" s="595"/>
      <c r="DK290" s="595"/>
      <c r="DL290" s="595"/>
      <c r="DM290" s="595"/>
      <c r="DN290" s="514"/>
      <c r="DO290" s="226"/>
      <c r="DY290" s="482"/>
      <c r="DZ290" s="482"/>
    </row>
    <row r="291" spans="1:132" ht="12" customHeight="1">
      <c r="A291" s="217" t="s">
        <v>639</v>
      </c>
      <c r="B291" s="228"/>
      <c r="C291" s="228"/>
      <c r="D291" s="527">
        <f>D226</f>
        <v>648</v>
      </c>
      <c r="E291" s="231">
        <f>E226</f>
        <v>648</v>
      </c>
      <c r="F291" s="231">
        <f>G291</f>
        <v>3860</v>
      </c>
      <c r="G291" s="231">
        <f>G226+G258</f>
        <v>3860</v>
      </c>
      <c r="H291" s="644">
        <f>+G291</f>
        <v>3860</v>
      </c>
      <c r="I291" s="231">
        <f>I226+I258</f>
        <v>3860</v>
      </c>
      <c r="J291" s="231">
        <f>J226+J258</f>
        <v>3860</v>
      </c>
      <c r="K291" s="231">
        <f>K226+K258</f>
        <v>3860</v>
      </c>
      <c r="L291" s="231">
        <f>L226+L258</f>
        <v>4507</v>
      </c>
      <c r="M291" s="644">
        <f>+L291</f>
        <v>4507</v>
      </c>
      <c r="N291" s="231">
        <f>M291</f>
        <v>4507</v>
      </c>
      <c r="O291" s="510">
        <f>+N291+695*0.75</f>
        <v>5028.25</v>
      </c>
      <c r="P291" s="510">
        <f>N291-647</f>
        <v>3860</v>
      </c>
      <c r="Q291" s="510">
        <f>198+711+1886+646+426</f>
        <v>3867</v>
      </c>
      <c r="R291" s="511">
        <f>Q291</f>
        <v>3867</v>
      </c>
      <c r="S291" s="510">
        <f>R291-198</f>
        <v>3669</v>
      </c>
      <c r="T291" s="231">
        <f>S291</f>
        <v>3669</v>
      </c>
      <c r="U291" s="231">
        <f>T291</f>
        <v>3669</v>
      </c>
      <c r="V291" s="510">
        <f>711+1886+646+426</f>
        <v>3669</v>
      </c>
      <c r="W291" s="525">
        <f>+V291</f>
        <v>3669</v>
      </c>
      <c r="X291" s="231">
        <f>+V291</f>
        <v>3669</v>
      </c>
      <c r="Y291" s="231">
        <f>X291</f>
        <v>3669</v>
      </c>
      <c r="Z291" s="231">
        <f>Y291</f>
        <v>3669</v>
      </c>
      <c r="AA291" s="510">
        <f>711+1885+646+426</f>
        <v>3668</v>
      </c>
      <c r="AB291" s="525">
        <f>+AA291</f>
        <v>3668</v>
      </c>
      <c r="AC291" s="231">
        <f>AB291</f>
        <v>3668</v>
      </c>
      <c r="AD291" s="231">
        <f>AC291</f>
        <v>3668</v>
      </c>
      <c r="AE291" s="231">
        <f>AD291</f>
        <v>3668</v>
      </c>
      <c r="AF291" s="510">
        <f>711+1885+646+426</f>
        <v>3668</v>
      </c>
      <c r="AG291" s="525">
        <f>+AF291</f>
        <v>3668</v>
      </c>
      <c r="AH291" s="231">
        <f>AG291</f>
        <v>3668</v>
      </c>
      <c r="AI291" s="231">
        <f>AH291</f>
        <v>3668</v>
      </c>
      <c r="AJ291" s="231">
        <f>AI291</f>
        <v>3668</v>
      </c>
      <c r="AK291" s="510">
        <f>711+1885+646+426</f>
        <v>3668</v>
      </c>
      <c r="AL291" s="525">
        <f>+AK291</f>
        <v>3668</v>
      </c>
      <c r="AM291" s="231">
        <f>AL291</f>
        <v>3668</v>
      </c>
      <c r="AN291" s="231">
        <f>AM291</f>
        <v>3668</v>
      </c>
      <c r="AO291" s="231">
        <f>AN291</f>
        <v>3668</v>
      </c>
      <c r="AP291" s="510">
        <f>711+1885+646+426</f>
        <v>3668</v>
      </c>
      <c r="AQ291" s="525">
        <f>+AP291</f>
        <v>3668</v>
      </c>
      <c r="AR291" s="231">
        <f>AQ291</f>
        <v>3668</v>
      </c>
      <c r="AS291" s="231">
        <f>AR291</f>
        <v>3668</v>
      </c>
      <c r="AT291" s="231">
        <f>AS291</f>
        <v>3668</v>
      </c>
      <c r="AU291" s="510">
        <f>711+1885+646+426</f>
        <v>3668</v>
      </c>
      <c r="AV291" s="525">
        <f>+AU291</f>
        <v>3668</v>
      </c>
      <c r="AW291" s="231">
        <f>AV291</f>
        <v>3668</v>
      </c>
      <c r="AX291" s="231">
        <f>AW291</f>
        <v>3668</v>
      </c>
      <c r="AY291" s="231">
        <f>AX291</f>
        <v>3668</v>
      </c>
      <c r="AZ291" s="510">
        <f>712+1885+646+427</f>
        <v>3670</v>
      </c>
      <c r="BA291" s="525">
        <f>+AZ291</f>
        <v>3670</v>
      </c>
      <c r="BB291" s="231">
        <f>BA291</f>
        <v>3670</v>
      </c>
      <c r="BC291" s="231">
        <f>BB291</f>
        <v>3670</v>
      </c>
      <c r="BD291" s="231">
        <f>BC291</f>
        <v>3670</v>
      </c>
      <c r="BE291" s="231">
        <f>BD291</f>
        <v>3670</v>
      </c>
      <c r="BF291" s="525">
        <f>+BE291</f>
        <v>3670</v>
      </c>
      <c r="BG291" s="527">
        <f>BF291</f>
        <v>3670</v>
      </c>
      <c r="BH291" s="231">
        <f>BG291</f>
        <v>3670</v>
      </c>
      <c r="BI291" s="231">
        <f>BH291</f>
        <v>3670</v>
      </c>
      <c r="BJ291" s="1841">
        <f>BI291</f>
        <v>3670</v>
      </c>
      <c r="BK291" s="525">
        <f>+BJ291</f>
        <v>3670</v>
      </c>
      <c r="BL291" s="231">
        <f>BK291</f>
        <v>3670</v>
      </c>
      <c r="BM291" s="231">
        <f>BL291</f>
        <v>3670</v>
      </c>
      <c r="BN291" s="231">
        <f>BM291</f>
        <v>3670</v>
      </c>
      <c r="BO291" s="3555">
        <f>BN291+202</f>
        <v>3872</v>
      </c>
      <c r="BP291" s="525">
        <f>+BO291</f>
        <v>3872</v>
      </c>
      <c r="BQ291" s="3555">
        <f>BP291+200+300</f>
        <v>4372</v>
      </c>
      <c r="BR291" s="231">
        <f>BQ291</f>
        <v>4372</v>
      </c>
      <c r="BS291" s="231">
        <f>BR291</f>
        <v>4372</v>
      </c>
      <c r="BT291" s="231">
        <f>BS291</f>
        <v>4372</v>
      </c>
      <c r="BU291" s="3367">
        <f>+BT291</f>
        <v>4372</v>
      </c>
      <c r="BV291" s="3554">
        <f>BU291</f>
        <v>4372</v>
      </c>
      <c r="BW291" s="231">
        <f>BV291</f>
        <v>4372</v>
      </c>
      <c r="BX291" s="231">
        <f>BW291</f>
        <v>4372</v>
      </c>
      <c r="BY291" s="231">
        <f>BX291</f>
        <v>4372</v>
      </c>
      <c r="BZ291" s="4002">
        <f>+BY291</f>
        <v>4372</v>
      </c>
      <c r="CA291" s="525">
        <f t="shared" ref="CA291:CB292" si="502">BZ291</f>
        <v>4372</v>
      </c>
      <c r="CB291" s="525">
        <f t="shared" si="502"/>
        <v>4372</v>
      </c>
      <c r="CC291" s="525">
        <f t="shared" ref="CC291:CG292" si="503">CB291</f>
        <v>4372</v>
      </c>
      <c r="CD291" s="525">
        <f t="shared" si="503"/>
        <v>4372</v>
      </c>
      <c r="CE291" s="525">
        <f t="shared" si="503"/>
        <v>4372</v>
      </c>
      <c r="CF291" s="525">
        <f t="shared" si="503"/>
        <v>4372</v>
      </c>
      <c r="CG291" s="525">
        <f t="shared" si="503"/>
        <v>4372</v>
      </c>
      <c r="CH291" s="916"/>
      <c r="CI291" s="231"/>
      <c r="CJ291" s="231"/>
      <c r="CK291" s="231"/>
      <c r="CL291" s="231"/>
      <c r="CM291" s="231"/>
      <c r="CN291" s="231"/>
      <c r="CO291" s="231"/>
      <c r="CP291" s="1840" t="str">
        <f>A291</f>
        <v>Number of Rooms</v>
      </c>
      <c r="CQ291" s="231">
        <f>H291</f>
        <v>3860</v>
      </c>
      <c r="CR291" s="231">
        <f>M291</f>
        <v>4507</v>
      </c>
      <c r="CS291" s="231">
        <f>R291</f>
        <v>3867</v>
      </c>
      <c r="CT291" s="231">
        <f>W291</f>
        <v>3669</v>
      </c>
      <c r="CU291" s="231">
        <f>AB291</f>
        <v>3668</v>
      </c>
      <c r="CV291" s="231">
        <f>AG291</f>
        <v>3668</v>
      </c>
      <c r="CW291" s="231">
        <f>AL291</f>
        <v>3668</v>
      </c>
      <c r="CX291" s="231">
        <f>AQ291</f>
        <v>3668</v>
      </c>
      <c r="CY291" s="231">
        <f>AV291</f>
        <v>3668</v>
      </c>
      <c r="CZ291" s="231">
        <f>BA291</f>
        <v>3670</v>
      </c>
      <c r="DA291" s="231">
        <f>BF291</f>
        <v>3670</v>
      </c>
      <c r="DB291" s="231">
        <f>BK291</f>
        <v>3670</v>
      </c>
      <c r="DC291" s="231">
        <f>BP291</f>
        <v>3872</v>
      </c>
      <c r="DD291" s="231">
        <f>BU291</f>
        <v>4372</v>
      </c>
      <c r="DE291" s="231">
        <f t="shared" ref="DE291:DG292" si="504">BZ291</f>
        <v>4372</v>
      </c>
      <c r="DF291" s="231">
        <f t="shared" si="504"/>
        <v>4372</v>
      </c>
      <c r="DG291" s="1841">
        <f t="shared" si="504"/>
        <v>4372</v>
      </c>
      <c r="DH291" s="223"/>
      <c r="DI291" s="595"/>
      <c r="DJ291" s="595"/>
      <c r="DK291" s="595"/>
      <c r="DL291" s="595"/>
      <c r="DM291" s="595"/>
      <c r="DN291" s="514"/>
      <c r="DO291" s="226"/>
      <c r="DY291" s="231"/>
      <c r="DZ291" s="231"/>
    </row>
    <row r="292" spans="1:132" ht="12" customHeight="1">
      <c r="A292" s="195" t="s">
        <v>431</v>
      </c>
      <c r="B292" s="228"/>
      <c r="C292" s="228"/>
      <c r="D292" s="509">
        <v>648</v>
      </c>
      <c r="E292" s="231">
        <f>AVERAGE(D291:E291)</f>
        <v>648</v>
      </c>
      <c r="F292" s="231">
        <f>AVERAGE(E291:F291)</f>
        <v>2254</v>
      </c>
      <c r="G292" s="231">
        <f>AVERAGE(F291:G291)</f>
        <v>3860</v>
      </c>
      <c r="H292" s="511">
        <f>AVERAGE(D291:G291)</f>
        <v>2254</v>
      </c>
      <c r="I292" s="231">
        <f>AVERAGE(H291:I291)</f>
        <v>3860</v>
      </c>
      <c r="J292" s="231">
        <f>AVERAGE(I291:J291)</f>
        <v>3860</v>
      </c>
      <c r="K292" s="231">
        <f>AVERAGE(J291:K291)</f>
        <v>3860</v>
      </c>
      <c r="L292" s="231">
        <f>AVERAGE(K291:L291)</f>
        <v>4183.5</v>
      </c>
      <c r="M292" s="511">
        <f>AVERAGE(I291:L291)</f>
        <v>4021.75</v>
      </c>
      <c r="N292" s="231">
        <f>AVERAGE(M291:N291)</f>
        <v>4507</v>
      </c>
      <c r="O292" s="231">
        <f>AVERAGE(N291:O291)</f>
        <v>4767.625</v>
      </c>
      <c r="P292" s="231">
        <f>AVERAGE(O291:P291)</f>
        <v>4444.125</v>
      </c>
      <c r="Q292" s="231">
        <f>AVERAGE(P291:Q291)</f>
        <v>3863.5</v>
      </c>
      <c r="R292" s="511">
        <f>AVERAGE(N291:Q291)</f>
        <v>4315.5625</v>
      </c>
      <c r="S292" s="231">
        <f>AVERAGE(R291:S291)</f>
        <v>3768</v>
      </c>
      <c r="T292" s="231">
        <f>AVERAGE(S291:T291)</f>
        <v>3669</v>
      </c>
      <c r="U292" s="231">
        <f>AVERAGE(T291:U291)</f>
        <v>3669</v>
      </c>
      <c r="V292" s="231">
        <f>AVERAGE(U291:V291)</f>
        <v>3669</v>
      </c>
      <c r="W292" s="511">
        <f>AVERAGE(S291:V291)</f>
        <v>3669</v>
      </c>
      <c r="X292" s="231">
        <f>+X291</f>
        <v>3669</v>
      </c>
      <c r="Y292" s="231">
        <f>AVERAGE(X291:Y291)</f>
        <v>3669</v>
      </c>
      <c r="Z292" s="231">
        <f>AVERAGE(Y291:Z291)</f>
        <v>3669</v>
      </c>
      <c r="AA292" s="231">
        <f>AVERAGE(Z291:AA291)</f>
        <v>3668.5</v>
      </c>
      <c r="AB292" s="511">
        <f>AVERAGE(X291:AA291)</f>
        <v>3668.75</v>
      </c>
      <c r="AC292" s="231">
        <f>AVERAGE(AB291:AC291)</f>
        <v>3668</v>
      </c>
      <c r="AD292" s="231">
        <f>AVERAGE(AC291:AD291)</f>
        <v>3668</v>
      </c>
      <c r="AE292" s="231">
        <f>AVERAGE(AD291:AE291)</f>
        <v>3668</v>
      </c>
      <c r="AF292" s="231">
        <f>AVERAGE(AE291:AF291)</f>
        <v>3668</v>
      </c>
      <c r="AG292" s="511">
        <f>AVERAGE(AC291:AF291)</f>
        <v>3668</v>
      </c>
      <c r="AH292" s="231">
        <f>AVERAGE(AG291:AH291)</f>
        <v>3668</v>
      </c>
      <c r="AI292" s="231">
        <f>AVERAGE(AH291:AI291)</f>
        <v>3668</v>
      </c>
      <c r="AJ292" s="231">
        <f>AVERAGE(AI291:AJ291)</f>
        <v>3668</v>
      </c>
      <c r="AK292" s="231">
        <f>AVERAGE(AJ291:AK291)</f>
        <v>3668</v>
      </c>
      <c r="AL292" s="511">
        <f>AVERAGE(AH291:AK291)</f>
        <v>3668</v>
      </c>
      <c r="AM292" s="231">
        <f>AVERAGE(AL291:AM291)</f>
        <v>3668</v>
      </c>
      <c r="AN292" s="231">
        <f>AVERAGE(AM291:AN291)</f>
        <v>3668</v>
      </c>
      <c r="AO292" s="231">
        <f>AVERAGE(AN291:AO291)</f>
        <v>3668</v>
      </c>
      <c r="AP292" s="231">
        <f>AVERAGE(AO291:AP291)</f>
        <v>3668</v>
      </c>
      <c r="AQ292" s="511">
        <f>AVERAGE(AM291:AP291)</f>
        <v>3668</v>
      </c>
      <c r="AR292" s="231">
        <f>AVERAGE(AQ291:AR291)</f>
        <v>3668</v>
      </c>
      <c r="AS292" s="231">
        <f>AVERAGE(AR291:AS291)</f>
        <v>3668</v>
      </c>
      <c r="AT292" s="231">
        <f>AVERAGE(AS291:AT291)</f>
        <v>3668</v>
      </c>
      <c r="AU292" s="231">
        <f>AVERAGE(AT291:AU291)</f>
        <v>3668</v>
      </c>
      <c r="AV292" s="511">
        <f>AVERAGE(AR291:AU291)</f>
        <v>3668</v>
      </c>
      <c r="AW292" s="231">
        <f>AVERAGE(AV291:AW291)</f>
        <v>3668</v>
      </c>
      <c r="AX292" s="231">
        <f>AVERAGE(AW291:AX291)</f>
        <v>3668</v>
      </c>
      <c r="AY292" s="231">
        <f>AVERAGE(AX291:AY291)</f>
        <v>3668</v>
      </c>
      <c r="AZ292" s="231">
        <f>AVERAGE(AY291:AZ291)</f>
        <v>3669</v>
      </c>
      <c r="BA292" s="511">
        <f>AVERAGE(AW291:AZ291)</f>
        <v>3668.5</v>
      </c>
      <c r="BB292" s="231">
        <f>AVERAGE(BA291:BB291)</f>
        <v>3670</v>
      </c>
      <c r="BC292" s="231">
        <f>AVERAGE(BB291:BC291)</f>
        <v>3670</v>
      </c>
      <c r="BD292" s="231">
        <f>AVERAGE(BC291:BD291)</f>
        <v>3670</v>
      </c>
      <c r="BE292" s="231">
        <f>AVERAGE(BD291:BE291)</f>
        <v>3670</v>
      </c>
      <c r="BF292" s="511">
        <f>AVERAGE(BB291:BE291)</f>
        <v>3670</v>
      </c>
      <c r="BG292" s="527">
        <f>AVERAGE(BF291:BG291)</f>
        <v>3670</v>
      </c>
      <c r="BH292" s="231">
        <f>AVERAGE(BG291:BH291)</f>
        <v>3670</v>
      </c>
      <c r="BI292" s="231">
        <f>AVERAGE(BH291:BI291)</f>
        <v>3670</v>
      </c>
      <c r="BJ292" s="1841">
        <f>AVERAGE(BI291:BJ291)</f>
        <v>3670</v>
      </c>
      <c r="BK292" s="511">
        <f>AVERAGE(BG291:BJ291)</f>
        <v>3670</v>
      </c>
      <c r="BL292" s="231">
        <f>AVERAGE(BK291:BL291)</f>
        <v>3670</v>
      </c>
      <c r="BM292" s="231">
        <f>AVERAGE(BL291:BM291)</f>
        <v>3670</v>
      </c>
      <c r="BN292" s="231">
        <f>AVERAGE(BM291:BN291)</f>
        <v>3670</v>
      </c>
      <c r="BO292" s="3553">
        <f>AVERAGE(BN291:BO291)</f>
        <v>3771</v>
      </c>
      <c r="BP292" s="511">
        <f>AVERAGE(BL291:BO291)</f>
        <v>3720.5</v>
      </c>
      <c r="BQ292" s="231">
        <f>AVERAGE(BP291:BQ291)</f>
        <v>4122</v>
      </c>
      <c r="BR292" s="231">
        <f>AVERAGE(BQ291:BR291)</f>
        <v>4372</v>
      </c>
      <c r="BS292" s="231">
        <f>AVERAGE(BR291:BS291)</f>
        <v>4372</v>
      </c>
      <c r="BT292" s="231">
        <f>AVERAGE(BS291:BT291)</f>
        <v>4372</v>
      </c>
      <c r="BU292" s="3386">
        <f>AVERAGE(BQ291:BT291)</f>
        <v>4372</v>
      </c>
      <c r="BV292" s="231">
        <f>BU292</f>
        <v>4372</v>
      </c>
      <c r="BW292" s="231">
        <f t="shared" ref="BW292:BY292" si="505">AVERAGE(BV291:BW291)</f>
        <v>4372</v>
      </c>
      <c r="BX292" s="231">
        <f t="shared" si="505"/>
        <v>4372</v>
      </c>
      <c r="BY292" s="231">
        <f t="shared" si="505"/>
        <v>4372</v>
      </c>
      <c r="BZ292" s="4002">
        <f>AVERAGE(BV291:BY291)</f>
        <v>4372</v>
      </c>
      <c r="CA292" s="525">
        <f t="shared" si="502"/>
        <v>4372</v>
      </c>
      <c r="CB292" s="525">
        <f t="shared" si="502"/>
        <v>4372</v>
      </c>
      <c r="CC292" s="525">
        <f t="shared" si="503"/>
        <v>4372</v>
      </c>
      <c r="CD292" s="525">
        <f t="shared" si="503"/>
        <v>4372</v>
      </c>
      <c r="CE292" s="525">
        <f t="shared" si="503"/>
        <v>4372</v>
      </c>
      <c r="CF292" s="525">
        <f t="shared" si="503"/>
        <v>4372</v>
      </c>
      <c r="CG292" s="525">
        <f t="shared" si="503"/>
        <v>4372</v>
      </c>
      <c r="CH292" s="231"/>
      <c r="CI292" s="231"/>
      <c r="CJ292" s="231"/>
      <c r="CK292" s="231"/>
      <c r="CL292" s="231"/>
      <c r="CM292" s="231"/>
      <c r="CN292" s="231"/>
      <c r="CO292" s="231"/>
      <c r="CP292" s="1842" t="str">
        <f>A292</f>
        <v>Average Rooms</v>
      </c>
      <c r="CQ292" s="231">
        <f>H292</f>
        <v>2254</v>
      </c>
      <c r="CR292" s="231">
        <f>M292</f>
        <v>4021.75</v>
      </c>
      <c r="CS292" s="231">
        <f>R292</f>
        <v>4315.5625</v>
      </c>
      <c r="CT292" s="231">
        <f>W292</f>
        <v>3669</v>
      </c>
      <c r="CU292" s="231">
        <f>AB292</f>
        <v>3668.75</v>
      </c>
      <c r="CV292" s="231">
        <f>AG292</f>
        <v>3668</v>
      </c>
      <c r="CW292" s="231">
        <f>AL292</f>
        <v>3668</v>
      </c>
      <c r="CX292" s="231">
        <f>AQ292</f>
        <v>3668</v>
      </c>
      <c r="CY292" s="231">
        <f>AV292</f>
        <v>3668</v>
      </c>
      <c r="CZ292" s="231">
        <f>BA292</f>
        <v>3668.5</v>
      </c>
      <c r="DA292" s="231">
        <f>BF292</f>
        <v>3670</v>
      </c>
      <c r="DB292" s="231">
        <f>BK292</f>
        <v>3670</v>
      </c>
      <c r="DC292" s="231">
        <f>BP292</f>
        <v>3720.5</v>
      </c>
      <c r="DD292" s="231">
        <f>BU292</f>
        <v>4372</v>
      </c>
      <c r="DE292" s="231">
        <f t="shared" si="504"/>
        <v>4372</v>
      </c>
      <c r="DF292" s="231">
        <f t="shared" si="504"/>
        <v>4372</v>
      </c>
      <c r="DG292" s="1841">
        <f t="shared" si="504"/>
        <v>4372</v>
      </c>
      <c r="DH292" s="223"/>
      <c r="DI292" s="595"/>
      <c r="DJ292" s="595"/>
      <c r="DK292" s="595"/>
      <c r="DL292" s="595"/>
      <c r="DM292" s="595"/>
      <c r="DN292" s="514"/>
      <c r="DO292" s="226"/>
      <c r="DY292" s="492"/>
      <c r="DZ292" s="492"/>
    </row>
    <row r="293" spans="1:132" ht="6" customHeight="1">
      <c r="A293" s="217"/>
      <c r="B293" s="228"/>
      <c r="C293" s="228"/>
      <c r="D293" s="479"/>
      <c r="E293" s="482"/>
      <c r="F293" s="482"/>
      <c r="G293" s="482"/>
      <c r="H293" s="481"/>
      <c r="I293" s="482"/>
      <c r="J293" s="482"/>
      <c r="K293" s="482"/>
      <c r="L293" s="482"/>
      <c r="M293" s="481"/>
      <c r="N293" s="482"/>
      <c r="O293" s="482"/>
      <c r="P293" s="482"/>
      <c r="Q293" s="482"/>
      <c r="R293" s="481"/>
      <c r="S293" s="482"/>
      <c r="T293" s="482"/>
      <c r="U293" s="482"/>
      <c r="V293" s="482"/>
      <c r="W293" s="481"/>
      <c r="X293" s="482"/>
      <c r="Y293" s="482"/>
      <c r="Z293" s="482"/>
      <c r="AA293" s="482"/>
      <c r="AB293" s="481"/>
      <c r="AC293" s="482"/>
      <c r="AD293" s="482"/>
      <c r="AE293" s="482"/>
      <c r="AF293" s="482"/>
      <c r="AG293" s="481"/>
      <c r="AH293" s="482"/>
      <c r="AI293" s="482"/>
      <c r="AJ293" s="482"/>
      <c r="AK293" s="482"/>
      <c r="AL293" s="481"/>
      <c r="AM293" s="482"/>
      <c r="AN293" s="482"/>
      <c r="AO293" s="482"/>
      <c r="AP293" s="482"/>
      <c r="AQ293" s="481"/>
      <c r="AR293" s="482"/>
      <c r="AS293" s="482"/>
      <c r="AT293" s="482"/>
      <c r="AU293" s="482"/>
      <c r="AV293" s="481"/>
      <c r="AW293" s="482"/>
      <c r="AX293" s="482"/>
      <c r="AY293" s="482"/>
      <c r="AZ293" s="482"/>
      <c r="BA293" s="481"/>
      <c r="BB293" s="482"/>
      <c r="BC293" s="482"/>
      <c r="BD293" s="482"/>
      <c r="BE293" s="482"/>
      <c r="BF293" s="481"/>
      <c r="BG293" s="479"/>
      <c r="BH293" s="482"/>
      <c r="BI293" s="482"/>
      <c r="BJ293" s="2799"/>
      <c r="BK293" s="481"/>
      <c r="BL293" s="482"/>
      <c r="BM293" s="482"/>
      <c r="BN293" s="482"/>
      <c r="BO293" s="3471"/>
      <c r="BP293" s="481"/>
      <c r="BQ293" s="482"/>
      <c r="BR293" s="482"/>
      <c r="BS293" s="482"/>
      <c r="BT293" s="482"/>
      <c r="BU293" s="3380"/>
      <c r="BV293" s="482"/>
      <c r="BW293" s="482"/>
      <c r="BX293" s="482"/>
      <c r="BY293" s="482"/>
      <c r="BZ293" s="4003"/>
      <c r="CA293" s="481"/>
      <c r="CB293" s="481"/>
      <c r="CC293" s="481"/>
      <c r="CD293" s="481"/>
      <c r="CE293" s="481"/>
      <c r="CF293" s="481"/>
      <c r="CG293" s="481"/>
      <c r="CH293" s="482"/>
      <c r="CI293" s="482"/>
      <c r="CJ293" s="482"/>
      <c r="CK293" s="482"/>
      <c r="CL293" s="482"/>
      <c r="CM293" s="482"/>
      <c r="CN293" s="482"/>
      <c r="CO293" s="482"/>
      <c r="CP293" s="1840"/>
      <c r="CQ293" s="223"/>
      <c r="CR293" s="223"/>
      <c r="CS293" s="223"/>
      <c r="CT293" s="223"/>
      <c r="CU293" s="223"/>
      <c r="CV293" s="223"/>
      <c r="CW293" s="223"/>
      <c r="CX293" s="223"/>
      <c r="CY293" s="223"/>
      <c r="CZ293" s="223"/>
      <c r="DA293" s="223"/>
      <c r="DB293" s="223"/>
      <c r="DC293" s="223"/>
      <c r="DD293" s="223"/>
      <c r="DE293" s="223"/>
      <c r="DF293" s="223"/>
      <c r="DG293" s="1853"/>
      <c r="DH293" s="223"/>
      <c r="DI293" s="595"/>
      <c r="DJ293" s="595"/>
      <c r="DK293" s="595"/>
      <c r="DL293" s="595"/>
      <c r="DM293" s="595"/>
      <c r="DN293" s="514"/>
      <c r="DO293" s="226"/>
      <c r="DY293" s="482"/>
      <c r="DZ293" s="482"/>
    </row>
    <row r="294" spans="1:132" ht="12" customHeight="1">
      <c r="A294" s="529" t="s">
        <v>1102</v>
      </c>
      <c r="B294" s="228"/>
      <c r="C294" s="228"/>
      <c r="D294" s="580">
        <f t="shared" ref="D294:AI294" si="506">D297*1000000/D289/D$5</f>
        <v>122.03313521891343</v>
      </c>
      <c r="E294" s="581">
        <f t="shared" si="506"/>
        <v>114.59931638881486</v>
      </c>
      <c r="F294" s="581">
        <f t="shared" si="506"/>
        <v>187.44831422026741</v>
      </c>
      <c r="G294" s="581">
        <f t="shared" si="506"/>
        <v>183.63022716079587</v>
      </c>
      <c r="H294" s="588">
        <f t="shared" si="506"/>
        <v>161.44995570920366</v>
      </c>
      <c r="I294" s="581">
        <f t="shared" si="506"/>
        <v>195.70998618511942</v>
      </c>
      <c r="J294" s="581">
        <f t="shared" si="506"/>
        <v>185.69980936766018</v>
      </c>
      <c r="K294" s="581">
        <f t="shared" si="506"/>
        <v>182.82943341828195</v>
      </c>
      <c r="L294" s="581">
        <f t="shared" si="506"/>
        <v>191.81358372377912</v>
      </c>
      <c r="M294" s="588">
        <f t="shared" si="506"/>
        <v>179.99460952442266</v>
      </c>
      <c r="N294" s="581">
        <f t="shared" si="506"/>
        <v>189.33697190216296</v>
      </c>
      <c r="O294" s="581">
        <f t="shared" si="506"/>
        <v>176.22735057544031</v>
      </c>
      <c r="P294" s="581">
        <f t="shared" si="506"/>
        <v>157.08671088184721</v>
      </c>
      <c r="Q294" s="581">
        <f t="shared" si="506"/>
        <v>172.42384492056553</v>
      </c>
      <c r="R294" s="588">
        <f t="shared" si="506"/>
        <v>174.590156501363</v>
      </c>
      <c r="S294" s="581">
        <f t="shared" si="506"/>
        <v>183.95538395538395</v>
      </c>
      <c r="T294" s="581">
        <f t="shared" si="506"/>
        <v>181.63081050404995</v>
      </c>
      <c r="U294" s="581">
        <f t="shared" si="506"/>
        <v>173.37636932707355</v>
      </c>
      <c r="V294" s="581">
        <f t="shared" si="506"/>
        <v>184.19411263385064</v>
      </c>
      <c r="W294" s="588">
        <f t="shared" si="506"/>
        <v>182.74226839662683</v>
      </c>
      <c r="X294" s="581">
        <f t="shared" si="506"/>
        <v>181.18531101603602</v>
      </c>
      <c r="Y294" s="581">
        <f t="shared" si="506"/>
        <v>173.64111455456074</v>
      </c>
      <c r="Z294" s="581">
        <f t="shared" si="506"/>
        <v>157.77793592823519</v>
      </c>
      <c r="AA294" s="581">
        <f t="shared" si="506"/>
        <v>155.52867911583354</v>
      </c>
      <c r="AB294" s="588">
        <f t="shared" si="506"/>
        <v>167.57067845851631</v>
      </c>
      <c r="AC294" s="581">
        <f t="shared" si="506"/>
        <v>156.08133527862654</v>
      </c>
      <c r="AD294" s="581">
        <f t="shared" si="506"/>
        <v>152.83142976738623</v>
      </c>
      <c r="AE294" s="581">
        <f t="shared" si="506"/>
        <v>139.08633282034816</v>
      </c>
      <c r="AF294" s="581">
        <f t="shared" si="506"/>
        <v>145.14545829196561</v>
      </c>
      <c r="AG294" s="588">
        <f t="shared" si="506"/>
        <v>149.36241747375155</v>
      </c>
      <c r="AH294" s="581">
        <f t="shared" si="506"/>
        <v>151.13273294143767</v>
      </c>
      <c r="AI294" s="581">
        <f t="shared" si="506"/>
        <v>146.13637600345967</v>
      </c>
      <c r="AJ294" s="581">
        <f t="shared" ref="AJ294:BO294" si="507">AJ297*1000000/AJ289/AJ$5</f>
        <v>137.48002855491723</v>
      </c>
      <c r="AK294" s="581">
        <f t="shared" si="507"/>
        <v>146.10213117430681</v>
      </c>
      <c r="AL294" s="588">
        <f t="shared" si="507"/>
        <v>145.78412408666048</v>
      </c>
      <c r="AM294" s="581">
        <f t="shared" si="507"/>
        <v>154.33996563985775</v>
      </c>
      <c r="AN294" s="581">
        <f t="shared" si="507"/>
        <v>149.99348009056746</v>
      </c>
      <c r="AO294" s="581">
        <f t="shared" si="507"/>
        <v>142.57754483060518</v>
      </c>
      <c r="AP294" s="581">
        <f t="shared" si="507"/>
        <v>152.48648357157265</v>
      </c>
      <c r="AQ294" s="588">
        <f t="shared" si="507"/>
        <v>150.61826984032632</v>
      </c>
      <c r="AR294" s="581">
        <f t="shared" si="507"/>
        <v>159.79126556862585</v>
      </c>
      <c r="AS294" s="581">
        <f t="shared" si="507"/>
        <v>153.80176422919496</v>
      </c>
      <c r="AT294" s="581">
        <f t="shared" si="507"/>
        <v>141.7148283537893</v>
      </c>
      <c r="AU294" s="581">
        <f t="shared" si="507"/>
        <v>153.16140006919616</v>
      </c>
      <c r="AV294" s="588">
        <f t="shared" si="507"/>
        <v>152.40697740054017</v>
      </c>
      <c r="AW294" s="581">
        <f t="shared" si="507"/>
        <v>162.23156375062365</v>
      </c>
      <c r="AX294" s="581">
        <f t="shared" si="507"/>
        <v>157.15535062052689</v>
      </c>
      <c r="AY294" s="581">
        <f t="shared" si="507"/>
        <v>145.68665079899145</v>
      </c>
      <c r="AZ294" s="581">
        <f t="shared" si="507"/>
        <v>154.32623023668222</v>
      </c>
      <c r="BA294" s="588">
        <f t="shared" si="507"/>
        <v>154.7958291675609</v>
      </c>
      <c r="BB294" s="581">
        <f t="shared" si="507"/>
        <v>160.70098366918154</v>
      </c>
      <c r="BC294" s="581">
        <f t="shared" si="507"/>
        <v>155.60506726584467</v>
      </c>
      <c r="BD294" s="581">
        <f t="shared" si="507"/>
        <v>146.58186378112634</v>
      </c>
      <c r="BE294" s="581">
        <f t="shared" si="507"/>
        <v>157.50748443942481</v>
      </c>
      <c r="BF294" s="588">
        <f t="shared" si="507"/>
        <v>155.06676626769564</v>
      </c>
      <c r="BG294" s="580">
        <f t="shared" si="507"/>
        <v>159.49023228175173</v>
      </c>
      <c r="BH294" s="581">
        <f t="shared" si="507"/>
        <v>160.60264823515706</v>
      </c>
      <c r="BI294" s="581">
        <f t="shared" si="507"/>
        <v>153.65626803635715</v>
      </c>
      <c r="BJ294" s="869">
        <f t="shared" si="507"/>
        <v>164.79261562991783</v>
      </c>
      <c r="BK294" s="588">
        <f t="shared" si="507"/>
        <v>159.63358682754588</v>
      </c>
      <c r="BL294" s="581">
        <f t="shared" si="507"/>
        <v>166.23410969700723</v>
      </c>
      <c r="BM294" s="581">
        <f t="shared" si="507"/>
        <v>162.60084104607074</v>
      </c>
      <c r="BN294" s="581">
        <f t="shared" si="507"/>
        <v>154.54588864482858</v>
      </c>
      <c r="BO294" s="2916">
        <f t="shared" si="507"/>
        <v>175.78973482029403</v>
      </c>
      <c r="BP294" s="588">
        <f t="shared" ref="BP294:CG294" si="508">BP297*1000000/BP289/BP$5</f>
        <v>161.28365324712846</v>
      </c>
      <c r="BQ294" s="581">
        <f t="shared" si="508"/>
        <v>171.99683836534098</v>
      </c>
      <c r="BR294" s="581">
        <f t="shared" si="508"/>
        <v>147.97724277231444</v>
      </c>
      <c r="BS294" s="581">
        <f t="shared" si="508"/>
        <v>141.63710356287785</v>
      </c>
      <c r="BT294" s="581">
        <f t="shared" si="508"/>
        <v>148.70355085218264</v>
      </c>
      <c r="BU294" s="3376">
        <f t="shared" si="508"/>
        <v>147.92608870870518</v>
      </c>
      <c r="BV294" s="581">
        <f t="shared" si="508"/>
        <v>157.34607674684995</v>
      </c>
      <c r="BW294" s="581">
        <f t="shared" si="508"/>
        <v>153.89633248320703</v>
      </c>
      <c r="BX294" s="581">
        <f t="shared" si="508"/>
        <v>147.30258770539297</v>
      </c>
      <c r="BY294" s="581">
        <f t="shared" si="508"/>
        <v>154.65169288626998</v>
      </c>
      <c r="BZ294" s="2696">
        <f t="shared" ref="BZ294" si="509">BZ297*1000000/BZ289/BZ$5</f>
        <v>153.27536158252417</v>
      </c>
      <c r="CA294" s="588">
        <f t="shared" si="508"/>
        <v>156.34086881417468</v>
      </c>
      <c r="CB294" s="588">
        <f t="shared" si="508"/>
        <v>155.91370797042009</v>
      </c>
      <c r="CC294" s="588">
        <f t="shared" si="508"/>
        <v>148.52382537346591</v>
      </c>
      <c r="CD294" s="588">
        <f t="shared" si="508"/>
        <v>141.09763410479263</v>
      </c>
      <c r="CE294" s="588">
        <f t="shared" si="508"/>
        <v>143.91958678688846</v>
      </c>
      <c r="CF294" s="588">
        <f t="shared" si="508"/>
        <v>146.39689114961362</v>
      </c>
      <c r="CG294" s="588">
        <f t="shared" si="508"/>
        <v>149.73393809307879</v>
      </c>
      <c r="CH294" s="581"/>
      <c r="CI294" s="581"/>
      <c r="CJ294" s="581"/>
      <c r="CK294" s="581"/>
      <c r="CL294" s="581"/>
      <c r="CM294" s="965"/>
      <c r="CN294" s="965">
        <f t="shared" ref="CN294" si="510">SUM(BV294:BY294)</f>
        <v>613.19668982171993</v>
      </c>
      <c r="CO294" s="581"/>
      <c r="CP294" s="1843" t="str">
        <f>A294</f>
        <v>Net Revenues/Day/Position</v>
      </c>
      <c r="CQ294" s="581">
        <f>H294</f>
        <v>161.44995570920366</v>
      </c>
      <c r="CR294" s="581">
        <f>M294</f>
        <v>179.99460952442266</v>
      </c>
      <c r="CS294" s="581">
        <f>R294</f>
        <v>174.590156501363</v>
      </c>
      <c r="CT294" s="581">
        <f>W294</f>
        <v>182.74226839662683</v>
      </c>
      <c r="CU294" s="581">
        <f>AB294</f>
        <v>167.57067845851631</v>
      </c>
      <c r="CV294" s="581">
        <f>AG294</f>
        <v>149.36241747375155</v>
      </c>
      <c r="CW294" s="581">
        <f>AL294</f>
        <v>145.78412408666048</v>
      </c>
      <c r="CX294" s="581">
        <f>AQ294</f>
        <v>150.61826984032632</v>
      </c>
      <c r="CY294" s="581">
        <f>AV294</f>
        <v>152.40697740054017</v>
      </c>
      <c r="CZ294" s="581">
        <f>BA294</f>
        <v>154.7958291675609</v>
      </c>
      <c r="DA294" s="581">
        <f>BF294</f>
        <v>155.06676626769564</v>
      </c>
      <c r="DB294" s="581">
        <f>BK294</f>
        <v>159.63358682754588</v>
      </c>
      <c r="DC294" s="581">
        <f>BP294</f>
        <v>161.28365324712846</v>
      </c>
      <c r="DD294" s="581">
        <f>BU294</f>
        <v>147.92608870870518</v>
      </c>
      <c r="DE294" s="581">
        <f t="shared" ref="DE294:DG295" si="511">BZ294</f>
        <v>153.27536158252417</v>
      </c>
      <c r="DF294" s="581">
        <f t="shared" si="511"/>
        <v>156.34086881417468</v>
      </c>
      <c r="DG294" s="869">
        <f t="shared" si="511"/>
        <v>155.91370797042009</v>
      </c>
      <c r="DH294" s="223"/>
      <c r="DI294" s="595"/>
      <c r="DJ294" s="595"/>
      <c r="DK294" s="595"/>
      <c r="DL294" s="595"/>
      <c r="DM294" s="595"/>
      <c r="DN294" s="514"/>
      <c r="DO294" s="226"/>
      <c r="DY294" s="581"/>
      <c r="DZ294" s="581"/>
    </row>
    <row r="295" spans="1:132" ht="12" customHeight="1">
      <c r="A295" s="257" t="s">
        <v>1249</v>
      </c>
      <c r="B295" s="545"/>
      <c r="C295" s="545"/>
      <c r="D295" s="358"/>
      <c r="E295" s="502"/>
      <c r="F295" s="502"/>
      <c r="G295" s="502"/>
      <c r="H295" s="503"/>
      <c r="I295" s="502">
        <f t="shared" ref="I295:AT295" si="512">+I294/D294-1</f>
        <v>0.60374463733999928</v>
      </c>
      <c r="J295" s="502">
        <f t="shared" si="512"/>
        <v>0.62042685086893656</v>
      </c>
      <c r="K295" s="502">
        <f t="shared" si="512"/>
        <v>-2.4640823371491538E-2</v>
      </c>
      <c r="L295" s="502">
        <f t="shared" si="512"/>
        <v>4.4564321950206542E-2</v>
      </c>
      <c r="M295" s="503">
        <f t="shared" si="512"/>
        <v>0.11486317065717122</v>
      </c>
      <c r="N295" s="502">
        <f t="shared" si="512"/>
        <v>-3.256356207050326E-2</v>
      </c>
      <c r="O295" s="502">
        <f t="shared" si="512"/>
        <v>-5.1009523512572374E-2</v>
      </c>
      <c r="P295" s="502">
        <f t="shared" si="512"/>
        <v>-0.14080185041945559</v>
      </c>
      <c r="Q295" s="502">
        <f t="shared" si="512"/>
        <v>-0.10108636951977168</v>
      </c>
      <c r="R295" s="503">
        <f t="shared" si="512"/>
        <v>-3.0025638197383686E-2</v>
      </c>
      <c r="S295" s="502">
        <f t="shared" si="512"/>
        <v>-2.842333376684536E-2</v>
      </c>
      <c r="T295" s="502">
        <f t="shared" si="512"/>
        <v>3.0661868949204418E-2</v>
      </c>
      <c r="U295" s="502">
        <f t="shared" si="512"/>
        <v>0.10369851373028371</v>
      </c>
      <c r="V295" s="502">
        <f t="shared" si="512"/>
        <v>6.8263572933938477E-2</v>
      </c>
      <c r="W295" s="503">
        <f t="shared" si="512"/>
        <v>4.6692849463138009E-2</v>
      </c>
      <c r="X295" s="502">
        <f t="shared" si="512"/>
        <v>-1.5058395572807859E-2</v>
      </c>
      <c r="Y295" s="502">
        <f t="shared" si="512"/>
        <v>-4.3988659893752224E-2</v>
      </c>
      <c r="Z295" s="502">
        <f t="shared" si="512"/>
        <v>-8.9968624094394323E-2</v>
      </c>
      <c r="AA295" s="502">
        <f t="shared" si="512"/>
        <v>-0.15562622012246141</v>
      </c>
      <c r="AB295" s="503">
        <f t="shared" si="512"/>
        <v>-8.3021788397536156E-2</v>
      </c>
      <c r="AC295" s="502">
        <f t="shared" si="512"/>
        <v>-0.13855414435438218</v>
      </c>
      <c r="AD295" s="502">
        <f t="shared" si="512"/>
        <v>-0.11984307311409126</v>
      </c>
      <c r="AE295" s="502">
        <f t="shared" si="512"/>
        <v>-0.11846778827420368</v>
      </c>
      <c r="AF295" s="502">
        <f t="shared" si="512"/>
        <v>-6.6760811465098269E-2</v>
      </c>
      <c r="AG295" s="503">
        <f t="shared" si="512"/>
        <v>-0.10866018537528566</v>
      </c>
      <c r="AH295" s="502">
        <f t="shared" si="512"/>
        <v>-3.1705279355503602E-2</v>
      </c>
      <c r="AI295" s="502">
        <f t="shared" si="512"/>
        <v>-4.3806786170335621E-2</v>
      </c>
      <c r="AJ295" s="502">
        <f t="shared" si="512"/>
        <v>-1.1548972734119922E-2</v>
      </c>
      <c r="AK295" s="502">
        <f t="shared" si="512"/>
        <v>6.5911320519365102E-3</v>
      </c>
      <c r="AL295" s="503">
        <f t="shared" si="512"/>
        <v>-2.3957120188684011E-2</v>
      </c>
      <c r="AM295" s="502">
        <f t="shared" si="512"/>
        <v>2.1221297570678255E-2</v>
      </c>
      <c r="AN295" s="502">
        <f t="shared" si="512"/>
        <v>2.6393867102715518E-2</v>
      </c>
      <c r="AO295" s="502">
        <f t="shared" si="512"/>
        <v>3.7078231138508277E-2</v>
      </c>
      <c r="AP295" s="502">
        <f t="shared" si="512"/>
        <v>4.3697873165511991E-2</v>
      </c>
      <c r="AQ295" s="503">
        <f t="shared" si="512"/>
        <v>3.3159617235085204E-2</v>
      </c>
      <c r="AR295" s="502">
        <f t="shared" si="512"/>
        <v>3.5320079968712337E-2</v>
      </c>
      <c r="AS295" s="502">
        <f t="shared" si="512"/>
        <v>2.5389664512937671E-2</v>
      </c>
      <c r="AT295" s="502">
        <f t="shared" si="512"/>
        <v>-6.0508579933877815E-3</v>
      </c>
      <c r="AU295" s="502">
        <f t="shared" ref="AU295:BF295" si="513">+AU294/AP294-1</f>
        <v>4.4260742448476442E-3</v>
      </c>
      <c r="AV295" s="503">
        <f>+AV294/AQ294-1</f>
        <v>1.1875767542079085E-2</v>
      </c>
      <c r="AW295" s="502">
        <f t="shared" si="513"/>
        <v>1.5271787061162945E-2</v>
      </c>
      <c r="AX295" s="502">
        <f t="shared" si="513"/>
        <v>2.1804602880461266E-2</v>
      </c>
      <c r="AY295" s="502">
        <f t="shared" si="513"/>
        <v>2.8026865581677551E-2</v>
      </c>
      <c r="AZ295" s="502">
        <f>+AZ294/AU294-1</f>
        <v>7.6052462758879891E-3</v>
      </c>
      <c r="BA295" s="503">
        <f>+BA294/AV294-1</f>
        <v>1.5674162743498199E-2</v>
      </c>
      <c r="BB295" s="502">
        <f t="shared" si="513"/>
        <v>-9.4345394080947997E-3</v>
      </c>
      <c r="BC295" s="502">
        <f t="shared" si="513"/>
        <v>-9.8646552507498653E-3</v>
      </c>
      <c r="BD295" s="502">
        <f t="shared" si="513"/>
        <v>6.1447838715851244E-3</v>
      </c>
      <c r="BE295" s="502">
        <f t="shared" si="513"/>
        <v>2.0613826942209812E-2</v>
      </c>
      <c r="BF295" s="503">
        <f t="shared" si="513"/>
        <v>1.7502868235645952E-3</v>
      </c>
      <c r="BG295" s="358">
        <f t="shared" ref="BG295:BP295" si="514">+BG294/BB294-1</f>
        <v>-7.5341877802207469E-3</v>
      </c>
      <c r="BH295" s="502">
        <f t="shared" si="514"/>
        <v>3.2117083698657733E-2</v>
      </c>
      <c r="BI295" s="502">
        <f t="shared" si="514"/>
        <v>4.8262479905387234E-2</v>
      </c>
      <c r="BJ295" s="1855">
        <f t="shared" si="514"/>
        <v>4.6252603274194115E-2</v>
      </c>
      <c r="BK295" s="503">
        <f t="shared" si="514"/>
        <v>2.9450672570074943E-2</v>
      </c>
      <c r="BL295" s="502">
        <f t="shared" si="514"/>
        <v>4.2283952557934157E-2</v>
      </c>
      <c r="BM295" s="502">
        <f t="shared" si="514"/>
        <v>1.2441842229076405E-2</v>
      </c>
      <c r="BN295" s="502">
        <f t="shared" si="514"/>
        <v>5.7896799124455001E-3</v>
      </c>
      <c r="BO295" s="1855">
        <f t="shared" si="514"/>
        <v>6.6733082355297624E-2</v>
      </c>
      <c r="BP295" s="503">
        <f t="shared" si="514"/>
        <v>1.0336586757053512E-2</v>
      </c>
      <c r="BQ295" s="502">
        <f t="shared" ref="BQ295:BZ295" si="515">+BQ294/BL294-1</f>
        <v>3.4666343019717161E-2</v>
      </c>
      <c r="BR295" s="502">
        <f t="shared" si="515"/>
        <v>-8.9935563553529829E-2</v>
      </c>
      <c r="BS295" s="502">
        <f>+BS294/BN294-1</f>
        <v>-8.3527198265475722E-2</v>
      </c>
      <c r="BT295" s="502">
        <f t="shared" si="515"/>
        <v>-0.15408285356253026</v>
      </c>
      <c r="BU295" s="3381">
        <f t="shared" si="515"/>
        <v>-8.2820324747704066E-2</v>
      </c>
      <c r="BV295" s="502">
        <f t="shared" si="515"/>
        <v>-8.5180412371134051E-2</v>
      </c>
      <c r="BW295" s="502">
        <f t="shared" si="515"/>
        <v>4.0000000000000036E-2</v>
      </c>
      <c r="BX295" s="502">
        <f>+BX294/BS294-1</f>
        <v>4.0000000000000036E-2</v>
      </c>
      <c r="BY295" s="502">
        <f t="shared" si="515"/>
        <v>4.0000000000000258E-2</v>
      </c>
      <c r="BZ295" s="503">
        <f t="shared" si="515"/>
        <v>3.6161794856570006E-2</v>
      </c>
      <c r="CA295" s="503">
        <f t="shared" ref="CA295:CG295" si="516">CA294/BZ294-1</f>
        <v>2.000000000000024E-2</v>
      </c>
      <c r="CB295" s="503">
        <f t="shared" si="516"/>
        <v>-2.732240437158584E-3</v>
      </c>
      <c r="CC295" s="503">
        <f t="shared" si="516"/>
        <v>-4.739726027397273E-2</v>
      </c>
      <c r="CD295" s="503">
        <f t="shared" si="516"/>
        <v>-4.9999999999999933E-2</v>
      </c>
      <c r="CE295" s="503">
        <f t="shared" si="516"/>
        <v>1.9999999999999796E-2</v>
      </c>
      <c r="CF295" s="503">
        <f t="shared" si="516"/>
        <v>1.7213114754098591E-2</v>
      </c>
      <c r="CG295" s="503">
        <f t="shared" si="516"/>
        <v>2.2794520547945174E-2</v>
      </c>
      <c r="CH295" s="548"/>
      <c r="CI295" s="548"/>
      <c r="CJ295" s="548"/>
      <c r="CK295" s="548"/>
      <c r="CL295" s="548"/>
      <c r="CM295" s="548"/>
      <c r="CN295" s="548"/>
      <c r="CO295" s="548"/>
      <c r="CP295" s="396" t="str">
        <f>A295</f>
        <v>% Growth (y-o-y)</v>
      </c>
      <c r="CQ295" s="502"/>
      <c r="CR295" s="502">
        <f>M295</f>
        <v>0.11486317065717122</v>
      </c>
      <c r="CS295" s="502">
        <f>R295</f>
        <v>-3.0025638197383686E-2</v>
      </c>
      <c r="CT295" s="502">
        <f>W295</f>
        <v>4.6692849463138009E-2</v>
      </c>
      <c r="CU295" s="502">
        <f>AB295</f>
        <v>-8.3021788397536156E-2</v>
      </c>
      <c r="CV295" s="502">
        <f>AG295</f>
        <v>-0.10866018537528566</v>
      </c>
      <c r="CW295" s="502">
        <f>AL295</f>
        <v>-2.3957120188684011E-2</v>
      </c>
      <c r="CX295" s="502">
        <f>AQ295</f>
        <v>3.3159617235085204E-2</v>
      </c>
      <c r="CY295" s="502">
        <f>AV295</f>
        <v>1.1875767542079085E-2</v>
      </c>
      <c r="CZ295" s="502">
        <f>BA295</f>
        <v>1.5674162743498199E-2</v>
      </c>
      <c r="DA295" s="502">
        <f>BF295</f>
        <v>1.7502868235645952E-3</v>
      </c>
      <c r="DB295" s="502">
        <f>BK295</f>
        <v>2.9450672570074943E-2</v>
      </c>
      <c r="DC295" s="502">
        <f>BP295</f>
        <v>1.0336586757053512E-2</v>
      </c>
      <c r="DD295" s="502">
        <f>BU295</f>
        <v>-8.2820324747704066E-2</v>
      </c>
      <c r="DE295" s="502">
        <f t="shared" si="511"/>
        <v>3.6161794856570006E-2</v>
      </c>
      <c r="DF295" s="502">
        <f t="shared" si="511"/>
        <v>2.000000000000024E-2</v>
      </c>
      <c r="DG295" s="1855">
        <f t="shared" si="511"/>
        <v>-2.732240437158584E-3</v>
      </c>
      <c r="DH295" s="609"/>
      <c r="DI295" s="573"/>
      <c r="DJ295" s="573"/>
      <c r="DK295" s="573"/>
      <c r="DL295" s="573"/>
      <c r="DM295" s="573"/>
      <c r="DN295" s="551"/>
      <c r="DO295" s="266"/>
      <c r="DY295" s="502"/>
      <c r="DZ295" s="502"/>
    </row>
    <row r="296" spans="1:132" ht="6" customHeight="1">
      <c r="A296" s="552"/>
      <c r="B296" s="228"/>
      <c r="C296" s="228"/>
      <c r="D296" s="315"/>
      <c r="E296" s="472"/>
      <c r="F296" s="472"/>
      <c r="G296" s="472"/>
      <c r="H296" s="471"/>
      <c r="I296" s="472"/>
      <c r="J296" s="472"/>
      <c r="K296" s="472"/>
      <c r="L296" s="472"/>
      <c r="M296" s="471"/>
      <c r="N296" s="472"/>
      <c r="O296" s="472"/>
      <c r="P296" s="472"/>
      <c r="Q296" s="472"/>
      <c r="R296" s="471"/>
      <c r="S296" s="472"/>
      <c r="T296" s="472"/>
      <c r="U296" s="472"/>
      <c r="V296" s="472"/>
      <c r="W296" s="471"/>
      <c r="X296" s="472"/>
      <c r="Y296" s="472"/>
      <c r="Z296" s="472"/>
      <c r="AA296" s="472"/>
      <c r="AB296" s="471"/>
      <c r="AC296" s="472"/>
      <c r="AD296" s="472"/>
      <c r="AE296" s="472"/>
      <c r="AF296" s="472"/>
      <c r="AG296" s="471"/>
      <c r="AH296" s="472"/>
      <c r="AI296" s="472"/>
      <c r="AJ296" s="472"/>
      <c r="AK296" s="472"/>
      <c r="AL296" s="471"/>
      <c r="AM296" s="472"/>
      <c r="AN296" s="472"/>
      <c r="AO296" s="472"/>
      <c r="AP296" s="472"/>
      <c r="AQ296" s="471"/>
      <c r="AR296" s="472"/>
      <c r="AS296" s="472"/>
      <c r="AT296" s="472"/>
      <c r="AU296" s="472"/>
      <c r="AV296" s="471"/>
      <c r="AW296" s="472"/>
      <c r="AX296" s="472"/>
      <c r="AY296" s="472"/>
      <c r="AZ296" s="472"/>
      <c r="BA296" s="471"/>
      <c r="BB296" s="472"/>
      <c r="BC296" s="472"/>
      <c r="BD296" s="472"/>
      <c r="BE296" s="472"/>
      <c r="BF296" s="471"/>
      <c r="BG296" s="315"/>
      <c r="BH296" s="472"/>
      <c r="BI296" s="472"/>
      <c r="BJ296" s="2800"/>
      <c r="BK296" s="471"/>
      <c r="BL296" s="472"/>
      <c r="BM296" s="472"/>
      <c r="BN296" s="472"/>
      <c r="BO296" s="2800"/>
      <c r="BP296" s="471"/>
      <c r="BQ296" s="472"/>
      <c r="BR296" s="472"/>
      <c r="BS296" s="472"/>
      <c r="BT296" s="2800"/>
      <c r="BU296" s="3338"/>
      <c r="BV296" s="472"/>
      <c r="BW296" s="472"/>
      <c r="BX296" s="472"/>
      <c r="BY296" s="2800"/>
      <c r="BZ296" s="4004"/>
      <c r="CA296" s="471"/>
      <c r="CB296" s="471"/>
      <c r="CC296" s="471"/>
      <c r="CD296" s="471"/>
      <c r="CE296" s="471"/>
      <c r="CF296" s="471"/>
      <c r="CG296" s="471"/>
      <c r="CH296" s="472"/>
      <c r="CI296" s="472"/>
      <c r="CJ296" s="472"/>
      <c r="CK296" s="472"/>
      <c r="CL296" s="472"/>
      <c r="CM296" s="472"/>
      <c r="CN296" s="472"/>
      <c r="CO296" s="472"/>
      <c r="CP296" s="994"/>
      <c r="CQ296" s="318"/>
      <c r="CR296" s="318"/>
      <c r="CS296" s="318"/>
      <c r="CT296" s="318"/>
      <c r="CU296" s="318"/>
      <c r="CV296" s="318"/>
      <c r="CW296" s="318"/>
      <c r="CX296" s="318"/>
      <c r="CY296" s="318"/>
      <c r="CZ296" s="318"/>
      <c r="DA296" s="318"/>
      <c r="DB296" s="318"/>
      <c r="DC296" s="318"/>
      <c r="DD296" s="318"/>
      <c r="DE296" s="318"/>
      <c r="DF296" s="318"/>
      <c r="DG296" s="1867"/>
      <c r="DH296" s="223"/>
      <c r="DI296" s="595"/>
      <c r="DJ296" s="595"/>
      <c r="DK296" s="595"/>
      <c r="DL296" s="595"/>
      <c r="DM296" s="595"/>
      <c r="DN296" s="514"/>
      <c r="DO296" s="226"/>
      <c r="DY296" s="472"/>
      <c r="DZ296" s="472"/>
    </row>
    <row r="297" spans="1:132" ht="12" customHeight="1">
      <c r="A297" s="228" t="s">
        <v>504</v>
      </c>
      <c r="B297" s="228"/>
      <c r="C297" s="228"/>
      <c r="D297" s="653">
        <f>D232</f>
        <v>47.163000000000004</v>
      </c>
      <c r="E297" s="654">
        <f>E232</f>
        <v>44.29</v>
      </c>
      <c r="F297" s="654">
        <f>F232+F263</f>
        <v>204.90799999999999</v>
      </c>
      <c r="G297" s="654">
        <f>G232+G263</f>
        <v>228.18700000000001</v>
      </c>
      <c r="H297" s="656">
        <f>SUM(D297:G297)</f>
        <v>524.548</v>
      </c>
      <c r="I297" s="654">
        <f>I232+I263</f>
        <v>237.99900000000002</v>
      </c>
      <c r="J297" s="654">
        <f>J232+J263</f>
        <v>228.33500000000001</v>
      </c>
      <c r="K297" s="654">
        <f>K232+K263</f>
        <v>227.27599999999998</v>
      </c>
      <c r="L297" s="654">
        <f>L232+L263</f>
        <v>243.01400000000001</v>
      </c>
      <c r="M297" s="656">
        <f>SUM(I297:L297)</f>
        <v>936.62400000000002</v>
      </c>
      <c r="N297" s="611">
        <v>280.995</v>
      </c>
      <c r="O297" s="611">
        <v>264.44499999999999</v>
      </c>
      <c r="P297" s="611">
        <v>199.524</v>
      </c>
      <c r="Q297" s="611">
        <v>217.672</v>
      </c>
      <c r="R297" s="355">
        <f>SUM(N297:Q297)</f>
        <v>962.63600000000008</v>
      </c>
      <c r="S297" s="611">
        <v>218.68799999999999</v>
      </c>
      <c r="T297" s="611">
        <v>211.233</v>
      </c>
      <c r="U297" s="611">
        <v>203.84899999999999</v>
      </c>
      <c r="V297" s="611">
        <v>214.399</v>
      </c>
      <c r="W297" s="355">
        <f>SUM(S297:V297)</f>
        <v>848.16899999999998</v>
      </c>
      <c r="X297" s="611">
        <v>206.494</v>
      </c>
      <c r="Y297" s="611">
        <v>197.89599999999999</v>
      </c>
      <c r="Z297" s="611">
        <v>181.79300000000001</v>
      </c>
      <c r="AA297" s="611">
        <v>176.81899999999999</v>
      </c>
      <c r="AB297" s="355">
        <f>SUM(X297:AA297)</f>
        <v>763.00199999999995</v>
      </c>
      <c r="AC297" s="611">
        <v>170.09899999999999</v>
      </c>
      <c r="AD297" s="611">
        <v>166.12700000000001</v>
      </c>
      <c r="AE297" s="611">
        <v>150.749</v>
      </c>
      <c r="AF297" s="611">
        <v>154.96600000000001</v>
      </c>
      <c r="AG297" s="355">
        <f>SUM(AC297:AF297)</f>
        <v>641.94100000000003</v>
      </c>
      <c r="AH297" s="611">
        <v>156.572</v>
      </c>
      <c r="AI297" s="611">
        <v>153.078</v>
      </c>
      <c r="AJ297" s="611">
        <v>145.59299999999999</v>
      </c>
      <c r="AK297" s="611">
        <v>152.12299999999999</v>
      </c>
      <c r="AL297" s="355">
        <f>SUM(AH297:AK297)</f>
        <v>607.36599999999999</v>
      </c>
      <c r="AM297" s="611">
        <v>154.51900000000001</v>
      </c>
      <c r="AN297" s="611">
        <v>151.83600000000001</v>
      </c>
      <c r="AO297" s="611">
        <v>145.91499999999999</v>
      </c>
      <c r="AP297" s="611">
        <v>152.696</v>
      </c>
      <c r="AQ297" s="355">
        <f>SUM(AM297:AP297)</f>
        <v>604.96600000000001</v>
      </c>
      <c r="AR297" s="611">
        <v>154.78899999999999</v>
      </c>
      <c r="AS297" s="611">
        <v>148.98699999999999</v>
      </c>
      <c r="AT297" s="611">
        <v>138.78700000000001</v>
      </c>
      <c r="AU297" s="611">
        <v>148.74299999999999</v>
      </c>
      <c r="AV297" s="355">
        <f>SUM(AR297:AU297)</f>
        <v>591.30600000000004</v>
      </c>
      <c r="AW297" s="611">
        <v>152.827</v>
      </c>
      <c r="AX297" s="611">
        <v>149.69</v>
      </c>
      <c r="AY297" s="611">
        <v>140.291</v>
      </c>
      <c r="AZ297" s="611">
        <v>148.63900000000001</v>
      </c>
      <c r="BA297" s="355">
        <f>SUM(AW297:AZ297)</f>
        <v>591.447</v>
      </c>
      <c r="BB297" s="611">
        <v>151.44300000000001</v>
      </c>
      <c r="BC297" s="611">
        <v>148.27000000000001</v>
      </c>
      <c r="BD297" s="611">
        <v>141.20699999999999</v>
      </c>
      <c r="BE297" s="611">
        <v>151.732</v>
      </c>
      <c r="BF297" s="355">
        <f>SUM(BB297:BE297)</f>
        <v>592.65200000000004</v>
      </c>
      <c r="BG297" s="611">
        <v>150.30199999999999</v>
      </c>
      <c r="BH297" s="3202">
        <v>153.03200000000001</v>
      </c>
      <c r="BI297" s="3202">
        <v>148.02199999999999</v>
      </c>
      <c r="BJ297" s="3202">
        <v>158.75</v>
      </c>
      <c r="BK297" s="355">
        <f>SUM(BG297:BJ297)</f>
        <v>610.10599999999999</v>
      </c>
      <c r="BL297" s="3202">
        <v>158.398</v>
      </c>
      <c r="BM297" s="3202">
        <v>154.93600000000001</v>
      </c>
      <c r="BN297" s="3202">
        <v>148.87899999999999</v>
      </c>
      <c r="BO297" s="3915">
        <v>185.654</v>
      </c>
      <c r="BP297" s="355">
        <f>SUM(BL297:BO297)</f>
        <v>647.86699999999996</v>
      </c>
      <c r="BQ297" s="3915">
        <v>219.78100000000001</v>
      </c>
      <c r="BR297" s="3915">
        <v>214.21600000000001</v>
      </c>
      <c r="BS297" s="3915">
        <v>207.291</v>
      </c>
      <c r="BT297" s="3915">
        <v>217.63300000000001</v>
      </c>
      <c r="BU297" s="3387">
        <f>SUM(BQ297:BT297)</f>
        <v>858.92100000000005</v>
      </c>
      <c r="BV297" s="354">
        <f>BQ297*(1+BV299)</f>
        <v>225.27552499999999</v>
      </c>
      <c r="BW297" s="354">
        <f t="shared" ref="BW297:BY297" si="517">BR297*(1+BW299)</f>
        <v>222.78464000000002</v>
      </c>
      <c r="BX297" s="354">
        <f>BS297*(1+BX299)</f>
        <v>215.58264</v>
      </c>
      <c r="BY297" s="354">
        <f t="shared" si="517"/>
        <v>226.33832000000001</v>
      </c>
      <c r="BZ297" s="355">
        <f>SUM(BV297:BY297)</f>
        <v>889.98112500000002</v>
      </c>
      <c r="CA297" s="355">
        <f>BZ297*(1+CA299)</f>
        <v>907.78074750000007</v>
      </c>
      <c r="CB297" s="355">
        <f>CA297*(1+CB299)</f>
        <v>907.78074750000007</v>
      </c>
      <c r="CC297" s="355">
        <f>CB297*(1+CC298)</f>
        <v>862.39171012500003</v>
      </c>
      <c r="CD297" s="355">
        <f>CC297*(1+CD298)</f>
        <v>819.27212461875001</v>
      </c>
      <c r="CE297" s="355">
        <f>CD297*(1+CE298)</f>
        <v>835.65756711112499</v>
      </c>
      <c r="CF297" s="355">
        <f>CE297*(1+CF298)</f>
        <v>852.37071845334754</v>
      </c>
      <c r="CG297" s="355">
        <f>CF297*(1+CG298)</f>
        <v>869.41813282241446</v>
      </c>
      <c r="CH297" s="354"/>
      <c r="CI297" s="354"/>
      <c r="CJ297" s="354"/>
      <c r="CK297" s="354"/>
      <c r="CL297" s="354"/>
      <c r="CM297" s="965"/>
      <c r="CN297" s="965">
        <f t="shared" ref="CN297" si="518">SUM(BV297:BY297)</f>
        <v>889.98112500000002</v>
      </c>
      <c r="CO297" s="965">
        <f t="shared" ref="CO297" si="519">CM297-CN297</f>
        <v>-889.98112500000002</v>
      </c>
      <c r="CP297" s="1847"/>
      <c r="CQ297" s="354"/>
      <c r="CR297" s="354"/>
      <c r="CS297" s="354"/>
      <c r="CT297" s="354"/>
      <c r="CU297" s="354"/>
      <c r="CV297" s="354"/>
      <c r="CW297" s="354"/>
      <c r="CX297" s="354"/>
      <c r="CY297" s="354"/>
      <c r="CZ297" s="354"/>
      <c r="DA297" s="354"/>
      <c r="DB297" s="354"/>
      <c r="DC297" s="354"/>
      <c r="DD297" s="354"/>
      <c r="DE297" s="354"/>
      <c r="DF297" s="354"/>
      <c r="DG297" s="1838"/>
      <c r="DH297" s="521"/>
      <c r="DI297" s="614"/>
      <c r="DJ297" s="614"/>
      <c r="DK297" s="614"/>
      <c r="DL297" s="614"/>
      <c r="DM297" s="614"/>
      <c r="DN297" s="559"/>
      <c r="DO297" s="269"/>
      <c r="DY297" s="354"/>
      <c r="DZ297" s="354"/>
    </row>
    <row r="298" spans="1:132" ht="12" customHeight="1">
      <c r="A298" s="257" t="s">
        <v>1249</v>
      </c>
      <c r="B298" s="545"/>
      <c r="C298" s="545"/>
      <c r="D298" s="259"/>
      <c r="E298" s="263"/>
      <c r="F298" s="263"/>
      <c r="G298" s="263"/>
      <c r="H298" s="262"/>
      <c r="I298" s="263">
        <f>+I297/D297-1</f>
        <v>4.0463074868010942</v>
      </c>
      <c r="J298" s="263">
        <f>+J297/E297-1</f>
        <v>4.1554526981259885</v>
      </c>
      <c r="K298" s="263">
        <f>+K297/F297-1</f>
        <v>0.10916118453159473</v>
      </c>
      <c r="L298" s="263">
        <f>+L297/G297-1</f>
        <v>6.4977408879559384E-2</v>
      </c>
      <c r="M298" s="262">
        <f>+M297/H297-1</f>
        <v>0.78558301623492999</v>
      </c>
      <c r="N298" s="502">
        <f t="shared" ref="N298:S298" si="520">N297/I297-1</f>
        <v>0.18065622124462699</v>
      </c>
      <c r="O298" s="502">
        <f t="shared" si="520"/>
        <v>0.15814483105962718</v>
      </c>
      <c r="P298" s="502">
        <f t="shared" si="520"/>
        <v>-0.12210704165860009</v>
      </c>
      <c r="Q298" s="502">
        <f t="shared" si="520"/>
        <v>-0.10428205782382916</v>
      </c>
      <c r="R298" s="503">
        <f t="shared" si="520"/>
        <v>2.7772083568219585E-2</v>
      </c>
      <c r="S298" s="502">
        <f t="shared" si="520"/>
        <v>-0.22173704158436991</v>
      </c>
      <c r="T298" s="502">
        <f t="shared" ref="T298:Y298" si="521">T297/O297-1</f>
        <v>-0.20122142600540749</v>
      </c>
      <c r="U298" s="502">
        <f t="shared" si="521"/>
        <v>2.1676590284877895E-2</v>
      </c>
      <c r="V298" s="502">
        <f t="shared" si="521"/>
        <v>-1.5036385019662646E-2</v>
      </c>
      <c r="W298" s="503">
        <f t="shared" si="521"/>
        <v>-0.11890995142504546</v>
      </c>
      <c r="X298" s="502">
        <f t="shared" si="521"/>
        <v>-5.575980392156854E-2</v>
      </c>
      <c r="Y298" s="502">
        <f t="shared" si="521"/>
        <v>-6.3138808803548718E-2</v>
      </c>
      <c r="Z298" s="502">
        <f t="shared" ref="Z298:AG298" si="522">Z297/U297-1</f>
        <v>-0.10819773459766779</v>
      </c>
      <c r="AA298" s="502">
        <f t="shared" si="522"/>
        <v>-0.17528066828669919</v>
      </c>
      <c r="AB298" s="503">
        <f t="shared" si="522"/>
        <v>-0.10041277151133798</v>
      </c>
      <c r="AC298" s="502">
        <f t="shared" si="522"/>
        <v>-0.17625209449184964</v>
      </c>
      <c r="AD298" s="502">
        <f t="shared" si="522"/>
        <v>-0.16053381574160153</v>
      </c>
      <c r="AE298" s="502">
        <f t="shared" si="522"/>
        <v>-0.1707656510426695</v>
      </c>
      <c r="AF298" s="502">
        <f t="shared" si="522"/>
        <v>-0.12358965948229539</v>
      </c>
      <c r="AG298" s="503">
        <f t="shared" si="522"/>
        <v>-0.15866406641135922</v>
      </c>
      <c r="AH298" s="502">
        <f t="shared" ref="AH298:AW298" si="523">AH297/AC297-1</f>
        <v>-7.9524277038665603E-2</v>
      </c>
      <c r="AI298" s="502">
        <f t="shared" si="523"/>
        <v>-7.8548339523376698E-2</v>
      </c>
      <c r="AJ298" s="502">
        <f t="shared" si="523"/>
        <v>-3.4202548607287664E-2</v>
      </c>
      <c r="AK298" s="502">
        <f t="shared" si="523"/>
        <v>-1.8345959758914954E-2</v>
      </c>
      <c r="AL298" s="503">
        <f t="shared" si="523"/>
        <v>-5.386008994596081E-2</v>
      </c>
      <c r="AM298" s="502">
        <f t="shared" si="523"/>
        <v>-1.3112178422706511E-2</v>
      </c>
      <c r="AN298" s="502">
        <f t="shared" si="523"/>
        <v>-8.1135107592207323E-3</v>
      </c>
      <c r="AO298" s="502">
        <f t="shared" si="523"/>
        <v>2.211644790614864E-3</v>
      </c>
      <c r="AP298" s="502">
        <f t="shared" si="523"/>
        <v>3.7666887978806685E-3</v>
      </c>
      <c r="AQ298" s="503">
        <f>AQ297/AL297-1</f>
        <v>-3.9514888880839427E-3</v>
      </c>
      <c r="AR298" s="502">
        <f t="shared" si="523"/>
        <v>1.747357930092619E-3</v>
      </c>
      <c r="AS298" s="502">
        <f t="shared" si="523"/>
        <v>-1.8763666060749862E-2</v>
      </c>
      <c r="AT298" s="502">
        <f t="shared" si="523"/>
        <v>-4.8850358085186452E-2</v>
      </c>
      <c r="AU298" s="502">
        <f t="shared" si="523"/>
        <v>-2.5888038979410055E-2</v>
      </c>
      <c r="AV298" s="503">
        <f>AV297/AQ297-1</f>
        <v>-2.2579781343083694E-2</v>
      </c>
      <c r="AW298" s="502">
        <f t="shared" si="523"/>
        <v>-1.2675319305635369E-2</v>
      </c>
      <c r="AX298" s="502">
        <f t="shared" ref="AX298:BO298" si="524">AX297/AS297-1</f>
        <v>4.7185324894118974E-3</v>
      </c>
      <c r="AY298" s="502">
        <f t="shared" si="524"/>
        <v>1.0836749839682414E-2</v>
      </c>
      <c r="AZ298" s="502">
        <f t="shared" si="524"/>
        <v>-6.9919256704509269E-4</v>
      </c>
      <c r="BA298" s="503">
        <f t="shared" si="524"/>
        <v>2.3845521608101272E-4</v>
      </c>
      <c r="BB298" s="502">
        <f t="shared" si="524"/>
        <v>-9.0559914151294718E-3</v>
      </c>
      <c r="BC298" s="502">
        <f t="shared" si="524"/>
        <v>-9.4862716280311732E-3</v>
      </c>
      <c r="BD298" s="502">
        <f t="shared" si="524"/>
        <v>6.5292855564504926E-3</v>
      </c>
      <c r="BE298" s="502">
        <f t="shared" si="524"/>
        <v>2.0808805226084637E-2</v>
      </c>
      <c r="BF298" s="503">
        <f>BF297/BA297-1</f>
        <v>2.037376130067603E-3</v>
      </c>
      <c r="BG298" s="502">
        <f t="shared" si="524"/>
        <v>-7.5341877802210799E-3</v>
      </c>
      <c r="BH298" s="502">
        <f t="shared" si="524"/>
        <v>3.2117083698657956E-2</v>
      </c>
      <c r="BI298" s="502">
        <f t="shared" si="524"/>
        <v>4.8262479905387012E-2</v>
      </c>
      <c r="BJ298" s="502">
        <f t="shared" si="524"/>
        <v>4.6252603274193893E-2</v>
      </c>
      <c r="BK298" s="503">
        <f>BK297/BF297-1</f>
        <v>2.9450672570074721E-2</v>
      </c>
      <c r="BL298" s="502">
        <f t="shared" si="524"/>
        <v>5.3864885364133475E-2</v>
      </c>
      <c r="BM298" s="502">
        <f t="shared" si="524"/>
        <v>1.2441842229076183E-2</v>
      </c>
      <c r="BN298" s="502">
        <f t="shared" si="524"/>
        <v>5.7896799124455001E-3</v>
      </c>
      <c r="BO298" s="502">
        <f t="shared" si="524"/>
        <v>0.16947401574803145</v>
      </c>
      <c r="BP298" s="503">
        <f t="shared" ref="BP298:BU298" si="525">BP297/BK297-1</f>
        <v>6.1892523594260673E-2</v>
      </c>
      <c r="BQ298" s="502">
        <f t="shared" si="525"/>
        <v>0.38752383237162102</v>
      </c>
      <c r="BR298" s="502">
        <f t="shared" si="525"/>
        <v>0.38260959363866376</v>
      </c>
      <c r="BS298" s="502">
        <f>BS297/BN297-1</f>
        <v>0.39234546175081775</v>
      </c>
      <c r="BT298" s="502">
        <f t="shared" si="525"/>
        <v>0.17225053055684247</v>
      </c>
      <c r="BU298" s="3381">
        <f t="shared" si="525"/>
        <v>0.32576748005377665</v>
      </c>
      <c r="BV298" s="502">
        <f t="shared" ref="BV298" si="526">BV297/BQ297-1</f>
        <v>2.4999999999999911E-2</v>
      </c>
      <c r="BW298" s="502">
        <f t="shared" ref="BW298" si="527">BW297/BR297-1</f>
        <v>4.0000000000000036E-2</v>
      </c>
      <c r="BX298" s="502">
        <f>BX297/BS297-1</f>
        <v>4.0000000000000036E-2</v>
      </c>
      <c r="BY298" s="502">
        <f t="shared" ref="BY298:BZ298" si="528">BY297/BT297-1</f>
        <v>4.0000000000000036E-2</v>
      </c>
      <c r="BZ298" s="503">
        <f t="shared" si="528"/>
        <v>3.6161794856570006E-2</v>
      </c>
      <c r="CA298" s="503">
        <f>CA297/BZ297-1</f>
        <v>2.0000000000000018E-2</v>
      </c>
      <c r="CB298" s="503">
        <f>CB297/CA297-1</f>
        <v>0</v>
      </c>
      <c r="CC298" s="616">
        <v>-0.05</v>
      </c>
      <c r="CD298" s="616">
        <v>-0.05</v>
      </c>
      <c r="CE298" s="616">
        <v>0.02</v>
      </c>
      <c r="CF298" s="616">
        <v>0.02</v>
      </c>
      <c r="CG298" s="616">
        <v>0.02</v>
      </c>
      <c r="CH298" s="3108"/>
      <c r="CI298" s="502"/>
      <c r="CJ298" s="502"/>
      <c r="CK298" s="502"/>
      <c r="CL298" s="502"/>
      <c r="CM298" s="502"/>
      <c r="CN298" s="502"/>
      <c r="CO298" s="502"/>
      <c r="CP298" s="396"/>
      <c r="CQ298" s="502"/>
      <c r="CR298" s="502"/>
      <c r="CS298" s="502"/>
      <c r="CT298" s="502"/>
      <c r="CU298" s="502"/>
      <c r="CV298" s="502"/>
      <c r="CW298" s="502"/>
      <c r="CX298" s="502"/>
      <c r="CY298" s="502"/>
      <c r="CZ298" s="502"/>
      <c r="DA298" s="502"/>
      <c r="DB298" s="502"/>
      <c r="DC298" s="502"/>
      <c r="DD298" s="502"/>
      <c r="DE298" s="502"/>
      <c r="DF298" s="502"/>
      <c r="DG298" s="1855"/>
      <c r="DH298" s="609"/>
      <c r="DI298" s="573"/>
      <c r="DJ298" s="573"/>
      <c r="DK298" s="573"/>
      <c r="DL298" s="573"/>
      <c r="DM298" s="573"/>
      <c r="DN298" s="551"/>
      <c r="DO298" s="266"/>
      <c r="DY298" s="502"/>
      <c r="DZ298" s="502"/>
    </row>
    <row r="299" spans="1:132" ht="12" customHeight="1">
      <c r="A299" s="257" t="s">
        <v>1924</v>
      </c>
      <c r="B299" s="545"/>
      <c r="C299" s="545"/>
      <c r="D299" s="259"/>
      <c r="E299" s="263"/>
      <c r="F299" s="263"/>
      <c r="G299" s="263"/>
      <c r="H299" s="262"/>
      <c r="I299" s="263"/>
      <c r="J299" s="263"/>
      <c r="K299" s="263"/>
      <c r="L299" s="263"/>
      <c r="M299" s="262"/>
      <c r="N299" s="502"/>
      <c r="O299" s="502"/>
      <c r="P299" s="502"/>
      <c r="Q299" s="502"/>
      <c r="R299" s="503"/>
      <c r="S299" s="502"/>
      <c r="T299" s="502"/>
      <c r="U299" s="502"/>
      <c r="V299" s="502"/>
      <c r="W299" s="503"/>
      <c r="X299" s="502"/>
      <c r="Y299" s="502"/>
      <c r="Z299" s="502"/>
      <c r="AA299" s="502"/>
      <c r="AB299" s="503"/>
      <c r="AC299" s="502"/>
      <c r="AD299" s="502"/>
      <c r="AE299" s="502"/>
      <c r="AF299" s="502"/>
      <c r="AG299" s="503"/>
      <c r="AH299" s="502"/>
      <c r="AI299" s="502"/>
      <c r="AJ299" s="502"/>
      <c r="AK299" s="502"/>
      <c r="AL299" s="503"/>
      <c r="AM299" s="502"/>
      <c r="AN299" s="502"/>
      <c r="AO299" s="502"/>
      <c r="AP299" s="502"/>
      <c r="AQ299" s="503"/>
      <c r="AR299" s="502"/>
      <c r="AS299" s="502"/>
      <c r="AT299" s="502"/>
      <c r="AU299" s="502"/>
      <c r="AV299" s="503"/>
      <c r="AW299" s="502"/>
      <c r="AX299" s="502"/>
      <c r="AY299" s="502"/>
      <c r="AZ299" s="502"/>
      <c r="BA299" s="503"/>
      <c r="BB299" s="502"/>
      <c r="BC299" s="502"/>
      <c r="BD299" s="502"/>
      <c r="BE299" s="502"/>
      <c r="BF299" s="503"/>
      <c r="BG299" s="502"/>
      <c r="BH299" s="502"/>
      <c r="BI299" s="502"/>
      <c r="BJ299" s="502"/>
      <c r="BK299" s="503"/>
      <c r="BL299" s="502">
        <f>+BL298</f>
        <v>5.3864885364133475E-2</v>
      </c>
      <c r="BM299" s="502">
        <f>+BM298</f>
        <v>1.2441842229076183E-2</v>
      </c>
      <c r="BN299" s="502">
        <f>+BN298</f>
        <v>5.7896799124455001E-3</v>
      </c>
      <c r="BO299" s="3919">
        <v>5.0000000000000001E-3</v>
      </c>
      <c r="BP299" s="503">
        <f>AVERAGE(BL299:BO299)</f>
        <v>1.9274101876413791E-2</v>
      </c>
      <c r="BQ299" s="3919">
        <v>0.01</v>
      </c>
      <c r="BR299" s="3919">
        <v>0.02</v>
      </c>
      <c r="BS299" s="3919">
        <v>0.05</v>
      </c>
      <c r="BT299" s="3919">
        <v>4.7500000000000001E-2</v>
      </c>
      <c r="BU299" s="3381">
        <f>AVERAGE(BQ299:BT299)</f>
        <v>3.1875000000000001E-2</v>
      </c>
      <c r="BV299" s="615">
        <v>2.5000000000000001E-2</v>
      </c>
      <c r="BW299" s="615">
        <v>0.04</v>
      </c>
      <c r="BX299" s="615">
        <v>0.04</v>
      </c>
      <c r="BY299" s="615">
        <v>0.04</v>
      </c>
      <c r="BZ299" s="503">
        <f>AVERAGE(BV299:BY299)</f>
        <v>3.6250000000000004E-2</v>
      </c>
      <c r="CA299" s="616">
        <v>0.02</v>
      </c>
      <c r="CB299" s="616">
        <v>0</v>
      </c>
      <c r="CC299" s="616"/>
      <c r="CD299" s="616"/>
      <c r="CE299" s="616"/>
      <c r="CF299" s="616"/>
      <c r="CG299" s="616"/>
      <c r="CH299" s="3108"/>
      <c r="CI299" s="502"/>
      <c r="CJ299" s="502"/>
      <c r="CK299" s="502"/>
      <c r="CL299" s="502"/>
      <c r="CM299" s="502"/>
      <c r="CN299" s="502"/>
      <c r="CO299" s="502"/>
      <c r="CP299" s="396"/>
      <c r="CQ299" s="502"/>
      <c r="CR299" s="502"/>
      <c r="CS299" s="502"/>
      <c r="CT299" s="502"/>
      <c r="CU299" s="502"/>
      <c r="CV299" s="502"/>
      <c r="CW299" s="502"/>
      <c r="CX299" s="502"/>
      <c r="CY299" s="502"/>
      <c r="CZ299" s="502"/>
      <c r="DA299" s="502"/>
      <c r="DB299" s="502"/>
      <c r="DC299" s="502"/>
      <c r="DD299" s="502"/>
      <c r="DE299" s="502"/>
      <c r="DF299" s="502"/>
      <c r="DG299" s="1855"/>
      <c r="DH299" s="609"/>
      <c r="DI299" s="573"/>
      <c r="DJ299" s="573"/>
      <c r="DK299" s="573"/>
      <c r="DL299" s="573"/>
      <c r="DM299" s="573"/>
      <c r="DN299" s="551"/>
      <c r="DO299" s="266"/>
      <c r="DW299" s="3108"/>
      <c r="DY299" s="502"/>
      <c r="DZ299" s="502"/>
    </row>
    <row r="300" spans="1:132" ht="6" customHeight="1">
      <c r="A300" s="552"/>
      <c r="B300" s="228"/>
      <c r="C300" s="228"/>
      <c r="D300" s="446"/>
      <c r="E300" s="447"/>
      <c r="F300" s="447"/>
      <c r="G300" s="447"/>
      <c r="H300" s="563"/>
      <c r="I300" s="447"/>
      <c r="J300" s="447"/>
      <c r="K300" s="447"/>
      <c r="L300" s="447"/>
      <c r="M300" s="563"/>
      <c r="N300" s="447"/>
      <c r="O300" s="447"/>
      <c r="P300" s="447"/>
      <c r="Q300" s="447"/>
      <c r="R300" s="563"/>
      <c r="S300" s="447"/>
      <c r="T300" s="447"/>
      <c r="U300" s="447"/>
      <c r="V300" s="447"/>
      <c r="W300" s="563"/>
      <c r="X300" s="447"/>
      <c r="Y300" s="447"/>
      <c r="Z300" s="447"/>
      <c r="AA300" s="447"/>
      <c r="AB300" s="563"/>
      <c r="AC300" s="447"/>
      <c r="AD300" s="447"/>
      <c r="AE300" s="447"/>
      <c r="AF300" s="447"/>
      <c r="AG300" s="563"/>
      <c r="AH300" s="447"/>
      <c r="AI300" s="447"/>
      <c r="AJ300" s="447"/>
      <c r="AK300" s="447"/>
      <c r="AL300" s="563"/>
      <c r="AM300" s="447"/>
      <c r="AN300" s="447"/>
      <c r="AO300" s="447"/>
      <c r="AP300" s="447"/>
      <c r="AQ300" s="563"/>
      <c r="AR300" s="447"/>
      <c r="AS300" s="447"/>
      <c r="AT300" s="447"/>
      <c r="AU300" s="447"/>
      <c r="AV300" s="563"/>
      <c r="AW300" s="447"/>
      <c r="AX300" s="447"/>
      <c r="AY300" s="447"/>
      <c r="AZ300" s="447"/>
      <c r="BA300" s="563"/>
      <c r="BB300" s="447"/>
      <c r="BC300" s="447"/>
      <c r="BD300" s="447"/>
      <c r="BE300" s="447"/>
      <c r="BF300" s="563"/>
      <c r="BG300" s="446"/>
      <c r="BH300" s="447"/>
      <c r="BI300" s="447"/>
      <c r="BJ300" s="2802"/>
      <c r="BK300" s="563"/>
      <c r="BL300" s="447"/>
      <c r="BM300" s="447"/>
      <c r="BN300" s="447"/>
      <c r="BO300" s="2802"/>
      <c r="BP300" s="563"/>
      <c r="BQ300" s="447"/>
      <c r="BR300" s="447"/>
      <c r="BS300" s="447"/>
      <c r="BT300" s="2802"/>
      <c r="BU300" s="3320"/>
      <c r="BV300" s="447"/>
      <c r="BW300" s="447"/>
      <c r="BX300" s="447"/>
      <c r="BY300" s="2802"/>
      <c r="BZ300" s="4005"/>
      <c r="CA300" s="563"/>
      <c r="CB300" s="563"/>
      <c r="CC300" s="563"/>
      <c r="CD300" s="563"/>
      <c r="CE300" s="563"/>
      <c r="CF300" s="563"/>
      <c r="CG300" s="563"/>
      <c r="CH300" s="447"/>
      <c r="CI300" s="447"/>
      <c r="CJ300" s="447"/>
      <c r="CK300" s="447"/>
      <c r="CL300" s="447"/>
      <c r="CM300" s="447"/>
      <c r="CN300" s="447"/>
      <c r="CO300" s="447"/>
      <c r="CP300" s="994"/>
      <c r="CQ300" s="564"/>
      <c r="CR300" s="564"/>
      <c r="CS300" s="564"/>
      <c r="CT300" s="564"/>
      <c r="CU300" s="564"/>
      <c r="CV300" s="564"/>
      <c r="CW300" s="564"/>
      <c r="CX300" s="564"/>
      <c r="CY300" s="564"/>
      <c r="CZ300" s="564"/>
      <c r="DA300" s="564"/>
      <c r="DB300" s="564"/>
      <c r="DC300" s="564"/>
      <c r="DD300" s="564"/>
      <c r="DE300" s="564"/>
      <c r="DF300" s="564"/>
      <c r="DG300" s="1789"/>
      <c r="DH300" s="223"/>
      <c r="DI300" s="595"/>
      <c r="DJ300" s="595"/>
      <c r="DK300" s="595"/>
      <c r="DL300" s="595"/>
      <c r="DM300" s="595"/>
      <c r="DN300" s="514"/>
      <c r="DO300" s="226"/>
      <c r="DY300" s="447"/>
      <c r="DZ300" s="447"/>
    </row>
    <row r="301" spans="1:132" ht="12" customHeight="1">
      <c r="A301" s="552" t="s">
        <v>47</v>
      </c>
      <c r="B301" s="228"/>
      <c r="C301" s="228"/>
      <c r="D301" s="734">
        <f>+D297*0.7*D302</f>
        <v>2.2284517500000001</v>
      </c>
      <c r="E301" s="564">
        <f t="shared" ref="E301:CB301" si="529">+E297*0.7*E302</f>
        <v>2.0927024999999997</v>
      </c>
      <c r="F301" s="564">
        <f t="shared" si="529"/>
        <v>9.6819030000000001</v>
      </c>
      <c r="G301" s="564">
        <f t="shared" si="529"/>
        <v>10.781835750000001</v>
      </c>
      <c r="H301" s="736">
        <f t="shared" si="529"/>
        <v>24.784893</v>
      </c>
      <c r="I301" s="564">
        <f t="shared" si="529"/>
        <v>11.24545275</v>
      </c>
      <c r="J301" s="564">
        <f t="shared" si="529"/>
        <v>10.78882875</v>
      </c>
      <c r="K301" s="564">
        <f t="shared" si="529"/>
        <v>10.738790999999999</v>
      </c>
      <c r="L301" s="564">
        <f t="shared" si="529"/>
        <v>11.482411500000001</v>
      </c>
      <c r="M301" s="736">
        <f t="shared" si="529"/>
        <v>44.255484000000003</v>
      </c>
      <c r="N301" s="564">
        <f t="shared" si="529"/>
        <v>13.27701375</v>
      </c>
      <c r="O301" s="564">
        <f t="shared" si="529"/>
        <v>12.495026249999999</v>
      </c>
      <c r="P301" s="564">
        <f t="shared" si="529"/>
        <v>9.4275090000000006</v>
      </c>
      <c r="Q301" s="564">
        <f t="shared" si="529"/>
        <v>10.285002</v>
      </c>
      <c r="R301" s="736">
        <f t="shared" si="529"/>
        <v>45.484551000000003</v>
      </c>
      <c r="S301" s="564">
        <f t="shared" si="529"/>
        <v>10.333008</v>
      </c>
      <c r="T301" s="564">
        <f t="shared" si="529"/>
        <v>9.9807592500000002</v>
      </c>
      <c r="U301" s="564">
        <f t="shared" si="529"/>
        <v>9.6318652499999988</v>
      </c>
      <c r="V301" s="564">
        <f t="shared" si="529"/>
        <v>10.13035275</v>
      </c>
      <c r="W301" s="736">
        <f t="shared" si="529"/>
        <v>40.075985250000002</v>
      </c>
      <c r="X301" s="564">
        <f t="shared" si="529"/>
        <v>9.7568415000000002</v>
      </c>
      <c r="Y301" s="564">
        <f t="shared" si="529"/>
        <v>9.3505859999999998</v>
      </c>
      <c r="Z301" s="564">
        <f t="shared" si="529"/>
        <v>8.5897192499999999</v>
      </c>
      <c r="AA301" s="564">
        <f t="shared" si="529"/>
        <v>8.3546977499999997</v>
      </c>
      <c r="AB301" s="736">
        <f t="shared" si="529"/>
        <v>36.051844499999994</v>
      </c>
      <c r="AC301" s="564">
        <f t="shared" si="529"/>
        <v>8.0371777499999997</v>
      </c>
      <c r="AD301" s="564">
        <f t="shared" si="529"/>
        <v>7.8495007500000007</v>
      </c>
      <c r="AE301" s="564">
        <f t="shared" si="529"/>
        <v>7.1228902500000002</v>
      </c>
      <c r="AF301" s="564">
        <f t="shared" si="529"/>
        <v>7.322143500000001</v>
      </c>
      <c r="AG301" s="736">
        <f t="shared" si="529"/>
        <v>30.331712250000002</v>
      </c>
      <c r="AH301" s="564">
        <f t="shared" si="529"/>
        <v>7.3980269999999999</v>
      </c>
      <c r="AI301" s="564">
        <f t="shared" si="529"/>
        <v>7.2329355000000009</v>
      </c>
      <c r="AJ301" s="564">
        <f t="shared" si="529"/>
        <v>6.8792692499999992</v>
      </c>
      <c r="AK301" s="564">
        <f t="shared" si="529"/>
        <v>7.1878117499999998</v>
      </c>
      <c r="AL301" s="736">
        <f t="shared" si="529"/>
        <v>28.698043499999997</v>
      </c>
      <c r="AM301" s="564">
        <f t="shared" si="529"/>
        <v>7.3010227499999996</v>
      </c>
      <c r="AN301" s="564">
        <f t="shared" si="529"/>
        <v>7.1742510000000008</v>
      </c>
      <c r="AO301" s="564">
        <f t="shared" si="529"/>
        <v>6.89448375</v>
      </c>
      <c r="AP301" s="564">
        <f t="shared" si="529"/>
        <v>7.2148859999999999</v>
      </c>
      <c r="AQ301" s="736">
        <f t="shared" si="529"/>
        <v>28.584643500000002</v>
      </c>
      <c r="AR301" s="564">
        <f t="shared" si="529"/>
        <v>7.3137802499999998</v>
      </c>
      <c r="AS301" s="564">
        <f t="shared" si="529"/>
        <v>7.0396357500000004</v>
      </c>
      <c r="AT301" s="564">
        <f t="shared" si="529"/>
        <v>6.5576857500000001</v>
      </c>
      <c r="AU301" s="564">
        <f t="shared" si="529"/>
        <v>7.0281067500000001</v>
      </c>
      <c r="AV301" s="736">
        <f t="shared" si="529"/>
        <v>27.939208500000003</v>
      </c>
      <c r="AW301" s="564">
        <f t="shared" si="529"/>
        <v>7.2210757499999998</v>
      </c>
      <c r="AX301" s="564">
        <f t="shared" si="529"/>
        <v>7.0728524999999998</v>
      </c>
      <c r="AY301" s="564">
        <f t="shared" si="529"/>
        <v>6.6287497499999999</v>
      </c>
      <c r="AZ301" s="564">
        <f t="shared" si="529"/>
        <v>7.0231927500000007</v>
      </c>
      <c r="BA301" s="736">
        <f t="shared" si="529"/>
        <v>27.945870750000001</v>
      </c>
      <c r="BB301" s="564">
        <f t="shared" si="529"/>
        <v>7.1556817500000012</v>
      </c>
      <c r="BC301" s="564">
        <f t="shared" si="529"/>
        <v>7.0057575000000005</v>
      </c>
      <c r="BD301" s="564">
        <f t="shared" si="529"/>
        <v>6.6720307500000002</v>
      </c>
      <c r="BE301" s="564">
        <f t="shared" si="529"/>
        <v>7.1693369999999996</v>
      </c>
      <c r="BF301" s="736">
        <f t="shared" si="529"/>
        <v>28.002807000000001</v>
      </c>
      <c r="BG301" s="734">
        <f t="shared" ref="BG301:BP301" si="530">+BG297*0.7*BG302</f>
        <v>7.1017694999999996</v>
      </c>
      <c r="BH301" s="564">
        <f t="shared" si="530"/>
        <v>7.2307620000000004</v>
      </c>
      <c r="BI301" s="564">
        <f t="shared" si="530"/>
        <v>6.9940395000000004</v>
      </c>
      <c r="BJ301" s="1789">
        <f t="shared" si="530"/>
        <v>7.5009375000000009</v>
      </c>
      <c r="BK301" s="736">
        <f t="shared" si="530"/>
        <v>28.8275085</v>
      </c>
      <c r="BL301" s="564">
        <f t="shared" si="530"/>
        <v>7.4843054999999996</v>
      </c>
      <c r="BM301" s="564">
        <f t="shared" si="530"/>
        <v>7.3207260000000005</v>
      </c>
      <c r="BN301" s="564">
        <f t="shared" si="530"/>
        <v>7.0345327499999994</v>
      </c>
      <c r="BO301" s="1789">
        <f t="shared" si="530"/>
        <v>8.7721514999999997</v>
      </c>
      <c r="BP301" s="736">
        <f t="shared" si="530"/>
        <v>30.611715749999995</v>
      </c>
      <c r="BQ301" s="564">
        <f t="shared" ref="BQ301:BZ301" si="531">+BQ297*0.7*BQ302</f>
        <v>10.38465225</v>
      </c>
      <c r="BR301" s="564">
        <f t="shared" si="531"/>
        <v>10.121706000000001</v>
      </c>
      <c r="BS301" s="564">
        <f t="shared" si="531"/>
        <v>9.7944997499999982</v>
      </c>
      <c r="BT301" s="1789">
        <f t="shared" si="531"/>
        <v>10.283159250000001</v>
      </c>
      <c r="BU301" s="3320">
        <f t="shared" si="531"/>
        <v>40.584017250000002</v>
      </c>
      <c r="BV301" s="564">
        <f t="shared" si="531"/>
        <v>10.644268556249999</v>
      </c>
      <c r="BW301" s="564">
        <f t="shared" si="531"/>
        <v>10.526574240000002</v>
      </c>
      <c r="BX301" s="564">
        <f t="shared" si="531"/>
        <v>10.186279740000002</v>
      </c>
      <c r="BY301" s="1789">
        <f t="shared" si="531"/>
        <v>10.69448562</v>
      </c>
      <c r="BZ301" s="4005">
        <f t="shared" si="531"/>
        <v>42.051608156250005</v>
      </c>
      <c r="CA301" s="736">
        <f t="shared" si="529"/>
        <v>42.892640319375005</v>
      </c>
      <c r="CB301" s="736">
        <f t="shared" si="529"/>
        <v>42.892640319375005</v>
      </c>
      <c r="CC301" s="736">
        <f>+CC297*0.7*CC302</f>
        <v>40.748008303406252</v>
      </c>
      <c r="CD301" s="736">
        <f>+CD297*0.7*CD302</f>
        <v>38.710607888235941</v>
      </c>
      <c r="CE301" s="736">
        <f>+CE297*0.7*CE302</f>
        <v>39.484820046000657</v>
      </c>
      <c r="CF301" s="736">
        <f>+CF297*0.7*CF302</f>
        <v>40.274516446920671</v>
      </c>
      <c r="CG301" s="736">
        <f>+CG297*0.7*CG302</f>
        <v>41.080006775859083</v>
      </c>
      <c r="CH301" s="564"/>
      <c r="CI301" s="3954"/>
      <c r="CJ301" s="564"/>
      <c r="CK301" s="564"/>
      <c r="CL301" s="564"/>
      <c r="CM301" s="965"/>
      <c r="CN301" s="965">
        <f t="shared" ref="CN301" si="532">SUM(BV301:BY301)</f>
        <v>42.051608156250005</v>
      </c>
      <c r="CO301" s="965">
        <f t="shared" ref="CO301" si="533">CM301-CN301</f>
        <v>-42.051608156250005</v>
      </c>
      <c r="CP301" s="994"/>
      <c r="CQ301" s="564"/>
      <c r="CR301" s="564"/>
      <c r="CS301" s="564"/>
      <c r="CT301" s="564"/>
      <c r="CU301" s="564"/>
      <c r="CV301" s="564"/>
      <c r="CW301" s="564"/>
      <c r="CX301" s="564"/>
      <c r="CY301" s="564"/>
      <c r="CZ301" s="564"/>
      <c r="DA301" s="564"/>
      <c r="DB301" s="564"/>
      <c r="DC301" s="564"/>
      <c r="DD301" s="564"/>
      <c r="DE301" s="564"/>
      <c r="DF301" s="564"/>
      <c r="DG301" s="1789"/>
      <c r="DH301" s="223"/>
      <c r="DI301" s="592"/>
      <c r="DJ301" s="592"/>
      <c r="DK301" s="592"/>
      <c r="DL301" s="592"/>
      <c r="DM301" s="592"/>
      <c r="DN301" s="231"/>
      <c r="DO301" s="226"/>
      <c r="DW301" s="3954"/>
      <c r="DY301" s="564"/>
      <c r="DZ301" s="564"/>
    </row>
    <row r="302" spans="1:132" ht="12" customHeight="1">
      <c r="A302" s="2281" t="s">
        <v>430</v>
      </c>
      <c r="B302" s="2282"/>
      <c r="C302" s="2282"/>
      <c r="D302" s="2288">
        <f t="shared" ref="D302:AS302" si="534">+E302</f>
        <v>6.7500000000000004E-2</v>
      </c>
      <c r="E302" s="2289">
        <f t="shared" si="534"/>
        <v>6.7500000000000004E-2</v>
      </c>
      <c r="F302" s="2289">
        <f t="shared" si="534"/>
        <v>6.7500000000000004E-2</v>
      </c>
      <c r="G302" s="2289">
        <f t="shared" si="534"/>
        <v>6.7500000000000004E-2</v>
      </c>
      <c r="H302" s="2290">
        <f t="shared" si="534"/>
        <v>6.7500000000000004E-2</v>
      </c>
      <c r="I302" s="2289">
        <f t="shared" si="534"/>
        <v>6.7500000000000004E-2</v>
      </c>
      <c r="J302" s="2289">
        <f t="shared" si="534"/>
        <v>6.7500000000000004E-2</v>
      </c>
      <c r="K302" s="2289">
        <f t="shared" si="534"/>
        <v>6.7500000000000004E-2</v>
      </c>
      <c r="L302" s="2289">
        <f t="shared" si="534"/>
        <v>6.7500000000000004E-2</v>
      </c>
      <c r="M302" s="2290">
        <f t="shared" si="534"/>
        <v>6.7500000000000004E-2</v>
      </c>
      <c r="N302" s="2289">
        <f t="shared" si="534"/>
        <v>6.7500000000000004E-2</v>
      </c>
      <c r="O302" s="2289">
        <f t="shared" si="534"/>
        <v>6.7500000000000004E-2</v>
      </c>
      <c r="P302" s="2289">
        <f t="shared" si="534"/>
        <v>6.7500000000000004E-2</v>
      </c>
      <c r="Q302" s="2289">
        <f t="shared" si="534"/>
        <v>6.7500000000000004E-2</v>
      </c>
      <c r="R302" s="2290">
        <f t="shared" si="534"/>
        <v>6.7500000000000004E-2</v>
      </c>
      <c r="S302" s="2289">
        <f t="shared" si="534"/>
        <v>6.7500000000000004E-2</v>
      </c>
      <c r="T302" s="2289">
        <f t="shared" si="534"/>
        <v>6.7500000000000004E-2</v>
      </c>
      <c r="U302" s="2289">
        <f t="shared" si="534"/>
        <v>6.7500000000000004E-2</v>
      </c>
      <c r="V302" s="2289">
        <f t="shared" si="534"/>
        <v>6.7500000000000004E-2</v>
      </c>
      <c r="W302" s="2290">
        <f t="shared" si="534"/>
        <v>6.7500000000000004E-2</v>
      </c>
      <c r="X302" s="2289">
        <f t="shared" si="534"/>
        <v>6.7500000000000004E-2</v>
      </c>
      <c r="Y302" s="2289">
        <f t="shared" si="534"/>
        <v>6.7500000000000004E-2</v>
      </c>
      <c r="Z302" s="2289">
        <f t="shared" si="534"/>
        <v>6.7500000000000004E-2</v>
      </c>
      <c r="AA302" s="2289">
        <f t="shared" si="534"/>
        <v>6.7500000000000004E-2</v>
      </c>
      <c r="AB302" s="2290">
        <f t="shared" si="534"/>
        <v>6.7500000000000004E-2</v>
      </c>
      <c r="AC302" s="2289">
        <f t="shared" si="534"/>
        <v>6.7500000000000004E-2</v>
      </c>
      <c r="AD302" s="2289">
        <f t="shared" si="534"/>
        <v>6.7500000000000004E-2</v>
      </c>
      <c r="AE302" s="2289">
        <f t="shared" si="534"/>
        <v>6.7500000000000004E-2</v>
      </c>
      <c r="AF302" s="2289">
        <f t="shared" si="534"/>
        <v>6.7500000000000004E-2</v>
      </c>
      <c r="AG302" s="2290">
        <f t="shared" si="534"/>
        <v>6.7500000000000004E-2</v>
      </c>
      <c r="AH302" s="2289">
        <f t="shared" si="534"/>
        <v>6.7500000000000004E-2</v>
      </c>
      <c r="AI302" s="2289">
        <f t="shared" si="534"/>
        <v>6.7500000000000004E-2</v>
      </c>
      <c r="AJ302" s="2289">
        <f t="shared" si="534"/>
        <v>6.7500000000000004E-2</v>
      </c>
      <c r="AK302" s="2289">
        <f t="shared" si="534"/>
        <v>6.7500000000000004E-2</v>
      </c>
      <c r="AL302" s="2290">
        <f t="shared" si="534"/>
        <v>6.7500000000000004E-2</v>
      </c>
      <c r="AM302" s="2289">
        <f t="shared" si="534"/>
        <v>6.7500000000000004E-2</v>
      </c>
      <c r="AN302" s="2289">
        <f t="shared" si="534"/>
        <v>6.7500000000000004E-2</v>
      </c>
      <c r="AO302" s="2289">
        <f t="shared" si="534"/>
        <v>6.7500000000000004E-2</v>
      </c>
      <c r="AP302" s="2289">
        <f t="shared" si="534"/>
        <v>6.7500000000000004E-2</v>
      </c>
      <c r="AQ302" s="2290">
        <f t="shared" si="534"/>
        <v>6.7500000000000004E-2</v>
      </c>
      <c r="AR302" s="2289">
        <f t="shared" si="534"/>
        <v>6.7500000000000004E-2</v>
      </c>
      <c r="AS302" s="2289">
        <f t="shared" si="534"/>
        <v>6.7500000000000004E-2</v>
      </c>
      <c r="AT302" s="2289">
        <f>+AU302</f>
        <v>6.7500000000000004E-2</v>
      </c>
      <c r="AU302" s="2283">
        <v>6.7500000000000004E-2</v>
      </c>
      <c r="AV302" s="2290">
        <f t="shared" ref="AV302:BF302" si="535">+AU302</f>
        <v>6.7500000000000004E-2</v>
      </c>
      <c r="AW302" s="2289">
        <f t="shared" si="535"/>
        <v>6.7500000000000004E-2</v>
      </c>
      <c r="AX302" s="2289">
        <f t="shared" si="535"/>
        <v>6.7500000000000004E-2</v>
      </c>
      <c r="AY302" s="2289">
        <f t="shared" si="535"/>
        <v>6.7500000000000004E-2</v>
      </c>
      <c r="AZ302" s="2289">
        <f t="shared" si="535"/>
        <v>6.7500000000000004E-2</v>
      </c>
      <c r="BA302" s="2290">
        <f t="shared" si="535"/>
        <v>6.7500000000000004E-2</v>
      </c>
      <c r="BB302" s="2289">
        <f t="shared" si="535"/>
        <v>6.7500000000000004E-2</v>
      </c>
      <c r="BC302" s="2289">
        <f t="shared" si="535"/>
        <v>6.7500000000000004E-2</v>
      </c>
      <c r="BD302" s="2289">
        <f t="shared" si="535"/>
        <v>6.7500000000000004E-2</v>
      </c>
      <c r="BE302" s="2289">
        <f t="shared" si="535"/>
        <v>6.7500000000000004E-2</v>
      </c>
      <c r="BF302" s="2290">
        <f t="shared" si="535"/>
        <v>6.7500000000000004E-2</v>
      </c>
      <c r="BG302" s="2288">
        <f t="shared" ref="BG302:BP302" si="536">+BF302</f>
        <v>6.7500000000000004E-2</v>
      </c>
      <c r="BH302" s="2289">
        <f t="shared" si="536"/>
        <v>6.7500000000000004E-2</v>
      </c>
      <c r="BI302" s="2289">
        <f t="shared" si="536"/>
        <v>6.7500000000000004E-2</v>
      </c>
      <c r="BJ302" s="2803">
        <f t="shared" si="536"/>
        <v>6.7500000000000004E-2</v>
      </c>
      <c r="BK302" s="2290">
        <f t="shared" si="536"/>
        <v>6.7500000000000004E-2</v>
      </c>
      <c r="BL302" s="2289">
        <f t="shared" si="536"/>
        <v>6.7500000000000004E-2</v>
      </c>
      <c r="BM302" s="2289">
        <f t="shared" si="536"/>
        <v>6.7500000000000004E-2</v>
      </c>
      <c r="BN302" s="2289">
        <f t="shared" si="536"/>
        <v>6.7500000000000004E-2</v>
      </c>
      <c r="BO302" s="2803">
        <f t="shared" si="536"/>
        <v>6.7500000000000004E-2</v>
      </c>
      <c r="BP302" s="2290">
        <f t="shared" si="536"/>
        <v>6.7500000000000004E-2</v>
      </c>
      <c r="BQ302" s="2289">
        <f t="shared" ref="BQ302:CG302" si="537">+BP302</f>
        <v>6.7500000000000004E-2</v>
      </c>
      <c r="BR302" s="2289">
        <f t="shared" si="537"/>
        <v>6.7500000000000004E-2</v>
      </c>
      <c r="BS302" s="2289">
        <f>+BR302</f>
        <v>6.7500000000000004E-2</v>
      </c>
      <c r="BT302" s="2803">
        <f>+BS302</f>
        <v>6.7500000000000004E-2</v>
      </c>
      <c r="BU302" s="3388">
        <f t="shared" si="537"/>
        <v>6.7500000000000004E-2</v>
      </c>
      <c r="BV302" s="2289">
        <v>6.7500000000000004E-2</v>
      </c>
      <c r="BW302" s="2289">
        <v>6.7500000000000004E-2</v>
      </c>
      <c r="BX302" s="2289">
        <v>6.7500000000000004E-2</v>
      </c>
      <c r="BY302" s="2803">
        <v>6.7500000000000004E-2</v>
      </c>
      <c r="BZ302" s="4006">
        <f t="shared" si="537"/>
        <v>6.7500000000000004E-2</v>
      </c>
      <c r="CA302" s="2290">
        <f t="shared" si="537"/>
        <v>6.7500000000000004E-2</v>
      </c>
      <c r="CB302" s="2290">
        <f t="shared" si="537"/>
        <v>6.7500000000000004E-2</v>
      </c>
      <c r="CC302" s="2290">
        <f t="shared" si="537"/>
        <v>6.7500000000000004E-2</v>
      </c>
      <c r="CD302" s="2290">
        <f t="shared" si="537"/>
        <v>6.7500000000000004E-2</v>
      </c>
      <c r="CE302" s="2290">
        <f t="shared" si="537"/>
        <v>6.7500000000000004E-2</v>
      </c>
      <c r="CF302" s="2290">
        <f t="shared" si="537"/>
        <v>6.7500000000000004E-2</v>
      </c>
      <c r="CG302" s="2290">
        <f t="shared" si="537"/>
        <v>6.7500000000000004E-2</v>
      </c>
      <c r="CH302" s="3954"/>
      <c r="CI302" s="2283"/>
      <c r="CJ302" s="2283"/>
      <c r="CK302" s="2283"/>
      <c r="CL302" s="2283"/>
      <c r="CM302" s="2283"/>
      <c r="CN302" s="2283"/>
      <c r="CO302" s="2283"/>
      <c r="CP302" s="2284"/>
      <c r="CQ302" s="1616"/>
      <c r="CR302" s="1616"/>
      <c r="CS302" s="1616"/>
      <c r="CT302" s="1616"/>
      <c r="CU302" s="1616"/>
      <c r="CV302" s="1616"/>
      <c r="CW302" s="1616"/>
      <c r="CX302" s="1616"/>
      <c r="CY302" s="1616"/>
      <c r="CZ302" s="1616"/>
      <c r="DA302" s="1616"/>
      <c r="DB302" s="1616"/>
      <c r="DC302" s="1616"/>
      <c r="DD302" s="1616"/>
      <c r="DE302" s="1616"/>
      <c r="DF302" s="1616"/>
      <c r="DG302" s="2285"/>
      <c r="DH302" s="1616"/>
      <c r="DI302" s="2286"/>
      <c r="DJ302" s="2286"/>
      <c r="DK302" s="2286"/>
      <c r="DL302" s="2286"/>
      <c r="DM302" s="2286"/>
      <c r="DN302" s="2286"/>
      <c r="DO302" s="2287"/>
      <c r="DY302" s="2289"/>
      <c r="DZ302" s="2289"/>
    </row>
    <row r="303" spans="1:132" ht="12" customHeight="1">
      <c r="A303" s="552" t="s">
        <v>1591</v>
      </c>
      <c r="B303" s="228"/>
      <c r="C303" s="228"/>
      <c r="D303" s="734">
        <f>+D306-D301</f>
        <v>30.836548249999996</v>
      </c>
      <c r="E303" s="564">
        <f t="shared" ref="E303:CB303" si="538">+E306-E301</f>
        <v>30.916297499999999</v>
      </c>
      <c r="F303" s="564">
        <f t="shared" si="538"/>
        <v>140.29409699999999</v>
      </c>
      <c r="G303" s="564">
        <f t="shared" si="538"/>
        <v>142.80416425000001</v>
      </c>
      <c r="H303" s="736">
        <f t="shared" si="538"/>
        <v>344.85110700000001</v>
      </c>
      <c r="I303" s="564">
        <f t="shared" si="538"/>
        <v>142.68454725000001</v>
      </c>
      <c r="J303" s="564">
        <f t="shared" si="538"/>
        <v>141.40217125000001</v>
      </c>
      <c r="K303" s="564">
        <f t="shared" si="538"/>
        <v>143.43020899999999</v>
      </c>
      <c r="L303" s="564">
        <f t="shared" si="538"/>
        <v>151.7695885</v>
      </c>
      <c r="M303" s="736">
        <f t="shared" si="538"/>
        <v>579.28651599999989</v>
      </c>
      <c r="N303" s="564">
        <f t="shared" si="538"/>
        <v>173.28698625000001</v>
      </c>
      <c r="O303" s="564">
        <f t="shared" si="538"/>
        <v>173.02197375</v>
      </c>
      <c r="P303" s="564">
        <f t="shared" si="538"/>
        <v>133.87949100000003</v>
      </c>
      <c r="Q303" s="564">
        <f t="shared" si="538"/>
        <v>136.94999800000002</v>
      </c>
      <c r="R303" s="736">
        <f t="shared" si="538"/>
        <v>617.13844900000004</v>
      </c>
      <c r="S303" s="564">
        <f t="shared" si="538"/>
        <v>133.77599199999997</v>
      </c>
      <c r="T303" s="564">
        <f t="shared" si="538"/>
        <v>134.40824075</v>
      </c>
      <c r="U303" s="564">
        <f t="shared" si="538"/>
        <v>132.90413475</v>
      </c>
      <c r="V303" s="564">
        <f t="shared" si="538"/>
        <v>131.49464725000001</v>
      </c>
      <c r="W303" s="736">
        <f t="shared" si="538"/>
        <v>532.58301474999996</v>
      </c>
      <c r="X303" s="564">
        <f t="shared" si="538"/>
        <v>130.08215849999999</v>
      </c>
      <c r="Y303" s="564">
        <f t="shared" si="538"/>
        <v>126.118414</v>
      </c>
      <c r="Z303" s="564">
        <f t="shared" si="538"/>
        <v>127.52228075000002</v>
      </c>
      <c r="AA303" s="564">
        <f t="shared" si="538"/>
        <v>124.63630224999999</v>
      </c>
      <c r="AB303" s="736">
        <f t="shared" si="538"/>
        <v>508.35915550000004</v>
      </c>
      <c r="AC303" s="564">
        <f t="shared" si="538"/>
        <v>116.74182225</v>
      </c>
      <c r="AD303" s="564">
        <f t="shared" si="538"/>
        <v>114.36049925</v>
      </c>
      <c r="AE303" s="564">
        <f t="shared" si="538"/>
        <v>112.26310975</v>
      </c>
      <c r="AF303" s="564">
        <f t="shared" si="538"/>
        <v>112.90785650000002</v>
      </c>
      <c r="AG303" s="736">
        <f t="shared" si="538"/>
        <v>456.27328775000001</v>
      </c>
      <c r="AH303" s="564">
        <f t="shared" si="538"/>
        <v>108.76097300000001</v>
      </c>
      <c r="AI303" s="564">
        <f t="shared" si="538"/>
        <v>109.0350645</v>
      </c>
      <c r="AJ303" s="564">
        <f t="shared" si="538"/>
        <v>112.59773075</v>
      </c>
      <c r="AK303" s="564">
        <f t="shared" si="538"/>
        <v>110.81018825</v>
      </c>
      <c r="AL303" s="736">
        <f t="shared" si="538"/>
        <v>441.2039565</v>
      </c>
      <c r="AM303" s="564">
        <f t="shared" si="538"/>
        <v>107.57497725</v>
      </c>
      <c r="AN303" s="564">
        <f t="shared" si="538"/>
        <v>106.09174900000002</v>
      </c>
      <c r="AO303" s="564">
        <f t="shared" si="538"/>
        <v>108.22751624999998</v>
      </c>
      <c r="AP303" s="564">
        <f t="shared" si="538"/>
        <v>108.63911400000001</v>
      </c>
      <c r="AQ303" s="736">
        <f t="shared" si="538"/>
        <v>430.53335649999997</v>
      </c>
      <c r="AR303" s="564">
        <f t="shared" si="538"/>
        <v>108.98921975</v>
      </c>
      <c r="AS303" s="564">
        <f t="shared" si="538"/>
        <v>107.41236425</v>
      </c>
      <c r="AT303" s="564">
        <f t="shared" si="538"/>
        <v>107.95831425</v>
      </c>
      <c r="AU303" s="564">
        <f t="shared" si="538"/>
        <v>110.26489324999999</v>
      </c>
      <c r="AV303" s="736">
        <f t="shared" si="538"/>
        <v>434.62479150000001</v>
      </c>
      <c r="AW303" s="564">
        <f t="shared" si="538"/>
        <v>106.40092425</v>
      </c>
      <c r="AX303" s="564">
        <f t="shared" si="538"/>
        <v>103.8941475</v>
      </c>
      <c r="AY303" s="564">
        <f t="shared" si="538"/>
        <v>107.31225025000001</v>
      </c>
      <c r="AZ303" s="564">
        <f t="shared" si="538"/>
        <v>108.39280725</v>
      </c>
      <c r="BA303" s="736">
        <f t="shared" si="538"/>
        <v>426.00012924999999</v>
      </c>
      <c r="BB303" s="564">
        <f t="shared" si="538"/>
        <v>104.28031825000001</v>
      </c>
      <c r="BC303" s="564">
        <f t="shared" si="538"/>
        <v>104.68324250000001</v>
      </c>
      <c r="BD303" s="564">
        <f t="shared" si="538"/>
        <v>106.48296925</v>
      </c>
      <c r="BE303" s="564">
        <f t="shared" si="538"/>
        <v>104.805663</v>
      </c>
      <c r="BF303" s="736">
        <f t="shared" si="538"/>
        <v>420.25219299999998</v>
      </c>
      <c r="BG303" s="734">
        <f t="shared" ref="BG303:BP303" si="539">+BG306-BG301</f>
        <v>104.32323049999998</v>
      </c>
      <c r="BH303" s="564">
        <f t="shared" si="539"/>
        <v>103.62623800000001</v>
      </c>
      <c r="BI303" s="564">
        <f t="shared" si="539"/>
        <v>108.7669605</v>
      </c>
      <c r="BJ303" s="1789">
        <f t="shared" si="539"/>
        <v>107.2500625</v>
      </c>
      <c r="BK303" s="736">
        <f t="shared" si="539"/>
        <v>423.96649149999996</v>
      </c>
      <c r="BL303" s="564">
        <f t="shared" si="539"/>
        <v>106.64269449999999</v>
      </c>
      <c r="BM303" s="564">
        <f t="shared" si="539"/>
        <v>104.442274</v>
      </c>
      <c r="BN303" s="564">
        <f t="shared" si="539"/>
        <v>105.67146724999999</v>
      </c>
      <c r="BO303" s="1789">
        <f t="shared" si="539"/>
        <v>124.07884849999999</v>
      </c>
      <c r="BP303" s="736">
        <f t="shared" si="539"/>
        <v>440.83528425000003</v>
      </c>
      <c r="BQ303" s="564">
        <f t="shared" ref="BQ303:BZ303" si="540">+BQ306-BQ301</f>
        <v>143.16934775000001</v>
      </c>
      <c r="BR303" s="564">
        <f t="shared" si="540"/>
        <v>140.96829400000001</v>
      </c>
      <c r="BS303" s="564">
        <f t="shared" si="540"/>
        <v>141.38750024999999</v>
      </c>
      <c r="BT303" s="1789">
        <f t="shared" si="540"/>
        <v>142.86884075</v>
      </c>
      <c r="BU303" s="3320">
        <f t="shared" si="540"/>
        <v>568.39398275000008</v>
      </c>
      <c r="BV303" s="564">
        <f t="shared" si="540"/>
        <v>144.06138644375</v>
      </c>
      <c r="BW303" s="564">
        <f t="shared" si="540"/>
        <v>142.07432575999999</v>
      </c>
      <c r="BX303" s="564">
        <f t="shared" si="540"/>
        <v>142.50754025999998</v>
      </c>
      <c r="BY303" s="1789">
        <f t="shared" si="540"/>
        <v>143.98903438000002</v>
      </c>
      <c r="BZ303" s="4005">
        <f t="shared" si="540"/>
        <v>572.63228684374997</v>
      </c>
      <c r="CA303" s="736">
        <f t="shared" si="538"/>
        <v>577.93809363062496</v>
      </c>
      <c r="CB303" s="736">
        <f t="shared" si="538"/>
        <v>571.72978629112492</v>
      </c>
      <c r="CC303" s="736">
        <f>+CC306-CC301</f>
        <v>555.43574550877872</v>
      </c>
      <c r="CD303" s="736">
        <f>+CD306-CD301</f>
        <v>539.58763330958345</v>
      </c>
      <c r="CE303" s="736">
        <f>+CE306-CE301</f>
        <v>544.59640356379691</v>
      </c>
      <c r="CF303" s="736">
        <f>+CF306-CF301</f>
        <v>549.64751939897496</v>
      </c>
      <c r="CG303" s="736">
        <f>+CG306-CG301</f>
        <v>554.74124942849551</v>
      </c>
      <c r="CH303" s="564"/>
      <c r="CI303" s="564"/>
      <c r="CJ303" s="564"/>
      <c r="CK303" s="564"/>
      <c r="CL303" s="564"/>
      <c r="CM303" s="564"/>
      <c r="CN303" s="564"/>
      <c r="CO303" s="564"/>
      <c r="CP303" s="994"/>
      <c r="CQ303" s="564"/>
      <c r="CR303" s="564"/>
      <c r="CS303" s="564"/>
      <c r="CT303" s="564"/>
      <c r="CU303" s="564"/>
      <c r="CV303" s="564"/>
      <c r="CW303" s="564"/>
      <c r="CX303" s="564"/>
      <c r="CY303" s="564"/>
      <c r="CZ303" s="564"/>
      <c r="DA303" s="564"/>
      <c r="DB303" s="564"/>
      <c r="DC303" s="564"/>
      <c r="DD303" s="564"/>
      <c r="DE303" s="564"/>
      <c r="DF303" s="564"/>
      <c r="DG303" s="1789"/>
      <c r="DH303" s="223"/>
      <c r="DI303" s="592"/>
      <c r="DJ303" s="592"/>
      <c r="DK303" s="592"/>
      <c r="DL303" s="592"/>
      <c r="DM303" s="592"/>
      <c r="DN303" s="231"/>
      <c r="DO303" s="226"/>
      <c r="DW303" s="564"/>
      <c r="DY303" s="564"/>
      <c r="DZ303" s="564"/>
    </row>
    <row r="304" spans="1:132" ht="12" customHeight="1">
      <c r="A304" s="257" t="s">
        <v>1249</v>
      </c>
      <c r="B304" s="545"/>
      <c r="C304" s="545"/>
      <c r="D304" s="358"/>
      <c r="E304" s="502"/>
      <c r="F304" s="502"/>
      <c r="G304" s="502"/>
      <c r="H304" s="503"/>
      <c r="I304" s="502">
        <f t="shared" ref="I304:AN304" si="541">+I303/D303-1</f>
        <v>3.6271244788235997</v>
      </c>
      <c r="J304" s="502">
        <f t="shared" si="541"/>
        <v>3.5737097480705771</v>
      </c>
      <c r="K304" s="502">
        <f t="shared" si="541"/>
        <v>2.2353841444946898E-2</v>
      </c>
      <c r="L304" s="502">
        <f t="shared" si="541"/>
        <v>6.2781252193071069E-2</v>
      </c>
      <c r="M304" s="503">
        <f t="shared" si="541"/>
        <v>0.67981631562516598</v>
      </c>
      <c r="N304" s="502">
        <f t="shared" si="541"/>
        <v>0.2144761965455233</v>
      </c>
      <c r="O304" s="502">
        <f t="shared" si="541"/>
        <v>0.22361610306602686</v>
      </c>
      <c r="P304" s="502">
        <f t="shared" si="541"/>
        <v>-6.6587911058541116E-2</v>
      </c>
      <c r="Q304" s="502">
        <f t="shared" si="541"/>
        <v>-9.7645323061543277E-2</v>
      </c>
      <c r="R304" s="503">
        <f t="shared" si="541"/>
        <v>6.5342333982447043E-2</v>
      </c>
      <c r="S304" s="502">
        <f t="shared" si="541"/>
        <v>-0.22800901039964871</v>
      </c>
      <c r="T304" s="502">
        <f t="shared" si="541"/>
        <v>-0.22317242234095136</v>
      </c>
      <c r="U304" s="502">
        <f t="shared" si="541"/>
        <v>-7.2853298344257578E-3</v>
      </c>
      <c r="V304" s="502">
        <f t="shared" si="541"/>
        <v>-3.983461723015147E-2</v>
      </c>
      <c r="W304" s="503">
        <f t="shared" si="541"/>
        <v>-0.13701209896581901</v>
      </c>
      <c r="X304" s="502">
        <f t="shared" si="541"/>
        <v>-2.761208079847377E-2</v>
      </c>
      <c r="Y304" s="502">
        <f t="shared" si="541"/>
        <v>-6.1676476856944551E-2</v>
      </c>
      <c r="Z304" s="502">
        <f t="shared" si="541"/>
        <v>-4.0494255578455429E-2</v>
      </c>
      <c r="AA304" s="502">
        <f t="shared" si="541"/>
        <v>-5.2156837889840602E-2</v>
      </c>
      <c r="AB304" s="503">
        <f t="shared" si="541"/>
        <v>-4.5483724751099741E-2</v>
      </c>
      <c r="AC304" s="502">
        <f t="shared" si="541"/>
        <v>-0.1025531587408276</v>
      </c>
      <c r="AD304" s="502">
        <f t="shared" si="541"/>
        <v>-9.3229167550426095E-2</v>
      </c>
      <c r="AE304" s="502">
        <f t="shared" si="541"/>
        <v>-0.11965886204556475</v>
      </c>
      <c r="AF304" s="502">
        <f t="shared" si="541"/>
        <v>-9.4101361627967894E-2</v>
      </c>
      <c r="AG304" s="503">
        <f t="shared" si="541"/>
        <v>-0.10245879745938802</v>
      </c>
      <c r="AH304" s="502">
        <f t="shared" si="541"/>
        <v>-6.836324032110086E-2</v>
      </c>
      <c r="AI304" s="502">
        <f t="shared" si="541"/>
        <v>-4.6567082033790563E-2</v>
      </c>
      <c r="AJ304" s="502">
        <f t="shared" si="541"/>
        <v>2.9806852914120441E-3</v>
      </c>
      <c r="AK304" s="502">
        <f t="shared" si="541"/>
        <v>-1.8578585361772593E-2</v>
      </c>
      <c r="AL304" s="503">
        <f t="shared" si="541"/>
        <v>-3.3026985481246829E-2</v>
      </c>
      <c r="AM304" s="502">
        <f t="shared" si="541"/>
        <v>-1.0904607758520202E-2</v>
      </c>
      <c r="AN304" s="502">
        <f t="shared" si="541"/>
        <v>-2.6994210655967299E-2</v>
      </c>
      <c r="AO304" s="502">
        <f t="shared" ref="AO304:BF304" si="542">+AO303/AJ303-1</f>
        <v>-3.881263388605205E-2</v>
      </c>
      <c r="AP304" s="502">
        <f t="shared" si="542"/>
        <v>-1.9592731356992243E-2</v>
      </c>
      <c r="AQ304" s="503">
        <f t="shared" si="542"/>
        <v>-2.4185186562351357E-2</v>
      </c>
      <c r="AR304" s="502">
        <f t="shared" si="542"/>
        <v>1.3146574939201239E-2</v>
      </c>
      <c r="AS304" s="502">
        <f t="shared" si="542"/>
        <v>1.2447860106443942E-2</v>
      </c>
      <c r="AT304" s="502">
        <f t="shared" si="542"/>
        <v>-2.487371135618921E-3</v>
      </c>
      <c r="AU304" s="502">
        <f t="shared" si="542"/>
        <v>1.4964953138332682E-2</v>
      </c>
      <c r="AV304" s="503">
        <f t="shared" si="542"/>
        <v>9.5031777171952214E-3</v>
      </c>
      <c r="AW304" s="502">
        <f t="shared" si="542"/>
        <v>-2.3748179002813674E-2</v>
      </c>
      <c r="AX304" s="502">
        <f t="shared" si="542"/>
        <v>-3.275429951259079E-2</v>
      </c>
      <c r="AY304" s="502">
        <f t="shared" si="542"/>
        <v>-5.9843839215930617E-3</v>
      </c>
      <c r="AZ304" s="502">
        <f t="shared" si="542"/>
        <v>-1.6978078378541261E-2</v>
      </c>
      <c r="BA304" s="503">
        <f t="shared" si="542"/>
        <v>-1.9843926114371246E-2</v>
      </c>
      <c r="BB304" s="502">
        <f t="shared" si="542"/>
        <v>-1.9930334392748383E-2</v>
      </c>
      <c r="BC304" s="502">
        <f t="shared" si="542"/>
        <v>7.5951823946580621E-3</v>
      </c>
      <c r="BD304" s="502">
        <f t="shared" si="542"/>
        <v>-7.7277384275148409E-3</v>
      </c>
      <c r="BE304" s="502">
        <f t="shared" si="542"/>
        <v>-3.3093932531210513E-2</v>
      </c>
      <c r="BF304" s="503">
        <f t="shared" si="542"/>
        <v>-1.349280400482411E-2</v>
      </c>
      <c r="BG304" s="358">
        <f t="shared" ref="BG304:BP304" si="543">+BG303/BB303-1</f>
        <v>4.1150862137850908E-4</v>
      </c>
      <c r="BH304" s="502">
        <f t="shared" si="543"/>
        <v>-1.0097170041327153E-2</v>
      </c>
      <c r="BI304" s="502">
        <f t="shared" si="543"/>
        <v>2.1449357264236912E-2</v>
      </c>
      <c r="BJ304" s="1855">
        <f t="shared" si="543"/>
        <v>2.3323162413466214E-2</v>
      </c>
      <c r="BK304" s="503">
        <f t="shared" si="543"/>
        <v>8.8382608392478801E-3</v>
      </c>
      <c r="BL304" s="502">
        <f t="shared" si="543"/>
        <v>2.2233437259211453E-2</v>
      </c>
      <c r="BM304" s="502">
        <f t="shared" si="543"/>
        <v>7.8748009746332226E-3</v>
      </c>
      <c r="BN304" s="502">
        <f t="shared" si="543"/>
        <v>-2.8459867185495202E-2</v>
      </c>
      <c r="BO304" s="1855">
        <f t="shared" si="543"/>
        <v>0.15691166613539265</v>
      </c>
      <c r="BP304" s="503">
        <f t="shared" si="543"/>
        <v>3.9788032988923305E-2</v>
      </c>
      <c r="BQ304" s="502">
        <f t="shared" ref="BQ304:BZ304" si="544">+BQ303/BL303-1</f>
        <v>0.34251435057279078</v>
      </c>
      <c r="BR304" s="502">
        <f t="shared" si="544"/>
        <v>0.34972448033829684</v>
      </c>
      <c r="BS304" s="502">
        <f>+BS303/BN303-1</f>
        <v>0.33799126603875185</v>
      </c>
      <c r="BT304" s="1855">
        <f t="shared" si="544"/>
        <v>0.15143590126080197</v>
      </c>
      <c r="BU304" s="3381">
        <f t="shared" si="544"/>
        <v>0.28935682568380994</v>
      </c>
      <c r="BV304" s="502">
        <f t="shared" si="544"/>
        <v>6.2306541712242591E-3</v>
      </c>
      <c r="BW304" s="502">
        <f t="shared" si="544"/>
        <v>7.8459611634371651E-3</v>
      </c>
      <c r="BX304" s="502">
        <f>+BX303/BS303-1</f>
        <v>7.9217753197386997E-3</v>
      </c>
      <c r="BY304" s="1855">
        <f t="shared" si="544"/>
        <v>7.8407133712254939E-3</v>
      </c>
      <c r="BZ304" s="503">
        <f t="shared" si="544"/>
        <v>7.4566308271670767E-3</v>
      </c>
      <c r="CA304" s="503">
        <f t="shared" ref="CA304:CG304" si="545">CA303/BZ303-1</f>
        <v>9.2656437800944236E-3</v>
      </c>
      <c r="CB304" s="503">
        <f t="shared" si="545"/>
        <v>-1.0742166692109256E-2</v>
      </c>
      <c r="CC304" s="503">
        <f t="shared" si="545"/>
        <v>-2.8499548515825035E-2</v>
      </c>
      <c r="CD304" s="503">
        <f t="shared" si="545"/>
        <v>-2.8532755277891564E-2</v>
      </c>
      <c r="CE304" s="503">
        <f t="shared" si="545"/>
        <v>9.2825890458088089E-3</v>
      </c>
      <c r="CF304" s="503">
        <f t="shared" si="545"/>
        <v>9.274970973226937E-3</v>
      </c>
      <c r="CG304" s="503">
        <f t="shared" si="545"/>
        <v>9.2672664748680855E-3</v>
      </c>
      <c r="CH304" s="548"/>
      <c r="CI304" s="548"/>
      <c r="CJ304" s="548"/>
      <c r="CK304" s="548"/>
      <c r="CL304" s="548"/>
      <c r="CM304" s="548"/>
      <c r="CN304" s="548"/>
      <c r="CO304" s="548"/>
      <c r="CP304" s="396" t="str">
        <f>A304</f>
        <v>% Growth (y-o-y)</v>
      </c>
      <c r="CQ304" s="502"/>
      <c r="CR304" s="502">
        <f>M304</f>
        <v>0.67981631562516598</v>
      </c>
      <c r="CS304" s="502">
        <f>R304</f>
        <v>6.5342333982447043E-2</v>
      </c>
      <c r="CT304" s="502">
        <f>W304</f>
        <v>-0.13701209896581901</v>
      </c>
      <c r="CU304" s="502">
        <f>AB304</f>
        <v>-4.5483724751099741E-2</v>
      </c>
      <c r="CV304" s="502">
        <f>AG304</f>
        <v>-0.10245879745938802</v>
      </c>
      <c r="CW304" s="502">
        <f>AL304</f>
        <v>-3.3026985481246829E-2</v>
      </c>
      <c r="CX304" s="502">
        <f>AQ304</f>
        <v>-2.4185186562351357E-2</v>
      </c>
      <c r="CY304" s="502">
        <f>AV304</f>
        <v>9.5031777171952214E-3</v>
      </c>
      <c r="CZ304" s="502">
        <f>BA304</f>
        <v>-1.9843926114371246E-2</v>
      </c>
      <c r="DA304" s="502">
        <f>BF304</f>
        <v>-1.349280400482411E-2</v>
      </c>
      <c r="DB304" s="502">
        <f>BK304</f>
        <v>8.8382608392478801E-3</v>
      </c>
      <c r="DC304" s="502">
        <f>BP304</f>
        <v>3.9788032988923305E-2</v>
      </c>
      <c r="DD304" s="502">
        <f>BU304</f>
        <v>0.28935682568380994</v>
      </c>
      <c r="DE304" s="502">
        <f>BZ304</f>
        <v>7.4566308271670767E-3</v>
      </c>
      <c r="DF304" s="502">
        <f>CA304</f>
        <v>9.2656437800944236E-3</v>
      </c>
      <c r="DG304" s="1855">
        <f>CB304</f>
        <v>-1.0742166692109256E-2</v>
      </c>
      <c r="DH304" s="609"/>
      <c r="DI304" s="573"/>
      <c r="DJ304" s="573"/>
      <c r="DK304" s="573"/>
      <c r="DL304" s="573"/>
      <c r="DM304" s="573"/>
      <c r="DN304" s="551"/>
      <c r="DO304" s="266"/>
      <c r="DY304" s="502"/>
      <c r="DZ304" s="502"/>
    </row>
    <row r="305" spans="1:132" ht="6" customHeight="1">
      <c r="A305" s="552"/>
      <c r="B305" s="228"/>
      <c r="C305" s="228"/>
      <c r="D305" s="446"/>
      <c r="E305" s="447"/>
      <c r="F305" s="447"/>
      <c r="G305" s="447"/>
      <c r="H305" s="563"/>
      <c r="I305" s="447"/>
      <c r="J305" s="447"/>
      <c r="K305" s="447"/>
      <c r="L305" s="447"/>
      <c r="M305" s="563"/>
      <c r="N305" s="447"/>
      <c r="O305" s="447"/>
      <c r="P305" s="447"/>
      <c r="Q305" s="447"/>
      <c r="R305" s="563"/>
      <c r="S305" s="447"/>
      <c r="T305" s="447"/>
      <c r="U305" s="447"/>
      <c r="V305" s="447"/>
      <c r="W305" s="563"/>
      <c r="X305" s="447"/>
      <c r="Y305" s="447"/>
      <c r="Z305" s="447"/>
      <c r="AA305" s="447"/>
      <c r="AB305" s="563"/>
      <c r="AC305" s="447"/>
      <c r="AD305" s="447"/>
      <c r="AE305" s="447"/>
      <c r="AF305" s="447"/>
      <c r="AG305" s="563"/>
      <c r="AH305" s="447"/>
      <c r="AI305" s="447"/>
      <c r="AJ305" s="447"/>
      <c r="AK305" s="447"/>
      <c r="AL305" s="563"/>
      <c r="AM305" s="447"/>
      <c r="AN305" s="447"/>
      <c r="AO305" s="447"/>
      <c r="AP305" s="447"/>
      <c r="AQ305" s="563"/>
      <c r="AR305" s="447"/>
      <c r="AS305" s="447"/>
      <c r="AT305" s="447"/>
      <c r="AU305" s="447"/>
      <c r="AV305" s="563"/>
      <c r="AW305" s="447"/>
      <c r="AX305" s="447"/>
      <c r="AY305" s="447"/>
      <c r="AZ305" s="447"/>
      <c r="BA305" s="563"/>
      <c r="BB305" s="447"/>
      <c r="BC305" s="447"/>
      <c r="BD305" s="447"/>
      <c r="BE305" s="447"/>
      <c r="BF305" s="563"/>
      <c r="BG305" s="446"/>
      <c r="BH305" s="447"/>
      <c r="BI305" s="447"/>
      <c r="BJ305" s="2802"/>
      <c r="BK305" s="563"/>
      <c r="BL305" s="447"/>
      <c r="BM305" s="447"/>
      <c r="BN305" s="447"/>
      <c r="BO305" s="2802"/>
      <c r="BP305" s="563"/>
      <c r="BQ305" s="447"/>
      <c r="BR305" s="447"/>
      <c r="BS305" s="447"/>
      <c r="BT305" s="2802"/>
      <c r="BU305" s="3320"/>
      <c r="BV305" s="447"/>
      <c r="BW305" s="447"/>
      <c r="BX305" s="447"/>
      <c r="BY305" s="2802"/>
      <c r="BZ305" s="4005"/>
      <c r="CA305" s="563"/>
      <c r="CB305" s="563"/>
      <c r="CC305" s="563"/>
      <c r="CD305" s="563"/>
      <c r="CE305" s="563"/>
      <c r="CF305" s="563"/>
      <c r="CG305" s="563"/>
      <c r="CH305" s="447"/>
      <c r="CI305" s="447"/>
      <c r="CJ305" s="447"/>
      <c r="CK305" s="447"/>
      <c r="CL305" s="447"/>
      <c r="CM305" s="447"/>
      <c r="CN305" s="447"/>
      <c r="CO305" s="447"/>
      <c r="CP305" s="994"/>
      <c r="CQ305" s="564"/>
      <c r="CR305" s="564"/>
      <c r="CS305" s="564"/>
      <c r="CT305" s="564"/>
      <c r="CU305" s="564"/>
      <c r="CV305" s="564"/>
      <c r="CW305" s="564"/>
      <c r="CX305" s="564"/>
      <c r="CY305" s="564"/>
      <c r="CZ305" s="564"/>
      <c r="DA305" s="564"/>
      <c r="DB305" s="564"/>
      <c r="DC305" s="564"/>
      <c r="DD305" s="564"/>
      <c r="DE305" s="564"/>
      <c r="DF305" s="564"/>
      <c r="DG305" s="1789"/>
      <c r="DH305" s="223"/>
      <c r="DI305" s="595"/>
      <c r="DJ305" s="595"/>
      <c r="DK305" s="595"/>
      <c r="DL305" s="595"/>
      <c r="DM305" s="595"/>
      <c r="DN305" s="514"/>
      <c r="DO305" s="226"/>
      <c r="DY305" s="447"/>
      <c r="DZ305" s="447"/>
    </row>
    <row r="306" spans="1:132" ht="12" customHeight="1">
      <c r="A306" s="228" t="s">
        <v>1326</v>
      </c>
      <c r="B306" s="649"/>
      <c r="C306" s="649"/>
      <c r="D306" s="565">
        <f>D235</f>
        <v>33.064999999999998</v>
      </c>
      <c r="E306" s="566">
        <f>E235</f>
        <v>33.009</v>
      </c>
      <c r="F306" s="557">
        <f>F297-F310</f>
        <v>149.976</v>
      </c>
      <c r="G306" s="557">
        <f>G297-G310</f>
        <v>153.58600000000001</v>
      </c>
      <c r="H306" s="556">
        <f>SUM(D306:G306)</f>
        <v>369.63600000000002</v>
      </c>
      <c r="I306" s="557">
        <f>I297-I310</f>
        <v>153.93</v>
      </c>
      <c r="J306" s="557">
        <f>J297-J310</f>
        <v>152.191</v>
      </c>
      <c r="K306" s="557">
        <f>K297-K310</f>
        <v>154.16899999999998</v>
      </c>
      <c r="L306" s="557">
        <f>L297-L310</f>
        <v>163.25200000000001</v>
      </c>
      <c r="M306" s="556">
        <f>SUM(I306:L306)</f>
        <v>623.54199999999992</v>
      </c>
      <c r="N306" s="557">
        <f>N297-N310</f>
        <v>186.56400000000002</v>
      </c>
      <c r="O306" s="557">
        <f>O297-O310</f>
        <v>185.517</v>
      </c>
      <c r="P306" s="557">
        <f>P297-P310</f>
        <v>143.30700000000002</v>
      </c>
      <c r="Q306" s="557">
        <f>Q297-Q310</f>
        <v>147.23500000000001</v>
      </c>
      <c r="R306" s="556">
        <f>SUM(N306:Q306)</f>
        <v>662.62300000000005</v>
      </c>
      <c r="S306" s="557">
        <f>S297-S310</f>
        <v>144.10899999999998</v>
      </c>
      <c r="T306" s="557">
        <f>T297-T310</f>
        <v>144.38900000000001</v>
      </c>
      <c r="U306" s="557">
        <f>U297-U310</f>
        <v>142.536</v>
      </c>
      <c r="V306" s="557">
        <f>V297-V310</f>
        <v>141.625</v>
      </c>
      <c r="W306" s="355">
        <f>SUM(S306:V306)</f>
        <v>572.65899999999999</v>
      </c>
      <c r="X306" s="557">
        <f>X297-X310</f>
        <v>139.839</v>
      </c>
      <c r="Y306" s="557">
        <f>Y297-Y310</f>
        <v>135.46899999999999</v>
      </c>
      <c r="Z306" s="557">
        <f>Z297-Z310</f>
        <v>136.11200000000002</v>
      </c>
      <c r="AA306" s="557">
        <f>AA297-AA310</f>
        <v>132.99099999999999</v>
      </c>
      <c r="AB306" s="355">
        <f>SUM(X306:AA306)</f>
        <v>544.41100000000006</v>
      </c>
      <c r="AC306" s="557">
        <f>AC297-AC310</f>
        <v>124.779</v>
      </c>
      <c r="AD306" s="354">
        <f>AD297-AD310</f>
        <v>122.21000000000001</v>
      </c>
      <c r="AE306" s="354">
        <f>AE297-AE310</f>
        <v>119.386</v>
      </c>
      <c r="AF306" s="354">
        <f>AF297-AF310</f>
        <v>120.23000000000002</v>
      </c>
      <c r="AG306" s="355">
        <f>SUM(AC306:AF306)</f>
        <v>486.60500000000002</v>
      </c>
      <c r="AH306" s="354">
        <f>AH297-AH310</f>
        <v>116.15900000000001</v>
      </c>
      <c r="AI306" s="354">
        <f>AI297-AI310</f>
        <v>116.268</v>
      </c>
      <c r="AJ306" s="354">
        <f>AJ297-AJ310</f>
        <v>119.47699999999999</v>
      </c>
      <c r="AK306" s="354">
        <f>AK297-AK310</f>
        <v>117.99799999999999</v>
      </c>
      <c r="AL306" s="355">
        <f>SUM(AH306:AK306)</f>
        <v>469.90199999999999</v>
      </c>
      <c r="AM306" s="2042">
        <f>AM297-AM310</f>
        <v>114.876</v>
      </c>
      <c r="AN306" s="2042">
        <f>AN297-AN310</f>
        <v>113.26600000000002</v>
      </c>
      <c r="AO306" s="2042">
        <f>AO297-AO310</f>
        <v>115.12199999999999</v>
      </c>
      <c r="AP306" s="2042">
        <f>AP297-AP310</f>
        <v>115.854</v>
      </c>
      <c r="AQ306" s="355">
        <f>SUM(AM306:AP306)</f>
        <v>459.11799999999999</v>
      </c>
      <c r="AR306" s="2042">
        <f>AR297-AR310</f>
        <v>116.303</v>
      </c>
      <c r="AS306" s="2042">
        <f>AS297-AS310</f>
        <v>114.452</v>
      </c>
      <c r="AT306" s="2042">
        <f>AT297-AT310</f>
        <v>114.51600000000001</v>
      </c>
      <c r="AU306" s="2042">
        <f>AU297-AU310</f>
        <v>117.29299999999999</v>
      </c>
      <c r="AV306" s="355">
        <f>SUM(AR306:AU306)</f>
        <v>462.56400000000002</v>
      </c>
      <c r="AW306" s="2042">
        <f>AW297-AW310</f>
        <v>113.622</v>
      </c>
      <c r="AX306" s="2042">
        <f>AX297-AX310</f>
        <v>110.967</v>
      </c>
      <c r="AY306" s="2042">
        <f>AY297-AY310</f>
        <v>113.941</v>
      </c>
      <c r="AZ306" s="2042">
        <f>AZ297-AZ310</f>
        <v>115.41600000000001</v>
      </c>
      <c r="BA306" s="355">
        <f>SUM(AW306:AZ306)</f>
        <v>453.94599999999997</v>
      </c>
      <c r="BB306" s="2042">
        <f>BB297-BB310</f>
        <v>111.43600000000001</v>
      </c>
      <c r="BC306" s="2042">
        <f>BC297-BC310</f>
        <v>111.68900000000001</v>
      </c>
      <c r="BD306" s="2042">
        <f>BD297-BD310</f>
        <v>113.155</v>
      </c>
      <c r="BE306" s="2042">
        <f>BE297-BE310</f>
        <v>111.97499999999999</v>
      </c>
      <c r="BF306" s="355">
        <f>SUM(BB306:BE306)</f>
        <v>448.255</v>
      </c>
      <c r="BG306" s="2042">
        <f>BG297-BG310</f>
        <v>111.42499999999998</v>
      </c>
      <c r="BH306" s="2042">
        <f>BH297-BH310</f>
        <v>110.85700000000001</v>
      </c>
      <c r="BI306" s="2042">
        <f>BI297-BI310</f>
        <v>115.761</v>
      </c>
      <c r="BJ306" s="2042">
        <f>BJ297-BJ310</f>
        <v>114.751</v>
      </c>
      <c r="BK306" s="355">
        <f>SUM(BG306:BJ306)</f>
        <v>452.79399999999998</v>
      </c>
      <c r="BL306" s="2042">
        <f>BL297-BL310</f>
        <v>114.127</v>
      </c>
      <c r="BM306" s="2042">
        <f>BM297-BM310</f>
        <v>111.76300000000001</v>
      </c>
      <c r="BN306" s="2042">
        <f>BN297-BN310</f>
        <v>112.70599999999999</v>
      </c>
      <c r="BO306" s="3916">
        <f>BO297-BO310</f>
        <v>132.851</v>
      </c>
      <c r="BP306" s="355">
        <f>SUM(BL306:BO306)</f>
        <v>471.447</v>
      </c>
      <c r="BQ306" s="3927">
        <f>BQ297-BQ310</f>
        <v>153.554</v>
      </c>
      <c r="BR306" s="3927">
        <f>BR297-BR310</f>
        <v>151.09</v>
      </c>
      <c r="BS306" s="3927">
        <f>BS297-BS310</f>
        <v>151.18199999999999</v>
      </c>
      <c r="BT306" s="3927">
        <f>BT297-BT310</f>
        <v>153.15200000000002</v>
      </c>
      <c r="BU306" s="3387">
        <f>SUM(BQ306:BT306)</f>
        <v>608.97800000000007</v>
      </c>
      <c r="BV306" s="354">
        <f>BQ306*(1+BV308)</f>
        <v>154.70565500000001</v>
      </c>
      <c r="BW306" s="354">
        <f t="shared" ref="BW306:BY306" si="546">BR306*(1+BW308)</f>
        <v>152.6009</v>
      </c>
      <c r="BX306" s="354">
        <f>BS306*(1+BX308)</f>
        <v>152.69381999999999</v>
      </c>
      <c r="BY306" s="354">
        <f t="shared" si="546"/>
        <v>154.68352000000002</v>
      </c>
      <c r="BZ306" s="355">
        <f>SUM(BV306:BY306)</f>
        <v>614.68389500000001</v>
      </c>
      <c r="CA306" s="355">
        <f t="shared" ref="CA306:CG306" si="547">BZ306*(1+CA308)</f>
        <v>620.83073394999997</v>
      </c>
      <c r="CB306" s="355">
        <f t="shared" si="547"/>
        <v>614.62242661049993</v>
      </c>
      <c r="CC306" s="355">
        <f t="shared" si="547"/>
        <v>596.18375381218493</v>
      </c>
      <c r="CD306" s="355">
        <f t="shared" si="547"/>
        <v>578.29824119781938</v>
      </c>
      <c r="CE306" s="355">
        <f t="shared" si="547"/>
        <v>584.08122360979758</v>
      </c>
      <c r="CF306" s="355">
        <f t="shared" si="547"/>
        <v>589.92203584589561</v>
      </c>
      <c r="CG306" s="355">
        <f t="shared" si="547"/>
        <v>595.82125620435454</v>
      </c>
      <c r="CH306" s="354"/>
      <c r="CI306" s="354"/>
      <c r="CJ306" s="354"/>
      <c r="CK306" s="354"/>
      <c r="CL306" s="354"/>
      <c r="CM306" s="965"/>
      <c r="CN306" s="965">
        <f t="shared" ref="CN306" si="548">SUM(BV306:BY306)</f>
        <v>614.68389500000001</v>
      </c>
      <c r="CO306" s="965">
        <f t="shared" ref="CO306" si="549">CM306-CN306</f>
        <v>-614.68389500000001</v>
      </c>
      <c r="CP306" s="1847"/>
      <c r="CQ306" s="354"/>
      <c r="CR306" s="354"/>
      <c r="CS306" s="354"/>
      <c r="CT306" s="354"/>
      <c r="CU306" s="354"/>
      <c r="CV306" s="354"/>
      <c r="CW306" s="354"/>
      <c r="CX306" s="354"/>
      <c r="CY306" s="354"/>
      <c r="CZ306" s="354"/>
      <c r="DA306" s="354"/>
      <c r="DB306" s="354"/>
      <c r="DC306" s="354"/>
      <c r="DD306" s="354"/>
      <c r="DE306" s="354"/>
      <c r="DF306" s="354"/>
      <c r="DG306" s="1838"/>
      <c r="DH306" s="614"/>
      <c r="DI306" s="614"/>
      <c r="DJ306" s="614"/>
      <c r="DK306" s="614"/>
      <c r="DL306" s="614"/>
      <c r="DM306" s="614"/>
      <c r="DN306" s="559"/>
      <c r="DO306" s="269"/>
      <c r="DY306" s="354"/>
      <c r="DZ306" s="354"/>
    </row>
    <row r="307" spans="1:132" ht="12" customHeight="1">
      <c r="A307" s="567" t="s">
        <v>430</v>
      </c>
      <c r="B307" s="679"/>
      <c r="C307" s="679"/>
      <c r="D307" s="399">
        <f t="shared" ref="D307:AW307" si="550">D306/D297</f>
        <v>0.70107923584165543</v>
      </c>
      <c r="E307" s="343">
        <f t="shared" si="550"/>
        <v>0.74529239105892975</v>
      </c>
      <c r="F307" s="343">
        <f t="shared" si="550"/>
        <v>0.7319187147402737</v>
      </c>
      <c r="G307" s="343">
        <f t="shared" si="550"/>
        <v>0.6730707709028122</v>
      </c>
      <c r="H307" s="344">
        <f t="shared" si="550"/>
        <v>0.70467526327428576</v>
      </c>
      <c r="I307" s="343">
        <f t="shared" si="550"/>
        <v>0.64676742339253523</v>
      </c>
      <c r="J307" s="343">
        <f t="shared" si="550"/>
        <v>0.66652506186086236</v>
      </c>
      <c r="K307" s="343">
        <f t="shared" si="550"/>
        <v>0.67833383199281927</v>
      </c>
      <c r="L307" s="343">
        <f t="shared" si="550"/>
        <v>0.67178022665360848</v>
      </c>
      <c r="M307" s="344">
        <f t="shared" si="550"/>
        <v>0.66573352807530017</v>
      </c>
      <c r="N307" s="343">
        <f t="shared" si="550"/>
        <v>0.66394063951315863</v>
      </c>
      <c r="O307" s="343">
        <f t="shared" si="550"/>
        <v>0.70153340013991572</v>
      </c>
      <c r="P307" s="343">
        <f t="shared" si="550"/>
        <v>0.71824442172370251</v>
      </c>
      <c r="Q307" s="343">
        <f t="shared" si="550"/>
        <v>0.67640762247785668</v>
      </c>
      <c r="R307" s="344">
        <f t="shared" si="550"/>
        <v>0.6883422186579351</v>
      </c>
      <c r="S307" s="343">
        <f t="shared" si="550"/>
        <v>0.6589707711442786</v>
      </c>
      <c r="T307" s="343">
        <f t="shared" si="550"/>
        <v>0.68355323268618073</v>
      </c>
      <c r="U307" s="343">
        <f t="shared" si="550"/>
        <v>0.69922344480473297</v>
      </c>
      <c r="V307" s="343">
        <f t="shared" si="550"/>
        <v>0.66056744667652367</v>
      </c>
      <c r="W307" s="344">
        <f t="shared" si="550"/>
        <v>0.67517086806992477</v>
      </c>
      <c r="X307" s="343">
        <f t="shared" si="550"/>
        <v>0.67720611736902769</v>
      </c>
      <c r="Y307" s="343">
        <f t="shared" si="550"/>
        <v>0.6845464284270526</v>
      </c>
      <c r="Z307" s="343">
        <f t="shared" si="550"/>
        <v>0.74871969767812852</v>
      </c>
      <c r="AA307" s="343">
        <f t="shared" si="550"/>
        <v>0.75213070993501829</v>
      </c>
      <c r="AB307" s="344">
        <f t="shared" si="550"/>
        <v>0.71351189118770342</v>
      </c>
      <c r="AC307" s="343">
        <f t="shared" si="550"/>
        <v>0.73356692279202118</v>
      </c>
      <c r="AD307" s="343">
        <f t="shared" si="550"/>
        <v>0.73564200882457398</v>
      </c>
      <c r="AE307" s="343">
        <f t="shared" si="550"/>
        <v>0.79195218542079882</v>
      </c>
      <c r="AF307" s="343">
        <f t="shared" si="550"/>
        <v>0.77584760528115848</v>
      </c>
      <c r="AG307" s="344">
        <f t="shared" si="550"/>
        <v>0.75802137579621798</v>
      </c>
      <c r="AH307" s="343">
        <f t="shared" si="550"/>
        <v>0.74188871573461412</v>
      </c>
      <c r="AI307" s="343">
        <f t="shared" si="550"/>
        <v>0.75953435503468814</v>
      </c>
      <c r="AJ307" s="343">
        <f t="shared" si="550"/>
        <v>0.82062324424938016</v>
      </c>
      <c r="AK307" s="343">
        <f t="shared" si="550"/>
        <v>0.77567494724663588</v>
      </c>
      <c r="AL307" s="344">
        <f t="shared" si="550"/>
        <v>0.77367188812017795</v>
      </c>
      <c r="AM307" s="343">
        <f t="shared" si="550"/>
        <v>0.74344255399012416</v>
      </c>
      <c r="AN307" s="343">
        <f>AN306/AN297</f>
        <v>0.74597592138886704</v>
      </c>
      <c r="AO307" s="343">
        <f>AO306/AO297</f>
        <v>0.78896617893979371</v>
      </c>
      <c r="AP307" s="343">
        <f>AP306/AP297</f>
        <v>0.75872321475349713</v>
      </c>
      <c r="AQ307" s="344">
        <f t="shared" si="550"/>
        <v>0.75891537706251255</v>
      </c>
      <c r="AR307" s="343">
        <f t="shared" si="550"/>
        <v>0.75136476106183259</v>
      </c>
      <c r="AS307" s="343">
        <f t="shared" si="550"/>
        <v>0.7682012524582682</v>
      </c>
      <c r="AT307" s="343">
        <f t="shared" si="550"/>
        <v>0.82512050840496587</v>
      </c>
      <c r="AU307" s="343">
        <f t="shared" si="550"/>
        <v>0.78856147852335901</v>
      </c>
      <c r="AV307" s="344">
        <f>AV306/AV297</f>
        <v>0.78227516717232704</v>
      </c>
      <c r="AW307" s="343">
        <f t="shared" si="550"/>
        <v>0.74346810445798195</v>
      </c>
      <c r="AX307" s="343">
        <f t="shared" ref="AX307:BF307" si="551">AX306/AX297</f>
        <v>0.74131204489277847</v>
      </c>
      <c r="AY307" s="343">
        <f t="shared" si="551"/>
        <v>0.81217611963704017</v>
      </c>
      <c r="AZ307" s="343">
        <f t="shared" si="551"/>
        <v>0.77648531004648846</v>
      </c>
      <c r="BA307" s="344">
        <f t="shared" si="551"/>
        <v>0.76751763048929145</v>
      </c>
      <c r="BB307" s="343">
        <f t="shared" si="551"/>
        <v>0.73582800129421633</v>
      </c>
      <c r="BC307" s="343">
        <f t="shared" si="551"/>
        <v>0.75328117623254875</v>
      </c>
      <c r="BD307" s="343">
        <f t="shared" si="551"/>
        <v>0.80134129327866188</v>
      </c>
      <c r="BE307" s="343">
        <f t="shared" si="551"/>
        <v>0.73797880473466371</v>
      </c>
      <c r="BF307" s="344">
        <f t="shared" si="551"/>
        <v>0.75635448796258165</v>
      </c>
      <c r="BG307" s="343">
        <f t="shared" ref="BG307:BP307" si="552">BG306/BG297</f>
        <v>0.74134076725525933</v>
      </c>
      <c r="BH307" s="343">
        <f>BH306/BH297</f>
        <v>0.72440404621255694</v>
      </c>
      <c r="BI307" s="343">
        <f>BI306/BI297</f>
        <v>0.78205266784667149</v>
      </c>
      <c r="BJ307" s="1812">
        <f t="shared" si="552"/>
        <v>0.72284094488188977</v>
      </c>
      <c r="BK307" s="344">
        <f t="shared" si="552"/>
        <v>0.74215628103968811</v>
      </c>
      <c r="BL307" s="343">
        <f t="shared" si="552"/>
        <v>0.72050783469488255</v>
      </c>
      <c r="BM307" s="343">
        <f>BM306/BM297</f>
        <v>0.72134946042236792</v>
      </c>
      <c r="BN307" s="343">
        <f t="shared" si="552"/>
        <v>0.75703087742394826</v>
      </c>
      <c r="BO307" s="1812">
        <f t="shared" si="552"/>
        <v>0.71558382798108311</v>
      </c>
      <c r="BP307" s="344">
        <f t="shared" si="552"/>
        <v>0.72769102300317812</v>
      </c>
      <c r="BQ307" s="343">
        <f t="shared" ref="BQ307:CG307" si="553">BQ306/BQ297</f>
        <v>0.69866821972782001</v>
      </c>
      <c r="BR307" s="343">
        <f t="shared" si="553"/>
        <v>0.70531612951413525</v>
      </c>
      <c r="BS307" s="343">
        <f t="shared" si="553"/>
        <v>0.72932254656497386</v>
      </c>
      <c r="BT307" s="1812">
        <f t="shared" si="553"/>
        <v>0.70371680765325118</v>
      </c>
      <c r="BU307" s="3321">
        <f t="shared" si="553"/>
        <v>0.70900350556104696</v>
      </c>
      <c r="BV307" s="343">
        <f t="shared" si="553"/>
        <v>0.68673973792758891</v>
      </c>
      <c r="BW307" s="343">
        <f t="shared" si="553"/>
        <v>0.68497047193199667</v>
      </c>
      <c r="BX307" s="343">
        <f t="shared" si="553"/>
        <v>0.70828439618329186</v>
      </c>
      <c r="BY307" s="1812">
        <f t="shared" si="553"/>
        <v>0.68341728435556126</v>
      </c>
      <c r="BZ307" s="344">
        <f t="shared" ref="BZ307" si="554">BZ306/BZ297</f>
        <v>0.69067070944903464</v>
      </c>
      <c r="CA307" s="344">
        <f t="shared" si="553"/>
        <v>0.68389942798384795</v>
      </c>
      <c r="CB307" s="344">
        <f t="shared" si="553"/>
        <v>0.67706043370400948</v>
      </c>
      <c r="CC307" s="344">
        <f t="shared" si="553"/>
        <v>0.69131433757146232</v>
      </c>
      <c r="CD307" s="344">
        <f t="shared" si="553"/>
        <v>0.70586832362559837</v>
      </c>
      <c r="CE307" s="344">
        <f t="shared" si="553"/>
        <v>0.69894804594299442</v>
      </c>
      <c r="CF307" s="344">
        <f t="shared" si="553"/>
        <v>0.69209561412002396</v>
      </c>
      <c r="CG307" s="344">
        <f t="shared" si="553"/>
        <v>0.68531036300120018</v>
      </c>
      <c r="CH307" s="501"/>
      <c r="CI307" s="501"/>
      <c r="CJ307" s="501"/>
      <c r="CK307" s="501"/>
      <c r="CL307" s="501"/>
      <c r="CM307" s="501"/>
      <c r="CN307" s="501"/>
      <c r="CO307" s="501"/>
      <c r="CP307" s="1849" t="str">
        <f>A307</f>
        <v>% of Revenue</v>
      </c>
      <c r="CQ307" s="343">
        <f>H307</f>
        <v>0.70467526327428576</v>
      </c>
      <c r="CR307" s="343">
        <f>M307</f>
        <v>0.66573352807530017</v>
      </c>
      <c r="CS307" s="343">
        <f>R307</f>
        <v>0.6883422186579351</v>
      </c>
      <c r="CT307" s="343">
        <f>W307</f>
        <v>0.67517086806992477</v>
      </c>
      <c r="CU307" s="343">
        <f>AB307</f>
        <v>0.71351189118770342</v>
      </c>
      <c r="CV307" s="343">
        <f>AG307</f>
        <v>0.75802137579621798</v>
      </c>
      <c r="CW307" s="343">
        <f>AL307</f>
        <v>0.77367188812017795</v>
      </c>
      <c r="CX307" s="343">
        <f>AQ307</f>
        <v>0.75891537706251255</v>
      </c>
      <c r="CY307" s="343">
        <f>AV307</f>
        <v>0.78227516717232704</v>
      </c>
      <c r="CZ307" s="343">
        <f>BA307</f>
        <v>0.76751763048929145</v>
      </c>
      <c r="DA307" s="343">
        <f>BF307</f>
        <v>0.75635448796258165</v>
      </c>
      <c r="DB307" s="343">
        <f>BK307</f>
        <v>0.74215628103968811</v>
      </c>
      <c r="DC307" s="343">
        <f>BP307</f>
        <v>0.72769102300317812</v>
      </c>
      <c r="DD307" s="343">
        <f>BU307</f>
        <v>0.70900350556104696</v>
      </c>
      <c r="DE307" s="343">
        <f t="shared" ref="DE307:DG308" si="555">BZ307</f>
        <v>0.69067070944903464</v>
      </c>
      <c r="DF307" s="343">
        <f t="shared" si="555"/>
        <v>0.68389942798384795</v>
      </c>
      <c r="DG307" s="1812">
        <f t="shared" si="555"/>
        <v>0.67706043370400948</v>
      </c>
      <c r="DH307" s="680"/>
      <c r="DI307" s="680"/>
      <c r="DJ307" s="680"/>
      <c r="DK307" s="680"/>
      <c r="DL307" s="680"/>
      <c r="DM307" s="680"/>
      <c r="DN307" s="681"/>
      <c r="DO307" s="270"/>
      <c r="DY307" s="343"/>
      <c r="DZ307" s="343"/>
    </row>
    <row r="308" spans="1:132" ht="12" customHeight="1">
      <c r="A308" s="257" t="s">
        <v>1924</v>
      </c>
      <c r="B308" s="545"/>
      <c r="C308" s="545"/>
      <c r="D308" s="560"/>
      <c r="E308" s="561"/>
      <c r="F308" s="561"/>
      <c r="G308" s="561"/>
      <c r="H308" s="562"/>
      <c r="I308" s="561">
        <f t="shared" ref="I308:O308" si="556">+I306/D306-1</f>
        <v>3.6553757749886593</v>
      </c>
      <c r="J308" s="561">
        <f t="shared" si="556"/>
        <v>3.610591050925505</v>
      </c>
      <c r="K308" s="561">
        <f t="shared" si="556"/>
        <v>2.7957806582386446E-2</v>
      </c>
      <c r="L308" s="561">
        <f t="shared" si="556"/>
        <v>6.2935423801648627E-2</v>
      </c>
      <c r="M308" s="562">
        <f t="shared" si="556"/>
        <v>0.68690820158209664</v>
      </c>
      <c r="N308" s="561">
        <f t="shared" si="556"/>
        <v>0.21200545702592088</v>
      </c>
      <c r="O308" s="561">
        <f t="shared" si="556"/>
        <v>0.21897484082501584</v>
      </c>
      <c r="P308" s="502">
        <f t="shared" ref="P308:V308" si="557">P306/K306-1</f>
        <v>-7.0455149868001832E-2</v>
      </c>
      <c r="Q308" s="502">
        <f t="shared" si="557"/>
        <v>-9.811212113787271E-2</v>
      </c>
      <c r="R308" s="503">
        <f t="shared" si="557"/>
        <v>6.2675810129871223E-2</v>
      </c>
      <c r="S308" s="502">
        <f t="shared" si="557"/>
        <v>-0.22756265946270471</v>
      </c>
      <c r="T308" s="502">
        <f t="shared" si="557"/>
        <v>-0.22169396874679936</v>
      </c>
      <c r="U308" s="502">
        <f t="shared" si="557"/>
        <v>-5.3800581967385908E-3</v>
      </c>
      <c r="V308" s="502">
        <f t="shared" si="557"/>
        <v>-3.8102353380650045E-2</v>
      </c>
      <c r="W308" s="503">
        <f t="shared" ref="W308:AG308" si="558">W306/R306-1</f>
        <v>-0.13576950996267867</v>
      </c>
      <c r="X308" s="502">
        <f t="shared" si="558"/>
        <v>-2.9630349249526233E-2</v>
      </c>
      <c r="Y308" s="502">
        <f t="shared" si="558"/>
        <v>-6.177755923235162E-2</v>
      </c>
      <c r="Z308" s="502">
        <f t="shared" si="558"/>
        <v>-4.5069315821967604E-2</v>
      </c>
      <c r="AA308" s="502">
        <f t="shared" si="558"/>
        <v>-6.0963812886143054E-2</v>
      </c>
      <c r="AB308" s="503">
        <f>AB306/W306-1</f>
        <v>-4.9327784947062581E-2</v>
      </c>
      <c r="AC308" s="502">
        <f>AC306/X306-1</f>
        <v>-0.1076952781412911</v>
      </c>
      <c r="AD308" s="502">
        <f>AD306/Y306-1</f>
        <v>-9.7874790542485601E-2</v>
      </c>
      <c r="AE308" s="502">
        <f>AE306/Z306-1</f>
        <v>-0.12288409545080536</v>
      </c>
      <c r="AF308" s="502">
        <f>AF306/AA306-1</f>
        <v>-9.5953861539502472E-2</v>
      </c>
      <c r="AG308" s="503">
        <f t="shared" si="558"/>
        <v>-0.10618080824964971</v>
      </c>
      <c r="AH308" s="502">
        <f t="shared" ref="AH308:AN308" si="559">AH306/AC306-1</f>
        <v>-6.9082137218602457E-2</v>
      </c>
      <c r="AI308" s="502">
        <f t="shared" si="559"/>
        <v>-4.8621225758939568E-2</v>
      </c>
      <c r="AJ308" s="502">
        <f t="shared" si="559"/>
        <v>7.6223342770509461E-4</v>
      </c>
      <c r="AK308" s="502">
        <f t="shared" si="559"/>
        <v>-1.8564418198453225E-2</v>
      </c>
      <c r="AL308" s="503">
        <f t="shared" si="559"/>
        <v>-3.4325582351188433E-2</v>
      </c>
      <c r="AM308" s="502">
        <f t="shared" si="559"/>
        <v>-1.1045205278971126E-2</v>
      </c>
      <c r="AN308" s="502">
        <f t="shared" si="559"/>
        <v>-2.5819658031444481E-2</v>
      </c>
      <c r="AO308" s="502">
        <f t="shared" ref="AO308:BN308" si="560">AO306/AJ306-1</f>
        <v>-3.6450530227575273E-2</v>
      </c>
      <c r="AP308" s="502">
        <f t="shared" si="560"/>
        <v>-1.8169799488126803E-2</v>
      </c>
      <c r="AQ308" s="503">
        <f t="shared" si="560"/>
        <v>-2.2949466058880374E-2</v>
      </c>
      <c r="AR308" s="502">
        <f t="shared" si="560"/>
        <v>1.2422089905637312E-2</v>
      </c>
      <c r="AS308" s="502">
        <f t="shared" si="560"/>
        <v>1.0470926844772244E-2</v>
      </c>
      <c r="AT308" s="502">
        <f t="shared" si="560"/>
        <v>-5.2639808203469585E-3</v>
      </c>
      <c r="AU308" s="502">
        <f t="shared" si="560"/>
        <v>1.2420805496573317E-2</v>
      </c>
      <c r="AV308" s="503">
        <f>AV306/AQ306-1</f>
        <v>7.5056957035011251E-3</v>
      </c>
      <c r="AW308" s="502">
        <f t="shared" si="560"/>
        <v>-2.3051855928050036E-2</v>
      </c>
      <c r="AX308" s="502">
        <f t="shared" si="560"/>
        <v>-3.0449446055988538E-2</v>
      </c>
      <c r="AY308" s="502">
        <f t="shared" si="560"/>
        <v>-5.0211324181773653E-3</v>
      </c>
      <c r="AZ308" s="502">
        <f t="shared" si="560"/>
        <v>-1.6002660005285718E-2</v>
      </c>
      <c r="BA308" s="503">
        <f>BA306/AV306-1</f>
        <v>-1.8630935394886028E-2</v>
      </c>
      <c r="BB308" s="502">
        <f t="shared" si="560"/>
        <v>-1.9239231838904414E-2</v>
      </c>
      <c r="BC308" s="502">
        <f t="shared" si="560"/>
        <v>6.5064388511901772E-3</v>
      </c>
      <c r="BD308" s="502">
        <f t="shared" si="560"/>
        <v>-6.8983070185446582E-3</v>
      </c>
      <c r="BE308" s="502">
        <f t="shared" si="560"/>
        <v>-2.9813890621750994E-2</v>
      </c>
      <c r="BF308" s="503">
        <f>BF306/BA306-1</f>
        <v>-1.2536733444066028E-2</v>
      </c>
      <c r="BG308" s="502">
        <f t="shared" si="560"/>
        <v>-9.8711367960246932E-5</v>
      </c>
      <c r="BH308" s="502">
        <f t="shared" si="560"/>
        <v>-7.4492564173731513E-3</v>
      </c>
      <c r="BI308" s="502">
        <f t="shared" si="560"/>
        <v>2.3030356590517442E-2</v>
      </c>
      <c r="BJ308" s="502">
        <f t="shared" si="560"/>
        <v>2.4791248046438952E-2</v>
      </c>
      <c r="BK308" s="503">
        <f>BK306/BF306-1</f>
        <v>1.0125932783794811E-2</v>
      </c>
      <c r="BL308" s="502">
        <f t="shared" si="560"/>
        <v>2.4249495176127622E-2</v>
      </c>
      <c r="BM308" s="502">
        <f t="shared" si="560"/>
        <v>8.1726909441892648E-3</v>
      </c>
      <c r="BN308" s="502">
        <f t="shared" si="560"/>
        <v>-2.6390580592773105E-2</v>
      </c>
      <c r="BO308" s="3919">
        <v>-0.02</v>
      </c>
      <c r="BP308" s="503">
        <f>(BP306-'Tables 2'!DL549)/BK306-1</f>
        <v>4.7549216641564751E-3</v>
      </c>
      <c r="BQ308" s="3919">
        <v>0.02</v>
      </c>
      <c r="BR308" s="3919">
        <v>-0.01</v>
      </c>
      <c r="BS308" s="3919">
        <v>0.02</v>
      </c>
      <c r="BT308" s="3919">
        <v>0.02</v>
      </c>
      <c r="BU308" s="3381">
        <f>(BU306-'Tables 2'!DO557-('Tables 2'!DL557*(3/4)))/BP306-1</f>
        <v>5.2563702812829627E-2</v>
      </c>
      <c r="BV308" s="615">
        <v>7.4999999999999997E-3</v>
      </c>
      <c r="BW308" s="615">
        <v>0.01</v>
      </c>
      <c r="BX308" s="615">
        <v>0.01</v>
      </c>
      <c r="BY308" s="615">
        <v>0.01</v>
      </c>
      <c r="BZ308" s="503">
        <f>(BZ306-'Tables 2'!DT557-('Tables 2'!DQ557*(3/4)))/BU306-1</f>
        <v>9.3696241900362853E-3</v>
      </c>
      <c r="CA308" s="616">
        <v>0.01</v>
      </c>
      <c r="CB308" s="616">
        <v>-0.01</v>
      </c>
      <c r="CC308" s="616">
        <v>-0.03</v>
      </c>
      <c r="CD308" s="616">
        <v>-0.03</v>
      </c>
      <c r="CE308" s="616">
        <v>0.01</v>
      </c>
      <c r="CF308" s="616">
        <v>0.01</v>
      </c>
      <c r="CG308" s="616">
        <v>0.01</v>
      </c>
      <c r="CH308" s="502"/>
      <c r="CI308" s="502"/>
      <c r="CJ308" s="502"/>
      <c r="CK308" s="502"/>
      <c r="CL308" s="502"/>
      <c r="CM308" s="502"/>
      <c r="CN308" s="502"/>
      <c r="CO308" s="502"/>
      <c r="CP308" s="396" t="str">
        <f>A308</f>
        <v>% Organic Growth (y-o-y)</v>
      </c>
      <c r="CQ308" s="502"/>
      <c r="CR308" s="502">
        <f>M308</f>
        <v>0.68690820158209664</v>
      </c>
      <c r="CS308" s="502">
        <f>R308</f>
        <v>6.2675810129871223E-2</v>
      </c>
      <c r="CT308" s="502">
        <f>W308</f>
        <v>-0.13576950996267867</v>
      </c>
      <c r="CU308" s="502">
        <f>AB308</f>
        <v>-4.9327784947062581E-2</v>
      </c>
      <c r="CV308" s="502">
        <f>AG308</f>
        <v>-0.10618080824964971</v>
      </c>
      <c r="CW308" s="502">
        <f>AL308</f>
        <v>-3.4325582351188433E-2</v>
      </c>
      <c r="CX308" s="502">
        <f>AQ308</f>
        <v>-2.2949466058880374E-2</v>
      </c>
      <c r="CY308" s="502">
        <f>AV308</f>
        <v>7.5056957035011251E-3</v>
      </c>
      <c r="CZ308" s="502">
        <f>BA308</f>
        <v>-1.8630935394886028E-2</v>
      </c>
      <c r="DA308" s="502">
        <f>BF308</f>
        <v>-1.2536733444066028E-2</v>
      </c>
      <c r="DB308" s="502">
        <f>BK308</f>
        <v>1.0125932783794811E-2</v>
      </c>
      <c r="DC308" s="502">
        <f>BP308</f>
        <v>4.7549216641564751E-3</v>
      </c>
      <c r="DD308" s="502">
        <f>BU308</f>
        <v>5.2563702812829627E-2</v>
      </c>
      <c r="DE308" s="502">
        <f t="shared" si="555"/>
        <v>9.3696241900362853E-3</v>
      </c>
      <c r="DF308" s="502">
        <f t="shared" si="555"/>
        <v>0.01</v>
      </c>
      <c r="DG308" s="1855">
        <f t="shared" si="555"/>
        <v>-0.01</v>
      </c>
      <c r="DH308" s="573"/>
      <c r="DI308" s="573"/>
      <c r="DJ308" s="573"/>
      <c r="DK308" s="573"/>
      <c r="DL308" s="573"/>
      <c r="DM308" s="573"/>
      <c r="DN308" s="551"/>
      <c r="DO308" s="266"/>
      <c r="DY308" s="502"/>
      <c r="DZ308" s="502"/>
    </row>
    <row r="309" spans="1:132" ht="6" customHeight="1">
      <c r="A309" s="552"/>
      <c r="B309" s="228"/>
      <c r="C309" s="228"/>
      <c r="D309" s="682"/>
      <c r="E309" s="683"/>
      <c r="F309" s="683"/>
      <c r="G309" s="683"/>
      <c r="H309" s="569"/>
      <c r="I309" s="683"/>
      <c r="J309" s="618"/>
      <c r="K309" s="683"/>
      <c r="L309" s="683"/>
      <c r="M309" s="569"/>
      <c r="N309" s="668"/>
      <c r="O309" s="618"/>
      <c r="P309" s="683"/>
      <c r="Q309" s="684"/>
      <c r="R309" s="619"/>
      <c r="S309" s="341"/>
      <c r="T309" s="684"/>
      <c r="U309" s="341"/>
      <c r="V309" s="684"/>
      <c r="W309" s="619"/>
      <c r="X309" s="341"/>
      <c r="Y309" s="341"/>
      <c r="Z309" s="341"/>
      <c r="AA309" s="684"/>
      <c r="AB309" s="619"/>
      <c r="AC309" s="685"/>
      <c r="AD309" s="686"/>
      <c r="AE309" s="685"/>
      <c r="AF309" s="686"/>
      <c r="AG309" s="619"/>
      <c r="AH309" s="618"/>
      <c r="AI309" s="686"/>
      <c r="AJ309" s="618"/>
      <c r="AK309" s="618"/>
      <c r="AL309" s="342"/>
      <c r="AM309" s="618"/>
      <c r="AN309" s="341"/>
      <c r="AO309" s="341"/>
      <c r="AP309" s="618"/>
      <c r="AQ309" s="687"/>
      <c r="AR309" s="618"/>
      <c r="AS309" s="341"/>
      <c r="AT309" s="341"/>
      <c r="AU309" s="341"/>
      <c r="AV309" s="687"/>
      <c r="AW309" s="618"/>
      <c r="AX309" s="341"/>
      <c r="AY309" s="341"/>
      <c r="AZ309" s="341"/>
      <c r="BA309" s="687"/>
      <c r="BB309" s="618"/>
      <c r="BC309" s="341"/>
      <c r="BD309" s="341"/>
      <c r="BE309" s="341"/>
      <c r="BF309" s="687"/>
      <c r="BG309" s="2804"/>
      <c r="BH309" s="684"/>
      <c r="BI309" s="684"/>
      <c r="BJ309" s="2805"/>
      <c r="BK309" s="687"/>
      <c r="BL309" s="684"/>
      <c r="BM309" s="684"/>
      <c r="BN309" s="684"/>
      <c r="BO309" s="2805"/>
      <c r="BP309" s="687"/>
      <c r="BQ309" s="684"/>
      <c r="BR309" s="684"/>
      <c r="BS309" s="684"/>
      <c r="BT309" s="2805"/>
      <c r="BU309" s="3312"/>
      <c r="BV309" s="684"/>
      <c r="BW309" s="684"/>
      <c r="BX309" s="684"/>
      <c r="BY309" s="2805"/>
      <c r="BZ309" s="4007"/>
      <c r="CA309" s="687"/>
      <c r="CB309" s="687"/>
      <c r="CC309" s="687"/>
      <c r="CD309" s="687"/>
      <c r="CE309" s="687"/>
      <c r="CF309" s="687"/>
      <c r="CG309" s="687"/>
      <c r="CH309" s="684"/>
      <c r="CI309" s="684"/>
      <c r="CJ309" s="684"/>
      <c r="CK309" s="684"/>
      <c r="CL309" s="684"/>
      <c r="CM309" s="684"/>
      <c r="CN309" s="684"/>
      <c r="CO309" s="684"/>
      <c r="CP309" s="994"/>
      <c r="CQ309" s="337"/>
      <c r="CR309" s="337"/>
      <c r="CS309" s="337"/>
      <c r="CT309" s="337"/>
      <c r="CU309" s="337"/>
      <c r="CV309" s="337"/>
      <c r="CW309" s="337"/>
      <c r="CX309" s="337"/>
      <c r="CY309" s="337"/>
      <c r="CZ309" s="337"/>
      <c r="DA309" s="337"/>
      <c r="DB309" s="337"/>
      <c r="DC309" s="337"/>
      <c r="DD309" s="337"/>
      <c r="DE309" s="337"/>
      <c r="DF309" s="337"/>
      <c r="DG309" s="1830"/>
      <c r="DH309" s="595"/>
      <c r="DI309" s="595"/>
      <c r="DJ309" s="595"/>
      <c r="DK309" s="595"/>
      <c r="DL309" s="595"/>
      <c r="DM309" s="595"/>
      <c r="DN309" s="514"/>
      <c r="DO309" s="226"/>
      <c r="DY309" s="684"/>
      <c r="DZ309" s="684"/>
    </row>
    <row r="310" spans="1:132" ht="12" customHeight="1">
      <c r="A310" s="228" t="s">
        <v>401</v>
      </c>
      <c r="B310" s="228"/>
      <c r="C310" s="228"/>
      <c r="D310" s="565">
        <f>D238</f>
        <v>14.097999999999999</v>
      </c>
      <c r="E310" s="566">
        <f>E238</f>
        <v>11.281000000000001</v>
      </c>
      <c r="F310" s="566">
        <f>F238+F270</f>
        <v>54.932000000000002</v>
      </c>
      <c r="G310" s="566">
        <f>G238+G270</f>
        <v>74.600999999999999</v>
      </c>
      <c r="H310" s="656">
        <f>+H297-H306</f>
        <v>154.91199999999998</v>
      </c>
      <c r="I310" s="566">
        <f>I238+I270</f>
        <v>84.069000000000003</v>
      </c>
      <c r="J310" s="566">
        <f>J238+J270</f>
        <v>76.144000000000005</v>
      </c>
      <c r="K310" s="566">
        <f>K238+K270</f>
        <v>73.106999999999999</v>
      </c>
      <c r="L310" s="566">
        <f>L238+L270</f>
        <v>79.762</v>
      </c>
      <c r="M310" s="656">
        <f>+M297-M306</f>
        <v>313.08200000000011</v>
      </c>
      <c r="N310" s="611">
        <v>94.430999999999997</v>
      </c>
      <c r="O310" s="611">
        <v>78.927999999999997</v>
      </c>
      <c r="P310" s="611">
        <v>56.216999999999999</v>
      </c>
      <c r="Q310" s="611">
        <v>70.436999999999998</v>
      </c>
      <c r="R310" s="355">
        <f>SUM(N310:Q310)</f>
        <v>300.01299999999998</v>
      </c>
      <c r="S310" s="611">
        <v>74.579000000000008</v>
      </c>
      <c r="T310" s="611">
        <v>66.843999999999994</v>
      </c>
      <c r="U310" s="611">
        <v>61.312999999999988</v>
      </c>
      <c r="V310" s="611">
        <v>72.774000000000001</v>
      </c>
      <c r="W310" s="355">
        <f>SUM(S310:V310)</f>
        <v>275.51</v>
      </c>
      <c r="X310" s="611">
        <v>66.655000000000001</v>
      </c>
      <c r="Y310" s="611">
        <v>62.426999999999992</v>
      </c>
      <c r="Z310" s="611">
        <v>45.680999999999983</v>
      </c>
      <c r="AA310" s="611">
        <v>43.828000000000003</v>
      </c>
      <c r="AB310" s="355">
        <f>SUM(X310:AA310)</f>
        <v>218.59099999999998</v>
      </c>
      <c r="AC310" s="611">
        <v>45.32</v>
      </c>
      <c r="AD310" s="611">
        <v>43.917000000000002</v>
      </c>
      <c r="AE310" s="611">
        <v>31.363</v>
      </c>
      <c r="AF310" s="611">
        <v>34.735999999999997</v>
      </c>
      <c r="AG310" s="355">
        <f>SUM(AC310:AF310)</f>
        <v>155.33599999999998</v>
      </c>
      <c r="AH310" s="611">
        <v>40.412999999999997</v>
      </c>
      <c r="AI310" s="611">
        <v>36.81</v>
      </c>
      <c r="AJ310" s="611">
        <v>26.116</v>
      </c>
      <c r="AK310" s="611">
        <v>34.125</v>
      </c>
      <c r="AL310" s="355">
        <f>SUM(AH310:AK310)</f>
        <v>137.464</v>
      </c>
      <c r="AM310" s="611">
        <v>39.643000000000001</v>
      </c>
      <c r="AN310" s="611">
        <v>38.57</v>
      </c>
      <c r="AO310" s="611">
        <v>30.792999999999999</v>
      </c>
      <c r="AP310" s="611">
        <v>36.841999999999999</v>
      </c>
      <c r="AQ310" s="355">
        <f>SUM(AM310:AP310)</f>
        <v>145.84800000000001</v>
      </c>
      <c r="AR310" s="611">
        <v>38.485999999999997</v>
      </c>
      <c r="AS310" s="611">
        <v>34.534999999999997</v>
      </c>
      <c r="AT310" s="611">
        <v>24.271000000000001</v>
      </c>
      <c r="AU310" s="611">
        <v>31.45</v>
      </c>
      <c r="AV310" s="355">
        <f>SUM(AR310:AU310)</f>
        <v>128.74199999999999</v>
      </c>
      <c r="AW310" s="611">
        <v>39.204999999999998</v>
      </c>
      <c r="AX310" s="611">
        <v>38.722999999999999</v>
      </c>
      <c r="AY310" s="611">
        <v>26.35</v>
      </c>
      <c r="AZ310" s="611">
        <v>33.222999999999999</v>
      </c>
      <c r="BA310" s="355">
        <f>SUM(AW310:AZ310)</f>
        <v>137.50099999999998</v>
      </c>
      <c r="BB310" s="2680">
        <v>40.006999999999998</v>
      </c>
      <c r="BC310" s="2680">
        <v>36.581000000000003</v>
      </c>
      <c r="BD310" s="3102">
        <v>28.052</v>
      </c>
      <c r="BE310" s="3102">
        <v>39.756999999999998</v>
      </c>
      <c r="BF310" s="355">
        <f>SUM(BB310:BE310)</f>
        <v>144.39699999999999</v>
      </c>
      <c r="BG310" s="2680">
        <v>38.877000000000002</v>
      </c>
      <c r="BH310" s="3202">
        <v>42.174999999999997</v>
      </c>
      <c r="BI310" s="3202">
        <v>32.261000000000003</v>
      </c>
      <c r="BJ310" s="3202">
        <v>43.999000000000002</v>
      </c>
      <c r="BK310" s="355">
        <f>SUM(BG310:BJ310)</f>
        <v>157.31199999999998</v>
      </c>
      <c r="BL310" s="3202">
        <v>44.271000000000001</v>
      </c>
      <c r="BM310" s="3202">
        <v>43.173000000000002</v>
      </c>
      <c r="BN310" s="3202">
        <v>36.173000000000002</v>
      </c>
      <c r="BO310" s="3202">
        <v>52.802999999999997</v>
      </c>
      <c r="BP310" s="355">
        <f>SUM(BL310:BO310)</f>
        <v>176.42000000000002</v>
      </c>
      <c r="BQ310" s="3202">
        <v>66.227000000000004</v>
      </c>
      <c r="BR310" s="3202">
        <v>63.125999999999998</v>
      </c>
      <c r="BS310" s="3202">
        <v>56.109000000000002</v>
      </c>
      <c r="BT310" s="3202">
        <v>64.480999999999995</v>
      </c>
      <c r="BU310" s="3387">
        <f>SUM(BQ310:BT310)</f>
        <v>249.94300000000001</v>
      </c>
      <c r="BV310" s="354">
        <f>BV297-BV306</f>
        <v>70.56986999999998</v>
      </c>
      <c r="BW310" s="354">
        <f t="shared" ref="BW310:BY310" si="561">BW297-BW306</f>
        <v>70.183740000000029</v>
      </c>
      <c r="BX310" s="354">
        <f t="shared" si="561"/>
        <v>62.88882000000001</v>
      </c>
      <c r="BY310" s="354">
        <f t="shared" si="561"/>
        <v>71.654799999999994</v>
      </c>
      <c r="BZ310" s="355">
        <f>SUM(BV310:BY310)</f>
        <v>275.29723000000001</v>
      </c>
      <c r="CA310" s="355">
        <f t="shared" ref="CA310:CG310" si="562">CA297-CA306</f>
        <v>286.95001355000011</v>
      </c>
      <c r="CB310" s="355">
        <f t="shared" si="562"/>
        <v>293.15832088950015</v>
      </c>
      <c r="CC310" s="355">
        <f t="shared" si="562"/>
        <v>266.2079563128151</v>
      </c>
      <c r="CD310" s="355">
        <f t="shared" si="562"/>
        <v>240.97388342093063</v>
      </c>
      <c r="CE310" s="355">
        <f t="shared" si="562"/>
        <v>251.57634350132741</v>
      </c>
      <c r="CF310" s="355">
        <f t="shared" si="562"/>
        <v>262.44868260745193</v>
      </c>
      <c r="CG310" s="355">
        <f t="shared" si="562"/>
        <v>273.59687661805992</v>
      </c>
      <c r="CH310" s="354"/>
      <c r="CI310" s="354"/>
      <c r="CJ310" s="354"/>
      <c r="CK310" s="354"/>
      <c r="CL310" s="354"/>
      <c r="CM310" s="965"/>
      <c r="CN310" s="965">
        <f t="shared" ref="CN310" si="563">SUM(BV310:BY310)</f>
        <v>275.29723000000001</v>
      </c>
      <c r="CO310" s="965">
        <f t="shared" ref="CO310" si="564">CM310-CN310</f>
        <v>-275.29723000000001</v>
      </c>
      <c r="CP310" s="1847" t="str">
        <f>A310</f>
        <v>EBITDA</v>
      </c>
      <c r="CQ310" s="354">
        <f>H310</f>
        <v>154.91199999999998</v>
      </c>
      <c r="CR310" s="354">
        <f>M310</f>
        <v>313.08200000000011</v>
      </c>
      <c r="CS310" s="354">
        <f>R310</f>
        <v>300.01299999999998</v>
      </c>
      <c r="CT310" s="354">
        <f>W310</f>
        <v>275.51</v>
      </c>
      <c r="CU310" s="354">
        <f>AB310</f>
        <v>218.59099999999998</v>
      </c>
      <c r="CV310" s="354">
        <f>AG310</f>
        <v>155.33599999999998</v>
      </c>
      <c r="CW310" s="354">
        <f>AL310</f>
        <v>137.464</v>
      </c>
      <c r="CX310" s="354">
        <f>AQ310</f>
        <v>145.84800000000001</v>
      </c>
      <c r="CY310" s="354">
        <f>AV310</f>
        <v>128.74199999999999</v>
      </c>
      <c r="CZ310" s="354">
        <f>BA310</f>
        <v>137.50099999999998</v>
      </c>
      <c r="DA310" s="354">
        <f>BF310</f>
        <v>144.39699999999999</v>
      </c>
      <c r="DB310" s="354">
        <f>BK310</f>
        <v>157.31199999999998</v>
      </c>
      <c r="DC310" s="354">
        <f>BP310</f>
        <v>176.42000000000002</v>
      </c>
      <c r="DD310" s="354">
        <f>BU310</f>
        <v>249.94300000000001</v>
      </c>
      <c r="DE310" s="354">
        <f t="shared" ref="DE310:DG312" si="565">BZ310</f>
        <v>275.29723000000001</v>
      </c>
      <c r="DF310" s="354">
        <f t="shared" si="565"/>
        <v>286.95001355000011</v>
      </c>
      <c r="DG310" s="1838">
        <f t="shared" si="565"/>
        <v>293.15832088950015</v>
      </c>
      <c r="DH310" s="614"/>
      <c r="DI310" s="614"/>
      <c r="DJ310" s="614"/>
      <c r="DK310" s="614"/>
      <c r="DL310" s="614"/>
      <c r="DM310" s="614"/>
      <c r="DN310" s="559"/>
      <c r="DO310" s="269"/>
      <c r="DY310" s="354"/>
      <c r="DZ310" s="354"/>
    </row>
    <row r="311" spans="1:132" ht="12" customHeight="1">
      <c r="A311" s="212" t="s">
        <v>56</v>
      </c>
      <c r="B311" s="545"/>
      <c r="C311" s="545"/>
      <c r="D311" s="560">
        <f t="shared" ref="D311:M311" si="566">+D310/D297</f>
        <v>0.2989207641583444</v>
      </c>
      <c r="E311" s="561">
        <f t="shared" si="566"/>
        <v>0.25470760894107025</v>
      </c>
      <c r="F311" s="561">
        <f t="shared" si="566"/>
        <v>0.26808128525972635</v>
      </c>
      <c r="G311" s="561">
        <f t="shared" si="566"/>
        <v>0.3269292290971878</v>
      </c>
      <c r="H311" s="562">
        <f t="shared" si="566"/>
        <v>0.2953247367257143</v>
      </c>
      <c r="I311" s="561">
        <f t="shared" si="566"/>
        <v>0.35323257660746471</v>
      </c>
      <c r="J311" s="561">
        <f t="shared" si="566"/>
        <v>0.3334749381391377</v>
      </c>
      <c r="K311" s="561">
        <f t="shared" si="566"/>
        <v>0.32166616800718073</v>
      </c>
      <c r="L311" s="561">
        <f t="shared" si="566"/>
        <v>0.32821977334639157</v>
      </c>
      <c r="M311" s="562">
        <f t="shared" si="566"/>
        <v>0.33426647192469988</v>
      </c>
      <c r="N311" s="561">
        <f t="shared" ref="N311:AV311" si="567">N310/N297</f>
        <v>0.33605936048684137</v>
      </c>
      <c r="O311" s="561">
        <f t="shared" si="567"/>
        <v>0.29846659986008434</v>
      </c>
      <c r="P311" s="561">
        <f t="shared" si="567"/>
        <v>0.2817555782762976</v>
      </c>
      <c r="Q311" s="561">
        <f t="shared" si="567"/>
        <v>0.32359237752214343</v>
      </c>
      <c r="R311" s="503">
        <f t="shared" si="567"/>
        <v>0.31165778134206484</v>
      </c>
      <c r="S311" s="561">
        <f t="shared" si="567"/>
        <v>0.34102922885572146</v>
      </c>
      <c r="T311" s="561">
        <f t="shared" si="567"/>
        <v>0.31644676731381932</v>
      </c>
      <c r="U311" s="561">
        <f t="shared" si="567"/>
        <v>0.30077655519526703</v>
      </c>
      <c r="V311" s="561">
        <f t="shared" si="567"/>
        <v>0.33943255332347633</v>
      </c>
      <c r="W311" s="503">
        <f t="shared" si="567"/>
        <v>0.32482913193007523</v>
      </c>
      <c r="X311" s="561">
        <f t="shared" si="567"/>
        <v>0.32279388263097236</v>
      </c>
      <c r="Y311" s="561">
        <f t="shared" si="567"/>
        <v>0.3154535715729474</v>
      </c>
      <c r="Z311" s="561">
        <f t="shared" si="567"/>
        <v>0.25128030232187148</v>
      </c>
      <c r="AA311" s="561">
        <f t="shared" si="567"/>
        <v>0.24786929006498173</v>
      </c>
      <c r="AB311" s="503">
        <f t="shared" si="567"/>
        <v>0.28648810881229669</v>
      </c>
      <c r="AC311" s="561">
        <f t="shared" si="567"/>
        <v>0.26643307720797887</v>
      </c>
      <c r="AD311" s="561">
        <f t="shared" si="567"/>
        <v>0.26435799117542602</v>
      </c>
      <c r="AE311" s="561">
        <f t="shared" si="567"/>
        <v>0.20804781457920118</v>
      </c>
      <c r="AF311" s="561">
        <f t="shared" si="567"/>
        <v>0.22415239471884152</v>
      </c>
      <c r="AG311" s="503">
        <f t="shared" si="567"/>
        <v>0.24197862420378194</v>
      </c>
      <c r="AH311" s="561">
        <f t="shared" si="567"/>
        <v>0.25811128426538588</v>
      </c>
      <c r="AI311" s="561">
        <f t="shared" si="567"/>
        <v>0.24046564496531181</v>
      </c>
      <c r="AJ311" s="561">
        <f t="shared" si="567"/>
        <v>0.1793767557506199</v>
      </c>
      <c r="AK311" s="561">
        <f t="shared" si="567"/>
        <v>0.22432505275336406</v>
      </c>
      <c r="AL311" s="503">
        <f t="shared" si="567"/>
        <v>0.22632811187982205</v>
      </c>
      <c r="AM311" s="561">
        <f t="shared" si="567"/>
        <v>0.25655744600987579</v>
      </c>
      <c r="AN311" s="561">
        <f t="shared" si="567"/>
        <v>0.25402407861113302</v>
      </c>
      <c r="AO311" s="561">
        <f>AO310/AO297</f>
        <v>0.21103382106020629</v>
      </c>
      <c r="AP311" s="561">
        <f t="shared" si="567"/>
        <v>0.24127678524650284</v>
      </c>
      <c r="AQ311" s="503">
        <f t="shared" si="567"/>
        <v>0.24108462293748742</v>
      </c>
      <c r="AR311" s="561">
        <f>AR310/AR297</f>
        <v>0.24863523893816744</v>
      </c>
      <c r="AS311" s="561">
        <f>AS310/AS297</f>
        <v>0.23179874754173183</v>
      </c>
      <c r="AT311" s="561">
        <f>AT310/AT297</f>
        <v>0.1748794915950341</v>
      </c>
      <c r="AU311" s="561">
        <f>AU310/AU297</f>
        <v>0.21143852147664091</v>
      </c>
      <c r="AV311" s="562">
        <f t="shared" si="567"/>
        <v>0.21772483282767294</v>
      </c>
      <c r="AW311" s="561">
        <f t="shared" ref="AW311:CB311" si="568">AW310/AW297</f>
        <v>0.25653189554201811</v>
      </c>
      <c r="AX311" s="561">
        <f t="shared" si="568"/>
        <v>0.25868795510722159</v>
      </c>
      <c r="AY311" s="561">
        <f t="shared" si="568"/>
        <v>0.18782388036295986</v>
      </c>
      <c r="AZ311" s="561">
        <f t="shared" si="568"/>
        <v>0.22351468995351151</v>
      </c>
      <c r="BA311" s="562">
        <f t="shared" si="568"/>
        <v>0.23248236951070844</v>
      </c>
      <c r="BB311" s="561">
        <f t="shared" si="568"/>
        <v>0.26417199870578367</v>
      </c>
      <c r="BC311" s="561">
        <f t="shared" si="568"/>
        <v>0.24671882376745127</v>
      </c>
      <c r="BD311" s="561">
        <f t="shared" si="568"/>
        <v>0.19865870672133817</v>
      </c>
      <c r="BE311" s="561">
        <f t="shared" si="568"/>
        <v>0.26202119526533624</v>
      </c>
      <c r="BF311" s="562">
        <f t="shared" si="568"/>
        <v>0.24364551203741822</v>
      </c>
      <c r="BG311" s="560">
        <f>BG310/BG297</f>
        <v>0.25865923274474062</v>
      </c>
      <c r="BH311" s="561">
        <f>BH310/BH297</f>
        <v>0.27559595378744312</v>
      </c>
      <c r="BI311" s="561">
        <f>BI310/BI297</f>
        <v>0.21794733215332859</v>
      </c>
      <c r="BJ311" s="1846">
        <f>BJ310/BJ297</f>
        <v>0.27715905511811023</v>
      </c>
      <c r="BK311" s="562">
        <f t="shared" si="568"/>
        <v>0.25784371896031177</v>
      </c>
      <c r="BL311" s="561">
        <f t="shared" ref="BL311:BU311" si="569">BL310/BL297</f>
        <v>0.2794921653051175</v>
      </c>
      <c r="BM311" s="561">
        <f t="shared" si="569"/>
        <v>0.27865053957763203</v>
      </c>
      <c r="BN311" s="561">
        <f t="shared" si="569"/>
        <v>0.24296912257605172</v>
      </c>
      <c r="BO311" s="1846">
        <f t="shared" si="569"/>
        <v>0.28441617201891689</v>
      </c>
      <c r="BP311" s="562">
        <f t="shared" si="569"/>
        <v>0.27230897699682194</v>
      </c>
      <c r="BQ311" s="561">
        <f t="shared" si="569"/>
        <v>0.30133178027218005</v>
      </c>
      <c r="BR311" s="561">
        <f t="shared" si="569"/>
        <v>0.2946838704858647</v>
      </c>
      <c r="BS311" s="561">
        <f t="shared" si="569"/>
        <v>0.27067745343502614</v>
      </c>
      <c r="BT311" s="1846">
        <f t="shared" si="569"/>
        <v>0.29628319234674882</v>
      </c>
      <c r="BU311" s="3371">
        <f t="shared" si="569"/>
        <v>0.29099649443895304</v>
      </c>
      <c r="BV311" s="561">
        <f t="shared" ref="BV311:BZ311" si="570">BV310/BV297</f>
        <v>0.31326026207241103</v>
      </c>
      <c r="BW311" s="561">
        <f t="shared" si="570"/>
        <v>0.31502952806800333</v>
      </c>
      <c r="BX311" s="561">
        <f t="shared" si="570"/>
        <v>0.29171560381670814</v>
      </c>
      <c r="BY311" s="1846">
        <f t="shared" si="570"/>
        <v>0.31658271564443879</v>
      </c>
      <c r="BZ311" s="562">
        <f t="shared" si="570"/>
        <v>0.30932929055096536</v>
      </c>
      <c r="CA311" s="562">
        <f t="shared" si="568"/>
        <v>0.31610057201615205</v>
      </c>
      <c r="CB311" s="562">
        <f t="shared" si="568"/>
        <v>0.32293956629599058</v>
      </c>
      <c r="CC311" s="562">
        <f>CC310/CC297</f>
        <v>0.30868566242853768</v>
      </c>
      <c r="CD311" s="562">
        <f>CD310/CD297</f>
        <v>0.29413167637440163</v>
      </c>
      <c r="CE311" s="562">
        <f>CE310/CE297</f>
        <v>0.30105195405700552</v>
      </c>
      <c r="CF311" s="562">
        <f>CF310/CF297</f>
        <v>0.30790438587997604</v>
      </c>
      <c r="CG311" s="562">
        <f>CG310/CG297</f>
        <v>0.31468963699879982</v>
      </c>
      <c r="CH311" s="561"/>
      <c r="CI311" s="561"/>
      <c r="CJ311" s="561"/>
      <c r="CK311" s="561"/>
      <c r="CL311" s="561"/>
      <c r="CM311" s="561"/>
      <c r="CN311" s="561"/>
      <c r="CO311" s="561"/>
      <c r="CP311" s="1856" t="str">
        <f>A311</f>
        <v>% Margin</v>
      </c>
      <c r="CQ311" s="561">
        <f>H311</f>
        <v>0.2953247367257143</v>
      </c>
      <c r="CR311" s="561">
        <f>M311</f>
        <v>0.33426647192469988</v>
      </c>
      <c r="CS311" s="561">
        <f>R311</f>
        <v>0.31165778134206484</v>
      </c>
      <c r="CT311" s="561">
        <f>W311</f>
        <v>0.32482913193007523</v>
      </c>
      <c r="CU311" s="561">
        <f>AB311</f>
        <v>0.28648810881229669</v>
      </c>
      <c r="CV311" s="561">
        <f>AG311</f>
        <v>0.24197862420378194</v>
      </c>
      <c r="CW311" s="561">
        <f>AL311</f>
        <v>0.22632811187982205</v>
      </c>
      <c r="CX311" s="561">
        <f>AQ311</f>
        <v>0.24108462293748742</v>
      </c>
      <c r="CY311" s="561">
        <f>AV311</f>
        <v>0.21772483282767294</v>
      </c>
      <c r="CZ311" s="561">
        <f>BA311</f>
        <v>0.23248236951070844</v>
      </c>
      <c r="DA311" s="561">
        <f>BF311</f>
        <v>0.24364551203741822</v>
      </c>
      <c r="DB311" s="561">
        <f>BK311</f>
        <v>0.25784371896031177</v>
      </c>
      <c r="DC311" s="561">
        <f>BP311</f>
        <v>0.27230897699682194</v>
      </c>
      <c r="DD311" s="561">
        <f>BU311</f>
        <v>0.29099649443895304</v>
      </c>
      <c r="DE311" s="561">
        <f t="shared" si="565"/>
        <v>0.30932929055096536</v>
      </c>
      <c r="DF311" s="561">
        <f t="shared" si="565"/>
        <v>0.31610057201615205</v>
      </c>
      <c r="DG311" s="1846">
        <f t="shared" si="565"/>
        <v>0.32293956629599058</v>
      </c>
      <c r="DH311" s="573"/>
      <c r="DI311" s="573"/>
      <c r="DJ311" s="573"/>
      <c r="DK311" s="573"/>
      <c r="DL311" s="573"/>
      <c r="DM311" s="573"/>
      <c r="DN311" s="551"/>
      <c r="DO311" s="266"/>
      <c r="DY311" s="561"/>
      <c r="DZ311" s="561"/>
    </row>
    <row r="312" spans="1:132" ht="12" customHeight="1">
      <c r="A312" s="257" t="s">
        <v>1249</v>
      </c>
      <c r="B312" s="545"/>
      <c r="C312" s="545"/>
      <c r="D312" s="560"/>
      <c r="E312" s="561"/>
      <c r="F312" s="561"/>
      <c r="G312" s="561"/>
      <c r="H312" s="562"/>
      <c r="I312" s="561">
        <f>+I310/D310-1</f>
        <v>4.9631862675556819</v>
      </c>
      <c r="J312" s="561">
        <f>+J310/E310-1</f>
        <v>5.7497562272848155</v>
      </c>
      <c r="K312" s="561">
        <f>+K310/F310-1</f>
        <v>0.33086361319449487</v>
      </c>
      <c r="L312" s="561">
        <f>+L310/G310-1</f>
        <v>6.9181378265706917E-2</v>
      </c>
      <c r="M312" s="562">
        <f t="shared" ref="M312:S312" si="571">+M310/H310-1</f>
        <v>1.0210312951869458</v>
      </c>
      <c r="N312" s="502">
        <f t="shared" si="571"/>
        <v>0.12325589694179784</v>
      </c>
      <c r="O312" s="502">
        <f t="shared" si="571"/>
        <v>3.6562303004832764E-2</v>
      </c>
      <c r="P312" s="502">
        <f t="shared" si="571"/>
        <v>-0.23103122819976196</v>
      </c>
      <c r="Q312" s="502">
        <f t="shared" si="571"/>
        <v>-0.11691030816679626</v>
      </c>
      <c r="R312" s="503">
        <f t="shared" si="571"/>
        <v>-4.1743057729285438E-2</v>
      </c>
      <c r="S312" s="502">
        <f t="shared" si="571"/>
        <v>-0.21022757357223787</v>
      </c>
      <c r="T312" s="502">
        <f t="shared" ref="T312:Y312" si="572">+T310/O310-1</f>
        <v>-0.15310156091627813</v>
      </c>
      <c r="U312" s="502">
        <f t="shared" si="572"/>
        <v>9.0648736147428632E-2</v>
      </c>
      <c r="V312" s="502">
        <f t="shared" si="572"/>
        <v>3.3178585118616599E-2</v>
      </c>
      <c r="W312" s="503">
        <f t="shared" si="572"/>
        <v>-8.1673127497808418E-2</v>
      </c>
      <c r="X312" s="502">
        <f t="shared" si="572"/>
        <v>-0.10624974858874492</v>
      </c>
      <c r="Y312" s="502">
        <f t="shared" si="572"/>
        <v>-6.6079229250194493E-2</v>
      </c>
      <c r="Z312" s="502">
        <f t="shared" ref="Z312:AG312" si="573">+Z310/U310-1</f>
        <v>-0.25495408804005693</v>
      </c>
      <c r="AA312" s="502">
        <f t="shared" si="573"/>
        <v>-0.39775194437573858</v>
      </c>
      <c r="AB312" s="503">
        <f t="shared" si="573"/>
        <v>-0.20659504192225331</v>
      </c>
      <c r="AC312" s="502">
        <f t="shared" si="573"/>
        <v>-0.32008101417748103</v>
      </c>
      <c r="AD312" s="502">
        <f t="shared" si="573"/>
        <v>-0.29650631938103689</v>
      </c>
      <c r="AE312" s="502">
        <f t="shared" si="573"/>
        <v>-0.31343446947308484</v>
      </c>
      <c r="AF312" s="502">
        <f t="shared" si="573"/>
        <v>-0.20744729396732697</v>
      </c>
      <c r="AG312" s="503">
        <f t="shared" si="573"/>
        <v>-0.28937604933414462</v>
      </c>
      <c r="AH312" s="502">
        <f t="shared" ref="AH312:AQ312" si="574">+AH310/AC310-1</f>
        <v>-0.10827449249779353</v>
      </c>
      <c r="AI312" s="502">
        <f t="shared" si="574"/>
        <v>-0.16182799371541767</v>
      </c>
      <c r="AJ312" s="502">
        <f t="shared" si="574"/>
        <v>-0.16729904664732331</v>
      </c>
      <c r="AK312" s="502">
        <f t="shared" si="574"/>
        <v>-1.7589820359281361E-2</v>
      </c>
      <c r="AL312" s="503">
        <f t="shared" si="574"/>
        <v>-0.11505381881856103</v>
      </c>
      <c r="AM312" s="502">
        <f t="shared" si="574"/>
        <v>-1.9053274936282727E-2</v>
      </c>
      <c r="AN312" s="502">
        <f t="shared" si="574"/>
        <v>4.7813094267861844E-2</v>
      </c>
      <c r="AO312" s="502">
        <f>+AO310/AJ310-1</f>
        <v>0.17908561801194667</v>
      </c>
      <c r="AP312" s="502">
        <f t="shared" si="574"/>
        <v>7.9619047619047478E-2</v>
      </c>
      <c r="AQ312" s="503">
        <f t="shared" si="574"/>
        <v>6.0990513879997765E-2</v>
      </c>
      <c r="AR312" s="502">
        <f t="shared" ref="AR312:BF312" si="575">+AR310/AM310-1</f>
        <v>-2.9185480412683318E-2</v>
      </c>
      <c r="AS312" s="502">
        <f t="shared" si="575"/>
        <v>-0.10461498574021266</v>
      </c>
      <c r="AT312" s="502">
        <f t="shared" si="575"/>
        <v>-0.21180138343129928</v>
      </c>
      <c r="AU312" s="502">
        <f t="shared" si="575"/>
        <v>-0.14635470387058247</v>
      </c>
      <c r="AV312" s="562">
        <f t="shared" si="575"/>
        <v>-0.11728649004442993</v>
      </c>
      <c r="AW312" s="502">
        <f t="shared" si="575"/>
        <v>1.8682118172842044E-2</v>
      </c>
      <c r="AX312" s="502">
        <f t="shared" si="575"/>
        <v>0.12126827855798483</v>
      </c>
      <c r="AY312" s="502">
        <f t="shared" si="575"/>
        <v>8.5657780890775026E-2</v>
      </c>
      <c r="AZ312" s="502">
        <f t="shared" si="575"/>
        <v>5.6375198728139786E-2</v>
      </c>
      <c r="BA312" s="562">
        <f t="shared" si="575"/>
        <v>6.8035295396995377E-2</v>
      </c>
      <c r="BB312" s="502">
        <f t="shared" si="575"/>
        <v>2.0456574416528595E-2</v>
      </c>
      <c r="BC312" s="502">
        <f t="shared" si="575"/>
        <v>-5.531596208971401E-2</v>
      </c>
      <c r="BD312" s="502">
        <f t="shared" si="575"/>
        <v>6.4592030360531183E-2</v>
      </c>
      <c r="BE312" s="502">
        <f t="shared" si="575"/>
        <v>0.19667098094693425</v>
      </c>
      <c r="BF312" s="562">
        <f t="shared" si="575"/>
        <v>5.0152362528272709E-2</v>
      </c>
      <c r="BG312" s="358">
        <f t="shared" ref="BG312:BP312" si="576">+BG310/BB310-1</f>
        <v>-2.8245057115004801E-2</v>
      </c>
      <c r="BH312" s="502">
        <f t="shared" si="576"/>
        <v>0.15292091522921725</v>
      </c>
      <c r="BI312" s="502">
        <f t="shared" si="576"/>
        <v>0.15004277769856</v>
      </c>
      <c r="BJ312" s="1855">
        <f t="shared" si="576"/>
        <v>0.1066981915134444</v>
      </c>
      <c r="BK312" s="562">
        <f t="shared" si="576"/>
        <v>8.9440916362528267E-2</v>
      </c>
      <c r="BL312" s="502">
        <f t="shared" si="576"/>
        <v>0.13874527355505828</v>
      </c>
      <c r="BM312" s="502">
        <f t="shared" si="576"/>
        <v>2.3663307646710319E-2</v>
      </c>
      <c r="BN312" s="502">
        <f t="shared" si="576"/>
        <v>0.12126096525216212</v>
      </c>
      <c r="BO312" s="1855">
        <f t="shared" si="576"/>
        <v>0.20009545671492512</v>
      </c>
      <c r="BP312" s="562">
        <f t="shared" si="576"/>
        <v>0.12146562245728254</v>
      </c>
      <c r="BQ312" s="502">
        <f t="shared" ref="BQ312:BZ312" si="577">+BQ310/BL310-1</f>
        <v>0.4959454270289807</v>
      </c>
      <c r="BR312" s="502">
        <f t="shared" si="577"/>
        <v>0.4621638524077547</v>
      </c>
      <c r="BS312" s="502">
        <f>+BS310/BN310-1</f>
        <v>0.5511292953307716</v>
      </c>
      <c r="BT312" s="1855">
        <f t="shared" si="577"/>
        <v>0.22116167641990025</v>
      </c>
      <c r="BU312" s="3371">
        <f t="shared" si="577"/>
        <v>0.4167498016097948</v>
      </c>
      <c r="BV312" s="502">
        <f t="shared" si="577"/>
        <v>6.5575520558080136E-2</v>
      </c>
      <c r="BW312" s="502">
        <f t="shared" si="577"/>
        <v>0.11180401102556847</v>
      </c>
      <c r="BX312" s="502">
        <f>+BX310/BS310-1</f>
        <v>0.12083302144041075</v>
      </c>
      <c r="BY312" s="1855">
        <f t="shared" si="577"/>
        <v>0.11125447806330557</v>
      </c>
      <c r="BZ312" s="562">
        <f t="shared" si="577"/>
        <v>0.10144004833101938</v>
      </c>
      <c r="CA312" s="562">
        <f t="shared" ref="CA312:CG312" si="578">+CA310/BZ310-1</f>
        <v>4.232800871261988E-2</v>
      </c>
      <c r="CB312" s="562">
        <f t="shared" si="578"/>
        <v>2.1635501119843248E-2</v>
      </c>
      <c r="CC312" s="562">
        <f t="shared" si="578"/>
        <v>-9.1931092028745165E-2</v>
      </c>
      <c r="CD312" s="562">
        <f t="shared" si="578"/>
        <v>-9.4790829099910434E-2</v>
      </c>
      <c r="CE312" s="562">
        <f t="shared" si="578"/>
        <v>4.3998378288474083E-2</v>
      </c>
      <c r="CF312" s="562">
        <f t="shared" si="578"/>
        <v>4.3216857971652534E-2</v>
      </c>
      <c r="CG312" s="562">
        <f t="shared" si="578"/>
        <v>4.2477614670607844E-2</v>
      </c>
      <c r="CH312" s="561"/>
      <c r="CI312" s="561"/>
      <c r="CJ312" s="561"/>
      <c r="CK312" s="561"/>
      <c r="CL312" s="561"/>
      <c r="CM312" s="561"/>
      <c r="CN312" s="561"/>
      <c r="CO312" s="561"/>
      <c r="CP312" s="396" t="str">
        <f>A312</f>
        <v>% Growth (y-o-y)</v>
      </c>
      <c r="CQ312" s="502"/>
      <c r="CR312" s="502">
        <f>M312</f>
        <v>1.0210312951869458</v>
      </c>
      <c r="CS312" s="502">
        <f>R312</f>
        <v>-4.1743057729285438E-2</v>
      </c>
      <c r="CT312" s="502">
        <f>W312</f>
        <v>-8.1673127497808418E-2</v>
      </c>
      <c r="CU312" s="502">
        <f>AB312</f>
        <v>-0.20659504192225331</v>
      </c>
      <c r="CV312" s="502">
        <f>AG312</f>
        <v>-0.28937604933414462</v>
      </c>
      <c r="CW312" s="502">
        <f>AL312</f>
        <v>-0.11505381881856103</v>
      </c>
      <c r="CX312" s="502">
        <f>AQ312</f>
        <v>6.0990513879997765E-2</v>
      </c>
      <c r="CY312" s="502">
        <f>AV312</f>
        <v>-0.11728649004442993</v>
      </c>
      <c r="CZ312" s="502">
        <f>BA312</f>
        <v>6.8035295396995377E-2</v>
      </c>
      <c r="DA312" s="502">
        <f>BF312</f>
        <v>5.0152362528272709E-2</v>
      </c>
      <c r="DB312" s="502">
        <f>BK312</f>
        <v>8.9440916362528267E-2</v>
      </c>
      <c r="DC312" s="502">
        <f>BP312</f>
        <v>0.12146562245728254</v>
      </c>
      <c r="DD312" s="502">
        <f>BU312</f>
        <v>0.4167498016097948</v>
      </c>
      <c r="DE312" s="502">
        <f t="shared" si="565"/>
        <v>0.10144004833101938</v>
      </c>
      <c r="DF312" s="502">
        <f t="shared" si="565"/>
        <v>4.232800871261988E-2</v>
      </c>
      <c r="DG312" s="1855">
        <f t="shared" si="565"/>
        <v>2.1635501119843248E-2</v>
      </c>
      <c r="DH312" s="573"/>
      <c r="DI312" s="573"/>
      <c r="DJ312" s="573"/>
      <c r="DK312" s="573"/>
      <c r="DL312" s="573"/>
      <c r="DM312" s="573"/>
      <c r="DN312" s="551"/>
      <c r="DO312" s="266"/>
      <c r="DY312" s="561"/>
      <c r="DZ312" s="561"/>
    </row>
    <row r="313" spans="1:132" ht="12" customHeight="1">
      <c r="A313" s="257" t="s">
        <v>1867</v>
      </c>
      <c r="B313" s="545"/>
      <c r="C313" s="545"/>
      <c r="D313" s="560"/>
      <c r="E313" s="561"/>
      <c r="F313" s="561"/>
      <c r="G313" s="561"/>
      <c r="H313" s="562"/>
      <c r="I313" s="561"/>
      <c r="J313" s="561"/>
      <c r="K313" s="561"/>
      <c r="L313" s="561"/>
      <c r="M313" s="562"/>
      <c r="N313" s="502"/>
      <c r="O313" s="502"/>
      <c r="P313" s="502"/>
      <c r="Q313" s="502"/>
      <c r="R313" s="503"/>
      <c r="S313" s="502"/>
      <c r="T313" s="502"/>
      <c r="U313" s="502"/>
      <c r="V313" s="502"/>
      <c r="W313" s="503"/>
      <c r="X313" s="502"/>
      <c r="Y313" s="502"/>
      <c r="Z313" s="502"/>
      <c r="AA313" s="502"/>
      <c r="AB313" s="503"/>
      <c r="AC313" s="502"/>
      <c r="AD313" s="502"/>
      <c r="AE313" s="502"/>
      <c r="AF313" s="502"/>
      <c r="AG313" s="503"/>
      <c r="AH313" s="502"/>
      <c r="AI313" s="502"/>
      <c r="AJ313" s="502"/>
      <c r="AK313" s="502"/>
      <c r="AL313" s="503"/>
      <c r="AM313" s="502"/>
      <c r="AN313" s="502"/>
      <c r="AO313" s="502"/>
      <c r="AP313" s="502"/>
      <c r="AQ313" s="503"/>
      <c r="AR313" s="502"/>
      <c r="AS313" s="502"/>
      <c r="AT313" s="502"/>
      <c r="AU313" s="502"/>
      <c r="AV313" s="562"/>
      <c r="AW313" s="502"/>
      <c r="AX313" s="502"/>
      <c r="AY313" s="502"/>
      <c r="AZ313" s="502"/>
      <c r="BA313" s="562"/>
      <c r="BB313" s="502"/>
      <c r="BC313" s="502"/>
      <c r="BD313" s="502"/>
      <c r="BE313" s="502"/>
      <c r="BF313" s="562"/>
      <c r="BG313" s="358"/>
      <c r="BH313" s="502"/>
      <c r="BI313" s="502"/>
      <c r="BJ313" s="1855"/>
      <c r="BK313" s="562"/>
      <c r="BL313" s="502">
        <f>+BL312</f>
        <v>0.13874527355505828</v>
      </c>
      <c r="BM313" s="502">
        <f>+BM312</f>
        <v>2.3663307646710319E-2</v>
      </c>
      <c r="BN313" s="502">
        <f>(BN310)/BI310-1</f>
        <v>0.12126096525216212</v>
      </c>
      <c r="BO313" s="502">
        <f>(BO310-5-0.75)/BJ310-1</f>
        <v>6.941066842428234E-2</v>
      </c>
      <c r="BP313" s="562">
        <f>(BP310-(3.5)-(6))/BK310-1</f>
        <v>6.1076078112286547E-2</v>
      </c>
      <c r="BQ313" s="502">
        <f>(BQ310-BQ314)/BL310-1</f>
        <v>0.16487090872128496</v>
      </c>
      <c r="BR313" s="502">
        <f>(BR310-BR314)/BM310-1</f>
        <v>9.6703958492576403E-2</v>
      </c>
      <c r="BS313" s="502">
        <f>(BS310-BS314)/BN310-1</f>
        <v>0.11049677936582536</v>
      </c>
      <c r="BT313" s="502">
        <f>(BT310-BT314)/BO310-1</f>
        <v>2.6274192079684067E-2</v>
      </c>
      <c r="BU313" s="3371">
        <f>AVERAGE(BQ313:BT313)</f>
        <v>9.9586459664842697E-2</v>
      </c>
      <c r="BV313" s="502">
        <f>(BV310-BV314)/BQ310-1</f>
        <v>6.5575520558080136E-2</v>
      </c>
      <c r="BW313" s="502">
        <f>(BW310-BW314)/BR310-1</f>
        <v>0.11180401102556847</v>
      </c>
      <c r="BX313" s="502">
        <f>(BX310-BX314)/BS310-1</f>
        <v>0.12083302144041075</v>
      </c>
      <c r="BY313" s="502">
        <f>(BY310-BY314)/BT310-1</f>
        <v>0.11125447806330557</v>
      </c>
      <c r="BZ313" s="562">
        <f>AVERAGE(BV313:BY313)</f>
        <v>0.10236675777184123</v>
      </c>
      <c r="CA313" s="562">
        <f>+CA310/BZ310-1</f>
        <v>4.232800871261988E-2</v>
      </c>
      <c r="CB313" s="562">
        <f>+CB310/CA310-1</f>
        <v>2.1635501119843248E-2</v>
      </c>
      <c r="CC313" s="562"/>
      <c r="CD313" s="562"/>
      <c r="CE313" s="562"/>
      <c r="CF313" s="562"/>
      <c r="CG313" s="562"/>
      <c r="CH313" s="561"/>
      <c r="CI313" s="561"/>
      <c r="CJ313" s="561"/>
      <c r="CK313" s="561"/>
      <c r="CL313" s="561"/>
      <c r="CM313" s="561"/>
      <c r="CN313" s="561"/>
      <c r="CO313" s="561"/>
      <c r="CP313" s="396"/>
      <c r="CQ313" s="502"/>
      <c r="CR313" s="502"/>
      <c r="CS313" s="502"/>
      <c r="CT313" s="502"/>
      <c r="CU313" s="502"/>
      <c r="CV313" s="502"/>
      <c r="CW313" s="502"/>
      <c r="CX313" s="502"/>
      <c r="CY313" s="502"/>
      <c r="CZ313" s="502"/>
      <c r="DA313" s="502"/>
      <c r="DB313" s="502"/>
      <c r="DC313" s="502"/>
      <c r="DD313" s="502"/>
      <c r="DE313" s="502"/>
      <c r="DF313" s="502"/>
      <c r="DG313" s="1855"/>
      <c r="DH313" s="573"/>
      <c r="DI313" s="573"/>
      <c r="DJ313" s="573"/>
      <c r="DK313" s="573"/>
      <c r="DL313" s="573"/>
      <c r="DM313" s="573"/>
      <c r="DN313" s="551"/>
      <c r="DO313" s="266"/>
      <c r="DY313" s="561"/>
      <c r="DZ313" s="561"/>
    </row>
    <row r="314" spans="1:132" s="3938" customFormat="1" ht="12" hidden="1" customHeight="1" outlineLevel="1">
      <c r="A314" s="257" t="s">
        <v>1955</v>
      </c>
      <c r="B314" s="545"/>
      <c r="C314" s="545"/>
      <c r="D314" s="560"/>
      <c r="E314" s="561"/>
      <c r="F314" s="561"/>
      <c r="G314" s="561"/>
      <c r="H314" s="562"/>
      <c r="I314" s="561"/>
      <c r="J314" s="561"/>
      <c r="K314" s="561"/>
      <c r="L314" s="561"/>
      <c r="M314" s="562"/>
      <c r="N314" s="502"/>
      <c r="O314" s="502"/>
      <c r="P314" s="502"/>
      <c r="Q314" s="502"/>
      <c r="R314" s="503"/>
      <c r="S314" s="502"/>
      <c r="T314" s="502"/>
      <c r="U314" s="502"/>
      <c r="V314" s="502"/>
      <c r="W314" s="503"/>
      <c r="X314" s="502"/>
      <c r="Y314" s="502"/>
      <c r="Z314" s="502"/>
      <c r="AA314" s="502"/>
      <c r="AB314" s="503"/>
      <c r="AC314" s="502"/>
      <c r="AD314" s="502"/>
      <c r="AE314" s="502"/>
      <c r="AF314" s="502"/>
      <c r="AG314" s="503"/>
      <c r="AH314" s="502"/>
      <c r="AI314" s="502"/>
      <c r="AJ314" s="502"/>
      <c r="AK314" s="502"/>
      <c r="AL314" s="503"/>
      <c r="AM314" s="502"/>
      <c r="AN314" s="502"/>
      <c r="AO314" s="502"/>
      <c r="AP314" s="502"/>
      <c r="AQ314" s="503"/>
      <c r="AR314" s="502"/>
      <c r="AS314" s="502"/>
      <c r="AT314" s="502"/>
      <c r="AU314" s="502"/>
      <c r="AV314" s="562"/>
      <c r="AW314" s="502"/>
      <c r="AX314" s="502"/>
      <c r="AY314" s="502"/>
      <c r="AZ314" s="502"/>
      <c r="BA314" s="562"/>
      <c r="BB314" s="502"/>
      <c r="BC314" s="502"/>
      <c r="BD314" s="502"/>
      <c r="BE314" s="502"/>
      <c r="BF314" s="562"/>
      <c r="BG314" s="358"/>
      <c r="BH314" s="502"/>
      <c r="BI314" s="502"/>
      <c r="BJ314" s="1855"/>
      <c r="BK314" s="562"/>
      <c r="BL314" s="502"/>
      <c r="BM314" s="502"/>
      <c r="BN314" s="502"/>
      <c r="BO314" s="1020">
        <f>+'Tables 2'!DL552+'Tables 2'!DO552</f>
        <v>5.8093561643835621</v>
      </c>
      <c r="BP314" s="955"/>
      <c r="BQ314" s="954">
        <f>+(('Tables 2'!$DL$554*0.97-'Tables 2'!$DL$557)/4)+(('Tables 2'!$DO$554*0.97-'Tables 2'!$DO$557)/4)</f>
        <v>14.657</v>
      </c>
      <c r="BR314" s="954">
        <f>+(('Tables 2'!$DL$554*0.98-'Tables 2'!$DL$557*0.98)/4)+(('Tables 2'!$DO$554*0.98-'Tables 2'!$DO$557*0.98)/4)</f>
        <v>15.778000000000002</v>
      </c>
      <c r="BS314" s="954">
        <f>+(('Tables 2'!$DL$554*0.99-'Tables 2'!$DL$557*0.99)/4)+(('Tables 2'!$DO$554*0.99-'Tables 2'!$DO$557*0.99)/4)</f>
        <v>15.939</v>
      </c>
      <c r="BT314" s="954">
        <f>+(('Tables 2'!$DL$554-'Tables 2'!$DL$557)/4)+(('Tables 2'!$DO$554-'Tables 2'!$DO$557)/4)-BO314</f>
        <v>10.290643835616439</v>
      </c>
      <c r="BU314" s="3939">
        <f>SUM(BQ314:BT314)</f>
        <v>56.664643835616445</v>
      </c>
      <c r="BV314" s="954"/>
      <c r="BW314" s="954"/>
      <c r="BX314" s="954"/>
      <c r="BY314" s="954"/>
      <c r="BZ314" s="955"/>
      <c r="CA314" s="955"/>
      <c r="CB314" s="955"/>
      <c r="CC314" s="562"/>
      <c r="CD314" s="562"/>
      <c r="CE314" s="562"/>
      <c r="CF314" s="562"/>
      <c r="CG314" s="562"/>
      <c r="CH314" s="561"/>
      <c r="CI314" s="561"/>
      <c r="CJ314" s="561"/>
      <c r="CK314" s="561"/>
      <c r="CL314" s="561"/>
      <c r="CM314" s="561"/>
      <c r="CN314" s="561"/>
      <c r="CO314" s="561"/>
      <c r="CP314" s="396"/>
      <c r="CQ314" s="502"/>
      <c r="CR314" s="502"/>
      <c r="CS314" s="502"/>
      <c r="CT314" s="502"/>
      <c r="CU314" s="502"/>
      <c r="CV314" s="502"/>
      <c r="CW314" s="502"/>
      <c r="CX314" s="502"/>
      <c r="CY314" s="502"/>
      <c r="CZ314" s="502"/>
      <c r="DA314" s="502"/>
      <c r="DB314" s="502"/>
      <c r="DC314" s="502"/>
      <c r="DD314" s="502"/>
      <c r="DE314" s="502"/>
      <c r="DF314" s="502"/>
      <c r="DG314" s="1855"/>
      <c r="DH314" s="573"/>
      <c r="DI314" s="573"/>
      <c r="DJ314" s="573"/>
      <c r="DK314" s="573"/>
      <c r="DL314" s="573"/>
      <c r="DM314" s="573"/>
      <c r="DN314" s="551"/>
      <c r="DO314" s="266"/>
      <c r="DP314"/>
      <c r="DQ314"/>
      <c r="DR314"/>
      <c r="DS314"/>
      <c r="DT314"/>
      <c r="DU314"/>
      <c r="DY314" s="561"/>
      <c r="DZ314" s="561"/>
    </row>
    <row r="315" spans="1:132" ht="3.95" customHeight="1" collapsed="1">
      <c r="A315" s="552"/>
      <c r="B315" s="228"/>
      <c r="C315" s="228"/>
      <c r="D315" s="596"/>
      <c r="E315" s="570"/>
      <c r="F315" s="570"/>
      <c r="G315" s="570"/>
      <c r="H315" s="569"/>
      <c r="I315" s="506"/>
      <c r="J315" s="506"/>
      <c r="K315" s="506"/>
      <c r="L315" s="506"/>
      <c r="M315" s="569"/>
      <c r="N315" s="506"/>
      <c r="O315" s="506"/>
      <c r="P315" s="618"/>
      <c r="Q315" s="618"/>
      <c r="R315" s="619"/>
      <c r="S315" s="618"/>
      <c r="T315" s="618"/>
      <c r="U315" s="618"/>
      <c r="V315" s="618"/>
      <c r="W315" s="619"/>
      <c r="X315" s="618"/>
      <c r="Y315" s="618"/>
      <c r="Z315" s="618"/>
      <c r="AA315" s="618"/>
      <c r="AB315" s="619"/>
      <c r="AC315" s="618"/>
      <c r="AD315" s="618"/>
      <c r="AE315" s="618"/>
      <c r="AF315" s="618"/>
      <c r="AG315" s="619"/>
      <c r="AH315" s="618"/>
      <c r="AI315" s="618"/>
      <c r="AJ315" s="618"/>
      <c r="AK315" s="618"/>
      <c r="AL315" s="619"/>
      <c r="AM315" s="618"/>
      <c r="AN315" s="618"/>
      <c r="AO315" s="618"/>
      <c r="AP315" s="618"/>
      <c r="AQ315" s="619"/>
      <c r="AR315" s="618"/>
      <c r="AS315" s="618"/>
      <c r="AT315" s="618"/>
      <c r="AU315" s="618"/>
      <c r="AV315" s="619"/>
      <c r="AW315" s="618"/>
      <c r="AX315" s="618"/>
      <c r="AY315" s="618"/>
      <c r="AZ315" s="618"/>
      <c r="BA315" s="619"/>
      <c r="BB315" s="618"/>
      <c r="BC315" s="618"/>
      <c r="BD315" s="618"/>
      <c r="BE315" s="618"/>
      <c r="BF315" s="619"/>
      <c r="BG315" s="617"/>
      <c r="BH315" s="618"/>
      <c r="BI315" s="618"/>
      <c r="BJ315" s="2806"/>
      <c r="BK315" s="619"/>
      <c r="BL315" s="618"/>
      <c r="BM315" s="618"/>
      <c r="BN315" s="3257"/>
      <c r="BO315" s="3258"/>
      <c r="BP315" s="3259"/>
      <c r="BQ315" s="3257"/>
      <c r="BR315" s="3257"/>
      <c r="BS315" s="3257"/>
      <c r="BT315" s="3258"/>
      <c r="BU315" s="3323"/>
      <c r="BV315" s="3257"/>
      <c r="BW315" s="3257"/>
      <c r="BX315" s="3257"/>
      <c r="BY315" s="3258"/>
      <c r="BZ315" s="3259"/>
      <c r="CA315" s="3259"/>
      <c r="CB315" s="3259"/>
      <c r="CC315" s="619"/>
      <c r="CD315" s="619"/>
      <c r="CE315" s="619"/>
      <c r="CF315" s="619"/>
      <c r="CG315" s="619"/>
      <c r="CH315" s="618"/>
      <c r="CI315" s="618"/>
      <c r="CJ315" s="618"/>
      <c r="CK315" s="618"/>
      <c r="CL315" s="618"/>
      <c r="CM315" s="618"/>
      <c r="CN315" s="618"/>
      <c r="CO315" s="618"/>
      <c r="CP315" s="994"/>
      <c r="CQ315" s="620"/>
      <c r="CR315" s="620"/>
      <c r="CS315" s="620"/>
      <c r="CT315" s="620"/>
      <c r="CU315" s="620"/>
      <c r="CV315" s="620"/>
      <c r="CW315" s="620"/>
      <c r="CX315" s="620"/>
      <c r="CY315" s="620"/>
      <c r="CZ315" s="620"/>
      <c r="DA315" s="620"/>
      <c r="DB315" s="620"/>
      <c r="DC315" s="620"/>
      <c r="DD315" s="620"/>
      <c r="DE315" s="620"/>
      <c r="DF315" s="620"/>
      <c r="DG315" s="809"/>
      <c r="DH315" s="595"/>
      <c r="DI315" s="595"/>
      <c r="DJ315" s="595"/>
      <c r="DK315" s="595"/>
      <c r="DL315" s="595"/>
      <c r="DM315" s="595"/>
      <c r="DN315" s="514"/>
      <c r="DO315" s="226"/>
      <c r="DY315" s="3257"/>
      <c r="DZ315" s="3257"/>
    </row>
    <row r="316" spans="1:132" ht="12" customHeight="1">
      <c r="A316" s="552" t="s">
        <v>372</v>
      </c>
      <c r="B316" s="228"/>
      <c r="C316" s="228"/>
      <c r="D316" s="473">
        <f>D242</f>
        <v>4.6790000000000003</v>
      </c>
      <c r="E316" s="474">
        <f>E242</f>
        <v>4.7989999999999995</v>
      </c>
      <c r="F316" s="474">
        <f>F242+F274</f>
        <v>19.216999999999999</v>
      </c>
      <c r="G316" s="474">
        <f>G242+G274</f>
        <v>19.722000000000001</v>
      </c>
      <c r="H316" s="317">
        <f>+SUM(D316:G316)</f>
        <v>48.417000000000002</v>
      </c>
      <c r="I316" s="474">
        <f>I242+I274</f>
        <v>19.676000000000002</v>
      </c>
      <c r="J316" s="474">
        <f>J242+J274</f>
        <v>19.794</v>
      </c>
      <c r="K316" s="474">
        <f>K242+K274</f>
        <v>18.585999999999999</v>
      </c>
      <c r="L316" s="474">
        <f>L242+L274</f>
        <v>20.274999999999999</v>
      </c>
      <c r="M316" s="317">
        <f>+SUM(I316:L316)</f>
        <v>78.330999999999989</v>
      </c>
      <c r="N316" s="621"/>
      <c r="O316" s="621"/>
      <c r="P316" s="621"/>
      <c r="Q316" s="621"/>
      <c r="R316" s="317"/>
      <c r="S316" s="581"/>
      <c r="T316" s="581"/>
      <c r="U316" s="581"/>
      <c r="V316" s="581"/>
      <c r="W316" s="585"/>
      <c r="X316" s="622"/>
      <c r="Y316" s="621"/>
      <c r="Z316" s="621"/>
      <c r="AA316" s="621"/>
      <c r="AB316" s="585"/>
      <c r="AC316" s="621"/>
      <c r="AD316" s="621"/>
      <c r="AE316" s="621"/>
      <c r="AF316" s="621"/>
      <c r="AG316" s="585"/>
      <c r="AH316" s="1376"/>
      <c r="AI316" s="1376"/>
      <c r="AJ316" s="1376"/>
      <c r="AK316" s="1376"/>
      <c r="AL316" s="585"/>
      <c r="AM316" s="1376"/>
      <c r="AN316" s="1376"/>
      <c r="AO316" s="1376"/>
      <c r="AP316" s="1376"/>
      <c r="AQ316" s="585"/>
      <c r="AR316" s="621"/>
      <c r="AS316" s="688"/>
      <c r="AT316" s="621"/>
      <c r="AU316" s="621"/>
      <c r="AV316" s="585"/>
      <c r="AW316" s="502"/>
      <c r="AX316" s="502"/>
      <c r="AY316" s="502"/>
      <c r="AZ316" s="502"/>
      <c r="BA316" s="585"/>
      <c r="BB316" s="310"/>
      <c r="BC316" s="310"/>
      <c r="BD316" s="310"/>
      <c r="BE316" s="310"/>
      <c r="BF316" s="585"/>
      <c r="BG316" s="1376"/>
      <c r="BH316" s="1376"/>
      <c r="BI316" s="1376"/>
      <c r="BJ316" s="1376"/>
      <c r="BK316" s="594"/>
      <c r="BL316" s="1376"/>
      <c r="BM316" s="1376"/>
      <c r="BN316" s="621"/>
      <c r="BO316" s="310"/>
      <c r="BP316" s="3284"/>
      <c r="BQ316" s="621"/>
      <c r="BR316" s="621"/>
      <c r="BS316" s="621"/>
      <c r="BT316" s="621"/>
      <c r="BU316" s="3389"/>
      <c r="BV316" s="621"/>
      <c r="BW316" s="621"/>
      <c r="BX316" s="621"/>
      <c r="BY316" s="621"/>
      <c r="BZ316" s="585"/>
      <c r="CA316" s="585"/>
      <c r="CB316" s="585"/>
      <c r="CC316" s="585"/>
      <c r="CD316" s="585"/>
      <c r="CE316" s="585"/>
      <c r="CF316" s="585"/>
      <c r="CG316" s="585"/>
      <c r="CH316" s="621"/>
      <c r="CI316" s="621"/>
      <c r="CJ316" s="621"/>
      <c r="CK316" s="621"/>
      <c r="CL316" s="621"/>
      <c r="CM316" s="621"/>
      <c r="CN316" s="621"/>
      <c r="CO316" s="621"/>
      <c r="CP316" s="994" t="str">
        <f>A316</f>
        <v>Depreciation</v>
      </c>
      <c r="CQ316" s="883">
        <f>H316</f>
        <v>48.417000000000002</v>
      </c>
      <c r="CR316" s="883">
        <f>M316</f>
        <v>78.330999999999989</v>
      </c>
      <c r="CS316" s="688"/>
      <c r="CT316" s="688"/>
      <c r="CU316" s="688"/>
      <c r="CV316" s="688"/>
      <c r="CW316" s="688"/>
      <c r="CX316" s="688"/>
      <c r="CY316" s="688"/>
      <c r="CZ316" s="688"/>
      <c r="DA316" s="688"/>
      <c r="DB316" s="688"/>
      <c r="DC316" s="688"/>
      <c r="DD316" s="688"/>
      <c r="DE316" s="688"/>
      <c r="DF316" s="688"/>
      <c r="DG316" s="1868"/>
      <c r="DH316" s="595"/>
      <c r="DI316" s="595"/>
      <c r="DJ316" s="595"/>
      <c r="DK316" s="595"/>
      <c r="DL316" s="595"/>
      <c r="DM316" s="595"/>
      <c r="DN316" s="514"/>
      <c r="DO316" s="226"/>
      <c r="DY316" s="2761"/>
      <c r="DZ316" s="2761"/>
    </row>
    <row r="317" spans="1:132" ht="12" customHeight="1">
      <c r="A317" s="567" t="s">
        <v>430</v>
      </c>
      <c r="B317" s="545"/>
      <c r="C317" s="545"/>
      <c r="D317" s="560">
        <f t="shared" ref="D317:M317" si="579">D316/D297</f>
        <v>9.9209125797765196E-2</v>
      </c>
      <c r="E317" s="561">
        <f t="shared" si="579"/>
        <v>0.1083540302551366</v>
      </c>
      <c r="F317" s="561">
        <f t="shared" si="579"/>
        <v>9.3783551642688423E-2</v>
      </c>
      <c r="G317" s="561">
        <f t="shared" si="579"/>
        <v>8.642911296436695E-2</v>
      </c>
      <c r="H317" s="562">
        <f t="shared" si="579"/>
        <v>9.2302325049375841E-2</v>
      </c>
      <c r="I317" s="561">
        <f t="shared" si="579"/>
        <v>8.267261627149694E-2</v>
      </c>
      <c r="J317" s="561">
        <f t="shared" si="579"/>
        <v>8.6688418332712902E-2</v>
      </c>
      <c r="K317" s="561">
        <f t="shared" si="579"/>
        <v>8.1777222407997327E-2</v>
      </c>
      <c r="L317" s="561">
        <f t="shared" si="579"/>
        <v>8.3431407244027089E-2</v>
      </c>
      <c r="M317" s="562">
        <f t="shared" si="579"/>
        <v>8.3631211670851899E-2</v>
      </c>
      <c r="N317" s="502"/>
      <c r="O317" s="502"/>
      <c r="P317" s="502"/>
      <c r="Q317" s="502"/>
      <c r="R317" s="503"/>
      <c r="S317" s="502"/>
      <c r="T317" s="502"/>
      <c r="U317" s="502"/>
      <c r="V317" s="502"/>
      <c r="W317" s="503"/>
      <c r="X317" s="502"/>
      <c r="Y317" s="502"/>
      <c r="Z317" s="502"/>
      <c r="AA317" s="502"/>
      <c r="AB317" s="503"/>
      <c r="AC317" s="502"/>
      <c r="AD317" s="502"/>
      <c r="AE317" s="502"/>
      <c r="AF317" s="502"/>
      <c r="AG317" s="503"/>
      <c r="AH317" s="502"/>
      <c r="AI317" s="502"/>
      <c r="AJ317" s="502"/>
      <c r="AK317" s="502"/>
      <c r="AL317" s="503"/>
      <c r="AM317" s="502"/>
      <c r="AN317" s="502"/>
      <c r="AO317" s="502"/>
      <c r="AP317" s="502"/>
      <c r="AQ317" s="503"/>
      <c r="AR317" s="502"/>
      <c r="AS317" s="502"/>
      <c r="AT317" s="502"/>
      <c r="AU317" s="502"/>
      <c r="AV317" s="503"/>
      <c r="AW317" s="502"/>
      <c r="AX317" s="502"/>
      <c r="AY317" s="502"/>
      <c r="AZ317" s="502"/>
      <c r="BA317" s="503"/>
      <c r="BB317" s="502"/>
      <c r="BC317" s="502"/>
      <c r="BD317" s="502"/>
      <c r="BE317" s="502"/>
      <c r="BF317" s="585"/>
      <c r="BG317" s="582"/>
      <c r="BH317" s="621"/>
      <c r="BI317" s="621"/>
      <c r="BJ317" s="842"/>
      <c r="BK317" s="503"/>
      <c r="BL317" s="621"/>
      <c r="BM317" s="621"/>
      <c r="BN317" s="621"/>
      <c r="BO317" s="1376"/>
      <c r="BP317" s="3206"/>
      <c r="BQ317" s="621"/>
      <c r="BR317" s="621"/>
      <c r="BS317" s="621"/>
      <c r="BT317" s="310"/>
      <c r="BU317" s="3390"/>
      <c r="BV317" s="621"/>
      <c r="BW317" s="621"/>
      <c r="BX317" s="621"/>
      <c r="BY317" s="621"/>
      <c r="BZ317" s="503"/>
      <c r="CA317" s="503"/>
      <c r="CB317" s="503"/>
      <c r="CC317" s="503"/>
      <c r="CD317" s="503"/>
      <c r="CE317" s="503"/>
      <c r="CF317" s="503"/>
      <c r="CG317" s="503"/>
      <c r="CH317" s="502"/>
      <c r="CI317" s="502"/>
      <c r="CJ317" s="502"/>
      <c r="CK317" s="502"/>
      <c r="CL317" s="502"/>
      <c r="CM317" s="502"/>
      <c r="CN317" s="502"/>
      <c r="CO317" s="502"/>
      <c r="CP317" s="1849" t="str">
        <f>A317</f>
        <v>% of Revenue</v>
      </c>
      <c r="CQ317" s="502">
        <f>H317</f>
        <v>9.2302325049375841E-2</v>
      </c>
      <c r="CR317" s="502">
        <f>M317</f>
        <v>8.3631211670851899E-2</v>
      </c>
      <c r="CS317" s="502"/>
      <c r="CT317" s="502"/>
      <c r="CU317" s="502"/>
      <c r="CV317" s="502"/>
      <c r="CW317" s="502"/>
      <c r="CX317" s="502"/>
      <c r="CY317" s="502"/>
      <c r="CZ317" s="502"/>
      <c r="DA317" s="502"/>
      <c r="DB317" s="502"/>
      <c r="DC317" s="502"/>
      <c r="DD317" s="502"/>
      <c r="DE317" s="502"/>
      <c r="DF317" s="502"/>
      <c r="DG317" s="1855"/>
      <c r="DH317" s="573"/>
      <c r="DI317" s="573"/>
      <c r="DJ317" s="573"/>
      <c r="DK317" s="573"/>
      <c r="DL317" s="573"/>
      <c r="DM317" s="573"/>
      <c r="DN317" s="551"/>
      <c r="DO317" s="266"/>
      <c r="DY317" s="3108"/>
      <c r="DZ317" s="3108"/>
    </row>
    <row r="318" spans="1:132" ht="3.95" customHeight="1">
      <c r="A318" s="552"/>
      <c r="B318" s="228"/>
      <c r="C318" s="228"/>
      <c r="D318" s="596"/>
      <c r="E318" s="570"/>
      <c r="F318" s="570"/>
      <c r="G318" s="570"/>
      <c r="H318" s="569"/>
      <c r="I318" s="570"/>
      <c r="J318" s="570"/>
      <c r="K318" s="570"/>
      <c r="L318" s="570"/>
      <c r="M318" s="569"/>
      <c r="N318" s="570"/>
      <c r="O318" s="570"/>
      <c r="P318" s="570"/>
      <c r="Q318" s="570"/>
      <c r="R318" s="302"/>
      <c r="S318" s="570"/>
      <c r="T318" s="570"/>
      <c r="U318" s="570"/>
      <c r="V318" s="570"/>
      <c r="W318" s="302"/>
      <c r="X318" s="570"/>
      <c r="Y318" s="570"/>
      <c r="Z318" s="570"/>
      <c r="AA318" s="570"/>
      <c r="AB318" s="302"/>
      <c r="AC318" s="570"/>
      <c r="AD318" s="570"/>
      <c r="AE318" s="570"/>
      <c r="AF318" s="570"/>
      <c r="AG318" s="302"/>
      <c r="AH318" s="570"/>
      <c r="AI318" s="570"/>
      <c r="AJ318" s="570"/>
      <c r="AK318" s="570"/>
      <c r="AL318" s="302"/>
      <c r="AM318" s="570"/>
      <c r="AN318" s="570"/>
      <c r="AO318" s="570"/>
      <c r="AP318" s="570"/>
      <c r="AQ318" s="302"/>
      <c r="AR318" s="570"/>
      <c r="AS318" s="570"/>
      <c r="AT318" s="570"/>
      <c r="AU318" s="570"/>
      <c r="AV318" s="569"/>
      <c r="AW318" s="570"/>
      <c r="AX318" s="570"/>
      <c r="AY318" s="570"/>
      <c r="AZ318" s="570"/>
      <c r="BA318" s="569"/>
      <c r="BB318" s="570"/>
      <c r="BC318" s="570"/>
      <c r="BD318" s="570"/>
      <c r="BE318" s="570"/>
      <c r="BF318" s="569"/>
      <c r="BG318" s="596"/>
      <c r="BH318" s="570"/>
      <c r="BI318" s="570"/>
      <c r="BJ318" s="2807"/>
      <c r="BK318" s="569"/>
      <c r="BL318" s="570"/>
      <c r="BM318" s="570"/>
      <c r="BN318" s="570"/>
      <c r="BO318" s="570"/>
      <c r="BP318" s="569"/>
      <c r="BQ318" s="570"/>
      <c r="BR318" s="570"/>
      <c r="BS318" s="570"/>
      <c r="BT318" s="570"/>
      <c r="BU318" s="3378"/>
      <c r="BV318" s="570"/>
      <c r="BW318" s="570"/>
      <c r="BX318" s="570"/>
      <c r="BY318" s="570"/>
      <c r="BZ318" s="569"/>
      <c r="CA318" s="569"/>
      <c r="CB318" s="569"/>
      <c r="CC318" s="569"/>
      <c r="CD318" s="569"/>
      <c r="CE318" s="569"/>
      <c r="CF318" s="569"/>
      <c r="CG318" s="569"/>
      <c r="CH318" s="570"/>
      <c r="CI318" s="570"/>
      <c r="CJ318" s="570"/>
      <c r="CK318" s="570"/>
      <c r="CL318" s="570"/>
      <c r="CM318" s="570"/>
      <c r="CN318" s="570"/>
      <c r="CO318" s="570"/>
      <c r="CP318" s="994"/>
      <c r="CQ318" s="592"/>
      <c r="CR318" s="592"/>
      <c r="CS318" s="592"/>
      <c r="CT318" s="592"/>
      <c r="CU318" s="592"/>
      <c r="CV318" s="592"/>
      <c r="CW318" s="592"/>
      <c r="CX318" s="592"/>
      <c r="CY318" s="592"/>
      <c r="CZ318" s="592"/>
      <c r="DA318" s="592"/>
      <c r="DB318" s="592"/>
      <c r="DC318" s="592"/>
      <c r="DD318" s="592"/>
      <c r="DE318" s="592"/>
      <c r="DF318" s="592"/>
      <c r="DG318" s="1850"/>
      <c r="DH318" s="595"/>
      <c r="DI318" s="595"/>
      <c r="DJ318" s="595"/>
      <c r="DK318" s="595"/>
      <c r="DL318" s="595"/>
      <c r="DM318" s="595"/>
      <c r="DN318" s="514"/>
      <c r="DO318" s="226"/>
      <c r="DY318" s="570"/>
      <c r="DZ318" s="570"/>
    </row>
    <row r="319" spans="1:132" ht="12" customHeight="1">
      <c r="A319" s="552" t="s">
        <v>581</v>
      </c>
      <c r="B319" s="545"/>
      <c r="C319" s="545"/>
      <c r="D319" s="560"/>
      <c r="E319" s="561"/>
      <c r="F319" s="561"/>
      <c r="G319" s="561"/>
      <c r="H319" s="562"/>
      <c r="I319" s="561"/>
      <c r="J319" s="561"/>
      <c r="K319" s="561"/>
      <c r="L319" s="561"/>
      <c r="M319" s="562"/>
      <c r="N319" s="502"/>
      <c r="O319" s="502"/>
      <c r="P319" s="502"/>
      <c r="Q319" s="502"/>
      <c r="R319" s="503"/>
      <c r="S319" s="502"/>
      <c r="T319" s="502"/>
      <c r="U319" s="502"/>
      <c r="V319" s="502"/>
      <c r="W319" s="503"/>
      <c r="X319" s="502"/>
      <c r="Y319" s="502"/>
      <c r="Z319" s="502"/>
      <c r="AA319" s="502"/>
      <c r="AB319" s="503"/>
      <c r="AC319" s="502"/>
      <c r="AD319" s="502"/>
      <c r="AE319" s="502"/>
      <c r="AF319" s="502"/>
      <c r="AG319" s="503"/>
      <c r="AH319" s="502"/>
      <c r="AI319" s="502"/>
      <c r="AJ319" s="502"/>
      <c r="AK319" s="502"/>
      <c r="AL319" s="503"/>
      <c r="AM319" s="502"/>
      <c r="AN319" s="502"/>
      <c r="AO319" s="502"/>
      <c r="AP319" s="502"/>
      <c r="AQ319" s="503"/>
      <c r="AR319" s="502"/>
      <c r="AS319" s="502"/>
      <c r="AT319" s="502"/>
      <c r="AU319" s="502"/>
      <c r="AV319" s="503"/>
      <c r="AW319" s="502"/>
      <c r="AX319" s="502"/>
      <c r="AY319" s="502"/>
      <c r="AZ319" s="502"/>
      <c r="BA319" s="503"/>
      <c r="BB319" s="502"/>
      <c r="BC319" s="502"/>
      <c r="BD319" s="502"/>
      <c r="BE319" s="502"/>
      <c r="BF319" s="503"/>
      <c r="BG319" s="358"/>
      <c r="BH319" s="502"/>
      <c r="BI319" s="502"/>
      <c r="BJ319" s="1855"/>
      <c r="BK319" s="503"/>
      <c r="BL319" s="502"/>
      <c r="BM319" s="502"/>
      <c r="BN319" s="3108"/>
      <c r="BO319" s="3108"/>
      <c r="BP319" s="503"/>
      <c r="BQ319" s="3108"/>
      <c r="BR319" s="3108"/>
      <c r="BS319" s="3108"/>
      <c r="BT319" s="3108"/>
      <c r="BU319" s="3381"/>
      <c r="BV319" s="3108"/>
      <c r="BW319" s="3108"/>
      <c r="BX319" s="3108"/>
      <c r="BY319" s="3108"/>
      <c r="BZ319" s="503"/>
      <c r="CA319" s="503"/>
      <c r="CB319" s="503"/>
      <c r="CC319" s="503"/>
      <c r="CD319" s="503"/>
      <c r="CE319" s="503"/>
      <c r="CF319" s="503"/>
      <c r="CG319" s="503"/>
      <c r="CH319" s="502"/>
      <c r="CI319" s="502"/>
      <c r="CJ319" s="502"/>
      <c r="CK319" s="502"/>
      <c r="CL319" s="502"/>
      <c r="CM319" s="502"/>
      <c r="CN319" s="502"/>
      <c r="CO319" s="502"/>
      <c r="CP319" s="1849"/>
      <c r="CQ319" s="502"/>
      <c r="CR319" s="502"/>
      <c r="CS319" s="502"/>
      <c r="CT319" s="502"/>
      <c r="CU319" s="502"/>
      <c r="CV319" s="502"/>
      <c r="CW319" s="502"/>
      <c r="CX319" s="502"/>
      <c r="CY319" s="502"/>
      <c r="CZ319" s="502"/>
      <c r="DA319" s="502"/>
      <c r="DB319" s="502"/>
      <c r="DC319" s="502"/>
      <c r="DD319" s="502"/>
      <c r="DE319" s="502"/>
      <c r="DF319" s="502"/>
      <c r="DG319" s="1855"/>
      <c r="DH319" s="573"/>
      <c r="DI319" s="573"/>
      <c r="DJ319" s="573"/>
      <c r="DK319" s="573"/>
      <c r="DL319" s="573"/>
      <c r="DM319" s="573"/>
      <c r="DN319" s="551"/>
      <c r="DO319" s="266"/>
      <c r="DY319" s="502"/>
      <c r="DZ319" s="502"/>
    </row>
    <row r="320" spans="1:132" ht="12" customHeight="1">
      <c r="A320" s="633" t="s">
        <v>7</v>
      </c>
      <c r="B320" s="545"/>
      <c r="C320" s="545"/>
      <c r="D320" s="560"/>
      <c r="E320" s="561"/>
      <c r="F320" s="561"/>
      <c r="G320" s="561"/>
      <c r="H320" s="562"/>
      <c r="I320" s="561"/>
      <c r="J320" s="561"/>
      <c r="K320" s="561"/>
      <c r="L320" s="561"/>
      <c r="M320" s="562"/>
      <c r="N320" s="502"/>
      <c r="O320" s="502"/>
      <c r="P320" s="502"/>
      <c r="Q320" s="502"/>
      <c r="R320" s="503"/>
      <c r="S320" s="502"/>
      <c r="T320" s="502"/>
      <c r="U320" s="502"/>
      <c r="V320" s="502"/>
      <c r="W320" s="503"/>
      <c r="X320" s="502"/>
      <c r="Y320" s="502"/>
      <c r="Z320" s="502"/>
      <c r="AA320" s="502"/>
      <c r="AB320" s="503"/>
      <c r="AC320" s="502"/>
      <c r="AD320" s="502"/>
      <c r="AE320" s="502"/>
      <c r="AF320" s="502"/>
      <c r="AG320" s="503"/>
      <c r="AH320" s="502"/>
      <c r="AI320" s="502"/>
      <c r="AJ320" s="502"/>
      <c r="AK320" s="502"/>
      <c r="AL320" s="616"/>
      <c r="AM320" s="615">
        <v>2.0767229425342038E-2</v>
      </c>
      <c r="AN320" s="615">
        <v>3.3692808998964985E-2</v>
      </c>
      <c r="AO320" s="615">
        <v>-1.6788621686181449E-2</v>
      </c>
      <c r="AP320" s="615">
        <v>3.6882940135027464E-2</v>
      </c>
      <c r="AQ320" s="616">
        <v>1.8582475860328351E-2</v>
      </c>
      <c r="AR320" s="615">
        <v>3.1758444344157644E-2</v>
      </c>
      <c r="AS320" s="615">
        <v>1.232610258361877E-2</v>
      </c>
      <c r="AT320" s="615">
        <v>4.59602702593358E-2</v>
      </c>
      <c r="AU320" s="615">
        <v>-2.9110290299509289E-2</v>
      </c>
      <c r="AV320" s="616">
        <v>1.5277434622481767E-2</v>
      </c>
      <c r="AW320" s="615">
        <v>-2.9932654626076527E-2</v>
      </c>
      <c r="AX320" s="615">
        <v>-8.8400978942111408E-3</v>
      </c>
      <c r="AY320" s="615">
        <v>-6.0089738134840864E-3</v>
      </c>
      <c r="AZ320" s="615">
        <v>4.007637054244495E-2</v>
      </c>
      <c r="BA320" s="616">
        <v>-2.2857213473251869E-3</v>
      </c>
      <c r="BB320" s="615">
        <v>-0.02</v>
      </c>
      <c r="BC320" s="615">
        <v>0</v>
      </c>
      <c r="BD320" s="615">
        <v>0</v>
      </c>
      <c r="BE320" s="615">
        <v>2.1547107130105436E-2</v>
      </c>
      <c r="BF320" s="616">
        <v>-8.8275002596327479E-4</v>
      </c>
      <c r="BG320" s="615">
        <v>1.9204691495731563E-2</v>
      </c>
      <c r="BH320" s="615">
        <v>2.8870559593888512E-2</v>
      </c>
      <c r="BI320" s="615">
        <v>1.8775249675013983E-2</v>
      </c>
      <c r="BJ320" s="615">
        <v>2.4386444799027407E-2</v>
      </c>
      <c r="BK320" s="616">
        <v>2.280060402361328E-2</v>
      </c>
      <c r="BL320" s="615">
        <v>4.8620125740834887E-2</v>
      </c>
      <c r="BM320" s="615">
        <v>2.9434780641744207E-2</v>
      </c>
      <c r="BN320" s="615">
        <v>1.1638612764461431E-2</v>
      </c>
      <c r="BO320" s="615">
        <v>-9.3013251050479973E-3</v>
      </c>
      <c r="BP320" s="616">
        <v>1.8587582420861226E-2</v>
      </c>
      <c r="BQ320" s="615">
        <v>3.6117805115037482E-2</v>
      </c>
      <c r="BR320" s="615">
        <v>1.9461743570382328E-2</v>
      </c>
      <c r="BS320" s="4181">
        <v>4.9513886659781292E-2</v>
      </c>
      <c r="BT320" s="4182">
        <v>5.0748509158428101E-2</v>
      </c>
      <c r="BU320" s="4183">
        <v>3.8742585676625696E-2</v>
      </c>
      <c r="BV320" s="615"/>
      <c r="BW320" s="615"/>
      <c r="BX320" s="502"/>
      <c r="BY320" s="1855"/>
      <c r="BZ320" s="503"/>
      <c r="CA320" s="503"/>
      <c r="CB320" s="503"/>
      <c r="CC320" s="503"/>
      <c r="CD320" s="503"/>
      <c r="CE320" s="503"/>
      <c r="CF320" s="503"/>
      <c r="CG320" s="503"/>
      <c r="CH320" s="502"/>
      <c r="CI320" s="502"/>
      <c r="CJ320" s="502"/>
      <c r="CK320" s="502"/>
      <c r="CL320" s="502"/>
      <c r="CM320" s="502"/>
      <c r="CN320" s="502"/>
      <c r="CO320" s="502"/>
      <c r="CP320" s="1849"/>
      <c r="CQ320" s="502"/>
      <c r="CR320" s="502"/>
      <c r="CS320" s="502"/>
      <c r="CT320" s="502"/>
      <c r="CU320" s="502"/>
      <c r="CV320" s="502"/>
      <c r="CW320" s="502"/>
      <c r="CX320" s="502"/>
      <c r="CY320" s="502"/>
      <c r="CZ320" s="502"/>
      <c r="DA320" s="502"/>
      <c r="DB320" s="502"/>
      <c r="DC320" s="502"/>
      <c r="DD320" s="502"/>
      <c r="DE320" s="502"/>
      <c r="DF320" s="502"/>
      <c r="DG320" s="1855"/>
      <c r="DH320" s="573"/>
      <c r="DI320" s="573"/>
      <c r="DJ320" s="573"/>
      <c r="DK320" s="573"/>
      <c r="DL320" s="573"/>
      <c r="DM320" s="573"/>
      <c r="DN320" s="551"/>
      <c r="DO320" s="266"/>
      <c r="DY320" s="502"/>
      <c r="DZ320" s="502"/>
    </row>
    <row r="321" spans="1:130" s="2454" customFormat="1" ht="12" customHeight="1">
      <c r="A321" s="3920" t="s">
        <v>1951</v>
      </c>
      <c r="B321" s="545"/>
      <c r="C321" s="545"/>
      <c r="D321" s="560"/>
      <c r="E321" s="561"/>
      <c r="F321" s="561"/>
      <c r="G321" s="561"/>
      <c r="H321" s="562"/>
      <c r="I321" s="561"/>
      <c r="J321" s="561"/>
      <c r="K321" s="561"/>
      <c r="L321" s="561"/>
      <c r="M321" s="562"/>
      <c r="N321" s="502"/>
      <c r="O321" s="502"/>
      <c r="P321" s="502"/>
      <c r="Q321" s="502"/>
      <c r="R321" s="503"/>
      <c r="S321" s="502"/>
      <c r="T321" s="502"/>
      <c r="U321" s="502"/>
      <c r="V321" s="502"/>
      <c r="W321" s="503"/>
      <c r="X321" s="502"/>
      <c r="Y321" s="502"/>
      <c r="Z321" s="502"/>
      <c r="AA321" s="502"/>
      <c r="AB321" s="503"/>
      <c r="AC321" s="502"/>
      <c r="AD321" s="502"/>
      <c r="AE321" s="502"/>
      <c r="AF321" s="502"/>
      <c r="AG321" s="503"/>
      <c r="AH321" s="502"/>
      <c r="AI321" s="502"/>
      <c r="AJ321" s="502"/>
      <c r="AK321" s="502"/>
      <c r="AL321" s="503"/>
      <c r="AM321" s="502">
        <f t="shared" ref="AM321:BE321" si="580">+AM298-AM320</f>
        <v>-3.3879407848048548E-2</v>
      </c>
      <c r="AN321" s="502">
        <f t="shared" si="580"/>
        <v>-4.1806319758185717E-2</v>
      </c>
      <c r="AO321" s="502">
        <f t="shared" si="580"/>
        <v>1.9000266476796313E-2</v>
      </c>
      <c r="AP321" s="502">
        <f t="shared" si="580"/>
        <v>-3.3116251337146796E-2</v>
      </c>
      <c r="AQ321" s="503">
        <f t="shared" si="580"/>
        <v>-2.2533964748412294E-2</v>
      </c>
      <c r="AR321" s="502">
        <f t="shared" si="580"/>
        <v>-3.0011086414065025E-2</v>
      </c>
      <c r="AS321" s="502">
        <f t="shared" si="580"/>
        <v>-3.1089768644368632E-2</v>
      </c>
      <c r="AT321" s="502">
        <f t="shared" si="580"/>
        <v>-9.4810628344522252E-2</v>
      </c>
      <c r="AU321" s="502">
        <f t="shared" si="580"/>
        <v>3.2222513200992342E-3</v>
      </c>
      <c r="AV321" s="503">
        <f t="shared" si="580"/>
        <v>-3.7857215965565461E-2</v>
      </c>
      <c r="AW321" s="502">
        <f t="shared" si="580"/>
        <v>1.7257335320441158E-2</v>
      </c>
      <c r="AX321" s="502">
        <f t="shared" si="580"/>
        <v>1.3558630383623038E-2</v>
      </c>
      <c r="AY321" s="502">
        <f t="shared" si="580"/>
        <v>1.68457236531665E-2</v>
      </c>
      <c r="AZ321" s="502">
        <f t="shared" si="580"/>
        <v>-4.0775563109490043E-2</v>
      </c>
      <c r="BA321" s="503">
        <f t="shared" si="580"/>
        <v>2.5241765634061997E-3</v>
      </c>
      <c r="BB321" s="502">
        <f t="shared" si="580"/>
        <v>1.0944008584870529E-2</v>
      </c>
      <c r="BC321" s="502">
        <f t="shared" si="580"/>
        <v>-9.4862716280311732E-3</v>
      </c>
      <c r="BD321" s="502">
        <f t="shared" si="580"/>
        <v>6.5292855564504926E-3</v>
      </c>
      <c r="BE321" s="502">
        <f t="shared" si="580"/>
        <v>-7.3830190402079943E-4</v>
      </c>
      <c r="BF321" s="503">
        <f t="shared" ref="BF321:BN321" si="581">+BF298-BF320</f>
        <v>2.9201261560308778E-3</v>
      </c>
      <c r="BG321" s="502">
        <f t="shared" si="581"/>
        <v>-2.6738879275952643E-2</v>
      </c>
      <c r="BH321" s="502">
        <f t="shared" si="581"/>
        <v>3.2465241047694438E-3</v>
      </c>
      <c r="BI321" s="502">
        <f t="shared" si="581"/>
        <v>2.9487230230373029E-2</v>
      </c>
      <c r="BJ321" s="502">
        <f t="shared" si="581"/>
        <v>2.1866158475166486E-2</v>
      </c>
      <c r="BK321" s="503">
        <f t="shared" si="581"/>
        <v>6.6500685464614406E-3</v>
      </c>
      <c r="BL321" s="502">
        <f t="shared" si="581"/>
        <v>5.244759623298588E-3</v>
      </c>
      <c r="BM321" s="502">
        <f t="shared" si="581"/>
        <v>-1.6992938412668024E-2</v>
      </c>
      <c r="BN321" s="502">
        <f t="shared" si="581"/>
        <v>-5.8489328520159312E-3</v>
      </c>
      <c r="BO321" s="3919">
        <f>+BO299-BO320</f>
        <v>1.4301325105047998E-2</v>
      </c>
      <c r="BP321" s="503">
        <f>+BP299-BP320</f>
        <v>6.8651945555256444E-4</v>
      </c>
      <c r="BQ321" s="3919">
        <f>+BQ299-BQ320</f>
        <v>-2.611780511503748E-2</v>
      </c>
      <c r="BR321" s="3919">
        <f>+BR299-BR320</f>
        <v>5.3825642961767214E-4</v>
      </c>
      <c r="BS321" s="3919">
        <f t="shared" ref="BS321:BU321" si="582">+BS299-BS320</f>
        <v>4.8611334021871067E-4</v>
      </c>
      <c r="BT321" s="4179">
        <f t="shared" si="582"/>
        <v>-3.2485091584281006E-3</v>
      </c>
      <c r="BU321" s="4180">
        <f t="shared" si="582"/>
        <v>-6.8675856766256954E-3</v>
      </c>
      <c r="BV321" s="3919"/>
      <c r="BW321" s="3919"/>
      <c r="BX321" s="502"/>
      <c r="BY321" s="1855"/>
      <c r="BZ321" s="503"/>
      <c r="CA321" s="503"/>
      <c r="CB321" s="503"/>
      <c r="CC321" s="503"/>
      <c r="CD321" s="503"/>
      <c r="CE321" s="503"/>
      <c r="CF321" s="503"/>
      <c r="CG321" s="503"/>
      <c r="CH321" s="502"/>
      <c r="CI321" s="502"/>
      <c r="CJ321" s="502"/>
      <c r="CK321" s="502"/>
      <c r="CL321" s="502"/>
      <c r="CM321" s="502"/>
      <c r="CN321" s="502"/>
      <c r="CO321" s="502"/>
      <c r="CP321" s="1849"/>
      <c r="CQ321" s="502"/>
      <c r="CR321" s="502"/>
      <c r="CS321" s="502"/>
      <c r="CT321" s="502"/>
      <c r="CU321" s="502"/>
      <c r="CV321" s="502"/>
      <c r="CW321" s="502"/>
      <c r="CX321" s="502"/>
      <c r="CY321" s="502"/>
      <c r="CZ321" s="502"/>
      <c r="DA321" s="502"/>
      <c r="DB321" s="502"/>
      <c r="DC321" s="502"/>
      <c r="DD321" s="502"/>
      <c r="DE321" s="502"/>
      <c r="DF321" s="502"/>
      <c r="DG321" s="1855"/>
      <c r="DH321" s="561"/>
      <c r="DI321" s="561"/>
      <c r="DJ321" s="561"/>
      <c r="DK321" s="561"/>
      <c r="DL321" s="561"/>
      <c r="DM321" s="561"/>
      <c r="DN321" s="833"/>
      <c r="DO321" s="266"/>
      <c r="DP321"/>
      <c r="DQ321"/>
      <c r="DR321"/>
      <c r="DS321"/>
      <c r="DT321"/>
      <c r="DU321"/>
      <c r="DY321" s="502"/>
      <c r="DZ321" s="502"/>
    </row>
    <row r="322" spans="1:130" ht="12" customHeight="1">
      <c r="A322" s="633" t="s">
        <v>582</v>
      </c>
      <c r="B322" s="545"/>
      <c r="C322" s="545"/>
      <c r="D322" s="560"/>
      <c r="E322" s="561"/>
      <c r="F322" s="561"/>
      <c r="G322" s="561"/>
      <c r="H322" s="562"/>
      <c r="I322" s="561"/>
      <c r="J322" s="561"/>
      <c r="K322" s="561"/>
      <c r="L322" s="561"/>
      <c r="M322" s="562"/>
      <c r="N322" s="502"/>
      <c r="O322" s="502"/>
      <c r="P322" s="502"/>
      <c r="Q322" s="502"/>
      <c r="R322" s="503"/>
      <c r="S322" s="502"/>
      <c r="T322" s="502"/>
      <c r="U322" s="502"/>
      <c r="V322" s="502"/>
      <c r="W322" s="503"/>
      <c r="X322" s="502"/>
      <c r="Y322" s="502"/>
      <c r="Z322" s="502"/>
      <c r="AA322" s="502"/>
      <c r="AB322" s="503"/>
      <c r="AC322" s="502"/>
      <c r="AD322" s="502"/>
      <c r="AE322" s="502"/>
      <c r="AF322" s="502"/>
      <c r="AG322" s="503"/>
      <c r="AH322" s="502"/>
      <c r="AI322" s="502"/>
      <c r="AJ322" s="502"/>
      <c r="AK322" s="502"/>
      <c r="AL322" s="503"/>
      <c r="AM322" s="615">
        <v>7.5391692148121248E-3</v>
      </c>
      <c r="AN322" s="615">
        <v>2.3861162879741382E-3</v>
      </c>
      <c r="AO322" s="615">
        <v>2.6849656865328475E-2</v>
      </c>
      <c r="AP322" s="615">
        <v>-5.5579076149592233E-4</v>
      </c>
      <c r="AQ322" s="616">
        <v>8.8882018556268871E-3</v>
      </c>
      <c r="AR322" s="615">
        <v>4.1212272968841335E-2</v>
      </c>
      <c r="AS322" s="615">
        <v>2.5688453718118121E-2</v>
      </c>
      <c r="AT322" s="615">
        <v>-1.4428714078769556E-2</v>
      </c>
      <c r="AU322" s="615">
        <v>3.4981214864819865E-3</v>
      </c>
      <c r="AV322" s="616">
        <v>1.4102305744911003E-2</v>
      </c>
      <c r="AW322" s="615">
        <v>-5.6290445441646852E-2</v>
      </c>
      <c r="AX322" s="615">
        <v>-3.3599016671998494E-2</v>
      </c>
      <c r="AY322" s="615">
        <v>-3.2779026271348877E-2</v>
      </c>
      <c r="AZ322" s="615">
        <v>-2.4590363605548893E-2</v>
      </c>
      <c r="BA322" s="616">
        <v>-3.7060866671012049E-2</v>
      </c>
      <c r="BB322" s="615">
        <v>-0.02</v>
      </c>
      <c r="BC322" s="615">
        <v>-0.02</v>
      </c>
      <c r="BD322" s="615">
        <v>-0.01</v>
      </c>
      <c r="BE322" s="615">
        <v>8.9608300770567251E-3</v>
      </c>
      <c r="BF322" s="616">
        <v>-1.0649396904620301E-2</v>
      </c>
      <c r="BG322" s="615">
        <v>1.6760783555250347E-2</v>
      </c>
      <c r="BH322" s="615">
        <v>3.0423595563814798E-2</v>
      </c>
      <c r="BI322" s="615">
        <v>1.5100981185227402E-2</v>
      </c>
      <c r="BJ322" s="615">
        <v>2.1720978790656931E-2</v>
      </c>
      <c r="BK322" s="616">
        <v>2.1011265303514381E-2</v>
      </c>
      <c r="BL322" s="615">
        <v>2.7499768809002994E-2</v>
      </c>
      <c r="BM322" s="615">
        <v>2.051102595503836E-2</v>
      </c>
      <c r="BN322" s="615">
        <v>-1.8785290255141085E-4</v>
      </c>
      <c r="BO322" s="615">
        <v>-8.2816827837194351E-3</v>
      </c>
      <c r="BP322" s="616">
        <v>9.4565679512983447E-3</v>
      </c>
      <c r="BQ322" s="615">
        <v>6.4725512364494087E-3</v>
      </c>
      <c r="BR322" s="615">
        <v>1.0641451410103642E-2</v>
      </c>
      <c r="BS322" s="502">
        <v>5.7431664269052662E-2</v>
      </c>
      <c r="BT322" s="1855">
        <v>4.0277387788450802E-2</v>
      </c>
      <c r="BU322" s="3381">
        <v>2.8276304882639991E-2</v>
      </c>
      <c r="BV322" s="615"/>
      <c r="BW322" s="615"/>
      <c r="BX322" s="502"/>
      <c r="BY322" s="1855"/>
      <c r="BZ322" s="503"/>
      <c r="CA322" s="503"/>
      <c r="CB322" s="503"/>
      <c r="CC322" s="503"/>
      <c r="CD322" s="503"/>
      <c r="CE322" s="503"/>
      <c r="CF322" s="503"/>
      <c r="CG322" s="503"/>
      <c r="CH322" s="502"/>
      <c r="CI322" s="502"/>
      <c r="CJ322" s="502"/>
      <c r="CK322" s="502"/>
      <c r="CL322" s="502"/>
      <c r="CM322" s="502"/>
      <c r="CN322" s="502"/>
      <c r="CO322" s="502"/>
      <c r="CP322" s="1849"/>
      <c r="CQ322" s="502"/>
      <c r="CR322" s="502"/>
      <c r="CS322" s="502"/>
      <c r="CT322" s="502"/>
      <c r="CU322" s="502"/>
      <c r="CV322" s="502"/>
      <c r="CW322" s="502"/>
      <c r="CX322" s="502"/>
      <c r="CY322" s="502"/>
      <c r="CZ322" s="502"/>
      <c r="DA322" s="502"/>
      <c r="DB322" s="502"/>
      <c r="DC322" s="502"/>
      <c r="DD322" s="502"/>
      <c r="DE322" s="502"/>
      <c r="DF322" s="502"/>
      <c r="DG322" s="1855"/>
      <c r="DH322" s="573"/>
      <c r="DI322" s="573"/>
      <c r="DJ322" s="573"/>
      <c r="DK322" s="573"/>
      <c r="DL322" s="573"/>
      <c r="DM322" s="573"/>
      <c r="DN322" s="551"/>
      <c r="DO322" s="266"/>
      <c r="DY322" s="502"/>
      <c r="DZ322" s="502"/>
    </row>
    <row r="323" spans="1:130" s="2454" customFormat="1" ht="12" customHeight="1">
      <c r="A323" s="3920" t="s">
        <v>1952</v>
      </c>
      <c r="B323" s="545"/>
      <c r="C323" s="545"/>
      <c r="D323" s="560"/>
      <c r="E323" s="561"/>
      <c r="F323" s="561"/>
      <c r="G323" s="561"/>
      <c r="H323" s="562"/>
      <c r="I323" s="561"/>
      <c r="J323" s="561"/>
      <c r="K323" s="561"/>
      <c r="L323" s="561"/>
      <c r="M323" s="562"/>
      <c r="N323" s="502"/>
      <c r="O323" s="502"/>
      <c r="P323" s="502"/>
      <c r="Q323" s="502"/>
      <c r="R323" s="503"/>
      <c r="S323" s="502"/>
      <c r="T323" s="502"/>
      <c r="U323" s="502"/>
      <c r="V323" s="502"/>
      <c r="W323" s="503"/>
      <c r="X323" s="502"/>
      <c r="Y323" s="502"/>
      <c r="Z323" s="502"/>
      <c r="AA323" s="502"/>
      <c r="AB323" s="503"/>
      <c r="AC323" s="502"/>
      <c r="AD323" s="502"/>
      <c r="AE323" s="502"/>
      <c r="AF323" s="502"/>
      <c r="AG323" s="503"/>
      <c r="AH323" s="502"/>
      <c r="AI323" s="502"/>
      <c r="AJ323" s="502"/>
      <c r="AK323" s="502"/>
      <c r="AL323" s="503"/>
      <c r="AM323" s="502">
        <f t="shared" ref="AM323:BE323" si="583">+AM298-AM322</f>
        <v>-2.0651347637518636E-2</v>
      </c>
      <c r="AN323" s="502">
        <f t="shared" si="583"/>
        <v>-1.049962704719487E-2</v>
      </c>
      <c r="AO323" s="502">
        <f t="shared" si="583"/>
        <v>-2.4638012074713611E-2</v>
      </c>
      <c r="AP323" s="502">
        <f t="shared" si="583"/>
        <v>4.3224795593765908E-3</v>
      </c>
      <c r="AQ323" s="503">
        <f t="shared" si="583"/>
        <v>-1.283969074371083E-2</v>
      </c>
      <c r="AR323" s="502">
        <f t="shared" si="583"/>
        <v>-3.9464915038748716E-2</v>
      </c>
      <c r="AS323" s="502">
        <f t="shared" si="583"/>
        <v>-4.4452119778867982E-2</v>
      </c>
      <c r="AT323" s="502">
        <f t="shared" si="583"/>
        <v>-3.4421644006416896E-2</v>
      </c>
      <c r="AU323" s="502">
        <f t="shared" si="583"/>
        <v>-2.9386160465892042E-2</v>
      </c>
      <c r="AV323" s="503">
        <f t="shared" si="583"/>
        <v>-3.6682087087994697E-2</v>
      </c>
      <c r="AW323" s="502">
        <f t="shared" si="583"/>
        <v>4.3615126136011484E-2</v>
      </c>
      <c r="AX323" s="502">
        <f t="shared" si="583"/>
        <v>3.8317549161410391E-2</v>
      </c>
      <c r="AY323" s="502">
        <f t="shared" si="583"/>
        <v>4.361577611103129E-2</v>
      </c>
      <c r="AZ323" s="502">
        <f t="shared" si="583"/>
        <v>2.38911710385038E-2</v>
      </c>
      <c r="BA323" s="503">
        <f t="shared" si="583"/>
        <v>3.7299321887093062E-2</v>
      </c>
      <c r="BB323" s="502">
        <f t="shared" si="583"/>
        <v>1.0944008584870529E-2</v>
      </c>
      <c r="BC323" s="502">
        <f t="shared" si="583"/>
        <v>1.0513728371968827E-2</v>
      </c>
      <c r="BD323" s="502">
        <f t="shared" si="583"/>
        <v>1.6529285556450495E-2</v>
      </c>
      <c r="BE323" s="502">
        <f t="shared" si="583"/>
        <v>1.1847975149027912E-2</v>
      </c>
      <c r="BF323" s="503">
        <f t="shared" ref="BF323:BN323" si="584">+BF298-BF322</f>
        <v>1.2686773034687904E-2</v>
      </c>
      <c r="BG323" s="502">
        <f t="shared" si="584"/>
        <v>-2.4294971335471427E-2</v>
      </c>
      <c r="BH323" s="502">
        <f t="shared" si="584"/>
        <v>1.6934881348431574E-3</v>
      </c>
      <c r="BI323" s="502">
        <f t="shared" si="584"/>
        <v>3.316149872015961E-2</v>
      </c>
      <c r="BJ323" s="502">
        <f t="shared" si="584"/>
        <v>2.4531624483536962E-2</v>
      </c>
      <c r="BK323" s="503">
        <f t="shared" si="584"/>
        <v>8.4394072665603392E-3</v>
      </c>
      <c r="BL323" s="502">
        <f t="shared" si="584"/>
        <v>2.6365116555130481E-2</v>
      </c>
      <c r="BM323" s="502">
        <f t="shared" si="584"/>
        <v>-8.0691837259621764E-3</v>
      </c>
      <c r="BN323" s="502">
        <f t="shared" si="584"/>
        <v>5.9775328149969109E-3</v>
      </c>
      <c r="BO323" s="3919">
        <f>+BO299-BO322</f>
        <v>1.3281682783719436E-2</v>
      </c>
      <c r="BP323" s="503">
        <f>+BP299-BP322</f>
        <v>9.8175339251154459E-3</v>
      </c>
      <c r="BQ323" s="3919">
        <f>+BQ299-BQ322</f>
        <v>3.5274487635505915E-3</v>
      </c>
      <c r="BR323" s="3919">
        <f>+BR299-BR322</f>
        <v>9.3585485898963587E-3</v>
      </c>
      <c r="BS323" s="3919">
        <f t="shared" ref="BS323:BU323" si="585">+BS299-BS322</f>
        <v>-7.4316642690526596E-3</v>
      </c>
      <c r="BT323" s="4179">
        <f t="shared" si="585"/>
        <v>7.2226122115491981E-3</v>
      </c>
      <c r="BU323" s="4180">
        <f t="shared" si="585"/>
        <v>3.5986951173600096E-3</v>
      </c>
      <c r="BV323" s="3919"/>
      <c r="BW323" s="3919"/>
      <c r="BX323" s="502"/>
      <c r="BY323" s="1855"/>
      <c r="BZ323" s="503"/>
      <c r="CA323" s="503"/>
      <c r="CB323" s="503"/>
      <c r="CC323" s="503"/>
      <c r="CD323" s="503"/>
      <c r="CE323" s="503"/>
      <c r="CF323" s="503"/>
      <c r="CG323" s="503"/>
      <c r="CH323" s="502"/>
      <c r="CI323" s="502"/>
      <c r="CJ323" s="502"/>
      <c r="CK323" s="502"/>
      <c r="CL323" s="502"/>
      <c r="CM323" s="502"/>
      <c r="CN323" s="502"/>
      <c r="CO323" s="502"/>
      <c r="CP323" s="1849"/>
      <c r="CQ323" s="502"/>
      <c r="CR323" s="502"/>
      <c r="CS323" s="502"/>
      <c r="CT323" s="502"/>
      <c r="CU323" s="502"/>
      <c r="CV323" s="502"/>
      <c r="CW323" s="502"/>
      <c r="CX323" s="502"/>
      <c r="CY323" s="502"/>
      <c r="CZ323" s="502"/>
      <c r="DA323" s="502"/>
      <c r="DB323" s="502"/>
      <c r="DC323" s="502"/>
      <c r="DD323" s="502"/>
      <c r="DE323" s="502"/>
      <c r="DF323" s="502"/>
      <c r="DG323" s="1855"/>
      <c r="DH323" s="561"/>
      <c r="DI323" s="561"/>
      <c r="DJ323" s="561"/>
      <c r="DK323" s="561"/>
      <c r="DL323" s="561"/>
      <c r="DM323" s="561"/>
      <c r="DN323" s="833"/>
      <c r="DO323" s="266"/>
      <c r="DP323"/>
      <c r="DQ323"/>
      <c r="DR323"/>
      <c r="DS323"/>
      <c r="DT323"/>
      <c r="DU323"/>
      <c r="DY323" s="502"/>
      <c r="DZ323" s="502"/>
    </row>
    <row r="324" spans="1:130" ht="6" customHeight="1">
      <c r="A324" s="552"/>
      <c r="B324" s="228"/>
      <c r="C324" s="228"/>
      <c r="D324" s="596"/>
      <c r="E324" s="570"/>
      <c r="F324" s="570"/>
      <c r="G324" s="570"/>
      <c r="H324" s="569"/>
      <c r="I324" s="570"/>
      <c r="J324" s="570"/>
      <c r="K324" s="570"/>
      <c r="L324" s="570"/>
      <c r="M324" s="569"/>
      <c r="N324" s="570"/>
      <c r="O324" s="570"/>
      <c r="P324" s="570"/>
      <c r="Q324" s="570"/>
      <c r="R324" s="302"/>
      <c r="S324" s="570"/>
      <c r="T324" s="570"/>
      <c r="U324" s="570"/>
      <c r="V324" s="570"/>
      <c r="W324" s="302"/>
      <c r="X324" s="570"/>
      <c r="Y324" s="570"/>
      <c r="Z324" s="570"/>
      <c r="AA324" s="570"/>
      <c r="AB324" s="302"/>
      <c r="AC324" s="570"/>
      <c r="AD324" s="570"/>
      <c r="AE324" s="570"/>
      <c r="AF324" s="570"/>
      <c r="AG324" s="302"/>
      <c r="AH324" s="570"/>
      <c r="AI324" s="570"/>
      <c r="AJ324" s="570"/>
      <c r="AK324" s="570"/>
      <c r="AL324" s="302"/>
      <c r="AM324" s="570"/>
      <c r="AN324" s="570"/>
      <c r="AO324" s="570"/>
      <c r="AP324" s="570"/>
      <c r="AQ324" s="302"/>
      <c r="AR324" s="570"/>
      <c r="AS324" s="570"/>
      <c r="AT324" s="570"/>
      <c r="AU324" s="570"/>
      <c r="AV324" s="569"/>
      <c r="AW324" s="570"/>
      <c r="AX324" s="570"/>
      <c r="AY324" s="570"/>
      <c r="AZ324" s="570"/>
      <c r="BA324" s="569"/>
      <c r="BB324" s="570"/>
      <c r="BC324" s="570"/>
      <c r="BD324" s="570"/>
      <c r="BE324" s="570"/>
      <c r="BF324" s="569"/>
      <c r="BG324" s="596"/>
      <c r="BH324" s="570"/>
      <c r="BI324" s="570"/>
      <c r="BJ324" s="2807"/>
      <c r="BK324" s="569"/>
      <c r="BL324" s="570"/>
      <c r="BM324" s="570"/>
      <c r="BN324" s="570"/>
      <c r="BO324" s="2807"/>
      <c r="BP324" s="569"/>
      <c r="BQ324" s="570"/>
      <c r="BR324" s="570"/>
      <c r="BS324" s="570"/>
      <c r="BT324" s="2807"/>
      <c r="BU324" s="3378"/>
      <c r="BV324" s="570"/>
      <c r="BW324" s="570"/>
      <c r="BX324" s="570"/>
      <c r="BY324" s="2807"/>
      <c r="BZ324" s="569"/>
      <c r="CA324" s="569"/>
      <c r="CB324" s="569"/>
      <c r="CC324" s="569"/>
      <c r="CD324" s="569"/>
      <c r="CE324" s="569"/>
      <c r="CF324" s="569"/>
      <c r="CG324" s="569"/>
      <c r="CH324" s="570"/>
      <c r="CI324" s="570"/>
      <c r="CJ324" s="570"/>
      <c r="CK324" s="570"/>
      <c r="CL324" s="570"/>
      <c r="CM324" s="570"/>
      <c r="CN324" s="570"/>
      <c r="CO324" s="570"/>
      <c r="CP324" s="994"/>
      <c r="CQ324" s="592"/>
      <c r="CR324" s="592"/>
      <c r="CS324" s="592"/>
      <c r="CT324" s="592"/>
      <c r="CU324" s="592"/>
      <c r="CV324" s="592"/>
      <c r="CW324" s="592"/>
      <c r="CX324" s="592"/>
      <c r="CY324" s="592"/>
      <c r="CZ324" s="592"/>
      <c r="DA324" s="592"/>
      <c r="DB324" s="592"/>
      <c r="DC324" s="592"/>
      <c r="DD324" s="592"/>
      <c r="DE324" s="592"/>
      <c r="DF324" s="592"/>
      <c r="DG324" s="1850"/>
      <c r="DH324" s="595"/>
      <c r="DI324" s="595"/>
      <c r="DJ324" s="595"/>
      <c r="DK324" s="595"/>
      <c r="DL324" s="595"/>
      <c r="DM324" s="595"/>
      <c r="DN324" s="514"/>
      <c r="DO324" s="226"/>
      <c r="DY324" s="570"/>
      <c r="DZ324" s="570"/>
    </row>
    <row r="325" spans="1:130" ht="12" customHeight="1">
      <c r="A325" s="552"/>
      <c r="B325" s="228"/>
      <c r="C325" s="228"/>
      <c r="D325" s="596"/>
      <c r="E325" s="570"/>
      <c r="F325" s="570"/>
      <c r="G325" s="570"/>
      <c r="H325" s="569"/>
      <c r="I325" s="570"/>
      <c r="J325" s="570"/>
      <c r="K325" s="570"/>
      <c r="L325" s="570"/>
      <c r="M325" s="569"/>
      <c r="N325" s="570"/>
      <c r="O325" s="570"/>
      <c r="P325" s="570"/>
      <c r="Q325" s="570"/>
      <c r="R325" s="569"/>
      <c r="S325" s="570"/>
      <c r="T325" s="570"/>
      <c r="U325" s="570"/>
      <c r="V325" s="570"/>
      <c r="W325" s="569"/>
      <c r="X325" s="570"/>
      <c r="Y325" s="570"/>
      <c r="Z325" s="570"/>
      <c r="AA325" s="570"/>
      <c r="AB325" s="569"/>
      <c r="AC325" s="570"/>
      <c r="AD325" s="570"/>
      <c r="AE325" s="570"/>
      <c r="AF325" s="570"/>
      <c r="AG325" s="569"/>
      <c r="AH325" s="570"/>
      <c r="AI325" s="570"/>
      <c r="AJ325" s="570"/>
      <c r="AK325" s="570"/>
      <c r="AL325" s="569"/>
      <c r="AM325" s="570"/>
      <c r="AN325" s="570"/>
      <c r="AO325" s="570"/>
      <c r="AP325" s="570"/>
      <c r="AQ325" s="569"/>
      <c r="AR325" s="570"/>
      <c r="AS325" s="570"/>
      <c r="AT325" s="570"/>
      <c r="AU325" s="570"/>
      <c r="AV325" s="569"/>
      <c r="AW325" s="570"/>
      <c r="AX325" s="570"/>
      <c r="AY325" s="570"/>
      <c r="AZ325" s="570"/>
      <c r="BA325" s="569"/>
      <c r="BB325" s="601"/>
      <c r="BC325" s="570"/>
      <c r="BD325" s="570"/>
      <c r="BE325" s="570"/>
      <c r="BF325" s="569"/>
      <c r="BG325" s="596"/>
      <c r="BH325" s="570"/>
      <c r="BI325" s="570"/>
      <c r="BJ325" s="2808"/>
      <c r="BK325" s="569"/>
      <c r="BL325" s="570"/>
      <c r="BM325" s="570"/>
      <c r="BN325" s="570"/>
      <c r="BO325" s="2808"/>
      <c r="BP325" s="569"/>
      <c r="BQ325" s="570"/>
      <c r="BR325" s="570"/>
      <c r="BS325" s="570"/>
      <c r="BT325" s="2808"/>
      <c r="BU325" s="3378"/>
      <c r="BV325" s="570"/>
      <c r="BW325" s="570"/>
      <c r="BX325" s="570"/>
      <c r="BY325" s="2808"/>
      <c r="BZ325" s="569"/>
      <c r="CA325" s="569"/>
      <c r="CB325" s="569"/>
      <c r="CC325" s="569"/>
      <c r="CD325" s="569"/>
      <c r="CE325" s="569"/>
      <c r="CF325" s="569"/>
      <c r="CG325" s="569"/>
      <c r="CH325" s="570"/>
      <c r="CI325" s="570"/>
      <c r="CJ325" s="570"/>
      <c r="CK325" s="570"/>
      <c r="CL325" s="570"/>
      <c r="CM325" s="570"/>
      <c r="CN325" s="570"/>
      <c r="CO325" s="570"/>
      <c r="CP325" s="994"/>
      <c r="CQ325" s="592"/>
      <c r="CR325" s="592"/>
      <c r="CS325" s="592"/>
      <c r="CT325" s="592"/>
      <c r="CU325" s="592"/>
      <c r="CV325" s="592"/>
      <c r="CW325" s="592"/>
      <c r="CX325" s="592"/>
      <c r="CY325" s="592"/>
      <c r="CZ325" s="592"/>
      <c r="DA325" s="592"/>
      <c r="DB325" s="592"/>
      <c r="DC325" s="592"/>
      <c r="DD325" s="592"/>
      <c r="DE325" s="592"/>
      <c r="DF325" s="592"/>
      <c r="DG325" s="1850"/>
      <c r="DH325" s="595"/>
      <c r="DI325" s="595"/>
      <c r="DJ325" s="595"/>
      <c r="DK325" s="595"/>
      <c r="DL325" s="595"/>
      <c r="DM325" s="595"/>
      <c r="DN325" s="514"/>
      <c r="DO325" s="226"/>
      <c r="DY325" s="570"/>
      <c r="DZ325" s="570"/>
    </row>
    <row r="326" spans="1:130" ht="12" customHeight="1">
      <c r="A326" s="515" t="s">
        <v>1794</v>
      </c>
      <c r="B326" s="228"/>
      <c r="C326" s="228"/>
      <c r="D326" s="596"/>
      <c r="E326" s="570"/>
      <c r="F326" s="570"/>
      <c r="G326" s="570"/>
      <c r="H326" s="569"/>
      <c r="I326" s="570"/>
      <c r="J326" s="570"/>
      <c r="K326" s="570"/>
      <c r="L326" s="570"/>
      <c r="M326" s="569"/>
      <c r="N326" s="570"/>
      <c r="O326" s="570"/>
      <c r="P326" s="570"/>
      <c r="Q326" s="570"/>
      <c r="R326" s="569"/>
      <c r="S326" s="570"/>
      <c r="T326" s="570"/>
      <c r="U326" s="570"/>
      <c r="V326" s="570"/>
      <c r="W326" s="569"/>
      <c r="X326" s="570"/>
      <c r="Y326" s="570"/>
      <c r="Z326" s="570"/>
      <c r="AA326" s="570"/>
      <c r="AB326" s="569"/>
      <c r="AC326" s="570"/>
      <c r="AD326" s="570"/>
      <c r="AE326" s="570"/>
      <c r="AF326" s="570"/>
      <c r="AG326" s="569"/>
      <c r="AH326" s="570"/>
      <c r="AI326" s="570"/>
      <c r="AJ326" s="570"/>
      <c r="AK326" s="570"/>
      <c r="AL326" s="569"/>
      <c r="AM326" s="570"/>
      <c r="AN326" s="570"/>
      <c r="AO326" s="570"/>
      <c r="AP326" s="570"/>
      <c r="AQ326" s="569"/>
      <c r="AR326" s="570"/>
      <c r="AS326" s="570"/>
      <c r="AT326" s="570"/>
      <c r="AU326" s="570"/>
      <c r="AV326" s="569"/>
      <c r="AW326" s="570"/>
      <c r="AX326" s="570"/>
      <c r="AY326" s="570"/>
      <c r="AZ326" s="570"/>
      <c r="BA326" s="569"/>
      <c r="BB326" s="570"/>
      <c r="BC326" s="570"/>
      <c r="BD326" s="570"/>
      <c r="BE326" s="570"/>
      <c r="BF326" s="569"/>
      <c r="BG326" s="2809"/>
      <c r="BH326" s="1540"/>
      <c r="BI326" s="1540"/>
      <c r="BJ326" s="2810"/>
      <c r="BK326" s="569"/>
      <c r="BL326" s="1540"/>
      <c r="BM326" s="1540"/>
      <c r="BN326" s="1540"/>
      <c r="BO326" s="2810"/>
      <c r="BP326" s="569"/>
      <c r="BQ326" s="1540"/>
      <c r="BR326" s="1540"/>
      <c r="BS326" s="1540"/>
      <c r="BT326" s="2810"/>
      <c r="BU326" s="3378"/>
      <c r="BV326" s="1540"/>
      <c r="BW326" s="1540"/>
      <c r="BX326" s="1540"/>
      <c r="BY326" s="2810"/>
      <c r="BZ326" s="569"/>
      <c r="CA326" s="569"/>
      <c r="CB326" s="569"/>
      <c r="CC326" s="569"/>
      <c r="CD326" s="569"/>
      <c r="CE326" s="569"/>
      <c r="CF326" s="569"/>
      <c r="CG326" s="569"/>
      <c r="CH326" s="570"/>
      <c r="CI326" s="570"/>
      <c r="CJ326" s="570"/>
      <c r="CK326" s="570"/>
      <c r="CL326" s="570"/>
      <c r="CM326" s="570"/>
      <c r="CN326" s="570"/>
      <c r="CO326" s="570"/>
      <c r="CP326" s="1859" t="str">
        <f>A326</f>
        <v>(California/Fremont/MainStreet)</v>
      </c>
      <c r="CQ326" s="592"/>
      <c r="CR326" s="592"/>
      <c r="CS326" s="592"/>
      <c r="CT326" s="592"/>
      <c r="CU326" s="592"/>
      <c r="CV326" s="592"/>
      <c r="CW326" s="592"/>
      <c r="CX326" s="592"/>
      <c r="CY326" s="592"/>
      <c r="CZ326" s="592"/>
      <c r="DA326" s="592"/>
      <c r="DB326" s="592"/>
      <c r="DC326" s="592"/>
      <c r="DD326" s="592"/>
      <c r="DE326" s="592"/>
      <c r="DF326" s="592"/>
      <c r="DG326" s="1850"/>
      <c r="DH326" s="595"/>
      <c r="DI326" s="595"/>
      <c r="DJ326" s="595"/>
      <c r="DK326" s="595"/>
      <c r="DL326" s="595"/>
      <c r="DM326" s="595"/>
      <c r="DN326" s="514"/>
      <c r="DO326" s="226"/>
      <c r="DY326" s="570"/>
      <c r="DZ326" s="570"/>
    </row>
    <row r="327" spans="1:130" ht="12" customHeight="1">
      <c r="A327" s="1300" t="s">
        <v>1748</v>
      </c>
      <c r="B327" s="1301"/>
      <c r="C327" s="1301"/>
      <c r="D327" s="1302" t="str">
        <f t="shared" ref="D327:AH327" si="586">D$6</f>
        <v>1Q04</v>
      </c>
      <c r="E327" s="1303" t="str">
        <f t="shared" si="586"/>
        <v>2Q04</v>
      </c>
      <c r="F327" s="1303" t="str">
        <f t="shared" si="586"/>
        <v>3Q04</v>
      </c>
      <c r="G327" s="1303" t="str">
        <f t="shared" si="586"/>
        <v>4Q04</v>
      </c>
      <c r="H327" s="1304">
        <f t="shared" si="586"/>
        <v>2004</v>
      </c>
      <c r="I327" s="1303" t="str">
        <f t="shared" si="586"/>
        <v>1Q05</v>
      </c>
      <c r="J327" s="1303" t="str">
        <f t="shared" si="586"/>
        <v>2Q05</v>
      </c>
      <c r="K327" s="1303" t="str">
        <f t="shared" si="586"/>
        <v>3Q05</v>
      </c>
      <c r="L327" s="1303" t="str">
        <f t="shared" si="586"/>
        <v>4Q05</v>
      </c>
      <c r="M327" s="1304">
        <f t="shared" si="586"/>
        <v>2005</v>
      </c>
      <c r="N327" s="1303" t="str">
        <f t="shared" si="586"/>
        <v>1Q06</v>
      </c>
      <c r="O327" s="1303" t="str">
        <f t="shared" si="586"/>
        <v>2Q06</v>
      </c>
      <c r="P327" s="1303" t="str">
        <f t="shared" si="586"/>
        <v>3Q06</v>
      </c>
      <c r="Q327" s="1303" t="str">
        <f t="shared" si="586"/>
        <v>4Q06</v>
      </c>
      <c r="R327" s="1304">
        <f t="shared" si="586"/>
        <v>2006</v>
      </c>
      <c r="S327" s="1303" t="str">
        <f t="shared" si="586"/>
        <v>1Q07</v>
      </c>
      <c r="T327" s="1303" t="str">
        <f t="shared" si="586"/>
        <v>2Q07</v>
      </c>
      <c r="U327" s="1303" t="str">
        <f t="shared" si="586"/>
        <v>3Q07</v>
      </c>
      <c r="V327" s="1303" t="str">
        <f t="shared" si="586"/>
        <v>4Q07</v>
      </c>
      <c r="W327" s="1304">
        <f t="shared" si="586"/>
        <v>2007</v>
      </c>
      <c r="X327" s="1303" t="str">
        <f t="shared" si="586"/>
        <v>1Q08</v>
      </c>
      <c r="Y327" s="1303" t="str">
        <f t="shared" si="586"/>
        <v>2Q08</v>
      </c>
      <c r="Z327" s="1303" t="str">
        <f t="shared" si="586"/>
        <v>3Q08</v>
      </c>
      <c r="AA327" s="1303" t="str">
        <f t="shared" si="586"/>
        <v>4Q08</v>
      </c>
      <c r="AB327" s="1304">
        <f t="shared" si="586"/>
        <v>2008</v>
      </c>
      <c r="AC327" s="1303" t="str">
        <f t="shared" si="586"/>
        <v>1Q09</v>
      </c>
      <c r="AD327" s="1303" t="str">
        <f t="shared" si="586"/>
        <v>2Q09</v>
      </c>
      <c r="AE327" s="1303" t="str">
        <f t="shared" si="586"/>
        <v>3Q09</v>
      </c>
      <c r="AF327" s="1303" t="str">
        <f t="shared" si="586"/>
        <v>4Q09</v>
      </c>
      <c r="AG327" s="1304">
        <f t="shared" si="586"/>
        <v>2009</v>
      </c>
      <c r="AH327" s="1303" t="str">
        <f t="shared" si="586"/>
        <v>1Q10</v>
      </c>
      <c r="AI327" s="109" t="str">
        <f t="shared" ref="AI327:CG327" si="587">AI$6</f>
        <v>2Q10</v>
      </c>
      <c r="AJ327" s="109" t="str">
        <f t="shared" si="587"/>
        <v>3Q10</v>
      </c>
      <c r="AK327" s="109" t="str">
        <f t="shared" si="587"/>
        <v>4Q10</v>
      </c>
      <c r="AL327" s="110">
        <f t="shared" si="587"/>
        <v>2010</v>
      </c>
      <c r="AM327" s="109" t="str">
        <f t="shared" si="587"/>
        <v>1Q11</v>
      </c>
      <c r="AN327" s="109" t="str">
        <f t="shared" si="587"/>
        <v>2Q11</v>
      </c>
      <c r="AO327" s="109" t="str">
        <f t="shared" si="587"/>
        <v>3Q11</v>
      </c>
      <c r="AP327" s="109" t="str">
        <f t="shared" si="587"/>
        <v>4Q11</v>
      </c>
      <c r="AQ327" s="110">
        <f t="shared" si="587"/>
        <v>2011</v>
      </c>
      <c r="AR327" s="109" t="str">
        <f t="shared" si="587"/>
        <v>1Q12</v>
      </c>
      <c r="AS327" s="109" t="str">
        <f t="shared" si="587"/>
        <v>2Q12</v>
      </c>
      <c r="AT327" s="109" t="str">
        <f t="shared" si="587"/>
        <v>3Q12</v>
      </c>
      <c r="AU327" s="109" t="str">
        <f t="shared" si="587"/>
        <v>4Q12</v>
      </c>
      <c r="AV327" s="110">
        <f t="shared" si="587"/>
        <v>2012</v>
      </c>
      <c r="AW327" s="109" t="str">
        <f t="shared" si="587"/>
        <v>1Q13</v>
      </c>
      <c r="AX327" s="109" t="str">
        <f t="shared" si="587"/>
        <v>2Q13</v>
      </c>
      <c r="AY327" s="109" t="str">
        <f t="shared" si="587"/>
        <v>3Q13</v>
      </c>
      <c r="AZ327" s="109" t="str">
        <f t="shared" si="587"/>
        <v>4Q13</v>
      </c>
      <c r="BA327" s="110">
        <f t="shared" si="587"/>
        <v>2013</v>
      </c>
      <c r="BB327" s="109" t="str">
        <f t="shared" si="587"/>
        <v>1Q14</v>
      </c>
      <c r="BC327" s="109" t="str">
        <f t="shared" si="587"/>
        <v>2Q14</v>
      </c>
      <c r="BD327" s="109" t="str">
        <f t="shared" si="587"/>
        <v>3Q14</v>
      </c>
      <c r="BE327" s="109" t="str">
        <f t="shared" si="587"/>
        <v>4Q14</v>
      </c>
      <c r="BF327" s="110">
        <f t="shared" si="587"/>
        <v>2014</v>
      </c>
      <c r="BG327" s="109" t="str">
        <f t="shared" si="587"/>
        <v>1Q15</v>
      </c>
      <c r="BH327" s="109" t="str">
        <f t="shared" si="587"/>
        <v>2Q15</v>
      </c>
      <c r="BI327" s="109" t="str">
        <f t="shared" si="587"/>
        <v>3Q15</v>
      </c>
      <c r="BJ327" s="109" t="str">
        <f t="shared" si="587"/>
        <v>4Q15</v>
      </c>
      <c r="BK327" s="110">
        <f t="shared" si="587"/>
        <v>2015</v>
      </c>
      <c r="BL327" s="109" t="str">
        <f t="shared" si="587"/>
        <v>1Q16</v>
      </c>
      <c r="BM327" s="109" t="str">
        <f t="shared" si="587"/>
        <v>2Q16</v>
      </c>
      <c r="BN327" s="109" t="str">
        <f t="shared" si="587"/>
        <v>3Q16</v>
      </c>
      <c r="BO327" s="109" t="str">
        <f t="shared" si="587"/>
        <v>4Q16</v>
      </c>
      <c r="BP327" s="110">
        <f t="shared" si="587"/>
        <v>2016</v>
      </c>
      <c r="BQ327" s="109" t="str">
        <f t="shared" si="587"/>
        <v>1Q17</v>
      </c>
      <c r="BR327" s="109" t="str">
        <f t="shared" si="587"/>
        <v>2Q17</v>
      </c>
      <c r="BS327" s="109" t="str">
        <f t="shared" si="587"/>
        <v>3Q17</v>
      </c>
      <c r="BT327" s="109" t="str">
        <f t="shared" si="587"/>
        <v>4Q17A</v>
      </c>
      <c r="BU327" s="3347" t="str">
        <f t="shared" si="587"/>
        <v>2017A</v>
      </c>
      <c r="BV327" s="109" t="str">
        <f t="shared" si="587"/>
        <v>1Q18E</v>
      </c>
      <c r="BW327" s="109" t="str">
        <f t="shared" si="587"/>
        <v>2Q18E</v>
      </c>
      <c r="BX327" s="109" t="str">
        <f t="shared" si="587"/>
        <v>3Q18E</v>
      </c>
      <c r="BY327" s="109" t="str">
        <f t="shared" si="587"/>
        <v>4Q18E</v>
      </c>
      <c r="BZ327" s="110" t="str">
        <f t="shared" si="587"/>
        <v>2018E</v>
      </c>
      <c r="CA327" s="110" t="str">
        <f t="shared" si="587"/>
        <v>2019E</v>
      </c>
      <c r="CB327" s="110" t="str">
        <f t="shared" si="587"/>
        <v>2020E</v>
      </c>
      <c r="CC327" s="110" t="str">
        <f t="shared" si="587"/>
        <v>2021E</v>
      </c>
      <c r="CD327" s="110" t="str">
        <f t="shared" si="587"/>
        <v>2022E</v>
      </c>
      <c r="CE327" s="110" t="str">
        <f t="shared" si="587"/>
        <v>2023E</v>
      </c>
      <c r="CF327" s="110" t="str">
        <f t="shared" si="587"/>
        <v>2024E</v>
      </c>
      <c r="CG327" s="110" t="str">
        <f t="shared" si="587"/>
        <v>2025E</v>
      </c>
      <c r="CH327" s="521"/>
      <c r="CI327" s="521"/>
      <c r="CJ327" s="521"/>
      <c r="CK327" s="521"/>
      <c r="CL327" s="521"/>
      <c r="CM327" s="521"/>
      <c r="CN327" s="521"/>
      <c r="CO327" s="521"/>
      <c r="CP327" s="1300" t="str">
        <f>A327</f>
        <v>Downtown LV Properties</v>
      </c>
      <c r="CQ327" s="109">
        <f>H327</f>
        <v>2004</v>
      </c>
      <c r="CR327" s="109">
        <f>M327</f>
        <v>2005</v>
      </c>
      <c r="CS327" s="109">
        <f>R327</f>
        <v>2006</v>
      </c>
      <c r="CT327" s="109">
        <f>W327</f>
        <v>2007</v>
      </c>
      <c r="CU327" s="109">
        <f>AB327</f>
        <v>2008</v>
      </c>
      <c r="CV327" s="109">
        <f>AG327</f>
        <v>2009</v>
      </c>
      <c r="CW327" s="109">
        <f>AL327</f>
        <v>2010</v>
      </c>
      <c r="CX327" s="109">
        <f>AQ327</f>
        <v>2011</v>
      </c>
      <c r="CY327" s="109">
        <f>AV327</f>
        <v>2012</v>
      </c>
      <c r="CZ327" s="109">
        <f>BA327</f>
        <v>2013</v>
      </c>
      <c r="DA327" s="109">
        <f>BF327</f>
        <v>2014</v>
      </c>
      <c r="DB327" s="109">
        <f>BK327</f>
        <v>2015</v>
      </c>
      <c r="DC327" s="109">
        <f>BP327</f>
        <v>2016</v>
      </c>
      <c r="DD327" s="109" t="str">
        <f>BU327</f>
        <v>2017A</v>
      </c>
      <c r="DE327" s="109" t="str">
        <f t="shared" ref="DE327:DG328" si="588">BZ327</f>
        <v>2018E</v>
      </c>
      <c r="DF327" s="109" t="str">
        <f t="shared" si="588"/>
        <v>2019E</v>
      </c>
      <c r="DG327" s="1772" t="str">
        <f t="shared" si="588"/>
        <v>2020E</v>
      </c>
      <c r="DH327" s="223"/>
      <c r="DI327" s="595"/>
      <c r="DJ327" s="595"/>
      <c r="DK327" s="595"/>
      <c r="DL327" s="595"/>
      <c r="DM327" s="595"/>
      <c r="DN327" s="514"/>
      <c r="DO327" s="226"/>
      <c r="DY327" s="244"/>
      <c r="DZ327" s="244"/>
    </row>
    <row r="328" spans="1:130" ht="12" customHeight="1">
      <c r="A328" s="552" t="s">
        <v>183</v>
      </c>
      <c r="B328" s="228"/>
      <c r="C328" s="228"/>
      <c r="D328" s="509">
        <f>1104+1119+893</f>
        <v>3116</v>
      </c>
      <c r="E328" s="510">
        <f>1104+1119+893</f>
        <v>3116</v>
      </c>
      <c r="F328" s="510">
        <f>1104+1119+893</f>
        <v>3116</v>
      </c>
      <c r="G328" s="510">
        <f>1114+1095+890</f>
        <v>3099</v>
      </c>
      <c r="H328" s="511">
        <f>G328</f>
        <v>3099</v>
      </c>
      <c r="I328" s="510">
        <f>1114+1095+890</f>
        <v>3099</v>
      </c>
      <c r="J328" s="510">
        <f>1114+1095+890</f>
        <v>3099</v>
      </c>
      <c r="K328" s="510">
        <f>1114+1095+890</f>
        <v>3099</v>
      </c>
      <c r="L328" s="510">
        <f>1104+1090+900</f>
        <v>3094</v>
      </c>
      <c r="M328" s="511">
        <f>L328</f>
        <v>3094</v>
      </c>
      <c r="N328" s="510">
        <f>1104+1090+900</f>
        <v>3094</v>
      </c>
      <c r="O328" s="510">
        <f>1104+1090+900</f>
        <v>3094</v>
      </c>
      <c r="P328" s="510">
        <f>1104+1090+900</f>
        <v>3094</v>
      </c>
      <c r="Q328" s="510">
        <f>1114+1113+906</f>
        <v>3133</v>
      </c>
      <c r="R328" s="511">
        <f>Q328</f>
        <v>3133</v>
      </c>
      <c r="S328" s="510">
        <f>1114+1113+906</f>
        <v>3133</v>
      </c>
      <c r="T328" s="510">
        <f>1114+1113+906</f>
        <v>3133</v>
      </c>
      <c r="U328" s="510">
        <f>1114+1113+906</f>
        <v>3133</v>
      </c>
      <c r="V328" s="510">
        <f>1146+1086+905</f>
        <v>3137</v>
      </c>
      <c r="W328" s="511">
        <f>V328</f>
        <v>3137</v>
      </c>
      <c r="X328" s="510">
        <f>1146+1086+905</f>
        <v>3137</v>
      </c>
      <c r="Y328" s="510">
        <f>1146+1086+905</f>
        <v>3137</v>
      </c>
      <c r="Z328" s="510">
        <f>1146+1086+905</f>
        <v>3137</v>
      </c>
      <c r="AA328" s="510">
        <f>1123+1082+884</f>
        <v>3089</v>
      </c>
      <c r="AB328" s="511">
        <f>AA328</f>
        <v>3089</v>
      </c>
      <c r="AC328" s="510">
        <f>1123+1082+884</f>
        <v>3089</v>
      </c>
      <c r="AD328" s="510">
        <f>1123+1082+884</f>
        <v>3089</v>
      </c>
      <c r="AE328" s="510">
        <f>1123+1082+884</f>
        <v>3089</v>
      </c>
      <c r="AF328" s="510">
        <f>1078+1060+864</f>
        <v>3002</v>
      </c>
      <c r="AG328" s="511">
        <f t="shared" ref="AG328:AJ329" si="589">AF328</f>
        <v>3002</v>
      </c>
      <c r="AH328" s="492">
        <f t="shared" si="589"/>
        <v>3002</v>
      </c>
      <c r="AI328" s="492">
        <f t="shared" si="589"/>
        <v>3002</v>
      </c>
      <c r="AJ328" s="492">
        <f t="shared" si="589"/>
        <v>3002</v>
      </c>
      <c r="AK328" s="601">
        <f>1064+1059+861</f>
        <v>2984</v>
      </c>
      <c r="AL328" s="525">
        <f t="shared" ref="AL328:AN329" si="590">AK328</f>
        <v>2984</v>
      </c>
      <c r="AM328" s="492">
        <f t="shared" si="590"/>
        <v>2984</v>
      </c>
      <c r="AN328" s="492">
        <f t="shared" si="590"/>
        <v>2984</v>
      </c>
      <c r="AO328" s="492">
        <f t="shared" ref="AO328:BF328" si="591">AN328</f>
        <v>2984</v>
      </c>
      <c r="AP328" s="601">
        <f>1059+1054+859</f>
        <v>2972</v>
      </c>
      <c r="AQ328" s="525">
        <f t="shared" si="591"/>
        <v>2972</v>
      </c>
      <c r="AR328" s="492">
        <f t="shared" si="591"/>
        <v>2972</v>
      </c>
      <c r="AS328" s="492">
        <f t="shared" si="591"/>
        <v>2972</v>
      </c>
      <c r="AT328" s="492">
        <f t="shared" si="591"/>
        <v>2972</v>
      </c>
      <c r="AU328" s="601">
        <f>1047+1047+867</f>
        <v>2961</v>
      </c>
      <c r="AV328" s="525">
        <f t="shared" si="591"/>
        <v>2961</v>
      </c>
      <c r="AW328" s="492">
        <f t="shared" si="591"/>
        <v>2961</v>
      </c>
      <c r="AX328" s="492">
        <f t="shared" si="591"/>
        <v>2961</v>
      </c>
      <c r="AY328" s="492">
        <f t="shared" si="591"/>
        <v>2961</v>
      </c>
      <c r="AZ328" s="601">
        <f>1033+1045+861</f>
        <v>2939</v>
      </c>
      <c r="BA328" s="525">
        <f>AZ328</f>
        <v>2939</v>
      </c>
      <c r="BB328" s="492">
        <f t="shared" si="591"/>
        <v>2939</v>
      </c>
      <c r="BC328" s="492">
        <f t="shared" si="591"/>
        <v>2939</v>
      </c>
      <c r="BD328" s="492">
        <f t="shared" si="591"/>
        <v>2939</v>
      </c>
      <c r="BE328" s="492">
        <f t="shared" si="591"/>
        <v>2939</v>
      </c>
      <c r="BF328" s="525">
        <f t="shared" si="591"/>
        <v>2939</v>
      </c>
      <c r="BG328" s="2795">
        <f t="shared" ref="BG328:BK329" si="592">BF328</f>
        <v>2939</v>
      </c>
      <c r="BH328" s="2796">
        <f t="shared" si="592"/>
        <v>2939</v>
      </c>
      <c r="BI328" s="2796">
        <f t="shared" si="592"/>
        <v>2939</v>
      </c>
      <c r="BJ328" s="2797">
        <f t="shared" si="592"/>
        <v>2939</v>
      </c>
      <c r="BK328" s="525">
        <f t="shared" si="592"/>
        <v>2939</v>
      </c>
      <c r="BL328" s="2796">
        <f t="shared" ref="BL328:BP329" si="593">BK328</f>
        <v>2939</v>
      </c>
      <c r="BM328" s="2796">
        <f t="shared" si="593"/>
        <v>2939</v>
      </c>
      <c r="BN328" s="2796">
        <f t="shared" si="593"/>
        <v>2939</v>
      </c>
      <c r="BO328" s="2797">
        <f t="shared" si="593"/>
        <v>2939</v>
      </c>
      <c r="BP328" s="525">
        <f t="shared" si="593"/>
        <v>2939</v>
      </c>
      <c r="BQ328" s="2796">
        <f t="shared" ref="BQ328:BU329" si="594">BP328</f>
        <v>2939</v>
      </c>
      <c r="BR328" s="2796">
        <f t="shared" si="594"/>
        <v>2939</v>
      </c>
      <c r="BS328" s="2796">
        <f>BR328</f>
        <v>2939</v>
      </c>
      <c r="BT328" s="2797">
        <f>BS328</f>
        <v>2939</v>
      </c>
      <c r="BU328" s="3367">
        <f t="shared" si="594"/>
        <v>2939</v>
      </c>
      <c r="BV328" s="2796">
        <f t="shared" ref="BV328:BY331" si="595">BU328</f>
        <v>2939</v>
      </c>
      <c r="BW328" s="2796">
        <f t="shared" si="595"/>
        <v>2939</v>
      </c>
      <c r="BX328" s="2796">
        <f t="shared" si="595"/>
        <v>2939</v>
      </c>
      <c r="BY328" s="2797">
        <f t="shared" si="595"/>
        <v>2939</v>
      </c>
      <c r="BZ328" s="4002">
        <f t="shared" ref="BZ328:BZ329" si="596">BY328</f>
        <v>2939</v>
      </c>
      <c r="CA328" s="525">
        <f t="shared" ref="CA328:CB331" si="597">BZ328</f>
        <v>2939</v>
      </c>
      <c r="CB328" s="525">
        <f t="shared" si="597"/>
        <v>2939</v>
      </c>
      <c r="CC328" s="525">
        <f t="shared" ref="CC328:CG331" si="598">CB328</f>
        <v>2939</v>
      </c>
      <c r="CD328" s="525">
        <f t="shared" si="598"/>
        <v>2939</v>
      </c>
      <c r="CE328" s="525">
        <f t="shared" si="598"/>
        <v>2939</v>
      </c>
      <c r="CF328" s="525">
        <f t="shared" si="598"/>
        <v>2939</v>
      </c>
      <c r="CG328" s="525">
        <f t="shared" si="598"/>
        <v>2939</v>
      </c>
      <c r="CH328" s="231"/>
      <c r="CI328" s="231"/>
      <c r="CJ328" s="231"/>
      <c r="CK328" s="231"/>
      <c r="CL328" s="231"/>
      <c r="CM328" s="231"/>
      <c r="CN328" s="231"/>
      <c r="CO328" s="231"/>
      <c r="CP328" s="994" t="str">
        <f>A328</f>
        <v>Slots</v>
      </c>
      <c r="CQ328" s="492">
        <f>H328</f>
        <v>3099</v>
      </c>
      <c r="CR328" s="492">
        <f>M328</f>
        <v>3094</v>
      </c>
      <c r="CS328" s="492">
        <f>R328</f>
        <v>3133</v>
      </c>
      <c r="CT328" s="492">
        <f>W328</f>
        <v>3137</v>
      </c>
      <c r="CU328" s="492">
        <f>AB328</f>
        <v>3089</v>
      </c>
      <c r="CV328" s="492">
        <f>AG328</f>
        <v>3002</v>
      </c>
      <c r="CW328" s="492">
        <f>AL328</f>
        <v>2984</v>
      </c>
      <c r="CX328" s="492">
        <f>AQ328</f>
        <v>2972</v>
      </c>
      <c r="CY328" s="492">
        <f>AV328</f>
        <v>2961</v>
      </c>
      <c r="CZ328" s="492">
        <f>BA328</f>
        <v>2939</v>
      </c>
      <c r="DA328" s="492">
        <f>BF328</f>
        <v>2939</v>
      </c>
      <c r="DB328" s="492">
        <f>BK328</f>
        <v>2939</v>
      </c>
      <c r="DC328" s="492">
        <f>BP328</f>
        <v>2939</v>
      </c>
      <c r="DD328" s="492">
        <f>BU328</f>
        <v>2939</v>
      </c>
      <c r="DE328" s="492">
        <f t="shared" si="588"/>
        <v>2939</v>
      </c>
      <c r="DF328" s="492">
        <f t="shared" si="588"/>
        <v>2939</v>
      </c>
      <c r="DG328" s="1866">
        <f t="shared" si="588"/>
        <v>2939</v>
      </c>
      <c r="DH328" s="514"/>
      <c r="DI328" s="514"/>
      <c r="DJ328" s="514"/>
      <c r="DK328" s="514"/>
      <c r="DL328" s="514"/>
      <c r="DM328" s="514"/>
      <c r="DN328" s="514"/>
      <c r="DO328" s="226"/>
      <c r="DY328" s="231"/>
      <c r="DZ328" s="231"/>
    </row>
    <row r="329" spans="1:130" ht="12" customHeight="1">
      <c r="A329" s="552" t="s">
        <v>184</v>
      </c>
      <c r="B329" s="228"/>
      <c r="C329" s="228"/>
      <c r="D329" s="509">
        <f>35+25+19</f>
        <v>79</v>
      </c>
      <c r="E329" s="510">
        <f>35+25+19</f>
        <v>79</v>
      </c>
      <c r="F329" s="510">
        <f>35+25+19</f>
        <v>79</v>
      </c>
      <c r="G329" s="510">
        <f>34+25+19</f>
        <v>78</v>
      </c>
      <c r="H329" s="511">
        <f>G329</f>
        <v>78</v>
      </c>
      <c r="I329" s="510">
        <f>34+25+19</f>
        <v>78</v>
      </c>
      <c r="J329" s="510">
        <f>34+25+19</f>
        <v>78</v>
      </c>
      <c r="K329" s="510">
        <f>34+25+19</f>
        <v>78</v>
      </c>
      <c r="L329" s="510">
        <f>34+25+19</f>
        <v>78</v>
      </c>
      <c r="M329" s="511">
        <f>L329</f>
        <v>78</v>
      </c>
      <c r="N329" s="510">
        <f>34+25+19</f>
        <v>78</v>
      </c>
      <c r="O329" s="510">
        <f>34+25+19</f>
        <v>78</v>
      </c>
      <c r="P329" s="510">
        <f>34+25+19</f>
        <v>78</v>
      </c>
      <c r="Q329" s="510">
        <f>28+25+19</f>
        <v>72</v>
      </c>
      <c r="R329" s="511">
        <f>Q329</f>
        <v>72</v>
      </c>
      <c r="S329" s="510">
        <f>28+25+19</f>
        <v>72</v>
      </c>
      <c r="T329" s="510">
        <f>28+25+19</f>
        <v>72</v>
      </c>
      <c r="U329" s="510">
        <f>28+25+19</f>
        <v>72</v>
      </c>
      <c r="V329" s="510">
        <f>34+26+19</f>
        <v>79</v>
      </c>
      <c r="W329" s="511">
        <f>V329</f>
        <v>79</v>
      </c>
      <c r="X329" s="510">
        <f>34+26+19</f>
        <v>79</v>
      </c>
      <c r="Y329" s="510">
        <f>34+26+19</f>
        <v>79</v>
      </c>
      <c r="Z329" s="510">
        <f>34+26+19</f>
        <v>79</v>
      </c>
      <c r="AA329" s="510">
        <f>29+26+19</f>
        <v>74</v>
      </c>
      <c r="AB329" s="511">
        <f>AA329</f>
        <v>74</v>
      </c>
      <c r="AC329" s="510">
        <f>29+26+19</f>
        <v>74</v>
      </c>
      <c r="AD329" s="510">
        <f>29+26+19</f>
        <v>74</v>
      </c>
      <c r="AE329" s="510">
        <f>29+26+19</f>
        <v>74</v>
      </c>
      <c r="AF329" s="510">
        <f>29+24+18</f>
        <v>71</v>
      </c>
      <c r="AG329" s="511">
        <f t="shared" si="589"/>
        <v>71</v>
      </c>
      <c r="AH329" s="492">
        <f t="shared" si="589"/>
        <v>71</v>
      </c>
      <c r="AI329" s="492">
        <f t="shared" si="589"/>
        <v>71</v>
      </c>
      <c r="AJ329" s="492">
        <f t="shared" si="589"/>
        <v>71</v>
      </c>
      <c r="AK329" s="601">
        <f>28+24+19</f>
        <v>71</v>
      </c>
      <c r="AL329" s="525">
        <f t="shared" si="590"/>
        <v>71</v>
      </c>
      <c r="AM329" s="492">
        <f t="shared" si="590"/>
        <v>71</v>
      </c>
      <c r="AN329" s="492">
        <f t="shared" si="590"/>
        <v>71</v>
      </c>
      <c r="AO329" s="492">
        <f>AN329</f>
        <v>71</v>
      </c>
      <c r="AP329" s="601">
        <f>28+24+19</f>
        <v>71</v>
      </c>
      <c r="AQ329" s="525">
        <f t="shared" ref="AQ329:BF329" si="599">AP329</f>
        <v>71</v>
      </c>
      <c r="AR329" s="492">
        <f t="shared" si="599"/>
        <v>71</v>
      </c>
      <c r="AS329" s="492">
        <f t="shared" si="599"/>
        <v>71</v>
      </c>
      <c r="AT329" s="492">
        <f t="shared" si="599"/>
        <v>71</v>
      </c>
      <c r="AU329" s="601">
        <f>28+24+19</f>
        <v>71</v>
      </c>
      <c r="AV329" s="525">
        <f t="shared" si="599"/>
        <v>71</v>
      </c>
      <c r="AW329" s="492">
        <f t="shared" si="599"/>
        <v>71</v>
      </c>
      <c r="AX329" s="492">
        <f t="shared" si="599"/>
        <v>71</v>
      </c>
      <c r="AY329" s="492">
        <f t="shared" si="599"/>
        <v>71</v>
      </c>
      <c r="AZ329" s="601">
        <f>28+24+19</f>
        <v>71</v>
      </c>
      <c r="BA329" s="525">
        <f>AZ329</f>
        <v>71</v>
      </c>
      <c r="BB329" s="492">
        <f t="shared" si="599"/>
        <v>71</v>
      </c>
      <c r="BC329" s="492">
        <f t="shared" si="599"/>
        <v>71</v>
      </c>
      <c r="BD329" s="492">
        <f t="shared" si="599"/>
        <v>71</v>
      </c>
      <c r="BE329" s="492">
        <f t="shared" si="599"/>
        <v>71</v>
      </c>
      <c r="BF329" s="525">
        <f t="shared" si="599"/>
        <v>71</v>
      </c>
      <c r="BG329" s="2798">
        <f t="shared" si="592"/>
        <v>71</v>
      </c>
      <c r="BH329" s="492">
        <f t="shared" si="592"/>
        <v>71</v>
      </c>
      <c r="BI329" s="492">
        <f t="shared" si="592"/>
        <v>71</v>
      </c>
      <c r="BJ329" s="1866">
        <f t="shared" si="592"/>
        <v>71</v>
      </c>
      <c r="BK329" s="525">
        <f t="shared" si="592"/>
        <v>71</v>
      </c>
      <c r="BL329" s="492">
        <f t="shared" si="593"/>
        <v>71</v>
      </c>
      <c r="BM329" s="492">
        <f t="shared" si="593"/>
        <v>71</v>
      </c>
      <c r="BN329" s="492">
        <f t="shared" si="593"/>
        <v>71</v>
      </c>
      <c r="BO329" s="1866">
        <f t="shared" si="593"/>
        <v>71</v>
      </c>
      <c r="BP329" s="525">
        <f t="shared" si="593"/>
        <v>71</v>
      </c>
      <c r="BQ329" s="492">
        <f t="shared" si="594"/>
        <v>71</v>
      </c>
      <c r="BR329" s="492">
        <f t="shared" si="594"/>
        <v>71</v>
      </c>
      <c r="BS329" s="492">
        <f>BR329</f>
        <v>71</v>
      </c>
      <c r="BT329" s="1866">
        <f>BS329</f>
        <v>71</v>
      </c>
      <c r="BU329" s="3367">
        <f t="shared" si="594"/>
        <v>71</v>
      </c>
      <c r="BV329" s="492">
        <f t="shared" si="595"/>
        <v>71</v>
      </c>
      <c r="BW329" s="492">
        <f t="shared" si="595"/>
        <v>71</v>
      </c>
      <c r="BX329" s="492">
        <f t="shared" si="595"/>
        <v>71</v>
      </c>
      <c r="BY329" s="1866">
        <f t="shared" si="595"/>
        <v>71</v>
      </c>
      <c r="BZ329" s="4002">
        <f t="shared" si="596"/>
        <v>71</v>
      </c>
      <c r="CA329" s="525">
        <f t="shared" si="597"/>
        <v>71</v>
      </c>
      <c r="CB329" s="525">
        <f t="shared" si="597"/>
        <v>71</v>
      </c>
      <c r="CC329" s="525">
        <f t="shared" si="598"/>
        <v>71</v>
      </c>
      <c r="CD329" s="525">
        <f t="shared" si="598"/>
        <v>71</v>
      </c>
      <c r="CE329" s="525">
        <f t="shared" si="598"/>
        <v>71</v>
      </c>
      <c r="CF329" s="525">
        <f t="shared" si="598"/>
        <v>71</v>
      </c>
      <c r="CG329" s="525">
        <f t="shared" si="598"/>
        <v>71</v>
      </c>
      <c r="CH329" s="231"/>
      <c r="CI329" s="231"/>
      <c r="CJ329" s="231"/>
      <c r="CK329" s="231"/>
      <c r="CL329" s="231"/>
      <c r="CM329" s="231"/>
      <c r="CN329" s="231"/>
      <c r="CO329" s="231"/>
      <c r="CP329" s="994" t="str">
        <f t="shared" ref="CP329:CP412" si="600">A329</f>
        <v>Tables</v>
      </c>
      <c r="CQ329" s="492">
        <f t="shared" ref="CQ329:CQ412" si="601">H329</f>
        <v>78</v>
      </c>
      <c r="CR329" s="492">
        <f t="shared" ref="CR329:CR412" si="602">M329</f>
        <v>78</v>
      </c>
      <c r="CS329" s="492">
        <f t="shared" ref="CS329:CS412" si="603">R329</f>
        <v>72</v>
      </c>
      <c r="CT329" s="492">
        <f t="shared" ref="CT329:CT412" si="604">W329</f>
        <v>79</v>
      </c>
      <c r="CU329" s="492">
        <f t="shared" ref="CU329:CU412" si="605">AB329</f>
        <v>74</v>
      </c>
      <c r="CV329" s="492">
        <f t="shared" ref="CV329:CV412" si="606">AG329</f>
        <v>71</v>
      </c>
      <c r="CW329" s="492">
        <f t="shared" ref="CW329:CW412" si="607">AL329</f>
        <v>71</v>
      </c>
      <c r="CX329" s="492">
        <f t="shared" ref="CX329:CX412" si="608">AQ329</f>
        <v>71</v>
      </c>
      <c r="CY329" s="492">
        <f t="shared" ref="CY329:CY412" si="609">AV329</f>
        <v>71</v>
      </c>
      <c r="CZ329" s="492">
        <f t="shared" ref="CZ329:CZ412" si="610">BA329</f>
        <v>71</v>
      </c>
      <c r="DA329" s="492">
        <f t="shared" ref="DA329:DA412" si="611">BF329</f>
        <v>71</v>
      </c>
      <c r="DB329" s="492">
        <f t="shared" ref="DB329:DB412" si="612">BK329</f>
        <v>71</v>
      </c>
      <c r="DC329" s="492">
        <f t="shared" ref="DC329:DC412" si="613">BP329</f>
        <v>71</v>
      </c>
      <c r="DD329" s="492">
        <f t="shared" ref="DD329:DD412" si="614">BU329</f>
        <v>71</v>
      </c>
      <c r="DE329" s="492">
        <f t="shared" ref="DE329:DE412" si="615">BZ329</f>
        <v>71</v>
      </c>
      <c r="DF329" s="492">
        <f t="shared" ref="DF329:DF412" si="616">CA329</f>
        <v>71</v>
      </c>
      <c r="DG329" s="1866">
        <f t="shared" ref="DG329:DG412" si="617">CB329</f>
        <v>71</v>
      </c>
      <c r="DH329" s="514"/>
      <c r="DI329" s="514"/>
      <c r="DJ329" s="514"/>
      <c r="DK329" s="514"/>
      <c r="DL329" s="514"/>
      <c r="DM329" s="514"/>
      <c r="DN329" s="514"/>
      <c r="DO329" s="226"/>
      <c r="DY329" s="231"/>
      <c r="DZ329" s="231"/>
    </row>
    <row r="330" spans="1:130" ht="12" customHeight="1">
      <c r="A330" s="552" t="s">
        <v>182</v>
      </c>
      <c r="B330" s="228"/>
      <c r="C330" s="228"/>
      <c r="D330" s="527">
        <f>(D329*6)+D328</f>
        <v>3590</v>
      </c>
      <c r="E330" s="231">
        <f>(E329*6)+E328</f>
        <v>3590</v>
      </c>
      <c r="F330" s="231">
        <f>(F329*6)+F328</f>
        <v>3590</v>
      </c>
      <c r="G330" s="231">
        <f>(G329*6)+G328</f>
        <v>3567</v>
      </c>
      <c r="H330" s="511">
        <f>G330</f>
        <v>3567</v>
      </c>
      <c r="I330" s="231">
        <f>(I329*6)+I328</f>
        <v>3567</v>
      </c>
      <c r="J330" s="231">
        <f>(J329*6)+J328</f>
        <v>3567</v>
      </c>
      <c r="K330" s="231">
        <f>(K329*6)+K328</f>
        <v>3567</v>
      </c>
      <c r="L330" s="231">
        <f>(L329*6)+L328</f>
        <v>3562</v>
      </c>
      <c r="M330" s="511">
        <f>L330</f>
        <v>3562</v>
      </c>
      <c r="N330" s="231">
        <f>(N329*6)+N328</f>
        <v>3562</v>
      </c>
      <c r="O330" s="231">
        <f>(O329*6)+O328</f>
        <v>3562</v>
      </c>
      <c r="P330" s="231">
        <f>(P329*6)+P328</f>
        <v>3562</v>
      </c>
      <c r="Q330" s="231">
        <f>(Q329*6)+Q328</f>
        <v>3565</v>
      </c>
      <c r="R330" s="511">
        <f>Q330</f>
        <v>3565</v>
      </c>
      <c r="S330" s="231">
        <f>(S329*6)+S328</f>
        <v>3565</v>
      </c>
      <c r="T330" s="231">
        <f>(T329*6)+T328</f>
        <v>3565</v>
      </c>
      <c r="U330" s="231">
        <f>(U329*6)+U328</f>
        <v>3565</v>
      </c>
      <c r="V330" s="231">
        <f>(V329*6)+V328</f>
        <v>3611</v>
      </c>
      <c r="W330" s="511">
        <f>V330</f>
        <v>3611</v>
      </c>
      <c r="X330" s="231">
        <f>(X329*6)+X328</f>
        <v>3611</v>
      </c>
      <c r="Y330" s="231">
        <f>(Y329*6)+Y328</f>
        <v>3611</v>
      </c>
      <c r="Z330" s="231">
        <f>(Z329*6)+Z328</f>
        <v>3611</v>
      </c>
      <c r="AA330" s="231">
        <f>(AA329*6)+AA328</f>
        <v>3533</v>
      </c>
      <c r="AB330" s="511">
        <f>AA330</f>
        <v>3533</v>
      </c>
      <c r="AC330" s="231">
        <f>(AC329*6)+AC328</f>
        <v>3533</v>
      </c>
      <c r="AD330" s="231">
        <f>(AD329*6)+AD328</f>
        <v>3533</v>
      </c>
      <c r="AE330" s="231">
        <f>(AE329*6)+AE328</f>
        <v>3533</v>
      </c>
      <c r="AF330" s="231">
        <f>(AF329*6)+AF328</f>
        <v>3428</v>
      </c>
      <c r="AG330" s="511">
        <f>AF330</f>
        <v>3428</v>
      </c>
      <c r="AH330" s="231">
        <f>(AH329*6)+AH328</f>
        <v>3428</v>
      </c>
      <c r="AI330" s="231">
        <f>(AI329*6)+AI328</f>
        <v>3428</v>
      </c>
      <c r="AJ330" s="231">
        <f>(AJ329*6)+AJ328</f>
        <v>3428</v>
      </c>
      <c r="AK330" s="231">
        <f>(AK329*6)+AK328</f>
        <v>3410</v>
      </c>
      <c r="AL330" s="511">
        <f>AK330</f>
        <v>3410</v>
      </c>
      <c r="AM330" s="231">
        <f>(AM329*6)+AM328</f>
        <v>3410</v>
      </c>
      <c r="AN330" s="231">
        <f>(AN329*6)+AN328</f>
        <v>3410</v>
      </c>
      <c r="AO330" s="231">
        <f>(AO329*6)+AO328</f>
        <v>3410</v>
      </c>
      <c r="AP330" s="231">
        <f>(AP329*6)+AP328</f>
        <v>3398</v>
      </c>
      <c r="AQ330" s="511">
        <f>AP330</f>
        <v>3398</v>
      </c>
      <c r="AR330" s="231">
        <f>(AR329*6)+AR328</f>
        <v>3398</v>
      </c>
      <c r="AS330" s="231">
        <f>(AS329*6)+AS328</f>
        <v>3398</v>
      </c>
      <c r="AT330" s="231">
        <f>(AT329*6)+AT328</f>
        <v>3398</v>
      </c>
      <c r="AU330" s="231">
        <f>(AU329*6)+AU328</f>
        <v>3387</v>
      </c>
      <c r="AV330" s="511">
        <f>AU330</f>
        <v>3387</v>
      </c>
      <c r="AW330" s="231">
        <f>(AW329*6)+AW328</f>
        <v>3387</v>
      </c>
      <c r="AX330" s="231">
        <f>(AX329*6)+AX328</f>
        <v>3387</v>
      </c>
      <c r="AY330" s="231">
        <f>(AY329*6)+AY328</f>
        <v>3387</v>
      </c>
      <c r="AZ330" s="231">
        <f>(AZ329*6)+AZ328</f>
        <v>3365</v>
      </c>
      <c r="BA330" s="511">
        <f>AZ330</f>
        <v>3365</v>
      </c>
      <c r="BB330" s="231">
        <f>(BB329*6)+BB328</f>
        <v>3365</v>
      </c>
      <c r="BC330" s="231">
        <f>(BC329*6)+BC328</f>
        <v>3365</v>
      </c>
      <c r="BD330" s="231">
        <f>(BD329*6)+BD328</f>
        <v>3365</v>
      </c>
      <c r="BE330" s="231">
        <f>(BE329*6)+BE328</f>
        <v>3365</v>
      </c>
      <c r="BF330" s="511">
        <f>BE330</f>
        <v>3365</v>
      </c>
      <c r="BG330" s="527">
        <f>(BG329*6)+BG328</f>
        <v>3365</v>
      </c>
      <c r="BH330" s="231">
        <f>(BH329*6)+BH328</f>
        <v>3365</v>
      </c>
      <c r="BI330" s="231">
        <f>(BI329*6)+BI328</f>
        <v>3365</v>
      </c>
      <c r="BJ330" s="1841">
        <f>(BJ329*6)+BJ328</f>
        <v>3365</v>
      </c>
      <c r="BK330" s="511">
        <f>BJ330</f>
        <v>3365</v>
      </c>
      <c r="BL330" s="231">
        <f>(BL329*6)+BL328</f>
        <v>3365</v>
      </c>
      <c r="BM330" s="231">
        <f>(BM329*6)+BM328</f>
        <v>3365</v>
      </c>
      <c r="BN330" s="231">
        <f>(BN329*6)+BN328</f>
        <v>3365</v>
      </c>
      <c r="BO330" s="1841">
        <f>(BO329*6)+BO328</f>
        <v>3365</v>
      </c>
      <c r="BP330" s="511">
        <f>BO330</f>
        <v>3365</v>
      </c>
      <c r="BQ330" s="231">
        <f>(BQ329*6)+BQ328</f>
        <v>3365</v>
      </c>
      <c r="BR330" s="231">
        <f>(BR329*6)+BR328</f>
        <v>3365</v>
      </c>
      <c r="BS330" s="231">
        <f>(BS329*6)+BS328</f>
        <v>3365</v>
      </c>
      <c r="BT330" s="1841">
        <f>(BT329*6)+BT328</f>
        <v>3365</v>
      </c>
      <c r="BU330" s="3386">
        <f>BT330</f>
        <v>3365</v>
      </c>
      <c r="BV330" s="231">
        <f t="shared" si="595"/>
        <v>3365</v>
      </c>
      <c r="BW330" s="231">
        <f t="shared" si="595"/>
        <v>3365</v>
      </c>
      <c r="BX330" s="231">
        <f t="shared" si="595"/>
        <v>3365</v>
      </c>
      <c r="BY330" s="1841">
        <f t="shared" si="595"/>
        <v>3365</v>
      </c>
      <c r="BZ330" s="4002">
        <f>BY330</f>
        <v>3365</v>
      </c>
      <c r="CA330" s="525">
        <f t="shared" si="597"/>
        <v>3365</v>
      </c>
      <c r="CB330" s="525">
        <f t="shared" si="597"/>
        <v>3365</v>
      </c>
      <c r="CC330" s="525">
        <f t="shared" si="598"/>
        <v>3365</v>
      </c>
      <c r="CD330" s="525">
        <f t="shared" si="598"/>
        <v>3365</v>
      </c>
      <c r="CE330" s="525">
        <f t="shared" si="598"/>
        <v>3365</v>
      </c>
      <c r="CF330" s="525">
        <f t="shared" si="598"/>
        <v>3365</v>
      </c>
      <c r="CG330" s="525">
        <f t="shared" si="598"/>
        <v>3365</v>
      </c>
      <c r="CH330" s="231"/>
      <c r="CI330" s="231"/>
      <c r="CJ330" s="231"/>
      <c r="CK330" s="231"/>
      <c r="CL330" s="231"/>
      <c r="CM330" s="231"/>
      <c r="CN330" s="231"/>
      <c r="CO330" s="231"/>
      <c r="CP330" s="994" t="str">
        <f t="shared" si="600"/>
        <v>Positions</v>
      </c>
      <c r="CQ330" s="231">
        <f t="shared" si="601"/>
        <v>3567</v>
      </c>
      <c r="CR330" s="231">
        <f t="shared" si="602"/>
        <v>3562</v>
      </c>
      <c r="CS330" s="231">
        <f t="shared" si="603"/>
        <v>3565</v>
      </c>
      <c r="CT330" s="231">
        <f t="shared" si="604"/>
        <v>3611</v>
      </c>
      <c r="CU330" s="231">
        <f t="shared" si="605"/>
        <v>3533</v>
      </c>
      <c r="CV330" s="231">
        <f t="shared" si="606"/>
        <v>3428</v>
      </c>
      <c r="CW330" s="231">
        <f t="shared" si="607"/>
        <v>3410</v>
      </c>
      <c r="CX330" s="231">
        <f t="shared" si="608"/>
        <v>3398</v>
      </c>
      <c r="CY330" s="231">
        <f t="shared" si="609"/>
        <v>3387</v>
      </c>
      <c r="CZ330" s="231">
        <f t="shared" si="610"/>
        <v>3365</v>
      </c>
      <c r="DA330" s="231">
        <f t="shared" si="611"/>
        <v>3365</v>
      </c>
      <c r="DB330" s="231">
        <f t="shared" si="612"/>
        <v>3365</v>
      </c>
      <c r="DC330" s="231">
        <f t="shared" si="613"/>
        <v>3365</v>
      </c>
      <c r="DD330" s="231">
        <f t="shared" si="614"/>
        <v>3365</v>
      </c>
      <c r="DE330" s="231">
        <f t="shared" si="615"/>
        <v>3365</v>
      </c>
      <c r="DF330" s="231">
        <f t="shared" si="616"/>
        <v>3365</v>
      </c>
      <c r="DG330" s="1841">
        <f t="shared" si="617"/>
        <v>3365</v>
      </c>
      <c r="DH330" s="514"/>
      <c r="DI330" s="514"/>
      <c r="DJ330" s="514"/>
      <c r="DK330" s="514"/>
      <c r="DL330" s="514"/>
      <c r="DM330" s="514"/>
      <c r="DN330" s="514"/>
      <c r="DO330" s="226"/>
      <c r="DY330" s="492"/>
      <c r="DZ330" s="492"/>
    </row>
    <row r="331" spans="1:130" ht="12" customHeight="1">
      <c r="A331" s="633" t="s">
        <v>1573</v>
      </c>
      <c r="B331" s="228"/>
      <c r="C331" s="228"/>
      <c r="D331" s="527">
        <f>D330</f>
        <v>3590</v>
      </c>
      <c r="E331" s="231">
        <f>AVERAGE(D330:E330)</f>
        <v>3590</v>
      </c>
      <c r="F331" s="231">
        <f>AVERAGE(E330:F330)</f>
        <v>3590</v>
      </c>
      <c r="G331" s="231">
        <f>AVERAGE(F330:G330)</f>
        <v>3578.5</v>
      </c>
      <c r="H331" s="511">
        <f>AVERAGE(D330:G330)</f>
        <v>3584.25</v>
      </c>
      <c r="I331" s="231">
        <f>AVERAGE(H330:I330)</f>
        <v>3567</v>
      </c>
      <c r="J331" s="231">
        <f>AVERAGE(I330:J330)</f>
        <v>3567</v>
      </c>
      <c r="K331" s="231">
        <f>AVERAGE(J330:K330)</f>
        <v>3567</v>
      </c>
      <c r="L331" s="231">
        <f>AVERAGE(K330:L330)</f>
        <v>3564.5</v>
      </c>
      <c r="M331" s="511">
        <f>AVERAGE(I330:L330)</f>
        <v>3565.75</v>
      </c>
      <c r="N331" s="231">
        <f>AVERAGE(M330:N330)</f>
        <v>3562</v>
      </c>
      <c r="O331" s="231">
        <f>AVERAGE(N330:O330)</f>
        <v>3562</v>
      </c>
      <c r="P331" s="231">
        <f>AVERAGE(O330:P330)</f>
        <v>3562</v>
      </c>
      <c r="Q331" s="231">
        <f>AVERAGE(P330:Q330)</f>
        <v>3563.5</v>
      </c>
      <c r="R331" s="511">
        <f>AVERAGE(N330:Q330)</f>
        <v>3562.75</v>
      </c>
      <c r="S331" s="231">
        <f>AVERAGE(R330:S330)</f>
        <v>3565</v>
      </c>
      <c r="T331" s="231">
        <f>AVERAGE(S330:T330)</f>
        <v>3565</v>
      </c>
      <c r="U331" s="231">
        <f>AVERAGE(T330:U330)</f>
        <v>3565</v>
      </c>
      <c r="V331" s="231">
        <f>AVERAGE(U330:V330)</f>
        <v>3588</v>
      </c>
      <c r="W331" s="511">
        <f>AVERAGE(S330:V330)</f>
        <v>3576.5</v>
      </c>
      <c r="X331" s="231">
        <f>AVERAGE(W330:X330)</f>
        <v>3611</v>
      </c>
      <c r="Y331" s="231">
        <f>AVERAGE(X330:Y330)</f>
        <v>3611</v>
      </c>
      <c r="Z331" s="231">
        <f>AVERAGE(Y330:Z330)</f>
        <v>3611</v>
      </c>
      <c r="AA331" s="231">
        <f>AVERAGE(Z330:AA330)</f>
        <v>3572</v>
      </c>
      <c r="AB331" s="511">
        <f>AVERAGE(X330:AA330)</f>
        <v>3591.5</v>
      </c>
      <c r="AC331" s="231">
        <f>AVERAGE(AB330:AC330)</f>
        <v>3533</v>
      </c>
      <c r="AD331" s="231">
        <f>AVERAGE(AC330:AD330)</f>
        <v>3533</v>
      </c>
      <c r="AE331" s="231">
        <f>AVERAGE(AD330:AE330)</f>
        <v>3533</v>
      </c>
      <c r="AF331" s="231">
        <f>AVERAGE(AE330:AF330)</f>
        <v>3480.5</v>
      </c>
      <c r="AG331" s="511">
        <f>AVERAGE(AC330:AF330)</f>
        <v>3506.75</v>
      </c>
      <c r="AH331" s="231">
        <f>AVERAGE(AG330:AH330)</f>
        <v>3428</v>
      </c>
      <c r="AI331" s="231">
        <f>AVERAGE(AH330:AI330)</f>
        <v>3428</v>
      </c>
      <c r="AJ331" s="231">
        <f>AVERAGE(AI330:AJ330)</f>
        <v>3428</v>
      </c>
      <c r="AK331" s="231">
        <f>AVERAGE(AJ330:AK330)</f>
        <v>3419</v>
      </c>
      <c r="AL331" s="511">
        <f>AVERAGE(AH330:AK330)</f>
        <v>3423.5</v>
      </c>
      <c r="AM331" s="231">
        <f>AVERAGE(AL330:AM330)</f>
        <v>3410</v>
      </c>
      <c r="AN331" s="231">
        <f>AVERAGE(AM330:AN330)</f>
        <v>3410</v>
      </c>
      <c r="AO331" s="231">
        <f>AVERAGE(AN330:AO330)</f>
        <v>3410</v>
      </c>
      <c r="AP331" s="231">
        <f>AVERAGE(AO330:AP330)</f>
        <v>3404</v>
      </c>
      <c r="AQ331" s="511">
        <f>AVERAGE(AM330:AP330)</f>
        <v>3407</v>
      </c>
      <c r="AR331" s="231">
        <f>AVERAGE(AQ330:AR330)</f>
        <v>3398</v>
      </c>
      <c r="AS331" s="231">
        <f>AVERAGE(AR330:AS330)</f>
        <v>3398</v>
      </c>
      <c r="AT331" s="231">
        <f>AVERAGE(AS330:AT330)</f>
        <v>3398</v>
      </c>
      <c r="AU331" s="231">
        <f>AVERAGE(AT330:AU330)</f>
        <v>3392.5</v>
      </c>
      <c r="AV331" s="511">
        <f>AVERAGE(AR330:AU330)</f>
        <v>3395.25</v>
      </c>
      <c r="AW331" s="231">
        <f>AVERAGE(AV330:AW330)</f>
        <v>3387</v>
      </c>
      <c r="AX331" s="231">
        <f>AVERAGE(AW330:AX330)</f>
        <v>3387</v>
      </c>
      <c r="AY331" s="231">
        <f>AVERAGE(AX330:AY330)</f>
        <v>3387</v>
      </c>
      <c r="AZ331" s="231">
        <f>AVERAGE(AY330:AZ330)</f>
        <v>3376</v>
      </c>
      <c r="BA331" s="511">
        <f>AVERAGE(AW330:AZ330)</f>
        <v>3381.5</v>
      </c>
      <c r="BB331" s="231">
        <f>AVERAGE(BA330:BB330)</f>
        <v>3365</v>
      </c>
      <c r="BC331" s="231">
        <f>AVERAGE(BB330:BC330)</f>
        <v>3365</v>
      </c>
      <c r="BD331" s="231">
        <f>AVERAGE(BC330:BD330)</f>
        <v>3365</v>
      </c>
      <c r="BE331" s="231">
        <f>AVERAGE(BD330:BE330)</f>
        <v>3365</v>
      </c>
      <c r="BF331" s="511">
        <f>AVERAGE(BB330:BE330)</f>
        <v>3365</v>
      </c>
      <c r="BG331" s="527">
        <f>AVERAGE(BF330:BG330)</f>
        <v>3365</v>
      </c>
      <c r="BH331" s="231">
        <f>AVERAGE(BG330:BH330)</f>
        <v>3365</v>
      </c>
      <c r="BI331" s="231">
        <f>AVERAGE(BH330:BI330)</f>
        <v>3365</v>
      </c>
      <c r="BJ331" s="1841">
        <f>AVERAGE(BI330:BJ330)</f>
        <v>3365</v>
      </c>
      <c r="BK331" s="511">
        <f>AVERAGE(BG330:BJ330)</f>
        <v>3365</v>
      </c>
      <c r="BL331" s="231">
        <f>AVERAGE(BK330:BL330)</f>
        <v>3365</v>
      </c>
      <c r="BM331" s="231">
        <f>AVERAGE(BL330:BM330)</f>
        <v>3365</v>
      </c>
      <c r="BN331" s="231">
        <f>AVERAGE(BM330:BN330)</f>
        <v>3365</v>
      </c>
      <c r="BO331" s="1841">
        <f>AVERAGE(BN330:BO330)</f>
        <v>3365</v>
      </c>
      <c r="BP331" s="511">
        <f>AVERAGE(BL330:BO330)</f>
        <v>3365</v>
      </c>
      <c r="BQ331" s="231">
        <f>AVERAGE(BP330:BQ330)</f>
        <v>3365</v>
      </c>
      <c r="BR331" s="231">
        <f>AVERAGE(BQ330:BR330)</f>
        <v>3365</v>
      </c>
      <c r="BS331" s="231">
        <f>AVERAGE(BR330:BS330)</f>
        <v>3365</v>
      </c>
      <c r="BT331" s="1841">
        <f>AVERAGE(BS330:BT330)</f>
        <v>3365</v>
      </c>
      <c r="BU331" s="3386">
        <f>AVERAGE(BQ330:BT330)</f>
        <v>3365</v>
      </c>
      <c r="BV331" s="231">
        <f t="shared" si="595"/>
        <v>3365</v>
      </c>
      <c r="BW331" s="231">
        <f t="shared" si="595"/>
        <v>3365</v>
      </c>
      <c r="BX331" s="231">
        <f t="shared" si="595"/>
        <v>3365</v>
      </c>
      <c r="BY331" s="1841">
        <f t="shared" si="595"/>
        <v>3365</v>
      </c>
      <c r="BZ331" s="4002">
        <f>AVERAGE(BV330:BY330)</f>
        <v>3365</v>
      </c>
      <c r="CA331" s="525">
        <f t="shared" si="597"/>
        <v>3365</v>
      </c>
      <c r="CB331" s="525">
        <f t="shared" si="597"/>
        <v>3365</v>
      </c>
      <c r="CC331" s="525">
        <f t="shared" si="598"/>
        <v>3365</v>
      </c>
      <c r="CD331" s="525">
        <f t="shared" si="598"/>
        <v>3365</v>
      </c>
      <c r="CE331" s="525">
        <f t="shared" si="598"/>
        <v>3365</v>
      </c>
      <c r="CF331" s="525">
        <f t="shared" si="598"/>
        <v>3365</v>
      </c>
      <c r="CG331" s="525">
        <f t="shared" si="598"/>
        <v>3365</v>
      </c>
      <c r="CH331" s="231"/>
      <c r="CI331" s="231"/>
      <c r="CJ331" s="231"/>
      <c r="CK331" s="231"/>
      <c r="CL331" s="231"/>
      <c r="CM331" s="231"/>
      <c r="CN331" s="231"/>
      <c r="CO331" s="231"/>
      <c r="CP331" s="90" t="str">
        <f t="shared" si="600"/>
        <v>Average Positions</v>
      </c>
      <c r="CQ331" s="231">
        <f t="shared" si="601"/>
        <v>3584.25</v>
      </c>
      <c r="CR331" s="231">
        <f t="shared" si="602"/>
        <v>3565.75</v>
      </c>
      <c r="CS331" s="231">
        <f t="shared" si="603"/>
        <v>3562.75</v>
      </c>
      <c r="CT331" s="231">
        <f t="shared" si="604"/>
        <v>3576.5</v>
      </c>
      <c r="CU331" s="231">
        <f t="shared" si="605"/>
        <v>3591.5</v>
      </c>
      <c r="CV331" s="231">
        <f t="shared" si="606"/>
        <v>3506.75</v>
      </c>
      <c r="CW331" s="231">
        <f t="shared" si="607"/>
        <v>3423.5</v>
      </c>
      <c r="CX331" s="231">
        <f t="shared" si="608"/>
        <v>3407</v>
      </c>
      <c r="CY331" s="231">
        <f t="shared" si="609"/>
        <v>3395.25</v>
      </c>
      <c r="CZ331" s="231">
        <f t="shared" si="610"/>
        <v>3381.5</v>
      </c>
      <c r="DA331" s="231">
        <f t="shared" si="611"/>
        <v>3365</v>
      </c>
      <c r="DB331" s="231">
        <f t="shared" si="612"/>
        <v>3365</v>
      </c>
      <c r="DC331" s="231">
        <f t="shared" si="613"/>
        <v>3365</v>
      </c>
      <c r="DD331" s="231">
        <f t="shared" si="614"/>
        <v>3365</v>
      </c>
      <c r="DE331" s="231">
        <f t="shared" si="615"/>
        <v>3365</v>
      </c>
      <c r="DF331" s="231">
        <f t="shared" si="616"/>
        <v>3365</v>
      </c>
      <c r="DG331" s="1841">
        <f t="shared" si="617"/>
        <v>3365</v>
      </c>
      <c r="DH331" s="231"/>
      <c r="DI331" s="514"/>
      <c r="DJ331" s="514"/>
      <c r="DK331" s="514"/>
      <c r="DL331" s="514"/>
      <c r="DM331" s="514"/>
      <c r="DN331" s="514"/>
      <c r="DO331" s="226"/>
      <c r="DY331" s="492"/>
      <c r="DZ331" s="492"/>
    </row>
    <row r="332" spans="1:130" ht="6" customHeight="1">
      <c r="A332" s="552"/>
      <c r="B332" s="228"/>
      <c r="C332" s="228"/>
      <c r="D332" s="509"/>
      <c r="E332" s="510"/>
      <c r="F332" s="510"/>
      <c r="G332" s="510"/>
      <c r="H332" s="512"/>
      <c r="I332" s="510"/>
      <c r="J332" s="510"/>
      <c r="K332" s="510"/>
      <c r="L332" s="510"/>
      <c r="M332" s="512"/>
      <c r="N332" s="510"/>
      <c r="O332" s="510"/>
      <c r="P332" s="510"/>
      <c r="Q332" s="510"/>
      <c r="R332" s="512"/>
      <c r="S332" s="510"/>
      <c r="T332" s="510"/>
      <c r="U332" s="510"/>
      <c r="V332" s="510"/>
      <c r="W332" s="512"/>
      <c r="X332" s="510"/>
      <c r="Y332" s="510"/>
      <c r="Z332" s="510"/>
      <c r="AA332" s="510"/>
      <c r="AB332" s="512"/>
      <c r="AC332" s="510"/>
      <c r="AD332" s="510"/>
      <c r="AE332" s="510"/>
      <c r="AF332" s="510"/>
      <c r="AG332" s="512"/>
      <c r="AH332" s="510"/>
      <c r="AI332" s="510"/>
      <c r="AJ332" s="510"/>
      <c r="AK332" s="510"/>
      <c r="AL332" s="512"/>
      <c r="AM332" s="510"/>
      <c r="AN332" s="510"/>
      <c r="AO332" s="510"/>
      <c r="AP332" s="510"/>
      <c r="AQ332" s="512"/>
      <c r="AR332" s="510"/>
      <c r="AS332" s="510"/>
      <c r="AT332" s="510"/>
      <c r="AU332" s="510"/>
      <c r="AV332" s="512"/>
      <c r="AW332" s="510"/>
      <c r="AX332" s="510"/>
      <c r="AY332" s="510"/>
      <c r="AZ332" s="510"/>
      <c r="BA332" s="512"/>
      <c r="BB332" s="510"/>
      <c r="BC332" s="510"/>
      <c r="BD332" s="510"/>
      <c r="BE332" s="510"/>
      <c r="BF332" s="512"/>
      <c r="BG332" s="509"/>
      <c r="BH332" s="510"/>
      <c r="BI332" s="510"/>
      <c r="BJ332" s="2811"/>
      <c r="BK332" s="512"/>
      <c r="BL332" s="510"/>
      <c r="BM332" s="510"/>
      <c r="BN332" s="510"/>
      <c r="BO332" s="2811"/>
      <c r="BP332" s="512"/>
      <c r="BQ332" s="510"/>
      <c r="BR332" s="510"/>
      <c r="BS332" s="510"/>
      <c r="BT332" s="2811"/>
      <c r="BU332" s="3367"/>
      <c r="BV332" s="510"/>
      <c r="BW332" s="510"/>
      <c r="BX332" s="510"/>
      <c r="BY332" s="2811"/>
      <c r="BZ332" s="4002"/>
      <c r="CA332" s="525"/>
      <c r="CB332" s="525"/>
      <c r="CC332" s="525"/>
      <c r="CD332" s="525"/>
      <c r="CE332" s="525"/>
      <c r="CF332" s="525"/>
      <c r="CG332" s="525"/>
      <c r="CH332" s="510"/>
      <c r="CI332" s="510"/>
      <c r="CJ332" s="510"/>
      <c r="CK332" s="510"/>
      <c r="CL332" s="510"/>
      <c r="CM332" s="510"/>
      <c r="CN332" s="510"/>
      <c r="CO332" s="510"/>
      <c r="CP332" s="994"/>
      <c r="CQ332" s="231"/>
      <c r="CR332" s="231"/>
      <c r="CS332" s="231"/>
      <c r="CT332" s="231"/>
      <c r="CU332" s="231"/>
      <c r="CV332" s="231"/>
      <c r="CW332" s="231"/>
      <c r="CX332" s="231"/>
      <c r="CY332" s="231"/>
      <c r="CZ332" s="231"/>
      <c r="DA332" s="231"/>
      <c r="DB332" s="231"/>
      <c r="DC332" s="231"/>
      <c r="DD332" s="231"/>
      <c r="DE332" s="231"/>
      <c r="DF332" s="231"/>
      <c r="DG332" s="1841"/>
      <c r="DH332" s="514"/>
      <c r="DI332" s="514"/>
      <c r="DJ332" s="514"/>
      <c r="DK332" s="514"/>
      <c r="DL332" s="514"/>
      <c r="DM332" s="514"/>
      <c r="DN332" s="514"/>
      <c r="DO332" s="226"/>
      <c r="DY332" s="510"/>
      <c r="DZ332" s="510"/>
    </row>
    <row r="333" spans="1:130" ht="12" customHeight="1">
      <c r="A333" s="552" t="s">
        <v>639</v>
      </c>
      <c r="B333" s="228"/>
      <c r="C333" s="228"/>
      <c r="D333" s="509">
        <v>1634</v>
      </c>
      <c r="E333" s="231">
        <f>D333</f>
        <v>1634</v>
      </c>
      <c r="F333" s="231">
        <f>E333</f>
        <v>1634</v>
      </c>
      <c r="G333" s="510">
        <f>781+447+406</f>
        <v>1634</v>
      </c>
      <c r="H333" s="525">
        <f>G333</f>
        <v>1634</v>
      </c>
      <c r="I333" s="231">
        <f>H333</f>
        <v>1634</v>
      </c>
      <c r="J333" s="231">
        <f>I333</f>
        <v>1634</v>
      </c>
      <c r="K333" s="231">
        <f>J333</f>
        <v>1634</v>
      </c>
      <c r="L333" s="510">
        <f>781+447+406</f>
        <v>1634</v>
      </c>
      <c r="M333" s="525">
        <f>H333</f>
        <v>1634</v>
      </c>
      <c r="N333" s="231">
        <f>M333</f>
        <v>1634</v>
      </c>
      <c r="O333" s="231">
        <f>N333</f>
        <v>1634</v>
      </c>
      <c r="P333" s="231">
        <f>O333</f>
        <v>1634</v>
      </c>
      <c r="Q333" s="231">
        <f>P333</f>
        <v>1634</v>
      </c>
      <c r="R333" s="525">
        <f>M333</f>
        <v>1634</v>
      </c>
      <c r="S333" s="231">
        <f>R333</f>
        <v>1634</v>
      </c>
      <c r="T333" s="231">
        <f>S333</f>
        <v>1634</v>
      </c>
      <c r="U333" s="231">
        <f>T333</f>
        <v>1634</v>
      </c>
      <c r="V333" s="510">
        <f>781+447+406</f>
        <v>1634</v>
      </c>
      <c r="W333" s="525">
        <f>R333</f>
        <v>1634</v>
      </c>
      <c r="X333" s="231">
        <f>W333</f>
        <v>1634</v>
      </c>
      <c r="Y333" s="231">
        <f>X333</f>
        <v>1634</v>
      </c>
      <c r="Z333" s="231">
        <f>Y333</f>
        <v>1634</v>
      </c>
      <c r="AA333" s="510">
        <f>781+447+406</f>
        <v>1634</v>
      </c>
      <c r="AB333" s="525">
        <f>W333</f>
        <v>1634</v>
      </c>
      <c r="AC333" s="231">
        <f>AB333</f>
        <v>1634</v>
      </c>
      <c r="AD333" s="231">
        <f>AC333</f>
        <v>1634</v>
      </c>
      <c r="AE333" s="231">
        <f>AD333</f>
        <v>1634</v>
      </c>
      <c r="AF333" s="510">
        <f>781+447+406</f>
        <v>1634</v>
      </c>
      <c r="AG333" s="525">
        <f>AB333</f>
        <v>1634</v>
      </c>
      <c r="AH333" s="231">
        <f>AG333</f>
        <v>1634</v>
      </c>
      <c r="AI333" s="231">
        <f>AH333</f>
        <v>1634</v>
      </c>
      <c r="AJ333" s="231">
        <f>AI333</f>
        <v>1634</v>
      </c>
      <c r="AK333" s="510">
        <f>781+447+406</f>
        <v>1634</v>
      </c>
      <c r="AL333" s="525">
        <f>AG333</f>
        <v>1634</v>
      </c>
      <c r="AM333" s="231">
        <f>AL333</f>
        <v>1634</v>
      </c>
      <c r="AN333" s="231">
        <f>AM333</f>
        <v>1634</v>
      </c>
      <c r="AO333" s="231">
        <f>AN333</f>
        <v>1634</v>
      </c>
      <c r="AP333" s="510">
        <f>781+447+406</f>
        <v>1634</v>
      </c>
      <c r="AQ333" s="525">
        <f>AL333</f>
        <v>1634</v>
      </c>
      <c r="AR333" s="231">
        <f>AQ333</f>
        <v>1634</v>
      </c>
      <c r="AS333" s="231">
        <f>AR333</f>
        <v>1634</v>
      </c>
      <c r="AT333" s="231">
        <f>AS333</f>
        <v>1634</v>
      </c>
      <c r="AU333" s="510">
        <f>781+447+406</f>
        <v>1634</v>
      </c>
      <c r="AV333" s="525">
        <f>AQ333</f>
        <v>1634</v>
      </c>
      <c r="AW333" s="231">
        <f>AV333</f>
        <v>1634</v>
      </c>
      <c r="AX333" s="231">
        <f>AW333</f>
        <v>1634</v>
      </c>
      <c r="AY333" s="231">
        <f>AX333</f>
        <v>1634</v>
      </c>
      <c r="AZ333" s="510">
        <f>781+447+406</f>
        <v>1634</v>
      </c>
      <c r="BA333" s="525">
        <f>AZ333</f>
        <v>1634</v>
      </c>
      <c r="BB333" s="231">
        <f>BA333</f>
        <v>1634</v>
      </c>
      <c r="BC333" s="231">
        <f>BB333</f>
        <v>1634</v>
      </c>
      <c r="BD333" s="231">
        <f>BC333</f>
        <v>1634</v>
      </c>
      <c r="BE333" s="231">
        <f>BD333</f>
        <v>1634</v>
      </c>
      <c r="BF333" s="525">
        <f>BA333</f>
        <v>1634</v>
      </c>
      <c r="BG333" s="527">
        <f>BF333</f>
        <v>1634</v>
      </c>
      <c r="BH333" s="231">
        <f>BG333</f>
        <v>1634</v>
      </c>
      <c r="BI333" s="231">
        <f>BH333</f>
        <v>1634</v>
      </c>
      <c r="BJ333" s="1841">
        <f>BI333</f>
        <v>1634</v>
      </c>
      <c r="BK333" s="525">
        <f>BF333</f>
        <v>1634</v>
      </c>
      <c r="BL333" s="231">
        <f>BK333</f>
        <v>1634</v>
      </c>
      <c r="BM333" s="231">
        <f>BL333</f>
        <v>1634</v>
      </c>
      <c r="BN333" s="231">
        <f>BM333</f>
        <v>1634</v>
      </c>
      <c r="BO333" s="1841">
        <f>BN333</f>
        <v>1634</v>
      </c>
      <c r="BP333" s="525">
        <f>BK333</f>
        <v>1634</v>
      </c>
      <c r="BQ333" s="231">
        <f>BP333</f>
        <v>1634</v>
      </c>
      <c r="BR333" s="231">
        <f>BQ333</f>
        <v>1634</v>
      </c>
      <c r="BS333" s="231">
        <f>BR333</f>
        <v>1634</v>
      </c>
      <c r="BT333" s="1841">
        <f>BS333</f>
        <v>1634</v>
      </c>
      <c r="BU333" s="3969">
        <f>BP333</f>
        <v>1634</v>
      </c>
      <c r="BV333" s="527">
        <f>BU333</f>
        <v>1634</v>
      </c>
      <c r="BW333" s="231">
        <f>BV333</f>
        <v>1634</v>
      </c>
      <c r="BX333" s="231">
        <f>BW333</f>
        <v>1634</v>
      </c>
      <c r="BY333" s="1841">
        <f>BX333</f>
        <v>1634</v>
      </c>
      <c r="BZ333" s="4002">
        <f>BU333</f>
        <v>1634</v>
      </c>
      <c r="CA333" s="525">
        <f t="shared" ref="CA333:CB334" si="618">BZ333</f>
        <v>1634</v>
      </c>
      <c r="CB333" s="525">
        <f t="shared" si="618"/>
        <v>1634</v>
      </c>
      <c r="CC333" s="525">
        <f t="shared" ref="CC333:CG334" si="619">CB333</f>
        <v>1634</v>
      </c>
      <c r="CD333" s="525">
        <f t="shared" si="619"/>
        <v>1634</v>
      </c>
      <c r="CE333" s="525">
        <f t="shared" si="619"/>
        <v>1634</v>
      </c>
      <c r="CF333" s="525">
        <f t="shared" si="619"/>
        <v>1634</v>
      </c>
      <c r="CG333" s="525">
        <f t="shared" si="619"/>
        <v>1634</v>
      </c>
      <c r="CH333" s="231"/>
      <c r="CI333" s="231"/>
      <c r="CJ333" s="231"/>
      <c r="CK333" s="231"/>
      <c r="CL333" s="231"/>
      <c r="CM333" s="231"/>
      <c r="CN333" s="231"/>
      <c r="CO333" s="231"/>
      <c r="CP333" s="994" t="str">
        <f t="shared" si="600"/>
        <v>Number of Rooms</v>
      </c>
      <c r="CQ333" s="231">
        <f t="shared" si="601"/>
        <v>1634</v>
      </c>
      <c r="CR333" s="231">
        <f t="shared" si="602"/>
        <v>1634</v>
      </c>
      <c r="CS333" s="231">
        <f t="shared" si="603"/>
        <v>1634</v>
      </c>
      <c r="CT333" s="231">
        <f t="shared" si="604"/>
        <v>1634</v>
      </c>
      <c r="CU333" s="231">
        <f t="shared" si="605"/>
        <v>1634</v>
      </c>
      <c r="CV333" s="231">
        <f t="shared" si="606"/>
        <v>1634</v>
      </c>
      <c r="CW333" s="231">
        <f t="shared" si="607"/>
        <v>1634</v>
      </c>
      <c r="CX333" s="231">
        <f t="shared" si="608"/>
        <v>1634</v>
      </c>
      <c r="CY333" s="231">
        <f t="shared" si="609"/>
        <v>1634</v>
      </c>
      <c r="CZ333" s="231">
        <f t="shared" si="610"/>
        <v>1634</v>
      </c>
      <c r="DA333" s="231">
        <f t="shared" si="611"/>
        <v>1634</v>
      </c>
      <c r="DB333" s="231">
        <f t="shared" si="612"/>
        <v>1634</v>
      </c>
      <c r="DC333" s="231">
        <f t="shared" si="613"/>
        <v>1634</v>
      </c>
      <c r="DD333" s="231">
        <f t="shared" si="614"/>
        <v>1634</v>
      </c>
      <c r="DE333" s="231">
        <f t="shared" si="615"/>
        <v>1634</v>
      </c>
      <c r="DF333" s="231">
        <f t="shared" si="616"/>
        <v>1634</v>
      </c>
      <c r="DG333" s="1841">
        <f t="shared" si="617"/>
        <v>1634</v>
      </c>
      <c r="DH333" s="514"/>
      <c r="DI333" s="514"/>
      <c r="DJ333" s="514"/>
      <c r="DK333" s="514"/>
      <c r="DL333" s="514"/>
      <c r="DM333" s="514"/>
      <c r="DN333" s="514"/>
      <c r="DO333" s="226"/>
      <c r="DY333" s="231"/>
      <c r="DZ333" s="231"/>
    </row>
    <row r="334" spans="1:130" ht="12" customHeight="1">
      <c r="A334" s="633" t="s">
        <v>431</v>
      </c>
      <c r="B334" s="228"/>
      <c r="C334" s="228"/>
      <c r="D334" s="527">
        <f>D333</f>
        <v>1634</v>
      </c>
      <c r="E334" s="231">
        <f>AVERAGE(D333:E333)</f>
        <v>1634</v>
      </c>
      <c r="F334" s="231">
        <f>AVERAGE(E333:F333)</f>
        <v>1634</v>
      </c>
      <c r="G334" s="231">
        <f>AVERAGE(F333:G333)</f>
        <v>1634</v>
      </c>
      <c r="H334" s="525">
        <f>AVERAGE(D333:H333)</f>
        <v>1634</v>
      </c>
      <c r="I334" s="231">
        <f>AVERAGE(H333:I333)</f>
        <v>1634</v>
      </c>
      <c r="J334" s="231">
        <f>AVERAGE(I333:J333)</f>
        <v>1634</v>
      </c>
      <c r="K334" s="231">
        <f>AVERAGE(J333:K333)</f>
        <v>1634</v>
      </c>
      <c r="L334" s="231">
        <f>AVERAGE(K333:L333)</f>
        <v>1634</v>
      </c>
      <c r="M334" s="525">
        <f>AVERAGE(H333:M333)</f>
        <v>1634</v>
      </c>
      <c r="N334" s="231">
        <f>AVERAGE(M333:N333)</f>
        <v>1634</v>
      </c>
      <c r="O334" s="231">
        <f>AVERAGE(N333:O333)</f>
        <v>1634</v>
      </c>
      <c r="P334" s="231">
        <f>AVERAGE(O333:P333)</f>
        <v>1634</v>
      </c>
      <c r="Q334" s="231">
        <f>AVERAGE(P333:Q333)</f>
        <v>1634</v>
      </c>
      <c r="R334" s="525">
        <f>AVERAGE(M333:R333)</f>
        <v>1634</v>
      </c>
      <c r="S334" s="231">
        <f>AVERAGE(R333:S333)</f>
        <v>1634</v>
      </c>
      <c r="T334" s="231">
        <f>AVERAGE(S333:T333)</f>
        <v>1634</v>
      </c>
      <c r="U334" s="231">
        <f>AVERAGE(T333:U333)</f>
        <v>1634</v>
      </c>
      <c r="V334" s="231">
        <f>AVERAGE(U333:V333)</f>
        <v>1634</v>
      </c>
      <c r="W334" s="525">
        <f>AVERAGE(R333:W333)</f>
        <v>1634</v>
      </c>
      <c r="X334" s="231">
        <f>AVERAGE(W333:X333)</f>
        <v>1634</v>
      </c>
      <c r="Y334" s="231">
        <f>AVERAGE(X333:Y333)</f>
        <v>1634</v>
      </c>
      <c r="Z334" s="231">
        <f>AVERAGE(Y333:Z333)</f>
        <v>1634</v>
      </c>
      <c r="AA334" s="231">
        <f>AVERAGE(Z333:AA333)</f>
        <v>1634</v>
      </c>
      <c r="AB334" s="525">
        <f>AVERAGE(W333:AB333)</f>
        <v>1634</v>
      </c>
      <c r="AC334" s="231">
        <f>AVERAGE(AB333:AC333)</f>
        <v>1634</v>
      </c>
      <c r="AD334" s="231">
        <f>AVERAGE(AC333:AD333)</f>
        <v>1634</v>
      </c>
      <c r="AE334" s="231">
        <f>AVERAGE(AD333:AE333)</f>
        <v>1634</v>
      </c>
      <c r="AF334" s="231">
        <f>AVERAGE(AE333:AF333)</f>
        <v>1634</v>
      </c>
      <c r="AG334" s="525">
        <f>AVERAGE(AB333:AG333)</f>
        <v>1634</v>
      </c>
      <c r="AH334" s="231">
        <f>AVERAGE(AG333:AH333)</f>
        <v>1634</v>
      </c>
      <c r="AI334" s="231">
        <f>AVERAGE(AH333:AI333)</f>
        <v>1634</v>
      </c>
      <c r="AJ334" s="231">
        <f>AVERAGE(AI333:AJ333)</f>
        <v>1634</v>
      </c>
      <c r="AK334" s="231">
        <f>AVERAGE(AJ333:AK333)</f>
        <v>1634</v>
      </c>
      <c r="AL334" s="525">
        <f>AVERAGE(AG333:AL333)</f>
        <v>1634</v>
      </c>
      <c r="AM334" s="231">
        <f>AVERAGE(AL333:AM333)</f>
        <v>1634</v>
      </c>
      <c r="AN334" s="231">
        <f>AVERAGE(AM333:AN333)</f>
        <v>1634</v>
      </c>
      <c r="AO334" s="231">
        <f>AVERAGE(AN333:AO333)</f>
        <v>1634</v>
      </c>
      <c r="AP334" s="231">
        <f>AVERAGE(AO333:AP333)</f>
        <v>1634</v>
      </c>
      <c r="AQ334" s="525">
        <f>AVERAGE(AL333:AQ333)</f>
        <v>1634</v>
      </c>
      <c r="AR334" s="231">
        <f>AVERAGE(AQ333:AR333)</f>
        <v>1634</v>
      </c>
      <c r="AS334" s="231">
        <f>AVERAGE(AR333:AS333)</f>
        <v>1634</v>
      </c>
      <c r="AT334" s="231">
        <f>AVERAGE(AS333:AT333)</f>
        <v>1634</v>
      </c>
      <c r="AU334" s="231">
        <f>AVERAGE(AT333:AU333)</f>
        <v>1634</v>
      </c>
      <c r="AV334" s="525">
        <f>AVERAGE(AQ333:AV333)</f>
        <v>1634</v>
      </c>
      <c r="AW334" s="231">
        <f>AVERAGE(AV333:AW333)</f>
        <v>1634</v>
      </c>
      <c r="AX334" s="231">
        <f>AVERAGE(AW333:AX333)</f>
        <v>1634</v>
      </c>
      <c r="AY334" s="231">
        <f>AVERAGE(AX333:AY333)</f>
        <v>1634</v>
      </c>
      <c r="AZ334" s="231">
        <f>AVERAGE(AY333:AZ333)</f>
        <v>1634</v>
      </c>
      <c r="BA334" s="525">
        <f>AVERAGE(AV333:BA333)</f>
        <v>1634</v>
      </c>
      <c r="BB334" s="231">
        <f>AVERAGE(BA333:BB333)</f>
        <v>1634</v>
      </c>
      <c r="BC334" s="231">
        <f>AVERAGE(BB333:BC333)</f>
        <v>1634</v>
      </c>
      <c r="BD334" s="231">
        <f>AVERAGE(BC333:BD333)</f>
        <v>1634</v>
      </c>
      <c r="BE334" s="231">
        <f>AVERAGE(BD333:BE333)</f>
        <v>1634</v>
      </c>
      <c r="BF334" s="525">
        <f>AVERAGE(BA333:BF333)</f>
        <v>1634</v>
      </c>
      <c r="BG334" s="527">
        <f>AVERAGE(BF333:BG333)</f>
        <v>1634</v>
      </c>
      <c r="BH334" s="231">
        <f>AVERAGE(BG333:BH333)</f>
        <v>1634</v>
      </c>
      <c r="BI334" s="231">
        <f>AVERAGE(BH333:BI333)</f>
        <v>1634</v>
      </c>
      <c r="BJ334" s="1841">
        <f>AVERAGE(BI333:BJ333)</f>
        <v>1634</v>
      </c>
      <c r="BK334" s="525">
        <f>AVERAGE(BF333:BK333)</f>
        <v>1634</v>
      </c>
      <c r="BL334" s="231">
        <f>AVERAGE(BK333:BL333)</f>
        <v>1634</v>
      </c>
      <c r="BM334" s="231">
        <f>AVERAGE(BL333:BM333)</f>
        <v>1634</v>
      </c>
      <c r="BN334" s="231">
        <f>AVERAGE(BM333:BN333)</f>
        <v>1634</v>
      </c>
      <c r="BO334" s="1841">
        <f>AVERAGE(BN333:BO333)</f>
        <v>1634</v>
      </c>
      <c r="BP334" s="525">
        <f>AVERAGE(BK333:BP333)</f>
        <v>1634</v>
      </c>
      <c r="BQ334" s="231">
        <f>AVERAGE(BP333:BQ333)</f>
        <v>1634</v>
      </c>
      <c r="BR334" s="231">
        <f>AVERAGE(BQ333:BR333)</f>
        <v>1634</v>
      </c>
      <c r="BS334" s="231">
        <f>AVERAGE(BR333:BS333)</f>
        <v>1634</v>
      </c>
      <c r="BT334" s="1841">
        <f>AVERAGE(BS333:BT333)</f>
        <v>1634</v>
      </c>
      <c r="BU334" s="3969">
        <f>AVERAGE(BP333:BU333)</f>
        <v>1634</v>
      </c>
      <c r="BV334" s="527">
        <f>AVERAGE(BU333:BV333)</f>
        <v>1634</v>
      </c>
      <c r="BW334" s="231">
        <f t="shared" ref="BW334:BY334" si="620">AVERAGE(BV333:BW333)</f>
        <v>1634</v>
      </c>
      <c r="BX334" s="231">
        <f t="shared" si="620"/>
        <v>1634</v>
      </c>
      <c r="BY334" s="231">
        <f t="shared" si="620"/>
        <v>1634</v>
      </c>
      <c r="BZ334" s="4002">
        <f>AVERAGE(BU333:BZ333)</f>
        <v>1634</v>
      </c>
      <c r="CA334" s="525">
        <f t="shared" si="618"/>
        <v>1634</v>
      </c>
      <c r="CB334" s="525">
        <f t="shared" si="618"/>
        <v>1634</v>
      </c>
      <c r="CC334" s="525">
        <f t="shared" si="619"/>
        <v>1634</v>
      </c>
      <c r="CD334" s="525">
        <f t="shared" si="619"/>
        <v>1634</v>
      </c>
      <c r="CE334" s="525">
        <f t="shared" si="619"/>
        <v>1634</v>
      </c>
      <c r="CF334" s="525">
        <f t="shared" si="619"/>
        <v>1634</v>
      </c>
      <c r="CG334" s="525">
        <f t="shared" si="619"/>
        <v>1634</v>
      </c>
      <c r="CH334" s="231"/>
      <c r="CI334" s="231"/>
      <c r="CJ334" s="231"/>
      <c r="CK334" s="231"/>
      <c r="CL334" s="231"/>
      <c r="CM334" s="231"/>
      <c r="CN334" s="231"/>
      <c r="CO334" s="231"/>
      <c r="CP334" s="90" t="str">
        <f t="shared" si="600"/>
        <v>Average Rooms</v>
      </c>
      <c r="CQ334" s="231">
        <f t="shared" si="601"/>
        <v>1634</v>
      </c>
      <c r="CR334" s="231">
        <f t="shared" si="602"/>
        <v>1634</v>
      </c>
      <c r="CS334" s="231">
        <f t="shared" si="603"/>
        <v>1634</v>
      </c>
      <c r="CT334" s="231">
        <f t="shared" si="604"/>
        <v>1634</v>
      </c>
      <c r="CU334" s="231">
        <f t="shared" si="605"/>
        <v>1634</v>
      </c>
      <c r="CV334" s="231">
        <f t="shared" si="606"/>
        <v>1634</v>
      </c>
      <c r="CW334" s="231">
        <f t="shared" si="607"/>
        <v>1634</v>
      </c>
      <c r="CX334" s="231">
        <f t="shared" si="608"/>
        <v>1634</v>
      </c>
      <c r="CY334" s="231">
        <f t="shared" si="609"/>
        <v>1634</v>
      </c>
      <c r="CZ334" s="231">
        <f t="shared" si="610"/>
        <v>1634</v>
      </c>
      <c r="DA334" s="231">
        <f t="shared" si="611"/>
        <v>1634</v>
      </c>
      <c r="DB334" s="231">
        <f t="shared" si="612"/>
        <v>1634</v>
      </c>
      <c r="DC334" s="231">
        <f t="shared" si="613"/>
        <v>1634</v>
      </c>
      <c r="DD334" s="231">
        <f t="shared" si="614"/>
        <v>1634</v>
      </c>
      <c r="DE334" s="231">
        <f t="shared" si="615"/>
        <v>1634</v>
      </c>
      <c r="DF334" s="231">
        <f t="shared" si="616"/>
        <v>1634</v>
      </c>
      <c r="DG334" s="1841">
        <f t="shared" si="617"/>
        <v>1634</v>
      </c>
      <c r="DH334" s="514"/>
      <c r="DI334" s="514"/>
      <c r="DJ334" s="514"/>
      <c r="DK334" s="514"/>
      <c r="DL334" s="514"/>
      <c r="DM334" s="514"/>
      <c r="DN334" s="514"/>
      <c r="DO334" s="226"/>
      <c r="DY334" s="231"/>
      <c r="DZ334" s="231"/>
    </row>
    <row r="335" spans="1:130" ht="6" customHeight="1">
      <c r="A335" s="552"/>
      <c r="B335" s="228"/>
      <c r="C335" s="228"/>
      <c r="D335" s="596"/>
      <c r="E335" s="570"/>
      <c r="F335" s="570"/>
      <c r="G335" s="570"/>
      <c r="H335" s="569"/>
      <c r="I335" s="570"/>
      <c r="J335" s="570"/>
      <c r="K335" s="570"/>
      <c r="L335" s="570"/>
      <c r="M335" s="569"/>
      <c r="N335" s="570"/>
      <c r="O335" s="570"/>
      <c r="P335" s="570"/>
      <c r="Q335" s="570"/>
      <c r="R335" s="569"/>
      <c r="S335" s="570"/>
      <c r="T335" s="570"/>
      <c r="U335" s="570"/>
      <c r="V335" s="570"/>
      <c r="W335" s="569"/>
      <c r="X335" s="570"/>
      <c r="Y335" s="570"/>
      <c r="Z335" s="570"/>
      <c r="AA335" s="570"/>
      <c r="AB335" s="569"/>
      <c r="AC335" s="570"/>
      <c r="AD335" s="570"/>
      <c r="AE335" s="570"/>
      <c r="AF335" s="570"/>
      <c r="AG335" s="569"/>
      <c r="AH335" s="570"/>
      <c r="AI335" s="570"/>
      <c r="AJ335" s="570"/>
      <c r="AK335" s="570"/>
      <c r="AL335" s="569"/>
      <c r="AM335" s="570"/>
      <c r="AN335" s="570"/>
      <c r="AO335" s="570"/>
      <c r="AP335" s="570"/>
      <c r="AQ335" s="569"/>
      <c r="AR335" s="570"/>
      <c r="AS335" s="570"/>
      <c r="AT335" s="570"/>
      <c r="AU335" s="570"/>
      <c r="AV335" s="569"/>
      <c r="AW335" s="570"/>
      <c r="AX335" s="570"/>
      <c r="AY335" s="570"/>
      <c r="AZ335" s="570"/>
      <c r="BA335" s="569"/>
      <c r="BB335" s="570"/>
      <c r="BC335" s="570"/>
      <c r="BD335" s="570"/>
      <c r="BE335" s="570"/>
      <c r="BF335" s="569"/>
      <c r="BG335" s="596"/>
      <c r="BH335" s="570"/>
      <c r="BI335" s="570"/>
      <c r="BJ335" s="2807"/>
      <c r="BK335" s="569"/>
      <c r="BL335" s="570"/>
      <c r="BM335" s="570"/>
      <c r="BN335" s="570"/>
      <c r="BO335" s="2807"/>
      <c r="BP335" s="569"/>
      <c r="BQ335" s="570"/>
      <c r="BR335" s="570"/>
      <c r="BS335" s="570"/>
      <c r="BT335" s="2807"/>
      <c r="BU335" s="3391"/>
      <c r="BV335" s="596"/>
      <c r="BW335" s="570"/>
      <c r="BX335" s="570"/>
      <c r="BY335" s="2807"/>
      <c r="BZ335" s="3865"/>
      <c r="CA335" s="569"/>
      <c r="CB335" s="569"/>
      <c r="CC335" s="569"/>
      <c r="CD335" s="569"/>
      <c r="CE335" s="569"/>
      <c r="CF335" s="569"/>
      <c r="CG335" s="569"/>
      <c r="CH335" s="570"/>
      <c r="CI335" s="570"/>
      <c r="CJ335" s="570"/>
      <c r="CK335" s="570"/>
      <c r="CL335" s="570"/>
      <c r="CM335" s="570"/>
      <c r="CN335" s="570"/>
      <c r="CO335" s="570"/>
      <c r="CP335" s="994"/>
      <c r="CQ335" s="592"/>
      <c r="CR335" s="592"/>
      <c r="CS335" s="592"/>
      <c r="CT335" s="592"/>
      <c r="CU335" s="592"/>
      <c r="CV335" s="592"/>
      <c r="CW335" s="592"/>
      <c r="CX335" s="592"/>
      <c r="CY335" s="592"/>
      <c r="CZ335" s="592"/>
      <c r="DA335" s="592"/>
      <c r="DB335" s="592"/>
      <c r="DC335" s="592"/>
      <c r="DD335" s="592"/>
      <c r="DE335" s="592"/>
      <c r="DF335" s="592"/>
      <c r="DG335" s="1850"/>
      <c r="DH335" s="595"/>
      <c r="DI335" s="595"/>
      <c r="DJ335" s="595"/>
      <c r="DK335" s="595"/>
      <c r="DL335" s="595"/>
      <c r="DM335" s="595"/>
      <c r="DN335" s="514"/>
      <c r="DO335" s="226"/>
      <c r="DY335" s="570"/>
      <c r="DZ335" s="570"/>
    </row>
    <row r="336" spans="1:130" ht="12" customHeight="1">
      <c r="A336" s="529" t="s">
        <v>1102</v>
      </c>
      <c r="B336" s="646"/>
      <c r="C336" s="646"/>
      <c r="D336" s="603">
        <f t="shared" ref="D336:AI336" si="621">D339/D331/D$5*1000000</f>
        <v>182.54614466313632</v>
      </c>
      <c r="E336" s="604">
        <f t="shared" si="621"/>
        <v>180.49833175181365</v>
      </c>
      <c r="F336" s="604">
        <f t="shared" si="621"/>
        <v>173.09252755237978</v>
      </c>
      <c r="G336" s="604">
        <f t="shared" si="621"/>
        <v>193.32243896215928</v>
      </c>
      <c r="H336" s="606">
        <f t="shared" si="621"/>
        <v>182.50611452426773</v>
      </c>
      <c r="I336" s="604">
        <f t="shared" si="621"/>
        <v>196.44581503286295</v>
      </c>
      <c r="J336" s="604">
        <f t="shared" si="621"/>
        <v>206.90887469693192</v>
      </c>
      <c r="K336" s="604">
        <f t="shared" si="621"/>
        <v>188.5551126875587</v>
      </c>
      <c r="L336" s="604">
        <f t="shared" si="621"/>
        <v>211.18578738404676</v>
      </c>
      <c r="M336" s="606">
        <f t="shared" si="621"/>
        <v>200.8138693948035</v>
      </c>
      <c r="N336" s="604">
        <f t="shared" si="621"/>
        <v>201.29140932060639</v>
      </c>
      <c r="O336" s="604">
        <f t="shared" si="621"/>
        <v>200.7360971426103</v>
      </c>
      <c r="P336" s="604">
        <f t="shared" si="621"/>
        <v>177.28804042672655</v>
      </c>
      <c r="Q336" s="604">
        <f t="shared" si="621"/>
        <v>210.72955875086171</v>
      </c>
      <c r="R336" s="606">
        <f t="shared" si="621"/>
        <v>197.462518852318</v>
      </c>
      <c r="S336" s="604">
        <f t="shared" si="621"/>
        <v>198.94966495246999</v>
      </c>
      <c r="T336" s="604">
        <f t="shared" si="621"/>
        <v>200.31132962409259</v>
      </c>
      <c r="U336" s="604">
        <f t="shared" si="621"/>
        <v>180.89212756875418</v>
      </c>
      <c r="V336" s="604">
        <f t="shared" si="621"/>
        <v>202.65922640686347</v>
      </c>
      <c r="W336" s="606">
        <f t="shared" si="621"/>
        <v>195.37199642261413</v>
      </c>
      <c r="X336" s="604">
        <f t="shared" si="621"/>
        <v>185.41939921059279</v>
      </c>
      <c r="Y336" s="604">
        <f t="shared" si="621"/>
        <v>191.63057933481636</v>
      </c>
      <c r="Z336" s="604">
        <f t="shared" si="621"/>
        <v>167.296786389414</v>
      </c>
      <c r="AA336" s="604">
        <f t="shared" si="621"/>
        <v>184.87694142850188</v>
      </c>
      <c r="AB336" s="606">
        <f t="shared" si="621"/>
        <v>182.75694965876471</v>
      </c>
      <c r="AC336" s="604">
        <f t="shared" si="621"/>
        <v>184.49853759788661</v>
      </c>
      <c r="AD336" s="604">
        <f t="shared" si="621"/>
        <v>179.08697586025636</v>
      </c>
      <c r="AE336" s="604">
        <f t="shared" si="621"/>
        <v>168.772074477904</v>
      </c>
      <c r="AF336" s="604">
        <f t="shared" si="621"/>
        <v>181.28642186592378</v>
      </c>
      <c r="AG336" s="606">
        <f t="shared" si="621"/>
        <v>179.02694509903111</v>
      </c>
      <c r="AH336" s="604">
        <f t="shared" si="621"/>
        <v>175.05186049526776</v>
      </c>
      <c r="AI336" s="604">
        <f t="shared" si="621"/>
        <v>176.8980727557157</v>
      </c>
      <c r="AJ336" s="604">
        <f t="shared" ref="AJ336:BF336" si="622">AJ339/AJ331/AJ$5*1000000</f>
        <v>164.55912942012074</v>
      </c>
      <c r="AK336" s="604">
        <f t="shared" si="622"/>
        <v>181.63523532179508</v>
      </c>
      <c r="AL336" s="606">
        <f t="shared" si="622"/>
        <v>174.63582690949542</v>
      </c>
      <c r="AM336" s="604">
        <f t="shared" si="622"/>
        <v>181.38155751058977</v>
      </c>
      <c r="AN336" s="604">
        <f t="shared" si="622"/>
        <v>182.34990815635979</v>
      </c>
      <c r="AO336" s="604">
        <f t="shared" si="622"/>
        <v>169.98278719877595</v>
      </c>
      <c r="AP336" s="604">
        <f t="shared" si="622"/>
        <v>187.34672763500743</v>
      </c>
      <c r="AQ336" s="606">
        <f t="shared" si="622"/>
        <v>180.32897620129387</v>
      </c>
      <c r="AR336" s="604">
        <f t="shared" si="622"/>
        <v>184.36184180739804</v>
      </c>
      <c r="AS336" s="604">
        <f t="shared" si="622"/>
        <v>180.90473387707053</v>
      </c>
      <c r="AT336" s="604">
        <f t="shared" si="622"/>
        <v>171.28681833303474</v>
      </c>
      <c r="AU336" s="604">
        <f t="shared" si="622"/>
        <v>184.81945467943996</v>
      </c>
      <c r="AV336" s="606">
        <f t="shared" si="622"/>
        <v>180.40150113285071</v>
      </c>
      <c r="AW336" s="604">
        <f t="shared" si="622"/>
        <v>177.42020142374434</v>
      </c>
      <c r="AX336" s="604">
        <f t="shared" si="622"/>
        <v>182.1054646563947</v>
      </c>
      <c r="AY336" s="604">
        <f t="shared" si="622"/>
        <v>169.04147571918205</v>
      </c>
      <c r="AZ336" s="604">
        <f t="shared" si="622"/>
        <v>192.63535441994642</v>
      </c>
      <c r="BA336" s="606">
        <f t="shared" si="622"/>
        <v>180.44679045329241</v>
      </c>
      <c r="BB336" s="604">
        <f t="shared" si="622"/>
        <v>184.02839689615323</v>
      </c>
      <c r="BC336" s="604">
        <f t="shared" si="622"/>
        <v>181.41501885929821</v>
      </c>
      <c r="BD336" s="604">
        <f t="shared" si="622"/>
        <v>172.4239291943924</v>
      </c>
      <c r="BE336" s="604">
        <f t="shared" si="622"/>
        <v>192.55442858065766</v>
      </c>
      <c r="BF336" s="606">
        <f t="shared" si="622"/>
        <v>182.60090781412197</v>
      </c>
      <c r="BG336" s="603">
        <f t="shared" ref="BG336:BP336" si="623">BG339/BG331/BG$5*1000000</f>
        <v>186.90110615816414</v>
      </c>
      <c r="BH336" s="604">
        <f t="shared" si="623"/>
        <v>190.82670672566661</v>
      </c>
      <c r="BI336" s="604">
        <f t="shared" si="623"/>
        <v>183.10291362491117</v>
      </c>
      <c r="BJ336" s="1869">
        <f t="shared" si="623"/>
        <v>201.7862911040765</v>
      </c>
      <c r="BK336" s="606">
        <f t="shared" si="623"/>
        <v>190.67434712695149</v>
      </c>
      <c r="BL336" s="604">
        <f t="shared" si="623"/>
        <v>191.38513789331023</v>
      </c>
      <c r="BM336" s="604">
        <f t="shared" si="623"/>
        <v>193.36740525447806</v>
      </c>
      <c r="BN336" s="604">
        <f t="shared" si="623"/>
        <v>182.84772918147166</v>
      </c>
      <c r="BO336" s="1869">
        <f t="shared" si="623"/>
        <v>200.14858841010403</v>
      </c>
      <c r="BP336" s="606">
        <f t="shared" si="623"/>
        <v>191.93481596960027</v>
      </c>
      <c r="BQ336" s="604">
        <f t="shared" ref="BQ336:BZ336" si="624">BQ339/BQ331/BQ$5*1000000</f>
        <v>200.57454185240218</v>
      </c>
      <c r="BR336" s="604">
        <f t="shared" si="624"/>
        <v>194.50712734516597</v>
      </c>
      <c r="BS336" s="604">
        <f t="shared" si="624"/>
        <v>190.0381161573745</v>
      </c>
      <c r="BT336" s="1869">
        <f t="shared" si="624"/>
        <v>208.04315524258675</v>
      </c>
      <c r="BU336" s="3970">
        <f t="shared" si="624"/>
        <v>198.28858718882941</v>
      </c>
      <c r="BV336" s="603">
        <f t="shared" si="624"/>
        <v>205.5889053987122</v>
      </c>
      <c r="BW336" s="604">
        <f t="shared" si="624"/>
        <v>201.3148768022468</v>
      </c>
      <c r="BX336" s="604">
        <f t="shared" si="624"/>
        <v>194.78906906130888</v>
      </c>
      <c r="BY336" s="1869">
        <f t="shared" si="624"/>
        <v>213.24423412365138</v>
      </c>
      <c r="BZ336" s="4008">
        <f t="shared" si="624"/>
        <v>203.73073744631478</v>
      </c>
      <c r="CA336" s="606">
        <f t="shared" ref="CA336:CG336" si="625">CA339/CA331/CA$5*1000000</f>
        <v>207.80535219524108</v>
      </c>
      <c r="CB336" s="606">
        <f t="shared" si="625"/>
        <v>207.23757800891525</v>
      </c>
      <c r="CC336" s="606">
        <f t="shared" si="625"/>
        <v>197.41508458547901</v>
      </c>
      <c r="CD336" s="606">
        <f t="shared" si="625"/>
        <v>187.54433035620505</v>
      </c>
      <c r="CE336" s="606">
        <f t="shared" si="625"/>
        <v>191.29521696332915</v>
      </c>
      <c r="CF336" s="606">
        <f t="shared" si="625"/>
        <v>194.58800348482907</v>
      </c>
      <c r="CG336" s="606">
        <f t="shared" si="625"/>
        <v>199.0235437286477</v>
      </c>
      <c r="CH336" s="604"/>
      <c r="CI336" s="604"/>
      <c r="CJ336" s="604"/>
      <c r="CK336" s="604"/>
      <c r="CL336" s="604"/>
      <c r="CM336" s="604"/>
      <c r="CN336" s="604"/>
      <c r="CO336" s="604"/>
      <c r="CP336" s="1843" t="str">
        <f t="shared" si="600"/>
        <v>Net Revenues/Day/Position</v>
      </c>
      <c r="CQ336" s="604">
        <f t="shared" si="601"/>
        <v>182.50611452426773</v>
      </c>
      <c r="CR336" s="604">
        <f t="shared" si="602"/>
        <v>200.8138693948035</v>
      </c>
      <c r="CS336" s="604">
        <f t="shared" si="603"/>
        <v>197.462518852318</v>
      </c>
      <c r="CT336" s="604">
        <f t="shared" si="604"/>
        <v>195.37199642261413</v>
      </c>
      <c r="CU336" s="604">
        <f t="shared" si="605"/>
        <v>182.75694965876471</v>
      </c>
      <c r="CV336" s="604">
        <f t="shared" si="606"/>
        <v>179.02694509903111</v>
      </c>
      <c r="CW336" s="604">
        <f t="shared" si="607"/>
        <v>174.63582690949542</v>
      </c>
      <c r="CX336" s="604">
        <f t="shared" si="608"/>
        <v>180.32897620129387</v>
      </c>
      <c r="CY336" s="604">
        <f t="shared" si="609"/>
        <v>180.40150113285071</v>
      </c>
      <c r="CZ336" s="604">
        <f t="shared" si="610"/>
        <v>180.44679045329241</v>
      </c>
      <c r="DA336" s="604">
        <f t="shared" si="611"/>
        <v>182.60090781412197</v>
      </c>
      <c r="DB336" s="604">
        <f t="shared" si="612"/>
        <v>190.67434712695149</v>
      </c>
      <c r="DC336" s="604">
        <f t="shared" si="613"/>
        <v>191.93481596960027</v>
      </c>
      <c r="DD336" s="604">
        <f t="shared" si="614"/>
        <v>198.28858718882941</v>
      </c>
      <c r="DE336" s="604">
        <f t="shared" si="615"/>
        <v>203.73073744631478</v>
      </c>
      <c r="DF336" s="604">
        <f t="shared" si="616"/>
        <v>207.80535219524108</v>
      </c>
      <c r="DG336" s="1869">
        <f t="shared" si="617"/>
        <v>207.23757800891525</v>
      </c>
      <c r="DH336" s="536"/>
      <c r="DI336" s="514"/>
      <c r="DJ336" s="514"/>
      <c r="DK336" s="514"/>
      <c r="DL336" s="514"/>
      <c r="DM336" s="514"/>
      <c r="DN336" s="514"/>
      <c r="DO336" s="226"/>
      <c r="DY336" s="604"/>
      <c r="DZ336" s="604"/>
    </row>
    <row r="337" spans="1:130" ht="12" customHeight="1">
      <c r="A337" s="257" t="s">
        <v>1249</v>
      </c>
      <c r="B337" s="545"/>
      <c r="C337" s="545"/>
      <c r="D337" s="560"/>
      <c r="E337" s="561"/>
      <c r="F337" s="561"/>
      <c r="G337" s="561"/>
      <c r="H337" s="503"/>
      <c r="I337" s="561">
        <f t="shared" ref="I337:S337" si="626">I336/D336-1</f>
        <v>7.6143324721409833E-2</v>
      </c>
      <c r="J337" s="561">
        <f t="shared" si="626"/>
        <v>0.14632014982516806</v>
      </c>
      <c r="K337" s="561">
        <f t="shared" si="626"/>
        <v>8.9331326740836658E-2</v>
      </c>
      <c r="L337" s="561">
        <f t="shared" si="626"/>
        <v>9.2401836629963263E-2</v>
      </c>
      <c r="M337" s="503">
        <f t="shared" si="626"/>
        <v>0.10031310412945871</v>
      </c>
      <c r="N337" s="561">
        <f t="shared" si="626"/>
        <v>2.4666314662558975E-2</v>
      </c>
      <c r="O337" s="561">
        <f t="shared" si="626"/>
        <v>-2.9833314609453709E-2</v>
      </c>
      <c r="P337" s="561">
        <f t="shared" si="626"/>
        <v>-5.9754795827265728E-2</v>
      </c>
      <c r="Q337" s="561">
        <f t="shared" si="626"/>
        <v>-2.16031883033585E-3</v>
      </c>
      <c r="R337" s="503">
        <f t="shared" si="626"/>
        <v>-1.6688840031744534E-2</v>
      </c>
      <c r="S337" s="561">
        <f t="shared" si="626"/>
        <v>-1.1633603123154646E-2</v>
      </c>
      <c r="T337" s="561">
        <f t="shared" ref="T337:AC337" si="627">T336/O336-1</f>
        <v>-2.1160495026260051E-3</v>
      </c>
      <c r="U337" s="561">
        <f t="shared" si="627"/>
        <v>2.032899192383586E-2</v>
      </c>
      <c r="V337" s="561">
        <f t="shared" si="627"/>
        <v>-3.8297106451684493E-2</v>
      </c>
      <c r="W337" s="503">
        <f t="shared" si="627"/>
        <v>-1.0586932861255338E-2</v>
      </c>
      <c r="X337" s="561">
        <f t="shared" si="627"/>
        <v>-6.8008487197551482E-2</v>
      </c>
      <c r="Y337" s="561">
        <f t="shared" si="627"/>
        <v>-4.3336292088753336E-2</v>
      </c>
      <c r="Z337" s="561">
        <f t="shared" si="627"/>
        <v>-7.5157174400377391E-2</v>
      </c>
      <c r="AA337" s="561">
        <f t="shared" si="627"/>
        <v>-8.7744758990945027E-2</v>
      </c>
      <c r="AB337" s="503">
        <f>AB336/W336-1</f>
        <v>-6.4569370200637577E-2</v>
      </c>
      <c r="AC337" s="561">
        <f t="shared" si="627"/>
        <v>-4.9663714618140009E-3</v>
      </c>
      <c r="AD337" s="561">
        <f t="shared" ref="AD337:AQ337" si="628">AD336/Y336-1</f>
        <v>-6.5457212090581085E-2</v>
      </c>
      <c r="AE337" s="561">
        <f t="shared" si="628"/>
        <v>8.8183886871322503E-3</v>
      </c>
      <c r="AF337" s="561">
        <f t="shared" si="628"/>
        <v>-1.9421132429144339E-2</v>
      </c>
      <c r="AG337" s="503">
        <f t="shared" si="628"/>
        <v>-2.0409645524824604E-2</v>
      </c>
      <c r="AH337" s="561">
        <f>AH336/AC336-1</f>
        <v>-5.1201907752829068E-2</v>
      </c>
      <c r="AI337" s="561">
        <f t="shared" si="628"/>
        <v>-1.2222570033505353E-2</v>
      </c>
      <c r="AJ337" s="561">
        <f t="shared" si="628"/>
        <v>-2.4962334976423084E-2</v>
      </c>
      <c r="AK337" s="561">
        <f t="shared" si="628"/>
        <v>1.9241013876332147E-3</v>
      </c>
      <c r="AL337" s="503">
        <f t="shared" si="628"/>
        <v>-2.4527694348505436E-2</v>
      </c>
      <c r="AM337" s="561">
        <f t="shared" si="628"/>
        <v>3.6158981672137713E-2</v>
      </c>
      <c r="AN337" s="561">
        <f t="shared" si="628"/>
        <v>3.0819077425296326E-2</v>
      </c>
      <c r="AO337" s="561">
        <f t="shared" si="628"/>
        <v>3.2958717014165639E-2</v>
      </c>
      <c r="AP337" s="561">
        <f t="shared" si="628"/>
        <v>3.1444847708615331E-2</v>
      </c>
      <c r="AQ337" s="503">
        <f t="shared" si="628"/>
        <v>3.2600122165933998E-2</v>
      </c>
      <c r="AR337" s="561">
        <f t="shared" ref="AR337:BF337" si="629">AR336/AM336-1</f>
        <v>1.6431021641405197E-2</v>
      </c>
      <c r="AS337" s="561">
        <f t="shared" si="629"/>
        <v>-7.9252810922727512E-3</v>
      </c>
      <c r="AT337" s="561">
        <f t="shared" si="629"/>
        <v>7.6715481358349269E-3</v>
      </c>
      <c r="AU337" s="561">
        <f t="shared" si="629"/>
        <v>-1.3489816382014186E-2</v>
      </c>
      <c r="AV337" s="503">
        <f t="shared" si="629"/>
        <v>4.0218124166524483E-4</v>
      </c>
      <c r="AW337" s="561">
        <f t="shared" si="629"/>
        <v>-3.7652262071158904E-2</v>
      </c>
      <c r="AX337" s="561">
        <f t="shared" si="629"/>
        <v>6.6373651677911205E-3</v>
      </c>
      <c r="AY337" s="561">
        <f t="shared" si="629"/>
        <v>-1.3108671383498138E-2</v>
      </c>
      <c r="AZ337" s="561">
        <f t="shared" si="629"/>
        <v>4.2289377782564808E-2</v>
      </c>
      <c r="BA337" s="503">
        <f t="shared" si="629"/>
        <v>2.5104735912551135E-4</v>
      </c>
      <c r="BB337" s="561">
        <f t="shared" si="629"/>
        <v>3.7246014937307503E-2</v>
      </c>
      <c r="BC337" s="561">
        <f t="shared" si="629"/>
        <v>-3.7914611645468721E-3</v>
      </c>
      <c r="BD337" s="561">
        <f t="shared" si="629"/>
        <v>2.0009606877955832E-2</v>
      </c>
      <c r="BE337" s="561">
        <f t="shared" si="629"/>
        <v>-4.200985822796488E-4</v>
      </c>
      <c r="BF337" s="503">
        <f t="shared" si="629"/>
        <v>1.1937687311690537E-2</v>
      </c>
      <c r="BG337" s="560">
        <f t="shared" ref="BG337:BP337" si="630">BG336/BB336-1</f>
        <v>1.5610141208978634E-2</v>
      </c>
      <c r="BH337" s="561">
        <f t="shared" si="630"/>
        <v>5.1879320276497776E-2</v>
      </c>
      <c r="BI337" s="561">
        <f t="shared" si="630"/>
        <v>6.1934468611251514E-2</v>
      </c>
      <c r="BJ337" s="1846">
        <f t="shared" si="630"/>
        <v>4.7944171377765965E-2</v>
      </c>
      <c r="BK337" s="503">
        <f t="shared" si="630"/>
        <v>4.4213577081707811E-2</v>
      </c>
      <c r="BL337" s="561">
        <f t="shared" si="630"/>
        <v>2.399146707752231E-2</v>
      </c>
      <c r="BM337" s="561">
        <f t="shared" si="630"/>
        <v>1.3314166409966743E-2</v>
      </c>
      <c r="BN337" s="561">
        <f t="shared" si="630"/>
        <v>-1.3936667548734016E-3</v>
      </c>
      <c r="BO337" s="1846">
        <f t="shared" si="630"/>
        <v>-8.1160255486720789E-3</v>
      </c>
      <c r="BP337" s="503">
        <f t="shared" si="630"/>
        <v>6.6105842848884766E-3</v>
      </c>
      <c r="BQ337" s="561">
        <f t="shared" ref="BQ337:BZ337" si="631">BQ336/BL336-1</f>
        <v>4.8015243295509658E-2</v>
      </c>
      <c r="BR337" s="561">
        <f t="shared" si="631"/>
        <v>5.894075525231246E-3</v>
      </c>
      <c r="BS337" s="561">
        <f>BS336/BN336-1</f>
        <v>3.9324453238172685E-2</v>
      </c>
      <c r="BT337" s="1846">
        <f t="shared" si="631"/>
        <v>3.9443529905425878E-2</v>
      </c>
      <c r="BU337" s="3971">
        <f t="shared" si="631"/>
        <v>3.3103797177868488E-2</v>
      </c>
      <c r="BV337" s="560">
        <f t="shared" si="631"/>
        <v>2.4999999999999911E-2</v>
      </c>
      <c r="BW337" s="561">
        <f t="shared" si="631"/>
        <v>3.5000000000000142E-2</v>
      </c>
      <c r="BX337" s="561">
        <f>BX336/BS336-1</f>
        <v>2.5000000000000133E-2</v>
      </c>
      <c r="BY337" s="1846">
        <f t="shared" si="631"/>
        <v>2.4999999999999911E-2</v>
      </c>
      <c r="BZ337" s="358">
        <f t="shared" si="631"/>
        <v>2.7445605088218361E-2</v>
      </c>
      <c r="CA337" s="562">
        <f t="shared" ref="CA337:CG337" si="632">CA336/BZ336-1</f>
        <v>2.0000000000000018E-2</v>
      </c>
      <c r="CB337" s="562">
        <f t="shared" si="632"/>
        <v>-2.732240437158695E-3</v>
      </c>
      <c r="CC337" s="562">
        <f t="shared" si="632"/>
        <v>-4.7397260273972508E-2</v>
      </c>
      <c r="CD337" s="562">
        <f t="shared" si="632"/>
        <v>-5.0000000000000044E-2</v>
      </c>
      <c r="CE337" s="562">
        <f t="shared" si="632"/>
        <v>2.0000000000000018E-2</v>
      </c>
      <c r="CF337" s="562">
        <f t="shared" si="632"/>
        <v>1.7213114754098369E-2</v>
      </c>
      <c r="CG337" s="562">
        <f t="shared" si="632"/>
        <v>2.2794520547945396E-2</v>
      </c>
      <c r="CH337" s="548"/>
      <c r="CI337" s="548"/>
      <c r="CJ337" s="548"/>
      <c r="CK337" s="548"/>
      <c r="CL337" s="548"/>
      <c r="CM337" s="548"/>
      <c r="CN337" s="548"/>
      <c r="CO337" s="548"/>
      <c r="CP337" s="396" t="str">
        <f t="shared" si="600"/>
        <v>% Growth (y-o-y)</v>
      </c>
      <c r="CQ337" s="561"/>
      <c r="CR337" s="561">
        <f t="shared" si="602"/>
        <v>0.10031310412945871</v>
      </c>
      <c r="CS337" s="561">
        <f t="shared" si="603"/>
        <v>-1.6688840031744534E-2</v>
      </c>
      <c r="CT337" s="561">
        <f t="shared" si="604"/>
        <v>-1.0586932861255338E-2</v>
      </c>
      <c r="CU337" s="561">
        <f t="shared" si="605"/>
        <v>-6.4569370200637577E-2</v>
      </c>
      <c r="CV337" s="561">
        <f t="shared" si="606"/>
        <v>-2.0409645524824604E-2</v>
      </c>
      <c r="CW337" s="561">
        <f t="shared" si="607"/>
        <v>-2.4527694348505436E-2</v>
      </c>
      <c r="CX337" s="561">
        <f t="shared" si="608"/>
        <v>3.2600122165933998E-2</v>
      </c>
      <c r="CY337" s="561">
        <f t="shared" si="609"/>
        <v>4.0218124166524483E-4</v>
      </c>
      <c r="CZ337" s="561">
        <f t="shared" si="610"/>
        <v>2.5104735912551135E-4</v>
      </c>
      <c r="DA337" s="561">
        <f t="shared" si="611"/>
        <v>1.1937687311690537E-2</v>
      </c>
      <c r="DB337" s="561">
        <f t="shared" si="612"/>
        <v>4.4213577081707811E-2</v>
      </c>
      <c r="DC337" s="561">
        <f t="shared" si="613"/>
        <v>6.6105842848884766E-3</v>
      </c>
      <c r="DD337" s="561">
        <f t="shared" si="614"/>
        <v>3.3103797177868488E-2</v>
      </c>
      <c r="DE337" s="561">
        <f t="shared" si="615"/>
        <v>2.7445605088218361E-2</v>
      </c>
      <c r="DF337" s="561">
        <f t="shared" si="616"/>
        <v>2.0000000000000018E-2</v>
      </c>
      <c r="DG337" s="1846">
        <f t="shared" si="617"/>
        <v>-2.732240437158695E-3</v>
      </c>
      <c r="DH337" s="548"/>
      <c r="DI337" s="551"/>
      <c r="DJ337" s="551"/>
      <c r="DK337" s="551"/>
      <c r="DL337" s="551"/>
      <c r="DM337" s="551"/>
      <c r="DN337" s="551"/>
      <c r="DO337" s="266"/>
      <c r="DY337" s="502"/>
      <c r="DZ337" s="502"/>
    </row>
    <row r="338" spans="1:130" ht="5.0999999999999996" customHeight="1">
      <c r="A338" s="552"/>
      <c r="B338" s="649"/>
      <c r="C338" s="649"/>
      <c r="D338" s="315"/>
      <c r="E338" s="472"/>
      <c r="F338" s="472"/>
      <c r="G338" s="472"/>
      <c r="H338" s="471"/>
      <c r="I338" s="472"/>
      <c r="J338" s="472"/>
      <c r="K338" s="472"/>
      <c r="L338" s="472"/>
      <c r="M338" s="471"/>
      <c r="N338" s="472"/>
      <c r="O338" s="472"/>
      <c r="P338" s="472"/>
      <c r="Q338" s="472"/>
      <c r="R338" s="471"/>
      <c r="S338" s="472"/>
      <c r="T338" s="472"/>
      <c r="U338" s="472"/>
      <c r="V338" s="472"/>
      <c r="W338" s="471"/>
      <c r="X338" s="472"/>
      <c r="Y338" s="472"/>
      <c r="Z338" s="472"/>
      <c r="AA338" s="472"/>
      <c r="AB338" s="471"/>
      <c r="AC338" s="472"/>
      <c r="AD338" s="472"/>
      <c r="AE338" s="472"/>
      <c r="AF338" s="472"/>
      <c r="AG338" s="471"/>
      <c r="AH338" s="472"/>
      <c r="AI338" s="472"/>
      <c r="AJ338" s="472"/>
      <c r="AK338" s="472"/>
      <c r="AL338" s="471"/>
      <c r="AM338" s="472"/>
      <c r="AN338" s="472"/>
      <c r="AO338" s="472"/>
      <c r="AP338" s="472"/>
      <c r="AQ338" s="471"/>
      <c r="AR338" s="472"/>
      <c r="AS338" s="472"/>
      <c r="AT338" s="472"/>
      <c r="AU338" s="472"/>
      <c r="AV338" s="471"/>
      <c r="AW338" s="472"/>
      <c r="AX338" s="472"/>
      <c r="AY338" s="472"/>
      <c r="AZ338" s="472"/>
      <c r="BA338" s="471"/>
      <c r="BB338" s="472"/>
      <c r="BC338" s="472"/>
      <c r="BD338" s="472"/>
      <c r="BE338" s="472"/>
      <c r="BF338" s="471"/>
      <c r="BG338" s="315"/>
      <c r="BH338" s="472"/>
      <c r="BI338" s="472"/>
      <c r="BJ338" s="2800"/>
      <c r="BK338" s="471"/>
      <c r="BL338" s="472"/>
      <c r="BM338" s="472"/>
      <c r="BN338" s="472"/>
      <c r="BO338" s="2800"/>
      <c r="BP338" s="471"/>
      <c r="BQ338" s="472"/>
      <c r="BR338" s="472"/>
      <c r="BS338" s="472"/>
      <c r="BT338" s="2800"/>
      <c r="BU338" s="3392"/>
      <c r="BV338" s="315"/>
      <c r="BW338" s="472"/>
      <c r="BX338" s="472"/>
      <c r="BY338" s="2800"/>
      <c r="BZ338" s="4004"/>
      <c r="CA338" s="471"/>
      <c r="CB338" s="471"/>
      <c r="CC338" s="471"/>
      <c r="CD338" s="471"/>
      <c r="CE338" s="471"/>
      <c r="CF338" s="471"/>
      <c r="CG338" s="471"/>
      <c r="CH338" s="472"/>
      <c r="CI338" s="472"/>
      <c r="CJ338" s="472"/>
      <c r="CK338" s="472"/>
      <c r="CL338" s="472"/>
      <c r="CM338" s="472"/>
      <c r="CN338" s="472"/>
      <c r="CO338" s="472"/>
      <c r="CP338" s="994"/>
      <c r="CQ338" s="318"/>
      <c r="CR338" s="318"/>
      <c r="CS338" s="318"/>
      <c r="CT338" s="318"/>
      <c r="CU338" s="318"/>
      <c r="CV338" s="318"/>
      <c r="CW338" s="318"/>
      <c r="CX338" s="318"/>
      <c r="CY338" s="318"/>
      <c r="CZ338" s="318"/>
      <c r="DA338" s="318"/>
      <c r="DB338" s="318"/>
      <c r="DC338" s="318"/>
      <c r="DD338" s="318"/>
      <c r="DE338" s="318"/>
      <c r="DF338" s="318"/>
      <c r="DG338" s="1867"/>
      <c r="DH338" s="564"/>
      <c r="DI338" s="689"/>
      <c r="DJ338" s="689"/>
      <c r="DK338" s="689"/>
      <c r="DL338" s="689"/>
      <c r="DM338" s="689"/>
      <c r="DN338" s="514"/>
      <c r="DO338" s="226"/>
      <c r="DY338" s="472"/>
      <c r="DZ338" s="472"/>
    </row>
    <row r="339" spans="1:130" ht="12" customHeight="1">
      <c r="A339" s="228" t="s">
        <v>504</v>
      </c>
      <c r="B339" s="649"/>
      <c r="C339" s="649"/>
      <c r="D339" s="553">
        <v>59.636000000000003</v>
      </c>
      <c r="E339" s="554">
        <v>58.966999999999999</v>
      </c>
      <c r="F339" s="554">
        <v>57.168999999999997</v>
      </c>
      <c r="G339" s="554">
        <v>63.646000000000001</v>
      </c>
      <c r="H339" s="355">
        <f>SUM(D339:G339)</f>
        <v>239.41800000000001</v>
      </c>
      <c r="I339" s="554">
        <v>63.064999999999998</v>
      </c>
      <c r="J339" s="554">
        <v>67.162000000000006</v>
      </c>
      <c r="K339" s="554">
        <v>61.877000000000002</v>
      </c>
      <c r="L339" s="554">
        <v>69.254999999999995</v>
      </c>
      <c r="M339" s="355">
        <f>SUM(I339:L339)</f>
        <v>261.35900000000004</v>
      </c>
      <c r="N339" s="554">
        <v>64.53</v>
      </c>
      <c r="O339" s="554">
        <v>65.066999999999993</v>
      </c>
      <c r="P339" s="554">
        <v>58.097999999999999</v>
      </c>
      <c r="Q339" s="554">
        <v>69.085999999999999</v>
      </c>
      <c r="R339" s="355">
        <f>SUM(N339:Q339)</f>
        <v>256.78100000000001</v>
      </c>
      <c r="S339" s="554">
        <v>63.832999999999998</v>
      </c>
      <c r="T339" s="554">
        <v>64.983999999999995</v>
      </c>
      <c r="U339" s="554">
        <v>59.329000000000001</v>
      </c>
      <c r="V339" s="554">
        <v>66.897000000000006</v>
      </c>
      <c r="W339" s="355">
        <f>SUM(S339:V339)</f>
        <v>255.04300000000001</v>
      </c>
      <c r="X339" s="554">
        <v>60.929000000000002</v>
      </c>
      <c r="Y339" s="554">
        <v>62.97</v>
      </c>
      <c r="Z339" s="554">
        <v>55.578000000000003</v>
      </c>
      <c r="AA339" s="554">
        <v>60.755000000000003</v>
      </c>
      <c r="AB339" s="355">
        <f>SUM(X339:AA339)</f>
        <v>240.232</v>
      </c>
      <c r="AC339" s="554">
        <v>58.664999999999999</v>
      </c>
      <c r="AD339" s="554">
        <v>57.576999999999998</v>
      </c>
      <c r="AE339" s="554">
        <v>54.856999999999999</v>
      </c>
      <c r="AF339" s="554">
        <v>58.048999999999999</v>
      </c>
      <c r="AG339" s="355">
        <f>SUM(AC339:AF339)</f>
        <v>229.148</v>
      </c>
      <c r="AH339" s="611">
        <v>54.006999999999998</v>
      </c>
      <c r="AI339" s="554">
        <v>55.183</v>
      </c>
      <c r="AJ339" s="611">
        <v>51.898000000000003</v>
      </c>
      <c r="AK339" s="611">
        <v>57.133000000000003</v>
      </c>
      <c r="AL339" s="355">
        <f>SUM(AH339:AK339)</f>
        <v>218.221</v>
      </c>
      <c r="AM339" s="611">
        <v>55.665999999999997</v>
      </c>
      <c r="AN339" s="611">
        <v>56.585000000000001</v>
      </c>
      <c r="AO339" s="611">
        <v>53.326999999999998</v>
      </c>
      <c r="AP339" s="611">
        <v>58.670999999999999</v>
      </c>
      <c r="AQ339" s="355">
        <f>SUM(AM339:AP339)</f>
        <v>224.249</v>
      </c>
      <c r="AR339" s="611">
        <v>57.008000000000003</v>
      </c>
      <c r="AS339" s="611">
        <v>55.939</v>
      </c>
      <c r="AT339" s="611">
        <v>53.546999999999997</v>
      </c>
      <c r="AU339" s="611">
        <v>57.683999999999997</v>
      </c>
      <c r="AV339" s="355">
        <f>SUM(AR339:AU339)</f>
        <v>224.178</v>
      </c>
      <c r="AW339" s="611">
        <v>54.082999999999998</v>
      </c>
      <c r="AX339" s="611">
        <v>56.128</v>
      </c>
      <c r="AY339" s="611">
        <v>52.673999999999999</v>
      </c>
      <c r="AZ339" s="611">
        <v>59.831000000000003</v>
      </c>
      <c r="BA339" s="355">
        <f>SUM(AW339:AZ339)</f>
        <v>222.71600000000001</v>
      </c>
      <c r="BB339" s="2680">
        <v>55.732999999999997</v>
      </c>
      <c r="BC339" s="2680">
        <v>55.552</v>
      </c>
      <c r="BD339" s="2680">
        <v>53.378999999999998</v>
      </c>
      <c r="BE339" s="2680">
        <v>59.610999999999997</v>
      </c>
      <c r="BF339" s="355">
        <f>SUM(BB339:BE339)</f>
        <v>224.27499999999998</v>
      </c>
      <c r="BG339" s="2680">
        <v>56.603000000000002</v>
      </c>
      <c r="BH339" s="2680">
        <v>58.433999999999997</v>
      </c>
      <c r="BI339" s="2680">
        <v>56.685000000000002</v>
      </c>
      <c r="BJ339" s="2680">
        <v>62.469000000000001</v>
      </c>
      <c r="BK339" s="355">
        <f>SUM(BG339:BJ339)</f>
        <v>234.191</v>
      </c>
      <c r="BL339" s="3202">
        <v>58.604999999999997</v>
      </c>
      <c r="BM339" s="3202">
        <v>59.212000000000003</v>
      </c>
      <c r="BN339" s="3202">
        <v>56.606000000000002</v>
      </c>
      <c r="BO339" s="3202">
        <v>61.962000000000003</v>
      </c>
      <c r="BP339" s="355">
        <f>SUM(BL339:BO339)</f>
        <v>236.38499999999999</v>
      </c>
      <c r="BQ339" s="3202">
        <v>60.744</v>
      </c>
      <c r="BR339" s="3915">
        <v>59.561</v>
      </c>
      <c r="BS339" s="3915">
        <v>58.832000000000001</v>
      </c>
      <c r="BT339" s="3915">
        <v>64.406000000000006</v>
      </c>
      <c r="BU339" s="3357">
        <f>SUM(BQ339:BT339)</f>
        <v>243.54300000000001</v>
      </c>
      <c r="BV339" s="353">
        <f>BQ339*(1+BV340)</f>
        <v>62.262599999999992</v>
      </c>
      <c r="BW339" s="354">
        <f t="shared" ref="BW339:BY339" si="633">BR339*(1+BW340)</f>
        <v>61.645634999999999</v>
      </c>
      <c r="BX339" s="354">
        <f>BS339*(1+BX340)</f>
        <v>60.302799999999998</v>
      </c>
      <c r="BY339" s="354">
        <f t="shared" si="633"/>
        <v>66.016149999999996</v>
      </c>
      <c r="BZ339" s="556">
        <f>SUM(BV339:BY339)</f>
        <v>250.22718499999996</v>
      </c>
      <c r="CA339" s="556">
        <f t="shared" ref="CA339:CG339" si="634">BZ339*(1+CA340)</f>
        <v>255.23172869999996</v>
      </c>
      <c r="CB339" s="556">
        <f t="shared" si="634"/>
        <v>255.23172869999996</v>
      </c>
      <c r="CC339" s="556">
        <f t="shared" si="634"/>
        <v>242.47014226499996</v>
      </c>
      <c r="CD339" s="556">
        <f t="shared" si="634"/>
        <v>230.34663515174995</v>
      </c>
      <c r="CE339" s="556">
        <f t="shared" si="634"/>
        <v>234.95356785478495</v>
      </c>
      <c r="CF339" s="556">
        <f t="shared" si="634"/>
        <v>239.65263921188065</v>
      </c>
      <c r="CG339" s="556">
        <f t="shared" si="634"/>
        <v>244.44569199611828</v>
      </c>
      <c r="CH339" s="557"/>
      <c r="CI339" s="557"/>
      <c r="CJ339" s="557"/>
      <c r="CK339" s="557"/>
      <c r="CL339" s="557"/>
      <c r="CM339" s="965"/>
      <c r="CN339" s="965">
        <f t="shared" ref="CN339" si="635">SUM(BV339:BY339)</f>
        <v>250.22718499999996</v>
      </c>
      <c r="CO339" s="965">
        <f t="shared" ref="CO339" si="636">CM339-CN339</f>
        <v>-250.22718499999996</v>
      </c>
      <c r="CP339" s="1847" t="str">
        <f t="shared" si="600"/>
        <v>Net Revenues</v>
      </c>
      <c r="CQ339" s="354">
        <f t="shared" si="601"/>
        <v>239.41800000000001</v>
      </c>
      <c r="CR339" s="354">
        <f t="shared" si="602"/>
        <v>261.35900000000004</v>
      </c>
      <c r="CS339" s="354">
        <f t="shared" si="603"/>
        <v>256.78100000000001</v>
      </c>
      <c r="CT339" s="354">
        <f t="shared" si="604"/>
        <v>255.04300000000001</v>
      </c>
      <c r="CU339" s="354">
        <f t="shared" si="605"/>
        <v>240.232</v>
      </c>
      <c r="CV339" s="354">
        <f t="shared" si="606"/>
        <v>229.148</v>
      </c>
      <c r="CW339" s="354">
        <f t="shared" si="607"/>
        <v>218.221</v>
      </c>
      <c r="CX339" s="354">
        <f t="shared" si="608"/>
        <v>224.249</v>
      </c>
      <c r="CY339" s="354">
        <f t="shared" si="609"/>
        <v>224.178</v>
      </c>
      <c r="CZ339" s="354">
        <f t="shared" si="610"/>
        <v>222.71600000000001</v>
      </c>
      <c r="DA339" s="354">
        <f t="shared" si="611"/>
        <v>224.27499999999998</v>
      </c>
      <c r="DB339" s="354">
        <f t="shared" si="612"/>
        <v>234.191</v>
      </c>
      <c r="DC339" s="354">
        <f t="shared" si="613"/>
        <v>236.38499999999999</v>
      </c>
      <c r="DD339" s="354">
        <f t="shared" si="614"/>
        <v>243.54300000000001</v>
      </c>
      <c r="DE339" s="354">
        <f t="shared" si="615"/>
        <v>250.22718499999996</v>
      </c>
      <c r="DF339" s="354">
        <f t="shared" si="616"/>
        <v>255.23172869999996</v>
      </c>
      <c r="DG339" s="1838">
        <f t="shared" si="617"/>
        <v>255.23172869999996</v>
      </c>
      <c r="DH339" s="558"/>
      <c r="DI339" s="558"/>
      <c r="DJ339" s="558"/>
      <c r="DK339" s="558"/>
      <c r="DL339" s="558"/>
      <c r="DM339" s="558"/>
      <c r="DN339" s="559"/>
      <c r="DO339" s="269"/>
      <c r="DY339" s="354"/>
      <c r="DZ339" s="354"/>
    </row>
    <row r="340" spans="1:130" ht="12" customHeight="1">
      <c r="A340" s="257" t="s">
        <v>1249</v>
      </c>
      <c r="B340" s="545"/>
      <c r="C340" s="545"/>
      <c r="D340" s="560"/>
      <c r="E340" s="561"/>
      <c r="F340" s="561"/>
      <c r="G340" s="561"/>
      <c r="H340" s="503"/>
      <c r="I340" s="561">
        <f t="shared" ref="I340:O340" si="637">I339/D339-1</f>
        <v>5.7498826212354803E-2</v>
      </c>
      <c r="J340" s="561">
        <f t="shared" si="637"/>
        <v>0.13897603744467246</v>
      </c>
      <c r="K340" s="561">
        <f t="shared" si="637"/>
        <v>8.2352323811856198E-2</v>
      </c>
      <c r="L340" s="561">
        <f t="shared" si="637"/>
        <v>8.8128083461647133E-2</v>
      </c>
      <c r="M340" s="503">
        <f>M339/H339-1</f>
        <v>9.1643067772682274E-2</v>
      </c>
      <c r="N340" s="561">
        <f t="shared" si="637"/>
        <v>2.3230000792832772E-2</v>
      </c>
      <c r="O340" s="561">
        <f t="shared" si="637"/>
        <v>-3.11932342693787E-2</v>
      </c>
      <c r="P340" s="561">
        <f t="shared" ref="P340:U340" si="638">P339/K339-1</f>
        <v>-6.1072773405304148E-2</v>
      </c>
      <c r="Q340" s="561">
        <f t="shared" si="638"/>
        <v>-2.4402570211536911E-3</v>
      </c>
      <c r="R340" s="503">
        <f t="shared" si="638"/>
        <v>-1.7516136807992244E-2</v>
      </c>
      <c r="S340" s="561">
        <f t="shared" si="638"/>
        <v>-1.0801177746784463E-2</v>
      </c>
      <c r="T340" s="561">
        <f t="shared" si="638"/>
        <v>-1.2756082192201257E-3</v>
      </c>
      <c r="U340" s="561">
        <f t="shared" si="638"/>
        <v>2.1188336947915554E-2</v>
      </c>
      <c r="V340" s="561">
        <f t="shared" ref="V340:AG340" si="639">V339/Q339-1</f>
        <v>-3.1685146049850843E-2</v>
      </c>
      <c r="W340" s="503">
        <f t="shared" si="639"/>
        <v>-6.7684135508467858E-3</v>
      </c>
      <c r="X340" s="561">
        <f t="shared" si="639"/>
        <v>-4.5493710149922428E-2</v>
      </c>
      <c r="Y340" s="561">
        <f t="shared" si="639"/>
        <v>-3.0992244244737122E-2</v>
      </c>
      <c r="Z340" s="561">
        <f t="shared" si="639"/>
        <v>-6.3223718586188804E-2</v>
      </c>
      <c r="AA340" s="561">
        <f t="shared" si="639"/>
        <v>-9.18127868215316E-2</v>
      </c>
      <c r="AB340" s="503">
        <f t="shared" si="639"/>
        <v>-5.8072560313358945E-2</v>
      </c>
      <c r="AC340" s="561">
        <f t="shared" si="639"/>
        <v>-3.7158003577934973E-2</v>
      </c>
      <c r="AD340" s="561">
        <f t="shared" si="639"/>
        <v>-8.5643957440050822E-2</v>
      </c>
      <c r="AE340" s="561">
        <f t="shared" si="639"/>
        <v>-1.2972759005361878E-2</v>
      </c>
      <c r="AF340" s="561">
        <f t="shared" si="639"/>
        <v>-4.4539544070446913E-2</v>
      </c>
      <c r="AG340" s="503">
        <f t="shared" si="639"/>
        <v>-4.613873255852674E-2</v>
      </c>
      <c r="AH340" s="561">
        <f t="shared" ref="AH340:BR340" si="640">AH339/AC339-1</f>
        <v>-7.9399982954061255E-2</v>
      </c>
      <c r="AI340" s="561">
        <f t="shared" si="640"/>
        <v>-4.1579102766729714E-2</v>
      </c>
      <c r="AJ340" s="561">
        <f t="shared" si="640"/>
        <v>-5.3940244636053625E-2</v>
      </c>
      <c r="AK340" s="561">
        <f t="shared" si="640"/>
        <v>-1.5779772261365288E-2</v>
      </c>
      <c r="AL340" s="562">
        <f t="shared" si="640"/>
        <v>-4.7685338733045812E-2</v>
      </c>
      <c r="AM340" s="561">
        <f t="shared" si="640"/>
        <v>3.0718240228118532E-2</v>
      </c>
      <c r="AN340" s="561">
        <f t="shared" si="640"/>
        <v>2.5406375151767691E-2</v>
      </c>
      <c r="AO340" s="561">
        <f t="shared" si="640"/>
        <v>2.7534779760298944E-2</v>
      </c>
      <c r="AP340" s="561">
        <f t="shared" si="640"/>
        <v>2.6919643638527502E-2</v>
      </c>
      <c r="AQ340" s="562">
        <f>AQ339/AL339-1</f>
        <v>2.7623372635997345E-2</v>
      </c>
      <c r="AR340" s="561">
        <f t="shared" si="640"/>
        <v>2.4108073150576725E-2</v>
      </c>
      <c r="AS340" s="561">
        <f t="shared" si="640"/>
        <v>-1.1416453123619386E-2</v>
      </c>
      <c r="AT340" s="561">
        <f t="shared" si="640"/>
        <v>4.1254899019258495E-3</v>
      </c>
      <c r="AU340" s="561">
        <f t="shared" si="640"/>
        <v>-1.6822621056399312E-2</v>
      </c>
      <c r="AV340" s="562">
        <f>AV339/AQ339-1</f>
        <v>-3.1661233717872328E-4</v>
      </c>
      <c r="AW340" s="561">
        <f t="shared" si="640"/>
        <v>-5.1308588268313304E-2</v>
      </c>
      <c r="AX340" s="561">
        <f t="shared" si="640"/>
        <v>3.378680348236518E-3</v>
      </c>
      <c r="AY340" s="561">
        <f t="shared" si="640"/>
        <v>-1.6303434366070846E-2</v>
      </c>
      <c r="AZ340" s="561">
        <f t="shared" si="640"/>
        <v>3.7220026350461177E-2</v>
      </c>
      <c r="BA340" s="562">
        <f>BA339/AV339-1</f>
        <v>-6.5216033687515162E-3</v>
      </c>
      <c r="BB340" s="561">
        <f t="shared" si="640"/>
        <v>3.0508662611171689E-2</v>
      </c>
      <c r="BC340" s="561">
        <f t="shared" si="640"/>
        <v>-1.0262257696693311E-2</v>
      </c>
      <c r="BD340" s="561">
        <f t="shared" si="640"/>
        <v>1.3384212324866196E-2</v>
      </c>
      <c r="BE340" s="561">
        <f t="shared" si="640"/>
        <v>-3.6770236165200032E-3</v>
      </c>
      <c r="BF340" s="562">
        <f>BF339/BA339-1</f>
        <v>6.9999461197218782E-3</v>
      </c>
      <c r="BG340" s="561">
        <f t="shared" si="640"/>
        <v>1.5610141208978634E-2</v>
      </c>
      <c r="BH340" s="561">
        <f t="shared" si="640"/>
        <v>5.1879320276497554E-2</v>
      </c>
      <c r="BI340" s="561">
        <f t="shared" si="640"/>
        <v>6.1934468611251736E-2</v>
      </c>
      <c r="BJ340" s="561">
        <f t="shared" si="640"/>
        <v>4.7944171377765965E-2</v>
      </c>
      <c r="BK340" s="562">
        <f>BK339/BF339-1</f>
        <v>4.4213577081707811E-2</v>
      </c>
      <c r="BL340" s="561">
        <f t="shared" si="640"/>
        <v>3.536915004505059E-2</v>
      </c>
      <c r="BM340" s="561">
        <f t="shared" si="640"/>
        <v>1.3314166409966965E-2</v>
      </c>
      <c r="BN340" s="561">
        <f t="shared" si="640"/>
        <v>-1.3936667548734016E-3</v>
      </c>
      <c r="BO340" s="561">
        <f t="shared" si="640"/>
        <v>-8.1160255486720789E-3</v>
      </c>
      <c r="BP340" s="562">
        <f>BP339/BK339-1</f>
        <v>9.3684215021072603E-3</v>
      </c>
      <c r="BQ340" s="561">
        <f t="shared" si="640"/>
        <v>3.6498592270284069E-2</v>
      </c>
      <c r="BR340" s="561">
        <f t="shared" si="640"/>
        <v>5.894075525231246E-3</v>
      </c>
      <c r="BS340" s="561">
        <f>BS339/BN339-1</f>
        <v>3.9324453238172685E-2</v>
      </c>
      <c r="BT340" s="561">
        <f>BT339/BO339-1</f>
        <v>3.9443529905425878E-2</v>
      </c>
      <c r="BU340" s="3402">
        <f>BU339/BP339-1</f>
        <v>3.0281109207437096E-2</v>
      </c>
      <c r="BV340" s="607">
        <v>2.5000000000000001E-2</v>
      </c>
      <c r="BW340" s="548">
        <v>3.5000000000000003E-2</v>
      </c>
      <c r="BX340" s="548">
        <v>2.5000000000000001E-2</v>
      </c>
      <c r="BY340" s="548">
        <v>2.5000000000000001E-2</v>
      </c>
      <c r="BZ340" s="503">
        <f>BZ339/BU339-1</f>
        <v>2.7445605088218361E-2</v>
      </c>
      <c r="CA340" s="616">
        <v>0.02</v>
      </c>
      <c r="CB340" s="616">
        <v>0</v>
      </c>
      <c r="CC340" s="616">
        <v>-0.05</v>
      </c>
      <c r="CD340" s="616">
        <v>-0.05</v>
      </c>
      <c r="CE340" s="616">
        <v>0.02</v>
      </c>
      <c r="CF340" s="616">
        <v>0.02</v>
      </c>
      <c r="CG340" s="616">
        <v>0.02</v>
      </c>
      <c r="CH340" s="561"/>
      <c r="CI340" s="561"/>
      <c r="CJ340" s="561"/>
      <c r="CK340" s="561"/>
      <c r="CL340" s="561"/>
      <c r="CM340" s="561"/>
      <c r="CN340" s="561"/>
      <c r="CO340" s="561"/>
      <c r="CP340" s="396" t="str">
        <f t="shared" si="600"/>
        <v>% Growth (y-o-y)</v>
      </c>
      <c r="CQ340" s="561"/>
      <c r="CR340" s="561">
        <f t="shared" si="602"/>
        <v>9.1643067772682274E-2</v>
      </c>
      <c r="CS340" s="561">
        <f t="shared" si="603"/>
        <v>-1.7516136807992244E-2</v>
      </c>
      <c r="CT340" s="561">
        <f t="shared" si="604"/>
        <v>-6.7684135508467858E-3</v>
      </c>
      <c r="CU340" s="561">
        <f t="shared" si="605"/>
        <v>-5.8072560313358945E-2</v>
      </c>
      <c r="CV340" s="561">
        <f t="shared" si="606"/>
        <v>-4.613873255852674E-2</v>
      </c>
      <c r="CW340" s="561">
        <f t="shared" si="607"/>
        <v>-4.7685338733045812E-2</v>
      </c>
      <c r="CX340" s="561">
        <f t="shared" si="608"/>
        <v>2.7623372635997345E-2</v>
      </c>
      <c r="CY340" s="561">
        <f t="shared" si="609"/>
        <v>-3.1661233717872328E-4</v>
      </c>
      <c r="CZ340" s="561">
        <f t="shared" si="610"/>
        <v>-6.5216033687515162E-3</v>
      </c>
      <c r="DA340" s="561">
        <f t="shared" si="611"/>
        <v>6.9999461197218782E-3</v>
      </c>
      <c r="DB340" s="561">
        <f t="shared" si="612"/>
        <v>4.4213577081707811E-2</v>
      </c>
      <c r="DC340" s="561">
        <f t="shared" si="613"/>
        <v>9.3684215021072603E-3</v>
      </c>
      <c r="DD340" s="561">
        <f t="shared" si="614"/>
        <v>3.0281109207437096E-2</v>
      </c>
      <c r="DE340" s="561">
        <f t="shared" si="615"/>
        <v>2.7445605088218361E-2</v>
      </c>
      <c r="DF340" s="561">
        <f t="shared" si="616"/>
        <v>0.02</v>
      </c>
      <c r="DG340" s="1846">
        <f t="shared" si="617"/>
        <v>0</v>
      </c>
      <c r="DH340" s="561"/>
      <c r="DI340" s="561"/>
      <c r="DJ340" s="561"/>
      <c r="DK340" s="561"/>
      <c r="DL340" s="561"/>
      <c r="DM340" s="561"/>
      <c r="DN340" s="551"/>
      <c r="DO340" s="266"/>
      <c r="DY340" s="561"/>
      <c r="DZ340" s="561"/>
    </row>
    <row r="341" spans="1:130" ht="5.0999999999999996" customHeight="1">
      <c r="A341" s="552"/>
      <c r="B341" s="228"/>
      <c r="C341" s="228"/>
      <c r="D341" s="446"/>
      <c r="E341" s="447"/>
      <c r="F341" s="447"/>
      <c r="G341" s="447"/>
      <c r="H341" s="563"/>
      <c r="I341" s="447"/>
      <c r="J341" s="447"/>
      <c r="K341" s="447"/>
      <c r="L341" s="447"/>
      <c r="M341" s="563"/>
      <c r="N341" s="447"/>
      <c r="O341" s="447"/>
      <c r="P341" s="447"/>
      <c r="Q341" s="447"/>
      <c r="R341" s="563"/>
      <c r="S341" s="447"/>
      <c r="T341" s="447"/>
      <c r="U341" s="447"/>
      <c r="V341" s="447"/>
      <c r="W341" s="563"/>
      <c r="X341" s="447"/>
      <c r="Y341" s="447"/>
      <c r="Z341" s="447"/>
      <c r="AA341" s="447"/>
      <c r="AB341" s="563"/>
      <c r="AC341" s="447"/>
      <c r="AD341" s="447"/>
      <c r="AE341" s="447"/>
      <c r="AF341" s="447"/>
      <c r="AG341" s="563"/>
      <c r="AH341" s="447"/>
      <c r="AI341" s="447"/>
      <c r="AJ341" s="447"/>
      <c r="AK341" s="447"/>
      <c r="AL341" s="563"/>
      <c r="AM341" s="447"/>
      <c r="AN341" s="447"/>
      <c r="AO341" s="447"/>
      <c r="AP341" s="447"/>
      <c r="AQ341" s="563"/>
      <c r="AR341" s="447"/>
      <c r="AS341" s="447"/>
      <c r="AT341" s="447"/>
      <c r="AU341" s="447"/>
      <c r="AV341" s="563"/>
      <c r="AW341" s="447"/>
      <c r="AX341" s="447"/>
      <c r="AY341" s="447"/>
      <c r="AZ341" s="447"/>
      <c r="BA341" s="563"/>
      <c r="BB341" s="447"/>
      <c r="BC341" s="447"/>
      <c r="BD341" s="447"/>
      <c r="BE341" s="447"/>
      <c r="BF341" s="563"/>
      <c r="BG341" s="446"/>
      <c r="BH341" s="447"/>
      <c r="BI341" s="447"/>
      <c r="BJ341" s="2802"/>
      <c r="BK341" s="563"/>
      <c r="BL341" s="447"/>
      <c r="BM341" s="447"/>
      <c r="BN341" s="447"/>
      <c r="BO341" s="2802"/>
      <c r="BP341" s="563"/>
      <c r="BQ341" s="447"/>
      <c r="BR341" s="447"/>
      <c r="BS341" s="447"/>
      <c r="BT341" s="2802"/>
      <c r="BU341" s="3393"/>
      <c r="BV341" s="446"/>
      <c r="BW341" s="447"/>
      <c r="BX341" s="447"/>
      <c r="BY341" s="2802"/>
      <c r="BZ341" s="4005"/>
      <c r="CA341" s="563"/>
      <c r="CB341" s="563"/>
      <c r="CC341" s="563"/>
      <c r="CD341" s="563"/>
      <c r="CE341" s="563"/>
      <c r="CF341" s="563"/>
      <c r="CG341" s="563"/>
      <c r="CH341" s="447"/>
      <c r="CI341" s="447"/>
      <c r="CJ341" s="447"/>
      <c r="CK341" s="447"/>
      <c r="CL341" s="447"/>
      <c r="CM341" s="447"/>
      <c r="CN341" s="447"/>
      <c r="CO341" s="447"/>
      <c r="CP341" s="994"/>
      <c r="CQ341" s="564"/>
      <c r="CR341" s="564"/>
      <c r="CS341" s="564"/>
      <c r="CT341" s="564"/>
      <c r="CU341" s="564"/>
      <c r="CV341" s="564"/>
      <c r="CW341" s="564"/>
      <c r="CX341" s="564"/>
      <c r="CY341" s="564"/>
      <c r="CZ341" s="564"/>
      <c r="DA341" s="564"/>
      <c r="DB341" s="564"/>
      <c r="DC341" s="564"/>
      <c r="DD341" s="564"/>
      <c r="DE341" s="564"/>
      <c r="DF341" s="564"/>
      <c r="DG341" s="1789"/>
      <c r="DH341" s="564"/>
      <c r="DI341" s="689"/>
      <c r="DJ341" s="689"/>
      <c r="DK341" s="689"/>
      <c r="DL341" s="689"/>
      <c r="DM341" s="689"/>
      <c r="DN341" s="514"/>
      <c r="DO341" s="226"/>
      <c r="DY341" s="447"/>
      <c r="DZ341" s="447"/>
    </row>
    <row r="342" spans="1:130" ht="12" customHeight="1">
      <c r="A342" s="228" t="s">
        <v>1326</v>
      </c>
      <c r="B342" s="649"/>
      <c r="C342" s="649"/>
      <c r="D342" s="661">
        <f>D339-D345</f>
        <v>49.581000000000003</v>
      </c>
      <c r="E342" s="557">
        <f>E339-E345</f>
        <v>50.168999999999997</v>
      </c>
      <c r="F342" s="557">
        <f>F339-F345</f>
        <v>49.571999999999996</v>
      </c>
      <c r="G342" s="557">
        <f>G339-G345</f>
        <v>51.358000000000004</v>
      </c>
      <c r="H342" s="355">
        <f>SUM(D342:G342)</f>
        <v>200.68</v>
      </c>
      <c r="I342" s="557">
        <f>I339-I345</f>
        <v>51.655000000000001</v>
      </c>
      <c r="J342" s="557">
        <f>J339-J345</f>
        <v>52.834000000000003</v>
      </c>
      <c r="K342" s="557">
        <f>K339-K345</f>
        <v>52.531000000000006</v>
      </c>
      <c r="L342" s="557">
        <f>L339-L345</f>
        <v>52.043999999999997</v>
      </c>
      <c r="M342" s="355">
        <f>SUM(I342:L342)</f>
        <v>209.06400000000002</v>
      </c>
      <c r="N342" s="557">
        <f>N339-N345</f>
        <v>50.514000000000003</v>
      </c>
      <c r="O342" s="557">
        <f>O339-O345</f>
        <v>52.160999999999994</v>
      </c>
      <c r="P342" s="557">
        <f>P339-P345</f>
        <v>48.561999999999998</v>
      </c>
      <c r="Q342" s="557">
        <f>Q339-Q345</f>
        <v>51.971000000000004</v>
      </c>
      <c r="R342" s="355">
        <f>SUM(N342:Q342)</f>
        <v>203.208</v>
      </c>
      <c r="S342" s="557">
        <f>S339-S345</f>
        <v>49.951999999999998</v>
      </c>
      <c r="T342" s="557">
        <f>T339-T345</f>
        <v>51.827999999999996</v>
      </c>
      <c r="U342" s="557">
        <f>U339-U345</f>
        <v>48.993000000000002</v>
      </c>
      <c r="V342" s="557">
        <f>V339-V345</f>
        <v>52.143000000000008</v>
      </c>
      <c r="W342" s="355">
        <f>SUM(S342:V342)</f>
        <v>202.916</v>
      </c>
      <c r="X342" s="557">
        <f>X339-X345</f>
        <v>50.760000000000005</v>
      </c>
      <c r="Y342" s="557">
        <f>Y339-Y345</f>
        <v>52.646000000000001</v>
      </c>
      <c r="Z342" s="557">
        <f>Z339-Z345</f>
        <v>48.678000000000004</v>
      </c>
      <c r="AA342" s="557">
        <f>AA339-AA345</f>
        <v>47.491</v>
      </c>
      <c r="AB342" s="355">
        <f>SUM(X342:AA342)</f>
        <v>199.57499999999999</v>
      </c>
      <c r="AC342" s="557">
        <f>AC339-AC345</f>
        <v>45.311</v>
      </c>
      <c r="AD342" s="557">
        <f>AD339-AD345</f>
        <v>45.777000000000001</v>
      </c>
      <c r="AE342" s="557">
        <f>AE339-AE345</f>
        <v>46.155999999999999</v>
      </c>
      <c r="AF342" s="557">
        <f>AF339-AF345</f>
        <v>45.802</v>
      </c>
      <c r="AG342" s="355">
        <f>SUM(AC342:AF342)</f>
        <v>183.04599999999999</v>
      </c>
      <c r="AH342" s="557">
        <f>AH339-AH345</f>
        <v>45.634999999999998</v>
      </c>
      <c r="AI342" s="557">
        <f>AI339-AI345</f>
        <v>45.872999999999998</v>
      </c>
      <c r="AJ342" s="557">
        <f>AJ339-AJ345</f>
        <v>46.219000000000001</v>
      </c>
      <c r="AK342" s="557">
        <f>AK339-AK345</f>
        <v>46.267000000000003</v>
      </c>
      <c r="AL342" s="355">
        <f>SUM(AH342:AK342)</f>
        <v>183.994</v>
      </c>
      <c r="AM342" s="2043">
        <f>AM339-AM345</f>
        <v>46.661999999999999</v>
      </c>
      <c r="AN342" s="2043">
        <f>AN339-AN345</f>
        <v>47.219000000000001</v>
      </c>
      <c r="AO342" s="2043">
        <f>AO339-AO345</f>
        <v>47.321999999999996</v>
      </c>
      <c r="AP342" s="2043">
        <f>AP339-AP345</f>
        <v>47.832000000000001</v>
      </c>
      <c r="AQ342" s="355">
        <f>SUM(AM342:AP342)</f>
        <v>189.035</v>
      </c>
      <c r="AR342" s="2043">
        <f>AR339-AR345</f>
        <v>48.576000000000001</v>
      </c>
      <c r="AS342" s="2043">
        <f>AS339-AS345</f>
        <v>47.83</v>
      </c>
      <c r="AT342" s="2043">
        <f>AT339-AT345</f>
        <v>47.190999999999995</v>
      </c>
      <c r="AU342" s="2043">
        <f>AU339-AU345</f>
        <v>47.748999999999995</v>
      </c>
      <c r="AV342" s="355">
        <f>SUM(AR342:AU342)</f>
        <v>191.346</v>
      </c>
      <c r="AW342" s="2043">
        <f>AW339-AW345</f>
        <v>46.972000000000001</v>
      </c>
      <c r="AX342" s="2043">
        <f>AX339-AX345</f>
        <v>46.831000000000003</v>
      </c>
      <c r="AY342" s="2043">
        <f>AY339-AY345</f>
        <v>47.14</v>
      </c>
      <c r="AZ342" s="2043">
        <f>AZ339-AZ345</f>
        <v>46.737000000000002</v>
      </c>
      <c r="BA342" s="355">
        <f>SUM(AW342:AZ342)</f>
        <v>187.67999999999998</v>
      </c>
      <c r="BB342" s="2043">
        <f>BB339-BB345</f>
        <v>46.405999999999999</v>
      </c>
      <c r="BC342" s="2043">
        <f>BC339-BC345</f>
        <v>47.000999999999998</v>
      </c>
      <c r="BD342" s="2043">
        <f>BD339-BD345</f>
        <v>47.064</v>
      </c>
      <c r="BE342" s="2043">
        <f>BE339-BE345</f>
        <v>46.494999999999997</v>
      </c>
      <c r="BF342" s="355">
        <f>SUM(BB342:BE342)</f>
        <v>186.96600000000001</v>
      </c>
      <c r="BG342" s="2043">
        <f>BG339-BG345</f>
        <v>45.926000000000002</v>
      </c>
      <c r="BH342" s="2043">
        <f>BH339-BH345</f>
        <v>46.126999999999995</v>
      </c>
      <c r="BI342" s="2043">
        <f>BI339-BI345</f>
        <v>46.541000000000004</v>
      </c>
      <c r="BJ342" s="2043">
        <f>BJ339-BJ345</f>
        <v>46.283000000000001</v>
      </c>
      <c r="BK342" s="355">
        <f>SUM(BG342:BJ342)</f>
        <v>184.87700000000001</v>
      </c>
      <c r="BL342" s="2043">
        <f>BL339-BL345</f>
        <v>45.923999999999999</v>
      </c>
      <c r="BM342" s="2043">
        <f>BM339-BM345</f>
        <v>44.949000000000005</v>
      </c>
      <c r="BN342" s="2043">
        <f>BN339-BN345</f>
        <v>46.588000000000001</v>
      </c>
      <c r="BO342" s="2043">
        <f>BO339-BO345</f>
        <v>46.504000000000005</v>
      </c>
      <c r="BP342" s="355">
        <f>SUM(BL342:BO342)</f>
        <v>183.96500000000003</v>
      </c>
      <c r="BQ342" s="2043">
        <f>BQ339-BQ345</f>
        <v>47.106000000000002</v>
      </c>
      <c r="BR342" s="2043">
        <f>BR339-BR345</f>
        <v>46.978000000000002</v>
      </c>
      <c r="BS342" s="2043">
        <f>BS339-BS345</f>
        <v>47.295999999999999</v>
      </c>
      <c r="BT342" s="2043">
        <f>BT339-BT345</f>
        <v>47.628000000000007</v>
      </c>
      <c r="BU342" s="3357">
        <f>SUM(BQ342:BT342)</f>
        <v>189.00800000000001</v>
      </c>
      <c r="BV342" s="661">
        <f>BQ342*(1+BV343)</f>
        <v>47.341529999999999</v>
      </c>
      <c r="BW342" s="557">
        <f t="shared" ref="BW342:BY342" si="641">BR342*(1+BW343)</f>
        <v>47.212889999999994</v>
      </c>
      <c r="BX342" s="557">
        <f>BS342*(1+BX343)</f>
        <v>47.8872</v>
      </c>
      <c r="BY342" s="557">
        <f t="shared" si="641"/>
        <v>48.223350000000003</v>
      </c>
      <c r="BZ342" s="556">
        <f>SUM(BV342:BY342)</f>
        <v>190.66497000000001</v>
      </c>
      <c r="CA342" s="556">
        <f t="shared" ref="CA342:CG342" si="642">BZ342*(1+CA343)</f>
        <v>192.57161970000001</v>
      </c>
      <c r="CB342" s="556">
        <f t="shared" si="642"/>
        <v>190.645903503</v>
      </c>
      <c r="CC342" s="556">
        <f t="shared" si="642"/>
        <v>184.92652639790998</v>
      </c>
      <c r="CD342" s="556">
        <f t="shared" si="642"/>
        <v>179.37873060597266</v>
      </c>
      <c r="CE342" s="556">
        <f t="shared" si="642"/>
        <v>181.17251791203239</v>
      </c>
      <c r="CF342" s="556">
        <f t="shared" si="642"/>
        <v>182.98424309115271</v>
      </c>
      <c r="CG342" s="556">
        <f t="shared" si="642"/>
        <v>184.81408552206423</v>
      </c>
      <c r="CH342" s="557"/>
      <c r="CI342" s="557"/>
      <c r="CJ342" s="557"/>
      <c r="CK342" s="557"/>
      <c r="CL342" s="557"/>
      <c r="CM342" s="965"/>
      <c r="CN342" s="965">
        <f t="shared" ref="CN342" si="643">SUM(BV342:BY342)</f>
        <v>190.66497000000001</v>
      </c>
      <c r="CO342" s="965">
        <f t="shared" ref="CO342" si="644">CM342-CN342</f>
        <v>-190.66497000000001</v>
      </c>
      <c r="CP342" s="1847" t="str">
        <f t="shared" si="600"/>
        <v>Total Expenses</v>
      </c>
      <c r="CQ342" s="557">
        <f t="shared" si="601"/>
        <v>200.68</v>
      </c>
      <c r="CR342" s="557">
        <f t="shared" si="602"/>
        <v>209.06400000000002</v>
      </c>
      <c r="CS342" s="557">
        <f t="shared" si="603"/>
        <v>203.208</v>
      </c>
      <c r="CT342" s="557">
        <f t="shared" si="604"/>
        <v>202.916</v>
      </c>
      <c r="CU342" s="557">
        <f t="shared" si="605"/>
        <v>199.57499999999999</v>
      </c>
      <c r="CV342" s="557">
        <f t="shared" si="606"/>
        <v>183.04599999999999</v>
      </c>
      <c r="CW342" s="557">
        <f t="shared" si="607"/>
        <v>183.994</v>
      </c>
      <c r="CX342" s="557">
        <f t="shared" si="608"/>
        <v>189.035</v>
      </c>
      <c r="CY342" s="557">
        <f t="shared" si="609"/>
        <v>191.346</v>
      </c>
      <c r="CZ342" s="557">
        <f t="shared" si="610"/>
        <v>187.67999999999998</v>
      </c>
      <c r="DA342" s="557">
        <f t="shared" si="611"/>
        <v>186.96600000000001</v>
      </c>
      <c r="DB342" s="557">
        <f t="shared" si="612"/>
        <v>184.87700000000001</v>
      </c>
      <c r="DC342" s="557">
        <f t="shared" si="613"/>
        <v>183.96500000000003</v>
      </c>
      <c r="DD342" s="557">
        <f t="shared" si="614"/>
        <v>189.00800000000001</v>
      </c>
      <c r="DE342" s="557">
        <f t="shared" si="615"/>
        <v>190.66497000000001</v>
      </c>
      <c r="DF342" s="557">
        <f t="shared" si="616"/>
        <v>192.57161970000001</v>
      </c>
      <c r="DG342" s="1848">
        <f t="shared" si="617"/>
        <v>190.645903503</v>
      </c>
      <c r="DH342" s="690"/>
      <c r="DI342" s="691"/>
      <c r="DJ342" s="691"/>
      <c r="DK342" s="691"/>
      <c r="DL342" s="691"/>
      <c r="DM342" s="691"/>
      <c r="DN342" s="559"/>
      <c r="DO342" s="269"/>
      <c r="DY342" s="354"/>
      <c r="DZ342" s="354"/>
    </row>
    <row r="343" spans="1:130" ht="12" customHeight="1">
      <c r="A343" s="257" t="s">
        <v>1249</v>
      </c>
      <c r="B343" s="545"/>
      <c r="C343" s="545"/>
      <c r="D343" s="560"/>
      <c r="E343" s="561"/>
      <c r="F343" s="561"/>
      <c r="G343" s="561"/>
      <c r="H343" s="503"/>
      <c r="I343" s="561">
        <f>I342/D342-1</f>
        <v>4.1830539924567756E-2</v>
      </c>
      <c r="J343" s="561">
        <f>J342/E342-1</f>
        <v>5.3120452869301893E-2</v>
      </c>
      <c r="K343" s="561">
        <f t="shared" ref="K343:S343" si="645">K342/F342-1</f>
        <v>5.9690954571129051E-2</v>
      </c>
      <c r="L343" s="561">
        <f t="shared" si="645"/>
        <v>1.335721796020084E-2</v>
      </c>
      <c r="M343" s="503">
        <f t="shared" si="645"/>
        <v>4.1777954953159391E-2</v>
      </c>
      <c r="N343" s="561">
        <f t="shared" si="645"/>
        <v>-2.2088858774562015E-2</v>
      </c>
      <c r="O343" s="561">
        <f t="shared" si="645"/>
        <v>-1.2738009615020807E-2</v>
      </c>
      <c r="P343" s="561">
        <f t="shared" si="645"/>
        <v>-7.5555386343302167E-2</v>
      </c>
      <c r="Q343" s="561">
        <f t="shared" si="645"/>
        <v>-1.4026592882944167E-3</v>
      </c>
      <c r="R343" s="503">
        <f>R342/M342-1</f>
        <v>-2.8010561359201103E-2</v>
      </c>
      <c r="S343" s="561">
        <f t="shared" si="645"/>
        <v>-1.1125628538623089E-2</v>
      </c>
      <c r="T343" s="561">
        <f t="shared" ref="T343:AA343" si="646">T342/O342-1</f>
        <v>-6.3840800598147229E-3</v>
      </c>
      <c r="U343" s="561">
        <f t="shared" si="646"/>
        <v>8.8752522548496415E-3</v>
      </c>
      <c r="V343" s="561">
        <f t="shared" si="646"/>
        <v>3.3095380115835127E-3</v>
      </c>
      <c r="W343" s="503">
        <f t="shared" si="646"/>
        <v>-1.4369513011298629E-3</v>
      </c>
      <c r="X343" s="561">
        <f t="shared" si="646"/>
        <v>1.6175528507367254E-2</v>
      </c>
      <c r="Y343" s="561">
        <f t="shared" si="646"/>
        <v>1.5782974453963261E-2</v>
      </c>
      <c r="Z343" s="561">
        <f t="shared" si="646"/>
        <v>-6.4294899271324368E-3</v>
      </c>
      <c r="AA343" s="561">
        <f t="shared" si="646"/>
        <v>-8.9216193928235987E-2</v>
      </c>
      <c r="AB343" s="503">
        <f t="shared" ref="AB343:AG343" si="647">AB342/W342-1</f>
        <v>-1.6464941157917634E-2</v>
      </c>
      <c r="AC343" s="561">
        <f>AC342/X342-1</f>
        <v>-0.10734830575256116</v>
      </c>
      <c r="AD343" s="561">
        <f t="shared" si="647"/>
        <v>-0.13047524978155989</v>
      </c>
      <c r="AE343" s="561">
        <f t="shared" si="647"/>
        <v>-5.1809852500102838E-2</v>
      </c>
      <c r="AF343" s="561">
        <f t="shared" si="647"/>
        <v>-3.5564633298940884E-2</v>
      </c>
      <c r="AG343" s="503">
        <f t="shared" si="647"/>
        <v>-8.2820994613553744E-2</v>
      </c>
      <c r="AH343" s="561">
        <f t="shared" ref="AH343:BR343" si="648">AH342/AC342-1</f>
        <v>7.1505815364922842E-3</v>
      </c>
      <c r="AI343" s="561">
        <f t="shared" si="648"/>
        <v>2.0971230093713711E-3</v>
      </c>
      <c r="AJ343" s="561">
        <f t="shared" si="648"/>
        <v>1.3649363029726302E-3</v>
      </c>
      <c r="AK343" s="561">
        <f t="shared" si="648"/>
        <v>1.0152395091917565E-2</v>
      </c>
      <c r="AL343" s="503">
        <f t="shared" si="648"/>
        <v>5.1790260371711305E-3</v>
      </c>
      <c r="AM343" s="561">
        <f t="shared" si="648"/>
        <v>2.2504656513640864E-2</v>
      </c>
      <c r="AN343" s="561">
        <f t="shared" si="648"/>
        <v>2.9341878665009924E-2</v>
      </c>
      <c r="AO343" s="561">
        <f t="shared" si="648"/>
        <v>2.3864644410307223E-2</v>
      </c>
      <c r="AP343" s="561">
        <f t="shared" si="648"/>
        <v>3.3825404716104401E-2</v>
      </c>
      <c r="AQ343" s="503">
        <f>AQ342/AL342-1</f>
        <v>2.7397632531495519E-2</v>
      </c>
      <c r="AR343" s="561">
        <f t="shared" si="648"/>
        <v>4.1018387553040991E-2</v>
      </c>
      <c r="AS343" s="561">
        <f t="shared" si="648"/>
        <v>1.2939706474088819E-2</v>
      </c>
      <c r="AT343" s="561">
        <f t="shared" si="648"/>
        <v>-2.7682684586450845E-3</v>
      </c>
      <c r="AU343" s="561">
        <f t="shared" si="648"/>
        <v>-1.7352400066902307E-3</v>
      </c>
      <c r="AV343" s="503">
        <f>AV342/AQ342-1</f>
        <v>1.2225249292459051E-2</v>
      </c>
      <c r="AW343" s="561">
        <f t="shared" si="648"/>
        <v>-3.3020421607378059E-2</v>
      </c>
      <c r="AX343" s="561">
        <f t="shared" si="648"/>
        <v>-2.088647292494239E-2</v>
      </c>
      <c r="AY343" s="561">
        <f t="shared" si="648"/>
        <v>-1.0807145430271614E-3</v>
      </c>
      <c r="AZ343" s="561">
        <f t="shared" si="648"/>
        <v>-2.1194161134264422E-2</v>
      </c>
      <c r="BA343" s="503">
        <f>BA342/AV342-1</f>
        <v>-1.9159010379103947E-2</v>
      </c>
      <c r="BB343" s="561">
        <f t="shared" si="648"/>
        <v>-1.2049731755088167E-2</v>
      </c>
      <c r="BC343" s="561">
        <f t="shared" si="648"/>
        <v>3.6300740962182942E-3</v>
      </c>
      <c r="BD343" s="561">
        <f t="shared" si="648"/>
        <v>-1.6122189223589656E-3</v>
      </c>
      <c r="BE343" s="561">
        <f t="shared" si="648"/>
        <v>-5.1779104349873872E-3</v>
      </c>
      <c r="BF343" s="503">
        <f>BF342/BA342-1</f>
        <v>-3.8043478260868513E-3</v>
      </c>
      <c r="BG343" s="561">
        <f t="shared" si="648"/>
        <v>-1.0343490065939709E-2</v>
      </c>
      <c r="BH343" s="561">
        <f t="shared" si="648"/>
        <v>-1.859534903512694E-2</v>
      </c>
      <c r="BI343" s="561">
        <f t="shared" si="648"/>
        <v>-1.1112527621961465E-2</v>
      </c>
      <c r="BJ343" s="561">
        <f t="shared" si="648"/>
        <v>-4.5596300677491763E-3</v>
      </c>
      <c r="BK343" s="503">
        <f>BK342/BF342-1</f>
        <v>-1.1173154477284619E-2</v>
      </c>
      <c r="BL343" s="561">
        <f t="shared" si="648"/>
        <v>-4.3548316857600078E-5</v>
      </c>
      <c r="BM343" s="561">
        <f t="shared" si="648"/>
        <v>-2.5538188046046573E-2</v>
      </c>
      <c r="BN343" s="561">
        <f t="shared" si="648"/>
        <v>1.0098622719751926E-3</v>
      </c>
      <c r="BO343" s="561">
        <f t="shared" si="648"/>
        <v>4.7749713717779585E-3</v>
      </c>
      <c r="BP343" s="503">
        <f>BP342/BK342-1</f>
        <v>-4.9330095144337616E-3</v>
      </c>
      <c r="BQ343" s="561">
        <f t="shared" si="648"/>
        <v>2.5738176117062972E-2</v>
      </c>
      <c r="BR343" s="561">
        <f t="shared" si="648"/>
        <v>4.5140047609512957E-2</v>
      </c>
      <c r="BS343" s="561">
        <f>BS342/BN342-1</f>
        <v>1.5197046449729523E-2</v>
      </c>
      <c r="BT343" s="561">
        <f>BT342/BO342-1</f>
        <v>2.4169963874075329E-2</v>
      </c>
      <c r="BU343" s="3971">
        <f>BU342/BP342-1</f>
        <v>2.7412823091348848E-2</v>
      </c>
      <c r="BV343" s="608">
        <v>5.0000000000000001E-3</v>
      </c>
      <c r="BW343" s="615">
        <v>5.0000000000000001E-3</v>
      </c>
      <c r="BX343" s="615">
        <v>1.2500000000000001E-2</v>
      </c>
      <c r="BY343" s="615">
        <v>1.2500000000000001E-2</v>
      </c>
      <c r="BZ343" s="503">
        <f>BZ342/BU342-1</f>
        <v>8.7666659612291031E-3</v>
      </c>
      <c r="CA343" s="616">
        <v>0.01</v>
      </c>
      <c r="CB343" s="616">
        <v>-0.01</v>
      </c>
      <c r="CC343" s="616">
        <v>-0.03</v>
      </c>
      <c r="CD343" s="616">
        <v>-0.03</v>
      </c>
      <c r="CE343" s="616">
        <v>0.01</v>
      </c>
      <c r="CF343" s="616">
        <v>0.01</v>
      </c>
      <c r="CG343" s="616">
        <v>0.01</v>
      </c>
      <c r="CH343" s="561"/>
      <c r="CI343" s="561"/>
      <c r="CJ343" s="561"/>
      <c r="CK343" s="561"/>
      <c r="CL343" s="561"/>
      <c r="CM343" s="561"/>
      <c r="CN343" s="561"/>
      <c r="CO343" s="561"/>
      <c r="CP343" s="396" t="str">
        <f t="shared" si="600"/>
        <v>% Growth (y-o-y)</v>
      </c>
      <c r="CQ343" s="561"/>
      <c r="CR343" s="561">
        <f t="shared" si="602"/>
        <v>4.1777954953159391E-2</v>
      </c>
      <c r="CS343" s="561">
        <f t="shared" si="603"/>
        <v>-2.8010561359201103E-2</v>
      </c>
      <c r="CT343" s="561">
        <f t="shared" si="604"/>
        <v>-1.4369513011298629E-3</v>
      </c>
      <c r="CU343" s="561">
        <f t="shared" si="605"/>
        <v>-1.6464941157917634E-2</v>
      </c>
      <c r="CV343" s="561">
        <f t="shared" si="606"/>
        <v>-8.2820994613553744E-2</v>
      </c>
      <c r="CW343" s="561">
        <f t="shared" si="607"/>
        <v>5.1790260371711305E-3</v>
      </c>
      <c r="CX343" s="561">
        <f t="shared" si="608"/>
        <v>2.7397632531495519E-2</v>
      </c>
      <c r="CY343" s="561">
        <f t="shared" si="609"/>
        <v>1.2225249292459051E-2</v>
      </c>
      <c r="CZ343" s="561">
        <f t="shared" si="610"/>
        <v>-1.9159010379103947E-2</v>
      </c>
      <c r="DA343" s="561">
        <f t="shared" si="611"/>
        <v>-3.8043478260868513E-3</v>
      </c>
      <c r="DB343" s="561">
        <f t="shared" si="612"/>
        <v>-1.1173154477284619E-2</v>
      </c>
      <c r="DC343" s="561">
        <f t="shared" si="613"/>
        <v>-4.9330095144337616E-3</v>
      </c>
      <c r="DD343" s="561">
        <f t="shared" si="614"/>
        <v>2.7412823091348848E-2</v>
      </c>
      <c r="DE343" s="561">
        <f t="shared" si="615"/>
        <v>8.7666659612291031E-3</v>
      </c>
      <c r="DF343" s="561">
        <f t="shared" si="616"/>
        <v>0.01</v>
      </c>
      <c r="DG343" s="1846">
        <f t="shared" si="617"/>
        <v>-0.01</v>
      </c>
      <c r="DH343" s="561"/>
      <c r="DI343" s="692"/>
      <c r="DJ343" s="692"/>
      <c r="DK343" s="692"/>
      <c r="DL343" s="692"/>
      <c r="DM343" s="692"/>
      <c r="DN343" s="551"/>
      <c r="DO343" s="266"/>
      <c r="DY343" s="502"/>
      <c r="DZ343" s="502"/>
    </row>
    <row r="344" spans="1:130" ht="6" customHeight="1">
      <c r="A344" s="552"/>
      <c r="B344" s="228"/>
      <c r="C344" s="228"/>
      <c r="D344" s="694"/>
      <c r="E344" s="695"/>
      <c r="F344" s="695"/>
      <c r="G344" s="695"/>
      <c r="H344" s="696"/>
      <c r="I344" s="695"/>
      <c r="J344" s="695"/>
      <c r="K344" s="695"/>
      <c r="L344" s="695"/>
      <c r="M344" s="696"/>
      <c r="N344" s="695"/>
      <c r="O344" s="695"/>
      <c r="P344" s="695"/>
      <c r="Q344" s="695"/>
      <c r="R344" s="696"/>
      <c r="S344" s="695"/>
      <c r="T344" s="695"/>
      <c r="U344" s="695"/>
      <c r="V344" s="695"/>
      <c r="W344" s="696"/>
      <c r="X344" s="695"/>
      <c r="Y344" s="695"/>
      <c r="Z344" s="695"/>
      <c r="AA344" s="695"/>
      <c r="AB344" s="696"/>
      <c r="AC344" s="697"/>
      <c r="AD344" s="697"/>
      <c r="AE344" s="697"/>
      <c r="AF344" s="697"/>
      <c r="AG344" s="696"/>
      <c r="AH344" s="668"/>
      <c r="AI344" s="697"/>
      <c r="AJ344" s="668"/>
      <c r="AK344" s="668"/>
      <c r="AL344" s="696"/>
      <c r="AM344" s="668"/>
      <c r="AN344" s="668"/>
      <c r="AO344" s="668"/>
      <c r="AP344" s="668"/>
      <c r="AQ344" s="696"/>
      <c r="AR344" s="668"/>
      <c r="AS344" s="668"/>
      <c r="AT344" s="668"/>
      <c r="AU344" s="668"/>
      <c r="AV344" s="696"/>
      <c r="AW344" s="668"/>
      <c r="AX344" s="1653"/>
      <c r="AY344" s="668"/>
      <c r="AZ344" s="668"/>
      <c r="BA344" s="696"/>
      <c r="BB344" s="668"/>
      <c r="BC344" s="668"/>
      <c r="BD344" s="668"/>
      <c r="BE344" s="668"/>
      <c r="BF344" s="696"/>
      <c r="BG344" s="668"/>
      <c r="BH344" s="668"/>
      <c r="BI344" s="668"/>
      <c r="BJ344" s="2813"/>
      <c r="BK344" s="696"/>
      <c r="BL344" s="668"/>
      <c r="BM344" s="668"/>
      <c r="BN344" s="668"/>
      <c r="BO344" s="2813"/>
      <c r="BP344" s="696"/>
      <c r="BQ344" s="668"/>
      <c r="BR344" s="668"/>
      <c r="BS344" s="668"/>
      <c r="BT344" s="2813"/>
      <c r="BU344" s="3394"/>
      <c r="BV344" s="693"/>
      <c r="BW344" s="668"/>
      <c r="BX344" s="668"/>
      <c r="BY344" s="2813"/>
      <c r="BZ344" s="4009"/>
      <c r="CA344" s="696"/>
      <c r="CB344" s="696"/>
      <c r="CC344" s="696"/>
      <c r="CD344" s="696"/>
      <c r="CE344" s="696"/>
      <c r="CF344" s="696"/>
      <c r="CG344" s="696"/>
      <c r="CH344" s="668"/>
      <c r="CI344" s="668"/>
      <c r="CJ344" s="668"/>
      <c r="CK344" s="668"/>
      <c r="CL344" s="668"/>
      <c r="CM344" s="668"/>
      <c r="CN344" s="668"/>
      <c r="CO344" s="668"/>
      <c r="CP344" s="994"/>
      <c r="CQ344" s="589"/>
      <c r="CR344" s="589"/>
      <c r="CS344" s="589"/>
      <c r="CT344" s="589"/>
      <c r="CU344" s="589"/>
      <c r="CV344" s="589"/>
      <c r="CW344" s="589"/>
      <c r="CX344" s="589"/>
      <c r="CY344" s="589"/>
      <c r="CZ344" s="589"/>
      <c r="DA344" s="589"/>
      <c r="DB344" s="589"/>
      <c r="DC344" s="589"/>
      <c r="DD344" s="589"/>
      <c r="DE344" s="589"/>
      <c r="DF344" s="589"/>
      <c r="DG344" s="1870"/>
      <c r="DH344" s="689"/>
      <c r="DI344" s="689"/>
      <c r="DJ344" s="689"/>
      <c r="DK344" s="689"/>
      <c r="DL344" s="689"/>
      <c r="DM344" s="689"/>
      <c r="DN344" s="514"/>
      <c r="DO344" s="226"/>
      <c r="DY344" s="668"/>
      <c r="DZ344" s="668"/>
    </row>
    <row r="345" spans="1:130" ht="12" customHeight="1">
      <c r="A345" s="228" t="s">
        <v>401</v>
      </c>
      <c r="B345" s="228"/>
      <c r="C345" s="228"/>
      <c r="D345" s="553">
        <v>10.055</v>
      </c>
      <c r="E345" s="554">
        <v>8.798</v>
      </c>
      <c r="F345" s="554">
        <v>7.5970000000000004</v>
      </c>
      <c r="G345" s="554">
        <v>12.288</v>
      </c>
      <c r="H345" s="355">
        <f>SUM(D345:G345)</f>
        <v>38.738</v>
      </c>
      <c r="I345" s="554">
        <v>11.41</v>
      </c>
      <c r="J345" s="554">
        <v>14.327999999999999</v>
      </c>
      <c r="K345" s="554">
        <v>9.3460000000000001</v>
      </c>
      <c r="L345" s="554">
        <v>17.210999999999999</v>
      </c>
      <c r="M345" s="355">
        <f>SUM(I345:L345)</f>
        <v>52.295000000000002</v>
      </c>
      <c r="N345" s="554">
        <v>14.016</v>
      </c>
      <c r="O345" s="554">
        <v>12.906000000000001</v>
      </c>
      <c r="P345" s="554">
        <v>9.5359999999999996</v>
      </c>
      <c r="Q345" s="554">
        <v>17.114999999999998</v>
      </c>
      <c r="R345" s="355">
        <f>SUM(N345:Q345)</f>
        <v>53.572999999999993</v>
      </c>
      <c r="S345" s="554">
        <v>13.881</v>
      </c>
      <c r="T345" s="554">
        <v>13.155999999999999</v>
      </c>
      <c r="U345" s="554">
        <v>10.335999999999999</v>
      </c>
      <c r="V345" s="554">
        <v>14.753999999999998</v>
      </c>
      <c r="W345" s="355">
        <f>SUM(S345:V345)</f>
        <v>52.126999999999995</v>
      </c>
      <c r="X345" s="554">
        <v>10.168999999999997</v>
      </c>
      <c r="Y345" s="554">
        <v>10.323999999999998</v>
      </c>
      <c r="Z345" s="554">
        <v>6.9</v>
      </c>
      <c r="AA345" s="554">
        <v>13.264000000000003</v>
      </c>
      <c r="AB345" s="355">
        <f>SUM(X345:AA345)</f>
        <v>40.656999999999996</v>
      </c>
      <c r="AC345" s="554">
        <v>13.353999999999999</v>
      </c>
      <c r="AD345" s="554">
        <v>11.8</v>
      </c>
      <c r="AE345" s="554">
        <v>8.7010000000000005</v>
      </c>
      <c r="AF345" s="554">
        <v>12.247</v>
      </c>
      <c r="AG345" s="355">
        <f>SUM(AC345:AF345)</f>
        <v>46.102000000000004</v>
      </c>
      <c r="AH345" s="611">
        <v>8.3719999999999999</v>
      </c>
      <c r="AI345" s="554">
        <v>9.31</v>
      </c>
      <c r="AJ345" s="611">
        <v>5.6790000000000003</v>
      </c>
      <c r="AK345" s="611">
        <v>10.866</v>
      </c>
      <c r="AL345" s="355">
        <f>SUM(AH345:AK345)</f>
        <v>34.227000000000004</v>
      </c>
      <c r="AM345" s="611">
        <v>9.0039999999999996</v>
      </c>
      <c r="AN345" s="611">
        <v>9.3659999999999997</v>
      </c>
      <c r="AO345" s="611">
        <v>6.0049999999999999</v>
      </c>
      <c r="AP345" s="611">
        <v>10.839</v>
      </c>
      <c r="AQ345" s="355">
        <f>SUM(AM345:AP345)</f>
        <v>35.213999999999999</v>
      </c>
      <c r="AR345" s="611">
        <v>8.4320000000000004</v>
      </c>
      <c r="AS345" s="611">
        <v>8.109</v>
      </c>
      <c r="AT345" s="611">
        <v>6.3559999999999999</v>
      </c>
      <c r="AU345" s="611">
        <v>9.9350000000000005</v>
      </c>
      <c r="AV345" s="355">
        <f>SUM(AR345:AU345)</f>
        <v>32.832000000000001</v>
      </c>
      <c r="AW345" s="611">
        <v>7.1109999999999998</v>
      </c>
      <c r="AX345" s="611">
        <v>9.2970000000000006</v>
      </c>
      <c r="AY345" s="611">
        <v>5.5339999999999998</v>
      </c>
      <c r="AZ345" s="611">
        <v>13.093999999999999</v>
      </c>
      <c r="BA345" s="355">
        <f>SUM(AW345:AZ345)</f>
        <v>35.036000000000001</v>
      </c>
      <c r="BB345" s="2680">
        <v>9.327</v>
      </c>
      <c r="BC345" s="2680">
        <v>8.5510000000000002</v>
      </c>
      <c r="BD345" s="2680">
        <v>6.3150000000000004</v>
      </c>
      <c r="BE345" s="2680">
        <v>13.116</v>
      </c>
      <c r="BF345" s="355">
        <f>SUM(BB345:BE345)</f>
        <v>37.308999999999997</v>
      </c>
      <c r="BG345" s="2680">
        <v>10.677</v>
      </c>
      <c r="BH345" s="2680">
        <v>12.307</v>
      </c>
      <c r="BI345" s="2680">
        <v>10.144</v>
      </c>
      <c r="BJ345" s="2680">
        <v>16.186</v>
      </c>
      <c r="BK345" s="355">
        <f>SUM(BG345:BJ345)</f>
        <v>49.314</v>
      </c>
      <c r="BL345" s="3202">
        <v>12.680999999999999</v>
      </c>
      <c r="BM345" s="3202">
        <v>14.263</v>
      </c>
      <c r="BN345" s="3202">
        <v>10.018000000000001</v>
      </c>
      <c r="BO345" s="3202">
        <v>15.458</v>
      </c>
      <c r="BP345" s="355">
        <f>SUM(BL345:BO345)</f>
        <v>52.42</v>
      </c>
      <c r="BQ345" s="3202">
        <v>13.638</v>
      </c>
      <c r="BR345" s="3202">
        <v>12.583</v>
      </c>
      <c r="BS345" s="3202">
        <v>11.536</v>
      </c>
      <c r="BT345" s="3202">
        <v>16.777999999999999</v>
      </c>
      <c r="BU345" s="3357">
        <f>SUM(BQ345:BT345)</f>
        <v>54.534999999999997</v>
      </c>
      <c r="BV345" s="353">
        <f>BV339-BV342</f>
        <v>14.921069999999993</v>
      </c>
      <c r="BW345" s="354">
        <f t="shared" ref="BW345:BY345" si="649">BW339-BW342</f>
        <v>14.432745000000004</v>
      </c>
      <c r="BX345" s="354">
        <f t="shared" si="649"/>
        <v>12.415599999999998</v>
      </c>
      <c r="BY345" s="354">
        <f t="shared" si="649"/>
        <v>17.792799999999993</v>
      </c>
      <c r="BZ345" s="556">
        <f>SUM(BV345:BY345)</f>
        <v>59.562214999999988</v>
      </c>
      <c r="CA345" s="556">
        <f t="shared" ref="CA345:CG345" si="650">CA339-CA342</f>
        <v>62.660108999999949</v>
      </c>
      <c r="CB345" s="556">
        <f t="shared" si="650"/>
        <v>64.585825196999963</v>
      </c>
      <c r="CC345" s="556">
        <f t="shared" si="650"/>
        <v>57.543615867089983</v>
      </c>
      <c r="CD345" s="556">
        <f t="shared" si="650"/>
        <v>50.967904545777287</v>
      </c>
      <c r="CE345" s="556">
        <f t="shared" si="650"/>
        <v>53.78104994275256</v>
      </c>
      <c r="CF345" s="556">
        <f t="shared" si="650"/>
        <v>56.668396120727948</v>
      </c>
      <c r="CG345" s="556">
        <f t="shared" si="650"/>
        <v>59.631606474054053</v>
      </c>
      <c r="CH345" s="557"/>
      <c r="CI345" s="557"/>
      <c r="CJ345" s="557"/>
      <c r="CK345" s="557"/>
      <c r="CL345" s="557"/>
      <c r="CM345" s="965"/>
      <c r="CN345" s="965">
        <f t="shared" ref="CN345" si="651">SUM(BV345:BY345)</f>
        <v>59.562214999999988</v>
      </c>
      <c r="CO345" s="965">
        <f t="shared" ref="CO345" si="652">CM345-CN345</f>
        <v>-59.562214999999988</v>
      </c>
      <c r="CP345" s="1847" t="str">
        <f t="shared" si="600"/>
        <v>EBITDA</v>
      </c>
      <c r="CQ345" s="354">
        <f t="shared" si="601"/>
        <v>38.738</v>
      </c>
      <c r="CR345" s="354">
        <f t="shared" si="602"/>
        <v>52.295000000000002</v>
      </c>
      <c r="CS345" s="354">
        <f t="shared" si="603"/>
        <v>53.572999999999993</v>
      </c>
      <c r="CT345" s="354">
        <f t="shared" si="604"/>
        <v>52.126999999999995</v>
      </c>
      <c r="CU345" s="354">
        <f t="shared" si="605"/>
        <v>40.656999999999996</v>
      </c>
      <c r="CV345" s="354">
        <f t="shared" si="606"/>
        <v>46.102000000000004</v>
      </c>
      <c r="CW345" s="354">
        <f t="shared" si="607"/>
        <v>34.227000000000004</v>
      </c>
      <c r="CX345" s="354">
        <f t="shared" si="608"/>
        <v>35.213999999999999</v>
      </c>
      <c r="CY345" s="354">
        <f t="shared" si="609"/>
        <v>32.832000000000001</v>
      </c>
      <c r="CZ345" s="354">
        <f t="shared" si="610"/>
        <v>35.036000000000001</v>
      </c>
      <c r="DA345" s="354">
        <f t="shared" si="611"/>
        <v>37.308999999999997</v>
      </c>
      <c r="DB345" s="354">
        <f t="shared" si="612"/>
        <v>49.314</v>
      </c>
      <c r="DC345" s="354">
        <f t="shared" si="613"/>
        <v>52.42</v>
      </c>
      <c r="DD345" s="354">
        <f t="shared" si="614"/>
        <v>54.534999999999997</v>
      </c>
      <c r="DE345" s="354">
        <f t="shared" si="615"/>
        <v>59.562214999999988</v>
      </c>
      <c r="DF345" s="354">
        <f t="shared" si="616"/>
        <v>62.660108999999949</v>
      </c>
      <c r="DG345" s="1838">
        <f t="shared" si="617"/>
        <v>64.585825196999963</v>
      </c>
      <c r="DH345" s="558"/>
      <c r="DI345" s="558"/>
      <c r="DJ345" s="558"/>
      <c r="DK345" s="558"/>
      <c r="DL345" s="558"/>
      <c r="DM345" s="558"/>
      <c r="DN345" s="559"/>
      <c r="DO345" s="269"/>
      <c r="DY345" s="354"/>
      <c r="DZ345" s="354"/>
    </row>
    <row r="346" spans="1:130" ht="12" customHeight="1">
      <c r="A346" s="212" t="s">
        <v>56</v>
      </c>
      <c r="B346" s="545"/>
      <c r="C346" s="545"/>
      <c r="D346" s="560">
        <f>D345/D339</f>
        <v>0.16860621101348178</v>
      </c>
      <c r="E346" s="561">
        <f t="shared" ref="E346:M346" si="653">E345/E339</f>
        <v>0.14920209608764223</v>
      </c>
      <c r="F346" s="561">
        <f t="shared" si="653"/>
        <v>0.13288670433276778</v>
      </c>
      <c r="G346" s="561">
        <f t="shared" si="653"/>
        <v>0.19306790685981837</v>
      </c>
      <c r="H346" s="503">
        <f t="shared" si="653"/>
        <v>0.16180070003090827</v>
      </c>
      <c r="I346" s="561">
        <f t="shared" si="653"/>
        <v>0.18092444303496394</v>
      </c>
      <c r="J346" s="561">
        <f t="shared" si="653"/>
        <v>0.2133349215330097</v>
      </c>
      <c r="K346" s="561">
        <f t="shared" si="653"/>
        <v>0.15104158249430322</v>
      </c>
      <c r="L346" s="561">
        <f t="shared" si="653"/>
        <v>0.24851635260991986</v>
      </c>
      <c r="M346" s="503">
        <f t="shared" si="653"/>
        <v>0.20008876679203699</v>
      </c>
      <c r="N346" s="561">
        <f t="shared" ref="N346:AQ346" si="654">N345/N339</f>
        <v>0.21720130172013016</v>
      </c>
      <c r="O346" s="561">
        <f t="shared" si="654"/>
        <v>0.19834939370187657</v>
      </c>
      <c r="P346" s="561">
        <f t="shared" si="654"/>
        <v>0.16413645908637131</v>
      </c>
      <c r="Q346" s="561">
        <f t="shared" si="654"/>
        <v>0.24773470746605677</v>
      </c>
      <c r="R346" s="503">
        <f t="shared" si="654"/>
        <v>0.20863303749109161</v>
      </c>
      <c r="S346" s="561">
        <f t="shared" si="654"/>
        <v>0.21745805461125126</v>
      </c>
      <c r="T346" s="561">
        <f t="shared" si="654"/>
        <v>0.20244983380524437</v>
      </c>
      <c r="U346" s="561">
        <f t="shared" si="654"/>
        <v>0.17421497075629117</v>
      </c>
      <c r="V346" s="561">
        <f t="shared" si="654"/>
        <v>0.22054800663706889</v>
      </c>
      <c r="W346" s="503">
        <f t="shared" si="654"/>
        <v>0.20438514289747217</v>
      </c>
      <c r="X346" s="561">
        <f t="shared" si="654"/>
        <v>0.16689917773145788</v>
      </c>
      <c r="Y346" s="561">
        <f t="shared" si="654"/>
        <v>0.16395108781959661</v>
      </c>
      <c r="Z346" s="561">
        <f t="shared" si="654"/>
        <v>0.12414984346324084</v>
      </c>
      <c r="AA346" s="561">
        <f t="shared" si="654"/>
        <v>0.21831947987819936</v>
      </c>
      <c r="AB346" s="503">
        <f t="shared" si="654"/>
        <v>0.16924056745146357</v>
      </c>
      <c r="AC346" s="561">
        <f t="shared" si="654"/>
        <v>0.22763146680303417</v>
      </c>
      <c r="AD346" s="561">
        <f t="shared" si="654"/>
        <v>0.20494294596800808</v>
      </c>
      <c r="AE346" s="561">
        <f t="shared" si="654"/>
        <v>0.15861239221977141</v>
      </c>
      <c r="AF346" s="561">
        <f t="shared" si="654"/>
        <v>0.2109769332805044</v>
      </c>
      <c r="AG346" s="503">
        <f t="shared" si="654"/>
        <v>0.20118875137465744</v>
      </c>
      <c r="AH346" s="561">
        <f>AH345/AH339</f>
        <v>0.1550169422482271</v>
      </c>
      <c r="AI346" s="561">
        <f>AI345/AI339</f>
        <v>0.1687113785042495</v>
      </c>
      <c r="AJ346" s="561">
        <f t="shared" si="654"/>
        <v>0.10942618212647887</v>
      </c>
      <c r="AK346" s="561">
        <f t="shared" si="654"/>
        <v>0.19018780739677593</v>
      </c>
      <c r="AL346" s="503">
        <f t="shared" si="654"/>
        <v>0.1568455831473598</v>
      </c>
      <c r="AM346" s="561">
        <f t="shared" si="654"/>
        <v>0.16175044012503142</v>
      </c>
      <c r="AN346" s="561">
        <f t="shared" si="654"/>
        <v>0.16552089776442519</v>
      </c>
      <c r="AO346" s="561">
        <f t="shared" si="654"/>
        <v>0.11260712209574887</v>
      </c>
      <c r="AP346" s="561">
        <f t="shared" si="654"/>
        <v>0.18474203609960629</v>
      </c>
      <c r="AQ346" s="503">
        <f t="shared" si="654"/>
        <v>0.1570308005832802</v>
      </c>
      <c r="AR346" s="561">
        <f t="shared" ref="AR346:CB346" si="655">AR345/AR339</f>
        <v>0.14790906539433063</v>
      </c>
      <c r="AS346" s="561">
        <f t="shared" si="655"/>
        <v>0.14496147589338387</v>
      </c>
      <c r="AT346" s="561">
        <f t="shared" si="655"/>
        <v>0.11869946028722431</v>
      </c>
      <c r="AU346" s="561">
        <f t="shared" si="655"/>
        <v>0.17223146799805841</v>
      </c>
      <c r="AV346" s="503">
        <f t="shared" si="655"/>
        <v>0.14645504911275861</v>
      </c>
      <c r="AW346" s="561">
        <f t="shared" si="655"/>
        <v>0.131483090804874</v>
      </c>
      <c r="AX346" s="561">
        <f t="shared" si="655"/>
        <v>0.16563925313568986</v>
      </c>
      <c r="AY346" s="561">
        <f t="shared" si="655"/>
        <v>0.10506132057561605</v>
      </c>
      <c r="AZ346" s="561">
        <f t="shared" si="655"/>
        <v>0.21884976015777771</v>
      </c>
      <c r="BA346" s="503">
        <f t="shared" si="655"/>
        <v>0.15731245173225095</v>
      </c>
      <c r="BB346" s="561">
        <f t="shared" si="655"/>
        <v>0.16735147937487665</v>
      </c>
      <c r="BC346" s="561">
        <f t="shared" si="655"/>
        <v>0.15392785138248849</v>
      </c>
      <c r="BD346" s="561">
        <f t="shared" si="655"/>
        <v>0.11830495138537628</v>
      </c>
      <c r="BE346" s="561">
        <f t="shared" si="655"/>
        <v>0.22002650517521935</v>
      </c>
      <c r="BF346" s="503">
        <f t="shared" si="655"/>
        <v>0.16635380671051164</v>
      </c>
      <c r="BG346" s="561">
        <f>BG345/BG339</f>
        <v>0.18862957793756513</v>
      </c>
      <c r="BH346" s="561">
        <f>BH345/BH339</f>
        <v>0.21061368381421777</v>
      </c>
      <c r="BI346" s="561">
        <f>BI345/BI339</f>
        <v>0.17895386786627857</v>
      </c>
      <c r="BJ346" s="1846">
        <f>BJ345/BJ339</f>
        <v>0.25910451583985655</v>
      </c>
      <c r="BK346" s="503">
        <f t="shared" si="655"/>
        <v>0.21057171283268786</v>
      </c>
      <c r="BL346" s="561">
        <f t="shared" ref="BL346:BU346" si="656">BL345/BL339</f>
        <v>0.21638085487586384</v>
      </c>
      <c r="BM346" s="561">
        <f t="shared" si="656"/>
        <v>0.24088022698101735</v>
      </c>
      <c r="BN346" s="561">
        <f t="shared" si="656"/>
        <v>0.17697770554358197</v>
      </c>
      <c r="BO346" s="1846">
        <f t="shared" si="656"/>
        <v>0.24947548497466188</v>
      </c>
      <c r="BP346" s="503">
        <f t="shared" si="656"/>
        <v>0.22175687966664553</v>
      </c>
      <c r="BQ346" s="561">
        <f t="shared" si="656"/>
        <v>0.224516001580403</v>
      </c>
      <c r="BR346" s="561">
        <f t="shared" si="656"/>
        <v>0.21126240325044912</v>
      </c>
      <c r="BS346" s="561">
        <f t="shared" si="656"/>
        <v>0.19608376393799293</v>
      </c>
      <c r="BT346" s="1846">
        <f t="shared" si="656"/>
        <v>0.26050367978138678</v>
      </c>
      <c r="BU346" s="3971">
        <f t="shared" si="656"/>
        <v>0.2239234960561379</v>
      </c>
      <c r="BV346" s="560">
        <f t="shared" ref="BV346:BZ346" si="657">BV345/BV339</f>
        <v>0.23964739667151702</v>
      </c>
      <c r="BW346" s="561">
        <f t="shared" si="657"/>
        <v>0.23412436257652314</v>
      </c>
      <c r="BX346" s="561">
        <f t="shared" si="657"/>
        <v>0.20588762047533446</v>
      </c>
      <c r="BY346" s="1846">
        <f t="shared" si="657"/>
        <v>0.26952192758893079</v>
      </c>
      <c r="BZ346" s="358">
        <f t="shared" si="657"/>
        <v>0.23803255030024015</v>
      </c>
      <c r="CA346" s="503">
        <f t="shared" si="655"/>
        <v>0.24550281941494353</v>
      </c>
      <c r="CB346" s="503">
        <f t="shared" si="655"/>
        <v>0.25304779122079413</v>
      </c>
      <c r="CC346" s="503">
        <f>CC345/CC339</f>
        <v>0.23732248156228461</v>
      </c>
      <c r="CD346" s="503">
        <f>CD345/CD339</f>
        <v>0.22126611275306959</v>
      </c>
      <c r="CE346" s="503">
        <f>CE345/CE339</f>
        <v>0.22890075870647086</v>
      </c>
      <c r="CF346" s="503">
        <f>CF345/CF339</f>
        <v>0.23646055518974082</v>
      </c>
      <c r="CG346" s="503">
        <f>CG345/CG339</f>
        <v>0.24394623602121399</v>
      </c>
      <c r="CH346" s="561"/>
      <c r="CI346" s="561"/>
      <c r="CJ346" s="561"/>
      <c r="CK346" s="561"/>
      <c r="CL346" s="561"/>
      <c r="CM346" s="561"/>
      <c r="CN346" s="561"/>
      <c r="CO346" s="561"/>
      <c r="CP346" s="1856" t="str">
        <f t="shared" si="600"/>
        <v>% Margin</v>
      </c>
      <c r="CQ346" s="561">
        <f t="shared" si="601"/>
        <v>0.16180070003090827</v>
      </c>
      <c r="CR346" s="561">
        <f t="shared" si="602"/>
        <v>0.20008876679203699</v>
      </c>
      <c r="CS346" s="561">
        <f t="shared" si="603"/>
        <v>0.20863303749109161</v>
      </c>
      <c r="CT346" s="561">
        <f t="shared" si="604"/>
        <v>0.20438514289747217</v>
      </c>
      <c r="CU346" s="561">
        <f t="shared" si="605"/>
        <v>0.16924056745146357</v>
      </c>
      <c r="CV346" s="561">
        <f t="shared" si="606"/>
        <v>0.20118875137465744</v>
      </c>
      <c r="CW346" s="561">
        <f t="shared" si="607"/>
        <v>0.1568455831473598</v>
      </c>
      <c r="CX346" s="561">
        <f t="shared" si="608"/>
        <v>0.1570308005832802</v>
      </c>
      <c r="CY346" s="561">
        <f t="shared" si="609"/>
        <v>0.14645504911275861</v>
      </c>
      <c r="CZ346" s="561">
        <f t="shared" si="610"/>
        <v>0.15731245173225095</v>
      </c>
      <c r="DA346" s="561">
        <f t="shared" si="611"/>
        <v>0.16635380671051164</v>
      </c>
      <c r="DB346" s="561">
        <f t="shared" si="612"/>
        <v>0.21057171283268786</v>
      </c>
      <c r="DC346" s="561">
        <f t="shared" si="613"/>
        <v>0.22175687966664553</v>
      </c>
      <c r="DD346" s="561">
        <f t="shared" si="614"/>
        <v>0.2239234960561379</v>
      </c>
      <c r="DE346" s="561">
        <f t="shared" si="615"/>
        <v>0.23803255030024015</v>
      </c>
      <c r="DF346" s="561">
        <f t="shared" si="616"/>
        <v>0.24550281941494353</v>
      </c>
      <c r="DG346" s="1846">
        <f t="shared" si="617"/>
        <v>0.25304779122079413</v>
      </c>
      <c r="DH346" s="573"/>
      <c r="DI346" s="573"/>
      <c r="DJ346" s="573"/>
      <c r="DK346" s="573"/>
      <c r="DL346" s="573"/>
      <c r="DM346" s="573"/>
      <c r="DN346" s="551"/>
      <c r="DO346" s="266"/>
      <c r="DY346" s="502"/>
      <c r="DZ346" s="502"/>
    </row>
    <row r="347" spans="1:130" ht="12" customHeight="1">
      <c r="A347" s="257" t="s">
        <v>1249</v>
      </c>
      <c r="B347" s="545"/>
      <c r="C347" s="545"/>
      <c r="D347" s="358"/>
      <c r="E347" s="502"/>
      <c r="F347" s="502"/>
      <c r="G347" s="502"/>
      <c r="H347" s="503"/>
      <c r="I347" s="502">
        <f t="shared" ref="I347:O347" si="658">+I345/D345-1</f>
        <v>0.13475882645450032</v>
      </c>
      <c r="J347" s="502">
        <f t="shared" si="658"/>
        <v>0.62855194362355071</v>
      </c>
      <c r="K347" s="502">
        <f t="shared" si="658"/>
        <v>0.2302224562327233</v>
      </c>
      <c r="L347" s="502">
        <f t="shared" si="658"/>
        <v>0.40063476562499978</v>
      </c>
      <c r="M347" s="503">
        <f>+M345/H345-1</f>
        <v>0.34996644122050702</v>
      </c>
      <c r="N347" s="502">
        <f t="shared" si="658"/>
        <v>0.22839614373356709</v>
      </c>
      <c r="O347" s="502">
        <f t="shared" si="658"/>
        <v>-9.9246231155778797E-2</v>
      </c>
      <c r="P347" s="502">
        <f t="shared" ref="P347:U347" si="659">+P345/K345-1</f>
        <v>2.0329552749839497E-2</v>
      </c>
      <c r="Q347" s="502">
        <f t="shared" si="659"/>
        <v>-5.5778281331706481E-3</v>
      </c>
      <c r="R347" s="503">
        <f t="shared" si="659"/>
        <v>2.4438282818624923E-2</v>
      </c>
      <c r="S347" s="502">
        <f t="shared" si="659"/>
        <v>-9.6318493150684414E-3</v>
      </c>
      <c r="T347" s="502">
        <f t="shared" si="659"/>
        <v>1.937083527041672E-2</v>
      </c>
      <c r="U347" s="502">
        <f t="shared" si="659"/>
        <v>8.3892617449664364E-2</v>
      </c>
      <c r="V347" s="502">
        <f t="shared" ref="V347:AG347" si="660">+V345/Q345-1</f>
        <v>-0.13794916739702023</v>
      </c>
      <c r="W347" s="503">
        <f t="shared" si="660"/>
        <v>-2.6991208257891031E-2</v>
      </c>
      <c r="X347" s="502">
        <f t="shared" si="660"/>
        <v>-0.26741589222678508</v>
      </c>
      <c r="Y347" s="502">
        <f t="shared" si="660"/>
        <v>-0.21526299787169356</v>
      </c>
      <c r="Z347" s="502">
        <f t="shared" si="660"/>
        <v>-0.33243034055727538</v>
      </c>
      <c r="AA347" s="502">
        <f t="shared" si="660"/>
        <v>-0.10098956215263621</v>
      </c>
      <c r="AB347" s="503">
        <f>+AB345/W345-1</f>
        <v>-0.2200395188673816</v>
      </c>
      <c r="AC347" s="502">
        <f>+AC345/X345-1</f>
        <v>0.31320680499557518</v>
      </c>
      <c r="AD347" s="502">
        <f>+AD345/Y345-1</f>
        <v>0.14296784192173595</v>
      </c>
      <c r="AE347" s="502">
        <f>+AE345/Z345-1</f>
        <v>0.2610144927536231</v>
      </c>
      <c r="AF347" s="502">
        <f>+AF345/AA345-1</f>
        <v>-7.6673703256936232E-2</v>
      </c>
      <c r="AG347" s="503">
        <f t="shared" si="660"/>
        <v>0.1339252773200188</v>
      </c>
      <c r="AH347" s="502">
        <f>+AH345/AC345-1</f>
        <v>-0.37307173880485245</v>
      </c>
      <c r="AI347" s="502">
        <f>+AI345/AD345-1</f>
        <v>-0.21101694915254243</v>
      </c>
      <c r="AJ347" s="502">
        <f t="shared" ref="AJ347:AQ347" si="661">+AJ345/AE345-1</f>
        <v>-0.34731640041374556</v>
      </c>
      <c r="AK347" s="502">
        <f t="shared" si="661"/>
        <v>-0.11276230913693153</v>
      </c>
      <c r="AL347" s="503">
        <f t="shared" si="661"/>
        <v>-0.25758101600798233</v>
      </c>
      <c r="AM347" s="502">
        <f t="shared" si="661"/>
        <v>7.5489727663640593E-2</v>
      </c>
      <c r="AN347" s="502">
        <f t="shared" si="661"/>
        <v>6.0150375939849177E-3</v>
      </c>
      <c r="AO347" s="502">
        <f t="shared" si="661"/>
        <v>5.7404472618418634E-2</v>
      </c>
      <c r="AP347" s="502">
        <f t="shared" si="661"/>
        <v>-2.4848150193262919E-3</v>
      </c>
      <c r="AQ347" s="503">
        <f t="shared" si="661"/>
        <v>2.8836883162415505E-2</v>
      </c>
      <c r="AR347" s="502">
        <f t="shared" ref="AR347:BG347" si="662">+AR345/AM345-1</f>
        <v>-6.3527321190581909E-2</v>
      </c>
      <c r="AS347" s="502">
        <f t="shared" si="662"/>
        <v>-0.13420884048686732</v>
      </c>
      <c r="AT347" s="502">
        <f t="shared" si="662"/>
        <v>5.8451290591174043E-2</v>
      </c>
      <c r="AU347" s="502">
        <f t="shared" si="662"/>
        <v>-8.3402527908478685E-2</v>
      </c>
      <c r="AV347" s="503">
        <f t="shared" si="662"/>
        <v>-6.764355086045315E-2</v>
      </c>
      <c r="AW347" s="502">
        <f t="shared" si="662"/>
        <v>-0.15666508538899437</v>
      </c>
      <c r="AX347" s="502">
        <f t="shared" si="662"/>
        <v>0.14650388457269714</v>
      </c>
      <c r="AY347" s="502">
        <f t="shared" si="662"/>
        <v>-0.12932662051604782</v>
      </c>
      <c r="AZ347" s="502">
        <f t="shared" si="662"/>
        <v>0.31796678409662804</v>
      </c>
      <c r="BA347" s="503">
        <f t="shared" si="662"/>
        <v>6.7129629629629539E-2</v>
      </c>
      <c r="BB347" s="502">
        <f t="shared" si="662"/>
        <v>0.31162986921670655</v>
      </c>
      <c r="BC347" s="502">
        <f t="shared" si="662"/>
        <v>-8.0240937936968959E-2</v>
      </c>
      <c r="BD347" s="502">
        <f t="shared" si="662"/>
        <v>0.14112757499096507</v>
      </c>
      <c r="BE347" s="502">
        <f t="shared" si="662"/>
        <v>1.6801588513823962E-3</v>
      </c>
      <c r="BF347" s="503">
        <f t="shared" si="662"/>
        <v>6.4876127411804818E-2</v>
      </c>
      <c r="BG347" s="502">
        <f t="shared" si="662"/>
        <v>0.14474107430041805</v>
      </c>
      <c r="BH347" s="502">
        <f t="shared" ref="BH347:BP347" si="663">+BH345/BC345-1</f>
        <v>0.43924687171091104</v>
      </c>
      <c r="BI347" s="502">
        <f t="shared" si="663"/>
        <v>0.60633412509897067</v>
      </c>
      <c r="BJ347" s="1855">
        <f t="shared" si="663"/>
        <v>0.23406526379993897</v>
      </c>
      <c r="BK347" s="503">
        <f t="shared" si="663"/>
        <v>0.32177222654051318</v>
      </c>
      <c r="BL347" s="502">
        <f t="shared" si="663"/>
        <v>0.18769317223939308</v>
      </c>
      <c r="BM347" s="502">
        <f t="shared" si="663"/>
        <v>0.15893394003412697</v>
      </c>
      <c r="BN347" s="502">
        <f t="shared" si="663"/>
        <v>-1.2421135646687675E-2</v>
      </c>
      <c r="BO347" s="1855">
        <f t="shared" si="663"/>
        <v>-4.4977140738910126E-2</v>
      </c>
      <c r="BP347" s="503">
        <f t="shared" si="663"/>
        <v>6.2984142434197254E-2</v>
      </c>
      <c r="BQ347" s="502">
        <f t="shared" ref="BQ347:BZ347" si="664">+BQ345/BL345-1</f>
        <v>7.5467234445233178E-2</v>
      </c>
      <c r="BR347" s="502">
        <f t="shared" si="664"/>
        <v>-0.117787281778027</v>
      </c>
      <c r="BS347" s="502">
        <f>+BS345/BN345-1</f>
        <v>0.151527250948293</v>
      </c>
      <c r="BT347" s="1855">
        <f t="shared" si="664"/>
        <v>8.5392676931038913E-2</v>
      </c>
      <c r="BU347" s="3971">
        <f t="shared" si="664"/>
        <v>4.0347195726821772E-2</v>
      </c>
      <c r="BV347" s="358">
        <f t="shared" si="664"/>
        <v>9.4080510338758749E-2</v>
      </c>
      <c r="BW347" s="502">
        <f t="shared" si="664"/>
        <v>0.14700349678137203</v>
      </c>
      <c r="BX347" s="502">
        <f>+BX345/BS345-1</f>
        <v>7.6248266296809808E-2</v>
      </c>
      <c r="BY347" s="1855">
        <f t="shared" si="664"/>
        <v>6.0483967099773217E-2</v>
      </c>
      <c r="BZ347" s="358">
        <f t="shared" si="664"/>
        <v>9.2183276794718827E-2</v>
      </c>
      <c r="CA347" s="503">
        <f t="shared" ref="CA347:CG347" si="665">+CA345/BZ345-1</f>
        <v>5.2011061039284101E-2</v>
      </c>
      <c r="CB347" s="503">
        <f t="shared" si="665"/>
        <v>3.0732729765918787E-2</v>
      </c>
      <c r="CC347" s="503">
        <f t="shared" si="665"/>
        <v>-0.10903645356283365</v>
      </c>
      <c r="CD347" s="503">
        <f t="shared" si="665"/>
        <v>-0.11427351622290804</v>
      </c>
      <c r="CE347" s="503">
        <f t="shared" si="665"/>
        <v>5.5194448781951122E-2</v>
      </c>
      <c r="CF347" s="503">
        <f t="shared" si="665"/>
        <v>5.3687054846434545E-2</v>
      </c>
      <c r="CG347" s="503">
        <f t="shared" si="665"/>
        <v>5.2290351521740552E-2</v>
      </c>
      <c r="CH347" s="561"/>
      <c r="CI347" s="561"/>
      <c r="CJ347" s="561"/>
      <c r="CK347" s="561"/>
      <c r="CL347" s="561"/>
      <c r="CM347" s="561"/>
      <c r="CN347" s="561"/>
      <c r="CO347" s="561"/>
      <c r="CP347" s="396" t="str">
        <f t="shared" si="600"/>
        <v>% Growth (y-o-y)</v>
      </c>
      <c r="CQ347" s="502"/>
      <c r="CR347" s="502">
        <f t="shared" si="602"/>
        <v>0.34996644122050702</v>
      </c>
      <c r="CS347" s="502">
        <f t="shared" si="603"/>
        <v>2.4438282818624923E-2</v>
      </c>
      <c r="CT347" s="502">
        <f t="shared" si="604"/>
        <v>-2.6991208257891031E-2</v>
      </c>
      <c r="CU347" s="502">
        <f t="shared" si="605"/>
        <v>-0.2200395188673816</v>
      </c>
      <c r="CV347" s="502">
        <f t="shared" si="606"/>
        <v>0.1339252773200188</v>
      </c>
      <c r="CW347" s="502">
        <f t="shared" si="607"/>
        <v>-0.25758101600798233</v>
      </c>
      <c r="CX347" s="502">
        <f t="shared" si="608"/>
        <v>2.8836883162415505E-2</v>
      </c>
      <c r="CY347" s="502">
        <f t="shared" si="609"/>
        <v>-6.764355086045315E-2</v>
      </c>
      <c r="CZ347" s="502">
        <f t="shared" si="610"/>
        <v>6.7129629629629539E-2</v>
      </c>
      <c r="DA347" s="502">
        <f t="shared" si="611"/>
        <v>6.4876127411804818E-2</v>
      </c>
      <c r="DB347" s="502">
        <f t="shared" si="612"/>
        <v>0.32177222654051318</v>
      </c>
      <c r="DC347" s="502">
        <f t="shared" si="613"/>
        <v>6.2984142434197254E-2</v>
      </c>
      <c r="DD347" s="502">
        <f t="shared" si="614"/>
        <v>4.0347195726821772E-2</v>
      </c>
      <c r="DE347" s="502">
        <f t="shared" si="615"/>
        <v>9.2183276794718827E-2</v>
      </c>
      <c r="DF347" s="502">
        <f t="shared" si="616"/>
        <v>5.2011061039284101E-2</v>
      </c>
      <c r="DG347" s="1855">
        <f t="shared" si="617"/>
        <v>3.0732729765918787E-2</v>
      </c>
      <c r="DH347" s="573"/>
      <c r="DI347" s="573"/>
      <c r="DJ347" s="573"/>
      <c r="DK347" s="573"/>
      <c r="DL347" s="573"/>
      <c r="DM347" s="573"/>
      <c r="DN347" s="551"/>
      <c r="DO347" s="266"/>
      <c r="DY347" s="502"/>
      <c r="DZ347" s="502"/>
    </row>
    <row r="348" spans="1:130" ht="6" customHeight="1">
      <c r="A348" s="552"/>
      <c r="B348" s="228"/>
      <c r="C348" s="228"/>
      <c r="D348" s="596"/>
      <c r="E348" s="570"/>
      <c r="F348" s="570"/>
      <c r="G348" s="570"/>
      <c r="H348" s="302"/>
      <c r="I348" s="570"/>
      <c r="J348" s="570"/>
      <c r="K348" s="570"/>
      <c r="L348" s="570"/>
      <c r="M348" s="302"/>
      <c r="N348" s="570"/>
      <c r="O348" s="570"/>
      <c r="P348" s="570"/>
      <c r="Q348" s="570"/>
      <c r="R348" s="302"/>
      <c r="S348" s="570"/>
      <c r="T348" s="570"/>
      <c r="U348" s="570"/>
      <c r="V348" s="570"/>
      <c r="W348" s="302"/>
      <c r="X348" s="570"/>
      <c r="Y348" s="570"/>
      <c r="Z348" s="570"/>
      <c r="AA348" s="570"/>
      <c r="AB348" s="302"/>
      <c r="AC348" s="570"/>
      <c r="AD348" s="570"/>
      <c r="AE348" s="570"/>
      <c r="AF348" s="570"/>
      <c r="AG348" s="302"/>
      <c r="AH348" s="570"/>
      <c r="AI348" s="570"/>
      <c r="AJ348" s="570"/>
      <c r="AK348" s="570"/>
      <c r="AL348" s="302"/>
      <c r="AM348" s="570"/>
      <c r="AN348" s="570"/>
      <c r="AO348" s="570"/>
      <c r="AP348" s="570"/>
      <c r="AQ348" s="302"/>
      <c r="AR348" s="570"/>
      <c r="AS348" s="570"/>
      <c r="AT348" s="570"/>
      <c r="AU348" s="570"/>
      <c r="AV348" s="569"/>
      <c r="AW348" s="570"/>
      <c r="AX348" s="570"/>
      <c r="AY348" s="570"/>
      <c r="AZ348" s="570"/>
      <c r="BA348" s="569"/>
      <c r="BB348" s="570"/>
      <c r="BC348" s="570"/>
      <c r="BD348" s="570"/>
      <c r="BE348" s="570"/>
      <c r="BF348" s="569"/>
      <c r="BG348" s="596"/>
      <c r="BH348" s="570"/>
      <c r="BI348" s="570"/>
      <c r="BJ348" s="2807"/>
      <c r="BK348" s="569"/>
      <c r="BL348" s="570"/>
      <c r="BM348" s="570"/>
      <c r="BN348" s="570"/>
      <c r="BO348" s="2807"/>
      <c r="BP348" s="569"/>
      <c r="BQ348" s="570"/>
      <c r="BR348" s="570"/>
      <c r="BS348" s="570"/>
      <c r="BT348" s="2807"/>
      <c r="BU348" s="3391"/>
      <c r="BV348" s="596"/>
      <c r="BW348" s="570"/>
      <c r="BX348" s="570"/>
      <c r="BY348" s="2807"/>
      <c r="BZ348" s="3865"/>
      <c r="CA348" s="569"/>
      <c r="CB348" s="569"/>
      <c r="CC348" s="569"/>
      <c r="CD348" s="569"/>
      <c r="CE348" s="569"/>
      <c r="CF348" s="569"/>
      <c r="CG348" s="569"/>
      <c r="CH348" s="570"/>
      <c r="CI348" s="570"/>
      <c r="CJ348" s="570"/>
      <c r="CK348" s="570"/>
      <c r="CL348" s="570"/>
      <c r="CM348" s="570"/>
      <c r="CN348" s="570"/>
      <c r="CO348" s="570"/>
      <c r="CP348" s="994"/>
      <c r="CQ348" s="592"/>
      <c r="CR348" s="592"/>
      <c r="CS348" s="592"/>
      <c r="CT348" s="592"/>
      <c r="CU348" s="592"/>
      <c r="CV348" s="592"/>
      <c r="CW348" s="592"/>
      <c r="CX348" s="592"/>
      <c r="CY348" s="592"/>
      <c r="CZ348" s="592"/>
      <c r="DA348" s="592"/>
      <c r="DB348" s="592"/>
      <c r="DC348" s="592"/>
      <c r="DD348" s="592"/>
      <c r="DE348" s="592"/>
      <c r="DF348" s="592"/>
      <c r="DG348" s="1850"/>
      <c r="DH348" s="595"/>
      <c r="DI348" s="595"/>
      <c r="DJ348" s="595"/>
      <c r="DK348" s="595"/>
      <c r="DL348" s="595"/>
      <c r="DM348" s="595"/>
      <c r="DN348" s="514"/>
      <c r="DO348" s="226"/>
      <c r="DY348" s="570"/>
      <c r="DZ348" s="570"/>
    </row>
    <row r="349" spans="1:130" ht="12" customHeight="1">
      <c r="A349" s="552" t="s">
        <v>372</v>
      </c>
      <c r="B349" s="228"/>
      <c r="C349" s="228"/>
      <c r="D349" s="584">
        <v>3.7160000000000002</v>
      </c>
      <c r="E349" s="583">
        <v>3.7130000000000001</v>
      </c>
      <c r="F349" s="583">
        <v>3.8010000000000002</v>
      </c>
      <c r="G349" s="583">
        <v>3.8650000000000002</v>
      </c>
      <c r="H349" s="585">
        <f>SUM(D349:G349)</f>
        <v>15.095000000000001</v>
      </c>
      <c r="I349" s="583">
        <v>3.7480000000000002</v>
      </c>
      <c r="J349" s="583">
        <v>3.6110000000000002</v>
      </c>
      <c r="K349" s="583">
        <v>3.8290000000000002</v>
      </c>
      <c r="L349" s="583">
        <v>4.4210000000000003</v>
      </c>
      <c r="M349" s="585">
        <f>SUM(I349:L349)</f>
        <v>15.609000000000002</v>
      </c>
      <c r="N349" s="581"/>
      <c r="O349" s="581"/>
      <c r="P349" s="581"/>
      <c r="Q349" s="581"/>
      <c r="R349" s="585"/>
      <c r="S349" s="581"/>
      <c r="T349" s="581"/>
      <c r="U349" s="581"/>
      <c r="V349" s="581"/>
      <c r="W349" s="585"/>
      <c r="X349" s="581"/>
      <c r="Y349" s="581"/>
      <c r="Z349" s="581"/>
      <c r="AA349" s="581"/>
      <c r="AB349" s="585"/>
      <c r="AC349" s="581"/>
      <c r="AD349" s="581"/>
      <c r="AE349" s="581"/>
      <c r="AF349" s="581"/>
      <c r="AG349" s="585"/>
      <c r="AH349" s="581"/>
      <c r="AI349" s="581"/>
      <c r="AJ349" s="581"/>
      <c r="AK349" s="581"/>
      <c r="AL349" s="585"/>
      <c r="AM349" s="581"/>
      <c r="AN349" s="581"/>
      <c r="AO349" s="581"/>
      <c r="AP349" s="581"/>
      <c r="AQ349" s="585"/>
      <c r="AR349" s="581"/>
      <c r="AS349" s="581"/>
      <c r="AT349" s="581"/>
      <c r="AU349" s="581"/>
      <c r="AV349" s="588"/>
      <c r="AW349" s="581"/>
      <c r="AX349" s="581"/>
      <c r="AY349" s="581"/>
      <c r="AZ349" s="581"/>
      <c r="BA349" s="588"/>
      <c r="BB349" s="581"/>
      <c r="BC349" s="581"/>
      <c r="BD349" s="581"/>
      <c r="BE349" s="581"/>
      <c r="BF349" s="588"/>
      <c r="BG349" s="580"/>
      <c r="BH349" s="581"/>
      <c r="BI349" s="581"/>
      <c r="BJ349" s="869"/>
      <c r="BK349" s="588"/>
      <c r="BL349" s="581"/>
      <c r="BM349" s="581"/>
      <c r="BN349" s="581"/>
      <c r="BO349" s="869"/>
      <c r="BP349" s="588"/>
      <c r="BQ349" s="581"/>
      <c r="BR349" s="581"/>
      <c r="BS349" s="581"/>
      <c r="BT349" s="869"/>
      <c r="BU349" s="3376"/>
      <c r="BV349" s="581"/>
      <c r="BW349" s="581"/>
      <c r="BX349" s="581"/>
      <c r="BY349" s="869"/>
      <c r="BZ349" s="588"/>
      <c r="CA349" s="588"/>
      <c r="CB349" s="588"/>
      <c r="CC349" s="588"/>
      <c r="CD349" s="588"/>
      <c r="CE349" s="588"/>
      <c r="CF349" s="588"/>
      <c r="CG349" s="588"/>
      <c r="CH349" s="581"/>
      <c r="CI349" s="581"/>
      <c r="CJ349" s="581"/>
      <c r="CK349" s="581"/>
      <c r="CL349" s="581"/>
      <c r="CM349" s="581"/>
      <c r="CN349" s="581"/>
      <c r="CO349" s="581"/>
      <c r="CP349" s="994" t="str">
        <f t="shared" si="600"/>
        <v>Depreciation</v>
      </c>
      <c r="CQ349" s="581">
        <f t="shared" si="601"/>
        <v>15.095000000000001</v>
      </c>
      <c r="CR349" s="581">
        <f t="shared" si="602"/>
        <v>15.609000000000002</v>
      </c>
      <c r="CS349" s="581"/>
      <c r="CT349" s="581"/>
      <c r="CU349" s="581"/>
      <c r="CV349" s="581"/>
      <c r="CW349" s="581"/>
      <c r="CX349" s="581"/>
      <c r="CY349" s="581"/>
      <c r="CZ349" s="581"/>
      <c r="DA349" s="581"/>
      <c r="DB349" s="581"/>
      <c r="DC349" s="581"/>
      <c r="DD349" s="581"/>
      <c r="DE349" s="581"/>
      <c r="DF349" s="581"/>
      <c r="DG349" s="869"/>
      <c r="DH349" s="590"/>
      <c r="DI349" s="590"/>
      <c r="DJ349" s="590"/>
      <c r="DK349" s="590"/>
      <c r="DL349" s="590"/>
      <c r="DM349" s="590"/>
      <c r="DN349" s="514"/>
      <c r="DO349" s="226"/>
      <c r="DY349" s="581"/>
      <c r="DZ349" s="581"/>
    </row>
    <row r="350" spans="1:130" ht="12" customHeight="1">
      <c r="A350" s="567" t="s">
        <v>1103</v>
      </c>
      <c r="B350" s="545"/>
      <c r="C350" s="545"/>
      <c r="D350" s="560">
        <f>D349/D339</f>
        <v>6.2311355557046082E-2</v>
      </c>
      <c r="E350" s="561">
        <f t="shared" ref="E350:M350" si="666">E349/E339</f>
        <v>6.2967422456628286E-2</v>
      </c>
      <c r="F350" s="561">
        <f t="shared" si="666"/>
        <v>6.6487082159911851E-2</v>
      </c>
      <c r="G350" s="561">
        <f t="shared" si="666"/>
        <v>6.0726518555761562E-2</v>
      </c>
      <c r="H350" s="503">
        <f t="shared" si="666"/>
        <v>6.3048726495083918E-2</v>
      </c>
      <c r="I350" s="561">
        <f t="shared" si="666"/>
        <v>5.9430746055656868E-2</v>
      </c>
      <c r="J350" s="561">
        <f t="shared" si="666"/>
        <v>5.3765522170274853E-2</v>
      </c>
      <c r="K350" s="561">
        <f t="shared" si="666"/>
        <v>6.1880828094445429E-2</v>
      </c>
      <c r="L350" s="561">
        <f t="shared" si="666"/>
        <v>6.3836546097754687E-2</v>
      </c>
      <c r="M350" s="503">
        <f t="shared" si="666"/>
        <v>5.9722450728691187E-2</v>
      </c>
      <c r="N350" s="561"/>
      <c r="O350" s="561"/>
      <c r="P350" s="561"/>
      <c r="Q350" s="561"/>
      <c r="R350" s="503"/>
      <c r="S350" s="561"/>
      <c r="T350" s="561"/>
      <c r="U350" s="561"/>
      <c r="V350" s="561"/>
      <c r="W350" s="503"/>
      <c r="X350" s="561"/>
      <c r="Y350" s="561"/>
      <c r="Z350" s="561"/>
      <c r="AA350" s="561"/>
      <c r="AB350" s="503"/>
      <c r="AC350" s="561"/>
      <c r="AD350" s="561"/>
      <c r="AE350" s="561"/>
      <c r="AF350" s="561"/>
      <c r="AG350" s="503"/>
      <c r="AH350" s="561"/>
      <c r="AI350" s="561"/>
      <c r="AJ350" s="561"/>
      <c r="AK350" s="561"/>
      <c r="AL350" s="503"/>
      <c r="AM350" s="561"/>
      <c r="AN350" s="561"/>
      <c r="AO350" s="561"/>
      <c r="AP350" s="561"/>
      <c r="AQ350" s="503"/>
      <c r="AR350" s="561"/>
      <c r="AS350" s="561"/>
      <c r="AT350" s="561"/>
      <c r="AU350" s="561"/>
      <c r="AV350" s="562"/>
      <c r="AW350" s="561"/>
      <c r="AX350" s="561"/>
      <c r="AY350" s="561"/>
      <c r="AZ350" s="561"/>
      <c r="BA350" s="562"/>
      <c r="BB350" s="561"/>
      <c r="BC350" s="561"/>
      <c r="BD350" s="561"/>
      <c r="BE350" s="561"/>
      <c r="BF350" s="562"/>
      <c r="BG350" s="560"/>
      <c r="BH350" s="561"/>
      <c r="BI350" s="561"/>
      <c r="BJ350" s="1846"/>
      <c r="BK350" s="3109"/>
      <c r="BL350" s="561"/>
      <c r="BM350" s="561"/>
      <c r="BN350" s="561"/>
      <c r="BO350" s="1846"/>
      <c r="BP350" s="3109"/>
      <c r="BQ350" s="561"/>
      <c r="BR350" s="561"/>
      <c r="BS350" s="561"/>
      <c r="BT350" s="1846"/>
      <c r="BU350" s="3395"/>
      <c r="BV350" s="561"/>
      <c r="BW350" s="561"/>
      <c r="BX350" s="561"/>
      <c r="BY350" s="1846"/>
      <c r="BZ350" s="562"/>
      <c r="CA350" s="562"/>
      <c r="CB350" s="562"/>
      <c r="CC350" s="562"/>
      <c r="CD350" s="562"/>
      <c r="CE350" s="562"/>
      <c r="CF350" s="562"/>
      <c r="CG350" s="562"/>
      <c r="CH350" s="561"/>
      <c r="CI350" s="561"/>
      <c r="CJ350" s="561"/>
      <c r="CK350" s="561"/>
      <c r="CL350" s="561"/>
      <c r="CM350" s="561"/>
      <c r="CN350" s="561"/>
      <c r="CO350" s="561"/>
      <c r="CP350" s="1849" t="str">
        <f t="shared" si="600"/>
        <v>% of Net Revenues</v>
      </c>
      <c r="CQ350" s="561">
        <f t="shared" si="601"/>
        <v>6.3048726495083918E-2</v>
      </c>
      <c r="CR350" s="561">
        <f t="shared" si="602"/>
        <v>5.9722450728691187E-2</v>
      </c>
      <c r="CS350" s="561"/>
      <c r="CT350" s="561"/>
      <c r="CU350" s="561"/>
      <c r="CV350" s="561"/>
      <c r="CW350" s="561"/>
      <c r="CX350" s="561"/>
      <c r="CY350" s="561"/>
      <c r="CZ350" s="561"/>
      <c r="DA350" s="561"/>
      <c r="DB350" s="561"/>
      <c r="DC350" s="561"/>
      <c r="DD350" s="561"/>
      <c r="DE350" s="561"/>
      <c r="DF350" s="561"/>
      <c r="DG350" s="1846"/>
      <c r="DH350" s="573"/>
      <c r="DI350" s="548"/>
      <c r="DJ350" s="548"/>
      <c r="DK350" s="548"/>
      <c r="DL350" s="548"/>
      <c r="DM350" s="548"/>
      <c r="DN350" s="551"/>
      <c r="DO350" s="266"/>
      <c r="DY350" s="3477"/>
      <c r="DZ350" s="3477"/>
    </row>
    <row r="351" spans="1:130" ht="6" customHeight="1">
      <c r="A351" s="552"/>
      <c r="B351" s="228"/>
      <c r="C351" s="228"/>
      <c r="D351" s="596"/>
      <c r="E351" s="570"/>
      <c r="F351" s="570"/>
      <c r="G351" s="570"/>
      <c r="H351" s="302"/>
      <c r="I351" s="570"/>
      <c r="J351" s="570"/>
      <c r="K351" s="570"/>
      <c r="L351" s="570"/>
      <c r="M351" s="302"/>
      <c r="N351" s="570"/>
      <c r="O351" s="570"/>
      <c r="P351" s="570"/>
      <c r="Q351" s="570"/>
      <c r="R351" s="302"/>
      <c r="S351" s="570"/>
      <c r="T351" s="570"/>
      <c r="U351" s="570"/>
      <c r="V351" s="570"/>
      <c r="W351" s="302"/>
      <c r="X351" s="570"/>
      <c r="Y351" s="570"/>
      <c r="Z351" s="570"/>
      <c r="AA351" s="570"/>
      <c r="AB351" s="302"/>
      <c r="AC351" s="570"/>
      <c r="AD351" s="570"/>
      <c r="AE351" s="570"/>
      <c r="AF351" s="570"/>
      <c r="AG351" s="302"/>
      <c r="AH351" s="570"/>
      <c r="AI351" s="570"/>
      <c r="AJ351" s="570"/>
      <c r="AK351" s="570"/>
      <c r="AL351" s="302"/>
      <c r="AM351" s="570"/>
      <c r="AN351" s="570"/>
      <c r="AO351" s="570"/>
      <c r="AP351" s="570"/>
      <c r="AQ351" s="302"/>
      <c r="AR351" s="570"/>
      <c r="AS351" s="570"/>
      <c r="AT351" s="570"/>
      <c r="AU351" s="570"/>
      <c r="AV351" s="569"/>
      <c r="AW351" s="570"/>
      <c r="AX351" s="570"/>
      <c r="AY351" s="570"/>
      <c r="AZ351" s="570"/>
      <c r="BA351" s="569"/>
      <c r="BB351" s="570"/>
      <c r="BC351" s="570"/>
      <c r="BD351" s="570"/>
      <c r="BE351" s="570"/>
      <c r="BF351" s="569"/>
      <c r="BG351" s="596"/>
      <c r="BH351" s="570"/>
      <c r="BI351" s="570"/>
      <c r="BJ351" s="2807"/>
      <c r="BK351" s="569"/>
      <c r="BL351" s="570"/>
      <c r="BM351" s="570"/>
      <c r="BN351" s="570"/>
      <c r="BO351" s="2807"/>
      <c r="BP351" s="569"/>
      <c r="BQ351" s="570"/>
      <c r="BR351" s="570"/>
      <c r="BS351" s="570"/>
      <c r="BT351" s="2807"/>
      <c r="BU351" s="3378"/>
      <c r="BV351" s="570"/>
      <c r="BW351" s="570"/>
      <c r="BX351" s="570"/>
      <c r="BY351" s="2807"/>
      <c r="BZ351" s="569"/>
      <c r="CA351" s="569"/>
      <c r="CB351" s="569"/>
      <c r="CC351" s="569"/>
      <c r="CD351" s="569"/>
      <c r="CE351" s="569"/>
      <c r="CF351" s="569"/>
      <c r="CG351" s="569"/>
      <c r="CH351" s="570"/>
      <c r="CI351" s="570"/>
      <c r="CJ351" s="570"/>
      <c r="CK351" s="570"/>
      <c r="CL351" s="570"/>
      <c r="CM351" s="570"/>
      <c r="CN351" s="570"/>
      <c r="CO351" s="570"/>
      <c r="CP351" s="994"/>
      <c r="CQ351" s="592"/>
      <c r="CR351" s="592"/>
      <c r="CS351" s="592"/>
      <c r="CT351" s="592"/>
      <c r="CU351" s="592"/>
      <c r="CV351" s="592"/>
      <c r="CW351" s="592"/>
      <c r="CX351" s="592"/>
      <c r="CY351" s="592"/>
      <c r="CZ351" s="592"/>
      <c r="DA351" s="592"/>
      <c r="DB351" s="592"/>
      <c r="DC351" s="592"/>
      <c r="DD351" s="592"/>
      <c r="DE351" s="592"/>
      <c r="DF351" s="592"/>
      <c r="DG351" s="1850"/>
      <c r="DH351" s="595"/>
      <c r="DI351" s="595"/>
      <c r="DJ351" s="595"/>
      <c r="DK351" s="595"/>
      <c r="DL351" s="595"/>
      <c r="DM351" s="595"/>
      <c r="DN351" s="514"/>
      <c r="DO351" s="226"/>
      <c r="DY351" s="570"/>
      <c r="DZ351" s="570"/>
    </row>
    <row r="352" spans="1:130" ht="12" customHeight="1">
      <c r="A352" s="228"/>
      <c r="B352" s="228"/>
      <c r="C352" s="228"/>
      <c r="D352" s="596"/>
      <c r="E352" s="570"/>
      <c r="F352" s="570"/>
      <c r="G352" s="570"/>
      <c r="H352" s="569"/>
      <c r="I352" s="570"/>
      <c r="J352" s="570"/>
      <c r="K352" s="570"/>
      <c r="L352" s="570"/>
      <c r="M352" s="569"/>
      <c r="N352" s="570"/>
      <c r="O352" s="570"/>
      <c r="P352" s="570"/>
      <c r="Q352" s="570"/>
      <c r="R352" s="569"/>
      <c r="S352" s="570"/>
      <c r="T352" s="570"/>
      <c r="U352" s="570"/>
      <c r="V352" s="570"/>
      <c r="W352" s="569"/>
      <c r="X352" s="570"/>
      <c r="Y352" s="570"/>
      <c r="Z352" s="570"/>
      <c r="AA352" s="570"/>
      <c r="AB352" s="569"/>
      <c r="AC352" s="570"/>
      <c r="AD352" s="570"/>
      <c r="AE352" s="570"/>
      <c r="AF352" s="570"/>
      <c r="AG352" s="569"/>
      <c r="AH352" s="570"/>
      <c r="AI352" s="570"/>
      <c r="AJ352" s="570"/>
      <c r="AK352" s="570"/>
      <c r="AL352" s="569"/>
      <c r="AM352" s="570"/>
      <c r="AN352" s="570"/>
      <c r="AO352" s="570"/>
      <c r="AP352" s="570"/>
      <c r="AQ352" s="569"/>
      <c r="AR352" s="570"/>
      <c r="AS352" s="570"/>
      <c r="AT352" s="570"/>
      <c r="AU352" s="570"/>
      <c r="AV352" s="569"/>
      <c r="AW352" s="570"/>
      <c r="AX352" s="570"/>
      <c r="AY352" s="570"/>
      <c r="AZ352" s="570"/>
      <c r="BA352" s="569"/>
      <c r="BB352" s="570"/>
      <c r="BC352" s="570"/>
      <c r="BD352" s="570"/>
      <c r="BE352" s="570"/>
      <c r="BF352" s="569"/>
      <c r="BG352" s="596"/>
      <c r="BH352" s="570"/>
      <c r="BI352" s="570"/>
      <c r="BJ352" s="2807"/>
      <c r="BK352" s="569"/>
      <c r="BL352" s="570"/>
      <c r="BM352" s="570"/>
      <c r="BN352" s="570"/>
      <c r="BO352" s="2807"/>
      <c r="BP352" s="569"/>
      <c r="BQ352" s="570"/>
      <c r="BR352" s="570"/>
      <c r="BS352" s="570"/>
      <c r="BT352" s="2807"/>
      <c r="BU352" s="3378"/>
      <c r="BV352" s="570"/>
      <c r="BW352" s="570"/>
      <c r="BX352" s="570"/>
      <c r="BY352" s="2807"/>
      <c r="BZ352" s="569"/>
      <c r="CA352" s="569"/>
      <c r="CB352" s="569"/>
      <c r="CC352" s="569"/>
      <c r="CD352" s="569"/>
      <c r="CE352" s="569"/>
      <c r="CF352" s="569"/>
      <c r="CG352" s="569"/>
      <c r="CH352" s="570"/>
      <c r="CI352" s="570"/>
      <c r="CJ352" s="570"/>
      <c r="CK352" s="570"/>
      <c r="CL352" s="570"/>
      <c r="CM352" s="570"/>
      <c r="CN352" s="570"/>
      <c r="CO352" s="570"/>
      <c r="CP352" s="1847"/>
      <c r="CQ352" s="592"/>
      <c r="CR352" s="592"/>
      <c r="CS352" s="592"/>
      <c r="CT352" s="592"/>
      <c r="CU352" s="592"/>
      <c r="CV352" s="592"/>
      <c r="CW352" s="592"/>
      <c r="CX352" s="592"/>
      <c r="CY352" s="592"/>
      <c r="CZ352" s="592"/>
      <c r="DA352" s="592"/>
      <c r="DB352" s="592"/>
      <c r="DC352" s="592"/>
      <c r="DD352" s="592"/>
      <c r="DE352" s="592"/>
      <c r="DF352" s="592"/>
      <c r="DG352" s="1850"/>
      <c r="DH352" s="595"/>
      <c r="DI352" s="595"/>
      <c r="DJ352" s="595"/>
      <c r="DK352" s="595"/>
      <c r="DL352" s="595"/>
      <c r="DM352" s="595"/>
      <c r="DN352" s="514"/>
      <c r="DO352" s="226"/>
      <c r="DY352" s="570"/>
      <c r="DZ352" s="570"/>
    </row>
    <row r="353" spans="1:130" ht="12" customHeight="1">
      <c r="A353" s="3486" t="s">
        <v>1920</v>
      </c>
      <c r="B353" s="3487"/>
      <c r="C353" s="3487"/>
      <c r="D353" s="3488" t="str">
        <f t="shared" ref="D353:AH355" si="667">D$6</f>
        <v>1Q04</v>
      </c>
      <c r="E353" s="3489" t="str">
        <f t="shared" si="667"/>
        <v>2Q04</v>
      </c>
      <c r="F353" s="3489" t="str">
        <f t="shared" si="667"/>
        <v>3Q04</v>
      </c>
      <c r="G353" s="3489" t="str">
        <f t="shared" si="667"/>
        <v>4Q04</v>
      </c>
      <c r="H353" s="3490">
        <f t="shared" si="667"/>
        <v>2004</v>
      </c>
      <c r="I353" s="3489" t="str">
        <f t="shared" si="667"/>
        <v>1Q05</v>
      </c>
      <c r="J353" s="3489" t="str">
        <f t="shared" si="667"/>
        <v>2Q05</v>
      </c>
      <c r="K353" s="3489" t="str">
        <f t="shared" si="667"/>
        <v>3Q05</v>
      </c>
      <c r="L353" s="3489" t="str">
        <f t="shared" si="667"/>
        <v>4Q05</v>
      </c>
      <c r="M353" s="3490">
        <f t="shared" si="667"/>
        <v>2005</v>
      </c>
      <c r="N353" s="3489" t="str">
        <f t="shared" si="667"/>
        <v>1Q06</v>
      </c>
      <c r="O353" s="3489" t="str">
        <f t="shared" si="667"/>
        <v>2Q06</v>
      </c>
      <c r="P353" s="3489" t="str">
        <f t="shared" si="667"/>
        <v>3Q06</v>
      </c>
      <c r="Q353" s="3489" t="str">
        <f t="shared" si="667"/>
        <v>4Q06</v>
      </c>
      <c r="R353" s="3490">
        <f t="shared" si="667"/>
        <v>2006</v>
      </c>
      <c r="S353" s="3489" t="str">
        <f t="shared" si="667"/>
        <v>1Q07</v>
      </c>
      <c r="T353" s="3489" t="str">
        <f t="shared" si="667"/>
        <v>2Q07</v>
      </c>
      <c r="U353" s="3489" t="str">
        <f t="shared" si="667"/>
        <v>3Q07</v>
      </c>
      <c r="V353" s="3489" t="str">
        <f t="shared" si="667"/>
        <v>4Q07</v>
      </c>
      <c r="W353" s="3490">
        <f t="shared" si="667"/>
        <v>2007</v>
      </c>
      <c r="X353" s="3489" t="str">
        <f t="shared" si="667"/>
        <v>1Q08</v>
      </c>
      <c r="Y353" s="3489" t="str">
        <f t="shared" si="667"/>
        <v>2Q08</v>
      </c>
      <c r="Z353" s="3489" t="str">
        <f t="shared" si="667"/>
        <v>3Q08</v>
      </c>
      <c r="AA353" s="3489" t="str">
        <f t="shared" si="667"/>
        <v>4Q08</v>
      </c>
      <c r="AB353" s="3490">
        <f t="shared" si="667"/>
        <v>2008</v>
      </c>
      <c r="AC353" s="3489" t="str">
        <f t="shared" si="667"/>
        <v>1Q09</v>
      </c>
      <c r="AD353" s="3489" t="str">
        <f t="shared" si="667"/>
        <v>2Q09</v>
      </c>
      <c r="AE353" s="3489" t="str">
        <f t="shared" si="667"/>
        <v>3Q09</v>
      </c>
      <c r="AF353" s="3489" t="str">
        <f t="shared" si="667"/>
        <v>4Q09</v>
      </c>
      <c r="AG353" s="3490">
        <f t="shared" si="667"/>
        <v>2009</v>
      </c>
      <c r="AH353" s="3489" t="str">
        <f t="shared" si="667"/>
        <v>1Q10</v>
      </c>
      <c r="AI353" s="3491" t="str">
        <f t="shared" ref="AI353:CG355" si="668">AI$6</f>
        <v>2Q10</v>
      </c>
      <c r="AJ353" s="3491" t="str">
        <f t="shared" si="668"/>
        <v>3Q10</v>
      </c>
      <c r="AK353" s="3491" t="str">
        <f t="shared" si="668"/>
        <v>4Q10</v>
      </c>
      <c r="AL353" s="3492">
        <f t="shared" si="668"/>
        <v>2010</v>
      </c>
      <c r="AM353" s="3491" t="str">
        <f t="shared" si="668"/>
        <v>1Q11</v>
      </c>
      <c r="AN353" s="3491" t="str">
        <f t="shared" si="668"/>
        <v>2Q11</v>
      </c>
      <c r="AO353" s="3491" t="str">
        <f t="shared" si="668"/>
        <v>3Q11</v>
      </c>
      <c r="AP353" s="3491" t="str">
        <f t="shared" si="668"/>
        <v>4Q11</v>
      </c>
      <c r="AQ353" s="3492">
        <f t="shared" si="668"/>
        <v>2011</v>
      </c>
      <c r="AR353" s="3491" t="str">
        <f t="shared" si="668"/>
        <v>1Q12</v>
      </c>
      <c r="AS353" s="3491" t="str">
        <f t="shared" si="668"/>
        <v>2Q12</v>
      </c>
      <c r="AT353" s="3491" t="str">
        <f t="shared" si="668"/>
        <v>3Q12</v>
      </c>
      <c r="AU353" s="3491" t="str">
        <f t="shared" si="668"/>
        <v>4Q12</v>
      </c>
      <c r="AV353" s="3492">
        <f t="shared" si="668"/>
        <v>2012</v>
      </c>
      <c r="AW353" s="3491" t="str">
        <f t="shared" si="668"/>
        <v>1Q13</v>
      </c>
      <c r="AX353" s="3491" t="str">
        <f t="shared" si="668"/>
        <v>2Q13</v>
      </c>
      <c r="AY353" s="3491" t="str">
        <f t="shared" si="668"/>
        <v>3Q13</v>
      </c>
      <c r="AZ353" s="3491" t="str">
        <f t="shared" si="668"/>
        <v>4Q13</v>
      </c>
      <c r="BA353" s="3492">
        <f t="shared" si="668"/>
        <v>2013</v>
      </c>
      <c r="BB353" s="3491" t="str">
        <f t="shared" si="668"/>
        <v>1Q14</v>
      </c>
      <c r="BC353" s="3491" t="str">
        <f t="shared" si="668"/>
        <v>2Q14</v>
      </c>
      <c r="BD353" s="3491" t="str">
        <f t="shared" si="668"/>
        <v>3Q14</v>
      </c>
      <c r="BE353" s="3491" t="str">
        <f t="shared" si="668"/>
        <v>4Q14</v>
      </c>
      <c r="BF353" s="3492">
        <f t="shared" si="668"/>
        <v>2014</v>
      </c>
      <c r="BG353" s="3491" t="str">
        <f t="shared" si="668"/>
        <v>1Q15</v>
      </c>
      <c r="BH353" s="3491" t="str">
        <f t="shared" si="668"/>
        <v>2Q15</v>
      </c>
      <c r="BI353" s="3491" t="str">
        <f t="shared" si="668"/>
        <v>3Q15</v>
      </c>
      <c r="BJ353" s="3491" t="str">
        <f t="shared" si="668"/>
        <v>4Q15</v>
      </c>
      <c r="BK353" s="3492">
        <f t="shared" si="668"/>
        <v>2015</v>
      </c>
      <c r="BL353" s="3491" t="str">
        <f t="shared" si="668"/>
        <v>1Q16</v>
      </c>
      <c r="BM353" s="3491" t="str">
        <f t="shared" si="668"/>
        <v>2Q16</v>
      </c>
      <c r="BN353" s="3491" t="str">
        <f t="shared" si="668"/>
        <v>3Q16</v>
      </c>
      <c r="BO353" s="3491" t="str">
        <f t="shared" si="668"/>
        <v>4Q16</v>
      </c>
      <c r="BP353" s="3492">
        <f t="shared" si="668"/>
        <v>2016</v>
      </c>
      <c r="BQ353" s="3491" t="str">
        <f t="shared" si="668"/>
        <v>1Q17</v>
      </c>
      <c r="BR353" s="3491" t="str">
        <f t="shared" si="668"/>
        <v>2Q17</v>
      </c>
      <c r="BS353" s="3491" t="str">
        <f t="shared" si="668"/>
        <v>3Q17</v>
      </c>
      <c r="BT353" s="3491" t="str">
        <f t="shared" si="668"/>
        <v>4Q17A</v>
      </c>
      <c r="BU353" s="3493" t="str">
        <f t="shared" si="668"/>
        <v>2017A</v>
      </c>
      <c r="BV353" s="3491" t="str">
        <f t="shared" si="668"/>
        <v>1Q18E</v>
      </c>
      <c r="BW353" s="3491" t="str">
        <f t="shared" si="668"/>
        <v>2Q18E</v>
      </c>
      <c r="BX353" s="3491" t="str">
        <f t="shared" si="668"/>
        <v>3Q18E</v>
      </c>
      <c r="BY353" s="3491" t="str">
        <f t="shared" si="668"/>
        <v>4Q18E</v>
      </c>
      <c r="BZ353" s="3493" t="str">
        <f t="shared" si="668"/>
        <v>2018E</v>
      </c>
      <c r="CA353" s="3492" t="str">
        <f t="shared" si="668"/>
        <v>2019E</v>
      </c>
      <c r="CB353" s="3492" t="str">
        <f t="shared" si="668"/>
        <v>2020E</v>
      </c>
      <c r="CC353" s="110"/>
      <c r="CD353" s="110"/>
      <c r="CE353" s="110"/>
      <c r="CF353" s="110"/>
      <c r="CG353" s="110"/>
      <c r="CH353" s="521"/>
      <c r="CI353" s="521"/>
      <c r="CJ353" s="521"/>
      <c r="CK353" s="521"/>
      <c r="CL353" s="521"/>
      <c r="CM353" s="521"/>
      <c r="CN353" s="521"/>
      <c r="CO353" s="521"/>
      <c r="CP353" s="1300"/>
      <c r="CQ353" s="109"/>
      <c r="CR353" s="109"/>
      <c r="CS353" s="109"/>
      <c r="CT353" s="109"/>
      <c r="CU353" s="109"/>
      <c r="CV353" s="109"/>
      <c r="CW353" s="109"/>
      <c r="CX353" s="109"/>
      <c r="CY353" s="109"/>
      <c r="CZ353" s="109"/>
      <c r="DA353" s="109"/>
      <c r="DB353" s="109"/>
      <c r="DC353" s="109"/>
      <c r="DD353" s="109"/>
      <c r="DE353" s="109"/>
      <c r="DF353" s="109"/>
      <c r="DG353" s="1772"/>
      <c r="DH353" s="223"/>
      <c r="DI353" s="595"/>
      <c r="DJ353" s="595"/>
      <c r="DK353" s="595"/>
      <c r="DL353" s="595"/>
      <c r="DM353" s="595"/>
      <c r="DN353" s="514"/>
      <c r="DO353" s="226"/>
      <c r="DY353" s="244"/>
      <c r="DZ353" s="244"/>
    </row>
    <row r="354" spans="1:130" ht="12" customHeight="1">
      <c r="A354" s="515"/>
      <c r="B354" s="228"/>
      <c r="C354" s="228"/>
      <c r="D354" s="596"/>
      <c r="E354" s="570"/>
      <c r="F354" s="570"/>
      <c r="G354" s="570"/>
      <c r="H354" s="342"/>
      <c r="I354" s="570"/>
      <c r="J354" s="570"/>
      <c r="K354" s="570"/>
      <c r="L354" s="570"/>
      <c r="M354" s="569"/>
      <c r="N354" s="570"/>
      <c r="O354" s="570"/>
      <c r="P354" s="570"/>
      <c r="Q354" s="570"/>
      <c r="R354" s="569"/>
      <c r="S354" s="570"/>
      <c r="T354" s="570"/>
      <c r="U354" s="570"/>
      <c r="V354" s="570"/>
      <c r="W354" s="569"/>
      <c r="X354" s="341"/>
      <c r="Y354" s="570"/>
      <c r="Z354" s="570"/>
      <c r="AA354" s="570"/>
      <c r="AB354" s="569"/>
      <c r="AC354" s="570"/>
      <c r="AD354" s="570"/>
      <c r="AE354" s="570"/>
      <c r="AF354" s="570"/>
      <c r="AG354" s="569"/>
      <c r="AH354" s="570"/>
      <c r="AI354" s="570"/>
      <c r="AJ354" s="570"/>
      <c r="AK354" s="570"/>
      <c r="AL354" s="569"/>
      <c r="AM354" s="570"/>
      <c r="AN354" s="570"/>
      <c r="AO354" s="570"/>
      <c r="AP354" s="570"/>
      <c r="AQ354" s="569"/>
      <c r="AR354" s="570"/>
      <c r="AS354" s="570"/>
      <c r="AT354" s="570"/>
      <c r="AU354" s="570"/>
      <c r="AV354" s="569"/>
      <c r="AW354" s="570"/>
      <c r="AX354" s="570"/>
      <c r="AY354" s="570"/>
      <c r="AZ354" s="570"/>
      <c r="BA354" s="569"/>
      <c r="BB354" s="570"/>
      <c r="BC354" s="570"/>
      <c r="BD354" s="570"/>
      <c r="BE354" s="570"/>
      <c r="BF354" s="569"/>
      <c r="BG354" s="2809"/>
      <c r="BH354" s="1540"/>
      <c r="BI354" s="1540"/>
      <c r="BJ354" s="2810"/>
      <c r="BK354" s="569"/>
      <c r="BL354" s="1540"/>
      <c r="BM354" s="1540"/>
      <c r="BN354" s="1540"/>
      <c r="BO354" s="2810"/>
      <c r="BP354" s="569"/>
      <c r="BQ354" s="1540"/>
      <c r="BR354" s="1540"/>
      <c r="BS354" s="1540"/>
      <c r="BT354" s="2810"/>
      <c r="BU354" s="3378"/>
      <c r="BV354" s="1540"/>
      <c r="BW354" s="1540"/>
      <c r="BX354" s="1540"/>
      <c r="BY354" s="2810"/>
      <c r="BZ354" s="569"/>
      <c r="CA354" s="569"/>
      <c r="CB354" s="569"/>
      <c r="CC354" s="569"/>
      <c r="CD354" s="569"/>
      <c r="CE354" s="569"/>
      <c r="CF354" s="569"/>
      <c r="CG354" s="569"/>
      <c r="CH354" s="570"/>
      <c r="CI354" s="570"/>
      <c r="CJ354" s="570"/>
      <c r="CK354" s="570"/>
      <c r="CL354" s="570"/>
      <c r="CM354" s="570"/>
      <c r="CN354" s="570"/>
      <c r="CO354" s="570"/>
      <c r="CP354" s="1859">
        <f t="shared" si="600"/>
        <v>0</v>
      </c>
      <c r="CQ354" s="592"/>
      <c r="CR354" s="592"/>
      <c r="CS354" s="592"/>
      <c r="CT354" s="592"/>
      <c r="CU354" s="592"/>
      <c r="CV354" s="592"/>
      <c r="CW354" s="592"/>
      <c r="CX354" s="592"/>
      <c r="CY354" s="592"/>
      <c r="CZ354" s="592"/>
      <c r="DA354" s="592"/>
      <c r="DB354" s="592"/>
      <c r="DC354" s="592"/>
      <c r="DD354" s="592"/>
      <c r="DE354" s="592"/>
      <c r="DF354" s="592"/>
      <c r="DG354" s="1850"/>
      <c r="DH354" s="595"/>
      <c r="DI354" s="595"/>
      <c r="DJ354" s="595"/>
      <c r="DK354" s="595"/>
      <c r="DL354" s="595"/>
      <c r="DM354" s="595"/>
      <c r="DN354" s="514"/>
      <c r="DO354" s="226"/>
      <c r="DY354" s="570"/>
      <c r="DZ354" s="570"/>
    </row>
    <row r="355" spans="1:130" ht="12" customHeight="1">
      <c r="A355" s="1300" t="s">
        <v>1920</v>
      </c>
      <c r="B355" s="1301"/>
      <c r="C355" s="1301"/>
      <c r="D355" s="1302" t="str">
        <f t="shared" si="667"/>
        <v>1Q04</v>
      </c>
      <c r="E355" s="1303" t="str">
        <f t="shared" si="667"/>
        <v>2Q04</v>
      </c>
      <c r="F355" s="1303" t="str">
        <f t="shared" si="667"/>
        <v>3Q04</v>
      </c>
      <c r="G355" s="1303" t="str">
        <f t="shared" si="667"/>
        <v>4Q04</v>
      </c>
      <c r="H355" s="1304">
        <f t="shared" si="667"/>
        <v>2004</v>
      </c>
      <c r="I355" s="1303" t="str">
        <f t="shared" si="667"/>
        <v>1Q05</v>
      </c>
      <c r="J355" s="1303" t="str">
        <f t="shared" si="667"/>
        <v>2Q05</v>
      </c>
      <c r="K355" s="1303" t="str">
        <f t="shared" si="667"/>
        <v>3Q05</v>
      </c>
      <c r="L355" s="1303" t="str">
        <f t="shared" si="667"/>
        <v>4Q05</v>
      </c>
      <c r="M355" s="1304">
        <f t="shared" si="667"/>
        <v>2005</v>
      </c>
      <c r="N355" s="1303" t="str">
        <f t="shared" si="667"/>
        <v>1Q06</v>
      </c>
      <c r="O355" s="1303" t="str">
        <f t="shared" si="667"/>
        <v>2Q06</v>
      </c>
      <c r="P355" s="1303" t="str">
        <f t="shared" si="667"/>
        <v>3Q06</v>
      </c>
      <c r="Q355" s="1303" t="str">
        <f t="shared" si="667"/>
        <v>4Q06</v>
      </c>
      <c r="R355" s="1304">
        <f t="shared" si="667"/>
        <v>2006</v>
      </c>
      <c r="S355" s="1303" t="str">
        <f t="shared" si="667"/>
        <v>1Q07</v>
      </c>
      <c r="T355" s="1303" t="str">
        <f t="shared" si="667"/>
        <v>2Q07</v>
      </c>
      <c r="U355" s="1303" t="str">
        <f t="shared" si="667"/>
        <v>3Q07</v>
      </c>
      <c r="V355" s="1303" t="str">
        <f t="shared" si="667"/>
        <v>4Q07</v>
      </c>
      <c r="W355" s="1304">
        <f t="shared" si="667"/>
        <v>2007</v>
      </c>
      <c r="X355" s="1303" t="str">
        <f t="shared" si="667"/>
        <v>1Q08</v>
      </c>
      <c r="Y355" s="1303" t="str">
        <f t="shared" si="667"/>
        <v>2Q08</v>
      </c>
      <c r="Z355" s="1303" t="str">
        <f t="shared" si="667"/>
        <v>3Q08</v>
      </c>
      <c r="AA355" s="1303" t="str">
        <f t="shared" si="667"/>
        <v>4Q08</v>
      </c>
      <c r="AB355" s="1304">
        <f t="shared" si="667"/>
        <v>2008</v>
      </c>
      <c r="AC355" s="1303" t="str">
        <f t="shared" si="667"/>
        <v>1Q09</v>
      </c>
      <c r="AD355" s="1303" t="str">
        <f t="shared" si="667"/>
        <v>2Q09</v>
      </c>
      <c r="AE355" s="1303" t="str">
        <f t="shared" si="667"/>
        <v>3Q09</v>
      </c>
      <c r="AF355" s="1303" t="str">
        <f t="shared" si="667"/>
        <v>4Q09</v>
      </c>
      <c r="AG355" s="1304">
        <f t="shared" si="667"/>
        <v>2009</v>
      </c>
      <c r="AH355" s="1303" t="str">
        <f t="shared" si="667"/>
        <v>1Q10</v>
      </c>
      <c r="AI355" s="109" t="str">
        <f t="shared" si="668"/>
        <v>2Q10</v>
      </c>
      <c r="AJ355" s="109" t="str">
        <f t="shared" si="668"/>
        <v>3Q10</v>
      </c>
      <c r="AK355" s="109" t="str">
        <f t="shared" si="668"/>
        <v>4Q10</v>
      </c>
      <c r="AL355" s="110">
        <f t="shared" si="668"/>
        <v>2010</v>
      </c>
      <c r="AM355" s="109" t="str">
        <f t="shared" si="668"/>
        <v>1Q11</v>
      </c>
      <c r="AN355" s="109" t="str">
        <f t="shared" si="668"/>
        <v>2Q11</v>
      </c>
      <c r="AO355" s="109" t="str">
        <f t="shared" si="668"/>
        <v>3Q11</v>
      </c>
      <c r="AP355" s="109" t="str">
        <f t="shared" si="668"/>
        <v>4Q11</v>
      </c>
      <c r="AQ355" s="110">
        <f t="shared" si="668"/>
        <v>2011</v>
      </c>
      <c r="AR355" s="109" t="str">
        <f t="shared" si="668"/>
        <v>1Q12</v>
      </c>
      <c r="AS355" s="109" t="str">
        <f t="shared" si="668"/>
        <v>2Q12</v>
      </c>
      <c r="AT355" s="109" t="str">
        <f t="shared" si="668"/>
        <v>3Q12</v>
      </c>
      <c r="AU355" s="109" t="str">
        <f t="shared" si="668"/>
        <v>4Q12</v>
      </c>
      <c r="AV355" s="110">
        <f t="shared" si="668"/>
        <v>2012</v>
      </c>
      <c r="AW355" s="109" t="str">
        <f t="shared" si="668"/>
        <v>1Q13</v>
      </c>
      <c r="AX355" s="109" t="str">
        <f t="shared" si="668"/>
        <v>2Q13</v>
      </c>
      <c r="AY355" s="109" t="str">
        <f t="shared" si="668"/>
        <v>3Q13</v>
      </c>
      <c r="AZ355" s="109" t="str">
        <f t="shared" si="668"/>
        <v>4Q13</v>
      </c>
      <c r="BA355" s="110">
        <f t="shared" si="668"/>
        <v>2013</v>
      </c>
      <c r="BB355" s="109" t="str">
        <f t="shared" si="668"/>
        <v>1Q14</v>
      </c>
      <c r="BC355" s="109" t="str">
        <f t="shared" si="668"/>
        <v>2Q14</v>
      </c>
      <c r="BD355" s="109" t="str">
        <f t="shared" si="668"/>
        <v>3Q14</v>
      </c>
      <c r="BE355" s="109" t="str">
        <f t="shared" si="668"/>
        <v>4Q14</v>
      </c>
      <c r="BF355" s="110">
        <f t="shared" si="668"/>
        <v>2014</v>
      </c>
      <c r="BG355" s="109" t="str">
        <f t="shared" si="668"/>
        <v>1Q15</v>
      </c>
      <c r="BH355" s="109" t="str">
        <f t="shared" si="668"/>
        <v>2Q15</v>
      </c>
      <c r="BI355" s="109" t="str">
        <f t="shared" si="668"/>
        <v>3Q15</v>
      </c>
      <c r="BJ355" s="109" t="str">
        <f t="shared" si="668"/>
        <v>4Q15</v>
      </c>
      <c r="BK355" s="110">
        <f t="shared" si="668"/>
        <v>2015</v>
      </c>
      <c r="BL355" s="109" t="str">
        <f t="shared" si="668"/>
        <v>1Q16</v>
      </c>
      <c r="BM355" s="109" t="str">
        <f t="shared" si="668"/>
        <v>2Q16</v>
      </c>
      <c r="BN355" s="109" t="str">
        <f t="shared" si="668"/>
        <v>3Q16</v>
      </c>
      <c r="BO355" s="109" t="str">
        <f t="shared" si="668"/>
        <v>4Q16</v>
      </c>
      <c r="BP355" s="110">
        <f t="shared" si="668"/>
        <v>2016</v>
      </c>
      <c r="BQ355" s="109" t="str">
        <f t="shared" si="668"/>
        <v>1Q17</v>
      </c>
      <c r="BR355" s="109" t="str">
        <f t="shared" si="668"/>
        <v>2Q17</v>
      </c>
      <c r="BS355" s="109" t="str">
        <f t="shared" si="668"/>
        <v>3Q17</v>
      </c>
      <c r="BT355" s="109" t="str">
        <f t="shared" si="668"/>
        <v>4Q17A</v>
      </c>
      <c r="BU355" s="3347" t="str">
        <f t="shared" si="668"/>
        <v>2017A</v>
      </c>
      <c r="BV355" s="109" t="str">
        <f t="shared" si="668"/>
        <v>1Q18E</v>
      </c>
      <c r="BW355" s="109" t="str">
        <f t="shared" si="668"/>
        <v>2Q18E</v>
      </c>
      <c r="BX355" s="109" t="str">
        <f t="shared" si="668"/>
        <v>3Q18E</v>
      </c>
      <c r="BY355" s="109" t="str">
        <f t="shared" si="668"/>
        <v>4Q18E</v>
      </c>
      <c r="BZ355" s="110" t="str">
        <f t="shared" si="668"/>
        <v>2018E</v>
      </c>
      <c r="CA355" s="110" t="str">
        <f t="shared" si="668"/>
        <v>2019E</v>
      </c>
      <c r="CB355" s="110" t="str">
        <f t="shared" si="668"/>
        <v>2020E</v>
      </c>
      <c r="CC355" s="110" t="str">
        <f t="shared" si="668"/>
        <v>2021E</v>
      </c>
      <c r="CD355" s="110" t="str">
        <f t="shared" si="668"/>
        <v>2022E</v>
      </c>
      <c r="CE355" s="110" t="str">
        <f t="shared" si="668"/>
        <v>2023E</v>
      </c>
      <c r="CF355" s="110" t="str">
        <f t="shared" si="668"/>
        <v>2024E</v>
      </c>
      <c r="CG355" s="110" t="str">
        <f t="shared" si="668"/>
        <v>2025E</v>
      </c>
      <c r="CH355" s="521"/>
      <c r="CI355" s="521"/>
      <c r="CJ355" s="521"/>
      <c r="CK355" s="521"/>
      <c r="CL355" s="521"/>
      <c r="CM355" s="521"/>
      <c r="CN355" s="521"/>
      <c r="CO355" s="521"/>
      <c r="CP355" s="1300" t="str">
        <f t="shared" si="600"/>
        <v>Regional Properties</v>
      </c>
      <c r="CQ355" s="109">
        <f t="shared" si="601"/>
        <v>2004</v>
      </c>
      <c r="CR355" s="109">
        <f t="shared" si="602"/>
        <v>2005</v>
      </c>
      <c r="CS355" s="109">
        <f t="shared" si="603"/>
        <v>2006</v>
      </c>
      <c r="CT355" s="109">
        <f t="shared" si="604"/>
        <v>2007</v>
      </c>
      <c r="CU355" s="109">
        <f t="shared" si="605"/>
        <v>2008</v>
      </c>
      <c r="CV355" s="109">
        <f t="shared" si="606"/>
        <v>2009</v>
      </c>
      <c r="CW355" s="109">
        <f t="shared" si="607"/>
        <v>2010</v>
      </c>
      <c r="CX355" s="109">
        <f t="shared" si="608"/>
        <v>2011</v>
      </c>
      <c r="CY355" s="109">
        <f t="shared" si="609"/>
        <v>2012</v>
      </c>
      <c r="CZ355" s="109">
        <f t="shared" si="610"/>
        <v>2013</v>
      </c>
      <c r="DA355" s="109">
        <f t="shared" si="611"/>
        <v>2014</v>
      </c>
      <c r="DB355" s="109">
        <f t="shared" si="612"/>
        <v>2015</v>
      </c>
      <c r="DC355" s="109">
        <f t="shared" si="613"/>
        <v>2016</v>
      </c>
      <c r="DD355" s="109" t="str">
        <f t="shared" si="614"/>
        <v>2017A</v>
      </c>
      <c r="DE355" s="109" t="str">
        <f t="shared" si="615"/>
        <v>2018E</v>
      </c>
      <c r="DF355" s="109" t="str">
        <f t="shared" si="616"/>
        <v>2019E</v>
      </c>
      <c r="DG355" s="1772" t="str">
        <f t="shared" si="617"/>
        <v>2020E</v>
      </c>
      <c r="DH355" s="223"/>
      <c r="DI355" s="595"/>
      <c r="DJ355" s="595"/>
      <c r="DK355" s="595"/>
      <c r="DL355" s="595"/>
      <c r="DM355" s="595"/>
      <c r="DN355" s="514"/>
      <c r="DO355" s="226"/>
      <c r="DY355" s="244"/>
      <c r="DZ355" s="244"/>
    </row>
    <row r="356" spans="1:130" ht="12" customHeight="1">
      <c r="A356" s="698" t="s">
        <v>183</v>
      </c>
      <c r="B356" s="699"/>
      <c r="C356" s="699"/>
      <c r="D356" s="700">
        <f>SUM(D366:D372)</f>
        <v>6637</v>
      </c>
      <c r="E356" s="701">
        <f>SUM(E366:E372)</f>
        <v>7857</v>
      </c>
      <c r="F356" s="701">
        <f>SUM(F366:F372)</f>
        <v>7857</v>
      </c>
      <c r="G356" s="701">
        <f>SUM(G366:G372)</f>
        <v>7827</v>
      </c>
      <c r="H356" s="702">
        <f>G356</f>
        <v>7827</v>
      </c>
      <c r="I356" s="599">
        <f>SUM(I366:I372)</f>
        <v>7827</v>
      </c>
      <c r="J356" s="599">
        <f>SUM(J366:J372)</f>
        <v>7827</v>
      </c>
      <c r="K356" s="599">
        <f>SUM(K366:K372)</f>
        <v>7827</v>
      </c>
      <c r="L356" s="599">
        <f>SUM(L366:L372)</f>
        <v>7758</v>
      </c>
      <c r="M356" s="702">
        <f>L356</f>
        <v>7758</v>
      </c>
      <c r="N356" s="599">
        <f>SUM(N366:N372)</f>
        <v>8208</v>
      </c>
      <c r="O356" s="599">
        <f>SUM(O366:O372)</f>
        <v>8208</v>
      </c>
      <c r="P356" s="599">
        <f>SUM(P366:P372)</f>
        <v>8208</v>
      </c>
      <c r="Q356" s="599">
        <f>SUM(Q366:Q372)</f>
        <v>8172</v>
      </c>
      <c r="R356" s="702">
        <f>Q356</f>
        <v>8172</v>
      </c>
      <c r="S356" s="599">
        <f>SUM(S366:S372)</f>
        <v>8172</v>
      </c>
      <c r="T356" s="599">
        <f>SUM(T366:T372)</f>
        <v>8172</v>
      </c>
      <c r="U356" s="599">
        <f>SUM(U366:U372)</f>
        <v>8172</v>
      </c>
      <c r="V356" s="599">
        <f>SUM(V366:V372)</f>
        <v>8176</v>
      </c>
      <c r="W356" s="702">
        <f>V356</f>
        <v>8176</v>
      </c>
      <c r="X356" s="599">
        <f>SUM(X366:X372)</f>
        <v>8176</v>
      </c>
      <c r="Y356" s="599">
        <f>SUM(Y366:Y372)</f>
        <v>8176</v>
      </c>
      <c r="Z356" s="599">
        <f>SUM(Z366:Z372)</f>
        <v>8176</v>
      </c>
      <c r="AA356" s="599">
        <f>SUM(AA366:AA372)</f>
        <v>8096</v>
      </c>
      <c r="AB356" s="702">
        <f>AA356</f>
        <v>8096</v>
      </c>
      <c r="AC356" s="703">
        <f>SUM(AC366:AC372)</f>
        <v>8096</v>
      </c>
      <c r="AD356" s="703">
        <f>SUM(AD366:AD372)</f>
        <v>8096</v>
      </c>
      <c r="AE356" s="703">
        <f>SUM(AE366:AE372)</f>
        <v>8096</v>
      </c>
      <c r="AF356" s="703">
        <f>SUM(AF366:AF372)</f>
        <v>8026</v>
      </c>
      <c r="AG356" s="702">
        <f>AF356</f>
        <v>8026</v>
      </c>
      <c r="AH356" s="703">
        <f>SUM(AH366:AH383)</f>
        <v>8026</v>
      </c>
      <c r="AI356" s="703">
        <f t="shared" ref="AI356:CB356" si="669">SUM(AI366:AI383)</f>
        <v>8026</v>
      </c>
      <c r="AJ356" s="703">
        <f t="shared" si="669"/>
        <v>8026</v>
      </c>
      <c r="AK356" s="703">
        <f t="shared" si="669"/>
        <v>8046</v>
      </c>
      <c r="AL356" s="644">
        <f t="shared" si="669"/>
        <v>8046</v>
      </c>
      <c r="AM356" s="703">
        <f t="shared" si="669"/>
        <v>12267</v>
      </c>
      <c r="AN356" s="703">
        <f t="shared" si="669"/>
        <v>12265</v>
      </c>
      <c r="AO356" s="703">
        <f t="shared" si="669"/>
        <v>12265</v>
      </c>
      <c r="AP356" s="703">
        <f t="shared" si="669"/>
        <v>15596</v>
      </c>
      <c r="AQ356" s="644">
        <f t="shared" si="669"/>
        <v>14181.75</v>
      </c>
      <c r="AR356" s="703">
        <f t="shared" si="669"/>
        <v>15600</v>
      </c>
      <c r="AS356" s="703">
        <f t="shared" si="669"/>
        <v>15613</v>
      </c>
      <c r="AT356" s="703">
        <f t="shared" si="669"/>
        <v>15614</v>
      </c>
      <c r="AU356" s="703">
        <f t="shared" si="669"/>
        <v>15930</v>
      </c>
      <c r="AV356" s="644">
        <f t="shared" si="669"/>
        <v>15612.75</v>
      </c>
      <c r="AW356" s="703">
        <f t="shared" si="669"/>
        <v>15937</v>
      </c>
      <c r="AX356" s="703">
        <f t="shared" si="669"/>
        <v>15937</v>
      </c>
      <c r="AY356" s="703">
        <f t="shared" si="669"/>
        <v>15937</v>
      </c>
      <c r="AZ356" s="703">
        <f t="shared" si="669"/>
        <v>15888</v>
      </c>
      <c r="BA356" s="644">
        <f t="shared" si="669"/>
        <v>15861</v>
      </c>
      <c r="BB356" s="703">
        <f t="shared" si="669"/>
        <v>15332</v>
      </c>
      <c r="BC356" s="703">
        <f t="shared" si="669"/>
        <v>15323</v>
      </c>
      <c r="BD356" s="703">
        <f t="shared" si="669"/>
        <v>15145</v>
      </c>
      <c r="BE356" s="703">
        <f t="shared" si="669"/>
        <v>15129</v>
      </c>
      <c r="BF356" s="644">
        <f t="shared" si="669"/>
        <v>15121.5</v>
      </c>
      <c r="BG356" s="2814">
        <f t="shared" si="669"/>
        <v>15103</v>
      </c>
      <c r="BH356" s="2815">
        <f t="shared" si="669"/>
        <v>15067</v>
      </c>
      <c r="BI356" s="2815">
        <f t="shared" si="669"/>
        <v>15063</v>
      </c>
      <c r="BJ356" s="2816">
        <f t="shared" si="669"/>
        <v>15049</v>
      </c>
      <c r="BK356" s="644">
        <f t="shared" si="669"/>
        <v>15054.5</v>
      </c>
      <c r="BL356" s="2815">
        <f t="shared" si="669"/>
        <v>15041</v>
      </c>
      <c r="BM356" s="2815">
        <f t="shared" si="669"/>
        <v>15030</v>
      </c>
      <c r="BN356" s="2815">
        <f t="shared" si="669"/>
        <v>14633</v>
      </c>
      <c r="BO356" s="2816">
        <f t="shared" si="669"/>
        <v>14525</v>
      </c>
      <c r="BP356" s="644">
        <f t="shared" si="669"/>
        <v>14759.5</v>
      </c>
      <c r="BQ356" s="2815">
        <f t="shared" si="669"/>
        <v>14443</v>
      </c>
      <c r="BR356" s="2815">
        <f t="shared" si="669"/>
        <v>14720</v>
      </c>
      <c r="BS356" s="2815">
        <f t="shared" si="669"/>
        <v>14720</v>
      </c>
      <c r="BT356" s="2816">
        <f t="shared" si="669"/>
        <v>14720</v>
      </c>
      <c r="BU356" s="3383">
        <f t="shared" si="669"/>
        <v>14639.5</v>
      </c>
      <c r="BV356" s="2815">
        <f t="shared" si="669"/>
        <v>14639.5</v>
      </c>
      <c r="BW356" s="2815">
        <f t="shared" si="669"/>
        <v>14639.5</v>
      </c>
      <c r="BX356" s="2815">
        <f t="shared" si="669"/>
        <v>22478.500000000004</v>
      </c>
      <c r="BY356" s="2815">
        <f t="shared" si="669"/>
        <v>22478.500000000004</v>
      </c>
      <c r="BZ356" s="3383">
        <f t="shared" si="669"/>
        <v>22478.500000000004</v>
      </c>
      <c r="CA356" s="644">
        <f t="shared" si="669"/>
        <v>22478.500000000004</v>
      </c>
      <c r="CB356" s="644">
        <f t="shared" si="669"/>
        <v>22478.500000000004</v>
      </c>
      <c r="CC356" s="644">
        <f t="shared" ref="CC356:CG356" si="670">SUM(CC366:CC372)</f>
        <v>9247</v>
      </c>
      <c r="CD356" s="644">
        <f t="shared" si="670"/>
        <v>9247</v>
      </c>
      <c r="CE356" s="644">
        <f t="shared" si="670"/>
        <v>9247</v>
      </c>
      <c r="CF356" s="644">
        <f t="shared" si="670"/>
        <v>9247</v>
      </c>
      <c r="CG356" s="644">
        <f t="shared" si="670"/>
        <v>9247</v>
      </c>
      <c r="CH356" s="599"/>
      <c r="CI356" s="599"/>
      <c r="CJ356" s="599"/>
      <c r="CK356" s="599"/>
      <c r="CL356" s="599"/>
      <c r="CM356" s="599"/>
      <c r="CN356" s="599"/>
      <c r="CO356" s="599"/>
      <c r="CP356" s="1871" t="str">
        <f t="shared" si="600"/>
        <v>Slots</v>
      </c>
      <c r="CQ356" s="703">
        <f t="shared" si="601"/>
        <v>7827</v>
      </c>
      <c r="CR356" s="703">
        <f t="shared" si="602"/>
        <v>7758</v>
      </c>
      <c r="CS356" s="703">
        <f t="shared" si="603"/>
        <v>8172</v>
      </c>
      <c r="CT356" s="703">
        <f t="shared" si="604"/>
        <v>8176</v>
      </c>
      <c r="CU356" s="703">
        <f t="shared" si="605"/>
        <v>8096</v>
      </c>
      <c r="CV356" s="703">
        <f t="shared" si="606"/>
        <v>8026</v>
      </c>
      <c r="CW356" s="703">
        <f t="shared" si="607"/>
        <v>8046</v>
      </c>
      <c r="CX356" s="703">
        <f t="shared" si="608"/>
        <v>14181.75</v>
      </c>
      <c r="CY356" s="703">
        <f t="shared" si="609"/>
        <v>15612.75</v>
      </c>
      <c r="CZ356" s="703">
        <f t="shared" si="610"/>
        <v>15861</v>
      </c>
      <c r="DA356" s="703">
        <f t="shared" si="611"/>
        <v>15121.5</v>
      </c>
      <c r="DB356" s="703">
        <f t="shared" si="612"/>
        <v>15054.5</v>
      </c>
      <c r="DC356" s="703">
        <f t="shared" si="613"/>
        <v>14759.5</v>
      </c>
      <c r="DD356" s="703">
        <f t="shared" si="614"/>
        <v>14639.5</v>
      </c>
      <c r="DE356" s="703">
        <f t="shared" si="615"/>
        <v>22478.500000000004</v>
      </c>
      <c r="DF356" s="703">
        <f t="shared" si="616"/>
        <v>22478.500000000004</v>
      </c>
      <c r="DG356" s="1872">
        <f t="shared" si="617"/>
        <v>22478.500000000004</v>
      </c>
      <c r="DH356" s="599"/>
      <c r="DI356" s="704"/>
      <c r="DJ356" s="704"/>
      <c r="DK356" s="704"/>
      <c r="DL356" s="704"/>
      <c r="DM356" s="704"/>
      <c r="DN356" s="705"/>
      <c r="DO356" s="706"/>
      <c r="DY356" s="599"/>
      <c r="DZ356" s="599"/>
    </row>
    <row r="357" spans="1:130" ht="12" customHeight="1">
      <c r="A357" s="707" t="s">
        <v>184</v>
      </c>
      <c r="B357" s="699"/>
      <c r="C357" s="699"/>
      <c r="D357" s="598">
        <f>D405</f>
        <v>159</v>
      </c>
      <c r="E357" s="599">
        <f>E405</f>
        <v>189</v>
      </c>
      <c r="F357" s="599">
        <f>F405</f>
        <v>189</v>
      </c>
      <c r="G357" s="599">
        <f>G405</f>
        <v>189</v>
      </c>
      <c r="H357" s="702">
        <f>G357</f>
        <v>189</v>
      </c>
      <c r="I357" s="599">
        <f>SUM(I388:I393)</f>
        <v>189</v>
      </c>
      <c r="J357" s="599">
        <f>SUM(J388:J393)</f>
        <v>189</v>
      </c>
      <c r="K357" s="599">
        <f>SUM(K388:K393)</f>
        <v>189</v>
      </c>
      <c r="L357" s="599">
        <f>SUM(L388:L393)</f>
        <v>176</v>
      </c>
      <c r="M357" s="702">
        <f>L357</f>
        <v>176</v>
      </c>
      <c r="N357" s="599">
        <f>SUM(N388:N393)</f>
        <v>176</v>
      </c>
      <c r="O357" s="599">
        <f>SUM(O388:O393)</f>
        <v>176</v>
      </c>
      <c r="P357" s="599">
        <f>SUM(P388:P393)</f>
        <v>176</v>
      </c>
      <c r="Q357" s="599">
        <f>SUM(Q388:Q393)</f>
        <v>182</v>
      </c>
      <c r="R357" s="702">
        <f>Q357</f>
        <v>182</v>
      </c>
      <c r="S357" s="599">
        <f>SUM(S388:S393)</f>
        <v>182</v>
      </c>
      <c r="T357" s="599">
        <f>SUM(T388:T393)</f>
        <v>182</v>
      </c>
      <c r="U357" s="599">
        <f>SUM(U388:U393)</f>
        <v>182</v>
      </c>
      <c r="V357" s="599">
        <f>SUM(V388:V393)</f>
        <v>178</v>
      </c>
      <c r="W357" s="702">
        <f>V357</f>
        <v>178</v>
      </c>
      <c r="X357" s="599">
        <f>SUM(X388:X393)</f>
        <v>178</v>
      </c>
      <c r="Y357" s="599">
        <f>SUM(Y388:Y393)</f>
        <v>178</v>
      </c>
      <c r="Z357" s="599">
        <f>SUM(Z388:Z393)</f>
        <v>178</v>
      </c>
      <c r="AA357" s="599">
        <f>SUM(AA388:AA393)</f>
        <v>176</v>
      </c>
      <c r="AB357" s="702">
        <f>AA357</f>
        <v>176</v>
      </c>
      <c r="AC357" s="599">
        <f>SUM(AC388:AC393)</f>
        <v>176</v>
      </c>
      <c r="AD357" s="599">
        <f>SUM(AD388:AD393)</f>
        <v>176</v>
      </c>
      <c r="AE357" s="599">
        <f>SUM(AE388:AE393)</f>
        <v>176</v>
      </c>
      <c r="AF357" s="599">
        <f>SUM(AF388:AF393)</f>
        <v>167</v>
      </c>
      <c r="AG357" s="702">
        <f>AF357</f>
        <v>167</v>
      </c>
      <c r="AH357" s="703">
        <f>SUM(AH388:AH404)</f>
        <v>167</v>
      </c>
      <c r="AI357" s="703">
        <f t="shared" ref="AI357:CB357" si="671">SUM(AI388:AI404)</f>
        <v>167</v>
      </c>
      <c r="AJ357" s="703">
        <f t="shared" si="671"/>
        <v>167</v>
      </c>
      <c r="AK357" s="703">
        <f t="shared" si="671"/>
        <v>163</v>
      </c>
      <c r="AL357" s="644">
        <f t="shared" si="671"/>
        <v>163</v>
      </c>
      <c r="AM357" s="703">
        <f t="shared" si="671"/>
        <v>231</v>
      </c>
      <c r="AN357" s="703">
        <f t="shared" si="671"/>
        <v>231</v>
      </c>
      <c r="AO357" s="703">
        <f t="shared" si="671"/>
        <v>231</v>
      </c>
      <c r="AP357" s="703">
        <f t="shared" si="671"/>
        <v>261</v>
      </c>
      <c r="AQ357" s="644">
        <f t="shared" si="671"/>
        <v>226</v>
      </c>
      <c r="AR357" s="703">
        <f t="shared" si="671"/>
        <v>261</v>
      </c>
      <c r="AS357" s="703">
        <f t="shared" si="671"/>
        <v>261</v>
      </c>
      <c r="AT357" s="703">
        <f t="shared" si="671"/>
        <v>261</v>
      </c>
      <c r="AU357" s="703">
        <f t="shared" si="671"/>
        <v>267</v>
      </c>
      <c r="AV357" s="644">
        <f t="shared" si="671"/>
        <v>261.75</v>
      </c>
      <c r="AW357" s="703">
        <f t="shared" si="671"/>
        <v>267</v>
      </c>
      <c r="AX357" s="703">
        <f t="shared" si="671"/>
        <v>267</v>
      </c>
      <c r="AY357" s="703">
        <f t="shared" si="671"/>
        <v>267</v>
      </c>
      <c r="AZ357" s="703">
        <f t="shared" si="671"/>
        <v>276</v>
      </c>
      <c r="BA357" s="644">
        <f t="shared" si="671"/>
        <v>269.25</v>
      </c>
      <c r="BB357" s="703">
        <f t="shared" si="671"/>
        <v>272</v>
      </c>
      <c r="BC357" s="703">
        <f t="shared" si="671"/>
        <v>272</v>
      </c>
      <c r="BD357" s="703">
        <f t="shared" si="671"/>
        <v>276</v>
      </c>
      <c r="BE357" s="703">
        <f t="shared" si="671"/>
        <v>280</v>
      </c>
      <c r="BF357" s="644">
        <f t="shared" si="671"/>
        <v>279.5</v>
      </c>
      <c r="BG357" s="2817">
        <f t="shared" si="671"/>
        <v>280</v>
      </c>
      <c r="BH357" s="703">
        <f t="shared" si="671"/>
        <v>279</v>
      </c>
      <c r="BI357" s="703">
        <f t="shared" si="671"/>
        <v>281</v>
      </c>
      <c r="BJ357" s="1872">
        <f t="shared" si="671"/>
        <v>281</v>
      </c>
      <c r="BK357" s="644">
        <f t="shared" si="671"/>
        <v>280.25</v>
      </c>
      <c r="BL357" s="703">
        <f t="shared" si="671"/>
        <v>281</v>
      </c>
      <c r="BM357" s="703">
        <f t="shared" si="671"/>
        <v>281</v>
      </c>
      <c r="BN357" s="703">
        <f t="shared" si="671"/>
        <v>282</v>
      </c>
      <c r="BO357" s="1872">
        <f t="shared" si="671"/>
        <v>281</v>
      </c>
      <c r="BP357" s="644">
        <f t="shared" si="671"/>
        <v>280.5</v>
      </c>
      <c r="BQ357" s="703">
        <f t="shared" si="671"/>
        <v>280</v>
      </c>
      <c r="BR357" s="703">
        <f t="shared" si="671"/>
        <v>282</v>
      </c>
      <c r="BS357" s="703">
        <f t="shared" si="671"/>
        <v>282</v>
      </c>
      <c r="BT357" s="1872">
        <f t="shared" si="671"/>
        <v>282</v>
      </c>
      <c r="BU357" s="3383">
        <f t="shared" si="671"/>
        <v>281.75</v>
      </c>
      <c r="BV357" s="703">
        <f t="shared" si="671"/>
        <v>281.75</v>
      </c>
      <c r="BW357" s="703">
        <f t="shared" si="671"/>
        <v>281.75</v>
      </c>
      <c r="BX357" s="703">
        <f t="shared" si="671"/>
        <v>521.75</v>
      </c>
      <c r="BY357" s="703">
        <f t="shared" si="671"/>
        <v>521.75</v>
      </c>
      <c r="BZ357" s="3383">
        <f t="shared" si="671"/>
        <v>521.75</v>
      </c>
      <c r="CA357" s="644">
        <f t="shared" si="671"/>
        <v>521.75</v>
      </c>
      <c r="CB357" s="644">
        <f t="shared" si="671"/>
        <v>521.75</v>
      </c>
      <c r="CC357" s="644">
        <f t="shared" ref="CC357:CG358" si="672">CB357</f>
        <v>521.75</v>
      </c>
      <c r="CD357" s="644">
        <f t="shared" si="672"/>
        <v>521.75</v>
      </c>
      <c r="CE357" s="644">
        <f t="shared" si="672"/>
        <v>521.75</v>
      </c>
      <c r="CF357" s="644">
        <f t="shared" si="672"/>
        <v>521.75</v>
      </c>
      <c r="CG357" s="644">
        <f t="shared" si="672"/>
        <v>521.75</v>
      </c>
      <c r="CH357" s="599"/>
      <c r="CI357" s="599"/>
      <c r="CJ357" s="599"/>
      <c r="CK357" s="599"/>
      <c r="CL357" s="599"/>
      <c r="CM357" s="599"/>
      <c r="CN357" s="599"/>
      <c r="CO357" s="599"/>
      <c r="CP357" s="1873" t="str">
        <f t="shared" si="600"/>
        <v>Tables</v>
      </c>
      <c r="CQ357" s="703">
        <f t="shared" si="601"/>
        <v>189</v>
      </c>
      <c r="CR357" s="703">
        <f t="shared" si="602"/>
        <v>176</v>
      </c>
      <c r="CS357" s="703">
        <f t="shared" si="603"/>
        <v>182</v>
      </c>
      <c r="CT357" s="703">
        <f t="shared" si="604"/>
        <v>178</v>
      </c>
      <c r="CU357" s="703">
        <f t="shared" si="605"/>
        <v>176</v>
      </c>
      <c r="CV357" s="703">
        <f t="shared" si="606"/>
        <v>167</v>
      </c>
      <c r="CW357" s="703">
        <f t="shared" si="607"/>
        <v>163</v>
      </c>
      <c r="CX357" s="703">
        <f t="shared" si="608"/>
        <v>226</v>
      </c>
      <c r="CY357" s="703">
        <f t="shared" si="609"/>
        <v>261.75</v>
      </c>
      <c r="CZ357" s="703">
        <f t="shared" si="610"/>
        <v>269.25</v>
      </c>
      <c r="DA357" s="703">
        <f t="shared" si="611"/>
        <v>279.5</v>
      </c>
      <c r="DB357" s="703">
        <f t="shared" si="612"/>
        <v>280.25</v>
      </c>
      <c r="DC357" s="703">
        <f t="shared" si="613"/>
        <v>280.5</v>
      </c>
      <c r="DD357" s="703">
        <f t="shared" si="614"/>
        <v>281.75</v>
      </c>
      <c r="DE357" s="703">
        <f t="shared" si="615"/>
        <v>521.75</v>
      </c>
      <c r="DF357" s="703">
        <f t="shared" si="616"/>
        <v>521.75</v>
      </c>
      <c r="DG357" s="1872">
        <f t="shared" si="617"/>
        <v>521.75</v>
      </c>
      <c r="DH357" s="599"/>
      <c r="DI357" s="704"/>
      <c r="DJ357" s="704"/>
      <c r="DK357" s="704"/>
      <c r="DL357" s="704"/>
      <c r="DM357" s="704"/>
      <c r="DN357" s="705"/>
      <c r="DO357" s="706"/>
      <c r="DY357" s="599"/>
      <c r="DZ357" s="599"/>
    </row>
    <row r="358" spans="1:130" ht="12" customHeight="1">
      <c r="A358" s="552" t="s">
        <v>182</v>
      </c>
      <c r="B358" s="708"/>
      <c r="C358" s="708"/>
      <c r="D358" s="1696">
        <f>D356+(6*D357)</f>
        <v>7591</v>
      </c>
      <c r="E358" s="720">
        <f>E356+(6*E357)</f>
        <v>8991</v>
      </c>
      <c r="F358" s="720">
        <f>F356+(6*F357)</f>
        <v>8991</v>
      </c>
      <c r="G358" s="720">
        <f>G356+(6*G357)</f>
        <v>8961</v>
      </c>
      <c r="H358" s="718">
        <f>G358</f>
        <v>8961</v>
      </c>
      <c r="I358" s="720">
        <f>(I357*6)+I356</f>
        <v>8961</v>
      </c>
      <c r="J358" s="720">
        <f>(J357*6)+J356</f>
        <v>8961</v>
      </c>
      <c r="K358" s="720">
        <f>(K357*6)+K356</f>
        <v>8961</v>
      </c>
      <c r="L358" s="1402">
        <f>(L357*6)+L356</f>
        <v>8814</v>
      </c>
      <c r="M358" s="718">
        <f>L358</f>
        <v>8814</v>
      </c>
      <c r="N358" s="720">
        <f>(N357*6)+N356</f>
        <v>9264</v>
      </c>
      <c r="O358" s="720">
        <f>(O357*6)+O356</f>
        <v>9264</v>
      </c>
      <c r="P358" s="720">
        <f>(P357*6)+P356</f>
        <v>9264</v>
      </c>
      <c r="Q358" s="720">
        <f>(Q357*6)+Q356</f>
        <v>9264</v>
      </c>
      <c r="R358" s="718">
        <f>Q358</f>
        <v>9264</v>
      </c>
      <c r="S358" s="720">
        <f>(S357*6)+S356</f>
        <v>9264</v>
      </c>
      <c r="T358" s="720">
        <f>(T357*6)+T356</f>
        <v>9264</v>
      </c>
      <c r="U358" s="720">
        <f>(U357*6)+U356</f>
        <v>9264</v>
      </c>
      <c r="V358" s="1402">
        <f>(V357*6)+V356</f>
        <v>9244</v>
      </c>
      <c r="W358" s="718">
        <f>V358</f>
        <v>9244</v>
      </c>
      <c r="X358" s="720">
        <f>(X357*6)+X356</f>
        <v>9244</v>
      </c>
      <c r="Y358" s="720">
        <f>(Y357*6)+Y356</f>
        <v>9244</v>
      </c>
      <c r="Z358" s="720">
        <f>(Z357*6)+Z356</f>
        <v>9244</v>
      </c>
      <c r="AA358" s="1402">
        <f>(AA357*6)+AA356</f>
        <v>9152</v>
      </c>
      <c r="AB358" s="718">
        <f>AA358</f>
        <v>9152</v>
      </c>
      <c r="AC358" s="720">
        <f>(AC357*6)+AC356</f>
        <v>9152</v>
      </c>
      <c r="AD358" s="720">
        <f>(AD357*6)+AD356</f>
        <v>9152</v>
      </c>
      <c r="AE358" s="720">
        <f>(AE357*6)+AE356</f>
        <v>9152</v>
      </c>
      <c r="AF358" s="720">
        <f>(AF357*6)+AF356</f>
        <v>9028</v>
      </c>
      <c r="AG358" s="718">
        <f>AF358</f>
        <v>9028</v>
      </c>
      <c r="AH358" s="720">
        <f>(AH357*6)+AH356</f>
        <v>9028</v>
      </c>
      <c r="AI358" s="720">
        <f>(AI357*6)+AI356</f>
        <v>9028</v>
      </c>
      <c r="AJ358" s="720">
        <f>(AJ357*6)+AJ356</f>
        <v>9028</v>
      </c>
      <c r="AK358" s="720">
        <f>(AK357*6)+AK356</f>
        <v>9024</v>
      </c>
      <c r="AL358" s="791">
        <f>AK358</f>
        <v>9024</v>
      </c>
      <c r="AM358" s="720">
        <f>(AM357*6)+AM356</f>
        <v>13653</v>
      </c>
      <c r="AN358" s="720">
        <f>(AN357*6)+AN356</f>
        <v>13651</v>
      </c>
      <c r="AO358" s="720">
        <f>(AO357*6)+AO356</f>
        <v>13651</v>
      </c>
      <c r="AP358" s="720">
        <f>(AP357*6)+AP356</f>
        <v>17162</v>
      </c>
      <c r="AQ358" s="791">
        <f>AP358</f>
        <v>17162</v>
      </c>
      <c r="AR358" s="720">
        <f>(AR357*6)+AR356</f>
        <v>17166</v>
      </c>
      <c r="AS358" s="720">
        <f>(AS357*6)+AS356</f>
        <v>17179</v>
      </c>
      <c r="AT358" s="720">
        <f>(AT357*6)+AT356</f>
        <v>17180</v>
      </c>
      <c r="AU358" s="720">
        <f>(AU357*6)+AU356</f>
        <v>17532</v>
      </c>
      <c r="AV358" s="791">
        <f>AU358</f>
        <v>17532</v>
      </c>
      <c r="AW358" s="720">
        <f>(AW357*6)+AW356</f>
        <v>17539</v>
      </c>
      <c r="AX358" s="720">
        <f>(AX357*6)+AX356</f>
        <v>17539</v>
      </c>
      <c r="AY358" s="720">
        <f>(AY357*6)+AY356</f>
        <v>17539</v>
      </c>
      <c r="AZ358" s="720">
        <f>(AZ357*6)+AZ356</f>
        <v>17544</v>
      </c>
      <c r="BA358" s="791">
        <f>AZ358</f>
        <v>17544</v>
      </c>
      <c r="BB358" s="720">
        <f>(BB357*6)+BB356</f>
        <v>16964</v>
      </c>
      <c r="BC358" s="720">
        <f>(BC357*6)+BC356</f>
        <v>16955</v>
      </c>
      <c r="BD358" s="720">
        <f>(BD357*6)+BD356</f>
        <v>16801</v>
      </c>
      <c r="BE358" s="720">
        <f>(BE357*6)+BE356</f>
        <v>16809</v>
      </c>
      <c r="BF358" s="791">
        <f>BE358</f>
        <v>16809</v>
      </c>
      <c r="BG358" s="1696">
        <f>(BG357*6)+BG356</f>
        <v>16783</v>
      </c>
      <c r="BH358" s="720">
        <f>(BH357*6)+BH356</f>
        <v>16741</v>
      </c>
      <c r="BI358" s="720">
        <f>(BI357*6)+BI356</f>
        <v>16749</v>
      </c>
      <c r="BJ358" s="1874">
        <f>(BJ357*6)+BJ356</f>
        <v>16735</v>
      </c>
      <c r="BK358" s="791">
        <f>BJ358</f>
        <v>16735</v>
      </c>
      <c r="BL358" s="720">
        <f>(BL357*6)+BL356</f>
        <v>16727</v>
      </c>
      <c r="BM358" s="720">
        <f>(BM357*6)+BM356</f>
        <v>16716</v>
      </c>
      <c r="BN358" s="720">
        <f>(BN357*6)+BN356</f>
        <v>16325</v>
      </c>
      <c r="BO358" s="1874">
        <f>(BO357*6)+BO356</f>
        <v>16211</v>
      </c>
      <c r="BP358" s="791">
        <f>BO358</f>
        <v>16211</v>
      </c>
      <c r="BQ358" s="720">
        <f>(BQ357*6)+BQ356</f>
        <v>16123</v>
      </c>
      <c r="BR358" s="720">
        <f>(BR357*6)+BR356</f>
        <v>16412</v>
      </c>
      <c r="BS358" s="720">
        <f>(BS357*6)+BS356</f>
        <v>16412</v>
      </c>
      <c r="BT358" s="1874">
        <f>(BT357*6)+BT356</f>
        <v>16412</v>
      </c>
      <c r="BU358" s="3396">
        <f>BT358</f>
        <v>16412</v>
      </c>
      <c r="BV358" s="720">
        <f>(BV357*6)+BV356</f>
        <v>16330</v>
      </c>
      <c r="BW358" s="720">
        <f t="shared" ref="BW358:BY358" si="673">(BW357*6)+BW356</f>
        <v>16330</v>
      </c>
      <c r="BX358" s="720">
        <f t="shared" si="673"/>
        <v>25609.000000000004</v>
      </c>
      <c r="BY358" s="720">
        <f t="shared" si="673"/>
        <v>25609.000000000004</v>
      </c>
      <c r="BZ358" s="3396">
        <f>BY358</f>
        <v>25609.000000000004</v>
      </c>
      <c r="CA358" s="791">
        <f t="shared" ref="CA358:CB360" si="674">BZ358</f>
        <v>25609.000000000004</v>
      </c>
      <c r="CB358" s="791">
        <f t="shared" si="674"/>
        <v>25609.000000000004</v>
      </c>
      <c r="CC358" s="791">
        <f t="shared" si="672"/>
        <v>25609.000000000004</v>
      </c>
      <c r="CD358" s="791">
        <f t="shared" si="672"/>
        <v>25609.000000000004</v>
      </c>
      <c r="CE358" s="791">
        <f t="shared" si="672"/>
        <v>25609.000000000004</v>
      </c>
      <c r="CF358" s="791">
        <f t="shared" si="672"/>
        <v>25609.000000000004</v>
      </c>
      <c r="CG358" s="791">
        <f t="shared" si="672"/>
        <v>25609.000000000004</v>
      </c>
      <c r="CH358" s="709"/>
      <c r="CI358" s="709"/>
      <c r="CJ358" s="709"/>
      <c r="CK358" s="709"/>
      <c r="CL358" s="709"/>
      <c r="CM358" s="709"/>
      <c r="CN358" s="709"/>
      <c r="CO358" s="709"/>
      <c r="CP358" s="994" t="str">
        <f t="shared" si="600"/>
        <v>Positions</v>
      </c>
      <c r="CQ358" s="720">
        <f t="shared" si="601"/>
        <v>8961</v>
      </c>
      <c r="CR358" s="720">
        <f t="shared" si="602"/>
        <v>8814</v>
      </c>
      <c r="CS358" s="720">
        <f t="shared" si="603"/>
        <v>9264</v>
      </c>
      <c r="CT358" s="720">
        <f t="shared" si="604"/>
        <v>9244</v>
      </c>
      <c r="CU358" s="720">
        <f t="shared" si="605"/>
        <v>9152</v>
      </c>
      <c r="CV358" s="720">
        <f t="shared" si="606"/>
        <v>9028</v>
      </c>
      <c r="CW358" s="720">
        <f t="shared" si="607"/>
        <v>9024</v>
      </c>
      <c r="CX358" s="720">
        <f t="shared" si="608"/>
        <v>17162</v>
      </c>
      <c r="CY358" s="720">
        <f t="shared" si="609"/>
        <v>17532</v>
      </c>
      <c r="CZ358" s="720">
        <f t="shared" si="610"/>
        <v>17544</v>
      </c>
      <c r="DA358" s="720">
        <f t="shared" si="611"/>
        <v>16809</v>
      </c>
      <c r="DB358" s="720">
        <f t="shared" si="612"/>
        <v>16735</v>
      </c>
      <c r="DC358" s="720">
        <f t="shared" si="613"/>
        <v>16211</v>
      </c>
      <c r="DD358" s="720">
        <f t="shared" si="614"/>
        <v>16412</v>
      </c>
      <c r="DE358" s="720">
        <f t="shared" si="615"/>
        <v>25609.000000000004</v>
      </c>
      <c r="DF358" s="720">
        <f t="shared" si="616"/>
        <v>25609.000000000004</v>
      </c>
      <c r="DG358" s="1874">
        <f t="shared" si="617"/>
        <v>25609.000000000004</v>
      </c>
      <c r="DH358" s="710"/>
      <c r="DI358" s="711"/>
      <c r="DJ358" s="711"/>
      <c r="DK358" s="711"/>
      <c r="DL358" s="711"/>
      <c r="DM358" s="711"/>
      <c r="DN358" s="712"/>
      <c r="DO358" s="276"/>
      <c r="DY358" s="792"/>
      <c r="DZ358" s="792"/>
    </row>
    <row r="359" spans="1:130" ht="4.5" customHeight="1">
      <c r="A359" s="962"/>
      <c r="B359" s="293"/>
      <c r="C359" s="293"/>
      <c r="D359" s="294" t="s">
        <v>343</v>
      </c>
      <c r="E359" s="295" t="s">
        <v>343</v>
      </c>
      <c r="F359" s="295" t="s">
        <v>343</v>
      </c>
      <c r="G359" s="295" t="s">
        <v>343</v>
      </c>
      <c r="H359" s="296" t="s">
        <v>343</v>
      </c>
      <c r="I359" s="295" t="s">
        <v>343</v>
      </c>
      <c r="J359" s="295" t="s">
        <v>343</v>
      </c>
      <c r="K359" s="295" t="s">
        <v>343</v>
      </c>
      <c r="L359" s="295" t="s">
        <v>343</v>
      </c>
      <c r="M359" s="296" t="s">
        <v>343</v>
      </c>
      <c r="N359" s="295" t="s">
        <v>343</v>
      </c>
      <c r="O359" s="295" t="s">
        <v>343</v>
      </c>
      <c r="P359" s="295" t="s">
        <v>343</v>
      </c>
      <c r="Q359" s="295" t="s">
        <v>343</v>
      </c>
      <c r="R359" s="296" t="s">
        <v>343</v>
      </c>
      <c r="S359" s="295" t="s">
        <v>343</v>
      </c>
      <c r="T359" s="295" t="s">
        <v>343</v>
      </c>
      <c r="U359" s="295" t="s">
        <v>343</v>
      </c>
      <c r="V359" s="295" t="s">
        <v>343</v>
      </c>
      <c r="W359" s="296" t="s">
        <v>343</v>
      </c>
      <c r="X359" s="295" t="s">
        <v>343</v>
      </c>
      <c r="Y359" s="295" t="s">
        <v>343</v>
      </c>
      <c r="Z359" s="295" t="s">
        <v>343</v>
      </c>
      <c r="AA359" s="295" t="s">
        <v>343</v>
      </c>
      <c r="AB359" s="296" t="s">
        <v>343</v>
      </c>
      <c r="AC359" s="295" t="s">
        <v>343</v>
      </c>
      <c r="AD359" s="295" t="s">
        <v>343</v>
      </c>
      <c r="AE359" s="295" t="s">
        <v>343</v>
      </c>
      <c r="AF359" s="295" t="s">
        <v>343</v>
      </c>
      <c r="AG359" s="296" t="s">
        <v>343</v>
      </c>
      <c r="AH359" s="295" t="s">
        <v>343</v>
      </c>
      <c r="AI359" s="295" t="s">
        <v>343</v>
      </c>
      <c r="AJ359" s="295" t="s">
        <v>343</v>
      </c>
      <c r="AK359" s="295" t="s">
        <v>343</v>
      </c>
      <c r="AL359" s="296" t="s">
        <v>343</v>
      </c>
      <c r="AM359" s="295" t="s">
        <v>343</v>
      </c>
      <c r="AN359" s="295" t="s">
        <v>343</v>
      </c>
      <c r="AO359" s="295" t="s">
        <v>343</v>
      </c>
      <c r="AP359" s="295" t="s">
        <v>343</v>
      </c>
      <c r="AQ359" s="296" t="s">
        <v>343</v>
      </c>
      <c r="AR359" s="295" t="s">
        <v>343</v>
      </c>
      <c r="AS359" s="295" t="s">
        <v>343</v>
      </c>
      <c r="AT359" s="295" t="s">
        <v>343</v>
      </c>
      <c r="AU359" s="295" t="s">
        <v>343</v>
      </c>
      <c r="AV359" s="296" t="s">
        <v>343</v>
      </c>
      <c r="AW359" s="295" t="s">
        <v>343</v>
      </c>
      <c r="AX359" s="295" t="s">
        <v>343</v>
      </c>
      <c r="AY359" s="295" t="s">
        <v>343</v>
      </c>
      <c r="AZ359" s="295" t="s">
        <v>343</v>
      </c>
      <c r="BA359" s="296" t="s">
        <v>343</v>
      </c>
      <c r="BB359" s="295" t="s">
        <v>343</v>
      </c>
      <c r="BC359" s="295" t="s">
        <v>343</v>
      </c>
      <c r="BD359" s="295" t="s">
        <v>343</v>
      </c>
      <c r="BE359" s="295" t="s">
        <v>343</v>
      </c>
      <c r="BF359" s="296" t="s">
        <v>343</v>
      </c>
      <c r="BG359" s="294" t="s">
        <v>343</v>
      </c>
      <c r="BH359" s="295" t="s">
        <v>343</v>
      </c>
      <c r="BI359" s="295" t="s">
        <v>343</v>
      </c>
      <c r="BJ359" s="297" t="s">
        <v>343</v>
      </c>
      <c r="BK359" s="296" t="s">
        <v>343</v>
      </c>
      <c r="BL359" s="295" t="s">
        <v>343</v>
      </c>
      <c r="BM359" s="295" t="s">
        <v>343</v>
      </c>
      <c r="BN359" s="295" t="s">
        <v>343</v>
      </c>
      <c r="BO359" s="297" t="s">
        <v>343</v>
      </c>
      <c r="BP359" s="296" t="s">
        <v>343</v>
      </c>
      <c r="BQ359" s="295" t="s">
        <v>343</v>
      </c>
      <c r="BR359" s="295" t="s">
        <v>343</v>
      </c>
      <c r="BS359" s="295" t="s">
        <v>343</v>
      </c>
      <c r="BT359" s="297" t="s">
        <v>343</v>
      </c>
      <c r="BU359" s="3314" t="s">
        <v>343</v>
      </c>
      <c r="BV359" s="295" t="s">
        <v>343</v>
      </c>
      <c r="BW359" s="295" t="s">
        <v>343</v>
      </c>
      <c r="BX359" s="295" t="s">
        <v>343</v>
      </c>
      <c r="BY359" s="295" t="s">
        <v>343</v>
      </c>
      <c r="BZ359" s="3314" t="s">
        <v>343</v>
      </c>
      <c r="CA359" s="297" t="s">
        <v>343</v>
      </c>
      <c r="CB359" s="297" t="s">
        <v>343</v>
      </c>
      <c r="CC359" s="297" t="s">
        <v>343</v>
      </c>
      <c r="CD359" s="297" t="s">
        <v>343</v>
      </c>
      <c r="CE359" s="297" t="s">
        <v>343</v>
      </c>
      <c r="CF359" s="297" t="s">
        <v>343</v>
      </c>
      <c r="CG359" s="297" t="s">
        <v>343</v>
      </c>
      <c r="CH359" s="295"/>
      <c r="CI359" s="295"/>
      <c r="CJ359" s="295"/>
      <c r="CK359" s="295"/>
      <c r="CL359" s="295"/>
      <c r="CM359" s="295"/>
      <c r="CN359" s="295"/>
      <c r="CO359" s="295"/>
      <c r="CP359" s="1784"/>
      <c r="CQ359" s="295" t="str">
        <f t="shared" si="601"/>
        <v xml:space="preserve">                </v>
      </c>
      <c r="CR359" s="295" t="str">
        <f t="shared" si="602"/>
        <v xml:space="preserve">                </v>
      </c>
      <c r="CS359" s="295" t="str">
        <f t="shared" si="603"/>
        <v xml:space="preserve">                </v>
      </c>
      <c r="CT359" s="295" t="str">
        <f t="shared" si="604"/>
        <v xml:space="preserve">                </v>
      </c>
      <c r="CU359" s="295" t="str">
        <f t="shared" si="605"/>
        <v xml:space="preserve">                </v>
      </c>
      <c r="CV359" s="295" t="str">
        <f t="shared" si="606"/>
        <v xml:space="preserve">                </v>
      </c>
      <c r="CW359" s="295" t="str">
        <f t="shared" si="607"/>
        <v xml:space="preserve">                </v>
      </c>
      <c r="CX359" s="295" t="str">
        <f t="shared" si="608"/>
        <v xml:space="preserve">                </v>
      </c>
      <c r="CY359" s="295" t="str">
        <f t="shared" si="609"/>
        <v xml:space="preserve">                </v>
      </c>
      <c r="CZ359" s="295" t="str">
        <f t="shared" si="610"/>
        <v xml:space="preserve">                </v>
      </c>
      <c r="DA359" s="295" t="str">
        <f t="shared" si="611"/>
        <v xml:space="preserve">                </v>
      </c>
      <c r="DB359" s="295" t="str">
        <f t="shared" si="612"/>
        <v xml:space="preserve">                </v>
      </c>
      <c r="DC359" s="295" t="str">
        <f t="shared" si="613"/>
        <v xml:space="preserve">                </v>
      </c>
      <c r="DD359" s="295" t="str">
        <f t="shared" si="614"/>
        <v xml:space="preserve">                </v>
      </c>
      <c r="DE359" s="295" t="str">
        <f t="shared" si="615"/>
        <v xml:space="preserve">                </v>
      </c>
      <c r="DF359" s="295" t="str">
        <f t="shared" si="616"/>
        <v xml:space="preserve">                </v>
      </c>
      <c r="DG359" s="297" t="str">
        <f t="shared" si="617"/>
        <v xml:space="preserve">                </v>
      </c>
      <c r="DH359" s="298"/>
      <c r="DI359" s="299"/>
      <c r="DJ359" s="299"/>
      <c r="DK359" s="299"/>
      <c r="DL359" s="299"/>
      <c r="DM359" s="299"/>
      <c r="DN359" s="299"/>
      <c r="DO359" s="300"/>
      <c r="DY359" s="295"/>
      <c r="DZ359" s="295"/>
    </row>
    <row r="360" spans="1:130" ht="12" customHeight="1">
      <c r="A360" s="713" t="s">
        <v>1573</v>
      </c>
      <c r="B360" s="699"/>
      <c r="C360" s="699"/>
      <c r="D360" s="714">
        <v>8991</v>
      </c>
      <c r="E360" s="715">
        <f>(E358+D358)/2</f>
        <v>8291</v>
      </c>
      <c r="F360" s="715">
        <f>(F358+E358)/2</f>
        <v>8991</v>
      </c>
      <c r="G360" s="715">
        <f>(G358+F358)/2</f>
        <v>8976</v>
      </c>
      <c r="H360" s="702">
        <f>AVERAGE(D358:G358)</f>
        <v>8633.5</v>
      </c>
      <c r="I360" s="715">
        <f>AVERAGE(H358:I358)</f>
        <v>8961</v>
      </c>
      <c r="J360" s="715">
        <f>AVERAGE(I358:J358)</f>
        <v>8961</v>
      </c>
      <c r="K360" s="715">
        <f>AVERAGE(J358:K358)</f>
        <v>8961</v>
      </c>
      <c r="L360" s="715">
        <f>AVERAGE(K358:L358)</f>
        <v>8887.5</v>
      </c>
      <c r="M360" s="702">
        <f>AVERAGE(I358:L358)</f>
        <v>8924.25</v>
      </c>
      <c r="N360" s="715">
        <f>AVERAGE(M358:N358)</f>
        <v>9039</v>
      </c>
      <c r="O360" s="715">
        <f>AVERAGE(N358:O358)</f>
        <v>9264</v>
      </c>
      <c r="P360" s="715">
        <f>AVERAGE(O358:P358)</f>
        <v>9264</v>
      </c>
      <c r="Q360" s="715">
        <f>AVERAGE(P358:Q358)</f>
        <v>9264</v>
      </c>
      <c r="R360" s="702">
        <f>AVERAGE(N358:Q358)</f>
        <v>9264</v>
      </c>
      <c r="S360" s="715">
        <f>AVERAGE(R358:S358)</f>
        <v>9264</v>
      </c>
      <c r="T360" s="715">
        <f>AVERAGE(S358:T358)</f>
        <v>9264</v>
      </c>
      <c r="U360" s="715">
        <f>AVERAGE(T358:U358)</f>
        <v>9264</v>
      </c>
      <c r="V360" s="715">
        <f>AVERAGE(U358:V358)</f>
        <v>9254</v>
      </c>
      <c r="W360" s="702">
        <f>AVERAGE(S358:V358)</f>
        <v>9259</v>
      </c>
      <c r="X360" s="715">
        <f>AVERAGE(W358:X358)</f>
        <v>9244</v>
      </c>
      <c r="Y360" s="715">
        <f>AVERAGE(X358:Y358)</f>
        <v>9244</v>
      </c>
      <c r="Z360" s="715">
        <f>AVERAGE(Y358:Z358)</f>
        <v>9244</v>
      </c>
      <c r="AA360" s="715">
        <f>AVERAGE(Z358:AA358)</f>
        <v>9198</v>
      </c>
      <c r="AB360" s="702">
        <f>AVERAGE(X358:AA358)</f>
        <v>9221</v>
      </c>
      <c r="AC360" s="715">
        <f>AVERAGE(AB358:AC358)</f>
        <v>9152</v>
      </c>
      <c r="AD360" s="715">
        <f>AVERAGE(AC358:AD358)</f>
        <v>9152</v>
      </c>
      <c r="AE360" s="715">
        <f>AVERAGE(AD358:AE358)</f>
        <v>9152</v>
      </c>
      <c r="AF360" s="715">
        <f>AVERAGE(AE358:AF358)</f>
        <v>9090</v>
      </c>
      <c r="AG360" s="702">
        <f>AVERAGE(AC358:AF358)</f>
        <v>9121</v>
      </c>
      <c r="AH360" s="715">
        <f>AVERAGE(AG358:AH358)</f>
        <v>9028</v>
      </c>
      <c r="AI360" s="715">
        <f>AVERAGE(AH358:AI358)</f>
        <v>9028</v>
      </c>
      <c r="AJ360" s="715">
        <f>AVERAGE(AI358:AJ358)</f>
        <v>9028</v>
      </c>
      <c r="AK360" s="715">
        <f>AVERAGE(AJ358:AK358)</f>
        <v>9026</v>
      </c>
      <c r="AL360" s="702">
        <f>AVERAGE(AH358:AK358)</f>
        <v>9027</v>
      </c>
      <c r="AM360" s="715">
        <f>AVERAGE(AL358:AM358)</f>
        <v>11338.5</v>
      </c>
      <c r="AN360" s="715">
        <f>AVERAGE(AM358:AN358)</f>
        <v>13652</v>
      </c>
      <c r="AO360" s="715">
        <f>AVERAGE(AN358:AO358)</f>
        <v>13651</v>
      </c>
      <c r="AP360" s="715">
        <f>AVERAGE(AO358:AP358)</f>
        <v>15406.5</v>
      </c>
      <c r="AQ360" s="702">
        <f>AVERAGE(AM358:AP358)</f>
        <v>14529.25</v>
      </c>
      <c r="AR360" s="715">
        <f>AVERAGE(AQ358:AR358)</f>
        <v>17164</v>
      </c>
      <c r="AS360" s="715">
        <f>AVERAGE(AR358:AS358)</f>
        <v>17172.5</v>
      </c>
      <c r="AT360" s="715">
        <f>AVERAGE(AS358:AT358)</f>
        <v>17179.5</v>
      </c>
      <c r="AU360" s="715">
        <f>AVERAGE(AT358:AU358)</f>
        <v>17356</v>
      </c>
      <c r="AV360" s="702">
        <f>AVERAGE(AR358:AU358)</f>
        <v>17264.25</v>
      </c>
      <c r="AW360" s="715">
        <f>AVERAGE(AV358:AW358)</f>
        <v>17535.5</v>
      </c>
      <c r="AX360" s="715">
        <f>AVERAGE(AW358:AX358)</f>
        <v>17539</v>
      </c>
      <c r="AY360" s="715">
        <f>AVERAGE(AX358:AY358)</f>
        <v>17539</v>
      </c>
      <c r="AZ360" s="715">
        <f>AVERAGE(AY358:AZ358)</f>
        <v>17541.5</v>
      </c>
      <c r="BA360" s="702">
        <f>AVERAGE(AW358:AZ358)</f>
        <v>17540.25</v>
      </c>
      <c r="BB360" s="715">
        <f>AVERAGE(BA358:BB358)</f>
        <v>17254</v>
      </c>
      <c r="BC360" s="715">
        <f>AVERAGE(BB358:BC358)</f>
        <v>16959.5</v>
      </c>
      <c r="BD360" s="715">
        <f>AVERAGE(BC358:BD358)</f>
        <v>16878</v>
      </c>
      <c r="BE360" s="715">
        <f>AVERAGE(BD358:BE358)</f>
        <v>16805</v>
      </c>
      <c r="BF360" s="702">
        <f>AVERAGE(BB358:BE358)</f>
        <v>16882.25</v>
      </c>
      <c r="BG360" s="714">
        <f>AVERAGE(BF358:BG358)</f>
        <v>16796</v>
      </c>
      <c r="BH360" s="715">
        <f>AVERAGE(BG358:BH358)</f>
        <v>16762</v>
      </c>
      <c r="BI360" s="715">
        <f>AVERAGE(BH358:BI358)</f>
        <v>16745</v>
      </c>
      <c r="BJ360" s="1876">
        <f>AVERAGE(BI358:BJ358)</f>
        <v>16742</v>
      </c>
      <c r="BK360" s="702">
        <f>AVERAGE(BG358:BJ358)</f>
        <v>16752</v>
      </c>
      <c r="BL360" s="715">
        <f>AVERAGE(BK358:BL358)</f>
        <v>16731</v>
      </c>
      <c r="BM360" s="715">
        <f>AVERAGE(BL358:BM358)</f>
        <v>16721.5</v>
      </c>
      <c r="BN360" s="715">
        <f>AVERAGE(BM358:BN358)</f>
        <v>16520.5</v>
      </c>
      <c r="BO360" s="1876">
        <f>AVERAGE(BN358:BO358)</f>
        <v>16268</v>
      </c>
      <c r="BP360" s="702">
        <f>AVERAGE(BL358:BO358)</f>
        <v>16494.75</v>
      </c>
      <c r="BQ360" s="715">
        <f>AVERAGE(BP358:BQ358)</f>
        <v>16167</v>
      </c>
      <c r="BR360" s="715">
        <f>AVERAGE(BQ358:BR358)</f>
        <v>16267.5</v>
      </c>
      <c r="BS360" s="715">
        <f>AVERAGE(BR358:BS358)</f>
        <v>16412</v>
      </c>
      <c r="BT360" s="1876">
        <f>AVERAGE(BS358:BT358)</f>
        <v>16412</v>
      </c>
      <c r="BU360" s="3397">
        <f>AVERAGE(BQ358:BT358)</f>
        <v>16339.75</v>
      </c>
      <c r="BV360" s="715">
        <f>AVERAGE(BU358:BV358)</f>
        <v>16371</v>
      </c>
      <c r="BW360" s="715">
        <f t="shared" ref="BW360:BY360" si="675">AVERAGE(BV358:BW358)</f>
        <v>16330</v>
      </c>
      <c r="BX360" s="715">
        <f t="shared" si="675"/>
        <v>20969.5</v>
      </c>
      <c r="BY360" s="715">
        <f t="shared" si="675"/>
        <v>25609.000000000004</v>
      </c>
      <c r="BZ360" s="3397">
        <f>AVERAGE(BV358:BY358)</f>
        <v>20969.5</v>
      </c>
      <c r="CA360" s="702">
        <f t="shared" si="674"/>
        <v>20969.5</v>
      </c>
      <c r="CB360" s="702">
        <f t="shared" si="674"/>
        <v>20969.5</v>
      </c>
      <c r="CC360" s="702">
        <f>CB360</f>
        <v>20969.5</v>
      </c>
      <c r="CD360" s="702">
        <f>CC360</f>
        <v>20969.5</v>
      </c>
      <c r="CE360" s="702">
        <f>CD360</f>
        <v>20969.5</v>
      </c>
      <c r="CF360" s="702">
        <f>CE360</f>
        <v>20969.5</v>
      </c>
      <c r="CG360" s="702">
        <f>CF360</f>
        <v>20969.5</v>
      </c>
      <c r="CH360" s="715"/>
      <c r="CI360" s="715"/>
      <c r="CJ360" s="715"/>
      <c r="CK360" s="715"/>
      <c r="CL360" s="715"/>
      <c r="CM360" s="715"/>
      <c r="CN360" s="715"/>
      <c r="CO360" s="715"/>
      <c r="CP360" s="1875" t="str">
        <f t="shared" si="600"/>
        <v>Average Positions</v>
      </c>
      <c r="CQ360" s="715">
        <f t="shared" si="601"/>
        <v>8633.5</v>
      </c>
      <c r="CR360" s="715">
        <f t="shared" si="602"/>
        <v>8924.25</v>
      </c>
      <c r="CS360" s="715">
        <f t="shared" si="603"/>
        <v>9264</v>
      </c>
      <c r="CT360" s="715">
        <f t="shared" si="604"/>
        <v>9259</v>
      </c>
      <c r="CU360" s="715">
        <f t="shared" si="605"/>
        <v>9221</v>
      </c>
      <c r="CV360" s="715">
        <f t="shared" si="606"/>
        <v>9121</v>
      </c>
      <c r="CW360" s="715">
        <f t="shared" si="607"/>
        <v>9027</v>
      </c>
      <c r="CX360" s="715">
        <f t="shared" si="608"/>
        <v>14529.25</v>
      </c>
      <c r="CY360" s="715">
        <f t="shared" si="609"/>
        <v>17264.25</v>
      </c>
      <c r="CZ360" s="715">
        <f t="shared" si="610"/>
        <v>17540.25</v>
      </c>
      <c r="DA360" s="715">
        <f t="shared" si="611"/>
        <v>16882.25</v>
      </c>
      <c r="DB360" s="715">
        <f t="shared" si="612"/>
        <v>16752</v>
      </c>
      <c r="DC360" s="715">
        <f t="shared" si="613"/>
        <v>16494.75</v>
      </c>
      <c r="DD360" s="715">
        <f t="shared" si="614"/>
        <v>16339.75</v>
      </c>
      <c r="DE360" s="715">
        <f t="shared" si="615"/>
        <v>20969.5</v>
      </c>
      <c r="DF360" s="715">
        <f t="shared" si="616"/>
        <v>20969.5</v>
      </c>
      <c r="DG360" s="1876">
        <f t="shared" si="617"/>
        <v>20969.5</v>
      </c>
      <c r="DH360" s="599"/>
      <c r="DI360" s="704"/>
      <c r="DJ360" s="704"/>
      <c r="DK360" s="704"/>
      <c r="DL360" s="704"/>
      <c r="DM360" s="704"/>
      <c r="DN360" s="705"/>
      <c r="DO360" s="706"/>
      <c r="DY360" s="703"/>
      <c r="DZ360" s="703"/>
    </row>
    <row r="361" spans="1:130" ht="12" customHeight="1">
      <c r="A361" s="552"/>
      <c r="B361" s="228"/>
      <c r="C361" s="228"/>
      <c r="D361" s="479"/>
      <c r="E361" s="482"/>
      <c r="F361" s="482"/>
      <c r="G361" s="482"/>
      <c r="H361" s="361"/>
      <c r="I361" s="482"/>
      <c r="J361" s="482"/>
      <c r="K361" s="482"/>
      <c r="L361" s="482"/>
      <c r="M361" s="361"/>
      <c r="N361" s="482"/>
      <c r="O361" s="482"/>
      <c r="P361" s="482"/>
      <c r="Q361" s="482"/>
      <c r="R361" s="361"/>
      <c r="S361" s="482"/>
      <c r="T361" s="482"/>
      <c r="U361" s="482"/>
      <c r="V361" s="482"/>
      <c r="W361" s="361"/>
      <c r="X361" s="482"/>
      <c r="Y361" s="482"/>
      <c r="Z361" s="482"/>
      <c r="AA361" s="482"/>
      <c r="AB361" s="361"/>
      <c r="AC361" s="482"/>
      <c r="AD361" s="482"/>
      <c r="AE361" s="482"/>
      <c r="AF361" s="482"/>
      <c r="AG361" s="361"/>
      <c r="AH361" s="601"/>
      <c r="AI361" s="601"/>
      <c r="AJ361" s="601"/>
      <c r="AK361" s="601"/>
      <c r="AL361" s="481"/>
      <c r="AM361" s="482"/>
      <c r="AN361" s="482"/>
      <c r="AO361" s="482"/>
      <c r="AP361" s="482"/>
      <c r="AQ361" s="481"/>
      <c r="AR361" s="482"/>
      <c r="AS361" s="482"/>
      <c r="AT361" s="482"/>
      <c r="AU361" s="482"/>
      <c r="AV361" s="481"/>
      <c r="AW361" s="482"/>
      <c r="AX361" s="482"/>
      <c r="AY361" s="482"/>
      <c r="AZ361" s="482"/>
      <c r="BA361" s="481"/>
      <c r="BB361" s="482"/>
      <c r="BC361" s="482"/>
      <c r="BD361" s="482"/>
      <c r="BE361" s="482"/>
      <c r="BF361" s="481"/>
      <c r="BG361" s="479"/>
      <c r="BH361" s="482"/>
      <c r="BI361" s="482"/>
      <c r="BJ361" s="2799"/>
      <c r="BK361" s="481"/>
      <c r="BL361" s="482"/>
      <c r="BM361" s="482"/>
      <c r="BN361" s="482"/>
      <c r="BO361" s="2799"/>
      <c r="BP361" s="481"/>
      <c r="BQ361" s="482"/>
      <c r="BR361" s="482"/>
      <c r="BS361" s="482"/>
      <c r="BT361" s="2799"/>
      <c r="BU361" s="3380"/>
      <c r="BV361" s="482"/>
      <c r="BW361" s="482"/>
      <c r="BX361" s="482"/>
      <c r="BY361" s="2799"/>
      <c r="BZ361" s="3380"/>
      <c r="CA361" s="481"/>
      <c r="CB361" s="481"/>
      <c r="CC361" s="481"/>
      <c r="CD361" s="481"/>
      <c r="CE361" s="481"/>
      <c r="CF361" s="481"/>
      <c r="CG361" s="481"/>
      <c r="CH361" s="482"/>
      <c r="CI361" s="482"/>
      <c r="CJ361" s="482"/>
      <c r="CK361" s="482"/>
      <c r="CL361" s="482"/>
      <c r="CM361" s="482"/>
      <c r="CN361" s="482"/>
      <c r="CO361" s="482"/>
      <c r="CP361" s="994"/>
      <c r="CQ361" s="223"/>
      <c r="CR361" s="223"/>
      <c r="CS361" s="223"/>
      <c r="CT361" s="223"/>
      <c r="CU361" s="223"/>
      <c r="CV361" s="223"/>
      <c r="CW361" s="223"/>
      <c r="CX361" s="223"/>
      <c r="CY361" s="223"/>
      <c r="CZ361" s="223"/>
      <c r="DA361" s="223"/>
      <c r="DB361" s="223"/>
      <c r="DC361" s="223"/>
      <c r="DD361" s="223"/>
      <c r="DE361" s="223"/>
      <c r="DF361" s="223"/>
      <c r="DG361" s="1853"/>
      <c r="DH361" s="223"/>
      <c r="DI361" s="595"/>
      <c r="DJ361" s="595"/>
      <c r="DK361" s="595"/>
      <c r="DL361" s="595"/>
      <c r="DM361" s="595"/>
      <c r="DN361" s="514"/>
      <c r="DO361" s="226"/>
      <c r="DY361" s="482"/>
      <c r="DZ361" s="482"/>
    </row>
    <row r="362" spans="1:130" ht="12" customHeight="1">
      <c r="A362" s="707" t="s">
        <v>639</v>
      </c>
      <c r="B362" s="699"/>
      <c r="C362" s="699"/>
      <c r="D362" s="717">
        <v>1466</v>
      </c>
      <c r="E362" s="716">
        <v>1976</v>
      </c>
      <c r="F362" s="716">
        <v>1976</v>
      </c>
      <c r="G362" s="716">
        <v>1980</v>
      </c>
      <c r="H362" s="718">
        <f>G362</f>
        <v>1980</v>
      </c>
      <c r="I362" s="716">
        <v>2186</v>
      </c>
      <c r="J362" s="716">
        <v>2186</v>
      </c>
      <c r="K362" s="716">
        <v>2186</v>
      </c>
      <c r="L362" s="716">
        <v>2182</v>
      </c>
      <c r="M362" s="718">
        <f>L362</f>
        <v>2182</v>
      </c>
      <c r="N362" s="716">
        <v>2182</v>
      </c>
      <c r="O362" s="716">
        <v>2182</v>
      </c>
      <c r="P362" s="716">
        <v>2182</v>
      </c>
      <c r="Q362" s="716">
        <v>1950</v>
      </c>
      <c r="R362" s="718">
        <f>Q362</f>
        <v>1950</v>
      </c>
      <c r="S362" s="716">
        <v>1950</v>
      </c>
      <c r="T362" s="716">
        <v>1950</v>
      </c>
      <c r="U362" s="716">
        <v>1950</v>
      </c>
      <c r="V362" s="716">
        <v>1950</v>
      </c>
      <c r="W362" s="718">
        <f>V362</f>
        <v>1950</v>
      </c>
      <c r="X362" s="716">
        <v>1950</v>
      </c>
      <c r="Y362" s="716">
        <v>1950</v>
      </c>
      <c r="Z362" s="716">
        <v>1950</v>
      </c>
      <c r="AA362" s="716">
        <v>1948</v>
      </c>
      <c r="AB362" s="718">
        <f>AA362</f>
        <v>1948</v>
      </c>
      <c r="AC362" s="716">
        <v>2248</v>
      </c>
      <c r="AD362" s="716">
        <v>2248</v>
      </c>
      <c r="AE362" s="716">
        <v>2248</v>
      </c>
      <c r="AF362" s="719">
        <f>842+202+486+203+514</f>
        <v>2247</v>
      </c>
      <c r="AG362" s="718">
        <f t="shared" ref="AG362:AQ362" si="676">AF362</f>
        <v>2247</v>
      </c>
      <c r="AH362" s="720">
        <f t="shared" si="676"/>
        <v>2247</v>
      </c>
      <c r="AI362" s="720">
        <f t="shared" si="676"/>
        <v>2247</v>
      </c>
      <c r="AJ362" s="720">
        <f t="shared" si="676"/>
        <v>2247</v>
      </c>
      <c r="AK362" s="1402">
        <f>842+202+486+203+514</f>
        <v>2247</v>
      </c>
      <c r="AL362" s="721">
        <f t="shared" si="676"/>
        <v>2247</v>
      </c>
      <c r="AM362" s="716">
        <f t="shared" si="676"/>
        <v>2247</v>
      </c>
      <c r="AN362" s="716">
        <f t="shared" si="676"/>
        <v>2247</v>
      </c>
      <c r="AO362" s="716">
        <f t="shared" si="676"/>
        <v>2247</v>
      </c>
      <c r="AP362" s="719">
        <f>842+1100+202+486+203+514</f>
        <v>3347</v>
      </c>
      <c r="AQ362" s="721">
        <f t="shared" si="676"/>
        <v>3347</v>
      </c>
      <c r="AR362" s="716">
        <f t="shared" ref="AR362:BG362" si="677">AQ362</f>
        <v>3347</v>
      </c>
      <c r="AS362" s="716">
        <f t="shared" si="677"/>
        <v>3347</v>
      </c>
      <c r="AT362" s="716">
        <f t="shared" si="677"/>
        <v>3347</v>
      </c>
      <c r="AU362" s="719">
        <f>842+1100+202+486+203+514</f>
        <v>3347</v>
      </c>
      <c r="AV362" s="721">
        <f t="shared" si="677"/>
        <v>3347</v>
      </c>
      <c r="AW362" s="716">
        <f t="shared" si="677"/>
        <v>3347</v>
      </c>
      <c r="AX362" s="716">
        <f t="shared" si="677"/>
        <v>3347</v>
      </c>
      <c r="AY362" s="716">
        <f t="shared" si="677"/>
        <v>3347</v>
      </c>
      <c r="AZ362" s="719">
        <f>842+1100+202+486+203+514</f>
        <v>3347</v>
      </c>
      <c r="BA362" s="721">
        <f>AZ362</f>
        <v>3347</v>
      </c>
      <c r="BB362" s="716">
        <f t="shared" si="677"/>
        <v>3347</v>
      </c>
      <c r="BC362" s="716">
        <f t="shared" si="677"/>
        <v>3347</v>
      </c>
      <c r="BD362" s="716">
        <f t="shared" si="677"/>
        <v>3347</v>
      </c>
      <c r="BE362" s="716">
        <f t="shared" si="677"/>
        <v>3347</v>
      </c>
      <c r="BF362" s="721">
        <f t="shared" si="677"/>
        <v>3347</v>
      </c>
      <c r="BG362" s="2818">
        <f t="shared" si="677"/>
        <v>3347</v>
      </c>
      <c r="BH362" s="716">
        <f>BG362</f>
        <v>3347</v>
      </c>
      <c r="BI362" s="716">
        <f>BH362</f>
        <v>3347</v>
      </c>
      <c r="BJ362" s="1877">
        <f>BI362</f>
        <v>3347</v>
      </c>
      <c r="BK362" s="721">
        <f>BF362</f>
        <v>3347</v>
      </c>
      <c r="BL362" s="716">
        <f>BK362</f>
        <v>3347</v>
      </c>
      <c r="BM362" s="716">
        <f>BL362</f>
        <v>3347</v>
      </c>
      <c r="BN362" s="716">
        <f>BM362</f>
        <v>3347</v>
      </c>
      <c r="BO362" s="1877">
        <f>BN362</f>
        <v>3347</v>
      </c>
      <c r="BP362" s="721">
        <f>BK362</f>
        <v>3347</v>
      </c>
      <c r="BQ362" s="716">
        <f>BP362</f>
        <v>3347</v>
      </c>
      <c r="BR362" s="716">
        <f>BQ362</f>
        <v>3347</v>
      </c>
      <c r="BS362" s="716">
        <f>BR362</f>
        <v>3347</v>
      </c>
      <c r="BT362" s="1877">
        <f>BS362</f>
        <v>3347</v>
      </c>
      <c r="BU362" s="3398">
        <f>BP362</f>
        <v>3347</v>
      </c>
      <c r="BV362" s="716">
        <f>BU362</f>
        <v>3347</v>
      </c>
      <c r="BW362" s="716">
        <f>BV362</f>
        <v>3347</v>
      </c>
      <c r="BX362" s="4080">
        <f>BW362+184+662+397+500</f>
        <v>5090</v>
      </c>
      <c r="BY362" s="1877">
        <f>BX362</f>
        <v>5090</v>
      </c>
      <c r="BZ362" s="3398">
        <f>BU362</f>
        <v>3347</v>
      </c>
      <c r="CA362" s="721">
        <f t="shared" ref="CA362:CB363" si="678">BZ362</f>
        <v>3347</v>
      </c>
      <c r="CB362" s="721">
        <f t="shared" si="678"/>
        <v>3347</v>
      </c>
      <c r="CC362" s="721">
        <f t="shared" ref="CC362:CG363" si="679">CB362</f>
        <v>3347</v>
      </c>
      <c r="CD362" s="721">
        <f t="shared" si="679"/>
        <v>3347</v>
      </c>
      <c r="CE362" s="721">
        <f t="shared" si="679"/>
        <v>3347</v>
      </c>
      <c r="CF362" s="721">
        <f t="shared" si="679"/>
        <v>3347</v>
      </c>
      <c r="CG362" s="721">
        <f t="shared" si="679"/>
        <v>3347</v>
      </c>
      <c r="CH362" s="716"/>
      <c r="CI362" s="716"/>
      <c r="CJ362" s="716"/>
      <c r="CK362" s="716"/>
      <c r="CL362" s="716"/>
      <c r="CM362" s="716"/>
      <c r="CN362" s="716"/>
      <c r="CO362" s="716"/>
      <c r="CP362" s="1873" t="str">
        <f t="shared" si="600"/>
        <v>Number of Rooms</v>
      </c>
      <c r="CQ362" s="716">
        <f t="shared" si="601"/>
        <v>1980</v>
      </c>
      <c r="CR362" s="716">
        <f t="shared" si="602"/>
        <v>2182</v>
      </c>
      <c r="CS362" s="716">
        <f t="shared" si="603"/>
        <v>1950</v>
      </c>
      <c r="CT362" s="716">
        <f t="shared" si="604"/>
        <v>1950</v>
      </c>
      <c r="CU362" s="716">
        <f t="shared" si="605"/>
        <v>1948</v>
      </c>
      <c r="CV362" s="716">
        <f t="shared" si="606"/>
        <v>2247</v>
      </c>
      <c r="CW362" s="716">
        <f t="shared" si="607"/>
        <v>2247</v>
      </c>
      <c r="CX362" s="716">
        <f t="shared" si="608"/>
        <v>3347</v>
      </c>
      <c r="CY362" s="716">
        <f t="shared" si="609"/>
        <v>3347</v>
      </c>
      <c r="CZ362" s="716">
        <f t="shared" si="610"/>
        <v>3347</v>
      </c>
      <c r="DA362" s="716">
        <f t="shared" si="611"/>
        <v>3347</v>
      </c>
      <c r="DB362" s="716">
        <f t="shared" si="612"/>
        <v>3347</v>
      </c>
      <c r="DC362" s="716">
        <f t="shared" si="613"/>
        <v>3347</v>
      </c>
      <c r="DD362" s="716">
        <f t="shared" si="614"/>
        <v>3347</v>
      </c>
      <c r="DE362" s="716">
        <f t="shared" si="615"/>
        <v>3347</v>
      </c>
      <c r="DF362" s="716">
        <f t="shared" si="616"/>
        <v>3347</v>
      </c>
      <c r="DG362" s="1877">
        <f t="shared" si="617"/>
        <v>3347</v>
      </c>
      <c r="DH362" s="599"/>
      <c r="DI362" s="704"/>
      <c r="DJ362" s="704"/>
      <c r="DK362" s="704"/>
      <c r="DL362" s="704"/>
      <c r="DM362" s="704"/>
      <c r="DN362" s="705"/>
      <c r="DO362" s="706"/>
      <c r="DY362" s="716"/>
      <c r="DZ362" s="716"/>
    </row>
    <row r="363" spans="1:130" ht="12" customHeight="1">
      <c r="A363" s="633" t="s">
        <v>431</v>
      </c>
      <c r="B363" s="228"/>
      <c r="C363" s="228"/>
      <c r="D363" s="527">
        <f>D362</f>
        <v>1466</v>
      </c>
      <c r="E363" s="231">
        <f>AVERAGE(D362:E362)</f>
        <v>1721</v>
      </c>
      <c r="F363" s="231">
        <f>AVERAGE(E362:F362)</f>
        <v>1976</v>
      </c>
      <c r="G363" s="231">
        <f>AVERAGE(F362:G362)</f>
        <v>1978</v>
      </c>
      <c r="H363" s="525">
        <f>AVERAGE(D362:H362)</f>
        <v>1875.6</v>
      </c>
      <c r="I363" s="231">
        <f>AVERAGE(H362:I362)</f>
        <v>2083</v>
      </c>
      <c r="J363" s="231">
        <f>AVERAGE(I362:J362)</f>
        <v>2186</v>
      </c>
      <c r="K363" s="231">
        <f>AVERAGE(J362:K362)</f>
        <v>2186</v>
      </c>
      <c r="L363" s="231">
        <f>AVERAGE(K362:L362)</f>
        <v>2184</v>
      </c>
      <c r="M363" s="525">
        <f>AVERAGE(H362:M362)</f>
        <v>2150.3333333333335</v>
      </c>
      <c r="N363" s="231">
        <f>AVERAGE(M362:N362)</f>
        <v>2182</v>
      </c>
      <c r="O363" s="231">
        <f>AVERAGE(N362:O362)</f>
        <v>2182</v>
      </c>
      <c r="P363" s="231">
        <f>AVERAGE(O362:P362)</f>
        <v>2182</v>
      </c>
      <c r="Q363" s="231">
        <f>AVERAGE(P362:Q362)</f>
        <v>2066</v>
      </c>
      <c r="R363" s="525">
        <f>AVERAGE(M362:R362)</f>
        <v>2104.6666666666665</v>
      </c>
      <c r="S363" s="231">
        <f>AVERAGE(R362:S362)</f>
        <v>1950</v>
      </c>
      <c r="T363" s="231">
        <f>AVERAGE(S362:T362)</f>
        <v>1950</v>
      </c>
      <c r="U363" s="231">
        <f>AVERAGE(T362:U362)</f>
        <v>1950</v>
      </c>
      <c r="V363" s="231">
        <f>AVERAGE(U362:V362)</f>
        <v>1950</v>
      </c>
      <c r="W363" s="525">
        <f>AVERAGE(R362:W362)</f>
        <v>1950</v>
      </c>
      <c r="X363" s="231">
        <f>AVERAGE(W362:X362)</f>
        <v>1950</v>
      </c>
      <c r="Y363" s="231">
        <f>AVERAGE(X362:Y362)</f>
        <v>1950</v>
      </c>
      <c r="Z363" s="231">
        <f>AVERAGE(Y362:Z362)</f>
        <v>1950</v>
      </c>
      <c r="AA363" s="231">
        <f>AVERAGE(Z362:AA362)</f>
        <v>1949</v>
      </c>
      <c r="AB363" s="525">
        <f>AVERAGE(W362:AB362)</f>
        <v>1949.3333333333333</v>
      </c>
      <c r="AC363" s="231">
        <f>AVERAGE(AB362:AC362)</f>
        <v>2098</v>
      </c>
      <c r="AD363" s="231">
        <f>AVERAGE(AC362:AD362)</f>
        <v>2248</v>
      </c>
      <c r="AE363" s="231">
        <f>AVERAGE(AD362:AE362)</f>
        <v>2248</v>
      </c>
      <c r="AF363" s="231">
        <f>AVERAGE(AE362:AF362)</f>
        <v>2247.5</v>
      </c>
      <c r="AG363" s="525">
        <f>AVERAGE(AB362:AG362)</f>
        <v>2197.6666666666665</v>
      </c>
      <c r="AH363" s="231">
        <f>AVERAGE(AG362:AH362)</f>
        <v>2247</v>
      </c>
      <c r="AI363" s="231">
        <f>AVERAGE(AH362:AI362)</f>
        <v>2247</v>
      </c>
      <c r="AJ363" s="231">
        <f>AVERAGE(AI362:AJ362)</f>
        <v>2247</v>
      </c>
      <c r="AK363" s="231">
        <f>AVERAGE(AJ362:AK362)</f>
        <v>2247</v>
      </c>
      <c r="AL363" s="525">
        <f>AVERAGE(AG362:AL362)</f>
        <v>2247</v>
      </c>
      <c r="AM363" s="231">
        <f>AVERAGE(AL362:AM362)</f>
        <v>2247</v>
      </c>
      <c r="AN363" s="231">
        <f>AVERAGE(AM362:AN362)</f>
        <v>2247</v>
      </c>
      <c r="AO363" s="231">
        <f>AVERAGE(AN362:AO362)</f>
        <v>2247</v>
      </c>
      <c r="AP363" s="231">
        <f>AVERAGE(AO362:AP362)</f>
        <v>2797</v>
      </c>
      <c r="AQ363" s="525">
        <f>AVERAGE(AL362:AQ362)</f>
        <v>2613.6666666666665</v>
      </c>
      <c r="AR363" s="231">
        <f>AVERAGE(AQ362:AR362)</f>
        <v>3347</v>
      </c>
      <c r="AS363" s="231">
        <f>AVERAGE(AR362:AS362)</f>
        <v>3347</v>
      </c>
      <c r="AT363" s="231">
        <f>AVERAGE(AS362:AT362)</f>
        <v>3347</v>
      </c>
      <c r="AU363" s="231">
        <f>AVERAGE(AT362:AU362)</f>
        <v>3347</v>
      </c>
      <c r="AV363" s="525">
        <f>AVERAGE(AQ362:AV362)</f>
        <v>3347</v>
      </c>
      <c r="AW363" s="231">
        <f>AVERAGE(AV362:AW362)</f>
        <v>3347</v>
      </c>
      <c r="AX363" s="231">
        <f>AVERAGE(AW362:AX362)</f>
        <v>3347</v>
      </c>
      <c r="AY363" s="231">
        <f>AVERAGE(AX362:AY362)</f>
        <v>3347</v>
      </c>
      <c r="AZ363" s="231">
        <f>AVERAGE(AY362:AZ362)</f>
        <v>3347</v>
      </c>
      <c r="BA363" s="525">
        <f>AVERAGE(AV362:BA362)</f>
        <v>3347</v>
      </c>
      <c r="BB363" s="231">
        <f>AVERAGE(BA362:BB362)</f>
        <v>3347</v>
      </c>
      <c r="BC363" s="231">
        <f>AVERAGE(BB362:BC362)</f>
        <v>3347</v>
      </c>
      <c r="BD363" s="231">
        <f>AVERAGE(BC362:BD362)</f>
        <v>3347</v>
      </c>
      <c r="BE363" s="231">
        <f>AVERAGE(BD362:BE362)</f>
        <v>3347</v>
      </c>
      <c r="BF363" s="525">
        <f>AVERAGE(BA362:BF362)</f>
        <v>3347</v>
      </c>
      <c r="BG363" s="527">
        <f>AVERAGE(BF362:BG362)</f>
        <v>3347</v>
      </c>
      <c r="BH363" s="231">
        <f>AVERAGE(BG362:BH362)</f>
        <v>3347</v>
      </c>
      <c r="BI363" s="231">
        <f>AVERAGE(BH362:BI362)</f>
        <v>3347</v>
      </c>
      <c r="BJ363" s="1841">
        <f>AVERAGE(BI362:BJ362)</f>
        <v>3347</v>
      </c>
      <c r="BK363" s="525">
        <f>AVERAGE(BF362,BK362)</f>
        <v>3347</v>
      </c>
      <c r="BL363" s="231">
        <f>AVERAGE(BK362:BL362)</f>
        <v>3347</v>
      </c>
      <c r="BM363" s="231">
        <f>AVERAGE(BL362:BM362)</f>
        <v>3347</v>
      </c>
      <c r="BN363" s="231">
        <f>AVERAGE(BM362:BN362)</f>
        <v>3347</v>
      </c>
      <c r="BO363" s="1841">
        <f>AVERAGE(BN362:BO362)</f>
        <v>3347</v>
      </c>
      <c r="BP363" s="525">
        <f>AVERAGE(BK362,BP362)</f>
        <v>3347</v>
      </c>
      <c r="BQ363" s="231">
        <f>AVERAGE(BP362:BQ362)</f>
        <v>3347</v>
      </c>
      <c r="BR363" s="231">
        <f>AVERAGE(BQ362:BR362)</f>
        <v>3347</v>
      </c>
      <c r="BS363" s="231">
        <f>AVERAGE(BR362:BS362)</f>
        <v>3347</v>
      </c>
      <c r="BT363" s="1841">
        <f>AVERAGE(BS362:BT362)</f>
        <v>3347</v>
      </c>
      <c r="BU363" s="3367">
        <f>AVERAGE(BP362,BU362)</f>
        <v>3347</v>
      </c>
      <c r="BV363" s="231">
        <f>AVERAGE(BU362:BV362)</f>
        <v>3347</v>
      </c>
      <c r="BW363" s="231">
        <f t="shared" ref="BW363:BY363" si="680">AVERAGE(BV362:BW362)</f>
        <v>3347</v>
      </c>
      <c r="BX363" s="4081">
        <f>+BX362</f>
        <v>5090</v>
      </c>
      <c r="BY363" s="231">
        <f t="shared" si="680"/>
        <v>5090</v>
      </c>
      <c r="BZ363" s="3367">
        <f>AVERAGE(BU362,BZ362)</f>
        <v>3347</v>
      </c>
      <c r="CA363" s="525">
        <f t="shared" si="678"/>
        <v>3347</v>
      </c>
      <c r="CB363" s="525">
        <f t="shared" si="678"/>
        <v>3347</v>
      </c>
      <c r="CC363" s="525">
        <f t="shared" si="679"/>
        <v>3347</v>
      </c>
      <c r="CD363" s="525">
        <f t="shared" si="679"/>
        <v>3347</v>
      </c>
      <c r="CE363" s="525">
        <f t="shared" si="679"/>
        <v>3347</v>
      </c>
      <c r="CF363" s="525">
        <f t="shared" si="679"/>
        <v>3347</v>
      </c>
      <c r="CG363" s="525">
        <f t="shared" si="679"/>
        <v>3347</v>
      </c>
      <c r="CH363" s="231"/>
      <c r="CI363" s="231"/>
      <c r="CJ363" s="231"/>
      <c r="CK363" s="231"/>
      <c r="CL363" s="231"/>
      <c r="CM363" s="231"/>
      <c r="CN363" s="231"/>
      <c r="CO363" s="231"/>
      <c r="CP363" s="90" t="str">
        <f t="shared" si="600"/>
        <v>Average Rooms</v>
      </c>
      <c r="CQ363" s="231">
        <f t="shared" si="601"/>
        <v>1875.6</v>
      </c>
      <c r="CR363" s="231">
        <f t="shared" si="602"/>
        <v>2150.3333333333335</v>
      </c>
      <c r="CS363" s="231">
        <f t="shared" si="603"/>
        <v>2104.6666666666665</v>
      </c>
      <c r="CT363" s="231">
        <f t="shared" si="604"/>
        <v>1950</v>
      </c>
      <c r="CU363" s="231">
        <f t="shared" si="605"/>
        <v>1949.3333333333333</v>
      </c>
      <c r="CV363" s="231">
        <f t="shared" si="606"/>
        <v>2197.6666666666665</v>
      </c>
      <c r="CW363" s="231">
        <f t="shared" si="607"/>
        <v>2247</v>
      </c>
      <c r="CX363" s="231">
        <f t="shared" si="608"/>
        <v>2613.6666666666665</v>
      </c>
      <c r="CY363" s="231">
        <f t="shared" si="609"/>
        <v>3347</v>
      </c>
      <c r="CZ363" s="231">
        <f t="shared" si="610"/>
        <v>3347</v>
      </c>
      <c r="DA363" s="231">
        <f t="shared" si="611"/>
        <v>3347</v>
      </c>
      <c r="DB363" s="231">
        <f t="shared" si="612"/>
        <v>3347</v>
      </c>
      <c r="DC363" s="231">
        <f t="shared" si="613"/>
        <v>3347</v>
      </c>
      <c r="DD363" s="231">
        <f t="shared" si="614"/>
        <v>3347</v>
      </c>
      <c r="DE363" s="231">
        <f t="shared" si="615"/>
        <v>3347</v>
      </c>
      <c r="DF363" s="231">
        <f t="shared" si="616"/>
        <v>3347</v>
      </c>
      <c r="DG363" s="1841">
        <f t="shared" si="617"/>
        <v>3347</v>
      </c>
      <c r="DH363" s="514"/>
      <c r="DI363" s="514"/>
      <c r="DJ363" s="514"/>
      <c r="DK363" s="514"/>
      <c r="DL363" s="514"/>
      <c r="DM363" s="514"/>
      <c r="DN363" s="514"/>
      <c r="DO363" s="226"/>
      <c r="DY363" s="231"/>
      <c r="DZ363" s="231"/>
    </row>
    <row r="364" spans="1:130" ht="12" customHeight="1">
      <c r="A364" s="552"/>
      <c r="B364" s="228"/>
      <c r="C364" s="228"/>
      <c r="D364" s="509"/>
      <c r="E364" s="510"/>
      <c r="F364" s="510"/>
      <c r="G364" s="510"/>
      <c r="H364" s="512"/>
      <c r="I364" s="510"/>
      <c r="J364" s="510"/>
      <c r="K364" s="510"/>
      <c r="L364" s="510"/>
      <c r="M364" s="512"/>
      <c r="N364" s="510"/>
      <c r="O364" s="510"/>
      <c r="P364" s="510"/>
      <c r="Q364" s="510"/>
      <c r="R364" s="512"/>
      <c r="S364" s="510"/>
      <c r="T364" s="510"/>
      <c r="U364" s="510"/>
      <c r="V364" s="510"/>
      <c r="W364" s="512"/>
      <c r="X364" s="510"/>
      <c r="Y364" s="510"/>
      <c r="Z364" s="510"/>
      <c r="AA364" s="510"/>
      <c r="AB364" s="512"/>
      <c r="AC364" s="510"/>
      <c r="AD364" s="510"/>
      <c r="AE364" s="510"/>
      <c r="AF364" s="510"/>
      <c r="AG364" s="512"/>
      <c r="AH364" s="510"/>
      <c r="AI364" s="510"/>
      <c r="AJ364" s="510"/>
      <c r="AK364" s="510"/>
      <c r="AL364" s="512"/>
      <c r="AM364" s="510"/>
      <c r="AN364" s="510"/>
      <c r="AO364" s="510"/>
      <c r="AP364" s="510"/>
      <c r="AQ364" s="512"/>
      <c r="AR364" s="510"/>
      <c r="AS364" s="510"/>
      <c r="AT364" s="510"/>
      <c r="AU364" s="510"/>
      <c r="AV364" s="512"/>
      <c r="AW364" s="510"/>
      <c r="AX364" s="510"/>
      <c r="AY364" s="510"/>
      <c r="AZ364" s="510"/>
      <c r="BA364" s="512"/>
      <c r="BB364" s="510"/>
      <c r="BC364" s="510"/>
      <c r="BD364" s="510"/>
      <c r="BE364" s="510"/>
      <c r="BF364" s="512"/>
      <c r="BG364" s="509"/>
      <c r="BH364" s="510"/>
      <c r="BI364" s="510"/>
      <c r="BJ364" s="2811"/>
      <c r="BK364" s="512"/>
      <c r="BL364" s="510"/>
      <c r="BM364" s="510"/>
      <c r="BN364" s="510"/>
      <c r="BO364" s="2811"/>
      <c r="BP364" s="512"/>
      <c r="BQ364" s="510"/>
      <c r="BR364" s="510"/>
      <c r="BS364" s="510"/>
      <c r="BT364" s="2811"/>
      <c r="BU364" s="3367"/>
      <c r="BV364" s="510"/>
      <c r="BW364" s="510"/>
      <c r="BX364" s="510"/>
      <c r="BY364" s="2811"/>
      <c r="BZ364" s="3367"/>
      <c r="CA364" s="512"/>
      <c r="CB364" s="512"/>
      <c r="CC364" s="512"/>
      <c r="CD364" s="512"/>
      <c r="CE364" s="512"/>
      <c r="CF364" s="512"/>
      <c r="CG364" s="512"/>
      <c r="CH364" s="510"/>
      <c r="CI364" s="510"/>
      <c r="CJ364" s="510"/>
      <c r="CK364" s="510"/>
      <c r="CL364" s="510"/>
      <c r="CM364" s="510"/>
      <c r="CN364" s="510"/>
      <c r="CO364" s="510"/>
      <c r="CP364" s="994"/>
      <c r="CQ364" s="231"/>
      <c r="CR364" s="231"/>
      <c r="CS364" s="231"/>
      <c r="CT364" s="231"/>
      <c r="CU364" s="231"/>
      <c r="CV364" s="231"/>
      <c r="CW364" s="231"/>
      <c r="CX364" s="231"/>
      <c r="CY364" s="231"/>
      <c r="CZ364" s="231"/>
      <c r="DA364" s="231"/>
      <c r="DB364" s="231"/>
      <c r="DC364" s="231"/>
      <c r="DD364" s="231"/>
      <c r="DE364" s="231"/>
      <c r="DF364" s="231"/>
      <c r="DG364" s="1841"/>
      <c r="DH364" s="223"/>
      <c r="DI364" s="595"/>
      <c r="DJ364" s="595"/>
      <c r="DK364" s="595"/>
      <c r="DL364" s="595"/>
      <c r="DM364" s="595"/>
      <c r="DN364" s="514"/>
      <c r="DO364" s="226"/>
      <c r="DY364" s="510"/>
      <c r="DZ364" s="510"/>
    </row>
    <row r="365" spans="1:130" ht="12" customHeight="1">
      <c r="A365" s="545" t="s">
        <v>183</v>
      </c>
      <c r="B365" s="228"/>
      <c r="C365" s="228"/>
      <c r="D365" s="479"/>
      <c r="E365" s="482"/>
      <c r="F365" s="482"/>
      <c r="G365" s="482"/>
      <c r="H365" s="361"/>
      <c r="I365" s="482"/>
      <c r="J365" s="482"/>
      <c r="K365" s="482"/>
      <c r="L365" s="482"/>
      <c r="M365" s="361"/>
      <c r="N365" s="482"/>
      <c r="O365" s="482"/>
      <c r="P365" s="482"/>
      <c r="Q365" s="482"/>
      <c r="R365" s="361"/>
      <c r="S365" s="482"/>
      <c r="T365" s="482"/>
      <c r="U365" s="482"/>
      <c r="V365" s="482"/>
      <c r="W365" s="361"/>
      <c r="X365" s="482"/>
      <c r="Y365" s="482"/>
      <c r="Z365" s="482"/>
      <c r="AA365" s="482"/>
      <c r="AB365" s="361"/>
      <c r="AC365" s="482"/>
      <c r="AD365" s="482"/>
      <c r="AE365" s="482"/>
      <c r="AF365" s="482"/>
      <c r="AG365" s="361"/>
      <c r="AH365" s="601"/>
      <c r="AI365" s="601"/>
      <c r="AJ365" s="601"/>
      <c r="AK365" s="601"/>
      <c r="AL365" s="481"/>
      <c r="AM365" s="482"/>
      <c r="AN365" s="482"/>
      <c r="AO365" s="482"/>
      <c r="AP365" s="482"/>
      <c r="AQ365" s="481"/>
      <c r="AR365" s="482"/>
      <c r="AS365" s="482"/>
      <c r="AT365" s="482"/>
      <c r="AU365" s="482"/>
      <c r="AV365" s="481"/>
      <c r="AW365" s="482"/>
      <c r="AX365" s="482"/>
      <c r="AY365" s="482"/>
      <c r="AZ365" s="482"/>
      <c r="BA365" s="481"/>
      <c r="BB365" s="482"/>
      <c r="BC365" s="482"/>
      <c r="BD365" s="482"/>
      <c r="BE365" s="482"/>
      <c r="BF365" s="481"/>
      <c r="BG365" s="479"/>
      <c r="BH365" s="482"/>
      <c r="BI365" s="482"/>
      <c r="BJ365" s="2799"/>
      <c r="BK365" s="481"/>
      <c r="BL365" s="482"/>
      <c r="BM365" s="482"/>
      <c r="BN365" s="482"/>
      <c r="BO365" s="2799"/>
      <c r="BP365" s="481"/>
      <c r="BQ365" s="482"/>
      <c r="BR365" s="482"/>
      <c r="BS365" s="482"/>
      <c r="BT365" s="2799"/>
      <c r="BU365" s="3380"/>
      <c r="BV365" s="482"/>
      <c r="BW365" s="482"/>
      <c r="BX365" s="482"/>
      <c r="BY365" s="2799"/>
      <c r="BZ365" s="3380"/>
      <c r="CA365" s="481"/>
      <c r="CB365" s="481"/>
      <c r="CC365" s="481"/>
      <c r="CD365" s="481"/>
      <c r="CE365" s="481"/>
      <c r="CF365" s="481"/>
      <c r="CG365" s="481"/>
      <c r="CH365" s="482"/>
      <c r="CI365" s="482"/>
      <c r="CJ365" s="482"/>
      <c r="CK365" s="482"/>
      <c r="CL365" s="482"/>
      <c r="CM365" s="482"/>
      <c r="CN365" s="482"/>
      <c r="CO365" s="482"/>
      <c r="CP365" s="1878" t="str">
        <f t="shared" si="600"/>
        <v>Slots</v>
      </c>
      <c r="CQ365" s="223"/>
      <c r="CR365" s="223"/>
      <c r="CS365" s="223"/>
      <c r="CT365" s="223"/>
      <c r="CU365" s="223"/>
      <c r="CV365" s="223"/>
      <c r="CW365" s="223"/>
      <c r="CX365" s="223"/>
      <c r="CY365" s="223"/>
      <c r="CZ365" s="223"/>
      <c r="DA365" s="223"/>
      <c r="DB365" s="223"/>
      <c r="DC365" s="223"/>
      <c r="DD365" s="223"/>
      <c r="DE365" s="223"/>
      <c r="DF365" s="223"/>
      <c r="DG365" s="1853"/>
      <c r="DH365" s="223"/>
      <c r="DI365" s="595"/>
      <c r="DJ365" s="595"/>
      <c r="DK365" s="595"/>
      <c r="DL365" s="595"/>
      <c r="DM365" s="595"/>
      <c r="DN365" s="514"/>
      <c r="DO365" s="226"/>
      <c r="DY365" s="482"/>
      <c r="DZ365" s="482"/>
    </row>
    <row r="366" spans="1:130" ht="12" customHeight="1">
      <c r="A366" s="707" t="s">
        <v>513</v>
      </c>
      <c r="B366" s="699"/>
      <c r="C366" s="699"/>
      <c r="D366" s="723"/>
      <c r="E366" s="722"/>
      <c r="F366" s="722"/>
      <c r="G366" s="722"/>
      <c r="H366" s="702"/>
      <c r="I366" s="715"/>
      <c r="J366" s="715"/>
      <c r="K366" s="715"/>
      <c r="L366" s="722"/>
      <c r="M366" s="702"/>
      <c r="N366" s="715"/>
      <c r="O366" s="715"/>
      <c r="P366" s="715"/>
      <c r="Q366" s="722"/>
      <c r="R366" s="702"/>
      <c r="S366" s="715"/>
      <c r="T366" s="715"/>
      <c r="U366" s="715"/>
      <c r="V366" s="722"/>
      <c r="W366" s="702"/>
      <c r="X366" s="715"/>
      <c r="Y366" s="715"/>
      <c r="Z366" s="715"/>
      <c r="AA366" s="722"/>
      <c r="AB366" s="702"/>
      <c r="AC366" s="715"/>
      <c r="AD366" s="715"/>
      <c r="AE366" s="715"/>
      <c r="AF366" s="722"/>
      <c r="AG366" s="702"/>
      <c r="AH366" s="703"/>
      <c r="AI366" s="703"/>
      <c r="AJ366" s="703"/>
      <c r="AK366" s="722"/>
      <c r="AL366" s="3849"/>
      <c r="AM366" s="703"/>
      <c r="AN366" s="703"/>
      <c r="AO366" s="703"/>
      <c r="AP366" s="1387">
        <v>1900</v>
      </c>
      <c r="AQ366" s="3849">
        <f t="shared" ref="AL366:AQ372" si="681">AP366</f>
        <v>1900</v>
      </c>
      <c r="AR366" s="703">
        <f t="shared" ref="AR366:BG367" si="682">AQ366</f>
        <v>1900</v>
      </c>
      <c r="AS366" s="703">
        <f t="shared" si="682"/>
        <v>1900</v>
      </c>
      <c r="AT366" s="703">
        <f t="shared" si="682"/>
        <v>1900</v>
      </c>
      <c r="AU366" s="1387">
        <v>1783</v>
      </c>
      <c r="AV366" s="3849">
        <f t="shared" si="682"/>
        <v>1783</v>
      </c>
      <c r="AW366" s="703">
        <f t="shared" si="682"/>
        <v>1783</v>
      </c>
      <c r="AX366" s="703">
        <f t="shared" si="682"/>
        <v>1783</v>
      </c>
      <c r="AY366" s="703">
        <f t="shared" si="682"/>
        <v>1783</v>
      </c>
      <c r="AZ366" s="1387">
        <v>1753</v>
      </c>
      <c r="BA366" s="3849">
        <f t="shared" ref="BA366:BA372" si="683">AZ366</f>
        <v>1753</v>
      </c>
      <c r="BB366" s="703">
        <f t="shared" si="682"/>
        <v>1753</v>
      </c>
      <c r="BC366" s="703">
        <f t="shared" si="682"/>
        <v>1753</v>
      </c>
      <c r="BD366" s="703">
        <f t="shared" si="682"/>
        <v>1753</v>
      </c>
      <c r="BE366" s="703">
        <f t="shared" si="682"/>
        <v>1753</v>
      </c>
      <c r="BF366" s="3849">
        <f t="shared" si="682"/>
        <v>1753</v>
      </c>
      <c r="BG366" s="2817">
        <f t="shared" si="682"/>
        <v>1753</v>
      </c>
      <c r="BH366" s="703">
        <f t="shared" ref="BH366:BK367" si="684">BG366</f>
        <v>1753</v>
      </c>
      <c r="BI366" s="703">
        <f t="shared" si="684"/>
        <v>1753</v>
      </c>
      <c r="BJ366" s="1872">
        <f t="shared" si="684"/>
        <v>1753</v>
      </c>
      <c r="BK366" s="3849">
        <f t="shared" si="684"/>
        <v>1753</v>
      </c>
      <c r="BL366" s="703">
        <f t="shared" ref="BL366:BN367" si="685">BK366</f>
        <v>1753</v>
      </c>
      <c r="BM366" s="703">
        <f t="shared" si="685"/>
        <v>1753</v>
      </c>
      <c r="BN366" s="703">
        <f t="shared" si="685"/>
        <v>1753</v>
      </c>
      <c r="BO366" s="1872">
        <f t="shared" ref="BO366:BP372" si="686">BN366</f>
        <v>1753</v>
      </c>
      <c r="BP366" s="3849">
        <f t="shared" si="686"/>
        <v>1753</v>
      </c>
      <c r="BQ366" s="703">
        <f>BP366</f>
        <v>1753</v>
      </c>
      <c r="BR366" s="703">
        <f t="shared" ref="BR366:BR367" si="687">BQ366</f>
        <v>1753</v>
      </c>
      <c r="BS366" s="703">
        <f t="shared" ref="BS366:BT372" si="688">BR366</f>
        <v>1753</v>
      </c>
      <c r="BT366" s="1872">
        <f t="shared" si="688"/>
        <v>1753</v>
      </c>
      <c r="BU366" s="3850">
        <f t="shared" ref="BU366:BU372" si="689">BT366</f>
        <v>1753</v>
      </c>
      <c r="BV366" s="703">
        <f t="shared" ref="BV366:BV377" si="690">BU366</f>
        <v>1753</v>
      </c>
      <c r="BW366" s="703">
        <f t="shared" ref="BW366:BZ372" si="691">BV366</f>
        <v>1753</v>
      </c>
      <c r="BX366" s="703">
        <f t="shared" si="691"/>
        <v>1753</v>
      </c>
      <c r="BY366" s="703">
        <f t="shared" si="691"/>
        <v>1753</v>
      </c>
      <c r="BZ366" s="3850">
        <f t="shared" si="691"/>
        <v>1753</v>
      </c>
      <c r="CA366" s="3849">
        <f t="shared" ref="CA366:CB372" si="692">BZ366</f>
        <v>1753</v>
      </c>
      <c r="CB366" s="3849">
        <f t="shared" si="692"/>
        <v>1753</v>
      </c>
      <c r="CC366" s="3849">
        <f t="shared" ref="CC366:CC372" si="693">CB366</f>
        <v>1753</v>
      </c>
      <c r="CD366" s="3849">
        <f t="shared" ref="CD366:CD372" si="694">CC366</f>
        <v>1753</v>
      </c>
      <c r="CE366" s="3849">
        <f t="shared" ref="CE366:CE372" si="695">CD366</f>
        <v>1753</v>
      </c>
      <c r="CF366" s="3849">
        <f t="shared" ref="CF366:CF372" si="696">CE366</f>
        <v>1753</v>
      </c>
      <c r="CG366" s="3849">
        <f t="shared" ref="CG366:CG372" si="697">CF366</f>
        <v>1753</v>
      </c>
      <c r="CH366" s="231"/>
      <c r="CI366" s="231"/>
      <c r="CJ366" s="231"/>
      <c r="CK366" s="231"/>
      <c r="CL366" s="231"/>
      <c r="CM366" s="231"/>
      <c r="CN366" s="231"/>
      <c r="CO366" s="231"/>
      <c r="CP366" s="1873" t="str">
        <f t="shared" si="600"/>
        <v>Imperial Palace (MS) - Estimated</v>
      </c>
      <c r="CQ366" s="703"/>
      <c r="CR366" s="703"/>
      <c r="CS366" s="703"/>
      <c r="CT366" s="703"/>
      <c r="CU366" s="703"/>
      <c r="CV366" s="703"/>
      <c r="CW366" s="703"/>
      <c r="CX366" s="703">
        <f t="shared" si="608"/>
        <v>1900</v>
      </c>
      <c r="CY366" s="703">
        <f t="shared" si="609"/>
        <v>1783</v>
      </c>
      <c r="CZ366" s="703">
        <f t="shared" si="610"/>
        <v>1753</v>
      </c>
      <c r="DA366" s="703">
        <f t="shared" si="611"/>
        <v>1753</v>
      </c>
      <c r="DB366" s="703">
        <f t="shared" si="612"/>
        <v>1753</v>
      </c>
      <c r="DC366" s="703">
        <f t="shared" si="613"/>
        <v>1753</v>
      </c>
      <c r="DD366" s="703">
        <f t="shared" si="614"/>
        <v>1753</v>
      </c>
      <c r="DE366" s="703">
        <f t="shared" si="615"/>
        <v>1753</v>
      </c>
      <c r="DF366" s="703">
        <f t="shared" si="616"/>
        <v>1753</v>
      </c>
      <c r="DG366" s="1872">
        <f t="shared" si="617"/>
        <v>1753</v>
      </c>
      <c r="DH366" s="599"/>
      <c r="DI366" s="704"/>
      <c r="DJ366" s="704"/>
      <c r="DK366" s="704"/>
      <c r="DL366" s="704"/>
      <c r="DM366" s="704"/>
      <c r="DN366" s="705"/>
      <c r="DO366" s="706"/>
      <c r="DY366" s="231"/>
      <c r="DZ366" s="231"/>
    </row>
    <row r="367" spans="1:130" ht="12" customHeight="1">
      <c r="A367" s="707" t="s">
        <v>872</v>
      </c>
      <c r="B367" s="699"/>
      <c r="C367" s="699"/>
      <c r="D367" s="723">
        <v>1342</v>
      </c>
      <c r="E367" s="722">
        <v>1342</v>
      </c>
      <c r="F367" s="722">
        <v>1342</v>
      </c>
      <c r="G367" s="722">
        <v>1397</v>
      </c>
      <c r="H367" s="702">
        <f t="shared" ref="H367:H372" si="698">G367</f>
        <v>1397</v>
      </c>
      <c r="I367" s="715">
        <f>+H367</f>
        <v>1397</v>
      </c>
      <c r="J367" s="715">
        <f>+I367</f>
        <v>1397</v>
      </c>
      <c r="K367" s="715">
        <f>+J367</f>
        <v>1397</v>
      </c>
      <c r="L367" s="722">
        <v>1358</v>
      </c>
      <c r="M367" s="702">
        <f t="shared" ref="M367:M372" si="699">L367</f>
        <v>1358</v>
      </c>
      <c r="N367" s="715">
        <f>+M367</f>
        <v>1358</v>
      </c>
      <c r="O367" s="715">
        <f>+N367</f>
        <v>1358</v>
      </c>
      <c r="P367" s="715">
        <f>+O367</f>
        <v>1358</v>
      </c>
      <c r="Q367" s="722">
        <v>1338</v>
      </c>
      <c r="R367" s="702">
        <f t="shared" ref="R367:R372" si="700">Q367</f>
        <v>1338</v>
      </c>
      <c r="S367" s="715">
        <f>+R367</f>
        <v>1338</v>
      </c>
      <c r="T367" s="715">
        <f>+S367</f>
        <v>1338</v>
      </c>
      <c r="U367" s="715">
        <f>+T367</f>
        <v>1338</v>
      </c>
      <c r="V367" s="722">
        <v>1342</v>
      </c>
      <c r="W367" s="702">
        <f t="shared" ref="W367:W372" si="701">V367</f>
        <v>1342</v>
      </c>
      <c r="X367" s="715">
        <f>+W367</f>
        <v>1342</v>
      </c>
      <c r="Y367" s="715">
        <f>+X367</f>
        <v>1342</v>
      </c>
      <c r="Z367" s="715">
        <f>+Y367</f>
        <v>1342</v>
      </c>
      <c r="AA367" s="722">
        <v>1336</v>
      </c>
      <c r="AB367" s="702">
        <f t="shared" ref="AB367:AB372" si="702">AA367</f>
        <v>1336</v>
      </c>
      <c r="AC367" s="715">
        <f>+AB367</f>
        <v>1336</v>
      </c>
      <c r="AD367" s="715">
        <f>+AC367</f>
        <v>1336</v>
      </c>
      <c r="AE367" s="715">
        <f>+AD367</f>
        <v>1336</v>
      </c>
      <c r="AF367" s="722">
        <v>1315</v>
      </c>
      <c r="AG367" s="702">
        <f t="shared" ref="AG367:AJ372" si="703">AF367</f>
        <v>1315</v>
      </c>
      <c r="AH367" s="703">
        <f t="shared" si="703"/>
        <v>1315</v>
      </c>
      <c r="AI367" s="703">
        <f t="shared" si="703"/>
        <v>1315</v>
      </c>
      <c r="AJ367" s="703">
        <f t="shared" si="703"/>
        <v>1315</v>
      </c>
      <c r="AK367" s="722">
        <v>1293</v>
      </c>
      <c r="AL367" s="3849">
        <f t="shared" si="681"/>
        <v>1293</v>
      </c>
      <c r="AM367" s="703">
        <f t="shared" si="681"/>
        <v>1293</v>
      </c>
      <c r="AN367" s="703">
        <f t="shared" si="681"/>
        <v>1293</v>
      </c>
      <c r="AO367" s="703">
        <f t="shared" si="681"/>
        <v>1293</v>
      </c>
      <c r="AP367" s="1387">
        <v>1286</v>
      </c>
      <c r="AQ367" s="3849">
        <f t="shared" si="681"/>
        <v>1286</v>
      </c>
      <c r="AR367" s="703">
        <f t="shared" si="682"/>
        <v>1286</v>
      </c>
      <c r="AS367" s="703">
        <f t="shared" si="682"/>
        <v>1286</v>
      </c>
      <c r="AT367" s="703">
        <f t="shared" si="682"/>
        <v>1286</v>
      </c>
      <c r="AU367" s="1387">
        <v>1277</v>
      </c>
      <c r="AV367" s="3849">
        <f t="shared" si="682"/>
        <v>1277</v>
      </c>
      <c r="AW367" s="703">
        <f t="shared" si="682"/>
        <v>1277</v>
      </c>
      <c r="AX367" s="703">
        <f t="shared" si="682"/>
        <v>1277</v>
      </c>
      <c r="AY367" s="703">
        <f t="shared" si="682"/>
        <v>1277</v>
      </c>
      <c r="AZ367" s="1387">
        <v>1277</v>
      </c>
      <c r="BA367" s="3849">
        <f t="shared" si="683"/>
        <v>1277</v>
      </c>
      <c r="BB367" s="703">
        <f t="shared" si="682"/>
        <v>1277</v>
      </c>
      <c r="BC367" s="703">
        <f t="shared" si="682"/>
        <v>1277</v>
      </c>
      <c r="BD367" s="703">
        <f t="shared" si="682"/>
        <v>1277</v>
      </c>
      <c r="BE367" s="703">
        <f t="shared" si="682"/>
        <v>1277</v>
      </c>
      <c r="BF367" s="3849">
        <f t="shared" si="682"/>
        <v>1277</v>
      </c>
      <c r="BG367" s="2817">
        <f t="shared" si="682"/>
        <v>1277</v>
      </c>
      <c r="BH367" s="703">
        <f t="shared" si="684"/>
        <v>1277</v>
      </c>
      <c r="BI367" s="703">
        <f t="shared" si="684"/>
        <v>1277</v>
      </c>
      <c r="BJ367" s="1872">
        <f t="shared" si="684"/>
        <v>1277</v>
      </c>
      <c r="BK367" s="3849">
        <f t="shared" si="684"/>
        <v>1277</v>
      </c>
      <c r="BL367" s="703">
        <f t="shared" si="685"/>
        <v>1277</v>
      </c>
      <c r="BM367" s="703">
        <f t="shared" si="685"/>
        <v>1277</v>
      </c>
      <c r="BN367" s="703">
        <f t="shared" si="685"/>
        <v>1277</v>
      </c>
      <c r="BO367" s="1872">
        <f t="shared" si="686"/>
        <v>1277</v>
      </c>
      <c r="BP367" s="3849">
        <f t="shared" si="686"/>
        <v>1277</v>
      </c>
      <c r="BQ367" s="703">
        <f>BP367</f>
        <v>1277</v>
      </c>
      <c r="BR367" s="703">
        <f t="shared" si="687"/>
        <v>1277</v>
      </c>
      <c r="BS367" s="703">
        <f t="shared" si="688"/>
        <v>1277</v>
      </c>
      <c r="BT367" s="1872">
        <f t="shared" si="688"/>
        <v>1277</v>
      </c>
      <c r="BU367" s="3850">
        <f t="shared" si="689"/>
        <v>1277</v>
      </c>
      <c r="BV367" s="703">
        <f t="shared" si="690"/>
        <v>1277</v>
      </c>
      <c r="BW367" s="703">
        <f t="shared" ref="BW367:BY367" si="704">BV367</f>
        <v>1277</v>
      </c>
      <c r="BX367" s="703">
        <f t="shared" si="704"/>
        <v>1277</v>
      </c>
      <c r="BY367" s="703">
        <f t="shared" si="704"/>
        <v>1277</v>
      </c>
      <c r="BZ367" s="3850">
        <f t="shared" si="691"/>
        <v>1277</v>
      </c>
      <c r="CA367" s="3849">
        <f t="shared" si="692"/>
        <v>1277</v>
      </c>
      <c r="CB367" s="3849">
        <f t="shared" si="692"/>
        <v>1277</v>
      </c>
      <c r="CC367" s="3849">
        <f t="shared" si="693"/>
        <v>1277</v>
      </c>
      <c r="CD367" s="3849">
        <f t="shared" si="694"/>
        <v>1277</v>
      </c>
      <c r="CE367" s="3849">
        <f t="shared" si="695"/>
        <v>1277</v>
      </c>
      <c r="CF367" s="3849">
        <f t="shared" si="696"/>
        <v>1277</v>
      </c>
      <c r="CG367" s="3849">
        <f t="shared" si="697"/>
        <v>1277</v>
      </c>
      <c r="CH367" s="231"/>
      <c r="CI367" s="231"/>
      <c r="CJ367" s="231"/>
      <c r="CK367" s="231"/>
      <c r="CL367" s="231"/>
      <c r="CM367" s="231"/>
      <c r="CN367" s="231"/>
      <c r="CO367" s="231"/>
      <c r="CP367" s="1873" t="str">
        <f t="shared" si="600"/>
        <v>Sam's Town Tunica (MS)</v>
      </c>
      <c r="CQ367" s="703">
        <f t="shared" si="601"/>
        <v>1397</v>
      </c>
      <c r="CR367" s="703">
        <f t="shared" si="602"/>
        <v>1358</v>
      </c>
      <c r="CS367" s="703">
        <f t="shared" si="603"/>
        <v>1338</v>
      </c>
      <c r="CT367" s="703">
        <f t="shared" si="604"/>
        <v>1342</v>
      </c>
      <c r="CU367" s="703">
        <f t="shared" si="605"/>
        <v>1336</v>
      </c>
      <c r="CV367" s="703">
        <f t="shared" si="606"/>
        <v>1315</v>
      </c>
      <c r="CW367" s="703">
        <f t="shared" si="607"/>
        <v>1293</v>
      </c>
      <c r="CX367" s="703">
        <f t="shared" si="608"/>
        <v>1286</v>
      </c>
      <c r="CY367" s="703">
        <f t="shared" si="609"/>
        <v>1277</v>
      </c>
      <c r="CZ367" s="703">
        <f t="shared" si="610"/>
        <v>1277</v>
      </c>
      <c r="DA367" s="703">
        <f t="shared" si="611"/>
        <v>1277</v>
      </c>
      <c r="DB367" s="703">
        <f t="shared" si="612"/>
        <v>1277</v>
      </c>
      <c r="DC367" s="703">
        <f t="shared" si="613"/>
        <v>1277</v>
      </c>
      <c r="DD367" s="703">
        <f t="shared" si="614"/>
        <v>1277</v>
      </c>
      <c r="DE367" s="703">
        <f t="shared" si="615"/>
        <v>1277</v>
      </c>
      <c r="DF367" s="703">
        <f t="shared" si="616"/>
        <v>1277</v>
      </c>
      <c r="DG367" s="1872">
        <f t="shared" si="617"/>
        <v>1277</v>
      </c>
      <c r="DH367" s="599"/>
      <c r="DI367" s="704"/>
      <c r="DJ367" s="704"/>
      <c r="DK367" s="704"/>
      <c r="DL367" s="704"/>
      <c r="DM367" s="704"/>
      <c r="DN367" s="705"/>
      <c r="DO367" s="706"/>
      <c r="DY367" s="231"/>
      <c r="DZ367" s="231"/>
    </row>
    <row r="368" spans="1:130" ht="12" customHeight="1">
      <c r="A368" s="552" t="s">
        <v>553</v>
      </c>
      <c r="B368" s="228"/>
      <c r="C368" s="228"/>
      <c r="D368" s="723">
        <v>1176</v>
      </c>
      <c r="E368" s="722">
        <v>1176</v>
      </c>
      <c r="F368" s="722">
        <v>1176</v>
      </c>
      <c r="G368" s="3851">
        <v>1172</v>
      </c>
      <c r="H368" s="702">
        <f t="shared" si="698"/>
        <v>1172</v>
      </c>
      <c r="I368" s="715">
        <f>H368</f>
        <v>1172</v>
      </c>
      <c r="J368" s="715">
        <f t="shared" ref="J368:K372" si="705">I368</f>
        <v>1172</v>
      </c>
      <c r="K368" s="715">
        <f t="shared" si="705"/>
        <v>1172</v>
      </c>
      <c r="L368" s="722">
        <v>1130</v>
      </c>
      <c r="M368" s="702">
        <f t="shared" si="699"/>
        <v>1130</v>
      </c>
      <c r="N368" s="715">
        <f t="shared" ref="N368:P369" si="706">M368</f>
        <v>1130</v>
      </c>
      <c r="O368" s="715">
        <f t="shared" si="706"/>
        <v>1130</v>
      </c>
      <c r="P368" s="715">
        <f t="shared" si="706"/>
        <v>1130</v>
      </c>
      <c r="Q368" s="722">
        <v>1130</v>
      </c>
      <c r="R368" s="702">
        <f t="shared" si="700"/>
        <v>1130</v>
      </c>
      <c r="S368" s="715">
        <f t="shared" ref="S368:T372" si="707">R368</f>
        <v>1130</v>
      </c>
      <c r="T368" s="715">
        <f t="shared" si="707"/>
        <v>1130</v>
      </c>
      <c r="U368" s="715">
        <f>T368</f>
        <v>1130</v>
      </c>
      <c r="V368" s="722">
        <v>1129</v>
      </c>
      <c r="W368" s="702">
        <f t="shared" si="701"/>
        <v>1129</v>
      </c>
      <c r="X368" s="715">
        <f t="shared" ref="X368:Y372" si="708">W368</f>
        <v>1129</v>
      </c>
      <c r="Y368" s="715">
        <f t="shared" si="708"/>
        <v>1129</v>
      </c>
      <c r="Z368" s="715">
        <f>Y368</f>
        <v>1129</v>
      </c>
      <c r="AA368" s="722">
        <v>1129</v>
      </c>
      <c r="AB368" s="702">
        <f t="shared" si="702"/>
        <v>1129</v>
      </c>
      <c r="AC368" s="715">
        <f t="shared" ref="AC368:AD372" si="709">AB368</f>
        <v>1129</v>
      </c>
      <c r="AD368" s="715">
        <f t="shared" si="709"/>
        <v>1129</v>
      </c>
      <c r="AE368" s="715">
        <f>AD368</f>
        <v>1129</v>
      </c>
      <c r="AF368" s="722">
        <v>1146</v>
      </c>
      <c r="AG368" s="702">
        <f t="shared" si="703"/>
        <v>1146</v>
      </c>
      <c r="AH368" s="703">
        <f t="shared" si="703"/>
        <v>1146</v>
      </c>
      <c r="AI368" s="703">
        <f t="shared" si="703"/>
        <v>1146</v>
      </c>
      <c r="AJ368" s="703">
        <f t="shared" si="703"/>
        <v>1146</v>
      </c>
      <c r="AK368" s="722">
        <v>1161</v>
      </c>
      <c r="AL368" s="3849">
        <f t="shared" si="681"/>
        <v>1161</v>
      </c>
      <c r="AM368" s="703">
        <f t="shared" si="681"/>
        <v>1161</v>
      </c>
      <c r="AN368" s="703">
        <f t="shared" si="681"/>
        <v>1161</v>
      </c>
      <c r="AO368" s="703">
        <f t="shared" si="681"/>
        <v>1161</v>
      </c>
      <c r="AP368" s="1387">
        <v>1167</v>
      </c>
      <c r="AQ368" s="3849">
        <f t="shared" si="681"/>
        <v>1167</v>
      </c>
      <c r="AR368" s="703">
        <f t="shared" ref="AR368:BF368" si="710">AQ368</f>
        <v>1167</v>
      </c>
      <c r="AS368" s="703">
        <f t="shared" si="710"/>
        <v>1167</v>
      </c>
      <c r="AT368" s="703">
        <f t="shared" si="710"/>
        <v>1167</v>
      </c>
      <c r="AU368" s="1387">
        <v>1176</v>
      </c>
      <c r="AV368" s="3849">
        <f t="shared" si="710"/>
        <v>1176</v>
      </c>
      <c r="AW368" s="703">
        <f t="shared" si="710"/>
        <v>1176</v>
      </c>
      <c r="AX368" s="703">
        <f t="shared" si="710"/>
        <v>1176</v>
      </c>
      <c r="AY368" s="703">
        <f t="shared" si="710"/>
        <v>1176</v>
      </c>
      <c r="AZ368" s="1387">
        <v>1157</v>
      </c>
      <c r="BA368" s="3849">
        <f t="shared" si="683"/>
        <v>1157</v>
      </c>
      <c r="BB368" s="2744">
        <v>1151</v>
      </c>
      <c r="BC368" s="2744">
        <v>1152</v>
      </c>
      <c r="BD368" s="2744">
        <v>1057</v>
      </c>
      <c r="BE368" s="2744">
        <v>1062</v>
      </c>
      <c r="BF368" s="3849">
        <f t="shared" si="710"/>
        <v>1062</v>
      </c>
      <c r="BG368" s="3127">
        <v>1002</v>
      </c>
      <c r="BH368" s="3174">
        <v>1000</v>
      </c>
      <c r="BI368" s="3174">
        <v>1000</v>
      </c>
      <c r="BJ368" s="3174">
        <v>1000</v>
      </c>
      <c r="BK368" s="3849">
        <f>BJ368</f>
        <v>1000</v>
      </c>
      <c r="BL368" s="3174">
        <v>1000</v>
      </c>
      <c r="BM368" s="3174">
        <v>992</v>
      </c>
      <c r="BN368" s="3174">
        <v>992</v>
      </c>
      <c r="BO368" s="3174">
        <v>992</v>
      </c>
      <c r="BP368" s="3849">
        <f t="shared" si="686"/>
        <v>992</v>
      </c>
      <c r="BQ368" s="3174">
        <v>923</v>
      </c>
      <c r="BR368" s="4044">
        <v>919</v>
      </c>
      <c r="BS368" s="3172">
        <f t="shared" si="688"/>
        <v>919</v>
      </c>
      <c r="BT368" s="3173">
        <f t="shared" si="688"/>
        <v>919</v>
      </c>
      <c r="BU368" s="3850">
        <f t="shared" si="689"/>
        <v>919</v>
      </c>
      <c r="BV368" s="3172">
        <f t="shared" si="690"/>
        <v>919</v>
      </c>
      <c r="BW368" s="3172">
        <f t="shared" ref="BW368:BY368" si="711">BV368</f>
        <v>919</v>
      </c>
      <c r="BX368" s="3172">
        <f t="shared" si="711"/>
        <v>919</v>
      </c>
      <c r="BY368" s="3172">
        <f t="shared" si="711"/>
        <v>919</v>
      </c>
      <c r="BZ368" s="3850">
        <f t="shared" si="691"/>
        <v>919</v>
      </c>
      <c r="CA368" s="3852">
        <f t="shared" si="692"/>
        <v>919</v>
      </c>
      <c r="CB368" s="3852">
        <f t="shared" si="692"/>
        <v>919</v>
      </c>
      <c r="CC368" s="3852">
        <f t="shared" si="693"/>
        <v>919</v>
      </c>
      <c r="CD368" s="3852">
        <f t="shared" si="694"/>
        <v>919</v>
      </c>
      <c r="CE368" s="3852">
        <f t="shared" si="695"/>
        <v>919</v>
      </c>
      <c r="CF368" s="3852">
        <f t="shared" si="696"/>
        <v>919</v>
      </c>
      <c r="CG368" s="3852">
        <f t="shared" si="697"/>
        <v>919</v>
      </c>
      <c r="CH368" s="231"/>
      <c r="CI368" s="231"/>
      <c r="CJ368" s="231"/>
      <c r="CK368" s="231"/>
      <c r="CL368" s="231"/>
      <c r="CM368" s="231"/>
      <c r="CN368" s="231"/>
      <c r="CO368" s="231"/>
      <c r="CP368" s="994" t="str">
        <f t="shared" si="600"/>
        <v>Par-A-Dice (Peoria, Illinois)</v>
      </c>
      <c r="CQ368" s="703">
        <f t="shared" si="601"/>
        <v>1172</v>
      </c>
      <c r="CR368" s="703">
        <f t="shared" si="602"/>
        <v>1130</v>
      </c>
      <c r="CS368" s="703">
        <f t="shared" si="603"/>
        <v>1130</v>
      </c>
      <c r="CT368" s="703">
        <f t="shared" si="604"/>
        <v>1129</v>
      </c>
      <c r="CU368" s="703">
        <f t="shared" si="605"/>
        <v>1129</v>
      </c>
      <c r="CV368" s="703">
        <f t="shared" si="606"/>
        <v>1146</v>
      </c>
      <c r="CW368" s="703">
        <f t="shared" si="607"/>
        <v>1161</v>
      </c>
      <c r="CX368" s="703">
        <f t="shared" si="608"/>
        <v>1167</v>
      </c>
      <c r="CY368" s="703">
        <f t="shared" si="609"/>
        <v>1176</v>
      </c>
      <c r="CZ368" s="703">
        <f t="shared" si="610"/>
        <v>1157</v>
      </c>
      <c r="DA368" s="703">
        <f t="shared" si="611"/>
        <v>1062</v>
      </c>
      <c r="DB368" s="703">
        <f t="shared" si="612"/>
        <v>1000</v>
      </c>
      <c r="DC368" s="703">
        <f t="shared" si="613"/>
        <v>992</v>
      </c>
      <c r="DD368" s="703">
        <f t="shared" si="614"/>
        <v>919</v>
      </c>
      <c r="DE368" s="703">
        <f t="shared" si="615"/>
        <v>919</v>
      </c>
      <c r="DF368" s="703">
        <f t="shared" si="616"/>
        <v>919</v>
      </c>
      <c r="DG368" s="1872">
        <f t="shared" si="617"/>
        <v>919</v>
      </c>
      <c r="DH368" s="223"/>
      <c r="DI368" s="595"/>
      <c r="DJ368" s="595"/>
      <c r="DK368" s="595"/>
      <c r="DL368" s="595"/>
      <c r="DM368" s="595"/>
      <c r="DN368" s="514"/>
      <c r="DO368" s="226"/>
      <c r="DY368" s="231"/>
      <c r="DZ368" s="231"/>
    </row>
    <row r="369" spans="1:130" ht="12" customHeight="1">
      <c r="A369" s="552" t="s">
        <v>632</v>
      </c>
      <c r="B369" s="228"/>
      <c r="C369" s="228"/>
      <c r="D369" s="723">
        <v>965</v>
      </c>
      <c r="E369" s="722">
        <v>965</v>
      </c>
      <c r="F369" s="722">
        <v>965</v>
      </c>
      <c r="G369" s="722">
        <v>970</v>
      </c>
      <c r="H369" s="702">
        <f t="shared" si="698"/>
        <v>970</v>
      </c>
      <c r="I369" s="715">
        <f>H369</f>
        <v>970</v>
      </c>
      <c r="J369" s="715">
        <f t="shared" si="705"/>
        <v>970</v>
      </c>
      <c r="K369" s="715">
        <f t="shared" si="705"/>
        <v>970</v>
      </c>
      <c r="L369" s="722">
        <v>967</v>
      </c>
      <c r="M369" s="702">
        <f t="shared" si="699"/>
        <v>967</v>
      </c>
      <c r="N369" s="715">
        <f t="shared" si="706"/>
        <v>967</v>
      </c>
      <c r="O369" s="715">
        <f t="shared" si="706"/>
        <v>967</v>
      </c>
      <c r="P369" s="715">
        <f t="shared" si="706"/>
        <v>967</v>
      </c>
      <c r="Q369" s="722">
        <v>975</v>
      </c>
      <c r="R369" s="702">
        <f t="shared" si="700"/>
        <v>975</v>
      </c>
      <c r="S369" s="715">
        <f t="shared" si="707"/>
        <v>975</v>
      </c>
      <c r="T369" s="715">
        <f t="shared" si="707"/>
        <v>975</v>
      </c>
      <c r="U369" s="715">
        <f>T369</f>
        <v>975</v>
      </c>
      <c r="V369" s="722">
        <v>1003</v>
      </c>
      <c r="W369" s="702">
        <f t="shared" si="701"/>
        <v>1003</v>
      </c>
      <c r="X369" s="715">
        <f t="shared" si="708"/>
        <v>1003</v>
      </c>
      <c r="Y369" s="715">
        <f t="shared" si="708"/>
        <v>1003</v>
      </c>
      <c r="Z369" s="715">
        <f>Y369</f>
        <v>1003</v>
      </c>
      <c r="AA369" s="722">
        <v>990</v>
      </c>
      <c r="AB369" s="702">
        <f t="shared" si="702"/>
        <v>990</v>
      </c>
      <c r="AC369" s="715">
        <f t="shared" si="709"/>
        <v>990</v>
      </c>
      <c r="AD369" s="715">
        <f t="shared" si="709"/>
        <v>990</v>
      </c>
      <c r="AE369" s="715">
        <f>AD369</f>
        <v>990</v>
      </c>
      <c r="AF369" s="722">
        <v>968</v>
      </c>
      <c r="AG369" s="702">
        <f t="shared" si="703"/>
        <v>968</v>
      </c>
      <c r="AH369" s="703">
        <f t="shared" si="703"/>
        <v>968</v>
      </c>
      <c r="AI369" s="703">
        <f t="shared" si="703"/>
        <v>968</v>
      </c>
      <c r="AJ369" s="703">
        <f t="shared" si="703"/>
        <v>968</v>
      </c>
      <c r="AK369" s="722">
        <v>968</v>
      </c>
      <c r="AL369" s="3849">
        <f t="shared" si="681"/>
        <v>968</v>
      </c>
      <c r="AM369" s="703">
        <f t="shared" si="681"/>
        <v>968</v>
      </c>
      <c r="AN369" s="703">
        <f t="shared" si="681"/>
        <v>968</v>
      </c>
      <c r="AO369" s="703">
        <f t="shared" si="681"/>
        <v>968</v>
      </c>
      <c r="AP369" s="1387">
        <v>980</v>
      </c>
      <c r="AQ369" s="3849">
        <f t="shared" si="681"/>
        <v>980</v>
      </c>
      <c r="AR369" s="703">
        <f t="shared" ref="AR369:BF369" si="712">AQ369</f>
        <v>980</v>
      </c>
      <c r="AS369" s="703">
        <f t="shared" si="712"/>
        <v>980</v>
      </c>
      <c r="AT369" s="703">
        <f t="shared" si="712"/>
        <v>980</v>
      </c>
      <c r="AU369" s="1387">
        <v>982</v>
      </c>
      <c r="AV369" s="3849">
        <f t="shared" si="712"/>
        <v>982</v>
      </c>
      <c r="AW369" s="703">
        <f t="shared" si="712"/>
        <v>982</v>
      </c>
      <c r="AX369" s="703">
        <f t="shared" si="712"/>
        <v>982</v>
      </c>
      <c r="AY369" s="703">
        <f t="shared" si="712"/>
        <v>982</v>
      </c>
      <c r="AZ369" s="1387">
        <v>982</v>
      </c>
      <c r="BA369" s="3849">
        <f t="shared" si="683"/>
        <v>982</v>
      </c>
      <c r="BB369" s="2744">
        <f t="shared" si="712"/>
        <v>982</v>
      </c>
      <c r="BC369" s="2744">
        <v>982</v>
      </c>
      <c r="BD369" s="2744">
        <v>986</v>
      </c>
      <c r="BE369" s="2744">
        <v>986</v>
      </c>
      <c r="BF369" s="3849">
        <f t="shared" si="712"/>
        <v>986</v>
      </c>
      <c r="BG369" s="3127">
        <v>981</v>
      </c>
      <c r="BH369" s="3174">
        <v>981</v>
      </c>
      <c r="BI369" s="3174">
        <v>981</v>
      </c>
      <c r="BJ369" s="3174">
        <v>981</v>
      </c>
      <c r="BK369" s="3849">
        <f>BJ369</f>
        <v>981</v>
      </c>
      <c r="BL369" s="3174">
        <v>981</v>
      </c>
      <c r="BM369" s="3174">
        <v>981</v>
      </c>
      <c r="BN369" s="3174">
        <v>981</v>
      </c>
      <c r="BO369" s="3174">
        <v>981</v>
      </c>
      <c r="BP369" s="3849">
        <f t="shared" si="686"/>
        <v>981</v>
      </c>
      <c r="BQ369" s="3174">
        <v>981</v>
      </c>
      <c r="BR369" s="3174">
        <v>981</v>
      </c>
      <c r="BS369" s="3172">
        <f t="shared" si="688"/>
        <v>981</v>
      </c>
      <c r="BT369" s="3173">
        <f t="shared" si="688"/>
        <v>981</v>
      </c>
      <c r="BU369" s="3850">
        <f t="shared" si="689"/>
        <v>981</v>
      </c>
      <c r="BV369" s="3172">
        <f t="shared" si="690"/>
        <v>981</v>
      </c>
      <c r="BW369" s="3172">
        <f t="shared" ref="BW369:BY369" si="713">BV369</f>
        <v>981</v>
      </c>
      <c r="BX369" s="3172">
        <f t="shared" si="713"/>
        <v>981</v>
      </c>
      <c r="BY369" s="3172">
        <f t="shared" si="713"/>
        <v>981</v>
      </c>
      <c r="BZ369" s="3850">
        <f t="shared" si="691"/>
        <v>981</v>
      </c>
      <c r="CA369" s="3852">
        <f t="shared" si="692"/>
        <v>981</v>
      </c>
      <c r="CB369" s="3852">
        <f t="shared" si="692"/>
        <v>981</v>
      </c>
      <c r="CC369" s="3852">
        <f t="shared" si="693"/>
        <v>981</v>
      </c>
      <c r="CD369" s="3852">
        <f t="shared" si="694"/>
        <v>981</v>
      </c>
      <c r="CE369" s="3852">
        <f t="shared" si="695"/>
        <v>981</v>
      </c>
      <c r="CF369" s="3852">
        <f t="shared" si="696"/>
        <v>981</v>
      </c>
      <c r="CG369" s="3852">
        <f t="shared" si="697"/>
        <v>981</v>
      </c>
      <c r="CH369" s="231"/>
      <c r="CI369" s="231"/>
      <c r="CJ369" s="231"/>
      <c r="CK369" s="231"/>
      <c r="CL369" s="231"/>
      <c r="CM369" s="231"/>
      <c r="CN369" s="231"/>
      <c r="CO369" s="231"/>
      <c r="CP369" s="994" t="str">
        <f t="shared" si="600"/>
        <v>Treasure Chest (New Orleans, LA)</v>
      </c>
      <c r="CQ369" s="703">
        <f t="shared" si="601"/>
        <v>970</v>
      </c>
      <c r="CR369" s="703">
        <f t="shared" si="602"/>
        <v>967</v>
      </c>
      <c r="CS369" s="703">
        <f t="shared" si="603"/>
        <v>975</v>
      </c>
      <c r="CT369" s="703">
        <f t="shared" si="604"/>
        <v>1003</v>
      </c>
      <c r="CU369" s="703">
        <f t="shared" si="605"/>
        <v>990</v>
      </c>
      <c r="CV369" s="703">
        <f t="shared" si="606"/>
        <v>968</v>
      </c>
      <c r="CW369" s="703">
        <f t="shared" si="607"/>
        <v>968</v>
      </c>
      <c r="CX369" s="703">
        <f t="shared" si="608"/>
        <v>980</v>
      </c>
      <c r="CY369" s="703">
        <f t="shared" si="609"/>
        <v>982</v>
      </c>
      <c r="CZ369" s="703">
        <f t="shared" si="610"/>
        <v>982</v>
      </c>
      <c r="DA369" s="703">
        <f t="shared" si="611"/>
        <v>986</v>
      </c>
      <c r="DB369" s="703">
        <f t="shared" si="612"/>
        <v>981</v>
      </c>
      <c r="DC369" s="703">
        <f t="shared" si="613"/>
        <v>981</v>
      </c>
      <c r="DD369" s="703">
        <f t="shared" si="614"/>
        <v>981</v>
      </c>
      <c r="DE369" s="703">
        <f t="shared" si="615"/>
        <v>981</v>
      </c>
      <c r="DF369" s="703">
        <f t="shared" si="616"/>
        <v>981</v>
      </c>
      <c r="DG369" s="1872">
        <f t="shared" si="617"/>
        <v>981</v>
      </c>
      <c r="DH369" s="223"/>
      <c r="DI369" s="595"/>
      <c r="DJ369" s="595"/>
      <c r="DK369" s="595"/>
      <c r="DL369" s="595"/>
      <c r="DM369" s="595"/>
      <c r="DN369" s="514"/>
      <c r="DO369" s="226"/>
      <c r="DY369" s="231"/>
      <c r="DZ369" s="231"/>
    </row>
    <row r="370" spans="1:130" ht="12" customHeight="1">
      <c r="A370" s="552" t="s">
        <v>917</v>
      </c>
      <c r="B370" s="228"/>
      <c r="C370" s="228"/>
      <c r="D370" s="723">
        <v>1701</v>
      </c>
      <c r="E370" s="722">
        <v>1701</v>
      </c>
      <c r="F370" s="722">
        <v>1701</v>
      </c>
      <c r="G370" s="724">
        <v>1724</v>
      </c>
      <c r="H370" s="702">
        <f t="shared" si="698"/>
        <v>1724</v>
      </c>
      <c r="I370" s="715">
        <f>H370</f>
        <v>1724</v>
      </c>
      <c r="J370" s="715">
        <f t="shared" si="705"/>
        <v>1724</v>
      </c>
      <c r="K370" s="715">
        <f t="shared" si="705"/>
        <v>1724</v>
      </c>
      <c r="L370" s="722">
        <v>1719</v>
      </c>
      <c r="M370" s="702">
        <f t="shared" si="699"/>
        <v>1719</v>
      </c>
      <c r="N370" s="715">
        <f>M370+450</f>
        <v>2169</v>
      </c>
      <c r="O370" s="715">
        <f t="shared" ref="O370:P372" si="714">N370</f>
        <v>2169</v>
      </c>
      <c r="P370" s="715">
        <f t="shared" si="714"/>
        <v>2169</v>
      </c>
      <c r="Q370" s="722">
        <v>2171</v>
      </c>
      <c r="R370" s="702">
        <f t="shared" si="700"/>
        <v>2171</v>
      </c>
      <c r="S370" s="715">
        <f t="shared" si="707"/>
        <v>2171</v>
      </c>
      <c r="T370" s="715">
        <f t="shared" si="707"/>
        <v>2171</v>
      </c>
      <c r="U370" s="715">
        <f>T370</f>
        <v>2171</v>
      </c>
      <c r="V370" s="722">
        <v>2126</v>
      </c>
      <c r="W370" s="702">
        <f t="shared" si="701"/>
        <v>2126</v>
      </c>
      <c r="X370" s="715">
        <f t="shared" si="708"/>
        <v>2126</v>
      </c>
      <c r="Y370" s="715">
        <f t="shared" si="708"/>
        <v>2126</v>
      </c>
      <c r="Z370" s="715">
        <f>Y370</f>
        <v>2126</v>
      </c>
      <c r="AA370" s="722">
        <v>1969</v>
      </c>
      <c r="AB370" s="702">
        <f t="shared" si="702"/>
        <v>1969</v>
      </c>
      <c r="AC370" s="715">
        <f t="shared" si="709"/>
        <v>1969</v>
      </c>
      <c r="AD370" s="715">
        <f t="shared" si="709"/>
        <v>1969</v>
      </c>
      <c r="AE370" s="715">
        <f>AD370</f>
        <v>1969</v>
      </c>
      <c r="AF370" s="722">
        <v>1944</v>
      </c>
      <c r="AG370" s="702">
        <f t="shared" si="703"/>
        <v>1944</v>
      </c>
      <c r="AH370" s="703">
        <f t="shared" si="703"/>
        <v>1944</v>
      </c>
      <c r="AI370" s="703">
        <f t="shared" si="703"/>
        <v>1944</v>
      </c>
      <c r="AJ370" s="703">
        <f t="shared" si="703"/>
        <v>1944</v>
      </c>
      <c r="AK370" s="722">
        <v>1960</v>
      </c>
      <c r="AL370" s="3849">
        <f t="shared" si="681"/>
        <v>1960</v>
      </c>
      <c r="AM370" s="703">
        <f t="shared" si="681"/>
        <v>1960</v>
      </c>
      <c r="AN370" s="703">
        <f t="shared" si="681"/>
        <v>1960</v>
      </c>
      <c r="AO370" s="703">
        <f t="shared" si="681"/>
        <v>1960</v>
      </c>
      <c r="AP370" s="1387">
        <v>1965</v>
      </c>
      <c r="AQ370" s="3849">
        <f t="shared" si="681"/>
        <v>1965</v>
      </c>
      <c r="AR370" s="703">
        <f t="shared" ref="AR370:AY370" si="715">AQ370</f>
        <v>1965</v>
      </c>
      <c r="AS370" s="703">
        <f t="shared" si="715"/>
        <v>1965</v>
      </c>
      <c r="AT370" s="703">
        <f t="shared" si="715"/>
        <v>1965</v>
      </c>
      <c r="AU370" s="1387">
        <v>1954</v>
      </c>
      <c r="AV370" s="3849">
        <f t="shared" si="715"/>
        <v>1954</v>
      </c>
      <c r="AW370" s="703">
        <f t="shared" si="715"/>
        <v>1954</v>
      </c>
      <c r="AX370" s="703">
        <f t="shared" si="715"/>
        <v>1954</v>
      </c>
      <c r="AY370" s="703">
        <f t="shared" si="715"/>
        <v>1954</v>
      </c>
      <c r="AZ370" s="1387">
        <v>1921</v>
      </c>
      <c r="BA370" s="3849">
        <f t="shared" si="683"/>
        <v>1921</v>
      </c>
      <c r="BB370" s="2748">
        <v>1921</v>
      </c>
      <c r="BC370" s="2748">
        <v>1909</v>
      </c>
      <c r="BD370" s="2748">
        <v>1866</v>
      </c>
      <c r="BE370" s="2748">
        <v>1821</v>
      </c>
      <c r="BF370" s="3849">
        <f>BE370</f>
        <v>1821</v>
      </c>
      <c r="BG370" s="3127">
        <v>1812</v>
      </c>
      <c r="BH370" s="3174">
        <v>1794</v>
      </c>
      <c r="BI370" s="3174">
        <v>1781</v>
      </c>
      <c r="BJ370" s="3174">
        <v>1775</v>
      </c>
      <c r="BK370" s="3849">
        <f>BJ370</f>
        <v>1775</v>
      </c>
      <c r="BL370" s="3174">
        <v>1761</v>
      </c>
      <c r="BM370" s="3174">
        <v>1751</v>
      </c>
      <c r="BN370" s="3174">
        <v>1747</v>
      </c>
      <c r="BO370" s="3174">
        <v>1692</v>
      </c>
      <c r="BP370" s="3849">
        <f t="shared" si="686"/>
        <v>1692</v>
      </c>
      <c r="BQ370" s="3174">
        <v>1703</v>
      </c>
      <c r="BR370" s="3174">
        <v>1662</v>
      </c>
      <c r="BS370" s="3172">
        <f t="shared" si="688"/>
        <v>1662</v>
      </c>
      <c r="BT370" s="3173">
        <f t="shared" si="688"/>
        <v>1662</v>
      </c>
      <c r="BU370" s="3850">
        <f t="shared" si="689"/>
        <v>1662</v>
      </c>
      <c r="BV370" s="3172">
        <f t="shared" si="690"/>
        <v>1662</v>
      </c>
      <c r="BW370" s="3172">
        <f t="shared" ref="BW370:BY370" si="716">BV370</f>
        <v>1662</v>
      </c>
      <c r="BX370" s="3172">
        <f t="shared" si="716"/>
        <v>1662</v>
      </c>
      <c r="BY370" s="3172">
        <f t="shared" si="716"/>
        <v>1662</v>
      </c>
      <c r="BZ370" s="3850">
        <f t="shared" si="691"/>
        <v>1662</v>
      </c>
      <c r="CA370" s="3852">
        <f t="shared" si="692"/>
        <v>1662</v>
      </c>
      <c r="CB370" s="3852">
        <f t="shared" si="692"/>
        <v>1662</v>
      </c>
      <c r="CC370" s="3852">
        <f t="shared" si="693"/>
        <v>1662</v>
      </c>
      <c r="CD370" s="3852">
        <f t="shared" si="694"/>
        <v>1662</v>
      </c>
      <c r="CE370" s="3852">
        <f t="shared" si="695"/>
        <v>1662</v>
      </c>
      <c r="CF370" s="3852">
        <f t="shared" si="696"/>
        <v>1662</v>
      </c>
      <c r="CG370" s="3852">
        <f t="shared" si="697"/>
        <v>1662</v>
      </c>
      <c r="CH370" s="231"/>
      <c r="CI370" s="231"/>
      <c r="CJ370" s="231"/>
      <c r="CK370" s="231"/>
      <c r="CL370" s="231"/>
      <c r="CM370" s="231"/>
      <c r="CN370" s="231"/>
      <c r="CO370" s="231"/>
      <c r="CP370" s="994" t="str">
        <f t="shared" si="600"/>
        <v>Blue Chip (Chicago, IL - IN)</v>
      </c>
      <c r="CQ370" s="703">
        <f t="shared" si="601"/>
        <v>1724</v>
      </c>
      <c r="CR370" s="703">
        <f t="shared" si="602"/>
        <v>1719</v>
      </c>
      <c r="CS370" s="703">
        <f t="shared" si="603"/>
        <v>2171</v>
      </c>
      <c r="CT370" s="703">
        <f t="shared" si="604"/>
        <v>2126</v>
      </c>
      <c r="CU370" s="703">
        <f t="shared" si="605"/>
        <v>1969</v>
      </c>
      <c r="CV370" s="703">
        <f t="shared" si="606"/>
        <v>1944</v>
      </c>
      <c r="CW370" s="703">
        <f t="shared" si="607"/>
        <v>1960</v>
      </c>
      <c r="CX370" s="703">
        <f t="shared" si="608"/>
        <v>1965</v>
      </c>
      <c r="CY370" s="703">
        <f t="shared" si="609"/>
        <v>1954</v>
      </c>
      <c r="CZ370" s="703">
        <f t="shared" si="610"/>
        <v>1921</v>
      </c>
      <c r="DA370" s="703">
        <f t="shared" si="611"/>
        <v>1821</v>
      </c>
      <c r="DB370" s="703">
        <f t="shared" si="612"/>
        <v>1775</v>
      </c>
      <c r="DC370" s="703">
        <f t="shared" si="613"/>
        <v>1692</v>
      </c>
      <c r="DD370" s="703">
        <f t="shared" si="614"/>
        <v>1662</v>
      </c>
      <c r="DE370" s="703">
        <f t="shared" si="615"/>
        <v>1662</v>
      </c>
      <c r="DF370" s="703">
        <f t="shared" si="616"/>
        <v>1662</v>
      </c>
      <c r="DG370" s="1872">
        <f t="shared" si="617"/>
        <v>1662</v>
      </c>
      <c r="DH370" s="223"/>
      <c r="DI370" s="595"/>
      <c r="DJ370" s="595"/>
      <c r="DK370" s="595"/>
      <c r="DL370" s="595"/>
      <c r="DM370" s="595"/>
      <c r="DN370" s="514"/>
      <c r="DO370" s="226"/>
      <c r="DY370" s="231"/>
      <c r="DZ370" s="231"/>
    </row>
    <row r="371" spans="1:130" ht="12" customHeight="1">
      <c r="A371" s="552" t="s">
        <v>775</v>
      </c>
      <c r="B371" s="228"/>
      <c r="C371" s="228"/>
      <c r="D371" s="723">
        <v>1453</v>
      </c>
      <c r="E371" s="722">
        <v>1453</v>
      </c>
      <c r="F371" s="722">
        <v>1453</v>
      </c>
      <c r="G371" s="722">
        <v>1461</v>
      </c>
      <c r="H371" s="702">
        <f t="shared" si="698"/>
        <v>1461</v>
      </c>
      <c r="I371" s="715">
        <f>H371</f>
        <v>1461</v>
      </c>
      <c r="J371" s="715">
        <f t="shared" si="705"/>
        <v>1461</v>
      </c>
      <c r="K371" s="715">
        <f t="shared" si="705"/>
        <v>1461</v>
      </c>
      <c r="L371" s="722">
        <v>1462</v>
      </c>
      <c r="M371" s="702">
        <f t="shared" si="699"/>
        <v>1462</v>
      </c>
      <c r="N371" s="715">
        <f>M371</f>
        <v>1462</v>
      </c>
      <c r="O371" s="715">
        <f t="shared" si="714"/>
        <v>1462</v>
      </c>
      <c r="P371" s="715">
        <f t="shared" si="714"/>
        <v>1462</v>
      </c>
      <c r="Q371" s="722">
        <v>1462</v>
      </c>
      <c r="R371" s="702">
        <f t="shared" si="700"/>
        <v>1462</v>
      </c>
      <c r="S371" s="715">
        <f t="shared" si="707"/>
        <v>1462</v>
      </c>
      <c r="T371" s="715">
        <f t="shared" si="707"/>
        <v>1462</v>
      </c>
      <c r="U371" s="715">
        <f>T371</f>
        <v>1462</v>
      </c>
      <c r="V371" s="722">
        <v>1507</v>
      </c>
      <c r="W371" s="702">
        <f t="shared" si="701"/>
        <v>1507</v>
      </c>
      <c r="X371" s="715">
        <f t="shared" si="708"/>
        <v>1507</v>
      </c>
      <c r="Y371" s="715">
        <f t="shared" si="708"/>
        <v>1507</v>
      </c>
      <c r="Z371" s="715">
        <f>Y371</f>
        <v>1507</v>
      </c>
      <c r="AA371" s="722">
        <v>1609</v>
      </c>
      <c r="AB371" s="702">
        <f t="shared" si="702"/>
        <v>1609</v>
      </c>
      <c r="AC371" s="715">
        <f t="shared" si="709"/>
        <v>1609</v>
      </c>
      <c r="AD371" s="715">
        <f t="shared" si="709"/>
        <v>1609</v>
      </c>
      <c r="AE371" s="715">
        <f>AD371</f>
        <v>1609</v>
      </c>
      <c r="AF371" s="722">
        <v>1615</v>
      </c>
      <c r="AG371" s="702">
        <f>AF371</f>
        <v>1615</v>
      </c>
      <c r="AH371" s="703">
        <f t="shared" si="703"/>
        <v>1615</v>
      </c>
      <c r="AI371" s="703">
        <f t="shared" si="703"/>
        <v>1615</v>
      </c>
      <c r="AJ371" s="703">
        <f t="shared" si="703"/>
        <v>1615</v>
      </c>
      <c r="AK371" s="722">
        <v>1620</v>
      </c>
      <c r="AL371" s="3849">
        <f t="shared" si="681"/>
        <v>1620</v>
      </c>
      <c r="AM371" s="703">
        <f t="shared" si="681"/>
        <v>1620</v>
      </c>
      <c r="AN371" s="703">
        <f t="shared" si="681"/>
        <v>1620</v>
      </c>
      <c r="AO371" s="703">
        <f t="shared" si="681"/>
        <v>1620</v>
      </c>
      <c r="AP371" s="1387">
        <v>1620</v>
      </c>
      <c r="AQ371" s="3849">
        <f t="shared" si="681"/>
        <v>1620</v>
      </c>
      <c r="AR371" s="703">
        <f t="shared" ref="AR371:BF371" si="717">AQ371</f>
        <v>1620</v>
      </c>
      <c r="AS371" s="703">
        <f t="shared" si="717"/>
        <v>1620</v>
      </c>
      <c r="AT371" s="703">
        <f t="shared" si="717"/>
        <v>1620</v>
      </c>
      <c r="AU371" s="1387">
        <v>1639</v>
      </c>
      <c r="AV371" s="3849">
        <f t="shared" si="717"/>
        <v>1639</v>
      </c>
      <c r="AW371" s="703">
        <f t="shared" si="717"/>
        <v>1639</v>
      </c>
      <c r="AX371" s="703">
        <f t="shared" si="717"/>
        <v>1639</v>
      </c>
      <c r="AY371" s="703">
        <f t="shared" si="717"/>
        <v>1639</v>
      </c>
      <c r="AZ371" s="1387">
        <v>1642</v>
      </c>
      <c r="BA371" s="3849">
        <f t="shared" si="683"/>
        <v>1642</v>
      </c>
      <c r="BB371" s="2748">
        <v>1639</v>
      </c>
      <c r="BC371" s="2748">
        <v>1639</v>
      </c>
      <c r="BD371" s="2748">
        <v>1639</v>
      </c>
      <c r="BE371" s="2748">
        <v>1639</v>
      </c>
      <c r="BF371" s="3849">
        <f t="shared" si="717"/>
        <v>1639</v>
      </c>
      <c r="BG371" s="3127">
        <v>1639</v>
      </c>
      <c r="BH371" s="3174">
        <v>1639</v>
      </c>
      <c r="BI371" s="3174">
        <v>1639</v>
      </c>
      <c r="BJ371" s="3174">
        <v>1639</v>
      </c>
      <c r="BK371" s="3849">
        <f>BJ371</f>
        <v>1639</v>
      </c>
      <c r="BL371" s="3174">
        <v>1639</v>
      </c>
      <c r="BM371" s="3174">
        <v>1639</v>
      </c>
      <c r="BN371" s="3174">
        <v>1639</v>
      </c>
      <c r="BO371" s="3174">
        <v>1639</v>
      </c>
      <c r="BP371" s="3849">
        <f t="shared" si="686"/>
        <v>1639</v>
      </c>
      <c r="BQ371" s="3174">
        <v>1639</v>
      </c>
      <c r="BR371" s="3174">
        <v>1639</v>
      </c>
      <c r="BS371" s="3172">
        <f t="shared" si="688"/>
        <v>1639</v>
      </c>
      <c r="BT371" s="3173">
        <f t="shared" si="688"/>
        <v>1639</v>
      </c>
      <c r="BU371" s="3850">
        <f t="shared" si="689"/>
        <v>1639</v>
      </c>
      <c r="BV371" s="3172">
        <f t="shared" si="690"/>
        <v>1639</v>
      </c>
      <c r="BW371" s="3172">
        <f t="shared" ref="BW371:BY371" si="718">BV371</f>
        <v>1639</v>
      </c>
      <c r="BX371" s="3172">
        <f t="shared" si="718"/>
        <v>1639</v>
      </c>
      <c r="BY371" s="3172">
        <f t="shared" si="718"/>
        <v>1639</v>
      </c>
      <c r="BZ371" s="3850">
        <f t="shared" si="691"/>
        <v>1639</v>
      </c>
      <c r="CA371" s="3852">
        <f t="shared" si="692"/>
        <v>1639</v>
      </c>
      <c r="CB371" s="3852">
        <f t="shared" si="692"/>
        <v>1639</v>
      </c>
      <c r="CC371" s="3852">
        <f t="shared" si="693"/>
        <v>1639</v>
      </c>
      <c r="CD371" s="3852">
        <f t="shared" si="694"/>
        <v>1639</v>
      </c>
      <c r="CE371" s="3852">
        <f t="shared" si="695"/>
        <v>1639</v>
      </c>
      <c r="CF371" s="3852">
        <f t="shared" si="696"/>
        <v>1639</v>
      </c>
      <c r="CG371" s="3852">
        <f t="shared" si="697"/>
        <v>1639</v>
      </c>
      <c r="CH371" s="231"/>
      <c r="CI371" s="231"/>
      <c r="CJ371" s="231"/>
      <c r="CK371" s="231"/>
      <c r="CL371" s="231"/>
      <c r="CM371" s="231"/>
      <c r="CN371" s="231"/>
      <c r="CO371" s="231"/>
      <c r="CP371" s="994" t="str">
        <f t="shared" si="600"/>
        <v>Delta Downs (Lake Charles, LA)</v>
      </c>
      <c r="CQ371" s="703">
        <f t="shared" si="601"/>
        <v>1461</v>
      </c>
      <c r="CR371" s="703">
        <f t="shared" si="602"/>
        <v>1462</v>
      </c>
      <c r="CS371" s="703">
        <f t="shared" si="603"/>
        <v>1462</v>
      </c>
      <c r="CT371" s="703">
        <f t="shared" si="604"/>
        <v>1507</v>
      </c>
      <c r="CU371" s="703">
        <f t="shared" si="605"/>
        <v>1609</v>
      </c>
      <c r="CV371" s="703">
        <f t="shared" si="606"/>
        <v>1615</v>
      </c>
      <c r="CW371" s="703">
        <f t="shared" si="607"/>
        <v>1620</v>
      </c>
      <c r="CX371" s="703">
        <f t="shared" si="608"/>
        <v>1620</v>
      </c>
      <c r="CY371" s="703">
        <f t="shared" si="609"/>
        <v>1639</v>
      </c>
      <c r="CZ371" s="703">
        <f t="shared" si="610"/>
        <v>1642</v>
      </c>
      <c r="DA371" s="703">
        <f t="shared" si="611"/>
        <v>1639</v>
      </c>
      <c r="DB371" s="703">
        <f t="shared" si="612"/>
        <v>1639</v>
      </c>
      <c r="DC371" s="703">
        <f t="shared" si="613"/>
        <v>1639</v>
      </c>
      <c r="DD371" s="703">
        <f t="shared" si="614"/>
        <v>1639</v>
      </c>
      <c r="DE371" s="703">
        <f t="shared" si="615"/>
        <v>1639</v>
      </c>
      <c r="DF371" s="703">
        <f t="shared" si="616"/>
        <v>1639</v>
      </c>
      <c r="DG371" s="1872">
        <f t="shared" si="617"/>
        <v>1639</v>
      </c>
      <c r="DH371" s="223"/>
      <c r="DI371" s="595"/>
      <c r="DJ371" s="595"/>
      <c r="DK371" s="595"/>
      <c r="DL371" s="595"/>
      <c r="DM371" s="595"/>
      <c r="DN371" s="514"/>
      <c r="DO371" s="226"/>
      <c r="DY371" s="231"/>
      <c r="DZ371" s="231"/>
    </row>
    <row r="372" spans="1:130" ht="12" customHeight="1">
      <c r="A372" s="552" t="s">
        <v>1302</v>
      </c>
      <c r="B372" s="228"/>
      <c r="C372" s="228"/>
      <c r="D372" s="3853">
        <v>0</v>
      </c>
      <c r="E372" s="1387">
        <v>1220</v>
      </c>
      <c r="F372" s="1387">
        <v>1220</v>
      </c>
      <c r="G372" s="1387">
        <v>1103</v>
      </c>
      <c r="H372" s="702">
        <f t="shared" si="698"/>
        <v>1103</v>
      </c>
      <c r="I372" s="703">
        <f>H372</f>
        <v>1103</v>
      </c>
      <c r="J372" s="703">
        <f t="shared" si="705"/>
        <v>1103</v>
      </c>
      <c r="K372" s="703">
        <f t="shared" si="705"/>
        <v>1103</v>
      </c>
      <c r="L372" s="1387">
        <v>1122</v>
      </c>
      <c r="M372" s="702">
        <f t="shared" si="699"/>
        <v>1122</v>
      </c>
      <c r="N372" s="703">
        <f>M372</f>
        <v>1122</v>
      </c>
      <c r="O372" s="703">
        <f t="shared" si="714"/>
        <v>1122</v>
      </c>
      <c r="P372" s="703">
        <f t="shared" si="714"/>
        <v>1122</v>
      </c>
      <c r="Q372" s="703">
        <v>1096</v>
      </c>
      <c r="R372" s="702">
        <f t="shared" si="700"/>
        <v>1096</v>
      </c>
      <c r="S372" s="703">
        <f t="shared" si="707"/>
        <v>1096</v>
      </c>
      <c r="T372" s="703">
        <f t="shared" si="707"/>
        <v>1096</v>
      </c>
      <c r="U372" s="703">
        <f>T372</f>
        <v>1096</v>
      </c>
      <c r="V372" s="1387">
        <v>1069</v>
      </c>
      <c r="W372" s="702">
        <f t="shared" si="701"/>
        <v>1069</v>
      </c>
      <c r="X372" s="703">
        <f t="shared" si="708"/>
        <v>1069</v>
      </c>
      <c r="Y372" s="703">
        <f t="shared" si="708"/>
        <v>1069</v>
      </c>
      <c r="Z372" s="703">
        <f>Y372</f>
        <v>1069</v>
      </c>
      <c r="AA372" s="1387">
        <v>1063</v>
      </c>
      <c r="AB372" s="702">
        <f t="shared" si="702"/>
        <v>1063</v>
      </c>
      <c r="AC372" s="703">
        <f t="shared" si="709"/>
        <v>1063</v>
      </c>
      <c r="AD372" s="703">
        <f t="shared" si="709"/>
        <v>1063</v>
      </c>
      <c r="AE372" s="703">
        <f>AD372</f>
        <v>1063</v>
      </c>
      <c r="AF372" s="1387">
        <v>1038</v>
      </c>
      <c r="AG372" s="702">
        <f>AF372</f>
        <v>1038</v>
      </c>
      <c r="AH372" s="703">
        <f t="shared" si="703"/>
        <v>1038</v>
      </c>
      <c r="AI372" s="703">
        <f t="shared" si="703"/>
        <v>1038</v>
      </c>
      <c r="AJ372" s="703">
        <f t="shared" si="703"/>
        <v>1038</v>
      </c>
      <c r="AK372" s="1387">
        <v>1044</v>
      </c>
      <c r="AL372" s="3849">
        <f t="shared" si="681"/>
        <v>1044</v>
      </c>
      <c r="AM372" s="703">
        <f t="shared" si="681"/>
        <v>1044</v>
      </c>
      <c r="AN372" s="703">
        <f t="shared" si="681"/>
        <v>1044</v>
      </c>
      <c r="AO372" s="703">
        <f t="shared" si="681"/>
        <v>1044</v>
      </c>
      <c r="AP372" s="1387">
        <v>1043</v>
      </c>
      <c r="AQ372" s="3849">
        <f t="shared" si="681"/>
        <v>1043</v>
      </c>
      <c r="AR372" s="703">
        <f t="shared" ref="AR372:BF372" si="719">AQ372</f>
        <v>1043</v>
      </c>
      <c r="AS372" s="703">
        <f t="shared" si="719"/>
        <v>1043</v>
      </c>
      <c r="AT372" s="703">
        <f t="shared" si="719"/>
        <v>1043</v>
      </c>
      <c r="AU372" s="1387">
        <v>1048</v>
      </c>
      <c r="AV372" s="3849">
        <f t="shared" si="719"/>
        <v>1048</v>
      </c>
      <c r="AW372" s="703">
        <f t="shared" si="719"/>
        <v>1048</v>
      </c>
      <c r="AX372" s="703">
        <f t="shared" si="719"/>
        <v>1048</v>
      </c>
      <c r="AY372" s="703">
        <f t="shared" si="719"/>
        <v>1048</v>
      </c>
      <c r="AZ372" s="1387">
        <v>1042</v>
      </c>
      <c r="BA372" s="3849">
        <f t="shared" si="683"/>
        <v>1042</v>
      </c>
      <c r="BB372" s="2748">
        <v>1038</v>
      </c>
      <c r="BC372" s="2748">
        <v>1038</v>
      </c>
      <c r="BD372" s="2748">
        <v>1016</v>
      </c>
      <c r="BE372" s="2748">
        <v>1016</v>
      </c>
      <c r="BF372" s="3849">
        <f t="shared" si="719"/>
        <v>1016</v>
      </c>
      <c r="BG372" s="3127">
        <v>1016</v>
      </c>
      <c r="BH372" s="3174">
        <v>1016</v>
      </c>
      <c r="BI372" s="3174">
        <v>1016</v>
      </c>
      <c r="BJ372" s="3174">
        <v>1016</v>
      </c>
      <c r="BK372" s="3849">
        <f>BJ372</f>
        <v>1016</v>
      </c>
      <c r="BL372" s="3174">
        <v>1016</v>
      </c>
      <c r="BM372" s="3174">
        <v>1016</v>
      </c>
      <c r="BN372" s="3174">
        <v>1016</v>
      </c>
      <c r="BO372" s="3174">
        <v>1016</v>
      </c>
      <c r="BP372" s="3849">
        <f t="shared" si="686"/>
        <v>1016</v>
      </c>
      <c r="BQ372" s="3174">
        <v>1016</v>
      </c>
      <c r="BR372" s="3174">
        <v>1016</v>
      </c>
      <c r="BS372" s="3172">
        <f t="shared" si="688"/>
        <v>1016</v>
      </c>
      <c r="BT372" s="3173">
        <f t="shared" si="688"/>
        <v>1016</v>
      </c>
      <c r="BU372" s="3850">
        <f t="shared" si="689"/>
        <v>1016</v>
      </c>
      <c r="BV372" s="3172">
        <f t="shared" si="690"/>
        <v>1016</v>
      </c>
      <c r="BW372" s="3172">
        <f t="shared" ref="BW372:BY372" si="720">BV372</f>
        <v>1016</v>
      </c>
      <c r="BX372" s="3172">
        <f t="shared" si="720"/>
        <v>1016</v>
      </c>
      <c r="BY372" s="3172">
        <f t="shared" si="720"/>
        <v>1016</v>
      </c>
      <c r="BZ372" s="3850">
        <f t="shared" si="691"/>
        <v>1016</v>
      </c>
      <c r="CA372" s="3852">
        <f t="shared" si="692"/>
        <v>1016</v>
      </c>
      <c r="CB372" s="3852">
        <f t="shared" si="692"/>
        <v>1016</v>
      </c>
      <c r="CC372" s="3852">
        <f t="shared" si="693"/>
        <v>1016</v>
      </c>
      <c r="CD372" s="3852">
        <f t="shared" si="694"/>
        <v>1016</v>
      </c>
      <c r="CE372" s="3852">
        <f t="shared" si="695"/>
        <v>1016</v>
      </c>
      <c r="CF372" s="3852">
        <f t="shared" si="696"/>
        <v>1016</v>
      </c>
      <c r="CG372" s="3852">
        <f t="shared" si="697"/>
        <v>1016</v>
      </c>
      <c r="CH372" s="709"/>
      <c r="CI372" s="709"/>
      <c r="CJ372" s="709"/>
      <c r="CK372" s="709"/>
      <c r="CL372" s="709"/>
      <c r="CM372" s="709"/>
      <c r="CN372" s="709"/>
      <c r="CO372" s="709"/>
      <c r="CP372" s="994" t="str">
        <f t="shared" si="600"/>
        <v>Sam's Town Shreveport (LA)</v>
      </c>
      <c r="CQ372" s="720">
        <f t="shared" si="601"/>
        <v>1103</v>
      </c>
      <c r="CR372" s="720">
        <f t="shared" si="602"/>
        <v>1122</v>
      </c>
      <c r="CS372" s="720">
        <f t="shared" si="603"/>
        <v>1096</v>
      </c>
      <c r="CT372" s="720">
        <f t="shared" si="604"/>
        <v>1069</v>
      </c>
      <c r="CU372" s="720">
        <f t="shared" si="605"/>
        <v>1063</v>
      </c>
      <c r="CV372" s="720">
        <f t="shared" si="606"/>
        <v>1038</v>
      </c>
      <c r="CW372" s="720">
        <f t="shared" si="607"/>
        <v>1044</v>
      </c>
      <c r="CX372" s="720">
        <f t="shared" si="608"/>
        <v>1043</v>
      </c>
      <c r="CY372" s="720">
        <f t="shared" si="609"/>
        <v>1048</v>
      </c>
      <c r="CZ372" s="720">
        <f t="shared" si="610"/>
        <v>1042</v>
      </c>
      <c r="DA372" s="720">
        <f t="shared" si="611"/>
        <v>1016</v>
      </c>
      <c r="DB372" s="720">
        <f t="shared" si="612"/>
        <v>1016</v>
      </c>
      <c r="DC372" s="720">
        <f t="shared" si="613"/>
        <v>1016</v>
      </c>
      <c r="DD372" s="720">
        <f t="shared" si="614"/>
        <v>1016</v>
      </c>
      <c r="DE372" s="720">
        <f t="shared" si="615"/>
        <v>1016</v>
      </c>
      <c r="DF372" s="720">
        <f t="shared" si="616"/>
        <v>1016</v>
      </c>
      <c r="DG372" s="1874">
        <f t="shared" si="617"/>
        <v>1016</v>
      </c>
      <c r="DH372" s="223"/>
      <c r="DI372" s="595"/>
      <c r="DJ372" s="595"/>
      <c r="DK372" s="595"/>
      <c r="DL372" s="595"/>
      <c r="DM372" s="595"/>
      <c r="DN372" s="514"/>
      <c r="DO372" s="226"/>
      <c r="DY372" s="231"/>
      <c r="DZ372" s="231"/>
    </row>
    <row r="373" spans="1:130" s="2252" customFormat="1" ht="12" customHeight="1">
      <c r="A373" s="552" t="s">
        <v>456</v>
      </c>
      <c r="B373" s="228"/>
      <c r="C373" s="228"/>
      <c r="D373" s="3853"/>
      <c r="E373" s="1387"/>
      <c r="F373" s="1387"/>
      <c r="G373" s="1387"/>
      <c r="H373" s="702"/>
      <c r="I373" s="703"/>
      <c r="J373" s="703"/>
      <c r="K373" s="703"/>
      <c r="L373" s="1387"/>
      <c r="M373" s="702"/>
      <c r="N373" s="703"/>
      <c r="O373" s="703"/>
      <c r="P373" s="703"/>
      <c r="Q373" s="703"/>
      <c r="R373" s="702"/>
      <c r="S373" s="703"/>
      <c r="T373" s="703"/>
      <c r="U373" s="703"/>
      <c r="V373" s="1387"/>
      <c r="W373" s="702"/>
      <c r="X373" s="703"/>
      <c r="Y373" s="703"/>
      <c r="Z373" s="703"/>
      <c r="AA373" s="1387"/>
      <c r="AB373" s="702"/>
      <c r="AC373" s="703"/>
      <c r="AD373" s="703"/>
      <c r="AE373" s="703"/>
      <c r="AF373" s="1387"/>
      <c r="AG373" s="702"/>
      <c r="AH373" s="703"/>
      <c r="AI373" s="703"/>
      <c r="AJ373" s="703"/>
      <c r="AK373" s="1387"/>
      <c r="AL373" s="3849"/>
      <c r="AM373" s="722">
        <v>987</v>
      </c>
      <c r="AN373" s="722">
        <v>985</v>
      </c>
      <c r="AO373" s="722">
        <v>985</v>
      </c>
      <c r="AP373" s="722">
        <v>986</v>
      </c>
      <c r="AQ373" s="1076">
        <f>+AVERAGE(AM373:AP373)</f>
        <v>985.75</v>
      </c>
      <c r="AR373" s="722">
        <v>992</v>
      </c>
      <c r="AS373" s="722">
        <v>991</v>
      </c>
      <c r="AT373" s="722">
        <v>992</v>
      </c>
      <c r="AU373" s="722">
        <v>992</v>
      </c>
      <c r="AV373" s="1076">
        <f>+AVERAGE(AR373:AU373)</f>
        <v>991.75</v>
      </c>
      <c r="AW373" s="705">
        <f>+AU373</f>
        <v>992</v>
      </c>
      <c r="AX373" s="705">
        <f t="shared" ref="AX373:AY377" si="721">+AW373</f>
        <v>992</v>
      </c>
      <c r="AY373" s="705">
        <f t="shared" si="721"/>
        <v>992</v>
      </c>
      <c r="AZ373" s="722">
        <v>996</v>
      </c>
      <c r="BA373" s="1076">
        <f>+AVERAGE(AW373:AZ373)</f>
        <v>993</v>
      </c>
      <c r="BB373" s="2744">
        <v>997</v>
      </c>
      <c r="BC373" s="2744">
        <v>999</v>
      </c>
      <c r="BD373" s="2744">
        <v>1000</v>
      </c>
      <c r="BE373" s="2744">
        <v>1002</v>
      </c>
      <c r="BF373" s="1076">
        <f>+AVERAGE(BB373:BE373)</f>
        <v>999.5</v>
      </c>
      <c r="BG373" s="3127">
        <v>999</v>
      </c>
      <c r="BH373" s="3174">
        <v>995</v>
      </c>
      <c r="BI373" s="3174">
        <v>997</v>
      </c>
      <c r="BJ373" s="3174">
        <v>992</v>
      </c>
      <c r="BK373" s="1076">
        <f>+AVERAGE(BG373:BJ373)</f>
        <v>995.75</v>
      </c>
      <c r="BL373" s="3174">
        <v>989</v>
      </c>
      <c r="BM373" s="3174">
        <v>990</v>
      </c>
      <c r="BN373" s="3174">
        <v>983</v>
      </c>
      <c r="BO373" s="3174">
        <v>963</v>
      </c>
      <c r="BP373" s="1076">
        <f>+AVERAGE(BL373:BO373)</f>
        <v>981.25</v>
      </c>
      <c r="BQ373" s="3174">
        <v>949</v>
      </c>
      <c r="BR373" s="3174">
        <v>914</v>
      </c>
      <c r="BS373" s="3172">
        <f t="shared" ref="BS373:BT377" si="722">+BR373</f>
        <v>914</v>
      </c>
      <c r="BT373" s="3173">
        <f t="shared" si="722"/>
        <v>914</v>
      </c>
      <c r="BU373" s="3850">
        <f>+AVERAGE(BQ373:BT373)</f>
        <v>922.75</v>
      </c>
      <c r="BV373" s="3172">
        <f t="shared" si="690"/>
        <v>922.75</v>
      </c>
      <c r="BW373" s="3172">
        <f t="shared" ref="BW373:BY373" si="723">BV373</f>
        <v>922.75</v>
      </c>
      <c r="BX373" s="3172">
        <f t="shared" si="723"/>
        <v>922.75</v>
      </c>
      <c r="BY373" s="3172">
        <f t="shared" si="723"/>
        <v>922.75</v>
      </c>
      <c r="BZ373" s="3850">
        <f>+AVERAGE(BV373:BY373)</f>
        <v>922.75</v>
      </c>
      <c r="CA373" s="3852">
        <f t="shared" ref="CA373:CA375" si="724">+BZ373</f>
        <v>922.75</v>
      </c>
      <c r="CB373" s="3852">
        <f t="shared" ref="CB373:CB375" si="725">+CA373</f>
        <v>922.75</v>
      </c>
      <c r="CC373" s="3859">
        <f t="shared" ref="CC373:CC375" si="726">+CB373</f>
        <v>922.75</v>
      </c>
      <c r="CD373" s="3859">
        <f t="shared" ref="CD373:CD375" si="727">+CC373</f>
        <v>922.75</v>
      </c>
      <c r="CE373" s="3859">
        <f t="shared" ref="CE373:CE375" si="728">+CD373</f>
        <v>922.75</v>
      </c>
      <c r="CF373" s="3859">
        <f t="shared" ref="CF373:CF375" si="729">+CE373</f>
        <v>922.75</v>
      </c>
      <c r="CG373" s="3859">
        <f t="shared" ref="CG373:CG375" si="730">+CF373</f>
        <v>922.75</v>
      </c>
      <c r="CH373" s="709"/>
      <c r="CI373" s="709"/>
      <c r="CJ373" s="709"/>
      <c r="CK373" s="709"/>
      <c r="CL373" s="709"/>
      <c r="CM373" s="709"/>
      <c r="CN373" s="709"/>
      <c r="CO373" s="709"/>
      <c r="CP373" s="994"/>
      <c r="CQ373" s="720"/>
      <c r="CR373" s="720"/>
      <c r="CS373" s="720"/>
      <c r="CT373" s="720"/>
      <c r="CU373" s="720"/>
      <c r="CV373" s="720"/>
      <c r="CW373" s="720"/>
      <c r="CX373" s="720"/>
      <c r="CY373" s="720"/>
      <c r="CZ373" s="720"/>
      <c r="DA373" s="720"/>
      <c r="DB373" s="720"/>
      <c r="DC373" s="720"/>
      <c r="DD373" s="720"/>
      <c r="DE373" s="720"/>
      <c r="DF373" s="720"/>
      <c r="DG373" s="1874"/>
      <c r="DH373" s="223"/>
      <c r="DI373" s="595"/>
      <c r="DJ373" s="595"/>
      <c r="DK373" s="595"/>
      <c r="DL373" s="595"/>
      <c r="DM373" s="595"/>
      <c r="DN373" s="514"/>
      <c r="DO373" s="77"/>
      <c r="DP373"/>
      <c r="DQ373"/>
      <c r="DR373"/>
      <c r="DS373"/>
      <c r="DT373"/>
      <c r="DU373"/>
      <c r="DY373" s="231"/>
      <c r="DZ373" s="231"/>
    </row>
    <row r="374" spans="1:130" s="2252" customFormat="1" ht="12" customHeight="1">
      <c r="A374" s="552" t="s">
        <v>457</v>
      </c>
      <c r="B374" s="228"/>
      <c r="C374" s="228"/>
      <c r="D374" s="3853"/>
      <c r="E374" s="1387"/>
      <c r="F374" s="1387"/>
      <c r="G374" s="1387"/>
      <c r="H374" s="702"/>
      <c r="I374" s="703"/>
      <c r="J374" s="703"/>
      <c r="K374" s="703"/>
      <c r="L374" s="1387"/>
      <c r="M374" s="702"/>
      <c r="N374" s="703"/>
      <c r="O374" s="703"/>
      <c r="P374" s="703"/>
      <c r="Q374" s="703"/>
      <c r="R374" s="702"/>
      <c r="S374" s="703"/>
      <c r="T374" s="703"/>
      <c r="U374" s="703"/>
      <c r="V374" s="1387"/>
      <c r="W374" s="702"/>
      <c r="X374" s="703"/>
      <c r="Y374" s="703"/>
      <c r="Z374" s="703"/>
      <c r="AA374" s="1387"/>
      <c r="AB374" s="702"/>
      <c r="AC374" s="703"/>
      <c r="AD374" s="703"/>
      <c r="AE374" s="703"/>
      <c r="AF374" s="1387"/>
      <c r="AG374" s="702"/>
      <c r="AH374" s="703"/>
      <c r="AI374" s="703"/>
      <c r="AJ374" s="703"/>
      <c r="AK374" s="1387"/>
      <c r="AL374" s="3849"/>
      <c r="AM374" s="722">
        <v>968</v>
      </c>
      <c r="AN374" s="722">
        <v>968</v>
      </c>
      <c r="AO374" s="722">
        <v>968</v>
      </c>
      <c r="AP374" s="722">
        <v>972</v>
      </c>
      <c r="AQ374" s="1076">
        <f>+AVERAGE(AM374:AP374)</f>
        <v>969</v>
      </c>
      <c r="AR374" s="722">
        <v>974</v>
      </c>
      <c r="AS374" s="722">
        <v>988</v>
      </c>
      <c r="AT374" s="722">
        <v>988</v>
      </c>
      <c r="AU374" s="722">
        <v>988</v>
      </c>
      <c r="AV374" s="1076">
        <f>+AVERAGE(AR374:AU374)</f>
        <v>984.5</v>
      </c>
      <c r="AW374" s="705">
        <f>+AU374</f>
        <v>988</v>
      </c>
      <c r="AX374" s="705">
        <f t="shared" si="721"/>
        <v>988</v>
      </c>
      <c r="AY374" s="705">
        <f t="shared" si="721"/>
        <v>988</v>
      </c>
      <c r="AZ374" s="722">
        <v>1002</v>
      </c>
      <c r="BA374" s="1076">
        <f>+AVERAGE(AW374:AZ374)</f>
        <v>991.5</v>
      </c>
      <c r="BB374" s="2744">
        <v>1002</v>
      </c>
      <c r="BC374" s="2744">
        <v>1002</v>
      </c>
      <c r="BD374" s="2744">
        <v>979</v>
      </c>
      <c r="BE374" s="2744">
        <v>1001</v>
      </c>
      <c r="BF374" s="1076">
        <f>+AVERAGE(BB374:BE374)</f>
        <v>996</v>
      </c>
      <c r="BG374" s="3127">
        <v>1002</v>
      </c>
      <c r="BH374" s="3174">
        <v>990</v>
      </c>
      <c r="BI374" s="3174">
        <v>997</v>
      </c>
      <c r="BJ374" s="3174">
        <v>994</v>
      </c>
      <c r="BK374" s="1076">
        <f>+AVERAGE(BG374:BJ374)</f>
        <v>995.75</v>
      </c>
      <c r="BL374" s="3174">
        <v>1003</v>
      </c>
      <c r="BM374" s="3174">
        <v>1009</v>
      </c>
      <c r="BN374" s="3174">
        <v>998</v>
      </c>
      <c r="BO374" s="3174">
        <v>965</v>
      </c>
      <c r="BP374" s="1076">
        <f>+AVERAGE(BL374:BO374)</f>
        <v>993.75</v>
      </c>
      <c r="BQ374" s="3174">
        <v>955</v>
      </c>
      <c r="BR374" s="3174">
        <v>937</v>
      </c>
      <c r="BS374" s="3172">
        <f t="shared" si="722"/>
        <v>937</v>
      </c>
      <c r="BT374" s="3173">
        <f t="shared" si="722"/>
        <v>937</v>
      </c>
      <c r="BU374" s="3850">
        <f>+AVERAGE(BQ374:BT374)</f>
        <v>941.5</v>
      </c>
      <c r="BV374" s="3172">
        <f t="shared" si="690"/>
        <v>941.5</v>
      </c>
      <c r="BW374" s="3172">
        <f t="shared" ref="BW374:BY374" si="731">BV374</f>
        <v>941.5</v>
      </c>
      <c r="BX374" s="3172">
        <f t="shared" si="731"/>
        <v>941.5</v>
      </c>
      <c r="BY374" s="3172">
        <f t="shared" si="731"/>
        <v>941.5</v>
      </c>
      <c r="BZ374" s="3850">
        <f>+AVERAGE(BV374:BY374)</f>
        <v>941.5</v>
      </c>
      <c r="CA374" s="3852">
        <f t="shared" si="724"/>
        <v>941.5</v>
      </c>
      <c r="CB374" s="3852">
        <f t="shared" si="725"/>
        <v>941.5</v>
      </c>
      <c r="CC374" s="3859">
        <f t="shared" si="726"/>
        <v>941.5</v>
      </c>
      <c r="CD374" s="3859">
        <f t="shared" si="727"/>
        <v>941.5</v>
      </c>
      <c r="CE374" s="3859">
        <f t="shared" si="728"/>
        <v>941.5</v>
      </c>
      <c r="CF374" s="3859">
        <f t="shared" si="729"/>
        <v>941.5</v>
      </c>
      <c r="CG374" s="3859">
        <f t="shared" si="730"/>
        <v>941.5</v>
      </c>
      <c r="CH374" s="709"/>
      <c r="CI374" s="709"/>
      <c r="CJ374" s="709"/>
      <c r="CK374" s="709"/>
      <c r="CL374" s="709"/>
      <c r="CM374" s="709"/>
      <c r="CN374" s="709"/>
      <c r="CO374" s="709"/>
      <c r="CP374" s="994"/>
      <c r="CQ374" s="720"/>
      <c r="CR374" s="720"/>
      <c r="CS374" s="720"/>
      <c r="CT374" s="720"/>
      <c r="CU374" s="720"/>
      <c r="CV374" s="720"/>
      <c r="CW374" s="720"/>
      <c r="CX374" s="720"/>
      <c r="CY374" s="720"/>
      <c r="CZ374" s="720"/>
      <c r="DA374" s="720"/>
      <c r="DB374" s="720"/>
      <c r="DC374" s="720"/>
      <c r="DD374" s="720"/>
      <c r="DE374" s="720"/>
      <c r="DF374" s="720"/>
      <c r="DG374" s="1874"/>
      <c r="DH374" s="223"/>
      <c r="DI374" s="595"/>
      <c r="DJ374" s="595"/>
      <c r="DK374" s="595"/>
      <c r="DL374" s="595"/>
      <c r="DM374" s="595"/>
      <c r="DN374" s="514"/>
      <c r="DO374" s="77"/>
      <c r="DP374"/>
      <c r="DQ374"/>
      <c r="DR374"/>
      <c r="DS374"/>
      <c r="DT374"/>
      <c r="DU374"/>
      <c r="DY374" s="231"/>
      <c r="DZ374" s="231"/>
    </row>
    <row r="375" spans="1:130" s="2252" customFormat="1" ht="12" customHeight="1">
      <c r="A375" s="552" t="s">
        <v>458</v>
      </c>
      <c r="B375" s="228"/>
      <c r="C375" s="228"/>
      <c r="D375" s="3853"/>
      <c r="E375" s="1387"/>
      <c r="F375" s="1387"/>
      <c r="G375" s="1387"/>
      <c r="H375" s="702"/>
      <c r="I375" s="703"/>
      <c r="J375" s="703"/>
      <c r="K375" s="703"/>
      <c r="L375" s="1387"/>
      <c r="M375" s="702"/>
      <c r="N375" s="703"/>
      <c r="O375" s="703"/>
      <c r="P375" s="703"/>
      <c r="Q375" s="703"/>
      <c r="R375" s="702"/>
      <c r="S375" s="703"/>
      <c r="T375" s="703"/>
      <c r="U375" s="703"/>
      <c r="V375" s="1387"/>
      <c r="W375" s="702"/>
      <c r="X375" s="703"/>
      <c r="Y375" s="703"/>
      <c r="Z375" s="703"/>
      <c r="AA375" s="1387"/>
      <c r="AB375" s="702"/>
      <c r="AC375" s="703"/>
      <c r="AD375" s="703"/>
      <c r="AE375" s="703"/>
      <c r="AF375" s="1387"/>
      <c r="AG375" s="702"/>
      <c r="AH375" s="703"/>
      <c r="AI375" s="703"/>
      <c r="AJ375" s="703"/>
      <c r="AK375" s="1387"/>
      <c r="AL375" s="3849"/>
      <c r="AM375" s="722">
        <v>1424</v>
      </c>
      <c r="AN375" s="722">
        <f>+AM375</f>
        <v>1424</v>
      </c>
      <c r="AO375" s="722">
        <f>+AN375</f>
        <v>1424</v>
      </c>
      <c r="AP375" s="722">
        <f>+AO375</f>
        <v>1424</v>
      </c>
      <c r="AQ375" s="1076">
        <f>+AVERAGE(AM375:AP375)</f>
        <v>1424</v>
      </c>
      <c r="AR375" s="722">
        <f>+AP375</f>
        <v>1424</v>
      </c>
      <c r="AS375" s="722">
        <f>+AR375</f>
        <v>1424</v>
      </c>
      <c r="AT375" s="722">
        <f>+AS375</f>
        <v>1424</v>
      </c>
      <c r="AU375" s="722">
        <f>+AT375</f>
        <v>1424</v>
      </c>
      <c r="AV375" s="1076">
        <f>+AVERAGE(AR375:AU375)</f>
        <v>1424</v>
      </c>
      <c r="AW375" s="705">
        <f>+AU375</f>
        <v>1424</v>
      </c>
      <c r="AX375" s="705">
        <f t="shared" si="721"/>
        <v>1424</v>
      </c>
      <c r="AY375" s="705">
        <f t="shared" si="721"/>
        <v>1424</v>
      </c>
      <c r="AZ375" s="722">
        <v>1424</v>
      </c>
      <c r="BA375" s="1076">
        <f>+AVERAGE(AW375:AZ375)</f>
        <v>1424</v>
      </c>
      <c r="BB375" s="2744">
        <v>1373</v>
      </c>
      <c r="BC375" s="2744">
        <v>1373</v>
      </c>
      <c r="BD375" s="2744">
        <v>1373</v>
      </c>
      <c r="BE375" s="2744">
        <v>1373</v>
      </c>
      <c r="BF375" s="1076">
        <f>+AVERAGE(BB375:BE375)</f>
        <v>1373</v>
      </c>
      <c r="BG375" s="3127">
        <v>1373</v>
      </c>
      <c r="BH375" s="3174">
        <v>1373</v>
      </c>
      <c r="BI375" s="3174">
        <v>1373</v>
      </c>
      <c r="BJ375" s="3174">
        <v>1373</v>
      </c>
      <c r="BK375" s="1076">
        <f>+AVERAGE(BG375:BJ375)</f>
        <v>1373</v>
      </c>
      <c r="BL375" s="3174">
        <v>1373</v>
      </c>
      <c r="BM375" s="3174">
        <v>1373</v>
      </c>
      <c r="BN375" s="3174">
        <v>998</v>
      </c>
      <c r="BO375" s="3174">
        <v>998</v>
      </c>
      <c r="BP375" s="1076">
        <f>+AVERAGE(BL375:BO375)</f>
        <v>1185.5</v>
      </c>
      <c r="BQ375" s="3174">
        <v>998</v>
      </c>
      <c r="BR375" s="3174">
        <v>1373</v>
      </c>
      <c r="BS375" s="3172">
        <f t="shared" si="722"/>
        <v>1373</v>
      </c>
      <c r="BT375" s="3173">
        <f t="shared" si="722"/>
        <v>1373</v>
      </c>
      <c r="BU375" s="3850">
        <f>+AVERAGE(BQ375:BT375)</f>
        <v>1279.25</v>
      </c>
      <c r="BV375" s="3172">
        <f t="shared" si="690"/>
        <v>1279.25</v>
      </c>
      <c r="BW375" s="3172">
        <f t="shared" ref="BW375:BY375" si="732">BV375</f>
        <v>1279.25</v>
      </c>
      <c r="BX375" s="3172">
        <f t="shared" si="732"/>
        <v>1279.25</v>
      </c>
      <c r="BY375" s="3172">
        <f t="shared" si="732"/>
        <v>1279.25</v>
      </c>
      <c r="BZ375" s="3850">
        <f>+AVERAGE(BV375:BY375)</f>
        <v>1279.25</v>
      </c>
      <c r="CA375" s="3852">
        <f t="shared" si="724"/>
        <v>1279.25</v>
      </c>
      <c r="CB375" s="3852">
        <f t="shared" si="725"/>
        <v>1279.25</v>
      </c>
      <c r="CC375" s="3859">
        <f t="shared" si="726"/>
        <v>1279.25</v>
      </c>
      <c r="CD375" s="3859">
        <f t="shared" si="727"/>
        <v>1279.25</v>
      </c>
      <c r="CE375" s="3859">
        <f t="shared" si="728"/>
        <v>1279.25</v>
      </c>
      <c r="CF375" s="3859">
        <f t="shared" si="729"/>
        <v>1279.25</v>
      </c>
      <c r="CG375" s="3859">
        <f t="shared" si="730"/>
        <v>1279.25</v>
      </c>
      <c r="CH375" s="709"/>
      <c r="CI375" s="709"/>
      <c r="CJ375" s="709"/>
      <c r="CK375" s="709"/>
      <c r="CL375" s="709"/>
      <c r="CM375" s="709"/>
      <c r="CN375" s="709"/>
      <c r="CO375" s="709"/>
      <c r="CP375" s="994"/>
      <c r="CQ375" s="720"/>
      <c r="CR375" s="720"/>
      <c r="CS375" s="720"/>
      <c r="CT375" s="720"/>
      <c r="CU375" s="720"/>
      <c r="CV375" s="720"/>
      <c r="CW375" s="720"/>
      <c r="CX375" s="720"/>
      <c r="CY375" s="720"/>
      <c r="CZ375" s="720"/>
      <c r="DA375" s="720"/>
      <c r="DB375" s="720"/>
      <c r="DC375" s="720"/>
      <c r="DD375" s="720"/>
      <c r="DE375" s="720"/>
      <c r="DF375" s="720"/>
      <c r="DG375" s="1874"/>
      <c r="DH375" s="223"/>
      <c r="DI375" s="595"/>
      <c r="DJ375" s="595"/>
      <c r="DK375" s="595"/>
      <c r="DL375" s="595"/>
      <c r="DM375" s="595"/>
      <c r="DN375" s="514"/>
      <c r="DO375" s="77"/>
      <c r="DP375"/>
      <c r="DQ375"/>
      <c r="DR375"/>
      <c r="DS375"/>
      <c r="DT375"/>
      <c r="DU375"/>
      <c r="DY375" s="231"/>
      <c r="DZ375" s="231"/>
    </row>
    <row r="376" spans="1:130" s="2252" customFormat="1" ht="12" customHeight="1">
      <c r="A376" s="552" t="s">
        <v>460</v>
      </c>
      <c r="B376" s="228"/>
      <c r="C376" s="228"/>
      <c r="D376" s="3853"/>
      <c r="E376" s="1387"/>
      <c r="F376" s="1387"/>
      <c r="G376" s="1387"/>
      <c r="H376" s="702"/>
      <c r="I376" s="703"/>
      <c r="J376" s="703"/>
      <c r="K376" s="703"/>
      <c r="L376" s="1387"/>
      <c r="M376" s="702"/>
      <c r="N376" s="703"/>
      <c r="O376" s="703"/>
      <c r="P376" s="703"/>
      <c r="Q376" s="703"/>
      <c r="R376" s="702"/>
      <c r="S376" s="703"/>
      <c r="T376" s="703"/>
      <c r="U376" s="703"/>
      <c r="V376" s="1387"/>
      <c r="W376" s="702"/>
      <c r="X376" s="703"/>
      <c r="Y376" s="703"/>
      <c r="Z376" s="703"/>
      <c r="AA376" s="1387"/>
      <c r="AB376" s="702"/>
      <c r="AC376" s="703"/>
      <c r="AD376" s="703"/>
      <c r="AE376" s="703"/>
      <c r="AF376" s="1387"/>
      <c r="AG376" s="702"/>
      <c r="AH376" s="703"/>
      <c r="AI376" s="703"/>
      <c r="AJ376" s="703"/>
      <c r="AK376" s="1387"/>
      <c r="AL376" s="3849"/>
      <c r="AM376" s="722">
        <v>842</v>
      </c>
      <c r="AN376" s="722">
        <f t="shared" ref="AN376" si="733">+AM376</f>
        <v>842</v>
      </c>
      <c r="AO376" s="722">
        <f t="shared" ref="AO376" si="734">+AN376</f>
        <v>842</v>
      </c>
      <c r="AP376" s="722">
        <f t="shared" ref="AP376" si="735">+AO376</f>
        <v>842</v>
      </c>
      <c r="AQ376" s="1076">
        <f>+AVERAGE(AM376:AP376)</f>
        <v>842</v>
      </c>
      <c r="AR376" s="722">
        <v>838</v>
      </c>
      <c r="AS376" s="722">
        <f>+AR376</f>
        <v>838</v>
      </c>
      <c r="AT376" s="722">
        <f>+AS376</f>
        <v>838</v>
      </c>
      <c r="AU376" s="722">
        <v>838</v>
      </c>
      <c r="AV376" s="1076">
        <f>+AVERAGE(AR376:AU376)</f>
        <v>838</v>
      </c>
      <c r="AW376" s="705">
        <f>+AU376</f>
        <v>838</v>
      </c>
      <c r="AX376" s="705">
        <f t="shared" si="721"/>
        <v>838</v>
      </c>
      <c r="AY376" s="705">
        <f t="shared" si="721"/>
        <v>838</v>
      </c>
      <c r="AZ376" s="722">
        <v>838</v>
      </c>
      <c r="BA376" s="1076">
        <f>+AVERAGE(AW376:AZ376)</f>
        <v>838</v>
      </c>
      <c r="BB376" s="2744">
        <v>788</v>
      </c>
      <c r="BC376" s="2744">
        <v>788</v>
      </c>
      <c r="BD376" s="2744">
        <v>788</v>
      </c>
      <c r="BE376" s="2744">
        <v>788</v>
      </c>
      <c r="BF376" s="1076">
        <f>+AVERAGE(BB376:BE376)</f>
        <v>788</v>
      </c>
      <c r="BG376" s="3127">
        <v>838</v>
      </c>
      <c r="BH376" s="3174">
        <v>838</v>
      </c>
      <c r="BI376" s="3174">
        <v>838</v>
      </c>
      <c r="BJ376" s="3174">
        <v>838</v>
      </c>
      <c r="BK376" s="1076">
        <f>+AVERAGE(BG376:BJ376)</f>
        <v>838</v>
      </c>
      <c r="BL376" s="3174">
        <v>838</v>
      </c>
      <c r="BM376" s="3174">
        <v>838</v>
      </c>
      <c r="BN376" s="3174">
        <v>838</v>
      </c>
      <c r="BO376" s="3174">
        <v>838</v>
      </c>
      <c r="BP376" s="1076">
        <f>+AVERAGE(BL376:BO376)</f>
        <v>838</v>
      </c>
      <c r="BQ376" s="3174">
        <v>838</v>
      </c>
      <c r="BR376" s="3174">
        <v>838</v>
      </c>
      <c r="BS376" s="3172">
        <f t="shared" si="722"/>
        <v>838</v>
      </c>
      <c r="BT376" s="3173">
        <f t="shared" si="722"/>
        <v>838</v>
      </c>
      <c r="BU376" s="3850">
        <f>+AVERAGE(BQ376:BT376)</f>
        <v>838</v>
      </c>
      <c r="BV376" s="3172">
        <f t="shared" si="690"/>
        <v>838</v>
      </c>
      <c r="BW376" s="3172">
        <f t="shared" ref="BW376:BY376" si="736">BV376</f>
        <v>838</v>
      </c>
      <c r="BX376" s="3172">
        <f t="shared" si="736"/>
        <v>838</v>
      </c>
      <c r="BY376" s="3172">
        <f t="shared" si="736"/>
        <v>838</v>
      </c>
      <c r="BZ376" s="3850">
        <f>+AVERAGE(BV376:BY376)</f>
        <v>838</v>
      </c>
      <c r="CA376" s="3852">
        <f t="shared" ref="CA376" si="737">+BZ376</f>
        <v>838</v>
      </c>
      <c r="CB376" s="3852">
        <f t="shared" ref="CB376" si="738">+CA376</f>
        <v>838</v>
      </c>
      <c r="CC376" s="3859">
        <f t="shared" ref="CC376" si="739">+CB376</f>
        <v>838</v>
      </c>
      <c r="CD376" s="3859">
        <f t="shared" ref="CD376" si="740">+CC376</f>
        <v>838</v>
      </c>
      <c r="CE376" s="3859">
        <f t="shared" ref="CE376" si="741">+CD376</f>
        <v>838</v>
      </c>
      <c r="CF376" s="3859">
        <f t="shared" ref="CF376" si="742">+CE376</f>
        <v>838</v>
      </c>
      <c r="CG376" s="3859">
        <f t="shared" ref="CG376" si="743">+CF376</f>
        <v>838</v>
      </c>
      <c r="CH376" s="709"/>
      <c r="CI376" s="709"/>
      <c r="CJ376" s="709"/>
      <c r="CK376" s="709"/>
      <c r="CL376" s="709"/>
      <c r="CM376" s="709"/>
      <c r="CN376" s="709"/>
      <c r="CO376" s="709"/>
      <c r="CP376" s="994"/>
      <c r="CQ376" s="720"/>
      <c r="CR376" s="720"/>
      <c r="CS376" s="720"/>
      <c r="CT376" s="720"/>
      <c r="CU376" s="720"/>
      <c r="CV376" s="720"/>
      <c r="CW376" s="720"/>
      <c r="CX376" s="720"/>
      <c r="CY376" s="720"/>
      <c r="CZ376" s="720"/>
      <c r="DA376" s="720"/>
      <c r="DB376" s="720"/>
      <c r="DC376" s="720"/>
      <c r="DD376" s="720"/>
      <c r="DE376" s="720"/>
      <c r="DF376" s="720"/>
      <c r="DG376" s="1874"/>
      <c r="DH376" s="223"/>
      <c r="DI376" s="595"/>
      <c r="DJ376" s="595"/>
      <c r="DK376" s="595"/>
      <c r="DL376" s="595"/>
      <c r="DM376" s="595"/>
      <c r="DN376" s="514"/>
      <c r="DO376" s="77"/>
      <c r="DP376"/>
      <c r="DQ376"/>
      <c r="DR376"/>
      <c r="DS376"/>
      <c r="DT376"/>
      <c r="DU376"/>
      <c r="DY376" s="231"/>
      <c r="DZ376" s="231"/>
    </row>
    <row r="377" spans="1:130" s="2252" customFormat="1" ht="12" customHeight="1">
      <c r="A377" s="552" t="s">
        <v>459</v>
      </c>
      <c r="B377" s="228"/>
      <c r="C377" s="228"/>
      <c r="D377" s="3853"/>
      <c r="E377" s="1387"/>
      <c r="F377" s="1387"/>
      <c r="G377" s="1387"/>
      <c r="H377" s="702"/>
      <c r="I377" s="703"/>
      <c r="J377" s="703"/>
      <c r="K377" s="703"/>
      <c r="L377" s="1387"/>
      <c r="M377" s="702"/>
      <c r="N377" s="703"/>
      <c r="O377" s="703"/>
      <c r="P377" s="703"/>
      <c r="Q377" s="703"/>
      <c r="R377" s="702"/>
      <c r="S377" s="703"/>
      <c r="T377" s="703"/>
      <c r="U377" s="703"/>
      <c r="V377" s="1387"/>
      <c r="W377" s="702"/>
      <c r="X377" s="703"/>
      <c r="Y377" s="703"/>
      <c r="Z377" s="703"/>
      <c r="AA377" s="1387"/>
      <c r="AB377" s="702"/>
      <c r="AC377" s="703"/>
      <c r="AD377" s="703"/>
      <c r="AE377" s="703"/>
      <c r="AF377" s="1387"/>
      <c r="AG377" s="702"/>
      <c r="AH377" s="703"/>
      <c r="AI377" s="703"/>
      <c r="AJ377" s="703"/>
      <c r="AK377" s="1387"/>
      <c r="AL377" s="3849"/>
      <c r="AM377" s="722"/>
      <c r="AN377" s="722"/>
      <c r="AO377" s="722"/>
      <c r="AP377" s="722">
        <v>1411</v>
      </c>
      <c r="AQ377" s="1076"/>
      <c r="AR377" s="722">
        <v>1411</v>
      </c>
      <c r="AS377" s="722">
        <f>+AR377</f>
        <v>1411</v>
      </c>
      <c r="AT377" s="722">
        <f>+AS377</f>
        <v>1411</v>
      </c>
      <c r="AU377" s="722">
        <v>1829</v>
      </c>
      <c r="AV377" s="1076">
        <f>+AVERAGE(AR377:AU377)</f>
        <v>1515.5</v>
      </c>
      <c r="AW377" s="705">
        <f>+AT377+425</f>
        <v>1836</v>
      </c>
      <c r="AX377" s="705">
        <f t="shared" si="721"/>
        <v>1836</v>
      </c>
      <c r="AY377" s="705">
        <f t="shared" si="721"/>
        <v>1836</v>
      </c>
      <c r="AZ377" s="722">
        <v>1854</v>
      </c>
      <c r="BA377" s="1076">
        <f>+AVERAGE(AW377:AZ377)</f>
        <v>1840.5</v>
      </c>
      <c r="BB377" s="2744">
        <v>1411</v>
      </c>
      <c r="BC377" s="2744">
        <v>1411</v>
      </c>
      <c r="BD377" s="2744">
        <v>1411</v>
      </c>
      <c r="BE377" s="2744">
        <v>1411</v>
      </c>
      <c r="BF377" s="1076">
        <f>+AVERAGE(BB377:BE377)</f>
        <v>1411</v>
      </c>
      <c r="BG377" s="3127">
        <v>1411</v>
      </c>
      <c r="BH377" s="3174">
        <v>1411</v>
      </c>
      <c r="BI377" s="3174">
        <v>1411</v>
      </c>
      <c r="BJ377" s="3174">
        <v>1411</v>
      </c>
      <c r="BK377" s="1076">
        <f>+AVERAGE(BG377:BJ377)</f>
        <v>1411</v>
      </c>
      <c r="BL377" s="3174">
        <v>1411</v>
      </c>
      <c r="BM377" s="3174">
        <v>1411</v>
      </c>
      <c r="BN377" s="3174">
        <v>1411</v>
      </c>
      <c r="BO377" s="3174">
        <v>1411</v>
      </c>
      <c r="BP377" s="1076">
        <f>+AVERAGE(BL377:BO377)</f>
        <v>1411</v>
      </c>
      <c r="BQ377" s="3174">
        <v>1411</v>
      </c>
      <c r="BR377" s="3174">
        <v>1411</v>
      </c>
      <c r="BS377" s="3172">
        <f t="shared" si="722"/>
        <v>1411</v>
      </c>
      <c r="BT377" s="3173">
        <f t="shared" si="722"/>
        <v>1411</v>
      </c>
      <c r="BU377" s="3850">
        <f>+AVERAGE(BQ377:BT377)</f>
        <v>1411</v>
      </c>
      <c r="BV377" s="3172">
        <f t="shared" si="690"/>
        <v>1411</v>
      </c>
      <c r="BW377" s="3172">
        <f t="shared" ref="BW377:BY377" si="744">BV377</f>
        <v>1411</v>
      </c>
      <c r="BX377" s="3172">
        <f t="shared" si="744"/>
        <v>1411</v>
      </c>
      <c r="BY377" s="3172">
        <f t="shared" si="744"/>
        <v>1411</v>
      </c>
      <c r="BZ377" s="3850">
        <f>+AVERAGE(BV377:BY377)</f>
        <v>1411</v>
      </c>
      <c r="CA377" s="3852">
        <f t="shared" ref="CA377" si="745">+BZ377</f>
        <v>1411</v>
      </c>
      <c r="CB377" s="3852">
        <f t="shared" ref="CB377" si="746">+CA377</f>
        <v>1411</v>
      </c>
      <c r="CC377" s="3859">
        <f t="shared" ref="CC377" si="747">+CB377</f>
        <v>1411</v>
      </c>
      <c r="CD377" s="3859">
        <f t="shared" ref="CD377" si="748">+CC377</f>
        <v>1411</v>
      </c>
      <c r="CE377" s="3859">
        <f t="shared" ref="CE377" si="749">+CD377</f>
        <v>1411</v>
      </c>
      <c r="CF377" s="3859">
        <f t="shared" ref="CF377" si="750">+CE377</f>
        <v>1411</v>
      </c>
      <c r="CG377" s="3859">
        <f t="shared" ref="CG377" si="751">+CF377</f>
        <v>1411</v>
      </c>
      <c r="CH377" s="709"/>
      <c r="CI377" s="709"/>
      <c r="CJ377" s="709"/>
      <c r="CK377" s="709"/>
      <c r="CL377" s="709"/>
      <c r="CM377" s="709"/>
      <c r="CN377" s="709"/>
      <c r="CO377" s="709"/>
      <c r="CP377" s="994"/>
      <c r="CQ377" s="720"/>
      <c r="CR377" s="720"/>
      <c r="CS377" s="720"/>
      <c r="CT377" s="720"/>
      <c r="CU377" s="720"/>
      <c r="CV377" s="720"/>
      <c r="CW377" s="720"/>
      <c r="CX377" s="720"/>
      <c r="CY377" s="720"/>
      <c r="CZ377" s="720"/>
      <c r="DA377" s="720"/>
      <c r="DB377" s="720"/>
      <c r="DC377" s="720"/>
      <c r="DD377" s="720"/>
      <c r="DE377" s="720"/>
      <c r="DF377" s="720"/>
      <c r="DG377" s="1874"/>
      <c r="DH377" s="223"/>
      <c r="DI377" s="595"/>
      <c r="DJ377" s="595"/>
      <c r="DK377" s="595"/>
      <c r="DL377" s="595"/>
      <c r="DM377" s="595"/>
      <c r="DN377" s="514"/>
      <c r="DO377" s="77"/>
      <c r="DP377"/>
      <c r="DQ377"/>
      <c r="DR377"/>
      <c r="DS377"/>
      <c r="DT377"/>
      <c r="DU377"/>
      <c r="DY377" s="231"/>
      <c r="DZ377" s="231"/>
    </row>
    <row r="378" spans="1:130" s="2252" customFormat="1" ht="12" customHeight="1">
      <c r="A378" s="2501" t="s">
        <v>1972</v>
      </c>
      <c r="B378" s="228"/>
      <c r="C378" s="228"/>
      <c r="D378" s="3853"/>
      <c r="E378" s="1387"/>
      <c r="F378" s="1387"/>
      <c r="G378" s="1387"/>
      <c r="H378" s="702"/>
      <c r="I378" s="703"/>
      <c r="J378" s="703"/>
      <c r="K378" s="703"/>
      <c r="L378" s="1387"/>
      <c r="M378" s="702"/>
      <c r="N378" s="703"/>
      <c r="O378" s="703"/>
      <c r="P378" s="703"/>
      <c r="Q378" s="703"/>
      <c r="R378" s="702"/>
      <c r="S378" s="703"/>
      <c r="T378" s="703"/>
      <c r="U378" s="703"/>
      <c r="V378" s="1387"/>
      <c r="W378" s="702"/>
      <c r="X378" s="703"/>
      <c r="Y378" s="703"/>
      <c r="Z378" s="703"/>
      <c r="AA378" s="1387"/>
      <c r="AB378" s="702"/>
      <c r="AC378" s="703"/>
      <c r="AD378" s="703"/>
      <c r="AE378" s="703"/>
      <c r="AF378" s="1387"/>
      <c r="AG378" s="702"/>
      <c r="AH378" s="703"/>
      <c r="AI378" s="703"/>
      <c r="AJ378" s="703"/>
      <c r="AK378" s="1387"/>
      <c r="AL378" s="3849"/>
      <c r="AM378" s="722"/>
      <c r="AN378" s="722"/>
      <c r="AO378" s="722"/>
      <c r="AP378" s="722"/>
      <c r="AQ378" s="1076"/>
      <c r="AR378" s="722"/>
      <c r="AS378" s="722"/>
      <c r="AT378" s="722"/>
      <c r="AU378" s="722"/>
      <c r="AV378" s="1076"/>
      <c r="AW378" s="705"/>
      <c r="AX378" s="705"/>
      <c r="AY378" s="705"/>
      <c r="AZ378" s="722"/>
      <c r="BA378" s="1076"/>
      <c r="BB378" s="2744"/>
      <c r="BC378" s="2744"/>
      <c r="BD378" s="2744"/>
      <c r="BE378" s="2744"/>
      <c r="BF378" s="1076"/>
      <c r="BG378" s="3127"/>
      <c r="BH378" s="3174"/>
      <c r="BI378" s="3174"/>
      <c r="BJ378" s="3174"/>
      <c r="BK378" s="1076"/>
      <c r="BL378" s="3174"/>
      <c r="BM378" s="3174"/>
      <c r="BN378" s="3174"/>
      <c r="BO378" s="3174"/>
      <c r="BP378" s="1076"/>
      <c r="BQ378" s="3174"/>
      <c r="BR378" s="3174"/>
      <c r="BS378" s="3172"/>
      <c r="BT378" s="3173"/>
      <c r="BU378" s="3850"/>
      <c r="BV378" s="3172"/>
      <c r="BW378" s="3172"/>
      <c r="BX378" s="4064">
        <f>+'Tables 2'!HI701</f>
        <v>2337</v>
      </c>
      <c r="BY378" s="3172">
        <f t="shared" ref="BY378:BY381" si="752">BX378</f>
        <v>2337</v>
      </c>
      <c r="BZ378" s="3850">
        <f t="shared" ref="BZ378:BZ381" si="753">+AVERAGE(BV378:BY378)</f>
        <v>2337</v>
      </c>
      <c r="CA378" s="3852">
        <f t="shared" ref="CA378:CA381" si="754">+BZ378</f>
        <v>2337</v>
      </c>
      <c r="CB378" s="3852">
        <f t="shared" ref="CB378:CB381" si="755">+CA378</f>
        <v>2337</v>
      </c>
      <c r="CC378" s="3859"/>
      <c r="CD378" s="3859"/>
      <c r="CE378" s="3859"/>
      <c r="CF378" s="3859"/>
      <c r="CG378" s="3859"/>
      <c r="CH378" s="709"/>
      <c r="CI378" s="709"/>
      <c r="CJ378" s="709"/>
      <c r="CK378" s="709"/>
      <c r="CL378" s="709"/>
      <c r="CM378" s="709"/>
      <c r="CN378" s="709"/>
      <c r="CO378" s="709"/>
      <c r="CP378" s="994"/>
      <c r="CQ378" s="720"/>
      <c r="CR378" s="720"/>
      <c r="CS378" s="720"/>
      <c r="CT378" s="720"/>
      <c r="CU378" s="720"/>
      <c r="CV378" s="720"/>
      <c r="CW378" s="720"/>
      <c r="CX378" s="720"/>
      <c r="CY378" s="720"/>
      <c r="CZ378" s="720"/>
      <c r="DA378" s="720"/>
      <c r="DB378" s="720"/>
      <c r="DC378" s="720"/>
      <c r="DD378" s="720"/>
      <c r="DE378" s="720"/>
      <c r="DF378" s="720"/>
      <c r="DG378" s="1874"/>
      <c r="DH378" s="223"/>
      <c r="DI378" s="595"/>
      <c r="DJ378" s="595"/>
      <c r="DK378" s="595"/>
      <c r="DL378" s="595"/>
      <c r="DM378" s="595"/>
      <c r="DN378" s="514"/>
      <c r="DO378" s="77"/>
      <c r="DP378"/>
      <c r="DQ378"/>
      <c r="DR378"/>
      <c r="DS378"/>
      <c r="DT378"/>
      <c r="DU378"/>
      <c r="DY378" s="231"/>
      <c r="DZ378" s="231"/>
    </row>
    <row r="379" spans="1:130" s="2252" customFormat="1" ht="12" customHeight="1">
      <c r="A379" s="2501" t="s">
        <v>1973</v>
      </c>
      <c r="B379" s="228"/>
      <c r="C379" s="228"/>
      <c r="D379" s="3853"/>
      <c r="E379" s="1387"/>
      <c r="F379" s="1387"/>
      <c r="G379" s="1387"/>
      <c r="H379" s="702"/>
      <c r="I379" s="703"/>
      <c r="J379" s="703"/>
      <c r="K379" s="703"/>
      <c r="L379" s="1387"/>
      <c r="M379" s="702"/>
      <c r="N379" s="703"/>
      <c r="O379" s="703"/>
      <c r="P379" s="703"/>
      <c r="Q379" s="703"/>
      <c r="R379" s="702"/>
      <c r="S379" s="703"/>
      <c r="T379" s="703"/>
      <c r="U379" s="703"/>
      <c r="V379" s="1387"/>
      <c r="W379" s="702"/>
      <c r="X379" s="703"/>
      <c r="Y379" s="703"/>
      <c r="Z379" s="703"/>
      <c r="AA379" s="1387"/>
      <c r="AB379" s="702"/>
      <c r="AC379" s="703"/>
      <c r="AD379" s="703"/>
      <c r="AE379" s="703"/>
      <c r="AF379" s="1387"/>
      <c r="AG379" s="702"/>
      <c r="AH379" s="703"/>
      <c r="AI379" s="703"/>
      <c r="AJ379" s="703"/>
      <c r="AK379" s="1387"/>
      <c r="AL379" s="3849"/>
      <c r="AM379" s="722"/>
      <c r="AN379" s="722"/>
      <c r="AO379" s="722"/>
      <c r="AP379" s="722"/>
      <c r="AQ379" s="1076"/>
      <c r="AR379" s="722"/>
      <c r="AS379" s="722"/>
      <c r="AT379" s="722"/>
      <c r="AU379" s="722"/>
      <c r="AV379" s="1076"/>
      <c r="AW379" s="705"/>
      <c r="AX379" s="705"/>
      <c r="AY379" s="705"/>
      <c r="AZ379" s="722"/>
      <c r="BA379" s="1076"/>
      <c r="BB379" s="2744"/>
      <c r="BC379" s="2744"/>
      <c r="BD379" s="2744"/>
      <c r="BE379" s="2744"/>
      <c r="BF379" s="1076"/>
      <c r="BG379" s="3127"/>
      <c r="BH379" s="3174"/>
      <c r="BI379" s="3174"/>
      <c r="BJ379" s="3174"/>
      <c r="BK379" s="1076"/>
      <c r="BL379" s="3174"/>
      <c r="BM379" s="3174"/>
      <c r="BN379" s="3174"/>
      <c r="BO379" s="3174"/>
      <c r="BP379" s="1076"/>
      <c r="BQ379" s="3174"/>
      <c r="BR379" s="3174"/>
      <c r="BS379" s="3172"/>
      <c r="BT379" s="3173"/>
      <c r="BU379" s="3850"/>
      <c r="BV379" s="3172"/>
      <c r="BW379" s="3172"/>
      <c r="BX379" s="4064">
        <f>+'Tables 2'!HI702</f>
        <v>2114.6666666666665</v>
      </c>
      <c r="BY379" s="3172">
        <f t="shared" si="752"/>
        <v>2114.6666666666665</v>
      </c>
      <c r="BZ379" s="3850">
        <f t="shared" si="753"/>
        <v>2114.6666666666665</v>
      </c>
      <c r="CA379" s="3852">
        <f t="shared" si="754"/>
        <v>2114.6666666666665</v>
      </c>
      <c r="CB379" s="3852">
        <f t="shared" si="755"/>
        <v>2114.6666666666665</v>
      </c>
      <c r="CC379" s="3859"/>
      <c r="CD379" s="3859"/>
      <c r="CE379" s="3859"/>
      <c r="CF379" s="3859"/>
      <c r="CG379" s="3859"/>
      <c r="CH379" s="709"/>
      <c r="CI379" s="709"/>
      <c r="CJ379" s="709"/>
      <c r="CK379" s="709"/>
      <c r="CL379" s="709"/>
      <c r="CM379" s="709"/>
      <c r="CN379" s="709"/>
      <c r="CO379" s="709"/>
      <c r="CP379" s="994"/>
      <c r="CQ379" s="720"/>
      <c r="CR379" s="720"/>
      <c r="CS379" s="720"/>
      <c r="CT379" s="720"/>
      <c r="CU379" s="720"/>
      <c r="CV379" s="720"/>
      <c r="CW379" s="720"/>
      <c r="CX379" s="720"/>
      <c r="CY379" s="720"/>
      <c r="CZ379" s="720"/>
      <c r="DA379" s="720"/>
      <c r="DB379" s="720"/>
      <c r="DC379" s="720"/>
      <c r="DD379" s="720"/>
      <c r="DE379" s="720"/>
      <c r="DF379" s="720"/>
      <c r="DG379" s="1874"/>
      <c r="DH379" s="223"/>
      <c r="DI379" s="595"/>
      <c r="DJ379" s="595"/>
      <c r="DK379" s="595"/>
      <c r="DL379" s="595"/>
      <c r="DM379" s="595"/>
      <c r="DN379" s="514"/>
      <c r="DO379" s="77"/>
      <c r="DP379"/>
      <c r="DQ379"/>
      <c r="DR379"/>
      <c r="DS379"/>
      <c r="DT379"/>
      <c r="DU379"/>
      <c r="DY379" s="231"/>
      <c r="DZ379" s="231"/>
    </row>
    <row r="380" spans="1:130" s="2252" customFormat="1" ht="12" customHeight="1">
      <c r="A380" s="2501" t="s">
        <v>1974</v>
      </c>
      <c r="B380" s="228"/>
      <c r="C380" s="228"/>
      <c r="D380" s="3853"/>
      <c r="E380" s="1387"/>
      <c r="F380" s="1387"/>
      <c r="G380" s="1387"/>
      <c r="H380" s="702"/>
      <c r="I380" s="703"/>
      <c r="J380" s="703"/>
      <c r="K380" s="703"/>
      <c r="L380" s="1387"/>
      <c r="M380" s="702"/>
      <c r="N380" s="703"/>
      <c r="O380" s="703"/>
      <c r="P380" s="703"/>
      <c r="Q380" s="703"/>
      <c r="R380" s="702"/>
      <c r="S380" s="703"/>
      <c r="T380" s="703"/>
      <c r="U380" s="703"/>
      <c r="V380" s="1387"/>
      <c r="W380" s="702"/>
      <c r="X380" s="703"/>
      <c r="Y380" s="703"/>
      <c r="Z380" s="703"/>
      <c r="AA380" s="1387"/>
      <c r="AB380" s="702"/>
      <c r="AC380" s="703"/>
      <c r="AD380" s="703"/>
      <c r="AE380" s="703"/>
      <c r="AF380" s="1387"/>
      <c r="AG380" s="702"/>
      <c r="AH380" s="703"/>
      <c r="AI380" s="703"/>
      <c r="AJ380" s="703"/>
      <c r="AK380" s="1387"/>
      <c r="AL380" s="3849"/>
      <c r="AM380" s="722"/>
      <c r="AN380" s="722"/>
      <c r="AO380" s="722"/>
      <c r="AP380" s="722"/>
      <c r="AQ380" s="1076"/>
      <c r="AR380" s="722"/>
      <c r="AS380" s="722"/>
      <c r="AT380" s="722"/>
      <c r="AU380" s="722"/>
      <c r="AV380" s="1076"/>
      <c r="AW380" s="705"/>
      <c r="AX380" s="705"/>
      <c r="AY380" s="705"/>
      <c r="AZ380" s="722"/>
      <c r="BA380" s="1076"/>
      <c r="BB380" s="2744"/>
      <c r="BC380" s="2744"/>
      <c r="BD380" s="2744"/>
      <c r="BE380" s="2744"/>
      <c r="BF380" s="1076"/>
      <c r="BG380" s="3127"/>
      <c r="BH380" s="3174"/>
      <c r="BI380" s="3174"/>
      <c r="BJ380" s="3174"/>
      <c r="BK380" s="1076"/>
      <c r="BL380" s="3174"/>
      <c r="BM380" s="3174"/>
      <c r="BN380" s="3174"/>
      <c r="BO380" s="3174"/>
      <c r="BP380" s="1076"/>
      <c r="BQ380" s="3174"/>
      <c r="BR380" s="3174"/>
      <c r="BS380" s="3172"/>
      <c r="BT380" s="3173"/>
      <c r="BU380" s="3850"/>
      <c r="BV380" s="3172"/>
      <c r="BW380" s="3172"/>
      <c r="BX380" s="4064">
        <f>+'Tables 2'!HI703</f>
        <v>1177.6666666666667</v>
      </c>
      <c r="BY380" s="3172">
        <f t="shared" si="752"/>
        <v>1177.6666666666667</v>
      </c>
      <c r="BZ380" s="3850">
        <f t="shared" si="753"/>
        <v>1177.6666666666667</v>
      </c>
      <c r="CA380" s="3852">
        <f t="shared" si="754"/>
        <v>1177.6666666666667</v>
      </c>
      <c r="CB380" s="3852">
        <f t="shared" si="755"/>
        <v>1177.6666666666667</v>
      </c>
      <c r="CC380" s="3859"/>
      <c r="CD380" s="3859"/>
      <c r="CE380" s="3859"/>
      <c r="CF380" s="3859"/>
      <c r="CG380" s="3859"/>
      <c r="CH380" s="709"/>
      <c r="CI380" s="709"/>
      <c r="CJ380" s="709"/>
      <c r="CK380" s="709"/>
      <c r="CL380" s="709"/>
      <c r="CM380" s="709"/>
      <c r="CN380" s="709"/>
      <c r="CO380" s="709"/>
      <c r="CP380" s="994"/>
      <c r="CQ380" s="720"/>
      <c r="CR380" s="720"/>
      <c r="CS380" s="720"/>
      <c r="CT380" s="720"/>
      <c r="CU380" s="720"/>
      <c r="CV380" s="720"/>
      <c r="CW380" s="720"/>
      <c r="CX380" s="720"/>
      <c r="CY380" s="720"/>
      <c r="CZ380" s="720"/>
      <c r="DA380" s="720"/>
      <c r="DB380" s="720"/>
      <c r="DC380" s="720"/>
      <c r="DD380" s="720"/>
      <c r="DE380" s="720"/>
      <c r="DF380" s="720"/>
      <c r="DG380" s="1874"/>
      <c r="DH380" s="223"/>
      <c r="DI380" s="595"/>
      <c r="DJ380" s="595"/>
      <c r="DK380" s="595"/>
      <c r="DL380" s="595"/>
      <c r="DM380" s="595"/>
      <c r="DN380" s="514"/>
      <c r="DO380" s="77"/>
      <c r="DP380"/>
      <c r="DQ380"/>
      <c r="DR380"/>
      <c r="DS380"/>
      <c r="DT380"/>
      <c r="DU380"/>
      <c r="DY380" s="231"/>
      <c r="DZ380" s="231"/>
    </row>
    <row r="381" spans="1:130" s="2252" customFormat="1" ht="12" customHeight="1">
      <c r="A381" s="2501" t="s">
        <v>1975</v>
      </c>
      <c r="B381" s="228"/>
      <c r="C381" s="228"/>
      <c r="D381" s="3853"/>
      <c r="E381" s="1387"/>
      <c r="F381" s="1387"/>
      <c r="G381" s="1387"/>
      <c r="H381" s="702"/>
      <c r="I381" s="703"/>
      <c r="J381" s="703"/>
      <c r="K381" s="703"/>
      <c r="L381" s="1387"/>
      <c r="M381" s="702"/>
      <c r="N381" s="703"/>
      <c r="O381" s="703"/>
      <c r="P381" s="703"/>
      <c r="Q381" s="703"/>
      <c r="R381" s="702"/>
      <c r="S381" s="703"/>
      <c r="T381" s="703"/>
      <c r="U381" s="703"/>
      <c r="V381" s="1387"/>
      <c r="W381" s="702"/>
      <c r="X381" s="703"/>
      <c r="Y381" s="703"/>
      <c r="Z381" s="703"/>
      <c r="AA381" s="1387"/>
      <c r="AB381" s="702"/>
      <c r="AC381" s="703"/>
      <c r="AD381" s="703"/>
      <c r="AE381" s="703"/>
      <c r="AF381" s="1387"/>
      <c r="AG381" s="702"/>
      <c r="AH381" s="703"/>
      <c r="AI381" s="703"/>
      <c r="AJ381" s="703"/>
      <c r="AK381" s="1387"/>
      <c r="AL381" s="3849"/>
      <c r="AM381" s="722"/>
      <c r="AN381" s="722"/>
      <c r="AO381" s="722"/>
      <c r="AP381" s="722"/>
      <c r="AQ381" s="1076"/>
      <c r="AR381" s="722"/>
      <c r="AS381" s="722"/>
      <c r="AT381" s="722"/>
      <c r="AU381" s="722"/>
      <c r="AV381" s="1076"/>
      <c r="AW381" s="705"/>
      <c r="AX381" s="705"/>
      <c r="AY381" s="705"/>
      <c r="AZ381" s="722"/>
      <c r="BA381" s="1076"/>
      <c r="BB381" s="2744"/>
      <c r="BC381" s="2744"/>
      <c r="BD381" s="2744"/>
      <c r="BE381" s="2744"/>
      <c r="BF381" s="1076"/>
      <c r="BG381" s="3127"/>
      <c r="BH381" s="3174"/>
      <c r="BI381" s="3174"/>
      <c r="BJ381" s="3174"/>
      <c r="BK381" s="1076"/>
      <c r="BL381" s="3174"/>
      <c r="BM381" s="3174"/>
      <c r="BN381" s="3174"/>
      <c r="BO381" s="3174"/>
      <c r="BP381" s="1076"/>
      <c r="BQ381" s="3174"/>
      <c r="BR381" s="3174"/>
      <c r="BS381" s="3172"/>
      <c r="BT381" s="3173"/>
      <c r="BU381" s="3850"/>
      <c r="BV381" s="3172"/>
      <c r="BW381" s="3172"/>
      <c r="BX381" s="4064">
        <f>+'Tables 2'!HI704</f>
        <v>1359.6666666666667</v>
      </c>
      <c r="BY381" s="3172">
        <f t="shared" si="752"/>
        <v>1359.6666666666667</v>
      </c>
      <c r="BZ381" s="3850">
        <f t="shared" si="753"/>
        <v>1359.6666666666667</v>
      </c>
      <c r="CA381" s="3852">
        <f t="shared" si="754"/>
        <v>1359.6666666666667</v>
      </c>
      <c r="CB381" s="3852">
        <f t="shared" si="755"/>
        <v>1359.6666666666667</v>
      </c>
      <c r="CC381" s="3859"/>
      <c r="CD381" s="3859"/>
      <c r="CE381" s="3859"/>
      <c r="CF381" s="3859"/>
      <c r="CG381" s="3859"/>
      <c r="CH381" s="709"/>
      <c r="CI381" s="709"/>
      <c r="CJ381" s="709"/>
      <c r="CK381" s="709"/>
      <c r="CL381" s="709"/>
      <c r="CM381" s="709"/>
      <c r="CN381" s="709"/>
      <c r="CO381" s="709"/>
      <c r="CP381" s="994"/>
      <c r="CQ381" s="720"/>
      <c r="CR381" s="720"/>
      <c r="CS381" s="720"/>
      <c r="CT381" s="720"/>
      <c r="CU381" s="720"/>
      <c r="CV381" s="720"/>
      <c r="CW381" s="720"/>
      <c r="CX381" s="720"/>
      <c r="CY381" s="720"/>
      <c r="CZ381" s="720"/>
      <c r="DA381" s="720"/>
      <c r="DB381" s="720"/>
      <c r="DC381" s="720"/>
      <c r="DD381" s="720"/>
      <c r="DE381" s="720"/>
      <c r="DF381" s="720"/>
      <c r="DG381" s="1874"/>
      <c r="DH381" s="223"/>
      <c r="DI381" s="595"/>
      <c r="DJ381" s="595"/>
      <c r="DK381" s="595"/>
      <c r="DL381" s="595"/>
      <c r="DM381" s="595"/>
      <c r="DN381" s="514"/>
      <c r="DO381" s="77"/>
      <c r="DP381"/>
      <c r="DQ381"/>
      <c r="DR381"/>
      <c r="DS381"/>
      <c r="DT381"/>
      <c r="DU381"/>
      <c r="DY381" s="231"/>
      <c r="DZ381" s="231"/>
    </row>
    <row r="382" spans="1:130" s="2252" customFormat="1" ht="12" customHeight="1">
      <c r="A382" s="2501" t="s">
        <v>2002</v>
      </c>
      <c r="B382" s="228"/>
      <c r="C382" s="228"/>
      <c r="D382" s="3853"/>
      <c r="E382" s="1387"/>
      <c r="F382" s="1387"/>
      <c r="G382" s="1387"/>
      <c r="H382" s="702"/>
      <c r="I382" s="703"/>
      <c r="J382" s="703"/>
      <c r="K382" s="703"/>
      <c r="L382" s="1387"/>
      <c r="M382" s="702"/>
      <c r="N382" s="703"/>
      <c r="O382" s="703"/>
      <c r="P382" s="703"/>
      <c r="Q382" s="703"/>
      <c r="R382" s="702"/>
      <c r="S382" s="703"/>
      <c r="T382" s="703"/>
      <c r="U382" s="703"/>
      <c r="V382" s="1387"/>
      <c r="W382" s="702"/>
      <c r="X382" s="703"/>
      <c r="Y382" s="703"/>
      <c r="Z382" s="703"/>
      <c r="AA382" s="1387"/>
      <c r="AB382" s="702"/>
      <c r="AC382" s="703"/>
      <c r="AD382" s="703"/>
      <c r="AE382" s="703"/>
      <c r="AF382" s="1387"/>
      <c r="AG382" s="702"/>
      <c r="AH382" s="703"/>
      <c r="AI382" s="703"/>
      <c r="AJ382" s="703"/>
      <c r="AK382" s="1387"/>
      <c r="AL382" s="3849"/>
      <c r="AM382" s="722"/>
      <c r="AN382" s="722"/>
      <c r="AO382" s="722"/>
      <c r="AP382" s="722"/>
      <c r="AQ382" s="1076"/>
      <c r="AR382" s="722"/>
      <c r="AS382" s="722"/>
      <c r="AT382" s="722"/>
      <c r="AU382" s="722"/>
      <c r="AV382" s="1076"/>
      <c r="AW382" s="705"/>
      <c r="AX382" s="705"/>
      <c r="AY382" s="705"/>
      <c r="AZ382" s="722"/>
      <c r="BA382" s="1076"/>
      <c r="BB382" s="2744"/>
      <c r="BC382" s="2744"/>
      <c r="BD382" s="2744"/>
      <c r="BE382" s="2744"/>
      <c r="BF382" s="1076"/>
      <c r="BG382" s="3127"/>
      <c r="BH382" s="3174"/>
      <c r="BI382" s="3174"/>
      <c r="BJ382" s="3174"/>
      <c r="BK382" s="1076"/>
      <c r="BL382" s="3174"/>
      <c r="BM382" s="3174"/>
      <c r="BN382" s="3174"/>
      <c r="BO382" s="3174"/>
      <c r="BP382" s="1076"/>
      <c r="BQ382" s="3174"/>
      <c r="BR382" s="3174"/>
      <c r="BS382" s="3172"/>
      <c r="BT382" s="3173"/>
      <c r="BU382" s="3850"/>
      <c r="BV382" s="3172"/>
      <c r="BW382" s="3172"/>
      <c r="BX382" s="4064">
        <f>+'Tables 2'!HN731</f>
        <v>850</v>
      </c>
      <c r="BY382" s="3172">
        <f t="shared" ref="BY382" si="756">BX382</f>
        <v>850</v>
      </c>
      <c r="BZ382" s="3850">
        <f t="shared" ref="BZ382" si="757">+AVERAGE(BV382:BY382)</f>
        <v>850</v>
      </c>
      <c r="CA382" s="3852">
        <f t="shared" ref="CA382" si="758">+BZ382</f>
        <v>850</v>
      </c>
      <c r="CB382" s="3852">
        <f t="shared" ref="CB382" si="759">+CA382</f>
        <v>850</v>
      </c>
      <c r="CC382" s="3859"/>
      <c r="CD382" s="3859"/>
      <c r="CE382" s="3859"/>
      <c r="CF382" s="3859"/>
      <c r="CG382" s="3859"/>
      <c r="CH382" s="709"/>
      <c r="CI382" s="709"/>
      <c r="CJ382" s="709"/>
      <c r="CK382" s="709"/>
      <c r="CL382" s="709"/>
      <c r="CM382" s="709"/>
      <c r="CN382" s="709"/>
      <c r="CO382" s="709"/>
      <c r="CP382" s="994"/>
      <c r="CQ382" s="720"/>
      <c r="CR382" s="720"/>
      <c r="CS382" s="720"/>
      <c r="CT382" s="720"/>
      <c r="CU382" s="720"/>
      <c r="CV382" s="720"/>
      <c r="CW382" s="720"/>
      <c r="CX382" s="720"/>
      <c r="CY382" s="720"/>
      <c r="CZ382" s="720"/>
      <c r="DA382" s="720"/>
      <c r="DB382" s="720"/>
      <c r="DC382" s="720"/>
      <c r="DD382" s="720"/>
      <c r="DE382" s="720"/>
      <c r="DF382" s="720"/>
      <c r="DG382" s="1874"/>
      <c r="DH382" s="223"/>
      <c r="DI382" s="595"/>
      <c r="DJ382" s="595"/>
      <c r="DK382" s="595"/>
      <c r="DL382" s="595"/>
      <c r="DM382" s="595"/>
      <c r="DN382" s="514"/>
      <c r="DO382" s="77"/>
      <c r="DP382"/>
      <c r="DQ382"/>
      <c r="DR382"/>
      <c r="DS382"/>
      <c r="DT382"/>
      <c r="DU382"/>
      <c r="DY382" s="231"/>
      <c r="DZ382" s="231"/>
    </row>
    <row r="383" spans="1:130" ht="4.5" customHeight="1">
      <c r="A383" s="962"/>
      <c r="B383" s="293"/>
      <c r="C383" s="293"/>
      <c r="D383" s="3854" t="s">
        <v>343</v>
      </c>
      <c r="E383" s="3855" t="s">
        <v>343</v>
      </c>
      <c r="F383" s="3855" t="s">
        <v>343</v>
      </c>
      <c r="G383" s="3855" t="s">
        <v>343</v>
      </c>
      <c r="H383" s="3856" t="s">
        <v>343</v>
      </c>
      <c r="I383" s="3855" t="s">
        <v>343</v>
      </c>
      <c r="J383" s="3855" t="s">
        <v>343</v>
      </c>
      <c r="K383" s="3855" t="s">
        <v>343</v>
      </c>
      <c r="L383" s="3855" t="s">
        <v>343</v>
      </c>
      <c r="M383" s="3856" t="s">
        <v>343</v>
      </c>
      <c r="N383" s="3855" t="s">
        <v>343</v>
      </c>
      <c r="O383" s="3855" t="s">
        <v>343</v>
      </c>
      <c r="P383" s="3855" t="s">
        <v>343</v>
      </c>
      <c r="Q383" s="3855" t="s">
        <v>343</v>
      </c>
      <c r="R383" s="3856" t="s">
        <v>343</v>
      </c>
      <c r="S383" s="3855" t="s">
        <v>343</v>
      </c>
      <c r="T383" s="3855" t="s">
        <v>343</v>
      </c>
      <c r="U383" s="3855" t="s">
        <v>343</v>
      </c>
      <c r="V383" s="3855" t="s">
        <v>343</v>
      </c>
      <c r="W383" s="3856" t="s">
        <v>343</v>
      </c>
      <c r="X383" s="3855" t="s">
        <v>343</v>
      </c>
      <c r="Y383" s="3855" t="s">
        <v>343</v>
      </c>
      <c r="Z383" s="3855" t="s">
        <v>343</v>
      </c>
      <c r="AA383" s="3855" t="s">
        <v>343</v>
      </c>
      <c r="AB383" s="3856" t="s">
        <v>343</v>
      </c>
      <c r="AC383" s="3855" t="s">
        <v>343</v>
      </c>
      <c r="AD383" s="3855" t="s">
        <v>343</v>
      </c>
      <c r="AE383" s="3855" t="s">
        <v>343</v>
      </c>
      <c r="AF383" s="3855" t="s">
        <v>343</v>
      </c>
      <c r="AG383" s="3856" t="s">
        <v>343</v>
      </c>
      <c r="AH383" s="3855" t="s">
        <v>343</v>
      </c>
      <c r="AI383" s="3855" t="s">
        <v>343</v>
      </c>
      <c r="AJ383" s="3855" t="s">
        <v>343</v>
      </c>
      <c r="AK383" s="3855" t="s">
        <v>343</v>
      </c>
      <c r="AL383" s="3856" t="s">
        <v>343</v>
      </c>
      <c r="AM383" s="3855" t="s">
        <v>343</v>
      </c>
      <c r="AN383" s="3855" t="s">
        <v>343</v>
      </c>
      <c r="AO383" s="3855" t="s">
        <v>343</v>
      </c>
      <c r="AP383" s="3855" t="s">
        <v>343</v>
      </c>
      <c r="AQ383" s="3856" t="s">
        <v>343</v>
      </c>
      <c r="AR383" s="3855" t="s">
        <v>343</v>
      </c>
      <c r="AS383" s="3855" t="s">
        <v>343</v>
      </c>
      <c r="AT383" s="3855" t="s">
        <v>343</v>
      </c>
      <c r="AU383" s="3855" t="s">
        <v>343</v>
      </c>
      <c r="AV383" s="3856" t="s">
        <v>343</v>
      </c>
      <c r="AW383" s="3855" t="s">
        <v>343</v>
      </c>
      <c r="AX383" s="3855" t="s">
        <v>343</v>
      </c>
      <c r="AY383" s="3855" t="s">
        <v>343</v>
      </c>
      <c r="AZ383" s="3855" t="s">
        <v>343</v>
      </c>
      <c r="BA383" s="3856" t="s">
        <v>343</v>
      </c>
      <c r="BB383" s="3855" t="s">
        <v>343</v>
      </c>
      <c r="BC383" s="3855" t="s">
        <v>343</v>
      </c>
      <c r="BD383" s="3855" t="s">
        <v>343</v>
      </c>
      <c r="BE383" s="3855" t="s">
        <v>343</v>
      </c>
      <c r="BF383" s="3856" t="s">
        <v>343</v>
      </c>
      <c r="BG383" s="3854" t="s">
        <v>343</v>
      </c>
      <c r="BH383" s="3855" t="s">
        <v>343</v>
      </c>
      <c r="BI383" s="3855" t="s">
        <v>343</v>
      </c>
      <c r="BJ383" s="3857" t="s">
        <v>343</v>
      </c>
      <c r="BK383" s="3856" t="s">
        <v>343</v>
      </c>
      <c r="BL383" s="3855" t="s">
        <v>343</v>
      </c>
      <c r="BM383" s="3855" t="s">
        <v>343</v>
      </c>
      <c r="BN383" s="3855" t="s">
        <v>343</v>
      </c>
      <c r="BO383" s="3857" t="s">
        <v>343</v>
      </c>
      <c r="BP383" s="3856" t="s">
        <v>343</v>
      </c>
      <c r="BQ383" s="3855" t="s">
        <v>343</v>
      </c>
      <c r="BR383" s="3855" t="s">
        <v>343</v>
      </c>
      <c r="BS383" s="3855" t="s">
        <v>343</v>
      </c>
      <c r="BT383" s="3857" t="s">
        <v>343</v>
      </c>
      <c r="BU383" s="3858" t="s">
        <v>343</v>
      </c>
      <c r="BV383" s="3855" t="s">
        <v>343</v>
      </c>
      <c r="BW383" s="3855" t="s">
        <v>343</v>
      </c>
      <c r="BX383" s="3855" t="s">
        <v>343</v>
      </c>
      <c r="BY383" s="3855" t="s">
        <v>343</v>
      </c>
      <c r="BZ383" s="3858" t="s">
        <v>343</v>
      </c>
      <c r="CA383" s="3857" t="s">
        <v>343</v>
      </c>
      <c r="CB383" s="3857" t="s">
        <v>343</v>
      </c>
      <c r="CC383" s="3857" t="s">
        <v>343</v>
      </c>
      <c r="CD383" s="3857" t="s">
        <v>343</v>
      </c>
      <c r="CE383" s="3857" t="s">
        <v>343</v>
      </c>
      <c r="CF383" s="3857" t="s">
        <v>343</v>
      </c>
      <c r="CG383" s="3857" t="s">
        <v>343</v>
      </c>
      <c r="CH383" s="295"/>
      <c r="CI383" s="295"/>
      <c r="CJ383" s="295"/>
      <c r="CK383" s="295"/>
      <c r="CL383" s="295"/>
      <c r="CM383" s="295"/>
      <c r="CN383" s="295"/>
      <c r="CO383" s="295"/>
      <c r="CP383" s="1784"/>
      <c r="CQ383" s="295" t="str">
        <f t="shared" si="601"/>
        <v xml:space="preserve">                </v>
      </c>
      <c r="CR383" s="295" t="str">
        <f t="shared" si="602"/>
        <v xml:space="preserve">                </v>
      </c>
      <c r="CS383" s="295" t="str">
        <f t="shared" si="603"/>
        <v xml:space="preserve">                </v>
      </c>
      <c r="CT383" s="295" t="str">
        <f t="shared" si="604"/>
        <v xml:space="preserve">                </v>
      </c>
      <c r="CU383" s="295" t="str">
        <f t="shared" si="605"/>
        <v xml:space="preserve">                </v>
      </c>
      <c r="CV383" s="295" t="str">
        <f t="shared" si="606"/>
        <v xml:space="preserve">                </v>
      </c>
      <c r="CW383" s="295" t="str">
        <f t="shared" si="607"/>
        <v xml:space="preserve">                </v>
      </c>
      <c r="CX383" s="295" t="str">
        <f t="shared" si="608"/>
        <v xml:space="preserve">                </v>
      </c>
      <c r="CY383" s="295" t="str">
        <f t="shared" si="609"/>
        <v xml:space="preserve">                </v>
      </c>
      <c r="CZ383" s="295" t="str">
        <f t="shared" si="610"/>
        <v xml:space="preserve">                </v>
      </c>
      <c r="DA383" s="295" t="str">
        <f t="shared" si="611"/>
        <v xml:space="preserve">                </v>
      </c>
      <c r="DB383" s="295" t="str">
        <f t="shared" si="612"/>
        <v xml:space="preserve">                </v>
      </c>
      <c r="DC383" s="295" t="str">
        <f t="shared" si="613"/>
        <v xml:space="preserve">                </v>
      </c>
      <c r="DD383" s="295" t="str">
        <f t="shared" si="614"/>
        <v xml:space="preserve">                </v>
      </c>
      <c r="DE383" s="295" t="str">
        <f t="shared" si="615"/>
        <v xml:space="preserve">                </v>
      </c>
      <c r="DF383" s="295" t="str">
        <f t="shared" si="616"/>
        <v xml:space="preserve">                </v>
      </c>
      <c r="DG383" s="297" t="str">
        <f t="shared" si="617"/>
        <v xml:space="preserve">                </v>
      </c>
      <c r="DH383" s="298"/>
      <c r="DI383" s="299"/>
      <c r="DJ383" s="299"/>
      <c r="DK383" s="299"/>
      <c r="DL383" s="299"/>
      <c r="DM383" s="299"/>
      <c r="DN383" s="299"/>
      <c r="DO383" s="300"/>
      <c r="DY383" s="295"/>
      <c r="DZ383" s="295"/>
    </row>
    <row r="384" spans="1:130" ht="12" customHeight="1">
      <c r="A384" s="633" t="s">
        <v>167</v>
      </c>
      <c r="B384" s="228"/>
      <c r="C384" s="228"/>
      <c r="D384" s="726">
        <f>SUM(D366:D372)</f>
        <v>6637</v>
      </c>
      <c r="E384" s="727">
        <f t="shared" ref="E384:AL384" si="760">SUM(E366:E372)</f>
        <v>7857</v>
      </c>
      <c r="F384" s="727">
        <f t="shared" si="760"/>
        <v>7857</v>
      </c>
      <c r="G384" s="727">
        <f t="shared" si="760"/>
        <v>7827</v>
      </c>
      <c r="H384" s="3849">
        <f t="shared" si="760"/>
        <v>7827</v>
      </c>
      <c r="I384" s="727">
        <f t="shared" si="760"/>
        <v>7827</v>
      </c>
      <c r="J384" s="727">
        <f t="shared" si="760"/>
        <v>7827</v>
      </c>
      <c r="K384" s="727">
        <f t="shared" si="760"/>
        <v>7827</v>
      </c>
      <c r="L384" s="727">
        <f t="shared" si="760"/>
        <v>7758</v>
      </c>
      <c r="M384" s="3849">
        <f t="shared" si="760"/>
        <v>7758</v>
      </c>
      <c r="N384" s="727">
        <f t="shared" si="760"/>
        <v>8208</v>
      </c>
      <c r="O384" s="727">
        <f t="shared" si="760"/>
        <v>8208</v>
      </c>
      <c r="P384" s="727">
        <f t="shared" si="760"/>
        <v>8208</v>
      </c>
      <c r="Q384" s="727">
        <f t="shared" si="760"/>
        <v>8172</v>
      </c>
      <c r="R384" s="3849">
        <f t="shared" si="760"/>
        <v>8172</v>
      </c>
      <c r="S384" s="727">
        <f t="shared" si="760"/>
        <v>8172</v>
      </c>
      <c r="T384" s="727">
        <f t="shared" si="760"/>
        <v>8172</v>
      </c>
      <c r="U384" s="727">
        <f t="shared" si="760"/>
        <v>8172</v>
      </c>
      <c r="V384" s="727">
        <f t="shared" si="760"/>
        <v>8176</v>
      </c>
      <c r="W384" s="3849">
        <f t="shared" si="760"/>
        <v>8176</v>
      </c>
      <c r="X384" s="727">
        <f t="shared" si="760"/>
        <v>8176</v>
      </c>
      <c r="Y384" s="727">
        <f t="shared" si="760"/>
        <v>8176</v>
      </c>
      <c r="Z384" s="727">
        <f t="shared" si="760"/>
        <v>8176</v>
      </c>
      <c r="AA384" s="727">
        <f t="shared" si="760"/>
        <v>8096</v>
      </c>
      <c r="AB384" s="3849">
        <f t="shared" si="760"/>
        <v>8096</v>
      </c>
      <c r="AC384" s="727">
        <f t="shared" si="760"/>
        <v>8096</v>
      </c>
      <c r="AD384" s="727">
        <f t="shared" si="760"/>
        <v>8096</v>
      </c>
      <c r="AE384" s="727">
        <f t="shared" si="760"/>
        <v>8096</v>
      </c>
      <c r="AF384" s="727">
        <f t="shared" si="760"/>
        <v>8026</v>
      </c>
      <c r="AG384" s="3849">
        <f t="shared" si="760"/>
        <v>8026</v>
      </c>
      <c r="AH384" s="727">
        <f t="shared" si="760"/>
        <v>8026</v>
      </c>
      <c r="AI384" s="727">
        <f t="shared" si="760"/>
        <v>8026</v>
      </c>
      <c r="AJ384" s="727">
        <f t="shared" si="760"/>
        <v>8026</v>
      </c>
      <c r="AK384" s="727">
        <f t="shared" si="760"/>
        <v>8046</v>
      </c>
      <c r="AL384" s="3849">
        <f t="shared" si="760"/>
        <v>8046</v>
      </c>
      <c r="AM384" s="3860">
        <f>SUM(AM366:AM377)</f>
        <v>12267</v>
      </c>
      <c r="AN384" s="727">
        <f t="shared" ref="AN384:CG384" si="761">SUM(AN366:AN377)</f>
        <v>12265</v>
      </c>
      <c r="AO384" s="727">
        <f t="shared" si="761"/>
        <v>12265</v>
      </c>
      <c r="AP384" s="727">
        <f t="shared" si="761"/>
        <v>15596</v>
      </c>
      <c r="AQ384" s="3849">
        <f t="shared" si="761"/>
        <v>14181.75</v>
      </c>
      <c r="AR384" s="727">
        <f t="shared" si="761"/>
        <v>15600</v>
      </c>
      <c r="AS384" s="727">
        <f t="shared" si="761"/>
        <v>15613</v>
      </c>
      <c r="AT384" s="727">
        <f t="shared" si="761"/>
        <v>15614</v>
      </c>
      <c r="AU384" s="727">
        <f t="shared" si="761"/>
        <v>15930</v>
      </c>
      <c r="AV384" s="3849">
        <f t="shared" si="761"/>
        <v>15612.75</v>
      </c>
      <c r="AW384" s="727">
        <f t="shared" si="761"/>
        <v>15937</v>
      </c>
      <c r="AX384" s="727">
        <f t="shared" si="761"/>
        <v>15937</v>
      </c>
      <c r="AY384" s="727">
        <f t="shared" si="761"/>
        <v>15937</v>
      </c>
      <c r="AZ384" s="727">
        <f t="shared" si="761"/>
        <v>15888</v>
      </c>
      <c r="BA384" s="3849">
        <f t="shared" si="761"/>
        <v>15861</v>
      </c>
      <c r="BB384" s="727">
        <f t="shared" si="761"/>
        <v>15332</v>
      </c>
      <c r="BC384" s="727">
        <f t="shared" si="761"/>
        <v>15323</v>
      </c>
      <c r="BD384" s="727">
        <f t="shared" si="761"/>
        <v>15145</v>
      </c>
      <c r="BE384" s="727">
        <f t="shared" si="761"/>
        <v>15129</v>
      </c>
      <c r="BF384" s="3849">
        <f>SUM(BF366:BF383)</f>
        <v>15121.5</v>
      </c>
      <c r="BG384" s="726">
        <f t="shared" ref="BG384:CB384" si="762">SUM(BG366:BG383)</f>
        <v>15103</v>
      </c>
      <c r="BH384" s="727">
        <f t="shared" si="762"/>
        <v>15067</v>
      </c>
      <c r="BI384" s="727">
        <f t="shared" si="762"/>
        <v>15063</v>
      </c>
      <c r="BJ384" s="1879">
        <f t="shared" si="762"/>
        <v>15049</v>
      </c>
      <c r="BK384" s="3849">
        <f t="shared" si="762"/>
        <v>15054.5</v>
      </c>
      <c r="BL384" s="727">
        <f t="shared" si="762"/>
        <v>15041</v>
      </c>
      <c r="BM384" s="727">
        <f t="shared" si="762"/>
        <v>15030</v>
      </c>
      <c r="BN384" s="727">
        <f t="shared" si="762"/>
        <v>14633</v>
      </c>
      <c r="BO384" s="1879">
        <f t="shared" si="762"/>
        <v>14525</v>
      </c>
      <c r="BP384" s="3849">
        <f t="shared" si="762"/>
        <v>14759.5</v>
      </c>
      <c r="BQ384" s="727">
        <f t="shared" si="762"/>
        <v>14443</v>
      </c>
      <c r="BR384" s="727">
        <f t="shared" si="762"/>
        <v>14720</v>
      </c>
      <c r="BS384" s="727">
        <f t="shared" si="762"/>
        <v>14720</v>
      </c>
      <c r="BT384" s="1879">
        <f t="shared" si="762"/>
        <v>14720</v>
      </c>
      <c r="BU384" s="3850">
        <f t="shared" si="762"/>
        <v>14639.5</v>
      </c>
      <c r="BV384" s="727">
        <f t="shared" si="762"/>
        <v>14639.5</v>
      </c>
      <c r="BW384" s="727">
        <f t="shared" si="762"/>
        <v>14639.5</v>
      </c>
      <c r="BX384" s="727">
        <f t="shared" si="762"/>
        <v>22478.500000000004</v>
      </c>
      <c r="BY384" s="727">
        <f t="shared" si="762"/>
        <v>22478.500000000004</v>
      </c>
      <c r="BZ384" s="3850">
        <f t="shared" si="762"/>
        <v>22478.500000000004</v>
      </c>
      <c r="CA384" s="3849">
        <f t="shared" si="762"/>
        <v>22478.500000000004</v>
      </c>
      <c r="CB384" s="3849">
        <f t="shared" si="762"/>
        <v>22478.500000000004</v>
      </c>
      <c r="CC384" s="3849">
        <f t="shared" si="761"/>
        <v>14639.5</v>
      </c>
      <c r="CD384" s="3849">
        <f t="shared" si="761"/>
        <v>14639.5</v>
      </c>
      <c r="CE384" s="3849">
        <f t="shared" si="761"/>
        <v>14639.5</v>
      </c>
      <c r="CF384" s="3849">
        <f t="shared" si="761"/>
        <v>14639.5</v>
      </c>
      <c r="CG384" s="3849">
        <f t="shared" si="761"/>
        <v>14639.5</v>
      </c>
      <c r="CH384" s="725"/>
      <c r="CI384" s="725"/>
      <c r="CJ384" s="725"/>
      <c r="CK384" s="725"/>
      <c r="CL384" s="725"/>
      <c r="CM384" s="725"/>
      <c r="CN384" s="725"/>
      <c r="CO384" s="725"/>
      <c r="CP384" s="90" t="str">
        <f t="shared" si="600"/>
        <v>Total Slots</v>
      </c>
      <c r="CQ384" s="727">
        <f t="shared" si="601"/>
        <v>7827</v>
      </c>
      <c r="CR384" s="727">
        <f t="shared" si="602"/>
        <v>7758</v>
      </c>
      <c r="CS384" s="727">
        <f t="shared" si="603"/>
        <v>8172</v>
      </c>
      <c r="CT384" s="727">
        <f t="shared" si="604"/>
        <v>8176</v>
      </c>
      <c r="CU384" s="727">
        <f t="shared" si="605"/>
        <v>8096</v>
      </c>
      <c r="CV384" s="727">
        <f t="shared" si="606"/>
        <v>8026</v>
      </c>
      <c r="CW384" s="727">
        <f t="shared" si="607"/>
        <v>8046</v>
      </c>
      <c r="CX384" s="727">
        <f t="shared" si="608"/>
        <v>14181.75</v>
      </c>
      <c r="CY384" s="727">
        <f t="shared" si="609"/>
        <v>15612.75</v>
      </c>
      <c r="CZ384" s="727">
        <f t="shared" si="610"/>
        <v>15861</v>
      </c>
      <c r="DA384" s="727">
        <f t="shared" si="611"/>
        <v>15121.5</v>
      </c>
      <c r="DB384" s="727">
        <f t="shared" si="612"/>
        <v>15054.5</v>
      </c>
      <c r="DC384" s="727">
        <f t="shared" si="613"/>
        <v>14759.5</v>
      </c>
      <c r="DD384" s="727">
        <f t="shared" si="614"/>
        <v>14639.5</v>
      </c>
      <c r="DE384" s="727">
        <f t="shared" si="615"/>
        <v>22478.500000000004</v>
      </c>
      <c r="DF384" s="727">
        <f t="shared" si="616"/>
        <v>22478.500000000004</v>
      </c>
      <c r="DG384" s="1879">
        <f t="shared" si="617"/>
        <v>22478.500000000004</v>
      </c>
      <c r="DH384" s="223"/>
      <c r="DI384" s="595"/>
      <c r="DJ384" s="595"/>
      <c r="DK384" s="595"/>
      <c r="DL384" s="595"/>
      <c r="DM384" s="595"/>
      <c r="DN384" s="514"/>
      <c r="DO384" s="226"/>
      <c r="DY384" s="231"/>
      <c r="DZ384" s="231"/>
    </row>
    <row r="385" spans="1:130" ht="12" customHeight="1">
      <c r="A385" s="552"/>
      <c r="B385" s="228"/>
      <c r="C385" s="228"/>
      <c r="D385" s="479"/>
      <c r="E385" s="482"/>
      <c r="F385" s="482"/>
      <c r="G385" s="482"/>
      <c r="H385" s="361"/>
      <c r="I385" s="482"/>
      <c r="J385" s="482"/>
      <c r="K385" s="482"/>
      <c r="L385" s="482"/>
      <c r="M385" s="361"/>
      <c r="N385" s="482"/>
      <c r="O385" s="482"/>
      <c r="P385" s="482"/>
      <c r="Q385" s="482"/>
      <c r="R385" s="361"/>
      <c r="S385" s="482"/>
      <c r="T385" s="482"/>
      <c r="U385" s="482"/>
      <c r="V385" s="482"/>
      <c r="W385" s="361"/>
      <c r="X385" s="482"/>
      <c r="Y385" s="482"/>
      <c r="Z385" s="482"/>
      <c r="AA385" s="482"/>
      <c r="AB385" s="361"/>
      <c r="AC385" s="482"/>
      <c r="AD385" s="482"/>
      <c r="AE385" s="482"/>
      <c r="AF385" s="482"/>
      <c r="AG385" s="361"/>
      <c r="AH385" s="601"/>
      <c r="AI385" s="601"/>
      <c r="AJ385" s="601"/>
      <c r="AK385" s="601"/>
      <c r="AL385" s="481"/>
      <c r="AM385" s="482"/>
      <c r="AN385" s="482"/>
      <c r="AO385" s="482"/>
      <c r="AP385" s="482"/>
      <c r="AQ385" s="481"/>
      <c r="AR385" s="482"/>
      <c r="AS385" s="482"/>
      <c r="AT385" s="482"/>
      <c r="AU385" s="482"/>
      <c r="AV385" s="481"/>
      <c r="AW385" s="482"/>
      <c r="AX385" s="482"/>
      <c r="AY385" s="482"/>
      <c r="AZ385" s="482"/>
      <c r="BA385" s="481"/>
      <c r="BB385" s="482"/>
      <c r="BC385" s="482"/>
      <c r="BD385" s="482"/>
      <c r="BE385" s="482"/>
      <c r="BF385" s="481"/>
      <c r="BG385" s="479"/>
      <c r="BH385" s="482"/>
      <c r="BI385" s="482"/>
      <c r="BJ385" s="2799"/>
      <c r="BK385" s="481"/>
      <c r="BL385" s="482"/>
      <c r="BM385" s="482"/>
      <c r="BN385" s="482"/>
      <c r="BO385" s="2799"/>
      <c r="BP385" s="481"/>
      <c r="BQ385" s="482"/>
      <c r="BR385" s="482"/>
      <c r="BS385" s="482"/>
      <c r="BT385" s="2799"/>
      <c r="BU385" s="3380"/>
      <c r="BV385" s="482"/>
      <c r="BW385" s="482"/>
      <c r="BX385" s="482"/>
      <c r="BY385" s="2799"/>
      <c r="BZ385" s="481"/>
      <c r="CA385" s="481"/>
      <c r="CB385" s="481"/>
      <c r="CC385" s="481"/>
      <c r="CD385" s="481"/>
      <c r="CE385" s="481"/>
      <c r="CF385" s="481"/>
      <c r="CG385" s="481"/>
      <c r="CH385" s="482"/>
      <c r="CI385" s="482"/>
      <c r="CJ385" s="482"/>
      <c r="CK385" s="482"/>
      <c r="CL385" s="482"/>
      <c r="CM385" s="482"/>
      <c r="CN385" s="482"/>
      <c r="CO385" s="482"/>
      <c r="CP385" s="994"/>
      <c r="CQ385" s="223"/>
      <c r="CR385" s="223"/>
      <c r="CS385" s="223"/>
      <c r="CT385" s="223"/>
      <c r="CU385" s="223"/>
      <c r="CV385" s="223"/>
      <c r="CW385" s="223"/>
      <c r="CX385" s="223"/>
      <c r="CY385" s="223"/>
      <c r="CZ385" s="223"/>
      <c r="DA385" s="223"/>
      <c r="DB385" s="223"/>
      <c r="DC385" s="223"/>
      <c r="DD385" s="223"/>
      <c r="DE385" s="223"/>
      <c r="DF385" s="223"/>
      <c r="DG385" s="1853"/>
      <c r="DH385" s="223"/>
      <c r="DI385" s="595"/>
      <c r="DJ385" s="595"/>
      <c r="DK385" s="595"/>
      <c r="DL385" s="595"/>
      <c r="DM385" s="595"/>
      <c r="DN385" s="514"/>
      <c r="DO385" s="226"/>
      <c r="DY385" s="482"/>
      <c r="DZ385" s="482"/>
    </row>
    <row r="386" spans="1:130" ht="12" customHeight="1">
      <c r="A386" s="545" t="s">
        <v>184</v>
      </c>
      <c r="B386" s="228"/>
      <c r="C386" s="228"/>
      <c r="D386" s="479"/>
      <c r="E386" s="482"/>
      <c r="F386" s="482"/>
      <c r="G386" s="482"/>
      <c r="H386" s="361"/>
      <c r="I386" s="482"/>
      <c r="J386" s="482"/>
      <c r="K386" s="482"/>
      <c r="L386" s="482"/>
      <c r="M386" s="361"/>
      <c r="N386" s="482"/>
      <c r="O386" s="482"/>
      <c r="P386" s="482"/>
      <c r="Q386" s="482"/>
      <c r="R386" s="361"/>
      <c r="S386" s="482"/>
      <c r="T386" s="482"/>
      <c r="U386" s="482"/>
      <c r="V386" s="482"/>
      <c r="W386" s="361"/>
      <c r="X386" s="482"/>
      <c r="Y386" s="482"/>
      <c r="Z386" s="482"/>
      <c r="AA386" s="482"/>
      <c r="AB386" s="361"/>
      <c r="AC386" s="482"/>
      <c r="AD386" s="482"/>
      <c r="AE386" s="482"/>
      <c r="AF386" s="482"/>
      <c r="AG386" s="361"/>
      <c r="AH386" s="601"/>
      <c r="AI386" s="601"/>
      <c r="AJ386" s="601"/>
      <c r="AK386" s="601"/>
      <c r="AL386" s="481"/>
      <c r="AM386" s="482"/>
      <c r="AN386" s="482"/>
      <c r="AO386" s="482"/>
      <c r="AP386" s="482"/>
      <c r="AQ386" s="481"/>
      <c r="AR386" s="482"/>
      <c r="AS386" s="482"/>
      <c r="AT386" s="482"/>
      <c r="AU386" s="482"/>
      <c r="AV386" s="481"/>
      <c r="AW386" s="482"/>
      <c r="AX386" s="482"/>
      <c r="AY386" s="482"/>
      <c r="AZ386" s="482"/>
      <c r="BA386" s="481"/>
      <c r="BB386" s="482"/>
      <c r="BC386" s="482"/>
      <c r="BD386" s="482"/>
      <c r="BE386" s="482"/>
      <c r="BF386" s="481"/>
      <c r="BG386" s="479"/>
      <c r="BH386" s="482"/>
      <c r="BI386" s="482"/>
      <c r="BJ386" s="2799"/>
      <c r="BK386" s="481"/>
      <c r="BL386" s="482"/>
      <c r="BM386" s="482"/>
      <c r="BN386" s="482"/>
      <c r="BO386" s="2799"/>
      <c r="BP386" s="481"/>
      <c r="BQ386" s="482"/>
      <c r="BR386" s="482"/>
      <c r="BS386" s="482"/>
      <c r="BT386" s="2799"/>
      <c r="BU386" s="3380"/>
      <c r="BV386" s="482"/>
      <c r="BW386" s="482"/>
      <c r="BX386" s="482"/>
      <c r="BY386" s="2799"/>
      <c r="BZ386" s="481"/>
      <c r="CA386" s="481"/>
      <c r="CB386" s="481"/>
      <c r="CC386" s="481"/>
      <c r="CD386" s="481"/>
      <c r="CE386" s="481"/>
      <c r="CF386" s="481"/>
      <c r="CG386" s="481"/>
      <c r="CH386" s="482"/>
      <c r="CI386" s="482"/>
      <c r="CJ386" s="482"/>
      <c r="CK386" s="482"/>
      <c r="CL386" s="482"/>
      <c r="CM386" s="482"/>
      <c r="CN386" s="482"/>
      <c r="CO386" s="482"/>
      <c r="CP386" s="1878" t="str">
        <f t="shared" si="600"/>
        <v>Tables</v>
      </c>
      <c r="CQ386" s="223"/>
      <c r="CR386" s="223"/>
      <c r="CS386" s="223"/>
      <c r="CT386" s="223"/>
      <c r="CU386" s="223"/>
      <c r="CV386" s="223"/>
      <c r="CW386" s="223"/>
      <c r="CX386" s="223"/>
      <c r="CY386" s="223"/>
      <c r="CZ386" s="223"/>
      <c r="DA386" s="223"/>
      <c r="DB386" s="223"/>
      <c r="DC386" s="223"/>
      <c r="DD386" s="223"/>
      <c r="DE386" s="223"/>
      <c r="DF386" s="223"/>
      <c r="DG386" s="1853"/>
      <c r="DH386" s="223"/>
      <c r="DI386" s="595"/>
      <c r="DJ386" s="595"/>
      <c r="DK386" s="595"/>
      <c r="DL386" s="595"/>
      <c r="DM386" s="595"/>
      <c r="DN386" s="514"/>
      <c r="DO386" s="226"/>
      <c r="DY386" s="482"/>
      <c r="DZ386" s="482"/>
    </row>
    <row r="387" spans="1:130" ht="12" customHeight="1">
      <c r="A387" s="552" t="s">
        <v>513</v>
      </c>
      <c r="B387" s="228"/>
      <c r="C387" s="228"/>
      <c r="D387" s="723"/>
      <c r="E387" s="722"/>
      <c r="F387" s="722"/>
      <c r="G387" s="722"/>
      <c r="H387" s="702"/>
      <c r="I387" s="715"/>
      <c r="J387" s="715"/>
      <c r="K387" s="715"/>
      <c r="L387" s="722"/>
      <c r="M387" s="702"/>
      <c r="N387" s="715"/>
      <c r="O387" s="715"/>
      <c r="P387" s="715"/>
      <c r="Q387" s="722"/>
      <c r="R387" s="702"/>
      <c r="S387" s="715"/>
      <c r="T387" s="715"/>
      <c r="U387" s="715"/>
      <c r="V387" s="722"/>
      <c r="W387" s="702"/>
      <c r="X387" s="715"/>
      <c r="Y387" s="715"/>
      <c r="Z387" s="715"/>
      <c r="AA387" s="722"/>
      <c r="AB387" s="702"/>
      <c r="AC387" s="715"/>
      <c r="AD387" s="715"/>
      <c r="AE387" s="715"/>
      <c r="AF387" s="722"/>
      <c r="AG387" s="702"/>
      <c r="AH387" s="703"/>
      <c r="AI387" s="703"/>
      <c r="AJ387" s="703"/>
      <c r="AK387" s="1387"/>
      <c r="AL387" s="3849"/>
      <c r="AM387" s="703"/>
      <c r="AN387" s="703"/>
      <c r="AO387" s="703"/>
      <c r="AP387" s="1387">
        <v>62</v>
      </c>
      <c r="AQ387" s="3849">
        <f>AP387</f>
        <v>62</v>
      </c>
      <c r="AR387" s="703">
        <f t="shared" ref="AR387:BG388" si="763">AQ387</f>
        <v>62</v>
      </c>
      <c r="AS387" s="703">
        <f t="shared" si="763"/>
        <v>62</v>
      </c>
      <c r="AT387" s="703">
        <f t="shared" si="763"/>
        <v>62</v>
      </c>
      <c r="AU387" s="1387">
        <v>63</v>
      </c>
      <c r="AV387" s="3849">
        <f t="shared" si="763"/>
        <v>63</v>
      </c>
      <c r="AW387" s="703">
        <f t="shared" si="763"/>
        <v>63</v>
      </c>
      <c r="AX387" s="703">
        <f t="shared" si="763"/>
        <v>63</v>
      </c>
      <c r="AY387" s="703">
        <f t="shared" si="763"/>
        <v>63</v>
      </c>
      <c r="AZ387" s="1387">
        <v>63</v>
      </c>
      <c r="BA387" s="3849">
        <f t="shared" ref="BA387:BA393" si="764">AZ387</f>
        <v>63</v>
      </c>
      <c r="BB387" s="703">
        <f t="shared" si="763"/>
        <v>63</v>
      </c>
      <c r="BC387" s="703">
        <f t="shared" si="763"/>
        <v>63</v>
      </c>
      <c r="BD387" s="703">
        <f t="shared" si="763"/>
        <v>63</v>
      </c>
      <c r="BE387" s="703">
        <f t="shared" si="763"/>
        <v>63</v>
      </c>
      <c r="BF387" s="3849">
        <f t="shared" si="763"/>
        <v>63</v>
      </c>
      <c r="BG387" s="2817">
        <f t="shared" si="763"/>
        <v>63</v>
      </c>
      <c r="BH387" s="703">
        <f t="shared" ref="BH387:BK388" si="765">BG387</f>
        <v>63</v>
      </c>
      <c r="BI387" s="703">
        <f t="shared" si="765"/>
        <v>63</v>
      </c>
      <c r="BJ387" s="1872">
        <f t="shared" si="765"/>
        <v>63</v>
      </c>
      <c r="BK387" s="3849">
        <f t="shared" si="765"/>
        <v>63</v>
      </c>
      <c r="BL387" s="3163">
        <f t="shared" ref="BL387:BN388" si="766">BK387</f>
        <v>63</v>
      </c>
      <c r="BM387" s="3163">
        <f t="shared" si="766"/>
        <v>63</v>
      </c>
      <c r="BN387" s="3163">
        <f t="shared" si="766"/>
        <v>63</v>
      </c>
      <c r="BO387" s="3164">
        <f t="shared" ref="BO387:BP393" si="767">BN387</f>
        <v>63</v>
      </c>
      <c r="BP387" s="3849">
        <f t="shared" si="767"/>
        <v>63</v>
      </c>
      <c r="BQ387" s="3163">
        <f>BP387</f>
        <v>63</v>
      </c>
      <c r="BR387" s="3163">
        <f t="shared" ref="BR387:BR388" si="768">BQ387</f>
        <v>63</v>
      </c>
      <c r="BS387" s="3163">
        <f t="shared" ref="BS387:BT393" si="769">BR387</f>
        <v>63</v>
      </c>
      <c r="BT387" s="3164">
        <f t="shared" si="769"/>
        <v>63</v>
      </c>
      <c r="BU387" s="3850">
        <f t="shared" ref="BU387:BU393" si="770">BT387</f>
        <v>63</v>
      </c>
      <c r="BV387" s="3163">
        <f>BU387</f>
        <v>63</v>
      </c>
      <c r="BW387" s="3163">
        <f t="shared" ref="BW387:BZ393" si="771">BV387</f>
        <v>63</v>
      </c>
      <c r="BX387" s="3163">
        <f t="shared" si="771"/>
        <v>63</v>
      </c>
      <c r="BY387" s="3163">
        <f t="shared" si="771"/>
        <v>63</v>
      </c>
      <c r="BZ387" s="3850">
        <f t="shared" si="771"/>
        <v>63</v>
      </c>
      <c r="CA387" s="3849">
        <f t="shared" ref="CA387:CB393" si="772">BZ387</f>
        <v>63</v>
      </c>
      <c r="CB387" s="3849">
        <f t="shared" si="772"/>
        <v>63</v>
      </c>
      <c r="CC387" s="3849">
        <f t="shared" ref="CC387:CC393" si="773">CB387</f>
        <v>63</v>
      </c>
      <c r="CD387" s="3849">
        <f t="shared" ref="CD387:CD393" si="774">CC387</f>
        <v>63</v>
      </c>
      <c r="CE387" s="3849">
        <f t="shared" ref="CE387:CE393" si="775">CD387</f>
        <v>63</v>
      </c>
      <c r="CF387" s="3849">
        <f t="shared" ref="CF387:CF393" si="776">CE387</f>
        <v>63</v>
      </c>
      <c r="CG387" s="3849">
        <f t="shared" ref="CG387:CG393" si="777">CF387</f>
        <v>63</v>
      </c>
      <c r="CH387" s="231"/>
      <c r="CI387" s="231"/>
      <c r="CJ387" s="231"/>
      <c r="CK387" s="231"/>
      <c r="CL387" s="231"/>
      <c r="CM387" s="231"/>
      <c r="CN387" s="231"/>
      <c r="CO387" s="231"/>
      <c r="CP387" s="994" t="str">
        <f t="shared" si="600"/>
        <v>Imperial Palace (MS) - Estimated</v>
      </c>
      <c r="CQ387" s="703"/>
      <c r="CR387" s="703"/>
      <c r="CS387" s="703"/>
      <c r="CT387" s="703"/>
      <c r="CU387" s="703"/>
      <c r="CV387" s="703"/>
      <c r="CW387" s="703"/>
      <c r="CX387" s="703">
        <f t="shared" si="608"/>
        <v>62</v>
      </c>
      <c r="CY387" s="703">
        <f t="shared" si="609"/>
        <v>63</v>
      </c>
      <c r="CZ387" s="703">
        <f t="shared" si="610"/>
        <v>63</v>
      </c>
      <c r="DA387" s="703">
        <f t="shared" si="611"/>
        <v>63</v>
      </c>
      <c r="DB387" s="703">
        <f t="shared" si="612"/>
        <v>63</v>
      </c>
      <c r="DC387" s="703">
        <f t="shared" si="613"/>
        <v>63</v>
      </c>
      <c r="DD387" s="703">
        <f t="shared" si="614"/>
        <v>63</v>
      </c>
      <c r="DE387" s="703">
        <f t="shared" si="615"/>
        <v>63</v>
      </c>
      <c r="DF387" s="703">
        <f t="shared" si="616"/>
        <v>63</v>
      </c>
      <c r="DG387" s="1872">
        <f t="shared" si="617"/>
        <v>63</v>
      </c>
      <c r="DH387" s="223"/>
      <c r="DI387" s="595"/>
      <c r="DJ387" s="595"/>
      <c r="DK387" s="595"/>
      <c r="DL387" s="595"/>
      <c r="DM387" s="595"/>
      <c r="DN387" s="514"/>
      <c r="DO387" s="226"/>
      <c r="DY387" s="231"/>
      <c r="DZ387" s="231"/>
    </row>
    <row r="388" spans="1:130" ht="12" customHeight="1">
      <c r="A388" s="552" t="s">
        <v>872</v>
      </c>
      <c r="B388" s="228"/>
      <c r="C388" s="228"/>
      <c r="D388" s="723">
        <v>47</v>
      </c>
      <c r="E388" s="722">
        <v>47</v>
      </c>
      <c r="F388" s="722">
        <v>47</v>
      </c>
      <c r="G388" s="722">
        <v>46</v>
      </c>
      <c r="H388" s="702">
        <f t="shared" ref="H388:H393" si="778">G388</f>
        <v>46</v>
      </c>
      <c r="I388" s="715">
        <f t="shared" ref="I388:I393" si="779">H388</f>
        <v>46</v>
      </c>
      <c r="J388" s="715">
        <f t="shared" ref="J388:J393" si="780">I388</f>
        <v>46</v>
      </c>
      <c r="K388" s="715">
        <f t="shared" ref="K388:K393" si="781">J388</f>
        <v>46</v>
      </c>
      <c r="L388" s="722">
        <v>39</v>
      </c>
      <c r="M388" s="702">
        <f t="shared" ref="M388:M393" si="782">L388</f>
        <v>39</v>
      </c>
      <c r="N388" s="715">
        <f t="shared" ref="N388:N393" si="783">M388</f>
        <v>39</v>
      </c>
      <c r="O388" s="715">
        <f t="shared" ref="O388:O393" si="784">N388</f>
        <v>39</v>
      </c>
      <c r="P388" s="715">
        <f t="shared" ref="P388:P393" si="785">O388</f>
        <v>39</v>
      </c>
      <c r="Q388" s="722">
        <v>38</v>
      </c>
      <c r="R388" s="702">
        <f t="shared" ref="R388:R393" si="786">Q388</f>
        <v>38</v>
      </c>
      <c r="S388" s="715">
        <f t="shared" ref="S388:S393" si="787">R388</f>
        <v>38</v>
      </c>
      <c r="T388" s="715">
        <f t="shared" ref="T388:T393" si="788">S388</f>
        <v>38</v>
      </c>
      <c r="U388" s="715">
        <f t="shared" ref="U388:U393" si="789">T388</f>
        <v>38</v>
      </c>
      <c r="V388" s="722">
        <v>38</v>
      </c>
      <c r="W388" s="702">
        <f t="shared" ref="W388:W393" si="790">V388</f>
        <v>38</v>
      </c>
      <c r="X388" s="715">
        <f t="shared" ref="X388:X393" si="791">W388</f>
        <v>38</v>
      </c>
      <c r="Y388" s="715">
        <f t="shared" ref="Y388:Y393" si="792">X388</f>
        <v>38</v>
      </c>
      <c r="Z388" s="715">
        <f t="shared" ref="Z388:Z393" si="793">Y388</f>
        <v>38</v>
      </c>
      <c r="AA388" s="722">
        <v>38</v>
      </c>
      <c r="AB388" s="702">
        <f t="shared" ref="AB388:AB393" si="794">AA388</f>
        <v>38</v>
      </c>
      <c r="AC388" s="715">
        <f t="shared" ref="AC388:AD393" si="795">AB388</f>
        <v>38</v>
      </c>
      <c r="AD388" s="715">
        <f>AC388</f>
        <v>38</v>
      </c>
      <c r="AE388" s="715">
        <f t="shared" ref="AE388:AE393" si="796">AD388</f>
        <v>38</v>
      </c>
      <c r="AF388" s="722">
        <v>33</v>
      </c>
      <c r="AG388" s="702">
        <f t="shared" ref="AG388:AG393" si="797">AF388</f>
        <v>33</v>
      </c>
      <c r="AH388" s="703">
        <f>AG388</f>
        <v>33</v>
      </c>
      <c r="AI388" s="703">
        <f>AH388</f>
        <v>33</v>
      </c>
      <c r="AJ388" s="703">
        <f>AI388</f>
        <v>33</v>
      </c>
      <c r="AK388" s="1387">
        <v>34</v>
      </c>
      <c r="AL388" s="3849">
        <f>AK388</f>
        <v>34</v>
      </c>
      <c r="AM388" s="703">
        <f>AL388</f>
        <v>34</v>
      </c>
      <c r="AN388" s="703">
        <f>AM388</f>
        <v>34</v>
      </c>
      <c r="AO388" s="703">
        <f>AN388</f>
        <v>34</v>
      </c>
      <c r="AP388" s="1387">
        <v>30</v>
      </c>
      <c r="AQ388" s="3849">
        <f>AP388</f>
        <v>30</v>
      </c>
      <c r="AR388" s="703">
        <f t="shared" si="763"/>
        <v>30</v>
      </c>
      <c r="AS388" s="703">
        <f t="shared" si="763"/>
        <v>30</v>
      </c>
      <c r="AT388" s="703">
        <f t="shared" si="763"/>
        <v>30</v>
      </c>
      <c r="AU388" s="1387">
        <v>30</v>
      </c>
      <c r="AV388" s="3849">
        <f t="shared" si="763"/>
        <v>30</v>
      </c>
      <c r="AW388" s="703">
        <f t="shared" si="763"/>
        <v>30</v>
      </c>
      <c r="AX388" s="703">
        <f t="shared" si="763"/>
        <v>30</v>
      </c>
      <c r="AY388" s="703">
        <f t="shared" si="763"/>
        <v>30</v>
      </c>
      <c r="AZ388" s="1387">
        <v>30</v>
      </c>
      <c r="BA388" s="3849">
        <f t="shared" si="764"/>
        <v>30</v>
      </c>
      <c r="BB388" s="703">
        <f t="shared" si="763"/>
        <v>30</v>
      </c>
      <c r="BC388" s="703">
        <f t="shared" si="763"/>
        <v>30</v>
      </c>
      <c r="BD388" s="703">
        <f t="shared" si="763"/>
        <v>30</v>
      </c>
      <c r="BE388" s="703">
        <f t="shared" si="763"/>
        <v>30</v>
      </c>
      <c r="BF388" s="3849">
        <f t="shared" si="763"/>
        <v>30</v>
      </c>
      <c r="BG388" s="2817">
        <f t="shared" si="763"/>
        <v>30</v>
      </c>
      <c r="BH388" s="703">
        <f t="shared" si="765"/>
        <v>30</v>
      </c>
      <c r="BI388" s="703">
        <f t="shared" si="765"/>
        <v>30</v>
      </c>
      <c r="BJ388" s="1872">
        <f t="shared" si="765"/>
        <v>30</v>
      </c>
      <c r="BK388" s="3849">
        <f t="shared" si="765"/>
        <v>30</v>
      </c>
      <c r="BL388" s="3163">
        <f t="shared" si="766"/>
        <v>30</v>
      </c>
      <c r="BM388" s="3163">
        <f t="shared" si="766"/>
        <v>30</v>
      </c>
      <c r="BN388" s="3163">
        <f t="shared" si="766"/>
        <v>30</v>
      </c>
      <c r="BO388" s="3164">
        <f t="shared" si="767"/>
        <v>30</v>
      </c>
      <c r="BP388" s="3849">
        <f t="shared" si="767"/>
        <v>30</v>
      </c>
      <c r="BQ388" s="3163">
        <f>BP388</f>
        <v>30</v>
      </c>
      <c r="BR388" s="3163">
        <f t="shared" si="768"/>
        <v>30</v>
      </c>
      <c r="BS388" s="3163">
        <f t="shared" si="769"/>
        <v>30</v>
      </c>
      <c r="BT388" s="3164">
        <f t="shared" si="769"/>
        <v>30</v>
      </c>
      <c r="BU388" s="3850">
        <f t="shared" si="770"/>
        <v>30</v>
      </c>
      <c r="BV388" s="3163">
        <f>BU388</f>
        <v>30</v>
      </c>
      <c r="BW388" s="3163">
        <f t="shared" ref="BW388:BY388" si="798">BV388</f>
        <v>30</v>
      </c>
      <c r="BX388" s="3163">
        <f t="shared" si="798"/>
        <v>30</v>
      </c>
      <c r="BY388" s="3163">
        <f t="shared" si="798"/>
        <v>30</v>
      </c>
      <c r="BZ388" s="3850">
        <f t="shared" si="771"/>
        <v>30</v>
      </c>
      <c r="CA388" s="3849">
        <f t="shared" si="772"/>
        <v>30</v>
      </c>
      <c r="CB388" s="3849">
        <f t="shared" si="772"/>
        <v>30</v>
      </c>
      <c r="CC388" s="3849">
        <f t="shared" si="773"/>
        <v>30</v>
      </c>
      <c r="CD388" s="3849">
        <f t="shared" si="774"/>
        <v>30</v>
      </c>
      <c r="CE388" s="3849">
        <f t="shared" si="775"/>
        <v>30</v>
      </c>
      <c r="CF388" s="3849">
        <f t="shared" si="776"/>
        <v>30</v>
      </c>
      <c r="CG388" s="3849">
        <f t="shared" si="777"/>
        <v>30</v>
      </c>
      <c r="CH388" s="231"/>
      <c r="CI388" s="231"/>
      <c r="CJ388" s="231"/>
      <c r="CK388" s="231"/>
      <c r="CL388" s="231"/>
      <c r="CM388" s="231"/>
      <c r="CN388" s="231"/>
      <c r="CO388" s="231"/>
      <c r="CP388" s="994" t="str">
        <f t="shared" si="600"/>
        <v>Sam's Town Tunica (MS)</v>
      </c>
      <c r="CQ388" s="703">
        <f t="shared" si="601"/>
        <v>46</v>
      </c>
      <c r="CR388" s="703">
        <f t="shared" si="602"/>
        <v>39</v>
      </c>
      <c r="CS388" s="703">
        <f t="shared" si="603"/>
        <v>38</v>
      </c>
      <c r="CT388" s="703">
        <f t="shared" si="604"/>
        <v>38</v>
      </c>
      <c r="CU388" s="703">
        <f t="shared" si="605"/>
        <v>38</v>
      </c>
      <c r="CV388" s="703">
        <f t="shared" si="606"/>
        <v>33</v>
      </c>
      <c r="CW388" s="703">
        <f t="shared" si="607"/>
        <v>34</v>
      </c>
      <c r="CX388" s="703">
        <f t="shared" si="608"/>
        <v>30</v>
      </c>
      <c r="CY388" s="703">
        <f t="shared" si="609"/>
        <v>30</v>
      </c>
      <c r="CZ388" s="703">
        <f t="shared" si="610"/>
        <v>30</v>
      </c>
      <c r="DA388" s="703">
        <f t="shared" si="611"/>
        <v>30</v>
      </c>
      <c r="DB388" s="703">
        <f t="shared" si="612"/>
        <v>30</v>
      </c>
      <c r="DC388" s="703">
        <f t="shared" si="613"/>
        <v>30</v>
      </c>
      <c r="DD388" s="703">
        <f t="shared" si="614"/>
        <v>30</v>
      </c>
      <c r="DE388" s="703">
        <f t="shared" si="615"/>
        <v>30</v>
      </c>
      <c r="DF388" s="703">
        <f t="shared" si="616"/>
        <v>30</v>
      </c>
      <c r="DG388" s="1872">
        <f t="shared" si="617"/>
        <v>30</v>
      </c>
      <c r="DH388" s="223"/>
      <c r="DI388" s="595"/>
      <c r="DJ388" s="595"/>
      <c r="DK388" s="595"/>
      <c r="DL388" s="595"/>
      <c r="DM388" s="595"/>
      <c r="DN388" s="514"/>
      <c r="DO388" s="226"/>
      <c r="DY388" s="231"/>
      <c r="DZ388" s="231"/>
    </row>
    <row r="389" spans="1:130" ht="12" customHeight="1">
      <c r="A389" s="552" t="s">
        <v>553</v>
      </c>
      <c r="B389" s="228"/>
      <c r="C389" s="228"/>
      <c r="D389" s="723">
        <v>21</v>
      </c>
      <c r="E389" s="722">
        <v>21</v>
      </c>
      <c r="F389" s="722">
        <v>21</v>
      </c>
      <c r="G389" s="722">
        <v>21</v>
      </c>
      <c r="H389" s="702">
        <f t="shared" si="778"/>
        <v>21</v>
      </c>
      <c r="I389" s="715">
        <f t="shared" si="779"/>
        <v>21</v>
      </c>
      <c r="J389" s="715">
        <f t="shared" si="780"/>
        <v>21</v>
      </c>
      <c r="K389" s="715">
        <f t="shared" si="781"/>
        <v>21</v>
      </c>
      <c r="L389" s="722">
        <v>24</v>
      </c>
      <c r="M389" s="702">
        <f t="shared" si="782"/>
        <v>24</v>
      </c>
      <c r="N389" s="715">
        <f t="shared" si="783"/>
        <v>24</v>
      </c>
      <c r="O389" s="715">
        <f t="shared" si="784"/>
        <v>24</v>
      </c>
      <c r="P389" s="715">
        <f t="shared" si="785"/>
        <v>24</v>
      </c>
      <c r="Q389" s="722">
        <v>24</v>
      </c>
      <c r="R389" s="702">
        <f t="shared" si="786"/>
        <v>24</v>
      </c>
      <c r="S389" s="715">
        <f t="shared" si="787"/>
        <v>24</v>
      </c>
      <c r="T389" s="715">
        <f t="shared" si="788"/>
        <v>24</v>
      </c>
      <c r="U389" s="715">
        <f t="shared" si="789"/>
        <v>24</v>
      </c>
      <c r="V389" s="722">
        <v>24</v>
      </c>
      <c r="W389" s="702">
        <f t="shared" si="790"/>
        <v>24</v>
      </c>
      <c r="X389" s="715">
        <f t="shared" si="791"/>
        <v>24</v>
      </c>
      <c r="Y389" s="715">
        <f t="shared" si="792"/>
        <v>24</v>
      </c>
      <c r="Z389" s="715">
        <f t="shared" si="793"/>
        <v>24</v>
      </c>
      <c r="AA389" s="722">
        <v>25</v>
      </c>
      <c r="AB389" s="702">
        <f t="shared" si="794"/>
        <v>25</v>
      </c>
      <c r="AC389" s="715">
        <f t="shared" si="795"/>
        <v>25</v>
      </c>
      <c r="AD389" s="715">
        <f t="shared" si="795"/>
        <v>25</v>
      </c>
      <c r="AE389" s="715">
        <f t="shared" si="796"/>
        <v>25</v>
      </c>
      <c r="AF389" s="722">
        <v>22</v>
      </c>
      <c r="AG389" s="702">
        <f t="shared" si="797"/>
        <v>22</v>
      </c>
      <c r="AH389" s="703">
        <f t="shared" ref="AH389:AQ389" si="799">AG389</f>
        <v>22</v>
      </c>
      <c r="AI389" s="703">
        <f t="shared" si="799"/>
        <v>22</v>
      </c>
      <c r="AJ389" s="703">
        <f t="shared" si="799"/>
        <v>22</v>
      </c>
      <c r="AK389" s="1387">
        <v>21</v>
      </c>
      <c r="AL389" s="3849">
        <f t="shared" si="799"/>
        <v>21</v>
      </c>
      <c r="AM389" s="703">
        <f t="shared" si="799"/>
        <v>21</v>
      </c>
      <c r="AN389" s="703">
        <f t="shared" si="799"/>
        <v>21</v>
      </c>
      <c r="AO389" s="703">
        <f t="shared" si="799"/>
        <v>21</v>
      </c>
      <c r="AP389" s="1387">
        <v>21</v>
      </c>
      <c r="AQ389" s="3849">
        <f t="shared" si="799"/>
        <v>21</v>
      </c>
      <c r="AR389" s="703">
        <f t="shared" ref="AR389:BF389" si="800">AQ389</f>
        <v>21</v>
      </c>
      <c r="AS389" s="703">
        <f t="shared" si="800"/>
        <v>21</v>
      </c>
      <c r="AT389" s="703">
        <f t="shared" si="800"/>
        <v>21</v>
      </c>
      <c r="AU389" s="1387">
        <v>20</v>
      </c>
      <c r="AV389" s="3849">
        <f t="shared" si="800"/>
        <v>20</v>
      </c>
      <c r="AW389" s="703">
        <f t="shared" si="800"/>
        <v>20</v>
      </c>
      <c r="AX389" s="703">
        <f t="shared" si="800"/>
        <v>20</v>
      </c>
      <c r="AY389" s="703">
        <f t="shared" si="800"/>
        <v>20</v>
      </c>
      <c r="AZ389" s="1387">
        <v>20</v>
      </c>
      <c r="BA389" s="3849">
        <f t="shared" si="764"/>
        <v>20</v>
      </c>
      <c r="BB389" s="2744">
        <v>25</v>
      </c>
      <c r="BC389" s="2744">
        <v>25</v>
      </c>
      <c r="BD389" s="2744">
        <v>27</v>
      </c>
      <c r="BE389" s="2744">
        <v>29</v>
      </c>
      <c r="BF389" s="3849">
        <f t="shared" si="800"/>
        <v>29</v>
      </c>
      <c r="BG389" s="3127">
        <v>29</v>
      </c>
      <c r="BH389" s="3174">
        <v>29</v>
      </c>
      <c r="BI389" s="3174">
        <v>29</v>
      </c>
      <c r="BJ389" s="3174">
        <v>29</v>
      </c>
      <c r="BK389" s="3849">
        <f>BJ389</f>
        <v>29</v>
      </c>
      <c r="BL389" s="3174">
        <v>29</v>
      </c>
      <c r="BM389" s="3174">
        <v>29</v>
      </c>
      <c r="BN389" s="3174">
        <v>29</v>
      </c>
      <c r="BO389" s="3174">
        <v>29</v>
      </c>
      <c r="BP389" s="3849">
        <f t="shared" si="767"/>
        <v>29</v>
      </c>
      <c r="BQ389" s="3174">
        <v>29</v>
      </c>
      <c r="BR389" s="3174">
        <v>30</v>
      </c>
      <c r="BS389" s="3172">
        <f t="shared" si="769"/>
        <v>30</v>
      </c>
      <c r="BT389" s="3173">
        <f t="shared" si="769"/>
        <v>30</v>
      </c>
      <c r="BU389" s="3850">
        <f t="shared" si="770"/>
        <v>30</v>
      </c>
      <c r="BV389" s="3172">
        <f>BU389</f>
        <v>30</v>
      </c>
      <c r="BW389" s="3172">
        <f t="shared" ref="BW389:BY389" si="801">BV389</f>
        <v>30</v>
      </c>
      <c r="BX389" s="3172">
        <f t="shared" si="801"/>
        <v>30</v>
      </c>
      <c r="BY389" s="3172">
        <f t="shared" si="801"/>
        <v>30</v>
      </c>
      <c r="BZ389" s="3850">
        <f t="shared" si="771"/>
        <v>30</v>
      </c>
      <c r="CA389" s="3852">
        <f t="shared" si="772"/>
        <v>30</v>
      </c>
      <c r="CB389" s="3852">
        <f t="shared" si="772"/>
        <v>30</v>
      </c>
      <c r="CC389" s="3852">
        <f t="shared" si="773"/>
        <v>30</v>
      </c>
      <c r="CD389" s="3852">
        <f t="shared" si="774"/>
        <v>30</v>
      </c>
      <c r="CE389" s="3852">
        <f t="shared" si="775"/>
        <v>30</v>
      </c>
      <c r="CF389" s="3852">
        <f t="shared" si="776"/>
        <v>30</v>
      </c>
      <c r="CG389" s="3852">
        <f t="shared" si="777"/>
        <v>30</v>
      </c>
      <c r="CH389" s="231"/>
      <c r="CI389" s="231"/>
      <c r="CJ389" s="231"/>
      <c r="CK389" s="231"/>
      <c r="CL389" s="231"/>
      <c r="CM389" s="231"/>
      <c r="CN389" s="231"/>
      <c r="CO389" s="231"/>
      <c r="CP389" s="994" t="str">
        <f t="shared" si="600"/>
        <v>Par-A-Dice (Peoria, Illinois)</v>
      </c>
      <c r="CQ389" s="703">
        <f t="shared" si="601"/>
        <v>21</v>
      </c>
      <c r="CR389" s="703">
        <f t="shared" si="602"/>
        <v>24</v>
      </c>
      <c r="CS389" s="703">
        <f t="shared" si="603"/>
        <v>24</v>
      </c>
      <c r="CT389" s="703">
        <f t="shared" si="604"/>
        <v>24</v>
      </c>
      <c r="CU389" s="703">
        <f t="shared" si="605"/>
        <v>25</v>
      </c>
      <c r="CV389" s="703">
        <f t="shared" si="606"/>
        <v>22</v>
      </c>
      <c r="CW389" s="703">
        <f t="shared" si="607"/>
        <v>21</v>
      </c>
      <c r="CX389" s="703">
        <f t="shared" si="608"/>
        <v>21</v>
      </c>
      <c r="CY389" s="703">
        <f t="shared" si="609"/>
        <v>20</v>
      </c>
      <c r="CZ389" s="703">
        <f t="shared" si="610"/>
        <v>20</v>
      </c>
      <c r="DA389" s="703">
        <f t="shared" si="611"/>
        <v>29</v>
      </c>
      <c r="DB389" s="703">
        <f t="shared" si="612"/>
        <v>29</v>
      </c>
      <c r="DC389" s="703">
        <f t="shared" si="613"/>
        <v>29</v>
      </c>
      <c r="DD389" s="703">
        <f t="shared" si="614"/>
        <v>30</v>
      </c>
      <c r="DE389" s="703">
        <f t="shared" si="615"/>
        <v>30</v>
      </c>
      <c r="DF389" s="703">
        <f t="shared" si="616"/>
        <v>30</v>
      </c>
      <c r="DG389" s="1872">
        <f t="shared" si="617"/>
        <v>30</v>
      </c>
      <c r="DH389" s="223"/>
      <c r="DI389" s="595"/>
      <c r="DJ389" s="595"/>
      <c r="DK389" s="595"/>
      <c r="DL389" s="595"/>
      <c r="DM389" s="595"/>
      <c r="DN389" s="514"/>
      <c r="DO389" s="226"/>
      <c r="DY389" s="231"/>
      <c r="DZ389" s="231"/>
    </row>
    <row r="390" spans="1:130" ht="12" customHeight="1">
      <c r="A390" s="552" t="s">
        <v>632</v>
      </c>
      <c r="B390" s="228"/>
      <c r="C390" s="228"/>
      <c r="D390" s="723">
        <v>40</v>
      </c>
      <c r="E390" s="722">
        <v>40</v>
      </c>
      <c r="F390" s="722">
        <v>40</v>
      </c>
      <c r="G390" s="722">
        <v>40</v>
      </c>
      <c r="H390" s="702">
        <f t="shared" si="778"/>
        <v>40</v>
      </c>
      <c r="I390" s="715">
        <f t="shared" si="779"/>
        <v>40</v>
      </c>
      <c r="J390" s="715">
        <f t="shared" si="780"/>
        <v>40</v>
      </c>
      <c r="K390" s="715">
        <f t="shared" si="781"/>
        <v>40</v>
      </c>
      <c r="L390" s="722">
        <v>40</v>
      </c>
      <c r="M390" s="702">
        <f t="shared" si="782"/>
        <v>40</v>
      </c>
      <c r="N390" s="715">
        <f t="shared" si="783"/>
        <v>40</v>
      </c>
      <c r="O390" s="715">
        <f t="shared" si="784"/>
        <v>40</v>
      </c>
      <c r="P390" s="715">
        <f t="shared" si="785"/>
        <v>40</v>
      </c>
      <c r="Q390" s="722">
        <v>41</v>
      </c>
      <c r="R390" s="702">
        <f t="shared" si="786"/>
        <v>41</v>
      </c>
      <c r="S390" s="715">
        <f t="shared" si="787"/>
        <v>41</v>
      </c>
      <c r="T390" s="715">
        <f t="shared" si="788"/>
        <v>41</v>
      </c>
      <c r="U390" s="715">
        <f t="shared" si="789"/>
        <v>41</v>
      </c>
      <c r="V390" s="722">
        <v>36</v>
      </c>
      <c r="W390" s="702">
        <f t="shared" si="790"/>
        <v>36</v>
      </c>
      <c r="X390" s="715">
        <f t="shared" si="791"/>
        <v>36</v>
      </c>
      <c r="Y390" s="715">
        <f t="shared" si="792"/>
        <v>36</v>
      </c>
      <c r="Z390" s="715">
        <f t="shared" si="793"/>
        <v>36</v>
      </c>
      <c r="AA390" s="722">
        <v>36</v>
      </c>
      <c r="AB390" s="702">
        <f t="shared" si="794"/>
        <v>36</v>
      </c>
      <c r="AC390" s="715">
        <f t="shared" si="795"/>
        <v>36</v>
      </c>
      <c r="AD390" s="715">
        <f t="shared" si="795"/>
        <v>36</v>
      </c>
      <c r="AE390" s="715">
        <f t="shared" si="796"/>
        <v>36</v>
      </c>
      <c r="AF390" s="722">
        <v>36</v>
      </c>
      <c r="AG390" s="702">
        <f t="shared" si="797"/>
        <v>36</v>
      </c>
      <c r="AH390" s="703">
        <f t="shared" ref="AH390:AQ390" si="802">AG390</f>
        <v>36</v>
      </c>
      <c r="AI390" s="703">
        <f t="shared" si="802"/>
        <v>36</v>
      </c>
      <c r="AJ390" s="703">
        <f t="shared" si="802"/>
        <v>36</v>
      </c>
      <c r="AK390" s="1387">
        <v>36</v>
      </c>
      <c r="AL390" s="3849">
        <f t="shared" si="802"/>
        <v>36</v>
      </c>
      <c r="AM390" s="703">
        <f t="shared" si="802"/>
        <v>36</v>
      </c>
      <c r="AN390" s="703">
        <f t="shared" si="802"/>
        <v>36</v>
      </c>
      <c r="AO390" s="703">
        <f t="shared" si="802"/>
        <v>36</v>
      </c>
      <c r="AP390" s="1387">
        <v>36</v>
      </c>
      <c r="AQ390" s="3849">
        <f t="shared" si="802"/>
        <v>36</v>
      </c>
      <c r="AR390" s="703">
        <f t="shared" ref="AR390:BF390" si="803">AQ390</f>
        <v>36</v>
      </c>
      <c r="AS390" s="703">
        <f t="shared" si="803"/>
        <v>36</v>
      </c>
      <c r="AT390" s="703">
        <f t="shared" si="803"/>
        <v>36</v>
      </c>
      <c r="AU390" s="1387">
        <v>36</v>
      </c>
      <c r="AV390" s="3849">
        <f t="shared" si="803"/>
        <v>36</v>
      </c>
      <c r="AW390" s="703">
        <f t="shared" si="803"/>
        <v>36</v>
      </c>
      <c r="AX390" s="703">
        <f t="shared" si="803"/>
        <v>36</v>
      </c>
      <c r="AY390" s="703">
        <f t="shared" si="803"/>
        <v>36</v>
      </c>
      <c r="AZ390" s="1387">
        <v>36</v>
      </c>
      <c r="BA390" s="3849">
        <f t="shared" si="764"/>
        <v>36</v>
      </c>
      <c r="BB390" s="2744">
        <f t="shared" si="803"/>
        <v>36</v>
      </c>
      <c r="BC390" s="2744">
        <v>36</v>
      </c>
      <c r="BD390" s="2744">
        <v>36</v>
      </c>
      <c r="BE390" s="2744">
        <v>36</v>
      </c>
      <c r="BF390" s="3849">
        <f t="shared" si="803"/>
        <v>36</v>
      </c>
      <c r="BG390" s="3127">
        <v>36</v>
      </c>
      <c r="BH390" s="3174">
        <v>36</v>
      </c>
      <c r="BI390" s="3174">
        <v>36</v>
      </c>
      <c r="BJ390" s="3174">
        <v>36</v>
      </c>
      <c r="BK390" s="3849">
        <f>BJ390</f>
        <v>36</v>
      </c>
      <c r="BL390" s="3174">
        <v>36</v>
      </c>
      <c r="BM390" s="3174">
        <v>36</v>
      </c>
      <c r="BN390" s="3174">
        <v>36</v>
      </c>
      <c r="BO390" s="3174">
        <v>36</v>
      </c>
      <c r="BP390" s="3849">
        <f t="shared" si="767"/>
        <v>36</v>
      </c>
      <c r="BQ390" s="3174">
        <v>36</v>
      </c>
      <c r="BR390" s="3174">
        <v>36</v>
      </c>
      <c r="BS390" s="3172">
        <f t="shared" si="769"/>
        <v>36</v>
      </c>
      <c r="BT390" s="3173">
        <f t="shared" si="769"/>
        <v>36</v>
      </c>
      <c r="BU390" s="3850">
        <f t="shared" si="770"/>
        <v>36</v>
      </c>
      <c r="BV390" s="3172">
        <f>BU390</f>
        <v>36</v>
      </c>
      <c r="BW390" s="3172">
        <f t="shared" ref="BW390:BY390" si="804">BV390</f>
        <v>36</v>
      </c>
      <c r="BX390" s="3172">
        <f t="shared" si="804"/>
        <v>36</v>
      </c>
      <c r="BY390" s="3172">
        <f t="shared" si="804"/>
        <v>36</v>
      </c>
      <c r="BZ390" s="3850">
        <f t="shared" si="771"/>
        <v>36</v>
      </c>
      <c r="CA390" s="3852">
        <f t="shared" si="772"/>
        <v>36</v>
      </c>
      <c r="CB390" s="3852">
        <f t="shared" si="772"/>
        <v>36</v>
      </c>
      <c r="CC390" s="3852">
        <f t="shared" si="773"/>
        <v>36</v>
      </c>
      <c r="CD390" s="3852">
        <f t="shared" si="774"/>
        <v>36</v>
      </c>
      <c r="CE390" s="3852">
        <f t="shared" si="775"/>
        <v>36</v>
      </c>
      <c r="CF390" s="3852">
        <f t="shared" si="776"/>
        <v>36</v>
      </c>
      <c r="CG390" s="3852">
        <f t="shared" si="777"/>
        <v>36</v>
      </c>
      <c r="CH390" s="231"/>
      <c r="CI390" s="231"/>
      <c r="CJ390" s="231"/>
      <c r="CK390" s="231"/>
      <c r="CL390" s="231"/>
      <c r="CM390" s="231"/>
      <c r="CN390" s="231"/>
      <c r="CO390" s="231"/>
      <c r="CP390" s="994" t="str">
        <f t="shared" si="600"/>
        <v>Treasure Chest (New Orleans, LA)</v>
      </c>
      <c r="CQ390" s="703">
        <f t="shared" si="601"/>
        <v>40</v>
      </c>
      <c r="CR390" s="703">
        <f t="shared" si="602"/>
        <v>40</v>
      </c>
      <c r="CS390" s="703">
        <f t="shared" si="603"/>
        <v>41</v>
      </c>
      <c r="CT390" s="703">
        <f t="shared" si="604"/>
        <v>36</v>
      </c>
      <c r="CU390" s="703">
        <f t="shared" si="605"/>
        <v>36</v>
      </c>
      <c r="CV390" s="703">
        <f t="shared" si="606"/>
        <v>36</v>
      </c>
      <c r="CW390" s="703">
        <f t="shared" si="607"/>
        <v>36</v>
      </c>
      <c r="CX390" s="703">
        <f t="shared" si="608"/>
        <v>36</v>
      </c>
      <c r="CY390" s="703">
        <f t="shared" si="609"/>
        <v>36</v>
      </c>
      <c r="CZ390" s="703">
        <f t="shared" si="610"/>
        <v>36</v>
      </c>
      <c r="DA390" s="703">
        <f t="shared" si="611"/>
        <v>36</v>
      </c>
      <c r="DB390" s="703">
        <f t="shared" si="612"/>
        <v>36</v>
      </c>
      <c r="DC390" s="703">
        <f t="shared" si="613"/>
        <v>36</v>
      </c>
      <c r="DD390" s="703">
        <f t="shared" si="614"/>
        <v>36</v>
      </c>
      <c r="DE390" s="703">
        <f t="shared" si="615"/>
        <v>36</v>
      </c>
      <c r="DF390" s="703">
        <f t="shared" si="616"/>
        <v>36</v>
      </c>
      <c r="DG390" s="1872">
        <f t="shared" si="617"/>
        <v>36</v>
      </c>
      <c r="DH390" s="223"/>
      <c r="DI390" s="595"/>
      <c r="DJ390" s="595"/>
      <c r="DK390" s="595"/>
      <c r="DL390" s="595"/>
      <c r="DM390" s="595"/>
      <c r="DN390" s="514"/>
      <c r="DO390" s="226"/>
      <c r="DY390" s="231"/>
      <c r="DZ390" s="231"/>
    </row>
    <row r="391" spans="1:130" ht="12" customHeight="1">
      <c r="A391" s="552" t="s">
        <v>917</v>
      </c>
      <c r="B391" s="228"/>
      <c r="C391" s="228"/>
      <c r="D391" s="723">
        <v>51</v>
      </c>
      <c r="E391" s="722">
        <v>51</v>
      </c>
      <c r="F391" s="722">
        <v>51</v>
      </c>
      <c r="G391" s="724">
        <v>49</v>
      </c>
      <c r="H391" s="702">
        <f t="shared" si="778"/>
        <v>49</v>
      </c>
      <c r="I391" s="715">
        <f t="shared" si="779"/>
        <v>49</v>
      </c>
      <c r="J391" s="715">
        <f t="shared" si="780"/>
        <v>49</v>
      </c>
      <c r="K391" s="715">
        <f t="shared" si="781"/>
        <v>49</v>
      </c>
      <c r="L391" s="722">
        <v>47</v>
      </c>
      <c r="M391" s="702">
        <f t="shared" si="782"/>
        <v>47</v>
      </c>
      <c r="N391" s="715">
        <f t="shared" si="783"/>
        <v>47</v>
      </c>
      <c r="O391" s="715">
        <f t="shared" si="784"/>
        <v>47</v>
      </c>
      <c r="P391" s="715">
        <f t="shared" si="785"/>
        <v>47</v>
      </c>
      <c r="Q391" s="722">
        <v>52</v>
      </c>
      <c r="R391" s="702">
        <f t="shared" si="786"/>
        <v>52</v>
      </c>
      <c r="S391" s="715">
        <f t="shared" si="787"/>
        <v>52</v>
      </c>
      <c r="T391" s="715">
        <f t="shared" si="788"/>
        <v>52</v>
      </c>
      <c r="U391" s="715">
        <f t="shared" si="789"/>
        <v>52</v>
      </c>
      <c r="V391" s="722">
        <v>52</v>
      </c>
      <c r="W391" s="702">
        <f t="shared" si="790"/>
        <v>52</v>
      </c>
      <c r="X391" s="715">
        <f t="shared" si="791"/>
        <v>52</v>
      </c>
      <c r="Y391" s="715">
        <f t="shared" si="792"/>
        <v>52</v>
      </c>
      <c r="Z391" s="715">
        <f t="shared" si="793"/>
        <v>52</v>
      </c>
      <c r="AA391" s="722">
        <v>49</v>
      </c>
      <c r="AB391" s="702">
        <f t="shared" si="794"/>
        <v>49</v>
      </c>
      <c r="AC391" s="715">
        <f t="shared" si="795"/>
        <v>49</v>
      </c>
      <c r="AD391" s="715">
        <f t="shared" si="795"/>
        <v>49</v>
      </c>
      <c r="AE391" s="715">
        <f t="shared" si="796"/>
        <v>49</v>
      </c>
      <c r="AF391" s="722">
        <v>47</v>
      </c>
      <c r="AG391" s="702">
        <f t="shared" si="797"/>
        <v>47</v>
      </c>
      <c r="AH391" s="703">
        <f t="shared" ref="AH391:AQ391" si="805">AG391</f>
        <v>47</v>
      </c>
      <c r="AI391" s="703">
        <f t="shared" si="805"/>
        <v>47</v>
      </c>
      <c r="AJ391" s="703">
        <f t="shared" si="805"/>
        <v>47</v>
      </c>
      <c r="AK391" s="1387">
        <v>43</v>
      </c>
      <c r="AL391" s="3849">
        <f t="shared" si="805"/>
        <v>43</v>
      </c>
      <c r="AM391" s="703">
        <f t="shared" si="805"/>
        <v>43</v>
      </c>
      <c r="AN391" s="703">
        <f t="shared" si="805"/>
        <v>43</v>
      </c>
      <c r="AO391" s="703">
        <f t="shared" si="805"/>
        <v>43</v>
      </c>
      <c r="AP391" s="1387">
        <v>42</v>
      </c>
      <c r="AQ391" s="3849">
        <f t="shared" si="805"/>
        <v>42</v>
      </c>
      <c r="AR391" s="703">
        <f t="shared" ref="AR391:BF391" si="806">AQ391</f>
        <v>42</v>
      </c>
      <c r="AS391" s="703">
        <f t="shared" si="806"/>
        <v>42</v>
      </c>
      <c r="AT391" s="703">
        <f t="shared" si="806"/>
        <v>42</v>
      </c>
      <c r="AU391" s="1387">
        <v>42</v>
      </c>
      <c r="AV391" s="3849">
        <f t="shared" si="806"/>
        <v>42</v>
      </c>
      <c r="AW391" s="703">
        <f t="shared" si="806"/>
        <v>42</v>
      </c>
      <c r="AX391" s="703">
        <f t="shared" si="806"/>
        <v>42</v>
      </c>
      <c r="AY391" s="703">
        <f t="shared" si="806"/>
        <v>42</v>
      </c>
      <c r="AZ391" s="1387">
        <v>42</v>
      </c>
      <c r="BA391" s="3849">
        <f t="shared" si="764"/>
        <v>42</v>
      </c>
      <c r="BB391" s="2744">
        <v>50</v>
      </c>
      <c r="BC391" s="2744">
        <v>50</v>
      </c>
      <c r="BD391" s="2744">
        <v>50</v>
      </c>
      <c r="BE391" s="2744">
        <v>52</v>
      </c>
      <c r="BF391" s="3849">
        <f t="shared" si="806"/>
        <v>52</v>
      </c>
      <c r="BG391" s="3127">
        <v>52</v>
      </c>
      <c r="BH391" s="3174">
        <v>52</v>
      </c>
      <c r="BI391" s="3174">
        <v>52</v>
      </c>
      <c r="BJ391" s="3174">
        <v>52</v>
      </c>
      <c r="BK391" s="3849">
        <f>BJ391</f>
        <v>52</v>
      </c>
      <c r="BL391" s="3174">
        <v>52</v>
      </c>
      <c r="BM391" s="3174">
        <v>52</v>
      </c>
      <c r="BN391" s="3174">
        <v>52</v>
      </c>
      <c r="BO391" s="3174">
        <v>51</v>
      </c>
      <c r="BP391" s="3849">
        <f t="shared" si="767"/>
        <v>51</v>
      </c>
      <c r="BQ391" s="3174">
        <v>50</v>
      </c>
      <c r="BR391" s="3174">
        <v>50</v>
      </c>
      <c r="BS391" s="3172">
        <f t="shared" si="769"/>
        <v>50</v>
      </c>
      <c r="BT391" s="3173">
        <f t="shared" si="769"/>
        <v>50</v>
      </c>
      <c r="BU391" s="3850">
        <f t="shared" si="770"/>
        <v>50</v>
      </c>
      <c r="BV391" s="3172">
        <f>BU391</f>
        <v>50</v>
      </c>
      <c r="BW391" s="3172">
        <f t="shared" ref="BW391:BY391" si="807">BV391</f>
        <v>50</v>
      </c>
      <c r="BX391" s="3172">
        <f t="shared" si="807"/>
        <v>50</v>
      </c>
      <c r="BY391" s="3172">
        <f t="shared" si="807"/>
        <v>50</v>
      </c>
      <c r="BZ391" s="3850">
        <f t="shared" si="771"/>
        <v>50</v>
      </c>
      <c r="CA391" s="3852">
        <f t="shared" si="772"/>
        <v>50</v>
      </c>
      <c r="CB391" s="3852">
        <f t="shared" si="772"/>
        <v>50</v>
      </c>
      <c r="CC391" s="3852">
        <f t="shared" si="773"/>
        <v>50</v>
      </c>
      <c r="CD391" s="3852">
        <f t="shared" si="774"/>
        <v>50</v>
      </c>
      <c r="CE391" s="3852">
        <f t="shared" si="775"/>
        <v>50</v>
      </c>
      <c r="CF391" s="3852">
        <f t="shared" si="776"/>
        <v>50</v>
      </c>
      <c r="CG391" s="3852">
        <f t="shared" si="777"/>
        <v>50</v>
      </c>
      <c r="CH391" s="231"/>
      <c r="CI391" s="231"/>
      <c r="CJ391" s="231"/>
      <c r="CK391" s="231"/>
      <c r="CL391" s="231"/>
      <c r="CM391" s="231"/>
      <c r="CN391" s="231"/>
      <c r="CO391" s="231"/>
      <c r="CP391" s="994" t="str">
        <f t="shared" si="600"/>
        <v>Blue Chip (Chicago, IL - IN)</v>
      </c>
      <c r="CQ391" s="703">
        <f t="shared" si="601"/>
        <v>49</v>
      </c>
      <c r="CR391" s="703">
        <f t="shared" si="602"/>
        <v>47</v>
      </c>
      <c r="CS391" s="703">
        <f t="shared" si="603"/>
        <v>52</v>
      </c>
      <c r="CT391" s="703">
        <f t="shared" si="604"/>
        <v>52</v>
      </c>
      <c r="CU391" s="703">
        <f t="shared" si="605"/>
        <v>49</v>
      </c>
      <c r="CV391" s="703">
        <f t="shared" si="606"/>
        <v>47</v>
      </c>
      <c r="CW391" s="703">
        <f t="shared" si="607"/>
        <v>43</v>
      </c>
      <c r="CX391" s="703">
        <f t="shared" si="608"/>
        <v>42</v>
      </c>
      <c r="CY391" s="703">
        <f t="shared" si="609"/>
        <v>42</v>
      </c>
      <c r="CZ391" s="703">
        <f t="shared" si="610"/>
        <v>42</v>
      </c>
      <c r="DA391" s="703">
        <f t="shared" si="611"/>
        <v>52</v>
      </c>
      <c r="DB391" s="703">
        <f t="shared" si="612"/>
        <v>52</v>
      </c>
      <c r="DC391" s="703">
        <f t="shared" si="613"/>
        <v>51</v>
      </c>
      <c r="DD391" s="703">
        <f t="shared" si="614"/>
        <v>50</v>
      </c>
      <c r="DE391" s="703">
        <f t="shared" si="615"/>
        <v>50</v>
      </c>
      <c r="DF391" s="703">
        <f t="shared" si="616"/>
        <v>50</v>
      </c>
      <c r="DG391" s="1872">
        <f t="shared" si="617"/>
        <v>50</v>
      </c>
      <c r="DH391" s="223"/>
      <c r="DI391" s="595"/>
      <c r="DJ391" s="595"/>
      <c r="DK391" s="595"/>
      <c r="DL391" s="595"/>
      <c r="DM391" s="595"/>
      <c r="DN391" s="514"/>
      <c r="DO391" s="226"/>
      <c r="DY391" s="231"/>
      <c r="DZ391" s="231"/>
    </row>
    <row r="392" spans="1:130" ht="12" customHeight="1">
      <c r="A392" s="552" t="s">
        <v>775</v>
      </c>
      <c r="B392" s="228"/>
      <c r="C392" s="228"/>
      <c r="D392" s="723">
        <v>0</v>
      </c>
      <c r="E392" s="722">
        <v>0</v>
      </c>
      <c r="F392" s="722">
        <v>0</v>
      </c>
      <c r="G392" s="724">
        <v>0</v>
      </c>
      <c r="H392" s="702">
        <f t="shared" si="778"/>
        <v>0</v>
      </c>
      <c r="I392" s="715">
        <f t="shared" si="779"/>
        <v>0</v>
      </c>
      <c r="J392" s="715">
        <f t="shared" si="780"/>
        <v>0</v>
      </c>
      <c r="K392" s="715">
        <f t="shared" si="781"/>
        <v>0</v>
      </c>
      <c r="L392" s="722">
        <v>0</v>
      </c>
      <c r="M392" s="702">
        <f t="shared" si="782"/>
        <v>0</v>
      </c>
      <c r="N392" s="715">
        <f t="shared" si="783"/>
        <v>0</v>
      </c>
      <c r="O392" s="715">
        <f t="shared" si="784"/>
        <v>0</v>
      </c>
      <c r="P392" s="715">
        <f t="shared" si="785"/>
        <v>0</v>
      </c>
      <c r="Q392" s="715">
        <f>P392</f>
        <v>0</v>
      </c>
      <c r="R392" s="702">
        <f t="shared" si="786"/>
        <v>0</v>
      </c>
      <c r="S392" s="715">
        <f t="shared" si="787"/>
        <v>0</v>
      </c>
      <c r="T392" s="715">
        <f t="shared" si="788"/>
        <v>0</v>
      </c>
      <c r="U392" s="715">
        <f t="shared" si="789"/>
        <v>0</v>
      </c>
      <c r="V392" s="715">
        <f>U392</f>
        <v>0</v>
      </c>
      <c r="W392" s="702">
        <f t="shared" si="790"/>
        <v>0</v>
      </c>
      <c r="X392" s="715">
        <f t="shared" si="791"/>
        <v>0</v>
      </c>
      <c r="Y392" s="715">
        <f t="shared" si="792"/>
        <v>0</v>
      </c>
      <c r="Z392" s="715">
        <f t="shared" si="793"/>
        <v>0</v>
      </c>
      <c r="AA392" s="722">
        <v>0</v>
      </c>
      <c r="AB392" s="702">
        <f t="shared" si="794"/>
        <v>0</v>
      </c>
      <c r="AC392" s="715">
        <f t="shared" si="795"/>
        <v>0</v>
      </c>
      <c r="AD392" s="715">
        <f t="shared" si="795"/>
        <v>0</v>
      </c>
      <c r="AE392" s="715">
        <f t="shared" si="796"/>
        <v>0</v>
      </c>
      <c r="AF392" s="722">
        <v>0</v>
      </c>
      <c r="AG392" s="702">
        <f t="shared" si="797"/>
        <v>0</v>
      </c>
      <c r="AH392" s="703">
        <f t="shared" ref="AH392:AQ392" si="808">AG392</f>
        <v>0</v>
      </c>
      <c r="AI392" s="703">
        <f t="shared" si="808"/>
        <v>0</v>
      </c>
      <c r="AJ392" s="703">
        <f t="shared" si="808"/>
        <v>0</v>
      </c>
      <c r="AK392" s="1387">
        <v>0</v>
      </c>
      <c r="AL392" s="3849">
        <f t="shared" si="808"/>
        <v>0</v>
      </c>
      <c r="AM392" s="703">
        <f t="shared" si="808"/>
        <v>0</v>
      </c>
      <c r="AN392" s="703">
        <f t="shared" si="808"/>
        <v>0</v>
      </c>
      <c r="AO392" s="703">
        <f t="shared" si="808"/>
        <v>0</v>
      </c>
      <c r="AP392" s="1387">
        <v>0</v>
      </c>
      <c r="AQ392" s="3849">
        <f t="shared" si="808"/>
        <v>0</v>
      </c>
      <c r="AR392" s="703">
        <f>AQ392</f>
        <v>0</v>
      </c>
      <c r="AS392" s="703">
        <f>AR392</f>
        <v>0</v>
      </c>
      <c r="AT392" s="703">
        <f>AS392</f>
        <v>0</v>
      </c>
      <c r="AU392" s="1387">
        <v>0</v>
      </c>
      <c r="AV392" s="3849">
        <f>AU392</f>
        <v>0</v>
      </c>
      <c r="AW392" s="703">
        <f>AV392</f>
        <v>0</v>
      </c>
      <c r="AX392" s="703">
        <f>AW392</f>
        <v>0</v>
      </c>
      <c r="AY392" s="703">
        <f>AX392</f>
        <v>0</v>
      </c>
      <c r="AZ392" s="1387">
        <v>0</v>
      </c>
      <c r="BA392" s="3849">
        <f t="shared" si="764"/>
        <v>0</v>
      </c>
      <c r="BB392" s="2744">
        <v>0</v>
      </c>
      <c r="BC392" s="2744">
        <v>0</v>
      </c>
      <c r="BD392" s="2744">
        <v>0</v>
      </c>
      <c r="BE392" s="2744">
        <v>0</v>
      </c>
      <c r="BF392" s="3849">
        <f>BE392</f>
        <v>0</v>
      </c>
      <c r="BG392" s="3127">
        <v>0</v>
      </c>
      <c r="BH392" s="3174">
        <v>0</v>
      </c>
      <c r="BI392" s="3174">
        <v>0</v>
      </c>
      <c r="BJ392" s="3174">
        <v>0</v>
      </c>
      <c r="BK392" s="3849">
        <f>BJ392</f>
        <v>0</v>
      </c>
      <c r="BL392" s="3174">
        <v>0</v>
      </c>
      <c r="BM392" s="3174">
        <v>0</v>
      </c>
      <c r="BN392" s="3174">
        <v>0</v>
      </c>
      <c r="BO392" s="3174">
        <v>0</v>
      </c>
      <c r="BP392" s="3849">
        <f t="shared" si="767"/>
        <v>0</v>
      </c>
      <c r="BQ392" s="3174">
        <v>0</v>
      </c>
      <c r="BR392" s="3174">
        <v>0</v>
      </c>
      <c r="BS392" s="3172">
        <f t="shared" si="769"/>
        <v>0</v>
      </c>
      <c r="BT392" s="3173">
        <f t="shared" si="769"/>
        <v>0</v>
      </c>
      <c r="BU392" s="3850">
        <f t="shared" si="770"/>
        <v>0</v>
      </c>
      <c r="BV392" s="3172">
        <f t="shared" ref="BV392:BY402" si="809">BU392</f>
        <v>0</v>
      </c>
      <c r="BW392" s="3172">
        <f t="shared" si="809"/>
        <v>0</v>
      </c>
      <c r="BX392" s="3172">
        <f t="shared" si="809"/>
        <v>0</v>
      </c>
      <c r="BY392" s="3172">
        <f t="shared" si="809"/>
        <v>0</v>
      </c>
      <c r="BZ392" s="3850">
        <f t="shared" si="771"/>
        <v>0</v>
      </c>
      <c r="CA392" s="3852">
        <f t="shared" si="772"/>
        <v>0</v>
      </c>
      <c r="CB392" s="3852">
        <f t="shared" si="772"/>
        <v>0</v>
      </c>
      <c r="CC392" s="3852">
        <f t="shared" si="773"/>
        <v>0</v>
      </c>
      <c r="CD392" s="3852">
        <f t="shared" si="774"/>
        <v>0</v>
      </c>
      <c r="CE392" s="3852">
        <f t="shared" si="775"/>
        <v>0</v>
      </c>
      <c r="CF392" s="3852">
        <f t="shared" si="776"/>
        <v>0</v>
      </c>
      <c r="CG392" s="3852">
        <f t="shared" si="777"/>
        <v>0</v>
      </c>
      <c r="CH392" s="231"/>
      <c r="CI392" s="231"/>
      <c r="CJ392" s="231"/>
      <c r="CK392" s="231"/>
      <c r="CL392" s="231"/>
      <c r="CM392" s="231"/>
      <c r="CN392" s="231"/>
      <c r="CO392" s="231"/>
      <c r="CP392" s="994" t="str">
        <f t="shared" si="600"/>
        <v>Delta Downs (Lake Charles, LA)</v>
      </c>
      <c r="CQ392" s="703">
        <f t="shared" si="601"/>
        <v>0</v>
      </c>
      <c r="CR392" s="703">
        <f t="shared" si="602"/>
        <v>0</v>
      </c>
      <c r="CS392" s="703">
        <f t="shared" si="603"/>
        <v>0</v>
      </c>
      <c r="CT392" s="703">
        <f t="shared" si="604"/>
        <v>0</v>
      </c>
      <c r="CU392" s="703">
        <f t="shared" si="605"/>
        <v>0</v>
      </c>
      <c r="CV392" s="703">
        <f t="shared" si="606"/>
        <v>0</v>
      </c>
      <c r="CW392" s="703">
        <f t="shared" si="607"/>
        <v>0</v>
      </c>
      <c r="CX392" s="703">
        <f t="shared" si="608"/>
        <v>0</v>
      </c>
      <c r="CY392" s="703">
        <f t="shared" si="609"/>
        <v>0</v>
      </c>
      <c r="CZ392" s="703">
        <f t="shared" si="610"/>
        <v>0</v>
      </c>
      <c r="DA392" s="703">
        <f t="shared" si="611"/>
        <v>0</v>
      </c>
      <c r="DB392" s="703">
        <f t="shared" si="612"/>
        <v>0</v>
      </c>
      <c r="DC392" s="703">
        <f t="shared" si="613"/>
        <v>0</v>
      </c>
      <c r="DD392" s="703">
        <f t="shared" si="614"/>
        <v>0</v>
      </c>
      <c r="DE392" s="703">
        <f t="shared" si="615"/>
        <v>0</v>
      </c>
      <c r="DF392" s="703">
        <f t="shared" si="616"/>
        <v>0</v>
      </c>
      <c r="DG392" s="1872">
        <f t="shared" si="617"/>
        <v>0</v>
      </c>
      <c r="DH392" s="223"/>
      <c r="DI392" s="595"/>
      <c r="DJ392" s="595"/>
      <c r="DK392" s="595"/>
      <c r="DL392" s="595"/>
      <c r="DM392" s="595"/>
      <c r="DN392" s="514"/>
      <c r="DO392" s="226"/>
      <c r="DY392" s="231"/>
      <c r="DZ392" s="231"/>
    </row>
    <row r="393" spans="1:130" ht="12" customHeight="1">
      <c r="A393" s="552" t="s">
        <v>1302</v>
      </c>
      <c r="B393" s="228"/>
      <c r="C393" s="228"/>
      <c r="D393" s="3853">
        <v>0</v>
      </c>
      <c r="E393" s="1387">
        <v>30</v>
      </c>
      <c r="F393" s="1387">
        <v>30</v>
      </c>
      <c r="G393" s="1387">
        <v>33</v>
      </c>
      <c r="H393" s="702">
        <f t="shared" si="778"/>
        <v>33</v>
      </c>
      <c r="I393" s="703">
        <f t="shared" si="779"/>
        <v>33</v>
      </c>
      <c r="J393" s="703">
        <f t="shared" si="780"/>
        <v>33</v>
      </c>
      <c r="K393" s="703">
        <f t="shared" si="781"/>
        <v>33</v>
      </c>
      <c r="L393" s="1387">
        <v>26</v>
      </c>
      <c r="M393" s="702">
        <f t="shared" si="782"/>
        <v>26</v>
      </c>
      <c r="N393" s="703">
        <f t="shared" si="783"/>
        <v>26</v>
      </c>
      <c r="O393" s="703">
        <f t="shared" si="784"/>
        <v>26</v>
      </c>
      <c r="P393" s="703">
        <f t="shared" si="785"/>
        <v>26</v>
      </c>
      <c r="Q393" s="703">
        <v>27</v>
      </c>
      <c r="R393" s="702">
        <f t="shared" si="786"/>
        <v>27</v>
      </c>
      <c r="S393" s="703">
        <f t="shared" si="787"/>
        <v>27</v>
      </c>
      <c r="T393" s="703">
        <f t="shared" si="788"/>
        <v>27</v>
      </c>
      <c r="U393" s="703">
        <f t="shared" si="789"/>
        <v>27</v>
      </c>
      <c r="V393" s="1387">
        <v>28</v>
      </c>
      <c r="W393" s="702">
        <f t="shared" si="790"/>
        <v>28</v>
      </c>
      <c r="X393" s="703">
        <f t="shared" si="791"/>
        <v>28</v>
      </c>
      <c r="Y393" s="703">
        <f t="shared" si="792"/>
        <v>28</v>
      </c>
      <c r="Z393" s="703">
        <f t="shared" si="793"/>
        <v>28</v>
      </c>
      <c r="AA393" s="1387">
        <v>28</v>
      </c>
      <c r="AB393" s="702">
        <f t="shared" si="794"/>
        <v>28</v>
      </c>
      <c r="AC393" s="703">
        <f t="shared" si="795"/>
        <v>28</v>
      </c>
      <c r="AD393" s="703">
        <f t="shared" si="795"/>
        <v>28</v>
      </c>
      <c r="AE393" s="703">
        <f t="shared" si="796"/>
        <v>28</v>
      </c>
      <c r="AF393" s="1387">
        <v>29</v>
      </c>
      <c r="AG393" s="702">
        <f t="shared" si="797"/>
        <v>29</v>
      </c>
      <c r="AH393" s="703">
        <f t="shared" ref="AH393:AQ393" si="810">AG393</f>
        <v>29</v>
      </c>
      <c r="AI393" s="703">
        <f t="shared" si="810"/>
        <v>29</v>
      </c>
      <c r="AJ393" s="703">
        <f t="shared" si="810"/>
        <v>29</v>
      </c>
      <c r="AK393" s="1387">
        <v>29</v>
      </c>
      <c r="AL393" s="3849">
        <f t="shared" si="810"/>
        <v>29</v>
      </c>
      <c r="AM393" s="703">
        <f t="shared" si="810"/>
        <v>29</v>
      </c>
      <c r="AN393" s="703">
        <f t="shared" si="810"/>
        <v>29</v>
      </c>
      <c r="AO393" s="703">
        <f t="shared" si="810"/>
        <v>29</v>
      </c>
      <c r="AP393" s="1387">
        <v>29</v>
      </c>
      <c r="AQ393" s="3849">
        <f t="shared" si="810"/>
        <v>29</v>
      </c>
      <c r="AR393" s="703">
        <f t="shared" ref="AR393:BF393" si="811">AQ393</f>
        <v>29</v>
      </c>
      <c r="AS393" s="703">
        <f t="shared" si="811"/>
        <v>29</v>
      </c>
      <c r="AT393" s="703">
        <f t="shared" si="811"/>
        <v>29</v>
      </c>
      <c r="AU393" s="1387">
        <v>29</v>
      </c>
      <c r="AV393" s="3849">
        <f t="shared" si="811"/>
        <v>29</v>
      </c>
      <c r="AW393" s="703">
        <f t="shared" si="811"/>
        <v>29</v>
      </c>
      <c r="AX393" s="703">
        <f t="shared" si="811"/>
        <v>29</v>
      </c>
      <c r="AY393" s="703">
        <f t="shared" si="811"/>
        <v>29</v>
      </c>
      <c r="AZ393" s="1387">
        <v>29</v>
      </c>
      <c r="BA393" s="3849">
        <f t="shared" si="764"/>
        <v>29</v>
      </c>
      <c r="BB393" s="2744">
        <v>28</v>
      </c>
      <c r="BC393" s="2744">
        <v>28</v>
      </c>
      <c r="BD393" s="2744">
        <v>29</v>
      </c>
      <c r="BE393" s="2744">
        <v>29</v>
      </c>
      <c r="BF393" s="3849">
        <f t="shared" si="811"/>
        <v>29</v>
      </c>
      <c r="BG393" s="3127">
        <v>29</v>
      </c>
      <c r="BH393" s="3174">
        <v>29</v>
      </c>
      <c r="BI393" s="3174">
        <v>29</v>
      </c>
      <c r="BJ393" s="3174">
        <v>29</v>
      </c>
      <c r="BK393" s="3849">
        <f>BJ393</f>
        <v>29</v>
      </c>
      <c r="BL393" s="3174">
        <v>29</v>
      </c>
      <c r="BM393" s="3174">
        <v>29</v>
      </c>
      <c r="BN393" s="3174">
        <v>29</v>
      </c>
      <c r="BO393" s="3174">
        <v>29</v>
      </c>
      <c r="BP393" s="3849">
        <f t="shared" si="767"/>
        <v>29</v>
      </c>
      <c r="BQ393" s="3174">
        <v>29</v>
      </c>
      <c r="BR393" s="3174">
        <v>29</v>
      </c>
      <c r="BS393" s="3172">
        <f t="shared" si="769"/>
        <v>29</v>
      </c>
      <c r="BT393" s="3173">
        <f t="shared" si="769"/>
        <v>29</v>
      </c>
      <c r="BU393" s="3850">
        <f t="shared" si="770"/>
        <v>29</v>
      </c>
      <c r="BV393" s="3172">
        <f t="shared" si="809"/>
        <v>29</v>
      </c>
      <c r="BW393" s="3172">
        <f t="shared" si="809"/>
        <v>29</v>
      </c>
      <c r="BX393" s="3172">
        <f t="shared" si="809"/>
        <v>29</v>
      </c>
      <c r="BY393" s="3172">
        <f t="shared" si="809"/>
        <v>29</v>
      </c>
      <c r="BZ393" s="3850">
        <f t="shared" si="771"/>
        <v>29</v>
      </c>
      <c r="CA393" s="3852">
        <f t="shared" si="772"/>
        <v>29</v>
      </c>
      <c r="CB393" s="3852">
        <f t="shared" si="772"/>
        <v>29</v>
      </c>
      <c r="CC393" s="3852">
        <f t="shared" si="773"/>
        <v>29</v>
      </c>
      <c r="CD393" s="3852">
        <f t="shared" si="774"/>
        <v>29</v>
      </c>
      <c r="CE393" s="3852">
        <f t="shared" si="775"/>
        <v>29</v>
      </c>
      <c r="CF393" s="3852">
        <f t="shared" si="776"/>
        <v>29</v>
      </c>
      <c r="CG393" s="3852">
        <f t="shared" si="777"/>
        <v>29</v>
      </c>
      <c r="CH393" s="709"/>
      <c r="CI393" s="709"/>
      <c r="CJ393" s="709"/>
      <c r="CK393" s="709"/>
      <c r="CL393" s="709"/>
      <c r="CM393" s="709"/>
      <c r="CN393" s="709"/>
      <c r="CO393" s="709"/>
      <c r="CP393" s="994" t="str">
        <f t="shared" si="600"/>
        <v>Sam's Town Shreveport (LA)</v>
      </c>
      <c r="CQ393" s="720">
        <f t="shared" si="601"/>
        <v>33</v>
      </c>
      <c r="CR393" s="720">
        <f t="shared" si="602"/>
        <v>26</v>
      </c>
      <c r="CS393" s="720">
        <f t="shared" si="603"/>
        <v>27</v>
      </c>
      <c r="CT393" s="720">
        <f t="shared" si="604"/>
        <v>28</v>
      </c>
      <c r="CU393" s="720">
        <f t="shared" si="605"/>
        <v>28</v>
      </c>
      <c r="CV393" s="720">
        <f t="shared" si="606"/>
        <v>29</v>
      </c>
      <c r="CW393" s="720">
        <f t="shared" si="607"/>
        <v>29</v>
      </c>
      <c r="CX393" s="720">
        <f t="shared" si="608"/>
        <v>29</v>
      </c>
      <c r="CY393" s="720">
        <f t="shared" si="609"/>
        <v>29</v>
      </c>
      <c r="CZ393" s="720">
        <f t="shared" si="610"/>
        <v>29</v>
      </c>
      <c r="DA393" s="720">
        <f t="shared" si="611"/>
        <v>29</v>
      </c>
      <c r="DB393" s="720">
        <f t="shared" si="612"/>
        <v>29</v>
      </c>
      <c r="DC393" s="720">
        <f t="shared" si="613"/>
        <v>29</v>
      </c>
      <c r="DD393" s="720">
        <f t="shared" si="614"/>
        <v>29</v>
      </c>
      <c r="DE393" s="720">
        <f t="shared" si="615"/>
        <v>29</v>
      </c>
      <c r="DF393" s="720">
        <f t="shared" si="616"/>
        <v>29</v>
      </c>
      <c r="DG393" s="1874">
        <f t="shared" si="617"/>
        <v>29</v>
      </c>
      <c r="DH393" s="223"/>
      <c r="DI393" s="595"/>
      <c r="DJ393" s="595"/>
      <c r="DK393" s="595"/>
      <c r="DL393" s="595"/>
      <c r="DM393" s="595"/>
      <c r="DN393" s="514"/>
      <c r="DO393" s="226"/>
      <c r="DY393" s="231"/>
      <c r="DZ393" s="231"/>
    </row>
    <row r="394" spans="1:130" s="2252" customFormat="1" ht="12" customHeight="1">
      <c r="A394" s="552" t="s">
        <v>456</v>
      </c>
      <c r="B394" s="228"/>
      <c r="C394" s="228"/>
      <c r="D394" s="3853"/>
      <c r="E394" s="1387"/>
      <c r="F394" s="1387"/>
      <c r="G394" s="1387"/>
      <c r="H394" s="702"/>
      <c r="I394" s="703"/>
      <c r="J394" s="703"/>
      <c r="K394" s="703"/>
      <c r="L394" s="1387"/>
      <c r="M394" s="702"/>
      <c r="N394" s="703"/>
      <c r="O394" s="703"/>
      <c r="P394" s="703"/>
      <c r="Q394" s="703"/>
      <c r="R394" s="702"/>
      <c r="S394" s="703"/>
      <c r="T394" s="703"/>
      <c r="U394" s="703"/>
      <c r="V394" s="1387"/>
      <c r="W394" s="702"/>
      <c r="X394" s="703"/>
      <c r="Y394" s="703"/>
      <c r="Z394" s="703"/>
      <c r="AA394" s="1387"/>
      <c r="AB394" s="702"/>
      <c r="AC394" s="703"/>
      <c r="AD394" s="703"/>
      <c r="AE394" s="703"/>
      <c r="AF394" s="1387"/>
      <c r="AG394" s="702"/>
      <c r="AH394" s="703"/>
      <c r="AI394" s="703"/>
      <c r="AJ394" s="703"/>
      <c r="AK394" s="1387"/>
      <c r="AL394" s="3849"/>
      <c r="AM394" s="722">
        <v>19</v>
      </c>
      <c r="AN394" s="722">
        <v>19</v>
      </c>
      <c r="AO394" s="722">
        <v>19</v>
      </c>
      <c r="AP394" s="722">
        <v>19</v>
      </c>
      <c r="AQ394" s="1076">
        <f>+AVERAGE(AM394:AP394)</f>
        <v>19</v>
      </c>
      <c r="AR394" s="722">
        <v>19</v>
      </c>
      <c r="AS394" s="722">
        <v>19</v>
      </c>
      <c r="AT394" s="722">
        <v>19</v>
      </c>
      <c r="AU394" s="722">
        <v>19</v>
      </c>
      <c r="AV394" s="1076">
        <f>+AVERAGE(AR394:AU394)</f>
        <v>19</v>
      </c>
      <c r="AW394" s="3861">
        <f>+AU394</f>
        <v>19</v>
      </c>
      <c r="AX394" s="3861">
        <f>+AW394</f>
        <v>19</v>
      </c>
      <c r="AY394" s="3861">
        <f>+AX394</f>
        <v>19</v>
      </c>
      <c r="AZ394" s="722">
        <v>19</v>
      </c>
      <c r="BA394" s="1076">
        <f>+AVERAGE(AW394:AZ394)</f>
        <v>19</v>
      </c>
      <c r="BB394" s="2744">
        <v>19</v>
      </c>
      <c r="BC394" s="2744">
        <v>19</v>
      </c>
      <c r="BD394" s="2744">
        <v>20</v>
      </c>
      <c r="BE394" s="2744">
        <v>20</v>
      </c>
      <c r="BF394" s="1076">
        <f>+AVERAGE(BB394:BE394)</f>
        <v>19.5</v>
      </c>
      <c r="BG394" s="3127">
        <v>20</v>
      </c>
      <c r="BH394" s="3174">
        <v>20</v>
      </c>
      <c r="BI394" s="3174">
        <v>20</v>
      </c>
      <c r="BJ394" s="3174">
        <v>20</v>
      </c>
      <c r="BK394" s="1076">
        <f>+AVERAGE(BG394:BJ394)</f>
        <v>20</v>
      </c>
      <c r="BL394" s="3174">
        <v>20</v>
      </c>
      <c r="BM394" s="3174">
        <v>20</v>
      </c>
      <c r="BN394" s="3174">
        <v>20</v>
      </c>
      <c r="BO394" s="3174">
        <v>20</v>
      </c>
      <c r="BP394" s="1076">
        <f>+AVERAGE(BL394:BO394)</f>
        <v>20</v>
      </c>
      <c r="BQ394" s="3174">
        <v>20</v>
      </c>
      <c r="BR394" s="3174">
        <v>20</v>
      </c>
      <c r="BS394" s="3172">
        <f t="shared" ref="BS394:BT398" si="812">+BR394</f>
        <v>20</v>
      </c>
      <c r="BT394" s="3173">
        <f t="shared" si="812"/>
        <v>20</v>
      </c>
      <c r="BU394" s="3850">
        <f>+AVERAGE(BQ394:BT394)</f>
        <v>20</v>
      </c>
      <c r="BV394" s="3172">
        <f t="shared" si="809"/>
        <v>20</v>
      </c>
      <c r="BW394" s="3172">
        <f t="shared" si="809"/>
        <v>20</v>
      </c>
      <c r="BX394" s="3172">
        <f t="shared" si="809"/>
        <v>20</v>
      </c>
      <c r="BY394" s="3172">
        <f t="shared" si="809"/>
        <v>20</v>
      </c>
      <c r="BZ394" s="3850">
        <f>+AVERAGE(BV394:BY394)</f>
        <v>20</v>
      </c>
      <c r="CA394" s="3852">
        <f t="shared" ref="CA394:CA395" si="813">+BZ394</f>
        <v>20</v>
      </c>
      <c r="CB394" s="3852">
        <f t="shared" ref="CB394:CB395" si="814">+CA394</f>
        <v>20</v>
      </c>
      <c r="CC394" s="3859">
        <f t="shared" ref="CC394:CC395" si="815">+CB394</f>
        <v>20</v>
      </c>
      <c r="CD394" s="3859">
        <f t="shared" ref="CD394:CD395" si="816">+CC394</f>
        <v>20</v>
      </c>
      <c r="CE394" s="3859">
        <f t="shared" ref="CE394:CE395" si="817">+CD394</f>
        <v>20</v>
      </c>
      <c r="CF394" s="3859">
        <f t="shared" ref="CF394:CF395" si="818">+CE394</f>
        <v>20</v>
      </c>
      <c r="CG394" s="3859">
        <f t="shared" ref="CG394:CG395" si="819">+CF394</f>
        <v>20</v>
      </c>
      <c r="CH394" s="709"/>
      <c r="CI394" s="709"/>
      <c r="CJ394" s="709"/>
      <c r="CK394" s="709"/>
      <c r="CL394" s="709"/>
      <c r="CM394" s="709"/>
      <c r="CN394" s="709"/>
      <c r="CO394" s="709"/>
      <c r="CP394" s="994"/>
      <c r="CQ394" s="720"/>
      <c r="CR394" s="720"/>
      <c r="CS394" s="720"/>
      <c r="CT394" s="720"/>
      <c r="CU394" s="720"/>
      <c r="CV394" s="720"/>
      <c r="CW394" s="720"/>
      <c r="CX394" s="720"/>
      <c r="CY394" s="720"/>
      <c r="CZ394" s="720"/>
      <c r="DA394" s="720"/>
      <c r="DB394" s="720"/>
      <c r="DC394" s="720"/>
      <c r="DD394" s="720"/>
      <c r="DE394" s="720"/>
      <c r="DF394" s="720"/>
      <c r="DG394" s="1874"/>
      <c r="DH394" s="223"/>
      <c r="DI394" s="595"/>
      <c r="DJ394" s="595"/>
      <c r="DK394" s="595"/>
      <c r="DL394" s="595"/>
      <c r="DM394" s="595"/>
      <c r="DN394" s="514"/>
      <c r="DO394" s="77"/>
      <c r="DP394"/>
      <c r="DQ394"/>
      <c r="DR394"/>
      <c r="DS394"/>
      <c r="DT394"/>
      <c r="DU394"/>
      <c r="DY394" s="231"/>
      <c r="DZ394" s="231"/>
    </row>
    <row r="395" spans="1:130" s="2252" customFormat="1" ht="12" customHeight="1">
      <c r="A395" s="552" t="s">
        <v>457</v>
      </c>
      <c r="B395" s="228"/>
      <c r="C395" s="228"/>
      <c r="D395" s="3853"/>
      <c r="E395" s="1387"/>
      <c r="F395" s="1387"/>
      <c r="G395" s="1387"/>
      <c r="H395" s="702"/>
      <c r="I395" s="703"/>
      <c r="J395" s="703"/>
      <c r="K395" s="703"/>
      <c r="L395" s="1387"/>
      <c r="M395" s="702"/>
      <c r="N395" s="703"/>
      <c r="O395" s="703"/>
      <c r="P395" s="703"/>
      <c r="Q395" s="703"/>
      <c r="R395" s="702"/>
      <c r="S395" s="703"/>
      <c r="T395" s="703"/>
      <c r="U395" s="703"/>
      <c r="V395" s="1387"/>
      <c r="W395" s="702"/>
      <c r="X395" s="703"/>
      <c r="Y395" s="703"/>
      <c r="Z395" s="703"/>
      <c r="AA395" s="1387"/>
      <c r="AB395" s="702"/>
      <c r="AC395" s="703"/>
      <c r="AD395" s="703"/>
      <c r="AE395" s="703"/>
      <c r="AF395" s="1387"/>
      <c r="AG395" s="702"/>
      <c r="AH395" s="703"/>
      <c r="AI395" s="703"/>
      <c r="AJ395" s="703"/>
      <c r="AK395" s="1387"/>
      <c r="AL395" s="3849"/>
      <c r="AM395" s="722">
        <v>29</v>
      </c>
      <c r="AN395" s="722">
        <v>29</v>
      </c>
      <c r="AO395" s="722">
        <v>29</v>
      </c>
      <c r="AP395" s="722">
        <v>29</v>
      </c>
      <c r="AQ395" s="1076">
        <f>+AVERAGE(AM395:AP395)</f>
        <v>29</v>
      </c>
      <c r="AR395" s="722">
        <v>29</v>
      </c>
      <c r="AS395" s="722">
        <v>29</v>
      </c>
      <c r="AT395" s="722">
        <v>29</v>
      </c>
      <c r="AU395" s="722">
        <v>29</v>
      </c>
      <c r="AV395" s="1076">
        <f>+AVERAGE(AR395:AU395)</f>
        <v>29</v>
      </c>
      <c r="AW395" s="3861">
        <f>+AU395</f>
        <v>29</v>
      </c>
      <c r="AX395" s="3861">
        <f>+AW395</f>
        <v>29</v>
      </c>
      <c r="AY395" s="3861">
        <f>+AX395</f>
        <v>29</v>
      </c>
      <c r="AZ395" s="722">
        <v>30</v>
      </c>
      <c r="BA395" s="1076">
        <f>+AVERAGE(AW395:AZ395)</f>
        <v>29.25</v>
      </c>
      <c r="BB395" s="2744">
        <v>30</v>
      </c>
      <c r="BC395" s="2744">
        <v>30</v>
      </c>
      <c r="BD395" s="2744">
        <v>30</v>
      </c>
      <c r="BE395" s="2744">
        <v>30</v>
      </c>
      <c r="BF395" s="1076">
        <f>+AVERAGE(BB395:BE395)</f>
        <v>30</v>
      </c>
      <c r="BG395" s="3127">
        <v>30</v>
      </c>
      <c r="BH395" s="3174">
        <v>29</v>
      </c>
      <c r="BI395" s="3174">
        <v>31</v>
      </c>
      <c r="BJ395" s="3174">
        <v>31</v>
      </c>
      <c r="BK395" s="1076">
        <f>+AVERAGE(BG395:BJ395)</f>
        <v>30.25</v>
      </c>
      <c r="BL395" s="3174">
        <v>31</v>
      </c>
      <c r="BM395" s="3174">
        <v>31</v>
      </c>
      <c r="BN395" s="3174">
        <v>32</v>
      </c>
      <c r="BO395" s="3174">
        <v>32</v>
      </c>
      <c r="BP395" s="1076">
        <f>+AVERAGE(BL395:BO395)</f>
        <v>31.5</v>
      </c>
      <c r="BQ395" s="3174">
        <v>32</v>
      </c>
      <c r="BR395" s="3174">
        <v>33</v>
      </c>
      <c r="BS395" s="3172">
        <f t="shared" si="812"/>
        <v>33</v>
      </c>
      <c r="BT395" s="3173">
        <f t="shared" si="812"/>
        <v>33</v>
      </c>
      <c r="BU395" s="3850">
        <f>+AVERAGE(BQ395:BT395)</f>
        <v>32.75</v>
      </c>
      <c r="BV395" s="3172">
        <f t="shared" si="809"/>
        <v>32.75</v>
      </c>
      <c r="BW395" s="3172">
        <f t="shared" si="809"/>
        <v>32.75</v>
      </c>
      <c r="BX395" s="3172">
        <f t="shared" si="809"/>
        <v>32.75</v>
      </c>
      <c r="BY395" s="3172">
        <f t="shared" si="809"/>
        <v>32.75</v>
      </c>
      <c r="BZ395" s="3850">
        <f>+AVERAGE(BV395:BY395)</f>
        <v>32.75</v>
      </c>
      <c r="CA395" s="3852">
        <f t="shared" si="813"/>
        <v>32.75</v>
      </c>
      <c r="CB395" s="3852">
        <f t="shared" si="814"/>
        <v>32.75</v>
      </c>
      <c r="CC395" s="3859">
        <f t="shared" si="815"/>
        <v>32.75</v>
      </c>
      <c r="CD395" s="3859">
        <f t="shared" si="816"/>
        <v>32.75</v>
      </c>
      <c r="CE395" s="3859">
        <f t="shared" si="817"/>
        <v>32.75</v>
      </c>
      <c r="CF395" s="3859">
        <f t="shared" si="818"/>
        <v>32.75</v>
      </c>
      <c r="CG395" s="3859">
        <f t="shared" si="819"/>
        <v>32.75</v>
      </c>
      <c r="CH395" s="709"/>
      <c r="CI395" s="709"/>
      <c r="CJ395" s="709"/>
      <c r="CK395" s="709"/>
      <c r="CL395" s="709"/>
      <c r="CM395" s="709"/>
      <c r="CN395" s="709"/>
      <c r="CO395" s="709"/>
      <c r="CP395" s="994"/>
      <c r="CQ395" s="720"/>
      <c r="CR395" s="720"/>
      <c r="CS395" s="720"/>
      <c r="CT395" s="720"/>
      <c r="CU395" s="720"/>
      <c r="CV395" s="720"/>
      <c r="CW395" s="720"/>
      <c r="CX395" s="720"/>
      <c r="CY395" s="720"/>
      <c r="CZ395" s="720"/>
      <c r="DA395" s="720"/>
      <c r="DB395" s="720"/>
      <c r="DC395" s="720"/>
      <c r="DD395" s="720"/>
      <c r="DE395" s="720"/>
      <c r="DF395" s="720"/>
      <c r="DG395" s="1874"/>
      <c r="DH395" s="223"/>
      <c r="DI395" s="595"/>
      <c r="DJ395" s="595"/>
      <c r="DK395" s="595"/>
      <c r="DL395" s="595"/>
      <c r="DM395" s="595"/>
      <c r="DN395" s="514"/>
      <c r="DO395" s="77"/>
      <c r="DP395"/>
      <c r="DQ395"/>
      <c r="DR395"/>
      <c r="DS395"/>
      <c r="DT395"/>
      <c r="DU395"/>
      <c r="DY395" s="231"/>
      <c r="DZ395" s="231"/>
    </row>
    <row r="396" spans="1:130" s="2252" customFormat="1" ht="12" customHeight="1">
      <c r="A396" s="552" t="s">
        <v>458</v>
      </c>
      <c r="B396" s="228"/>
      <c r="C396" s="228"/>
      <c r="D396" s="3853"/>
      <c r="E396" s="1387"/>
      <c r="F396" s="1387"/>
      <c r="G396" s="1387"/>
      <c r="H396" s="702"/>
      <c r="I396" s="703"/>
      <c r="J396" s="703"/>
      <c r="K396" s="703"/>
      <c r="L396" s="1387"/>
      <c r="M396" s="702"/>
      <c r="N396" s="703"/>
      <c r="O396" s="703"/>
      <c r="P396" s="703"/>
      <c r="Q396" s="703"/>
      <c r="R396" s="702"/>
      <c r="S396" s="703"/>
      <c r="T396" s="703"/>
      <c r="U396" s="703"/>
      <c r="V396" s="1387"/>
      <c r="W396" s="702"/>
      <c r="X396" s="703"/>
      <c r="Y396" s="703"/>
      <c r="Z396" s="703"/>
      <c r="AA396" s="1387"/>
      <c r="AB396" s="702"/>
      <c r="AC396" s="703"/>
      <c r="AD396" s="703"/>
      <c r="AE396" s="703"/>
      <c r="AF396" s="1387"/>
      <c r="AG396" s="702"/>
      <c r="AH396" s="703"/>
      <c r="AI396" s="703"/>
      <c r="AJ396" s="703"/>
      <c r="AK396" s="1387"/>
      <c r="AL396" s="3849"/>
      <c r="AM396" s="722">
        <v>0</v>
      </c>
      <c r="AN396" s="722">
        <v>0</v>
      </c>
      <c r="AO396" s="722">
        <v>0</v>
      </c>
      <c r="AP396" s="722">
        <v>0</v>
      </c>
      <c r="AQ396" s="1076">
        <f>+AVERAGE(AM396:AP396)</f>
        <v>0</v>
      </c>
      <c r="AR396" s="722">
        <v>0</v>
      </c>
      <c r="AS396" s="722">
        <v>0</v>
      </c>
      <c r="AT396" s="722">
        <v>0</v>
      </c>
      <c r="AU396" s="722">
        <v>0</v>
      </c>
      <c r="AV396" s="1076">
        <f>+AVERAGE(AR396:AU396)</f>
        <v>0</v>
      </c>
      <c r="AW396" s="3861">
        <v>0</v>
      </c>
      <c r="AX396" s="3861">
        <v>0</v>
      </c>
      <c r="AY396" s="3861">
        <v>0</v>
      </c>
      <c r="AZ396" s="722">
        <v>0</v>
      </c>
      <c r="BA396" s="1076">
        <f>+AVERAGE(AW396:AZ396)</f>
        <v>0</v>
      </c>
      <c r="BB396" s="2744">
        <v>0</v>
      </c>
      <c r="BC396" s="2744">
        <v>0</v>
      </c>
      <c r="BD396" s="2744">
        <v>0</v>
      </c>
      <c r="BE396" s="2744">
        <v>0</v>
      </c>
      <c r="BF396" s="1076">
        <f>+AVERAGE(BB396:BE396)</f>
        <v>0</v>
      </c>
      <c r="BG396" s="3127">
        <v>0</v>
      </c>
      <c r="BH396" s="3174">
        <v>0</v>
      </c>
      <c r="BI396" s="3174">
        <v>0</v>
      </c>
      <c r="BJ396" s="3174">
        <v>0</v>
      </c>
      <c r="BK396" s="1076">
        <f>+AVERAGE(BG396:BJ396)</f>
        <v>0</v>
      </c>
      <c r="BL396" s="3174">
        <v>0</v>
      </c>
      <c r="BM396" s="3174">
        <v>0</v>
      </c>
      <c r="BN396" s="3174">
        <v>0</v>
      </c>
      <c r="BO396" s="3174">
        <v>0</v>
      </c>
      <c r="BP396" s="1076">
        <f>+AVERAGE(BL396:BO396)</f>
        <v>0</v>
      </c>
      <c r="BQ396" s="3174">
        <v>0</v>
      </c>
      <c r="BR396" s="3174">
        <v>0</v>
      </c>
      <c r="BS396" s="3172">
        <f t="shared" si="812"/>
        <v>0</v>
      </c>
      <c r="BT396" s="3173">
        <f t="shared" si="812"/>
        <v>0</v>
      </c>
      <c r="BU396" s="3850">
        <f>+AVERAGE(BQ396:BT396)</f>
        <v>0</v>
      </c>
      <c r="BV396" s="3172">
        <f t="shared" si="809"/>
        <v>0</v>
      </c>
      <c r="BW396" s="3172">
        <f t="shared" si="809"/>
        <v>0</v>
      </c>
      <c r="BX396" s="3172">
        <f t="shared" si="809"/>
        <v>0</v>
      </c>
      <c r="BY396" s="3172">
        <f t="shared" si="809"/>
        <v>0</v>
      </c>
      <c r="BZ396" s="3850">
        <f>+AVERAGE(BV396:BY396)</f>
        <v>0</v>
      </c>
      <c r="CA396" s="3852">
        <f t="shared" ref="CA396" si="820">+BZ396</f>
        <v>0</v>
      </c>
      <c r="CB396" s="3852">
        <f t="shared" ref="CB396" si="821">+CA396</f>
        <v>0</v>
      </c>
      <c r="CC396" s="3859">
        <f t="shared" ref="CC396" si="822">+CB396</f>
        <v>0</v>
      </c>
      <c r="CD396" s="3859">
        <f t="shared" ref="CD396" si="823">+CC396</f>
        <v>0</v>
      </c>
      <c r="CE396" s="3859">
        <f t="shared" ref="CE396" si="824">+CD396</f>
        <v>0</v>
      </c>
      <c r="CF396" s="3859">
        <f t="shared" ref="CF396" si="825">+CE396</f>
        <v>0</v>
      </c>
      <c r="CG396" s="3859">
        <f t="shared" ref="CG396" si="826">+CF396</f>
        <v>0</v>
      </c>
      <c r="CH396" s="709"/>
      <c r="CI396" s="709"/>
      <c r="CJ396" s="709"/>
      <c r="CK396" s="709"/>
      <c r="CL396" s="709"/>
      <c r="CM396" s="709"/>
      <c r="CN396" s="709"/>
      <c r="CO396" s="709"/>
      <c r="CP396" s="994"/>
      <c r="CQ396" s="720"/>
      <c r="CR396" s="720"/>
      <c r="CS396" s="720"/>
      <c r="CT396" s="720"/>
      <c r="CU396" s="720"/>
      <c r="CV396" s="720"/>
      <c r="CW396" s="720"/>
      <c r="CX396" s="720"/>
      <c r="CY396" s="720"/>
      <c r="CZ396" s="720"/>
      <c r="DA396" s="720"/>
      <c r="DB396" s="720"/>
      <c r="DC396" s="720"/>
      <c r="DD396" s="720"/>
      <c r="DE396" s="720"/>
      <c r="DF396" s="720"/>
      <c r="DG396" s="1874"/>
      <c r="DH396" s="223"/>
      <c r="DI396" s="595"/>
      <c r="DJ396" s="595"/>
      <c r="DK396" s="595"/>
      <c r="DL396" s="595"/>
      <c r="DM396" s="595"/>
      <c r="DN396" s="514"/>
      <c r="DO396" s="77"/>
      <c r="DP396"/>
      <c r="DQ396"/>
      <c r="DR396"/>
      <c r="DS396"/>
      <c r="DT396"/>
      <c r="DU396"/>
      <c r="DY396" s="231"/>
      <c r="DZ396" s="231"/>
    </row>
    <row r="397" spans="1:130" s="2252" customFormat="1" ht="12" customHeight="1">
      <c r="A397" s="552" t="s">
        <v>460</v>
      </c>
      <c r="B397" s="228"/>
      <c r="C397" s="228"/>
      <c r="D397" s="3853"/>
      <c r="E397" s="1387"/>
      <c r="F397" s="1387"/>
      <c r="G397" s="1387"/>
      <c r="H397" s="702"/>
      <c r="I397" s="703"/>
      <c r="J397" s="703"/>
      <c r="K397" s="703"/>
      <c r="L397" s="1387"/>
      <c r="M397" s="702"/>
      <c r="N397" s="703"/>
      <c r="O397" s="703"/>
      <c r="P397" s="703"/>
      <c r="Q397" s="703"/>
      <c r="R397" s="702"/>
      <c r="S397" s="703"/>
      <c r="T397" s="703"/>
      <c r="U397" s="703"/>
      <c r="V397" s="1387"/>
      <c r="W397" s="702"/>
      <c r="X397" s="703"/>
      <c r="Y397" s="703"/>
      <c r="Z397" s="703"/>
      <c r="AA397" s="1387"/>
      <c r="AB397" s="702"/>
      <c r="AC397" s="703"/>
      <c r="AD397" s="703"/>
      <c r="AE397" s="703"/>
      <c r="AF397" s="1387"/>
      <c r="AG397" s="702"/>
      <c r="AH397" s="703"/>
      <c r="AI397" s="703"/>
      <c r="AJ397" s="703"/>
      <c r="AK397" s="1387"/>
      <c r="AL397" s="3849"/>
      <c r="AM397" s="722">
        <v>20</v>
      </c>
      <c r="AN397" s="722">
        <f t="shared" ref="AN397" si="827">+AM397</f>
        <v>20</v>
      </c>
      <c r="AO397" s="722">
        <f t="shared" ref="AO397" si="828">+AN397</f>
        <v>20</v>
      </c>
      <c r="AP397" s="722">
        <f t="shared" ref="AP397" si="829">+AO397</f>
        <v>20</v>
      </c>
      <c r="AQ397" s="1076">
        <f>+AVERAGE(AM397:AP397)</f>
        <v>20</v>
      </c>
      <c r="AR397" s="722">
        <v>20</v>
      </c>
      <c r="AS397" s="722">
        <f>+AR397</f>
        <v>20</v>
      </c>
      <c r="AT397" s="722">
        <f>+AS397</f>
        <v>20</v>
      </c>
      <c r="AU397" s="722">
        <v>17</v>
      </c>
      <c r="AV397" s="1076">
        <f>+AVERAGE(AR397:AU397)</f>
        <v>19.25</v>
      </c>
      <c r="AW397" s="3861">
        <f>+AU397</f>
        <v>17</v>
      </c>
      <c r="AX397" s="3861">
        <f>+AW397</f>
        <v>17</v>
      </c>
      <c r="AY397" s="3861">
        <f>+AX397</f>
        <v>17</v>
      </c>
      <c r="AZ397" s="722">
        <v>20</v>
      </c>
      <c r="BA397" s="1076">
        <f>+AVERAGE(AW397:AZ397)</f>
        <v>17.75</v>
      </c>
      <c r="BB397" s="2744">
        <v>19</v>
      </c>
      <c r="BC397" s="2744">
        <v>19</v>
      </c>
      <c r="BD397" s="2744">
        <v>19</v>
      </c>
      <c r="BE397" s="2744">
        <v>19</v>
      </c>
      <c r="BF397" s="1076">
        <f>+AVERAGE(BB397:BE397)</f>
        <v>19</v>
      </c>
      <c r="BG397" s="3127">
        <v>19</v>
      </c>
      <c r="BH397" s="3174">
        <v>19</v>
      </c>
      <c r="BI397" s="3174">
        <v>19</v>
      </c>
      <c r="BJ397" s="3174">
        <v>19</v>
      </c>
      <c r="BK397" s="1076">
        <f>+AVERAGE(BG397:BJ397)</f>
        <v>19</v>
      </c>
      <c r="BL397" s="3174">
        <v>19</v>
      </c>
      <c r="BM397" s="3174">
        <v>19</v>
      </c>
      <c r="BN397" s="3174">
        <v>19</v>
      </c>
      <c r="BO397" s="3174">
        <v>19</v>
      </c>
      <c r="BP397" s="1076">
        <f>+AVERAGE(BL397:BO397)</f>
        <v>19</v>
      </c>
      <c r="BQ397" s="3174">
        <v>19</v>
      </c>
      <c r="BR397" s="3174">
        <v>19</v>
      </c>
      <c r="BS397" s="3172">
        <f t="shared" si="812"/>
        <v>19</v>
      </c>
      <c r="BT397" s="3173">
        <f t="shared" si="812"/>
        <v>19</v>
      </c>
      <c r="BU397" s="3850">
        <f>+AVERAGE(BQ397:BT397)</f>
        <v>19</v>
      </c>
      <c r="BV397" s="3172">
        <f t="shared" si="809"/>
        <v>19</v>
      </c>
      <c r="BW397" s="3172">
        <f t="shared" si="809"/>
        <v>19</v>
      </c>
      <c r="BX397" s="3172">
        <f t="shared" si="809"/>
        <v>19</v>
      </c>
      <c r="BY397" s="3172">
        <f t="shared" si="809"/>
        <v>19</v>
      </c>
      <c r="BZ397" s="3850">
        <f>+AVERAGE(BV397:BY397)</f>
        <v>19</v>
      </c>
      <c r="CA397" s="3852">
        <f t="shared" ref="CA397" si="830">+BZ397</f>
        <v>19</v>
      </c>
      <c r="CB397" s="3852">
        <f t="shared" ref="CB397" si="831">+CA397</f>
        <v>19</v>
      </c>
      <c r="CC397" s="3859">
        <f t="shared" ref="CC397" si="832">+CB397</f>
        <v>19</v>
      </c>
      <c r="CD397" s="3859">
        <f t="shared" ref="CD397" si="833">+CC397</f>
        <v>19</v>
      </c>
      <c r="CE397" s="3859">
        <f t="shared" ref="CE397" si="834">+CD397</f>
        <v>19</v>
      </c>
      <c r="CF397" s="3859">
        <f t="shared" ref="CF397" si="835">+CE397</f>
        <v>19</v>
      </c>
      <c r="CG397" s="3859">
        <f t="shared" ref="CG397" si="836">+CF397</f>
        <v>19</v>
      </c>
      <c r="CH397" s="709"/>
      <c r="CI397" s="709"/>
      <c r="CJ397" s="709"/>
      <c r="CK397" s="709"/>
      <c r="CL397" s="709"/>
      <c r="CM397" s="709"/>
      <c r="CN397" s="709"/>
      <c r="CO397" s="709"/>
      <c r="CP397" s="994"/>
      <c r="CQ397" s="720"/>
      <c r="CR397" s="720"/>
      <c r="CS397" s="720"/>
      <c r="CT397" s="720"/>
      <c r="CU397" s="720"/>
      <c r="CV397" s="720"/>
      <c r="CW397" s="720"/>
      <c r="CX397" s="720"/>
      <c r="CY397" s="720"/>
      <c r="CZ397" s="720"/>
      <c r="DA397" s="720"/>
      <c r="DB397" s="720"/>
      <c r="DC397" s="720"/>
      <c r="DD397" s="720"/>
      <c r="DE397" s="720"/>
      <c r="DF397" s="720"/>
      <c r="DG397" s="1874"/>
      <c r="DH397" s="223"/>
      <c r="DI397" s="595"/>
      <c r="DJ397" s="595"/>
      <c r="DK397" s="595"/>
      <c r="DL397" s="595"/>
      <c r="DM397" s="595"/>
      <c r="DN397" s="514"/>
      <c r="DO397" s="77"/>
      <c r="DP397"/>
      <c r="DQ397"/>
      <c r="DR397"/>
      <c r="DS397"/>
      <c r="DT397"/>
      <c r="DU397"/>
      <c r="DY397" s="231"/>
      <c r="DZ397" s="231"/>
    </row>
    <row r="398" spans="1:130" s="2252" customFormat="1" ht="12" customHeight="1">
      <c r="A398" s="552" t="s">
        <v>459</v>
      </c>
      <c r="B398" s="228"/>
      <c r="C398" s="228"/>
      <c r="D398" s="3853"/>
      <c r="E398" s="1387"/>
      <c r="F398" s="1387"/>
      <c r="G398" s="1387"/>
      <c r="H398" s="702"/>
      <c r="I398" s="703"/>
      <c r="J398" s="703"/>
      <c r="K398" s="703"/>
      <c r="L398" s="1387"/>
      <c r="M398" s="702"/>
      <c r="N398" s="703"/>
      <c r="O398" s="703"/>
      <c r="P398" s="703"/>
      <c r="Q398" s="703"/>
      <c r="R398" s="702"/>
      <c r="S398" s="703"/>
      <c r="T398" s="703"/>
      <c r="U398" s="703"/>
      <c r="V398" s="1387"/>
      <c r="W398" s="702"/>
      <c r="X398" s="703"/>
      <c r="Y398" s="703"/>
      <c r="Z398" s="703"/>
      <c r="AA398" s="1387"/>
      <c r="AB398" s="702"/>
      <c r="AC398" s="703"/>
      <c r="AD398" s="703"/>
      <c r="AE398" s="703"/>
      <c r="AF398" s="1387"/>
      <c r="AG398" s="702"/>
      <c r="AH398" s="703"/>
      <c r="AI398" s="703"/>
      <c r="AJ398" s="703"/>
      <c r="AK398" s="1387"/>
      <c r="AL398" s="3849"/>
      <c r="AM398" s="722"/>
      <c r="AN398" s="722"/>
      <c r="AO398" s="722"/>
      <c r="AP398" s="722">
        <v>35</v>
      </c>
      <c r="AQ398" s="1076"/>
      <c r="AR398" s="722">
        <v>35</v>
      </c>
      <c r="AS398" s="722">
        <f>+AR398</f>
        <v>35</v>
      </c>
      <c r="AT398" s="722">
        <f>+AS398</f>
        <v>35</v>
      </c>
      <c r="AU398" s="722">
        <v>45</v>
      </c>
      <c r="AV398" s="1076">
        <f>+AVERAGE(AR398:AU398)</f>
        <v>37.5</v>
      </c>
      <c r="AW398" s="3861">
        <f>+AT398+10</f>
        <v>45</v>
      </c>
      <c r="AX398" s="3861">
        <f>+AW398</f>
        <v>45</v>
      </c>
      <c r="AY398" s="3861">
        <f>+AX398</f>
        <v>45</v>
      </c>
      <c r="AZ398" s="722">
        <v>50</v>
      </c>
      <c r="BA398" s="1076">
        <f>+AVERAGE(AW398:AZ398)</f>
        <v>46.25</v>
      </c>
      <c r="BB398" s="2744">
        <v>35</v>
      </c>
      <c r="BC398" s="2744">
        <v>35</v>
      </c>
      <c r="BD398" s="2744">
        <v>35</v>
      </c>
      <c r="BE398" s="2744">
        <v>35</v>
      </c>
      <c r="BF398" s="1076">
        <f>+AVERAGE(BB398:BE398)</f>
        <v>35</v>
      </c>
      <c r="BG398" s="3127">
        <v>35</v>
      </c>
      <c r="BH398" s="3174">
        <v>35</v>
      </c>
      <c r="BI398" s="3174">
        <v>35</v>
      </c>
      <c r="BJ398" s="3174">
        <v>35</v>
      </c>
      <c r="BK398" s="1076">
        <f>+AVERAGE(BG398:BJ398)</f>
        <v>35</v>
      </c>
      <c r="BL398" s="3174">
        <v>35</v>
      </c>
      <c r="BM398" s="3174">
        <v>35</v>
      </c>
      <c r="BN398" s="3174">
        <v>35</v>
      </c>
      <c r="BO398" s="3174">
        <v>35</v>
      </c>
      <c r="BP398" s="1076">
        <f>+AVERAGE(BL398:BO398)</f>
        <v>35</v>
      </c>
      <c r="BQ398" s="3174">
        <v>35</v>
      </c>
      <c r="BR398" s="3174">
        <v>35</v>
      </c>
      <c r="BS398" s="3172">
        <f t="shared" si="812"/>
        <v>35</v>
      </c>
      <c r="BT398" s="3173">
        <f t="shared" si="812"/>
        <v>35</v>
      </c>
      <c r="BU398" s="3850">
        <f>+AVERAGE(BQ398:BT398)</f>
        <v>35</v>
      </c>
      <c r="BV398" s="3172">
        <f t="shared" si="809"/>
        <v>35</v>
      </c>
      <c r="BW398" s="3172">
        <f t="shared" si="809"/>
        <v>35</v>
      </c>
      <c r="BX398" s="3172">
        <f t="shared" si="809"/>
        <v>35</v>
      </c>
      <c r="BY398" s="3172">
        <f t="shared" si="809"/>
        <v>35</v>
      </c>
      <c r="BZ398" s="3850">
        <f>+AVERAGE(BV398:BY398)</f>
        <v>35</v>
      </c>
      <c r="CA398" s="3852">
        <f t="shared" ref="CA398:CA402" si="837">+BZ398</f>
        <v>35</v>
      </c>
      <c r="CB398" s="3852">
        <f t="shared" ref="CB398:CB402" si="838">+CA398</f>
        <v>35</v>
      </c>
      <c r="CC398" s="3859">
        <f t="shared" ref="CC398" si="839">+CB398</f>
        <v>35</v>
      </c>
      <c r="CD398" s="3859">
        <f t="shared" ref="CD398" si="840">+CC398</f>
        <v>35</v>
      </c>
      <c r="CE398" s="3859">
        <f t="shared" ref="CE398" si="841">+CD398</f>
        <v>35</v>
      </c>
      <c r="CF398" s="3859">
        <f t="shared" ref="CF398" si="842">+CE398</f>
        <v>35</v>
      </c>
      <c r="CG398" s="3859">
        <f t="shared" ref="CG398" si="843">+CF398</f>
        <v>35</v>
      </c>
      <c r="CH398" s="709"/>
      <c r="CI398" s="709"/>
      <c r="CJ398" s="709"/>
      <c r="CK398" s="709"/>
      <c r="CL398" s="709"/>
      <c r="CM398" s="709"/>
      <c r="CN398" s="709"/>
      <c r="CO398" s="709"/>
      <c r="CP398" s="994"/>
      <c r="CQ398" s="720"/>
      <c r="CR398" s="720"/>
      <c r="CS398" s="720"/>
      <c r="CT398" s="720"/>
      <c r="CU398" s="720"/>
      <c r="CV398" s="720"/>
      <c r="CW398" s="720"/>
      <c r="CX398" s="720"/>
      <c r="CY398" s="720"/>
      <c r="CZ398" s="720"/>
      <c r="DA398" s="720"/>
      <c r="DB398" s="720"/>
      <c r="DC398" s="720"/>
      <c r="DD398" s="720"/>
      <c r="DE398" s="720"/>
      <c r="DF398" s="720"/>
      <c r="DG398" s="1874"/>
      <c r="DH398" s="223"/>
      <c r="DI398" s="595"/>
      <c r="DJ398" s="595"/>
      <c r="DK398" s="595"/>
      <c r="DL398" s="595"/>
      <c r="DM398" s="595"/>
      <c r="DN398" s="514"/>
      <c r="DO398" s="77"/>
      <c r="DP398"/>
      <c r="DQ398"/>
      <c r="DR398"/>
      <c r="DS398"/>
      <c r="DT398"/>
      <c r="DU398"/>
      <c r="DY398" s="231"/>
      <c r="DZ398" s="231"/>
    </row>
    <row r="399" spans="1:130" s="2252" customFormat="1" ht="12" customHeight="1">
      <c r="A399" s="2501" t="s">
        <v>1972</v>
      </c>
      <c r="B399" s="228"/>
      <c r="C399" s="228"/>
      <c r="D399" s="3853"/>
      <c r="E399" s="1387"/>
      <c r="F399" s="1387"/>
      <c r="G399" s="1387"/>
      <c r="H399" s="702"/>
      <c r="I399" s="703"/>
      <c r="J399" s="703"/>
      <c r="K399" s="703"/>
      <c r="L399" s="1387"/>
      <c r="M399" s="702"/>
      <c r="N399" s="703"/>
      <c r="O399" s="703"/>
      <c r="P399" s="703"/>
      <c r="Q399" s="703"/>
      <c r="R399" s="702"/>
      <c r="S399" s="703"/>
      <c r="T399" s="703"/>
      <c r="U399" s="703"/>
      <c r="V399" s="1387"/>
      <c r="W399" s="702"/>
      <c r="X399" s="703"/>
      <c r="Y399" s="703"/>
      <c r="Z399" s="703"/>
      <c r="AA399" s="1387"/>
      <c r="AB399" s="702"/>
      <c r="AC399" s="703"/>
      <c r="AD399" s="703"/>
      <c r="AE399" s="703"/>
      <c r="AF399" s="1387"/>
      <c r="AG399" s="702"/>
      <c r="AH399" s="703"/>
      <c r="AI399" s="703"/>
      <c r="AJ399" s="703"/>
      <c r="AK399" s="1387"/>
      <c r="AL399" s="3849"/>
      <c r="AM399" s="722"/>
      <c r="AN399" s="722"/>
      <c r="AO399" s="722"/>
      <c r="AP399" s="722"/>
      <c r="AQ399" s="1076"/>
      <c r="AR399" s="722"/>
      <c r="AS399" s="722"/>
      <c r="AT399" s="722"/>
      <c r="AU399" s="722"/>
      <c r="AV399" s="1076"/>
      <c r="AW399" s="3861"/>
      <c r="AX399" s="3861"/>
      <c r="AY399" s="3861"/>
      <c r="AZ399" s="722"/>
      <c r="BA399" s="1076"/>
      <c r="BB399" s="2744"/>
      <c r="BC399" s="2744"/>
      <c r="BD399" s="2744"/>
      <c r="BE399" s="2744"/>
      <c r="BF399" s="1076"/>
      <c r="BG399" s="3127"/>
      <c r="BH399" s="3174"/>
      <c r="BI399" s="3174"/>
      <c r="BJ399" s="3174"/>
      <c r="BK399" s="1076"/>
      <c r="BL399" s="3174"/>
      <c r="BM399" s="3174"/>
      <c r="BN399" s="3174"/>
      <c r="BO399" s="3174"/>
      <c r="BP399" s="1076"/>
      <c r="BQ399" s="3174"/>
      <c r="BR399" s="3174"/>
      <c r="BS399" s="3172"/>
      <c r="BT399" s="3173"/>
      <c r="BU399" s="3850"/>
      <c r="BV399" s="3172"/>
      <c r="BW399" s="3172"/>
      <c r="BX399" s="4064">
        <f>+'Tables 2'!HI707</f>
        <v>74.333333333333329</v>
      </c>
      <c r="BY399" s="3172">
        <f t="shared" si="809"/>
        <v>74.333333333333329</v>
      </c>
      <c r="BZ399" s="3850">
        <f t="shared" ref="BZ399:BZ402" si="844">+AVERAGE(BV399:BY399)</f>
        <v>74.333333333333329</v>
      </c>
      <c r="CA399" s="3852">
        <f t="shared" si="837"/>
        <v>74.333333333333329</v>
      </c>
      <c r="CB399" s="3852">
        <f t="shared" si="838"/>
        <v>74.333333333333329</v>
      </c>
      <c r="CC399" s="3859"/>
      <c r="CD399" s="3859"/>
      <c r="CE399" s="3859"/>
      <c r="CF399" s="3859"/>
      <c r="CG399" s="3859"/>
      <c r="CH399" s="709"/>
      <c r="CI399" s="709"/>
      <c r="CJ399" s="709"/>
      <c r="CK399" s="709"/>
      <c r="CL399" s="709"/>
      <c r="CM399" s="709"/>
      <c r="CN399" s="709"/>
      <c r="CO399" s="709"/>
      <c r="CP399" s="994"/>
      <c r="CQ399" s="720"/>
      <c r="CR399" s="720"/>
      <c r="CS399" s="720"/>
      <c r="CT399" s="720"/>
      <c r="CU399" s="720"/>
      <c r="CV399" s="720"/>
      <c r="CW399" s="720"/>
      <c r="CX399" s="720"/>
      <c r="CY399" s="720"/>
      <c r="CZ399" s="720"/>
      <c r="DA399" s="720"/>
      <c r="DB399" s="720"/>
      <c r="DC399" s="720"/>
      <c r="DD399" s="720"/>
      <c r="DE399" s="720"/>
      <c r="DF399" s="720"/>
      <c r="DG399" s="1874"/>
      <c r="DH399" s="223"/>
      <c r="DI399" s="595"/>
      <c r="DJ399" s="595"/>
      <c r="DK399" s="595"/>
      <c r="DL399" s="595"/>
      <c r="DM399" s="595"/>
      <c r="DN399" s="514"/>
      <c r="DO399" s="77"/>
      <c r="DP399"/>
      <c r="DQ399"/>
      <c r="DR399"/>
      <c r="DS399"/>
      <c r="DT399"/>
      <c r="DU399"/>
      <c r="DY399" s="231"/>
      <c r="DZ399" s="231"/>
    </row>
    <row r="400" spans="1:130" s="2252" customFormat="1" ht="12" customHeight="1">
      <c r="A400" s="2501" t="s">
        <v>1973</v>
      </c>
      <c r="B400" s="228"/>
      <c r="C400" s="228"/>
      <c r="D400" s="3853"/>
      <c r="E400" s="1387"/>
      <c r="F400" s="1387"/>
      <c r="G400" s="1387"/>
      <c r="H400" s="702"/>
      <c r="I400" s="703"/>
      <c r="J400" s="703"/>
      <c r="K400" s="703"/>
      <c r="L400" s="1387"/>
      <c r="M400" s="702"/>
      <c r="N400" s="703"/>
      <c r="O400" s="703"/>
      <c r="P400" s="703"/>
      <c r="Q400" s="703"/>
      <c r="R400" s="702"/>
      <c r="S400" s="703"/>
      <c r="T400" s="703"/>
      <c r="U400" s="703"/>
      <c r="V400" s="1387"/>
      <c r="W400" s="702"/>
      <c r="X400" s="703"/>
      <c r="Y400" s="703"/>
      <c r="Z400" s="703"/>
      <c r="AA400" s="1387"/>
      <c r="AB400" s="702"/>
      <c r="AC400" s="703"/>
      <c r="AD400" s="703"/>
      <c r="AE400" s="703"/>
      <c r="AF400" s="1387"/>
      <c r="AG400" s="702"/>
      <c r="AH400" s="703"/>
      <c r="AI400" s="703"/>
      <c r="AJ400" s="703"/>
      <c r="AK400" s="1387"/>
      <c r="AL400" s="3849"/>
      <c r="AM400" s="722"/>
      <c r="AN400" s="722"/>
      <c r="AO400" s="722"/>
      <c r="AP400" s="722"/>
      <c r="AQ400" s="1076"/>
      <c r="AR400" s="722"/>
      <c r="AS400" s="722"/>
      <c r="AT400" s="722"/>
      <c r="AU400" s="722"/>
      <c r="AV400" s="1076"/>
      <c r="AW400" s="3861"/>
      <c r="AX400" s="3861"/>
      <c r="AY400" s="3861"/>
      <c r="AZ400" s="722"/>
      <c r="BA400" s="1076"/>
      <c r="BB400" s="2744"/>
      <c r="BC400" s="2744"/>
      <c r="BD400" s="2744"/>
      <c r="BE400" s="2744"/>
      <c r="BF400" s="1076"/>
      <c r="BG400" s="3127"/>
      <c r="BH400" s="3174"/>
      <c r="BI400" s="3174"/>
      <c r="BJ400" s="3174"/>
      <c r="BK400" s="1076"/>
      <c r="BL400" s="3174"/>
      <c r="BM400" s="3174"/>
      <c r="BN400" s="3174"/>
      <c r="BO400" s="3174"/>
      <c r="BP400" s="1076"/>
      <c r="BQ400" s="3174"/>
      <c r="BR400" s="3174"/>
      <c r="BS400" s="3172"/>
      <c r="BT400" s="3173"/>
      <c r="BU400" s="3850"/>
      <c r="BV400" s="3172"/>
      <c r="BW400" s="3172"/>
      <c r="BX400" s="4064">
        <f>+'Tables 2'!HI708</f>
        <v>72.666666666666671</v>
      </c>
      <c r="BY400" s="3172">
        <f t="shared" si="809"/>
        <v>72.666666666666671</v>
      </c>
      <c r="BZ400" s="3850">
        <f t="shared" si="844"/>
        <v>72.666666666666671</v>
      </c>
      <c r="CA400" s="3852">
        <f t="shared" si="837"/>
        <v>72.666666666666671</v>
      </c>
      <c r="CB400" s="3852">
        <f t="shared" si="838"/>
        <v>72.666666666666671</v>
      </c>
      <c r="CC400" s="3859"/>
      <c r="CD400" s="3859"/>
      <c r="CE400" s="3859"/>
      <c r="CF400" s="3859"/>
      <c r="CG400" s="3859"/>
      <c r="CH400" s="709"/>
      <c r="CI400" s="709"/>
      <c r="CJ400" s="709"/>
      <c r="CK400" s="709"/>
      <c r="CL400" s="709"/>
      <c r="CM400" s="709"/>
      <c r="CN400" s="709"/>
      <c r="CO400" s="709"/>
      <c r="CP400" s="994"/>
      <c r="CQ400" s="720"/>
      <c r="CR400" s="720"/>
      <c r="CS400" s="720"/>
      <c r="CT400" s="720"/>
      <c r="CU400" s="720"/>
      <c r="CV400" s="720"/>
      <c r="CW400" s="720"/>
      <c r="CX400" s="720"/>
      <c r="CY400" s="720"/>
      <c r="CZ400" s="720"/>
      <c r="DA400" s="720"/>
      <c r="DB400" s="720"/>
      <c r="DC400" s="720"/>
      <c r="DD400" s="720"/>
      <c r="DE400" s="720"/>
      <c r="DF400" s="720"/>
      <c r="DG400" s="1874"/>
      <c r="DH400" s="223"/>
      <c r="DI400" s="595"/>
      <c r="DJ400" s="595"/>
      <c r="DK400" s="595"/>
      <c r="DL400" s="595"/>
      <c r="DM400" s="595"/>
      <c r="DN400" s="514"/>
      <c r="DO400" s="77"/>
      <c r="DP400"/>
      <c r="DQ400"/>
      <c r="DR400"/>
      <c r="DS400"/>
      <c r="DT400"/>
      <c r="DU400"/>
      <c r="DY400" s="231"/>
      <c r="DZ400" s="231"/>
    </row>
    <row r="401" spans="1:130" s="2252" customFormat="1" ht="12" customHeight="1">
      <c r="A401" s="2501" t="s">
        <v>1974</v>
      </c>
      <c r="B401" s="228"/>
      <c r="C401" s="228"/>
      <c r="D401" s="3853"/>
      <c r="E401" s="1387"/>
      <c r="F401" s="1387"/>
      <c r="G401" s="1387"/>
      <c r="H401" s="702"/>
      <c r="I401" s="703"/>
      <c r="J401" s="703"/>
      <c r="K401" s="703"/>
      <c r="L401" s="1387"/>
      <c r="M401" s="702"/>
      <c r="N401" s="703"/>
      <c r="O401" s="703"/>
      <c r="P401" s="703"/>
      <c r="Q401" s="703"/>
      <c r="R401" s="702"/>
      <c r="S401" s="703"/>
      <c r="T401" s="703"/>
      <c r="U401" s="703"/>
      <c r="V401" s="1387"/>
      <c r="W401" s="702"/>
      <c r="X401" s="703"/>
      <c r="Y401" s="703"/>
      <c r="Z401" s="703"/>
      <c r="AA401" s="1387"/>
      <c r="AB401" s="702"/>
      <c r="AC401" s="703"/>
      <c r="AD401" s="703"/>
      <c r="AE401" s="703"/>
      <c r="AF401" s="1387"/>
      <c r="AG401" s="702"/>
      <c r="AH401" s="703"/>
      <c r="AI401" s="703"/>
      <c r="AJ401" s="703"/>
      <c r="AK401" s="1387"/>
      <c r="AL401" s="3849"/>
      <c r="AM401" s="722"/>
      <c r="AN401" s="722"/>
      <c r="AO401" s="722"/>
      <c r="AP401" s="722"/>
      <c r="AQ401" s="1076"/>
      <c r="AR401" s="722"/>
      <c r="AS401" s="722"/>
      <c r="AT401" s="722"/>
      <c r="AU401" s="722"/>
      <c r="AV401" s="1076"/>
      <c r="AW401" s="3861"/>
      <c r="AX401" s="3861"/>
      <c r="AY401" s="3861"/>
      <c r="AZ401" s="722"/>
      <c r="BA401" s="1076"/>
      <c r="BB401" s="2744"/>
      <c r="BC401" s="2744"/>
      <c r="BD401" s="2744"/>
      <c r="BE401" s="2744"/>
      <c r="BF401" s="1076"/>
      <c r="BG401" s="3127"/>
      <c r="BH401" s="3174"/>
      <c r="BI401" s="3174"/>
      <c r="BJ401" s="3174"/>
      <c r="BK401" s="1076"/>
      <c r="BL401" s="3174"/>
      <c r="BM401" s="3174"/>
      <c r="BN401" s="3174"/>
      <c r="BO401" s="3174"/>
      <c r="BP401" s="1076"/>
      <c r="BQ401" s="3174"/>
      <c r="BR401" s="3174"/>
      <c r="BS401" s="3172"/>
      <c r="BT401" s="3173"/>
      <c r="BU401" s="3850"/>
      <c r="BV401" s="3172"/>
      <c r="BW401" s="3172"/>
      <c r="BX401" s="4064">
        <f>+'Tables 2'!HI709</f>
        <v>43</v>
      </c>
      <c r="BY401" s="3172">
        <f t="shared" si="809"/>
        <v>43</v>
      </c>
      <c r="BZ401" s="3850">
        <f t="shared" si="844"/>
        <v>43</v>
      </c>
      <c r="CA401" s="3852">
        <f t="shared" si="837"/>
        <v>43</v>
      </c>
      <c r="CB401" s="3852">
        <f t="shared" si="838"/>
        <v>43</v>
      </c>
      <c r="CC401" s="3859"/>
      <c r="CD401" s="3859"/>
      <c r="CE401" s="3859"/>
      <c r="CF401" s="3859"/>
      <c r="CG401" s="3859"/>
      <c r="CH401" s="709"/>
      <c r="CI401" s="709"/>
      <c r="CJ401" s="709"/>
      <c r="CK401" s="709"/>
      <c r="CL401" s="709"/>
      <c r="CM401" s="709"/>
      <c r="CN401" s="709"/>
      <c r="CO401" s="709"/>
      <c r="CP401" s="994"/>
      <c r="CQ401" s="720"/>
      <c r="CR401" s="720"/>
      <c r="CS401" s="720"/>
      <c r="CT401" s="720"/>
      <c r="CU401" s="720"/>
      <c r="CV401" s="720"/>
      <c r="CW401" s="720"/>
      <c r="CX401" s="720"/>
      <c r="CY401" s="720"/>
      <c r="CZ401" s="720"/>
      <c r="DA401" s="720"/>
      <c r="DB401" s="720"/>
      <c r="DC401" s="720"/>
      <c r="DD401" s="720"/>
      <c r="DE401" s="720"/>
      <c r="DF401" s="720"/>
      <c r="DG401" s="1874"/>
      <c r="DH401" s="223"/>
      <c r="DI401" s="595"/>
      <c r="DJ401" s="595"/>
      <c r="DK401" s="595"/>
      <c r="DL401" s="595"/>
      <c r="DM401" s="595"/>
      <c r="DN401" s="514"/>
      <c r="DO401" s="77"/>
      <c r="DP401"/>
      <c r="DQ401"/>
      <c r="DR401"/>
      <c r="DS401"/>
      <c r="DT401"/>
      <c r="DU401"/>
      <c r="DY401" s="231"/>
      <c r="DZ401" s="231"/>
    </row>
    <row r="402" spans="1:130" s="2252" customFormat="1" ht="12" customHeight="1">
      <c r="A402" s="2501" t="s">
        <v>1975</v>
      </c>
      <c r="B402" s="228"/>
      <c r="C402" s="228"/>
      <c r="D402" s="3853"/>
      <c r="E402" s="1387"/>
      <c r="F402" s="1387"/>
      <c r="G402" s="1387"/>
      <c r="H402" s="702"/>
      <c r="I402" s="703"/>
      <c r="J402" s="703"/>
      <c r="K402" s="703"/>
      <c r="L402" s="1387"/>
      <c r="M402" s="702"/>
      <c r="N402" s="703"/>
      <c r="O402" s="703"/>
      <c r="P402" s="703"/>
      <c r="Q402" s="703"/>
      <c r="R402" s="702"/>
      <c r="S402" s="703"/>
      <c r="T402" s="703"/>
      <c r="U402" s="703"/>
      <c r="V402" s="1387"/>
      <c r="W402" s="702"/>
      <c r="X402" s="703"/>
      <c r="Y402" s="703"/>
      <c r="Z402" s="703"/>
      <c r="AA402" s="1387"/>
      <c r="AB402" s="702"/>
      <c r="AC402" s="703"/>
      <c r="AD402" s="703"/>
      <c r="AE402" s="703"/>
      <c r="AF402" s="1387"/>
      <c r="AG402" s="702"/>
      <c r="AH402" s="703"/>
      <c r="AI402" s="703"/>
      <c r="AJ402" s="703"/>
      <c r="AK402" s="1387"/>
      <c r="AL402" s="3849"/>
      <c r="AM402" s="722"/>
      <c r="AN402" s="722"/>
      <c r="AO402" s="722"/>
      <c r="AP402" s="722"/>
      <c r="AQ402" s="1076"/>
      <c r="AR402" s="722"/>
      <c r="AS402" s="722"/>
      <c r="AT402" s="722"/>
      <c r="AU402" s="722"/>
      <c r="AV402" s="1076"/>
      <c r="AW402" s="3861"/>
      <c r="AX402" s="3861"/>
      <c r="AY402" s="3861"/>
      <c r="AZ402" s="722"/>
      <c r="BA402" s="1076"/>
      <c r="BB402" s="2744"/>
      <c r="BC402" s="2744"/>
      <c r="BD402" s="2744"/>
      <c r="BE402" s="2744"/>
      <c r="BF402" s="1076"/>
      <c r="BG402" s="3127"/>
      <c r="BH402" s="3174"/>
      <c r="BI402" s="3174"/>
      <c r="BJ402" s="3174"/>
      <c r="BK402" s="1076"/>
      <c r="BL402" s="3174"/>
      <c r="BM402" s="3174"/>
      <c r="BN402" s="3174"/>
      <c r="BO402" s="3174"/>
      <c r="BP402" s="1076"/>
      <c r="BQ402" s="3174"/>
      <c r="BR402" s="3174"/>
      <c r="BS402" s="3172"/>
      <c r="BT402" s="3173"/>
      <c r="BU402" s="3850"/>
      <c r="BV402" s="3172"/>
      <c r="BW402" s="3172"/>
      <c r="BX402" s="4064">
        <f>+'Tables 2'!HI710</f>
        <v>0</v>
      </c>
      <c r="BY402" s="3172">
        <f t="shared" si="809"/>
        <v>0</v>
      </c>
      <c r="BZ402" s="3850">
        <f t="shared" si="844"/>
        <v>0</v>
      </c>
      <c r="CA402" s="3852">
        <f t="shared" si="837"/>
        <v>0</v>
      </c>
      <c r="CB402" s="3852">
        <f t="shared" si="838"/>
        <v>0</v>
      </c>
      <c r="CC402" s="3859"/>
      <c r="CD402" s="3859"/>
      <c r="CE402" s="3859"/>
      <c r="CF402" s="3859"/>
      <c r="CG402" s="3859"/>
      <c r="CH402" s="709"/>
      <c r="CI402" s="709"/>
      <c r="CJ402" s="709"/>
      <c r="CK402" s="709"/>
      <c r="CL402" s="709"/>
      <c r="CM402" s="709"/>
      <c r="CN402" s="709"/>
      <c r="CO402" s="709"/>
      <c r="CP402" s="994"/>
      <c r="CQ402" s="720"/>
      <c r="CR402" s="720"/>
      <c r="CS402" s="720"/>
      <c r="CT402" s="720"/>
      <c r="CU402" s="720"/>
      <c r="CV402" s="720"/>
      <c r="CW402" s="720"/>
      <c r="CX402" s="720"/>
      <c r="CY402" s="720"/>
      <c r="CZ402" s="720"/>
      <c r="DA402" s="720"/>
      <c r="DB402" s="720"/>
      <c r="DC402" s="720"/>
      <c r="DD402" s="720"/>
      <c r="DE402" s="720"/>
      <c r="DF402" s="720"/>
      <c r="DG402" s="1874"/>
      <c r="DH402" s="223"/>
      <c r="DI402" s="595"/>
      <c r="DJ402" s="595"/>
      <c r="DK402" s="595"/>
      <c r="DL402" s="595"/>
      <c r="DM402" s="595"/>
      <c r="DN402" s="514"/>
      <c r="DO402" s="77"/>
      <c r="DP402"/>
      <c r="DQ402"/>
      <c r="DR402"/>
      <c r="DS402"/>
      <c r="DT402"/>
      <c r="DU402"/>
      <c r="DY402" s="231"/>
      <c r="DZ402" s="231"/>
    </row>
    <row r="403" spans="1:130" s="2252" customFormat="1" ht="12" customHeight="1">
      <c r="A403" s="2501" t="s">
        <v>2002</v>
      </c>
      <c r="B403" s="228"/>
      <c r="C403" s="228"/>
      <c r="D403" s="3853"/>
      <c r="E403" s="1387"/>
      <c r="F403" s="1387"/>
      <c r="G403" s="1387"/>
      <c r="H403" s="702"/>
      <c r="I403" s="703"/>
      <c r="J403" s="703"/>
      <c r="K403" s="703"/>
      <c r="L403" s="1387"/>
      <c r="M403" s="702"/>
      <c r="N403" s="703"/>
      <c r="O403" s="703"/>
      <c r="P403" s="703"/>
      <c r="Q403" s="703"/>
      <c r="R403" s="702"/>
      <c r="S403" s="703"/>
      <c r="T403" s="703"/>
      <c r="U403" s="703"/>
      <c r="V403" s="1387"/>
      <c r="W403" s="702"/>
      <c r="X403" s="703"/>
      <c r="Y403" s="703"/>
      <c r="Z403" s="703"/>
      <c r="AA403" s="1387"/>
      <c r="AB403" s="702"/>
      <c r="AC403" s="703"/>
      <c r="AD403" s="703"/>
      <c r="AE403" s="703"/>
      <c r="AF403" s="1387"/>
      <c r="AG403" s="702"/>
      <c r="AH403" s="703"/>
      <c r="AI403" s="703"/>
      <c r="AJ403" s="703"/>
      <c r="AK403" s="1387"/>
      <c r="AL403" s="3849"/>
      <c r="AM403" s="722"/>
      <c r="AN403" s="722"/>
      <c r="AO403" s="722"/>
      <c r="AP403" s="722"/>
      <c r="AQ403" s="1076"/>
      <c r="AR403" s="722"/>
      <c r="AS403" s="722"/>
      <c r="AT403" s="722"/>
      <c r="AU403" s="722"/>
      <c r="AV403" s="1076"/>
      <c r="AW403" s="705"/>
      <c r="AX403" s="705"/>
      <c r="AY403" s="705"/>
      <c r="AZ403" s="722"/>
      <c r="BA403" s="1076"/>
      <c r="BB403" s="2744"/>
      <c r="BC403" s="2744"/>
      <c r="BD403" s="2744"/>
      <c r="BE403" s="2744"/>
      <c r="BF403" s="1076"/>
      <c r="BG403" s="3127"/>
      <c r="BH403" s="3174"/>
      <c r="BI403" s="3174"/>
      <c r="BJ403" s="3174"/>
      <c r="BK403" s="1076"/>
      <c r="BL403" s="3174"/>
      <c r="BM403" s="3174"/>
      <c r="BN403" s="3174"/>
      <c r="BO403" s="3174"/>
      <c r="BP403" s="1076"/>
      <c r="BQ403" s="3174"/>
      <c r="BR403" s="3174"/>
      <c r="BS403" s="3172"/>
      <c r="BT403" s="3173"/>
      <c r="BU403" s="3850"/>
      <c r="BV403" s="3172"/>
      <c r="BW403" s="3172"/>
      <c r="BX403" s="4064">
        <f>+'Tables 2'!HI735</f>
        <v>50</v>
      </c>
      <c r="BY403" s="3172">
        <f t="shared" ref="BY403" si="845">BX403</f>
        <v>50</v>
      </c>
      <c r="BZ403" s="3850">
        <f t="shared" ref="BZ403" si="846">+AVERAGE(BV403:BY403)</f>
        <v>50</v>
      </c>
      <c r="CA403" s="3852">
        <f t="shared" ref="CA403" si="847">+BZ403</f>
        <v>50</v>
      </c>
      <c r="CB403" s="3852">
        <f t="shared" ref="CB403" si="848">+CA403</f>
        <v>50</v>
      </c>
      <c r="CC403" s="3859"/>
      <c r="CD403" s="3859"/>
      <c r="CE403" s="3859"/>
      <c r="CF403" s="3859"/>
      <c r="CG403" s="3859"/>
      <c r="CH403" s="709"/>
      <c r="CI403" s="709"/>
      <c r="CJ403" s="709"/>
      <c r="CK403" s="709"/>
      <c r="CL403" s="709"/>
      <c r="CM403" s="709"/>
      <c r="CN403" s="709"/>
      <c r="CO403" s="709"/>
      <c r="CP403" s="994"/>
      <c r="CQ403" s="720"/>
      <c r="CR403" s="720"/>
      <c r="CS403" s="720"/>
      <c r="CT403" s="720"/>
      <c r="CU403" s="720"/>
      <c r="CV403" s="720"/>
      <c r="CW403" s="720"/>
      <c r="CX403" s="720"/>
      <c r="CY403" s="720"/>
      <c r="CZ403" s="720"/>
      <c r="DA403" s="720"/>
      <c r="DB403" s="720"/>
      <c r="DC403" s="720"/>
      <c r="DD403" s="720"/>
      <c r="DE403" s="720"/>
      <c r="DF403" s="720"/>
      <c r="DG403" s="1874"/>
      <c r="DH403" s="223"/>
      <c r="DI403" s="595"/>
      <c r="DJ403" s="595"/>
      <c r="DK403" s="595"/>
      <c r="DL403" s="595"/>
      <c r="DM403" s="595"/>
      <c r="DN403" s="514"/>
      <c r="DO403" s="77"/>
      <c r="DP403"/>
      <c r="DQ403"/>
      <c r="DR403"/>
      <c r="DS403"/>
      <c r="DT403"/>
      <c r="DU403"/>
      <c r="DY403" s="231"/>
      <c r="DZ403" s="231"/>
    </row>
    <row r="404" spans="1:130" ht="4.5" customHeight="1">
      <c r="A404" s="962"/>
      <c r="B404" s="293"/>
      <c r="C404" s="293"/>
      <c r="D404" s="3854" t="s">
        <v>343</v>
      </c>
      <c r="E404" s="3855" t="s">
        <v>343</v>
      </c>
      <c r="F404" s="3855" t="s">
        <v>343</v>
      </c>
      <c r="G404" s="3855" t="s">
        <v>343</v>
      </c>
      <c r="H404" s="3856" t="s">
        <v>343</v>
      </c>
      <c r="I404" s="3855" t="s">
        <v>343</v>
      </c>
      <c r="J404" s="3855" t="s">
        <v>343</v>
      </c>
      <c r="K404" s="3855" t="s">
        <v>343</v>
      </c>
      <c r="L404" s="3855" t="s">
        <v>343</v>
      </c>
      <c r="M404" s="3856" t="s">
        <v>343</v>
      </c>
      <c r="N404" s="3855" t="s">
        <v>343</v>
      </c>
      <c r="O404" s="3855" t="s">
        <v>343</v>
      </c>
      <c r="P404" s="3855" t="s">
        <v>343</v>
      </c>
      <c r="Q404" s="3855" t="s">
        <v>343</v>
      </c>
      <c r="R404" s="3856" t="s">
        <v>343</v>
      </c>
      <c r="S404" s="3855" t="s">
        <v>343</v>
      </c>
      <c r="T404" s="3855" t="s">
        <v>343</v>
      </c>
      <c r="U404" s="3855" t="s">
        <v>343</v>
      </c>
      <c r="V404" s="3855" t="s">
        <v>343</v>
      </c>
      <c r="W404" s="3856" t="s">
        <v>343</v>
      </c>
      <c r="X404" s="3855" t="s">
        <v>343</v>
      </c>
      <c r="Y404" s="3855" t="s">
        <v>343</v>
      </c>
      <c r="Z404" s="3855" t="s">
        <v>343</v>
      </c>
      <c r="AA404" s="3855" t="s">
        <v>343</v>
      </c>
      <c r="AB404" s="3856" t="s">
        <v>343</v>
      </c>
      <c r="AC404" s="3855" t="s">
        <v>343</v>
      </c>
      <c r="AD404" s="3855" t="s">
        <v>343</v>
      </c>
      <c r="AE404" s="3855" t="s">
        <v>343</v>
      </c>
      <c r="AF404" s="3855" t="s">
        <v>343</v>
      </c>
      <c r="AG404" s="3856" t="s">
        <v>343</v>
      </c>
      <c r="AH404" s="3855" t="s">
        <v>343</v>
      </c>
      <c r="AI404" s="3855" t="s">
        <v>343</v>
      </c>
      <c r="AJ404" s="3855" t="s">
        <v>343</v>
      </c>
      <c r="AK404" s="3855" t="s">
        <v>343</v>
      </c>
      <c r="AL404" s="3856" t="s">
        <v>343</v>
      </c>
      <c r="AM404" s="3855" t="s">
        <v>343</v>
      </c>
      <c r="AN404" s="3855" t="s">
        <v>343</v>
      </c>
      <c r="AO404" s="3855" t="s">
        <v>343</v>
      </c>
      <c r="AP404" s="3855" t="s">
        <v>343</v>
      </c>
      <c r="AQ404" s="3856" t="s">
        <v>343</v>
      </c>
      <c r="AR404" s="3855" t="s">
        <v>343</v>
      </c>
      <c r="AS404" s="3855" t="s">
        <v>343</v>
      </c>
      <c r="AT404" s="3855" t="s">
        <v>343</v>
      </c>
      <c r="AU404" s="3855" t="s">
        <v>343</v>
      </c>
      <c r="AV404" s="3856" t="s">
        <v>343</v>
      </c>
      <c r="AW404" s="3855" t="s">
        <v>343</v>
      </c>
      <c r="AX404" s="3855" t="s">
        <v>343</v>
      </c>
      <c r="AY404" s="3855" t="s">
        <v>343</v>
      </c>
      <c r="AZ404" s="3855" t="s">
        <v>343</v>
      </c>
      <c r="BA404" s="3856" t="s">
        <v>343</v>
      </c>
      <c r="BB404" s="3855" t="s">
        <v>343</v>
      </c>
      <c r="BC404" s="3855" t="s">
        <v>343</v>
      </c>
      <c r="BD404" s="3855" t="s">
        <v>343</v>
      </c>
      <c r="BE404" s="3855" t="s">
        <v>343</v>
      </c>
      <c r="BF404" s="3856" t="s">
        <v>343</v>
      </c>
      <c r="BG404" s="3854" t="s">
        <v>343</v>
      </c>
      <c r="BH404" s="3855" t="s">
        <v>343</v>
      </c>
      <c r="BI404" s="3855" t="s">
        <v>343</v>
      </c>
      <c r="BJ404" s="3857" t="s">
        <v>343</v>
      </c>
      <c r="BK404" s="3856" t="s">
        <v>343</v>
      </c>
      <c r="BL404" s="3855" t="s">
        <v>343</v>
      </c>
      <c r="BM404" s="3855" t="s">
        <v>343</v>
      </c>
      <c r="BN404" s="3855" t="s">
        <v>343</v>
      </c>
      <c r="BO404" s="3857" t="s">
        <v>343</v>
      </c>
      <c r="BP404" s="3856" t="s">
        <v>343</v>
      </c>
      <c r="BQ404" s="3855" t="s">
        <v>343</v>
      </c>
      <c r="BR404" s="3855" t="s">
        <v>343</v>
      </c>
      <c r="BS404" s="3855" t="s">
        <v>343</v>
      </c>
      <c r="BT404" s="3857" t="s">
        <v>343</v>
      </c>
      <c r="BU404" s="3858" t="s">
        <v>343</v>
      </c>
      <c r="BV404" s="3855" t="s">
        <v>343</v>
      </c>
      <c r="BW404" s="3855" t="s">
        <v>343</v>
      </c>
      <c r="BX404" s="3855" t="s">
        <v>343</v>
      </c>
      <c r="BY404" s="3857" t="s">
        <v>343</v>
      </c>
      <c r="BZ404" s="3858" t="s">
        <v>343</v>
      </c>
      <c r="CA404" s="3857" t="s">
        <v>343</v>
      </c>
      <c r="CB404" s="3857" t="s">
        <v>343</v>
      </c>
      <c r="CC404" s="3857" t="s">
        <v>343</v>
      </c>
      <c r="CD404" s="3857" t="s">
        <v>343</v>
      </c>
      <c r="CE404" s="3857" t="s">
        <v>343</v>
      </c>
      <c r="CF404" s="3857" t="s">
        <v>343</v>
      </c>
      <c r="CG404" s="3857" t="s">
        <v>343</v>
      </c>
      <c r="CH404" s="295"/>
      <c r="CI404" s="295"/>
      <c r="CJ404" s="295"/>
      <c r="CK404" s="295"/>
      <c r="CL404" s="295"/>
      <c r="CM404" s="295"/>
      <c r="CN404" s="295"/>
      <c r="CO404" s="295"/>
      <c r="CP404" s="1784"/>
      <c r="CQ404" s="295" t="str">
        <f t="shared" si="601"/>
        <v xml:space="preserve">                </v>
      </c>
      <c r="CR404" s="295" t="str">
        <f t="shared" si="602"/>
        <v xml:space="preserve">                </v>
      </c>
      <c r="CS404" s="295" t="str">
        <f t="shared" si="603"/>
        <v xml:space="preserve">                </v>
      </c>
      <c r="CT404" s="295" t="str">
        <f t="shared" si="604"/>
        <v xml:space="preserve">                </v>
      </c>
      <c r="CU404" s="295" t="str">
        <f t="shared" si="605"/>
        <v xml:space="preserve">                </v>
      </c>
      <c r="CV404" s="295" t="str">
        <f t="shared" si="606"/>
        <v xml:space="preserve">                </v>
      </c>
      <c r="CW404" s="295" t="str">
        <f t="shared" si="607"/>
        <v xml:space="preserve">                </v>
      </c>
      <c r="CX404" s="295" t="str">
        <f t="shared" si="608"/>
        <v xml:space="preserve">                </v>
      </c>
      <c r="CY404" s="295" t="str">
        <f t="shared" si="609"/>
        <v xml:space="preserve">                </v>
      </c>
      <c r="CZ404" s="295" t="str">
        <f t="shared" si="610"/>
        <v xml:space="preserve">                </v>
      </c>
      <c r="DA404" s="295" t="str">
        <f t="shared" si="611"/>
        <v xml:space="preserve">                </v>
      </c>
      <c r="DB404" s="295" t="str">
        <f t="shared" si="612"/>
        <v xml:space="preserve">                </v>
      </c>
      <c r="DC404" s="295" t="str">
        <f t="shared" si="613"/>
        <v xml:space="preserve">                </v>
      </c>
      <c r="DD404" s="295" t="str">
        <f t="shared" si="614"/>
        <v xml:space="preserve">                </v>
      </c>
      <c r="DE404" s="295" t="str">
        <f t="shared" si="615"/>
        <v xml:space="preserve">                </v>
      </c>
      <c r="DF404" s="295" t="str">
        <f t="shared" si="616"/>
        <v xml:space="preserve">                </v>
      </c>
      <c r="DG404" s="297" t="str">
        <f t="shared" si="617"/>
        <v xml:space="preserve">                </v>
      </c>
      <c r="DH404" s="298"/>
      <c r="DI404" s="299"/>
      <c r="DJ404" s="299"/>
      <c r="DK404" s="299"/>
      <c r="DL404" s="299"/>
      <c r="DM404" s="299"/>
      <c r="DN404" s="299"/>
      <c r="DO404" s="300"/>
      <c r="DY404" s="295"/>
      <c r="DZ404" s="295"/>
    </row>
    <row r="405" spans="1:130" ht="12" customHeight="1">
      <c r="A405" s="633" t="s">
        <v>168</v>
      </c>
      <c r="B405" s="228"/>
      <c r="C405" s="228"/>
      <c r="D405" s="726">
        <f t="shared" ref="D405:AL405" si="849">SUM(D387:D393)</f>
        <v>159</v>
      </c>
      <c r="E405" s="727">
        <f t="shared" si="849"/>
        <v>189</v>
      </c>
      <c r="F405" s="727">
        <f t="shared" si="849"/>
        <v>189</v>
      </c>
      <c r="G405" s="727">
        <f t="shared" si="849"/>
        <v>189</v>
      </c>
      <c r="H405" s="3849">
        <f t="shared" si="849"/>
        <v>189</v>
      </c>
      <c r="I405" s="727">
        <f t="shared" si="849"/>
        <v>189</v>
      </c>
      <c r="J405" s="727">
        <f t="shared" si="849"/>
        <v>189</v>
      </c>
      <c r="K405" s="727">
        <f t="shared" si="849"/>
        <v>189</v>
      </c>
      <c r="L405" s="727">
        <f t="shared" si="849"/>
        <v>176</v>
      </c>
      <c r="M405" s="3849">
        <f t="shared" si="849"/>
        <v>176</v>
      </c>
      <c r="N405" s="727">
        <f t="shared" si="849"/>
        <v>176</v>
      </c>
      <c r="O405" s="727">
        <f t="shared" si="849"/>
        <v>176</v>
      </c>
      <c r="P405" s="727">
        <f t="shared" si="849"/>
        <v>176</v>
      </c>
      <c r="Q405" s="727">
        <f t="shared" si="849"/>
        <v>182</v>
      </c>
      <c r="R405" s="3849">
        <f t="shared" si="849"/>
        <v>182</v>
      </c>
      <c r="S405" s="727">
        <f t="shared" si="849"/>
        <v>182</v>
      </c>
      <c r="T405" s="727">
        <f t="shared" si="849"/>
        <v>182</v>
      </c>
      <c r="U405" s="727">
        <f t="shared" si="849"/>
        <v>182</v>
      </c>
      <c r="V405" s="727">
        <f t="shared" si="849"/>
        <v>178</v>
      </c>
      <c r="W405" s="3849">
        <f t="shared" si="849"/>
        <v>178</v>
      </c>
      <c r="X405" s="727">
        <f t="shared" si="849"/>
        <v>178</v>
      </c>
      <c r="Y405" s="727">
        <f t="shared" si="849"/>
        <v>178</v>
      </c>
      <c r="Z405" s="727">
        <f t="shared" si="849"/>
        <v>178</v>
      </c>
      <c r="AA405" s="727">
        <f t="shared" si="849"/>
        <v>176</v>
      </c>
      <c r="AB405" s="3849">
        <f t="shared" si="849"/>
        <v>176</v>
      </c>
      <c r="AC405" s="727">
        <f t="shared" si="849"/>
        <v>176</v>
      </c>
      <c r="AD405" s="727">
        <f t="shared" si="849"/>
        <v>176</v>
      </c>
      <c r="AE405" s="727">
        <f t="shared" si="849"/>
        <v>176</v>
      </c>
      <c r="AF405" s="727">
        <f t="shared" si="849"/>
        <v>167</v>
      </c>
      <c r="AG405" s="3849">
        <f t="shared" si="849"/>
        <v>167</v>
      </c>
      <c r="AH405" s="727">
        <f t="shared" si="849"/>
        <v>167</v>
      </c>
      <c r="AI405" s="727">
        <f t="shared" si="849"/>
        <v>167</v>
      </c>
      <c r="AJ405" s="727">
        <f t="shared" si="849"/>
        <v>167</v>
      </c>
      <c r="AK405" s="727">
        <f t="shared" si="849"/>
        <v>163</v>
      </c>
      <c r="AL405" s="3849">
        <f t="shared" si="849"/>
        <v>163</v>
      </c>
      <c r="AM405" s="727">
        <f>SUM(AM387:AM398)</f>
        <v>231</v>
      </c>
      <c r="AN405" s="727">
        <f t="shared" ref="AN405:CG405" si="850">SUM(AN387:AN398)</f>
        <v>231</v>
      </c>
      <c r="AO405" s="727">
        <f t="shared" si="850"/>
        <v>231</v>
      </c>
      <c r="AP405" s="727">
        <f t="shared" si="850"/>
        <v>323</v>
      </c>
      <c r="AQ405" s="3849">
        <f t="shared" si="850"/>
        <v>288</v>
      </c>
      <c r="AR405" s="727">
        <f t="shared" si="850"/>
        <v>323</v>
      </c>
      <c r="AS405" s="727">
        <f t="shared" si="850"/>
        <v>323</v>
      </c>
      <c r="AT405" s="727">
        <f t="shared" si="850"/>
        <v>323</v>
      </c>
      <c r="AU405" s="727">
        <f t="shared" si="850"/>
        <v>330</v>
      </c>
      <c r="AV405" s="3849">
        <f t="shared" si="850"/>
        <v>324.75</v>
      </c>
      <c r="AW405" s="727">
        <f t="shared" si="850"/>
        <v>330</v>
      </c>
      <c r="AX405" s="727">
        <f t="shared" si="850"/>
        <v>330</v>
      </c>
      <c r="AY405" s="727">
        <f t="shared" si="850"/>
        <v>330</v>
      </c>
      <c r="AZ405" s="727">
        <f t="shared" si="850"/>
        <v>339</v>
      </c>
      <c r="BA405" s="3849">
        <f t="shared" si="850"/>
        <v>332.25</v>
      </c>
      <c r="BB405" s="727">
        <f t="shared" si="850"/>
        <v>335</v>
      </c>
      <c r="BC405" s="727">
        <f t="shared" si="850"/>
        <v>335</v>
      </c>
      <c r="BD405" s="727">
        <f t="shared" si="850"/>
        <v>339</v>
      </c>
      <c r="BE405" s="727">
        <f t="shared" si="850"/>
        <v>343</v>
      </c>
      <c r="BF405" s="3849">
        <f>SUM(BF387:BF404)</f>
        <v>342.5</v>
      </c>
      <c r="BG405" s="726">
        <f t="shared" ref="BG405:CB405" si="851">SUM(BG387:BG404)</f>
        <v>343</v>
      </c>
      <c r="BH405" s="727">
        <f t="shared" si="851"/>
        <v>342</v>
      </c>
      <c r="BI405" s="727">
        <f t="shared" si="851"/>
        <v>344</v>
      </c>
      <c r="BJ405" s="1879">
        <f t="shared" si="851"/>
        <v>344</v>
      </c>
      <c r="BK405" s="3849">
        <f t="shared" si="851"/>
        <v>343.25</v>
      </c>
      <c r="BL405" s="727">
        <f t="shared" si="851"/>
        <v>344</v>
      </c>
      <c r="BM405" s="727">
        <f t="shared" si="851"/>
        <v>344</v>
      </c>
      <c r="BN405" s="727">
        <f t="shared" si="851"/>
        <v>345</v>
      </c>
      <c r="BO405" s="1879">
        <f t="shared" si="851"/>
        <v>344</v>
      </c>
      <c r="BP405" s="3849">
        <f t="shared" si="851"/>
        <v>343.5</v>
      </c>
      <c r="BQ405" s="727">
        <f t="shared" si="851"/>
        <v>343</v>
      </c>
      <c r="BR405" s="727">
        <f t="shared" si="851"/>
        <v>345</v>
      </c>
      <c r="BS405" s="727">
        <f t="shared" si="851"/>
        <v>345</v>
      </c>
      <c r="BT405" s="1879">
        <f t="shared" si="851"/>
        <v>345</v>
      </c>
      <c r="BU405" s="3850">
        <f t="shared" si="851"/>
        <v>344.75</v>
      </c>
      <c r="BV405" s="727">
        <f t="shared" si="851"/>
        <v>344.75</v>
      </c>
      <c r="BW405" s="727">
        <f t="shared" si="851"/>
        <v>344.75</v>
      </c>
      <c r="BX405" s="727">
        <f t="shared" si="851"/>
        <v>584.75</v>
      </c>
      <c r="BY405" s="727">
        <f t="shared" si="851"/>
        <v>584.75</v>
      </c>
      <c r="BZ405" s="3850">
        <f t="shared" si="851"/>
        <v>584.75</v>
      </c>
      <c r="CA405" s="3849">
        <f t="shared" si="851"/>
        <v>584.75</v>
      </c>
      <c r="CB405" s="3849">
        <f t="shared" si="851"/>
        <v>584.75</v>
      </c>
      <c r="CC405" s="3849">
        <f t="shared" si="850"/>
        <v>344.75</v>
      </c>
      <c r="CD405" s="3849">
        <f t="shared" si="850"/>
        <v>344.75</v>
      </c>
      <c r="CE405" s="3849">
        <f t="shared" si="850"/>
        <v>344.75</v>
      </c>
      <c r="CF405" s="3849">
        <f t="shared" si="850"/>
        <v>344.75</v>
      </c>
      <c r="CG405" s="3849">
        <f t="shared" si="850"/>
        <v>344.75</v>
      </c>
      <c r="CH405" s="725"/>
      <c r="CI405" s="725"/>
      <c r="CJ405" s="725"/>
      <c r="CK405" s="725"/>
      <c r="CL405" s="725"/>
      <c r="CM405" s="725"/>
      <c r="CN405" s="725"/>
      <c r="CO405" s="725"/>
      <c r="CP405" s="90" t="str">
        <f t="shared" si="600"/>
        <v>Total Tables</v>
      </c>
      <c r="CQ405" s="727">
        <f t="shared" si="601"/>
        <v>189</v>
      </c>
      <c r="CR405" s="727">
        <f t="shared" si="602"/>
        <v>176</v>
      </c>
      <c r="CS405" s="727">
        <f t="shared" si="603"/>
        <v>182</v>
      </c>
      <c r="CT405" s="727">
        <f t="shared" si="604"/>
        <v>178</v>
      </c>
      <c r="CU405" s="727">
        <f t="shared" si="605"/>
        <v>176</v>
      </c>
      <c r="CV405" s="727">
        <f t="shared" si="606"/>
        <v>167</v>
      </c>
      <c r="CW405" s="727">
        <f t="shared" si="607"/>
        <v>163</v>
      </c>
      <c r="CX405" s="727">
        <f t="shared" si="608"/>
        <v>288</v>
      </c>
      <c r="CY405" s="727">
        <f t="shared" si="609"/>
        <v>324.75</v>
      </c>
      <c r="CZ405" s="727">
        <f t="shared" si="610"/>
        <v>332.25</v>
      </c>
      <c r="DA405" s="727">
        <f t="shared" si="611"/>
        <v>342.5</v>
      </c>
      <c r="DB405" s="727">
        <f t="shared" si="612"/>
        <v>343.25</v>
      </c>
      <c r="DC405" s="727">
        <f t="shared" si="613"/>
        <v>343.5</v>
      </c>
      <c r="DD405" s="727">
        <f t="shared" si="614"/>
        <v>344.75</v>
      </c>
      <c r="DE405" s="727">
        <f t="shared" si="615"/>
        <v>584.75</v>
      </c>
      <c r="DF405" s="727">
        <f t="shared" si="616"/>
        <v>584.75</v>
      </c>
      <c r="DG405" s="1879">
        <f t="shared" si="617"/>
        <v>584.75</v>
      </c>
      <c r="DH405" s="223"/>
      <c r="DI405" s="595"/>
      <c r="DJ405" s="595"/>
      <c r="DK405" s="595"/>
      <c r="DL405" s="595"/>
      <c r="DM405" s="595"/>
      <c r="DN405" s="514"/>
      <c r="DO405" s="226"/>
      <c r="DY405" s="231"/>
      <c r="DZ405" s="231"/>
    </row>
    <row r="406" spans="1:130" ht="12" customHeight="1">
      <c r="A406" s="728"/>
      <c r="B406" s="228"/>
      <c r="C406" s="228"/>
      <c r="D406" s="509"/>
      <c r="E406" s="510"/>
      <c r="F406" s="510"/>
      <c r="G406" s="510"/>
      <c r="H406" s="512"/>
      <c r="I406" s="510"/>
      <c r="J406" s="510"/>
      <c r="K406" s="510"/>
      <c r="L406" s="510"/>
      <c r="M406" s="512"/>
      <c r="N406" s="510"/>
      <c r="O406" s="510"/>
      <c r="P406" s="510"/>
      <c r="Q406" s="510"/>
      <c r="R406" s="512"/>
      <c r="S406" s="510"/>
      <c r="T406" s="510"/>
      <c r="U406" s="510"/>
      <c r="V406" s="510"/>
      <c r="W406" s="512"/>
      <c r="X406" s="510"/>
      <c r="Y406" s="510"/>
      <c r="Z406" s="510"/>
      <c r="AA406" s="510"/>
      <c r="AB406" s="512"/>
      <c r="AC406" s="510"/>
      <c r="AD406" s="510"/>
      <c r="AE406" s="510"/>
      <c r="AF406" s="510"/>
      <c r="AG406" s="512"/>
      <c r="AH406" s="510"/>
      <c r="AI406" s="510"/>
      <c r="AJ406" s="510"/>
      <c r="AK406" s="510"/>
      <c r="AL406" s="512"/>
      <c r="AM406" s="510"/>
      <c r="AN406" s="510"/>
      <c r="AO406" s="510"/>
      <c r="AP406" s="510"/>
      <c r="AQ406" s="512"/>
      <c r="AR406" s="510"/>
      <c r="AS406" s="510"/>
      <c r="AT406" s="510"/>
      <c r="AU406" s="510"/>
      <c r="AV406" s="512"/>
      <c r="AW406" s="510"/>
      <c r="AX406" s="510"/>
      <c r="AY406" s="510"/>
      <c r="AZ406" s="510"/>
      <c r="BA406" s="512"/>
      <c r="BB406" s="510"/>
      <c r="BC406" s="510"/>
      <c r="BD406" s="510"/>
      <c r="BE406" s="510"/>
      <c r="BF406" s="512"/>
      <c r="BG406" s="509"/>
      <c r="BH406" s="510"/>
      <c r="BI406" s="510"/>
      <c r="BJ406" s="2811"/>
      <c r="BK406" s="512"/>
      <c r="BL406" s="510"/>
      <c r="BM406" s="510"/>
      <c r="BN406" s="510"/>
      <c r="BO406" s="2811"/>
      <c r="BP406" s="512"/>
      <c r="BQ406" s="510"/>
      <c r="BR406" s="510"/>
      <c r="BS406" s="510"/>
      <c r="BT406" s="2811"/>
      <c r="BU406" s="3367"/>
      <c r="BV406" s="510"/>
      <c r="BW406" s="510"/>
      <c r="BX406" s="510"/>
      <c r="BY406" s="2811"/>
      <c r="BZ406" s="512"/>
      <c r="CA406" s="512"/>
      <c r="CB406" s="512"/>
      <c r="CC406" s="512"/>
      <c r="CD406" s="512"/>
      <c r="CE406" s="512"/>
      <c r="CF406" s="512"/>
      <c r="CG406" s="512"/>
      <c r="CH406" s="510"/>
      <c r="CI406" s="510"/>
      <c r="CJ406" s="510"/>
      <c r="CK406" s="510"/>
      <c r="CL406" s="510"/>
      <c r="CM406" s="510"/>
      <c r="CN406" s="510"/>
      <c r="CO406" s="510"/>
      <c r="CP406" s="1880"/>
      <c r="CQ406" s="231"/>
      <c r="CR406" s="231"/>
      <c r="CS406" s="231"/>
      <c r="CT406" s="231"/>
      <c r="CU406" s="231"/>
      <c r="CV406" s="231"/>
      <c r="CW406" s="231"/>
      <c r="CX406" s="231"/>
      <c r="CY406" s="231"/>
      <c r="CZ406" s="231"/>
      <c r="DA406" s="231"/>
      <c r="DB406" s="231"/>
      <c r="DC406" s="231"/>
      <c r="DD406" s="231"/>
      <c r="DE406" s="231"/>
      <c r="DF406" s="231"/>
      <c r="DG406" s="1841"/>
      <c r="DH406" s="223"/>
      <c r="DI406" s="595"/>
      <c r="DJ406" s="595"/>
      <c r="DK406" s="595"/>
      <c r="DL406" s="595"/>
      <c r="DM406" s="595"/>
      <c r="DN406" s="514"/>
      <c r="DO406" s="226"/>
      <c r="DY406" s="510"/>
      <c r="DZ406" s="510"/>
    </row>
    <row r="407" spans="1:130" ht="12" customHeight="1">
      <c r="A407" s="545" t="s">
        <v>182</v>
      </c>
      <c r="B407" s="228"/>
      <c r="C407" s="228"/>
      <c r="D407" s="509"/>
      <c r="E407" s="510"/>
      <c r="F407" s="510"/>
      <c r="G407" s="510"/>
      <c r="H407" s="512"/>
      <c r="I407" s="510"/>
      <c r="J407" s="510"/>
      <c r="K407" s="510"/>
      <c r="L407" s="510"/>
      <c r="M407" s="512"/>
      <c r="N407" s="510"/>
      <c r="O407" s="510"/>
      <c r="P407" s="510"/>
      <c r="Q407" s="510"/>
      <c r="R407" s="512"/>
      <c r="S407" s="510"/>
      <c r="T407" s="510"/>
      <c r="U407" s="510"/>
      <c r="V407" s="510"/>
      <c r="W407" s="512"/>
      <c r="X407" s="510"/>
      <c r="Y407" s="510"/>
      <c r="Z407" s="510"/>
      <c r="AA407" s="510"/>
      <c r="AB407" s="512"/>
      <c r="AC407" s="510"/>
      <c r="AD407" s="510"/>
      <c r="AE407" s="510"/>
      <c r="AF407" s="510"/>
      <c r="AG407" s="512"/>
      <c r="AH407" s="510"/>
      <c r="AI407" s="510"/>
      <c r="AJ407" s="510"/>
      <c r="AK407" s="510"/>
      <c r="AL407" s="512"/>
      <c r="AM407" s="510"/>
      <c r="AN407" s="510"/>
      <c r="AO407" s="510"/>
      <c r="AP407" s="510"/>
      <c r="AQ407" s="512"/>
      <c r="AR407" s="510"/>
      <c r="AS407" s="510"/>
      <c r="AT407" s="510"/>
      <c r="AU407" s="510"/>
      <c r="AV407" s="512"/>
      <c r="AW407" s="510"/>
      <c r="AX407" s="510"/>
      <c r="AY407" s="510"/>
      <c r="AZ407" s="510"/>
      <c r="BA407" s="512"/>
      <c r="BB407" s="510"/>
      <c r="BC407" s="510"/>
      <c r="BD407" s="510"/>
      <c r="BE407" s="510"/>
      <c r="BF407" s="512"/>
      <c r="BG407" s="509"/>
      <c r="BH407" s="510"/>
      <c r="BI407" s="510"/>
      <c r="BJ407" s="2811"/>
      <c r="BK407" s="512"/>
      <c r="BL407" s="510"/>
      <c r="BM407" s="510"/>
      <c r="BN407" s="510"/>
      <c r="BO407" s="2811"/>
      <c r="BP407" s="512"/>
      <c r="BQ407" s="510"/>
      <c r="BR407" s="510"/>
      <c r="BS407" s="510"/>
      <c r="BT407" s="2811"/>
      <c r="BU407" s="3367"/>
      <c r="BV407" s="510"/>
      <c r="BW407" s="510"/>
      <c r="BX407" s="510"/>
      <c r="BY407" s="2811"/>
      <c r="BZ407" s="512"/>
      <c r="CA407" s="512"/>
      <c r="CB407" s="512"/>
      <c r="CC407" s="512"/>
      <c r="CD407" s="512"/>
      <c r="CE407" s="512"/>
      <c r="CF407" s="512"/>
      <c r="CG407" s="512"/>
      <c r="CH407" s="510"/>
      <c r="CI407" s="510"/>
      <c r="CJ407" s="510"/>
      <c r="CK407" s="510"/>
      <c r="CL407" s="510"/>
      <c r="CM407" s="510"/>
      <c r="CN407" s="510"/>
      <c r="CO407" s="510"/>
      <c r="CP407" s="1878" t="str">
        <f t="shared" si="600"/>
        <v>Positions</v>
      </c>
      <c r="CQ407" s="231"/>
      <c r="CR407" s="231"/>
      <c r="CS407" s="231"/>
      <c r="CT407" s="231"/>
      <c r="CU407" s="231"/>
      <c r="CV407" s="231"/>
      <c r="CW407" s="231"/>
      <c r="CX407" s="231"/>
      <c r="CY407" s="231"/>
      <c r="CZ407" s="231"/>
      <c r="DA407" s="231"/>
      <c r="DB407" s="231"/>
      <c r="DC407" s="231"/>
      <c r="DD407" s="231"/>
      <c r="DE407" s="231"/>
      <c r="DF407" s="231"/>
      <c r="DG407" s="1841"/>
      <c r="DH407" s="223"/>
      <c r="DI407" s="595"/>
      <c r="DJ407" s="595"/>
      <c r="DK407" s="595"/>
      <c r="DL407" s="595"/>
      <c r="DM407" s="595"/>
      <c r="DN407" s="514"/>
      <c r="DO407" s="226"/>
      <c r="DY407" s="510"/>
      <c r="DZ407" s="510"/>
    </row>
    <row r="408" spans="1:130" ht="12" customHeight="1">
      <c r="A408" s="552" t="s">
        <v>513</v>
      </c>
      <c r="B408" s="228"/>
      <c r="C408" s="228"/>
      <c r="D408" s="509"/>
      <c r="E408" s="510"/>
      <c r="F408" s="510"/>
      <c r="G408" s="510"/>
      <c r="H408" s="512"/>
      <c r="I408" s="510"/>
      <c r="J408" s="510"/>
      <c r="K408" s="510"/>
      <c r="L408" s="510"/>
      <c r="M408" s="512"/>
      <c r="N408" s="510"/>
      <c r="O408" s="510"/>
      <c r="P408" s="510"/>
      <c r="Q408" s="510"/>
      <c r="R408" s="512"/>
      <c r="S408" s="510"/>
      <c r="T408" s="510"/>
      <c r="U408" s="510"/>
      <c r="V408" s="510"/>
      <c r="W408" s="512"/>
      <c r="X408" s="510"/>
      <c r="Y408" s="510"/>
      <c r="Z408" s="510"/>
      <c r="AA408" s="510"/>
      <c r="AB408" s="512"/>
      <c r="AC408" s="510"/>
      <c r="AD408" s="510"/>
      <c r="AE408" s="510"/>
      <c r="AF408" s="510"/>
      <c r="AG408" s="512"/>
      <c r="AH408" s="510"/>
      <c r="AI408" s="510"/>
      <c r="AJ408" s="510"/>
      <c r="AK408" s="510"/>
      <c r="AL408" s="512"/>
      <c r="AM408" s="510"/>
      <c r="AN408" s="510"/>
      <c r="AO408" s="510"/>
      <c r="AP408" s="231">
        <f t="shared" ref="AP408:AP415" si="852">AP366+AP387*6</f>
        <v>2272</v>
      </c>
      <c r="AQ408" s="511">
        <f>AVERAGE(AM408:AP408)</f>
        <v>2272</v>
      </c>
      <c r="AR408" s="231">
        <f t="shared" ref="AR408:AU415" si="853">AR366+AR387*6</f>
        <v>2272</v>
      </c>
      <c r="AS408" s="231">
        <f t="shared" si="853"/>
        <v>2272</v>
      </c>
      <c r="AT408" s="231">
        <f t="shared" si="853"/>
        <v>2272</v>
      </c>
      <c r="AU408" s="231">
        <f t="shared" si="853"/>
        <v>2161</v>
      </c>
      <c r="AV408" s="511">
        <f>AVERAGE(AR408:AU408)</f>
        <v>2244.25</v>
      </c>
      <c r="AW408" s="231">
        <f t="shared" ref="AW408:AZ415" si="854">AW366+AW387*6</f>
        <v>2161</v>
      </c>
      <c r="AX408" s="231">
        <f t="shared" si="854"/>
        <v>2161</v>
      </c>
      <c r="AY408" s="231">
        <f t="shared" si="854"/>
        <v>2161</v>
      </c>
      <c r="AZ408" s="231">
        <f t="shared" si="854"/>
        <v>2131</v>
      </c>
      <c r="BA408" s="511">
        <f>AVERAGE(AW408:AZ408)</f>
        <v>2153.5</v>
      </c>
      <c r="BB408" s="231">
        <f t="shared" ref="BB408:BE415" si="855">BB366+BB387*6</f>
        <v>2131</v>
      </c>
      <c r="BC408" s="231">
        <f t="shared" si="855"/>
        <v>2131</v>
      </c>
      <c r="BD408" s="231">
        <f t="shared" si="855"/>
        <v>2131</v>
      </c>
      <c r="BE408" s="231">
        <f t="shared" si="855"/>
        <v>2131</v>
      </c>
      <c r="BF408" s="511">
        <f>AVERAGE(BB408:BE408)</f>
        <v>2131</v>
      </c>
      <c r="BG408" s="527">
        <f t="shared" ref="BG408:BJ415" si="856">BG366+BG387*6</f>
        <v>2131</v>
      </c>
      <c r="BH408" s="231">
        <f t="shared" si="856"/>
        <v>2131</v>
      </c>
      <c r="BI408" s="231">
        <f t="shared" si="856"/>
        <v>2131</v>
      </c>
      <c r="BJ408" s="1841">
        <f t="shared" si="856"/>
        <v>2131</v>
      </c>
      <c r="BK408" s="511">
        <f>AVERAGE(BG408:BJ408)</f>
        <v>2131</v>
      </c>
      <c r="BL408" s="231">
        <f t="shared" ref="BL408:BO415" si="857">BL366+BL387*6</f>
        <v>2131</v>
      </c>
      <c r="BM408" s="231">
        <f t="shared" si="857"/>
        <v>2131</v>
      </c>
      <c r="BN408" s="231">
        <f t="shared" si="857"/>
        <v>2131</v>
      </c>
      <c r="BO408" s="1841">
        <f t="shared" si="857"/>
        <v>2131</v>
      </c>
      <c r="BP408" s="511">
        <f>AVERAGE(BL408:BO408)</f>
        <v>2131</v>
      </c>
      <c r="BQ408" s="231">
        <f t="shared" ref="BQ408:BT415" si="858">BQ366+BQ387*6</f>
        <v>2131</v>
      </c>
      <c r="BR408" s="231">
        <f t="shared" si="858"/>
        <v>2131</v>
      </c>
      <c r="BS408" s="231">
        <f t="shared" si="858"/>
        <v>2131</v>
      </c>
      <c r="BT408" s="1841">
        <f t="shared" si="858"/>
        <v>2131</v>
      </c>
      <c r="BU408" s="3386">
        <f>AVERAGE(BQ408:BT408)</f>
        <v>2131</v>
      </c>
      <c r="BV408" s="3554">
        <f t="shared" ref="BV408:BY408" si="859">BV366+BV387*6</f>
        <v>2131</v>
      </c>
      <c r="BW408" s="3554">
        <f t="shared" si="859"/>
        <v>2131</v>
      </c>
      <c r="BX408" s="3554">
        <f t="shared" si="859"/>
        <v>2131</v>
      </c>
      <c r="BY408" s="3553">
        <f t="shared" si="859"/>
        <v>2131</v>
      </c>
      <c r="BZ408" s="3386">
        <f>AVERAGE(BV408:BY408)</f>
        <v>2131</v>
      </c>
      <c r="CA408" s="511">
        <f t="shared" ref="CA408:CB414" si="860">BZ408</f>
        <v>2131</v>
      </c>
      <c r="CB408" s="511">
        <f t="shared" si="860"/>
        <v>2131</v>
      </c>
      <c r="CC408" s="511">
        <f t="shared" ref="CC408:CC414" si="861">CB408</f>
        <v>2131</v>
      </c>
      <c r="CD408" s="511">
        <f t="shared" ref="CD408:CD414" si="862">CC408</f>
        <v>2131</v>
      </c>
      <c r="CE408" s="511">
        <f t="shared" ref="CE408:CE414" si="863">CD408</f>
        <v>2131</v>
      </c>
      <c r="CF408" s="511">
        <f t="shared" ref="CF408:CF414" si="864">CE408</f>
        <v>2131</v>
      </c>
      <c r="CG408" s="511">
        <f t="shared" ref="CG408:CG414" si="865">CF408</f>
        <v>2131</v>
      </c>
      <c r="CH408" s="510"/>
      <c r="CI408" s="510"/>
      <c r="CJ408" s="510"/>
      <c r="CK408" s="510"/>
      <c r="CL408" s="510"/>
      <c r="CM408" s="510"/>
      <c r="CN408" s="510"/>
      <c r="CO408" s="510"/>
      <c r="CP408" s="994" t="str">
        <f t="shared" si="600"/>
        <v>Imperial Palace (MS) - Estimated</v>
      </c>
      <c r="CQ408" s="231"/>
      <c r="CR408" s="231"/>
      <c r="CS408" s="231"/>
      <c r="CT408" s="231"/>
      <c r="CU408" s="231"/>
      <c r="CV408" s="231"/>
      <c r="CW408" s="231"/>
      <c r="CX408" s="231">
        <f t="shared" si="608"/>
        <v>2272</v>
      </c>
      <c r="CY408" s="231">
        <f t="shared" si="609"/>
        <v>2244.25</v>
      </c>
      <c r="CZ408" s="231">
        <f t="shared" si="610"/>
        <v>2153.5</v>
      </c>
      <c r="DA408" s="231">
        <f t="shared" si="611"/>
        <v>2131</v>
      </c>
      <c r="DB408" s="231">
        <f t="shared" si="612"/>
        <v>2131</v>
      </c>
      <c r="DC408" s="231">
        <f t="shared" si="613"/>
        <v>2131</v>
      </c>
      <c r="DD408" s="231">
        <f t="shared" si="614"/>
        <v>2131</v>
      </c>
      <c r="DE408" s="231">
        <f t="shared" si="615"/>
        <v>2131</v>
      </c>
      <c r="DF408" s="231">
        <f t="shared" si="616"/>
        <v>2131</v>
      </c>
      <c r="DG408" s="1841">
        <f t="shared" si="617"/>
        <v>2131</v>
      </c>
      <c r="DH408" s="223"/>
      <c r="DI408" s="595"/>
      <c r="DJ408" s="595"/>
      <c r="DK408" s="595"/>
      <c r="DL408" s="595"/>
      <c r="DM408" s="595"/>
      <c r="DN408" s="514"/>
      <c r="DO408" s="226"/>
      <c r="DY408" s="492"/>
      <c r="DZ408" s="492"/>
    </row>
    <row r="409" spans="1:130" ht="12" customHeight="1">
      <c r="A409" s="552" t="s">
        <v>872</v>
      </c>
      <c r="B409" s="228"/>
      <c r="C409" s="228"/>
      <c r="D409" s="527">
        <f t="shared" ref="D409:G413" si="866">D367+(6*D388)</f>
        <v>1624</v>
      </c>
      <c r="E409" s="231">
        <f t="shared" si="866"/>
        <v>1624</v>
      </c>
      <c r="F409" s="231">
        <f t="shared" si="866"/>
        <v>1624</v>
      </c>
      <c r="G409" s="231">
        <f t="shared" si="866"/>
        <v>1673</v>
      </c>
      <c r="H409" s="511">
        <f t="shared" ref="H409:H414" si="867">AVERAGE(D409:G409)</f>
        <v>1636.25</v>
      </c>
      <c r="I409" s="231">
        <f t="shared" ref="I409:L414" si="868">I367+I388*6</f>
        <v>1673</v>
      </c>
      <c r="J409" s="231">
        <f t="shared" si="868"/>
        <v>1673</v>
      </c>
      <c r="K409" s="231">
        <f t="shared" si="868"/>
        <v>1673</v>
      </c>
      <c r="L409" s="231">
        <f t="shared" si="868"/>
        <v>1592</v>
      </c>
      <c r="M409" s="511">
        <f t="shared" ref="M409:M414" si="869">AVERAGE(I409:L409)</f>
        <v>1652.75</v>
      </c>
      <c r="N409" s="231">
        <f t="shared" ref="N409:Q414" si="870">N367+N388*6</f>
        <v>1592</v>
      </c>
      <c r="O409" s="231">
        <f t="shared" si="870"/>
        <v>1592</v>
      </c>
      <c r="P409" s="231">
        <f t="shared" si="870"/>
        <v>1592</v>
      </c>
      <c r="Q409" s="231">
        <f t="shared" si="870"/>
        <v>1566</v>
      </c>
      <c r="R409" s="511">
        <f t="shared" ref="R409:R414" si="871">AVERAGE(N409:Q409)</f>
        <v>1585.5</v>
      </c>
      <c r="S409" s="231">
        <f t="shared" ref="S409:V414" si="872">S367+S388*6</f>
        <v>1566</v>
      </c>
      <c r="T409" s="231">
        <f t="shared" si="872"/>
        <v>1566</v>
      </c>
      <c r="U409" s="231">
        <f t="shared" si="872"/>
        <v>1566</v>
      </c>
      <c r="V409" s="231">
        <f t="shared" si="872"/>
        <v>1570</v>
      </c>
      <c r="W409" s="511">
        <f t="shared" ref="W409:W414" si="873">AVERAGE(S409:V409)</f>
        <v>1567</v>
      </c>
      <c r="X409" s="231">
        <f t="shared" ref="X409:AA414" si="874">X367+X388*6</f>
        <v>1570</v>
      </c>
      <c r="Y409" s="231">
        <f t="shared" si="874"/>
        <v>1570</v>
      </c>
      <c r="Z409" s="231">
        <f t="shared" si="874"/>
        <v>1570</v>
      </c>
      <c r="AA409" s="231">
        <f t="shared" si="874"/>
        <v>1564</v>
      </c>
      <c r="AB409" s="511">
        <f t="shared" ref="AB409:AB414" si="875">AVERAGE(X409:AA409)</f>
        <v>1568.5</v>
      </c>
      <c r="AC409" s="231">
        <f t="shared" ref="AC409:AF414" si="876">AC367+AC388*6</f>
        <v>1564</v>
      </c>
      <c r="AD409" s="231">
        <f t="shared" si="876"/>
        <v>1564</v>
      </c>
      <c r="AE409" s="231">
        <f t="shared" si="876"/>
        <v>1564</v>
      </c>
      <c r="AF409" s="231">
        <f t="shared" si="876"/>
        <v>1513</v>
      </c>
      <c r="AG409" s="511">
        <f t="shared" ref="AG409:AG414" si="877">AVERAGE(AC409:AF409)</f>
        <v>1551.25</v>
      </c>
      <c r="AH409" s="492">
        <f t="shared" ref="AH409:AK414" si="878">AH367+AH388*6</f>
        <v>1513</v>
      </c>
      <c r="AI409" s="492">
        <f t="shared" si="878"/>
        <v>1513</v>
      </c>
      <c r="AJ409" s="492">
        <f t="shared" si="878"/>
        <v>1513</v>
      </c>
      <c r="AK409" s="492">
        <f t="shared" si="878"/>
        <v>1497</v>
      </c>
      <c r="AL409" s="511">
        <f t="shared" ref="AL409:AL414" si="879">AVERAGE(AH409:AK409)</f>
        <v>1509</v>
      </c>
      <c r="AM409" s="231">
        <f t="shared" ref="AM409:AO415" si="880">AM367+AM388*6</f>
        <v>1497</v>
      </c>
      <c r="AN409" s="231">
        <f t="shared" si="880"/>
        <v>1497</v>
      </c>
      <c r="AO409" s="231">
        <f t="shared" si="880"/>
        <v>1497</v>
      </c>
      <c r="AP409" s="231">
        <f t="shared" si="852"/>
        <v>1466</v>
      </c>
      <c r="AQ409" s="511">
        <f t="shared" ref="AQ409:AQ414" si="881">AVERAGE(AM409:AP409)</f>
        <v>1489.25</v>
      </c>
      <c r="AR409" s="231">
        <f t="shared" si="853"/>
        <v>1466</v>
      </c>
      <c r="AS409" s="231">
        <f t="shared" si="853"/>
        <v>1466</v>
      </c>
      <c r="AT409" s="231">
        <f t="shared" si="853"/>
        <v>1466</v>
      </c>
      <c r="AU409" s="231">
        <f t="shared" si="853"/>
        <v>1457</v>
      </c>
      <c r="AV409" s="511">
        <f t="shared" ref="AV409:AV414" si="882">AVERAGE(AR409:AU409)</f>
        <v>1463.75</v>
      </c>
      <c r="AW409" s="231">
        <f t="shared" si="854"/>
        <v>1457</v>
      </c>
      <c r="AX409" s="231">
        <f t="shared" si="854"/>
        <v>1457</v>
      </c>
      <c r="AY409" s="231">
        <f t="shared" si="854"/>
        <v>1457</v>
      </c>
      <c r="AZ409" s="231">
        <f t="shared" si="854"/>
        <v>1457</v>
      </c>
      <c r="BA409" s="511">
        <f t="shared" ref="BA409:BA414" si="883">AVERAGE(AW409:AZ409)</f>
        <v>1457</v>
      </c>
      <c r="BB409" s="231">
        <f t="shared" si="855"/>
        <v>1457</v>
      </c>
      <c r="BC409" s="231">
        <f t="shared" si="855"/>
        <v>1457</v>
      </c>
      <c r="BD409" s="231">
        <f t="shared" si="855"/>
        <v>1457</v>
      </c>
      <c r="BE409" s="231">
        <f t="shared" si="855"/>
        <v>1457</v>
      </c>
      <c r="BF409" s="511">
        <f t="shared" ref="BF409:BF414" si="884">AVERAGE(BB409:BE409)</f>
        <v>1457</v>
      </c>
      <c r="BG409" s="527">
        <f t="shared" si="856"/>
        <v>1457</v>
      </c>
      <c r="BH409" s="231">
        <f t="shared" si="856"/>
        <v>1457</v>
      </c>
      <c r="BI409" s="231">
        <f t="shared" si="856"/>
        <v>1457</v>
      </c>
      <c r="BJ409" s="1841">
        <f t="shared" si="856"/>
        <v>1457</v>
      </c>
      <c r="BK409" s="511">
        <f t="shared" ref="BK409:BK414" si="885">AVERAGE(BG409:BJ409)</f>
        <v>1457</v>
      </c>
      <c r="BL409" s="231">
        <f t="shared" si="857"/>
        <v>1457</v>
      </c>
      <c r="BM409" s="231">
        <f t="shared" si="857"/>
        <v>1457</v>
      </c>
      <c r="BN409" s="231">
        <f t="shared" si="857"/>
        <v>1457</v>
      </c>
      <c r="BO409" s="1841">
        <f t="shared" si="857"/>
        <v>1457</v>
      </c>
      <c r="BP409" s="511">
        <f t="shared" ref="BP409:BP414" si="886">AVERAGE(BL409:BO409)</f>
        <v>1457</v>
      </c>
      <c r="BQ409" s="231">
        <f t="shared" si="858"/>
        <v>1457</v>
      </c>
      <c r="BR409" s="231">
        <f t="shared" si="858"/>
        <v>1457</v>
      </c>
      <c r="BS409" s="231">
        <f t="shared" si="858"/>
        <v>1457</v>
      </c>
      <c r="BT409" s="1841">
        <f t="shared" si="858"/>
        <v>1457</v>
      </c>
      <c r="BU409" s="3386">
        <f t="shared" ref="BU409:BU414" si="887">AVERAGE(BQ409:BT409)</f>
        <v>1457</v>
      </c>
      <c r="BV409" s="3554">
        <f t="shared" ref="BV409:BY409" si="888">BV367+BV388*6</f>
        <v>1457</v>
      </c>
      <c r="BW409" s="3554">
        <f t="shared" si="888"/>
        <v>1457</v>
      </c>
      <c r="BX409" s="3554">
        <f t="shared" si="888"/>
        <v>1457</v>
      </c>
      <c r="BY409" s="3553">
        <f t="shared" si="888"/>
        <v>1457</v>
      </c>
      <c r="BZ409" s="3386">
        <f t="shared" ref="BZ409:BZ419" si="889">AVERAGE(BV409:BY409)</f>
        <v>1457</v>
      </c>
      <c r="CA409" s="511">
        <f t="shared" si="860"/>
        <v>1457</v>
      </c>
      <c r="CB409" s="511">
        <f t="shared" si="860"/>
        <v>1457</v>
      </c>
      <c r="CC409" s="511">
        <f t="shared" si="861"/>
        <v>1457</v>
      </c>
      <c r="CD409" s="511">
        <f t="shared" si="862"/>
        <v>1457</v>
      </c>
      <c r="CE409" s="511">
        <f t="shared" si="863"/>
        <v>1457</v>
      </c>
      <c r="CF409" s="511">
        <f t="shared" si="864"/>
        <v>1457</v>
      </c>
      <c r="CG409" s="511">
        <f t="shared" si="865"/>
        <v>1457</v>
      </c>
      <c r="CH409" s="231"/>
      <c r="CI409" s="231"/>
      <c r="CJ409" s="231"/>
      <c r="CK409" s="231"/>
      <c r="CL409" s="231"/>
      <c r="CM409" s="231"/>
      <c r="CN409" s="231"/>
      <c r="CO409" s="231"/>
      <c r="CP409" s="994" t="str">
        <f t="shared" si="600"/>
        <v>Sam's Town Tunica (MS)</v>
      </c>
      <c r="CQ409" s="231">
        <f t="shared" si="601"/>
        <v>1636.25</v>
      </c>
      <c r="CR409" s="231">
        <f t="shared" si="602"/>
        <v>1652.75</v>
      </c>
      <c r="CS409" s="231">
        <f t="shared" si="603"/>
        <v>1585.5</v>
      </c>
      <c r="CT409" s="231">
        <f t="shared" si="604"/>
        <v>1567</v>
      </c>
      <c r="CU409" s="231">
        <f t="shared" si="605"/>
        <v>1568.5</v>
      </c>
      <c r="CV409" s="231">
        <f t="shared" si="606"/>
        <v>1551.25</v>
      </c>
      <c r="CW409" s="231">
        <f t="shared" si="607"/>
        <v>1509</v>
      </c>
      <c r="CX409" s="231">
        <f t="shared" si="608"/>
        <v>1489.25</v>
      </c>
      <c r="CY409" s="231">
        <f t="shared" si="609"/>
        <v>1463.75</v>
      </c>
      <c r="CZ409" s="231">
        <f t="shared" si="610"/>
        <v>1457</v>
      </c>
      <c r="DA409" s="231">
        <f t="shared" si="611"/>
        <v>1457</v>
      </c>
      <c r="DB409" s="231">
        <f t="shared" si="612"/>
        <v>1457</v>
      </c>
      <c r="DC409" s="231">
        <f t="shared" si="613"/>
        <v>1457</v>
      </c>
      <c r="DD409" s="231">
        <f t="shared" si="614"/>
        <v>1457</v>
      </c>
      <c r="DE409" s="231">
        <f t="shared" si="615"/>
        <v>1457</v>
      </c>
      <c r="DF409" s="231">
        <f t="shared" si="616"/>
        <v>1457</v>
      </c>
      <c r="DG409" s="1841">
        <f t="shared" si="617"/>
        <v>1457</v>
      </c>
      <c r="DH409" s="223"/>
      <c r="DI409" s="595"/>
      <c r="DJ409" s="595"/>
      <c r="DK409" s="595"/>
      <c r="DL409" s="595"/>
      <c r="DM409" s="595"/>
      <c r="DN409" s="514"/>
      <c r="DO409" s="226"/>
      <c r="DY409" s="492"/>
      <c r="DZ409" s="492"/>
    </row>
    <row r="410" spans="1:130" ht="12" customHeight="1">
      <c r="A410" s="552" t="s">
        <v>553</v>
      </c>
      <c r="B410" s="228"/>
      <c r="C410" s="228"/>
      <c r="D410" s="527">
        <f t="shared" si="866"/>
        <v>1302</v>
      </c>
      <c r="E410" s="231">
        <f t="shared" si="866"/>
        <v>1302</v>
      </c>
      <c r="F410" s="231">
        <f t="shared" si="866"/>
        <v>1302</v>
      </c>
      <c r="G410" s="231">
        <f t="shared" si="866"/>
        <v>1298</v>
      </c>
      <c r="H410" s="511">
        <f t="shared" si="867"/>
        <v>1301</v>
      </c>
      <c r="I410" s="231">
        <f t="shared" si="868"/>
        <v>1298</v>
      </c>
      <c r="J410" s="231">
        <f t="shared" si="868"/>
        <v>1298</v>
      </c>
      <c r="K410" s="231">
        <f t="shared" si="868"/>
        <v>1298</v>
      </c>
      <c r="L410" s="231">
        <f t="shared" si="868"/>
        <v>1274</v>
      </c>
      <c r="M410" s="511">
        <f t="shared" si="869"/>
        <v>1292</v>
      </c>
      <c r="N410" s="231">
        <f t="shared" si="870"/>
        <v>1274</v>
      </c>
      <c r="O410" s="231">
        <f t="shared" si="870"/>
        <v>1274</v>
      </c>
      <c r="P410" s="231">
        <f t="shared" si="870"/>
        <v>1274</v>
      </c>
      <c r="Q410" s="231">
        <f t="shared" si="870"/>
        <v>1274</v>
      </c>
      <c r="R410" s="511">
        <f t="shared" si="871"/>
        <v>1274</v>
      </c>
      <c r="S410" s="231">
        <f t="shared" si="872"/>
        <v>1274</v>
      </c>
      <c r="T410" s="231">
        <f t="shared" si="872"/>
        <v>1274</v>
      </c>
      <c r="U410" s="231">
        <f t="shared" si="872"/>
        <v>1274</v>
      </c>
      <c r="V410" s="231">
        <f t="shared" si="872"/>
        <v>1273</v>
      </c>
      <c r="W410" s="511">
        <f t="shared" si="873"/>
        <v>1273.75</v>
      </c>
      <c r="X410" s="231">
        <f t="shared" si="874"/>
        <v>1273</v>
      </c>
      <c r="Y410" s="231">
        <f t="shared" si="874"/>
        <v>1273</v>
      </c>
      <c r="Z410" s="231">
        <f t="shared" si="874"/>
        <v>1273</v>
      </c>
      <c r="AA410" s="231">
        <f t="shared" si="874"/>
        <v>1279</v>
      </c>
      <c r="AB410" s="511">
        <f t="shared" si="875"/>
        <v>1274.5</v>
      </c>
      <c r="AC410" s="231">
        <f t="shared" si="876"/>
        <v>1279</v>
      </c>
      <c r="AD410" s="231">
        <f t="shared" si="876"/>
        <v>1279</v>
      </c>
      <c r="AE410" s="231">
        <f t="shared" si="876"/>
        <v>1279</v>
      </c>
      <c r="AF410" s="231">
        <f t="shared" si="876"/>
        <v>1278</v>
      </c>
      <c r="AG410" s="511">
        <f t="shared" si="877"/>
        <v>1278.75</v>
      </c>
      <c r="AH410" s="492">
        <f t="shared" si="878"/>
        <v>1278</v>
      </c>
      <c r="AI410" s="492">
        <f t="shared" si="878"/>
        <v>1278</v>
      </c>
      <c r="AJ410" s="492">
        <f t="shared" si="878"/>
        <v>1278</v>
      </c>
      <c r="AK410" s="492">
        <f t="shared" si="878"/>
        <v>1287</v>
      </c>
      <c r="AL410" s="511">
        <f t="shared" si="879"/>
        <v>1280.25</v>
      </c>
      <c r="AM410" s="231">
        <f t="shared" si="880"/>
        <v>1287</v>
      </c>
      <c r="AN410" s="231">
        <f t="shared" si="880"/>
        <v>1287</v>
      </c>
      <c r="AO410" s="231">
        <f t="shared" si="880"/>
        <v>1287</v>
      </c>
      <c r="AP410" s="231">
        <f t="shared" si="852"/>
        <v>1293</v>
      </c>
      <c r="AQ410" s="511">
        <f t="shared" si="881"/>
        <v>1288.5</v>
      </c>
      <c r="AR410" s="231">
        <f t="shared" si="853"/>
        <v>1293</v>
      </c>
      <c r="AS410" s="231">
        <f t="shared" si="853"/>
        <v>1293</v>
      </c>
      <c r="AT410" s="231">
        <f t="shared" si="853"/>
        <v>1293</v>
      </c>
      <c r="AU410" s="231">
        <f t="shared" si="853"/>
        <v>1296</v>
      </c>
      <c r="AV410" s="511">
        <f t="shared" si="882"/>
        <v>1293.75</v>
      </c>
      <c r="AW410" s="231">
        <f t="shared" si="854"/>
        <v>1296</v>
      </c>
      <c r="AX410" s="231">
        <f t="shared" si="854"/>
        <v>1296</v>
      </c>
      <c r="AY410" s="231">
        <f t="shared" si="854"/>
        <v>1296</v>
      </c>
      <c r="AZ410" s="231">
        <f t="shared" si="854"/>
        <v>1277</v>
      </c>
      <c r="BA410" s="511">
        <f t="shared" si="883"/>
        <v>1291.25</v>
      </c>
      <c r="BB410" s="231">
        <f t="shared" si="855"/>
        <v>1301</v>
      </c>
      <c r="BC410" s="231">
        <f t="shared" si="855"/>
        <v>1302</v>
      </c>
      <c r="BD410" s="231">
        <f t="shared" si="855"/>
        <v>1219</v>
      </c>
      <c r="BE410" s="231">
        <f t="shared" si="855"/>
        <v>1236</v>
      </c>
      <c r="BF410" s="511">
        <f t="shared" si="884"/>
        <v>1264.5</v>
      </c>
      <c r="BG410" s="527">
        <f t="shared" si="856"/>
        <v>1176</v>
      </c>
      <c r="BH410" s="231">
        <f t="shared" si="856"/>
        <v>1174</v>
      </c>
      <c r="BI410" s="231">
        <f t="shared" si="856"/>
        <v>1174</v>
      </c>
      <c r="BJ410" s="1841">
        <f t="shared" si="856"/>
        <v>1174</v>
      </c>
      <c r="BK410" s="511">
        <f t="shared" si="885"/>
        <v>1174.5</v>
      </c>
      <c r="BL410" s="231">
        <f t="shared" si="857"/>
        <v>1174</v>
      </c>
      <c r="BM410" s="231">
        <f t="shared" si="857"/>
        <v>1166</v>
      </c>
      <c r="BN410" s="231">
        <f t="shared" si="857"/>
        <v>1166</v>
      </c>
      <c r="BO410" s="1841">
        <f t="shared" si="857"/>
        <v>1166</v>
      </c>
      <c r="BP410" s="511">
        <f t="shared" si="886"/>
        <v>1168</v>
      </c>
      <c r="BQ410" s="231">
        <f t="shared" si="858"/>
        <v>1097</v>
      </c>
      <c r="BR410" s="231">
        <f t="shared" si="858"/>
        <v>1099</v>
      </c>
      <c r="BS410" s="231">
        <f t="shared" si="858"/>
        <v>1099</v>
      </c>
      <c r="BT410" s="1841">
        <f t="shared" si="858"/>
        <v>1099</v>
      </c>
      <c r="BU410" s="3386">
        <f t="shared" si="887"/>
        <v>1098.5</v>
      </c>
      <c r="BV410" s="3554">
        <f t="shared" ref="BV410:BY410" si="890">BV368+BV389*6</f>
        <v>1099</v>
      </c>
      <c r="BW410" s="3554">
        <f t="shared" si="890"/>
        <v>1099</v>
      </c>
      <c r="BX410" s="3554">
        <f t="shared" si="890"/>
        <v>1099</v>
      </c>
      <c r="BY410" s="3553">
        <f t="shared" si="890"/>
        <v>1099</v>
      </c>
      <c r="BZ410" s="3386">
        <f t="shared" si="889"/>
        <v>1099</v>
      </c>
      <c r="CA410" s="511">
        <f t="shared" si="860"/>
        <v>1099</v>
      </c>
      <c r="CB410" s="511">
        <f t="shared" si="860"/>
        <v>1099</v>
      </c>
      <c r="CC410" s="511">
        <f t="shared" si="861"/>
        <v>1099</v>
      </c>
      <c r="CD410" s="511">
        <f t="shared" si="862"/>
        <v>1099</v>
      </c>
      <c r="CE410" s="511">
        <f t="shared" si="863"/>
        <v>1099</v>
      </c>
      <c r="CF410" s="511">
        <f t="shared" si="864"/>
        <v>1099</v>
      </c>
      <c r="CG410" s="511">
        <f t="shared" si="865"/>
        <v>1099</v>
      </c>
      <c r="CH410" s="231"/>
      <c r="CI410" s="231"/>
      <c r="CJ410" s="231"/>
      <c r="CK410" s="231"/>
      <c r="CL410" s="231"/>
      <c r="CM410" s="231"/>
      <c r="CN410" s="231"/>
      <c r="CO410" s="231"/>
      <c r="CP410" s="994" t="str">
        <f t="shared" si="600"/>
        <v>Par-A-Dice (Peoria, Illinois)</v>
      </c>
      <c r="CQ410" s="231">
        <f t="shared" si="601"/>
        <v>1301</v>
      </c>
      <c r="CR410" s="231">
        <f t="shared" si="602"/>
        <v>1292</v>
      </c>
      <c r="CS410" s="231">
        <f t="shared" si="603"/>
        <v>1274</v>
      </c>
      <c r="CT410" s="231">
        <f t="shared" si="604"/>
        <v>1273.75</v>
      </c>
      <c r="CU410" s="231">
        <f t="shared" si="605"/>
        <v>1274.5</v>
      </c>
      <c r="CV410" s="231">
        <f t="shared" si="606"/>
        <v>1278.75</v>
      </c>
      <c r="CW410" s="231">
        <f t="shared" si="607"/>
        <v>1280.25</v>
      </c>
      <c r="CX410" s="231">
        <f t="shared" si="608"/>
        <v>1288.5</v>
      </c>
      <c r="CY410" s="231">
        <f t="shared" si="609"/>
        <v>1293.75</v>
      </c>
      <c r="CZ410" s="231">
        <f t="shared" si="610"/>
        <v>1291.25</v>
      </c>
      <c r="DA410" s="231">
        <f t="shared" si="611"/>
        <v>1264.5</v>
      </c>
      <c r="DB410" s="231">
        <f t="shared" si="612"/>
        <v>1174.5</v>
      </c>
      <c r="DC410" s="231">
        <f t="shared" si="613"/>
        <v>1168</v>
      </c>
      <c r="DD410" s="231">
        <f t="shared" si="614"/>
        <v>1098.5</v>
      </c>
      <c r="DE410" s="231">
        <f t="shared" si="615"/>
        <v>1099</v>
      </c>
      <c r="DF410" s="231">
        <f t="shared" si="616"/>
        <v>1099</v>
      </c>
      <c r="DG410" s="1841">
        <f t="shared" si="617"/>
        <v>1099</v>
      </c>
      <c r="DH410" s="223"/>
      <c r="DI410" s="595"/>
      <c r="DJ410" s="595"/>
      <c r="DK410" s="595"/>
      <c r="DL410" s="595"/>
      <c r="DM410" s="595"/>
      <c r="DN410" s="514"/>
      <c r="DO410" s="226"/>
      <c r="DY410" s="492"/>
      <c r="DZ410" s="492"/>
    </row>
    <row r="411" spans="1:130" ht="12" customHeight="1">
      <c r="A411" s="552" t="s">
        <v>632</v>
      </c>
      <c r="B411" s="228"/>
      <c r="C411" s="228"/>
      <c r="D411" s="527">
        <f t="shared" si="866"/>
        <v>1205</v>
      </c>
      <c r="E411" s="231">
        <f t="shared" si="866"/>
        <v>1205</v>
      </c>
      <c r="F411" s="231">
        <f t="shared" si="866"/>
        <v>1205</v>
      </c>
      <c r="G411" s="231">
        <f t="shared" si="866"/>
        <v>1210</v>
      </c>
      <c r="H411" s="511">
        <f t="shared" si="867"/>
        <v>1206.25</v>
      </c>
      <c r="I411" s="231">
        <f t="shared" si="868"/>
        <v>1210</v>
      </c>
      <c r="J411" s="231">
        <f t="shared" si="868"/>
        <v>1210</v>
      </c>
      <c r="K411" s="231">
        <f t="shared" si="868"/>
        <v>1210</v>
      </c>
      <c r="L411" s="231">
        <f t="shared" si="868"/>
        <v>1207</v>
      </c>
      <c r="M411" s="511">
        <f t="shared" si="869"/>
        <v>1209.25</v>
      </c>
      <c r="N411" s="231">
        <f t="shared" si="870"/>
        <v>1207</v>
      </c>
      <c r="O411" s="231">
        <f t="shared" si="870"/>
        <v>1207</v>
      </c>
      <c r="P411" s="231">
        <f t="shared" si="870"/>
        <v>1207</v>
      </c>
      <c r="Q411" s="231">
        <f t="shared" si="870"/>
        <v>1221</v>
      </c>
      <c r="R411" s="511">
        <f t="shared" si="871"/>
        <v>1210.5</v>
      </c>
      <c r="S411" s="231">
        <f t="shared" si="872"/>
        <v>1221</v>
      </c>
      <c r="T411" s="231">
        <f t="shared" si="872"/>
        <v>1221</v>
      </c>
      <c r="U411" s="231">
        <f t="shared" si="872"/>
        <v>1221</v>
      </c>
      <c r="V411" s="231">
        <f t="shared" si="872"/>
        <v>1219</v>
      </c>
      <c r="W411" s="511">
        <f t="shared" si="873"/>
        <v>1220.5</v>
      </c>
      <c r="X411" s="231">
        <f t="shared" si="874"/>
        <v>1219</v>
      </c>
      <c r="Y411" s="231">
        <f t="shared" si="874"/>
        <v>1219</v>
      </c>
      <c r="Z411" s="231">
        <f t="shared" si="874"/>
        <v>1219</v>
      </c>
      <c r="AA411" s="231">
        <f t="shared" si="874"/>
        <v>1206</v>
      </c>
      <c r="AB411" s="511">
        <f t="shared" si="875"/>
        <v>1215.75</v>
      </c>
      <c r="AC411" s="231">
        <f t="shared" si="876"/>
        <v>1206</v>
      </c>
      <c r="AD411" s="231">
        <f t="shared" si="876"/>
        <v>1206</v>
      </c>
      <c r="AE411" s="231">
        <f t="shared" si="876"/>
        <v>1206</v>
      </c>
      <c r="AF411" s="231">
        <f t="shared" si="876"/>
        <v>1184</v>
      </c>
      <c r="AG411" s="511">
        <f t="shared" si="877"/>
        <v>1200.5</v>
      </c>
      <c r="AH411" s="492">
        <f t="shared" si="878"/>
        <v>1184</v>
      </c>
      <c r="AI411" s="492">
        <f t="shared" si="878"/>
        <v>1184</v>
      </c>
      <c r="AJ411" s="492">
        <f t="shared" si="878"/>
        <v>1184</v>
      </c>
      <c r="AK411" s="492">
        <f t="shared" si="878"/>
        <v>1184</v>
      </c>
      <c r="AL411" s="511">
        <f t="shared" si="879"/>
        <v>1184</v>
      </c>
      <c r="AM411" s="231">
        <f t="shared" si="880"/>
        <v>1184</v>
      </c>
      <c r="AN411" s="231">
        <f t="shared" si="880"/>
        <v>1184</v>
      </c>
      <c r="AO411" s="231">
        <f t="shared" si="880"/>
        <v>1184</v>
      </c>
      <c r="AP411" s="231">
        <f t="shared" si="852"/>
        <v>1196</v>
      </c>
      <c r="AQ411" s="511">
        <f t="shared" si="881"/>
        <v>1187</v>
      </c>
      <c r="AR411" s="231">
        <f t="shared" si="853"/>
        <v>1196</v>
      </c>
      <c r="AS411" s="231">
        <f t="shared" si="853"/>
        <v>1196</v>
      </c>
      <c r="AT411" s="231">
        <f t="shared" si="853"/>
        <v>1196</v>
      </c>
      <c r="AU411" s="231">
        <f t="shared" si="853"/>
        <v>1198</v>
      </c>
      <c r="AV411" s="511">
        <f t="shared" si="882"/>
        <v>1196.5</v>
      </c>
      <c r="AW411" s="231">
        <f t="shared" si="854"/>
        <v>1198</v>
      </c>
      <c r="AX411" s="231">
        <f t="shared" si="854"/>
        <v>1198</v>
      </c>
      <c r="AY411" s="231">
        <f t="shared" si="854"/>
        <v>1198</v>
      </c>
      <c r="AZ411" s="231">
        <f t="shared" si="854"/>
        <v>1198</v>
      </c>
      <c r="BA411" s="511">
        <f t="shared" si="883"/>
        <v>1198</v>
      </c>
      <c r="BB411" s="231">
        <f t="shared" si="855"/>
        <v>1198</v>
      </c>
      <c r="BC411" s="231">
        <f t="shared" si="855"/>
        <v>1198</v>
      </c>
      <c r="BD411" s="231">
        <f t="shared" si="855"/>
        <v>1202</v>
      </c>
      <c r="BE411" s="231">
        <f t="shared" si="855"/>
        <v>1202</v>
      </c>
      <c r="BF411" s="511">
        <f t="shared" si="884"/>
        <v>1200</v>
      </c>
      <c r="BG411" s="527">
        <f t="shared" si="856"/>
        <v>1197</v>
      </c>
      <c r="BH411" s="231">
        <f t="shared" si="856"/>
        <v>1197</v>
      </c>
      <c r="BI411" s="231">
        <f t="shared" si="856"/>
        <v>1197</v>
      </c>
      <c r="BJ411" s="1841">
        <f t="shared" si="856"/>
        <v>1197</v>
      </c>
      <c r="BK411" s="511">
        <f t="shared" si="885"/>
        <v>1197</v>
      </c>
      <c r="BL411" s="231">
        <f t="shared" si="857"/>
        <v>1197</v>
      </c>
      <c r="BM411" s="231">
        <f t="shared" si="857"/>
        <v>1197</v>
      </c>
      <c r="BN411" s="231">
        <f t="shared" si="857"/>
        <v>1197</v>
      </c>
      <c r="BO411" s="1841">
        <f t="shared" si="857"/>
        <v>1197</v>
      </c>
      <c r="BP411" s="511">
        <f t="shared" si="886"/>
        <v>1197</v>
      </c>
      <c r="BQ411" s="231">
        <f t="shared" si="858"/>
        <v>1197</v>
      </c>
      <c r="BR411" s="231">
        <f t="shared" si="858"/>
        <v>1197</v>
      </c>
      <c r="BS411" s="231">
        <f t="shared" si="858"/>
        <v>1197</v>
      </c>
      <c r="BT411" s="1841">
        <f t="shared" si="858"/>
        <v>1197</v>
      </c>
      <c r="BU411" s="3386">
        <f t="shared" si="887"/>
        <v>1197</v>
      </c>
      <c r="BV411" s="3554">
        <f t="shared" ref="BV411:BY411" si="891">BV369+BV390*6</f>
        <v>1197</v>
      </c>
      <c r="BW411" s="3554">
        <f t="shared" si="891"/>
        <v>1197</v>
      </c>
      <c r="BX411" s="3554">
        <f t="shared" si="891"/>
        <v>1197</v>
      </c>
      <c r="BY411" s="3553">
        <f t="shared" si="891"/>
        <v>1197</v>
      </c>
      <c r="BZ411" s="3386">
        <f t="shared" si="889"/>
        <v>1197</v>
      </c>
      <c r="CA411" s="511">
        <f t="shared" si="860"/>
        <v>1197</v>
      </c>
      <c r="CB411" s="511">
        <f t="shared" si="860"/>
        <v>1197</v>
      </c>
      <c r="CC411" s="511">
        <f t="shared" si="861"/>
        <v>1197</v>
      </c>
      <c r="CD411" s="511">
        <f t="shared" si="862"/>
        <v>1197</v>
      </c>
      <c r="CE411" s="511">
        <f t="shared" si="863"/>
        <v>1197</v>
      </c>
      <c r="CF411" s="511">
        <f t="shared" si="864"/>
        <v>1197</v>
      </c>
      <c r="CG411" s="511">
        <f t="shared" si="865"/>
        <v>1197</v>
      </c>
      <c r="CH411" s="231"/>
      <c r="CI411" s="231"/>
      <c r="CJ411" s="231"/>
      <c r="CK411" s="231"/>
      <c r="CL411" s="231"/>
      <c r="CM411" s="231"/>
      <c r="CN411" s="231"/>
      <c r="CO411" s="231"/>
      <c r="CP411" s="994" t="str">
        <f t="shared" si="600"/>
        <v>Treasure Chest (New Orleans, LA)</v>
      </c>
      <c r="CQ411" s="231">
        <f t="shared" si="601"/>
        <v>1206.25</v>
      </c>
      <c r="CR411" s="231">
        <f t="shared" si="602"/>
        <v>1209.25</v>
      </c>
      <c r="CS411" s="231">
        <f t="shared" si="603"/>
        <v>1210.5</v>
      </c>
      <c r="CT411" s="231">
        <f t="shared" si="604"/>
        <v>1220.5</v>
      </c>
      <c r="CU411" s="231">
        <f t="shared" si="605"/>
        <v>1215.75</v>
      </c>
      <c r="CV411" s="231">
        <f t="shared" si="606"/>
        <v>1200.5</v>
      </c>
      <c r="CW411" s="231">
        <f t="shared" si="607"/>
        <v>1184</v>
      </c>
      <c r="CX411" s="231">
        <f t="shared" si="608"/>
        <v>1187</v>
      </c>
      <c r="CY411" s="231">
        <f t="shared" si="609"/>
        <v>1196.5</v>
      </c>
      <c r="CZ411" s="231">
        <f t="shared" si="610"/>
        <v>1198</v>
      </c>
      <c r="DA411" s="231">
        <f t="shared" si="611"/>
        <v>1200</v>
      </c>
      <c r="DB411" s="231">
        <f t="shared" si="612"/>
        <v>1197</v>
      </c>
      <c r="DC411" s="231">
        <f t="shared" si="613"/>
        <v>1197</v>
      </c>
      <c r="DD411" s="231">
        <f t="shared" si="614"/>
        <v>1197</v>
      </c>
      <c r="DE411" s="231">
        <f t="shared" si="615"/>
        <v>1197</v>
      </c>
      <c r="DF411" s="231">
        <f t="shared" si="616"/>
        <v>1197</v>
      </c>
      <c r="DG411" s="1841">
        <f t="shared" si="617"/>
        <v>1197</v>
      </c>
      <c r="DH411" s="223"/>
      <c r="DI411" s="595"/>
      <c r="DJ411" s="595"/>
      <c r="DK411" s="595"/>
      <c r="DL411" s="595"/>
      <c r="DM411" s="595"/>
      <c r="DN411" s="514"/>
      <c r="DO411" s="226"/>
      <c r="DY411" s="492"/>
      <c r="DZ411" s="492"/>
    </row>
    <row r="412" spans="1:130" ht="12" customHeight="1">
      <c r="A412" s="552" t="s">
        <v>917</v>
      </c>
      <c r="B412" s="228"/>
      <c r="C412" s="228"/>
      <c r="D412" s="527">
        <f t="shared" si="866"/>
        <v>2007</v>
      </c>
      <c r="E412" s="231">
        <f t="shared" si="866"/>
        <v>2007</v>
      </c>
      <c r="F412" s="231">
        <f t="shared" si="866"/>
        <v>2007</v>
      </c>
      <c r="G412" s="231">
        <f t="shared" si="866"/>
        <v>2018</v>
      </c>
      <c r="H412" s="511">
        <f t="shared" si="867"/>
        <v>2009.75</v>
      </c>
      <c r="I412" s="231">
        <f t="shared" si="868"/>
        <v>2018</v>
      </c>
      <c r="J412" s="231">
        <f t="shared" si="868"/>
        <v>2018</v>
      </c>
      <c r="K412" s="231">
        <f t="shared" si="868"/>
        <v>2018</v>
      </c>
      <c r="L412" s="231">
        <f t="shared" si="868"/>
        <v>2001</v>
      </c>
      <c r="M412" s="511">
        <f t="shared" si="869"/>
        <v>2013.75</v>
      </c>
      <c r="N412" s="231">
        <f t="shared" si="870"/>
        <v>2451</v>
      </c>
      <c r="O412" s="231">
        <f t="shared" si="870"/>
        <v>2451</v>
      </c>
      <c r="P412" s="231">
        <f t="shared" si="870"/>
        <v>2451</v>
      </c>
      <c r="Q412" s="231">
        <f t="shared" si="870"/>
        <v>2483</v>
      </c>
      <c r="R412" s="511">
        <f>(Q412*11+L412)/12</f>
        <v>2442.8333333333335</v>
      </c>
      <c r="S412" s="231">
        <f t="shared" si="872"/>
        <v>2483</v>
      </c>
      <c r="T412" s="231">
        <f t="shared" si="872"/>
        <v>2483</v>
      </c>
      <c r="U412" s="231">
        <f t="shared" si="872"/>
        <v>2483</v>
      </c>
      <c r="V412" s="231">
        <f t="shared" si="872"/>
        <v>2438</v>
      </c>
      <c r="W412" s="511">
        <f t="shared" si="873"/>
        <v>2471.75</v>
      </c>
      <c r="X412" s="231">
        <f t="shared" si="874"/>
        <v>2438</v>
      </c>
      <c r="Y412" s="231">
        <f t="shared" si="874"/>
        <v>2438</v>
      </c>
      <c r="Z412" s="231">
        <f t="shared" si="874"/>
        <v>2438</v>
      </c>
      <c r="AA412" s="231">
        <f t="shared" si="874"/>
        <v>2263</v>
      </c>
      <c r="AB412" s="511">
        <f t="shared" si="875"/>
        <v>2394.25</v>
      </c>
      <c r="AC412" s="231">
        <f t="shared" si="876"/>
        <v>2263</v>
      </c>
      <c r="AD412" s="231">
        <f t="shared" si="876"/>
        <v>2263</v>
      </c>
      <c r="AE412" s="231">
        <f t="shared" si="876"/>
        <v>2263</v>
      </c>
      <c r="AF412" s="231">
        <f t="shared" si="876"/>
        <v>2226</v>
      </c>
      <c r="AG412" s="511">
        <f t="shared" si="877"/>
        <v>2253.75</v>
      </c>
      <c r="AH412" s="492">
        <f t="shared" si="878"/>
        <v>2226</v>
      </c>
      <c r="AI412" s="492">
        <f t="shared" si="878"/>
        <v>2226</v>
      </c>
      <c r="AJ412" s="492">
        <f t="shared" si="878"/>
        <v>2226</v>
      </c>
      <c r="AK412" s="492">
        <f t="shared" si="878"/>
        <v>2218</v>
      </c>
      <c r="AL412" s="511">
        <f t="shared" si="879"/>
        <v>2224</v>
      </c>
      <c r="AM412" s="231">
        <f t="shared" si="880"/>
        <v>2218</v>
      </c>
      <c r="AN412" s="231">
        <f t="shared" si="880"/>
        <v>2218</v>
      </c>
      <c r="AO412" s="231">
        <f t="shared" si="880"/>
        <v>2218</v>
      </c>
      <c r="AP412" s="231">
        <f t="shared" si="852"/>
        <v>2217</v>
      </c>
      <c r="AQ412" s="511">
        <f t="shared" si="881"/>
        <v>2217.75</v>
      </c>
      <c r="AR412" s="231">
        <f t="shared" si="853"/>
        <v>2217</v>
      </c>
      <c r="AS412" s="231">
        <f t="shared" si="853"/>
        <v>2217</v>
      </c>
      <c r="AT412" s="231">
        <f t="shared" si="853"/>
        <v>2217</v>
      </c>
      <c r="AU412" s="231">
        <f t="shared" si="853"/>
        <v>2206</v>
      </c>
      <c r="AV412" s="511">
        <f t="shared" si="882"/>
        <v>2214.25</v>
      </c>
      <c r="AW412" s="231">
        <f t="shared" si="854"/>
        <v>2206</v>
      </c>
      <c r="AX412" s="231">
        <f t="shared" si="854"/>
        <v>2206</v>
      </c>
      <c r="AY412" s="231">
        <f t="shared" si="854"/>
        <v>2206</v>
      </c>
      <c r="AZ412" s="231">
        <f t="shared" si="854"/>
        <v>2173</v>
      </c>
      <c r="BA412" s="511">
        <f t="shared" si="883"/>
        <v>2197.75</v>
      </c>
      <c r="BB412" s="231">
        <f t="shared" si="855"/>
        <v>2221</v>
      </c>
      <c r="BC412" s="231">
        <f t="shared" si="855"/>
        <v>2209</v>
      </c>
      <c r="BD412" s="231">
        <f t="shared" si="855"/>
        <v>2166</v>
      </c>
      <c r="BE412" s="231">
        <f t="shared" si="855"/>
        <v>2133</v>
      </c>
      <c r="BF412" s="511">
        <f t="shared" si="884"/>
        <v>2182.25</v>
      </c>
      <c r="BG412" s="527">
        <f t="shared" si="856"/>
        <v>2124</v>
      </c>
      <c r="BH412" s="231">
        <f t="shared" si="856"/>
        <v>2106</v>
      </c>
      <c r="BI412" s="231">
        <f t="shared" si="856"/>
        <v>2093</v>
      </c>
      <c r="BJ412" s="1841">
        <f t="shared" si="856"/>
        <v>2087</v>
      </c>
      <c r="BK412" s="511">
        <f t="shared" si="885"/>
        <v>2102.5</v>
      </c>
      <c r="BL412" s="231">
        <f t="shared" si="857"/>
        <v>2073</v>
      </c>
      <c r="BM412" s="231">
        <f t="shared" si="857"/>
        <v>2063</v>
      </c>
      <c r="BN412" s="231">
        <f t="shared" si="857"/>
        <v>2059</v>
      </c>
      <c r="BO412" s="1841">
        <f t="shared" si="857"/>
        <v>1998</v>
      </c>
      <c r="BP412" s="511">
        <f t="shared" si="886"/>
        <v>2048.25</v>
      </c>
      <c r="BQ412" s="231">
        <f t="shared" si="858"/>
        <v>2003</v>
      </c>
      <c r="BR412" s="231">
        <f t="shared" si="858"/>
        <v>1962</v>
      </c>
      <c r="BS412" s="231">
        <f t="shared" si="858"/>
        <v>1962</v>
      </c>
      <c r="BT412" s="1841">
        <f t="shared" si="858"/>
        <v>1962</v>
      </c>
      <c r="BU412" s="3386">
        <f t="shared" si="887"/>
        <v>1972.25</v>
      </c>
      <c r="BV412" s="3554">
        <f t="shared" ref="BV412:BY412" si="892">BV370+BV391*6</f>
        <v>1962</v>
      </c>
      <c r="BW412" s="3554">
        <f t="shared" si="892"/>
        <v>1962</v>
      </c>
      <c r="BX412" s="3554">
        <f t="shared" si="892"/>
        <v>1962</v>
      </c>
      <c r="BY412" s="3553">
        <f t="shared" si="892"/>
        <v>1962</v>
      </c>
      <c r="BZ412" s="3386">
        <f t="shared" si="889"/>
        <v>1962</v>
      </c>
      <c r="CA412" s="511">
        <f t="shared" si="860"/>
        <v>1962</v>
      </c>
      <c r="CB412" s="511">
        <f t="shared" si="860"/>
        <v>1962</v>
      </c>
      <c r="CC412" s="511">
        <f t="shared" si="861"/>
        <v>1962</v>
      </c>
      <c r="CD412" s="511">
        <f t="shared" si="862"/>
        <v>1962</v>
      </c>
      <c r="CE412" s="511">
        <f t="shared" si="863"/>
        <v>1962</v>
      </c>
      <c r="CF412" s="511">
        <f t="shared" si="864"/>
        <v>1962</v>
      </c>
      <c r="CG412" s="511">
        <f t="shared" si="865"/>
        <v>1962</v>
      </c>
      <c r="CH412" s="231"/>
      <c r="CI412" s="231"/>
      <c r="CJ412" s="231"/>
      <c r="CK412" s="231"/>
      <c r="CL412" s="231"/>
      <c r="CM412" s="231"/>
      <c r="CN412" s="231"/>
      <c r="CO412" s="231"/>
      <c r="CP412" s="994" t="str">
        <f t="shared" si="600"/>
        <v>Blue Chip (Chicago, IL - IN)</v>
      </c>
      <c r="CQ412" s="231">
        <f t="shared" si="601"/>
        <v>2009.75</v>
      </c>
      <c r="CR412" s="231">
        <f t="shared" si="602"/>
        <v>2013.75</v>
      </c>
      <c r="CS412" s="231">
        <f t="shared" si="603"/>
        <v>2442.8333333333335</v>
      </c>
      <c r="CT412" s="231">
        <f t="shared" si="604"/>
        <v>2471.75</v>
      </c>
      <c r="CU412" s="231">
        <f t="shared" si="605"/>
        <v>2394.25</v>
      </c>
      <c r="CV412" s="231">
        <f t="shared" si="606"/>
        <v>2253.75</v>
      </c>
      <c r="CW412" s="231">
        <f t="shared" si="607"/>
        <v>2224</v>
      </c>
      <c r="CX412" s="231">
        <f t="shared" si="608"/>
        <v>2217.75</v>
      </c>
      <c r="CY412" s="231">
        <f t="shared" si="609"/>
        <v>2214.25</v>
      </c>
      <c r="CZ412" s="231">
        <f t="shared" si="610"/>
        <v>2197.75</v>
      </c>
      <c r="DA412" s="231">
        <f t="shared" si="611"/>
        <v>2182.25</v>
      </c>
      <c r="DB412" s="231">
        <f t="shared" si="612"/>
        <v>2102.5</v>
      </c>
      <c r="DC412" s="231">
        <f t="shared" si="613"/>
        <v>2048.25</v>
      </c>
      <c r="DD412" s="231">
        <f t="shared" si="614"/>
        <v>1972.25</v>
      </c>
      <c r="DE412" s="231">
        <f t="shared" si="615"/>
        <v>1962</v>
      </c>
      <c r="DF412" s="231">
        <f t="shared" si="616"/>
        <v>1962</v>
      </c>
      <c r="DG412" s="1841">
        <f t="shared" si="617"/>
        <v>1962</v>
      </c>
      <c r="DH412" s="223"/>
      <c r="DI412" s="595"/>
      <c r="DJ412" s="595"/>
      <c r="DK412" s="595"/>
      <c r="DL412" s="595"/>
      <c r="DM412" s="595"/>
      <c r="DN412" s="514"/>
      <c r="DO412" s="226"/>
      <c r="DY412" s="492"/>
      <c r="DZ412" s="492"/>
    </row>
    <row r="413" spans="1:130" ht="12" customHeight="1">
      <c r="A413" s="552" t="s">
        <v>775</v>
      </c>
      <c r="B413" s="228"/>
      <c r="C413" s="228"/>
      <c r="D413" s="527">
        <f t="shared" si="866"/>
        <v>1453</v>
      </c>
      <c r="E413" s="231">
        <f t="shared" si="866"/>
        <v>1453</v>
      </c>
      <c r="F413" s="231">
        <f t="shared" si="866"/>
        <v>1453</v>
      </c>
      <c r="G413" s="231">
        <f t="shared" si="866"/>
        <v>1461</v>
      </c>
      <c r="H413" s="511">
        <f t="shared" si="867"/>
        <v>1455</v>
      </c>
      <c r="I413" s="231">
        <f t="shared" si="868"/>
        <v>1461</v>
      </c>
      <c r="J413" s="231">
        <f t="shared" si="868"/>
        <v>1461</v>
      </c>
      <c r="K413" s="231">
        <f t="shared" si="868"/>
        <v>1461</v>
      </c>
      <c r="L413" s="231">
        <f t="shared" si="868"/>
        <v>1462</v>
      </c>
      <c r="M413" s="511">
        <f t="shared" si="869"/>
        <v>1461.25</v>
      </c>
      <c r="N413" s="231">
        <f t="shared" si="870"/>
        <v>1462</v>
      </c>
      <c r="O413" s="231">
        <f t="shared" si="870"/>
        <v>1462</v>
      </c>
      <c r="P413" s="231">
        <f t="shared" si="870"/>
        <v>1462</v>
      </c>
      <c r="Q413" s="231">
        <f t="shared" si="870"/>
        <v>1462</v>
      </c>
      <c r="R413" s="511">
        <f t="shared" si="871"/>
        <v>1462</v>
      </c>
      <c r="S413" s="231">
        <f t="shared" si="872"/>
        <v>1462</v>
      </c>
      <c r="T413" s="231">
        <f t="shared" si="872"/>
        <v>1462</v>
      </c>
      <c r="U413" s="231">
        <f t="shared" si="872"/>
        <v>1462</v>
      </c>
      <c r="V413" s="231">
        <f t="shared" si="872"/>
        <v>1507</v>
      </c>
      <c r="W413" s="511">
        <f t="shared" si="873"/>
        <v>1473.25</v>
      </c>
      <c r="X413" s="231">
        <f t="shared" si="874"/>
        <v>1507</v>
      </c>
      <c r="Y413" s="231">
        <f t="shared" si="874"/>
        <v>1507</v>
      </c>
      <c r="Z413" s="231">
        <f t="shared" si="874"/>
        <v>1507</v>
      </c>
      <c r="AA413" s="231">
        <f t="shared" si="874"/>
        <v>1609</v>
      </c>
      <c r="AB413" s="511">
        <f t="shared" si="875"/>
        <v>1532.5</v>
      </c>
      <c r="AC413" s="231">
        <f t="shared" si="876"/>
        <v>1609</v>
      </c>
      <c r="AD413" s="231">
        <f t="shared" si="876"/>
        <v>1609</v>
      </c>
      <c r="AE413" s="231">
        <f t="shared" si="876"/>
        <v>1609</v>
      </c>
      <c r="AF413" s="231">
        <f t="shared" si="876"/>
        <v>1615</v>
      </c>
      <c r="AG413" s="511">
        <f t="shared" si="877"/>
        <v>1610.5</v>
      </c>
      <c r="AH413" s="492">
        <f t="shared" si="878"/>
        <v>1615</v>
      </c>
      <c r="AI413" s="492">
        <f t="shared" si="878"/>
        <v>1615</v>
      </c>
      <c r="AJ413" s="492">
        <f t="shared" si="878"/>
        <v>1615</v>
      </c>
      <c r="AK413" s="492">
        <f t="shared" si="878"/>
        <v>1620</v>
      </c>
      <c r="AL413" s="511">
        <f t="shared" si="879"/>
        <v>1616.25</v>
      </c>
      <c r="AM413" s="231">
        <f t="shared" si="880"/>
        <v>1620</v>
      </c>
      <c r="AN413" s="231">
        <f t="shared" si="880"/>
        <v>1620</v>
      </c>
      <c r="AO413" s="231">
        <f t="shared" si="880"/>
        <v>1620</v>
      </c>
      <c r="AP413" s="231">
        <f t="shared" si="852"/>
        <v>1620</v>
      </c>
      <c r="AQ413" s="511">
        <f t="shared" si="881"/>
        <v>1620</v>
      </c>
      <c r="AR413" s="231">
        <f t="shared" si="853"/>
        <v>1620</v>
      </c>
      <c r="AS413" s="231">
        <f t="shared" si="853"/>
        <v>1620</v>
      </c>
      <c r="AT413" s="231">
        <f t="shared" si="853"/>
        <v>1620</v>
      </c>
      <c r="AU413" s="231">
        <f t="shared" si="853"/>
        <v>1639</v>
      </c>
      <c r="AV413" s="511">
        <f t="shared" si="882"/>
        <v>1624.75</v>
      </c>
      <c r="AW413" s="231">
        <f t="shared" si="854"/>
        <v>1639</v>
      </c>
      <c r="AX413" s="231">
        <f t="shared" si="854"/>
        <v>1639</v>
      </c>
      <c r="AY413" s="231">
        <f t="shared" si="854"/>
        <v>1639</v>
      </c>
      <c r="AZ413" s="231">
        <f t="shared" si="854"/>
        <v>1642</v>
      </c>
      <c r="BA413" s="511">
        <f t="shared" si="883"/>
        <v>1639.75</v>
      </c>
      <c r="BB413" s="231">
        <f t="shared" si="855"/>
        <v>1639</v>
      </c>
      <c r="BC413" s="231">
        <f t="shared" si="855"/>
        <v>1639</v>
      </c>
      <c r="BD413" s="231">
        <f t="shared" si="855"/>
        <v>1639</v>
      </c>
      <c r="BE413" s="231">
        <f t="shared" si="855"/>
        <v>1639</v>
      </c>
      <c r="BF413" s="511">
        <f t="shared" si="884"/>
        <v>1639</v>
      </c>
      <c r="BG413" s="527">
        <f t="shared" si="856"/>
        <v>1639</v>
      </c>
      <c r="BH413" s="231">
        <f t="shared" si="856"/>
        <v>1639</v>
      </c>
      <c r="BI413" s="231">
        <f t="shared" si="856"/>
        <v>1639</v>
      </c>
      <c r="BJ413" s="1841">
        <f t="shared" si="856"/>
        <v>1639</v>
      </c>
      <c r="BK413" s="511">
        <f t="shared" si="885"/>
        <v>1639</v>
      </c>
      <c r="BL413" s="231">
        <f t="shared" si="857"/>
        <v>1639</v>
      </c>
      <c r="BM413" s="231">
        <f t="shared" si="857"/>
        <v>1639</v>
      </c>
      <c r="BN413" s="231">
        <f t="shared" si="857"/>
        <v>1639</v>
      </c>
      <c r="BO413" s="1841">
        <f t="shared" si="857"/>
        <v>1639</v>
      </c>
      <c r="BP413" s="511">
        <f t="shared" si="886"/>
        <v>1639</v>
      </c>
      <c r="BQ413" s="231">
        <f t="shared" si="858"/>
        <v>1639</v>
      </c>
      <c r="BR413" s="231">
        <f t="shared" si="858"/>
        <v>1639</v>
      </c>
      <c r="BS413" s="231">
        <f t="shared" si="858"/>
        <v>1639</v>
      </c>
      <c r="BT413" s="1841">
        <f t="shared" si="858"/>
        <v>1639</v>
      </c>
      <c r="BU413" s="3386">
        <f t="shared" si="887"/>
        <v>1639</v>
      </c>
      <c r="BV413" s="3554">
        <f t="shared" ref="BV413:BY413" si="893">BV371+BV392*6</f>
        <v>1639</v>
      </c>
      <c r="BW413" s="3554">
        <f t="shared" si="893"/>
        <v>1639</v>
      </c>
      <c r="BX413" s="3554">
        <f t="shared" si="893"/>
        <v>1639</v>
      </c>
      <c r="BY413" s="3553">
        <f t="shared" si="893"/>
        <v>1639</v>
      </c>
      <c r="BZ413" s="3386">
        <f t="shared" si="889"/>
        <v>1639</v>
      </c>
      <c r="CA413" s="511">
        <f t="shared" si="860"/>
        <v>1639</v>
      </c>
      <c r="CB413" s="511">
        <f t="shared" si="860"/>
        <v>1639</v>
      </c>
      <c r="CC413" s="511">
        <f t="shared" si="861"/>
        <v>1639</v>
      </c>
      <c r="CD413" s="511">
        <f t="shared" si="862"/>
        <v>1639</v>
      </c>
      <c r="CE413" s="511">
        <f t="shared" si="863"/>
        <v>1639</v>
      </c>
      <c r="CF413" s="511">
        <f t="shared" si="864"/>
        <v>1639</v>
      </c>
      <c r="CG413" s="511">
        <f t="shared" si="865"/>
        <v>1639</v>
      </c>
      <c r="CH413" s="231"/>
      <c r="CI413" s="231"/>
      <c r="CJ413" s="231"/>
      <c r="CK413" s="231"/>
      <c r="CL413" s="231"/>
      <c r="CM413" s="231"/>
      <c r="CN413" s="231"/>
      <c r="CO413" s="231"/>
      <c r="CP413" s="994" t="str">
        <f>A413</f>
        <v>Delta Downs (Lake Charles, LA)</v>
      </c>
      <c r="CQ413" s="231">
        <f>H413</f>
        <v>1455</v>
      </c>
      <c r="CR413" s="231">
        <f>M413</f>
        <v>1461.25</v>
      </c>
      <c r="CS413" s="231">
        <f>R413</f>
        <v>1462</v>
      </c>
      <c r="CT413" s="231">
        <f>W413</f>
        <v>1473.25</v>
      </c>
      <c r="CU413" s="231">
        <f>AB413</f>
        <v>1532.5</v>
      </c>
      <c r="CV413" s="231">
        <f>AG413</f>
        <v>1610.5</v>
      </c>
      <c r="CW413" s="231">
        <f>AL413</f>
        <v>1616.25</v>
      </c>
      <c r="CX413" s="231">
        <f>AQ413</f>
        <v>1620</v>
      </c>
      <c r="CY413" s="231">
        <f>AV413</f>
        <v>1624.75</v>
      </c>
      <c r="CZ413" s="231">
        <f>BA413</f>
        <v>1639.75</v>
      </c>
      <c r="DA413" s="231">
        <f>BF413</f>
        <v>1639</v>
      </c>
      <c r="DB413" s="231">
        <f>BK413</f>
        <v>1639</v>
      </c>
      <c r="DC413" s="231">
        <f>BP413</f>
        <v>1639</v>
      </c>
      <c r="DD413" s="231">
        <f>BU413</f>
        <v>1639</v>
      </c>
      <c r="DE413" s="231">
        <f t="shared" ref="DE413:DG426" si="894">BZ413</f>
        <v>1639</v>
      </c>
      <c r="DF413" s="231">
        <f t="shared" si="894"/>
        <v>1639</v>
      </c>
      <c r="DG413" s="1841">
        <f t="shared" si="894"/>
        <v>1639</v>
      </c>
      <c r="DH413" s="223"/>
      <c r="DI413" s="595"/>
      <c r="DJ413" s="595"/>
      <c r="DK413" s="595"/>
      <c r="DL413" s="595"/>
      <c r="DM413" s="595"/>
      <c r="DN413" s="514"/>
      <c r="DO413" s="226"/>
      <c r="DY413" s="492"/>
      <c r="DZ413" s="492"/>
    </row>
    <row r="414" spans="1:130" ht="12" customHeight="1">
      <c r="A414" s="552" t="s">
        <v>1302</v>
      </c>
      <c r="B414" s="708"/>
      <c r="C414" s="708"/>
      <c r="D414" s="1696">
        <f>D372+(6*D393)</f>
        <v>0</v>
      </c>
      <c r="E414" s="1402">
        <f>(E372+(6*E393))*(41/91)</f>
        <v>630.76923076923083</v>
      </c>
      <c r="F414" s="720">
        <f>F372+(6*F393)</f>
        <v>1400</v>
      </c>
      <c r="G414" s="720">
        <f>G372+(6*G393)</f>
        <v>1301</v>
      </c>
      <c r="H414" s="718">
        <f t="shared" si="867"/>
        <v>832.94230769230774</v>
      </c>
      <c r="I414" s="720">
        <f t="shared" si="868"/>
        <v>1301</v>
      </c>
      <c r="J414" s="720">
        <f t="shared" si="868"/>
        <v>1301</v>
      </c>
      <c r="K414" s="720">
        <f t="shared" si="868"/>
        <v>1301</v>
      </c>
      <c r="L414" s="720">
        <f t="shared" si="868"/>
        <v>1278</v>
      </c>
      <c r="M414" s="718">
        <f t="shared" si="869"/>
        <v>1295.25</v>
      </c>
      <c r="N414" s="720">
        <f t="shared" si="870"/>
        <v>1278</v>
      </c>
      <c r="O414" s="720">
        <f t="shared" si="870"/>
        <v>1278</v>
      </c>
      <c r="P414" s="720">
        <f t="shared" si="870"/>
        <v>1278</v>
      </c>
      <c r="Q414" s="720">
        <f t="shared" si="870"/>
        <v>1258</v>
      </c>
      <c r="R414" s="718">
        <f t="shared" si="871"/>
        <v>1273</v>
      </c>
      <c r="S414" s="720">
        <f t="shared" si="872"/>
        <v>1258</v>
      </c>
      <c r="T414" s="720">
        <f t="shared" si="872"/>
        <v>1258</v>
      </c>
      <c r="U414" s="720">
        <f t="shared" si="872"/>
        <v>1258</v>
      </c>
      <c r="V414" s="720">
        <f t="shared" si="872"/>
        <v>1237</v>
      </c>
      <c r="W414" s="718">
        <f t="shared" si="873"/>
        <v>1252.75</v>
      </c>
      <c r="X414" s="720">
        <f t="shared" si="874"/>
        <v>1237</v>
      </c>
      <c r="Y414" s="720">
        <f t="shared" si="874"/>
        <v>1237</v>
      </c>
      <c r="Z414" s="720">
        <f t="shared" si="874"/>
        <v>1237</v>
      </c>
      <c r="AA414" s="720">
        <f t="shared" si="874"/>
        <v>1231</v>
      </c>
      <c r="AB414" s="718">
        <f t="shared" si="875"/>
        <v>1235.5</v>
      </c>
      <c r="AC414" s="720">
        <f t="shared" si="876"/>
        <v>1231</v>
      </c>
      <c r="AD414" s="720">
        <f t="shared" si="876"/>
        <v>1231</v>
      </c>
      <c r="AE414" s="720">
        <f t="shared" si="876"/>
        <v>1231</v>
      </c>
      <c r="AF414" s="720">
        <f t="shared" si="876"/>
        <v>1212</v>
      </c>
      <c r="AG414" s="718">
        <f t="shared" si="877"/>
        <v>1226.25</v>
      </c>
      <c r="AH414" s="720">
        <f t="shared" si="878"/>
        <v>1212</v>
      </c>
      <c r="AI414" s="720">
        <f t="shared" si="878"/>
        <v>1212</v>
      </c>
      <c r="AJ414" s="720">
        <f t="shared" si="878"/>
        <v>1212</v>
      </c>
      <c r="AK414" s="720">
        <f t="shared" si="878"/>
        <v>1218</v>
      </c>
      <c r="AL414" s="791">
        <f t="shared" si="879"/>
        <v>1213.5</v>
      </c>
      <c r="AM414" s="720">
        <f t="shared" si="880"/>
        <v>1218</v>
      </c>
      <c r="AN414" s="720">
        <f t="shared" si="880"/>
        <v>1218</v>
      </c>
      <c r="AO414" s="720">
        <f t="shared" si="880"/>
        <v>1218</v>
      </c>
      <c r="AP414" s="720">
        <f t="shared" si="852"/>
        <v>1217</v>
      </c>
      <c r="AQ414" s="791">
        <f t="shared" si="881"/>
        <v>1217.75</v>
      </c>
      <c r="AR414" s="720">
        <f t="shared" si="853"/>
        <v>1217</v>
      </c>
      <c r="AS414" s="720">
        <f t="shared" si="853"/>
        <v>1217</v>
      </c>
      <c r="AT414" s="720">
        <f t="shared" si="853"/>
        <v>1217</v>
      </c>
      <c r="AU414" s="720">
        <f t="shared" si="853"/>
        <v>1222</v>
      </c>
      <c r="AV414" s="791">
        <f t="shared" si="882"/>
        <v>1218.25</v>
      </c>
      <c r="AW414" s="720">
        <f t="shared" si="854"/>
        <v>1222</v>
      </c>
      <c r="AX414" s="720">
        <f t="shared" si="854"/>
        <v>1222</v>
      </c>
      <c r="AY414" s="720">
        <f t="shared" si="854"/>
        <v>1222</v>
      </c>
      <c r="AZ414" s="720">
        <f t="shared" si="854"/>
        <v>1216</v>
      </c>
      <c r="BA414" s="791">
        <f t="shared" si="883"/>
        <v>1220.5</v>
      </c>
      <c r="BB414" s="720">
        <f t="shared" si="855"/>
        <v>1206</v>
      </c>
      <c r="BC414" s="720">
        <f t="shared" si="855"/>
        <v>1206</v>
      </c>
      <c r="BD414" s="720">
        <f t="shared" si="855"/>
        <v>1190</v>
      </c>
      <c r="BE414" s="720">
        <f t="shared" si="855"/>
        <v>1190</v>
      </c>
      <c r="BF414" s="791">
        <f t="shared" si="884"/>
        <v>1198</v>
      </c>
      <c r="BG414" s="1696">
        <f t="shared" si="856"/>
        <v>1190</v>
      </c>
      <c r="BH414" s="720">
        <f t="shared" si="856"/>
        <v>1190</v>
      </c>
      <c r="BI414" s="720">
        <f t="shared" si="856"/>
        <v>1190</v>
      </c>
      <c r="BJ414" s="1874">
        <f t="shared" si="856"/>
        <v>1190</v>
      </c>
      <c r="BK414" s="791">
        <f t="shared" si="885"/>
        <v>1190</v>
      </c>
      <c r="BL414" s="720">
        <f t="shared" si="857"/>
        <v>1190</v>
      </c>
      <c r="BM414" s="720">
        <f t="shared" si="857"/>
        <v>1190</v>
      </c>
      <c r="BN414" s="720">
        <f t="shared" si="857"/>
        <v>1190</v>
      </c>
      <c r="BO414" s="1874">
        <f t="shared" si="857"/>
        <v>1190</v>
      </c>
      <c r="BP414" s="791">
        <f t="shared" si="886"/>
        <v>1190</v>
      </c>
      <c r="BQ414" s="720">
        <f t="shared" si="858"/>
        <v>1190</v>
      </c>
      <c r="BR414" s="720">
        <f t="shared" si="858"/>
        <v>1190</v>
      </c>
      <c r="BS414" s="720">
        <f t="shared" si="858"/>
        <v>1190</v>
      </c>
      <c r="BT414" s="1874">
        <f t="shared" si="858"/>
        <v>1190</v>
      </c>
      <c r="BU414" s="3396">
        <f t="shared" si="887"/>
        <v>1190</v>
      </c>
      <c r="BV414" s="3972">
        <f t="shared" ref="BV414:BY414" si="895">BV372+BV393*6</f>
        <v>1190</v>
      </c>
      <c r="BW414" s="3972">
        <f t="shared" si="895"/>
        <v>1190</v>
      </c>
      <c r="BX414" s="3972">
        <f t="shared" si="895"/>
        <v>1190</v>
      </c>
      <c r="BY414" s="3973">
        <f t="shared" si="895"/>
        <v>1190</v>
      </c>
      <c r="BZ414" s="3396">
        <f t="shared" si="889"/>
        <v>1190</v>
      </c>
      <c r="CA414" s="791">
        <f t="shared" si="860"/>
        <v>1190</v>
      </c>
      <c r="CB414" s="791">
        <f t="shared" si="860"/>
        <v>1190</v>
      </c>
      <c r="CC414" s="791">
        <f t="shared" si="861"/>
        <v>1190</v>
      </c>
      <c r="CD414" s="791">
        <f t="shared" si="862"/>
        <v>1190</v>
      </c>
      <c r="CE414" s="791">
        <f t="shared" si="863"/>
        <v>1190</v>
      </c>
      <c r="CF414" s="791">
        <f t="shared" si="864"/>
        <v>1190</v>
      </c>
      <c r="CG414" s="791">
        <f t="shared" si="865"/>
        <v>1190</v>
      </c>
      <c r="CH414" s="709"/>
      <c r="CI414" s="709"/>
      <c r="CJ414" s="709"/>
      <c r="CK414" s="709"/>
      <c r="CL414" s="709"/>
      <c r="CM414" s="709"/>
      <c r="CN414" s="709"/>
      <c r="CO414" s="709"/>
      <c r="CP414" s="994" t="str">
        <f>A414</f>
        <v>Sam's Town Shreveport (LA)</v>
      </c>
      <c r="CQ414" s="720">
        <f>H414</f>
        <v>832.94230769230774</v>
      </c>
      <c r="CR414" s="720">
        <f>M414</f>
        <v>1295.25</v>
      </c>
      <c r="CS414" s="720">
        <f>R414</f>
        <v>1273</v>
      </c>
      <c r="CT414" s="720">
        <f>W414</f>
        <v>1252.75</v>
      </c>
      <c r="CU414" s="720">
        <f>AB414</f>
        <v>1235.5</v>
      </c>
      <c r="CV414" s="720">
        <f>AG414</f>
        <v>1226.25</v>
      </c>
      <c r="CW414" s="720">
        <f>AL414</f>
        <v>1213.5</v>
      </c>
      <c r="CX414" s="720">
        <f>AQ414</f>
        <v>1217.75</v>
      </c>
      <c r="CY414" s="720">
        <f>AV414</f>
        <v>1218.25</v>
      </c>
      <c r="CZ414" s="720">
        <f>BA414</f>
        <v>1220.5</v>
      </c>
      <c r="DA414" s="720">
        <f>BF414</f>
        <v>1198</v>
      </c>
      <c r="DB414" s="720">
        <f>BK414</f>
        <v>1190</v>
      </c>
      <c r="DC414" s="720">
        <f>BP414</f>
        <v>1190</v>
      </c>
      <c r="DD414" s="720">
        <f>BU414</f>
        <v>1190</v>
      </c>
      <c r="DE414" s="720">
        <f t="shared" si="894"/>
        <v>1190</v>
      </c>
      <c r="DF414" s="720">
        <f t="shared" si="894"/>
        <v>1190</v>
      </c>
      <c r="DG414" s="1874">
        <f t="shared" si="894"/>
        <v>1190</v>
      </c>
      <c r="DH414" s="710"/>
      <c r="DI414" s="711"/>
      <c r="DJ414" s="711"/>
      <c r="DK414" s="711"/>
      <c r="DL414" s="711"/>
      <c r="DM414" s="711"/>
      <c r="DN414" s="712"/>
      <c r="DO414" s="276"/>
      <c r="DY414" s="792"/>
      <c r="DZ414" s="792"/>
    </row>
    <row r="415" spans="1:130" s="2252" customFormat="1" ht="12" customHeight="1">
      <c r="A415" s="552" t="s">
        <v>456</v>
      </c>
      <c r="B415" s="708"/>
      <c r="C415" s="708"/>
      <c r="D415" s="1696"/>
      <c r="E415" s="1402"/>
      <c r="F415" s="720"/>
      <c r="G415" s="720"/>
      <c r="H415" s="718"/>
      <c r="I415" s="720"/>
      <c r="J415" s="720"/>
      <c r="K415" s="720"/>
      <c r="L415" s="720"/>
      <c r="M415" s="718"/>
      <c r="N415" s="720"/>
      <c r="O415" s="720"/>
      <c r="P415" s="720"/>
      <c r="Q415" s="720"/>
      <c r="R415" s="718"/>
      <c r="S415" s="720"/>
      <c r="T415" s="720"/>
      <c r="U415" s="720"/>
      <c r="V415" s="720"/>
      <c r="W415" s="718"/>
      <c r="X415" s="720"/>
      <c r="Y415" s="720"/>
      <c r="Z415" s="720"/>
      <c r="AA415" s="720"/>
      <c r="AB415" s="718"/>
      <c r="AC415" s="720"/>
      <c r="AD415" s="720"/>
      <c r="AE415" s="720"/>
      <c r="AF415" s="720"/>
      <c r="AG415" s="718"/>
      <c r="AH415" s="720"/>
      <c r="AI415" s="720"/>
      <c r="AJ415" s="720"/>
      <c r="AK415" s="720"/>
      <c r="AL415" s="791"/>
      <c r="AM415" s="720">
        <f t="shared" si="880"/>
        <v>1101</v>
      </c>
      <c r="AN415" s="720">
        <f t="shared" si="880"/>
        <v>1099</v>
      </c>
      <c r="AO415" s="720">
        <f t="shared" si="880"/>
        <v>1099</v>
      </c>
      <c r="AP415" s="720">
        <f t="shared" si="852"/>
        <v>1100</v>
      </c>
      <c r="AQ415" s="791">
        <f t="shared" ref="AQ415" si="896">AVERAGE(AM415:AP415)</f>
        <v>1099.75</v>
      </c>
      <c r="AR415" s="720">
        <f t="shared" si="853"/>
        <v>1106</v>
      </c>
      <c r="AS415" s="720">
        <f t="shared" si="853"/>
        <v>1105</v>
      </c>
      <c r="AT415" s="720">
        <f t="shared" si="853"/>
        <v>1106</v>
      </c>
      <c r="AU415" s="720">
        <f t="shared" si="853"/>
        <v>1106</v>
      </c>
      <c r="AV415" s="791">
        <f t="shared" ref="AV415" si="897">AVERAGE(AR415:AU415)</f>
        <v>1105.75</v>
      </c>
      <c r="AW415" s="720">
        <f t="shared" si="854"/>
        <v>1106</v>
      </c>
      <c r="AX415" s="720">
        <f t="shared" si="854"/>
        <v>1106</v>
      </c>
      <c r="AY415" s="720">
        <f t="shared" si="854"/>
        <v>1106</v>
      </c>
      <c r="AZ415" s="720">
        <f t="shared" si="854"/>
        <v>1110</v>
      </c>
      <c r="BA415" s="791">
        <f t="shared" ref="BA415" si="898">AVERAGE(AW415:AZ415)</f>
        <v>1107</v>
      </c>
      <c r="BB415" s="720">
        <f t="shared" si="855"/>
        <v>1111</v>
      </c>
      <c r="BC415" s="720">
        <f t="shared" si="855"/>
        <v>1113</v>
      </c>
      <c r="BD415" s="720">
        <f t="shared" si="855"/>
        <v>1120</v>
      </c>
      <c r="BE415" s="720">
        <f t="shared" si="855"/>
        <v>1122</v>
      </c>
      <c r="BF415" s="791">
        <f t="shared" ref="BF415" si="899">AVERAGE(BB415:BE415)</f>
        <v>1116.5</v>
      </c>
      <c r="BG415" s="1696">
        <f t="shared" si="856"/>
        <v>1119</v>
      </c>
      <c r="BH415" s="720">
        <f t="shared" si="856"/>
        <v>1115</v>
      </c>
      <c r="BI415" s="720">
        <f t="shared" si="856"/>
        <v>1117</v>
      </c>
      <c r="BJ415" s="1874">
        <f t="shared" si="856"/>
        <v>1112</v>
      </c>
      <c r="BK415" s="791">
        <f t="shared" ref="BK415" si="900">AVERAGE(BG415:BJ415)</f>
        <v>1115.75</v>
      </c>
      <c r="BL415" s="720">
        <f t="shared" si="857"/>
        <v>1109</v>
      </c>
      <c r="BM415" s="720">
        <f t="shared" si="857"/>
        <v>1110</v>
      </c>
      <c r="BN415" s="720">
        <f t="shared" si="857"/>
        <v>1103</v>
      </c>
      <c r="BO415" s="1874">
        <f t="shared" si="857"/>
        <v>1083</v>
      </c>
      <c r="BP415" s="791">
        <f t="shared" ref="BP415" si="901">AVERAGE(BL415:BO415)</f>
        <v>1101.25</v>
      </c>
      <c r="BQ415" s="720">
        <f t="shared" si="858"/>
        <v>1069</v>
      </c>
      <c r="BR415" s="720">
        <f t="shared" si="858"/>
        <v>1034</v>
      </c>
      <c r="BS415" s="720">
        <f t="shared" si="858"/>
        <v>1034</v>
      </c>
      <c r="BT415" s="1874">
        <f t="shared" si="858"/>
        <v>1034</v>
      </c>
      <c r="BU415" s="3396">
        <f t="shared" ref="BU415" si="902">AVERAGE(BQ415:BT415)</f>
        <v>1042.75</v>
      </c>
      <c r="BV415" s="3972">
        <f t="shared" ref="BV415:BY415" si="903">BV373+BV394*6</f>
        <v>1042.75</v>
      </c>
      <c r="BW415" s="3972">
        <f t="shared" si="903"/>
        <v>1042.75</v>
      </c>
      <c r="BX415" s="3972">
        <f t="shared" si="903"/>
        <v>1042.75</v>
      </c>
      <c r="BY415" s="3973">
        <f t="shared" si="903"/>
        <v>1042.75</v>
      </c>
      <c r="BZ415" s="3396">
        <f t="shared" si="889"/>
        <v>1042.75</v>
      </c>
      <c r="CA415" s="1894">
        <f t="shared" ref="CA415" si="904">BZ415</f>
        <v>1042.75</v>
      </c>
      <c r="CB415" s="1894">
        <f t="shared" ref="CB415" si="905">CA415</f>
        <v>1042.75</v>
      </c>
      <c r="CC415" s="791">
        <f t="shared" ref="CC415:CC419" si="906">CB415</f>
        <v>1042.75</v>
      </c>
      <c r="CD415" s="791">
        <f t="shared" ref="CD415:CD419" si="907">CC415</f>
        <v>1042.75</v>
      </c>
      <c r="CE415" s="791">
        <f t="shared" ref="CE415:CE419" si="908">CD415</f>
        <v>1042.75</v>
      </c>
      <c r="CF415" s="791">
        <f t="shared" ref="CF415:CF419" si="909">CE415</f>
        <v>1042.75</v>
      </c>
      <c r="CG415" s="791">
        <f t="shared" ref="CG415:CG419" si="910">CF415</f>
        <v>1042.75</v>
      </c>
      <c r="CH415" s="709"/>
      <c r="CI415" s="709"/>
      <c r="CJ415" s="709"/>
      <c r="CK415" s="709"/>
      <c r="CL415" s="709"/>
      <c r="CM415" s="709"/>
      <c r="CN415" s="709"/>
      <c r="CO415" s="709"/>
      <c r="CP415" s="994"/>
      <c r="CQ415" s="720"/>
      <c r="CR415" s="720"/>
      <c r="CS415" s="720"/>
      <c r="CT415" s="720"/>
      <c r="CU415" s="720"/>
      <c r="CV415" s="720"/>
      <c r="CW415" s="720"/>
      <c r="CX415" s="720"/>
      <c r="CY415" s="720"/>
      <c r="CZ415" s="720"/>
      <c r="DA415" s="720"/>
      <c r="DB415" s="720"/>
      <c r="DC415" s="720"/>
      <c r="DD415" s="720"/>
      <c r="DE415" s="720"/>
      <c r="DF415" s="720"/>
      <c r="DG415" s="1874"/>
      <c r="DH415" s="710"/>
      <c r="DI415" s="711"/>
      <c r="DJ415" s="711"/>
      <c r="DK415" s="711"/>
      <c r="DL415" s="711"/>
      <c r="DM415" s="711"/>
      <c r="DN415" s="712"/>
      <c r="DO415" s="206"/>
      <c r="DP415"/>
      <c r="DQ415"/>
      <c r="DR415"/>
      <c r="DS415"/>
      <c r="DT415"/>
      <c r="DU415"/>
      <c r="DY415" s="792"/>
      <c r="DZ415" s="792"/>
    </row>
    <row r="416" spans="1:130" s="2252" customFormat="1" ht="12" customHeight="1">
      <c r="A416" s="552" t="s">
        <v>457</v>
      </c>
      <c r="B416" s="708"/>
      <c r="C416" s="708"/>
      <c r="D416" s="1696"/>
      <c r="E416" s="1402"/>
      <c r="F416" s="720"/>
      <c r="G416" s="720"/>
      <c r="H416" s="718"/>
      <c r="I416" s="720"/>
      <c r="J416" s="720"/>
      <c r="K416" s="720"/>
      <c r="L416" s="720"/>
      <c r="M416" s="718"/>
      <c r="N416" s="720"/>
      <c r="O416" s="720"/>
      <c r="P416" s="720"/>
      <c r="Q416" s="720"/>
      <c r="R416" s="718"/>
      <c r="S416" s="720"/>
      <c r="T416" s="720"/>
      <c r="U416" s="720"/>
      <c r="V416" s="720"/>
      <c r="W416" s="718"/>
      <c r="X416" s="720"/>
      <c r="Y416" s="720"/>
      <c r="Z416" s="720"/>
      <c r="AA416" s="720"/>
      <c r="AB416" s="718"/>
      <c r="AC416" s="720"/>
      <c r="AD416" s="720"/>
      <c r="AE416" s="720"/>
      <c r="AF416" s="720"/>
      <c r="AG416" s="718"/>
      <c r="AH416" s="720"/>
      <c r="AI416" s="720"/>
      <c r="AJ416" s="720"/>
      <c r="AK416" s="720"/>
      <c r="AL416" s="791"/>
      <c r="AM416" s="720">
        <f t="shared" ref="AM416:AP416" si="911">AM374+AM395*6</f>
        <v>1142</v>
      </c>
      <c r="AN416" s="720">
        <f t="shared" si="911"/>
        <v>1142</v>
      </c>
      <c r="AO416" s="720">
        <f t="shared" si="911"/>
        <v>1142</v>
      </c>
      <c r="AP416" s="720">
        <f t="shared" si="911"/>
        <v>1146</v>
      </c>
      <c r="AQ416" s="791">
        <f t="shared" ref="AQ416:AQ419" si="912">AVERAGE(AM416:AP416)</f>
        <v>1143</v>
      </c>
      <c r="AR416" s="720">
        <f t="shared" ref="AR416:AU416" si="913">AR374+AR395*6</f>
        <v>1148</v>
      </c>
      <c r="AS416" s="720">
        <f t="shared" si="913"/>
        <v>1162</v>
      </c>
      <c r="AT416" s="720">
        <f t="shared" si="913"/>
        <v>1162</v>
      </c>
      <c r="AU416" s="720">
        <f t="shared" si="913"/>
        <v>1162</v>
      </c>
      <c r="AV416" s="791">
        <f t="shared" ref="AV416:AV419" si="914">AVERAGE(AR416:AU416)</f>
        <v>1158.5</v>
      </c>
      <c r="AW416" s="720">
        <f t="shared" ref="AW416:AZ416" si="915">AW374+AW395*6</f>
        <v>1162</v>
      </c>
      <c r="AX416" s="720">
        <f t="shared" si="915"/>
        <v>1162</v>
      </c>
      <c r="AY416" s="720">
        <f t="shared" si="915"/>
        <v>1162</v>
      </c>
      <c r="AZ416" s="720">
        <f t="shared" si="915"/>
        <v>1182</v>
      </c>
      <c r="BA416" s="791">
        <f t="shared" ref="BA416:BA419" si="916">AVERAGE(AW416:AZ416)</f>
        <v>1167</v>
      </c>
      <c r="BB416" s="720">
        <f t="shared" ref="BB416:BE416" si="917">BB374+BB395*6</f>
        <v>1182</v>
      </c>
      <c r="BC416" s="720">
        <f t="shared" si="917"/>
        <v>1182</v>
      </c>
      <c r="BD416" s="720">
        <f t="shared" si="917"/>
        <v>1159</v>
      </c>
      <c r="BE416" s="720">
        <f t="shared" si="917"/>
        <v>1181</v>
      </c>
      <c r="BF416" s="791">
        <f t="shared" ref="BF416:BF419" si="918">AVERAGE(BB416:BE416)</f>
        <v>1176</v>
      </c>
      <c r="BG416" s="1696">
        <f t="shared" ref="BG416:BJ416" si="919">BG374+BG395*6</f>
        <v>1182</v>
      </c>
      <c r="BH416" s="720">
        <f t="shared" si="919"/>
        <v>1164</v>
      </c>
      <c r="BI416" s="720">
        <f t="shared" si="919"/>
        <v>1183</v>
      </c>
      <c r="BJ416" s="1874">
        <f t="shared" si="919"/>
        <v>1180</v>
      </c>
      <c r="BK416" s="791">
        <f t="shared" ref="BK416:BK419" si="920">AVERAGE(BG416:BJ416)</f>
        <v>1177.25</v>
      </c>
      <c r="BL416" s="720">
        <f t="shared" ref="BL416:BO416" si="921">BL374+BL395*6</f>
        <v>1189</v>
      </c>
      <c r="BM416" s="720">
        <f t="shared" si="921"/>
        <v>1195</v>
      </c>
      <c r="BN416" s="720">
        <f t="shared" si="921"/>
        <v>1190</v>
      </c>
      <c r="BO416" s="1874">
        <f t="shared" si="921"/>
        <v>1157</v>
      </c>
      <c r="BP416" s="791">
        <f t="shared" ref="BP416:BP419" si="922">AVERAGE(BL416:BO416)</f>
        <v>1182.75</v>
      </c>
      <c r="BQ416" s="720">
        <f t="shared" ref="BQ416:BT416" si="923">BQ374+BQ395*6</f>
        <v>1147</v>
      </c>
      <c r="BR416" s="720">
        <f t="shared" si="923"/>
        <v>1135</v>
      </c>
      <c r="BS416" s="720">
        <f t="shared" si="923"/>
        <v>1135</v>
      </c>
      <c r="BT416" s="1874">
        <f t="shared" si="923"/>
        <v>1135</v>
      </c>
      <c r="BU416" s="3396">
        <f t="shared" ref="BU416:BU419" si="924">AVERAGE(BQ416:BT416)</f>
        <v>1138</v>
      </c>
      <c r="BV416" s="3972">
        <f t="shared" ref="BV416:BY416" si="925">BV374+BV395*6</f>
        <v>1138</v>
      </c>
      <c r="BW416" s="3972">
        <f t="shared" si="925"/>
        <v>1138</v>
      </c>
      <c r="BX416" s="3972">
        <f t="shared" si="925"/>
        <v>1138</v>
      </c>
      <c r="BY416" s="3973">
        <f t="shared" si="925"/>
        <v>1138</v>
      </c>
      <c r="BZ416" s="3396">
        <f t="shared" si="889"/>
        <v>1138</v>
      </c>
      <c r="CA416" s="1894">
        <f t="shared" ref="CA416:CA419" si="926">BZ416</f>
        <v>1138</v>
      </c>
      <c r="CB416" s="1894">
        <f t="shared" ref="CB416:CB419" si="927">CA416</f>
        <v>1138</v>
      </c>
      <c r="CC416" s="791">
        <f t="shared" si="906"/>
        <v>1138</v>
      </c>
      <c r="CD416" s="791">
        <f t="shared" si="907"/>
        <v>1138</v>
      </c>
      <c r="CE416" s="791">
        <f t="shared" si="908"/>
        <v>1138</v>
      </c>
      <c r="CF416" s="791">
        <f t="shared" si="909"/>
        <v>1138</v>
      </c>
      <c r="CG416" s="791">
        <f t="shared" si="910"/>
        <v>1138</v>
      </c>
      <c r="CH416" s="709"/>
      <c r="CI416" s="709"/>
      <c r="CJ416" s="709"/>
      <c r="CK416" s="709"/>
      <c r="CL416" s="709"/>
      <c r="CM416" s="709"/>
      <c r="CN416" s="709"/>
      <c r="CO416" s="709"/>
      <c r="CP416" s="994"/>
      <c r="CQ416" s="720"/>
      <c r="CR416" s="720"/>
      <c r="CS416" s="720"/>
      <c r="CT416" s="720"/>
      <c r="CU416" s="720"/>
      <c r="CV416" s="720"/>
      <c r="CW416" s="720"/>
      <c r="CX416" s="720"/>
      <c r="CY416" s="720"/>
      <c r="CZ416" s="720"/>
      <c r="DA416" s="720"/>
      <c r="DB416" s="720"/>
      <c r="DC416" s="720"/>
      <c r="DD416" s="720"/>
      <c r="DE416" s="720"/>
      <c r="DF416" s="720"/>
      <c r="DG416" s="1874"/>
      <c r="DH416" s="710"/>
      <c r="DI416" s="711"/>
      <c r="DJ416" s="711"/>
      <c r="DK416" s="711"/>
      <c r="DL416" s="711"/>
      <c r="DM416" s="711"/>
      <c r="DN416" s="712"/>
      <c r="DO416" s="206"/>
      <c r="DP416"/>
      <c r="DQ416"/>
      <c r="DR416"/>
      <c r="DS416"/>
      <c r="DT416"/>
      <c r="DU416"/>
      <c r="DY416" s="792"/>
      <c r="DZ416" s="792"/>
    </row>
    <row r="417" spans="1:130" s="2252" customFormat="1" ht="12" customHeight="1">
      <c r="A417" s="552" t="s">
        <v>458</v>
      </c>
      <c r="B417" s="708"/>
      <c r="C417" s="708"/>
      <c r="D417" s="1696"/>
      <c r="E417" s="1402"/>
      <c r="F417" s="720"/>
      <c r="G417" s="720"/>
      <c r="H417" s="718"/>
      <c r="I417" s="720"/>
      <c r="J417" s="720"/>
      <c r="K417" s="720"/>
      <c r="L417" s="720"/>
      <c r="M417" s="718"/>
      <c r="N417" s="720"/>
      <c r="O417" s="720"/>
      <c r="P417" s="720"/>
      <c r="Q417" s="720"/>
      <c r="R417" s="718"/>
      <c r="S417" s="720"/>
      <c r="T417" s="720"/>
      <c r="U417" s="720"/>
      <c r="V417" s="720"/>
      <c r="W417" s="718"/>
      <c r="X417" s="720"/>
      <c r="Y417" s="720"/>
      <c r="Z417" s="720"/>
      <c r="AA417" s="720"/>
      <c r="AB417" s="718"/>
      <c r="AC417" s="720"/>
      <c r="AD417" s="720"/>
      <c r="AE417" s="720"/>
      <c r="AF417" s="720"/>
      <c r="AG417" s="718"/>
      <c r="AH417" s="720"/>
      <c r="AI417" s="720"/>
      <c r="AJ417" s="720"/>
      <c r="AK417" s="720"/>
      <c r="AL417" s="791"/>
      <c r="AM417" s="720">
        <f t="shared" ref="AM417:AP417" si="928">AM375+AM396*6</f>
        <v>1424</v>
      </c>
      <c r="AN417" s="720">
        <f t="shared" si="928"/>
        <v>1424</v>
      </c>
      <c r="AO417" s="720">
        <f t="shared" si="928"/>
        <v>1424</v>
      </c>
      <c r="AP417" s="720">
        <f t="shared" si="928"/>
        <v>1424</v>
      </c>
      <c r="AQ417" s="791">
        <f t="shared" si="912"/>
        <v>1424</v>
      </c>
      <c r="AR417" s="720">
        <f t="shared" ref="AR417:AU417" si="929">AR375+AR396*6</f>
        <v>1424</v>
      </c>
      <c r="AS417" s="720">
        <f t="shared" si="929"/>
        <v>1424</v>
      </c>
      <c r="AT417" s="720">
        <f t="shared" si="929"/>
        <v>1424</v>
      </c>
      <c r="AU417" s="720">
        <f t="shared" si="929"/>
        <v>1424</v>
      </c>
      <c r="AV417" s="791">
        <f t="shared" si="914"/>
        <v>1424</v>
      </c>
      <c r="AW417" s="720">
        <f t="shared" ref="AW417:AZ417" si="930">AW375+AW396*6</f>
        <v>1424</v>
      </c>
      <c r="AX417" s="720">
        <f t="shared" si="930"/>
        <v>1424</v>
      </c>
      <c r="AY417" s="720">
        <f t="shared" si="930"/>
        <v>1424</v>
      </c>
      <c r="AZ417" s="720">
        <f t="shared" si="930"/>
        <v>1424</v>
      </c>
      <c r="BA417" s="791">
        <f t="shared" si="916"/>
        <v>1424</v>
      </c>
      <c r="BB417" s="720">
        <f t="shared" ref="BB417:BE417" si="931">BB375+BB396*6</f>
        <v>1373</v>
      </c>
      <c r="BC417" s="720">
        <f t="shared" si="931"/>
        <v>1373</v>
      </c>
      <c r="BD417" s="720">
        <f t="shared" si="931"/>
        <v>1373</v>
      </c>
      <c r="BE417" s="720">
        <f t="shared" si="931"/>
        <v>1373</v>
      </c>
      <c r="BF417" s="791">
        <f t="shared" si="918"/>
        <v>1373</v>
      </c>
      <c r="BG417" s="1696">
        <f t="shared" ref="BG417:BJ417" si="932">BG375+BG396*6</f>
        <v>1373</v>
      </c>
      <c r="BH417" s="720">
        <f t="shared" si="932"/>
        <v>1373</v>
      </c>
      <c r="BI417" s="720">
        <f t="shared" si="932"/>
        <v>1373</v>
      </c>
      <c r="BJ417" s="1874">
        <f t="shared" si="932"/>
        <v>1373</v>
      </c>
      <c r="BK417" s="791">
        <f t="shared" si="920"/>
        <v>1373</v>
      </c>
      <c r="BL417" s="720">
        <f t="shared" ref="BL417:BO417" si="933">BL375+BL396*6</f>
        <v>1373</v>
      </c>
      <c r="BM417" s="720">
        <f t="shared" si="933"/>
        <v>1373</v>
      </c>
      <c r="BN417" s="720">
        <f t="shared" si="933"/>
        <v>998</v>
      </c>
      <c r="BO417" s="1874">
        <f t="shared" si="933"/>
        <v>998</v>
      </c>
      <c r="BP417" s="791">
        <f t="shared" si="922"/>
        <v>1185.5</v>
      </c>
      <c r="BQ417" s="720">
        <f t="shared" ref="BQ417:BT417" si="934">BQ375+BQ396*6</f>
        <v>998</v>
      </c>
      <c r="BR417" s="720">
        <f t="shared" si="934"/>
        <v>1373</v>
      </c>
      <c r="BS417" s="720">
        <f t="shared" si="934"/>
        <v>1373</v>
      </c>
      <c r="BT417" s="1874">
        <f t="shared" si="934"/>
        <v>1373</v>
      </c>
      <c r="BU417" s="3396">
        <f t="shared" si="924"/>
        <v>1279.25</v>
      </c>
      <c r="BV417" s="3972">
        <f t="shared" ref="BV417:BY417" si="935">BV375+BV396*6</f>
        <v>1279.25</v>
      </c>
      <c r="BW417" s="3972">
        <f t="shared" si="935"/>
        <v>1279.25</v>
      </c>
      <c r="BX417" s="3972">
        <f t="shared" si="935"/>
        <v>1279.25</v>
      </c>
      <c r="BY417" s="3973">
        <f t="shared" si="935"/>
        <v>1279.25</v>
      </c>
      <c r="BZ417" s="3396">
        <f t="shared" si="889"/>
        <v>1279.25</v>
      </c>
      <c r="CA417" s="1894">
        <f t="shared" si="926"/>
        <v>1279.25</v>
      </c>
      <c r="CB417" s="1894">
        <f t="shared" si="927"/>
        <v>1279.25</v>
      </c>
      <c r="CC417" s="791">
        <f t="shared" si="906"/>
        <v>1279.25</v>
      </c>
      <c r="CD417" s="791">
        <f t="shared" si="907"/>
        <v>1279.25</v>
      </c>
      <c r="CE417" s="791">
        <f t="shared" si="908"/>
        <v>1279.25</v>
      </c>
      <c r="CF417" s="791">
        <f t="shared" si="909"/>
        <v>1279.25</v>
      </c>
      <c r="CG417" s="791">
        <f t="shared" si="910"/>
        <v>1279.25</v>
      </c>
      <c r="CH417" s="709"/>
      <c r="CI417" s="709"/>
      <c r="CJ417" s="709"/>
      <c r="CK417" s="709"/>
      <c r="CL417" s="709"/>
      <c r="CM417" s="709"/>
      <c r="CN417" s="709"/>
      <c r="CO417" s="709"/>
      <c r="CP417" s="994"/>
      <c r="CQ417" s="720"/>
      <c r="CR417" s="720"/>
      <c r="CS417" s="720"/>
      <c r="CT417" s="720"/>
      <c r="CU417" s="720"/>
      <c r="CV417" s="720"/>
      <c r="CW417" s="720"/>
      <c r="CX417" s="720"/>
      <c r="CY417" s="720"/>
      <c r="CZ417" s="720"/>
      <c r="DA417" s="720"/>
      <c r="DB417" s="720"/>
      <c r="DC417" s="720"/>
      <c r="DD417" s="720"/>
      <c r="DE417" s="720"/>
      <c r="DF417" s="720"/>
      <c r="DG417" s="1874"/>
      <c r="DH417" s="710"/>
      <c r="DI417" s="711"/>
      <c r="DJ417" s="711"/>
      <c r="DK417" s="711"/>
      <c r="DL417" s="711"/>
      <c r="DM417" s="711"/>
      <c r="DN417" s="712"/>
      <c r="DO417" s="206"/>
      <c r="DP417"/>
      <c r="DQ417"/>
      <c r="DR417"/>
      <c r="DS417"/>
      <c r="DT417"/>
      <c r="DU417"/>
      <c r="DY417" s="792"/>
      <c r="DZ417" s="792"/>
    </row>
    <row r="418" spans="1:130" s="2252" customFormat="1" ht="12" customHeight="1">
      <c r="A418" s="552" t="s">
        <v>460</v>
      </c>
      <c r="B418" s="708"/>
      <c r="C418" s="708"/>
      <c r="D418" s="1696"/>
      <c r="E418" s="1402"/>
      <c r="F418" s="720"/>
      <c r="G418" s="720"/>
      <c r="H418" s="718"/>
      <c r="I418" s="720"/>
      <c r="J418" s="720"/>
      <c r="K418" s="720"/>
      <c r="L418" s="720"/>
      <c r="M418" s="718"/>
      <c r="N418" s="720"/>
      <c r="O418" s="720"/>
      <c r="P418" s="720"/>
      <c r="Q418" s="720"/>
      <c r="R418" s="718"/>
      <c r="S418" s="720"/>
      <c r="T418" s="720"/>
      <c r="U418" s="720"/>
      <c r="V418" s="720"/>
      <c r="W418" s="718"/>
      <c r="X418" s="720"/>
      <c r="Y418" s="720"/>
      <c r="Z418" s="720"/>
      <c r="AA418" s="720"/>
      <c r="AB418" s="718"/>
      <c r="AC418" s="720"/>
      <c r="AD418" s="720"/>
      <c r="AE418" s="720"/>
      <c r="AF418" s="720"/>
      <c r="AG418" s="718"/>
      <c r="AH418" s="720"/>
      <c r="AI418" s="720"/>
      <c r="AJ418" s="720"/>
      <c r="AK418" s="720"/>
      <c r="AL418" s="791"/>
      <c r="AM418" s="720">
        <f t="shared" ref="AM418:AP418" si="936">AM376+AM397*6</f>
        <v>962</v>
      </c>
      <c r="AN418" s="720">
        <f t="shared" si="936"/>
        <v>962</v>
      </c>
      <c r="AO418" s="720">
        <f t="shared" si="936"/>
        <v>962</v>
      </c>
      <c r="AP418" s="720">
        <f t="shared" si="936"/>
        <v>962</v>
      </c>
      <c r="AQ418" s="791">
        <f t="shared" si="912"/>
        <v>962</v>
      </c>
      <c r="AR418" s="720">
        <f t="shared" ref="AR418:AU418" si="937">AR376+AR397*6</f>
        <v>958</v>
      </c>
      <c r="AS418" s="720">
        <f t="shared" si="937"/>
        <v>958</v>
      </c>
      <c r="AT418" s="720">
        <f t="shared" si="937"/>
        <v>958</v>
      </c>
      <c r="AU418" s="720">
        <f t="shared" si="937"/>
        <v>940</v>
      </c>
      <c r="AV418" s="791">
        <f t="shared" si="914"/>
        <v>953.5</v>
      </c>
      <c r="AW418" s="720">
        <f t="shared" ref="AW418:AZ418" si="938">AW376+AW397*6</f>
        <v>940</v>
      </c>
      <c r="AX418" s="720">
        <f t="shared" si="938"/>
        <v>940</v>
      </c>
      <c r="AY418" s="720">
        <f t="shared" si="938"/>
        <v>940</v>
      </c>
      <c r="AZ418" s="720">
        <f t="shared" si="938"/>
        <v>958</v>
      </c>
      <c r="BA418" s="791">
        <f t="shared" si="916"/>
        <v>944.5</v>
      </c>
      <c r="BB418" s="720">
        <f t="shared" ref="BB418:BE418" si="939">BB376+BB397*6</f>
        <v>902</v>
      </c>
      <c r="BC418" s="720">
        <f t="shared" si="939"/>
        <v>902</v>
      </c>
      <c r="BD418" s="720">
        <f t="shared" si="939"/>
        <v>902</v>
      </c>
      <c r="BE418" s="720">
        <f t="shared" si="939"/>
        <v>902</v>
      </c>
      <c r="BF418" s="791">
        <f t="shared" si="918"/>
        <v>902</v>
      </c>
      <c r="BG418" s="1696">
        <f t="shared" ref="BG418:BJ418" si="940">BG376+BG397*6</f>
        <v>952</v>
      </c>
      <c r="BH418" s="720">
        <f t="shared" si="940"/>
        <v>952</v>
      </c>
      <c r="BI418" s="720">
        <f t="shared" si="940"/>
        <v>952</v>
      </c>
      <c r="BJ418" s="1874">
        <f t="shared" si="940"/>
        <v>952</v>
      </c>
      <c r="BK418" s="791">
        <f t="shared" si="920"/>
        <v>952</v>
      </c>
      <c r="BL418" s="720">
        <f t="shared" ref="BL418:BO418" si="941">BL376+BL397*6</f>
        <v>952</v>
      </c>
      <c r="BM418" s="720">
        <f t="shared" si="941"/>
        <v>952</v>
      </c>
      <c r="BN418" s="720">
        <f t="shared" si="941"/>
        <v>952</v>
      </c>
      <c r="BO418" s="1874">
        <f t="shared" si="941"/>
        <v>952</v>
      </c>
      <c r="BP418" s="791">
        <f t="shared" si="922"/>
        <v>952</v>
      </c>
      <c r="BQ418" s="720">
        <f t="shared" ref="BQ418:BT418" si="942">BQ376+BQ397*6</f>
        <v>952</v>
      </c>
      <c r="BR418" s="720">
        <f t="shared" si="942"/>
        <v>952</v>
      </c>
      <c r="BS418" s="720">
        <f t="shared" si="942"/>
        <v>952</v>
      </c>
      <c r="BT418" s="1874">
        <f t="shared" si="942"/>
        <v>952</v>
      </c>
      <c r="BU418" s="3396">
        <f t="shared" si="924"/>
        <v>952</v>
      </c>
      <c r="BV418" s="3972">
        <f t="shared" ref="BV418:BY418" si="943">BV376+BV397*6</f>
        <v>952</v>
      </c>
      <c r="BW418" s="3972">
        <f t="shared" si="943"/>
        <v>952</v>
      </c>
      <c r="BX418" s="3972">
        <f t="shared" si="943"/>
        <v>952</v>
      </c>
      <c r="BY418" s="3973">
        <f t="shared" si="943"/>
        <v>952</v>
      </c>
      <c r="BZ418" s="3396">
        <f t="shared" si="889"/>
        <v>952</v>
      </c>
      <c r="CA418" s="1894">
        <f t="shared" si="926"/>
        <v>952</v>
      </c>
      <c r="CB418" s="1894">
        <f t="shared" si="927"/>
        <v>952</v>
      </c>
      <c r="CC418" s="791">
        <f t="shared" si="906"/>
        <v>952</v>
      </c>
      <c r="CD418" s="791">
        <f t="shared" si="907"/>
        <v>952</v>
      </c>
      <c r="CE418" s="791">
        <f t="shared" si="908"/>
        <v>952</v>
      </c>
      <c r="CF418" s="791">
        <f t="shared" si="909"/>
        <v>952</v>
      </c>
      <c r="CG418" s="791">
        <f t="shared" si="910"/>
        <v>952</v>
      </c>
      <c r="CH418" s="709"/>
      <c r="CI418" s="709"/>
      <c r="CJ418" s="709"/>
      <c r="CK418" s="709"/>
      <c r="CL418" s="709"/>
      <c r="CM418" s="709"/>
      <c r="CN418" s="709"/>
      <c r="CO418" s="709"/>
      <c r="CP418" s="994"/>
      <c r="CQ418" s="720"/>
      <c r="CR418" s="720"/>
      <c r="CS418" s="720"/>
      <c r="CT418" s="720"/>
      <c r="CU418" s="720"/>
      <c r="CV418" s="720"/>
      <c r="CW418" s="720"/>
      <c r="CX418" s="720"/>
      <c r="CY418" s="720"/>
      <c r="CZ418" s="720"/>
      <c r="DA418" s="720"/>
      <c r="DB418" s="720"/>
      <c r="DC418" s="720"/>
      <c r="DD418" s="720"/>
      <c r="DE418" s="720"/>
      <c r="DF418" s="720"/>
      <c r="DG418" s="1874"/>
      <c r="DH418" s="710"/>
      <c r="DI418" s="711"/>
      <c r="DJ418" s="711"/>
      <c r="DK418" s="711"/>
      <c r="DL418" s="711"/>
      <c r="DM418" s="711"/>
      <c r="DN418" s="712"/>
      <c r="DO418" s="206"/>
      <c r="DP418"/>
      <c r="DQ418"/>
      <c r="DR418"/>
      <c r="DS418"/>
      <c r="DT418"/>
      <c r="DU418"/>
      <c r="DY418" s="792"/>
      <c r="DZ418" s="792"/>
    </row>
    <row r="419" spans="1:130" s="2252" customFormat="1" ht="12" customHeight="1">
      <c r="A419" s="552" t="s">
        <v>459</v>
      </c>
      <c r="B419" s="708"/>
      <c r="C419" s="708"/>
      <c r="D419" s="1696"/>
      <c r="E419" s="1402"/>
      <c r="F419" s="720"/>
      <c r="G419" s="720"/>
      <c r="H419" s="718"/>
      <c r="I419" s="720"/>
      <c r="J419" s="720"/>
      <c r="K419" s="720"/>
      <c r="L419" s="720"/>
      <c r="M419" s="718"/>
      <c r="N419" s="720"/>
      <c r="O419" s="720"/>
      <c r="P419" s="720"/>
      <c r="Q419" s="720"/>
      <c r="R419" s="718"/>
      <c r="S419" s="720"/>
      <c r="T419" s="720"/>
      <c r="U419" s="720"/>
      <c r="V419" s="720"/>
      <c r="W419" s="718"/>
      <c r="X419" s="720"/>
      <c r="Y419" s="720"/>
      <c r="Z419" s="720"/>
      <c r="AA419" s="720"/>
      <c r="AB419" s="718"/>
      <c r="AC419" s="720"/>
      <c r="AD419" s="720"/>
      <c r="AE419" s="720"/>
      <c r="AF419" s="720"/>
      <c r="AG419" s="718"/>
      <c r="AH419" s="720"/>
      <c r="AI419" s="720"/>
      <c r="AJ419" s="720"/>
      <c r="AK419" s="720"/>
      <c r="AL419" s="791"/>
      <c r="AM419" s="720">
        <f t="shared" ref="AM419:AP419" si="944">AM377+AM398*6</f>
        <v>0</v>
      </c>
      <c r="AN419" s="720">
        <f t="shared" si="944"/>
        <v>0</v>
      </c>
      <c r="AO419" s="720">
        <f t="shared" si="944"/>
        <v>0</v>
      </c>
      <c r="AP419" s="720">
        <f t="shared" si="944"/>
        <v>1621</v>
      </c>
      <c r="AQ419" s="791">
        <f t="shared" si="912"/>
        <v>405.25</v>
      </c>
      <c r="AR419" s="720">
        <f t="shared" ref="AR419:AU419" si="945">AR377+AR398*6</f>
        <v>1621</v>
      </c>
      <c r="AS419" s="720">
        <f t="shared" si="945"/>
        <v>1621</v>
      </c>
      <c r="AT419" s="720">
        <f t="shared" si="945"/>
        <v>1621</v>
      </c>
      <c r="AU419" s="720">
        <f t="shared" si="945"/>
        <v>2099</v>
      </c>
      <c r="AV419" s="791">
        <f t="shared" si="914"/>
        <v>1740.5</v>
      </c>
      <c r="AW419" s="720">
        <f t="shared" ref="AW419:AZ419" si="946">AW377+AW398*6</f>
        <v>2106</v>
      </c>
      <c r="AX419" s="720">
        <f t="shared" si="946"/>
        <v>2106</v>
      </c>
      <c r="AY419" s="720">
        <f t="shared" si="946"/>
        <v>2106</v>
      </c>
      <c r="AZ419" s="720">
        <f t="shared" si="946"/>
        <v>2154</v>
      </c>
      <c r="BA419" s="791">
        <f t="shared" si="916"/>
        <v>2118</v>
      </c>
      <c r="BB419" s="720">
        <f t="shared" ref="BB419:BE419" si="947">BB377+BB398*6</f>
        <v>1621</v>
      </c>
      <c r="BC419" s="720">
        <f t="shared" si="947"/>
        <v>1621</v>
      </c>
      <c r="BD419" s="720">
        <f t="shared" si="947"/>
        <v>1621</v>
      </c>
      <c r="BE419" s="720">
        <f t="shared" si="947"/>
        <v>1621</v>
      </c>
      <c r="BF419" s="791">
        <f t="shared" si="918"/>
        <v>1621</v>
      </c>
      <c r="BG419" s="1696">
        <f t="shared" ref="BG419:BJ419" si="948">BG377+BG398*6</f>
        <v>1621</v>
      </c>
      <c r="BH419" s="720">
        <f t="shared" si="948"/>
        <v>1621</v>
      </c>
      <c r="BI419" s="720">
        <f t="shared" si="948"/>
        <v>1621</v>
      </c>
      <c r="BJ419" s="1874">
        <f t="shared" si="948"/>
        <v>1621</v>
      </c>
      <c r="BK419" s="791">
        <f t="shared" si="920"/>
        <v>1621</v>
      </c>
      <c r="BL419" s="720">
        <f t="shared" ref="BL419:BO419" si="949">BL377+BL398*6</f>
        <v>1621</v>
      </c>
      <c r="BM419" s="720">
        <f t="shared" si="949"/>
        <v>1621</v>
      </c>
      <c r="BN419" s="720">
        <f t="shared" si="949"/>
        <v>1621</v>
      </c>
      <c r="BO419" s="1874">
        <f t="shared" si="949"/>
        <v>1621</v>
      </c>
      <c r="BP419" s="791">
        <f t="shared" si="922"/>
        <v>1621</v>
      </c>
      <c r="BQ419" s="720">
        <f t="shared" ref="BQ419:BT419" si="950">BQ377+BQ398*6</f>
        <v>1621</v>
      </c>
      <c r="BR419" s="720">
        <f t="shared" si="950"/>
        <v>1621</v>
      </c>
      <c r="BS419" s="720">
        <f t="shared" si="950"/>
        <v>1621</v>
      </c>
      <c r="BT419" s="1874">
        <f t="shared" si="950"/>
        <v>1621</v>
      </c>
      <c r="BU419" s="3396">
        <f t="shared" si="924"/>
        <v>1621</v>
      </c>
      <c r="BV419" s="3972">
        <f t="shared" ref="BV419:BY419" si="951">BV377+BV398*6</f>
        <v>1621</v>
      </c>
      <c r="BW419" s="3972">
        <f t="shared" si="951"/>
        <v>1621</v>
      </c>
      <c r="BX419" s="3972">
        <f t="shared" si="951"/>
        <v>1621</v>
      </c>
      <c r="BY419" s="3973">
        <f t="shared" si="951"/>
        <v>1621</v>
      </c>
      <c r="BZ419" s="3396">
        <f t="shared" si="889"/>
        <v>1621</v>
      </c>
      <c r="CA419" s="1894">
        <f t="shared" si="926"/>
        <v>1621</v>
      </c>
      <c r="CB419" s="1894">
        <f t="shared" si="927"/>
        <v>1621</v>
      </c>
      <c r="CC419" s="791">
        <f t="shared" si="906"/>
        <v>1621</v>
      </c>
      <c r="CD419" s="791">
        <f t="shared" si="907"/>
        <v>1621</v>
      </c>
      <c r="CE419" s="791">
        <f t="shared" si="908"/>
        <v>1621</v>
      </c>
      <c r="CF419" s="791">
        <f t="shared" si="909"/>
        <v>1621</v>
      </c>
      <c r="CG419" s="791">
        <f t="shared" si="910"/>
        <v>1621</v>
      </c>
      <c r="CH419" s="709"/>
      <c r="CI419" s="709"/>
      <c r="CJ419" s="709"/>
      <c r="CK419" s="709"/>
      <c r="CL419" s="709"/>
      <c r="CM419" s="709"/>
      <c r="CN419" s="709"/>
      <c r="CO419" s="709"/>
      <c r="CP419" s="994"/>
      <c r="CQ419" s="720"/>
      <c r="CR419" s="720"/>
      <c r="CS419" s="720"/>
      <c r="CT419" s="720"/>
      <c r="CU419" s="720"/>
      <c r="CV419" s="720"/>
      <c r="CW419" s="720"/>
      <c r="CX419" s="720"/>
      <c r="CY419" s="720"/>
      <c r="CZ419" s="720"/>
      <c r="DA419" s="720"/>
      <c r="DB419" s="720"/>
      <c r="DC419" s="720"/>
      <c r="DD419" s="720"/>
      <c r="DE419" s="720"/>
      <c r="DF419" s="720"/>
      <c r="DG419" s="1874"/>
      <c r="DH419" s="710"/>
      <c r="DI419" s="711"/>
      <c r="DJ419" s="711"/>
      <c r="DK419" s="711"/>
      <c r="DL419" s="711"/>
      <c r="DM419" s="711"/>
      <c r="DN419" s="712"/>
      <c r="DO419" s="206"/>
      <c r="DP419"/>
      <c r="DQ419"/>
      <c r="DR419"/>
      <c r="DS419"/>
      <c r="DT419"/>
      <c r="DU419"/>
      <c r="DY419" s="792"/>
      <c r="DZ419" s="792"/>
    </row>
    <row r="420" spans="1:130" s="2252" customFormat="1" ht="12" customHeight="1">
      <c r="A420" s="2501" t="s">
        <v>1972</v>
      </c>
      <c r="B420" s="708"/>
      <c r="C420" s="708"/>
      <c r="D420" s="1696"/>
      <c r="E420" s="1402"/>
      <c r="F420" s="720"/>
      <c r="G420" s="720"/>
      <c r="H420" s="718"/>
      <c r="I420" s="720"/>
      <c r="J420" s="720"/>
      <c r="K420" s="720"/>
      <c r="L420" s="720"/>
      <c r="M420" s="718"/>
      <c r="N420" s="720"/>
      <c r="O420" s="720"/>
      <c r="P420" s="720"/>
      <c r="Q420" s="720"/>
      <c r="R420" s="718"/>
      <c r="S420" s="720"/>
      <c r="T420" s="720"/>
      <c r="U420" s="720"/>
      <c r="V420" s="720"/>
      <c r="W420" s="718"/>
      <c r="X420" s="720"/>
      <c r="Y420" s="720"/>
      <c r="Z420" s="720"/>
      <c r="AA420" s="720"/>
      <c r="AB420" s="718"/>
      <c r="AC420" s="720"/>
      <c r="AD420" s="720"/>
      <c r="AE420" s="720"/>
      <c r="AF420" s="720"/>
      <c r="AG420" s="718"/>
      <c r="AH420" s="720"/>
      <c r="AI420" s="720"/>
      <c r="AJ420" s="720"/>
      <c r="AK420" s="720"/>
      <c r="AL420" s="791"/>
      <c r="AM420" s="720"/>
      <c r="AN420" s="720"/>
      <c r="AO420" s="720"/>
      <c r="AP420" s="720"/>
      <c r="AQ420" s="791"/>
      <c r="AR420" s="720"/>
      <c r="AS420" s="720"/>
      <c r="AT420" s="720"/>
      <c r="AU420" s="720"/>
      <c r="AV420" s="791"/>
      <c r="AW420" s="720"/>
      <c r="AX420" s="720"/>
      <c r="AY420" s="720"/>
      <c r="AZ420" s="720"/>
      <c r="BA420" s="791"/>
      <c r="BB420" s="720"/>
      <c r="BC420" s="720"/>
      <c r="BD420" s="720"/>
      <c r="BE420" s="720"/>
      <c r="BF420" s="791"/>
      <c r="BG420" s="1696"/>
      <c r="BH420" s="720"/>
      <c r="BI420" s="720"/>
      <c r="BJ420" s="1874"/>
      <c r="BK420" s="791"/>
      <c r="BL420" s="720"/>
      <c r="BM420" s="720"/>
      <c r="BN420" s="720"/>
      <c r="BO420" s="1874"/>
      <c r="BP420" s="791"/>
      <c r="BQ420" s="720"/>
      <c r="BR420" s="720"/>
      <c r="BS420" s="720"/>
      <c r="BT420" s="1874"/>
      <c r="BU420" s="3396"/>
      <c r="BV420" s="3972"/>
      <c r="BW420" s="3972"/>
      <c r="BX420" s="3972">
        <f t="shared" ref="BX420:BY420" si="952">BX378+BX399*6</f>
        <v>2783</v>
      </c>
      <c r="BY420" s="3973">
        <f t="shared" si="952"/>
        <v>2783</v>
      </c>
      <c r="BZ420" s="3396">
        <f t="shared" ref="BZ420:BZ423" si="953">AVERAGE(BV420:BY420)</f>
        <v>2783</v>
      </c>
      <c r="CA420" s="1894">
        <f t="shared" ref="CA420:CA423" si="954">BZ420</f>
        <v>2783</v>
      </c>
      <c r="CB420" s="1894">
        <f t="shared" ref="CB420:CB423" si="955">CA420</f>
        <v>2783</v>
      </c>
      <c r="CC420" s="1894"/>
      <c r="CD420" s="1894"/>
      <c r="CE420" s="1894"/>
      <c r="CF420" s="1894"/>
      <c r="CG420" s="1894"/>
      <c r="CH420" s="709"/>
      <c r="CI420" s="709"/>
      <c r="CJ420" s="709"/>
      <c r="CK420" s="709"/>
      <c r="CL420" s="709"/>
      <c r="CM420" s="709"/>
      <c r="CN420" s="709"/>
      <c r="CO420" s="709"/>
      <c r="CP420" s="994"/>
      <c r="CQ420" s="720"/>
      <c r="CR420" s="720"/>
      <c r="CS420" s="720"/>
      <c r="CT420" s="720"/>
      <c r="CU420" s="720"/>
      <c r="CV420" s="720"/>
      <c r="CW420" s="720"/>
      <c r="CX420" s="720"/>
      <c r="CY420" s="720"/>
      <c r="CZ420" s="720"/>
      <c r="DA420" s="720"/>
      <c r="DB420" s="720"/>
      <c r="DC420" s="720"/>
      <c r="DD420" s="720"/>
      <c r="DE420" s="720"/>
      <c r="DF420" s="720"/>
      <c r="DG420" s="1874"/>
      <c r="DH420" s="710"/>
      <c r="DI420" s="711"/>
      <c r="DJ420" s="711"/>
      <c r="DK420" s="711"/>
      <c r="DL420" s="711"/>
      <c r="DM420" s="711"/>
      <c r="DN420" s="712"/>
      <c r="DO420" s="206"/>
      <c r="DP420"/>
      <c r="DQ420"/>
      <c r="DR420"/>
      <c r="DS420"/>
      <c r="DT420"/>
      <c r="DU420"/>
      <c r="DY420" s="792"/>
      <c r="DZ420" s="792"/>
    </row>
    <row r="421" spans="1:130" s="2252" customFormat="1" ht="12" customHeight="1">
      <c r="A421" s="2501" t="s">
        <v>1973</v>
      </c>
      <c r="B421" s="708"/>
      <c r="C421" s="708"/>
      <c r="D421" s="1696"/>
      <c r="E421" s="1402"/>
      <c r="F421" s="720"/>
      <c r="G421" s="720"/>
      <c r="H421" s="718"/>
      <c r="I421" s="720"/>
      <c r="J421" s="720"/>
      <c r="K421" s="720"/>
      <c r="L421" s="720"/>
      <c r="M421" s="718"/>
      <c r="N421" s="720"/>
      <c r="O421" s="720"/>
      <c r="P421" s="720"/>
      <c r="Q421" s="720"/>
      <c r="R421" s="718"/>
      <c r="S421" s="720"/>
      <c r="T421" s="720"/>
      <c r="U421" s="720"/>
      <c r="V421" s="720"/>
      <c r="W421" s="718"/>
      <c r="X421" s="720"/>
      <c r="Y421" s="720"/>
      <c r="Z421" s="720"/>
      <c r="AA421" s="720"/>
      <c r="AB421" s="718"/>
      <c r="AC421" s="720"/>
      <c r="AD421" s="720"/>
      <c r="AE421" s="720"/>
      <c r="AF421" s="720"/>
      <c r="AG421" s="718"/>
      <c r="AH421" s="720"/>
      <c r="AI421" s="720"/>
      <c r="AJ421" s="720"/>
      <c r="AK421" s="720"/>
      <c r="AL421" s="791"/>
      <c r="AM421" s="720"/>
      <c r="AN421" s="720"/>
      <c r="AO421" s="720"/>
      <c r="AP421" s="720"/>
      <c r="AQ421" s="791"/>
      <c r="AR421" s="720"/>
      <c r="AS421" s="720"/>
      <c r="AT421" s="720"/>
      <c r="AU421" s="720"/>
      <c r="AV421" s="791"/>
      <c r="AW421" s="720"/>
      <c r="AX421" s="720"/>
      <c r="AY421" s="720"/>
      <c r="AZ421" s="720"/>
      <c r="BA421" s="791"/>
      <c r="BB421" s="720"/>
      <c r="BC421" s="720"/>
      <c r="BD421" s="720"/>
      <c r="BE421" s="720"/>
      <c r="BF421" s="791"/>
      <c r="BG421" s="1696"/>
      <c r="BH421" s="720"/>
      <c r="BI421" s="720"/>
      <c r="BJ421" s="1874"/>
      <c r="BK421" s="791"/>
      <c r="BL421" s="720"/>
      <c r="BM421" s="720"/>
      <c r="BN421" s="720"/>
      <c r="BO421" s="1874"/>
      <c r="BP421" s="791"/>
      <c r="BQ421" s="720"/>
      <c r="BR421" s="720"/>
      <c r="BS421" s="720"/>
      <c r="BT421" s="1874"/>
      <c r="BU421" s="3396"/>
      <c r="BV421" s="3972"/>
      <c r="BW421" s="3972"/>
      <c r="BX421" s="3972">
        <f t="shared" ref="BX421:BY421" si="956">BX379+BX400*6</f>
        <v>2550.6666666666665</v>
      </c>
      <c r="BY421" s="3973">
        <f t="shared" si="956"/>
        <v>2550.6666666666665</v>
      </c>
      <c r="BZ421" s="3396">
        <f t="shared" si="953"/>
        <v>2550.6666666666665</v>
      </c>
      <c r="CA421" s="1894">
        <f t="shared" si="954"/>
        <v>2550.6666666666665</v>
      </c>
      <c r="CB421" s="1894">
        <f t="shared" si="955"/>
        <v>2550.6666666666665</v>
      </c>
      <c r="CC421" s="1894"/>
      <c r="CD421" s="1894"/>
      <c r="CE421" s="1894"/>
      <c r="CF421" s="1894"/>
      <c r="CG421" s="1894"/>
      <c r="CH421" s="709"/>
      <c r="CI421" s="709"/>
      <c r="CJ421" s="709"/>
      <c r="CK421" s="709"/>
      <c r="CL421" s="709"/>
      <c r="CM421" s="709"/>
      <c r="CN421" s="709"/>
      <c r="CO421" s="709"/>
      <c r="CP421" s="994"/>
      <c r="CQ421" s="720"/>
      <c r="CR421" s="720"/>
      <c r="CS421" s="720"/>
      <c r="CT421" s="720"/>
      <c r="CU421" s="720"/>
      <c r="CV421" s="720"/>
      <c r="CW421" s="720"/>
      <c r="CX421" s="720"/>
      <c r="CY421" s="720"/>
      <c r="CZ421" s="720"/>
      <c r="DA421" s="720"/>
      <c r="DB421" s="720"/>
      <c r="DC421" s="720"/>
      <c r="DD421" s="720"/>
      <c r="DE421" s="720"/>
      <c r="DF421" s="720"/>
      <c r="DG421" s="1874"/>
      <c r="DH421" s="710"/>
      <c r="DI421" s="711"/>
      <c r="DJ421" s="711"/>
      <c r="DK421" s="711"/>
      <c r="DL421" s="711"/>
      <c r="DM421" s="711"/>
      <c r="DN421" s="712"/>
      <c r="DO421" s="206"/>
      <c r="DP421"/>
      <c r="DQ421"/>
      <c r="DR421"/>
      <c r="DS421"/>
      <c r="DT421"/>
      <c r="DU421"/>
      <c r="DY421" s="792"/>
      <c r="DZ421" s="792"/>
    </row>
    <row r="422" spans="1:130" s="2252" customFormat="1" ht="12" customHeight="1">
      <c r="A422" s="2501" t="s">
        <v>1974</v>
      </c>
      <c r="B422" s="708"/>
      <c r="C422" s="708"/>
      <c r="D422" s="1696"/>
      <c r="E422" s="1402"/>
      <c r="F422" s="720"/>
      <c r="G422" s="720"/>
      <c r="H422" s="718"/>
      <c r="I422" s="720"/>
      <c r="J422" s="720"/>
      <c r="K422" s="720"/>
      <c r="L422" s="720"/>
      <c r="M422" s="718"/>
      <c r="N422" s="720"/>
      <c r="O422" s="720"/>
      <c r="P422" s="720"/>
      <c r="Q422" s="720"/>
      <c r="R422" s="718"/>
      <c r="S422" s="720"/>
      <c r="T422" s="720"/>
      <c r="U422" s="720"/>
      <c r="V422" s="720"/>
      <c r="W422" s="718"/>
      <c r="X422" s="720"/>
      <c r="Y422" s="720"/>
      <c r="Z422" s="720"/>
      <c r="AA422" s="720"/>
      <c r="AB422" s="718"/>
      <c r="AC422" s="720"/>
      <c r="AD422" s="720"/>
      <c r="AE422" s="720"/>
      <c r="AF422" s="720"/>
      <c r="AG422" s="718"/>
      <c r="AH422" s="720"/>
      <c r="AI422" s="720"/>
      <c r="AJ422" s="720"/>
      <c r="AK422" s="720"/>
      <c r="AL422" s="791"/>
      <c r="AM422" s="720"/>
      <c r="AN422" s="720"/>
      <c r="AO422" s="720"/>
      <c r="AP422" s="720"/>
      <c r="AQ422" s="791"/>
      <c r="AR422" s="720"/>
      <c r="AS422" s="720"/>
      <c r="AT422" s="720"/>
      <c r="AU422" s="720"/>
      <c r="AV422" s="791"/>
      <c r="AW422" s="720"/>
      <c r="AX422" s="720"/>
      <c r="AY422" s="720"/>
      <c r="AZ422" s="720"/>
      <c r="BA422" s="791"/>
      <c r="BB422" s="720"/>
      <c r="BC422" s="720"/>
      <c r="BD422" s="720"/>
      <c r="BE422" s="720"/>
      <c r="BF422" s="791"/>
      <c r="BG422" s="1696"/>
      <c r="BH422" s="720"/>
      <c r="BI422" s="720"/>
      <c r="BJ422" s="1874"/>
      <c r="BK422" s="791"/>
      <c r="BL422" s="720"/>
      <c r="BM422" s="720"/>
      <c r="BN422" s="720"/>
      <c r="BO422" s="1874"/>
      <c r="BP422" s="791"/>
      <c r="BQ422" s="720"/>
      <c r="BR422" s="720"/>
      <c r="BS422" s="720"/>
      <c r="BT422" s="1874"/>
      <c r="BU422" s="3396"/>
      <c r="BV422" s="3972"/>
      <c r="BW422" s="3972"/>
      <c r="BX422" s="3972">
        <f t="shared" ref="BX422:BY422" si="957">BX380+BX401*6</f>
        <v>1435.6666666666667</v>
      </c>
      <c r="BY422" s="3973">
        <f t="shared" si="957"/>
        <v>1435.6666666666667</v>
      </c>
      <c r="BZ422" s="3396">
        <f t="shared" si="953"/>
        <v>1435.6666666666667</v>
      </c>
      <c r="CA422" s="1894">
        <f t="shared" si="954"/>
        <v>1435.6666666666667</v>
      </c>
      <c r="CB422" s="1894">
        <f t="shared" si="955"/>
        <v>1435.6666666666667</v>
      </c>
      <c r="CC422" s="1894"/>
      <c r="CD422" s="1894"/>
      <c r="CE422" s="1894"/>
      <c r="CF422" s="1894"/>
      <c r="CG422" s="1894"/>
      <c r="CH422" s="709"/>
      <c r="CI422" s="709"/>
      <c r="CJ422" s="709"/>
      <c r="CK422" s="709"/>
      <c r="CL422" s="709"/>
      <c r="CM422" s="709"/>
      <c r="CN422" s="709"/>
      <c r="CO422" s="709"/>
      <c r="CP422" s="994"/>
      <c r="CQ422" s="720"/>
      <c r="CR422" s="720"/>
      <c r="CS422" s="720"/>
      <c r="CT422" s="720"/>
      <c r="CU422" s="720"/>
      <c r="CV422" s="720"/>
      <c r="CW422" s="720"/>
      <c r="CX422" s="720"/>
      <c r="CY422" s="720"/>
      <c r="CZ422" s="720"/>
      <c r="DA422" s="720"/>
      <c r="DB422" s="720"/>
      <c r="DC422" s="720"/>
      <c r="DD422" s="720"/>
      <c r="DE422" s="720"/>
      <c r="DF422" s="720"/>
      <c r="DG422" s="1874"/>
      <c r="DH422" s="710"/>
      <c r="DI422" s="711"/>
      <c r="DJ422" s="711"/>
      <c r="DK422" s="711"/>
      <c r="DL422" s="711"/>
      <c r="DM422" s="711"/>
      <c r="DN422" s="712"/>
      <c r="DO422" s="206"/>
      <c r="DP422"/>
      <c r="DQ422"/>
      <c r="DR422"/>
      <c r="DS422"/>
      <c r="DT422"/>
      <c r="DU422"/>
      <c r="DY422" s="792"/>
      <c r="DZ422" s="792"/>
    </row>
    <row r="423" spans="1:130" s="2252" customFormat="1" ht="12" customHeight="1">
      <c r="A423" s="2501" t="s">
        <v>1975</v>
      </c>
      <c r="B423" s="708"/>
      <c r="C423" s="708"/>
      <c r="D423" s="1696"/>
      <c r="E423" s="1402"/>
      <c r="F423" s="720"/>
      <c r="G423" s="720"/>
      <c r="H423" s="718"/>
      <c r="I423" s="720"/>
      <c r="J423" s="720"/>
      <c r="K423" s="720"/>
      <c r="L423" s="720"/>
      <c r="M423" s="718"/>
      <c r="N423" s="720"/>
      <c r="O423" s="720"/>
      <c r="P423" s="720"/>
      <c r="Q423" s="720"/>
      <c r="R423" s="718"/>
      <c r="S423" s="720"/>
      <c r="T423" s="720"/>
      <c r="U423" s="720"/>
      <c r="V423" s="720"/>
      <c r="W423" s="718"/>
      <c r="X423" s="720"/>
      <c r="Y423" s="720"/>
      <c r="Z423" s="720"/>
      <c r="AA423" s="720"/>
      <c r="AB423" s="718"/>
      <c r="AC423" s="720"/>
      <c r="AD423" s="720"/>
      <c r="AE423" s="720"/>
      <c r="AF423" s="720"/>
      <c r="AG423" s="718"/>
      <c r="AH423" s="720"/>
      <c r="AI423" s="720"/>
      <c r="AJ423" s="720"/>
      <c r="AK423" s="720"/>
      <c r="AL423" s="791"/>
      <c r="AM423" s="720"/>
      <c r="AN423" s="720"/>
      <c r="AO423" s="720"/>
      <c r="AP423" s="720"/>
      <c r="AQ423" s="791"/>
      <c r="AR423" s="720"/>
      <c r="AS423" s="720"/>
      <c r="AT423" s="720"/>
      <c r="AU423" s="720"/>
      <c r="AV423" s="791"/>
      <c r="AW423" s="720"/>
      <c r="AX423" s="720"/>
      <c r="AY423" s="720"/>
      <c r="AZ423" s="720"/>
      <c r="BA423" s="791"/>
      <c r="BB423" s="720"/>
      <c r="BC423" s="720"/>
      <c r="BD423" s="720"/>
      <c r="BE423" s="720"/>
      <c r="BF423" s="791"/>
      <c r="BG423" s="1696"/>
      <c r="BH423" s="720"/>
      <c r="BI423" s="720"/>
      <c r="BJ423" s="1874"/>
      <c r="BK423" s="791"/>
      <c r="BL423" s="720"/>
      <c r="BM423" s="720"/>
      <c r="BN423" s="720"/>
      <c r="BO423" s="1874"/>
      <c r="BP423" s="791"/>
      <c r="BQ423" s="720"/>
      <c r="BR423" s="720"/>
      <c r="BS423" s="720"/>
      <c r="BT423" s="1874"/>
      <c r="BU423" s="3396"/>
      <c r="BV423" s="3972"/>
      <c r="BW423" s="3972"/>
      <c r="BX423" s="3972">
        <f t="shared" ref="BX423:BY424" si="958">BX381+BX402*6</f>
        <v>1359.6666666666667</v>
      </c>
      <c r="BY423" s="3973">
        <f t="shared" si="958"/>
        <v>1359.6666666666667</v>
      </c>
      <c r="BZ423" s="3396">
        <f t="shared" si="953"/>
        <v>1359.6666666666667</v>
      </c>
      <c r="CA423" s="1894">
        <f t="shared" si="954"/>
        <v>1359.6666666666667</v>
      </c>
      <c r="CB423" s="1894">
        <f t="shared" si="955"/>
        <v>1359.6666666666667</v>
      </c>
      <c r="CC423" s="1894"/>
      <c r="CD423" s="1894"/>
      <c r="CE423" s="1894"/>
      <c r="CF423" s="1894"/>
      <c r="CG423" s="1894"/>
      <c r="CH423" s="709"/>
      <c r="CI423" s="709"/>
      <c r="CJ423" s="709"/>
      <c r="CK423" s="709"/>
      <c r="CL423" s="709"/>
      <c r="CM423" s="709"/>
      <c r="CN423" s="709"/>
      <c r="CO423" s="709"/>
      <c r="CP423" s="994"/>
      <c r="CQ423" s="720"/>
      <c r="CR423" s="720"/>
      <c r="CS423" s="720"/>
      <c r="CT423" s="720"/>
      <c r="CU423" s="720"/>
      <c r="CV423" s="720"/>
      <c r="CW423" s="720"/>
      <c r="CX423" s="720"/>
      <c r="CY423" s="720"/>
      <c r="CZ423" s="720"/>
      <c r="DA423" s="720"/>
      <c r="DB423" s="720"/>
      <c r="DC423" s="720"/>
      <c r="DD423" s="720"/>
      <c r="DE423" s="720"/>
      <c r="DF423" s="720"/>
      <c r="DG423" s="1874"/>
      <c r="DH423" s="710"/>
      <c r="DI423" s="711"/>
      <c r="DJ423" s="711"/>
      <c r="DK423" s="711"/>
      <c r="DL423" s="711"/>
      <c r="DM423" s="711"/>
      <c r="DN423" s="712"/>
      <c r="DO423" s="206"/>
      <c r="DP423"/>
      <c r="DQ423"/>
      <c r="DR423"/>
      <c r="DS423"/>
      <c r="DT423"/>
      <c r="DU423"/>
      <c r="DY423" s="792"/>
      <c r="DZ423" s="792"/>
    </row>
    <row r="424" spans="1:130" s="2252" customFormat="1" ht="12" customHeight="1">
      <c r="A424" s="2501" t="s">
        <v>2002</v>
      </c>
      <c r="B424" s="228"/>
      <c r="C424" s="228"/>
      <c r="D424" s="3853"/>
      <c r="E424" s="1387"/>
      <c r="F424" s="1387"/>
      <c r="G424" s="1387"/>
      <c r="H424" s="702"/>
      <c r="I424" s="703"/>
      <c r="J424" s="703"/>
      <c r="K424" s="703"/>
      <c r="L424" s="1387"/>
      <c r="M424" s="702"/>
      <c r="N424" s="703"/>
      <c r="O424" s="703"/>
      <c r="P424" s="703"/>
      <c r="Q424" s="703"/>
      <c r="R424" s="702"/>
      <c r="S424" s="703"/>
      <c r="T424" s="703"/>
      <c r="U424" s="703"/>
      <c r="V424" s="1387"/>
      <c r="W424" s="702"/>
      <c r="X424" s="703"/>
      <c r="Y424" s="703"/>
      <c r="Z424" s="703"/>
      <c r="AA424" s="1387"/>
      <c r="AB424" s="702"/>
      <c r="AC424" s="703"/>
      <c r="AD424" s="703"/>
      <c r="AE424" s="703"/>
      <c r="AF424" s="1387"/>
      <c r="AG424" s="702"/>
      <c r="AH424" s="703"/>
      <c r="AI424" s="703"/>
      <c r="AJ424" s="703"/>
      <c r="AK424" s="1387"/>
      <c r="AL424" s="3849"/>
      <c r="AM424" s="722"/>
      <c r="AN424" s="722"/>
      <c r="AO424" s="722"/>
      <c r="AP424" s="722"/>
      <c r="AQ424" s="1076"/>
      <c r="AR424" s="722"/>
      <c r="AS424" s="722"/>
      <c r="AT424" s="722"/>
      <c r="AU424" s="722"/>
      <c r="AV424" s="1076"/>
      <c r="AW424" s="705"/>
      <c r="AX424" s="705"/>
      <c r="AY424" s="705"/>
      <c r="AZ424" s="722"/>
      <c r="BA424" s="1076"/>
      <c r="BB424" s="2744"/>
      <c r="BC424" s="2744"/>
      <c r="BD424" s="2744"/>
      <c r="BE424" s="2744"/>
      <c r="BF424" s="1076"/>
      <c r="BG424" s="3127"/>
      <c r="BH424" s="3174"/>
      <c r="BI424" s="3174"/>
      <c r="BJ424" s="3174"/>
      <c r="BK424" s="1076"/>
      <c r="BL424" s="3174"/>
      <c r="BM424" s="3174"/>
      <c r="BN424" s="3174"/>
      <c r="BO424" s="3174"/>
      <c r="BP424" s="1076"/>
      <c r="BQ424" s="3174"/>
      <c r="BR424" s="3174"/>
      <c r="BS424" s="3172"/>
      <c r="BT424" s="3173"/>
      <c r="BU424" s="3850"/>
      <c r="BV424" s="3172"/>
      <c r="BW424" s="3172"/>
      <c r="BX424" s="3972">
        <f t="shared" si="958"/>
        <v>1150</v>
      </c>
      <c r="BY424" s="3973">
        <f t="shared" si="958"/>
        <v>1150</v>
      </c>
      <c r="BZ424" s="3396">
        <f t="shared" ref="BZ424" si="959">AVERAGE(BV424:BY424)</f>
        <v>1150</v>
      </c>
      <c r="CA424" s="1894">
        <f t="shared" ref="CA424" si="960">BZ424</f>
        <v>1150</v>
      </c>
      <c r="CB424" s="1894">
        <f t="shared" ref="CB424" si="961">CA424</f>
        <v>1150</v>
      </c>
      <c r="CC424" s="3859"/>
      <c r="CD424" s="3859"/>
      <c r="CE424" s="3859"/>
      <c r="CF424" s="3859"/>
      <c r="CG424" s="3859"/>
      <c r="CH424" s="709"/>
      <c r="CI424" s="709"/>
      <c r="CJ424" s="709"/>
      <c r="CK424" s="709"/>
      <c r="CL424" s="709"/>
      <c r="CM424" s="709"/>
      <c r="CN424" s="709"/>
      <c r="CO424" s="709"/>
      <c r="CP424" s="994"/>
      <c r="CQ424" s="720"/>
      <c r="CR424" s="720"/>
      <c r="CS424" s="720"/>
      <c r="CT424" s="720"/>
      <c r="CU424" s="720"/>
      <c r="CV424" s="720"/>
      <c r="CW424" s="720"/>
      <c r="CX424" s="720"/>
      <c r="CY424" s="720"/>
      <c r="CZ424" s="720"/>
      <c r="DA424" s="720"/>
      <c r="DB424" s="720"/>
      <c r="DC424" s="720"/>
      <c r="DD424" s="720"/>
      <c r="DE424" s="720"/>
      <c r="DF424" s="720"/>
      <c r="DG424" s="1874"/>
      <c r="DH424" s="223"/>
      <c r="DI424" s="595"/>
      <c r="DJ424" s="595"/>
      <c r="DK424" s="595"/>
      <c r="DL424" s="595"/>
      <c r="DM424" s="595"/>
      <c r="DN424" s="514"/>
      <c r="DO424" s="77"/>
      <c r="DP424"/>
      <c r="DQ424"/>
      <c r="DR424"/>
      <c r="DS424"/>
      <c r="DT424"/>
      <c r="DU424"/>
      <c r="DY424" s="231"/>
      <c r="DZ424" s="231"/>
    </row>
    <row r="425" spans="1:130" ht="4.5" customHeight="1">
      <c r="A425" s="962"/>
      <c r="B425" s="293"/>
      <c r="C425" s="293"/>
      <c r="D425" s="294" t="s">
        <v>343</v>
      </c>
      <c r="E425" s="295" t="s">
        <v>343</v>
      </c>
      <c r="F425" s="295" t="s">
        <v>343</v>
      </c>
      <c r="G425" s="295" t="s">
        <v>343</v>
      </c>
      <c r="H425" s="296" t="s">
        <v>343</v>
      </c>
      <c r="I425" s="295" t="s">
        <v>343</v>
      </c>
      <c r="J425" s="295" t="s">
        <v>343</v>
      </c>
      <c r="K425" s="295" t="s">
        <v>343</v>
      </c>
      <c r="L425" s="295" t="s">
        <v>343</v>
      </c>
      <c r="M425" s="296" t="s">
        <v>343</v>
      </c>
      <c r="N425" s="295" t="s">
        <v>343</v>
      </c>
      <c r="O425" s="295" t="s">
        <v>343</v>
      </c>
      <c r="P425" s="295" t="s">
        <v>343</v>
      </c>
      <c r="Q425" s="295" t="s">
        <v>343</v>
      </c>
      <c r="R425" s="296" t="s">
        <v>343</v>
      </c>
      <c r="S425" s="295" t="s">
        <v>343</v>
      </c>
      <c r="T425" s="295" t="s">
        <v>343</v>
      </c>
      <c r="U425" s="295" t="s">
        <v>343</v>
      </c>
      <c r="V425" s="295" t="s">
        <v>343</v>
      </c>
      <c r="W425" s="296" t="s">
        <v>343</v>
      </c>
      <c r="X425" s="295" t="s">
        <v>343</v>
      </c>
      <c r="Y425" s="295" t="s">
        <v>343</v>
      </c>
      <c r="Z425" s="295" t="s">
        <v>343</v>
      </c>
      <c r="AA425" s="295" t="s">
        <v>343</v>
      </c>
      <c r="AB425" s="296" t="s">
        <v>343</v>
      </c>
      <c r="AC425" s="295" t="s">
        <v>343</v>
      </c>
      <c r="AD425" s="295" t="s">
        <v>343</v>
      </c>
      <c r="AE425" s="295" t="s">
        <v>343</v>
      </c>
      <c r="AF425" s="295" t="s">
        <v>343</v>
      </c>
      <c r="AG425" s="296" t="s">
        <v>343</v>
      </c>
      <c r="AH425" s="295" t="s">
        <v>343</v>
      </c>
      <c r="AI425" s="295" t="s">
        <v>343</v>
      </c>
      <c r="AJ425" s="295" t="s">
        <v>343</v>
      </c>
      <c r="AK425" s="295" t="s">
        <v>343</v>
      </c>
      <c r="AL425" s="296" t="s">
        <v>343</v>
      </c>
      <c r="AM425" s="295" t="s">
        <v>343</v>
      </c>
      <c r="AN425" s="295" t="s">
        <v>343</v>
      </c>
      <c r="AO425" s="295" t="s">
        <v>343</v>
      </c>
      <c r="AP425" s="295" t="s">
        <v>343</v>
      </c>
      <c r="AQ425" s="296" t="s">
        <v>343</v>
      </c>
      <c r="AR425" s="295" t="s">
        <v>343</v>
      </c>
      <c r="AS425" s="295" t="s">
        <v>343</v>
      </c>
      <c r="AT425" s="295" t="s">
        <v>343</v>
      </c>
      <c r="AU425" s="295" t="s">
        <v>343</v>
      </c>
      <c r="AV425" s="296" t="s">
        <v>343</v>
      </c>
      <c r="AW425" s="295" t="s">
        <v>343</v>
      </c>
      <c r="AX425" s="295" t="s">
        <v>343</v>
      </c>
      <c r="AY425" s="295" t="s">
        <v>343</v>
      </c>
      <c r="AZ425" s="295" t="s">
        <v>343</v>
      </c>
      <c r="BA425" s="296" t="s">
        <v>343</v>
      </c>
      <c r="BB425" s="295" t="s">
        <v>343</v>
      </c>
      <c r="BC425" s="295" t="s">
        <v>343</v>
      </c>
      <c r="BD425" s="295" t="s">
        <v>343</v>
      </c>
      <c r="BE425" s="295" t="s">
        <v>343</v>
      </c>
      <c r="BF425" s="296" t="s">
        <v>343</v>
      </c>
      <c r="BG425" s="294" t="s">
        <v>343</v>
      </c>
      <c r="BH425" s="295" t="s">
        <v>343</v>
      </c>
      <c r="BI425" s="295" t="s">
        <v>343</v>
      </c>
      <c r="BJ425" s="297" t="s">
        <v>343</v>
      </c>
      <c r="BK425" s="296" t="s">
        <v>343</v>
      </c>
      <c r="BL425" s="295" t="s">
        <v>343</v>
      </c>
      <c r="BM425" s="295" t="s">
        <v>343</v>
      </c>
      <c r="BN425" s="295" t="s">
        <v>343</v>
      </c>
      <c r="BO425" s="297" t="s">
        <v>343</v>
      </c>
      <c r="BP425" s="296" t="s">
        <v>343</v>
      </c>
      <c r="BQ425" s="295" t="s">
        <v>343</v>
      </c>
      <c r="BR425" s="295" t="s">
        <v>343</v>
      </c>
      <c r="BS425" s="295" t="s">
        <v>343</v>
      </c>
      <c r="BT425" s="297" t="s">
        <v>343</v>
      </c>
      <c r="BU425" s="3314" t="s">
        <v>343</v>
      </c>
      <c r="BV425" s="295" t="s">
        <v>343</v>
      </c>
      <c r="BW425" s="295" t="s">
        <v>343</v>
      </c>
      <c r="BX425" s="295" t="s">
        <v>343</v>
      </c>
      <c r="BY425" s="297" t="s">
        <v>343</v>
      </c>
      <c r="BZ425" s="3314" t="s">
        <v>343</v>
      </c>
      <c r="CA425" s="297" t="s">
        <v>343</v>
      </c>
      <c r="CB425" s="297" t="s">
        <v>343</v>
      </c>
      <c r="CC425" s="297" t="s">
        <v>343</v>
      </c>
      <c r="CD425" s="297" t="s">
        <v>343</v>
      </c>
      <c r="CE425" s="297" t="s">
        <v>343</v>
      </c>
      <c r="CF425" s="297" t="s">
        <v>343</v>
      </c>
      <c r="CG425" s="297" t="s">
        <v>343</v>
      </c>
      <c r="CH425" s="295"/>
      <c r="CI425" s="295"/>
      <c r="CJ425" s="295"/>
      <c r="CK425" s="295"/>
      <c r="CL425" s="295"/>
      <c r="CM425" s="295"/>
      <c r="CN425" s="295"/>
      <c r="CO425" s="295"/>
      <c r="CP425" s="1784"/>
      <c r="CQ425" s="295" t="str">
        <f>H425</f>
        <v xml:space="preserve">                </v>
      </c>
      <c r="CR425" s="295" t="str">
        <f>M425</f>
        <v xml:space="preserve">                </v>
      </c>
      <c r="CS425" s="295" t="str">
        <f>R425</f>
        <v xml:space="preserve">                </v>
      </c>
      <c r="CT425" s="295" t="str">
        <f>W425</f>
        <v xml:space="preserve">                </v>
      </c>
      <c r="CU425" s="295" t="str">
        <f>AB425</f>
        <v xml:space="preserve">                </v>
      </c>
      <c r="CV425" s="295" t="str">
        <f>AG425</f>
        <v xml:space="preserve">                </v>
      </c>
      <c r="CW425" s="295" t="str">
        <f>AL425</f>
        <v xml:space="preserve">                </v>
      </c>
      <c r="CX425" s="295" t="str">
        <f>AQ425</f>
        <v xml:space="preserve">                </v>
      </c>
      <c r="CY425" s="295" t="str">
        <f>AV425</f>
        <v xml:space="preserve">                </v>
      </c>
      <c r="CZ425" s="295" t="str">
        <f>BA425</f>
        <v xml:space="preserve">                </v>
      </c>
      <c r="DA425" s="295" t="str">
        <f>BF425</f>
        <v xml:space="preserve">                </v>
      </c>
      <c r="DB425" s="295" t="str">
        <f>BK425</f>
        <v xml:space="preserve">                </v>
      </c>
      <c r="DC425" s="295" t="str">
        <f>BP425</f>
        <v xml:space="preserve">                </v>
      </c>
      <c r="DD425" s="295" t="str">
        <f>BU425</f>
        <v xml:space="preserve">                </v>
      </c>
      <c r="DE425" s="295" t="str">
        <f t="shared" si="894"/>
        <v xml:space="preserve">                </v>
      </c>
      <c r="DF425" s="295" t="str">
        <f t="shared" si="894"/>
        <v xml:space="preserve">                </v>
      </c>
      <c r="DG425" s="297" t="str">
        <f t="shared" si="894"/>
        <v xml:space="preserve">                </v>
      </c>
      <c r="DH425" s="298"/>
      <c r="DI425" s="299"/>
      <c r="DJ425" s="299"/>
      <c r="DK425" s="299"/>
      <c r="DL425" s="299"/>
      <c r="DM425" s="299"/>
      <c r="DN425" s="299"/>
      <c r="DO425" s="300"/>
      <c r="DY425" s="295"/>
      <c r="DZ425" s="295"/>
    </row>
    <row r="426" spans="1:130" ht="12" customHeight="1">
      <c r="A426" s="633" t="s">
        <v>199</v>
      </c>
      <c r="B426" s="228"/>
      <c r="C426" s="228"/>
      <c r="D426" s="527">
        <f t="shared" ref="D426:AL426" si="962">SUM(D408:D414)</f>
        <v>7591</v>
      </c>
      <c r="E426" s="231">
        <f t="shared" si="962"/>
        <v>8221.7692307692305</v>
      </c>
      <c r="F426" s="231">
        <f t="shared" si="962"/>
        <v>8991</v>
      </c>
      <c r="G426" s="231">
        <f t="shared" si="962"/>
        <v>8961</v>
      </c>
      <c r="H426" s="511">
        <f t="shared" si="962"/>
        <v>8441.1923076923085</v>
      </c>
      <c r="I426" s="231">
        <f t="shared" si="962"/>
        <v>8961</v>
      </c>
      <c r="J426" s="231">
        <f t="shared" si="962"/>
        <v>8961</v>
      </c>
      <c r="K426" s="231">
        <f t="shared" si="962"/>
        <v>8961</v>
      </c>
      <c r="L426" s="231">
        <f t="shared" si="962"/>
        <v>8814</v>
      </c>
      <c r="M426" s="511">
        <f t="shared" si="962"/>
        <v>8924.25</v>
      </c>
      <c r="N426" s="231">
        <f t="shared" si="962"/>
        <v>9264</v>
      </c>
      <c r="O426" s="231">
        <f t="shared" si="962"/>
        <v>9264</v>
      </c>
      <c r="P426" s="231">
        <f t="shared" si="962"/>
        <v>9264</v>
      </c>
      <c r="Q426" s="231">
        <f t="shared" si="962"/>
        <v>9264</v>
      </c>
      <c r="R426" s="511">
        <f t="shared" si="962"/>
        <v>9247.8333333333339</v>
      </c>
      <c r="S426" s="231">
        <f t="shared" si="962"/>
        <v>9264</v>
      </c>
      <c r="T426" s="231">
        <f t="shared" si="962"/>
        <v>9264</v>
      </c>
      <c r="U426" s="231">
        <f t="shared" si="962"/>
        <v>9264</v>
      </c>
      <c r="V426" s="231">
        <f t="shared" si="962"/>
        <v>9244</v>
      </c>
      <c r="W426" s="511">
        <f t="shared" si="962"/>
        <v>9259</v>
      </c>
      <c r="X426" s="231">
        <f t="shared" si="962"/>
        <v>9244</v>
      </c>
      <c r="Y426" s="231">
        <f t="shared" si="962"/>
        <v>9244</v>
      </c>
      <c r="Z426" s="231">
        <f t="shared" si="962"/>
        <v>9244</v>
      </c>
      <c r="AA426" s="231">
        <f t="shared" si="962"/>
        <v>9152</v>
      </c>
      <c r="AB426" s="511">
        <f t="shared" si="962"/>
        <v>9221</v>
      </c>
      <c r="AC426" s="231">
        <f t="shared" si="962"/>
        <v>9152</v>
      </c>
      <c r="AD426" s="231">
        <f t="shared" si="962"/>
        <v>9152</v>
      </c>
      <c r="AE426" s="231">
        <f t="shared" si="962"/>
        <v>9152</v>
      </c>
      <c r="AF426" s="231">
        <f t="shared" si="962"/>
        <v>9028</v>
      </c>
      <c r="AG426" s="511">
        <f t="shared" si="962"/>
        <v>9121</v>
      </c>
      <c r="AH426" s="231">
        <f t="shared" si="962"/>
        <v>9028</v>
      </c>
      <c r="AI426" s="231">
        <f t="shared" si="962"/>
        <v>9028</v>
      </c>
      <c r="AJ426" s="231">
        <f t="shared" si="962"/>
        <v>9028</v>
      </c>
      <c r="AK426" s="231">
        <f t="shared" si="962"/>
        <v>9024</v>
      </c>
      <c r="AL426" s="511">
        <f t="shared" si="962"/>
        <v>9027</v>
      </c>
      <c r="AM426" s="231">
        <f>SUM(AM408:AM419)</f>
        <v>13653</v>
      </c>
      <c r="AN426" s="231">
        <f t="shared" ref="AN426:CG426" si="963">SUM(AN408:AN419)</f>
        <v>13651</v>
      </c>
      <c r="AO426" s="231">
        <f t="shared" si="963"/>
        <v>13651</v>
      </c>
      <c r="AP426" s="231">
        <f t="shared" si="963"/>
        <v>17534</v>
      </c>
      <c r="AQ426" s="511">
        <f t="shared" si="963"/>
        <v>16326.25</v>
      </c>
      <c r="AR426" s="231">
        <f t="shared" si="963"/>
        <v>17538</v>
      </c>
      <c r="AS426" s="231">
        <f t="shared" si="963"/>
        <v>17551</v>
      </c>
      <c r="AT426" s="231">
        <f t="shared" si="963"/>
        <v>17552</v>
      </c>
      <c r="AU426" s="231">
        <f t="shared" si="963"/>
        <v>17910</v>
      </c>
      <c r="AV426" s="511">
        <f t="shared" si="963"/>
        <v>17637.75</v>
      </c>
      <c r="AW426" s="231">
        <f t="shared" si="963"/>
        <v>17917</v>
      </c>
      <c r="AX426" s="231">
        <f t="shared" si="963"/>
        <v>17917</v>
      </c>
      <c r="AY426" s="231">
        <f t="shared" si="963"/>
        <v>17917</v>
      </c>
      <c r="AZ426" s="231">
        <f t="shared" si="963"/>
        <v>17922</v>
      </c>
      <c r="BA426" s="511">
        <f t="shared" si="963"/>
        <v>17918.25</v>
      </c>
      <c r="BB426" s="231">
        <f t="shared" si="963"/>
        <v>17342</v>
      </c>
      <c r="BC426" s="231">
        <f t="shared" si="963"/>
        <v>17333</v>
      </c>
      <c r="BD426" s="231">
        <f t="shared" si="963"/>
        <v>17179</v>
      </c>
      <c r="BE426" s="231">
        <f t="shared" si="963"/>
        <v>17187</v>
      </c>
      <c r="BF426" s="511">
        <f>SUM(BF408:BF425)</f>
        <v>17260.25</v>
      </c>
      <c r="BG426" s="527">
        <f t="shared" ref="BG426:CB426" si="964">SUM(BG408:BG425)</f>
        <v>17161</v>
      </c>
      <c r="BH426" s="231">
        <f t="shared" si="964"/>
        <v>17119</v>
      </c>
      <c r="BI426" s="231">
        <f t="shared" si="964"/>
        <v>17127</v>
      </c>
      <c r="BJ426" s="1841">
        <f t="shared" si="964"/>
        <v>17113</v>
      </c>
      <c r="BK426" s="511">
        <f t="shared" si="964"/>
        <v>17130</v>
      </c>
      <c r="BL426" s="231">
        <f t="shared" si="964"/>
        <v>17105</v>
      </c>
      <c r="BM426" s="231">
        <f t="shared" si="964"/>
        <v>17094</v>
      </c>
      <c r="BN426" s="231">
        <f t="shared" si="964"/>
        <v>16703</v>
      </c>
      <c r="BO426" s="1841">
        <f t="shared" si="964"/>
        <v>16589</v>
      </c>
      <c r="BP426" s="511">
        <f t="shared" si="964"/>
        <v>16872.75</v>
      </c>
      <c r="BQ426" s="231">
        <f t="shared" si="964"/>
        <v>16501</v>
      </c>
      <c r="BR426" s="231">
        <f t="shared" si="964"/>
        <v>16790</v>
      </c>
      <c r="BS426" s="231">
        <f t="shared" si="964"/>
        <v>16790</v>
      </c>
      <c r="BT426" s="1841">
        <f t="shared" si="964"/>
        <v>16790</v>
      </c>
      <c r="BU426" s="3386">
        <f t="shared" si="964"/>
        <v>16717.75</v>
      </c>
      <c r="BV426" s="3554">
        <f t="shared" si="964"/>
        <v>16708</v>
      </c>
      <c r="BW426" s="3554">
        <f t="shared" si="964"/>
        <v>16708</v>
      </c>
      <c r="BX426" s="3554">
        <f t="shared" si="964"/>
        <v>25987.000000000004</v>
      </c>
      <c r="BY426" s="3553">
        <f t="shared" si="964"/>
        <v>25987.000000000004</v>
      </c>
      <c r="BZ426" s="3386">
        <f t="shared" si="964"/>
        <v>25987.000000000004</v>
      </c>
      <c r="CA426" s="511">
        <f t="shared" si="964"/>
        <v>25987.000000000004</v>
      </c>
      <c r="CB426" s="511">
        <f t="shared" si="964"/>
        <v>25987.000000000004</v>
      </c>
      <c r="CC426" s="511">
        <f t="shared" si="963"/>
        <v>16708</v>
      </c>
      <c r="CD426" s="511">
        <f t="shared" si="963"/>
        <v>16708</v>
      </c>
      <c r="CE426" s="511">
        <f t="shared" si="963"/>
        <v>16708</v>
      </c>
      <c r="CF426" s="511">
        <f t="shared" si="963"/>
        <v>16708</v>
      </c>
      <c r="CG426" s="511">
        <f t="shared" si="963"/>
        <v>16708</v>
      </c>
      <c r="CH426" s="510"/>
      <c r="CI426" s="510"/>
      <c r="CJ426" s="510"/>
      <c r="CK426" s="510"/>
      <c r="CL426" s="510"/>
      <c r="CM426" s="510"/>
      <c r="CN426" s="510"/>
      <c r="CO426" s="510"/>
      <c r="CP426" s="90" t="str">
        <f>A426</f>
        <v>Total Positions</v>
      </c>
      <c r="CQ426" s="231">
        <f>H426</f>
        <v>8441.1923076923085</v>
      </c>
      <c r="CR426" s="231">
        <f>M426</f>
        <v>8924.25</v>
      </c>
      <c r="CS426" s="231">
        <f>R426</f>
        <v>9247.8333333333339</v>
      </c>
      <c r="CT426" s="231">
        <f>W426</f>
        <v>9259</v>
      </c>
      <c r="CU426" s="231">
        <f>AB426</f>
        <v>9221</v>
      </c>
      <c r="CV426" s="231">
        <f>AG426</f>
        <v>9121</v>
      </c>
      <c r="CW426" s="231">
        <f>AL426</f>
        <v>9027</v>
      </c>
      <c r="CX426" s="231">
        <f>AQ426</f>
        <v>16326.25</v>
      </c>
      <c r="CY426" s="231">
        <f>AV426</f>
        <v>17637.75</v>
      </c>
      <c r="CZ426" s="231">
        <f>BA426</f>
        <v>17918.25</v>
      </c>
      <c r="DA426" s="231">
        <f>BF426</f>
        <v>17260.25</v>
      </c>
      <c r="DB426" s="231">
        <f>BK426</f>
        <v>17130</v>
      </c>
      <c r="DC426" s="231">
        <f>BP426</f>
        <v>16872.75</v>
      </c>
      <c r="DD426" s="231">
        <f>BU426</f>
        <v>16717.75</v>
      </c>
      <c r="DE426" s="231">
        <f t="shared" si="894"/>
        <v>25987.000000000004</v>
      </c>
      <c r="DF426" s="231">
        <f t="shared" si="894"/>
        <v>25987.000000000004</v>
      </c>
      <c r="DG426" s="1841">
        <f t="shared" si="894"/>
        <v>25987.000000000004</v>
      </c>
      <c r="DH426" s="223"/>
      <c r="DI426" s="595"/>
      <c r="DJ426" s="595"/>
      <c r="DK426" s="595"/>
      <c r="DL426" s="595"/>
      <c r="DM426" s="595"/>
      <c r="DN426" s="514"/>
      <c r="DO426" s="226"/>
      <c r="DY426" s="492"/>
      <c r="DZ426" s="492"/>
    </row>
    <row r="427" spans="1:130" ht="12" customHeight="1">
      <c r="A427" s="633"/>
      <c r="B427" s="228"/>
      <c r="C427" s="228"/>
      <c r="D427" s="527"/>
      <c r="E427" s="231"/>
      <c r="F427" s="231"/>
      <c r="G427" s="231"/>
      <c r="H427" s="511"/>
      <c r="I427" s="231"/>
      <c r="J427" s="231"/>
      <c r="K427" s="231"/>
      <c r="L427" s="231"/>
      <c r="M427" s="511"/>
      <c r="N427" s="231"/>
      <c r="O427" s="231"/>
      <c r="P427" s="231"/>
      <c r="Q427" s="231"/>
      <c r="R427" s="511"/>
      <c r="S427" s="231"/>
      <c r="T427" s="231"/>
      <c r="U427" s="231"/>
      <c r="V427" s="231"/>
      <c r="W427" s="511"/>
      <c r="X427" s="231"/>
      <c r="Y427" s="231"/>
      <c r="Z427" s="231"/>
      <c r="AA427" s="231"/>
      <c r="AB427" s="511"/>
      <c r="AC427" s="231"/>
      <c r="AD427" s="231"/>
      <c r="AE427" s="231"/>
      <c r="AF427" s="231"/>
      <c r="AG427" s="511"/>
      <c r="AH427" s="231"/>
      <c r="AI427" s="231"/>
      <c r="AJ427" s="231"/>
      <c r="AK427" s="231"/>
      <c r="AL427" s="511"/>
      <c r="AM427" s="231"/>
      <c r="AN427" s="231"/>
      <c r="AO427" s="231"/>
      <c r="AP427" s="231"/>
      <c r="AQ427" s="511"/>
      <c r="AR427" s="231"/>
      <c r="AS427" s="231"/>
      <c r="AT427" s="231"/>
      <c r="AU427" s="231"/>
      <c r="AV427" s="525"/>
      <c r="AW427" s="231"/>
      <c r="AX427" s="231"/>
      <c r="AY427" s="231"/>
      <c r="AZ427" s="231"/>
      <c r="BA427" s="525"/>
      <c r="BB427" s="231"/>
      <c r="BC427" s="231"/>
      <c r="BD427" s="231"/>
      <c r="BE427" s="231"/>
      <c r="BF427" s="525"/>
      <c r="BG427" s="527"/>
      <c r="BH427" s="231"/>
      <c r="BI427" s="231"/>
      <c r="BJ427" s="1841"/>
      <c r="BK427" s="525"/>
      <c r="BL427" s="231"/>
      <c r="BM427" s="231"/>
      <c r="BN427" s="231"/>
      <c r="BO427" s="1841"/>
      <c r="BP427" s="525"/>
      <c r="BQ427" s="231"/>
      <c r="BR427" s="231"/>
      <c r="BS427" s="231"/>
      <c r="BT427" s="1841"/>
      <c r="BU427" s="3367"/>
      <c r="BV427" s="231"/>
      <c r="BW427" s="231"/>
      <c r="BX427" s="231"/>
      <c r="BY427" s="1841"/>
      <c r="BZ427" s="525"/>
      <c r="CA427" s="525"/>
      <c r="CB427" s="525"/>
      <c r="CC427" s="525"/>
      <c r="CD427" s="525"/>
      <c r="CE427" s="525"/>
      <c r="CF427" s="525"/>
      <c r="CG427" s="525"/>
      <c r="CH427" s="510"/>
      <c r="CI427" s="510"/>
      <c r="CJ427" s="510"/>
      <c r="CK427" s="510"/>
      <c r="CL427" s="510"/>
      <c r="CM427" s="510"/>
      <c r="CN427" s="510"/>
      <c r="CO427" s="510"/>
      <c r="CP427" s="90"/>
      <c r="CQ427" s="231"/>
      <c r="CR427" s="231"/>
      <c r="CS427" s="231"/>
      <c r="CT427" s="231"/>
      <c r="CU427" s="231"/>
      <c r="CV427" s="231"/>
      <c r="CW427" s="231"/>
      <c r="CX427" s="231"/>
      <c r="CY427" s="231"/>
      <c r="CZ427" s="231"/>
      <c r="DA427" s="231"/>
      <c r="DB427" s="231"/>
      <c r="DC427" s="231"/>
      <c r="DD427" s="231"/>
      <c r="DE427" s="231"/>
      <c r="DF427" s="231"/>
      <c r="DG427" s="1841"/>
      <c r="DH427" s="223"/>
      <c r="DI427" s="595"/>
      <c r="DJ427" s="595"/>
      <c r="DK427" s="595"/>
      <c r="DL427" s="595"/>
      <c r="DM427" s="595"/>
      <c r="DN427" s="514"/>
      <c r="DO427" s="226"/>
      <c r="DY427" s="231"/>
      <c r="DZ427" s="231"/>
    </row>
    <row r="428" spans="1:130" ht="12" customHeight="1">
      <c r="A428" s="729" t="s">
        <v>448</v>
      </c>
      <c r="B428" s="675"/>
      <c r="C428" s="675"/>
      <c r="D428" s="446"/>
      <c r="E428" s="447"/>
      <c r="F428" s="697"/>
      <c r="G428" s="697"/>
      <c r="H428" s="563"/>
      <c r="I428" s="697"/>
      <c r="J428" s="697"/>
      <c r="K428" s="697"/>
      <c r="L428" s="447"/>
      <c r="M428" s="563"/>
      <c r="N428" s="447"/>
      <c r="O428" s="447"/>
      <c r="P428" s="447"/>
      <c r="Q428" s="447"/>
      <c r="R428" s="563"/>
      <c r="S428" s="447"/>
      <c r="T428" s="447"/>
      <c r="U428" s="697"/>
      <c r="V428" s="697"/>
      <c r="W428" s="730"/>
      <c r="X428" s="697"/>
      <c r="Y428" s="697"/>
      <c r="Z428" s="697"/>
      <c r="AA428" s="697"/>
      <c r="AB428" s="730"/>
      <c r="AC428" s="697"/>
      <c r="AD428" s="697"/>
      <c r="AE428" s="697"/>
      <c r="AF428" s="697"/>
      <c r="AG428" s="730"/>
      <c r="AH428" s="731"/>
      <c r="AI428" s="731"/>
      <c r="AJ428" s="731"/>
      <c r="AK428" s="731"/>
      <c r="AL428" s="732"/>
      <c r="AM428" s="592"/>
      <c r="AN428" s="592"/>
      <c r="AO428" s="1451"/>
      <c r="AP428" s="697"/>
      <c r="AQ428" s="563"/>
      <c r="AR428" s="592"/>
      <c r="AS428" s="592"/>
      <c r="AT428" s="1451"/>
      <c r="AU428" s="697"/>
      <c r="AV428" s="1592"/>
      <c r="AW428" s="592"/>
      <c r="AX428" s="592"/>
      <c r="AY428" s="1451"/>
      <c r="AZ428" s="697"/>
      <c r="BA428" s="563"/>
      <c r="BB428" s="592"/>
      <c r="BC428" s="592"/>
      <c r="BD428" s="1451"/>
      <c r="BE428" s="697"/>
      <c r="BF428" s="563"/>
      <c r="BG428" s="446"/>
      <c r="BH428" s="447"/>
      <c r="BI428" s="447"/>
      <c r="BJ428" s="2802"/>
      <c r="BK428" s="563"/>
      <c r="BL428" s="447"/>
      <c r="BM428" s="447"/>
      <c r="BN428" s="447"/>
      <c r="BO428" s="2802"/>
      <c r="BP428" s="563"/>
      <c r="BQ428" s="447"/>
      <c r="BR428" s="447"/>
      <c r="BS428" s="447"/>
      <c r="BT428" s="2802"/>
      <c r="BU428" s="3320"/>
      <c r="BV428" s="447"/>
      <c r="BW428" s="447"/>
      <c r="BX428" s="447"/>
      <c r="BY428" s="2802"/>
      <c r="BZ428" s="563"/>
      <c r="CA428" s="563"/>
      <c r="CB428" s="563"/>
      <c r="CC428" s="563"/>
      <c r="CD428" s="563"/>
      <c r="CE428" s="563"/>
      <c r="CF428" s="563"/>
      <c r="CG428" s="563"/>
      <c r="CH428" s="447"/>
      <c r="CI428" s="447"/>
      <c r="CJ428" s="447"/>
      <c r="CK428" s="447"/>
      <c r="CL428" s="447"/>
      <c r="CM428" s="447"/>
      <c r="CN428" s="447"/>
      <c r="CO428" s="447"/>
      <c r="CP428" s="1881" t="str">
        <f t="shared" ref="CP428:CP435" si="965">A428</f>
        <v>Casino Revenue</v>
      </c>
      <c r="CQ428" s="592"/>
      <c r="CR428" s="592"/>
      <c r="CS428" s="592"/>
      <c r="CT428" s="592"/>
      <c r="CU428" s="592"/>
      <c r="CV428" s="592"/>
      <c r="CW428" s="592"/>
      <c r="CX428" s="592"/>
      <c r="CY428" s="592"/>
      <c r="CZ428" s="592"/>
      <c r="DA428" s="592"/>
      <c r="DB428" s="592"/>
      <c r="DC428" s="592"/>
      <c r="DD428" s="592"/>
      <c r="DE428" s="592"/>
      <c r="DF428" s="592"/>
      <c r="DG428" s="1850"/>
      <c r="DH428" s="564"/>
      <c r="DI428" s="650"/>
      <c r="DJ428" s="650"/>
      <c r="DK428" s="650"/>
      <c r="DL428" s="650"/>
      <c r="DM428" s="650"/>
      <c r="DN428" s="651"/>
      <c r="DO428" s="320"/>
      <c r="DY428" s="447"/>
      <c r="DZ428" s="447"/>
    </row>
    <row r="429" spans="1:130" ht="12" customHeight="1">
      <c r="A429" s="670" t="s">
        <v>513</v>
      </c>
      <c r="B429" s="837"/>
      <c r="C429" s="837"/>
      <c r="D429" s="664"/>
      <c r="E429" s="665"/>
      <c r="F429" s="668"/>
      <c r="G429" s="668"/>
      <c r="H429" s="666"/>
      <c r="I429" s="668"/>
      <c r="J429" s="668"/>
      <c r="K429" s="668"/>
      <c r="L429" s="665"/>
      <c r="M429" s="666"/>
      <c r="N429" s="665"/>
      <c r="O429" s="665"/>
      <c r="P429" s="665"/>
      <c r="Q429" s="665"/>
      <c r="R429" s="666"/>
      <c r="S429" s="665"/>
      <c r="T429" s="665"/>
      <c r="U429" s="668"/>
      <c r="V429" s="668"/>
      <c r="W429" s="619"/>
      <c r="X429" s="668"/>
      <c r="Y429" s="668"/>
      <c r="Z429" s="668"/>
      <c r="AA429" s="668"/>
      <c r="AB429" s="619"/>
      <c r="AC429" s="668"/>
      <c r="AD429" s="668"/>
      <c r="AE429" s="668"/>
      <c r="AF429" s="668"/>
      <c r="AG429" s="619"/>
      <c r="AH429" s="618"/>
      <c r="AI429" s="618"/>
      <c r="AJ429" s="618"/>
      <c r="AK429" s="618"/>
      <c r="AL429" s="696"/>
      <c r="AM429" s="668"/>
      <c r="AN429" s="668"/>
      <c r="AO429" s="668"/>
      <c r="AP429" s="668">
        <v>44.6</v>
      </c>
      <c r="AQ429" s="1030">
        <f>AP429</f>
        <v>44.6</v>
      </c>
      <c r="AR429" s="668">
        <v>49</v>
      </c>
      <c r="AS429" s="668">
        <v>47.3</v>
      </c>
      <c r="AT429" s="668">
        <v>49.1</v>
      </c>
      <c r="AU429" s="668">
        <f>AP429*(1+AU450)</f>
        <v>44.6</v>
      </c>
      <c r="AV429" s="1659">
        <f t="shared" ref="AV429:AV435" si="966">SUM(AR429:AU429)</f>
        <v>190</v>
      </c>
      <c r="AW429" s="1031">
        <f t="shared" ref="AW429:AZ430" si="967">AR429*(1+AW450)</f>
        <v>46.55</v>
      </c>
      <c r="AX429" s="1031">
        <f t="shared" si="967"/>
        <v>44.934999999999995</v>
      </c>
      <c r="AY429" s="1031">
        <f t="shared" si="967"/>
        <v>46.644999999999996</v>
      </c>
      <c r="AZ429" s="1031">
        <f t="shared" si="967"/>
        <v>42.37</v>
      </c>
      <c r="BA429" s="1030">
        <f>SUM(AW429:AZ429)</f>
        <v>180.5</v>
      </c>
      <c r="BB429" s="1031">
        <f t="shared" ref="BB429:BE430" si="968">AW429*(1+BB450)</f>
        <v>43.291499999999992</v>
      </c>
      <c r="BC429" s="1031">
        <f t="shared" si="968"/>
        <v>41.789549999999991</v>
      </c>
      <c r="BD429" s="1031">
        <f t="shared" si="968"/>
        <v>43.37984999999999</v>
      </c>
      <c r="BE429" s="1031">
        <f t="shared" si="968"/>
        <v>40.251499999999993</v>
      </c>
      <c r="BF429" s="1030">
        <f>SUM(BB429:BE429)</f>
        <v>168.71239999999997</v>
      </c>
      <c r="BG429" s="1662">
        <f t="shared" ref="BG429:BJ430" si="969">BB429*(1+BG450)</f>
        <v>44.590244999999996</v>
      </c>
      <c r="BH429" s="1031">
        <f t="shared" si="969"/>
        <v>44.923766249999986</v>
      </c>
      <c r="BI429" s="1031">
        <f t="shared" si="969"/>
        <v>44.247446999999994</v>
      </c>
      <c r="BJ429" s="1663">
        <f t="shared" si="969"/>
        <v>41.056529999999995</v>
      </c>
      <c r="BK429" s="1030">
        <f>SUM(BG429:BJ429)</f>
        <v>174.81798824999998</v>
      </c>
      <c r="BL429" s="1031">
        <f t="shared" ref="BL429:BO430" si="970">BG429*(1+BL450)</f>
        <v>41.245976624999997</v>
      </c>
      <c r="BM429" s="1031">
        <f t="shared" si="970"/>
        <v>42.228340274999987</v>
      </c>
      <c r="BN429" s="1031">
        <f t="shared" si="970"/>
        <v>41.592600179999991</v>
      </c>
      <c r="BO429" s="1663">
        <f t="shared" si="970"/>
        <v>37.977290249999996</v>
      </c>
      <c r="BP429" s="1030">
        <f>SUM(BL429:BO429)</f>
        <v>163.04420732999998</v>
      </c>
      <c r="BQ429" s="1031">
        <f t="shared" ref="BQ429:BT430" si="971">BL429*(1+BQ450)</f>
        <v>39.183677793749993</v>
      </c>
      <c r="BR429" s="1031">
        <f t="shared" si="971"/>
        <v>41.383773469499985</v>
      </c>
      <c r="BS429" s="1031">
        <f t="shared" si="971"/>
        <v>40.760748176399993</v>
      </c>
      <c r="BT429" s="1663">
        <f t="shared" si="971"/>
        <v>34.179561225</v>
      </c>
      <c r="BU429" s="3319">
        <f>SUM(BQ429:BT429)</f>
        <v>155.50776066464999</v>
      </c>
      <c r="BV429" s="1031">
        <f t="shared" ref="BV429:BY435" si="972">BQ429*(1+BV450)</f>
        <v>39.575514571687492</v>
      </c>
      <c r="BW429" s="1031">
        <f t="shared" si="972"/>
        <v>41.797611204194986</v>
      </c>
      <c r="BX429" s="1031">
        <f t="shared" si="972"/>
        <v>41.168355658163996</v>
      </c>
      <c r="BY429" s="1031">
        <f t="shared" si="972"/>
        <v>37.597517347500002</v>
      </c>
      <c r="BZ429" s="3319">
        <f>SUM(BV429:BY429)</f>
        <v>160.13899878154646</v>
      </c>
      <c r="CA429" s="1030">
        <f t="shared" ref="CA429:CG435" si="973">BZ429*(1+CA450)</f>
        <v>160.13899878154646</v>
      </c>
      <c r="CB429" s="1030">
        <f t="shared" si="973"/>
        <v>160.13899878154646</v>
      </c>
      <c r="CC429" s="1030">
        <f t="shared" si="973"/>
        <v>152.13204884246915</v>
      </c>
      <c r="CD429" s="1030">
        <f t="shared" si="973"/>
        <v>144.52544640034569</v>
      </c>
      <c r="CE429" s="1030">
        <f t="shared" si="973"/>
        <v>147.4159553283526</v>
      </c>
      <c r="CF429" s="1030">
        <f t="shared" si="973"/>
        <v>150.36427443491965</v>
      </c>
      <c r="CG429" s="1030">
        <f t="shared" si="973"/>
        <v>153.37155992361804</v>
      </c>
      <c r="CH429" s="665"/>
      <c r="CI429" s="665"/>
      <c r="CJ429" s="665"/>
      <c r="CK429" s="665"/>
      <c r="CL429" s="665"/>
      <c r="CM429" s="965"/>
      <c r="CN429" s="965">
        <f t="shared" ref="CN429:CN447" si="974">SUM(BV429:BY429)</f>
        <v>160.13899878154646</v>
      </c>
      <c r="CO429" s="965">
        <f t="shared" ref="CO429:CO447" si="975">CM429-CN429</f>
        <v>-160.13899878154646</v>
      </c>
      <c r="CP429" s="1864" t="str">
        <f t="shared" si="965"/>
        <v>Imperial Palace (MS) - Estimated</v>
      </c>
      <c r="CQ429" s="589"/>
      <c r="CR429" s="589"/>
      <c r="CS429" s="589"/>
      <c r="CT429" s="589"/>
      <c r="CU429" s="589"/>
      <c r="CV429" s="589"/>
      <c r="CW429" s="589"/>
      <c r="CX429" s="589">
        <f t="shared" ref="CX429:CX447" si="976">AQ429</f>
        <v>44.6</v>
      </c>
      <c r="CY429" s="589">
        <f t="shared" ref="CY429:CY447" si="977">AV429</f>
        <v>190</v>
      </c>
      <c r="CZ429" s="589">
        <f t="shared" ref="CZ429:CZ447" si="978">BA429</f>
        <v>180.5</v>
      </c>
      <c r="DA429" s="589">
        <f t="shared" ref="DA429:DA447" si="979">BF429</f>
        <v>168.71239999999997</v>
      </c>
      <c r="DB429" s="589">
        <f t="shared" ref="DB429:DB447" si="980">BK429</f>
        <v>174.81798824999998</v>
      </c>
      <c r="DC429" s="589">
        <f t="shared" ref="DC429:DC447" si="981">BP429</f>
        <v>163.04420732999998</v>
      </c>
      <c r="DD429" s="589">
        <f t="shared" ref="DD429:DD447" si="982">BU429</f>
        <v>155.50776066464999</v>
      </c>
      <c r="DE429" s="589">
        <f t="shared" ref="DE429:DE447" si="983">BZ429</f>
        <v>160.13899878154646</v>
      </c>
      <c r="DF429" s="589">
        <f t="shared" ref="DF429:DF447" si="984">CA429</f>
        <v>160.13899878154646</v>
      </c>
      <c r="DG429" s="1870">
        <f t="shared" ref="DG429:DG447" si="985">CB429</f>
        <v>160.13899878154646</v>
      </c>
      <c r="DH429" s="1031"/>
      <c r="DI429" s="838"/>
      <c r="DJ429" s="838"/>
      <c r="DK429" s="838"/>
      <c r="DL429" s="838"/>
      <c r="DM429" s="838"/>
      <c r="DN429" s="632"/>
      <c r="DO429" s="312" t="s">
        <v>1100</v>
      </c>
      <c r="DY429" s="1031"/>
      <c r="DZ429" s="1031"/>
    </row>
    <row r="430" spans="1:130" ht="12" customHeight="1">
      <c r="A430" s="429" t="s">
        <v>1795</v>
      </c>
      <c r="B430" s="675"/>
      <c r="C430" s="675"/>
      <c r="D430" s="1657">
        <f>(D472*D409*D$5)/1000000</f>
        <v>28.874037919999999</v>
      </c>
      <c r="E430" s="1656">
        <f>(E472*E409*E$5)/1000000</f>
        <v>26.128211199999999</v>
      </c>
      <c r="F430" s="1656">
        <f>(F472*F409*F$5)/1000000</f>
        <v>27.507506880000001</v>
      </c>
      <c r="G430" s="1658">
        <f>(G472*G409*G$5)/1000000</f>
        <v>23.378301239999999</v>
      </c>
      <c r="H430" s="735">
        <f t="shared" ref="H430:H447" si="986">SUM(D430:G430)</f>
        <v>105.88805724000001</v>
      </c>
      <c r="I430" s="1657">
        <f>(I472*I409*I$5)/1000000</f>
        <v>29.456009099999999</v>
      </c>
      <c r="J430" s="1656">
        <f>(J472*J409*J$5)/1000000</f>
        <v>26.784110990000002</v>
      </c>
      <c r="K430" s="1656">
        <f>(K472*K409*K$5)/1000000</f>
        <v>27.512485000000002</v>
      </c>
      <c r="L430" s="1658">
        <f>(L472*L409*L$5)/1000000</f>
        <v>26.766296000000001</v>
      </c>
      <c r="M430" s="735">
        <f t="shared" ref="M430:M447" si="987">SUM(I430:L430)</f>
        <v>110.51890109</v>
      </c>
      <c r="N430" s="1657">
        <f>(N472*N409*N$5)/1000000</f>
        <v>31.235040000000001</v>
      </c>
      <c r="O430" s="1656">
        <f>(O472*O409*O$5)/1000000</f>
        <v>29.561131600000003</v>
      </c>
      <c r="P430" s="1656">
        <f>(P472*P409*P$5)/1000000</f>
        <v>30.719359360000002</v>
      </c>
      <c r="Q430" s="1658">
        <f>(Q472*Q409*Q$5)/1000000</f>
        <v>28.029207600000007</v>
      </c>
      <c r="R430" s="735">
        <f t="shared" ref="R430:R447" si="988">SUM(N430:Q430)</f>
        <v>119.54473856000001</v>
      </c>
      <c r="S430" s="1657">
        <f>(S472*S409*S$5)/1000000</f>
        <v>29.793306599999998</v>
      </c>
      <c r="T430" s="1656">
        <f>(T472*T409*T$5)/1000000</f>
        <v>29.101150259999997</v>
      </c>
      <c r="U430" s="1656">
        <f>(U472*U409*U$5)/1000000</f>
        <v>29.861803440000003</v>
      </c>
      <c r="V430" s="1658">
        <f>(V472*V409*V$5)/1000000</f>
        <v>26.819619200000002</v>
      </c>
      <c r="W430" s="735">
        <f t="shared" ref="W430:W447" si="989">SUM(S430:V430)</f>
        <v>115.5758795</v>
      </c>
      <c r="X430" s="1657">
        <f>(X472*X409*X$5)/1000000</f>
        <v>28.9583203</v>
      </c>
      <c r="Y430" s="1656">
        <f>(Y472*Y409*Y$5)/1000000</f>
        <v>26.519529400000003</v>
      </c>
      <c r="Z430" s="1656">
        <f>(Z472*Z409*Z$5)/1000000</f>
        <v>27.371379999999998</v>
      </c>
      <c r="AA430" s="1658">
        <f>(AA472*AA409*AA$5)/1000000</f>
        <v>24.062390239999999</v>
      </c>
      <c r="AB430" s="735">
        <f t="shared" ref="AB430:AB447" si="990">SUM(X430:AA430)</f>
        <v>106.91161994000001</v>
      </c>
      <c r="AC430" s="1657">
        <f>(AC472*AC409*AC$5)/1000000</f>
        <v>26.2615932</v>
      </c>
      <c r="AD430" s="1656">
        <f>(AD472*AD409*AD$5)/1000000</f>
        <v>25.380638919999999</v>
      </c>
      <c r="AE430" s="1656">
        <f>(AE472*AE409*AE$5)/1000000</f>
        <v>25.737246559999999</v>
      </c>
      <c r="AF430" s="1658">
        <f>(AF472*AF409*AF$5)/1000000</f>
        <v>22.487113799999999</v>
      </c>
      <c r="AG430" s="735">
        <f t="shared" ref="AG430:AG447" si="991">SUM(AC430:AF430)</f>
        <v>99.866592480000008</v>
      </c>
      <c r="AH430" s="1656">
        <f>(AH472*AH409*AH$5)/1000000</f>
        <v>24.019225103229669</v>
      </c>
      <c r="AI430" s="1656">
        <f>(AI472*AI409*AI$5)/1000000</f>
        <v>23.942137497828945</v>
      </c>
      <c r="AJ430" s="1656">
        <f>(AJ472*AJ409*AJ$5)/1000000</f>
        <v>24.578465285082768</v>
      </c>
      <c r="AK430" s="1656">
        <f>(AK472*AK409*AK$5)/1000000</f>
        <v>21.845784570658839</v>
      </c>
      <c r="AL430" s="735">
        <f t="shared" ref="AL430:AL447" si="992">SUM(AH430:AK430)</f>
        <v>94.385612456800217</v>
      </c>
      <c r="AM430" s="1656">
        <f>+AH430*(1+AM451)</f>
        <v>24.019225103229669</v>
      </c>
      <c r="AN430" s="1656">
        <f>+AI430*(1+AN451)</f>
        <v>17.956603123371707</v>
      </c>
      <c r="AO430" s="1656">
        <f>+AJ430*(1+AO451)</f>
        <v>24.086895979381111</v>
      </c>
      <c r="AP430" s="1656">
        <f>+AK430*(1+AP451)</f>
        <v>21.408868879245663</v>
      </c>
      <c r="AQ430" s="735">
        <f t="shared" ref="AQ430:AQ435" si="993">SUM(AM430:AP430)</f>
        <v>87.47159308522815</v>
      </c>
      <c r="AR430" s="564">
        <f>+AM430*(1+AR451)</f>
        <v>24.019225103229669</v>
      </c>
      <c r="AS430" s="564">
        <f>+AN430*(1+AS451)</f>
        <v>23.343584060383218</v>
      </c>
      <c r="AT430" s="564">
        <f>+AO430*(1+AT451)</f>
        <v>23.364289099999677</v>
      </c>
      <c r="AU430" s="564">
        <f>+AP430*(1+AU451)</f>
        <v>20.98069150166075</v>
      </c>
      <c r="AV430" s="735">
        <f t="shared" si="966"/>
        <v>91.707789765273304</v>
      </c>
      <c r="AW430" s="564">
        <f t="shared" si="967"/>
        <v>22.818263848068185</v>
      </c>
      <c r="AX430" s="564">
        <f t="shared" si="967"/>
        <v>22.643276538571723</v>
      </c>
      <c r="AY430" s="564">
        <f t="shared" si="967"/>
        <v>22.663360426999688</v>
      </c>
      <c r="AZ430" s="564">
        <f t="shared" si="967"/>
        <v>20.351270756610926</v>
      </c>
      <c r="BA430" s="736">
        <f t="shared" ref="BA430:BA435" si="994">SUM(AW430:AZ430)</f>
        <v>88.476171570250528</v>
      </c>
      <c r="BB430" s="564">
        <f t="shared" si="968"/>
        <v>21.220985378703411</v>
      </c>
      <c r="BC430" s="564">
        <f t="shared" si="968"/>
        <v>21.0582471808717</v>
      </c>
      <c r="BD430" s="564">
        <f t="shared" si="968"/>
        <v>21.530192405649704</v>
      </c>
      <c r="BE430" s="564">
        <f t="shared" si="968"/>
        <v>19.944245341478709</v>
      </c>
      <c r="BF430" s="736">
        <f t="shared" ref="BF430:BF435" si="995">SUM(BB430:BE430)</f>
        <v>83.753670306703512</v>
      </c>
      <c r="BG430" s="734">
        <f t="shared" si="969"/>
        <v>21.008775524916377</v>
      </c>
      <c r="BH430" s="564">
        <f t="shared" si="969"/>
        <v>21.0582471808717</v>
      </c>
      <c r="BI430" s="564">
        <f t="shared" si="969"/>
        <v>21.314890481593206</v>
      </c>
      <c r="BJ430" s="1789">
        <f t="shared" si="969"/>
        <v>20.343130248308285</v>
      </c>
      <c r="BK430" s="736">
        <f t="shared" ref="BK430:BK435" si="996">SUM(BG430:BJ430)</f>
        <v>83.725043435689571</v>
      </c>
      <c r="BL430" s="564">
        <f t="shared" si="970"/>
        <v>21.218863280165539</v>
      </c>
      <c r="BM430" s="564">
        <f t="shared" si="970"/>
        <v>21.0582471808717</v>
      </c>
      <c r="BN430" s="564">
        <f t="shared" si="970"/>
        <v>21.101741576777275</v>
      </c>
      <c r="BO430" s="1789">
        <f t="shared" si="970"/>
        <v>19.732836340859034</v>
      </c>
      <c r="BP430" s="736">
        <f t="shared" ref="BP430:BP435" si="997">SUM(BL430:BO430)</f>
        <v>83.111688378673549</v>
      </c>
      <c r="BQ430" s="564">
        <f t="shared" si="971"/>
        <v>20.157920116157261</v>
      </c>
      <c r="BR430" s="564">
        <f t="shared" si="971"/>
        <v>20.005334821828114</v>
      </c>
      <c r="BS430" s="564">
        <f t="shared" si="971"/>
        <v>20.046654497938409</v>
      </c>
      <c r="BT430" s="1789">
        <f t="shared" si="971"/>
        <v>20.028828885971919</v>
      </c>
      <c r="BU430" s="3320">
        <f t="shared" ref="BU430:BU435" si="998">SUM(BQ430:BT430)</f>
        <v>80.238738321895696</v>
      </c>
      <c r="BV430" s="564">
        <f t="shared" si="972"/>
        <v>20.460288917899618</v>
      </c>
      <c r="BW430" s="564">
        <f t="shared" si="972"/>
        <v>20.305414844155536</v>
      </c>
      <c r="BX430" s="564">
        <f t="shared" si="972"/>
        <v>20.347354315407483</v>
      </c>
      <c r="BY430" s="564">
        <f t="shared" si="972"/>
        <v>20.329261319261494</v>
      </c>
      <c r="BZ430" s="3320">
        <f t="shared" ref="BZ430:BZ435" si="999">SUM(BV430:BY430)</f>
        <v>81.44231939672413</v>
      </c>
      <c r="CA430" s="736">
        <f t="shared" si="973"/>
        <v>82.256742590691374</v>
      </c>
      <c r="CB430" s="736">
        <f t="shared" si="973"/>
        <v>82.256742590691374</v>
      </c>
      <c r="CC430" s="736">
        <f t="shared" si="973"/>
        <v>78.143905461156805</v>
      </c>
      <c r="CD430" s="736">
        <f t="shared" si="973"/>
        <v>74.236710188098968</v>
      </c>
      <c r="CE430" s="736">
        <f t="shared" si="973"/>
        <v>75.721444391860942</v>
      </c>
      <c r="CF430" s="736">
        <f t="shared" si="973"/>
        <v>77.235873279698168</v>
      </c>
      <c r="CG430" s="736">
        <f t="shared" si="973"/>
        <v>78.78059074529213</v>
      </c>
      <c r="CH430" s="737"/>
      <c r="CI430" s="737"/>
      <c r="CJ430" s="737"/>
      <c r="CK430" s="737"/>
      <c r="CL430" s="737"/>
      <c r="CM430" s="965"/>
      <c r="CN430" s="965">
        <f t="shared" si="974"/>
        <v>81.44231939672413</v>
      </c>
      <c r="CO430" s="965">
        <f t="shared" si="975"/>
        <v>-81.44231939672413</v>
      </c>
      <c r="CP430" s="1790" t="str">
        <f t="shared" si="965"/>
        <v>Sam's Town Tunica (MS) - Estimated</v>
      </c>
      <c r="CQ430" s="564">
        <f t="shared" ref="CQ430:CQ447" si="1000">H430</f>
        <v>105.88805724000001</v>
      </c>
      <c r="CR430" s="564">
        <f t="shared" ref="CR430:CR447" si="1001">M430</f>
        <v>110.51890109</v>
      </c>
      <c r="CS430" s="564">
        <f t="shared" ref="CS430:CS447" si="1002">R430</f>
        <v>119.54473856000001</v>
      </c>
      <c r="CT430" s="564">
        <f t="shared" ref="CT430:CT447" si="1003">W430</f>
        <v>115.5758795</v>
      </c>
      <c r="CU430" s="564">
        <f t="shared" ref="CU430:CU447" si="1004">AB430</f>
        <v>106.91161994000001</v>
      </c>
      <c r="CV430" s="564">
        <f t="shared" ref="CV430:CV447" si="1005">AG430</f>
        <v>99.866592480000008</v>
      </c>
      <c r="CW430" s="564">
        <f t="shared" ref="CW430:CW447" si="1006">AL430</f>
        <v>94.385612456800217</v>
      </c>
      <c r="CX430" s="564">
        <f t="shared" si="976"/>
        <v>87.47159308522815</v>
      </c>
      <c r="CY430" s="564">
        <f t="shared" si="977"/>
        <v>91.707789765273304</v>
      </c>
      <c r="CZ430" s="564">
        <f t="shared" si="978"/>
        <v>88.476171570250528</v>
      </c>
      <c r="DA430" s="564">
        <f t="shared" si="979"/>
        <v>83.753670306703512</v>
      </c>
      <c r="DB430" s="564">
        <f t="shared" si="980"/>
        <v>83.725043435689571</v>
      </c>
      <c r="DC430" s="564">
        <f t="shared" si="981"/>
        <v>83.111688378673549</v>
      </c>
      <c r="DD430" s="564">
        <f t="shared" si="982"/>
        <v>80.238738321895696</v>
      </c>
      <c r="DE430" s="564">
        <f t="shared" si="983"/>
        <v>81.44231939672413</v>
      </c>
      <c r="DF430" s="564">
        <f t="shared" si="984"/>
        <v>82.256742590691374</v>
      </c>
      <c r="DG430" s="1789">
        <f t="shared" si="985"/>
        <v>82.256742590691374</v>
      </c>
      <c r="DH430" s="564"/>
      <c r="DI430" s="650"/>
      <c r="DJ430" s="650"/>
      <c r="DK430" s="650"/>
      <c r="DL430" s="650"/>
      <c r="DM430" s="650"/>
      <c r="DN430" s="651"/>
      <c r="DO430" s="320" t="s">
        <v>1100</v>
      </c>
      <c r="DY430" s="564"/>
      <c r="DZ430" s="564"/>
    </row>
    <row r="431" spans="1:130" ht="12" customHeight="1">
      <c r="A431" s="429" t="s">
        <v>873</v>
      </c>
      <c r="B431" s="675"/>
      <c r="C431" s="675"/>
      <c r="D431" s="446">
        <v>33.914999999999999</v>
      </c>
      <c r="E431" s="447">
        <v>32.475999999999999</v>
      </c>
      <c r="F431" s="447">
        <v>33.766000000000005</v>
      </c>
      <c r="G431" s="447">
        <v>31.893999999999998</v>
      </c>
      <c r="H431" s="736">
        <f t="shared" si="986"/>
        <v>132.05099999999999</v>
      </c>
      <c r="I431" s="447">
        <v>33.913000000000004</v>
      </c>
      <c r="J431" s="447">
        <v>32.766000000000005</v>
      </c>
      <c r="K431" s="447">
        <v>33.733999999999995</v>
      </c>
      <c r="L431" s="447">
        <v>32.308999999999997</v>
      </c>
      <c r="M431" s="736">
        <f t="shared" si="987"/>
        <v>132.72199999999998</v>
      </c>
      <c r="N431" s="447">
        <v>35.328000000000003</v>
      </c>
      <c r="O431" s="447">
        <v>32.372</v>
      </c>
      <c r="P431" s="447">
        <v>32.256</v>
      </c>
      <c r="Q431" s="447">
        <v>30.622999999999998</v>
      </c>
      <c r="R431" s="736">
        <f t="shared" si="988"/>
        <v>130.57900000000001</v>
      </c>
      <c r="S431" s="447">
        <v>32.514000000000003</v>
      </c>
      <c r="T431" s="447">
        <v>34.938000000000002</v>
      </c>
      <c r="U431" s="447">
        <v>34.278000000000006</v>
      </c>
      <c r="V431" s="447">
        <v>31.036000000000001</v>
      </c>
      <c r="W431" s="736">
        <f t="shared" si="989"/>
        <v>132.76600000000002</v>
      </c>
      <c r="X431" s="447">
        <v>30.305</v>
      </c>
      <c r="Y431" s="447">
        <v>29.515000000000001</v>
      </c>
      <c r="Z431" s="447">
        <v>29.797000000000004</v>
      </c>
      <c r="AA431" s="447">
        <v>27.143000000000001</v>
      </c>
      <c r="AB431" s="736">
        <f t="shared" si="990"/>
        <v>116.76</v>
      </c>
      <c r="AC431" s="447">
        <v>28.94</v>
      </c>
      <c r="AD431" s="447">
        <v>30.4</v>
      </c>
      <c r="AE431" s="447">
        <v>29.1</v>
      </c>
      <c r="AF431" s="447">
        <v>26.6</v>
      </c>
      <c r="AG431" s="736">
        <f t="shared" si="991"/>
        <v>115.03999999999999</v>
      </c>
      <c r="AH431" s="447">
        <v>29.488</v>
      </c>
      <c r="AI431" s="447">
        <v>29.3</v>
      </c>
      <c r="AJ431" s="447">
        <v>29.155999999999999</v>
      </c>
      <c r="AK431" s="447">
        <v>27.368000000000002</v>
      </c>
      <c r="AL431" s="736">
        <f t="shared" si="992"/>
        <v>115.31199999999998</v>
      </c>
      <c r="AM431" s="447">
        <v>29.33</v>
      </c>
      <c r="AN431" s="447">
        <v>29.566000000000003</v>
      </c>
      <c r="AO431" s="447">
        <v>29.509</v>
      </c>
      <c r="AP431" s="447">
        <v>27.073999999999998</v>
      </c>
      <c r="AQ431" s="736">
        <f t="shared" si="993"/>
        <v>115.479</v>
      </c>
      <c r="AR431" s="447">
        <v>30.023000000000003</v>
      </c>
      <c r="AS431" s="447">
        <v>29.531000000000002</v>
      </c>
      <c r="AT431" s="447">
        <v>29.282</v>
      </c>
      <c r="AU431" s="447">
        <v>27.507183999999999</v>
      </c>
      <c r="AV431" s="736">
        <f t="shared" si="966"/>
        <v>116.34318399999999</v>
      </c>
      <c r="AW431" s="447">
        <v>27.963186</v>
      </c>
      <c r="AX431" s="447">
        <v>27.320395000000001</v>
      </c>
      <c r="AY431" s="447">
        <v>27.722608000000001</v>
      </c>
      <c r="AZ431" s="447">
        <v>24.425797000000003</v>
      </c>
      <c r="BA431" s="736">
        <f t="shared" si="994"/>
        <v>107.43198600000001</v>
      </c>
      <c r="BB431" s="447">
        <v>23.940221000000001</v>
      </c>
      <c r="BC431" s="2739">
        <v>24.079622000000001</v>
      </c>
      <c r="BD431" s="2739">
        <v>23.662437000000001</v>
      </c>
      <c r="BE431" s="2739">
        <v>22.257713000000003</v>
      </c>
      <c r="BF431" s="736">
        <f t="shared" si="995"/>
        <v>93.939993000000015</v>
      </c>
      <c r="BG431" s="3126">
        <v>23.899724999999997</v>
      </c>
      <c r="BH431" s="3147">
        <v>23.305405999999998</v>
      </c>
      <c r="BI431" s="3147">
        <v>22.390464999999999</v>
      </c>
      <c r="BJ431" s="3147">
        <v>20.397407999999999</v>
      </c>
      <c r="BK431" s="736">
        <f t="shared" si="996"/>
        <v>89.993003999999999</v>
      </c>
      <c r="BL431" s="3147">
        <v>22.183458000000002</v>
      </c>
      <c r="BM431" s="3147">
        <v>20.961190999999999</v>
      </c>
      <c r="BN431" s="3147">
        <v>20.6</v>
      </c>
      <c r="BO431" s="3147">
        <v>18.703845000000001</v>
      </c>
      <c r="BP431" s="736">
        <f t="shared" si="997"/>
        <v>82.448494000000011</v>
      </c>
      <c r="BQ431" s="3931">
        <v>19.949541</v>
      </c>
      <c r="BR431" s="3931">
        <v>19.680392000000001</v>
      </c>
      <c r="BS431" s="3931">
        <v>20.394666000000001</v>
      </c>
      <c r="BT431" s="3931">
        <v>18.814981</v>
      </c>
      <c r="BU431" s="3320">
        <f t="shared" si="998"/>
        <v>78.839579999999998</v>
      </c>
      <c r="BV431" s="564">
        <f t="shared" si="972"/>
        <v>19.550550179999998</v>
      </c>
      <c r="BW431" s="564">
        <f t="shared" si="972"/>
        <v>19.483588080000001</v>
      </c>
      <c r="BX431" s="564">
        <f t="shared" si="972"/>
        <v>20.190719340000001</v>
      </c>
      <c r="BY431" s="564">
        <f t="shared" si="972"/>
        <v>18.626831190000001</v>
      </c>
      <c r="BZ431" s="3320">
        <f t="shared" si="999"/>
        <v>77.851688789999997</v>
      </c>
      <c r="CA431" s="736">
        <f t="shared" si="973"/>
        <v>77.0731719021</v>
      </c>
      <c r="CB431" s="736">
        <f t="shared" si="973"/>
        <v>77.0731719021</v>
      </c>
      <c r="CC431" s="736">
        <f t="shared" si="973"/>
        <v>73.219513306994997</v>
      </c>
      <c r="CD431" s="736">
        <f t="shared" si="973"/>
        <v>69.558537641645245</v>
      </c>
      <c r="CE431" s="736">
        <f t="shared" si="973"/>
        <v>70.949708394478151</v>
      </c>
      <c r="CF431" s="736">
        <f t="shared" si="973"/>
        <v>72.368702562367716</v>
      </c>
      <c r="CG431" s="736">
        <f t="shared" si="973"/>
        <v>73.816076613615067</v>
      </c>
      <c r="CH431" s="564"/>
      <c r="CI431" s="564"/>
      <c r="CJ431" s="564"/>
      <c r="CK431" s="564"/>
      <c r="CL431" s="564"/>
      <c r="CM431" s="965"/>
      <c r="CN431" s="965">
        <f t="shared" si="974"/>
        <v>77.851688789999997</v>
      </c>
      <c r="CO431" s="965">
        <f t="shared" si="975"/>
        <v>-77.851688789999997</v>
      </c>
      <c r="CP431" s="1790" t="str">
        <f t="shared" si="965"/>
        <v>Par-A-Dice (Peoria, IL)</v>
      </c>
      <c r="CQ431" s="564">
        <f t="shared" si="1000"/>
        <v>132.05099999999999</v>
      </c>
      <c r="CR431" s="564">
        <f t="shared" si="1001"/>
        <v>132.72199999999998</v>
      </c>
      <c r="CS431" s="564">
        <f t="shared" si="1002"/>
        <v>130.57900000000001</v>
      </c>
      <c r="CT431" s="564">
        <f t="shared" si="1003"/>
        <v>132.76600000000002</v>
      </c>
      <c r="CU431" s="564">
        <f t="shared" si="1004"/>
        <v>116.76</v>
      </c>
      <c r="CV431" s="564">
        <f t="shared" si="1005"/>
        <v>115.03999999999999</v>
      </c>
      <c r="CW431" s="564">
        <f t="shared" si="1006"/>
        <v>115.31199999999998</v>
      </c>
      <c r="CX431" s="564">
        <f t="shared" si="976"/>
        <v>115.479</v>
      </c>
      <c r="CY431" s="564">
        <f t="shared" si="977"/>
        <v>116.34318399999999</v>
      </c>
      <c r="CZ431" s="564">
        <f t="shared" si="978"/>
        <v>107.43198600000001</v>
      </c>
      <c r="DA431" s="564">
        <f t="shared" si="979"/>
        <v>93.939993000000015</v>
      </c>
      <c r="DB431" s="564">
        <f t="shared" si="980"/>
        <v>89.993003999999999</v>
      </c>
      <c r="DC431" s="564">
        <f t="shared" si="981"/>
        <v>82.448494000000011</v>
      </c>
      <c r="DD431" s="564">
        <f t="shared" si="982"/>
        <v>78.839579999999998</v>
      </c>
      <c r="DE431" s="564">
        <f t="shared" si="983"/>
        <v>77.851688789999997</v>
      </c>
      <c r="DF431" s="564">
        <f t="shared" si="984"/>
        <v>77.0731719021</v>
      </c>
      <c r="DG431" s="1789">
        <f t="shared" si="985"/>
        <v>77.0731719021</v>
      </c>
      <c r="DH431" s="564"/>
      <c r="DI431" s="650"/>
      <c r="DJ431" s="650"/>
      <c r="DK431" s="650"/>
      <c r="DL431" s="650"/>
      <c r="DM431" s="650"/>
      <c r="DN431" s="651"/>
      <c r="DO431" s="320" t="s">
        <v>1230</v>
      </c>
      <c r="DY431" s="564"/>
      <c r="DZ431" s="564"/>
    </row>
    <row r="432" spans="1:130" ht="12" customHeight="1">
      <c r="A432" s="3087" t="s">
        <v>632</v>
      </c>
      <c r="B432" s="675"/>
      <c r="C432" s="675"/>
      <c r="D432" s="446">
        <v>27.385999999999999</v>
      </c>
      <c r="E432" s="447">
        <v>27.803999999999998</v>
      </c>
      <c r="F432" s="447">
        <v>27.897469579999999</v>
      </c>
      <c r="G432" s="447">
        <v>27.072820419999999</v>
      </c>
      <c r="H432" s="736">
        <f t="shared" si="986"/>
        <v>110.16029</v>
      </c>
      <c r="I432" s="447">
        <v>29.308095620000003</v>
      </c>
      <c r="J432" s="447">
        <v>28.930445999999996</v>
      </c>
      <c r="K432" s="447">
        <v>18.066410999999999</v>
      </c>
      <c r="L432" s="447">
        <v>41.668453999999997</v>
      </c>
      <c r="M432" s="736">
        <f t="shared" si="987"/>
        <v>117.97340661999999</v>
      </c>
      <c r="N432" s="447">
        <v>45.390019000000002</v>
      </c>
      <c r="O432" s="447">
        <v>37.553963000000003</v>
      </c>
      <c r="P432" s="447">
        <v>33.052810999999998</v>
      </c>
      <c r="Q432" s="447">
        <v>28.775728999999998</v>
      </c>
      <c r="R432" s="736">
        <f t="shared" si="988"/>
        <v>144.77252199999998</v>
      </c>
      <c r="S432" s="447">
        <v>29.824144</v>
      </c>
      <c r="T432" s="447">
        <v>29.067242</v>
      </c>
      <c r="U432" s="447">
        <v>29.169512000000001</v>
      </c>
      <c r="V432" s="447">
        <v>28.026335</v>
      </c>
      <c r="W432" s="736">
        <f t="shared" si="989"/>
        <v>116.087233</v>
      </c>
      <c r="X432" s="447">
        <v>30.455272000000001</v>
      </c>
      <c r="Y432" s="447">
        <v>28.50589969</v>
      </c>
      <c r="Z432" s="447">
        <v>25.27806812</v>
      </c>
      <c r="AA432" s="447">
        <v>27.455343959999997</v>
      </c>
      <c r="AB432" s="736">
        <f t="shared" si="990"/>
        <v>111.69458376999999</v>
      </c>
      <c r="AC432" s="447">
        <v>27.892943520000003</v>
      </c>
      <c r="AD432" s="447">
        <v>25.9</v>
      </c>
      <c r="AE432" s="447">
        <v>25.8</v>
      </c>
      <c r="AF432" s="447">
        <v>22.9</v>
      </c>
      <c r="AG432" s="736">
        <f t="shared" si="991"/>
        <v>102.49294352000001</v>
      </c>
      <c r="AH432" s="447">
        <v>25.3</v>
      </c>
      <c r="AI432" s="447">
        <v>24.9</v>
      </c>
      <c r="AJ432" s="447">
        <v>26.647183350000002</v>
      </c>
      <c r="AK432" s="447">
        <v>25.970711040000001</v>
      </c>
      <c r="AL432" s="736">
        <f t="shared" si="992"/>
        <v>102.81789439000001</v>
      </c>
      <c r="AM432" s="447">
        <v>27.136040880000003</v>
      </c>
      <c r="AN432" s="447">
        <v>28.289331900000001</v>
      </c>
      <c r="AO432" s="447">
        <v>27.40054241</v>
      </c>
      <c r="AP432" s="447">
        <v>25.382259060000003</v>
      </c>
      <c r="AQ432" s="736">
        <f t="shared" si="993"/>
        <v>108.20817425000001</v>
      </c>
      <c r="AR432" s="447">
        <v>28.526371949999998</v>
      </c>
      <c r="AS432" s="447">
        <v>27.774500909999997</v>
      </c>
      <c r="AT432" s="447">
        <v>26.043157139999998</v>
      </c>
      <c r="AU432" s="447">
        <v>25.93</v>
      </c>
      <c r="AV432" s="736">
        <f t="shared" si="966"/>
        <v>108.27403000000001</v>
      </c>
      <c r="AW432" s="447">
        <v>26.677896490000002</v>
      </c>
      <c r="AX432" s="447">
        <v>27.071491640000001</v>
      </c>
      <c r="AY432" s="447">
        <v>24.859141180000002</v>
      </c>
      <c r="AZ432" s="447">
        <v>22.407</v>
      </c>
      <c r="BA432" s="736">
        <f t="shared" si="994"/>
        <v>101.01552930999999</v>
      </c>
      <c r="BB432" s="447">
        <v>25.196292870000001</v>
      </c>
      <c r="BC432" s="2739">
        <v>25.195750120000003</v>
      </c>
      <c r="BD432" s="2739">
        <v>23.874771799999998</v>
      </c>
      <c r="BE432" s="2739">
        <v>24.232991400000003</v>
      </c>
      <c r="BF432" s="736">
        <f t="shared" si="995"/>
        <v>98.499806190000015</v>
      </c>
      <c r="BG432" s="3126">
        <v>26.128076630000002</v>
      </c>
      <c r="BH432" s="3147">
        <v>27.255032670000002</v>
      </c>
      <c r="BI432" s="3147">
        <v>25.915358059999999</v>
      </c>
      <c r="BJ432" s="3147">
        <v>25.613036490000002</v>
      </c>
      <c r="BK432" s="736">
        <f t="shared" si="996"/>
        <v>104.91150385</v>
      </c>
      <c r="BL432" s="3147">
        <v>26.549259110000001</v>
      </c>
      <c r="BM432" s="3147">
        <v>27.569673399999999</v>
      </c>
      <c r="BN432" s="3147">
        <v>27.2</v>
      </c>
      <c r="BO432" s="3147">
        <v>25.338174500000001</v>
      </c>
      <c r="BP432" s="736">
        <f t="shared" si="997"/>
        <v>106.65710701</v>
      </c>
      <c r="BQ432" s="3931">
        <v>27.233300729999996</v>
      </c>
      <c r="BR432" s="3931">
        <v>28.013917469999999</v>
      </c>
      <c r="BS432" s="3931">
        <v>27.315345300000001</v>
      </c>
      <c r="BT432" s="3931">
        <v>25.45939766</v>
      </c>
      <c r="BU432" s="3320">
        <f t="shared" si="998"/>
        <v>108.02196115999999</v>
      </c>
      <c r="BV432" s="564">
        <f t="shared" si="972"/>
        <v>28.050299751899995</v>
      </c>
      <c r="BW432" s="564">
        <f t="shared" si="972"/>
        <v>28.8543349941</v>
      </c>
      <c r="BX432" s="564">
        <f t="shared" si="972"/>
        <v>27.861652206000002</v>
      </c>
      <c r="BY432" s="564">
        <f t="shared" si="972"/>
        <v>26.732367543000002</v>
      </c>
      <c r="BZ432" s="3320">
        <f t="shared" si="999"/>
        <v>111.49865449500001</v>
      </c>
      <c r="CA432" s="736">
        <f t="shared" si="973"/>
        <v>112.61364103995001</v>
      </c>
      <c r="CB432" s="736">
        <f t="shared" si="973"/>
        <v>112.61364103995001</v>
      </c>
      <c r="CC432" s="736">
        <f t="shared" si="973"/>
        <v>106.9829589879525</v>
      </c>
      <c r="CD432" s="736">
        <f t="shared" si="973"/>
        <v>101.63381103855487</v>
      </c>
      <c r="CE432" s="736">
        <f t="shared" si="973"/>
        <v>103.66648725932596</v>
      </c>
      <c r="CF432" s="736">
        <f t="shared" si="973"/>
        <v>105.73981700451249</v>
      </c>
      <c r="CG432" s="736">
        <f t="shared" si="973"/>
        <v>107.85461334460274</v>
      </c>
      <c r="CH432" s="564"/>
      <c r="CI432" s="564"/>
      <c r="CJ432" s="564"/>
      <c r="CK432" s="564"/>
      <c r="CL432" s="564"/>
      <c r="CM432" s="965"/>
      <c r="CN432" s="965">
        <f t="shared" si="974"/>
        <v>111.49865449500001</v>
      </c>
      <c r="CO432" s="965">
        <f t="shared" si="975"/>
        <v>-111.49865449500001</v>
      </c>
      <c r="CP432" s="1790" t="str">
        <f t="shared" si="965"/>
        <v>Treasure Chest (New Orleans, LA)</v>
      </c>
      <c r="CQ432" s="564">
        <f t="shared" si="1000"/>
        <v>110.16029</v>
      </c>
      <c r="CR432" s="564">
        <f t="shared" si="1001"/>
        <v>117.97340661999999</v>
      </c>
      <c r="CS432" s="564">
        <f t="shared" si="1002"/>
        <v>144.77252199999998</v>
      </c>
      <c r="CT432" s="564">
        <f t="shared" si="1003"/>
        <v>116.087233</v>
      </c>
      <c r="CU432" s="564">
        <f t="shared" si="1004"/>
        <v>111.69458376999999</v>
      </c>
      <c r="CV432" s="564">
        <f t="shared" si="1005"/>
        <v>102.49294352000001</v>
      </c>
      <c r="CW432" s="564">
        <f t="shared" si="1006"/>
        <v>102.81789439000001</v>
      </c>
      <c r="CX432" s="564">
        <f t="shared" si="976"/>
        <v>108.20817425000001</v>
      </c>
      <c r="CY432" s="564">
        <f t="shared" si="977"/>
        <v>108.27403000000001</v>
      </c>
      <c r="CZ432" s="564">
        <f t="shared" si="978"/>
        <v>101.01552930999999</v>
      </c>
      <c r="DA432" s="564">
        <f t="shared" si="979"/>
        <v>98.499806190000015</v>
      </c>
      <c r="DB432" s="564">
        <f t="shared" si="980"/>
        <v>104.91150385</v>
      </c>
      <c r="DC432" s="564">
        <f t="shared" si="981"/>
        <v>106.65710701</v>
      </c>
      <c r="DD432" s="564">
        <f t="shared" si="982"/>
        <v>108.02196115999999</v>
      </c>
      <c r="DE432" s="564">
        <f t="shared" si="983"/>
        <v>111.49865449500001</v>
      </c>
      <c r="DF432" s="564">
        <f t="shared" si="984"/>
        <v>112.61364103995001</v>
      </c>
      <c r="DG432" s="1789">
        <f t="shared" si="985"/>
        <v>112.61364103995001</v>
      </c>
      <c r="DH432" s="564"/>
      <c r="DI432" s="650"/>
      <c r="DJ432" s="650"/>
      <c r="DK432" s="650"/>
      <c r="DL432" s="650"/>
      <c r="DM432" s="650"/>
      <c r="DN432" s="651"/>
      <c r="DO432" s="320" t="s">
        <v>398</v>
      </c>
      <c r="DY432" s="564"/>
      <c r="DZ432" s="564"/>
    </row>
    <row r="433" spans="1:130" ht="12" customHeight="1">
      <c r="A433" s="429" t="s">
        <v>917</v>
      </c>
      <c r="B433" s="675"/>
      <c r="C433" s="675"/>
      <c r="D433" s="446">
        <v>54.816000000000003</v>
      </c>
      <c r="E433" s="447">
        <v>57.973999999999997</v>
      </c>
      <c r="F433" s="447">
        <v>62.498474999999999</v>
      </c>
      <c r="G433" s="447">
        <v>56.845999999999997</v>
      </c>
      <c r="H433" s="736">
        <f t="shared" si="986"/>
        <v>232.13447500000001</v>
      </c>
      <c r="I433" s="447">
        <v>57.705307000000005</v>
      </c>
      <c r="J433" s="447">
        <v>59.143371000000002</v>
      </c>
      <c r="K433" s="447">
        <v>62.426977999999998</v>
      </c>
      <c r="L433" s="447">
        <v>56.035558000000009</v>
      </c>
      <c r="M433" s="736">
        <f t="shared" si="987"/>
        <v>235.31121400000001</v>
      </c>
      <c r="N433" s="447">
        <v>73.473472000000001</v>
      </c>
      <c r="O433" s="447">
        <v>72.301164999999997</v>
      </c>
      <c r="P433" s="447">
        <v>73.716367000000005</v>
      </c>
      <c r="Q433" s="447">
        <v>69.689437999999996</v>
      </c>
      <c r="R433" s="736">
        <f t="shared" si="988"/>
        <v>289.18044199999997</v>
      </c>
      <c r="S433" s="447">
        <v>69.401630999999995</v>
      </c>
      <c r="T433" s="447">
        <v>73.367698000000004</v>
      </c>
      <c r="U433" s="447">
        <v>66.433080999999987</v>
      </c>
      <c r="V433" s="447">
        <v>47.450358000000001</v>
      </c>
      <c r="W433" s="736">
        <f t="shared" si="989"/>
        <v>256.65276799999998</v>
      </c>
      <c r="X433" s="447">
        <v>46.793619999999997</v>
      </c>
      <c r="Y433" s="447">
        <v>48.062973</v>
      </c>
      <c r="Z433" s="447">
        <v>46.975391000000002</v>
      </c>
      <c r="AA433" s="447">
        <v>40.110660000000003</v>
      </c>
      <c r="AB433" s="736">
        <f t="shared" si="990"/>
        <v>181.942644</v>
      </c>
      <c r="AC433" s="447">
        <v>48.477908999999997</v>
      </c>
      <c r="AD433" s="447">
        <v>50.6</v>
      </c>
      <c r="AE433" s="447">
        <v>46.5</v>
      </c>
      <c r="AF433" s="447">
        <v>42.1</v>
      </c>
      <c r="AG433" s="736">
        <f t="shared" si="991"/>
        <v>187.677909</v>
      </c>
      <c r="AH433" s="447">
        <v>43.1</v>
      </c>
      <c r="AI433" s="447">
        <v>45.4</v>
      </c>
      <c r="AJ433" s="447">
        <v>48.034393000000001</v>
      </c>
      <c r="AK433" s="447">
        <v>41.515867</v>
      </c>
      <c r="AL433" s="736">
        <f t="shared" si="992"/>
        <v>178.05025999999998</v>
      </c>
      <c r="AM433" s="447">
        <v>41.370007999999999</v>
      </c>
      <c r="AN433" s="447">
        <v>43.953480999999996</v>
      </c>
      <c r="AO433" s="447">
        <v>45.255792999999997</v>
      </c>
      <c r="AP433" s="447">
        <v>42.215907000000001</v>
      </c>
      <c r="AQ433" s="736">
        <f t="shared" si="993"/>
        <v>172.79518899999999</v>
      </c>
      <c r="AR433" s="447">
        <v>43.499965000000003</v>
      </c>
      <c r="AS433" s="447">
        <v>44.150787999999999</v>
      </c>
      <c r="AT433" s="447">
        <v>45.942748999999999</v>
      </c>
      <c r="AU433" s="447">
        <v>41.409345999999999</v>
      </c>
      <c r="AV433" s="736">
        <f t="shared" si="966"/>
        <v>175.002848</v>
      </c>
      <c r="AW433" s="447">
        <v>39.872250000000001</v>
      </c>
      <c r="AX433" s="447">
        <v>41.413056000000005</v>
      </c>
      <c r="AY433" s="447">
        <v>40.667186000000001</v>
      </c>
      <c r="AZ433" s="447">
        <v>37.757172999999995</v>
      </c>
      <c r="BA433" s="736">
        <f t="shared" si="994"/>
        <v>159.709665</v>
      </c>
      <c r="BB433" s="447">
        <v>36.214482000000004</v>
      </c>
      <c r="BC433" s="2739">
        <v>40.035719999999998</v>
      </c>
      <c r="BD433" s="2739">
        <v>40.855370999999998</v>
      </c>
      <c r="BE433" s="2739">
        <v>38.884070000000001</v>
      </c>
      <c r="BF433" s="736">
        <f t="shared" si="995"/>
        <v>155.989643</v>
      </c>
      <c r="BG433" s="3126">
        <v>37.609932000000001</v>
      </c>
      <c r="BH433" s="3147">
        <v>40.151024</v>
      </c>
      <c r="BI433" s="3147">
        <v>41.628427000000002</v>
      </c>
      <c r="BJ433" s="3147">
        <v>40.208072999999999</v>
      </c>
      <c r="BK433" s="736">
        <f t="shared" si="996"/>
        <v>159.59745599999999</v>
      </c>
      <c r="BL433" s="3147">
        <v>40.122971</v>
      </c>
      <c r="BM433" s="3147">
        <v>40.098022</v>
      </c>
      <c r="BN433" s="3147">
        <v>41.5</v>
      </c>
      <c r="BO433" s="3147">
        <v>37.832386999999997</v>
      </c>
      <c r="BP433" s="736">
        <f t="shared" si="997"/>
        <v>159.55338</v>
      </c>
      <c r="BQ433" s="3931">
        <v>40.027408999999999</v>
      </c>
      <c r="BR433" s="3931">
        <v>40.156139000000003</v>
      </c>
      <c r="BS433" s="3931">
        <v>40.877817</v>
      </c>
      <c r="BT433" s="3931">
        <v>37.321172000000004</v>
      </c>
      <c r="BU433" s="3320">
        <f t="shared" si="998"/>
        <v>158.38253700000001</v>
      </c>
      <c r="BV433" s="564">
        <f t="shared" si="972"/>
        <v>35.624394009999996</v>
      </c>
      <c r="BW433" s="564">
        <f t="shared" si="972"/>
        <v>35.136621625000004</v>
      </c>
      <c r="BX433" s="564">
        <f t="shared" si="972"/>
        <v>35.768089875000001</v>
      </c>
      <c r="BY433" s="564">
        <f t="shared" si="972"/>
        <v>32.656025500000005</v>
      </c>
      <c r="BZ433" s="3320">
        <f t="shared" si="999"/>
        <v>139.18513101000002</v>
      </c>
      <c r="CA433" s="736">
        <f t="shared" si="973"/>
        <v>136.40142838980003</v>
      </c>
      <c r="CB433" s="736">
        <f t="shared" si="973"/>
        <v>136.40142838980003</v>
      </c>
      <c r="CC433" s="736">
        <f t="shared" si="973"/>
        <v>129.58135697031003</v>
      </c>
      <c r="CD433" s="736">
        <f t="shared" si="973"/>
        <v>123.10228912179451</v>
      </c>
      <c r="CE433" s="736">
        <f t="shared" si="973"/>
        <v>125.56433490423041</v>
      </c>
      <c r="CF433" s="736">
        <f t="shared" si="973"/>
        <v>128.07562160231501</v>
      </c>
      <c r="CG433" s="736">
        <f t="shared" si="973"/>
        <v>130.63713403436131</v>
      </c>
      <c r="CH433" s="564"/>
      <c r="CI433" s="564"/>
      <c r="CJ433" s="564"/>
      <c r="CK433" s="564"/>
      <c r="CL433" s="564"/>
      <c r="CM433" s="965"/>
      <c r="CN433" s="965">
        <f t="shared" si="974"/>
        <v>139.18513101000002</v>
      </c>
      <c r="CO433" s="965">
        <f t="shared" si="975"/>
        <v>-139.18513101000002</v>
      </c>
      <c r="CP433" s="1790" t="str">
        <f t="shared" si="965"/>
        <v>Blue Chip (Chicago, IL - IN)</v>
      </c>
      <c r="CQ433" s="564">
        <f t="shared" si="1000"/>
        <v>232.13447500000001</v>
      </c>
      <c r="CR433" s="564">
        <f t="shared" si="1001"/>
        <v>235.31121400000001</v>
      </c>
      <c r="CS433" s="564">
        <f t="shared" si="1002"/>
        <v>289.18044199999997</v>
      </c>
      <c r="CT433" s="564">
        <f t="shared" si="1003"/>
        <v>256.65276799999998</v>
      </c>
      <c r="CU433" s="564">
        <f t="shared" si="1004"/>
        <v>181.942644</v>
      </c>
      <c r="CV433" s="564">
        <f t="shared" si="1005"/>
        <v>187.677909</v>
      </c>
      <c r="CW433" s="564">
        <f t="shared" si="1006"/>
        <v>178.05025999999998</v>
      </c>
      <c r="CX433" s="564">
        <f t="shared" si="976"/>
        <v>172.79518899999999</v>
      </c>
      <c r="CY433" s="564">
        <f t="shared" si="977"/>
        <v>175.002848</v>
      </c>
      <c r="CZ433" s="564">
        <f t="shared" si="978"/>
        <v>159.709665</v>
      </c>
      <c r="DA433" s="564">
        <f t="shared" si="979"/>
        <v>155.989643</v>
      </c>
      <c r="DB433" s="564">
        <f t="shared" si="980"/>
        <v>159.59745599999999</v>
      </c>
      <c r="DC433" s="564">
        <f t="shared" si="981"/>
        <v>159.55338</v>
      </c>
      <c r="DD433" s="564">
        <f t="shared" si="982"/>
        <v>158.38253700000001</v>
      </c>
      <c r="DE433" s="564">
        <f t="shared" si="983"/>
        <v>139.18513101000002</v>
      </c>
      <c r="DF433" s="564">
        <f t="shared" si="984"/>
        <v>136.40142838980003</v>
      </c>
      <c r="DG433" s="1789">
        <f t="shared" si="985"/>
        <v>136.40142838980003</v>
      </c>
      <c r="DH433" s="564"/>
      <c r="DI433" s="650"/>
      <c r="DJ433" s="650"/>
      <c r="DK433" s="650"/>
      <c r="DL433" s="650"/>
      <c r="DM433" s="650"/>
      <c r="DN433" s="651"/>
      <c r="DO433" s="320" t="s">
        <v>399</v>
      </c>
      <c r="DY433" s="564"/>
      <c r="DZ433" s="564"/>
    </row>
    <row r="434" spans="1:130" ht="12" customHeight="1">
      <c r="A434" s="429" t="s">
        <v>775</v>
      </c>
      <c r="B434" s="675"/>
      <c r="C434" s="675"/>
      <c r="D434" s="446">
        <v>37.420999999999999</v>
      </c>
      <c r="E434" s="447">
        <v>32.869999999999997</v>
      </c>
      <c r="F434" s="447">
        <v>31.446240630000002</v>
      </c>
      <c r="G434" s="447">
        <v>30.981612559999995</v>
      </c>
      <c r="H434" s="736">
        <f t="shared" si="986"/>
        <v>132.71885319</v>
      </c>
      <c r="I434" s="447">
        <v>36.247037169999999</v>
      </c>
      <c r="J434" s="447">
        <v>39.68890373</v>
      </c>
      <c r="K434" s="447">
        <v>32.010376000000001</v>
      </c>
      <c r="L434" s="447">
        <v>22.137934000000001</v>
      </c>
      <c r="M434" s="736">
        <f t="shared" si="987"/>
        <v>130.0842509</v>
      </c>
      <c r="N434" s="447">
        <v>44.663722999999997</v>
      </c>
      <c r="O434" s="447">
        <v>43.016658999999997</v>
      </c>
      <c r="P434" s="447">
        <v>42.212479000000002</v>
      </c>
      <c r="Q434" s="447">
        <v>38.126406000000003</v>
      </c>
      <c r="R434" s="736">
        <f t="shared" si="988"/>
        <v>168.01926699999999</v>
      </c>
      <c r="S434" s="447">
        <v>41.040953999999999</v>
      </c>
      <c r="T434" s="447">
        <v>40.171269000000002</v>
      </c>
      <c r="U434" s="447">
        <v>41.308738000000005</v>
      </c>
      <c r="V434" s="447">
        <v>40.107286000000002</v>
      </c>
      <c r="W434" s="736">
        <f t="shared" si="989"/>
        <v>162.62824699999999</v>
      </c>
      <c r="X434" s="447">
        <v>43.345816999999997</v>
      </c>
      <c r="Y434" s="447">
        <v>42.140731900000006</v>
      </c>
      <c r="Z434" s="447">
        <v>37.195450700000002</v>
      </c>
      <c r="AA434" s="447">
        <v>46.476631310000002</v>
      </c>
      <c r="AB434" s="736">
        <f t="shared" si="990"/>
        <v>169.15863091</v>
      </c>
      <c r="AC434" s="447">
        <v>48.556330959999997</v>
      </c>
      <c r="AD434" s="447">
        <v>47.2</v>
      </c>
      <c r="AE434" s="447">
        <v>44.8</v>
      </c>
      <c r="AF434" s="447">
        <v>39.5</v>
      </c>
      <c r="AG434" s="736">
        <f t="shared" si="991"/>
        <v>180.05633096</v>
      </c>
      <c r="AH434" s="447">
        <v>44</v>
      </c>
      <c r="AI434" s="447">
        <v>43.3</v>
      </c>
      <c r="AJ434" s="447">
        <v>43.399548109999998</v>
      </c>
      <c r="AK434" s="447">
        <v>39.992963070000002</v>
      </c>
      <c r="AL434" s="736">
        <f t="shared" si="992"/>
        <v>170.69251118</v>
      </c>
      <c r="AM434" s="447">
        <v>43.674731080000001</v>
      </c>
      <c r="AN434" s="447">
        <v>45.284692470000003</v>
      </c>
      <c r="AO434" s="447">
        <v>46.427865499999996</v>
      </c>
      <c r="AP434" s="447">
        <v>42.178654680000001</v>
      </c>
      <c r="AQ434" s="736">
        <f t="shared" si="993"/>
        <v>177.56594372999999</v>
      </c>
      <c r="AR434" s="447">
        <v>45.639952470000004</v>
      </c>
      <c r="AS434" s="447">
        <v>47.563537089999997</v>
      </c>
      <c r="AT434" s="447">
        <v>46.587450459999999</v>
      </c>
      <c r="AU434" s="447">
        <v>43.974781659999998</v>
      </c>
      <c r="AV434" s="736">
        <f t="shared" si="966"/>
        <v>183.76572167999998</v>
      </c>
      <c r="AW434" s="447">
        <v>50.041197740000001</v>
      </c>
      <c r="AX434" s="447">
        <v>48.024290110000003</v>
      </c>
      <c r="AY434" s="447">
        <v>47.555656240000005</v>
      </c>
      <c r="AZ434" s="447">
        <v>43.808726920000005</v>
      </c>
      <c r="BA434" s="736">
        <f t="shared" si="994"/>
        <v>189.42987101000003</v>
      </c>
      <c r="BB434" s="447">
        <v>48.796850320000004</v>
      </c>
      <c r="BC434" s="2739">
        <v>48.069354099999998</v>
      </c>
      <c r="BD434" s="2739">
        <v>48.837237160000001</v>
      </c>
      <c r="BE434" s="2739">
        <v>45.220256970000001</v>
      </c>
      <c r="BF434" s="736">
        <f t="shared" si="995"/>
        <v>190.92369855000001</v>
      </c>
      <c r="BG434" s="3126">
        <v>48.624113399999999</v>
      </c>
      <c r="BH434" s="3147">
        <v>47.692614740000003</v>
      </c>
      <c r="BI434" s="3147">
        <v>46.573450049999998</v>
      </c>
      <c r="BJ434" s="3147">
        <v>42.942894039999999</v>
      </c>
      <c r="BK434" s="736">
        <f t="shared" si="996"/>
        <v>185.83307223</v>
      </c>
      <c r="BL434" s="3147">
        <v>44.818318589999997</v>
      </c>
      <c r="BM434" s="3147">
        <v>45.134694159999995</v>
      </c>
      <c r="BN434" s="3147">
        <v>43.7</v>
      </c>
      <c r="BO434" s="3147">
        <v>42.087092200000001</v>
      </c>
      <c r="BP434" s="736">
        <f t="shared" si="997"/>
        <v>175.74010495000002</v>
      </c>
      <c r="BQ434" s="3931">
        <v>46.546853560000002</v>
      </c>
      <c r="BR434" s="3931">
        <v>44.519507859999997</v>
      </c>
      <c r="BS434" s="3931">
        <v>41.64441309</v>
      </c>
      <c r="BT434" s="3931">
        <v>46.023463789999994</v>
      </c>
      <c r="BU434" s="3320">
        <f t="shared" si="998"/>
        <v>178.73423829999999</v>
      </c>
      <c r="BV434" s="564">
        <f t="shared" si="972"/>
        <v>45.615916488800003</v>
      </c>
      <c r="BW434" s="564">
        <f t="shared" si="972"/>
        <v>43.629117702799995</v>
      </c>
      <c r="BX434" s="564">
        <f t="shared" si="972"/>
        <v>42.893745482699998</v>
      </c>
      <c r="BY434" s="564">
        <f t="shared" si="972"/>
        <v>46.483698427899995</v>
      </c>
      <c r="BZ434" s="3320">
        <f t="shared" si="999"/>
        <v>178.62247810219998</v>
      </c>
      <c r="CA434" s="736">
        <f t="shared" si="973"/>
        <v>180.40870288322199</v>
      </c>
      <c r="CB434" s="736">
        <f t="shared" si="973"/>
        <v>180.40870288322199</v>
      </c>
      <c r="CC434" s="736">
        <f t="shared" si="973"/>
        <v>171.38826773906089</v>
      </c>
      <c r="CD434" s="736">
        <f t="shared" si="973"/>
        <v>162.81885435210785</v>
      </c>
      <c r="CE434" s="736">
        <f t="shared" si="973"/>
        <v>166.07523143915</v>
      </c>
      <c r="CF434" s="736">
        <f t="shared" si="973"/>
        <v>169.39673606793301</v>
      </c>
      <c r="CG434" s="736">
        <f t="shared" si="973"/>
        <v>172.78467078929168</v>
      </c>
      <c r="CH434" s="564"/>
      <c r="CI434" s="564"/>
      <c r="CJ434" s="564"/>
      <c r="CK434" s="564"/>
      <c r="CL434" s="564"/>
      <c r="CM434" s="965"/>
      <c r="CN434" s="965">
        <f t="shared" si="974"/>
        <v>178.62247810219998</v>
      </c>
      <c r="CO434" s="965">
        <f t="shared" si="975"/>
        <v>-178.62247810219998</v>
      </c>
      <c r="CP434" s="1790" t="str">
        <f t="shared" si="965"/>
        <v>Delta Downs (Lake Charles, LA)</v>
      </c>
      <c r="CQ434" s="564">
        <f t="shared" si="1000"/>
        <v>132.71885319</v>
      </c>
      <c r="CR434" s="564">
        <f t="shared" si="1001"/>
        <v>130.0842509</v>
      </c>
      <c r="CS434" s="564">
        <f t="shared" si="1002"/>
        <v>168.01926699999999</v>
      </c>
      <c r="CT434" s="564">
        <f t="shared" si="1003"/>
        <v>162.62824699999999</v>
      </c>
      <c r="CU434" s="564">
        <f t="shared" si="1004"/>
        <v>169.15863091</v>
      </c>
      <c r="CV434" s="564">
        <f t="shared" si="1005"/>
        <v>180.05633096</v>
      </c>
      <c r="CW434" s="564">
        <f t="shared" si="1006"/>
        <v>170.69251118</v>
      </c>
      <c r="CX434" s="564">
        <f t="shared" si="976"/>
        <v>177.56594372999999</v>
      </c>
      <c r="CY434" s="564">
        <f t="shared" si="977"/>
        <v>183.76572167999998</v>
      </c>
      <c r="CZ434" s="564">
        <f t="shared" si="978"/>
        <v>189.42987101000003</v>
      </c>
      <c r="DA434" s="564">
        <f t="shared" si="979"/>
        <v>190.92369855000001</v>
      </c>
      <c r="DB434" s="564">
        <f t="shared" si="980"/>
        <v>185.83307223</v>
      </c>
      <c r="DC434" s="564">
        <f t="shared" si="981"/>
        <v>175.74010495000002</v>
      </c>
      <c r="DD434" s="564">
        <f t="shared" si="982"/>
        <v>178.73423829999999</v>
      </c>
      <c r="DE434" s="564">
        <f t="shared" si="983"/>
        <v>178.62247810219998</v>
      </c>
      <c r="DF434" s="564">
        <f t="shared" si="984"/>
        <v>180.40870288322199</v>
      </c>
      <c r="DG434" s="1789">
        <f t="shared" si="985"/>
        <v>180.40870288322199</v>
      </c>
      <c r="DH434" s="564"/>
      <c r="DI434" s="650"/>
      <c r="DJ434" s="650"/>
      <c r="DK434" s="650"/>
      <c r="DL434" s="650"/>
      <c r="DM434" s="650"/>
      <c r="DN434" s="651"/>
      <c r="DO434" s="320" t="s">
        <v>400</v>
      </c>
      <c r="DY434" s="564"/>
      <c r="DZ434" s="564"/>
    </row>
    <row r="435" spans="1:130" ht="12" customHeight="1">
      <c r="A435" s="875" t="s">
        <v>1302</v>
      </c>
      <c r="B435" s="530"/>
      <c r="C435" s="530"/>
      <c r="D435" s="1697">
        <v>0</v>
      </c>
      <c r="E435" s="1698">
        <v>17.100999999999999</v>
      </c>
      <c r="F435" s="1698">
        <v>37.933573889999998</v>
      </c>
      <c r="G435" s="1698">
        <v>35.003834409999996</v>
      </c>
      <c r="H435" s="307">
        <f t="shared" si="986"/>
        <v>90.038408299999986</v>
      </c>
      <c r="I435" s="1698">
        <v>37.258998800000001</v>
      </c>
      <c r="J435" s="1698">
        <v>33.669291000000001</v>
      </c>
      <c r="K435" s="1698">
        <v>33.871703999999994</v>
      </c>
      <c r="L435" s="1698">
        <v>33.062744000000002</v>
      </c>
      <c r="M435" s="307">
        <f t="shared" si="987"/>
        <v>137.86273779999999</v>
      </c>
      <c r="N435" s="308">
        <v>34.105418</v>
      </c>
      <c r="O435" s="308">
        <v>30.823723000000001</v>
      </c>
      <c r="P435" s="308">
        <v>32.585189</v>
      </c>
      <c r="Q435" s="308">
        <v>30.966056999999999</v>
      </c>
      <c r="R435" s="307">
        <f t="shared" si="988"/>
        <v>128.48038700000001</v>
      </c>
      <c r="S435" s="308">
        <v>33.869742000000002</v>
      </c>
      <c r="T435" s="308">
        <v>31.574054000000004</v>
      </c>
      <c r="U435" s="308">
        <v>33.372370000000004</v>
      </c>
      <c r="V435" s="308">
        <v>31.150075999999999</v>
      </c>
      <c r="W435" s="307">
        <f t="shared" si="989"/>
        <v>129.96624200000002</v>
      </c>
      <c r="X435" s="1698">
        <v>32.589187000000003</v>
      </c>
      <c r="Y435" s="1698">
        <v>32.652798959999998</v>
      </c>
      <c r="Z435" s="1698">
        <v>31.764060369999999</v>
      </c>
      <c r="AA435" s="1698">
        <v>31.020967820000003</v>
      </c>
      <c r="AB435" s="307">
        <f t="shared" si="990"/>
        <v>128.02701414999999</v>
      </c>
      <c r="AC435" s="1698">
        <v>33.769019230000005</v>
      </c>
      <c r="AD435" s="1698">
        <v>31.6</v>
      </c>
      <c r="AE435" s="1698">
        <v>31.3</v>
      </c>
      <c r="AF435" s="1698">
        <v>29.2</v>
      </c>
      <c r="AG435" s="307">
        <f t="shared" si="991"/>
        <v>125.86901923000001</v>
      </c>
      <c r="AH435" s="1698">
        <v>31.5</v>
      </c>
      <c r="AI435" s="1698">
        <v>30.3</v>
      </c>
      <c r="AJ435" s="1698">
        <v>32.470272539999996</v>
      </c>
      <c r="AK435" s="1698">
        <v>29.123105530000004</v>
      </c>
      <c r="AL435" s="307">
        <f t="shared" si="992"/>
        <v>123.39337807</v>
      </c>
      <c r="AM435" s="1698">
        <v>29.805414740000003</v>
      </c>
      <c r="AN435" s="1698">
        <v>28.801183290000001</v>
      </c>
      <c r="AO435" s="1698">
        <v>29.496703419999996</v>
      </c>
      <c r="AP435" s="1698">
        <v>27.09824717</v>
      </c>
      <c r="AQ435" s="307">
        <f t="shared" si="993"/>
        <v>115.20154862000001</v>
      </c>
      <c r="AR435" s="1698">
        <v>30.861009670000001</v>
      </c>
      <c r="AS435" s="1698">
        <v>27.232349910000003</v>
      </c>
      <c r="AT435" s="1698">
        <v>27.919491370000003</v>
      </c>
      <c r="AU435" s="1698">
        <v>25.268442040000004</v>
      </c>
      <c r="AV435" s="307">
        <f t="shared" si="966"/>
        <v>111.28129299</v>
      </c>
      <c r="AW435" s="1698">
        <v>28.02013839</v>
      </c>
      <c r="AX435" s="1698">
        <v>25.305114619999998</v>
      </c>
      <c r="AY435" s="1698">
        <v>22.82261282</v>
      </c>
      <c r="AZ435" s="447">
        <v>22.536999999999999</v>
      </c>
      <c r="BA435" s="307">
        <f t="shared" si="994"/>
        <v>98.684865830000007</v>
      </c>
      <c r="BB435" s="1698">
        <v>25.15329118</v>
      </c>
      <c r="BC435" s="2739">
        <v>21.967114859999999</v>
      </c>
      <c r="BD435" s="2739">
        <v>23.311717760000001</v>
      </c>
      <c r="BE435" s="2739">
        <v>22.07923138</v>
      </c>
      <c r="BF435" s="307">
        <f t="shared" si="995"/>
        <v>92.511355179999995</v>
      </c>
      <c r="BG435" s="3129">
        <v>22.92652039</v>
      </c>
      <c r="BH435" s="3147">
        <v>21.227804630000001</v>
      </c>
      <c r="BI435" s="3147">
        <v>21.097340760000002</v>
      </c>
      <c r="BJ435" s="3147">
        <v>19.693797940000003</v>
      </c>
      <c r="BK435" s="307">
        <f t="shared" si="996"/>
        <v>84.945463719999992</v>
      </c>
      <c r="BL435" s="3147">
        <v>21.022513970000002</v>
      </c>
      <c r="BM435" s="3147">
        <v>19.870245619999999</v>
      </c>
      <c r="BN435" s="3147">
        <v>19.3</v>
      </c>
      <c r="BO435" s="3147">
        <v>18.090935790000003</v>
      </c>
      <c r="BP435" s="307">
        <f t="shared" si="997"/>
        <v>78.283695379999997</v>
      </c>
      <c r="BQ435" s="3932">
        <v>19.910138709999998</v>
      </c>
      <c r="BR435" s="3932">
        <v>19.459831739999998</v>
      </c>
      <c r="BS435" s="3932">
        <v>19.304785280000001</v>
      </c>
      <c r="BT435" s="3932">
        <v>17.667794600000001</v>
      </c>
      <c r="BU435" s="3399">
        <f t="shared" si="998"/>
        <v>76.342550329999995</v>
      </c>
      <c r="BV435" s="308">
        <f t="shared" si="972"/>
        <v>19.113733161599999</v>
      </c>
      <c r="BW435" s="308">
        <f t="shared" si="972"/>
        <v>19.265233422599998</v>
      </c>
      <c r="BX435" s="308">
        <f t="shared" si="972"/>
        <v>19.111737427200001</v>
      </c>
      <c r="BY435" s="308">
        <f t="shared" si="972"/>
        <v>17.491116653999999</v>
      </c>
      <c r="BZ435" s="3399">
        <f t="shared" si="999"/>
        <v>74.981820665399994</v>
      </c>
      <c r="CA435" s="307">
        <f t="shared" si="973"/>
        <v>75.731638872053992</v>
      </c>
      <c r="CB435" s="307">
        <f t="shared" si="973"/>
        <v>75.731638872053992</v>
      </c>
      <c r="CC435" s="307">
        <f t="shared" si="973"/>
        <v>71.945056928451294</v>
      </c>
      <c r="CD435" s="307">
        <f t="shared" si="973"/>
        <v>68.34780408202873</v>
      </c>
      <c r="CE435" s="307">
        <f t="shared" si="973"/>
        <v>69.714760163669311</v>
      </c>
      <c r="CF435" s="307">
        <f t="shared" si="973"/>
        <v>71.109055366942698</v>
      </c>
      <c r="CG435" s="307">
        <f t="shared" si="973"/>
        <v>72.531236474281556</v>
      </c>
      <c r="CH435" s="740"/>
      <c r="CI435" s="740"/>
      <c r="CJ435" s="740"/>
      <c r="CK435" s="740"/>
      <c r="CL435" s="740"/>
      <c r="CM435" s="965"/>
      <c r="CN435" s="965">
        <f t="shared" si="974"/>
        <v>74.981820665399994</v>
      </c>
      <c r="CO435" s="965">
        <f t="shared" si="975"/>
        <v>-74.981820665399994</v>
      </c>
      <c r="CP435" s="993" t="str">
        <f t="shared" si="965"/>
        <v>Sam's Town Shreveport (LA)</v>
      </c>
      <c r="CQ435" s="308">
        <f t="shared" si="1000"/>
        <v>90.038408299999986</v>
      </c>
      <c r="CR435" s="308">
        <f t="shared" si="1001"/>
        <v>137.86273779999999</v>
      </c>
      <c r="CS435" s="308">
        <f t="shared" si="1002"/>
        <v>128.48038700000001</v>
      </c>
      <c r="CT435" s="308">
        <f t="shared" si="1003"/>
        <v>129.96624200000002</v>
      </c>
      <c r="CU435" s="308">
        <f t="shared" si="1004"/>
        <v>128.02701414999999</v>
      </c>
      <c r="CV435" s="308">
        <f t="shared" si="1005"/>
        <v>125.86901923000001</v>
      </c>
      <c r="CW435" s="308">
        <f t="shared" si="1006"/>
        <v>123.39337807</v>
      </c>
      <c r="CX435" s="308">
        <f t="shared" si="976"/>
        <v>115.20154862000001</v>
      </c>
      <c r="CY435" s="308">
        <f t="shared" si="977"/>
        <v>111.28129299</v>
      </c>
      <c r="CZ435" s="308">
        <f t="shared" si="978"/>
        <v>98.684865830000007</v>
      </c>
      <c r="DA435" s="308">
        <f t="shared" si="979"/>
        <v>92.511355179999995</v>
      </c>
      <c r="DB435" s="308">
        <f t="shared" si="980"/>
        <v>84.945463719999992</v>
      </c>
      <c r="DC435" s="308">
        <f t="shared" si="981"/>
        <v>78.283695379999997</v>
      </c>
      <c r="DD435" s="308">
        <f t="shared" si="982"/>
        <v>76.342550329999995</v>
      </c>
      <c r="DE435" s="308">
        <f t="shared" si="983"/>
        <v>74.981820665399994</v>
      </c>
      <c r="DF435" s="308">
        <f t="shared" si="984"/>
        <v>75.731638872053992</v>
      </c>
      <c r="DG435" s="1701">
        <f t="shared" si="985"/>
        <v>75.731638872053992</v>
      </c>
      <c r="DH435" s="741"/>
      <c r="DI435" s="742"/>
      <c r="DJ435" s="742"/>
      <c r="DK435" s="742"/>
      <c r="DL435" s="742"/>
      <c r="DM435" s="742"/>
      <c r="DN435" s="275"/>
      <c r="DO435" s="276" t="s">
        <v>1546</v>
      </c>
      <c r="DY435" s="308"/>
      <c r="DZ435" s="308"/>
    </row>
    <row r="436" spans="1:130" s="2252" customFormat="1" ht="12" customHeight="1">
      <c r="A436" s="552" t="s">
        <v>456</v>
      </c>
      <c r="B436" s="530"/>
      <c r="C436" s="530"/>
      <c r="D436" s="330"/>
      <c r="E436" s="330"/>
      <c r="F436" s="330"/>
      <c r="G436" s="330"/>
      <c r="H436" s="1950"/>
      <c r="I436" s="330"/>
      <c r="J436" s="330"/>
      <c r="K436" s="330"/>
      <c r="L436" s="330"/>
      <c r="M436" s="1950"/>
      <c r="N436" s="330"/>
      <c r="O436" s="330"/>
      <c r="P436" s="330"/>
      <c r="Q436" s="330"/>
      <c r="R436" s="1950"/>
      <c r="S436" s="330"/>
      <c r="T436" s="330"/>
      <c r="U436" s="330"/>
      <c r="V436" s="330"/>
      <c r="W436" s="1950"/>
      <c r="X436" s="330"/>
      <c r="Y436" s="330"/>
      <c r="Z436" s="330"/>
      <c r="AA436" s="330"/>
      <c r="AB436" s="1950"/>
      <c r="AC436" s="330"/>
      <c r="AD436" s="330"/>
      <c r="AE436" s="330"/>
      <c r="AF436" s="330"/>
      <c r="AG436" s="1950"/>
      <c r="AH436" s="330"/>
      <c r="AI436" s="330"/>
      <c r="AJ436" s="330"/>
      <c r="AK436" s="330"/>
      <c r="AL436" s="1950"/>
      <c r="AM436" s="330">
        <v>16.507897</v>
      </c>
      <c r="AN436" s="330">
        <v>17.377367</v>
      </c>
      <c r="AO436" s="330">
        <v>18.035385000000002</v>
      </c>
      <c r="AP436" s="330">
        <v>16.753610999999999</v>
      </c>
      <c r="AQ436" s="1950">
        <f>+SUM(AM436:AP436)</f>
        <v>68.674260000000004</v>
      </c>
      <c r="AR436" s="330">
        <v>17.577106000000001</v>
      </c>
      <c r="AS436" s="330">
        <v>17.690432999999999</v>
      </c>
      <c r="AT436" s="330">
        <v>16.984601999999999</v>
      </c>
      <c r="AU436" s="330">
        <v>16.208314000000001</v>
      </c>
      <c r="AV436" s="1950">
        <f>+SUM(AR436:AU436)</f>
        <v>68.460454999999996</v>
      </c>
      <c r="AW436" s="330">
        <v>16.203682999999998</v>
      </c>
      <c r="AX436" s="330">
        <v>17.139932000000002</v>
      </c>
      <c r="AY436" s="330">
        <v>17.570906000000001</v>
      </c>
      <c r="AZ436" s="330">
        <v>15.068020000000001</v>
      </c>
      <c r="BA436" s="1950">
        <f>+SUM(AW436:AZ436)</f>
        <v>65.982540999999998</v>
      </c>
      <c r="BB436" s="330">
        <v>14.815747</v>
      </c>
      <c r="BC436" s="2740">
        <v>16.124445000000001</v>
      </c>
      <c r="BD436" s="2740">
        <v>16.273275999999999</v>
      </c>
      <c r="BE436" s="2740">
        <v>15.453710000000001</v>
      </c>
      <c r="BF436" s="1950">
        <f>+SUM(BB436:BE436)</f>
        <v>62.667178000000007</v>
      </c>
      <c r="BG436" s="3118">
        <v>15.156275999999998</v>
      </c>
      <c r="BH436" s="3117">
        <v>17.027394000000001</v>
      </c>
      <c r="BI436" s="3117">
        <v>17.630459000000002</v>
      </c>
      <c r="BJ436" s="3117">
        <v>16.403113999999999</v>
      </c>
      <c r="BK436" s="1950">
        <f>+SUM(BG436:BJ436)</f>
        <v>66.217242999999996</v>
      </c>
      <c r="BL436" s="3117">
        <v>17.052562999999999</v>
      </c>
      <c r="BM436" s="3117">
        <v>16.475560999999999</v>
      </c>
      <c r="BN436" s="3117">
        <v>17.100000000000001</v>
      </c>
      <c r="BO436" s="3117">
        <v>15.682066000000003</v>
      </c>
      <c r="BP436" s="1950">
        <f>+SUM(BL436:BO436)</f>
        <v>66.310190000000006</v>
      </c>
      <c r="BQ436" s="3933">
        <v>16.518035000000001</v>
      </c>
      <c r="BR436" s="3933">
        <v>17.569588</v>
      </c>
      <c r="BS436" s="3933">
        <v>17.65408</v>
      </c>
      <c r="BT436" s="3933">
        <v>16.769202999999997</v>
      </c>
      <c r="BU436" s="3406">
        <f>+SUM(BQ436:BT436)</f>
        <v>68.510906000000006</v>
      </c>
      <c r="BV436" s="626">
        <f t="shared" ref="BV436:BY440" si="1007">+BQ436*(1+BV457)</f>
        <v>17.343936750000001</v>
      </c>
      <c r="BW436" s="626">
        <f t="shared" si="1007"/>
        <v>17.745283879999999</v>
      </c>
      <c r="BX436" s="626">
        <f t="shared" si="1007"/>
        <v>17.918891199999997</v>
      </c>
      <c r="BY436" s="626">
        <f t="shared" si="1007"/>
        <v>17.020741044999994</v>
      </c>
      <c r="BZ436" s="3406">
        <f>+SUM(BV436:BY436)</f>
        <v>70.028852874999984</v>
      </c>
      <c r="CA436" s="1950">
        <f>+BZ436*(1+CA457)</f>
        <v>70.729141403749978</v>
      </c>
      <c r="CB436" s="1950">
        <f>+CA436*(1+CB457)</f>
        <v>70.729141403749978</v>
      </c>
      <c r="CC436" s="1950">
        <f t="shared" ref="CC436:CG436" si="1008">+CB436*(1+CC457)</f>
        <v>67.192684333562482</v>
      </c>
      <c r="CD436" s="1950">
        <f t="shared" si="1008"/>
        <v>63.833050116884358</v>
      </c>
      <c r="CE436" s="1950">
        <f t="shared" si="1008"/>
        <v>65.109711119222041</v>
      </c>
      <c r="CF436" s="1950">
        <f t="shared" si="1008"/>
        <v>66.411905341606484</v>
      </c>
      <c r="CG436" s="1950">
        <f t="shared" si="1008"/>
        <v>67.740143448438616</v>
      </c>
      <c r="CH436" s="740"/>
      <c r="CI436" s="740"/>
      <c r="CJ436" s="740"/>
      <c r="CK436" s="740"/>
      <c r="CL436" s="740"/>
      <c r="CM436" s="965"/>
      <c r="CN436" s="965">
        <f t="shared" si="974"/>
        <v>70.028852874999984</v>
      </c>
      <c r="CO436" s="965">
        <f t="shared" si="975"/>
        <v>-70.028852874999984</v>
      </c>
      <c r="CP436" s="993"/>
      <c r="CQ436" s="308"/>
      <c r="CR436" s="308"/>
      <c r="CS436" s="308"/>
      <c r="CT436" s="308"/>
      <c r="CU436" s="308"/>
      <c r="CV436" s="308"/>
      <c r="CW436" s="308"/>
      <c r="CX436" s="308"/>
      <c r="CY436" s="308"/>
      <c r="CZ436" s="308"/>
      <c r="DA436" s="308"/>
      <c r="DB436" s="308"/>
      <c r="DC436" s="308"/>
      <c r="DD436" s="308"/>
      <c r="DE436" s="308"/>
      <c r="DF436" s="308"/>
      <c r="DG436" s="1701"/>
      <c r="DH436" s="741"/>
      <c r="DI436" s="742"/>
      <c r="DJ436" s="742"/>
      <c r="DK436" s="742"/>
      <c r="DL436" s="742"/>
      <c r="DM436" s="742"/>
      <c r="DN436" s="275"/>
      <c r="DO436" s="206"/>
      <c r="DP436"/>
      <c r="DQ436"/>
      <c r="DR436"/>
      <c r="DS436"/>
      <c r="DT436"/>
      <c r="DU436"/>
      <c r="DY436" s="308"/>
      <c r="DZ436" s="308"/>
    </row>
    <row r="437" spans="1:130" s="2252" customFormat="1" ht="12" customHeight="1">
      <c r="A437" s="552" t="s">
        <v>457</v>
      </c>
      <c r="B437" s="530"/>
      <c r="C437" s="530"/>
      <c r="D437" s="330"/>
      <c r="E437" s="330"/>
      <c r="F437" s="330"/>
      <c r="G437" s="330"/>
      <c r="H437" s="1950"/>
      <c r="I437" s="330"/>
      <c r="J437" s="330"/>
      <c r="K437" s="330"/>
      <c r="L437" s="330"/>
      <c r="M437" s="1950"/>
      <c r="N437" s="330"/>
      <c r="O437" s="330"/>
      <c r="P437" s="330"/>
      <c r="Q437" s="330"/>
      <c r="R437" s="1950"/>
      <c r="S437" s="330"/>
      <c r="T437" s="330"/>
      <c r="U437" s="330"/>
      <c r="V437" s="330"/>
      <c r="W437" s="1950"/>
      <c r="X437" s="330"/>
      <c r="Y437" s="330"/>
      <c r="Z437" s="330"/>
      <c r="AA437" s="330"/>
      <c r="AB437" s="1950"/>
      <c r="AC437" s="330"/>
      <c r="AD437" s="330"/>
      <c r="AE437" s="330"/>
      <c r="AF437" s="330"/>
      <c r="AG437" s="1950"/>
      <c r="AH437" s="330"/>
      <c r="AI437" s="330"/>
      <c r="AJ437" s="330"/>
      <c r="AK437" s="330"/>
      <c r="AL437" s="1950"/>
      <c r="AM437" s="330">
        <v>20.372551999999999</v>
      </c>
      <c r="AN437" s="330">
        <v>22.964770000000001</v>
      </c>
      <c r="AO437" s="330">
        <v>22.312023</v>
      </c>
      <c r="AP437" s="330">
        <v>21.743295999999997</v>
      </c>
      <c r="AQ437" s="1950">
        <f>+SUM(AM437:AP437)</f>
        <v>87.392640999999998</v>
      </c>
      <c r="AR437" s="330">
        <v>23.115744300000003</v>
      </c>
      <c r="AS437" s="330">
        <v>23.606133</v>
      </c>
      <c r="AT437" s="330">
        <v>22.982557999999997</v>
      </c>
      <c r="AU437" s="330">
        <v>21.539290999999999</v>
      </c>
      <c r="AV437" s="1950">
        <f>+SUM(AR437:AU437)</f>
        <v>91.243726299999992</v>
      </c>
      <c r="AW437" s="330">
        <v>21.349922999999997</v>
      </c>
      <c r="AX437" s="330">
        <v>22.736924999999999</v>
      </c>
      <c r="AY437" s="330">
        <v>22.278268000000004</v>
      </c>
      <c r="AZ437" s="330">
        <v>20.215643</v>
      </c>
      <c r="BA437" s="1950">
        <f>+SUM(AW437:AZ437)</f>
        <v>86.580759</v>
      </c>
      <c r="BB437" s="330">
        <v>19.706085999999999</v>
      </c>
      <c r="BC437" s="2740">
        <v>22.070107</v>
      </c>
      <c r="BD437" s="2740">
        <v>21.412983999999998</v>
      </c>
      <c r="BE437" s="2740">
        <v>19.977184000000001</v>
      </c>
      <c r="BF437" s="1950">
        <f>+SUM(BB437:BE437)</f>
        <v>83.166360999999995</v>
      </c>
      <c r="BG437" s="3118">
        <v>20.639118999999997</v>
      </c>
      <c r="BH437" s="3117">
        <v>22.228524</v>
      </c>
      <c r="BI437" s="3117">
        <v>22.571198000000003</v>
      </c>
      <c r="BJ437" s="3117">
        <v>20.908712999999999</v>
      </c>
      <c r="BK437" s="1950">
        <f>+SUM(BG437:BJ437)</f>
        <v>86.347554000000002</v>
      </c>
      <c r="BL437" s="3117">
        <v>21.486035999999999</v>
      </c>
      <c r="BM437" s="3117">
        <v>21.573827999999999</v>
      </c>
      <c r="BN437" s="3117">
        <v>21.5</v>
      </c>
      <c r="BO437" s="3117">
        <v>20.233546</v>
      </c>
      <c r="BP437" s="1950">
        <f t="shared" ref="BP437:BP439" si="1009">+SUM(BL437:BO437)</f>
        <v>84.793410000000009</v>
      </c>
      <c r="BQ437" s="3933">
        <v>21.051293999999999</v>
      </c>
      <c r="BR437" s="3933">
        <v>22.390668999999999</v>
      </c>
      <c r="BS437" s="3933">
        <v>22.515214</v>
      </c>
      <c r="BT437" s="3933">
        <v>20.074172000000001</v>
      </c>
      <c r="BU437" s="3406">
        <f t="shared" ref="BU437:BU439" si="1010">+SUM(BQ437:BT437)</f>
        <v>86.031349000000006</v>
      </c>
      <c r="BV437" s="626">
        <f t="shared" si="1007"/>
        <v>21.26180694</v>
      </c>
      <c r="BW437" s="626">
        <f t="shared" si="1007"/>
        <v>22.614575689999999</v>
      </c>
      <c r="BX437" s="626">
        <f t="shared" si="1007"/>
        <v>22.740366139999999</v>
      </c>
      <c r="BY437" s="626">
        <f t="shared" si="1007"/>
        <v>20.274913720000001</v>
      </c>
      <c r="BZ437" s="3406">
        <f t="shared" ref="BZ437:BZ445" si="1011">+SUM(BV437:BY437)</f>
        <v>86.891662489999987</v>
      </c>
      <c r="CA437" s="1950">
        <f t="shared" ref="CA437:CG437" si="1012">+BZ437*(1+CA458)</f>
        <v>87.760579114899983</v>
      </c>
      <c r="CB437" s="1950">
        <f t="shared" si="1012"/>
        <v>87.760579114899983</v>
      </c>
      <c r="CC437" s="1950">
        <f t="shared" si="1012"/>
        <v>83.372550159154983</v>
      </c>
      <c r="CD437" s="1950">
        <f t="shared" si="1012"/>
        <v>79.203922651197232</v>
      </c>
      <c r="CE437" s="1950">
        <f t="shared" si="1012"/>
        <v>80.788001104221181</v>
      </c>
      <c r="CF437" s="1950">
        <f t="shared" si="1012"/>
        <v>82.403761126305611</v>
      </c>
      <c r="CG437" s="1950">
        <f t="shared" si="1012"/>
        <v>84.051836348831728</v>
      </c>
      <c r="CH437" s="740"/>
      <c r="CI437" s="740"/>
      <c r="CJ437" s="740"/>
      <c r="CK437" s="740"/>
      <c r="CL437" s="740"/>
      <c r="CM437" s="965"/>
      <c r="CN437" s="965">
        <f t="shared" si="974"/>
        <v>86.891662489999987</v>
      </c>
      <c r="CO437" s="965">
        <f t="shared" si="975"/>
        <v>-86.891662489999987</v>
      </c>
      <c r="CP437" s="993"/>
      <c r="CQ437" s="308"/>
      <c r="CR437" s="308"/>
      <c r="CS437" s="308"/>
      <c r="CT437" s="308"/>
      <c r="CU437" s="308"/>
      <c r="CV437" s="308"/>
      <c r="CW437" s="308"/>
      <c r="CX437" s="308"/>
      <c r="CY437" s="308"/>
      <c r="CZ437" s="308"/>
      <c r="DA437" s="308"/>
      <c r="DB437" s="308"/>
      <c r="DC437" s="308"/>
      <c r="DD437" s="308"/>
      <c r="DE437" s="308"/>
      <c r="DF437" s="308"/>
      <c r="DG437" s="1701"/>
      <c r="DH437" s="741"/>
      <c r="DI437" s="742"/>
      <c r="DJ437" s="742"/>
      <c r="DK437" s="742"/>
      <c r="DL437" s="742"/>
      <c r="DM437" s="742"/>
      <c r="DN437" s="275"/>
      <c r="DO437" s="206"/>
      <c r="DP437"/>
      <c r="DQ437"/>
      <c r="DR437"/>
      <c r="DS437"/>
      <c r="DT437"/>
      <c r="DU437"/>
      <c r="DY437" s="308"/>
      <c r="DZ437" s="308"/>
    </row>
    <row r="438" spans="1:130" s="2252" customFormat="1" ht="12" customHeight="1">
      <c r="A438" s="552" t="s">
        <v>458</v>
      </c>
      <c r="B438" s="530"/>
      <c r="C438" s="530"/>
      <c r="D438" s="330"/>
      <c r="E438" s="330"/>
      <c r="F438" s="330"/>
      <c r="G438" s="330"/>
      <c r="H438" s="1950"/>
      <c r="I438" s="330"/>
      <c r="J438" s="330"/>
      <c r="K438" s="330"/>
      <c r="L438" s="330"/>
      <c r="M438" s="1950"/>
      <c r="N438" s="330"/>
      <c r="O438" s="330"/>
      <c r="P438" s="330"/>
      <c r="Q438" s="330"/>
      <c r="R438" s="1950"/>
      <c r="S438" s="330"/>
      <c r="T438" s="330"/>
      <c r="U438" s="330"/>
      <c r="V438" s="330"/>
      <c r="W438" s="1950"/>
      <c r="X438" s="330"/>
      <c r="Y438" s="330"/>
      <c r="Z438" s="330"/>
      <c r="AA438" s="330"/>
      <c r="AB438" s="1950"/>
      <c r="AC438" s="330"/>
      <c r="AD438" s="330"/>
      <c r="AE438" s="330"/>
      <c r="AF438" s="330"/>
      <c r="AG438" s="1950"/>
      <c r="AH438" s="330"/>
      <c r="AI438" s="330"/>
      <c r="AJ438" s="330"/>
      <c r="AK438" s="330"/>
      <c r="AL438" s="1950"/>
      <c r="AM438" s="330">
        <v>25.017063719999996</v>
      </c>
      <c r="AN438" s="330">
        <v>24.571510189999998</v>
      </c>
      <c r="AO438" s="330">
        <v>23.517169859999999</v>
      </c>
      <c r="AP438" s="330">
        <v>22.440055959999999</v>
      </c>
      <c r="AQ438" s="1950">
        <f>+SUM(AM438:AP438)</f>
        <v>95.545799729999985</v>
      </c>
      <c r="AR438" s="330">
        <v>26.4862574</v>
      </c>
      <c r="AS438" s="330">
        <v>25.122395860000001</v>
      </c>
      <c r="AT438" s="330">
        <v>23.806165350000001</v>
      </c>
      <c r="AU438" s="330">
        <v>22.416779569999999</v>
      </c>
      <c r="AV438" s="1950">
        <f>+SUM(AR438:AU438)</f>
        <v>97.83159818</v>
      </c>
      <c r="AW438" s="330">
        <v>24.096053480000002</v>
      </c>
      <c r="AX438" s="330">
        <v>23.707477040000001</v>
      </c>
      <c r="AY438" s="330">
        <v>22.65136614</v>
      </c>
      <c r="AZ438" s="330">
        <v>21.992480430000001</v>
      </c>
      <c r="BA438" s="1950">
        <f>+SUM(AW438:AZ438)</f>
        <v>92.447377090000003</v>
      </c>
      <c r="BB438" s="330">
        <v>23.32337605</v>
      </c>
      <c r="BC438" s="2740">
        <v>23.196801449999999</v>
      </c>
      <c r="BD438" s="2740">
        <v>21.503838130000002</v>
      </c>
      <c r="BE438" s="2740">
        <v>21.781553559999999</v>
      </c>
      <c r="BF438" s="1950">
        <f>+SUM(BB438:BE438)</f>
        <v>89.80556919</v>
      </c>
      <c r="BG438" s="3118">
        <v>24.05629291</v>
      </c>
      <c r="BH438" s="3117">
        <v>24.01095024</v>
      </c>
      <c r="BI438" s="3117">
        <v>21.786152380000001</v>
      </c>
      <c r="BJ438" s="3117">
        <v>21.19726013</v>
      </c>
      <c r="BK438" s="1950">
        <f>+SUM(BG438:BJ438)</f>
        <v>91.050655660000004</v>
      </c>
      <c r="BL438" s="3117">
        <v>22.49833143</v>
      </c>
      <c r="BM438" s="3117">
        <v>21.68824351</v>
      </c>
      <c r="BN438" s="3117">
        <v>20.399999999999999</v>
      </c>
      <c r="BO438" s="3117">
        <v>21.166731130000002</v>
      </c>
      <c r="BP438" s="1950">
        <f t="shared" si="1009"/>
        <v>85.753306069999994</v>
      </c>
      <c r="BQ438" s="3933">
        <v>20.98579836</v>
      </c>
      <c r="BR438" s="3933">
        <v>21.93816326</v>
      </c>
      <c r="BS438" s="3933">
        <v>19.983985839999999</v>
      </c>
      <c r="BT438" s="3933">
        <v>19.849439070000003</v>
      </c>
      <c r="BU438" s="3406">
        <f t="shared" si="1010"/>
        <v>82.757386530000005</v>
      </c>
      <c r="BV438" s="626">
        <f t="shared" si="1007"/>
        <v>20.1463664256</v>
      </c>
      <c r="BW438" s="626">
        <f t="shared" si="1007"/>
        <v>21.718781627399999</v>
      </c>
      <c r="BX438" s="626">
        <f t="shared" si="1007"/>
        <v>19.784145981599998</v>
      </c>
      <c r="BY438" s="626">
        <f t="shared" si="1007"/>
        <v>20.047933460700001</v>
      </c>
      <c r="BZ438" s="3406">
        <f t="shared" si="1011"/>
        <v>81.697227495299998</v>
      </c>
      <c r="CA438" s="1950">
        <f t="shared" ref="CA438:CG438" si="1013">+BZ438*(1+CA459)</f>
        <v>82.514199770253001</v>
      </c>
      <c r="CB438" s="1950">
        <f t="shared" si="1013"/>
        <v>82.514199770253001</v>
      </c>
      <c r="CC438" s="1950">
        <f t="shared" si="1013"/>
        <v>78.388489781740347</v>
      </c>
      <c r="CD438" s="1950">
        <f t="shared" si="1013"/>
        <v>74.469065292653326</v>
      </c>
      <c r="CE438" s="1950">
        <f t="shared" si="1013"/>
        <v>75.958446598506399</v>
      </c>
      <c r="CF438" s="1950">
        <f t="shared" si="1013"/>
        <v>77.477615530476527</v>
      </c>
      <c r="CG438" s="1950">
        <f t="shared" si="1013"/>
        <v>79.027167841086055</v>
      </c>
      <c r="CH438" s="740"/>
      <c r="CI438" s="740"/>
      <c r="CJ438" s="740"/>
      <c r="CK438" s="740"/>
      <c r="CL438" s="740"/>
      <c r="CM438" s="965"/>
      <c r="CN438" s="965">
        <f t="shared" si="974"/>
        <v>81.697227495299998</v>
      </c>
      <c r="CO438" s="965">
        <f t="shared" si="975"/>
        <v>-81.697227495299998</v>
      </c>
      <c r="CP438" s="993"/>
      <c r="CQ438" s="308"/>
      <c r="CR438" s="308"/>
      <c r="CS438" s="308"/>
      <c r="CT438" s="308"/>
      <c r="CU438" s="308"/>
      <c r="CV438" s="308"/>
      <c r="CW438" s="308"/>
      <c r="CX438" s="308"/>
      <c r="CY438" s="308"/>
      <c r="CZ438" s="308"/>
      <c r="DA438" s="308"/>
      <c r="DB438" s="308"/>
      <c r="DC438" s="308"/>
      <c r="DD438" s="308"/>
      <c r="DE438" s="308"/>
      <c r="DF438" s="308"/>
      <c r="DG438" s="1701"/>
      <c r="DH438" s="741"/>
      <c r="DI438" s="742"/>
      <c r="DJ438" s="742"/>
      <c r="DK438" s="742"/>
      <c r="DL438" s="742"/>
      <c r="DM438" s="742"/>
      <c r="DN438" s="275"/>
      <c r="DO438" s="206"/>
      <c r="DP438"/>
      <c r="DQ438"/>
      <c r="DR438"/>
      <c r="DS438"/>
      <c r="DT438"/>
      <c r="DU438"/>
      <c r="DY438" s="308"/>
      <c r="DZ438" s="308"/>
    </row>
    <row r="439" spans="1:130" s="2252" customFormat="1" ht="12" customHeight="1">
      <c r="A439" s="552" t="s">
        <v>460</v>
      </c>
      <c r="B439" s="530"/>
      <c r="C439" s="530"/>
      <c r="D439" s="330"/>
      <c r="E439" s="330"/>
      <c r="F439" s="330"/>
      <c r="G439" s="330"/>
      <c r="H439" s="1950"/>
      <c r="I439" s="330"/>
      <c r="J439" s="330"/>
      <c r="K439" s="330"/>
      <c r="L439" s="330"/>
      <c r="M439" s="1950"/>
      <c r="N439" s="330"/>
      <c r="O439" s="330"/>
      <c r="P439" s="330"/>
      <c r="Q439" s="330"/>
      <c r="R439" s="1950"/>
      <c r="S439" s="330"/>
      <c r="T439" s="330"/>
      <c r="U439" s="330"/>
      <c r="V439" s="330"/>
      <c r="W439" s="1950"/>
      <c r="X439" s="330"/>
      <c r="Y439" s="330"/>
      <c r="Z439" s="330"/>
      <c r="AA439" s="330"/>
      <c r="AB439" s="1950"/>
      <c r="AC439" s="330"/>
      <c r="AD439" s="330"/>
      <c r="AE439" s="330"/>
      <c r="AF439" s="330"/>
      <c r="AG439" s="1950"/>
      <c r="AH439" s="330"/>
      <c r="AI439" s="330"/>
      <c r="AJ439" s="330"/>
      <c r="AK439" s="330"/>
      <c r="AL439" s="1950"/>
      <c r="AM439" s="330">
        <v>13.597719959999999</v>
      </c>
      <c r="AN439" s="330">
        <v>11.980794670000002</v>
      </c>
      <c r="AO439" s="330">
        <v>13.567571230000002</v>
      </c>
      <c r="AP439" s="330">
        <v>11.413065809999999</v>
      </c>
      <c r="AQ439" s="1950">
        <f>+SUM(AM439:AP439)</f>
        <v>50.559151669999999</v>
      </c>
      <c r="AR439" s="330">
        <v>13.792004000000002</v>
      </c>
      <c r="AS439" s="330">
        <v>14.019160060000001</v>
      </c>
      <c r="AT439" s="330">
        <v>13.17312274</v>
      </c>
      <c r="AU439" s="330">
        <v>12.094232850000001</v>
      </c>
      <c r="AV439" s="1950">
        <f>+SUM(AR439:AU439)</f>
        <v>53.078519650000004</v>
      </c>
      <c r="AW439" s="330">
        <v>13.803280689999999</v>
      </c>
      <c r="AX439" s="330">
        <v>13.787188890000001</v>
      </c>
      <c r="AY439" s="330">
        <v>12.834896369999999</v>
      </c>
      <c r="AZ439" s="330">
        <v>12.317</v>
      </c>
      <c r="BA439" s="1950">
        <f>+SUM(AW439:AZ439)</f>
        <v>52.74236595</v>
      </c>
      <c r="BB439" s="330">
        <v>13.208299740000001</v>
      </c>
      <c r="BC439" s="2740">
        <v>12.38728519</v>
      </c>
      <c r="BD439" s="2740">
        <v>12.146559290000001</v>
      </c>
      <c r="BE439" s="2740">
        <v>12.141906540000001</v>
      </c>
      <c r="BF439" s="1950">
        <f>+SUM(BB439:BE439)</f>
        <v>49.884050760000001</v>
      </c>
      <c r="BG439" s="3118">
        <v>13.37844437</v>
      </c>
      <c r="BH439" s="3117">
        <v>12.852216090000001</v>
      </c>
      <c r="BI439" s="3117">
        <v>12.153359719999999</v>
      </c>
      <c r="BJ439" s="3117">
        <v>11.3990809</v>
      </c>
      <c r="BK439" s="1950">
        <f>+SUM(BG439:BJ439)</f>
        <v>49.783101080000002</v>
      </c>
      <c r="BL439" s="3117">
        <v>12.569181879999999</v>
      </c>
      <c r="BM439" s="3117">
        <v>11.62006884</v>
      </c>
      <c r="BN439" s="3117">
        <v>11.3</v>
      </c>
      <c r="BO439" s="3117">
        <v>9.4387498600000015</v>
      </c>
      <c r="BP439" s="1950">
        <f t="shared" si="1009"/>
        <v>44.928000580000003</v>
      </c>
      <c r="BQ439" s="3933">
        <v>10.661326110000001</v>
      </c>
      <c r="BR439" s="3933">
        <v>10.821152150000001</v>
      </c>
      <c r="BS439" s="3933">
        <v>10.645624419999999</v>
      </c>
      <c r="BT439" s="3933">
        <v>9.7690395500000005</v>
      </c>
      <c r="BU439" s="3406">
        <f t="shared" si="1010"/>
        <v>41.89714223</v>
      </c>
      <c r="BV439" s="626">
        <f t="shared" si="1007"/>
        <v>11.087779154400002</v>
      </c>
      <c r="BW439" s="626">
        <f t="shared" si="1007"/>
        <v>10.929363671500001</v>
      </c>
      <c r="BX439" s="626">
        <f t="shared" si="1007"/>
        <v>10.752080664199999</v>
      </c>
      <c r="BY439" s="626">
        <f t="shared" si="1007"/>
        <v>9.8667299455000013</v>
      </c>
      <c r="BZ439" s="3406">
        <f t="shared" si="1011"/>
        <v>42.635953435600001</v>
      </c>
      <c r="CA439" s="1950">
        <f t="shared" ref="CA439:CG439" si="1014">+BZ439*(1+CA460)</f>
        <v>43.062312969956004</v>
      </c>
      <c r="CB439" s="1950">
        <f t="shared" si="1014"/>
        <v>43.062312969956004</v>
      </c>
      <c r="CC439" s="1950">
        <f t="shared" si="1014"/>
        <v>40.909197321458201</v>
      </c>
      <c r="CD439" s="1950">
        <f t="shared" si="1014"/>
        <v>38.863737455385291</v>
      </c>
      <c r="CE439" s="1950">
        <f t="shared" si="1014"/>
        <v>39.641012204492995</v>
      </c>
      <c r="CF439" s="1950">
        <f t="shared" si="1014"/>
        <v>40.433832448582855</v>
      </c>
      <c r="CG439" s="1950">
        <f t="shared" si="1014"/>
        <v>41.24250909755451</v>
      </c>
      <c r="CH439" s="740"/>
      <c r="CI439" s="740"/>
      <c r="CJ439" s="740"/>
      <c r="CK439" s="740"/>
      <c r="CL439" s="740"/>
      <c r="CM439" s="965"/>
      <c r="CN439" s="965">
        <f t="shared" si="974"/>
        <v>42.635953435600001</v>
      </c>
      <c r="CO439" s="965">
        <f t="shared" si="975"/>
        <v>-42.635953435600001</v>
      </c>
      <c r="CP439" s="993"/>
      <c r="CQ439" s="308"/>
      <c r="CR439" s="308"/>
      <c r="CS439" s="308"/>
      <c r="CT439" s="308"/>
      <c r="CU439" s="308"/>
      <c r="CV439" s="308"/>
      <c r="CW439" s="308"/>
      <c r="CX439" s="308"/>
      <c r="CY439" s="308"/>
      <c r="CZ439" s="308"/>
      <c r="DA439" s="308"/>
      <c r="DB439" s="308"/>
      <c r="DC439" s="308"/>
      <c r="DD439" s="308"/>
      <c r="DE439" s="308"/>
      <c r="DF439" s="308"/>
      <c r="DG439" s="1701"/>
      <c r="DH439" s="741"/>
      <c r="DI439" s="742"/>
      <c r="DJ439" s="742"/>
      <c r="DK439" s="742"/>
      <c r="DL439" s="742"/>
      <c r="DM439" s="742"/>
      <c r="DN439" s="275"/>
      <c r="DO439" s="206"/>
      <c r="DP439"/>
      <c r="DQ439"/>
      <c r="DR439"/>
      <c r="DS439"/>
      <c r="DT439"/>
      <c r="DU439"/>
      <c r="DY439" s="308"/>
      <c r="DZ439" s="308"/>
    </row>
    <row r="440" spans="1:130" s="2252" customFormat="1" ht="12" customHeight="1">
      <c r="A440" s="552" t="s">
        <v>459</v>
      </c>
      <c r="B440" s="530"/>
      <c r="C440" s="530"/>
      <c r="D440" s="330"/>
      <c r="E440" s="330"/>
      <c r="F440" s="330"/>
      <c r="G440" s="330"/>
      <c r="H440" s="1950"/>
      <c r="I440" s="330"/>
      <c r="J440" s="330"/>
      <c r="K440" s="330"/>
      <c r="L440" s="330"/>
      <c r="M440" s="1950"/>
      <c r="N440" s="330"/>
      <c r="O440" s="330"/>
      <c r="P440" s="330"/>
      <c r="Q440" s="330"/>
      <c r="R440" s="1950"/>
      <c r="S440" s="330"/>
      <c r="T440" s="330"/>
      <c r="U440" s="330"/>
      <c r="V440" s="330"/>
      <c r="W440" s="1950"/>
      <c r="X440" s="330"/>
      <c r="Y440" s="330"/>
      <c r="Z440" s="330"/>
      <c r="AA440" s="330"/>
      <c r="AB440" s="1950"/>
      <c r="AC440" s="330"/>
      <c r="AD440" s="330"/>
      <c r="AE440" s="330"/>
      <c r="AF440" s="330"/>
      <c r="AG440" s="1950"/>
      <c r="AH440" s="330"/>
      <c r="AI440" s="330"/>
      <c r="AJ440" s="330"/>
      <c r="AK440" s="330"/>
      <c r="AL440" s="1950"/>
      <c r="AM440" s="330"/>
      <c r="AN440" s="330"/>
      <c r="AO440" s="330"/>
      <c r="AP440" s="330">
        <v>6.0059301000000005</v>
      </c>
      <c r="AQ440" s="1950">
        <f>+SUM(AM440:AP440)</f>
        <v>6.0059301000000005</v>
      </c>
      <c r="AR440" s="330">
        <v>48.796860349999996</v>
      </c>
      <c r="AS440" s="330">
        <v>44.05313803</v>
      </c>
      <c r="AT440" s="330">
        <v>45.223520800000003</v>
      </c>
      <c r="AU440" s="330">
        <v>45.126393960000001</v>
      </c>
      <c r="AV440" s="1950">
        <f>+SUM(AR440:AU440)</f>
        <v>183.19991314000001</v>
      </c>
      <c r="AW440" s="330">
        <v>52.383551109999999</v>
      </c>
      <c r="AX440" s="330">
        <v>49.947347819999997</v>
      </c>
      <c r="AY440" s="330">
        <v>47.169313320000001</v>
      </c>
      <c r="AZ440" s="330">
        <v>43.739665710000004</v>
      </c>
      <c r="BA440" s="1950">
        <f>+SUM(AW440:AZ440)</f>
        <v>193.23987796</v>
      </c>
      <c r="BB440" s="330">
        <v>45.659015789999998</v>
      </c>
      <c r="BC440" s="2740">
        <v>44.505161880000003</v>
      </c>
      <c r="BD440" s="2740">
        <v>43.887869680000001</v>
      </c>
      <c r="BE440" s="2740">
        <v>44.244473209999995</v>
      </c>
      <c r="BF440" s="1950">
        <f>+SUM(BB440:BE440)</f>
        <v>178.29652056</v>
      </c>
      <c r="BG440" s="3118">
        <v>47.173029139999997</v>
      </c>
      <c r="BH440" s="3117">
        <v>46.448129920000007</v>
      </c>
      <c r="BI440" s="3117">
        <v>44.899907120000002</v>
      </c>
      <c r="BJ440" s="3117">
        <v>44.714555009999998</v>
      </c>
      <c r="BK440" s="1950">
        <f>+SUM(BG440:BJ440)</f>
        <v>183.23562118999999</v>
      </c>
      <c r="BL440" s="3117">
        <v>47.742907250000002</v>
      </c>
      <c r="BM440" s="3117">
        <v>44.243306959999998</v>
      </c>
      <c r="BN440" s="3117">
        <v>43.9</v>
      </c>
      <c r="BO440" s="3117">
        <v>44.151090869999997</v>
      </c>
      <c r="BP440" s="1950">
        <f t="shared" ref="BP440" si="1015">+SUM(BL440:BO440)</f>
        <v>180.03730507999998</v>
      </c>
      <c r="BQ440" s="3933">
        <v>45.359136139999997</v>
      </c>
      <c r="BR440" s="3933">
        <v>44.735561560000001</v>
      </c>
      <c r="BS440" s="3933">
        <v>44.530401459999993</v>
      </c>
      <c r="BT440" s="3933">
        <v>45.253842460000001</v>
      </c>
      <c r="BU440" s="3406">
        <f t="shared" ref="BU440" si="1016">+SUM(BQ440:BT440)</f>
        <v>179.87894161999998</v>
      </c>
      <c r="BV440" s="626">
        <f t="shared" si="1007"/>
        <v>47.1735015856</v>
      </c>
      <c r="BW440" s="626">
        <f t="shared" si="1007"/>
        <v>45.406594983399998</v>
      </c>
      <c r="BX440" s="626">
        <f t="shared" si="1007"/>
        <v>45.19835748189999</v>
      </c>
      <c r="BY440" s="626">
        <f t="shared" si="1007"/>
        <v>45.932650096899998</v>
      </c>
      <c r="BZ440" s="3406">
        <f t="shared" si="1011"/>
        <v>183.7111041478</v>
      </c>
      <c r="CA440" s="1950">
        <f t="shared" ref="CA440" si="1017">+BZ440*(1+CA461)</f>
        <v>185.54821518927801</v>
      </c>
      <c r="CB440" s="1950">
        <f t="shared" ref="CB440" si="1018">+CA440*(1+CB461)</f>
        <v>185.54821518927801</v>
      </c>
      <c r="CC440" s="1950">
        <f t="shared" ref="CC440" si="1019">+CB440*(1+CC461)</f>
        <v>176.27080442981409</v>
      </c>
      <c r="CD440" s="1950">
        <f t="shared" ref="CD440" si="1020">+CC440*(1+CD461)</f>
        <v>167.45726420832338</v>
      </c>
      <c r="CE440" s="1950">
        <f t="shared" ref="CE440" si="1021">+CD440*(1+CE461)</f>
        <v>170.80640949248985</v>
      </c>
      <c r="CF440" s="1950">
        <f t="shared" ref="CF440" si="1022">+CE440*(1+CF461)</f>
        <v>174.22253768233963</v>
      </c>
      <c r="CG440" s="1950">
        <f t="shared" ref="CG440" si="1023">+CF440*(1+CG461)</f>
        <v>177.70698843598643</v>
      </c>
      <c r="CH440" s="740"/>
      <c r="CI440" s="740"/>
      <c r="CJ440" s="740"/>
      <c r="CK440" s="740"/>
      <c r="CL440" s="740"/>
      <c r="CM440" s="965"/>
      <c r="CN440" s="965">
        <f t="shared" si="974"/>
        <v>183.7111041478</v>
      </c>
      <c r="CO440" s="965">
        <f t="shared" si="975"/>
        <v>-183.7111041478</v>
      </c>
      <c r="CP440" s="993"/>
      <c r="CQ440" s="308"/>
      <c r="CR440" s="308"/>
      <c r="CS440" s="308"/>
      <c r="CT440" s="308"/>
      <c r="CU440" s="308"/>
      <c r="CV440" s="308"/>
      <c r="CW440" s="308"/>
      <c r="CX440" s="308"/>
      <c r="CY440" s="308"/>
      <c r="CZ440" s="308"/>
      <c r="DA440" s="308"/>
      <c r="DB440" s="308"/>
      <c r="DC440" s="308"/>
      <c r="DD440" s="308"/>
      <c r="DE440" s="308"/>
      <c r="DF440" s="308"/>
      <c r="DG440" s="1701"/>
      <c r="DH440" s="741"/>
      <c r="DI440" s="742"/>
      <c r="DJ440" s="742"/>
      <c r="DK440" s="742"/>
      <c r="DL440" s="742"/>
      <c r="DM440" s="742"/>
      <c r="DN440" s="275"/>
      <c r="DO440" s="206"/>
      <c r="DP440"/>
      <c r="DQ440"/>
      <c r="DR440"/>
      <c r="DS440"/>
      <c r="DT440"/>
      <c r="DU440"/>
      <c r="DY440" s="308"/>
      <c r="DZ440" s="308"/>
    </row>
    <row r="441" spans="1:130" s="2252" customFormat="1" ht="12" customHeight="1">
      <c r="A441" s="2501" t="s">
        <v>1972</v>
      </c>
      <c r="B441" s="530"/>
      <c r="C441" s="530"/>
      <c r="D441" s="330"/>
      <c r="E441" s="330"/>
      <c r="F441" s="330"/>
      <c r="G441" s="330"/>
      <c r="H441" s="1950"/>
      <c r="I441" s="330"/>
      <c r="J441" s="330"/>
      <c r="K441" s="330"/>
      <c r="L441" s="330"/>
      <c r="M441" s="1950"/>
      <c r="N441" s="330"/>
      <c r="O441" s="330"/>
      <c r="P441" s="330"/>
      <c r="Q441" s="330"/>
      <c r="R441" s="1950"/>
      <c r="S441" s="330"/>
      <c r="T441" s="330"/>
      <c r="U441" s="330"/>
      <c r="V441" s="330"/>
      <c r="W441" s="1950"/>
      <c r="X441" s="330"/>
      <c r="Y441" s="330"/>
      <c r="Z441" s="330"/>
      <c r="AA441" s="330"/>
      <c r="AB441" s="1950"/>
      <c r="AC441" s="330"/>
      <c r="AD441" s="330"/>
      <c r="AE441" s="330"/>
      <c r="AF441" s="330"/>
      <c r="AG441" s="1950"/>
      <c r="AH441" s="330"/>
      <c r="AI441" s="330"/>
      <c r="AJ441" s="330"/>
      <c r="AK441" s="330"/>
      <c r="AL441" s="1950"/>
      <c r="AM441" s="330"/>
      <c r="AN441" s="330"/>
      <c r="AO441" s="330"/>
      <c r="AP441" s="330"/>
      <c r="AQ441" s="1950"/>
      <c r="AR441" s="330"/>
      <c r="AS441" s="330"/>
      <c r="AT441" s="330"/>
      <c r="AU441" s="330"/>
      <c r="AV441" s="1950"/>
      <c r="AW441" s="330"/>
      <c r="AX441" s="330"/>
      <c r="AY441" s="330"/>
      <c r="AZ441" s="330"/>
      <c r="BA441" s="1950"/>
      <c r="BB441" s="330"/>
      <c r="BC441" s="2740"/>
      <c r="BD441" s="2740"/>
      <c r="BE441" s="2740"/>
      <c r="BF441" s="1950"/>
      <c r="BG441" s="3118"/>
      <c r="BH441" s="3117"/>
      <c r="BI441" s="3117"/>
      <c r="BJ441" s="3117"/>
      <c r="BK441" s="1950"/>
      <c r="BL441" s="3117"/>
      <c r="BM441" s="3117"/>
      <c r="BN441" s="3117"/>
      <c r="BO441" s="3117"/>
      <c r="BP441" s="1950"/>
      <c r="BQ441" s="3933"/>
      <c r="BR441" s="3933"/>
      <c r="BS441" s="3933"/>
      <c r="BT441" s="1893"/>
      <c r="BU441" s="3406"/>
      <c r="BV441" s="626"/>
      <c r="BW441" s="626"/>
      <c r="BX441" s="4076">
        <f>+'Tables 2'!HN682</f>
        <v>67.482322105799994</v>
      </c>
      <c r="BY441" s="4076">
        <f>+'Tables 2'!HO682</f>
        <v>63.910133543400001</v>
      </c>
      <c r="BZ441" s="3406">
        <f t="shared" si="1011"/>
        <v>131.3924556492</v>
      </c>
      <c r="CA441" s="4075">
        <f>+'Tables 2'!HQ682</f>
        <v>266.41964293336497</v>
      </c>
      <c r="CB441" s="4075">
        <f>+'Tables 2'!HR682</f>
        <v>266.41964293336497</v>
      </c>
      <c r="CC441" s="2134"/>
      <c r="CD441" s="2134"/>
      <c r="CE441" s="2134"/>
      <c r="CF441" s="2134"/>
      <c r="CG441" s="2134"/>
      <c r="CH441" s="740"/>
      <c r="CI441" s="740"/>
      <c r="CJ441" s="740"/>
      <c r="CK441" s="740"/>
      <c r="CL441" s="740"/>
      <c r="CM441" s="965"/>
      <c r="CN441" s="965"/>
      <c r="CO441" s="965"/>
      <c r="CP441" s="993"/>
      <c r="CQ441" s="308"/>
      <c r="CR441" s="308"/>
      <c r="CS441" s="308"/>
      <c r="CT441" s="308"/>
      <c r="CU441" s="308"/>
      <c r="CV441" s="308"/>
      <c r="CW441" s="308"/>
      <c r="CX441" s="308"/>
      <c r="CY441" s="308"/>
      <c r="CZ441" s="308"/>
      <c r="DA441" s="308"/>
      <c r="DB441" s="308"/>
      <c r="DC441" s="308"/>
      <c r="DD441" s="308"/>
      <c r="DE441" s="308"/>
      <c r="DF441" s="308"/>
      <c r="DG441" s="1701"/>
      <c r="DH441" s="741"/>
      <c r="DI441" s="742"/>
      <c r="DJ441" s="742"/>
      <c r="DK441" s="742"/>
      <c r="DL441" s="742"/>
      <c r="DM441" s="742"/>
      <c r="DN441" s="275"/>
      <c r="DO441" s="206"/>
      <c r="DP441"/>
      <c r="DQ441"/>
      <c r="DR441"/>
      <c r="DS441"/>
      <c r="DT441"/>
      <c r="DU441"/>
      <c r="DY441" s="308"/>
      <c r="DZ441" s="308"/>
    </row>
    <row r="442" spans="1:130" s="2252" customFormat="1" ht="12" customHeight="1">
      <c r="A442" s="2501" t="s">
        <v>1973</v>
      </c>
      <c r="B442" s="530"/>
      <c r="C442" s="530"/>
      <c r="D442" s="330"/>
      <c r="E442" s="330"/>
      <c r="F442" s="330"/>
      <c r="G442" s="330"/>
      <c r="H442" s="1950"/>
      <c r="I442" s="330"/>
      <c r="J442" s="330"/>
      <c r="K442" s="330"/>
      <c r="L442" s="330"/>
      <c r="M442" s="1950"/>
      <c r="N442" s="330"/>
      <c r="O442" s="330"/>
      <c r="P442" s="330"/>
      <c r="Q442" s="330"/>
      <c r="R442" s="1950"/>
      <c r="S442" s="330"/>
      <c r="T442" s="330"/>
      <c r="U442" s="330"/>
      <c r="V442" s="330"/>
      <c r="W442" s="1950"/>
      <c r="X442" s="330"/>
      <c r="Y442" s="330"/>
      <c r="Z442" s="330"/>
      <c r="AA442" s="330"/>
      <c r="AB442" s="1950"/>
      <c r="AC442" s="330"/>
      <c r="AD442" s="330"/>
      <c r="AE442" s="330"/>
      <c r="AF442" s="330"/>
      <c r="AG442" s="1950"/>
      <c r="AH442" s="330"/>
      <c r="AI442" s="330"/>
      <c r="AJ442" s="330"/>
      <c r="AK442" s="330"/>
      <c r="AL442" s="1950"/>
      <c r="AM442" s="330"/>
      <c r="AN442" s="330"/>
      <c r="AO442" s="330"/>
      <c r="AP442" s="330"/>
      <c r="AQ442" s="1950"/>
      <c r="AR442" s="330"/>
      <c r="AS442" s="330"/>
      <c r="AT442" s="330"/>
      <c r="AU442" s="330"/>
      <c r="AV442" s="1950"/>
      <c r="AW442" s="330"/>
      <c r="AX442" s="330"/>
      <c r="AY442" s="330"/>
      <c r="AZ442" s="330"/>
      <c r="BA442" s="1950"/>
      <c r="BB442" s="330"/>
      <c r="BC442" s="2740"/>
      <c r="BD442" s="2740"/>
      <c r="BE442" s="2740"/>
      <c r="BF442" s="1950"/>
      <c r="BG442" s="3118"/>
      <c r="BH442" s="3117"/>
      <c r="BI442" s="3117"/>
      <c r="BJ442" s="3117"/>
      <c r="BK442" s="1950"/>
      <c r="BL442" s="3117"/>
      <c r="BM442" s="3117"/>
      <c r="BN442" s="3117"/>
      <c r="BO442" s="3117"/>
      <c r="BP442" s="1950"/>
      <c r="BQ442" s="3933"/>
      <c r="BR442" s="3933"/>
      <c r="BS442" s="3933"/>
      <c r="BT442" s="1893"/>
      <c r="BU442" s="3406"/>
      <c r="BV442" s="626"/>
      <c r="BW442" s="626"/>
      <c r="BX442" s="4076">
        <f>+'Tables 2'!HN683</f>
        <v>47.693757910000002</v>
      </c>
      <c r="BY442" s="4076">
        <f>+'Tables 2'!HO683</f>
        <v>48.754160482019998</v>
      </c>
      <c r="BZ442" s="3406">
        <f t="shared" si="1011"/>
        <v>96.44791839202</v>
      </c>
      <c r="CA442" s="4075">
        <f>+'Tables 2'!HQ683</f>
        <v>196.99420865679059</v>
      </c>
      <c r="CB442" s="4075">
        <f>+'Tables 2'!HR683</f>
        <v>196.99420865679059</v>
      </c>
      <c r="CC442" s="2134"/>
      <c r="CD442" s="2134"/>
      <c r="CE442" s="2134"/>
      <c r="CF442" s="2134"/>
      <c r="CG442" s="2134"/>
      <c r="CH442" s="740"/>
      <c r="CI442" s="740"/>
      <c r="CJ442" s="740"/>
      <c r="CK442" s="740"/>
      <c r="CL442" s="740"/>
      <c r="CM442" s="965"/>
      <c r="CN442" s="965"/>
      <c r="CO442" s="965"/>
      <c r="CP442" s="993"/>
      <c r="CQ442" s="308"/>
      <c r="CR442" s="308"/>
      <c r="CS442" s="308"/>
      <c r="CT442" s="308"/>
      <c r="CU442" s="308"/>
      <c r="CV442" s="308"/>
      <c r="CW442" s="308"/>
      <c r="CX442" s="308"/>
      <c r="CY442" s="308"/>
      <c r="CZ442" s="308"/>
      <c r="DA442" s="308"/>
      <c r="DB442" s="308"/>
      <c r="DC442" s="308"/>
      <c r="DD442" s="308"/>
      <c r="DE442" s="308"/>
      <c r="DF442" s="308"/>
      <c r="DG442" s="1701"/>
      <c r="DH442" s="741"/>
      <c r="DI442" s="742"/>
      <c r="DJ442" s="742"/>
      <c r="DK442" s="742"/>
      <c r="DL442" s="742"/>
      <c r="DM442" s="742"/>
      <c r="DN442" s="275"/>
      <c r="DO442" s="206"/>
      <c r="DP442"/>
      <c r="DQ442"/>
      <c r="DR442"/>
      <c r="DS442"/>
      <c r="DT442"/>
      <c r="DU442"/>
      <c r="DY442" s="308"/>
      <c r="DZ442" s="308"/>
    </row>
    <row r="443" spans="1:130" s="2252" customFormat="1" ht="12" customHeight="1">
      <c r="A443" s="2501" t="s">
        <v>1974</v>
      </c>
      <c r="B443" s="530"/>
      <c r="C443" s="530"/>
      <c r="D443" s="330"/>
      <c r="E443" s="330"/>
      <c r="F443" s="330"/>
      <c r="G443" s="330"/>
      <c r="H443" s="1950"/>
      <c r="I443" s="330"/>
      <c r="J443" s="330"/>
      <c r="K443" s="330"/>
      <c r="L443" s="330"/>
      <c r="M443" s="1950"/>
      <c r="N443" s="330"/>
      <c r="O443" s="330"/>
      <c r="P443" s="330"/>
      <c r="Q443" s="330"/>
      <c r="R443" s="1950"/>
      <c r="S443" s="330"/>
      <c r="T443" s="330"/>
      <c r="U443" s="330"/>
      <c r="V443" s="330"/>
      <c r="W443" s="1950"/>
      <c r="X443" s="330"/>
      <c r="Y443" s="330"/>
      <c r="Z443" s="330"/>
      <c r="AA443" s="330"/>
      <c r="AB443" s="1950"/>
      <c r="AC443" s="330"/>
      <c r="AD443" s="330"/>
      <c r="AE443" s="330"/>
      <c r="AF443" s="330"/>
      <c r="AG443" s="1950"/>
      <c r="AH443" s="330"/>
      <c r="AI443" s="330"/>
      <c r="AJ443" s="330"/>
      <c r="AK443" s="330"/>
      <c r="AL443" s="1950"/>
      <c r="AM443" s="330"/>
      <c r="AN443" s="330"/>
      <c r="AO443" s="330"/>
      <c r="AP443" s="330"/>
      <c r="AQ443" s="1950"/>
      <c r="AR443" s="330"/>
      <c r="AS443" s="330"/>
      <c r="AT443" s="330"/>
      <c r="AU443" s="330"/>
      <c r="AV443" s="1950"/>
      <c r="AW443" s="330"/>
      <c r="AX443" s="330"/>
      <c r="AY443" s="330"/>
      <c r="AZ443" s="330"/>
      <c r="BA443" s="1950"/>
      <c r="BB443" s="330"/>
      <c r="BC443" s="2740"/>
      <c r="BD443" s="2740"/>
      <c r="BE443" s="2740"/>
      <c r="BF443" s="1950"/>
      <c r="BG443" s="3118"/>
      <c r="BH443" s="3117"/>
      <c r="BI443" s="3117"/>
      <c r="BJ443" s="3117"/>
      <c r="BK443" s="1950"/>
      <c r="BL443" s="3117"/>
      <c r="BM443" s="3117"/>
      <c r="BN443" s="3117"/>
      <c r="BO443" s="3117"/>
      <c r="BP443" s="1950"/>
      <c r="BQ443" s="3933"/>
      <c r="BR443" s="3933"/>
      <c r="BS443" s="3933"/>
      <c r="BT443" s="1893"/>
      <c r="BU443" s="3406"/>
      <c r="BV443" s="626"/>
      <c r="BW443" s="626"/>
      <c r="BX443" s="4076">
        <f>+'Tables 2'!HN684</f>
        <v>28.812289</v>
      </c>
      <c r="BY443" s="4076">
        <f>+'Tables 2'!HO684</f>
        <v>27.258078999999999</v>
      </c>
      <c r="BZ443" s="3406">
        <f t="shared" si="1011"/>
        <v>56.070368000000002</v>
      </c>
      <c r="CA443" s="4075">
        <f>+'Tables 2'!HQ684</f>
        <v>111.92938271000001</v>
      </c>
      <c r="CB443" s="4075">
        <f>+'Tables 2'!HR684</f>
        <v>111.92938271000001</v>
      </c>
      <c r="CC443" s="2134"/>
      <c r="CD443" s="2134"/>
      <c r="CE443" s="2134"/>
      <c r="CF443" s="2134"/>
      <c r="CG443" s="2134"/>
      <c r="CH443" s="740"/>
      <c r="CI443" s="740"/>
      <c r="CJ443" s="740"/>
      <c r="CK443" s="740"/>
      <c r="CL443" s="740"/>
      <c r="CM443" s="965"/>
      <c r="CN443" s="965"/>
      <c r="CO443" s="965"/>
      <c r="CP443" s="993"/>
      <c r="CQ443" s="308"/>
      <c r="CR443" s="308"/>
      <c r="CS443" s="308"/>
      <c r="CT443" s="308"/>
      <c r="CU443" s="308"/>
      <c r="CV443" s="308"/>
      <c r="CW443" s="308"/>
      <c r="CX443" s="308"/>
      <c r="CY443" s="308"/>
      <c r="CZ443" s="308"/>
      <c r="DA443" s="308"/>
      <c r="DB443" s="308"/>
      <c r="DC443" s="308"/>
      <c r="DD443" s="308"/>
      <c r="DE443" s="308"/>
      <c r="DF443" s="308"/>
      <c r="DG443" s="1701"/>
      <c r="DH443" s="741"/>
      <c r="DI443" s="742"/>
      <c r="DJ443" s="742"/>
      <c r="DK443" s="742"/>
      <c r="DL443" s="742"/>
      <c r="DM443" s="742"/>
      <c r="DN443" s="275"/>
      <c r="DO443" s="206"/>
      <c r="DP443"/>
      <c r="DQ443"/>
      <c r="DR443"/>
      <c r="DS443"/>
      <c r="DT443"/>
      <c r="DU443"/>
      <c r="DY443" s="308"/>
      <c r="DZ443" s="308"/>
    </row>
    <row r="444" spans="1:130" s="2252" customFormat="1" ht="12" customHeight="1">
      <c r="A444" s="2501" t="s">
        <v>1975</v>
      </c>
      <c r="B444" s="530"/>
      <c r="C444" s="530"/>
      <c r="D444" s="330"/>
      <c r="E444" s="330"/>
      <c r="F444" s="330"/>
      <c r="G444" s="330"/>
      <c r="H444" s="1950"/>
      <c r="I444" s="330"/>
      <c r="J444" s="330"/>
      <c r="K444" s="330"/>
      <c r="L444" s="330"/>
      <c r="M444" s="1950"/>
      <c r="N444" s="330"/>
      <c r="O444" s="330"/>
      <c r="P444" s="330"/>
      <c r="Q444" s="330"/>
      <c r="R444" s="1950"/>
      <c r="S444" s="330"/>
      <c r="T444" s="330"/>
      <c r="U444" s="330"/>
      <c r="V444" s="330"/>
      <c r="W444" s="1950"/>
      <c r="X444" s="330"/>
      <c r="Y444" s="330"/>
      <c r="Z444" s="330"/>
      <c r="AA444" s="330"/>
      <c r="AB444" s="1950"/>
      <c r="AC444" s="330"/>
      <c r="AD444" s="330"/>
      <c r="AE444" s="330"/>
      <c r="AF444" s="330"/>
      <c r="AG444" s="1950"/>
      <c r="AH444" s="330"/>
      <c r="AI444" s="330"/>
      <c r="AJ444" s="330"/>
      <c r="AK444" s="330"/>
      <c r="AL444" s="1950"/>
      <c r="AM444" s="330"/>
      <c r="AN444" s="330"/>
      <c r="AO444" s="330"/>
      <c r="AP444" s="330"/>
      <c r="AQ444" s="1950"/>
      <c r="AR444" s="330"/>
      <c r="AS444" s="330"/>
      <c r="AT444" s="330"/>
      <c r="AU444" s="330"/>
      <c r="AV444" s="1950"/>
      <c r="AW444" s="330"/>
      <c r="AX444" s="330"/>
      <c r="AY444" s="330"/>
      <c r="AZ444" s="330"/>
      <c r="BA444" s="1950"/>
      <c r="BB444" s="330"/>
      <c r="BC444" s="2740"/>
      <c r="BD444" s="2740"/>
      <c r="BE444" s="2740"/>
      <c r="BF444" s="1950"/>
      <c r="BG444" s="3118"/>
      <c r="BH444" s="3117"/>
      <c r="BI444" s="3117"/>
      <c r="BJ444" s="3117"/>
      <c r="BK444" s="1950"/>
      <c r="BL444" s="3117"/>
      <c r="BM444" s="3117"/>
      <c r="BN444" s="3117"/>
      <c r="BO444" s="3117"/>
      <c r="BP444" s="1950"/>
      <c r="BQ444" s="3933"/>
      <c r="BR444" s="3933"/>
      <c r="BS444" s="3933"/>
      <c r="BT444" s="1893"/>
      <c r="BU444" s="3406"/>
      <c r="BV444" s="626"/>
      <c r="BW444" s="626"/>
      <c r="BX444" s="4076">
        <f>+'Tables 2'!HN685</f>
        <v>22.270840200000002</v>
      </c>
      <c r="BY444" s="4076">
        <f>+'Tables 2'!HO685</f>
        <v>20.618414774999998</v>
      </c>
      <c r="BZ444" s="3406">
        <f t="shared" si="1011"/>
        <v>42.889254975</v>
      </c>
      <c r="CA444" s="4075">
        <f>+'Tables 2'!HQ685</f>
        <v>90.176315591250003</v>
      </c>
      <c r="CB444" s="4075">
        <f>+'Tables 2'!HR685</f>
        <v>94.685131370812513</v>
      </c>
      <c r="CC444" s="2134"/>
      <c r="CD444" s="2134"/>
      <c r="CE444" s="2134"/>
      <c r="CF444" s="2134"/>
      <c r="CG444" s="2134"/>
      <c r="CH444" s="740"/>
      <c r="CI444" s="740"/>
      <c r="CJ444" s="740"/>
      <c r="CK444" s="740"/>
      <c r="CL444" s="740"/>
      <c r="CM444" s="965"/>
      <c r="CN444" s="965"/>
      <c r="CO444" s="965"/>
      <c r="CP444" s="993"/>
      <c r="CQ444" s="308"/>
      <c r="CR444" s="308"/>
      <c r="CS444" s="308"/>
      <c r="CT444" s="308"/>
      <c r="CU444" s="308"/>
      <c r="CV444" s="308"/>
      <c r="CW444" s="308"/>
      <c r="CX444" s="308"/>
      <c r="CY444" s="308"/>
      <c r="CZ444" s="308"/>
      <c r="DA444" s="308"/>
      <c r="DB444" s="308"/>
      <c r="DC444" s="308"/>
      <c r="DD444" s="308"/>
      <c r="DE444" s="308"/>
      <c r="DF444" s="308"/>
      <c r="DG444" s="1701"/>
      <c r="DH444" s="741"/>
      <c r="DI444" s="742"/>
      <c r="DJ444" s="742"/>
      <c r="DK444" s="742"/>
      <c r="DL444" s="742"/>
      <c r="DM444" s="742"/>
      <c r="DN444" s="275"/>
      <c r="DO444" s="206"/>
      <c r="DP444"/>
      <c r="DQ444"/>
      <c r="DR444"/>
      <c r="DS444"/>
      <c r="DT444"/>
      <c r="DU444"/>
      <c r="DY444" s="308"/>
      <c r="DZ444" s="308"/>
    </row>
    <row r="445" spans="1:130" s="2252" customFormat="1" ht="12" customHeight="1">
      <c r="A445" s="2501" t="s">
        <v>2002</v>
      </c>
      <c r="B445" s="530"/>
      <c r="C445" s="530"/>
      <c r="D445" s="330"/>
      <c r="E445" s="330"/>
      <c r="F445" s="330"/>
      <c r="G445" s="330"/>
      <c r="H445" s="1950"/>
      <c r="I445" s="330"/>
      <c r="J445" s="330"/>
      <c r="K445" s="330"/>
      <c r="L445" s="330"/>
      <c r="M445" s="1950"/>
      <c r="N445" s="330"/>
      <c r="O445" s="330"/>
      <c r="P445" s="330"/>
      <c r="Q445" s="330"/>
      <c r="R445" s="1950"/>
      <c r="S445" s="330"/>
      <c r="T445" s="330"/>
      <c r="U445" s="330"/>
      <c r="V445" s="330"/>
      <c r="W445" s="1950"/>
      <c r="X445" s="330"/>
      <c r="Y445" s="330"/>
      <c r="Z445" s="330"/>
      <c r="AA445" s="330"/>
      <c r="AB445" s="1950"/>
      <c r="AC445" s="330"/>
      <c r="AD445" s="330"/>
      <c r="AE445" s="330"/>
      <c r="AF445" s="330"/>
      <c r="AG445" s="1950"/>
      <c r="AH445" s="330"/>
      <c r="AI445" s="330"/>
      <c r="AJ445" s="330"/>
      <c r="AK445" s="330"/>
      <c r="AL445" s="1950"/>
      <c r="AM445" s="330"/>
      <c r="AN445" s="330"/>
      <c r="AO445" s="330"/>
      <c r="AP445" s="330"/>
      <c r="AQ445" s="1950"/>
      <c r="AR445" s="330"/>
      <c r="AS445" s="330"/>
      <c r="AT445" s="330"/>
      <c r="AU445" s="330"/>
      <c r="AV445" s="1950"/>
      <c r="AW445" s="330"/>
      <c r="AX445" s="330"/>
      <c r="AY445" s="330"/>
      <c r="AZ445" s="330"/>
      <c r="BA445" s="1950"/>
      <c r="BB445" s="330"/>
      <c r="BC445" s="2740"/>
      <c r="BD445" s="2740"/>
      <c r="BE445" s="2740"/>
      <c r="BF445" s="1950"/>
      <c r="BG445" s="3118"/>
      <c r="BH445" s="3117"/>
      <c r="BI445" s="3117"/>
      <c r="BJ445" s="3117"/>
      <c r="BK445" s="1950"/>
      <c r="BL445" s="3117"/>
      <c r="BM445" s="3117"/>
      <c r="BN445" s="3117"/>
      <c r="BO445" s="3117"/>
      <c r="BP445" s="1950"/>
      <c r="BQ445" s="3933"/>
      <c r="BR445" s="3933"/>
      <c r="BS445" s="3933"/>
      <c r="BT445" s="1893"/>
      <c r="BU445" s="3406"/>
      <c r="BV445" s="626"/>
      <c r="BW445" s="626"/>
      <c r="BX445" s="4076">
        <f>+'Tables 2'!HN718</f>
        <v>35.031960236000039</v>
      </c>
      <c r="BY445" s="4076">
        <f>+'Tables 2'!HO718</f>
        <v>34.557311039971864</v>
      </c>
      <c r="BZ445" s="3406">
        <f t="shared" si="1011"/>
        <v>69.589271275971896</v>
      </c>
      <c r="CA445" s="4075">
        <f>+'Tables 2'!HQ718</f>
        <v>137.03760576222135</v>
      </c>
      <c r="CB445" s="4075">
        <f>+'Tables 2'!HR718</f>
        <v>137.32081798419483</v>
      </c>
      <c r="CC445" s="2134"/>
      <c r="CD445" s="2134"/>
      <c r="CE445" s="2134"/>
      <c r="CF445" s="2134"/>
      <c r="CG445" s="2134"/>
      <c r="CH445" s="740"/>
      <c r="CI445" s="740"/>
      <c r="CJ445" s="740"/>
      <c r="CK445" s="740"/>
      <c r="CL445" s="740"/>
      <c r="CM445" s="965"/>
      <c r="CN445" s="965"/>
      <c r="CO445" s="965"/>
      <c r="CP445" s="993"/>
      <c r="CQ445" s="308"/>
      <c r="CR445" s="308"/>
      <c r="CS445" s="308"/>
      <c r="CT445" s="308"/>
      <c r="CU445" s="308"/>
      <c r="CV445" s="308"/>
      <c r="CW445" s="308"/>
      <c r="CX445" s="308"/>
      <c r="CY445" s="308"/>
      <c r="CZ445" s="308"/>
      <c r="DA445" s="308"/>
      <c r="DB445" s="308"/>
      <c r="DC445" s="308"/>
      <c r="DD445" s="308"/>
      <c r="DE445" s="308"/>
      <c r="DF445" s="308"/>
      <c r="DG445" s="1701"/>
      <c r="DH445" s="741"/>
      <c r="DI445" s="742"/>
      <c r="DJ445" s="742"/>
      <c r="DK445" s="742"/>
      <c r="DL445" s="742"/>
      <c r="DM445" s="742"/>
      <c r="DN445" s="275"/>
      <c r="DO445" s="206"/>
      <c r="DP445"/>
      <c r="DQ445"/>
      <c r="DR445"/>
      <c r="DS445"/>
      <c r="DT445"/>
      <c r="DU445"/>
      <c r="DY445" s="308"/>
      <c r="DZ445" s="308"/>
    </row>
    <row r="446" spans="1:130" ht="4.5" customHeight="1">
      <c r="A446" s="962"/>
      <c r="B446" s="293"/>
      <c r="C446" s="293"/>
      <c r="D446" s="294" t="s">
        <v>343</v>
      </c>
      <c r="E446" s="295" t="s">
        <v>343</v>
      </c>
      <c r="F446" s="295" t="s">
        <v>343</v>
      </c>
      <c r="G446" s="295" t="s">
        <v>343</v>
      </c>
      <c r="H446" s="296" t="s">
        <v>343</v>
      </c>
      <c r="I446" s="295" t="s">
        <v>343</v>
      </c>
      <c r="J446" s="295" t="s">
        <v>343</v>
      </c>
      <c r="K446" s="295" t="s">
        <v>343</v>
      </c>
      <c r="L446" s="295" t="s">
        <v>343</v>
      </c>
      <c r="M446" s="296" t="s">
        <v>343</v>
      </c>
      <c r="N446" s="295" t="s">
        <v>343</v>
      </c>
      <c r="O446" s="295" t="s">
        <v>343</v>
      </c>
      <c r="P446" s="295" t="s">
        <v>343</v>
      </c>
      <c r="Q446" s="295" t="s">
        <v>343</v>
      </c>
      <c r="R446" s="296" t="s">
        <v>343</v>
      </c>
      <c r="S446" s="295" t="s">
        <v>343</v>
      </c>
      <c r="T446" s="295" t="s">
        <v>343</v>
      </c>
      <c r="U446" s="295" t="s">
        <v>343</v>
      </c>
      <c r="V446" s="295" t="s">
        <v>343</v>
      </c>
      <c r="W446" s="296" t="s">
        <v>343</v>
      </c>
      <c r="X446" s="295" t="s">
        <v>343</v>
      </c>
      <c r="Y446" s="295" t="s">
        <v>343</v>
      </c>
      <c r="Z446" s="295" t="s">
        <v>343</v>
      </c>
      <c r="AA446" s="295" t="s">
        <v>343</v>
      </c>
      <c r="AB446" s="296" t="s">
        <v>343</v>
      </c>
      <c r="AC446" s="295" t="s">
        <v>343</v>
      </c>
      <c r="AD446" s="295" t="s">
        <v>343</v>
      </c>
      <c r="AE446" s="295" t="s">
        <v>343</v>
      </c>
      <c r="AF446" s="295" t="s">
        <v>343</v>
      </c>
      <c r="AG446" s="296" t="s">
        <v>343</v>
      </c>
      <c r="AH446" s="295" t="s">
        <v>343</v>
      </c>
      <c r="AI446" s="295" t="s">
        <v>343</v>
      </c>
      <c r="AJ446" s="295" t="s">
        <v>343</v>
      </c>
      <c r="AK446" s="295" t="s">
        <v>343</v>
      </c>
      <c r="AL446" s="296" t="s">
        <v>343</v>
      </c>
      <c r="AM446" s="295" t="s">
        <v>343</v>
      </c>
      <c r="AN446" s="295" t="s">
        <v>343</v>
      </c>
      <c r="AO446" s="295" t="s">
        <v>343</v>
      </c>
      <c r="AP446" s="295" t="s">
        <v>343</v>
      </c>
      <c r="AQ446" s="296" t="s">
        <v>343</v>
      </c>
      <c r="AR446" s="295" t="s">
        <v>343</v>
      </c>
      <c r="AS446" s="295" t="s">
        <v>343</v>
      </c>
      <c r="AT446" s="295" t="s">
        <v>343</v>
      </c>
      <c r="AU446" s="295" t="s">
        <v>343</v>
      </c>
      <c r="AV446" s="296" t="s">
        <v>343</v>
      </c>
      <c r="AW446" s="295" t="s">
        <v>343</v>
      </c>
      <c r="AX446" s="295" t="s">
        <v>343</v>
      </c>
      <c r="AY446" s="295" t="s">
        <v>343</v>
      </c>
      <c r="AZ446" s="295" t="s">
        <v>343</v>
      </c>
      <c r="BA446" s="296" t="s">
        <v>343</v>
      </c>
      <c r="BB446" s="295" t="s">
        <v>343</v>
      </c>
      <c r="BC446" s="295" t="s">
        <v>343</v>
      </c>
      <c r="BD446" s="295" t="s">
        <v>343</v>
      </c>
      <c r="BE446" s="295" t="s">
        <v>343</v>
      </c>
      <c r="BF446" s="296" t="s">
        <v>343</v>
      </c>
      <c r="BG446" s="294" t="s">
        <v>343</v>
      </c>
      <c r="BH446" s="295" t="s">
        <v>343</v>
      </c>
      <c r="BI446" s="295" t="s">
        <v>343</v>
      </c>
      <c r="BJ446" s="297" t="s">
        <v>343</v>
      </c>
      <c r="BK446" s="296" t="s">
        <v>343</v>
      </c>
      <c r="BL446" s="295" t="s">
        <v>343</v>
      </c>
      <c r="BM446" s="295" t="s">
        <v>343</v>
      </c>
      <c r="BN446" s="295" t="s">
        <v>343</v>
      </c>
      <c r="BO446" s="297" t="s">
        <v>343</v>
      </c>
      <c r="BP446" s="296" t="s">
        <v>343</v>
      </c>
      <c r="BQ446" s="295" t="s">
        <v>343</v>
      </c>
      <c r="BR446" s="295" t="s">
        <v>343</v>
      </c>
      <c r="BS446" s="295" t="s">
        <v>343</v>
      </c>
      <c r="BT446" s="297" t="s">
        <v>343</v>
      </c>
      <c r="BU446" s="3314" t="s">
        <v>343</v>
      </c>
      <c r="BV446" s="295" t="s">
        <v>343</v>
      </c>
      <c r="BW446" s="295" t="s">
        <v>343</v>
      </c>
      <c r="BX446" s="295" t="s">
        <v>343</v>
      </c>
      <c r="BY446" s="295" t="s">
        <v>343</v>
      </c>
      <c r="BZ446" s="3314" t="s">
        <v>343</v>
      </c>
      <c r="CA446" s="297" t="s">
        <v>343</v>
      </c>
      <c r="CB446" s="297" t="s">
        <v>343</v>
      </c>
      <c r="CC446" s="297" t="s">
        <v>343</v>
      </c>
      <c r="CD446" s="297" t="s">
        <v>343</v>
      </c>
      <c r="CE446" s="297" t="s">
        <v>343</v>
      </c>
      <c r="CF446" s="297" t="s">
        <v>343</v>
      </c>
      <c r="CG446" s="297" t="s">
        <v>343</v>
      </c>
      <c r="CH446" s="295"/>
      <c r="CI446" s="295"/>
      <c r="CJ446" s="295"/>
      <c r="CK446" s="295"/>
      <c r="CL446" s="295"/>
      <c r="CM446" s="965"/>
      <c r="CN446" s="965">
        <f t="shared" si="974"/>
        <v>0</v>
      </c>
      <c r="CO446" s="965">
        <f t="shared" si="975"/>
        <v>0</v>
      </c>
      <c r="CP446" s="1784"/>
      <c r="CQ446" s="295" t="str">
        <f t="shared" si="1000"/>
        <v xml:space="preserve">                </v>
      </c>
      <c r="CR446" s="295" t="str">
        <f t="shared" si="1001"/>
        <v xml:space="preserve">                </v>
      </c>
      <c r="CS446" s="295" t="str">
        <f t="shared" si="1002"/>
        <v xml:space="preserve">                </v>
      </c>
      <c r="CT446" s="295" t="str">
        <f t="shared" si="1003"/>
        <v xml:space="preserve">                </v>
      </c>
      <c r="CU446" s="295" t="str">
        <f t="shared" si="1004"/>
        <v xml:space="preserve">                </v>
      </c>
      <c r="CV446" s="295" t="str">
        <f t="shared" si="1005"/>
        <v xml:space="preserve">                </v>
      </c>
      <c r="CW446" s="295" t="str">
        <f t="shared" si="1006"/>
        <v xml:space="preserve">                </v>
      </c>
      <c r="CX446" s="295" t="str">
        <f t="shared" si="976"/>
        <v xml:space="preserve">                </v>
      </c>
      <c r="CY446" s="295" t="str">
        <f t="shared" si="977"/>
        <v xml:space="preserve">                </v>
      </c>
      <c r="CZ446" s="295" t="str">
        <f t="shared" si="978"/>
        <v xml:space="preserve">                </v>
      </c>
      <c r="DA446" s="295" t="str">
        <f t="shared" si="979"/>
        <v xml:space="preserve">                </v>
      </c>
      <c r="DB446" s="295" t="str">
        <f t="shared" si="980"/>
        <v xml:space="preserve">                </v>
      </c>
      <c r="DC446" s="295" t="str">
        <f t="shared" si="981"/>
        <v xml:space="preserve">                </v>
      </c>
      <c r="DD446" s="295" t="str">
        <f t="shared" si="982"/>
        <v xml:space="preserve">                </v>
      </c>
      <c r="DE446" s="295" t="str">
        <f t="shared" si="983"/>
        <v xml:space="preserve">                </v>
      </c>
      <c r="DF446" s="295" t="str">
        <f t="shared" si="984"/>
        <v xml:space="preserve">                </v>
      </c>
      <c r="DG446" s="297" t="str">
        <f t="shared" si="985"/>
        <v xml:space="preserve">                </v>
      </c>
      <c r="DH446" s="298"/>
      <c r="DI446" s="299"/>
      <c r="DJ446" s="299"/>
      <c r="DK446" s="299"/>
      <c r="DL446" s="299"/>
      <c r="DM446" s="299"/>
      <c r="DN446" s="299"/>
      <c r="DO446" s="300"/>
      <c r="DY446" s="295"/>
      <c r="DZ446" s="295"/>
    </row>
    <row r="447" spans="1:130" ht="12" customHeight="1">
      <c r="A447" s="896" t="s">
        <v>668</v>
      </c>
      <c r="B447" s="837"/>
      <c r="C447" s="837"/>
      <c r="D447" s="1662">
        <f>SUM(D430:D435)</f>
        <v>182.41203791999999</v>
      </c>
      <c r="E447" s="1031">
        <f>SUM(E430:E435)</f>
        <v>194.3532112</v>
      </c>
      <c r="F447" s="1031">
        <f>SUM(F430:F435)</f>
        <v>221.04926598</v>
      </c>
      <c r="G447" s="1663">
        <f>SUM(G430:G435)</f>
        <v>205.17656862999999</v>
      </c>
      <c r="H447" s="1030">
        <f t="shared" si="986"/>
        <v>802.99108373000001</v>
      </c>
      <c r="I447" s="1662">
        <f>SUM(I430:I435)</f>
        <v>223.88844768999999</v>
      </c>
      <c r="J447" s="1031">
        <f>SUM(J430:J435)</f>
        <v>220.98212272000001</v>
      </c>
      <c r="K447" s="1031">
        <f>SUM(K430:K435)</f>
        <v>207.62195399999999</v>
      </c>
      <c r="L447" s="1663">
        <f>SUM(L430:L435)</f>
        <v>211.97998600000003</v>
      </c>
      <c r="M447" s="1030">
        <f t="shared" si="987"/>
        <v>864.47251041000004</v>
      </c>
      <c r="N447" s="1662">
        <f>SUM(N430:N435)</f>
        <v>264.195672</v>
      </c>
      <c r="O447" s="1031">
        <f>SUM(O430:O435)</f>
        <v>245.62864160000001</v>
      </c>
      <c r="P447" s="1031">
        <f>SUM(P430:P435)</f>
        <v>244.54220535999997</v>
      </c>
      <c r="Q447" s="1663">
        <f>SUM(Q430:Q435)</f>
        <v>226.20983760000001</v>
      </c>
      <c r="R447" s="1030">
        <f t="shared" si="988"/>
        <v>980.57635655999991</v>
      </c>
      <c r="S447" s="1662">
        <f>SUM(S430:S435)</f>
        <v>236.4437776</v>
      </c>
      <c r="T447" s="1031">
        <f>SUM(T430:T435)</f>
        <v>238.21941326000001</v>
      </c>
      <c r="U447" s="1031">
        <f>SUM(U430:U435)</f>
        <v>234.42350443999999</v>
      </c>
      <c r="V447" s="1663">
        <f>SUM(V430:V435)</f>
        <v>204.58967420000005</v>
      </c>
      <c r="W447" s="1030">
        <f t="shared" si="989"/>
        <v>913.67636949999996</v>
      </c>
      <c r="X447" s="1662">
        <f>SUM(X430:X435)</f>
        <v>212.44721630000001</v>
      </c>
      <c r="Y447" s="1031">
        <f>SUM(Y430:Y435)</f>
        <v>207.39693295000001</v>
      </c>
      <c r="Z447" s="1031">
        <f>SUM(Z430:Z435)</f>
        <v>198.38135019000003</v>
      </c>
      <c r="AA447" s="1663">
        <f>SUM(AA430:AA435)</f>
        <v>196.26899333</v>
      </c>
      <c r="AB447" s="1030">
        <f t="shared" si="990"/>
        <v>814.49449277000008</v>
      </c>
      <c r="AC447" s="1662">
        <f>SUM(AC430:AC435)</f>
        <v>213.89779591000001</v>
      </c>
      <c r="AD447" s="1031">
        <f>SUM(AD430:AD435)</f>
        <v>211.08063891999998</v>
      </c>
      <c r="AE447" s="1031">
        <f>SUM(AE430:AE435)</f>
        <v>203.23724656000002</v>
      </c>
      <c r="AF447" s="1663">
        <f>SUM(AF430:AF435)</f>
        <v>182.78711379999999</v>
      </c>
      <c r="AG447" s="1030">
        <f t="shared" si="991"/>
        <v>811.00279518999992</v>
      </c>
      <c r="AH447" s="1662">
        <f>SUM(AH430:AH435)</f>
        <v>197.40722510322968</v>
      </c>
      <c r="AI447" s="1031">
        <f>SUM(AI430:AI435)</f>
        <v>197.14213749782897</v>
      </c>
      <c r="AJ447" s="1031">
        <f>SUM(AJ430:AJ435)</f>
        <v>204.28586228508277</v>
      </c>
      <c r="AK447" s="1663">
        <f>SUM(AK430:AK435)</f>
        <v>185.81643121065886</v>
      </c>
      <c r="AL447" s="1030">
        <f t="shared" si="992"/>
        <v>784.65165609680025</v>
      </c>
      <c r="AM447" s="1031">
        <f>SUM(AM430:AM435)</f>
        <v>195.33541980322968</v>
      </c>
      <c r="AN447" s="1031">
        <f t="shared" ref="AN447:AO447" si="1024">SUM(AN430:AN435)</f>
        <v>193.85129178337172</v>
      </c>
      <c r="AO447" s="1031">
        <f t="shared" si="1024"/>
        <v>202.17680030938109</v>
      </c>
      <c r="AP447" s="1663">
        <f>SUM(AP429:AP435)</f>
        <v>229.95793678924565</v>
      </c>
      <c r="AQ447" s="1030">
        <f t="shared" ref="AQ447" si="1025">SUM(AQ430:AQ440)</f>
        <v>1084.899231185228</v>
      </c>
      <c r="AR447" s="1031">
        <f>SUM(AR429:AR435)</f>
        <v>251.56952419322965</v>
      </c>
      <c r="AS447" s="1031">
        <f>SUM(AS429:AS435)</f>
        <v>246.89575997038324</v>
      </c>
      <c r="AT447" s="1031">
        <f>SUM(AT429:AT435)</f>
        <v>248.23913706999969</v>
      </c>
      <c r="AU447" s="3893">
        <f>SUM(AU429:AU440)</f>
        <v>347.05545658166079</v>
      </c>
      <c r="AV447" s="1030">
        <f>SUM(AV429:AV440)</f>
        <v>1470.1890787052732</v>
      </c>
      <c r="AW447" s="1031">
        <f t="shared" ref="AW447:CG447" si="1026">SUM(AW429:AW440)</f>
        <v>369.77942374806821</v>
      </c>
      <c r="AX447" s="1031">
        <f t="shared" si="1026"/>
        <v>364.03149465857172</v>
      </c>
      <c r="AY447" s="1031">
        <f t="shared" si="1026"/>
        <v>355.44031449699975</v>
      </c>
      <c r="AZ447" s="1031">
        <f t="shared" si="1026"/>
        <v>326.98977681661091</v>
      </c>
      <c r="BA447" s="1030">
        <f t="shared" si="1026"/>
        <v>1416.2410097202505</v>
      </c>
      <c r="BB447" s="1031">
        <f t="shared" si="1026"/>
        <v>340.52614732870336</v>
      </c>
      <c r="BC447" s="1031">
        <f t="shared" si="1026"/>
        <v>340.47915878087173</v>
      </c>
      <c r="BD447" s="1031">
        <f t="shared" si="1026"/>
        <v>340.67610422564974</v>
      </c>
      <c r="BE447" s="1031">
        <f t="shared" si="1026"/>
        <v>326.46883540147871</v>
      </c>
      <c r="BF447" s="1030">
        <f>SUM(BF429:BF446)</f>
        <v>1348.1502457367037</v>
      </c>
      <c r="BG447" s="1662">
        <f t="shared" ref="BG447:CB447" si="1027">SUM(BG429:BG446)</f>
        <v>345.19054936491636</v>
      </c>
      <c r="BH447" s="1031">
        <f t="shared" si="1027"/>
        <v>348.18110972087169</v>
      </c>
      <c r="BI447" s="1031">
        <f t="shared" si="1027"/>
        <v>342.20845457159322</v>
      </c>
      <c r="BJ447" s="1663">
        <f t="shared" si="1027"/>
        <v>324.87759275830831</v>
      </c>
      <c r="BK447" s="1030">
        <f t="shared" si="1027"/>
        <v>1360.4577064156897</v>
      </c>
      <c r="BL447" s="1031">
        <f t="shared" si="1027"/>
        <v>338.51038013516552</v>
      </c>
      <c r="BM447" s="1031">
        <f t="shared" si="1027"/>
        <v>332.52142194587162</v>
      </c>
      <c r="BN447" s="1031">
        <f t="shared" si="1027"/>
        <v>329.19434175677725</v>
      </c>
      <c r="BO447" s="1663">
        <f t="shared" si="1027"/>
        <v>310.43474494085905</v>
      </c>
      <c r="BP447" s="1030">
        <f t="shared" si="1027"/>
        <v>1310.6608887786733</v>
      </c>
      <c r="BQ447" s="1031">
        <f t="shared" si="1027"/>
        <v>327.58443051990719</v>
      </c>
      <c r="BR447" s="1031">
        <f t="shared" si="1027"/>
        <v>330.67403033132808</v>
      </c>
      <c r="BS447" s="1031">
        <f t="shared" si="1027"/>
        <v>325.67373506433842</v>
      </c>
      <c r="BT447" s="1663">
        <f t="shared" si="1027"/>
        <v>311.21089524097192</v>
      </c>
      <c r="BU447" s="3319">
        <f t="shared" si="1027"/>
        <v>1295.1430911565458</v>
      </c>
      <c r="BV447" s="1031">
        <f t="shared" si="1027"/>
        <v>325.00408793748704</v>
      </c>
      <c r="BW447" s="1031">
        <f t="shared" si="1027"/>
        <v>326.88652172515054</v>
      </c>
      <c r="BX447" s="1031">
        <f t="shared" si="1027"/>
        <v>525.02666522397158</v>
      </c>
      <c r="BY447" s="1031">
        <f t="shared" si="1027"/>
        <v>508.15788509015334</v>
      </c>
      <c r="BZ447" s="3319">
        <f t="shared" si="1027"/>
        <v>1685.0751599767623</v>
      </c>
      <c r="CA447" s="1030">
        <f t="shared" si="1027"/>
        <v>2096.7959285611278</v>
      </c>
      <c r="CB447" s="1030">
        <f t="shared" si="1027"/>
        <v>2101.5879565626637</v>
      </c>
      <c r="CC447" s="1030">
        <f t="shared" si="1026"/>
        <v>1229.5268342621257</v>
      </c>
      <c r="CD447" s="1030">
        <f t="shared" si="1026"/>
        <v>1168.0504925490193</v>
      </c>
      <c r="CE447" s="1030">
        <f t="shared" si="1026"/>
        <v>1191.4115023999998</v>
      </c>
      <c r="CF447" s="1030">
        <f t="shared" si="1026"/>
        <v>1215.239732448</v>
      </c>
      <c r="CG447" s="1030">
        <f t="shared" si="1026"/>
        <v>1239.5445270969599</v>
      </c>
      <c r="CH447" s="665"/>
      <c r="CI447" s="665"/>
      <c r="CJ447" s="665"/>
      <c r="CK447" s="665"/>
      <c r="CL447" s="665"/>
      <c r="CM447" s="965"/>
      <c r="CN447" s="965">
        <f t="shared" si="974"/>
        <v>1685.0751599767625</v>
      </c>
      <c r="CO447" s="965">
        <f t="shared" si="975"/>
        <v>-1685.0751599767625</v>
      </c>
      <c r="CP447" s="1882" t="str">
        <f>A447</f>
        <v>Total Casino Revenue</v>
      </c>
      <c r="CQ447" s="1031">
        <f t="shared" si="1000"/>
        <v>802.99108373000001</v>
      </c>
      <c r="CR447" s="1031">
        <f t="shared" si="1001"/>
        <v>864.47251041000004</v>
      </c>
      <c r="CS447" s="1031">
        <f t="shared" si="1002"/>
        <v>980.57635655999991</v>
      </c>
      <c r="CT447" s="1031">
        <f t="shared" si="1003"/>
        <v>913.67636949999996</v>
      </c>
      <c r="CU447" s="1031">
        <f t="shared" si="1004"/>
        <v>814.49449277000008</v>
      </c>
      <c r="CV447" s="1031">
        <f t="shared" si="1005"/>
        <v>811.00279518999992</v>
      </c>
      <c r="CW447" s="1031">
        <f t="shared" si="1006"/>
        <v>784.65165609680025</v>
      </c>
      <c r="CX447" s="1031">
        <f t="shared" si="976"/>
        <v>1084.899231185228</v>
      </c>
      <c r="CY447" s="1031">
        <f t="shared" si="977"/>
        <v>1470.1890787052732</v>
      </c>
      <c r="CZ447" s="1031">
        <f t="shared" si="978"/>
        <v>1416.2410097202505</v>
      </c>
      <c r="DA447" s="1031">
        <f t="shared" si="979"/>
        <v>1348.1502457367037</v>
      </c>
      <c r="DB447" s="1031">
        <f t="shared" si="980"/>
        <v>1360.4577064156897</v>
      </c>
      <c r="DC447" s="1031">
        <f t="shared" si="981"/>
        <v>1310.6608887786733</v>
      </c>
      <c r="DD447" s="1031">
        <f t="shared" si="982"/>
        <v>1295.1430911565458</v>
      </c>
      <c r="DE447" s="1031">
        <f t="shared" si="983"/>
        <v>1685.0751599767623</v>
      </c>
      <c r="DF447" s="1031">
        <f t="shared" si="984"/>
        <v>2096.7959285611278</v>
      </c>
      <c r="DG447" s="1663">
        <f t="shared" si="985"/>
        <v>2101.5879565626637</v>
      </c>
      <c r="DH447" s="1031"/>
      <c r="DI447" s="838"/>
      <c r="DJ447" s="838"/>
      <c r="DK447" s="838"/>
      <c r="DL447" s="838"/>
      <c r="DM447" s="838"/>
      <c r="DN447" s="632"/>
      <c r="DO447" s="312"/>
      <c r="DY447" s="1031"/>
      <c r="DZ447" s="1031"/>
    </row>
    <row r="448" spans="1:130" ht="12" customHeight="1">
      <c r="A448" s="674"/>
      <c r="B448" s="675"/>
      <c r="C448" s="675"/>
      <c r="D448" s="734"/>
      <c r="E448" s="564"/>
      <c r="F448" s="564"/>
      <c r="G448" s="564"/>
      <c r="H448" s="736"/>
      <c r="I448" s="564"/>
      <c r="J448" s="564"/>
      <c r="K448" s="564"/>
      <c r="L448" s="564"/>
      <c r="M448" s="736"/>
      <c r="N448" s="564"/>
      <c r="O448" s="564"/>
      <c r="P448" s="564"/>
      <c r="Q448" s="564"/>
      <c r="R448" s="736"/>
      <c r="S448" s="564"/>
      <c r="T448" s="564"/>
      <c r="U448" s="564"/>
      <c r="V448" s="564"/>
      <c r="W448" s="736"/>
      <c r="X448" s="564"/>
      <c r="Y448" s="564"/>
      <c r="Z448" s="564"/>
      <c r="AA448" s="564"/>
      <c r="AB448" s="736"/>
      <c r="AC448" s="564"/>
      <c r="AD448" s="564"/>
      <c r="AE448" s="564"/>
      <c r="AF448" s="564"/>
      <c r="AG448" s="736"/>
      <c r="AH448" s="564"/>
      <c r="AI448" s="564"/>
      <c r="AJ448" s="564"/>
      <c r="AK448" s="564"/>
      <c r="AL448" s="736"/>
      <c r="AM448" s="564"/>
      <c r="AN448" s="564"/>
      <c r="AO448" s="564"/>
      <c r="AP448" s="1616"/>
      <c r="AQ448" s="736"/>
      <c r="AR448" s="564"/>
      <c r="AS448" s="564"/>
      <c r="AT448" s="564"/>
      <c r="AU448" s="564"/>
      <c r="AV448" s="309"/>
      <c r="AW448" s="564"/>
      <c r="AX448" s="564"/>
      <c r="AY448" s="564"/>
      <c r="AZ448" s="564"/>
      <c r="BA448" s="736"/>
      <c r="BB448" s="564"/>
      <c r="BC448" s="564"/>
      <c r="BD448" s="564"/>
      <c r="BE448" s="564"/>
      <c r="BF448" s="736"/>
      <c r="BG448" s="734"/>
      <c r="BH448" s="564"/>
      <c r="BI448" s="564"/>
      <c r="BJ448" s="1789"/>
      <c r="BK448" s="736"/>
      <c r="BL448" s="564"/>
      <c r="BM448" s="564"/>
      <c r="BN448" s="564"/>
      <c r="BO448" s="1789"/>
      <c r="BP448" s="736"/>
      <c r="BQ448" s="564"/>
      <c r="BR448" s="564"/>
      <c r="BS448" s="564"/>
      <c r="BT448" s="1789"/>
      <c r="BU448" s="3320"/>
      <c r="BV448" s="564"/>
      <c r="BW448" s="564"/>
      <c r="BX448" s="564"/>
      <c r="BY448" s="1789"/>
      <c r="BZ448" s="309">
        <f>10/BU433</f>
        <v>6.313827388684902E-2</v>
      </c>
      <c r="CA448" s="736"/>
      <c r="CB448" s="736"/>
      <c r="CC448" s="736"/>
      <c r="CD448" s="736"/>
      <c r="CE448" s="736"/>
      <c r="CF448" s="736"/>
      <c r="CG448" s="736"/>
      <c r="CH448" s="447"/>
      <c r="CI448" s="447"/>
      <c r="CJ448" s="447"/>
      <c r="CK448" s="447"/>
      <c r="CL448" s="447"/>
      <c r="CM448" s="447"/>
      <c r="CN448" s="447"/>
      <c r="CO448" s="447"/>
      <c r="CP448" s="1865"/>
      <c r="CQ448" s="564"/>
      <c r="CR448" s="564"/>
      <c r="CS448" s="564"/>
      <c r="CT448" s="564"/>
      <c r="CU448" s="564"/>
      <c r="CV448" s="564"/>
      <c r="CW448" s="564"/>
      <c r="CX448" s="564"/>
      <c r="CY448" s="564"/>
      <c r="CZ448" s="564"/>
      <c r="DA448" s="564"/>
      <c r="DB448" s="564"/>
      <c r="DC448" s="564"/>
      <c r="DD448" s="564"/>
      <c r="DE448" s="564"/>
      <c r="DF448" s="564"/>
      <c r="DG448" s="1789"/>
      <c r="DH448" s="564"/>
      <c r="DI448" s="650"/>
      <c r="DJ448" s="650"/>
      <c r="DK448" s="650"/>
      <c r="DL448" s="650"/>
      <c r="DM448" s="650"/>
      <c r="DN448" s="651"/>
      <c r="DO448" s="320"/>
      <c r="DY448" s="564"/>
      <c r="DZ448" s="564"/>
    </row>
    <row r="449" spans="1:132" ht="12" customHeight="1">
      <c r="A449" s="545" t="s">
        <v>624</v>
      </c>
      <c r="B449" s="228"/>
      <c r="C449" s="228"/>
      <c r="D449" s="479"/>
      <c r="E449" s="482"/>
      <c r="F449" s="668"/>
      <c r="G449" s="668"/>
      <c r="H449" s="481"/>
      <c r="I449" s="668"/>
      <c r="J449" s="668"/>
      <c r="K449" s="668"/>
      <c r="L449" s="744"/>
      <c r="M449" s="481"/>
      <c r="N449" s="744"/>
      <c r="O449" s="744"/>
      <c r="P449" s="744"/>
      <c r="Q449" s="744"/>
      <c r="R449" s="481"/>
      <c r="S449" s="744"/>
      <c r="T449" s="744"/>
      <c r="U449" s="668"/>
      <c r="V449" s="668"/>
      <c r="W449" s="619"/>
      <c r="X449" s="668"/>
      <c r="Y449" s="668"/>
      <c r="Z449" s="668"/>
      <c r="AA449" s="668"/>
      <c r="AB449" s="619"/>
      <c r="AC449" s="668"/>
      <c r="AD449" s="668"/>
      <c r="AE449" s="668"/>
      <c r="AF449" s="668"/>
      <c r="AG449" s="619"/>
      <c r="AH449" s="907"/>
      <c r="AI449" s="907"/>
      <c r="AJ449" s="907"/>
      <c r="AK449" s="907"/>
      <c r="AL449" s="696"/>
      <c r="AM449" s="570"/>
      <c r="AN449" s="668"/>
      <c r="AO449" s="668"/>
      <c r="AP449" s="668"/>
      <c r="AQ449" s="481"/>
      <c r="AR449" s="570"/>
      <c r="AS449" s="668"/>
      <c r="AT449" s="1593"/>
      <c r="AU449" s="668"/>
      <c r="AV449" s="481"/>
      <c r="AW449" s="570"/>
      <c r="AX449" s="668"/>
      <c r="AY449" s="668"/>
      <c r="AZ449" s="668"/>
      <c r="BA449" s="481"/>
      <c r="BB449" s="570"/>
      <c r="BC449" s="668"/>
      <c r="BD449" s="668"/>
      <c r="BE449" s="668"/>
      <c r="BF449" s="481"/>
      <c r="BG449" s="479"/>
      <c r="BH449" s="482"/>
      <c r="BI449" s="482"/>
      <c r="BJ449" s="2799"/>
      <c r="BK449" s="481"/>
      <c r="BL449" s="482"/>
      <c r="BM449" s="482"/>
      <c r="BN449" s="482"/>
      <c r="BO449" s="2799"/>
      <c r="BP449" s="481"/>
      <c r="BQ449" s="482"/>
      <c r="BR449" s="482"/>
      <c r="BS449" s="482"/>
      <c r="BT449" s="3057"/>
      <c r="BU449" s="3380"/>
      <c r="BV449" s="482"/>
      <c r="BW449" s="482"/>
      <c r="BX449" s="482"/>
      <c r="BY449" s="2799"/>
      <c r="BZ449" s="481"/>
      <c r="CA449" s="481"/>
      <c r="CB449" s="481"/>
      <c r="CC449" s="481"/>
      <c r="CD449" s="481"/>
      <c r="CE449" s="481"/>
      <c r="CF449" s="481"/>
      <c r="CG449" s="481"/>
      <c r="CH449" s="482"/>
      <c r="CI449" s="482"/>
      <c r="CJ449" s="482"/>
      <c r="CK449" s="482"/>
      <c r="CL449" s="482"/>
      <c r="CM449" s="482"/>
      <c r="CN449" s="482"/>
      <c r="CO449" s="482"/>
      <c r="CP449" s="1878" t="str">
        <f t="shared" ref="CP449:CP456" si="1028">A449</f>
        <v>Casino Revenue Growth</v>
      </c>
      <c r="CQ449" s="589"/>
      <c r="CR449" s="589"/>
      <c r="CS449" s="589"/>
      <c r="CT449" s="589"/>
      <c r="CU449" s="589"/>
      <c r="CV449" s="589"/>
      <c r="CW449" s="589"/>
      <c r="CX449" s="589"/>
      <c r="CY449" s="589"/>
      <c r="CZ449" s="589"/>
      <c r="DA449" s="589"/>
      <c r="DB449" s="589"/>
      <c r="DC449" s="589"/>
      <c r="DD449" s="589"/>
      <c r="DE449" s="589"/>
      <c r="DF449" s="589"/>
      <c r="DG449" s="1870"/>
      <c r="DH449" s="223"/>
      <c r="DI449" s="595"/>
      <c r="DJ449" s="595"/>
      <c r="DK449" s="595"/>
      <c r="DL449" s="595"/>
      <c r="DM449" s="595"/>
      <c r="DN449" s="514"/>
      <c r="DO449" s="226"/>
      <c r="DY449" s="482"/>
      <c r="DZ449" s="482"/>
    </row>
    <row r="450" spans="1:132" ht="12" customHeight="1">
      <c r="A450" s="552" t="s">
        <v>513</v>
      </c>
      <c r="B450" s="228"/>
      <c r="C450" s="228"/>
      <c r="D450" s="479"/>
      <c r="E450" s="482"/>
      <c r="F450" s="668"/>
      <c r="G450" s="668"/>
      <c r="H450" s="481"/>
      <c r="I450" s="668"/>
      <c r="J450" s="668"/>
      <c r="K450" s="668"/>
      <c r="L450" s="744"/>
      <c r="M450" s="481"/>
      <c r="N450" s="744"/>
      <c r="O450" s="744"/>
      <c r="P450" s="744"/>
      <c r="Q450" s="744"/>
      <c r="R450" s="481"/>
      <c r="S450" s="744"/>
      <c r="T450" s="744"/>
      <c r="U450" s="668"/>
      <c r="V450" s="668"/>
      <c r="W450" s="619"/>
      <c r="X450" s="668"/>
      <c r="Y450" s="668"/>
      <c r="Z450" s="668"/>
      <c r="AA450" s="668"/>
      <c r="AB450" s="619"/>
      <c r="AC450" s="668"/>
      <c r="AD450" s="668"/>
      <c r="AE450" s="668"/>
      <c r="AF450" s="668"/>
      <c r="AG450" s="619"/>
      <c r="AH450" s="907"/>
      <c r="AI450" s="907"/>
      <c r="AJ450" s="907"/>
      <c r="AK450" s="907"/>
      <c r="AL450" s="696"/>
      <c r="AM450" s="570"/>
      <c r="AN450" s="668"/>
      <c r="AO450" s="668"/>
      <c r="AP450" s="668"/>
      <c r="AQ450" s="481"/>
      <c r="AR450" s="570"/>
      <c r="AS450" s="668"/>
      <c r="AT450" s="668"/>
      <c r="AU450" s="748">
        <v>0</v>
      </c>
      <c r="AV450" s="481"/>
      <c r="AW450" s="748">
        <v>-0.05</v>
      </c>
      <c r="AX450" s="748">
        <v>-0.05</v>
      </c>
      <c r="AY450" s="748">
        <v>-0.05</v>
      </c>
      <c r="AZ450" s="748">
        <v>-0.05</v>
      </c>
      <c r="BA450" s="309">
        <f t="shared" ref="BA450:BA461" si="1029">BA429/AV429-1</f>
        <v>-5.0000000000000044E-2</v>
      </c>
      <c r="BB450" s="748">
        <v>-7.0000000000000007E-2</v>
      </c>
      <c r="BC450" s="748">
        <v>-7.0000000000000007E-2</v>
      </c>
      <c r="BD450" s="748">
        <v>-7.0000000000000007E-2</v>
      </c>
      <c r="BE450" s="748">
        <v>-0.05</v>
      </c>
      <c r="BF450" s="309">
        <f t="shared" ref="BF450:BF461" si="1030">BF429/BA429-1</f>
        <v>-6.5305263157894866E-2</v>
      </c>
      <c r="BG450" s="339">
        <v>0.03</v>
      </c>
      <c r="BH450" s="748">
        <v>7.4999999999999997E-2</v>
      </c>
      <c r="BI450" s="748">
        <v>0.02</v>
      </c>
      <c r="BJ450" s="748">
        <v>0.02</v>
      </c>
      <c r="BK450" s="309">
        <f t="shared" ref="BK450:BK461" si="1031">BK429/BF429-1</f>
        <v>3.6189327221946899E-2</v>
      </c>
      <c r="BL450" s="748">
        <v>-7.4999999999999997E-2</v>
      </c>
      <c r="BM450" s="748">
        <v>-0.06</v>
      </c>
      <c r="BN450" s="748">
        <v>-0.06</v>
      </c>
      <c r="BO450" s="748">
        <v>-7.4999999999999997E-2</v>
      </c>
      <c r="BP450" s="309">
        <f t="shared" ref="BP450:BP461" si="1032">BP429/BK429-1</f>
        <v>-6.7348795383475157E-2</v>
      </c>
      <c r="BQ450" s="748">
        <v>-0.05</v>
      </c>
      <c r="BR450" s="748">
        <v>-0.02</v>
      </c>
      <c r="BS450" s="748">
        <v>-0.02</v>
      </c>
      <c r="BT450" s="748">
        <v>-0.1</v>
      </c>
      <c r="BU450" s="3318">
        <f t="shared" ref="BU450:BU461" si="1033">BU429/BP429-1</f>
        <v>-4.6223332854115395E-2</v>
      </c>
      <c r="BV450" s="339">
        <v>0.01</v>
      </c>
      <c r="BW450" s="748">
        <v>0.01</v>
      </c>
      <c r="BX450" s="748">
        <v>0.01</v>
      </c>
      <c r="BY450" s="3057">
        <v>0.1</v>
      </c>
      <c r="BZ450" s="3864">
        <f t="shared" ref="BZ450:BZ461" si="1034">BZ429/BU429-1</f>
        <v>2.9781395456421444E-2</v>
      </c>
      <c r="CA450" s="458">
        <v>0</v>
      </c>
      <c r="CB450" s="458">
        <v>0</v>
      </c>
      <c r="CC450" s="458">
        <v>-0.05</v>
      </c>
      <c r="CD450" s="458">
        <v>-0.05</v>
      </c>
      <c r="CE450" s="458">
        <v>0.02</v>
      </c>
      <c r="CF450" s="458">
        <v>0.02</v>
      </c>
      <c r="CG450" s="458">
        <v>0.02</v>
      </c>
      <c r="CH450" s="3895"/>
      <c r="CI450" s="482"/>
      <c r="CJ450" s="482"/>
      <c r="CK450" s="482"/>
      <c r="CL450" s="482"/>
      <c r="CM450" s="482"/>
      <c r="CN450" s="482"/>
      <c r="CO450" s="482"/>
      <c r="CP450" s="994" t="str">
        <f t="shared" si="1028"/>
        <v>Imperial Palace (MS) - Estimated</v>
      </c>
      <c r="CQ450" s="747"/>
      <c r="CR450" s="747"/>
      <c r="CS450" s="747"/>
      <c r="CT450" s="747"/>
      <c r="CU450" s="747"/>
      <c r="CV450" s="747"/>
      <c r="CW450" s="747"/>
      <c r="CX450" s="747"/>
      <c r="CY450" s="747"/>
      <c r="CZ450" s="747">
        <f t="shared" ref="CZ450:CZ468" si="1035">BA450</f>
        <v>-5.0000000000000044E-2</v>
      </c>
      <c r="DA450" s="747">
        <f t="shared" ref="DA450:DA468" si="1036">BF450</f>
        <v>-6.5305263157894866E-2</v>
      </c>
      <c r="DB450" s="747">
        <f t="shared" ref="DB450:DB468" si="1037">BK450</f>
        <v>3.6189327221946899E-2</v>
      </c>
      <c r="DC450" s="747">
        <f t="shared" ref="DC450:DC468" si="1038">BP450</f>
        <v>-6.7348795383475157E-2</v>
      </c>
      <c r="DD450" s="747">
        <f t="shared" ref="DD450:DD468" si="1039">BU450</f>
        <v>-4.6223332854115395E-2</v>
      </c>
      <c r="DE450" s="747">
        <f t="shared" ref="DE450:DE468" si="1040">BZ450</f>
        <v>2.9781395456421444E-2</v>
      </c>
      <c r="DF450" s="747">
        <f t="shared" ref="DF450:DF468" si="1041">CA450</f>
        <v>0</v>
      </c>
      <c r="DG450" s="1883">
        <f t="shared" ref="DG450:DG468" si="1042">CB450</f>
        <v>0</v>
      </c>
      <c r="DH450" s="223"/>
      <c r="DI450" s="595"/>
      <c r="DJ450" s="595"/>
      <c r="DK450" s="595"/>
      <c r="DL450" s="595"/>
      <c r="DM450" s="595"/>
      <c r="DN450" s="514"/>
      <c r="DO450" s="749" t="s">
        <v>1100</v>
      </c>
      <c r="DY450" s="747"/>
      <c r="DZ450" s="747"/>
    </row>
    <row r="451" spans="1:132" ht="12" customHeight="1">
      <c r="A451" s="745" t="s">
        <v>1795</v>
      </c>
      <c r="B451" s="746"/>
      <c r="C451" s="746"/>
      <c r="D451" s="335"/>
      <c r="E451" s="747"/>
      <c r="F451" s="747"/>
      <c r="G451" s="747"/>
      <c r="H451" s="309"/>
      <c r="I451" s="747">
        <f t="shared" ref="I451:AG451" si="1043">I430/D430-1</f>
        <v>2.0155517618022145E-2</v>
      </c>
      <c r="J451" s="747">
        <f t="shared" si="1043"/>
        <v>2.5103126462786785E-2</v>
      </c>
      <c r="K451" s="747">
        <f t="shared" si="1043"/>
        <v>1.8097314386644747E-4</v>
      </c>
      <c r="L451" s="747">
        <f t="shared" si="1043"/>
        <v>0.14492048524908152</v>
      </c>
      <c r="M451" s="309">
        <f t="shared" si="1043"/>
        <v>4.373339138241028E-2</v>
      </c>
      <c r="N451" s="747">
        <f t="shared" si="1043"/>
        <v>6.0396196034580907E-2</v>
      </c>
      <c r="O451" s="747">
        <f t="shared" si="1043"/>
        <v>0.10368164211374498</v>
      </c>
      <c r="P451" s="747">
        <f t="shared" si="1043"/>
        <v>0.11656069453558993</v>
      </c>
      <c r="Q451" s="747">
        <f t="shared" si="1043"/>
        <v>4.7182904948820825E-2</v>
      </c>
      <c r="R451" s="309">
        <f t="shared" si="1043"/>
        <v>8.1667817730560976E-2</v>
      </c>
      <c r="S451" s="747">
        <f t="shared" si="1043"/>
        <v>-4.6157565349684293E-2</v>
      </c>
      <c r="T451" s="747">
        <f t="shared" si="1043"/>
        <v>-1.5560342757650281E-2</v>
      </c>
      <c r="U451" s="747">
        <f t="shared" si="1043"/>
        <v>-2.7915813931869704E-2</v>
      </c>
      <c r="V451" s="747">
        <f t="shared" si="1043"/>
        <v>-4.3154569949383936E-2</v>
      </c>
      <c r="W451" s="309">
        <f t="shared" si="1043"/>
        <v>-3.3199780331679141E-2</v>
      </c>
      <c r="X451" s="747">
        <f t="shared" si="1043"/>
        <v>-2.8025969430328312E-2</v>
      </c>
      <c r="Y451" s="747">
        <f t="shared" si="1043"/>
        <v>-8.8711986878005744E-2</v>
      </c>
      <c r="Z451" s="747">
        <f t="shared" si="1043"/>
        <v>-8.3398293241193633E-2</v>
      </c>
      <c r="AA451" s="747">
        <f t="shared" si="1043"/>
        <v>-0.10280641717687033</v>
      </c>
      <c r="AB451" s="309">
        <f t="shared" si="1043"/>
        <v>-7.4965984230299432E-2</v>
      </c>
      <c r="AC451" s="747">
        <f t="shared" si="1043"/>
        <v>-9.3124430977441719E-2</v>
      </c>
      <c r="AD451" s="747">
        <f t="shared" si="1043"/>
        <v>-4.2945350304745777E-2</v>
      </c>
      <c r="AE451" s="747">
        <f t="shared" si="1043"/>
        <v>-5.970226711258253E-2</v>
      </c>
      <c r="AF451" s="747">
        <f t="shared" si="1043"/>
        <v>-6.546633249182976E-2</v>
      </c>
      <c r="AG451" s="309">
        <f t="shared" si="1043"/>
        <v>-6.5895806872571461E-2</v>
      </c>
      <c r="AH451" s="747">
        <f t="shared" ref="AH451:AL456" si="1044">AH430/AC430-1</f>
        <v>-8.5385836254988967E-2</v>
      </c>
      <c r="AI451" s="747">
        <f t="shared" si="1044"/>
        <v>-5.6677116234355784E-2</v>
      </c>
      <c r="AJ451" s="747">
        <f t="shared" si="1044"/>
        <v>-4.5023513770823143E-2</v>
      </c>
      <c r="AK451" s="747">
        <f t="shared" si="1044"/>
        <v>-2.8519855195519139E-2</v>
      </c>
      <c r="AL451" s="309">
        <f t="shared" si="1044"/>
        <v>-5.488301830562059E-2</v>
      </c>
      <c r="AM451" s="748">
        <v>0</v>
      </c>
      <c r="AN451" s="748">
        <v>-0.25</v>
      </c>
      <c r="AO451" s="748">
        <v>-0.02</v>
      </c>
      <c r="AP451" s="748">
        <v>-0.02</v>
      </c>
      <c r="AQ451" s="309">
        <f t="shared" ref="AQ451:AQ456" si="1045">AQ430/AL430-1</f>
        <v>-7.3252895135226037E-2</v>
      </c>
      <c r="AR451" s="748">
        <v>0</v>
      </c>
      <c r="AS451" s="748">
        <v>0.3</v>
      </c>
      <c r="AT451" s="748">
        <v>-0.03</v>
      </c>
      <c r="AU451" s="748">
        <v>-0.02</v>
      </c>
      <c r="AV451" s="309">
        <f t="shared" ref="AV451:AV460" si="1046">AV430/AQ430-1</f>
        <v>4.8429398969761506E-2</v>
      </c>
      <c r="AW451" s="748">
        <v>-0.05</v>
      </c>
      <c r="AX451" s="748">
        <v>-0.03</v>
      </c>
      <c r="AY451" s="748">
        <v>-0.03</v>
      </c>
      <c r="AZ451" s="748">
        <v>-0.03</v>
      </c>
      <c r="BA451" s="309">
        <f t="shared" si="1029"/>
        <v>-3.5238208262287518E-2</v>
      </c>
      <c r="BB451" s="748">
        <v>-7.0000000000000007E-2</v>
      </c>
      <c r="BC451" s="748">
        <v>-7.0000000000000007E-2</v>
      </c>
      <c r="BD451" s="748">
        <v>-0.05</v>
      </c>
      <c r="BE451" s="748">
        <v>-0.02</v>
      </c>
      <c r="BF451" s="309">
        <f t="shared" si="1030"/>
        <v>-5.3375967559777693E-2</v>
      </c>
      <c r="BG451" s="339">
        <v>-0.01</v>
      </c>
      <c r="BH451" s="748">
        <v>0</v>
      </c>
      <c r="BI451" s="748">
        <v>-0.01</v>
      </c>
      <c r="BJ451" s="748">
        <v>0.02</v>
      </c>
      <c r="BK451" s="309">
        <f t="shared" si="1031"/>
        <v>-3.4179840607717615E-4</v>
      </c>
      <c r="BL451" s="748">
        <v>0.01</v>
      </c>
      <c r="BM451" s="748">
        <v>0</v>
      </c>
      <c r="BN451" s="748">
        <v>-0.01</v>
      </c>
      <c r="BO451" s="748">
        <v>-0.03</v>
      </c>
      <c r="BP451" s="309">
        <f t="shared" si="1032"/>
        <v>-7.3258254859808192E-3</v>
      </c>
      <c r="BQ451" s="748">
        <v>-0.05</v>
      </c>
      <c r="BR451" s="748">
        <v>-0.05</v>
      </c>
      <c r="BS451" s="748">
        <v>-0.05</v>
      </c>
      <c r="BT451" s="748">
        <v>1.4999999999999999E-2</v>
      </c>
      <c r="BU451" s="3318">
        <f t="shared" si="1033"/>
        <v>-3.4567340801550217E-2</v>
      </c>
      <c r="BV451" s="339">
        <v>1.4999999999999999E-2</v>
      </c>
      <c r="BW451" s="748">
        <v>1.4999999999999999E-2</v>
      </c>
      <c r="BX451" s="748">
        <v>1.4999999999999999E-2</v>
      </c>
      <c r="BY451" s="3057">
        <v>1.4999999999999999E-2</v>
      </c>
      <c r="BZ451" s="3864">
        <f t="shared" si="1034"/>
        <v>1.4999999999999902E-2</v>
      </c>
      <c r="CA451" s="458">
        <v>0.01</v>
      </c>
      <c r="CB451" s="458">
        <v>0</v>
      </c>
      <c r="CC451" s="458">
        <v>-0.05</v>
      </c>
      <c r="CD451" s="458">
        <v>-0.05</v>
      </c>
      <c r="CE451" s="458">
        <v>0.02</v>
      </c>
      <c r="CF451" s="458">
        <v>0.02</v>
      </c>
      <c r="CG451" s="458">
        <v>0.02</v>
      </c>
      <c r="CH451" s="3896"/>
      <c r="CI451" s="592"/>
      <c r="CJ451" s="592"/>
      <c r="CK451" s="592"/>
      <c r="CL451" s="592"/>
      <c r="CM451" s="592"/>
      <c r="CN451" s="592"/>
      <c r="CO451" s="592"/>
      <c r="CP451" s="1884" t="str">
        <f t="shared" si="1028"/>
        <v>Sam's Town Tunica (MS) - Estimated</v>
      </c>
      <c r="CQ451" s="747"/>
      <c r="CR451" s="747">
        <f t="shared" ref="CR451:CR468" si="1047">M451</f>
        <v>4.373339138241028E-2</v>
      </c>
      <c r="CS451" s="747">
        <f t="shared" ref="CS451:CS468" si="1048">R451</f>
        <v>8.1667817730560976E-2</v>
      </c>
      <c r="CT451" s="747">
        <f t="shared" ref="CT451:CT468" si="1049">W451</f>
        <v>-3.3199780331679141E-2</v>
      </c>
      <c r="CU451" s="747">
        <f t="shared" ref="CU451:CU468" si="1050">AB451</f>
        <v>-7.4965984230299432E-2</v>
      </c>
      <c r="CV451" s="747">
        <f t="shared" ref="CV451:CV468" si="1051">AG451</f>
        <v>-6.5895806872571461E-2</v>
      </c>
      <c r="CW451" s="747">
        <f t="shared" ref="CW451:CW468" si="1052">AL451</f>
        <v>-5.488301830562059E-2</v>
      </c>
      <c r="CX451" s="747">
        <f t="shared" ref="CX451:CX468" si="1053">AQ451</f>
        <v>-7.3252895135226037E-2</v>
      </c>
      <c r="CY451" s="747">
        <f t="shared" ref="CY451:CY468" si="1054">AV451</f>
        <v>4.8429398969761506E-2</v>
      </c>
      <c r="CZ451" s="747">
        <f t="shared" si="1035"/>
        <v>-3.5238208262287518E-2</v>
      </c>
      <c r="DA451" s="747">
        <f t="shared" si="1036"/>
        <v>-5.3375967559777693E-2</v>
      </c>
      <c r="DB451" s="747">
        <f t="shared" si="1037"/>
        <v>-3.4179840607717615E-4</v>
      </c>
      <c r="DC451" s="747">
        <f t="shared" si="1038"/>
        <v>-7.3258254859808192E-3</v>
      </c>
      <c r="DD451" s="747">
        <f t="shared" si="1039"/>
        <v>-3.4567340801550217E-2</v>
      </c>
      <c r="DE451" s="747">
        <f t="shared" si="1040"/>
        <v>1.4999999999999902E-2</v>
      </c>
      <c r="DF451" s="747">
        <f t="shared" si="1041"/>
        <v>0.01</v>
      </c>
      <c r="DG451" s="1883">
        <f t="shared" si="1042"/>
        <v>0</v>
      </c>
      <c r="DH451" s="747"/>
      <c r="DI451" s="592"/>
      <c r="DJ451" s="592"/>
      <c r="DK451" s="592"/>
      <c r="DL451" s="592"/>
      <c r="DM451" s="592"/>
      <c r="DN451" s="592"/>
      <c r="DO451" s="749" t="s">
        <v>1100</v>
      </c>
      <c r="DY451" s="747"/>
      <c r="DZ451" s="747"/>
    </row>
    <row r="452" spans="1:132" ht="12" customHeight="1">
      <c r="A452" s="745" t="s">
        <v>553</v>
      </c>
      <c r="B452" s="746"/>
      <c r="C452" s="746"/>
      <c r="D452" s="335"/>
      <c r="E452" s="747"/>
      <c r="F452" s="747"/>
      <c r="G452" s="747"/>
      <c r="H452" s="309"/>
      <c r="I452" s="747">
        <f t="shared" ref="I452:R455" si="1055">I431/D431-1</f>
        <v>-5.897095680362785E-5</v>
      </c>
      <c r="J452" s="747">
        <f t="shared" si="1055"/>
        <v>8.9296711417663488E-3</v>
      </c>
      <c r="K452" s="747">
        <f t="shared" si="1055"/>
        <v>-9.476988686848431E-4</v>
      </c>
      <c r="L452" s="747">
        <f t="shared" si="1055"/>
        <v>1.3011851758951476E-2</v>
      </c>
      <c r="M452" s="309">
        <f t="shared" si="1055"/>
        <v>5.0813700767127212E-3</v>
      </c>
      <c r="N452" s="747">
        <f t="shared" si="1055"/>
        <v>4.1724412467195382E-2</v>
      </c>
      <c r="O452" s="747">
        <f t="shared" si="1055"/>
        <v>-1.2024659708234298E-2</v>
      </c>
      <c r="P452" s="747">
        <f t="shared" si="1055"/>
        <v>-4.3813363372265157E-2</v>
      </c>
      <c r="Q452" s="747">
        <f t="shared" si="1055"/>
        <v>-5.2183602092296222E-2</v>
      </c>
      <c r="R452" s="309">
        <f t="shared" si="1055"/>
        <v>-1.6146531848525325E-2</v>
      </c>
      <c r="S452" s="747">
        <f t="shared" ref="S452:AB455" si="1056">S431/N431-1</f>
        <v>-7.9653532608695676E-2</v>
      </c>
      <c r="T452" s="747">
        <f t="shared" si="1056"/>
        <v>7.9266032373656259E-2</v>
      </c>
      <c r="U452" s="747">
        <f t="shared" si="1056"/>
        <v>6.2686011904762085E-2</v>
      </c>
      <c r="V452" s="747">
        <f t="shared" si="1056"/>
        <v>1.3486595042941696E-2</v>
      </c>
      <c r="W452" s="309">
        <f t="shared" si="1056"/>
        <v>1.6748481761998502E-2</v>
      </c>
      <c r="X452" s="747">
        <f t="shared" si="1056"/>
        <v>-6.7939964323060931E-2</v>
      </c>
      <c r="Y452" s="747">
        <f t="shared" si="1056"/>
        <v>-0.15521781441410498</v>
      </c>
      <c r="Z452" s="747">
        <f t="shared" si="1056"/>
        <v>-0.13072524651379891</v>
      </c>
      <c r="AA452" s="747">
        <f t="shared" si="1056"/>
        <v>-0.12543497873437304</v>
      </c>
      <c r="AB452" s="309">
        <f t="shared" si="1056"/>
        <v>-0.12055797418013658</v>
      </c>
      <c r="AC452" s="747">
        <f t="shared" ref="AC452:AG455" si="1057">AC431/X431-1</f>
        <v>-4.5042072265302657E-2</v>
      </c>
      <c r="AD452" s="747">
        <f t="shared" si="1057"/>
        <v>2.9984753515161611E-2</v>
      </c>
      <c r="AE452" s="747">
        <f t="shared" si="1057"/>
        <v>-2.3391616605698662E-2</v>
      </c>
      <c r="AF452" s="747">
        <f t="shared" si="1057"/>
        <v>-2.0005157867590162E-2</v>
      </c>
      <c r="AG452" s="309">
        <f t="shared" si="1057"/>
        <v>-1.4731072285029234E-2</v>
      </c>
      <c r="AH452" s="747">
        <f t="shared" si="1044"/>
        <v>1.8935729094678555E-2</v>
      </c>
      <c r="AI452" s="747">
        <f t="shared" si="1044"/>
        <v>-3.6184210526315708E-2</v>
      </c>
      <c r="AJ452" s="747">
        <f t="shared" si="1044"/>
        <v>1.9243986254293688E-3</v>
      </c>
      <c r="AK452" s="747">
        <f t="shared" si="1044"/>
        <v>2.8872180451127827E-2</v>
      </c>
      <c r="AL452" s="309">
        <f t="shared" si="1044"/>
        <v>2.3643949930458596E-3</v>
      </c>
      <c r="AM452" s="1654">
        <f t="shared" ref="AM452:AP456" si="1058">AM431/AH431-1</f>
        <v>-5.3581117742811379E-3</v>
      </c>
      <c r="AN452" s="1654">
        <f t="shared" si="1058"/>
        <v>9.0784982935154801E-3</v>
      </c>
      <c r="AO452" s="1654">
        <f t="shared" si="1058"/>
        <v>1.2107284949924635E-2</v>
      </c>
      <c r="AP452" s="1654">
        <f t="shared" si="1058"/>
        <v>-1.0742472961122629E-2</v>
      </c>
      <c r="AQ452" s="309">
        <f t="shared" si="1045"/>
        <v>1.4482447620369765E-3</v>
      </c>
      <c r="AR452" s="1655">
        <f t="shared" ref="AR452:AR460" si="1059">AR431/AM431-1</f>
        <v>2.3627684964200757E-2</v>
      </c>
      <c r="AS452" s="1654">
        <f t="shared" ref="AS452:AS460" si="1060">AS431/AN431-1</f>
        <v>-1.1837921937360996E-3</v>
      </c>
      <c r="AT452" s="1654">
        <f t="shared" ref="AT452:AT460" si="1061">AT431/AO431-1</f>
        <v>-7.6925683689721414E-3</v>
      </c>
      <c r="AU452" s="1654">
        <f t="shared" ref="AU452:AU460" si="1062">AU431/AP431-1</f>
        <v>1.6000000000000014E-2</v>
      </c>
      <c r="AV452" s="309">
        <f t="shared" si="1046"/>
        <v>7.4834731856008307E-3</v>
      </c>
      <c r="AW452" s="1655">
        <f t="shared" ref="AW452:AW461" si="1063">AW431/AR431-1</f>
        <v>-6.8607867301735403E-2</v>
      </c>
      <c r="AX452" s="1654">
        <f t="shared" ref="AX452:AX461" si="1064">AX431/AS431-1</f>
        <v>-7.4857099319359355E-2</v>
      </c>
      <c r="AY452" s="1654">
        <f t="shared" ref="AY452:AY461" si="1065">AY431/AT431-1</f>
        <v>-5.3254285909432375E-2</v>
      </c>
      <c r="AZ452" s="1654">
        <f t="shared" ref="AZ452:AZ461" si="1066">AZ431/AU431-1</f>
        <v>-0.1120211723599186</v>
      </c>
      <c r="BA452" s="309">
        <f t="shared" si="1029"/>
        <v>-7.6594070177759543E-2</v>
      </c>
      <c r="BB452" s="1655">
        <f t="shared" ref="BB452:BB461" si="1067">BB431/AW431-1</f>
        <v>-0.1438664750146853</v>
      </c>
      <c r="BC452" s="1654">
        <f t="shared" ref="BC452:BC461" si="1068">BC431/AX431-1</f>
        <v>-0.11862101554534632</v>
      </c>
      <c r="BD452" s="1654">
        <f t="shared" ref="BD452:BD461" si="1069">BD431/AY431-1</f>
        <v>-0.14645703607683669</v>
      </c>
      <c r="BE452" s="1654">
        <f t="shared" ref="BE452:BE461" si="1070">BE431/AZ431-1</f>
        <v>-8.8762057590178078E-2</v>
      </c>
      <c r="BF452" s="309">
        <f t="shared" si="1030"/>
        <v>-0.12558636866305339</v>
      </c>
      <c r="BG452" s="1655">
        <f t="shared" ref="BG452:BG461" si="1071">BG431/BB431-1</f>
        <v>-1.6915466235672971E-3</v>
      </c>
      <c r="BH452" s="3148">
        <f t="shared" ref="BH452:BH461" si="1072">BH431/BC431-1</f>
        <v>-3.2152331959363956E-2</v>
      </c>
      <c r="BI452" s="3148">
        <f t="shared" ref="BI452:BI461" si="1073">BI431/BD431-1</f>
        <v>-5.3754902760015821E-2</v>
      </c>
      <c r="BJ452" s="3148">
        <f t="shared" ref="BJ452:BJ461" si="1074">BJ431/BE431-1</f>
        <v>-8.3580240251997284E-2</v>
      </c>
      <c r="BK452" s="309">
        <f t="shared" si="1031"/>
        <v>-4.2016066575606525E-2</v>
      </c>
      <c r="BL452" s="3148">
        <f t="shared" ref="BL452:BL461" si="1075">BL431/BG431-1</f>
        <v>-7.1811161007082513E-2</v>
      </c>
      <c r="BM452" s="3148">
        <f t="shared" ref="BM452:BM461" si="1076">BM431/BH431-1</f>
        <v>-0.10058674798456624</v>
      </c>
      <c r="BN452" s="3148">
        <f t="shared" ref="BN452:BN461" si="1077">BN431/BI431-1</f>
        <v>-7.9965512105264369E-2</v>
      </c>
      <c r="BO452" s="3148">
        <f t="shared" ref="BO452:BO461" si="1078">BO431/BJ431-1</f>
        <v>-8.3028343601304511E-2</v>
      </c>
      <c r="BP452" s="309">
        <f t="shared" si="1032"/>
        <v>-8.3834405616685315E-2</v>
      </c>
      <c r="BQ452" s="3934">
        <f t="shared" ref="BQ452:BQ461" si="1079">BQ431/BL431-1</f>
        <v>-0.10070192843694614</v>
      </c>
      <c r="BR452" s="3934">
        <f t="shared" ref="BR452:BR461" si="1080">BR431/BM431-1</f>
        <v>-6.1103350472785589E-2</v>
      </c>
      <c r="BS452" s="3934">
        <f t="shared" ref="BS452:BT461" si="1081">BS431/BN431-1</f>
        <v>-9.9676699029126459E-3</v>
      </c>
      <c r="BT452" s="3934">
        <f t="shared" si="1081"/>
        <v>5.9418798648085414E-3</v>
      </c>
      <c r="BU452" s="3318">
        <f t="shared" si="1033"/>
        <v>-4.3771739481378691E-2</v>
      </c>
      <c r="BV452" s="748">
        <v>-0.02</v>
      </c>
      <c r="BW452" s="748">
        <v>-0.01</v>
      </c>
      <c r="BX452" s="748">
        <v>-0.01</v>
      </c>
      <c r="BY452" s="3057">
        <v>-0.01</v>
      </c>
      <c r="BZ452" s="3864">
        <f t="shared" si="1034"/>
        <v>-1.2530396661169396E-2</v>
      </c>
      <c r="CA452" s="458">
        <v>-0.01</v>
      </c>
      <c r="CB452" s="458">
        <v>0</v>
      </c>
      <c r="CC452" s="458">
        <v>-0.05</v>
      </c>
      <c r="CD452" s="458">
        <v>-0.05</v>
      </c>
      <c r="CE452" s="458">
        <v>0.02</v>
      </c>
      <c r="CF452" s="458">
        <v>0.02</v>
      </c>
      <c r="CG452" s="458">
        <v>0.02</v>
      </c>
      <c r="CH452" s="3897"/>
      <c r="CI452" s="747"/>
      <c r="CJ452" s="747"/>
      <c r="CK452" s="747"/>
      <c r="CL452" s="747"/>
      <c r="CM452" s="747"/>
      <c r="CN452" s="747"/>
      <c r="CO452" s="747"/>
      <c r="CP452" s="1884" t="str">
        <f t="shared" si="1028"/>
        <v>Par-A-Dice (Peoria, Illinois)</v>
      </c>
      <c r="CQ452" s="747"/>
      <c r="CR452" s="747">
        <f t="shared" si="1047"/>
        <v>5.0813700767127212E-3</v>
      </c>
      <c r="CS452" s="747">
        <f t="shared" si="1048"/>
        <v>-1.6146531848525325E-2</v>
      </c>
      <c r="CT452" s="747">
        <f t="shared" si="1049"/>
        <v>1.6748481761998502E-2</v>
      </c>
      <c r="CU452" s="747">
        <f t="shared" si="1050"/>
        <v>-0.12055797418013658</v>
      </c>
      <c r="CV452" s="747">
        <f t="shared" si="1051"/>
        <v>-1.4731072285029234E-2</v>
      </c>
      <c r="CW452" s="747">
        <f t="shared" si="1052"/>
        <v>2.3643949930458596E-3</v>
      </c>
      <c r="CX452" s="747">
        <f t="shared" si="1053"/>
        <v>1.4482447620369765E-3</v>
      </c>
      <c r="CY452" s="747">
        <f t="shared" si="1054"/>
        <v>7.4834731856008307E-3</v>
      </c>
      <c r="CZ452" s="747">
        <f t="shared" si="1035"/>
        <v>-7.6594070177759543E-2</v>
      </c>
      <c r="DA452" s="747">
        <f t="shared" si="1036"/>
        <v>-0.12558636866305339</v>
      </c>
      <c r="DB452" s="747">
        <f t="shared" si="1037"/>
        <v>-4.2016066575606525E-2</v>
      </c>
      <c r="DC452" s="747">
        <f t="shared" si="1038"/>
        <v>-8.3834405616685315E-2</v>
      </c>
      <c r="DD452" s="747">
        <f t="shared" si="1039"/>
        <v>-4.3771739481378691E-2</v>
      </c>
      <c r="DE452" s="747">
        <f t="shared" si="1040"/>
        <v>-1.2530396661169396E-2</v>
      </c>
      <c r="DF452" s="747">
        <f t="shared" si="1041"/>
        <v>-0.01</v>
      </c>
      <c r="DG452" s="1883">
        <f t="shared" si="1042"/>
        <v>0</v>
      </c>
      <c r="DH452" s="747"/>
      <c r="DI452" s="592"/>
      <c r="DJ452" s="592"/>
      <c r="DK452" s="592"/>
      <c r="DL452" s="592"/>
      <c r="DM452" s="592"/>
      <c r="DN452" s="592"/>
      <c r="DO452" s="749" t="s">
        <v>1230</v>
      </c>
      <c r="DY452" s="747"/>
      <c r="DZ452" s="747"/>
    </row>
    <row r="453" spans="1:132" ht="12" customHeight="1">
      <c r="A453" s="745" t="s">
        <v>632</v>
      </c>
      <c r="B453" s="746"/>
      <c r="C453" s="746"/>
      <c r="D453" s="335"/>
      <c r="E453" s="747"/>
      <c r="F453" s="747"/>
      <c r="G453" s="747"/>
      <c r="H453" s="309"/>
      <c r="I453" s="747">
        <f t="shared" si="1055"/>
        <v>7.0185336303220769E-2</v>
      </c>
      <c r="J453" s="747">
        <f t="shared" si="1055"/>
        <v>4.0513810962451435E-2</v>
      </c>
      <c r="K453" s="747">
        <f t="shared" si="1055"/>
        <v>-0.35239965229850068</v>
      </c>
      <c r="L453" s="747">
        <f t="shared" si="1055"/>
        <v>0.53912497307511775</v>
      </c>
      <c r="M453" s="309">
        <f t="shared" si="1055"/>
        <v>7.0924982314407359E-2</v>
      </c>
      <c r="N453" s="747">
        <f t="shared" si="1055"/>
        <v>0.5487194933616093</v>
      </c>
      <c r="O453" s="747">
        <f t="shared" si="1055"/>
        <v>0.29807756852417722</v>
      </c>
      <c r="P453" s="747">
        <f t="shared" si="1055"/>
        <v>0.82951727379610718</v>
      </c>
      <c r="Q453" s="747">
        <f t="shared" si="1055"/>
        <v>-0.30941212745738056</v>
      </c>
      <c r="R453" s="309">
        <f t="shared" si="1055"/>
        <v>0.22716234232619636</v>
      </c>
      <c r="S453" s="747">
        <f t="shared" si="1056"/>
        <v>-0.34293607588047059</v>
      </c>
      <c r="T453" s="747">
        <f t="shared" si="1056"/>
        <v>-0.22598736117410567</v>
      </c>
      <c r="U453" s="747">
        <f t="shared" si="1056"/>
        <v>-0.11748770777771356</v>
      </c>
      <c r="V453" s="747">
        <f t="shared" si="1056"/>
        <v>-2.6042572196867675E-2</v>
      </c>
      <c r="W453" s="309">
        <f t="shared" si="1056"/>
        <v>-0.19814042474165083</v>
      </c>
      <c r="X453" s="747">
        <f t="shared" si="1056"/>
        <v>2.116164675170551E-2</v>
      </c>
      <c r="Y453" s="747">
        <f t="shared" si="1056"/>
        <v>-1.9311853185107863E-2</v>
      </c>
      <c r="Z453" s="747">
        <f t="shared" si="1056"/>
        <v>-0.13340791851437217</v>
      </c>
      <c r="AA453" s="747">
        <f t="shared" si="1056"/>
        <v>-2.0373375255808623E-2</v>
      </c>
      <c r="AB453" s="309">
        <f t="shared" si="1056"/>
        <v>-3.7839210363468712E-2</v>
      </c>
      <c r="AC453" s="747">
        <f t="shared" si="1057"/>
        <v>-8.4134151880173591E-2</v>
      </c>
      <c r="AD453" s="747">
        <f t="shared" si="1057"/>
        <v>-9.1416153088974883E-2</v>
      </c>
      <c r="AE453" s="747">
        <f t="shared" si="1057"/>
        <v>2.0647617433511289E-2</v>
      </c>
      <c r="AF453" s="747">
        <f t="shared" si="1057"/>
        <v>-0.16591829869757713</v>
      </c>
      <c r="AG453" s="309">
        <f t="shared" si="1057"/>
        <v>-8.2382152647149653E-2</v>
      </c>
      <c r="AH453" s="747">
        <f t="shared" si="1044"/>
        <v>-9.2960555351241148E-2</v>
      </c>
      <c r="AI453" s="747">
        <f t="shared" si="1044"/>
        <v>-3.8610038610038644E-2</v>
      </c>
      <c r="AJ453" s="747">
        <f t="shared" si="1044"/>
        <v>3.283656395348844E-2</v>
      </c>
      <c r="AK453" s="747">
        <f t="shared" si="1044"/>
        <v>0.13409218515283849</v>
      </c>
      <c r="AL453" s="309">
        <f t="shared" si="1044"/>
        <v>3.170470657197777E-3</v>
      </c>
      <c r="AM453" s="1654">
        <f t="shared" si="1058"/>
        <v>7.2570785770751156E-2</v>
      </c>
      <c r="AN453" s="1654">
        <f t="shared" si="1058"/>
        <v>0.13611774698795198</v>
      </c>
      <c r="AO453" s="1654">
        <f t="shared" si="1058"/>
        <v>2.8271620685193177E-2</v>
      </c>
      <c r="AP453" s="1654">
        <f t="shared" si="1058"/>
        <v>-2.2658292993736895E-2</v>
      </c>
      <c r="AQ453" s="309">
        <f t="shared" si="1045"/>
        <v>5.2425503284030173E-2</v>
      </c>
      <c r="AR453" s="1655">
        <f t="shared" si="1059"/>
        <v>5.1235590193435598E-2</v>
      </c>
      <c r="AS453" s="1654">
        <f t="shared" si="1060"/>
        <v>-1.8198768066346682E-2</v>
      </c>
      <c r="AT453" s="1654">
        <f t="shared" si="1061"/>
        <v>-4.9538627728209383E-2</v>
      </c>
      <c r="AU453" s="1654">
        <f t="shared" si="1062"/>
        <v>2.1579676525451008E-2</v>
      </c>
      <c r="AV453" s="309">
        <f t="shared" si="1046"/>
        <v>6.0860235796833528E-4</v>
      </c>
      <c r="AW453" s="1654">
        <f t="shared" si="1063"/>
        <v>-6.4798827668654746E-2</v>
      </c>
      <c r="AX453" s="1654">
        <f t="shared" si="1064"/>
        <v>-2.5311319626516893E-2</v>
      </c>
      <c r="AY453" s="1654">
        <f t="shared" si="1065"/>
        <v>-4.546361079169825E-2</v>
      </c>
      <c r="AZ453" s="1654">
        <f t="shared" si="1066"/>
        <v>-0.13586579251831854</v>
      </c>
      <c r="BA453" s="309">
        <f t="shared" si="1029"/>
        <v>-6.703824259612412E-2</v>
      </c>
      <c r="BB453" s="1655">
        <f t="shared" si="1067"/>
        <v>-5.5536748204843223E-2</v>
      </c>
      <c r="BC453" s="1654">
        <f t="shared" si="1068"/>
        <v>-6.9288443538458755E-2</v>
      </c>
      <c r="BD453" s="1654">
        <f t="shared" si="1069"/>
        <v>-3.9597883646598442E-2</v>
      </c>
      <c r="BE453" s="1654">
        <f t="shared" si="1070"/>
        <v>8.149200696211012E-2</v>
      </c>
      <c r="BF453" s="309">
        <f t="shared" si="1030"/>
        <v>-2.4904320525605872E-2</v>
      </c>
      <c r="BG453" s="1655">
        <f t="shared" si="1071"/>
        <v>3.6980986242997282E-2</v>
      </c>
      <c r="BH453" s="1654">
        <f t="shared" si="1072"/>
        <v>8.1731345174969494E-2</v>
      </c>
      <c r="BI453" s="1654">
        <f t="shared" si="1073"/>
        <v>8.5470398506594325E-2</v>
      </c>
      <c r="BJ453" s="1654">
        <f t="shared" si="1074"/>
        <v>5.6949019096338205E-2</v>
      </c>
      <c r="BK453" s="309">
        <f t="shared" si="1031"/>
        <v>6.5093505337789459E-2</v>
      </c>
      <c r="BL453" s="1654">
        <f t="shared" si="1075"/>
        <v>1.6119919042046904E-2</v>
      </c>
      <c r="BM453" s="1654">
        <f t="shared" si="1076"/>
        <v>1.1544316743612892E-2</v>
      </c>
      <c r="BN453" s="1654">
        <f t="shared" si="1077"/>
        <v>4.9570680714723592E-2</v>
      </c>
      <c r="BO453" s="1654">
        <f t="shared" si="1078"/>
        <v>-1.0731331683664913E-2</v>
      </c>
      <c r="BP453" s="309">
        <f t="shared" si="1032"/>
        <v>1.6638815534431917E-2</v>
      </c>
      <c r="BQ453" s="3934">
        <f t="shared" si="1079"/>
        <v>2.5764998456862642E-2</v>
      </c>
      <c r="BR453" s="3934">
        <f t="shared" si="1080"/>
        <v>1.6113504993497729E-2</v>
      </c>
      <c r="BS453" s="3934">
        <f t="shared" si="1081"/>
        <v>4.2406360294118262E-3</v>
      </c>
      <c r="BT453" s="3934">
        <f t="shared" si="1081"/>
        <v>4.7842104805142505E-3</v>
      </c>
      <c r="BU453" s="3318">
        <f t="shared" si="1033"/>
        <v>1.2796654515221606E-2</v>
      </c>
      <c r="BV453" s="339">
        <v>0.03</v>
      </c>
      <c r="BW453" s="748">
        <v>0.03</v>
      </c>
      <c r="BX453" s="748">
        <v>0.02</v>
      </c>
      <c r="BY453" s="3057">
        <v>0.05</v>
      </c>
      <c r="BZ453" s="3864">
        <f t="shared" si="1034"/>
        <v>3.2185060312415636E-2</v>
      </c>
      <c r="CA453" s="458">
        <v>0.01</v>
      </c>
      <c r="CB453" s="458">
        <v>0</v>
      </c>
      <c r="CC453" s="458">
        <v>-0.05</v>
      </c>
      <c r="CD453" s="458">
        <v>-0.05</v>
      </c>
      <c r="CE453" s="458">
        <v>0.02</v>
      </c>
      <c r="CF453" s="458">
        <v>0.02</v>
      </c>
      <c r="CG453" s="458">
        <v>0.02</v>
      </c>
      <c r="CH453" s="3897"/>
      <c r="CI453" s="747"/>
      <c r="CJ453" s="747"/>
      <c r="CK453" s="747"/>
      <c r="CL453" s="747"/>
      <c r="CM453" s="747"/>
      <c r="CN453" s="747"/>
      <c r="CO453" s="747"/>
      <c r="CP453" s="1884" t="str">
        <f t="shared" si="1028"/>
        <v>Treasure Chest (New Orleans, LA)</v>
      </c>
      <c r="CQ453" s="747"/>
      <c r="CR453" s="747">
        <f t="shared" si="1047"/>
        <v>7.0924982314407359E-2</v>
      </c>
      <c r="CS453" s="747">
        <f t="shared" si="1048"/>
        <v>0.22716234232619636</v>
      </c>
      <c r="CT453" s="747">
        <f t="shared" si="1049"/>
        <v>-0.19814042474165083</v>
      </c>
      <c r="CU453" s="747">
        <f t="shared" si="1050"/>
        <v>-3.7839210363468712E-2</v>
      </c>
      <c r="CV453" s="747">
        <f t="shared" si="1051"/>
        <v>-8.2382152647149653E-2</v>
      </c>
      <c r="CW453" s="747">
        <f t="shared" si="1052"/>
        <v>3.170470657197777E-3</v>
      </c>
      <c r="CX453" s="747">
        <f t="shared" si="1053"/>
        <v>5.2425503284030173E-2</v>
      </c>
      <c r="CY453" s="747">
        <f t="shared" si="1054"/>
        <v>6.0860235796833528E-4</v>
      </c>
      <c r="CZ453" s="747">
        <f t="shared" si="1035"/>
        <v>-6.703824259612412E-2</v>
      </c>
      <c r="DA453" s="747">
        <f t="shared" si="1036"/>
        <v>-2.4904320525605872E-2</v>
      </c>
      <c r="DB453" s="747">
        <f t="shared" si="1037"/>
        <v>6.5093505337789459E-2</v>
      </c>
      <c r="DC453" s="747">
        <f t="shared" si="1038"/>
        <v>1.6638815534431917E-2</v>
      </c>
      <c r="DD453" s="747">
        <f t="shared" si="1039"/>
        <v>1.2796654515221606E-2</v>
      </c>
      <c r="DE453" s="747">
        <f t="shared" si="1040"/>
        <v>3.2185060312415636E-2</v>
      </c>
      <c r="DF453" s="747">
        <f t="shared" si="1041"/>
        <v>0.01</v>
      </c>
      <c r="DG453" s="1883">
        <f t="shared" si="1042"/>
        <v>0</v>
      </c>
      <c r="DH453" s="747"/>
      <c r="DI453" s="592"/>
      <c r="DJ453" s="592"/>
      <c r="DK453" s="592"/>
      <c r="DL453" s="592"/>
      <c r="DM453" s="592"/>
      <c r="DN453" s="592"/>
      <c r="DO453" s="749" t="s">
        <v>398</v>
      </c>
      <c r="DY453" s="747"/>
      <c r="DZ453" s="747"/>
    </row>
    <row r="454" spans="1:132" ht="12" customHeight="1">
      <c r="A454" s="745" t="s">
        <v>917</v>
      </c>
      <c r="B454" s="746"/>
      <c r="C454" s="746"/>
      <c r="D454" s="335"/>
      <c r="E454" s="747"/>
      <c r="F454" s="747"/>
      <c r="G454" s="747"/>
      <c r="H454" s="309"/>
      <c r="I454" s="747">
        <f t="shared" si="1055"/>
        <v>5.2709190747227019E-2</v>
      </c>
      <c r="J454" s="747">
        <f t="shared" si="1055"/>
        <v>2.0170610963535562E-2</v>
      </c>
      <c r="K454" s="747">
        <f t="shared" si="1055"/>
        <v>-1.1439799131098827E-3</v>
      </c>
      <c r="L454" s="747">
        <f t="shared" si="1055"/>
        <v>-1.4256799071174497E-2</v>
      </c>
      <c r="M454" s="309">
        <f t="shared" si="1055"/>
        <v>1.3684908284303798E-2</v>
      </c>
      <c r="N454" s="747">
        <f t="shared" si="1055"/>
        <v>0.27325329020431344</v>
      </c>
      <c r="O454" s="747">
        <f t="shared" si="1055"/>
        <v>0.22247284484342278</v>
      </c>
      <c r="P454" s="747">
        <f t="shared" si="1055"/>
        <v>0.18084151054052322</v>
      </c>
      <c r="Q454" s="747">
        <f t="shared" si="1055"/>
        <v>0.24366456741628206</v>
      </c>
      <c r="R454" s="309">
        <f t="shared" si="1055"/>
        <v>0.22892758523612033</v>
      </c>
      <c r="S454" s="747">
        <f t="shared" si="1056"/>
        <v>-5.5419199462902857E-2</v>
      </c>
      <c r="T454" s="747">
        <f t="shared" si="1056"/>
        <v>1.4751256082803144E-2</v>
      </c>
      <c r="U454" s="747">
        <f t="shared" si="1056"/>
        <v>-9.8801477831917839E-2</v>
      </c>
      <c r="V454" s="747">
        <f t="shared" si="1056"/>
        <v>-0.31911693706010369</v>
      </c>
      <c r="W454" s="309">
        <f t="shared" si="1056"/>
        <v>-0.11248227499424046</v>
      </c>
      <c r="X454" s="747">
        <f t="shared" si="1056"/>
        <v>-0.32575619152235769</v>
      </c>
      <c r="Y454" s="747">
        <f t="shared" si="1056"/>
        <v>-0.3449028072272351</v>
      </c>
      <c r="Z454" s="747">
        <f t="shared" si="1056"/>
        <v>-0.29289157912155228</v>
      </c>
      <c r="AA454" s="747">
        <f t="shared" si="1056"/>
        <v>-0.15468161483628839</v>
      </c>
      <c r="AB454" s="309">
        <f t="shared" si="1056"/>
        <v>-0.29109416813303168</v>
      </c>
      <c r="AC454" s="747">
        <f t="shared" si="1057"/>
        <v>3.5993988069313643E-2</v>
      </c>
      <c r="AD454" s="747">
        <f t="shared" si="1057"/>
        <v>5.2785477918729784E-2</v>
      </c>
      <c r="AE454" s="747">
        <f t="shared" si="1057"/>
        <v>-1.0120000917075989E-2</v>
      </c>
      <c r="AF454" s="747">
        <f t="shared" si="1057"/>
        <v>4.9596291858573283E-2</v>
      </c>
      <c r="AG454" s="309">
        <f t="shared" si="1057"/>
        <v>3.1522379107560949E-2</v>
      </c>
      <c r="AH454" s="747">
        <f t="shared" si="1044"/>
        <v>-0.11093525094079437</v>
      </c>
      <c r="AI454" s="747">
        <f t="shared" si="1044"/>
        <v>-0.1027667984189724</v>
      </c>
      <c r="AJ454" s="747">
        <f t="shared" si="1044"/>
        <v>3.2997698924731145E-2</v>
      </c>
      <c r="AK454" s="747">
        <f t="shared" si="1044"/>
        <v>-1.3874893111639031E-2</v>
      </c>
      <c r="AL454" s="309">
        <f t="shared" si="1044"/>
        <v>-5.1298786582282374E-2</v>
      </c>
      <c r="AM454" s="1654">
        <f t="shared" si="1058"/>
        <v>-4.0139025522041849E-2</v>
      </c>
      <c r="AN454" s="1654">
        <f t="shared" si="1058"/>
        <v>-3.1861651982378891E-2</v>
      </c>
      <c r="AO454" s="1654">
        <f t="shared" si="1058"/>
        <v>-5.7846052098545431E-2</v>
      </c>
      <c r="AP454" s="1654">
        <f t="shared" si="1058"/>
        <v>1.6861986767613413E-2</v>
      </c>
      <c r="AQ454" s="309">
        <f t="shared" si="1045"/>
        <v>-2.9514537075093217E-2</v>
      </c>
      <c r="AR454" s="1655">
        <f t="shared" si="1059"/>
        <v>5.1485535124866422E-2</v>
      </c>
      <c r="AS454" s="1654">
        <f t="shared" si="1060"/>
        <v>4.4889959910114907E-3</v>
      </c>
      <c r="AT454" s="1654">
        <f t="shared" si="1061"/>
        <v>1.5179404767031723E-2</v>
      </c>
      <c r="AU454" s="1654">
        <f t="shared" si="1062"/>
        <v>-1.9105618173737238E-2</v>
      </c>
      <c r="AV454" s="309">
        <f t="shared" si="1046"/>
        <v>1.2776160104781553E-2</v>
      </c>
      <c r="AW454" s="1655">
        <f t="shared" si="1063"/>
        <v>-8.3395814226517206E-2</v>
      </c>
      <c r="AX454" s="1654">
        <f t="shared" si="1064"/>
        <v>-6.2008678078406931E-2</v>
      </c>
      <c r="AY454" s="1654">
        <f t="shared" si="1065"/>
        <v>-0.11482906693284722</v>
      </c>
      <c r="AZ454" s="1654">
        <f t="shared" si="1066"/>
        <v>-8.8196828802850513E-2</v>
      </c>
      <c r="BA454" s="309">
        <f t="shared" si="1029"/>
        <v>-8.7388194962404242E-2</v>
      </c>
      <c r="BB454" s="1655">
        <f t="shared" si="1067"/>
        <v>-9.1737185636626917E-2</v>
      </c>
      <c r="BC454" s="1654">
        <f t="shared" si="1068"/>
        <v>-3.3258497030501877E-2</v>
      </c>
      <c r="BD454" s="1654">
        <f t="shared" si="1069"/>
        <v>4.6274409053037591E-3</v>
      </c>
      <c r="BE454" s="1654">
        <f t="shared" si="1070"/>
        <v>2.9845905041672616E-2</v>
      </c>
      <c r="BF454" s="309">
        <f t="shared" si="1030"/>
        <v>-2.3292403750267754E-2</v>
      </c>
      <c r="BG454" s="1655">
        <f t="shared" si="1071"/>
        <v>3.8532927241648807E-2</v>
      </c>
      <c r="BH454" s="3148">
        <f t="shared" si="1072"/>
        <v>2.8800281348755341E-3</v>
      </c>
      <c r="BI454" s="3148">
        <f t="shared" si="1073"/>
        <v>1.8921771631935647E-2</v>
      </c>
      <c r="BJ454" s="3148">
        <f t="shared" si="1074"/>
        <v>3.4050010711327294E-2</v>
      </c>
      <c r="BK454" s="309">
        <f t="shared" si="1031"/>
        <v>2.3128541937877278E-2</v>
      </c>
      <c r="BL454" s="3148">
        <f t="shared" si="1075"/>
        <v>6.6818493583024718E-2</v>
      </c>
      <c r="BM454" s="3148">
        <f t="shared" si="1076"/>
        <v>-1.3200659589652775E-3</v>
      </c>
      <c r="BN454" s="3148">
        <f t="shared" si="1077"/>
        <v>-3.0850793377323882E-3</v>
      </c>
      <c r="BO454" s="3148">
        <f t="shared" si="1078"/>
        <v>-5.9084801203977189E-2</v>
      </c>
      <c r="BP454" s="309">
        <f t="shared" si="1032"/>
        <v>-2.7616981563904908E-4</v>
      </c>
      <c r="BQ454" s="3934">
        <f t="shared" si="1079"/>
        <v>-2.3817279134189517E-3</v>
      </c>
      <c r="BR454" s="3934">
        <f t="shared" si="1080"/>
        <v>1.4493732384106561E-3</v>
      </c>
      <c r="BS454" s="3934">
        <f t="shared" si="1081"/>
        <v>-1.4992361445783087E-2</v>
      </c>
      <c r="BT454" s="3934">
        <f t="shared" si="1081"/>
        <v>-1.351262874319803E-2</v>
      </c>
      <c r="BU454" s="3318">
        <f t="shared" si="1033"/>
        <v>-7.3382525647528452E-3</v>
      </c>
      <c r="BV454" s="339">
        <v>-0.11</v>
      </c>
      <c r="BW454" s="748">
        <v>-0.125</v>
      </c>
      <c r="BX454" s="748">
        <v>-0.125</v>
      </c>
      <c r="BY454" s="3057">
        <v>-0.125</v>
      </c>
      <c r="BZ454" s="3864">
        <f t="shared" si="1034"/>
        <v>-0.12120910773136551</v>
      </c>
      <c r="CA454" s="458">
        <v>-0.02</v>
      </c>
      <c r="CB454" s="458">
        <v>0</v>
      </c>
      <c r="CC454" s="458">
        <v>-0.05</v>
      </c>
      <c r="CD454" s="458">
        <v>-0.05</v>
      </c>
      <c r="CE454" s="458">
        <v>0.02</v>
      </c>
      <c r="CF454" s="458">
        <v>0.02</v>
      </c>
      <c r="CG454" s="458">
        <v>0.02</v>
      </c>
      <c r="CH454" s="3897"/>
      <c r="CI454" s="747"/>
      <c r="CJ454" s="747"/>
      <c r="CK454" s="747"/>
      <c r="CL454" s="747"/>
      <c r="CM454" s="747"/>
      <c r="CN454" s="747"/>
      <c r="CO454" s="747"/>
      <c r="CP454" s="1884" t="str">
        <f t="shared" si="1028"/>
        <v>Blue Chip (Chicago, IL - IN)</v>
      </c>
      <c r="CQ454" s="747"/>
      <c r="CR454" s="747">
        <f t="shared" si="1047"/>
        <v>1.3684908284303798E-2</v>
      </c>
      <c r="CS454" s="747">
        <f t="shared" si="1048"/>
        <v>0.22892758523612033</v>
      </c>
      <c r="CT454" s="747">
        <f t="shared" si="1049"/>
        <v>-0.11248227499424046</v>
      </c>
      <c r="CU454" s="747">
        <f t="shared" si="1050"/>
        <v>-0.29109416813303168</v>
      </c>
      <c r="CV454" s="747">
        <f t="shared" si="1051"/>
        <v>3.1522379107560949E-2</v>
      </c>
      <c r="CW454" s="747">
        <f t="shared" si="1052"/>
        <v>-5.1298786582282374E-2</v>
      </c>
      <c r="CX454" s="747">
        <f t="shared" si="1053"/>
        <v>-2.9514537075093217E-2</v>
      </c>
      <c r="CY454" s="747">
        <f t="shared" si="1054"/>
        <v>1.2776160104781553E-2</v>
      </c>
      <c r="CZ454" s="747">
        <f t="shared" si="1035"/>
        <v>-8.7388194962404242E-2</v>
      </c>
      <c r="DA454" s="747">
        <f t="shared" si="1036"/>
        <v>-2.3292403750267754E-2</v>
      </c>
      <c r="DB454" s="747">
        <f t="shared" si="1037"/>
        <v>2.3128541937877278E-2</v>
      </c>
      <c r="DC454" s="747">
        <f t="shared" si="1038"/>
        <v>-2.7616981563904908E-4</v>
      </c>
      <c r="DD454" s="747">
        <f t="shared" si="1039"/>
        <v>-7.3382525647528452E-3</v>
      </c>
      <c r="DE454" s="747">
        <f t="shared" si="1040"/>
        <v>-0.12120910773136551</v>
      </c>
      <c r="DF454" s="747">
        <f t="shared" si="1041"/>
        <v>-0.02</v>
      </c>
      <c r="DG454" s="1883">
        <f t="shared" si="1042"/>
        <v>0</v>
      </c>
      <c r="DH454" s="747"/>
      <c r="DI454" s="592"/>
      <c r="DJ454" s="592"/>
      <c r="DK454" s="592"/>
      <c r="DL454" s="592"/>
      <c r="DM454" s="592"/>
      <c r="DN454" s="592"/>
      <c r="DO454" s="749" t="s">
        <v>399</v>
      </c>
      <c r="DY454" s="747"/>
      <c r="DZ454" s="747"/>
    </row>
    <row r="455" spans="1:132" ht="12" customHeight="1">
      <c r="A455" s="745" t="s">
        <v>775</v>
      </c>
      <c r="B455" s="746"/>
      <c r="C455" s="746"/>
      <c r="D455" s="335"/>
      <c r="E455" s="747"/>
      <c r="F455" s="747"/>
      <c r="G455" s="747"/>
      <c r="H455" s="309"/>
      <c r="I455" s="747">
        <f t="shared" si="1055"/>
        <v>-3.1371765318938594E-2</v>
      </c>
      <c r="J455" s="747">
        <f t="shared" si="1055"/>
        <v>0.20745067630057812</v>
      </c>
      <c r="K455" s="747">
        <f t="shared" si="1055"/>
        <v>1.7939676053416953E-2</v>
      </c>
      <c r="L455" s="747">
        <f t="shared" si="1055"/>
        <v>-0.28544926584673536</v>
      </c>
      <c r="M455" s="309">
        <f t="shared" si="1055"/>
        <v>-1.9851002526583894E-2</v>
      </c>
      <c r="N455" s="747">
        <f t="shared" si="1055"/>
        <v>0.23220341542745748</v>
      </c>
      <c r="O455" s="747">
        <f t="shared" si="1055"/>
        <v>8.3845986088162405E-2</v>
      </c>
      <c r="P455" s="747">
        <f t="shared" si="1055"/>
        <v>0.318712376261997</v>
      </c>
      <c r="Q455" s="747">
        <f t="shared" si="1055"/>
        <v>0.72222060107325281</v>
      </c>
      <c r="R455" s="309">
        <f t="shared" si="1055"/>
        <v>0.29161882270561601</v>
      </c>
      <c r="S455" s="747">
        <f t="shared" si="1056"/>
        <v>-8.1112114187167017E-2</v>
      </c>
      <c r="T455" s="747">
        <f t="shared" si="1056"/>
        <v>-6.614623418336596E-2</v>
      </c>
      <c r="U455" s="747">
        <f t="shared" si="1056"/>
        <v>-2.1409332534106706E-2</v>
      </c>
      <c r="V455" s="747">
        <f t="shared" si="1056"/>
        <v>5.1955592142621576E-2</v>
      </c>
      <c r="W455" s="309">
        <f t="shared" si="1056"/>
        <v>-3.2085725025809086E-2</v>
      </c>
      <c r="X455" s="263">
        <f t="shared" si="1056"/>
        <v>5.6160073666903454E-2</v>
      </c>
      <c r="Y455" s="747">
        <f t="shared" si="1056"/>
        <v>4.9026653850541946E-2</v>
      </c>
      <c r="Z455" s="747">
        <f t="shared" si="1056"/>
        <v>-9.9574266829453917E-2</v>
      </c>
      <c r="AA455" s="747">
        <f t="shared" si="1056"/>
        <v>0.15880768671308254</v>
      </c>
      <c r="AB455" s="309">
        <f t="shared" si="1056"/>
        <v>4.0155286861082606E-2</v>
      </c>
      <c r="AC455" s="747">
        <f t="shared" si="1057"/>
        <v>0.12020799977077368</v>
      </c>
      <c r="AD455" s="747">
        <f t="shared" si="1057"/>
        <v>0.12005648387896173</v>
      </c>
      <c r="AE455" s="747">
        <f t="shared" si="1057"/>
        <v>0.2044483708863889</v>
      </c>
      <c r="AF455" s="747">
        <f t="shared" si="1057"/>
        <v>-0.15011052034872618</v>
      </c>
      <c r="AG455" s="309">
        <f t="shared" si="1057"/>
        <v>6.4422961993574335E-2</v>
      </c>
      <c r="AH455" s="747">
        <f t="shared" si="1044"/>
        <v>-9.3835981218462261E-2</v>
      </c>
      <c r="AI455" s="747">
        <f t="shared" si="1044"/>
        <v>-8.262711864406791E-2</v>
      </c>
      <c r="AJ455" s="747">
        <f t="shared" si="1044"/>
        <v>-3.1260086830357081E-2</v>
      </c>
      <c r="AK455" s="747">
        <f t="shared" si="1044"/>
        <v>1.2480077721519045E-2</v>
      </c>
      <c r="AL455" s="309">
        <f t="shared" si="1044"/>
        <v>-5.2004946063685997E-2</v>
      </c>
      <c r="AM455" s="1654">
        <f t="shared" si="1058"/>
        <v>-7.3924754545454663E-3</v>
      </c>
      <c r="AN455" s="1654">
        <f t="shared" si="1058"/>
        <v>4.5835853810623606E-2</v>
      </c>
      <c r="AO455" s="1654">
        <f t="shared" si="1058"/>
        <v>6.9777624926518955E-2</v>
      </c>
      <c r="AP455" s="1654">
        <f t="shared" si="1058"/>
        <v>5.4651904790709471E-2</v>
      </c>
      <c r="AQ455" s="309">
        <f t="shared" si="1045"/>
        <v>4.0267920967849369E-2</v>
      </c>
      <c r="AR455" s="1655">
        <f t="shared" si="1059"/>
        <v>4.4996759943415787E-2</v>
      </c>
      <c r="AS455" s="1654">
        <f t="shared" si="1060"/>
        <v>5.032262549888511E-2</v>
      </c>
      <c r="AT455" s="1654">
        <f t="shared" si="1061"/>
        <v>3.4372667853963534E-3</v>
      </c>
      <c r="AU455" s="1654">
        <f t="shared" si="1062"/>
        <v>4.2583790157054713E-2</v>
      </c>
      <c r="AV455" s="309">
        <f t="shared" si="1046"/>
        <v>3.4915354936682741E-2</v>
      </c>
      <c r="AW455" s="1654">
        <f t="shared" si="1063"/>
        <v>9.6434045870074314E-2</v>
      </c>
      <c r="AX455" s="1654">
        <f t="shared" si="1064"/>
        <v>9.6871058838237101E-3</v>
      </c>
      <c r="AY455" s="1654">
        <f t="shared" si="1065"/>
        <v>2.0782544879361931E-2</v>
      </c>
      <c r="AZ455" s="1654">
        <f t="shared" si="1066"/>
        <v>-3.7761356334610197E-3</v>
      </c>
      <c r="BA455" s="309">
        <f t="shared" si="1029"/>
        <v>3.082266528391675E-2</v>
      </c>
      <c r="BB455" s="1655">
        <f t="shared" si="1067"/>
        <v>-2.4866459561285414E-2</v>
      </c>
      <c r="BC455" s="1654">
        <f t="shared" si="1068"/>
        <v>9.3835827446442366E-4</v>
      </c>
      <c r="BD455" s="1654">
        <f t="shared" si="1069"/>
        <v>2.694907443884742E-2</v>
      </c>
      <c r="BE455" s="1654">
        <f t="shared" si="1070"/>
        <v>3.2220293745983897E-2</v>
      </c>
      <c r="BF455" s="309">
        <f t="shared" si="1030"/>
        <v>7.8859133041437879E-3</v>
      </c>
      <c r="BG455" s="1655">
        <f t="shared" si="1071"/>
        <v>-3.5399194592936611E-3</v>
      </c>
      <c r="BH455" s="3148">
        <f t="shared" si="1072"/>
        <v>-7.8374125688531748E-3</v>
      </c>
      <c r="BI455" s="3148">
        <f t="shared" si="1073"/>
        <v>-4.6353709620865935E-2</v>
      </c>
      <c r="BJ455" s="3148">
        <f t="shared" si="1074"/>
        <v>-5.0361565426548793E-2</v>
      </c>
      <c r="BK455" s="309">
        <f t="shared" si="1031"/>
        <v>-2.6663145322773252E-2</v>
      </c>
      <c r="BL455" s="3148">
        <f t="shared" si="1075"/>
        <v>-7.8269700851758883E-2</v>
      </c>
      <c r="BM455" s="3148">
        <f t="shared" si="1076"/>
        <v>-5.3633473315411906E-2</v>
      </c>
      <c r="BN455" s="3148">
        <f t="shared" si="1077"/>
        <v>-6.1697169673175067E-2</v>
      </c>
      <c r="BO455" s="3148">
        <f t="shared" si="1078"/>
        <v>-1.9928834773055737E-2</v>
      </c>
      <c r="BP455" s="309">
        <f t="shared" si="1032"/>
        <v>-5.4312007862132416E-2</v>
      </c>
      <c r="BQ455" s="3934">
        <f t="shared" si="1079"/>
        <v>3.8567599686474718E-2</v>
      </c>
      <c r="BR455" s="3934">
        <f t="shared" si="1080"/>
        <v>-1.3630009274444133E-2</v>
      </c>
      <c r="BS455" s="3934">
        <f t="shared" si="1081"/>
        <v>-4.7038602059496615E-2</v>
      </c>
      <c r="BT455" s="3934">
        <f t="shared" si="1081"/>
        <v>9.3529188742575986E-2</v>
      </c>
      <c r="BU455" s="3318">
        <f t="shared" si="1033"/>
        <v>1.7037279856250365E-2</v>
      </c>
      <c r="BV455" s="339">
        <v>-0.02</v>
      </c>
      <c r="BW455" s="748">
        <v>-0.02</v>
      </c>
      <c r="BX455" s="748">
        <v>0.03</v>
      </c>
      <c r="BY455" s="3057">
        <v>0.01</v>
      </c>
      <c r="BZ455" s="3864">
        <f t="shared" si="1034"/>
        <v>-6.2528701195141423E-4</v>
      </c>
      <c r="CA455" s="458">
        <v>0.01</v>
      </c>
      <c r="CB455" s="458">
        <v>0</v>
      </c>
      <c r="CC455" s="458">
        <v>-0.05</v>
      </c>
      <c r="CD455" s="458">
        <v>-0.05</v>
      </c>
      <c r="CE455" s="458">
        <v>0.02</v>
      </c>
      <c r="CF455" s="458">
        <v>0.02</v>
      </c>
      <c r="CG455" s="458">
        <v>0.02</v>
      </c>
      <c r="CH455" s="3897"/>
      <c r="CI455" s="747"/>
      <c r="CJ455" s="747"/>
      <c r="CK455" s="747"/>
      <c r="CL455" s="747"/>
      <c r="CM455" s="747"/>
      <c r="CN455" s="747"/>
      <c r="CO455" s="747"/>
      <c r="CP455" s="1884" t="str">
        <f t="shared" si="1028"/>
        <v>Delta Downs (Lake Charles, LA)</v>
      </c>
      <c r="CQ455" s="747"/>
      <c r="CR455" s="747">
        <f t="shared" si="1047"/>
        <v>-1.9851002526583894E-2</v>
      </c>
      <c r="CS455" s="747">
        <f t="shared" si="1048"/>
        <v>0.29161882270561601</v>
      </c>
      <c r="CT455" s="747">
        <f t="shared" si="1049"/>
        <v>-3.2085725025809086E-2</v>
      </c>
      <c r="CU455" s="747">
        <f t="shared" si="1050"/>
        <v>4.0155286861082606E-2</v>
      </c>
      <c r="CV455" s="747">
        <f t="shared" si="1051"/>
        <v>6.4422961993574335E-2</v>
      </c>
      <c r="CW455" s="747">
        <f t="shared" si="1052"/>
        <v>-5.2004946063685997E-2</v>
      </c>
      <c r="CX455" s="747">
        <f t="shared" si="1053"/>
        <v>4.0267920967849369E-2</v>
      </c>
      <c r="CY455" s="747">
        <f t="shared" si="1054"/>
        <v>3.4915354936682741E-2</v>
      </c>
      <c r="CZ455" s="747">
        <f t="shared" si="1035"/>
        <v>3.082266528391675E-2</v>
      </c>
      <c r="DA455" s="747">
        <f t="shared" si="1036"/>
        <v>7.8859133041437879E-3</v>
      </c>
      <c r="DB455" s="747">
        <f t="shared" si="1037"/>
        <v>-2.6663145322773252E-2</v>
      </c>
      <c r="DC455" s="747">
        <f t="shared" si="1038"/>
        <v>-5.4312007862132416E-2</v>
      </c>
      <c r="DD455" s="747">
        <f t="shared" si="1039"/>
        <v>1.7037279856250365E-2</v>
      </c>
      <c r="DE455" s="747">
        <f t="shared" si="1040"/>
        <v>-6.2528701195141423E-4</v>
      </c>
      <c r="DF455" s="747">
        <f t="shared" si="1041"/>
        <v>0.01</v>
      </c>
      <c r="DG455" s="1883">
        <f t="shared" si="1042"/>
        <v>0</v>
      </c>
      <c r="DH455" s="747"/>
      <c r="DI455" s="592"/>
      <c r="DJ455" s="592"/>
      <c r="DK455" s="592"/>
      <c r="DL455" s="592"/>
      <c r="DM455" s="592"/>
      <c r="DN455" s="592"/>
      <c r="DO455" s="749" t="s">
        <v>400</v>
      </c>
      <c r="DW455" s="4177"/>
      <c r="DY455" s="747"/>
      <c r="DZ455" s="747"/>
    </row>
    <row r="456" spans="1:132" ht="12" customHeight="1">
      <c r="A456" s="745" t="s">
        <v>1302</v>
      </c>
      <c r="B456" s="746"/>
      <c r="C456" s="746"/>
      <c r="D456" s="335"/>
      <c r="E456" s="747"/>
      <c r="F456" s="747"/>
      <c r="G456" s="747"/>
      <c r="H456" s="309"/>
      <c r="I456" s="747" t="s">
        <v>1109</v>
      </c>
      <c r="J456" s="747">
        <f t="shared" ref="J456:V456" si="1082">J435/E435-1</f>
        <v>0.96884924858195443</v>
      </c>
      <c r="K456" s="747">
        <f t="shared" si="1082"/>
        <v>-0.10707849204450492</v>
      </c>
      <c r="L456" s="747">
        <f t="shared" si="1082"/>
        <v>-5.5453650799052401E-2</v>
      </c>
      <c r="M456" s="309">
        <f t="shared" si="1082"/>
        <v>0.53115476387203087</v>
      </c>
      <c r="N456" s="747">
        <f t="shared" si="1082"/>
        <v>-8.4639440177335046E-2</v>
      </c>
      <c r="O456" s="747">
        <f t="shared" si="1082"/>
        <v>-8.4515233777865961E-2</v>
      </c>
      <c r="P456" s="747">
        <f t="shared" si="1082"/>
        <v>-3.7981998189402955E-2</v>
      </c>
      <c r="Q456" s="747">
        <f t="shared" si="1082"/>
        <v>-6.3415395890915827E-2</v>
      </c>
      <c r="R456" s="309">
        <f t="shared" si="1082"/>
        <v>-6.805574116489066E-2</v>
      </c>
      <c r="S456" s="747">
        <f t="shared" si="1082"/>
        <v>-6.9102217131600252E-3</v>
      </c>
      <c r="T456" s="747">
        <f t="shared" si="1082"/>
        <v>2.4342646733491735E-2</v>
      </c>
      <c r="U456" s="747">
        <f t="shared" si="1082"/>
        <v>2.4157631861518647E-2</v>
      </c>
      <c r="V456" s="747">
        <f t="shared" si="1082"/>
        <v>5.94260354167786E-3</v>
      </c>
      <c r="W456" s="309">
        <f t="shared" ref="W456:AG456" si="1083">W435/R435-1</f>
        <v>1.1564839075399291E-2</v>
      </c>
      <c r="X456" s="747">
        <f t="shared" si="1083"/>
        <v>-3.780823013059853E-2</v>
      </c>
      <c r="Y456" s="747">
        <f t="shared" si="1083"/>
        <v>3.4165551246602588E-2</v>
      </c>
      <c r="Z456" s="747">
        <f t="shared" si="1083"/>
        <v>-4.8192850253068742E-2</v>
      </c>
      <c r="AA456" s="747">
        <f t="shared" si="1083"/>
        <v>-4.1447147673089324E-3</v>
      </c>
      <c r="AB456" s="309">
        <f t="shared" si="1083"/>
        <v>-1.4921011950165042E-2</v>
      </c>
      <c r="AC456" s="747">
        <f t="shared" si="1083"/>
        <v>3.6203180828045856E-2</v>
      </c>
      <c r="AD456" s="747">
        <f t="shared" si="1083"/>
        <v>-3.2242227114731792E-2</v>
      </c>
      <c r="AE456" s="747">
        <f t="shared" si="1083"/>
        <v>-1.4609604836234524E-2</v>
      </c>
      <c r="AF456" s="747">
        <f t="shared" si="1083"/>
        <v>-5.8701193030669341E-2</v>
      </c>
      <c r="AG456" s="309">
        <f t="shared" si="1083"/>
        <v>-1.6855777933488469E-2</v>
      </c>
      <c r="AH456" s="747">
        <f t="shared" si="1044"/>
        <v>-6.7192334327087377E-2</v>
      </c>
      <c r="AI456" s="747">
        <f t="shared" si="1044"/>
        <v>-4.1139240506329111E-2</v>
      </c>
      <c r="AJ456" s="747">
        <f t="shared" si="1044"/>
        <v>3.7388899041533419E-2</v>
      </c>
      <c r="AK456" s="747">
        <f t="shared" si="1044"/>
        <v>-2.6333722602738252E-3</v>
      </c>
      <c r="AL456" s="309">
        <f t="shared" si="1044"/>
        <v>-1.966839159584044E-2</v>
      </c>
      <c r="AM456" s="1654">
        <f t="shared" si="1058"/>
        <v>-5.3796357460317301E-2</v>
      </c>
      <c r="AN456" s="1654">
        <f t="shared" si="1058"/>
        <v>-4.9465898019801946E-2</v>
      </c>
      <c r="AO456" s="1654">
        <f t="shared" si="1058"/>
        <v>-9.1578200224124218E-2</v>
      </c>
      <c r="AP456" s="1654">
        <f t="shared" si="1058"/>
        <v>-6.9527556321703932E-2</v>
      </c>
      <c r="AQ456" s="309">
        <f t="shared" si="1045"/>
        <v>-6.6387917877998581E-2</v>
      </c>
      <c r="AR456" s="1655">
        <f t="shared" si="1059"/>
        <v>3.5416213436659572E-2</v>
      </c>
      <c r="AS456" s="1654">
        <f t="shared" si="1060"/>
        <v>-5.4471143223643437E-2</v>
      </c>
      <c r="AT456" s="1654">
        <f t="shared" si="1061"/>
        <v>-5.3470790533513557E-2</v>
      </c>
      <c r="AU456" s="1654">
        <f t="shared" si="1062"/>
        <v>-6.752485201425662E-2</v>
      </c>
      <c r="AV456" s="309">
        <f t="shared" si="1046"/>
        <v>-3.40295393331147E-2</v>
      </c>
      <c r="AW456" s="1654">
        <f t="shared" si="1063"/>
        <v>-9.205373739802214E-2</v>
      </c>
      <c r="AX456" s="1654">
        <f t="shared" si="1064"/>
        <v>-7.0770069287788617E-2</v>
      </c>
      <c r="AY456" s="1654">
        <f t="shared" si="1065"/>
        <v>-0.18255628236396493</v>
      </c>
      <c r="AZ456" s="1654">
        <f t="shared" si="1066"/>
        <v>-0.10809697074620295</v>
      </c>
      <c r="BA456" s="309">
        <f t="shared" si="1029"/>
        <v>-0.1131944716092752</v>
      </c>
      <c r="BB456" s="1655">
        <f t="shared" si="1067"/>
        <v>-0.10231381337585177</v>
      </c>
      <c r="BC456" s="1654">
        <f t="shared" si="1068"/>
        <v>-0.13191008261080139</v>
      </c>
      <c r="BD456" s="1654">
        <f t="shared" si="1069"/>
        <v>2.1430716275017581E-2</v>
      </c>
      <c r="BE456" s="1654">
        <f t="shared" si="1070"/>
        <v>-2.0311870257798237E-2</v>
      </c>
      <c r="BF456" s="309">
        <f t="shared" si="1030"/>
        <v>-6.2557825843679415E-2</v>
      </c>
      <c r="BG456" s="1655">
        <f t="shared" si="1071"/>
        <v>-8.8528009080996894E-2</v>
      </c>
      <c r="BH456" s="3148">
        <f t="shared" si="1072"/>
        <v>-3.3655317719770705E-2</v>
      </c>
      <c r="BI456" s="3148">
        <f t="shared" si="1073"/>
        <v>-9.4989868305612069E-2</v>
      </c>
      <c r="BJ456" s="3148">
        <f t="shared" si="1074"/>
        <v>-0.10803969571879168</v>
      </c>
      <c r="BK456" s="309">
        <f t="shared" si="1031"/>
        <v>-8.1783381567365421E-2</v>
      </c>
      <c r="BL456" s="3148">
        <f t="shared" si="1075"/>
        <v>-8.3048207386519968E-2</v>
      </c>
      <c r="BM456" s="3148">
        <f t="shared" si="1076"/>
        <v>-6.395192690257967E-2</v>
      </c>
      <c r="BN456" s="3148">
        <f t="shared" si="1077"/>
        <v>-8.5192763412520245E-2</v>
      </c>
      <c r="BO456" s="3148">
        <f t="shared" si="1078"/>
        <v>-8.1389184294636818E-2</v>
      </c>
      <c r="BP456" s="309">
        <f t="shared" si="1032"/>
        <v>-7.8424062313188769E-2</v>
      </c>
      <c r="BQ456" s="3934">
        <f t="shared" si="1079"/>
        <v>-5.2913522216582187E-2</v>
      </c>
      <c r="BR456" s="3934">
        <f t="shared" si="1080"/>
        <v>-2.065469586278823E-2</v>
      </c>
      <c r="BS456" s="3934">
        <f t="shared" si="1081"/>
        <v>2.4794196891186893E-4</v>
      </c>
      <c r="BT456" s="3934">
        <f t="shared" si="1081"/>
        <v>-2.3389679500929961E-2</v>
      </c>
      <c r="BU456" s="3318">
        <f t="shared" si="1033"/>
        <v>-2.4796287918926296E-2</v>
      </c>
      <c r="BV456" s="339">
        <v>-0.04</v>
      </c>
      <c r="BW456" s="748">
        <v>-0.01</v>
      </c>
      <c r="BX456" s="748">
        <v>-0.01</v>
      </c>
      <c r="BY456" s="3057">
        <v>-0.01</v>
      </c>
      <c r="BZ456" s="3864">
        <f t="shared" si="1034"/>
        <v>-1.7824000622432501E-2</v>
      </c>
      <c r="CA456" s="458">
        <v>0.01</v>
      </c>
      <c r="CB456" s="458">
        <v>0</v>
      </c>
      <c r="CC456" s="458">
        <v>-0.05</v>
      </c>
      <c r="CD456" s="458">
        <v>-0.05</v>
      </c>
      <c r="CE456" s="458">
        <v>0.02</v>
      </c>
      <c r="CF456" s="458">
        <v>0.02</v>
      </c>
      <c r="CG456" s="458">
        <v>0.02</v>
      </c>
      <c r="CH456" s="3897"/>
      <c r="CI456" s="750"/>
      <c r="CJ456" s="750"/>
      <c r="CK456" s="750"/>
      <c r="CL456" s="750"/>
      <c r="CM456" s="750"/>
      <c r="CN456" s="750"/>
      <c r="CO456" s="750"/>
      <c r="CP456" s="1884" t="str">
        <f t="shared" si="1028"/>
        <v>Sam's Town Shreveport (LA)</v>
      </c>
      <c r="CQ456" s="747"/>
      <c r="CR456" s="747">
        <f t="shared" si="1047"/>
        <v>0.53115476387203087</v>
      </c>
      <c r="CS456" s="747">
        <f t="shared" si="1048"/>
        <v>-6.805574116489066E-2</v>
      </c>
      <c r="CT456" s="747">
        <f t="shared" si="1049"/>
        <v>1.1564839075399291E-2</v>
      </c>
      <c r="CU456" s="747">
        <f t="shared" si="1050"/>
        <v>-1.4921011950165042E-2</v>
      </c>
      <c r="CV456" s="747">
        <f t="shared" si="1051"/>
        <v>-1.6855777933488469E-2</v>
      </c>
      <c r="CW456" s="747">
        <f t="shared" si="1052"/>
        <v>-1.966839159584044E-2</v>
      </c>
      <c r="CX456" s="747">
        <f t="shared" si="1053"/>
        <v>-6.6387917877998581E-2</v>
      </c>
      <c r="CY456" s="747">
        <f t="shared" si="1054"/>
        <v>-3.40295393331147E-2</v>
      </c>
      <c r="CZ456" s="747">
        <f t="shared" si="1035"/>
        <v>-0.1131944716092752</v>
      </c>
      <c r="DA456" s="747">
        <f t="shared" si="1036"/>
        <v>-6.2557825843679415E-2</v>
      </c>
      <c r="DB456" s="747">
        <f t="shared" si="1037"/>
        <v>-8.1783381567365421E-2</v>
      </c>
      <c r="DC456" s="747">
        <f t="shared" si="1038"/>
        <v>-7.8424062313188769E-2</v>
      </c>
      <c r="DD456" s="747">
        <f t="shared" si="1039"/>
        <v>-2.4796287918926296E-2</v>
      </c>
      <c r="DE456" s="747">
        <f t="shared" si="1040"/>
        <v>-1.7824000622432501E-2</v>
      </c>
      <c r="DF456" s="747">
        <f t="shared" si="1041"/>
        <v>0.01</v>
      </c>
      <c r="DG456" s="1883">
        <f t="shared" si="1042"/>
        <v>0</v>
      </c>
      <c r="DH456" s="750"/>
      <c r="DI456" s="751"/>
      <c r="DJ456" s="751"/>
      <c r="DK456" s="751"/>
      <c r="DL456" s="751"/>
      <c r="DM456" s="751"/>
      <c r="DN456" s="751"/>
      <c r="DO456" s="752" t="s">
        <v>1546</v>
      </c>
      <c r="DY456" s="747"/>
      <c r="DZ456" s="747"/>
    </row>
    <row r="457" spans="1:132" s="3869" customFormat="1" ht="12" customHeight="1">
      <c r="A457" s="2501" t="s">
        <v>456</v>
      </c>
      <c r="B457" s="746"/>
      <c r="C457" s="746"/>
      <c r="D457" s="3862"/>
      <c r="E457" s="3863"/>
      <c r="F457" s="3863"/>
      <c r="G457" s="3863"/>
      <c r="H457" s="3864"/>
      <c r="I457" s="3863"/>
      <c r="J457" s="3863"/>
      <c r="K457" s="3863"/>
      <c r="L457" s="3863"/>
      <c r="M457" s="3864"/>
      <c r="N457" s="3863"/>
      <c r="O457" s="3863"/>
      <c r="P457" s="3863"/>
      <c r="Q457" s="3863"/>
      <c r="R457" s="3864"/>
      <c r="S457" s="3863"/>
      <c r="T457" s="3863"/>
      <c r="U457" s="3863"/>
      <c r="V457" s="3863"/>
      <c r="W457" s="3864"/>
      <c r="X457" s="3863"/>
      <c r="Y457" s="3863"/>
      <c r="Z457" s="3863"/>
      <c r="AA457" s="3863"/>
      <c r="AB457" s="3864"/>
      <c r="AC457" s="3863"/>
      <c r="AD457" s="3863"/>
      <c r="AE457" s="3863"/>
      <c r="AF457" s="3863"/>
      <c r="AG457" s="3864"/>
      <c r="AH457" s="3863"/>
      <c r="AI457" s="3863"/>
      <c r="AJ457" s="3863"/>
      <c r="AK457" s="3863"/>
      <c r="AL457" s="3864"/>
      <c r="AM457" s="1654"/>
      <c r="AN457" s="1654"/>
      <c r="AO457" s="1654"/>
      <c r="AP457" s="1654"/>
      <c r="AQ457" s="309"/>
      <c r="AR457" s="1655">
        <f t="shared" si="1059"/>
        <v>6.4769546357116292E-2</v>
      </c>
      <c r="AS457" s="1654">
        <f t="shared" si="1060"/>
        <v>1.8015732763197123E-2</v>
      </c>
      <c r="AT457" s="1654">
        <f t="shared" si="1061"/>
        <v>-5.8262299363168735E-2</v>
      </c>
      <c r="AU457" s="1654">
        <f t="shared" si="1062"/>
        <v>-3.2548028004231289E-2</v>
      </c>
      <c r="AV457" s="309">
        <f t="shared" si="1046"/>
        <v>-3.1133207696741882E-3</v>
      </c>
      <c r="AW457" s="1654">
        <f t="shared" si="1063"/>
        <v>-7.8137038031175443E-2</v>
      </c>
      <c r="AX457" s="1654">
        <f t="shared" si="1064"/>
        <v>-3.1118571263914041E-2</v>
      </c>
      <c r="AY457" s="1654">
        <f t="shared" si="1065"/>
        <v>3.4519737347981527E-2</v>
      </c>
      <c r="AZ457" s="1654">
        <f t="shared" si="1066"/>
        <v>-7.0352412965346112E-2</v>
      </c>
      <c r="BA457" s="309">
        <f t="shared" si="1029"/>
        <v>-3.6194822251765624E-2</v>
      </c>
      <c r="BB457" s="1655">
        <f t="shared" si="1067"/>
        <v>-8.5655588300511565E-2</v>
      </c>
      <c r="BC457" s="1654">
        <f t="shared" si="1068"/>
        <v>-5.9246851154368674E-2</v>
      </c>
      <c r="BD457" s="1654">
        <f t="shared" si="1069"/>
        <v>-7.3851058107077816E-2</v>
      </c>
      <c r="BE457" s="1654">
        <f t="shared" si="1070"/>
        <v>2.5596594642162795E-2</v>
      </c>
      <c r="BF457" s="309">
        <f t="shared" si="1030"/>
        <v>-5.0246064333896889E-2</v>
      </c>
      <c r="BG457" s="1655">
        <f t="shared" si="1071"/>
        <v>2.2984261272819939E-2</v>
      </c>
      <c r="BH457" s="3148">
        <f t="shared" si="1072"/>
        <v>5.5998764608642393E-2</v>
      </c>
      <c r="BI457" s="3148">
        <f t="shared" si="1073"/>
        <v>8.3399494975689104E-2</v>
      </c>
      <c r="BJ457" s="3148">
        <f t="shared" si="1074"/>
        <v>6.1435344651866508E-2</v>
      </c>
      <c r="BK457" s="309">
        <f t="shared" si="1031"/>
        <v>5.6649511168350264E-2</v>
      </c>
      <c r="BL457" s="3148">
        <f t="shared" si="1075"/>
        <v>0.12511562866762271</v>
      </c>
      <c r="BM457" s="3148">
        <f t="shared" si="1076"/>
        <v>-3.2408541201313756E-2</v>
      </c>
      <c r="BN457" s="3148">
        <f t="shared" si="1077"/>
        <v>-3.0087645477636205E-2</v>
      </c>
      <c r="BO457" s="3148">
        <f t="shared" si="1078"/>
        <v>-4.3957994805132516E-2</v>
      </c>
      <c r="BP457" s="3865">
        <f t="shared" si="1032"/>
        <v>1.4036676217403787E-3</v>
      </c>
      <c r="BQ457" s="3935">
        <f t="shared" si="1079"/>
        <v>-3.1345903838619349E-2</v>
      </c>
      <c r="BR457" s="3935">
        <f t="shared" si="1080"/>
        <v>6.6403019599757585E-2</v>
      </c>
      <c r="BS457" s="3935">
        <f t="shared" si="1081"/>
        <v>3.2402339181286433E-2</v>
      </c>
      <c r="BT457" s="3935">
        <f t="shared" si="1081"/>
        <v>6.9323582747323975E-2</v>
      </c>
      <c r="BU457" s="2116">
        <f t="shared" si="1033"/>
        <v>3.3188202295906466E-2</v>
      </c>
      <c r="BV457" s="339">
        <v>0.05</v>
      </c>
      <c r="BW457" s="748">
        <v>0.01</v>
      </c>
      <c r="BX457" s="748">
        <v>1.4999999999999999E-2</v>
      </c>
      <c r="BY457" s="3057">
        <v>1.4999999999999999E-2</v>
      </c>
      <c r="BZ457" s="3864">
        <f t="shared" si="1034"/>
        <v>2.2156280855488486E-2</v>
      </c>
      <c r="CA457" s="458">
        <v>0.01</v>
      </c>
      <c r="CB457" s="458">
        <v>0</v>
      </c>
      <c r="CC457" s="3057">
        <v>-0.05</v>
      </c>
      <c r="CD457" s="3057">
        <v>-0.05</v>
      </c>
      <c r="CE457" s="3057">
        <v>0.02</v>
      </c>
      <c r="CF457" s="3057">
        <v>0.02</v>
      </c>
      <c r="CG457" s="3057">
        <v>0.02</v>
      </c>
      <c r="CH457" s="3897"/>
      <c r="CI457" s="750"/>
      <c r="CJ457" s="750"/>
      <c r="CK457" s="750"/>
      <c r="CL457" s="750"/>
      <c r="CM457" s="750"/>
      <c r="CN457" s="750"/>
      <c r="CO457" s="750"/>
      <c r="CP457" s="3866"/>
      <c r="CQ457" s="3863"/>
      <c r="CR457" s="3863"/>
      <c r="CS457" s="3863"/>
      <c r="CT457" s="3863"/>
      <c r="CU457" s="3863"/>
      <c r="CV457" s="3863"/>
      <c r="CW457" s="3863"/>
      <c r="CX457" s="3863"/>
      <c r="CY457" s="3863"/>
      <c r="CZ457" s="3863"/>
      <c r="DA457" s="3863"/>
      <c r="DB457" s="3863"/>
      <c r="DC457" s="3863"/>
      <c r="DD457" s="3863"/>
      <c r="DE457" s="3863"/>
      <c r="DF457" s="3863"/>
      <c r="DG457" s="3867"/>
      <c r="DH457" s="750"/>
      <c r="DI457" s="751"/>
      <c r="DJ457" s="751"/>
      <c r="DK457" s="751"/>
      <c r="DL457" s="751"/>
      <c r="DM457" s="751"/>
      <c r="DN457" s="751"/>
      <c r="DO457" s="3868"/>
      <c r="DP457"/>
      <c r="DQ457"/>
      <c r="DR457"/>
      <c r="DS457"/>
      <c r="DT457"/>
      <c r="DU457"/>
      <c r="DY457" s="3863"/>
      <c r="DZ457" s="3863"/>
    </row>
    <row r="458" spans="1:132" s="2252" customFormat="1" ht="12" customHeight="1">
      <c r="A458" s="552" t="s">
        <v>457</v>
      </c>
      <c r="B458" s="746"/>
      <c r="C458" s="746"/>
      <c r="D458" s="335"/>
      <c r="E458" s="747"/>
      <c r="F458" s="747"/>
      <c r="G458" s="747"/>
      <c r="H458" s="309"/>
      <c r="I458" s="747"/>
      <c r="J458" s="747"/>
      <c r="K458" s="747"/>
      <c r="L458" s="747"/>
      <c r="M458" s="309"/>
      <c r="N458" s="747"/>
      <c r="O458" s="747"/>
      <c r="P458" s="747"/>
      <c r="Q458" s="747"/>
      <c r="R458" s="309"/>
      <c r="S458" s="747"/>
      <c r="T458" s="747"/>
      <c r="U458" s="747"/>
      <c r="V458" s="747"/>
      <c r="W458" s="309"/>
      <c r="X458" s="747"/>
      <c r="Y458" s="747"/>
      <c r="Z458" s="747"/>
      <c r="AA458" s="747"/>
      <c r="AB458" s="309"/>
      <c r="AC458" s="747"/>
      <c r="AD458" s="747"/>
      <c r="AE458" s="747"/>
      <c r="AF458" s="747"/>
      <c r="AG458" s="309"/>
      <c r="AH458" s="747"/>
      <c r="AI458" s="747"/>
      <c r="AJ458" s="747"/>
      <c r="AK458" s="747"/>
      <c r="AL458" s="309"/>
      <c r="AM458" s="1654"/>
      <c r="AN458" s="1654"/>
      <c r="AO458" s="1654"/>
      <c r="AP458" s="1654"/>
      <c r="AQ458" s="309"/>
      <c r="AR458" s="1655">
        <f t="shared" si="1059"/>
        <v>0.13465138289989409</v>
      </c>
      <c r="AS458" s="1654">
        <f t="shared" si="1060"/>
        <v>2.7928126430179612E-2</v>
      </c>
      <c r="AT458" s="1654">
        <f t="shared" si="1061"/>
        <v>3.0052631265214957E-2</v>
      </c>
      <c r="AU458" s="1654">
        <f t="shared" si="1062"/>
        <v>-9.3824321758760876E-3</v>
      </c>
      <c r="AV458" s="309">
        <f t="shared" si="1046"/>
        <v>4.4066471226106962E-2</v>
      </c>
      <c r="AW458" s="1654">
        <f t="shared" si="1063"/>
        <v>-7.6390414995203271E-2</v>
      </c>
      <c r="AX458" s="1654">
        <f t="shared" si="1064"/>
        <v>-3.6821278605860597E-2</v>
      </c>
      <c r="AY458" s="1654">
        <f t="shared" si="1065"/>
        <v>-3.0644543570824134E-2</v>
      </c>
      <c r="AZ458" s="1654">
        <f t="shared" si="1066"/>
        <v>-6.1452719126177335E-2</v>
      </c>
      <c r="BA458" s="309">
        <f t="shared" si="1029"/>
        <v>-5.1104525089962216E-2</v>
      </c>
      <c r="BB458" s="1655">
        <f t="shared" si="1067"/>
        <v>-7.6994984946784029E-2</v>
      </c>
      <c r="BC458" s="1654">
        <f t="shared" si="1068"/>
        <v>-2.9327536595208037E-2</v>
      </c>
      <c r="BD458" s="1654">
        <f t="shared" si="1069"/>
        <v>-3.8839823634404858E-2</v>
      </c>
      <c r="BE458" s="1654">
        <f t="shared" si="1070"/>
        <v>-1.1795766278618891E-2</v>
      </c>
      <c r="BF458" s="309">
        <f t="shared" si="1030"/>
        <v>-3.9435990622350703E-2</v>
      </c>
      <c r="BG458" s="1655">
        <f t="shared" si="1071"/>
        <v>4.734745397944562E-2</v>
      </c>
      <c r="BH458" s="3148">
        <f t="shared" si="1072"/>
        <v>7.1778990468873705E-3</v>
      </c>
      <c r="BI458" s="3148">
        <f t="shared" si="1073"/>
        <v>5.408933196793142E-2</v>
      </c>
      <c r="BJ458" s="3148">
        <f t="shared" si="1074"/>
        <v>4.6629645099129036E-2</v>
      </c>
      <c r="BK458" s="309">
        <f t="shared" si="1031"/>
        <v>3.8250958220956699E-2</v>
      </c>
      <c r="BL458" s="3148">
        <f t="shared" si="1075"/>
        <v>4.1034551910864137E-2</v>
      </c>
      <c r="BM458" s="3148">
        <f t="shared" si="1076"/>
        <v>-2.9452967727411905E-2</v>
      </c>
      <c r="BN458" s="3148">
        <f t="shared" si="1077"/>
        <v>-4.7458624039362074E-2</v>
      </c>
      <c r="BO458" s="3148">
        <f t="shared" si="1078"/>
        <v>-3.2291179280140248E-2</v>
      </c>
      <c r="BP458" s="3865">
        <f t="shared" si="1032"/>
        <v>-1.7998703240626801E-2</v>
      </c>
      <c r="BQ458" s="3935">
        <f t="shared" si="1079"/>
        <v>-2.023369969220945E-2</v>
      </c>
      <c r="BR458" s="3935">
        <f t="shared" si="1080"/>
        <v>3.7862589800938373E-2</v>
      </c>
      <c r="BS458" s="3935">
        <f t="shared" si="1081"/>
        <v>4.7219255813953476E-2</v>
      </c>
      <c r="BT458" s="3935">
        <f t="shared" si="1081"/>
        <v>-7.8767211639522161E-3</v>
      </c>
      <c r="BU458" s="2116">
        <f t="shared" si="1033"/>
        <v>1.4599471822161592E-2</v>
      </c>
      <c r="BV458" s="339">
        <v>0.01</v>
      </c>
      <c r="BW458" s="748">
        <v>0.01</v>
      </c>
      <c r="BX458" s="748">
        <v>0.01</v>
      </c>
      <c r="BY458" s="3057">
        <v>0.01</v>
      </c>
      <c r="BZ458" s="3864">
        <f t="shared" si="1034"/>
        <v>9.9999999999997868E-3</v>
      </c>
      <c r="CA458" s="458">
        <v>0.01</v>
      </c>
      <c r="CB458" s="458">
        <v>0</v>
      </c>
      <c r="CC458" s="3057">
        <v>-0.05</v>
      </c>
      <c r="CD458" s="3057">
        <v>-0.05</v>
      </c>
      <c r="CE458" s="3057">
        <v>0.02</v>
      </c>
      <c r="CF458" s="3057">
        <v>0.02</v>
      </c>
      <c r="CG458" s="3057">
        <v>0.02</v>
      </c>
      <c r="CH458" s="3898"/>
      <c r="CI458" s="750"/>
      <c r="CJ458" s="750"/>
      <c r="CK458" s="750"/>
      <c r="CL458" s="750"/>
      <c r="CM458" s="750"/>
      <c r="CN458" s="750"/>
      <c r="CO458" s="750"/>
      <c r="CP458" s="1884"/>
      <c r="CQ458" s="747"/>
      <c r="CR458" s="747"/>
      <c r="CS458" s="747"/>
      <c r="CT458" s="747"/>
      <c r="CU458" s="747"/>
      <c r="CV458" s="747"/>
      <c r="CW458" s="747"/>
      <c r="CX458" s="747"/>
      <c r="CY458" s="747"/>
      <c r="CZ458" s="747"/>
      <c r="DA458" s="747"/>
      <c r="DB458" s="747"/>
      <c r="DC458" s="747"/>
      <c r="DD458" s="747"/>
      <c r="DE458" s="747"/>
      <c r="DF458" s="747"/>
      <c r="DG458" s="1883"/>
      <c r="DH458" s="750"/>
      <c r="DI458" s="751"/>
      <c r="DJ458" s="751"/>
      <c r="DK458" s="751"/>
      <c r="DL458" s="751"/>
      <c r="DM458" s="751"/>
      <c r="DN458" s="751"/>
      <c r="DO458" s="3868"/>
      <c r="DP458"/>
      <c r="DQ458"/>
      <c r="DR458"/>
      <c r="DS458"/>
      <c r="DT458"/>
      <c r="DU458"/>
      <c r="DY458" s="747"/>
      <c r="DZ458" s="747"/>
    </row>
    <row r="459" spans="1:132" s="2252" customFormat="1" ht="12" customHeight="1">
      <c r="A459" s="552" t="s">
        <v>458</v>
      </c>
      <c r="B459" s="746"/>
      <c r="C459" s="746"/>
      <c r="D459" s="335"/>
      <c r="E459" s="747"/>
      <c r="F459" s="747"/>
      <c r="G459" s="747"/>
      <c r="H459" s="309"/>
      <c r="I459" s="747"/>
      <c r="J459" s="747"/>
      <c r="K459" s="747"/>
      <c r="L459" s="747"/>
      <c r="M459" s="309"/>
      <c r="N459" s="747"/>
      <c r="O459" s="747"/>
      <c r="P459" s="747"/>
      <c r="Q459" s="747"/>
      <c r="R459" s="309"/>
      <c r="S459" s="747"/>
      <c r="T459" s="747"/>
      <c r="U459" s="747"/>
      <c r="V459" s="747"/>
      <c r="W459" s="309"/>
      <c r="X459" s="747"/>
      <c r="Y459" s="747"/>
      <c r="Z459" s="747"/>
      <c r="AA459" s="747"/>
      <c r="AB459" s="309"/>
      <c r="AC459" s="747"/>
      <c r="AD459" s="747"/>
      <c r="AE459" s="747"/>
      <c r="AF459" s="747"/>
      <c r="AG459" s="309"/>
      <c r="AH459" s="747"/>
      <c r="AI459" s="747"/>
      <c r="AJ459" s="747"/>
      <c r="AK459" s="747"/>
      <c r="AL459" s="309"/>
      <c r="AM459" s="1654"/>
      <c r="AN459" s="1654"/>
      <c r="AO459" s="1654"/>
      <c r="AP459" s="1654"/>
      <c r="AQ459" s="309"/>
      <c r="AR459" s="1655">
        <f t="shared" si="1059"/>
        <v>5.8727662704294525E-2</v>
      </c>
      <c r="AS459" s="1654">
        <f t="shared" si="1060"/>
        <v>2.2419691168359623E-2</v>
      </c>
      <c r="AT459" s="1654">
        <f t="shared" si="1061"/>
        <v>1.2288701902500199E-2</v>
      </c>
      <c r="AU459" s="1654">
        <f t="shared" si="1062"/>
        <v>-1.0372696949370042E-3</v>
      </c>
      <c r="AV459" s="309">
        <f t="shared" si="1046"/>
        <v>2.3923589068900908E-2</v>
      </c>
      <c r="AW459" s="1654">
        <f t="shared" si="1063"/>
        <v>-9.0243173427741352E-2</v>
      </c>
      <c r="AX459" s="1654">
        <f t="shared" si="1064"/>
        <v>-5.6321014440061434E-2</v>
      </c>
      <c r="AY459" s="1654">
        <f t="shared" si="1065"/>
        <v>-4.8508409188210533E-2</v>
      </c>
      <c r="AZ459" s="1654">
        <f t="shared" si="1066"/>
        <v>-1.8927747345467538E-2</v>
      </c>
      <c r="BA459" s="309">
        <f t="shared" si="1029"/>
        <v>-5.5035603937427124E-2</v>
      </c>
      <c r="BB459" s="1655">
        <f t="shared" si="1067"/>
        <v>-3.2066555240729877E-2</v>
      </c>
      <c r="BC459" s="1654">
        <f t="shared" si="1068"/>
        <v>-2.1540697440658674E-2</v>
      </c>
      <c r="BD459" s="1654">
        <f t="shared" si="1069"/>
        <v>-5.0660432704479619E-2</v>
      </c>
      <c r="BE459" s="1654">
        <f t="shared" si="1070"/>
        <v>-9.5908631439441949E-3</v>
      </c>
      <c r="BF459" s="309">
        <f t="shared" si="1030"/>
        <v>-2.8576342381548936E-2</v>
      </c>
      <c r="BG459" s="1655">
        <f t="shared" si="1071"/>
        <v>3.142413252818943E-2</v>
      </c>
      <c r="BH459" s="3148">
        <f t="shared" si="1072"/>
        <v>3.5097459093869965E-2</v>
      </c>
      <c r="BI459" s="3148">
        <f t="shared" si="1073"/>
        <v>1.3128551670324562E-2</v>
      </c>
      <c r="BJ459" s="3148">
        <f t="shared" si="1074"/>
        <v>-2.6825149472946896E-2</v>
      </c>
      <c r="BK459" s="309">
        <f t="shared" si="1031"/>
        <v>1.3864245627860816E-2</v>
      </c>
      <c r="BL459" s="3148">
        <f t="shared" si="1075"/>
        <v>-6.4763157225790513E-2</v>
      </c>
      <c r="BM459" s="3148">
        <f t="shared" si="1076"/>
        <v>-9.6735310630505111E-2</v>
      </c>
      <c r="BN459" s="3148">
        <f t="shared" si="1077"/>
        <v>-6.3625387164394809E-2</v>
      </c>
      <c r="BO459" s="3148">
        <f t="shared" si="1078"/>
        <v>-1.4402333043406212E-3</v>
      </c>
      <c r="BP459" s="3865">
        <f t="shared" si="1032"/>
        <v>-5.8180246496865373E-2</v>
      </c>
      <c r="BQ459" s="3935">
        <f t="shared" si="1079"/>
        <v>-6.722867758909179E-2</v>
      </c>
      <c r="BR459" s="3935">
        <f t="shared" si="1080"/>
        <v>1.1523282182107852E-2</v>
      </c>
      <c r="BS459" s="3935">
        <f t="shared" si="1081"/>
        <v>-2.0392850980392119E-2</v>
      </c>
      <c r="BT459" s="3935">
        <f t="shared" si="1081"/>
        <v>-6.2234081016552256E-2</v>
      </c>
      <c r="BU459" s="2116">
        <f t="shared" si="1033"/>
        <v>-3.4936490233442807E-2</v>
      </c>
      <c r="BV459" s="339">
        <v>-0.04</v>
      </c>
      <c r="BW459" s="748">
        <v>-0.01</v>
      </c>
      <c r="BX459" s="748">
        <v>-0.01</v>
      </c>
      <c r="BY459" s="3057">
        <v>0.01</v>
      </c>
      <c r="BZ459" s="3864">
        <f t="shared" si="1034"/>
        <v>-1.2810446041764401E-2</v>
      </c>
      <c r="CA459" s="458">
        <v>0.01</v>
      </c>
      <c r="CB459" s="458">
        <v>0</v>
      </c>
      <c r="CC459" s="3057">
        <v>-0.05</v>
      </c>
      <c r="CD459" s="3057">
        <v>-0.05</v>
      </c>
      <c r="CE459" s="3057">
        <v>0.02</v>
      </c>
      <c r="CF459" s="3057">
        <v>0.02</v>
      </c>
      <c r="CG459" s="3057">
        <v>0.02</v>
      </c>
      <c r="CH459" s="3897"/>
      <c r="CI459" s="750"/>
      <c r="CJ459" s="750"/>
      <c r="CK459" s="750"/>
      <c r="CL459" s="750"/>
      <c r="CM459" s="750"/>
      <c r="CN459" s="750"/>
      <c r="CO459" s="750"/>
      <c r="CP459" s="1884"/>
      <c r="CQ459" s="747"/>
      <c r="CR459" s="747"/>
      <c r="CS459" s="747"/>
      <c r="CT459" s="747"/>
      <c r="CU459" s="747"/>
      <c r="CV459" s="747"/>
      <c r="CW459" s="747"/>
      <c r="CX459" s="747"/>
      <c r="CY459" s="747"/>
      <c r="CZ459" s="747"/>
      <c r="DA459" s="747"/>
      <c r="DB459" s="747"/>
      <c r="DC459" s="747"/>
      <c r="DD459" s="747"/>
      <c r="DE459" s="747"/>
      <c r="DF459" s="747"/>
      <c r="DG459" s="1883"/>
      <c r="DH459" s="750"/>
      <c r="DI459" s="751"/>
      <c r="DJ459" s="751"/>
      <c r="DK459" s="751"/>
      <c r="DL459" s="751"/>
      <c r="DM459" s="751"/>
      <c r="DN459" s="751"/>
      <c r="DO459" s="3868"/>
      <c r="DP459"/>
      <c r="DQ459"/>
      <c r="DR459"/>
      <c r="DS459"/>
      <c r="DT459"/>
      <c r="DU459"/>
      <c r="DY459" s="747"/>
      <c r="DZ459" s="747"/>
    </row>
    <row r="460" spans="1:132" s="2252" customFormat="1" ht="12" customHeight="1">
      <c r="A460" s="552" t="s">
        <v>460</v>
      </c>
      <c r="B460" s="746"/>
      <c r="C460" s="746"/>
      <c r="D460" s="335"/>
      <c r="E460" s="747"/>
      <c r="F460" s="747"/>
      <c r="G460" s="747"/>
      <c r="H460" s="309"/>
      <c r="I460" s="747"/>
      <c r="J460" s="747"/>
      <c r="K460" s="747"/>
      <c r="L460" s="747"/>
      <c r="M460" s="309"/>
      <c r="N460" s="747"/>
      <c r="O460" s="747"/>
      <c r="P460" s="747"/>
      <c r="Q460" s="747"/>
      <c r="R460" s="309"/>
      <c r="S460" s="747"/>
      <c r="T460" s="747"/>
      <c r="U460" s="747"/>
      <c r="V460" s="747"/>
      <c r="W460" s="309"/>
      <c r="X460" s="747"/>
      <c r="Y460" s="747"/>
      <c r="Z460" s="747"/>
      <c r="AA460" s="747"/>
      <c r="AB460" s="309"/>
      <c r="AC460" s="747"/>
      <c r="AD460" s="747"/>
      <c r="AE460" s="747"/>
      <c r="AF460" s="747"/>
      <c r="AG460" s="309"/>
      <c r="AH460" s="747"/>
      <c r="AI460" s="747"/>
      <c r="AJ460" s="747"/>
      <c r="AK460" s="747"/>
      <c r="AL460" s="309"/>
      <c r="AM460" s="1654"/>
      <c r="AN460" s="1654"/>
      <c r="AO460" s="1654"/>
      <c r="AP460" s="1654"/>
      <c r="AQ460" s="309"/>
      <c r="AR460" s="1655">
        <f t="shared" si="1059"/>
        <v>1.4287986557417254E-2</v>
      </c>
      <c r="AS460" s="1654">
        <f t="shared" si="1060"/>
        <v>0.17013607579003764</v>
      </c>
      <c r="AT460" s="1654">
        <f t="shared" si="1061"/>
        <v>-2.9072888825364407E-2</v>
      </c>
      <c r="AU460" s="1654">
        <f t="shared" si="1062"/>
        <v>5.9683090533235283E-2</v>
      </c>
      <c r="AV460" s="309">
        <f t="shared" si="1046"/>
        <v>4.9830107839703208E-2</v>
      </c>
      <c r="AW460" s="1654">
        <f t="shared" si="1063"/>
        <v>8.1762519790440358E-4</v>
      </c>
      <c r="AX460" s="1654">
        <f t="shared" si="1064"/>
        <v>-1.6546723841314059E-2</v>
      </c>
      <c r="AY460" s="1654">
        <f t="shared" si="1065"/>
        <v>-2.5675489151329445E-2</v>
      </c>
      <c r="AZ460" s="1654">
        <f t="shared" si="1066"/>
        <v>1.8419287338262258E-2</v>
      </c>
      <c r="BA460" s="309">
        <f t="shared" si="1029"/>
        <v>-6.3331400765620494E-3</v>
      </c>
      <c r="BB460" s="1655">
        <f t="shared" si="1067"/>
        <v>-4.3104314355575046E-2</v>
      </c>
      <c r="BC460" s="1654">
        <f t="shared" si="1068"/>
        <v>-0.10153655768184666</v>
      </c>
      <c r="BD460" s="1654">
        <f t="shared" si="1069"/>
        <v>-5.3630123700016963E-2</v>
      </c>
      <c r="BE460" s="1654">
        <f t="shared" si="1070"/>
        <v>-1.4215593082731126E-2</v>
      </c>
      <c r="BF460" s="309">
        <f t="shared" si="1030"/>
        <v>-5.4193912967607338E-2</v>
      </c>
      <c r="BG460" s="1655">
        <f t="shared" si="1071"/>
        <v>1.2881645128383523E-2</v>
      </c>
      <c r="BH460" s="3148">
        <f t="shared" si="1072"/>
        <v>3.7532913214537889E-2</v>
      </c>
      <c r="BI460" s="3148">
        <f t="shared" si="1073"/>
        <v>5.5986471869418075E-4</v>
      </c>
      <c r="BJ460" s="3148">
        <f t="shared" si="1074"/>
        <v>-6.1178665603532245E-2</v>
      </c>
      <c r="BK460" s="309">
        <f t="shared" si="1031"/>
        <v>-2.0236864982293712E-3</v>
      </c>
      <c r="BL460" s="3148">
        <f t="shared" si="1075"/>
        <v>-6.0490029155759184E-2</v>
      </c>
      <c r="BM460" s="3148">
        <f t="shared" si="1076"/>
        <v>-9.5870411870735972E-2</v>
      </c>
      <c r="BN460" s="3148">
        <f t="shared" si="1077"/>
        <v>-7.0215951774691532E-2</v>
      </c>
      <c r="BO460" s="3148">
        <f t="shared" si="1078"/>
        <v>-0.17197272808196296</v>
      </c>
      <c r="BP460" s="3865">
        <f t="shared" si="1032"/>
        <v>-9.7525071654294804E-2</v>
      </c>
      <c r="BQ460" s="3935">
        <f t="shared" si="1079"/>
        <v>-0.15178838115436655</v>
      </c>
      <c r="BR460" s="3935">
        <f t="shared" si="1080"/>
        <v>-6.8753180467388542E-2</v>
      </c>
      <c r="BS460" s="3935">
        <f t="shared" si="1081"/>
        <v>-5.7909343362832044E-2</v>
      </c>
      <c r="BT460" s="3935">
        <f t="shared" si="1081"/>
        <v>3.4992948737810892E-2</v>
      </c>
      <c r="BU460" s="2116">
        <f t="shared" si="1033"/>
        <v>-6.7460343457821481E-2</v>
      </c>
      <c r="BV460" s="339">
        <v>0.04</v>
      </c>
      <c r="BW460" s="748">
        <v>0.01</v>
      </c>
      <c r="BX460" s="748">
        <v>0.01</v>
      </c>
      <c r="BY460" s="3057">
        <v>0.01</v>
      </c>
      <c r="BZ460" s="3864">
        <f t="shared" si="1034"/>
        <v>1.7633928384523267E-2</v>
      </c>
      <c r="CA460" s="458">
        <v>0.01</v>
      </c>
      <c r="CB460" s="458">
        <v>0</v>
      </c>
      <c r="CC460" s="3057">
        <v>-0.05</v>
      </c>
      <c r="CD460" s="3057">
        <v>-0.05</v>
      </c>
      <c r="CE460" s="3057">
        <v>0.02</v>
      </c>
      <c r="CF460" s="3057">
        <v>0.02</v>
      </c>
      <c r="CG460" s="3057">
        <v>0.02</v>
      </c>
      <c r="CH460" s="3897"/>
      <c r="CI460" s="750"/>
      <c r="CJ460" s="750"/>
      <c r="CK460" s="750"/>
      <c r="CL460" s="750"/>
      <c r="CM460" s="750"/>
      <c r="CN460" s="750"/>
      <c r="CO460" s="750"/>
      <c r="CP460" s="1884"/>
      <c r="CQ460" s="747"/>
      <c r="CR460" s="747"/>
      <c r="CS460" s="747"/>
      <c r="CT460" s="747"/>
      <c r="CU460" s="747"/>
      <c r="CV460" s="747"/>
      <c r="CW460" s="747"/>
      <c r="CX460" s="747"/>
      <c r="CY460" s="747"/>
      <c r="CZ460" s="747"/>
      <c r="DA460" s="747"/>
      <c r="DB460" s="747"/>
      <c r="DC460" s="747"/>
      <c r="DD460" s="747"/>
      <c r="DE460" s="747"/>
      <c r="DF460" s="747"/>
      <c r="DG460" s="1883"/>
      <c r="DH460" s="750"/>
      <c r="DI460" s="751"/>
      <c r="DJ460" s="751"/>
      <c r="DK460" s="751"/>
      <c r="DL460" s="751"/>
      <c r="DM460" s="751"/>
      <c r="DN460" s="751"/>
      <c r="DO460" s="3868"/>
      <c r="DP460"/>
      <c r="DQ460"/>
      <c r="DR460"/>
      <c r="DS460"/>
      <c r="DT460"/>
      <c r="DU460"/>
      <c r="DY460" s="747"/>
      <c r="DZ460" s="747"/>
    </row>
    <row r="461" spans="1:132" s="2252" customFormat="1" ht="12" customHeight="1">
      <c r="A461" s="552" t="s">
        <v>459</v>
      </c>
      <c r="B461" s="746"/>
      <c r="C461" s="746"/>
      <c r="D461" s="335"/>
      <c r="E461" s="747"/>
      <c r="F461" s="747"/>
      <c r="G461" s="747"/>
      <c r="H461" s="309"/>
      <c r="I461" s="747"/>
      <c r="J461" s="747"/>
      <c r="K461" s="747"/>
      <c r="L461" s="747"/>
      <c r="M461" s="309"/>
      <c r="N461" s="747"/>
      <c r="O461" s="747"/>
      <c r="P461" s="747"/>
      <c r="Q461" s="747"/>
      <c r="R461" s="309"/>
      <c r="S461" s="747"/>
      <c r="T461" s="747"/>
      <c r="U461" s="747"/>
      <c r="V461" s="747"/>
      <c r="W461" s="309"/>
      <c r="X461" s="747"/>
      <c r="Y461" s="747"/>
      <c r="Z461" s="747"/>
      <c r="AA461" s="747"/>
      <c r="AB461" s="309"/>
      <c r="AC461" s="747"/>
      <c r="AD461" s="747"/>
      <c r="AE461" s="747"/>
      <c r="AF461" s="747"/>
      <c r="AG461" s="309"/>
      <c r="AH461" s="747"/>
      <c r="AI461" s="747"/>
      <c r="AJ461" s="747"/>
      <c r="AK461" s="747"/>
      <c r="AL461" s="309"/>
      <c r="AM461" s="1654"/>
      <c r="AN461" s="1654"/>
      <c r="AO461" s="1654"/>
      <c r="AP461" s="1654"/>
      <c r="AQ461" s="309"/>
      <c r="AR461" s="1655"/>
      <c r="AS461" s="1654"/>
      <c r="AT461" s="1654"/>
      <c r="AU461" s="1654"/>
      <c r="AV461" s="309"/>
      <c r="AW461" s="1654">
        <f t="shared" si="1063"/>
        <v>7.3502490411762711E-2</v>
      </c>
      <c r="AX461" s="1654">
        <f t="shared" si="1064"/>
        <v>0.13379772823416269</v>
      </c>
      <c r="AY461" s="1654">
        <f t="shared" si="1065"/>
        <v>4.3026117506534289E-2</v>
      </c>
      <c r="AZ461" s="1654">
        <f t="shared" si="1066"/>
        <v>-3.0729870665694992E-2</v>
      </c>
      <c r="BA461" s="309">
        <f t="shared" si="1029"/>
        <v>5.4803327402931368E-2</v>
      </c>
      <c r="BB461" s="1655">
        <f t="shared" si="1067"/>
        <v>-0.12837112371170056</v>
      </c>
      <c r="BC461" s="1654">
        <f t="shared" si="1068"/>
        <v>-0.1089584568056049</v>
      </c>
      <c r="BD461" s="1654">
        <f t="shared" si="1069"/>
        <v>-6.9567339633258007E-2</v>
      </c>
      <c r="BE461" s="1654">
        <f t="shared" si="1070"/>
        <v>1.1541183312806513E-2</v>
      </c>
      <c r="BF461" s="309">
        <f t="shared" si="1030"/>
        <v>-7.7330608763338304E-2</v>
      </c>
      <c r="BG461" s="1655">
        <f t="shared" si="1071"/>
        <v>3.315913240362911E-2</v>
      </c>
      <c r="BH461" s="3148">
        <f t="shared" si="1072"/>
        <v>4.365713903566637E-2</v>
      </c>
      <c r="BI461" s="3148">
        <f t="shared" si="1073"/>
        <v>2.3059616412896666E-2</v>
      </c>
      <c r="BJ461" s="3148">
        <f t="shared" si="1074"/>
        <v>1.0624644523821614E-2</v>
      </c>
      <c r="BK461" s="309">
        <f t="shared" si="1031"/>
        <v>2.7701609736898281E-2</v>
      </c>
      <c r="BL461" s="3148">
        <f t="shared" si="1075"/>
        <v>1.2080591820989861E-2</v>
      </c>
      <c r="BM461" s="3148">
        <f t="shared" si="1076"/>
        <v>-4.7468497952393052E-2</v>
      </c>
      <c r="BN461" s="3148">
        <f t="shared" si="1077"/>
        <v>-2.2269692392183349E-2</v>
      </c>
      <c r="BO461" s="3148">
        <f t="shared" si="1078"/>
        <v>-1.2601358548105623E-2</v>
      </c>
      <c r="BP461" s="3865">
        <f t="shared" si="1032"/>
        <v>-1.7454663504994028E-2</v>
      </c>
      <c r="BQ461" s="3935">
        <f t="shared" si="1079"/>
        <v>-4.9929324528095287E-2</v>
      </c>
      <c r="BR461" s="3935">
        <f t="shared" si="1080"/>
        <v>1.1126080617008149E-2</v>
      </c>
      <c r="BS461" s="3935">
        <f t="shared" si="1081"/>
        <v>1.4359942141229931E-2</v>
      </c>
      <c r="BT461" s="3935">
        <f t="shared" si="1081"/>
        <v>2.4976768824285234E-2</v>
      </c>
      <c r="BU461" s="2116">
        <f t="shared" si="1033"/>
        <v>-8.7961469946262749E-4</v>
      </c>
      <c r="BV461" s="339">
        <v>0.04</v>
      </c>
      <c r="BW461" s="748">
        <v>1.4999999999999999E-2</v>
      </c>
      <c r="BX461" s="748">
        <v>1.4999999999999999E-2</v>
      </c>
      <c r="BY461" s="3057">
        <v>1.4999999999999999E-2</v>
      </c>
      <c r="BZ461" s="3864">
        <f t="shared" si="1034"/>
        <v>2.1304119833524426E-2</v>
      </c>
      <c r="CA461" s="458">
        <v>0.01</v>
      </c>
      <c r="CB461" s="458">
        <v>0</v>
      </c>
      <c r="CC461" s="3057">
        <v>-0.05</v>
      </c>
      <c r="CD461" s="3057">
        <v>-0.05</v>
      </c>
      <c r="CE461" s="3057">
        <v>0.02</v>
      </c>
      <c r="CF461" s="3057">
        <v>0.02</v>
      </c>
      <c r="CG461" s="3057">
        <v>0.02</v>
      </c>
      <c r="CH461" s="3897"/>
      <c r="CI461" s="750"/>
      <c r="CJ461" s="750"/>
      <c r="CK461" s="750"/>
      <c r="CL461" s="750"/>
      <c r="CM461" s="750"/>
      <c r="CN461" s="750"/>
      <c r="CO461" s="750"/>
      <c r="CP461" s="1884"/>
      <c r="CQ461" s="747"/>
      <c r="CR461" s="747"/>
      <c r="CS461" s="747"/>
      <c r="CT461" s="747"/>
      <c r="CU461" s="747"/>
      <c r="CV461" s="747"/>
      <c r="CW461" s="747"/>
      <c r="CX461" s="747"/>
      <c r="CY461" s="747"/>
      <c r="CZ461" s="747"/>
      <c r="DA461" s="747"/>
      <c r="DB461" s="747"/>
      <c r="DC461" s="747"/>
      <c r="DD461" s="747"/>
      <c r="DE461" s="747"/>
      <c r="DF461" s="747"/>
      <c r="DG461" s="1883"/>
      <c r="DH461" s="750"/>
      <c r="DI461" s="751"/>
      <c r="DJ461" s="751"/>
      <c r="DK461" s="751"/>
      <c r="DL461" s="751"/>
      <c r="DM461" s="751"/>
      <c r="DN461" s="751"/>
      <c r="DO461" s="3868"/>
      <c r="DP461"/>
      <c r="DQ461"/>
      <c r="DR461"/>
      <c r="DS461"/>
      <c r="DT461"/>
      <c r="DU461"/>
      <c r="DY461" s="747"/>
      <c r="DZ461" s="747"/>
    </row>
    <row r="462" spans="1:132" s="2252" customFormat="1" ht="12" customHeight="1">
      <c r="A462" s="2501" t="s">
        <v>1972</v>
      </c>
      <c r="B462" s="746"/>
      <c r="C462" s="746"/>
      <c r="D462" s="335"/>
      <c r="E462" s="747"/>
      <c r="F462" s="747"/>
      <c r="G462" s="747"/>
      <c r="H462" s="309"/>
      <c r="I462" s="747"/>
      <c r="J462" s="747"/>
      <c r="K462" s="747"/>
      <c r="L462" s="747"/>
      <c r="M462" s="309"/>
      <c r="N462" s="747"/>
      <c r="O462" s="747"/>
      <c r="P462" s="747"/>
      <c r="Q462" s="747"/>
      <c r="R462" s="309"/>
      <c r="S462" s="747"/>
      <c r="T462" s="747"/>
      <c r="U462" s="747"/>
      <c r="V462" s="747"/>
      <c r="W462" s="309"/>
      <c r="X462" s="747"/>
      <c r="Y462" s="747"/>
      <c r="Z462" s="747"/>
      <c r="AA462" s="747"/>
      <c r="AB462" s="309"/>
      <c r="AC462" s="747"/>
      <c r="AD462" s="747"/>
      <c r="AE462" s="747"/>
      <c r="AF462" s="747"/>
      <c r="AG462" s="309"/>
      <c r="AH462" s="747"/>
      <c r="AI462" s="747"/>
      <c r="AJ462" s="747"/>
      <c r="AK462" s="747"/>
      <c r="AL462" s="309"/>
      <c r="AM462" s="1654"/>
      <c r="AN462" s="1654"/>
      <c r="AO462" s="1654"/>
      <c r="AP462" s="1654"/>
      <c r="AQ462" s="309"/>
      <c r="AR462" s="1654"/>
      <c r="AS462" s="1654"/>
      <c r="AT462" s="1654"/>
      <c r="AU462" s="1654"/>
      <c r="AV462" s="309"/>
      <c r="AW462" s="1654"/>
      <c r="AX462" s="1654"/>
      <c r="AY462" s="1654"/>
      <c r="AZ462" s="1654"/>
      <c r="BA462" s="309"/>
      <c r="BB462" s="1654"/>
      <c r="BC462" s="1654"/>
      <c r="BD462" s="1654"/>
      <c r="BE462" s="1654"/>
      <c r="BF462" s="309"/>
      <c r="BG462" s="1655"/>
      <c r="BH462" s="3148"/>
      <c r="BI462" s="3148"/>
      <c r="BJ462" s="3148"/>
      <c r="BK462" s="309"/>
      <c r="BL462" s="3148"/>
      <c r="BM462" s="3148"/>
      <c r="BN462" s="3148"/>
      <c r="BO462" s="3148"/>
      <c r="BP462" s="3865"/>
      <c r="BQ462" s="3935"/>
      <c r="BR462" s="3935"/>
      <c r="BS462" s="3935"/>
      <c r="BT462" s="798"/>
      <c r="BU462" s="2116"/>
      <c r="BV462" s="748"/>
      <c r="BW462" s="748"/>
      <c r="BX462" s="3934">
        <f>+'Tables 2'!HN690</f>
        <v>5.0000000000000001E-3</v>
      </c>
      <c r="BY462" s="3934">
        <f>+'Tables 2'!HO690</f>
        <v>5.0000000000000001E-3</v>
      </c>
      <c r="BZ462" s="3864"/>
      <c r="CA462" s="4077">
        <f>+'Tables 2'!HQ690</f>
        <v>0.01</v>
      </c>
      <c r="CB462" s="4077">
        <f>+'Tables 2'!HR690</f>
        <v>0</v>
      </c>
      <c r="CC462" s="3057"/>
      <c r="CD462" s="3057"/>
      <c r="CE462" s="3057"/>
      <c r="CF462" s="3057"/>
      <c r="CG462" s="3057"/>
      <c r="CH462" s="3897"/>
      <c r="CI462" s="750"/>
      <c r="CJ462" s="750"/>
      <c r="CK462" s="750"/>
      <c r="CL462" s="750"/>
      <c r="CM462" s="750"/>
      <c r="CN462" s="750"/>
      <c r="CO462" s="750"/>
      <c r="CP462" s="1884"/>
      <c r="CQ462" s="747"/>
      <c r="CR462" s="747"/>
      <c r="CS462" s="747"/>
      <c r="CT462" s="747"/>
      <c r="CU462" s="747"/>
      <c r="CV462" s="747"/>
      <c r="CW462" s="747"/>
      <c r="CX462" s="747"/>
      <c r="CY462" s="747"/>
      <c r="CZ462" s="747"/>
      <c r="DA462" s="747"/>
      <c r="DB462" s="747"/>
      <c r="DC462" s="747"/>
      <c r="DD462" s="747"/>
      <c r="DE462" s="747"/>
      <c r="DF462" s="747"/>
      <c r="DG462" s="1883"/>
      <c r="DH462" s="750"/>
      <c r="DI462" s="751"/>
      <c r="DJ462" s="751"/>
      <c r="DK462" s="751"/>
      <c r="DL462" s="751"/>
      <c r="DM462" s="751"/>
      <c r="DN462" s="751"/>
      <c r="DO462" s="3868"/>
      <c r="DP462"/>
      <c r="DQ462"/>
      <c r="DR462"/>
      <c r="DS462"/>
      <c r="DT462"/>
      <c r="DU462"/>
      <c r="DY462" s="747"/>
      <c r="DZ462" s="747"/>
    </row>
    <row r="463" spans="1:132" s="2252" customFormat="1" ht="12" customHeight="1">
      <c r="A463" s="2501" t="s">
        <v>1973</v>
      </c>
      <c r="B463" s="746"/>
      <c r="C463" s="746"/>
      <c r="D463" s="335"/>
      <c r="E463" s="747"/>
      <c r="F463" s="747"/>
      <c r="G463" s="747"/>
      <c r="H463" s="309"/>
      <c r="I463" s="747"/>
      <c r="J463" s="747"/>
      <c r="K463" s="747"/>
      <c r="L463" s="747"/>
      <c r="M463" s="309"/>
      <c r="N463" s="747"/>
      <c r="O463" s="747"/>
      <c r="P463" s="747"/>
      <c r="Q463" s="747"/>
      <c r="R463" s="309"/>
      <c r="S463" s="747"/>
      <c r="T463" s="747"/>
      <c r="U463" s="747"/>
      <c r="V463" s="747"/>
      <c r="W463" s="309"/>
      <c r="X463" s="747"/>
      <c r="Y463" s="747"/>
      <c r="Z463" s="747"/>
      <c r="AA463" s="747"/>
      <c r="AB463" s="309"/>
      <c r="AC463" s="747"/>
      <c r="AD463" s="747"/>
      <c r="AE463" s="747"/>
      <c r="AF463" s="747"/>
      <c r="AG463" s="309"/>
      <c r="AH463" s="747"/>
      <c r="AI463" s="747"/>
      <c r="AJ463" s="747"/>
      <c r="AK463" s="747"/>
      <c r="AL463" s="309"/>
      <c r="AM463" s="1654"/>
      <c r="AN463" s="1654"/>
      <c r="AO463" s="1654"/>
      <c r="AP463" s="1654"/>
      <c r="AQ463" s="309"/>
      <c r="AR463" s="1654"/>
      <c r="AS463" s="1654"/>
      <c r="AT463" s="1654"/>
      <c r="AU463" s="1654"/>
      <c r="AV463" s="309"/>
      <c r="AW463" s="1654"/>
      <c r="AX463" s="1654"/>
      <c r="AY463" s="1654"/>
      <c r="AZ463" s="1654"/>
      <c r="BA463" s="309"/>
      <c r="BB463" s="1654"/>
      <c r="BC463" s="1654"/>
      <c r="BD463" s="1654"/>
      <c r="BE463" s="1654"/>
      <c r="BF463" s="309"/>
      <c r="BG463" s="1655"/>
      <c r="BH463" s="3148"/>
      <c r="BI463" s="3148"/>
      <c r="BJ463" s="3148"/>
      <c r="BK463" s="309"/>
      <c r="BL463" s="3148"/>
      <c r="BM463" s="3148"/>
      <c r="BN463" s="3148"/>
      <c r="BO463" s="3148"/>
      <c r="BP463" s="3865"/>
      <c r="BQ463" s="3935"/>
      <c r="BR463" s="3935"/>
      <c r="BS463" s="3935"/>
      <c r="BT463" s="798"/>
      <c r="BU463" s="2116"/>
      <c r="BV463" s="748"/>
      <c r="BW463" s="748"/>
      <c r="BX463" s="3934">
        <f>+'Tables 2'!HN691</f>
        <v>0</v>
      </c>
      <c r="BY463" s="3934">
        <f>+'Tables 2'!HO691</f>
        <v>0.02</v>
      </c>
      <c r="BZ463" s="3864"/>
      <c r="CA463" s="4077">
        <f>+'Tables 2'!HQ691</f>
        <v>0.03</v>
      </c>
      <c r="CB463" s="4077">
        <f>+'Tables 2'!HR691</f>
        <v>0</v>
      </c>
      <c r="CC463" s="3057"/>
      <c r="CD463" s="3057"/>
      <c r="CE463" s="3057"/>
      <c r="CF463" s="3057"/>
      <c r="CG463" s="3057"/>
      <c r="CH463" s="3897"/>
      <c r="CI463" s="750"/>
      <c r="CJ463" s="750"/>
      <c r="CK463" s="750"/>
      <c r="CL463" s="750"/>
      <c r="CM463" s="750"/>
      <c r="CN463" s="750"/>
      <c r="CO463" s="750"/>
      <c r="CP463" s="1884"/>
      <c r="CQ463" s="747"/>
      <c r="CR463" s="747"/>
      <c r="CS463" s="747"/>
      <c r="CT463" s="747"/>
      <c r="CU463" s="747"/>
      <c r="CV463" s="747"/>
      <c r="CW463" s="747"/>
      <c r="CX463" s="747"/>
      <c r="CY463" s="747"/>
      <c r="CZ463" s="747"/>
      <c r="DA463" s="747"/>
      <c r="DB463" s="747"/>
      <c r="DC463" s="747"/>
      <c r="DD463" s="747"/>
      <c r="DE463" s="747"/>
      <c r="DF463" s="747"/>
      <c r="DG463" s="1883"/>
      <c r="DH463" s="750"/>
      <c r="DI463" s="751"/>
      <c r="DJ463" s="751"/>
      <c r="DK463" s="751"/>
      <c r="DL463" s="751"/>
      <c r="DM463" s="751"/>
      <c r="DN463" s="751"/>
      <c r="DO463" s="3868"/>
      <c r="DP463"/>
      <c r="DQ463"/>
      <c r="DR463"/>
      <c r="DS463"/>
      <c r="DT463"/>
      <c r="DU463"/>
      <c r="DY463" s="747"/>
      <c r="DZ463" s="747"/>
    </row>
    <row r="464" spans="1:132" s="2252" customFormat="1" ht="12" customHeight="1">
      <c r="A464" s="2501" t="s">
        <v>1974</v>
      </c>
      <c r="B464" s="746"/>
      <c r="C464" s="746"/>
      <c r="D464" s="335"/>
      <c r="E464" s="747"/>
      <c r="F464" s="747"/>
      <c r="G464" s="747"/>
      <c r="H464" s="309"/>
      <c r="I464" s="747"/>
      <c r="J464" s="747"/>
      <c r="K464" s="747"/>
      <c r="L464" s="747"/>
      <c r="M464" s="309"/>
      <c r="N464" s="747"/>
      <c r="O464" s="747"/>
      <c r="P464" s="747"/>
      <c r="Q464" s="747"/>
      <c r="R464" s="309"/>
      <c r="S464" s="747"/>
      <c r="T464" s="747"/>
      <c r="U464" s="747"/>
      <c r="V464" s="747"/>
      <c r="W464" s="309"/>
      <c r="X464" s="747"/>
      <c r="Y464" s="747"/>
      <c r="Z464" s="747"/>
      <c r="AA464" s="747"/>
      <c r="AB464" s="309"/>
      <c r="AC464" s="747"/>
      <c r="AD464" s="747"/>
      <c r="AE464" s="747"/>
      <c r="AF464" s="747"/>
      <c r="AG464" s="309"/>
      <c r="AH464" s="747"/>
      <c r="AI464" s="747"/>
      <c r="AJ464" s="747"/>
      <c r="AK464" s="747"/>
      <c r="AL464" s="309"/>
      <c r="AM464" s="1654"/>
      <c r="AN464" s="1654"/>
      <c r="AO464" s="1654"/>
      <c r="AP464" s="1654"/>
      <c r="AQ464" s="309"/>
      <c r="AR464" s="1654"/>
      <c r="AS464" s="1654"/>
      <c r="AT464" s="1654"/>
      <c r="AU464" s="1654"/>
      <c r="AV464" s="309"/>
      <c r="AW464" s="1654"/>
      <c r="AX464" s="1654"/>
      <c r="AY464" s="1654"/>
      <c r="AZ464" s="1654"/>
      <c r="BA464" s="309"/>
      <c r="BB464" s="1654"/>
      <c r="BC464" s="1654"/>
      <c r="BD464" s="1654"/>
      <c r="BE464" s="1654"/>
      <c r="BF464" s="309"/>
      <c r="BG464" s="1655"/>
      <c r="BH464" s="3148"/>
      <c r="BI464" s="3148"/>
      <c r="BJ464" s="3148"/>
      <c r="BK464" s="309"/>
      <c r="BL464" s="3148"/>
      <c r="BM464" s="3148"/>
      <c r="BN464" s="3148"/>
      <c r="BO464" s="3148"/>
      <c r="BP464" s="3865"/>
      <c r="BQ464" s="3935"/>
      <c r="BR464" s="3935"/>
      <c r="BS464" s="3935"/>
      <c r="BT464" s="798"/>
      <c r="BU464" s="2116"/>
      <c r="BV464" s="748"/>
      <c r="BW464" s="748"/>
      <c r="BX464" s="3934">
        <f>+'Tables 2'!HN692</f>
        <v>0</v>
      </c>
      <c r="BY464" s="3934">
        <f>+'Tables 2'!HO692</f>
        <v>0</v>
      </c>
      <c r="BZ464" s="3864"/>
      <c r="CA464" s="4077">
        <f>+'Tables 2'!HQ692</f>
        <v>0.01</v>
      </c>
      <c r="CB464" s="4077">
        <f>+'Tables 2'!HR692</f>
        <v>0</v>
      </c>
      <c r="CC464" s="3057"/>
      <c r="CD464" s="3057"/>
      <c r="CE464" s="3057"/>
      <c r="CF464" s="3057"/>
      <c r="CG464" s="3057"/>
      <c r="CH464" s="3897"/>
      <c r="CI464" s="750"/>
      <c r="CJ464" s="750"/>
      <c r="CK464" s="750"/>
      <c r="CL464" s="750"/>
      <c r="CM464" s="750"/>
      <c r="CN464" s="750"/>
      <c r="CO464" s="750"/>
      <c r="CP464" s="1884"/>
      <c r="CQ464" s="747"/>
      <c r="CR464" s="747"/>
      <c r="CS464" s="747"/>
      <c r="CT464" s="747"/>
      <c r="CU464" s="747"/>
      <c r="CV464" s="747"/>
      <c r="CW464" s="747"/>
      <c r="CX464" s="747"/>
      <c r="CY464" s="747"/>
      <c r="CZ464" s="747"/>
      <c r="DA464" s="747"/>
      <c r="DB464" s="747"/>
      <c r="DC464" s="747"/>
      <c r="DD464" s="747"/>
      <c r="DE464" s="747"/>
      <c r="DF464" s="747"/>
      <c r="DG464" s="1883"/>
      <c r="DH464" s="750"/>
      <c r="DI464" s="751"/>
      <c r="DJ464" s="751"/>
      <c r="DK464" s="751"/>
      <c r="DL464" s="751"/>
      <c r="DM464" s="751"/>
      <c r="DN464" s="751"/>
      <c r="DO464" s="3868"/>
      <c r="DP464"/>
      <c r="DQ464"/>
      <c r="DR464"/>
      <c r="DS464"/>
      <c r="DT464"/>
      <c r="DU464"/>
      <c r="DY464" s="747"/>
      <c r="DZ464" s="747"/>
    </row>
    <row r="465" spans="1:130" s="2252" customFormat="1" ht="12" customHeight="1">
      <c r="A465" s="2501" t="s">
        <v>1975</v>
      </c>
      <c r="B465" s="746"/>
      <c r="C465" s="746"/>
      <c r="D465" s="335"/>
      <c r="E465" s="747"/>
      <c r="F465" s="747"/>
      <c r="G465" s="747"/>
      <c r="H465" s="309"/>
      <c r="I465" s="747"/>
      <c r="J465" s="747"/>
      <c r="K465" s="747"/>
      <c r="L465" s="747"/>
      <c r="M465" s="309"/>
      <c r="N465" s="747"/>
      <c r="O465" s="747"/>
      <c r="P465" s="747"/>
      <c r="Q465" s="747"/>
      <c r="R465" s="309"/>
      <c r="S465" s="747"/>
      <c r="T465" s="747"/>
      <c r="U465" s="747"/>
      <c r="V465" s="747"/>
      <c r="W465" s="309"/>
      <c r="X465" s="747"/>
      <c r="Y465" s="747"/>
      <c r="Z465" s="747"/>
      <c r="AA465" s="747"/>
      <c r="AB465" s="309"/>
      <c r="AC465" s="747"/>
      <c r="AD465" s="747"/>
      <c r="AE465" s="747"/>
      <c r="AF465" s="747"/>
      <c r="AG465" s="309"/>
      <c r="AH465" s="747"/>
      <c r="AI465" s="747"/>
      <c r="AJ465" s="747"/>
      <c r="AK465" s="747"/>
      <c r="AL465" s="309"/>
      <c r="AM465" s="1654"/>
      <c r="AN465" s="1654"/>
      <c r="AO465" s="1654"/>
      <c r="AP465" s="1654"/>
      <c r="AQ465" s="309"/>
      <c r="AR465" s="1654"/>
      <c r="AS465" s="1654"/>
      <c r="AT465" s="1654"/>
      <c r="AU465" s="1654"/>
      <c r="AV465" s="309"/>
      <c r="AW465" s="1654"/>
      <c r="AX465" s="1654"/>
      <c r="AY465" s="1654"/>
      <c r="AZ465" s="1654"/>
      <c r="BA465" s="309"/>
      <c r="BB465" s="1654"/>
      <c r="BC465" s="1654"/>
      <c r="BD465" s="1654"/>
      <c r="BE465" s="1654"/>
      <c r="BF465" s="309"/>
      <c r="BG465" s="1655"/>
      <c r="BH465" s="3148"/>
      <c r="BI465" s="3148"/>
      <c r="BJ465" s="3148"/>
      <c r="BK465" s="309"/>
      <c r="BL465" s="3148"/>
      <c r="BM465" s="3148"/>
      <c r="BN465" s="3148"/>
      <c r="BO465" s="3148"/>
      <c r="BP465" s="3865"/>
      <c r="BQ465" s="3935"/>
      <c r="BR465" s="3935"/>
      <c r="BS465" s="3935"/>
      <c r="BT465" s="798"/>
      <c r="BU465" s="2116"/>
      <c r="BV465" s="748"/>
      <c r="BW465" s="748"/>
      <c r="BX465" s="3934">
        <f>+'Tables 2'!HN693</f>
        <v>0.05</v>
      </c>
      <c r="BY465" s="3934">
        <f>+'Tables 2'!HO693</f>
        <v>0.05</v>
      </c>
      <c r="BZ465" s="3864"/>
      <c r="CA465" s="4077">
        <f>+'Tables 2'!HQ693</f>
        <v>0.05</v>
      </c>
      <c r="CB465" s="4077">
        <f>+'Tables 2'!HR693</f>
        <v>0.05</v>
      </c>
      <c r="CC465" s="3057"/>
      <c r="CD465" s="3057"/>
      <c r="CE465" s="3057"/>
      <c r="CF465" s="3057"/>
      <c r="CG465" s="3057"/>
      <c r="CH465" s="3897"/>
      <c r="CI465" s="750"/>
      <c r="CJ465" s="750"/>
      <c r="CK465" s="750"/>
      <c r="CL465" s="750"/>
      <c r="CM465" s="750"/>
      <c r="CN465" s="750"/>
      <c r="CO465" s="750"/>
      <c r="CP465" s="1884"/>
      <c r="CQ465" s="747"/>
      <c r="CR465" s="747"/>
      <c r="CS465" s="747"/>
      <c r="CT465" s="747"/>
      <c r="CU465" s="747"/>
      <c r="CV465" s="747"/>
      <c r="CW465" s="747"/>
      <c r="CX465" s="747"/>
      <c r="CY465" s="747"/>
      <c r="CZ465" s="747"/>
      <c r="DA465" s="747"/>
      <c r="DB465" s="747"/>
      <c r="DC465" s="747"/>
      <c r="DD465" s="747"/>
      <c r="DE465" s="747"/>
      <c r="DF465" s="747"/>
      <c r="DG465" s="1883"/>
      <c r="DH465" s="750"/>
      <c r="DI465" s="751"/>
      <c r="DJ465" s="751"/>
      <c r="DK465" s="751"/>
      <c r="DL465" s="751"/>
      <c r="DM465" s="751"/>
      <c r="DN465" s="751"/>
      <c r="DO465" s="3868"/>
      <c r="DP465"/>
      <c r="DQ465"/>
      <c r="DR465"/>
      <c r="DS465"/>
      <c r="DT465"/>
      <c r="DU465"/>
      <c r="DY465" s="747"/>
      <c r="DZ465" s="747"/>
    </row>
    <row r="466" spans="1:130" s="2252" customFormat="1" ht="12" customHeight="1">
      <c r="A466" s="2501" t="s">
        <v>2002</v>
      </c>
      <c r="B466" s="746"/>
      <c r="C466" s="746"/>
      <c r="D466" s="335"/>
      <c r="E466" s="747"/>
      <c r="F466" s="747"/>
      <c r="G466" s="747"/>
      <c r="H466" s="309"/>
      <c r="I466" s="747"/>
      <c r="J466" s="747"/>
      <c r="K466" s="747"/>
      <c r="L466" s="747"/>
      <c r="M466" s="309"/>
      <c r="N466" s="747"/>
      <c r="O466" s="747"/>
      <c r="P466" s="747"/>
      <c r="Q466" s="747"/>
      <c r="R466" s="309"/>
      <c r="S466" s="747"/>
      <c r="T466" s="747"/>
      <c r="U466" s="747"/>
      <c r="V466" s="747"/>
      <c r="W466" s="309"/>
      <c r="X466" s="747"/>
      <c r="Y466" s="747"/>
      <c r="Z466" s="747"/>
      <c r="AA466" s="747"/>
      <c r="AB466" s="309"/>
      <c r="AC466" s="747"/>
      <c r="AD466" s="747"/>
      <c r="AE466" s="747"/>
      <c r="AF466" s="747"/>
      <c r="AG466" s="309"/>
      <c r="AH466" s="747"/>
      <c r="AI466" s="747"/>
      <c r="AJ466" s="747"/>
      <c r="AK466" s="747"/>
      <c r="AL466" s="309"/>
      <c r="AM466" s="1654"/>
      <c r="AN466" s="1654"/>
      <c r="AO466" s="1654"/>
      <c r="AP466" s="1654"/>
      <c r="AQ466" s="309"/>
      <c r="AR466" s="1654"/>
      <c r="AS466" s="1654"/>
      <c r="AT466" s="1654"/>
      <c r="AU466" s="1654"/>
      <c r="AV466" s="309"/>
      <c r="AW466" s="1654"/>
      <c r="AX466" s="1654"/>
      <c r="AY466" s="1654"/>
      <c r="AZ466" s="1654"/>
      <c r="BA466" s="309"/>
      <c r="BB466" s="1654"/>
      <c r="BC466" s="1654"/>
      <c r="BD466" s="1654"/>
      <c r="BE466" s="1654"/>
      <c r="BF466" s="309"/>
      <c r="BG466" s="1655"/>
      <c r="BH466" s="3148"/>
      <c r="BI466" s="3148"/>
      <c r="BJ466" s="3148"/>
      <c r="BK466" s="309"/>
      <c r="BL466" s="3148"/>
      <c r="BM466" s="3148"/>
      <c r="BN466" s="3148"/>
      <c r="BO466" s="3148"/>
      <c r="BP466" s="3865"/>
      <c r="BQ466" s="3935"/>
      <c r="BR466" s="3935"/>
      <c r="BS466" s="3935"/>
      <c r="BT466" s="798"/>
      <c r="BU466" s="2116"/>
      <c r="BV466" s="748"/>
      <c r="BW466" s="748"/>
      <c r="BX466" s="3934">
        <f>+'Tables 2'!HN721</f>
        <v>0.19396150054706474</v>
      </c>
      <c r="BY466" s="3934">
        <f>+'Tables 2'!HO721</f>
        <v>0.21705054559626236</v>
      </c>
      <c r="BZ466" s="3864"/>
      <c r="CA466" s="4077">
        <f>+'Tables 2'!HQ721</f>
        <v>0</v>
      </c>
      <c r="CB466" s="4077">
        <f>+'Tables 2'!HR721</f>
        <v>2.0666752049425252E-3</v>
      </c>
      <c r="CC466" s="3057"/>
      <c r="CD466" s="3057"/>
      <c r="CE466" s="3057"/>
      <c r="CF466" s="3057"/>
      <c r="CG466" s="3057"/>
      <c r="CH466" s="3897"/>
      <c r="CI466" s="750"/>
      <c r="CJ466" s="750"/>
      <c r="CK466" s="750"/>
      <c r="CL466" s="750"/>
      <c r="CM466" s="750"/>
      <c r="CN466" s="750"/>
      <c r="CO466" s="750"/>
      <c r="CP466" s="1884"/>
      <c r="CQ466" s="747"/>
      <c r="CR466" s="747"/>
      <c r="CS466" s="747"/>
      <c r="CT466" s="747"/>
      <c r="CU466" s="747"/>
      <c r="CV466" s="747"/>
      <c r="CW466" s="747"/>
      <c r="CX466" s="747"/>
      <c r="CY466" s="747"/>
      <c r="CZ466" s="747"/>
      <c r="DA466" s="747"/>
      <c r="DB466" s="747"/>
      <c r="DC466" s="747"/>
      <c r="DD466" s="747"/>
      <c r="DE466" s="747"/>
      <c r="DF466" s="747"/>
      <c r="DG466" s="1883"/>
      <c r="DH466" s="750"/>
      <c r="DI466" s="751"/>
      <c r="DJ466" s="751"/>
      <c r="DK466" s="751"/>
      <c r="DL466" s="751"/>
      <c r="DM466" s="751"/>
      <c r="DN466" s="751"/>
      <c r="DO466" s="3868"/>
      <c r="DP466"/>
      <c r="DQ466"/>
      <c r="DR466"/>
      <c r="DS466"/>
      <c r="DT466"/>
      <c r="DU466"/>
      <c r="DY466" s="747"/>
      <c r="DZ466" s="747"/>
    </row>
    <row r="467" spans="1:130" ht="4.5" customHeight="1">
      <c r="A467" s="962"/>
      <c r="B467" s="293"/>
      <c r="C467" s="293"/>
      <c r="D467" s="294" t="s">
        <v>343</v>
      </c>
      <c r="E467" s="295" t="s">
        <v>343</v>
      </c>
      <c r="F467" s="295" t="s">
        <v>343</v>
      </c>
      <c r="G467" s="295" t="s">
        <v>343</v>
      </c>
      <c r="H467" s="296" t="s">
        <v>343</v>
      </c>
      <c r="I467" s="295" t="s">
        <v>343</v>
      </c>
      <c r="J467" s="295" t="s">
        <v>343</v>
      </c>
      <c r="K467" s="295" t="s">
        <v>343</v>
      </c>
      <c r="L467" s="295" t="s">
        <v>343</v>
      </c>
      <c r="M467" s="296" t="s">
        <v>343</v>
      </c>
      <c r="N467" s="295" t="s">
        <v>343</v>
      </c>
      <c r="O467" s="295" t="s">
        <v>343</v>
      </c>
      <c r="P467" s="295" t="s">
        <v>343</v>
      </c>
      <c r="Q467" s="295" t="s">
        <v>343</v>
      </c>
      <c r="R467" s="296" t="s">
        <v>343</v>
      </c>
      <c r="S467" s="295" t="s">
        <v>343</v>
      </c>
      <c r="T467" s="295" t="s">
        <v>343</v>
      </c>
      <c r="U467" s="295" t="s">
        <v>343</v>
      </c>
      <c r="V467" s="295" t="s">
        <v>343</v>
      </c>
      <c r="W467" s="296" t="s">
        <v>343</v>
      </c>
      <c r="X467" s="295" t="s">
        <v>343</v>
      </c>
      <c r="Y467" s="295" t="s">
        <v>343</v>
      </c>
      <c r="Z467" s="295" t="s">
        <v>343</v>
      </c>
      <c r="AA467" s="295" t="s">
        <v>343</v>
      </c>
      <c r="AB467" s="296" t="s">
        <v>343</v>
      </c>
      <c r="AC467" s="295" t="s">
        <v>343</v>
      </c>
      <c r="AD467" s="295" t="s">
        <v>343</v>
      </c>
      <c r="AE467" s="295" t="s">
        <v>343</v>
      </c>
      <c r="AF467" s="295" t="s">
        <v>343</v>
      </c>
      <c r="AG467" s="296" t="s">
        <v>343</v>
      </c>
      <c r="AH467" s="295" t="s">
        <v>343</v>
      </c>
      <c r="AI467" s="295" t="s">
        <v>343</v>
      </c>
      <c r="AJ467" s="295" t="s">
        <v>343</v>
      </c>
      <c r="AK467" s="295" t="s">
        <v>343</v>
      </c>
      <c r="AL467" s="296" t="s">
        <v>343</v>
      </c>
      <c r="AM467" s="295" t="s">
        <v>343</v>
      </c>
      <c r="AN467" s="295" t="s">
        <v>343</v>
      </c>
      <c r="AO467" s="295" t="s">
        <v>343</v>
      </c>
      <c r="AP467" s="295" t="s">
        <v>343</v>
      </c>
      <c r="AQ467" s="296" t="s">
        <v>343</v>
      </c>
      <c r="AR467" s="295" t="s">
        <v>343</v>
      </c>
      <c r="AS467" s="295" t="s">
        <v>343</v>
      </c>
      <c r="AT467" s="295" t="s">
        <v>343</v>
      </c>
      <c r="AU467" s="295" t="s">
        <v>343</v>
      </c>
      <c r="AV467" s="296" t="s">
        <v>343</v>
      </c>
      <c r="AW467" s="295" t="s">
        <v>343</v>
      </c>
      <c r="AX467" s="295" t="s">
        <v>343</v>
      </c>
      <c r="AY467" s="295" t="s">
        <v>343</v>
      </c>
      <c r="AZ467" s="295" t="s">
        <v>343</v>
      </c>
      <c r="BA467" s="296" t="s">
        <v>343</v>
      </c>
      <c r="BB467" s="295" t="s">
        <v>343</v>
      </c>
      <c r="BC467" s="295" t="s">
        <v>343</v>
      </c>
      <c r="BD467" s="295" t="s">
        <v>343</v>
      </c>
      <c r="BE467" s="295" t="s">
        <v>343</v>
      </c>
      <c r="BF467" s="296" t="s">
        <v>343</v>
      </c>
      <c r="BG467" s="294" t="s">
        <v>343</v>
      </c>
      <c r="BH467" s="295" t="s">
        <v>343</v>
      </c>
      <c r="BI467" s="295" t="s">
        <v>343</v>
      </c>
      <c r="BJ467" s="297" t="s">
        <v>343</v>
      </c>
      <c r="BK467" s="296" t="s">
        <v>343</v>
      </c>
      <c r="BL467" s="295" t="s">
        <v>343</v>
      </c>
      <c r="BM467" s="295" t="s">
        <v>343</v>
      </c>
      <c r="BN467" s="295" t="s">
        <v>343</v>
      </c>
      <c r="BO467" s="297" t="s">
        <v>343</v>
      </c>
      <c r="BP467" s="296" t="s">
        <v>343</v>
      </c>
      <c r="BQ467" s="295" t="s">
        <v>343</v>
      </c>
      <c r="BR467" s="295" t="s">
        <v>343</v>
      </c>
      <c r="BS467" s="295" t="s">
        <v>343</v>
      </c>
      <c r="BT467" s="297" t="s">
        <v>343</v>
      </c>
      <c r="BU467" s="3314" t="s">
        <v>343</v>
      </c>
      <c r="BV467" s="295" t="s">
        <v>343</v>
      </c>
      <c r="BW467" s="295" t="s">
        <v>343</v>
      </c>
      <c r="BX467" s="295" t="s">
        <v>343</v>
      </c>
      <c r="BY467" s="297" t="s">
        <v>343</v>
      </c>
      <c r="BZ467" s="297" t="s">
        <v>343</v>
      </c>
      <c r="CA467" s="297" t="s">
        <v>343</v>
      </c>
      <c r="CB467" s="297" t="s">
        <v>343</v>
      </c>
      <c r="CC467" s="297" t="s">
        <v>343</v>
      </c>
      <c r="CD467" s="297" t="s">
        <v>343</v>
      </c>
      <c r="CE467" s="297" t="s">
        <v>343</v>
      </c>
      <c r="CF467" s="297" t="s">
        <v>343</v>
      </c>
      <c r="CG467" s="297" t="s">
        <v>343</v>
      </c>
      <c r="CH467" s="295"/>
      <c r="CI467" s="295"/>
      <c r="CJ467" s="295"/>
      <c r="CK467" s="295"/>
      <c r="CL467" s="295"/>
      <c r="CM467" s="295"/>
      <c r="CN467" s="295"/>
      <c r="CO467" s="295"/>
      <c r="CP467" s="1784"/>
      <c r="CQ467" s="295"/>
      <c r="CR467" s="295" t="str">
        <f t="shared" si="1047"/>
        <v xml:space="preserve">                </v>
      </c>
      <c r="CS467" s="295" t="str">
        <f t="shared" si="1048"/>
        <v xml:space="preserve">                </v>
      </c>
      <c r="CT467" s="295" t="str">
        <f t="shared" si="1049"/>
        <v xml:space="preserve">                </v>
      </c>
      <c r="CU467" s="295" t="str">
        <f t="shared" si="1050"/>
        <v xml:space="preserve">                </v>
      </c>
      <c r="CV467" s="295" t="str">
        <f t="shared" si="1051"/>
        <v xml:space="preserve">                </v>
      </c>
      <c r="CW467" s="295" t="str">
        <f t="shared" si="1052"/>
        <v xml:space="preserve">                </v>
      </c>
      <c r="CX467" s="295" t="str">
        <f t="shared" si="1053"/>
        <v xml:space="preserve">                </v>
      </c>
      <c r="CY467" s="295" t="str">
        <f t="shared" si="1054"/>
        <v xml:space="preserve">                </v>
      </c>
      <c r="CZ467" s="295" t="str">
        <f t="shared" si="1035"/>
        <v xml:space="preserve">                </v>
      </c>
      <c r="DA467" s="295" t="str">
        <f t="shared" si="1036"/>
        <v xml:space="preserve">                </v>
      </c>
      <c r="DB467" s="295" t="str">
        <f t="shared" si="1037"/>
        <v xml:space="preserve">                </v>
      </c>
      <c r="DC467" s="295" t="str">
        <f t="shared" si="1038"/>
        <v xml:space="preserve">                </v>
      </c>
      <c r="DD467" s="295" t="str">
        <f t="shared" si="1039"/>
        <v xml:space="preserve">                </v>
      </c>
      <c r="DE467" s="295" t="str">
        <f t="shared" si="1040"/>
        <v xml:space="preserve">                </v>
      </c>
      <c r="DF467" s="295" t="str">
        <f t="shared" si="1041"/>
        <v xml:space="preserve">                </v>
      </c>
      <c r="DG467" s="297" t="str">
        <f t="shared" si="1042"/>
        <v xml:space="preserve">                </v>
      </c>
      <c r="DH467" s="298"/>
      <c r="DI467" s="299"/>
      <c r="DJ467" s="299"/>
      <c r="DK467" s="299"/>
      <c r="DL467" s="299"/>
      <c r="DM467" s="299"/>
      <c r="DN467" s="299"/>
      <c r="DO467" s="300"/>
      <c r="DY467" s="295"/>
      <c r="DZ467" s="295"/>
    </row>
    <row r="468" spans="1:130" ht="12" customHeight="1">
      <c r="A468" s="567" t="s">
        <v>669</v>
      </c>
      <c r="B468" s="753"/>
      <c r="C468" s="753"/>
      <c r="D468" s="258"/>
      <c r="E468" s="659"/>
      <c r="F468" s="659"/>
      <c r="G468" s="659"/>
      <c r="H468" s="660"/>
      <c r="I468" s="263">
        <f>(I447-D447)/D447</f>
        <v>0.22737759110059508</v>
      </c>
      <c r="J468" s="263">
        <f t="shared" ref="J468:AA468" si="1084">(J447-E447)/E447</f>
        <v>0.13701297424202272</v>
      </c>
      <c r="K468" s="263">
        <f t="shared" si="1084"/>
        <v>-6.0743526654437677E-2</v>
      </c>
      <c r="L468" s="263">
        <f t="shared" si="1084"/>
        <v>3.3158841749950527E-2</v>
      </c>
      <c r="M468" s="262">
        <f>(M447-H447)/H447</f>
        <v>7.6565516013466367E-2</v>
      </c>
      <c r="N468" s="263">
        <f t="shared" si="1084"/>
        <v>0.18003262216463317</v>
      </c>
      <c r="O468" s="263">
        <f t="shared" si="1084"/>
        <v>0.11153173196380635</v>
      </c>
      <c r="P468" s="263">
        <f t="shared" si="1084"/>
        <v>0.17782440945527361</v>
      </c>
      <c r="Q468" s="263">
        <f t="shared" si="1084"/>
        <v>6.7128278798923913E-2</v>
      </c>
      <c r="R468" s="262">
        <f>(R447-M447)/M447</f>
        <v>0.13430600134981088</v>
      </c>
      <c r="S468" s="263">
        <f t="shared" si="1084"/>
        <v>-0.10504295619195457</v>
      </c>
      <c r="T468" s="263">
        <f t="shared" si="1084"/>
        <v>-3.0164350100774236E-2</v>
      </c>
      <c r="U468" s="263">
        <f t="shared" si="1084"/>
        <v>-4.1378137181284733E-2</v>
      </c>
      <c r="V468" s="263">
        <f t="shared" si="1084"/>
        <v>-9.5575699224143579E-2</v>
      </c>
      <c r="W468" s="262">
        <f>(W447-R447)/R447</f>
        <v>-6.8225168404727324E-2</v>
      </c>
      <c r="X468" s="263">
        <f t="shared" si="1084"/>
        <v>-0.10148950225535559</v>
      </c>
      <c r="Y468" s="263">
        <f t="shared" si="1084"/>
        <v>-0.12938693739606938</v>
      </c>
      <c r="Z468" s="263">
        <f t="shared" si="1084"/>
        <v>-0.15374803962639691</v>
      </c>
      <c r="AA468" s="263">
        <f t="shared" si="1084"/>
        <v>-4.0670091990400385E-2</v>
      </c>
      <c r="AB468" s="262">
        <f t="shared" ref="AB468:AN468" si="1085">(AB447-W447)/W447</f>
        <v>-0.10855252476790678</v>
      </c>
      <c r="AC468" s="263">
        <f t="shared" si="1085"/>
        <v>6.8279530099919945E-3</v>
      </c>
      <c r="AD468" s="263">
        <f t="shared" si="1085"/>
        <v>1.776162220724864E-2</v>
      </c>
      <c r="AE468" s="263">
        <f t="shared" si="1085"/>
        <v>2.4477585041886449E-2</v>
      </c>
      <c r="AF468" s="263">
        <f t="shared" si="1085"/>
        <v>-6.8690827324579193E-2</v>
      </c>
      <c r="AG468" s="262">
        <f t="shared" si="1085"/>
        <v>-4.2869505085606045E-3</v>
      </c>
      <c r="AH468" s="263">
        <f>(AH447-AC447)/AC447</f>
        <v>-7.7095562095969114E-2</v>
      </c>
      <c r="AI468" s="263">
        <f t="shared" si="1085"/>
        <v>-6.6034011899375272E-2</v>
      </c>
      <c r="AJ468" s="263">
        <f t="shared" si="1085"/>
        <v>5.1595647098731023E-3</v>
      </c>
      <c r="AK468" s="263">
        <f t="shared" si="1085"/>
        <v>1.6572926546525934E-2</v>
      </c>
      <c r="AL468" s="262">
        <f t="shared" si="1085"/>
        <v>-3.2492044724736338E-2</v>
      </c>
      <c r="AM468" s="263">
        <f>(AM447-AH447)/AH447</f>
        <v>-1.0495083444471649E-2</v>
      </c>
      <c r="AN468" s="263">
        <f t="shared" si="1085"/>
        <v>-1.6692756587837487E-2</v>
      </c>
      <c r="AO468" s="263">
        <f t="shared" ref="AO468:BF468" si="1086">(AO447-AJ447)/AJ447</f>
        <v>-1.0324072121831236E-2</v>
      </c>
      <c r="AP468" s="263">
        <f t="shared" si="1086"/>
        <v>0.23755437175813507</v>
      </c>
      <c r="AQ468" s="262">
        <f t="shared" si="1086"/>
        <v>0.38265078873597264</v>
      </c>
      <c r="AR468" s="263">
        <f t="shared" si="1086"/>
        <v>0.28788483136671866</v>
      </c>
      <c r="AS468" s="263">
        <f t="shared" si="1086"/>
        <v>0.27363484503517554</v>
      </c>
      <c r="AT468" s="263">
        <f t="shared" si="1086"/>
        <v>0.22783196039373307</v>
      </c>
      <c r="AU468" s="263">
        <f t="shared" si="1086"/>
        <v>0.50921277789917707</v>
      </c>
      <c r="AV468" s="262">
        <f t="shared" si="1086"/>
        <v>0.35513883358468668</v>
      </c>
      <c r="AW468" s="263">
        <f t="shared" si="1086"/>
        <v>0.46988958592632213</v>
      </c>
      <c r="AX468" s="263">
        <f t="shared" si="1086"/>
        <v>0.47443396639229313</v>
      </c>
      <c r="AY468" s="263">
        <f t="shared" si="1086"/>
        <v>0.43184639896959903</v>
      </c>
      <c r="AZ468" s="263">
        <f t="shared" si="1086"/>
        <v>-5.781692632839646E-2</v>
      </c>
      <c r="BA468" s="262">
        <f t="shared" si="1086"/>
        <v>-3.669464680864875E-2</v>
      </c>
      <c r="BB468" s="263">
        <f t="shared" si="1086"/>
        <v>-7.9110070871047697E-2</v>
      </c>
      <c r="BC468" s="263">
        <f t="shared" si="1086"/>
        <v>-6.4698621474468657E-2</v>
      </c>
      <c r="BD468" s="263">
        <f t="shared" si="1086"/>
        <v>-4.153780443347721E-2</v>
      </c>
      <c r="BE468" s="263">
        <f t="shared" si="1086"/>
        <v>-1.5931428199492744E-3</v>
      </c>
      <c r="BF468" s="262">
        <f t="shared" si="1086"/>
        <v>-4.8078514543931167E-2</v>
      </c>
      <c r="BG468" s="259">
        <f t="shared" ref="BG468:BP468" si="1087">(BG447-BB447)/BB447</f>
        <v>1.369763253953755E-2</v>
      </c>
      <c r="BH468" s="263">
        <f t="shared" si="1087"/>
        <v>2.2620917437583436E-2</v>
      </c>
      <c r="BI468" s="263">
        <f t="shared" si="1087"/>
        <v>4.4979683838597588E-3</v>
      </c>
      <c r="BJ468" s="1792">
        <f t="shared" si="1087"/>
        <v>-4.8741027339211564E-3</v>
      </c>
      <c r="BK468" s="262">
        <f t="shared" si="1087"/>
        <v>9.1291461896819328E-3</v>
      </c>
      <c r="BL468" s="263">
        <f t="shared" si="1087"/>
        <v>-1.9352120856266374E-2</v>
      </c>
      <c r="BM468" s="263">
        <f t="shared" si="1087"/>
        <v>-4.4975696089756434E-2</v>
      </c>
      <c r="BN468" s="263">
        <f t="shared" si="1087"/>
        <v>-3.8029781675348116E-2</v>
      </c>
      <c r="BO468" s="1792">
        <f t="shared" si="1087"/>
        <v>-4.4456275653932141E-2</v>
      </c>
      <c r="BP468" s="262">
        <f t="shared" si="1087"/>
        <v>-3.6602988392937873E-2</v>
      </c>
      <c r="BQ468" s="263">
        <f t="shared" ref="BQ468:BZ468" si="1088">(BQ447-BL447)/BL447</f>
        <v>-3.227655710556248E-2</v>
      </c>
      <c r="BR468" s="263">
        <f t="shared" si="1088"/>
        <v>-5.555707069135116E-3</v>
      </c>
      <c r="BS468" s="263">
        <f>(BS447-BN447)/BN447</f>
        <v>-1.0694614839522382E-2</v>
      </c>
      <c r="BT468" s="1792">
        <f t="shared" si="1088"/>
        <v>2.5002043513548682E-3</v>
      </c>
      <c r="BU468" s="3342">
        <f t="shared" si="1088"/>
        <v>-1.1839673980496707E-2</v>
      </c>
      <c r="BV468" s="263">
        <f t="shared" si="1088"/>
        <v>-7.8768779649414315E-3</v>
      </c>
      <c r="BW468" s="263">
        <f t="shared" si="1088"/>
        <v>-1.1453904022588467E-2</v>
      </c>
      <c r="BX468" s="263">
        <f>(BX447-BS447)/BS447</f>
        <v>0.61212467784744762</v>
      </c>
      <c r="BY468" s="1792">
        <f t="shared" si="1088"/>
        <v>0.63284092189858754</v>
      </c>
      <c r="BZ468" s="262">
        <f t="shared" si="1088"/>
        <v>0.3010725776037706</v>
      </c>
      <c r="CA468" s="262">
        <f t="shared" ref="CA468:CG468" si="1089">(CA447-BZ447)/BZ447</f>
        <v>0.24433377119513366</v>
      </c>
      <c r="CB468" s="262">
        <f t="shared" si="1089"/>
        <v>2.2854050488472612E-3</v>
      </c>
      <c r="CC468" s="262">
        <f t="shared" si="1089"/>
        <v>-0.41495342584988565</v>
      </c>
      <c r="CD468" s="262">
        <f t="shared" si="1089"/>
        <v>-5.0000000000000114E-2</v>
      </c>
      <c r="CE468" s="262">
        <f t="shared" si="1089"/>
        <v>2.0000000000000104E-2</v>
      </c>
      <c r="CF468" s="262">
        <f t="shared" si="1089"/>
        <v>2.0000000000000212E-2</v>
      </c>
      <c r="CG468" s="262">
        <f t="shared" si="1089"/>
        <v>1.9999999999999869E-2</v>
      </c>
      <c r="CH468" s="659"/>
      <c r="CI468" s="659"/>
      <c r="CJ468" s="659"/>
      <c r="CK468" s="659"/>
      <c r="CL468" s="659"/>
      <c r="CM468" s="659"/>
      <c r="CN468" s="659"/>
      <c r="CO468" s="659"/>
      <c r="CP468" s="1849" t="str">
        <f>A468</f>
        <v>Total Casino Revenue Growth</v>
      </c>
      <c r="CQ468" s="263"/>
      <c r="CR468" s="263">
        <f t="shared" si="1047"/>
        <v>7.6565516013466367E-2</v>
      </c>
      <c r="CS468" s="263">
        <f t="shared" si="1048"/>
        <v>0.13430600134981088</v>
      </c>
      <c r="CT468" s="263">
        <f t="shared" si="1049"/>
        <v>-6.8225168404727324E-2</v>
      </c>
      <c r="CU468" s="263">
        <f t="shared" si="1050"/>
        <v>-0.10855252476790678</v>
      </c>
      <c r="CV468" s="263">
        <f t="shared" si="1051"/>
        <v>-4.2869505085606045E-3</v>
      </c>
      <c r="CW468" s="263">
        <f t="shared" si="1052"/>
        <v>-3.2492044724736338E-2</v>
      </c>
      <c r="CX468" s="263">
        <f t="shared" si="1053"/>
        <v>0.38265078873597264</v>
      </c>
      <c r="CY468" s="263">
        <f t="shared" si="1054"/>
        <v>0.35513883358468668</v>
      </c>
      <c r="CZ468" s="263">
        <f t="shared" si="1035"/>
        <v>-3.669464680864875E-2</v>
      </c>
      <c r="DA468" s="263">
        <f t="shared" si="1036"/>
        <v>-4.8078514543931167E-2</v>
      </c>
      <c r="DB468" s="263">
        <f t="shared" si="1037"/>
        <v>9.1291461896819328E-3</v>
      </c>
      <c r="DC468" s="263">
        <f t="shared" si="1038"/>
        <v>-3.6602988392937873E-2</v>
      </c>
      <c r="DD468" s="263">
        <f t="shared" si="1039"/>
        <v>-1.1839673980496707E-2</v>
      </c>
      <c r="DE468" s="263">
        <f t="shared" si="1040"/>
        <v>0.3010725776037706</v>
      </c>
      <c r="DF468" s="263">
        <f t="shared" si="1041"/>
        <v>0.24433377119513366</v>
      </c>
      <c r="DG468" s="1792">
        <f t="shared" si="1042"/>
        <v>2.2854050488472612E-3</v>
      </c>
      <c r="DH468" s="263"/>
      <c r="DI468" s="561"/>
      <c r="DJ468" s="561"/>
      <c r="DK468" s="561"/>
      <c r="DL468" s="561"/>
      <c r="DM468" s="561"/>
      <c r="DN468" s="561"/>
      <c r="DO468" s="754"/>
      <c r="DY468" s="263"/>
      <c r="DZ468" s="263"/>
    </row>
    <row r="469" spans="1:130" ht="12" customHeight="1">
      <c r="A469" s="756"/>
      <c r="B469" s="228"/>
      <c r="C469" s="228"/>
      <c r="D469" s="479"/>
      <c r="E469" s="482"/>
      <c r="F469" s="447"/>
      <c r="G469" s="482"/>
      <c r="H469" s="481"/>
      <c r="I469" s="447"/>
      <c r="J469" s="447"/>
      <c r="K469" s="447"/>
      <c r="L469" s="482"/>
      <c r="M469" s="563"/>
      <c r="N469" s="447"/>
      <c r="O469" s="447"/>
      <c r="P469" s="447"/>
      <c r="Q469" s="748"/>
      <c r="R469" s="757"/>
      <c r="S469" s="748"/>
      <c r="T469" s="748"/>
      <c r="U469" s="748"/>
      <c r="V469" s="748"/>
      <c r="W469" s="563"/>
      <c r="X469" s="748"/>
      <c r="Y469" s="748"/>
      <c r="Z469" s="748"/>
      <c r="AA469" s="748"/>
      <c r="AB469" s="563"/>
      <c r="AC469" s="748"/>
      <c r="AD469" s="748"/>
      <c r="AE469" s="748"/>
      <c r="AF469" s="748"/>
      <c r="AG469" s="563"/>
      <c r="AH469" s="447"/>
      <c r="AI469" s="447"/>
      <c r="AJ469" s="447"/>
      <c r="AK469" s="447"/>
      <c r="AL469" s="758"/>
      <c r="AM469" s="759"/>
      <c r="AN469" s="759"/>
      <c r="AO469" s="759"/>
      <c r="AP469" s="759"/>
      <c r="AQ469" s="758"/>
      <c r="AR469" s="759"/>
      <c r="AS469" s="759"/>
      <c r="AT469" s="759"/>
      <c r="AU469" s="759"/>
      <c r="AV469" s="758"/>
      <c r="AW469" s="759"/>
      <c r="AX469" s="759"/>
      <c r="AY469" s="759"/>
      <c r="AZ469" s="759"/>
      <c r="BA469" s="758"/>
      <c r="BB469" s="759"/>
      <c r="BC469" s="759"/>
      <c r="BD469" s="759"/>
      <c r="BE469" s="759"/>
      <c r="BF469" s="758"/>
      <c r="BG469" s="1557"/>
      <c r="BH469" s="759"/>
      <c r="BI469" s="759"/>
      <c r="BJ469" s="1692"/>
      <c r="BK469" s="758"/>
      <c r="BL469" s="759"/>
      <c r="BM469" s="759"/>
      <c r="BN469" s="759"/>
      <c r="BO469" s="1692"/>
      <c r="BP469" s="758"/>
      <c r="BQ469" s="759"/>
      <c r="BR469" s="759"/>
      <c r="BS469" s="759"/>
      <c r="BT469" s="1692"/>
      <c r="BU469" s="3363"/>
      <c r="BV469" s="759"/>
      <c r="BW469" s="759"/>
      <c r="BX469" s="759"/>
      <c r="BY469" s="1692"/>
      <c r="BZ469" s="758"/>
      <c r="CA469" s="758"/>
      <c r="CB469" s="758"/>
      <c r="CC469" s="758"/>
      <c r="CD469" s="758"/>
      <c r="CE469" s="758"/>
      <c r="CF469" s="758"/>
      <c r="CG469" s="758"/>
      <c r="CH469" s="759"/>
      <c r="CI469" s="759"/>
      <c r="CJ469" s="759"/>
      <c r="CK469" s="759"/>
      <c r="CL469" s="759"/>
      <c r="CM469" s="759"/>
      <c r="CN469" s="759"/>
      <c r="CO469" s="759"/>
      <c r="CP469" s="1885"/>
      <c r="CQ469" s="780"/>
      <c r="CR469" s="780"/>
      <c r="CS469" s="780"/>
      <c r="CT469" s="780"/>
      <c r="CU469" s="780"/>
      <c r="CV469" s="780"/>
      <c r="CW469" s="780"/>
      <c r="CX469" s="780"/>
      <c r="CY469" s="780"/>
      <c r="CZ469" s="780"/>
      <c r="DA469" s="780"/>
      <c r="DB469" s="780"/>
      <c r="DC469" s="780"/>
      <c r="DD469" s="780"/>
      <c r="DE469" s="780"/>
      <c r="DF469" s="780"/>
      <c r="DG469" s="1886"/>
      <c r="DH469" s="223"/>
      <c r="DI469" s="595"/>
      <c r="DJ469" s="595"/>
      <c r="DK469" s="595"/>
      <c r="DL469" s="595"/>
      <c r="DM469" s="595"/>
      <c r="DN469" s="514"/>
      <c r="DO469" s="226"/>
      <c r="DY469" s="759"/>
      <c r="DZ469" s="759"/>
    </row>
    <row r="470" spans="1:130" ht="12" customHeight="1">
      <c r="A470" s="545" t="s">
        <v>1105</v>
      </c>
      <c r="B470" s="228"/>
      <c r="C470" s="228"/>
      <c r="D470" s="479"/>
      <c r="E470" s="482"/>
      <c r="F470" s="744"/>
      <c r="G470" s="482"/>
      <c r="H470" s="481"/>
      <c r="I470" s="482"/>
      <c r="J470" s="482"/>
      <c r="K470" s="759"/>
      <c r="L470" s="744"/>
      <c r="M470" s="757"/>
      <c r="N470" s="744"/>
      <c r="O470" s="744"/>
      <c r="P470" s="744"/>
      <c r="Q470" s="748"/>
      <c r="R470" s="757"/>
      <c r="S470" s="748"/>
      <c r="T470" s="748"/>
      <c r="U470" s="748"/>
      <c r="V470" s="748"/>
      <c r="W470" s="481"/>
      <c r="X470" s="748"/>
      <c r="Y470" s="748"/>
      <c r="Z470" s="748"/>
      <c r="AA470" s="748"/>
      <c r="AB470" s="481"/>
      <c r="AC470" s="748"/>
      <c r="AD470" s="748"/>
      <c r="AE470" s="748"/>
      <c r="AF470" s="748"/>
      <c r="AG470" s="481"/>
      <c r="AH470" s="482"/>
      <c r="AI470" s="482"/>
      <c r="AJ470" s="482"/>
      <c r="AK470" s="482"/>
      <c r="AL470" s="757"/>
      <c r="AM470" s="744"/>
      <c r="AN470" s="744"/>
      <c r="AO470" s="744"/>
      <c r="AP470" s="744"/>
      <c r="AQ470" s="481"/>
      <c r="AR470" s="744"/>
      <c r="AS470" s="581"/>
      <c r="AT470" s="744"/>
      <c r="AU470" s="744"/>
      <c r="AV470" s="481"/>
      <c r="AW470" s="744"/>
      <c r="AX470" s="744"/>
      <c r="AY470" s="744"/>
      <c r="AZ470" s="744"/>
      <c r="BA470" s="481"/>
      <c r="BB470" s="744"/>
      <c r="BC470" s="744"/>
      <c r="BD470" s="744"/>
      <c r="BE470" s="744"/>
      <c r="BF470" s="481"/>
      <c r="BG470" s="479"/>
      <c r="BH470" s="482"/>
      <c r="BI470" s="482"/>
      <c r="BJ470" s="2799"/>
      <c r="BK470" s="481"/>
      <c r="BL470" s="482"/>
      <c r="BM470" s="482"/>
      <c r="BN470" s="482"/>
      <c r="BO470" s="2799"/>
      <c r="BP470" s="481"/>
      <c r="BQ470" s="482"/>
      <c r="BR470" s="482"/>
      <c r="BS470" s="482"/>
      <c r="BT470" s="2799"/>
      <c r="BU470" s="3380"/>
      <c r="BV470" s="482"/>
      <c r="BW470" s="482"/>
      <c r="BX470" s="482"/>
      <c r="BY470" s="2799"/>
      <c r="BZ470" s="481"/>
      <c r="CA470" s="481"/>
      <c r="CB470" s="481"/>
      <c r="CC470" s="481"/>
      <c r="CD470" s="481"/>
      <c r="CE470" s="481"/>
      <c r="CF470" s="481"/>
      <c r="CG470" s="481"/>
      <c r="CH470" s="482"/>
      <c r="CI470" s="482"/>
      <c r="CJ470" s="482"/>
      <c r="CK470" s="482"/>
      <c r="CL470" s="482"/>
      <c r="CM470" s="482"/>
      <c r="CN470" s="482"/>
      <c r="CO470" s="482"/>
      <c r="CP470" s="1878" t="str">
        <f t="shared" ref="CP470:CP477" si="1090">A470</f>
        <v>Casino Win/Day/Position</v>
      </c>
      <c r="CQ470" s="581"/>
      <c r="CR470" s="581"/>
      <c r="CS470" s="581"/>
      <c r="CT470" s="581"/>
      <c r="CU470" s="581"/>
      <c r="CV470" s="581"/>
      <c r="CW470" s="581"/>
      <c r="CX470" s="581"/>
      <c r="CY470" s="581"/>
      <c r="CZ470" s="581"/>
      <c r="DA470" s="581"/>
      <c r="DB470" s="581"/>
      <c r="DC470" s="581"/>
      <c r="DD470" s="581"/>
      <c r="DE470" s="581"/>
      <c r="DF470" s="581"/>
      <c r="DG470" s="869"/>
      <c r="DH470" s="223"/>
      <c r="DI470" s="595"/>
      <c r="DJ470" s="595"/>
      <c r="DK470" s="595"/>
      <c r="DL470" s="595"/>
      <c r="DM470" s="595"/>
      <c r="DN470" s="514"/>
      <c r="DO470" s="226"/>
      <c r="DY470" s="482"/>
      <c r="DZ470" s="482"/>
    </row>
    <row r="471" spans="1:130" ht="12" customHeight="1">
      <c r="A471" s="552" t="s">
        <v>513</v>
      </c>
      <c r="B471" s="228"/>
      <c r="C471" s="228"/>
      <c r="D471" s="479"/>
      <c r="E471" s="482"/>
      <c r="F471" s="744"/>
      <c r="G471" s="482"/>
      <c r="H471" s="481"/>
      <c r="I471" s="482"/>
      <c r="J471" s="482"/>
      <c r="K471" s="759"/>
      <c r="L471" s="744"/>
      <c r="M471" s="757"/>
      <c r="N471" s="744"/>
      <c r="O471" s="744"/>
      <c r="P471" s="744"/>
      <c r="Q471" s="748"/>
      <c r="R471" s="757"/>
      <c r="S471" s="748"/>
      <c r="T471" s="748"/>
      <c r="U471" s="748"/>
      <c r="V471" s="748"/>
      <c r="W471" s="481"/>
      <c r="X471" s="748"/>
      <c r="Y471" s="748"/>
      <c r="Z471" s="748"/>
      <c r="AA471" s="748"/>
      <c r="AB471" s="481"/>
      <c r="AC471" s="748"/>
      <c r="AD471" s="748"/>
      <c r="AE471" s="748"/>
      <c r="AF471" s="748"/>
      <c r="AG471" s="481"/>
      <c r="AH471" s="482"/>
      <c r="AI471" s="482"/>
      <c r="AJ471" s="482"/>
      <c r="AK471" s="482"/>
      <c r="AL471" s="757"/>
      <c r="AM471" s="744"/>
      <c r="AN471" s="744"/>
      <c r="AO471" s="744"/>
      <c r="AP471" s="581">
        <f t="shared" ref="AP471:AP478" si="1091">AP429/AP408/AP$5*1000000</f>
        <v>213.37262706674832</v>
      </c>
      <c r="AQ471" s="1660">
        <f>AQ429/AQ408/AQ$5*1000000*(365/88)</f>
        <v>223.07138284250962</v>
      </c>
      <c r="AR471" s="581">
        <f t="shared" ref="AR471:BG471" si="1092">AR429/AR408/AR$5*1000000</f>
        <v>236.99891657638133</v>
      </c>
      <c r="AS471" s="581">
        <f t="shared" si="1092"/>
        <v>228.77650518495588</v>
      </c>
      <c r="AT471" s="581">
        <f t="shared" si="1092"/>
        <v>234.90125535823634</v>
      </c>
      <c r="AU471" s="581">
        <f t="shared" si="1092"/>
        <v>224.33253525944107</v>
      </c>
      <c r="AV471" s="585">
        <f t="shared" si="1092"/>
        <v>231.31366071520964</v>
      </c>
      <c r="AW471" s="581">
        <f t="shared" si="1092"/>
        <v>239.34392513753917</v>
      </c>
      <c r="AX471" s="581">
        <f t="shared" si="1092"/>
        <v>228.50125348968473</v>
      </c>
      <c r="AY471" s="581">
        <f t="shared" si="1092"/>
        <v>234.61863469005891</v>
      </c>
      <c r="AZ471" s="581">
        <f t="shared" si="1092"/>
        <v>216.11613245465489</v>
      </c>
      <c r="BA471" s="585">
        <f t="shared" si="1092"/>
        <v>229.635731574277</v>
      </c>
      <c r="BB471" s="581">
        <f t="shared" si="1092"/>
        <v>225.72344752072573</v>
      </c>
      <c r="BC471" s="581">
        <f t="shared" si="1092"/>
        <v>215.49780580751951</v>
      </c>
      <c r="BD471" s="581">
        <f t="shared" si="1092"/>
        <v>221.26706179993062</v>
      </c>
      <c r="BE471" s="581">
        <f t="shared" si="1092"/>
        <v>205.31032583192211</v>
      </c>
      <c r="BF471" s="585">
        <f t="shared" si="1092"/>
        <v>216.90556237665766</v>
      </c>
      <c r="BG471" s="580">
        <f t="shared" si="1092"/>
        <v>232.49515094634756</v>
      </c>
      <c r="BH471" s="581">
        <f t="shared" ref="BH471:CG471" si="1093">BH429/BH408/BH$5*1000000</f>
        <v>231.66014124308347</v>
      </c>
      <c r="BI471" s="581">
        <f t="shared" si="1093"/>
        <v>225.69240303592923</v>
      </c>
      <c r="BJ471" s="869">
        <f t="shared" si="1093"/>
        <v>209.41653234856057</v>
      </c>
      <c r="BK471" s="585">
        <f t="shared" si="1093"/>
        <v>224.75522874976696</v>
      </c>
      <c r="BL471" s="581">
        <f t="shared" si="1093"/>
        <v>212.69473973937838</v>
      </c>
      <c r="BM471" s="581">
        <f t="shared" si="1093"/>
        <v>217.76053276849845</v>
      </c>
      <c r="BN471" s="581">
        <f t="shared" si="1093"/>
        <v>212.15085885377346</v>
      </c>
      <c r="BO471" s="869">
        <f t="shared" si="1093"/>
        <v>193.71029242241855</v>
      </c>
      <c r="BP471" s="585">
        <f t="shared" si="1093"/>
        <v>209.04550741974441</v>
      </c>
      <c r="BQ471" s="581">
        <f t="shared" si="1093"/>
        <v>204.3051138941029</v>
      </c>
      <c r="BR471" s="581">
        <f t="shared" si="1093"/>
        <v>213.40532211312851</v>
      </c>
      <c r="BS471" s="581">
        <f t="shared" si="1093"/>
        <v>207.90784167669798</v>
      </c>
      <c r="BT471" s="869">
        <f t="shared" si="1093"/>
        <v>174.33926318017672</v>
      </c>
      <c r="BU471" s="3356">
        <f t="shared" si="1093"/>
        <v>199.92898139615463</v>
      </c>
      <c r="BV471" s="581">
        <f t="shared" ref="BV471:BZ471" si="1094">BV429/BV408/BV$5*1000000</f>
        <v>206.34816503304393</v>
      </c>
      <c r="BW471" s="581">
        <f t="shared" si="1094"/>
        <v>215.53937533425977</v>
      </c>
      <c r="BX471" s="581">
        <f t="shared" si="1094"/>
        <v>209.98692009346499</v>
      </c>
      <c r="BY471" s="869">
        <f t="shared" si="1094"/>
        <v>191.77318949819434</v>
      </c>
      <c r="BZ471" s="3356">
        <f t="shared" si="1094"/>
        <v>205.88314545431297</v>
      </c>
      <c r="CA471" s="585">
        <f t="shared" si="1093"/>
        <v>205.88314545431297</v>
      </c>
      <c r="CB471" s="585">
        <f t="shared" si="1093"/>
        <v>205.32062319897332</v>
      </c>
      <c r="CC471" s="585">
        <f t="shared" si="1093"/>
        <v>195.58898818159736</v>
      </c>
      <c r="CD471" s="585">
        <f t="shared" si="1093"/>
        <v>185.80953877251747</v>
      </c>
      <c r="CE471" s="585">
        <f t="shared" si="1093"/>
        <v>189.52572954796784</v>
      </c>
      <c r="CF471" s="585">
        <f t="shared" si="1093"/>
        <v>192.78805767953122</v>
      </c>
      <c r="CG471" s="585">
        <f t="shared" si="1093"/>
        <v>197.18256902170572</v>
      </c>
      <c r="CH471" s="482"/>
      <c r="CI471" s="482"/>
      <c r="CJ471" s="482"/>
      <c r="CK471" s="482"/>
      <c r="CL471" s="482"/>
      <c r="CM471" s="965"/>
      <c r="CN471" s="965">
        <f t="shared" ref="CN471:CN489" si="1095">SUM(BV471:BY471)</f>
        <v>823.64764995896303</v>
      </c>
      <c r="CO471" s="482"/>
      <c r="CP471" s="994" t="str">
        <f t="shared" si="1090"/>
        <v>Imperial Palace (MS) - Estimated</v>
      </c>
      <c r="CQ471" s="581"/>
      <c r="CR471" s="581"/>
      <c r="CS471" s="581"/>
      <c r="CT471" s="581"/>
      <c r="CU471" s="581"/>
      <c r="CV471" s="581"/>
      <c r="CW471" s="581"/>
      <c r="CX471" s="581">
        <f t="shared" ref="CX471:CX490" si="1096">AQ471</f>
        <v>223.07138284250962</v>
      </c>
      <c r="CY471" s="581">
        <f t="shared" ref="CY471:CY490" si="1097">AV471</f>
        <v>231.31366071520964</v>
      </c>
      <c r="CZ471" s="581">
        <f t="shared" ref="CZ471:CZ490" si="1098">BA471</f>
        <v>229.635731574277</v>
      </c>
      <c r="DA471" s="581">
        <f t="shared" ref="DA471:DA490" si="1099">BF471</f>
        <v>216.90556237665766</v>
      </c>
      <c r="DB471" s="581">
        <f t="shared" ref="DB471:DB490" si="1100">BK471</f>
        <v>224.75522874976696</v>
      </c>
      <c r="DC471" s="581">
        <f t="shared" ref="DC471:DC490" si="1101">BP471</f>
        <v>209.04550741974441</v>
      </c>
      <c r="DD471" s="581">
        <f t="shared" ref="DD471:DD490" si="1102">BU471</f>
        <v>199.92898139615463</v>
      </c>
      <c r="DE471" s="581">
        <f t="shared" ref="DE471:DE490" si="1103">BZ471</f>
        <v>205.88314545431297</v>
      </c>
      <c r="DF471" s="581">
        <f t="shared" ref="DF471:DF490" si="1104">CA471</f>
        <v>205.88314545431297</v>
      </c>
      <c r="DG471" s="869">
        <f t="shared" ref="DG471:DG490" si="1105">CB471</f>
        <v>205.32062319897332</v>
      </c>
      <c r="DH471" s="223"/>
      <c r="DI471" s="595"/>
      <c r="DJ471" s="595"/>
      <c r="DK471" s="595"/>
      <c r="DL471" s="595"/>
      <c r="DM471" s="595"/>
      <c r="DN471" s="514"/>
      <c r="DO471" s="226"/>
      <c r="DY471" s="621"/>
      <c r="DZ471" s="621"/>
    </row>
    <row r="472" spans="1:130" ht="12" customHeight="1">
      <c r="A472" s="429" t="s">
        <v>1795</v>
      </c>
      <c r="B472" s="675"/>
      <c r="C472" s="675"/>
      <c r="D472" s="760">
        <v>195.38</v>
      </c>
      <c r="E472" s="761">
        <v>176.8</v>
      </c>
      <c r="F472" s="761">
        <v>184.11</v>
      </c>
      <c r="G472" s="761">
        <v>151.88999999999999</v>
      </c>
      <c r="H472" s="762">
        <v>174.66</v>
      </c>
      <c r="I472" s="761">
        <v>195.63</v>
      </c>
      <c r="J472" s="761">
        <v>175.93</v>
      </c>
      <c r="K472" s="761">
        <v>178.75</v>
      </c>
      <c r="L472" s="761">
        <v>182.75</v>
      </c>
      <c r="M472" s="762">
        <v>180.83</v>
      </c>
      <c r="N472" s="761">
        <v>218</v>
      </c>
      <c r="O472" s="761">
        <v>204.05</v>
      </c>
      <c r="P472" s="761">
        <v>209.74</v>
      </c>
      <c r="Q472" s="761">
        <v>194.55</v>
      </c>
      <c r="R472" s="762">
        <v>203.84</v>
      </c>
      <c r="S472" s="761">
        <v>211.39</v>
      </c>
      <c r="T472" s="761">
        <v>204.21</v>
      </c>
      <c r="U472" s="761">
        <v>207.27</v>
      </c>
      <c r="V472" s="761">
        <v>185.68</v>
      </c>
      <c r="W472" s="762">
        <v>199.46</v>
      </c>
      <c r="X472" s="761">
        <v>202.69</v>
      </c>
      <c r="Y472" s="761">
        <v>185.62</v>
      </c>
      <c r="Z472" s="761">
        <v>189.5</v>
      </c>
      <c r="AA472" s="761">
        <v>167.23</v>
      </c>
      <c r="AB472" s="762">
        <v>183.76</v>
      </c>
      <c r="AC472" s="761">
        <v>186.57</v>
      </c>
      <c r="AD472" s="761">
        <v>178.33</v>
      </c>
      <c r="AE472" s="761">
        <v>178.87</v>
      </c>
      <c r="AF472" s="761">
        <v>161.55000000000001</v>
      </c>
      <c r="AG472" s="762">
        <v>173.99</v>
      </c>
      <c r="AH472" s="583">
        <v>176.39145996349907</v>
      </c>
      <c r="AI472" s="583">
        <v>173.89320030671138</v>
      </c>
      <c r="AJ472" s="583">
        <v>176.57450849940207</v>
      </c>
      <c r="AK472" s="583">
        <v>158.62002679749963</v>
      </c>
      <c r="AL472" s="585">
        <f t="shared" ref="AL472:AO477" si="1106">AL430/AL409/AL$5*1000000</f>
        <v>171.36561899252922</v>
      </c>
      <c r="AM472" s="581">
        <f t="shared" si="1106"/>
        <v>178.27673942870683</v>
      </c>
      <c r="AN472" s="581">
        <f t="shared" si="1106"/>
        <v>131.813833699426</v>
      </c>
      <c r="AO472" s="581">
        <f t="shared" si="1106"/>
        <v>174.89250950728348</v>
      </c>
      <c r="AP472" s="581">
        <f t="shared" si="1091"/>
        <v>158.7347179492086</v>
      </c>
      <c r="AQ472" s="585">
        <f t="shared" ref="AQ472:AQ478" si="1107">AQ430/AQ409/AQ$5*1000000</f>
        <v>160.91871763203076</v>
      </c>
      <c r="AR472" s="581">
        <f t="shared" ref="AR472:BG472" si="1108">AR430/AR409/AR$5*1000000</f>
        <v>180.04606316979496</v>
      </c>
      <c r="AS472" s="581">
        <f t="shared" si="1108"/>
        <v>174.98151552691198</v>
      </c>
      <c r="AT472" s="581">
        <f t="shared" si="1108"/>
        <v>173.23305875199952</v>
      </c>
      <c r="AU472" s="581">
        <f t="shared" si="1108"/>
        <v>156.52092970711672</v>
      </c>
      <c r="AV472" s="585">
        <f t="shared" si="1108"/>
        <v>171.18205403867285</v>
      </c>
      <c r="AW472" s="581">
        <f t="shared" si="1108"/>
        <v>174.01253601821236</v>
      </c>
      <c r="AX472" s="581">
        <f t="shared" si="1108"/>
        <v>170.78051798872983</v>
      </c>
      <c r="AY472" s="581">
        <f t="shared" si="1108"/>
        <v>169.07403857688288</v>
      </c>
      <c r="AZ472" s="581">
        <f t="shared" si="1108"/>
        <v>151.82530181590317</v>
      </c>
      <c r="BA472" s="585">
        <f t="shared" si="1108"/>
        <v>166.36957450616399</v>
      </c>
      <c r="BB472" s="581">
        <f t="shared" si="1108"/>
        <v>161.83165849693745</v>
      </c>
      <c r="BC472" s="581">
        <f t="shared" si="1108"/>
        <v>158.82588172951876</v>
      </c>
      <c r="BD472" s="581">
        <f t="shared" si="1108"/>
        <v>160.62033664803872</v>
      </c>
      <c r="BE472" s="581">
        <f t="shared" si="1108"/>
        <v>148.78879577958514</v>
      </c>
      <c r="BF472" s="585">
        <f t="shared" si="1108"/>
        <v>157.48943749438894</v>
      </c>
      <c r="BG472" s="580">
        <f t="shared" si="1108"/>
        <v>160.21334191196812</v>
      </c>
      <c r="BH472" s="581">
        <f t="shared" ref="BH472:CG472" si="1109">BH430/BH409/BH$5*1000000</f>
        <v>158.82588172951876</v>
      </c>
      <c r="BI472" s="581">
        <f t="shared" si="1109"/>
        <v>159.01413328155834</v>
      </c>
      <c r="BJ472" s="869">
        <f t="shared" si="1109"/>
        <v>151.76457169517684</v>
      </c>
      <c r="BK472" s="585">
        <f t="shared" si="1109"/>
        <v>157.43560785567936</v>
      </c>
      <c r="BL472" s="581">
        <f t="shared" si="1109"/>
        <v>160.03728329448242</v>
      </c>
      <c r="BM472" s="581">
        <f t="shared" si="1109"/>
        <v>158.82588172951876</v>
      </c>
      <c r="BN472" s="581">
        <f t="shared" si="1109"/>
        <v>157.42399194874278</v>
      </c>
      <c r="BO472" s="869">
        <f t="shared" si="1109"/>
        <v>147.21163454432153</v>
      </c>
      <c r="BP472" s="585">
        <f t="shared" si="1109"/>
        <v>155.85526135121862</v>
      </c>
      <c r="BQ472" s="581">
        <f t="shared" si="1109"/>
        <v>153.72470156453338</v>
      </c>
      <c r="BR472" s="581">
        <f t="shared" si="1109"/>
        <v>150.88458764304278</v>
      </c>
      <c r="BS472" s="581">
        <f t="shared" si="1109"/>
        <v>149.55279235130558</v>
      </c>
      <c r="BT472" s="869">
        <f t="shared" si="1109"/>
        <v>149.41980906248634</v>
      </c>
      <c r="BU472" s="3356">
        <f t="shared" si="1109"/>
        <v>150.87999985313357</v>
      </c>
      <c r="BV472" s="581">
        <f t="shared" ref="BV472:BZ472" si="1110">BV430/BV409/BV$5*1000000</f>
        <v>156.03057208800135</v>
      </c>
      <c r="BW472" s="581">
        <f t="shared" si="1110"/>
        <v>153.14785645768842</v>
      </c>
      <c r="BX472" s="581">
        <f t="shared" si="1110"/>
        <v>151.79608423657518</v>
      </c>
      <c r="BY472" s="869">
        <f t="shared" si="1110"/>
        <v>151.6611061984236</v>
      </c>
      <c r="BZ472" s="3356">
        <f t="shared" si="1110"/>
        <v>153.14319985093056</v>
      </c>
      <c r="CA472" s="585">
        <f t="shared" si="1109"/>
        <v>154.67463184943986</v>
      </c>
      <c r="CB472" s="585">
        <f t="shared" si="1109"/>
        <v>154.25202356569824</v>
      </c>
      <c r="CC472" s="585">
        <f t="shared" si="1109"/>
        <v>146.94090025696786</v>
      </c>
      <c r="CD472" s="585">
        <f t="shared" si="1109"/>
        <v>139.59385524411948</v>
      </c>
      <c r="CE472" s="585">
        <f t="shared" si="1109"/>
        <v>142.38573234900187</v>
      </c>
      <c r="CF472" s="585">
        <f t="shared" si="1109"/>
        <v>144.83663429927159</v>
      </c>
      <c r="CG472" s="585">
        <f t="shared" si="1109"/>
        <v>148.13811593590157</v>
      </c>
      <c r="CH472" s="737"/>
      <c r="CI472" s="737"/>
      <c r="CJ472" s="737"/>
      <c r="CK472" s="737"/>
      <c r="CL472" s="737"/>
      <c r="CM472" s="965"/>
      <c r="CN472" s="965">
        <f t="shared" si="1095"/>
        <v>612.63561898068849</v>
      </c>
      <c r="CO472" s="737"/>
      <c r="CP472" s="1790" t="str">
        <f t="shared" si="1090"/>
        <v>Sam's Town Tunica (MS) - Estimated</v>
      </c>
      <c r="CQ472" s="581">
        <f t="shared" ref="CQ472:CQ489" si="1111">H472</f>
        <v>174.66</v>
      </c>
      <c r="CR472" s="581">
        <f t="shared" ref="CR472:CR490" si="1112">M472</f>
        <v>180.83</v>
      </c>
      <c r="CS472" s="581">
        <f t="shared" ref="CS472:CS490" si="1113">R472</f>
        <v>203.84</v>
      </c>
      <c r="CT472" s="581">
        <f t="shared" ref="CT472:CT490" si="1114">W472</f>
        <v>199.46</v>
      </c>
      <c r="CU472" s="581">
        <f t="shared" ref="CU472:CU490" si="1115">AB472</f>
        <v>183.76</v>
      </c>
      <c r="CV472" s="581">
        <f t="shared" ref="CV472:CV490" si="1116">AG472</f>
        <v>173.99</v>
      </c>
      <c r="CW472" s="581">
        <f t="shared" ref="CW472:CW490" si="1117">AL472</f>
        <v>171.36561899252922</v>
      </c>
      <c r="CX472" s="581">
        <f t="shared" si="1096"/>
        <v>160.91871763203076</v>
      </c>
      <c r="CY472" s="581">
        <f t="shared" si="1097"/>
        <v>171.18205403867285</v>
      </c>
      <c r="CZ472" s="581">
        <f t="shared" si="1098"/>
        <v>166.36957450616399</v>
      </c>
      <c r="DA472" s="581">
        <f t="shared" si="1099"/>
        <v>157.48943749438894</v>
      </c>
      <c r="DB472" s="581">
        <f t="shared" si="1100"/>
        <v>157.43560785567936</v>
      </c>
      <c r="DC472" s="581">
        <f t="shared" si="1101"/>
        <v>155.85526135121862</v>
      </c>
      <c r="DD472" s="581">
        <f t="shared" si="1102"/>
        <v>150.87999985313357</v>
      </c>
      <c r="DE472" s="581">
        <f t="shared" si="1103"/>
        <v>153.14319985093056</v>
      </c>
      <c r="DF472" s="581">
        <f t="shared" si="1104"/>
        <v>154.67463184943986</v>
      </c>
      <c r="DG472" s="869">
        <f t="shared" si="1105"/>
        <v>154.25202356569824</v>
      </c>
      <c r="DH472" s="564"/>
      <c r="DI472" s="650"/>
      <c r="DJ472" s="650"/>
      <c r="DK472" s="650"/>
      <c r="DL472" s="650"/>
      <c r="DM472" s="650"/>
      <c r="DN472" s="651"/>
      <c r="DO472" s="320"/>
      <c r="DY472" s="621"/>
      <c r="DZ472" s="621"/>
    </row>
    <row r="473" spans="1:130" ht="12" customHeight="1">
      <c r="A473" s="429" t="s">
        <v>873</v>
      </c>
      <c r="B473" s="228"/>
      <c r="C473" s="228"/>
      <c r="D473" s="580">
        <f t="shared" ref="D473:AK473" si="1118">D431/D410/D$5*1000000</f>
        <v>286.24601205246364</v>
      </c>
      <c r="E473" s="581">
        <f t="shared" si="1118"/>
        <v>274.10070728043075</v>
      </c>
      <c r="F473" s="581">
        <f t="shared" si="1118"/>
        <v>281.89073665932017</v>
      </c>
      <c r="G473" s="581">
        <f t="shared" si="1118"/>
        <v>267.08313793796475</v>
      </c>
      <c r="H473" s="585">
        <f t="shared" si="1118"/>
        <v>277.32135431761191</v>
      </c>
      <c r="I473" s="581">
        <f t="shared" si="1118"/>
        <v>290.30131826741996</v>
      </c>
      <c r="J473" s="581">
        <f t="shared" si="1118"/>
        <v>277.40056553615875</v>
      </c>
      <c r="K473" s="581">
        <f t="shared" si="1118"/>
        <v>282.49145843103099</v>
      </c>
      <c r="L473" s="581">
        <f t="shared" si="1118"/>
        <v>275.65524537574225</v>
      </c>
      <c r="M473" s="585">
        <f t="shared" si="1118"/>
        <v>281.4411128546588</v>
      </c>
      <c r="N473" s="581">
        <f t="shared" si="1118"/>
        <v>308.11093668236532</v>
      </c>
      <c r="O473" s="581">
        <f t="shared" si="1118"/>
        <v>279.22783652767953</v>
      </c>
      <c r="P473" s="581">
        <f t="shared" si="1118"/>
        <v>275.20305781175352</v>
      </c>
      <c r="Q473" s="581">
        <f t="shared" si="1118"/>
        <v>261.27056173640023</v>
      </c>
      <c r="R473" s="585">
        <f t="shared" si="1118"/>
        <v>280.80901485989551</v>
      </c>
      <c r="S473" s="581">
        <f t="shared" si="1118"/>
        <v>283.56881214024077</v>
      </c>
      <c r="T473" s="581">
        <f t="shared" si="1118"/>
        <v>301.36111925750862</v>
      </c>
      <c r="U473" s="581">
        <f t="shared" si="1118"/>
        <v>292.45443996996795</v>
      </c>
      <c r="V473" s="581">
        <f t="shared" si="1118"/>
        <v>265.00222002117562</v>
      </c>
      <c r="W473" s="585">
        <f t="shared" si="1118"/>
        <v>285.56817723526962</v>
      </c>
      <c r="X473" s="581">
        <f t="shared" si="1118"/>
        <v>261.6040675742168</v>
      </c>
      <c r="Y473" s="581">
        <f t="shared" si="1118"/>
        <v>254.78449280491697</v>
      </c>
      <c r="Z473" s="581">
        <f t="shared" si="1118"/>
        <v>254.42296526520715</v>
      </c>
      <c r="AA473" s="581">
        <f t="shared" si="1118"/>
        <v>230.67443994968897</v>
      </c>
      <c r="AB473" s="585">
        <f t="shared" si="1118"/>
        <v>250.30709567879401</v>
      </c>
      <c r="AC473" s="581">
        <f t="shared" si="1118"/>
        <v>251.41169316306144</v>
      </c>
      <c r="AD473" s="581">
        <f t="shared" si="1118"/>
        <v>261.19306807344338</v>
      </c>
      <c r="AE473" s="581">
        <f t="shared" si="1118"/>
        <v>247.30597953564268</v>
      </c>
      <c r="AF473" s="581">
        <f t="shared" si="1118"/>
        <v>226.23664693474862</v>
      </c>
      <c r="AG473" s="585">
        <f t="shared" si="1118"/>
        <v>246.47357356150991</v>
      </c>
      <c r="AH473" s="581">
        <f t="shared" si="1118"/>
        <v>256.37280472961226</v>
      </c>
      <c r="AI473" s="581">
        <f t="shared" si="1118"/>
        <v>251.9389843333505</v>
      </c>
      <c r="AJ473" s="581">
        <f t="shared" si="1118"/>
        <v>247.97577736953116</v>
      </c>
      <c r="AK473" s="581">
        <f t="shared" si="1118"/>
        <v>231.14083983649201</v>
      </c>
      <c r="AL473" s="585">
        <f t="shared" si="1106"/>
        <v>246.76687183849467</v>
      </c>
      <c r="AM473" s="581">
        <f t="shared" si="1106"/>
        <v>253.21591988258655</v>
      </c>
      <c r="AN473" s="581">
        <f t="shared" si="1106"/>
        <v>252.44840629456019</v>
      </c>
      <c r="AO473" s="581">
        <f t="shared" si="1106"/>
        <v>249.22299922299922</v>
      </c>
      <c r="AP473" s="581">
        <f t="shared" si="1091"/>
        <v>227.59675846531491</v>
      </c>
      <c r="AQ473" s="585">
        <f t="shared" si="1107"/>
        <v>245.54196501188062</v>
      </c>
      <c r="AR473" s="581">
        <f t="shared" ref="AR473:BG473" si="1119">AR431/AR410/AR$5*1000000</f>
        <v>255.16092569456842</v>
      </c>
      <c r="AS473" s="581">
        <f t="shared" si="1119"/>
        <v>250.97949227879624</v>
      </c>
      <c r="AT473" s="581">
        <f t="shared" si="1119"/>
        <v>246.1582433841084</v>
      </c>
      <c r="AU473" s="581">
        <f t="shared" si="1119"/>
        <v>230.70303274288779</v>
      </c>
      <c r="AV473" s="585">
        <f t="shared" si="1119"/>
        <v>245.70245558459385</v>
      </c>
      <c r="AW473" s="581">
        <f t="shared" si="1119"/>
        <v>239.73924897119343</v>
      </c>
      <c r="AX473" s="581">
        <f t="shared" si="1119"/>
        <v>231.65441425858094</v>
      </c>
      <c r="AY473" s="581">
        <f t="shared" si="1119"/>
        <v>232.50979602791202</v>
      </c>
      <c r="AZ473" s="581">
        <f t="shared" si="1119"/>
        <v>207.90743420380653</v>
      </c>
      <c r="BA473" s="585">
        <f t="shared" si="1119"/>
        <v>227.94517577477492</v>
      </c>
      <c r="BB473" s="581">
        <f t="shared" si="1119"/>
        <v>204.45999658382442</v>
      </c>
      <c r="BC473" s="581">
        <f t="shared" si="1119"/>
        <v>203.23443223443223</v>
      </c>
      <c r="BD473" s="581">
        <f t="shared" si="1119"/>
        <v>210.99294682027318</v>
      </c>
      <c r="BE473" s="581">
        <f t="shared" si="1119"/>
        <v>195.73759145912484</v>
      </c>
      <c r="BF473" s="585">
        <f t="shared" si="1119"/>
        <v>203.53487056988254</v>
      </c>
      <c r="BG473" s="580">
        <f t="shared" si="1119"/>
        <v>225.80994897959178</v>
      </c>
      <c r="BH473" s="581">
        <f t="shared" ref="BH473:CG473" si="1120">BH431/BH410/BH$5*1000000</f>
        <v>218.14596476777055</v>
      </c>
      <c r="BI473" s="581">
        <f t="shared" si="1120"/>
        <v>207.30376453596031</v>
      </c>
      <c r="BJ473" s="869">
        <f t="shared" si="1120"/>
        <v>188.85089993333824</v>
      </c>
      <c r="BK473" s="585">
        <f t="shared" si="1120"/>
        <v>209.92437236480694</v>
      </c>
      <c r="BL473" s="581">
        <f t="shared" si="1120"/>
        <v>207.64417694741374</v>
      </c>
      <c r="BM473" s="581">
        <f t="shared" si="1120"/>
        <v>197.54953537029007</v>
      </c>
      <c r="BN473" s="581">
        <f t="shared" si="1120"/>
        <v>192.0352002386457</v>
      </c>
      <c r="BO473" s="869">
        <f t="shared" si="1120"/>
        <v>174.35905921396079</v>
      </c>
      <c r="BP473" s="585">
        <f t="shared" si="1120"/>
        <v>192.86738809042595</v>
      </c>
      <c r="BQ473" s="581">
        <f t="shared" si="1120"/>
        <v>202.06159222120937</v>
      </c>
      <c r="BR473" s="581">
        <f t="shared" si="1120"/>
        <v>196.78620924116831</v>
      </c>
      <c r="BS473" s="581">
        <f t="shared" si="1120"/>
        <v>201.71169442576257</v>
      </c>
      <c r="BT473" s="869">
        <f t="shared" si="1120"/>
        <v>186.08795545357438</v>
      </c>
      <c r="BU473" s="3356">
        <f t="shared" si="1120"/>
        <v>196.63072309064043</v>
      </c>
      <c r="BV473" s="581">
        <f t="shared" ref="BV473:BZ473" si="1121">BV431/BV410/BV$5*1000000</f>
        <v>197.65999575371546</v>
      </c>
      <c r="BW473" s="581">
        <f t="shared" si="1121"/>
        <v>194.81834714875663</v>
      </c>
      <c r="BX473" s="581">
        <f t="shared" si="1121"/>
        <v>199.69457748150492</v>
      </c>
      <c r="BY473" s="869">
        <f t="shared" si="1121"/>
        <v>184.22707589903865</v>
      </c>
      <c r="BZ473" s="3356">
        <f t="shared" si="1121"/>
        <v>194.07852416268835</v>
      </c>
      <c r="CA473" s="585">
        <f t="shared" si="1120"/>
        <v>192.1377389210615</v>
      </c>
      <c r="CB473" s="585">
        <f t="shared" si="1120"/>
        <v>191.61277242127719</v>
      </c>
      <c r="CC473" s="585">
        <f t="shared" si="1120"/>
        <v>182.5308519750084</v>
      </c>
      <c r="CD473" s="585">
        <f t="shared" si="1120"/>
        <v>173.40430937625797</v>
      </c>
      <c r="CE473" s="585">
        <f t="shared" si="1120"/>
        <v>176.87239556378313</v>
      </c>
      <c r="CF473" s="585">
        <f t="shared" si="1120"/>
        <v>179.91692040545482</v>
      </c>
      <c r="CG473" s="585">
        <f t="shared" si="1120"/>
        <v>184.01804034455998</v>
      </c>
      <c r="CH473" s="581"/>
      <c r="CI473" s="581"/>
      <c r="CJ473" s="581"/>
      <c r="CK473" s="581"/>
      <c r="CL473" s="581"/>
      <c r="CM473" s="965"/>
      <c r="CN473" s="965">
        <f t="shared" si="1095"/>
        <v>776.39999628301575</v>
      </c>
      <c r="CO473" s="581"/>
      <c r="CP473" s="1790" t="str">
        <f t="shared" si="1090"/>
        <v>Par-A-Dice (Peoria, IL)</v>
      </c>
      <c r="CQ473" s="581">
        <f t="shared" si="1111"/>
        <v>277.32135431761191</v>
      </c>
      <c r="CR473" s="581">
        <f t="shared" si="1112"/>
        <v>281.4411128546588</v>
      </c>
      <c r="CS473" s="581">
        <f t="shared" si="1113"/>
        <v>280.80901485989551</v>
      </c>
      <c r="CT473" s="581">
        <f t="shared" si="1114"/>
        <v>285.56817723526962</v>
      </c>
      <c r="CU473" s="581">
        <f t="shared" si="1115"/>
        <v>250.30709567879401</v>
      </c>
      <c r="CV473" s="581">
        <f t="shared" si="1116"/>
        <v>246.47357356150991</v>
      </c>
      <c r="CW473" s="581">
        <f t="shared" si="1117"/>
        <v>246.76687183849467</v>
      </c>
      <c r="CX473" s="581">
        <f t="shared" si="1096"/>
        <v>245.54196501188062</v>
      </c>
      <c r="CY473" s="581">
        <f t="shared" si="1097"/>
        <v>245.70245558459385</v>
      </c>
      <c r="CZ473" s="581">
        <f t="shared" si="1098"/>
        <v>227.94517577477492</v>
      </c>
      <c r="DA473" s="581">
        <f t="shared" si="1099"/>
        <v>203.53487056988254</v>
      </c>
      <c r="DB473" s="581">
        <f t="shared" si="1100"/>
        <v>209.92437236480694</v>
      </c>
      <c r="DC473" s="581">
        <f t="shared" si="1101"/>
        <v>192.86738809042595</v>
      </c>
      <c r="DD473" s="581">
        <f t="shared" si="1102"/>
        <v>196.63072309064043</v>
      </c>
      <c r="DE473" s="581">
        <f t="shared" si="1103"/>
        <v>194.07852416268835</v>
      </c>
      <c r="DF473" s="581">
        <f t="shared" si="1104"/>
        <v>192.1377389210615</v>
      </c>
      <c r="DG473" s="869">
        <f t="shared" si="1105"/>
        <v>191.61277242127719</v>
      </c>
      <c r="DH473" s="223"/>
      <c r="DI473" s="595"/>
      <c r="DJ473" s="595"/>
      <c r="DK473" s="595"/>
      <c r="DL473" s="595"/>
      <c r="DM473" s="595"/>
      <c r="DN473" s="514"/>
      <c r="DO473" s="226"/>
      <c r="DY473" s="621"/>
      <c r="DZ473" s="621"/>
    </row>
    <row r="474" spans="1:130" ht="12" customHeight="1">
      <c r="A474" s="552" t="s">
        <v>632</v>
      </c>
      <c r="B474" s="228"/>
      <c r="C474" s="228"/>
      <c r="D474" s="580">
        <f t="shared" ref="D474:J476" si="1122">D432/D411/D$5*1000000</f>
        <v>249.74693356436092</v>
      </c>
      <c r="E474" s="581">
        <f t="shared" si="1122"/>
        <v>253.55888924353653</v>
      </c>
      <c r="F474" s="581">
        <f t="shared" si="1122"/>
        <v>251.64594605809128</v>
      </c>
      <c r="G474" s="581">
        <f t="shared" si="1122"/>
        <v>243.19817121810993</v>
      </c>
      <c r="H474" s="585">
        <f t="shared" si="1122"/>
        <v>249.52074520796174</v>
      </c>
      <c r="I474" s="581">
        <f t="shared" si="1122"/>
        <v>269.12851808999085</v>
      </c>
      <c r="J474" s="581">
        <f t="shared" si="1122"/>
        <v>262.7413132322223</v>
      </c>
      <c r="K474" s="581">
        <f>K432/K411/58*1000000</f>
        <v>257.42962382445137</v>
      </c>
      <c r="L474" s="581">
        <f>L432/L411/83*1000000</f>
        <v>415.93170361645417</v>
      </c>
      <c r="M474" s="585">
        <f t="shared" ref="M474:AK474" si="1123">M432/M411/M$5*1000000</f>
        <v>267.28535262148785</v>
      </c>
      <c r="N474" s="581">
        <f t="shared" si="1123"/>
        <v>417.84055049249747</v>
      </c>
      <c r="O474" s="581">
        <f t="shared" si="1123"/>
        <v>341.90630661798849</v>
      </c>
      <c r="P474" s="581">
        <f t="shared" si="1123"/>
        <v>297.6550826699326</v>
      </c>
      <c r="Q474" s="581">
        <f t="shared" si="1123"/>
        <v>256.1668001994089</v>
      </c>
      <c r="R474" s="585">
        <f t="shared" si="1123"/>
        <v>327.66381377558235</v>
      </c>
      <c r="S474" s="581">
        <f t="shared" si="1123"/>
        <v>271.39998179998184</v>
      </c>
      <c r="T474" s="581">
        <f t="shared" si="1123"/>
        <v>261.60543960543959</v>
      </c>
      <c r="U474" s="581">
        <f t="shared" si="1123"/>
        <v>259.67232845493714</v>
      </c>
      <c r="V474" s="581">
        <f t="shared" si="1123"/>
        <v>249.90490245033351</v>
      </c>
      <c r="W474" s="585">
        <f t="shared" si="1123"/>
        <v>260.58763924508816</v>
      </c>
      <c r="X474" s="581">
        <f t="shared" si="1123"/>
        <v>274.54743123980205</v>
      </c>
      <c r="Y474" s="581">
        <f t="shared" si="1123"/>
        <v>256.97427805172674</v>
      </c>
      <c r="Z474" s="581">
        <f t="shared" si="1123"/>
        <v>225.39918785890075</v>
      </c>
      <c r="AA474" s="581">
        <f t="shared" si="1123"/>
        <v>247.45244754488425</v>
      </c>
      <c r="AB474" s="585">
        <f t="shared" si="1123"/>
        <v>251.01908977008276</v>
      </c>
      <c r="AC474" s="581">
        <f t="shared" si="1123"/>
        <v>256.9830801547817</v>
      </c>
      <c r="AD474" s="581">
        <f t="shared" si="1123"/>
        <v>235.99948973083301</v>
      </c>
      <c r="AE474" s="581">
        <f t="shared" si="1123"/>
        <v>232.53298723772443</v>
      </c>
      <c r="AF474" s="581">
        <f t="shared" si="1123"/>
        <v>210.23061104582843</v>
      </c>
      <c r="AG474" s="585">
        <f t="shared" si="1123"/>
        <v>233.90469386614026</v>
      </c>
      <c r="AH474" s="581">
        <f t="shared" si="1123"/>
        <v>237.42492492492491</v>
      </c>
      <c r="AI474" s="581">
        <f t="shared" si="1123"/>
        <v>231.10335610335611</v>
      </c>
      <c r="AJ474" s="581">
        <f t="shared" si="1123"/>
        <v>244.63116324544654</v>
      </c>
      <c r="AK474" s="581">
        <f t="shared" si="1123"/>
        <v>238.42089306698003</v>
      </c>
      <c r="AL474" s="585">
        <f t="shared" si="1106"/>
        <v>237.9162680257312</v>
      </c>
      <c r="AM474" s="581">
        <f t="shared" si="1106"/>
        <v>254.65503828828835</v>
      </c>
      <c r="AN474" s="581">
        <f t="shared" si="1106"/>
        <v>262.56062425749928</v>
      </c>
      <c r="AO474" s="581">
        <f t="shared" si="1106"/>
        <v>251.54728270049938</v>
      </c>
      <c r="AP474" s="581">
        <f t="shared" si="1091"/>
        <v>230.68070252290246</v>
      </c>
      <c r="AQ474" s="585">
        <f t="shared" si="1107"/>
        <v>249.75631960392846</v>
      </c>
      <c r="AR474" s="581">
        <f t="shared" ref="AR474:BG474" si="1124">AR432/AR411/AR$5*1000000</f>
        <v>262.10419300599062</v>
      </c>
      <c r="AS474" s="581">
        <f t="shared" si="1124"/>
        <v>255.19589942666028</v>
      </c>
      <c r="AT474" s="581">
        <f t="shared" si="1124"/>
        <v>236.68711956521736</v>
      </c>
      <c r="AU474" s="581">
        <f t="shared" si="1124"/>
        <v>235.26529723452134</v>
      </c>
      <c r="AV474" s="585">
        <f t="shared" si="1124"/>
        <v>247.2467054409606</v>
      </c>
      <c r="AW474" s="581">
        <f t="shared" si="1124"/>
        <v>247.42994333147843</v>
      </c>
      <c r="AX474" s="581">
        <f t="shared" si="1124"/>
        <v>248.32130143646</v>
      </c>
      <c r="AY474" s="581">
        <f t="shared" si="1124"/>
        <v>225.54929574653409</v>
      </c>
      <c r="AZ474" s="581">
        <f t="shared" si="1124"/>
        <v>203.3007911736953</v>
      </c>
      <c r="BA474" s="585">
        <f t="shared" si="1124"/>
        <v>231.01408582797811</v>
      </c>
      <c r="BB474" s="581">
        <f t="shared" si="1124"/>
        <v>233.68848887033946</v>
      </c>
      <c r="BC474" s="581">
        <f t="shared" si="1124"/>
        <v>231.11550496248327</v>
      </c>
      <c r="BD474" s="581">
        <f t="shared" si="1124"/>
        <v>215.89716233813206</v>
      </c>
      <c r="BE474" s="581">
        <f t="shared" si="1124"/>
        <v>219.13650618534328</v>
      </c>
      <c r="BF474" s="585">
        <f t="shared" si="1124"/>
        <v>224.88540226027399</v>
      </c>
      <c r="BG474" s="580">
        <f t="shared" si="1124"/>
        <v>242.53296788266965</v>
      </c>
      <c r="BH474" s="581">
        <f t="shared" ref="BH474:CG474" si="1125">BH432/BH411/BH$5*1000000</f>
        <v>250.21374562780582</v>
      </c>
      <c r="BI474" s="581">
        <f t="shared" si="1125"/>
        <v>235.32888434855255</v>
      </c>
      <c r="BJ474" s="869">
        <f t="shared" si="1125"/>
        <v>232.58360112237116</v>
      </c>
      <c r="BK474" s="585">
        <f t="shared" si="1125"/>
        <v>240.12429212300154</v>
      </c>
      <c r="BL474" s="581">
        <f t="shared" si="1125"/>
        <v>243.73441947359242</v>
      </c>
      <c r="BM474" s="581">
        <f t="shared" si="1125"/>
        <v>253.10229236093895</v>
      </c>
      <c r="BN474" s="581">
        <f t="shared" si="1125"/>
        <v>246.99429733754678</v>
      </c>
      <c r="BO474" s="869">
        <f t="shared" si="1125"/>
        <v>230.0876693545458</v>
      </c>
      <c r="BP474" s="585">
        <f t="shared" si="1125"/>
        <v>243.45268227490405</v>
      </c>
      <c r="BQ474" s="581">
        <f t="shared" si="1125"/>
        <v>252.79217237538285</v>
      </c>
      <c r="BR474" s="581">
        <f t="shared" si="1125"/>
        <v>257.18065741276268</v>
      </c>
      <c r="BS474" s="581">
        <f t="shared" si="1125"/>
        <v>248.04171025389564</v>
      </c>
      <c r="BT474" s="869">
        <f t="shared" si="1125"/>
        <v>231.18845719370893</v>
      </c>
      <c r="BU474" s="3356">
        <f t="shared" si="1125"/>
        <v>247.24359107815198</v>
      </c>
      <c r="BV474" s="581">
        <f t="shared" ref="BV474:BZ474" si="1126">BV432/BV411/BV$5*1000000</f>
        <v>260.37593754664437</v>
      </c>
      <c r="BW474" s="581">
        <f t="shared" si="1126"/>
        <v>264.89607713514556</v>
      </c>
      <c r="BX474" s="581">
        <f t="shared" si="1126"/>
        <v>253.00254445897357</v>
      </c>
      <c r="BY474" s="869">
        <f t="shared" si="1126"/>
        <v>242.7478800533944</v>
      </c>
      <c r="BZ474" s="3356">
        <f t="shared" si="1126"/>
        <v>255.20114096886053</v>
      </c>
      <c r="CA474" s="585">
        <f t="shared" si="1125"/>
        <v>257.7531523785492</v>
      </c>
      <c r="CB474" s="585">
        <f t="shared" si="1125"/>
        <v>257.04890879281544</v>
      </c>
      <c r="CC474" s="585">
        <f t="shared" si="1125"/>
        <v>244.86549475962164</v>
      </c>
      <c r="CD474" s="585">
        <f t="shared" si="1125"/>
        <v>232.62222002164054</v>
      </c>
      <c r="CE474" s="585">
        <f t="shared" si="1125"/>
        <v>237.27466442207336</v>
      </c>
      <c r="CF474" s="585">
        <f t="shared" si="1125"/>
        <v>241.35890044901069</v>
      </c>
      <c r="CG474" s="585">
        <f t="shared" si="1125"/>
        <v>246.8605608647251</v>
      </c>
      <c r="CH474" s="581"/>
      <c r="CI474" s="581"/>
      <c r="CJ474" s="581"/>
      <c r="CK474" s="581"/>
      <c r="CL474" s="581"/>
      <c r="CM474" s="965"/>
      <c r="CN474" s="965">
        <f t="shared" si="1095"/>
        <v>1021.0224391941579</v>
      </c>
      <c r="CO474" s="581"/>
      <c r="CP474" s="994" t="str">
        <f t="shared" si="1090"/>
        <v>Treasure Chest (New Orleans, LA)</v>
      </c>
      <c r="CQ474" s="581">
        <f t="shared" si="1111"/>
        <v>249.52074520796174</v>
      </c>
      <c r="CR474" s="581">
        <f t="shared" si="1112"/>
        <v>267.28535262148785</v>
      </c>
      <c r="CS474" s="581">
        <f t="shared" si="1113"/>
        <v>327.66381377558235</v>
      </c>
      <c r="CT474" s="581">
        <f t="shared" si="1114"/>
        <v>260.58763924508816</v>
      </c>
      <c r="CU474" s="581">
        <f t="shared" si="1115"/>
        <v>251.01908977008276</v>
      </c>
      <c r="CV474" s="581">
        <f t="shared" si="1116"/>
        <v>233.90469386614026</v>
      </c>
      <c r="CW474" s="581">
        <f t="shared" si="1117"/>
        <v>237.9162680257312</v>
      </c>
      <c r="CX474" s="581">
        <f t="shared" si="1096"/>
        <v>249.75631960392846</v>
      </c>
      <c r="CY474" s="581">
        <f t="shared" si="1097"/>
        <v>247.2467054409606</v>
      </c>
      <c r="CZ474" s="581">
        <f t="shared" si="1098"/>
        <v>231.01408582797811</v>
      </c>
      <c r="DA474" s="581">
        <f t="shared" si="1099"/>
        <v>224.88540226027399</v>
      </c>
      <c r="DB474" s="581">
        <f t="shared" si="1100"/>
        <v>240.12429212300154</v>
      </c>
      <c r="DC474" s="581">
        <f t="shared" si="1101"/>
        <v>243.45268227490405</v>
      </c>
      <c r="DD474" s="581">
        <f t="shared" si="1102"/>
        <v>247.24359107815198</v>
      </c>
      <c r="DE474" s="581">
        <f t="shared" si="1103"/>
        <v>255.20114096886053</v>
      </c>
      <c r="DF474" s="581">
        <f t="shared" si="1104"/>
        <v>257.7531523785492</v>
      </c>
      <c r="DG474" s="869">
        <f t="shared" si="1105"/>
        <v>257.04890879281544</v>
      </c>
      <c r="DH474" s="223"/>
      <c r="DI474" s="595"/>
      <c r="DJ474" s="595"/>
      <c r="DK474" s="595"/>
      <c r="DL474" s="595"/>
      <c r="DM474" s="595"/>
      <c r="DN474" s="514"/>
      <c r="DO474" s="226"/>
      <c r="DY474" s="621"/>
      <c r="DZ474" s="621"/>
    </row>
    <row r="475" spans="1:130" ht="12" customHeight="1">
      <c r="A475" s="552" t="s">
        <v>917</v>
      </c>
      <c r="B475" s="228"/>
      <c r="C475" s="228"/>
      <c r="D475" s="580">
        <f t="shared" si="1122"/>
        <v>300.13633601077544</v>
      </c>
      <c r="E475" s="581">
        <f t="shared" si="1122"/>
        <v>317.42746540952817</v>
      </c>
      <c r="F475" s="581">
        <f t="shared" si="1122"/>
        <v>338.4809417040359</v>
      </c>
      <c r="G475" s="581">
        <f t="shared" si="1122"/>
        <v>306.18994268970567</v>
      </c>
      <c r="H475" s="585">
        <f t="shared" si="1122"/>
        <v>315.58512225577908</v>
      </c>
      <c r="I475" s="581">
        <f t="shared" si="1122"/>
        <v>317.72550930514262</v>
      </c>
      <c r="J475" s="581">
        <f t="shared" si="1122"/>
        <v>322.06499199512086</v>
      </c>
      <c r="K475" s="581">
        <f>K433/K412/K$5*1000000</f>
        <v>336.25079717326668</v>
      </c>
      <c r="L475" s="581">
        <f>L433/L412/L$5*1000000</f>
        <v>304.38888164613348</v>
      </c>
      <c r="M475" s="585">
        <f>M433/M412/M$5*1000000</f>
        <v>320.14314464767057</v>
      </c>
      <c r="N475" s="581">
        <f>N433/((M412+N412*2)/3)/N$5*1000000</f>
        <v>354.13595536757884</v>
      </c>
      <c r="O475" s="581">
        <f t="shared" ref="O475:AK475" si="1127">O433/O412/O$5*1000000</f>
        <v>324.16087176797089</v>
      </c>
      <c r="P475" s="581">
        <f t="shared" si="1127"/>
        <v>326.91344704024976</v>
      </c>
      <c r="Q475" s="581">
        <f t="shared" si="1127"/>
        <v>305.07204643751425</v>
      </c>
      <c r="R475" s="585">
        <f t="shared" si="1127"/>
        <v>324.3263356327941</v>
      </c>
      <c r="S475" s="581">
        <f t="shared" si="1127"/>
        <v>310.56352530541011</v>
      </c>
      <c r="T475" s="581">
        <f t="shared" si="1127"/>
        <v>324.70335866308483</v>
      </c>
      <c r="U475" s="581">
        <f t="shared" si="1127"/>
        <v>290.8170384702936</v>
      </c>
      <c r="V475" s="581">
        <f t="shared" si="1127"/>
        <v>211.55240396618754</v>
      </c>
      <c r="W475" s="585">
        <f t="shared" si="1127"/>
        <v>284.47790775489051</v>
      </c>
      <c r="X475" s="581">
        <f t="shared" si="1127"/>
        <v>210.91698293503049</v>
      </c>
      <c r="Y475" s="581">
        <f t="shared" si="1127"/>
        <v>216.63844891777623</v>
      </c>
      <c r="Z475" s="581">
        <f t="shared" si="1127"/>
        <v>209.43481381745553</v>
      </c>
      <c r="AA475" s="581">
        <f t="shared" si="1127"/>
        <v>192.65816826451999</v>
      </c>
      <c r="AB475" s="585">
        <f t="shared" si="1127"/>
        <v>207.62704361713602</v>
      </c>
      <c r="AC475" s="581">
        <f t="shared" si="1127"/>
        <v>238.02184415967005</v>
      </c>
      <c r="AD475" s="581">
        <f t="shared" si="1127"/>
        <v>245.71098366944591</v>
      </c>
      <c r="AE475" s="581">
        <f t="shared" si="1127"/>
        <v>223.34723049434186</v>
      </c>
      <c r="AF475" s="581">
        <f t="shared" si="1127"/>
        <v>205.57443650142582</v>
      </c>
      <c r="AG475" s="585">
        <f t="shared" si="1127"/>
        <v>228.14688943085724</v>
      </c>
      <c r="AH475" s="581">
        <f t="shared" si="1127"/>
        <v>215.13427173804533</v>
      </c>
      <c r="AI475" s="581">
        <f t="shared" si="1127"/>
        <v>224.12448288459072</v>
      </c>
      <c r="AJ475" s="581">
        <f t="shared" si="1127"/>
        <v>234.55209676159225</v>
      </c>
      <c r="AK475" s="581">
        <f t="shared" si="1127"/>
        <v>203.45330203473554</v>
      </c>
      <c r="AL475" s="585">
        <f t="shared" si="1106"/>
        <v>219.33854833941066</v>
      </c>
      <c r="AM475" s="581">
        <f t="shared" si="1106"/>
        <v>207.24380322612964</v>
      </c>
      <c r="AN475" s="581">
        <f t="shared" si="1106"/>
        <v>217.76613422645883</v>
      </c>
      <c r="AO475" s="581">
        <f t="shared" si="1106"/>
        <v>221.78124142392281</v>
      </c>
      <c r="AP475" s="581">
        <f t="shared" si="1091"/>
        <v>206.97724598458552</v>
      </c>
      <c r="AQ475" s="585">
        <f t="shared" si="1107"/>
        <v>213.46476235478696</v>
      </c>
      <c r="AR475" s="581">
        <f t="shared" ref="AR475:BG475" si="1128">AR433/AR412/AR$5*1000000</f>
        <v>215.61641560964975</v>
      </c>
      <c r="AS475" s="581">
        <f t="shared" si="1128"/>
        <v>218.8423520548013</v>
      </c>
      <c r="AT475" s="581">
        <f t="shared" si="1128"/>
        <v>225.24930379870955</v>
      </c>
      <c r="AU475" s="581">
        <f t="shared" si="1128"/>
        <v>204.03517087784303</v>
      </c>
      <c r="AV475" s="585">
        <f t="shared" si="1128"/>
        <v>215.94212845139313</v>
      </c>
      <c r="AW475" s="581">
        <f t="shared" si="1128"/>
        <v>200.82728921124206</v>
      </c>
      <c r="AX475" s="581">
        <f t="shared" si="1128"/>
        <v>206.29579667838962</v>
      </c>
      <c r="AY475" s="581">
        <f t="shared" si="1128"/>
        <v>200.37834561866845</v>
      </c>
      <c r="AZ475" s="581">
        <f t="shared" si="1128"/>
        <v>188.86518837911919</v>
      </c>
      <c r="BA475" s="585">
        <f t="shared" si="1128"/>
        <v>199.09485884536332</v>
      </c>
      <c r="BB475" s="581">
        <f t="shared" si="1128"/>
        <v>181.17205463004655</v>
      </c>
      <c r="BC475" s="581">
        <f t="shared" si="1128"/>
        <v>199.16386013262425</v>
      </c>
      <c r="BD475" s="581">
        <f t="shared" si="1128"/>
        <v>205.02313922678547</v>
      </c>
      <c r="BE475" s="581">
        <f t="shared" si="1128"/>
        <v>198.14952404247947</v>
      </c>
      <c r="BF475" s="585">
        <f t="shared" si="1128"/>
        <v>195.83864586161386</v>
      </c>
      <c r="BG475" s="580">
        <f t="shared" si="1128"/>
        <v>196.74582548650343</v>
      </c>
      <c r="BH475" s="581">
        <f t="shared" ref="BH475:CG475" si="1129">BH433/BH412/BH$5*1000000</f>
        <v>209.50619371132191</v>
      </c>
      <c r="BI475" s="581">
        <f t="shared" si="1129"/>
        <v>216.18867757950935</v>
      </c>
      <c r="BJ475" s="869">
        <f t="shared" si="1129"/>
        <v>209.41268411074768</v>
      </c>
      <c r="BK475" s="585">
        <f t="shared" si="1129"/>
        <v>207.96827781668918</v>
      </c>
      <c r="BL475" s="581">
        <f t="shared" si="1129"/>
        <v>212.69260454933391</v>
      </c>
      <c r="BM475" s="581">
        <f t="shared" si="1129"/>
        <v>213.59069529597889</v>
      </c>
      <c r="BN475" s="581">
        <f t="shared" si="1129"/>
        <v>219.08060054479805</v>
      </c>
      <c r="BO475" s="869">
        <f t="shared" si="1129"/>
        <v>205.81661552857204</v>
      </c>
      <c r="BP475" s="585">
        <f t="shared" si="1129"/>
        <v>212.83446684794896</v>
      </c>
      <c r="BQ475" s="581">
        <f t="shared" si="1129"/>
        <v>222.04143229600047</v>
      </c>
      <c r="BR475" s="581">
        <f t="shared" si="1129"/>
        <v>224.9114438059392</v>
      </c>
      <c r="BS475" s="581">
        <f t="shared" si="1129"/>
        <v>226.46488166467225</v>
      </c>
      <c r="BT475" s="869">
        <f t="shared" si="1129"/>
        <v>206.76091388556489</v>
      </c>
      <c r="BU475" s="3356">
        <f>BU433/BU412/BU$5*1000000</f>
        <v>220.01508880928364</v>
      </c>
      <c r="BV475" s="581">
        <f t="shared" ref="BV475:BZ475" si="1130">BV433/BV412/BV$5*1000000</f>
        <v>201.74648323705966</v>
      </c>
      <c r="BW475" s="581">
        <f t="shared" si="1130"/>
        <v>196.79751333019684</v>
      </c>
      <c r="BX475" s="581">
        <f t="shared" si="1130"/>
        <v>198.15677145658825</v>
      </c>
      <c r="BY475" s="869">
        <f t="shared" si="1130"/>
        <v>180.91579964986929</v>
      </c>
      <c r="BZ475" s="3356">
        <f t="shared" si="1130"/>
        <v>194.35735272925311</v>
      </c>
      <c r="CA475" s="585">
        <f t="shared" si="1129"/>
        <v>190.47020567466805</v>
      </c>
      <c r="CB475" s="585">
        <f t="shared" si="1129"/>
        <v>189.94979527664984</v>
      </c>
      <c r="CC475" s="585">
        <f t="shared" si="1129"/>
        <v>180.94669539093468</v>
      </c>
      <c r="CD475" s="585">
        <f t="shared" si="1129"/>
        <v>171.8993606213879</v>
      </c>
      <c r="CE475" s="585">
        <f t="shared" si="1129"/>
        <v>175.33734783381567</v>
      </c>
      <c r="CF475" s="585">
        <f t="shared" si="1129"/>
        <v>178.35544972275838</v>
      </c>
      <c r="CG475" s="585">
        <f t="shared" si="1129"/>
        <v>182.4209766863018</v>
      </c>
      <c r="CH475" s="581"/>
      <c r="CI475" s="581"/>
      <c r="CJ475" s="581"/>
      <c r="CK475" s="581"/>
      <c r="CL475" s="581"/>
      <c r="CM475" s="965"/>
      <c r="CN475" s="965">
        <f t="shared" si="1095"/>
        <v>777.61656767371403</v>
      </c>
      <c r="CO475" s="581"/>
      <c r="CP475" s="994" t="str">
        <f t="shared" si="1090"/>
        <v>Blue Chip (Chicago, IL - IN)</v>
      </c>
      <c r="CQ475" s="581">
        <f t="shared" si="1111"/>
        <v>315.58512225577908</v>
      </c>
      <c r="CR475" s="581">
        <f t="shared" si="1112"/>
        <v>320.14314464767057</v>
      </c>
      <c r="CS475" s="581">
        <f t="shared" si="1113"/>
        <v>324.3263356327941</v>
      </c>
      <c r="CT475" s="581">
        <f t="shared" si="1114"/>
        <v>284.47790775489051</v>
      </c>
      <c r="CU475" s="581">
        <f t="shared" si="1115"/>
        <v>207.62704361713602</v>
      </c>
      <c r="CV475" s="581">
        <f t="shared" si="1116"/>
        <v>228.14688943085724</v>
      </c>
      <c r="CW475" s="581">
        <f t="shared" si="1117"/>
        <v>219.33854833941066</v>
      </c>
      <c r="CX475" s="581">
        <f t="shared" si="1096"/>
        <v>213.46476235478696</v>
      </c>
      <c r="CY475" s="581">
        <f t="shared" si="1097"/>
        <v>215.94212845139313</v>
      </c>
      <c r="CZ475" s="581">
        <f t="shared" si="1098"/>
        <v>199.09485884536332</v>
      </c>
      <c r="DA475" s="581">
        <f t="shared" si="1099"/>
        <v>195.83864586161386</v>
      </c>
      <c r="DB475" s="581">
        <f t="shared" si="1100"/>
        <v>207.96827781668918</v>
      </c>
      <c r="DC475" s="581">
        <f t="shared" si="1101"/>
        <v>212.83446684794896</v>
      </c>
      <c r="DD475" s="581">
        <f t="shared" si="1102"/>
        <v>220.01508880928364</v>
      </c>
      <c r="DE475" s="581">
        <f t="shared" si="1103"/>
        <v>194.35735272925311</v>
      </c>
      <c r="DF475" s="581">
        <f t="shared" si="1104"/>
        <v>190.47020567466805</v>
      </c>
      <c r="DG475" s="869">
        <f t="shared" si="1105"/>
        <v>189.94979527664984</v>
      </c>
      <c r="DH475" s="223"/>
      <c r="DI475" s="595"/>
      <c r="DJ475" s="595"/>
      <c r="DK475" s="595"/>
      <c r="DL475" s="595"/>
      <c r="DM475" s="595"/>
      <c r="DN475" s="514"/>
      <c r="DO475" s="226"/>
      <c r="DY475" s="621"/>
      <c r="DZ475" s="621"/>
    </row>
    <row r="476" spans="1:130" ht="12" customHeight="1">
      <c r="A476" s="552" t="s">
        <v>775</v>
      </c>
      <c r="B476" s="228"/>
      <c r="C476" s="228"/>
      <c r="D476" s="580">
        <f t="shared" si="1122"/>
        <v>283.01430159654518</v>
      </c>
      <c r="E476" s="581">
        <f t="shared" si="1122"/>
        <v>248.59517633089553</v>
      </c>
      <c r="F476" s="581">
        <f t="shared" si="1122"/>
        <v>235.24223218827612</v>
      </c>
      <c r="G476" s="581">
        <f t="shared" si="1122"/>
        <v>230.49737047287442</v>
      </c>
      <c r="H476" s="585">
        <f t="shared" si="1122"/>
        <v>249.22324223987385</v>
      </c>
      <c r="I476" s="581">
        <f t="shared" si="1122"/>
        <v>275.66383124191952</v>
      </c>
      <c r="J476" s="581">
        <f t="shared" si="1122"/>
        <v>298.52279208129312</v>
      </c>
      <c r="K476" s="581">
        <f>K434/K413/84*1000000</f>
        <v>260.83224145236466</v>
      </c>
      <c r="L476" s="581">
        <f>L434/L413/59*1000000</f>
        <v>256.64789352871617</v>
      </c>
      <c r="M476" s="585">
        <f>M434/M413/M$5*1000000</f>
        <v>243.8974904672065</v>
      </c>
      <c r="N476" s="581">
        <f>N434/N413/N$5*1000000</f>
        <v>339.44157926736585</v>
      </c>
      <c r="O476" s="581">
        <f t="shared" ref="O476:AK476" si="1131">O434/O413/O$5*1000000</f>
        <v>323.33142165631904</v>
      </c>
      <c r="P476" s="581">
        <f t="shared" si="1131"/>
        <v>313.83809403437812</v>
      </c>
      <c r="Q476" s="581">
        <f t="shared" si="1131"/>
        <v>283.45927258668888</v>
      </c>
      <c r="R476" s="585">
        <f t="shared" si="1131"/>
        <v>314.86098420253734</v>
      </c>
      <c r="S476" s="581">
        <f t="shared" si="1131"/>
        <v>311.90875512995893</v>
      </c>
      <c r="T476" s="581">
        <f t="shared" si="1131"/>
        <v>301.9442657205995</v>
      </c>
      <c r="U476" s="581">
        <f t="shared" si="1131"/>
        <v>307.11902991732592</v>
      </c>
      <c r="V476" s="581">
        <f t="shared" si="1131"/>
        <v>289.28252214304257</v>
      </c>
      <c r="W476" s="585">
        <f t="shared" si="1131"/>
        <v>302.43125138020724</v>
      </c>
      <c r="X476" s="581">
        <f t="shared" si="1131"/>
        <v>316.07674806944874</v>
      </c>
      <c r="Y476" s="581">
        <f t="shared" si="1131"/>
        <v>307.28929391776114</v>
      </c>
      <c r="Z476" s="581">
        <f t="shared" si="1131"/>
        <v>268.28027682409629</v>
      </c>
      <c r="AA476" s="581">
        <f t="shared" si="1131"/>
        <v>313.97189254735594</v>
      </c>
      <c r="AB476" s="585">
        <f t="shared" si="1131"/>
        <v>301.58698314301256</v>
      </c>
      <c r="AC476" s="581">
        <f t="shared" si="1131"/>
        <v>335.31062053725572</v>
      </c>
      <c r="AD476" s="581">
        <f t="shared" si="1131"/>
        <v>322.36253491691656</v>
      </c>
      <c r="AE476" s="581">
        <f t="shared" si="1131"/>
        <v>302.64544545626501</v>
      </c>
      <c r="AF476" s="581">
        <f t="shared" si="1131"/>
        <v>265.85004711266657</v>
      </c>
      <c r="AG476" s="585">
        <f t="shared" si="1131"/>
        <v>306.3055053267725</v>
      </c>
      <c r="AH476" s="581">
        <f t="shared" si="1131"/>
        <v>302.71757825937397</v>
      </c>
      <c r="AI476" s="581">
        <f t="shared" si="1131"/>
        <v>294.62797264654847</v>
      </c>
      <c r="AJ476" s="581">
        <f t="shared" si="1131"/>
        <v>292.09549138511238</v>
      </c>
      <c r="AK476" s="581">
        <f t="shared" si="1131"/>
        <v>268.33711131239943</v>
      </c>
      <c r="AL476" s="585">
        <f t="shared" si="1106"/>
        <v>289.34305680534811</v>
      </c>
      <c r="AM476" s="581">
        <f t="shared" si="1106"/>
        <v>299.55233936899862</v>
      </c>
      <c r="AN476" s="581">
        <f t="shared" si="1106"/>
        <v>307.1814711029711</v>
      </c>
      <c r="AO476" s="581">
        <f t="shared" si="1106"/>
        <v>311.51278515834673</v>
      </c>
      <c r="AP476" s="581">
        <f t="shared" si="1091"/>
        <v>283.00224557165865</v>
      </c>
      <c r="AQ476" s="585">
        <f t="shared" si="1107"/>
        <v>300.29755408422119</v>
      </c>
      <c r="AR476" s="581">
        <f t="shared" ref="AR476:BG476" si="1132">AR434/AR413/AR$5*1000000</f>
        <v>309.59132051282057</v>
      </c>
      <c r="AS476" s="581">
        <f t="shared" si="1132"/>
        <v>322.63964923348254</v>
      </c>
      <c r="AT476" s="581">
        <f t="shared" si="1132"/>
        <v>312.58353770799783</v>
      </c>
      <c r="AU476" s="581">
        <f t="shared" si="1132"/>
        <v>291.6331648407035</v>
      </c>
      <c r="AV476" s="585">
        <f t="shared" si="1132"/>
        <v>309.02731850297266</v>
      </c>
      <c r="AW476" s="581">
        <f t="shared" si="1132"/>
        <v>339.23935828079453</v>
      </c>
      <c r="AX476" s="581">
        <f t="shared" si="1132"/>
        <v>321.98868319599865</v>
      </c>
      <c r="AY476" s="581">
        <f t="shared" si="1132"/>
        <v>315.38090723399745</v>
      </c>
      <c r="AZ476" s="581">
        <f t="shared" si="1132"/>
        <v>290.00110496213529</v>
      </c>
      <c r="BA476" s="585">
        <f t="shared" si="1132"/>
        <v>316.50309374758518</v>
      </c>
      <c r="BB476" s="581">
        <f t="shared" si="1132"/>
        <v>330.80367649650873</v>
      </c>
      <c r="BC476" s="581">
        <f t="shared" si="1132"/>
        <v>322.29082394115949</v>
      </c>
      <c r="BD476" s="581">
        <f t="shared" si="1132"/>
        <v>323.88013077963762</v>
      </c>
      <c r="BE476" s="581">
        <f t="shared" si="1132"/>
        <v>299.89294221025546</v>
      </c>
      <c r="BF476" s="585">
        <f t="shared" si="1132"/>
        <v>319.14498240657935</v>
      </c>
      <c r="BG476" s="580">
        <f t="shared" si="1132"/>
        <v>329.63265812487293</v>
      </c>
      <c r="BH476" s="581">
        <f t="shared" ref="BH476:CG476" si="1133">BH434/BH413/BH$5*1000000</f>
        <v>319.764897786777</v>
      </c>
      <c r="BI476" s="581">
        <f t="shared" si="1133"/>
        <v>308.86708524551022</v>
      </c>
      <c r="BJ476" s="869">
        <f t="shared" si="1133"/>
        <v>284.78986418017348</v>
      </c>
      <c r="BK476" s="585">
        <f t="shared" si="1133"/>
        <v>310.63557336163876</v>
      </c>
      <c r="BL476" s="581">
        <f t="shared" si="1133"/>
        <v>300.49359090573853</v>
      </c>
      <c r="BM476" s="581">
        <f t="shared" si="1133"/>
        <v>302.61479567412448</v>
      </c>
      <c r="BN476" s="581">
        <f t="shared" si="1133"/>
        <v>289.81086028065897</v>
      </c>
      <c r="BO476" s="869">
        <f t="shared" si="1133"/>
        <v>279.11433403188585</v>
      </c>
      <c r="BP476" s="585">
        <f t="shared" si="1133"/>
        <v>292.96169687301006</v>
      </c>
      <c r="BQ476" s="581">
        <f t="shared" si="1133"/>
        <v>315.55049528845507</v>
      </c>
      <c r="BR476" s="581">
        <f t="shared" si="1133"/>
        <v>298.49015320250214</v>
      </c>
      <c r="BS476" s="581">
        <f t="shared" si="1133"/>
        <v>276.17856255139668</v>
      </c>
      <c r="BT476" s="869">
        <f t="shared" si="1133"/>
        <v>305.21967126031245</v>
      </c>
      <c r="BU476" s="3356">
        <f t="shared" si="1133"/>
        <v>298.76927678922158</v>
      </c>
      <c r="BV476" s="581">
        <f t="shared" ref="BV476:BZ476" si="1134">BV434/BV413/BV$5*1000000</f>
        <v>309.23948538268593</v>
      </c>
      <c r="BW476" s="581">
        <f t="shared" si="1134"/>
        <v>292.52035013845216</v>
      </c>
      <c r="BX476" s="581">
        <f t="shared" si="1134"/>
        <v>284.46391942793855</v>
      </c>
      <c r="BY476" s="869">
        <f t="shared" si="1134"/>
        <v>308.27186797291557</v>
      </c>
      <c r="BZ476" s="3356">
        <f t="shared" si="1134"/>
        <v>298.58246024087521</v>
      </c>
      <c r="CA476" s="585">
        <f t="shared" si="1133"/>
        <v>301.568284843284</v>
      </c>
      <c r="CB476" s="585">
        <f t="shared" si="1133"/>
        <v>300.74432778087061</v>
      </c>
      <c r="CC476" s="585">
        <f t="shared" si="1133"/>
        <v>286.48987060111978</v>
      </c>
      <c r="CD476" s="585">
        <f t="shared" si="1133"/>
        <v>272.1653770710638</v>
      </c>
      <c r="CE476" s="585">
        <f t="shared" si="1133"/>
        <v>277.60868461248509</v>
      </c>
      <c r="CF476" s="585">
        <f t="shared" si="1133"/>
        <v>282.3871947574541</v>
      </c>
      <c r="CG476" s="585">
        <f t="shared" si="1133"/>
        <v>288.82407547082948</v>
      </c>
      <c r="CH476" s="581"/>
      <c r="CI476" s="581"/>
      <c r="CJ476" s="581"/>
      <c r="CK476" s="581"/>
      <c r="CL476" s="581"/>
      <c r="CM476" s="965"/>
      <c r="CN476" s="965">
        <f t="shared" si="1095"/>
        <v>1194.4956229219922</v>
      </c>
      <c r="CO476" s="581"/>
      <c r="CP476" s="994" t="str">
        <f t="shared" si="1090"/>
        <v>Delta Downs (Lake Charles, LA)</v>
      </c>
      <c r="CQ476" s="581">
        <f t="shared" si="1111"/>
        <v>249.22324223987385</v>
      </c>
      <c r="CR476" s="581">
        <f t="shared" si="1112"/>
        <v>243.8974904672065</v>
      </c>
      <c r="CS476" s="581">
        <f t="shared" si="1113"/>
        <v>314.86098420253734</v>
      </c>
      <c r="CT476" s="581">
        <f t="shared" si="1114"/>
        <v>302.43125138020724</v>
      </c>
      <c r="CU476" s="581">
        <f t="shared" si="1115"/>
        <v>301.58698314301256</v>
      </c>
      <c r="CV476" s="581">
        <f t="shared" si="1116"/>
        <v>306.3055053267725</v>
      </c>
      <c r="CW476" s="581">
        <f t="shared" si="1117"/>
        <v>289.34305680534811</v>
      </c>
      <c r="CX476" s="581">
        <f t="shared" si="1096"/>
        <v>300.29755408422119</v>
      </c>
      <c r="CY476" s="581">
        <f t="shared" si="1097"/>
        <v>309.02731850297266</v>
      </c>
      <c r="CZ476" s="581">
        <f t="shared" si="1098"/>
        <v>316.50309374758518</v>
      </c>
      <c r="DA476" s="581">
        <f t="shared" si="1099"/>
        <v>319.14498240657935</v>
      </c>
      <c r="DB476" s="581">
        <f t="shared" si="1100"/>
        <v>310.63557336163876</v>
      </c>
      <c r="DC476" s="581">
        <f t="shared" si="1101"/>
        <v>292.96169687301006</v>
      </c>
      <c r="DD476" s="581">
        <f t="shared" si="1102"/>
        <v>298.76927678922158</v>
      </c>
      <c r="DE476" s="581">
        <f t="shared" si="1103"/>
        <v>298.58246024087521</v>
      </c>
      <c r="DF476" s="581">
        <f t="shared" si="1104"/>
        <v>301.568284843284</v>
      </c>
      <c r="DG476" s="869">
        <f t="shared" si="1105"/>
        <v>300.74432778087061</v>
      </c>
      <c r="DH476" s="223"/>
      <c r="DI476" s="595"/>
      <c r="DJ476" s="595"/>
      <c r="DK476" s="595"/>
      <c r="DL476" s="595"/>
      <c r="DM476" s="595"/>
      <c r="DN476" s="514"/>
      <c r="DO476" s="226"/>
      <c r="DY476" s="621"/>
      <c r="DZ476" s="621"/>
    </row>
    <row r="477" spans="1:130" ht="12" customHeight="1">
      <c r="A477" s="552" t="s">
        <v>1302</v>
      </c>
      <c r="B477" s="228"/>
      <c r="C477" s="228"/>
      <c r="D477" s="580"/>
      <c r="E477" s="581">
        <f>E435/E414/E$5*1000000</f>
        <v>297.92682926829264</v>
      </c>
      <c r="F477" s="581">
        <f>F435/F414/F$5*1000000</f>
        <v>294.51532523291922</v>
      </c>
      <c r="G477" s="581">
        <f>G435/G414/G$5*1000000</f>
        <v>292.44923979881696</v>
      </c>
      <c r="H477" s="585">
        <f>H435/H414/(D$5+41+F$5+G$5)*1000000</f>
        <v>342.07851996959425</v>
      </c>
      <c r="I477" s="581">
        <f>I435/I414/I$5*1000000</f>
        <v>318.20820565377068</v>
      </c>
      <c r="J477" s="581">
        <f>J435/J414/J$5*1000000</f>
        <v>284.39062935527193</v>
      </c>
      <c r="K477" s="581">
        <f>K435/K414/K$5*1000000</f>
        <v>282.99054239213979</v>
      </c>
      <c r="L477" s="581">
        <f>L435/L414/L$5*1000000</f>
        <v>281.20317071511198</v>
      </c>
      <c r="M477" s="585">
        <f>M435/M414/M$5*1000000</f>
        <v>291.60867088122296</v>
      </c>
      <c r="N477" s="581">
        <f>N435/N414/N$5*1000000</f>
        <v>296.5172839506173</v>
      </c>
      <c r="O477" s="581">
        <f t="shared" ref="O477:AK477" si="1135">O435/O414/O$5*1000000</f>
        <v>265.04086914650298</v>
      </c>
      <c r="P477" s="581">
        <f t="shared" si="1135"/>
        <v>277.14149996597951</v>
      </c>
      <c r="Q477" s="581">
        <f t="shared" si="1135"/>
        <v>267.55769164304968</v>
      </c>
      <c r="R477" s="585">
        <f t="shared" si="1135"/>
        <v>276.51300885622356</v>
      </c>
      <c r="S477" s="581">
        <f t="shared" si="1135"/>
        <v>299.14981452040274</v>
      </c>
      <c r="T477" s="581">
        <f t="shared" si="1135"/>
        <v>275.80892398539459</v>
      </c>
      <c r="U477" s="581">
        <f t="shared" si="1135"/>
        <v>288.34908757862729</v>
      </c>
      <c r="V477" s="581">
        <f t="shared" si="1135"/>
        <v>273.71688165618076</v>
      </c>
      <c r="W477" s="585">
        <f t="shared" si="1135"/>
        <v>284.23220585943807</v>
      </c>
      <c r="X477" s="581">
        <f t="shared" si="1135"/>
        <v>289.50924338394026</v>
      </c>
      <c r="Y477" s="581">
        <f t="shared" si="1135"/>
        <v>290.07434647809748</v>
      </c>
      <c r="Z477" s="581">
        <f t="shared" si="1135"/>
        <v>279.11198525535127</v>
      </c>
      <c r="AA477" s="581">
        <f t="shared" si="1135"/>
        <v>273.91099335994068</v>
      </c>
      <c r="AB477" s="585">
        <f t="shared" si="1135"/>
        <v>283.12471477886652</v>
      </c>
      <c r="AC477" s="581">
        <f t="shared" si="1135"/>
        <v>304.80205099738248</v>
      </c>
      <c r="AD477" s="1699">
        <f t="shared" si="1135"/>
        <v>282.08996527436818</v>
      </c>
      <c r="AE477" s="1699">
        <f t="shared" si="1135"/>
        <v>276.37481015787802</v>
      </c>
      <c r="AF477" s="1699">
        <f t="shared" si="1135"/>
        <v>261.87401348830537</v>
      </c>
      <c r="AG477" s="585">
        <f t="shared" si="1135"/>
        <v>281.22049176546159</v>
      </c>
      <c r="AH477" s="581">
        <f t="shared" si="1135"/>
        <v>288.77887788778878</v>
      </c>
      <c r="AI477" s="1699">
        <f t="shared" si="1135"/>
        <v>274.72527472527474</v>
      </c>
      <c r="AJ477" s="1699">
        <f t="shared" si="1135"/>
        <v>291.20275990099009</v>
      </c>
      <c r="AK477" s="1699">
        <f t="shared" si="1135"/>
        <v>259.89777905690016</v>
      </c>
      <c r="AL477" s="585">
        <f t="shared" si="1106"/>
        <v>278.58594932579257</v>
      </c>
      <c r="AM477" s="581">
        <f t="shared" si="1106"/>
        <v>271.89759843094333</v>
      </c>
      <c r="AN477" s="1699">
        <f t="shared" si="1106"/>
        <v>259.84935933524605</v>
      </c>
      <c r="AO477" s="1699">
        <f t="shared" si="1106"/>
        <v>263.2318074891125</v>
      </c>
      <c r="AP477" s="1699">
        <f t="shared" si="1091"/>
        <v>242.02642965596084</v>
      </c>
      <c r="AQ477" s="585">
        <f t="shared" si="1107"/>
        <v>259.18347867024016</v>
      </c>
      <c r="AR477" s="1699">
        <f t="shared" ref="AR477:BG477" si="1136">AR435/AR414/AR$5*1000000</f>
        <v>278.66226326672512</v>
      </c>
      <c r="AS477" s="1699">
        <f t="shared" si="1136"/>
        <v>245.89695350664132</v>
      </c>
      <c r="AT477" s="1699">
        <f t="shared" si="1136"/>
        <v>249.36132480082884</v>
      </c>
      <c r="AU477" s="1699">
        <f t="shared" si="1136"/>
        <v>224.76021169856975</v>
      </c>
      <c r="AV477" s="585">
        <f t="shared" si="1136"/>
        <v>249.57705611045137</v>
      </c>
      <c r="AW477" s="1699">
        <f t="shared" si="1136"/>
        <v>254.77485351882163</v>
      </c>
      <c r="AX477" s="1699">
        <f t="shared" si="1136"/>
        <v>227.55988759194977</v>
      </c>
      <c r="AY477" s="1699">
        <f t="shared" si="1136"/>
        <v>203.004810538675</v>
      </c>
      <c r="AZ477" s="1699">
        <f t="shared" si="1136"/>
        <v>201.45344679633868</v>
      </c>
      <c r="BA477" s="585">
        <f t="shared" si="1136"/>
        <v>221.5235521709607</v>
      </c>
      <c r="BB477" s="1699">
        <f t="shared" si="1136"/>
        <v>231.74213359130275</v>
      </c>
      <c r="BC477" s="1699">
        <f t="shared" si="1136"/>
        <v>200.16323929801538</v>
      </c>
      <c r="BD477" s="1699">
        <f t="shared" si="1136"/>
        <v>212.93129119473875</v>
      </c>
      <c r="BE477" s="1699">
        <f t="shared" si="1136"/>
        <v>201.67365162586773</v>
      </c>
      <c r="BF477" s="585">
        <f t="shared" si="1136"/>
        <v>211.56574926246938</v>
      </c>
      <c r="BG477" s="2819">
        <f t="shared" si="1136"/>
        <v>214.06648356676004</v>
      </c>
      <c r="BH477" s="1699">
        <f t="shared" ref="BH477:CG477" si="1137">BH435/BH414/BH$5*1000000</f>
        <v>196.02737676609107</v>
      </c>
      <c r="BI477" s="1699">
        <f t="shared" si="1137"/>
        <v>192.70497588600659</v>
      </c>
      <c r="BJ477" s="1887">
        <f t="shared" si="1137"/>
        <v>179.88489166971141</v>
      </c>
      <c r="BK477" s="585">
        <f t="shared" si="1137"/>
        <v>195.56915786807872</v>
      </c>
      <c r="BL477" s="1699">
        <f t="shared" si="1137"/>
        <v>194.13162775879584</v>
      </c>
      <c r="BM477" s="1699">
        <f t="shared" si="1137"/>
        <v>183.49104829624159</v>
      </c>
      <c r="BN477" s="1699">
        <f t="shared" si="1137"/>
        <v>176.2879064669346</v>
      </c>
      <c r="BO477" s="1887">
        <f t="shared" si="1137"/>
        <v>165.24420706978447</v>
      </c>
      <c r="BP477" s="585">
        <f t="shared" si="1137"/>
        <v>179.73939335078296</v>
      </c>
      <c r="BQ477" s="1699">
        <f t="shared" si="1137"/>
        <v>185.90232222222218</v>
      </c>
      <c r="BR477" s="1699">
        <f t="shared" si="1137"/>
        <v>179.7010965001385</v>
      </c>
      <c r="BS477" s="1699">
        <f t="shared" si="1137"/>
        <v>176.33161563755937</v>
      </c>
      <c r="BT477" s="1887">
        <f t="shared" si="1137"/>
        <v>161.37919802703689</v>
      </c>
      <c r="BU477" s="3356">
        <f t="shared" si="1137"/>
        <v>175.76274969494648</v>
      </c>
      <c r="BV477" s="1699">
        <f t="shared" ref="BV477:BZ477" si="1138">BV435/BV414/BV$5*1000000</f>
        <v>178.4662293333333</v>
      </c>
      <c r="BW477" s="1699">
        <f t="shared" si="1138"/>
        <v>177.90408553513711</v>
      </c>
      <c r="BX477" s="1699">
        <f t="shared" si="1138"/>
        <v>174.5682994811838</v>
      </c>
      <c r="BY477" s="1887">
        <f t="shared" si="1138"/>
        <v>159.76540604676651</v>
      </c>
      <c r="BZ477" s="3356">
        <f t="shared" si="1138"/>
        <v>172.6299543349833</v>
      </c>
      <c r="CA477" s="585">
        <f t="shared" si="1137"/>
        <v>174.35625387833315</v>
      </c>
      <c r="CB477" s="585">
        <f t="shared" si="1137"/>
        <v>173.87987067101528</v>
      </c>
      <c r="CC477" s="585">
        <f t="shared" si="1137"/>
        <v>165.63844118441645</v>
      </c>
      <c r="CD477" s="585">
        <f t="shared" si="1137"/>
        <v>157.35651912519563</v>
      </c>
      <c r="CE477" s="585">
        <f t="shared" si="1137"/>
        <v>160.50364950769958</v>
      </c>
      <c r="CF477" s="585">
        <f t="shared" si="1137"/>
        <v>163.2664172451272</v>
      </c>
      <c r="CG477" s="585">
        <f t="shared" si="1137"/>
        <v>166.98799694781067</v>
      </c>
      <c r="CH477" s="1661"/>
      <c r="CI477" s="1661"/>
      <c r="CJ477" s="1661"/>
      <c r="CK477" s="1661"/>
      <c r="CL477" s="1661"/>
      <c r="CM477" s="965"/>
      <c r="CN477" s="965">
        <f t="shared" si="1095"/>
        <v>690.70402039642079</v>
      </c>
      <c r="CO477" s="1661"/>
      <c r="CP477" s="994" t="str">
        <f t="shared" si="1090"/>
        <v>Sam's Town Shreveport (LA)</v>
      </c>
      <c r="CQ477" s="1699">
        <f t="shared" si="1111"/>
        <v>342.07851996959425</v>
      </c>
      <c r="CR477" s="1699">
        <f t="shared" si="1112"/>
        <v>291.60867088122296</v>
      </c>
      <c r="CS477" s="1699">
        <f t="shared" si="1113"/>
        <v>276.51300885622356</v>
      </c>
      <c r="CT477" s="1699">
        <f t="shared" si="1114"/>
        <v>284.23220585943807</v>
      </c>
      <c r="CU477" s="1699">
        <f t="shared" si="1115"/>
        <v>283.12471477886652</v>
      </c>
      <c r="CV477" s="1699">
        <f t="shared" si="1116"/>
        <v>281.22049176546159</v>
      </c>
      <c r="CW477" s="1699">
        <f t="shared" si="1117"/>
        <v>278.58594932579257</v>
      </c>
      <c r="CX477" s="1699">
        <f t="shared" si="1096"/>
        <v>259.18347867024016</v>
      </c>
      <c r="CY477" s="1699">
        <f t="shared" si="1097"/>
        <v>249.57705611045137</v>
      </c>
      <c r="CZ477" s="1699">
        <f t="shared" si="1098"/>
        <v>221.5235521709607</v>
      </c>
      <c r="DA477" s="1699">
        <f t="shared" si="1099"/>
        <v>211.56574926246938</v>
      </c>
      <c r="DB477" s="1699">
        <f t="shared" si="1100"/>
        <v>195.56915786807872</v>
      </c>
      <c r="DC477" s="1699">
        <f t="shared" si="1101"/>
        <v>179.73939335078296</v>
      </c>
      <c r="DD477" s="1699">
        <f t="shared" si="1102"/>
        <v>175.76274969494648</v>
      </c>
      <c r="DE477" s="1699">
        <f t="shared" si="1103"/>
        <v>172.6299543349833</v>
      </c>
      <c r="DF477" s="1699">
        <f t="shared" si="1104"/>
        <v>174.35625387833315</v>
      </c>
      <c r="DG477" s="1887">
        <f t="shared" si="1105"/>
        <v>173.87987067101528</v>
      </c>
      <c r="DH477" s="710"/>
      <c r="DI477" s="711"/>
      <c r="DJ477" s="711"/>
      <c r="DK477" s="711"/>
      <c r="DL477" s="711"/>
      <c r="DM477" s="711"/>
      <c r="DN477" s="712"/>
      <c r="DO477" s="276"/>
      <c r="DY477" s="621"/>
      <c r="DZ477" s="621"/>
    </row>
    <row r="478" spans="1:130" s="2252" customFormat="1" ht="12" customHeight="1">
      <c r="A478" s="552" t="s">
        <v>456</v>
      </c>
      <c r="B478" s="228"/>
      <c r="C478" s="228"/>
      <c r="D478" s="580"/>
      <c r="E478" s="581"/>
      <c r="F478" s="581"/>
      <c r="G478" s="581"/>
      <c r="H478" s="585"/>
      <c r="I478" s="581"/>
      <c r="J478" s="581"/>
      <c r="K478" s="581"/>
      <c r="L478" s="581"/>
      <c r="M478" s="585"/>
      <c r="N478" s="581"/>
      <c r="O478" s="581"/>
      <c r="P478" s="581"/>
      <c r="Q478" s="581"/>
      <c r="R478" s="585"/>
      <c r="S478" s="581"/>
      <c r="T478" s="581"/>
      <c r="U478" s="581"/>
      <c r="V478" s="581"/>
      <c r="W478" s="585"/>
      <c r="X478" s="581"/>
      <c r="Y478" s="581"/>
      <c r="Z478" s="581"/>
      <c r="AA478" s="581"/>
      <c r="AB478" s="585"/>
      <c r="AC478" s="581"/>
      <c r="AD478" s="1699"/>
      <c r="AE478" s="1699"/>
      <c r="AF478" s="1699"/>
      <c r="AG478" s="585"/>
      <c r="AH478" s="581"/>
      <c r="AI478" s="1699"/>
      <c r="AJ478" s="1699"/>
      <c r="AK478" s="1699"/>
      <c r="AL478" s="585"/>
      <c r="AM478" s="581">
        <f>AM436/AM415/AM$5*1000000</f>
        <v>166.59498435765465</v>
      </c>
      <c r="AN478" s="1699">
        <f>AN436/AN415/AN$5*1000000</f>
        <v>173.75803177714008</v>
      </c>
      <c r="AO478" s="1699">
        <f>AO436/AO415/AO$5*1000000</f>
        <v>178.3774280966887</v>
      </c>
      <c r="AP478" s="1699">
        <f t="shared" si="1091"/>
        <v>165.54951581027669</v>
      </c>
      <c r="AQ478" s="585">
        <f t="shared" si="1107"/>
        <v>171.08311664855339</v>
      </c>
      <c r="AR478" s="1699">
        <f t="shared" ref="AR478:BG478" si="1139">AR436/AR415/AR$5*1000000</f>
        <v>174.6428670786718</v>
      </c>
      <c r="AS478" s="1699">
        <f t="shared" si="1139"/>
        <v>175.92792998856348</v>
      </c>
      <c r="AT478" s="1699">
        <f t="shared" si="1139"/>
        <v>166.92155436748172</v>
      </c>
      <c r="AU478" s="1699">
        <f t="shared" si="1139"/>
        <v>159.2923382341379</v>
      </c>
      <c r="AV478" s="585">
        <f t="shared" si="1139"/>
        <v>169.16158579902125</v>
      </c>
      <c r="AW478" s="1699">
        <f t="shared" si="1139"/>
        <v>162.7856439622262</v>
      </c>
      <c r="AX478" s="1699">
        <f t="shared" si="1139"/>
        <v>170.29918725036265</v>
      </c>
      <c r="AY478" s="1699">
        <f t="shared" si="1139"/>
        <v>172.68364258196399</v>
      </c>
      <c r="AZ478" s="1699">
        <f t="shared" si="1139"/>
        <v>147.55209557383472</v>
      </c>
      <c r="BA478" s="585">
        <f t="shared" si="1139"/>
        <v>163.30088973035851</v>
      </c>
      <c r="BB478" s="1699">
        <f t="shared" si="1139"/>
        <v>148.17228722872287</v>
      </c>
      <c r="BC478" s="1699">
        <f t="shared" si="1139"/>
        <v>159.20188975445041</v>
      </c>
      <c r="BD478" s="1699">
        <f t="shared" si="1139"/>
        <v>157.93163819875775</v>
      </c>
      <c r="BE478" s="1699">
        <f t="shared" si="1139"/>
        <v>149.71043555762225</v>
      </c>
      <c r="BF478" s="585">
        <f t="shared" si="1139"/>
        <v>153.77599519044961</v>
      </c>
      <c r="BG478" s="2819">
        <f t="shared" si="1139"/>
        <v>150.49425081918378</v>
      </c>
      <c r="BH478" s="1699">
        <f t="shared" ref="BH478:CB478" si="1140">BH436/BH415/BH$5*1000000</f>
        <v>167.81544374907602</v>
      </c>
      <c r="BI478" s="1699">
        <f t="shared" si="1140"/>
        <v>171.56259974310075</v>
      </c>
      <c r="BJ478" s="1887">
        <f t="shared" si="1140"/>
        <v>160.33697607131683</v>
      </c>
      <c r="BK478" s="585">
        <f t="shared" si="1140"/>
        <v>162.59655308948157</v>
      </c>
      <c r="BL478" s="1699">
        <f t="shared" si="1140"/>
        <v>168.97277024148076</v>
      </c>
      <c r="BM478" s="1699">
        <f t="shared" si="1140"/>
        <v>163.108217008217</v>
      </c>
      <c r="BN478" s="1699">
        <f t="shared" si="1140"/>
        <v>168.512751783673</v>
      </c>
      <c r="BO478" s="1887">
        <f t="shared" si="1140"/>
        <v>157.3935726042796</v>
      </c>
      <c r="BP478" s="585">
        <f t="shared" si="1140"/>
        <v>164.51794098856865</v>
      </c>
      <c r="BQ478" s="1699">
        <f t="shared" si="1140"/>
        <v>171.68729861760733</v>
      </c>
      <c r="BR478" s="1699">
        <f t="shared" si="1140"/>
        <v>186.72378685144645</v>
      </c>
      <c r="BS478" s="1699">
        <f t="shared" si="1140"/>
        <v>185.5823732234463</v>
      </c>
      <c r="BT478" s="1887">
        <f t="shared" si="1140"/>
        <v>176.28041165587416</v>
      </c>
      <c r="BU478" s="3356">
        <f t="shared" si="1140"/>
        <v>180.00586173940746</v>
      </c>
      <c r="BV478" s="1699">
        <f t="shared" ref="BV478:BZ478" si="1141">BV436/BV415/BV$5*1000000</f>
        <v>184.80978981858868</v>
      </c>
      <c r="BW478" s="1699">
        <f t="shared" si="1141"/>
        <v>187.00850593185285</v>
      </c>
      <c r="BX478" s="1699">
        <f t="shared" si="1141"/>
        <v>186.78547736441058</v>
      </c>
      <c r="BY478" s="1887">
        <f t="shared" si="1141"/>
        <v>177.42321250247562</v>
      </c>
      <c r="BZ478" s="3356">
        <f t="shared" si="1141"/>
        <v>183.99412216774004</v>
      </c>
      <c r="CA478" s="842">
        <f t="shared" si="1140"/>
        <v>185.83406338941739</v>
      </c>
      <c r="CB478" s="842">
        <f t="shared" si="1140"/>
        <v>185.32632004682335</v>
      </c>
      <c r="CC478" s="842">
        <f t="shared" ref="CC478:CG478" si="1142">CC436/CC415/CC$5*1000000</f>
        <v>176.54236021994657</v>
      </c>
      <c r="CD478" s="842">
        <f t="shared" si="1142"/>
        <v>167.71524220894921</v>
      </c>
      <c r="CE478" s="842">
        <f t="shared" si="1142"/>
        <v>171.06954705312822</v>
      </c>
      <c r="CF478" s="842">
        <f t="shared" si="1142"/>
        <v>174.01418679748534</v>
      </c>
      <c r="CG478" s="842">
        <f t="shared" si="1142"/>
        <v>177.98075675407458</v>
      </c>
      <c r="CH478" s="1661"/>
      <c r="CI478" s="1661"/>
      <c r="CJ478" s="1661"/>
      <c r="CK478" s="1661"/>
      <c r="CL478" s="1661"/>
      <c r="CM478" s="965"/>
      <c r="CN478" s="965">
        <f t="shared" si="1095"/>
        <v>736.02698561732768</v>
      </c>
      <c r="CO478" s="1661"/>
      <c r="CP478" s="994"/>
      <c r="CQ478" s="1699"/>
      <c r="CR478" s="1699"/>
      <c r="CS478" s="1699"/>
      <c r="CT478" s="1699"/>
      <c r="CU478" s="1699"/>
      <c r="CV478" s="1699"/>
      <c r="CW478" s="1699"/>
      <c r="CX478" s="1699"/>
      <c r="CY478" s="1699"/>
      <c r="CZ478" s="1699"/>
      <c r="DA478" s="1699"/>
      <c r="DB478" s="1699"/>
      <c r="DC478" s="1699"/>
      <c r="DD478" s="1699"/>
      <c r="DE478" s="1699"/>
      <c r="DF478" s="1699"/>
      <c r="DG478" s="1887"/>
      <c r="DH478" s="710"/>
      <c r="DI478" s="711"/>
      <c r="DJ478" s="711"/>
      <c r="DK478" s="711"/>
      <c r="DL478" s="711"/>
      <c r="DM478" s="711"/>
      <c r="DN478" s="712"/>
      <c r="DO478" s="206"/>
      <c r="DP478"/>
      <c r="DQ478"/>
      <c r="DR478"/>
      <c r="DS478"/>
      <c r="DT478"/>
      <c r="DU478"/>
      <c r="DY478" s="621"/>
      <c r="DZ478" s="621"/>
    </row>
    <row r="479" spans="1:130" s="2252" customFormat="1" ht="12" customHeight="1">
      <c r="A479" s="552" t="s">
        <v>457</v>
      </c>
      <c r="B479" s="228"/>
      <c r="C479" s="228"/>
      <c r="D479" s="580"/>
      <c r="E479" s="581"/>
      <c r="F479" s="581"/>
      <c r="G479" s="581"/>
      <c r="H479" s="585"/>
      <c r="I479" s="581"/>
      <c r="J479" s="581"/>
      <c r="K479" s="581"/>
      <c r="L479" s="581"/>
      <c r="M479" s="585"/>
      <c r="N479" s="581"/>
      <c r="O479" s="581"/>
      <c r="P479" s="581"/>
      <c r="Q479" s="581"/>
      <c r="R479" s="585"/>
      <c r="S479" s="581"/>
      <c r="T479" s="581"/>
      <c r="U479" s="581"/>
      <c r="V479" s="581"/>
      <c r="W479" s="585"/>
      <c r="X479" s="581"/>
      <c r="Y479" s="581"/>
      <c r="Z479" s="581"/>
      <c r="AA479" s="581"/>
      <c r="AB479" s="585"/>
      <c r="AC479" s="581"/>
      <c r="AD479" s="1699"/>
      <c r="AE479" s="1699"/>
      <c r="AF479" s="1699"/>
      <c r="AG479" s="585"/>
      <c r="AH479" s="581"/>
      <c r="AI479" s="1699"/>
      <c r="AJ479" s="1699"/>
      <c r="AK479" s="1699"/>
      <c r="AL479" s="585"/>
      <c r="AM479" s="581">
        <f t="shared" ref="AM479:CB479" si="1143">AM437/AM416/AM$5*1000000</f>
        <v>198.21513913212684</v>
      </c>
      <c r="AN479" s="1699">
        <f t="shared" si="1143"/>
        <v>220.98083177767944</v>
      </c>
      <c r="AO479" s="1699">
        <f t="shared" si="1143"/>
        <v>212.36601500038074</v>
      </c>
      <c r="AP479" s="1699">
        <f t="shared" si="1143"/>
        <v>206.23051824872903</v>
      </c>
      <c r="AQ479" s="585">
        <f t="shared" si="1143"/>
        <v>209.47672191660973</v>
      </c>
      <c r="AR479" s="1699">
        <f t="shared" si="1143"/>
        <v>221.27105237967612</v>
      </c>
      <c r="AS479" s="1699">
        <f t="shared" si="1143"/>
        <v>223.24273231071854</v>
      </c>
      <c r="AT479" s="1699">
        <f t="shared" si="1143"/>
        <v>214.98314375514477</v>
      </c>
      <c r="AU479" s="1699">
        <f t="shared" si="1143"/>
        <v>201.48255444136794</v>
      </c>
      <c r="AV479" s="585">
        <f t="shared" si="1143"/>
        <v>215.19188488034504</v>
      </c>
      <c r="AW479" s="1699">
        <f t="shared" si="1143"/>
        <v>204.14919678714858</v>
      </c>
      <c r="AX479" s="1699">
        <f t="shared" si="1143"/>
        <v>215.02264946757202</v>
      </c>
      <c r="AY479" s="1699">
        <f t="shared" si="1143"/>
        <v>208.39508343934747</v>
      </c>
      <c r="AZ479" s="1699">
        <f t="shared" si="1143"/>
        <v>185.90122673434857</v>
      </c>
      <c r="BA479" s="585">
        <f t="shared" si="1143"/>
        <v>203.26268972074516</v>
      </c>
      <c r="BB479" s="1699">
        <f t="shared" si="1143"/>
        <v>185.24239518706523</v>
      </c>
      <c r="BC479" s="1699">
        <f t="shared" si="1143"/>
        <v>205.18498168498166</v>
      </c>
      <c r="BD479" s="1699">
        <f t="shared" si="1143"/>
        <v>200.8195220767528</v>
      </c>
      <c r="BE479" s="1699">
        <f t="shared" si="1143"/>
        <v>183.86393255531419</v>
      </c>
      <c r="BF479" s="585">
        <f t="shared" si="1143"/>
        <v>193.7525882955922</v>
      </c>
      <c r="BG479" s="2819">
        <f t="shared" si="1143"/>
        <v>194.01315096822708</v>
      </c>
      <c r="BH479" s="1699">
        <f t="shared" si="1143"/>
        <v>209.85351761640422</v>
      </c>
      <c r="BI479" s="1699">
        <f t="shared" si="1143"/>
        <v>207.38724319159104</v>
      </c>
      <c r="BJ479" s="1887">
        <f t="shared" si="1143"/>
        <v>192.60052505526897</v>
      </c>
      <c r="BK479" s="585">
        <f t="shared" si="1143"/>
        <v>200.95021541379521</v>
      </c>
      <c r="BL479" s="1699">
        <f t="shared" si="1143"/>
        <v>198.57887780848247</v>
      </c>
      <c r="BM479" s="1699">
        <f t="shared" si="1143"/>
        <v>198.38914892638741</v>
      </c>
      <c r="BN479" s="1699">
        <f t="shared" si="1143"/>
        <v>196.38290098648156</v>
      </c>
      <c r="BO479" s="1887">
        <f t="shared" si="1143"/>
        <v>190.08629889895158</v>
      </c>
      <c r="BP479" s="585">
        <f t="shared" si="1143"/>
        <v>195.87908146823708</v>
      </c>
      <c r="BQ479" s="1699">
        <f t="shared" si="1143"/>
        <v>203.92612612612612</v>
      </c>
      <c r="BR479" s="1699">
        <f t="shared" si="1143"/>
        <v>216.78529312097592</v>
      </c>
      <c r="BS479" s="1699">
        <f t="shared" si="1143"/>
        <v>215.62166251675922</v>
      </c>
      <c r="BT479" s="1887">
        <f t="shared" si="1143"/>
        <v>192.24451254548936</v>
      </c>
      <c r="BU479" s="3356">
        <f t="shared" si="1143"/>
        <v>207.11979440017336</v>
      </c>
      <c r="BV479" s="1699">
        <f t="shared" ref="BV479:BZ479" si="1144">BV437/BV416/BV$5*1000000</f>
        <v>207.594287639133</v>
      </c>
      <c r="BW479" s="1699">
        <f t="shared" si="1144"/>
        <v>218.37594092199538</v>
      </c>
      <c r="BX479" s="1699">
        <f t="shared" si="1144"/>
        <v>217.20377225490944</v>
      </c>
      <c r="BY479" s="1887">
        <f t="shared" si="1144"/>
        <v>193.65509398639873</v>
      </c>
      <c r="BZ479" s="3356">
        <f t="shared" si="1144"/>
        <v>209.19099234417504</v>
      </c>
      <c r="CA479" s="842">
        <f t="shared" si="1143"/>
        <v>211.28290226761681</v>
      </c>
      <c r="CB479" s="842">
        <f t="shared" si="1143"/>
        <v>210.70562657836101</v>
      </c>
      <c r="CC479" s="842">
        <f t="shared" ref="CC479:CG479" si="1145">CC437/CC416/CC$5*1000000</f>
        <v>200.71875715423596</v>
      </c>
      <c r="CD479" s="842">
        <f t="shared" si="1145"/>
        <v>190.68281929652414</v>
      </c>
      <c r="CE479" s="842">
        <f t="shared" si="1145"/>
        <v>194.49647568245464</v>
      </c>
      <c r="CF479" s="842">
        <f t="shared" si="1145"/>
        <v>197.84436583764443</v>
      </c>
      <c r="CG479" s="842">
        <f t="shared" si="1145"/>
        <v>202.35413330002584</v>
      </c>
      <c r="CH479" s="1661"/>
      <c r="CI479" s="1661"/>
      <c r="CJ479" s="1661"/>
      <c r="CK479" s="1661"/>
      <c r="CL479" s="1661"/>
      <c r="CM479" s="965"/>
      <c r="CN479" s="965">
        <f t="shared" si="1095"/>
        <v>836.82909480243643</v>
      </c>
      <c r="CO479" s="1661"/>
      <c r="CP479" s="994"/>
      <c r="CQ479" s="1699"/>
      <c r="CR479" s="1699"/>
      <c r="CS479" s="1699"/>
      <c r="CT479" s="1699"/>
      <c r="CU479" s="1699"/>
      <c r="CV479" s="1699"/>
      <c r="CW479" s="1699"/>
      <c r="CX479" s="1699"/>
      <c r="CY479" s="1699"/>
      <c r="CZ479" s="1699"/>
      <c r="DA479" s="1699"/>
      <c r="DB479" s="1699"/>
      <c r="DC479" s="1699"/>
      <c r="DD479" s="1699"/>
      <c r="DE479" s="1699"/>
      <c r="DF479" s="1699"/>
      <c r="DG479" s="1887"/>
      <c r="DH479" s="710"/>
      <c r="DI479" s="711"/>
      <c r="DJ479" s="711"/>
      <c r="DK479" s="711"/>
      <c r="DL479" s="711"/>
      <c r="DM479" s="711"/>
      <c r="DN479" s="712"/>
      <c r="DO479" s="206"/>
      <c r="DP479"/>
      <c r="DQ479"/>
      <c r="DR479"/>
      <c r="DS479"/>
      <c r="DT479"/>
      <c r="DU479"/>
      <c r="DY479" s="621"/>
      <c r="DZ479" s="621"/>
    </row>
    <row r="480" spans="1:130" s="2252" customFormat="1" ht="12" customHeight="1">
      <c r="A480" s="552" t="s">
        <v>458</v>
      </c>
      <c r="B480" s="228"/>
      <c r="C480" s="228"/>
      <c r="D480" s="580"/>
      <c r="E480" s="581"/>
      <c r="F480" s="581"/>
      <c r="G480" s="581"/>
      <c r="H480" s="585"/>
      <c r="I480" s="581"/>
      <c r="J480" s="581"/>
      <c r="K480" s="581"/>
      <c r="L480" s="581"/>
      <c r="M480" s="585"/>
      <c r="N480" s="581"/>
      <c r="O480" s="581"/>
      <c r="P480" s="581"/>
      <c r="Q480" s="581"/>
      <c r="R480" s="585"/>
      <c r="S480" s="581"/>
      <c r="T480" s="581"/>
      <c r="U480" s="581"/>
      <c r="V480" s="581"/>
      <c r="W480" s="585"/>
      <c r="X480" s="581"/>
      <c r="Y480" s="581"/>
      <c r="Z480" s="581"/>
      <c r="AA480" s="581"/>
      <c r="AB480" s="585"/>
      <c r="AC480" s="581"/>
      <c r="AD480" s="1699"/>
      <c r="AE480" s="1699"/>
      <c r="AF480" s="1699"/>
      <c r="AG480" s="585"/>
      <c r="AH480" s="581"/>
      <c r="AI480" s="1699"/>
      <c r="AJ480" s="1699"/>
      <c r="AK480" s="1699"/>
      <c r="AL480" s="585"/>
      <c r="AM480" s="581">
        <f t="shared" ref="AM480:CB480" si="1146">AM438/AM417/AM$5*1000000</f>
        <v>195.20180805243444</v>
      </c>
      <c r="AN480" s="1699">
        <f t="shared" si="1146"/>
        <v>189.61839571243362</v>
      </c>
      <c r="AO480" s="1699">
        <f t="shared" si="1146"/>
        <v>179.50941820346847</v>
      </c>
      <c r="AP480" s="1699">
        <f t="shared" si="1146"/>
        <v>171.28767678309723</v>
      </c>
      <c r="AQ480" s="585">
        <f t="shared" si="1146"/>
        <v>183.82676568031397</v>
      </c>
      <c r="AR480" s="1699">
        <f t="shared" si="1146"/>
        <v>204.39450395110507</v>
      </c>
      <c r="AS480" s="1699">
        <f t="shared" si="1146"/>
        <v>193.8695815841462</v>
      </c>
      <c r="AT480" s="1699">
        <f t="shared" si="1146"/>
        <v>181.71535593246216</v>
      </c>
      <c r="AU480" s="1699">
        <f t="shared" si="1146"/>
        <v>171.11000526685393</v>
      </c>
      <c r="AV480" s="585">
        <f t="shared" si="1146"/>
        <v>187.71028692362009</v>
      </c>
      <c r="AW480" s="1699">
        <f t="shared" si="1146"/>
        <v>188.01539856429466</v>
      </c>
      <c r="AX480" s="1699">
        <f t="shared" si="1146"/>
        <v>182.95065008025682</v>
      </c>
      <c r="AY480" s="1699">
        <f t="shared" si="1146"/>
        <v>172.90063309110897</v>
      </c>
      <c r="AZ480" s="1699">
        <f t="shared" si="1146"/>
        <v>167.87127831888131</v>
      </c>
      <c r="BA480" s="585">
        <f t="shared" si="1146"/>
        <v>177.86550925427122</v>
      </c>
      <c r="BB480" s="1699">
        <f t="shared" si="1146"/>
        <v>188.74626567937202</v>
      </c>
      <c r="BC480" s="1699">
        <f t="shared" si="1146"/>
        <v>185.65907213689439</v>
      </c>
      <c r="BD480" s="1699">
        <f t="shared" si="1146"/>
        <v>170.23843479844203</v>
      </c>
      <c r="BE480" s="1699">
        <f t="shared" si="1146"/>
        <v>172.43701162164731</v>
      </c>
      <c r="BF480" s="585">
        <f t="shared" si="1146"/>
        <v>179.20076861986053</v>
      </c>
      <c r="BG480" s="2819">
        <f t="shared" si="1146"/>
        <v>194.67745334628148</v>
      </c>
      <c r="BH480" s="1699">
        <f t="shared" si="1146"/>
        <v>192.17523382662495</v>
      </c>
      <c r="BI480" s="1699">
        <f t="shared" si="1146"/>
        <v>172.47341888596853</v>
      </c>
      <c r="BJ480" s="1887">
        <f t="shared" si="1146"/>
        <v>167.81136301022832</v>
      </c>
      <c r="BK480" s="585">
        <f t="shared" si="1146"/>
        <v>181.68525209270771</v>
      </c>
      <c r="BL480" s="1699">
        <f t="shared" si="1146"/>
        <v>180.06876279583489</v>
      </c>
      <c r="BM480" s="1699">
        <f t="shared" si="1146"/>
        <v>173.58510288691645</v>
      </c>
      <c r="BN480" s="1699">
        <f t="shared" si="1146"/>
        <v>222.18349742964187</v>
      </c>
      <c r="BO480" s="1887">
        <f t="shared" si="1146"/>
        <v>230.5342329223665</v>
      </c>
      <c r="BP480" s="585">
        <f t="shared" si="1146"/>
        <v>197.6369890042015</v>
      </c>
      <c r="BQ480" s="1699">
        <f t="shared" si="1146"/>
        <v>233.64282297929191</v>
      </c>
      <c r="BR480" s="1699">
        <f t="shared" si="1146"/>
        <v>175.58537301009258</v>
      </c>
      <c r="BS480" s="1699">
        <f t="shared" si="1146"/>
        <v>158.20629088951517</v>
      </c>
      <c r="BT480" s="1887">
        <f t="shared" si="1146"/>
        <v>157.14113073561546</v>
      </c>
      <c r="BU480" s="3356">
        <f t="shared" si="1146"/>
        <v>177.23866784101347</v>
      </c>
      <c r="BV480" s="1699">
        <f t="shared" ref="BV480:BZ480" si="1147">BV438/BV417/BV$5*1000000</f>
        <v>174.9841827946062</v>
      </c>
      <c r="BW480" s="1699">
        <f t="shared" si="1147"/>
        <v>186.56863785141962</v>
      </c>
      <c r="BX480" s="1699">
        <f t="shared" si="1147"/>
        <v>168.10245457681552</v>
      </c>
      <c r="BY480" s="1887">
        <f t="shared" si="1147"/>
        <v>170.34381100254055</v>
      </c>
      <c r="BZ480" s="3356">
        <f t="shared" si="1147"/>
        <v>174.96816145012193</v>
      </c>
      <c r="CA480" s="842">
        <f t="shared" si="1146"/>
        <v>176.71784306462314</v>
      </c>
      <c r="CB480" s="842">
        <f t="shared" si="1146"/>
        <v>176.23500742783457</v>
      </c>
      <c r="CC480" s="842">
        <f t="shared" ref="CC480:CG480" si="1148">CC438/CC417/CC$5*1000000</f>
        <v>167.88195091139198</v>
      </c>
      <c r="CD480" s="842">
        <f t="shared" si="1148"/>
        <v>159.48785336582239</v>
      </c>
      <c r="CE480" s="842">
        <f t="shared" si="1148"/>
        <v>162.67761043313885</v>
      </c>
      <c r="CF480" s="842">
        <f t="shared" si="1148"/>
        <v>165.47779880944697</v>
      </c>
      <c r="CG480" s="842">
        <f t="shared" si="1148"/>
        <v>169.24978589463765</v>
      </c>
      <c r="CH480" s="1661"/>
      <c r="CI480" s="1661"/>
      <c r="CJ480" s="1661"/>
      <c r="CK480" s="1661"/>
      <c r="CL480" s="1661"/>
      <c r="CM480" s="965"/>
      <c r="CN480" s="965">
        <f t="shared" si="1095"/>
        <v>699.9990862253818</v>
      </c>
      <c r="CO480" s="1661"/>
      <c r="CP480" s="994"/>
      <c r="CQ480" s="1699"/>
      <c r="CR480" s="1699"/>
      <c r="CS480" s="1699"/>
      <c r="CT480" s="1699"/>
      <c r="CU480" s="1699"/>
      <c r="CV480" s="1699"/>
      <c r="CW480" s="1699"/>
      <c r="CX480" s="1699"/>
      <c r="CY480" s="1699"/>
      <c r="CZ480" s="1699"/>
      <c r="DA480" s="1699"/>
      <c r="DB480" s="1699"/>
      <c r="DC480" s="1699"/>
      <c r="DD480" s="1699"/>
      <c r="DE480" s="1699"/>
      <c r="DF480" s="1699"/>
      <c r="DG480" s="1887"/>
      <c r="DH480" s="710"/>
      <c r="DI480" s="711"/>
      <c r="DJ480" s="711"/>
      <c r="DK480" s="711"/>
      <c r="DL480" s="711"/>
      <c r="DM480" s="711"/>
      <c r="DN480" s="712"/>
      <c r="DO480" s="206"/>
      <c r="DP480"/>
      <c r="DQ480"/>
      <c r="DR480"/>
      <c r="DS480"/>
      <c r="DT480"/>
      <c r="DU480"/>
      <c r="DY480" s="621"/>
      <c r="DZ480" s="621"/>
    </row>
    <row r="481" spans="1:132" s="2252" customFormat="1" ht="12" customHeight="1">
      <c r="A481" s="552" t="s">
        <v>460</v>
      </c>
      <c r="B481" s="228"/>
      <c r="C481" s="228"/>
      <c r="D481" s="580"/>
      <c r="E481" s="581"/>
      <c r="F481" s="581"/>
      <c r="G481" s="581"/>
      <c r="H481" s="585"/>
      <c r="I481" s="581"/>
      <c r="J481" s="581"/>
      <c r="K481" s="581"/>
      <c r="L481" s="581"/>
      <c r="M481" s="585"/>
      <c r="N481" s="581"/>
      <c r="O481" s="581"/>
      <c r="P481" s="581"/>
      <c r="Q481" s="581"/>
      <c r="R481" s="585"/>
      <c r="S481" s="581"/>
      <c r="T481" s="581"/>
      <c r="U481" s="581"/>
      <c r="V481" s="581"/>
      <c r="W481" s="585"/>
      <c r="X481" s="581"/>
      <c r="Y481" s="581"/>
      <c r="Z481" s="581"/>
      <c r="AA481" s="581"/>
      <c r="AB481" s="585"/>
      <c r="AC481" s="581"/>
      <c r="AD481" s="1699"/>
      <c r="AE481" s="1699"/>
      <c r="AF481" s="1699"/>
      <c r="AG481" s="585"/>
      <c r="AH481" s="581"/>
      <c r="AI481" s="1699"/>
      <c r="AJ481" s="1699"/>
      <c r="AK481" s="1699"/>
      <c r="AL481" s="585"/>
      <c r="AM481" s="581">
        <f t="shared" ref="AM481:CB481" si="1149">AM439/AM418/AM$5*1000000</f>
        <v>157.05382259182258</v>
      </c>
      <c r="AN481" s="1699">
        <f t="shared" si="1149"/>
        <v>136.85767597267599</v>
      </c>
      <c r="AO481" s="1699">
        <f t="shared" si="1149"/>
        <v>153.29896083792823</v>
      </c>
      <c r="AP481" s="1699">
        <f t="shared" si="1149"/>
        <v>128.95536710205187</v>
      </c>
      <c r="AQ481" s="585">
        <f t="shared" si="1149"/>
        <v>143.98983758152252</v>
      </c>
      <c r="AR481" s="1699">
        <f t="shared" si="1149"/>
        <v>158.20509761637112</v>
      </c>
      <c r="AS481" s="1699">
        <f t="shared" si="1149"/>
        <v>160.81075569524424</v>
      </c>
      <c r="AT481" s="1699">
        <f t="shared" si="1149"/>
        <v>149.46358741036582</v>
      </c>
      <c r="AU481" s="1699">
        <f t="shared" si="1149"/>
        <v>139.85005608233118</v>
      </c>
      <c r="AV481" s="585">
        <f t="shared" si="1149"/>
        <v>152.09572913711636</v>
      </c>
      <c r="AW481" s="1699">
        <f t="shared" si="1149"/>
        <v>163.15934621749406</v>
      </c>
      <c r="AX481" s="1699">
        <f t="shared" si="1149"/>
        <v>161.17826619125557</v>
      </c>
      <c r="AY481" s="1699">
        <f t="shared" si="1149"/>
        <v>148.41462037465308</v>
      </c>
      <c r="AZ481" s="1699">
        <f t="shared" si="1149"/>
        <v>139.74993192339113</v>
      </c>
      <c r="BA481" s="585">
        <f t="shared" si="1149"/>
        <v>152.99061168843411</v>
      </c>
      <c r="BB481" s="1699">
        <f t="shared" si="1149"/>
        <v>162.70386474501109</v>
      </c>
      <c r="BC481" s="1699">
        <f t="shared" si="1149"/>
        <v>150.91353999658878</v>
      </c>
      <c r="BD481" s="1699">
        <f t="shared" si="1149"/>
        <v>146.37230417911888</v>
      </c>
      <c r="BE481" s="1699">
        <f t="shared" si="1149"/>
        <v>146.31623614190687</v>
      </c>
      <c r="BF481" s="585">
        <f t="shared" si="1149"/>
        <v>151.51733061993136</v>
      </c>
      <c r="BG481" s="2819">
        <f t="shared" si="1149"/>
        <v>156.14430870681608</v>
      </c>
      <c r="BH481" s="1699">
        <f t="shared" si="1149"/>
        <v>148.35414269553974</v>
      </c>
      <c r="BI481" s="1699">
        <f t="shared" si="1149"/>
        <v>138.76232782243329</v>
      </c>
      <c r="BJ481" s="1887">
        <f t="shared" si="1149"/>
        <v>130.15026603032518</v>
      </c>
      <c r="BK481" s="585">
        <f t="shared" si="1149"/>
        <v>143.26896822838725</v>
      </c>
      <c r="BL481" s="1699">
        <f t="shared" si="1149"/>
        <v>145.08705651491363</v>
      </c>
      <c r="BM481" s="1699">
        <f t="shared" si="1149"/>
        <v>134.13136993258843</v>
      </c>
      <c r="BN481" s="1699">
        <f t="shared" si="1149"/>
        <v>129.01899890390942</v>
      </c>
      <c r="BO481" s="1887">
        <f t="shared" si="1149"/>
        <v>107.76796972049692</v>
      </c>
      <c r="BP481" s="585">
        <f t="shared" si="1149"/>
        <v>128.9433822955412</v>
      </c>
      <c r="BQ481" s="1699">
        <f t="shared" si="1149"/>
        <v>124.43191071428571</v>
      </c>
      <c r="BR481" s="1699">
        <f t="shared" si="1149"/>
        <v>124.90941164927511</v>
      </c>
      <c r="BS481" s="1699">
        <f t="shared" si="1149"/>
        <v>121.54759339605407</v>
      </c>
      <c r="BT481" s="1887">
        <f t="shared" si="1149"/>
        <v>111.53908876050421</v>
      </c>
      <c r="BU481" s="3356">
        <f t="shared" si="1149"/>
        <v>120.5742552952688</v>
      </c>
      <c r="BV481" s="1699">
        <f t="shared" ref="BV481:BZ481" si="1150">BV439/BV418/BV$5*1000000</f>
        <v>129.40918714285715</v>
      </c>
      <c r="BW481" s="1699">
        <f t="shared" si="1150"/>
        <v>126.15850576576786</v>
      </c>
      <c r="BX481" s="1699">
        <f t="shared" si="1150"/>
        <v>122.76306933001459</v>
      </c>
      <c r="BY481" s="1887">
        <f t="shared" si="1150"/>
        <v>112.65447964810926</v>
      </c>
      <c r="BZ481" s="3356">
        <f t="shared" si="1150"/>
        <v>122.70045307816277</v>
      </c>
      <c r="CA481" s="842">
        <f t="shared" si="1149"/>
        <v>123.92745760894441</v>
      </c>
      <c r="CB481" s="842">
        <f t="shared" si="1149"/>
        <v>123.58885799799101</v>
      </c>
      <c r="CC481" s="842">
        <f t="shared" ref="CC481:CG481" si="1151">CC439/CC418/CC$5*1000000</f>
        <v>117.73108472849719</v>
      </c>
      <c r="CD481" s="842">
        <f t="shared" si="1151"/>
        <v>111.84453049207234</v>
      </c>
      <c r="CE481" s="842">
        <f t="shared" si="1151"/>
        <v>114.08142110191375</v>
      </c>
      <c r="CF481" s="842">
        <f t="shared" si="1151"/>
        <v>116.04511769465162</v>
      </c>
      <c r="CG481" s="842">
        <f t="shared" si="1151"/>
        <v>118.69031051443106</v>
      </c>
      <c r="CH481" s="1661"/>
      <c r="CI481" s="1661"/>
      <c r="CJ481" s="1661"/>
      <c r="CK481" s="1661"/>
      <c r="CL481" s="1661"/>
      <c r="CM481" s="965"/>
      <c r="CN481" s="965">
        <f t="shared" si="1095"/>
        <v>490.9852418867489</v>
      </c>
      <c r="CO481" s="1661"/>
      <c r="CP481" s="994"/>
      <c r="CQ481" s="1699"/>
      <c r="CR481" s="1699"/>
      <c r="CS481" s="1699"/>
      <c r="CT481" s="1699"/>
      <c r="CU481" s="1699"/>
      <c r="CV481" s="1699"/>
      <c r="CW481" s="1699"/>
      <c r="CX481" s="1699"/>
      <c r="CY481" s="1699"/>
      <c r="CZ481" s="1699"/>
      <c r="DA481" s="1699"/>
      <c r="DB481" s="1699"/>
      <c r="DC481" s="1699"/>
      <c r="DD481" s="1699"/>
      <c r="DE481" s="1699"/>
      <c r="DF481" s="1699"/>
      <c r="DG481" s="1887"/>
      <c r="DH481" s="710"/>
      <c r="DI481" s="711"/>
      <c r="DJ481" s="711"/>
      <c r="DK481" s="711"/>
      <c r="DL481" s="711"/>
      <c r="DM481" s="711"/>
      <c r="DN481" s="712"/>
      <c r="DO481" s="206"/>
      <c r="DP481"/>
      <c r="DQ481"/>
      <c r="DR481"/>
      <c r="DS481"/>
      <c r="DT481"/>
      <c r="DU481"/>
      <c r="DY481" s="621"/>
      <c r="DZ481" s="621"/>
    </row>
    <row r="482" spans="1:132" s="2252" customFormat="1" ht="12" customHeight="1">
      <c r="A482" s="552" t="s">
        <v>459</v>
      </c>
      <c r="B482" s="228"/>
      <c r="C482" s="228"/>
      <c r="D482" s="580"/>
      <c r="E482" s="581"/>
      <c r="F482" s="581"/>
      <c r="G482" s="581"/>
      <c r="H482" s="585"/>
      <c r="I482" s="581"/>
      <c r="J482" s="581"/>
      <c r="K482" s="581"/>
      <c r="L482" s="581"/>
      <c r="M482" s="585"/>
      <c r="N482" s="581"/>
      <c r="O482" s="581"/>
      <c r="P482" s="581"/>
      <c r="Q482" s="581"/>
      <c r="R482" s="585"/>
      <c r="S482" s="581"/>
      <c r="T482" s="581"/>
      <c r="U482" s="581"/>
      <c r="V482" s="581"/>
      <c r="W482" s="585"/>
      <c r="X482" s="581"/>
      <c r="Y482" s="581"/>
      <c r="Z482" s="581"/>
      <c r="AA482" s="581"/>
      <c r="AB482" s="585"/>
      <c r="AC482" s="581"/>
      <c r="AD482" s="1699"/>
      <c r="AE482" s="1699"/>
      <c r="AF482" s="1699"/>
      <c r="AG482" s="585"/>
      <c r="AH482" s="581"/>
      <c r="AI482" s="1699"/>
      <c r="AJ482" s="1699"/>
      <c r="AK482" s="1699"/>
      <c r="AL482" s="585"/>
      <c r="AM482" s="581"/>
      <c r="AN482" s="1699"/>
      <c r="AO482" s="1699"/>
      <c r="AP482" s="1699">
        <f t="shared" ref="AP482:CB482" si="1152">AP440/AP419/AP$5*1000000</f>
        <v>40.272577984604247</v>
      </c>
      <c r="AQ482" s="585">
        <f t="shared" si="1152"/>
        <v>40.603585474888668</v>
      </c>
      <c r="AR482" s="1699">
        <f t="shared" si="1152"/>
        <v>330.80150192189052</v>
      </c>
      <c r="AS482" s="1699">
        <f t="shared" si="1152"/>
        <v>298.64307088962858</v>
      </c>
      <c r="AT482" s="1699">
        <f t="shared" si="1152"/>
        <v>303.24491591341899</v>
      </c>
      <c r="AU482" s="1699">
        <f t="shared" si="1152"/>
        <v>233.68474615241215</v>
      </c>
      <c r="AV482" s="585">
        <f t="shared" si="1152"/>
        <v>287.58759595807373</v>
      </c>
      <c r="AW482" s="1699">
        <f t="shared" si="1152"/>
        <v>276.37201176532653</v>
      </c>
      <c r="AX482" s="1699">
        <f t="shared" si="1152"/>
        <v>260.62296014526783</v>
      </c>
      <c r="AY482" s="1699">
        <f t="shared" si="1152"/>
        <v>243.45200730831166</v>
      </c>
      <c r="AZ482" s="1699">
        <f t="shared" si="1152"/>
        <v>220.72012489402931</v>
      </c>
      <c r="BA482" s="585">
        <f t="shared" si="1152"/>
        <v>249.96426967803694</v>
      </c>
      <c r="BB482" s="1699">
        <f t="shared" si="1152"/>
        <v>312.9687832613613</v>
      </c>
      <c r="BC482" s="1699">
        <f t="shared" si="1152"/>
        <v>301.70741083715791</v>
      </c>
      <c r="BD482" s="1699">
        <f t="shared" si="1152"/>
        <v>294.28874875948827</v>
      </c>
      <c r="BE482" s="1699">
        <f t="shared" si="1152"/>
        <v>296.67994266824019</v>
      </c>
      <c r="BF482" s="585">
        <f t="shared" si="1152"/>
        <v>301.34708079741074</v>
      </c>
      <c r="BG482" s="2819">
        <f t="shared" si="1152"/>
        <v>323.34655658372748</v>
      </c>
      <c r="BH482" s="1699">
        <f t="shared" si="1152"/>
        <v>314.87909322016668</v>
      </c>
      <c r="BI482" s="1699">
        <f t="shared" si="1152"/>
        <v>301.07493442051339</v>
      </c>
      <c r="BJ482" s="1887">
        <f t="shared" si="1152"/>
        <v>299.83206159643805</v>
      </c>
      <c r="BK482" s="585">
        <f t="shared" si="1152"/>
        <v>309.69488002501413</v>
      </c>
      <c r="BL482" s="1699">
        <f t="shared" si="1152"/>
        <v>323.65659001701567</v>
      </c>
      <c r="BM482" s="1699">
        <f t="shared" si="1152"/>
        <v>299.93225562839382</v>
      </c>
      <c r="BN482" s="1699">
        <f t="shared" si="1152"/>
        <v>294.37008824397179</v>
      </c>
      <c r="BO482" s="1887">
        <f t="shared" si="1152"/>
        <v>296.05377028404365</v>
      </c>
      <c r="BP482" s="585">
        <f t="shared" si="1152"/>
        <v>303.45786868390621</v>
      </c>
      <c r="BQ482" s="1699">
        <f t="shared" si="1152"/>
        <v>310.91326437727054</v>
      </c>
      <c r="BR482" s="1699">
        <f t="shared" si="1152"/>
        <v>303.26932608415643</v>
      </c>
      <c r="BS482" s="1699">
        <f t="shared" si="1152"/>
        <v>298.59722567926394</v>
      </c>
      <c r="BT482" s="1887">
        <f t="shared" si="1152"/>
        <v>303.44823686398627</v>
      </c>
      <c r="BU482" s="3356">
        <f t="shared" si="1152"/>
        <v>304.02160279888108</v>
      </c>
      <c r="BV482" s="1699">
        <f t="shared" ref="BV482:BZ482" si="1153">BV440/BV419/BV$5*1000000</f>
        <v>323.34979495236138</v>
      </c>
      <c r="BW482" s="1699">
        <f t="shared" si="1153"/>
        <v>307.81836597541877</v>
      </c>
      <c r="BX482" s="1699">
        <f t="shared" si="1153"/>
        <v>303.07618406445289</v>
      </c>
      <c r="BY482" s="1887">
        <f t="shared" si="1153"/>
        <v>307.99996041694607</v>
      </c>
      <c r="BZ482" s="3356">
        <f t="shared" si="1153"/>
        <v>310.49851545688864</v>
      </c>
      <c r="CA482" s="842">
        <f t="shared" si="1152"/>
        <v>313.60350061145755</v>
      </c>
      <c r="CB482" s="842">
        <f t="shared" si="1152"/>
        <v>312.74666044585246</v>
      </c>
      <c r="CC482" s="842">
        <f t="shared" ref="CC482:CG482" si="1154">CC440/CC419/CC$5*1000000</f>
        <v>297.92332558088458</v>
      </c>
      <c r="CD482" s="842">
        <f t="shared" si="1154"/>
        <v>283.02715930184036</v>
      </c>
      <c r="CE482" s="842">
        <f t="shared" si="1154"/>
        <v>288.68770248787723</v>
      </c>
      <c r="CF482" s="842">
        <f t="shared" si="1154"/>
        <v>293.65691703889797</v>
      </c>
      <c r="CG482" s="842">
        <f t="shared" si="1154"/>
        <v>300.35068566838737</v>
      </c>
      <c r="CH482" s="1661"/>
      <c r="CI482" s="1661"/>
      <c r="CJ482" s="1661"/>
      <c r="CK482" s="1661"/>
      <c r="CL482" s="1661"/>
      <c r="CM482" s="965"/>
      <c r="CN482" s="965">
        <f t="shared" si="1095"/>
        <v>1242.2443054091791</v>
      </c>
      <c r="CO482" s="1661"/>
      <c r="CP482" s="994"/>
      <c r="CQ482" s="1699"/>
      <c r="CR482" s="1699"/>
      <c r="CS482" s="1699"/>
      <c r="CT482" s="1699"/>
      <c r="CU482" s="1699"/>
      <c r="CV482" s="1699"/>
      <c r="CW482" s="1699"/>
      <c r="CX482" s="1699"/>
      <c r="CY482" s="1699"/>
      <c r="CZ482" s="1699"/>
      <c r="DA482" s="1699"/>
      <c r="DB482" s="1699"/>
      <c r="DC482" s="1699"/>
      <c r="DD482" s="1699"/>
      <c r="DE482" s="1699"/>
      <c r="DF482" s="1699"/>
      <c r="DG482" s="1887"/>
      <c r="DH482" s="710"/>
      <c r="DI482" s="711"/>
      <c r="DJ482" s="711"/>
      <c r="DK482" s="711"/>
      <c r="DL482" s="711"/>
      <c r="DM482" s="711"/>
      <c r="DN482" s="712"/>
      <c r="DO482" s="206"/>
      <c r="DP482"/>
      <c r="DQ482"/>
      <c r="DR482"/>
      <c r="DS482"/>
      <c r="DT482"/>
      <c r="DU482"/>
      <c r="DY482" s="621"/>
      <c r="DZ482" s="621"/>
    </row>
    <row r="483" spans="1:132" s="2252" customFormat="1" ht="12" customHeight="1">
      <c r="A483" s="2501" t="s">
        <v>1972</v>
      </c>
      <c r="B483" s="228"/>
      <c r="C483" s="228"/>
      <c r="D483" s="580"/>
      <c r="E483" s="581"/>
      <c r="F483" s="581"/>
      <c r="G483" s="581"/>
      <c r="H483" s="585"/>
      <c r="I483" s="581"/>
      <c r="J483" s="581"/>
      <c r="K483" s="581"/>
      <c r="L483" s="581"/>
      <c r="M483" s="585"/>
      <c r="N483" s="581"/>
      <c r="O483" s="581"/>
      <c r="P483" s="581"/>
      <c r="Q483" s="581"/>
      <c r="R483" s="585"/>
      <c r="S483" s="581"/>
      <c r="T483" s="581"/>
      <c r="U483" s="581"/>
      <c r="V483" s="581"/>
      <c r="W483" s="585"/>
      <c r="X483" s="581"/>
      <c r="Y483" s="581"/>
      <c r="Z483" s="581"/>
      <c r="AA483" s="581"/>
      <c r="AB483" s="585"/>
      <c r="AC483" s="581"/>
      <c r="AD483" s="1699"/>
      <c r="AE483" s="1699"/>
      <c r="AF483" s="1699"/>
      <c r="AG483" s="585"/>
      <c r="AH483" s="581"/>
      <c r="AI483" s="1699"/>
      <c r="AJ483" s="1699"/>
      <c r="AK483" s="1699"/>
      <c r="AL483" s="585"/>
      <c r="AM483" s="581"/>
      <c r="AN483" s="1699"/>
      <c r="AO483" s="1699"/>
      <c r="AP483" s="1699"/>
      <c r="AQ483" s="585"/>
      <c r="AR483" s="1699"/>
      <c r="AS483" s="1699"/>
      <c r="AT483" s="1699"/>
      <c r="AU483" s="1699"/>
      <c r="AV483" s="585"/>
      <c r="AW483" s="1699"/>
      <c r="AX483" s="1699"/>
      <c r="AY483" s="1699"/>
      <c r="AZ483" s="1699"/>
      <c r="BA483" s="585"/>
      <c r="BB483" s="1699"/>
      <c r="BC483" s="1699"/>
      <c r="BD483" s="1699"/>
      <c r="BE483" s="1699"/>
      <c r="BF483" s="585"/>
      <c r="BG483" s="2819"/>
      <c r="BH483" s="1699"/>
      <c r="BI483" s="1699"/>
      <c r="BJ483" s="1887"/>
      <c r="BK483" s="585"/>
      <c r="BL483" s="1699"/>
      <c r="BM483" s="1699"/>
      <c r="BN483" s="1699"/>
      <c r="BO483" s="1887"/>
      <c r="BP483" s="585"/>
      <c r="BQ483" s="1699"/>
      <c r="BR483" s="1699"/>
      <c r="BS483" s="1699"/>
      <c r="BT483" s="1887"/>
      <c r="BU483" s="3356"/>
      <c r="BV483" s="1699"/>
      <c r="BW483" s="1699"/>
      <c r="BX483" s="1699">
        <f t="shared" ref="BX483:CB483" si="1155">BX441/BX420/BX$5*1000000</f>
        <v>263.5657567912325</v>
      </c>
      <c r="BY483" s="1887">
        <f t="shared" si="1155"/>
        <v>249.61385720523674</v>
      </c>
      <c r="BZ483" s="3356"/>
      <c r="CA483" s="842">
        <f t="shared" si="1155"/>
        <v>262.27697806483098</v>
      </c>
      <c r="CB483" s="842">
        <f t="shared" si="1155"/>
        <v>261.56037429962652</v>
      </c>
      <c r="CC483" s="842"/>
      <c r="CD483" s="842"/>
      <c r="CE483" s="842"/>
      <c r="CF483" s="842"/>
      <c r="CG483" s="842"/>
      <c r="CH483" s="1661"/>
      <c r="CI483" s="1661"/>
      <c r="CJ483" s="1661"/>
      <c r="CK483" s="1661"/>
      <c r="CL483" s="1661"/>
      <c r="CM483" s="965"/>
      <c r="CN483" s="965"/>
      <c r="CO483" s="1661"/>
      <c r="CP483" s="994"/>
      <c r="CQ483" s="1699"/>
      <c r="CR483" s="1699"/>
      <c r="CS483" s="1699"/>
      <c r="CT483" s="1699"/>
      <c r="CU483" s="1699"/>
      <c r="CV483" s="1699"/>
      <c r="CW483" s="1699"/>
      <c r="CX483" s="1699"/>
      <c r="CY483" s="1699"/>
      <c r="CZ483" s="1699"/>
      <c r="DA483" s="1699"/>
      <c r="DB483" s="1699"/>
      <c r="DC483" s="1699"/>
      <c r="DD483" s="1699"/>
      <c r="DE483" s="1699"/>
      <c r="DF483" s="1699"/>
      <c r="DG483" s="1887"/>
      <c r="DH483" s="710"/>
      <c r="DI483" s="711"/>
      <c r="DJ483" s="711"/>
      <c r="DK483" s="711"/>
      <c r="DL483" s="711"/>
      <c r="DM483" s="711"/>
      <c r="DN483" s="712"/>
      <c r="DO483" s="206"/>
      <c r="DP483"/>
      <c r="DQ483"/>
      <c r="DR483"/>
      <c r="DS483"/>
      <c r="DT483"/>
      <c r="DU483"/>
      <c r="DY483" s="621"/>
      <c r="DZ483" s="621"/>
    </row>
    <row r="484" spans="1:132" s="2252" customFormat="1" ht="12" customHeight="1">
      <c r="A484" s="2501" t="s">
        <v>1973</v>
      </c>
      <c r="B484" s="228"/>
      <c r="C484" s="228"/>
      <c r="D484" s="580"/>
      <c r="E484" s="581"/>
      <c r="F484" s="581"/>
      <c r="G484" s="581"/>
      <c r="H484" s="585"/>
      <c r="I484" s="581"/>
      <c r="J484" s="581"/>
      <c r="K484" s="581"/>
      <c r="L484" s="581"/>
      <c r="M484" s="585"/>
      <c r="N484" s="581"/>
      <c r="O484" s="581"/>
      <c r="P484" s="581"/>
      <c r="Q484" s="581"/>
      <c r="R484" s="585"/>
      <c r="S484" s="581"/>
      <c r="T484" s="581"/>
      <c r="U484" s="581"/>
      <c r="V484" s="581"/>
      <c r="W484" s="585"/>
      <c r="X484" s="581"/>
      <c r="Y484" s="581"/>
      <c r="Z484" s="581"/>
      <c r="AA484" s="581"/>
      <c r="AB484" s="585"/>
      <c r="AC484" s="581"/>
      <c r="AD484" s="1699"/>
      <c r="AE484" s="1699"/>
      <c r="AF484" s="1699"/>
      <c r="AG484" s="585"/>
      <c r="AH484" s="581"/>
      <c r="AI484" s="1699"/>
      <c r="AJ484" s="1699"/>
      <c r="AK484" s="1699"/>
      <c r="AL484" s="585"/>
      <c r="AM484" s="581"/>
      <c r="AN484" s="1699"/>
      <c r="AO484" s="1699"/>
      <c r="AP484" s="1699"/>
      <c r="AQ484" s="585"/>
      <c r="AR484" s="1699"/>
      <c r="AS484" s="1699"/>
      <c r="AT484" s="1699"/>
      <c r="AU484" s="1699"/>
      <c r="AV484" s="585"/>
      <c r="AW484" s="1699"/>
      <c r="AX484" s="1699"/>
      <c r="AY484" s="1699"/>
      <c r="AZ484" s="1699"/>
      <c r="BA484" s="585"/>
      <c r="BB484" s="1699"/>
      <c r="BC484" s="1699"/>
      <c r="BD484" s="1699"/>
      <c r="BE484" s="1699"/>
      <c r="BF484" s="585"/>
      <c r="BG484" s="2819"/>
      <c r="BH484" s="1699"/>
      <c r="BI484" s="1699"/>
      <c r="BJ484" s="1887"/>
      <c r="BK484" s="585"/>
      <c r="BL484" s="1699"/>
      <c r="BM484" s="1699"/>
      <c r="BN484" s="1699"/>
      <c r="BO484" s="1887"/>
      <c r="BP484" s="585"/>
      <c r="BQ484" s="1699"/>
      <c r="BR484" s="1699"/>
      <c r="BS484" s="1699"/>
      <c r="BT484" s="1887"/>
      <c r="BU484" s="3356"/>
      <c r="BV484" s="1699"/>
      <c r="BW484" s="1699"/>
      <c r="BX484" s="1699">
        <f t="shared" ref="BX484:CB484" si="1156">BX442/BX421/BX$5*1000000</f>
        <v>203.24506484522377</v>
      </c>
      <c r="BY484" s="1887">
        <f t="shared" si="1156"/>
        <v>207.76392850698309</v>
      </c>
      <c r="BZ484" s="3356"/>
      <c r="CA484" s="842">
        <f t="shared" si="1156"/>
        <v>211.59572426955145</v>
      </c>
      <c r="CB484" s="842">
        <f t="shared" si="1156"/>
        <v>211.01759387537237</v>
      </c>
      <c r="CC484" s="842"/>
      <c r="CD484" s="842"/>
      <c r="CE484" s="842"/>
      <c r="CF484" s="842"/>
      <c r="CG484" s="842"/>
      <c r="CH484" s="1661"/>
      <c r="CI484" s="1661"/>
      <c r="CJ484" s="1661"/>
      <c r="CK484" s="1661"/>
      <c r="CL484" s="1661"/>
      <c r="CM484" s="965"/>
      <c r="CN484" s="965"/>
      <c r="CO484" s="1661"/>
      <c r="CP484" s="994"/>
      <c r="CQ484" s="1699"/>
      <c r="CR484" s="1699"/>
      <c r="CS484" s="1699"/>
      <c r="CT484" s="1699"/>
      <c r="CU484" s="1699"/>
      <c r="CV484" s="1699"/>
      <c r="CW484" s="1699"/>
      <c r="CX484" s="1699"/>
      <c r="CY484" s="1699"/>
      <c r="CZ484" s="1699"/>
      <c r="DA484" s="1699"/>
      <c r="DB484" s="1699"/>
      <c r="DC484" s="1699"/>
      <c r="DD484" s="1699"/>
      <c r="DE484" s="1699"/>
      <c r="DF484" s="1699"/>
      <c r="DG484" s="1887"/>
      <c r="DH484" s="710"/>
      <c r="DI484" s="711"/>
      <c r="DJ484" s="711"/>
      <c r="DK484" s="711"/>
      <c r="DL484" s="711"/>
      <c r="DM484" s="711"/>
      <c r="DN484" s="712"/>
      <c r="DO484" s="206"/>
      <c r="DP484"/>
      <c r="DQ484"/>
      <c r="DR484"/>
      <c r="DS484"/>
      <c r="DT484"/>
      <c r="DU484"/>
      <c r="DY484" s="621"/>
      <c r="DZ484" s="621"/>
    </row>
    <row r="485" spans="1:132" s="2252" customFormat="1" ht="12" customHeight="1">
      <c r="A485" s="2501" t="s">
        <v>1974</v>
      </c>
      <c r="B485" s="228"/>
      <c r="C485" s="228"/>
      <c r="D485" s="580"/>
      <c r="E485" s="581"/>
      <c r="F485" s="581"/>
      <c r="G485" s="581"/>
      <c r="H485" s="585"/>
      <c r="I485" s="581"/>
      <c r="J485" s="581"/>
      <c r="K485" s="581"/>
      <c r="L485" s="581"/>
      <c r="M485" s="585"/>
      <c r="N485" s="581"/>
      <c r="O485" s="581"/>
      <c r="P485" s="581"/>
      <c r="Q485" s="581"/>
      <c r="R485" s="585"/>
      <c r="S485" s="581"/>
      <c r="T485" s="581"/>
      <c r="U485" s="581"/>
      <c r="V485" s="581"/>
      <c r="W485" s="585"/>
      <c r="X485" s="581"/>
      <c r="Y485" s="581"/>
      <c r="Z485" s="581"/>
      <c r="AA485" s="581"/>
      <c r="AB485" s="585"/>
      <c r="AC485" s="581"/>
      <c r="AD485" s="1699"/>
      <c r="AE485" s="1699"/>
      <c r="AF485" s="1699"/>
      <c r="AG485" s="585"/>
      <c r="AH485" s="581"/>
      <c r="AI485" s="1699"/>
      <c r="AJ485" s="1699"/>
      <c r="AK485" s="1699"/>
      <c r="AL485" s="585"/>
      <c r="AM485" s="581"/>
      <c r="AN485" s="1699"/>
      <c r="AO485" s="1699"/>
      <c r="AP485" s="1699"/>
      <c r="AQ485" s="585"/>
      <c r="AR485" s="1699"/>
      <c r="AS485" s="1699"/>
      <c r="AT485" s="1699"/>
      <c r="AU485" s="1699"/>
      <c r="AV485" s="585"/>
      <c r="AW485" s="1699"/>
      <c r="AX485" s="1699"/>
      <c r="AY485" s="1699"/>
      <c r="AZ485" s="1699"/>
      <c r="BA485" s="585"/>
      <c r="BB485" s="1699"/>
      <c r="BC485" s="1699"/>
      <c r="BD485" s="1699"/>
      <c r="BE485" s="1699"/>
      <c r="BF485" s="585"/>
      <c r="BG485" s="2819"/>
      <c r="BH485" s="1699"/>
      <c r="BI485" s="1699"/>
      <c r="BJ485" s="1887"/>
      <c r="BK485" s="585"/>
      <c r="BL485" s="1699"/>
      <c r="BM485" s="1699"/>
      <c r="BN485" s="1699"/>
      <c r="BO485" s="1887"/>
      <c r="BP485" s="585"/>
      <c r="BQ485" s="1699"/>
      <c r="BR485" s="1699"/>
      <c r="BS485" s="1699"/>
      <c r="BT485" s="1887"/>
      <c r="BU485" s="3356"/>
      <c r="BV485" s="1699"/>
      <c r="BW485" s="1699"/>
      <c r="BX485" s="1699">
        <f t="shared" ref="BX485:CB485" si="1157">BX443/BX422/BX$5*1000000</f>
        <v>218.14050685940984</v>
      </c>
      <c r="BY485" s="1887">
        <f t="shared" si="1157"/>
        <v>206.37343909308407</v>
      </c>
      <c r="BZ485" s="3356"/>
      <c r="CA485" s="842">
        <f t="shared" si="1157"/>
        <v>213.59821897452699</v>
      </c>
      <c r="CB485" s="842">
        <f t="shared" si="1157"/>
        <v>213.01461728333976</v>
      </c>
      <c r="CC485" s="842"/>
      <c r="CD485" s="842"/>
      <c r="CE485" s="842"/>
      <c r="CF485" s="842"/>
      <c r="CG485" s="842"/>
      <c r="CH485" s="1661"/>
      <c r="CI485" s="1661"/>
      <c r="CJ485" s="1661"/>
      <c r="CK485" s="1661"/>
      <c r="CL485" s="1661"/>
      <c r="CM485" s="965"/>
      <c r="CN485" s="965"/>
      <c r="CO485" s="1661"/>
      <c r="CP485" s="994"/>
      <c r="CQ485" s="1699"/>
      <c r="CR485" s="1699"/>
      <c r="CS485" s="1699"/>
      <c r="CT485" s="1699"/>
      <c r="CU485" s="1699"/>
      <c r="CV485" s="1699"/>
      <c r="CW485" s="1699"/>
      <c r="CX485" s="1699"/>
      <c r="CY485" s="1699"/>
      <c r="CZ485" s="1699"/>
      <c r="DA485" s="1699"/>
      <c r="DB485" s="1699"/>
      <c r="DC485" s="1699"/>
      <c r="DD485" s="1699"/>
      <c r="DE485" s="1699"/>
      <c r="DF485" s="1699"/>
      <c r="DG485" s="1887"/>
      <c r="DH485" s="710"/>
      <c r="DI485" s="711"/>
      <c r="DJ485" s="711"/>
      <c r="DK485" s="711"/>
      <c r="DL485" s="711"/>
      <c r="DM485" s="711"/>
      <c r="DN485" s="712"/>
      <c r="DO485" s="206"/>
      <c r="DP485"/>
      <c r="DQ485"/>
      <c r="DR485"/>
      <c r="DS485"/>
      <c r="DT485"/>
      <c r="DU485"/>
      <c r="DY485" s="621"/>
      <c r="DZ485" s="621"/>
    </row>
    <row r="486" spans="1:132" s="2252" customFormat="1" ht="12" customHeight="1">
      <c r="A486" s="2501" t="s">
        <v>1975</v>
      </c>
      <c r="B486" s="228"/>
      <c r="C486" s="228"/>
      <c r="D486" s="580"/>
      <c r="E486" s="581"/>
      <c r="F486" s="581"/>
      <c r="G486" s="581"/>
      <c r="H486" s="585"/>
      <c r="I486" s="581"/>
      <c r="J486" s="581"/>
      <c r="K486" s="581"/>
      <c r="L486" s="581"/>
      <c r="M486" s="585"/>
      <c r="N486" s="581"/>
      <c r="O486" s="581"/>
      <c r="P486" s="581"/>
      <c r="Q486" s="581"/>
      <c r="R486" s="585"/>
      <c r="S486" s="581"/>
      <c r="T486" s="581"/>
      <c r="U486" s="581"/>
      <c r="V486" s="581"/>
      <c r="W486" s="585"/>
      <c r="X486" s="581"/>
      <c r="Y486" s="581"/>
      <c r="Z486" s="581"/>
      <c r="AA486" s="581"/>
      <c r="AB486" s="585"/>
      <c r="AC486" s="581"/>
      <c r="AD486" s="1699"/>
      <c r="AE486" s="1699"/>
      <c r="AF486" s="1699"/>
      <c r="AG486" s="585"/>
      <c r="AH486" s="581"/>
      <c r="AI486" s="1699"/>
      <c r="AJ486" s="1699"/>
      <c r="AK486" s="1699"/>
      <c r="AL486" s="585"/>
      <c r="AM486" s="581"/>
      <c r="AN486" s="1699"/>
      <c r="AO486" s="1699"/>
      <c r="AP486" s="1699"/>
      <c r="AQ486" s="585"/>
      <c r="AR486" s="1699"/>
      <c r="AS486" s="1699"/>
      <c r="AT486" s="1699"/>
      <c r="AU486" s="1699"/>
      <c r="AV486" s="585"/>
      <c r="AW486" s="1699"/>
      <c r="AX486" s="1699"/>
      <c r="AY486" s="1699"/>
      <c r="AZ486" s="1699"/>
      <c r="BA486" s="585"/>
      <c r="BB486" s="1699"/>
      <c r="BC486" s="1699"/>
      <c r="BD486" s="1699"/>
      <c r="BE486" s="1699"/>
      <c r="BF486" s="585"/>
      <c r="BG486" s="2819"/>
      <c r="BH486" s="1699"/>
      <c r="BI486" s="1699"/>
      <c r="BJ486" s="1887"/>
      <c r="BK486" s="585"/>
      <c r="BL486" s="1699"/>
      <c r="BM486" s="1699"/>
      <c r="BN486" s="1699"/>
      <c r="BO486" s="1887"/>
      <c r="BP486" s="585"/>
      <c r="BQ486" s="1699"/>
      <c r="BR486" s="1699"/>
      <c r="BS486" s="1699"/>
      <c r="BT486" s="1887"/>
      <c r="BU486" s="3356"/>
      <c r="BV486" s="1699"/>
      <c r="BW486" s="1699"/>
      <c r="BX486" s="1699">
        <f t="shared" ref="BX486:CB487" si="1158">BX444/BX423/BX$5*1000000</f>
        <v>178.03948271635207</v>
      </c>
      <c r="BY486" s="1887">
        <f t="shared" si="1158"/>
        <v>164.82952003634733</v>
      </c>
      <c r="BZ486" s="3356"/>
      <c r="CA486" s="842">
        <f t="shared" si="1158"/>
        <v>181.70512298122355</v>
      </c>
      <c r="CB486" s="842">
        <f t="shared" si="1158"/>
        <v>190.26909394140424</v>
      </c>
      <c r="CC486" s="842"/>
      <c r="CD486" s="842"/>
      <c r="CE486" s="842"/>
      <c r="CF486" s="842"/>
      <c r="CG486" s="842"/>
      <c r="CH486" s="1661"/>
      <c r="CI486" s="1661"/>
      <c r="CJ486" s="1661"/>
      <c r="CK486" s="1661"/>
      <c r="CL486" s="1661"/>
      <c r="CM486" s="965"/>
      <c r="CN486" s="965"/>
      <c r="CO486" s="1661"/>
      <c r="CP486" s="994"/>
      <c r="CQ486" s="1699"/>
      <c r="CR486" s="1699"/>
      <c r="CS486" s="1699"/>
      <c r="CT486" s="1699"/>
      <c r="CU486" s="1699"/>
      <c r="CV486" s="1699"/>
      <c r="CW486" s="1699"/>
      <c r="CX486" s="1699"/>
      <c r="CY486" s="1699"/>
      <c r="CZ486" s="1699"/>
      <c r="DA486" s="1699"/>
      <c r="DB486" s="1699"/>
      <c r="DC486" s="1699"/>
      <c r="DD486" s="1699"/>
      <c r="DE486" s="1699"/>
      <c r="DF486" s="1699"/>
      <c r="DG486" s="1887"/>
      <c r="DH486" s="710"/>
      <c r="DI486" s="711"/>
      <c r="DJ486" s="711"/>
      <c r="DK486" s="711"/>
      <c r="DL486" s="711"/>
      <c r="DM486" s="711"/>
      <c r="DN486" s="712"/>
      <c r="DO486" s="206"/>
      <c r="DP486"/>
      <c r="DQ486"/>
      <c r="DR486"/>
      <c r="DS486"/>
      <c r="DT486"/>
      <c r="DU486"/>
      <c r="DY486" s="621"/>
      <c r="DZ486" s="621"/>
    </row>
    <row r="487" spans="1:132" s="2252" customFormat="1" ht="12" customHeight="1">
      <c r="A487" s="2501" t="s">
        <v>1994</v>
      </c>
      <c r="B487" s="228"/>
      <c r="C487" s="228"/>
      <c r="D487" s="3853"/>
      <c r="E487" s="1387"/>
      <c r="F487" s="1387"/>
      <c r="G487" s="1387"/>
      <c r="H487" s="702"/>
      <c r="I487" s="703"/>
      <c r="J487" s="703"/>
      <c r="K487" s="703"/>
      <c r="L487" s="1387"/>
      <c r="M487" s="702"/>
      <c r="N487" s="703"/>
      <c r="O487" s="703"/>
      <c r="P487" s="703"/>
      <c r="Q487" s="703"/>
      <c r="R487" s="702"/>
      <c r="S487" s="703"/>
      <c r="T487" s="703"/>
      <c r="U487" s="703"/>
      <c r="V487" s="1387"/>
      <c r="W487" s="702"/>
      <c r="X487" s="703"/>
      <c r="Y487" s="703"/>
      <c r="Z487" s="703"/>
      <c r="AA487" s="1387"/>
      <c r="AB487" s="702"/>
      <c r="AC487" s="703"/>
      <c r="AD487" s="703"/>
      <c r="AE487" s="703"/>
      <c r="AF487" s="1387"/>
      <c r="AG487" s="702"/>
      <c r="AH487" s="703"/>
      <c r="AI487" s="703"/>
      <c r="AJ487" s="703"/>
      <c r="AK487" s="1387"/>
      <c r="AL487" s="3849"/>
      <c r="AM487" s="722"/>
      <c r="AN487" s="722"/>
      <c r="AO487" s="722"/>
      <c r="AP487" s="722"/>
      <c r="AQ487" s="1076"/>
      <c r="AR487" s="722"/>
      <c r="AS487" s="722"/>
      <c r="AT487" s="722"/>
      <c r="AU487" s="722"/>
      <c r="AV487" s="1076"/>
      <c r="AW487" s="705"/>
      <c r="AX487" s="705"/>
      <c r="AY487" s="705"/>
      <c r="AZ487" s="722"/>
      <c r="BA487" s="1076"/>
      <c r="BB487" s="2744"/>
      <c r="BC487" s="2744"/>
      <c r="BD487" s="2744"/>
      <c r="BE487" s="2744"/>
      <c r="BF487" s="1076"/>
      <c r="BG487" s="3127"/>
      <c r="BH487" s="3174"/>
      <c r="BI487" s="3174"/>
      <c r="BJ487" s="3174"/>
      <c r="BK487" s="1076"/>
      <c r="BL487" s="3174"/>
      <c r="BM487" s="3174"/>
      <c r="BN487" s="3174"/>
      <c r="BO487" s="3174"/>
      <c r="BP487" s="1076"/>
      <c r="BQ487" s="3174"/>
      <c r="BR487" s="3174"/>
      <c r="BS487" s="3172"/>
      <c r="BT487" s="3173"/>
      <c r="BU487" s="3850"/>
      <c r="BV487" s="3172"/>
      <c r="BW487" s="3172"/>
      <c r="BX487" s="1699">
        <f t="shared" si="1158"/>
        <v>331.11493606805328</v>
      </c>
      <c r="BY487" s="1887">
        <f t="shared" si="1158"/>
        <v>326.6286487710006</v>
      </c>
      <c r="BZ487" s="3356"/>
      <c r="CA487" s="842">
        <f t="shared" si="1158"/>
        <v>326.47434368605445</v>
      </c>
      <c r="CB487" s="842">
        <f t="shared" si="1158"/>
        <v>326.25521022616971</v>
      </c>
      <c r="CC487" s="3859"/>
      <c r="CD487" s="3859"/>
      <c r="CE487" s="3859"/>
      <c r="CF487" s="3859"/>
      <c r="CG487" s="3859"/>
      <c r="CH487" s="709"/>
      <c r="CI487" s="709"/>
      <c r="CJ487" s="709"/>
      <c r="CK487" s="709"/>
      <c r="CL487" s="709"/>
      <c r="CM487" s="709"/>
      <c r="CN487" s="709"/>
      <c r="CO487" s="709"/>
      <c r="CP487" s="994"/>
      <c r="CQ487" s="720"/>
      <c r="CR487" s="720"/>
      <c r="CS487" s="720"/>
      <c r="CT487" s="720"/>
      <c r="CU487" s="720"/>
      <c r="CV487" s="720"/>
      <c r="CW487" s="720"/>
      <c r="CX487" s="720"/>
      <c r="CY487" s="720"/>
      <c r="CZ487" s="720"/>
      <c r="DA487" s="720"/>
      <c r="DB487" s="720"/>
      <c r="DC487" s="720"/>
      <c r="DD487" s="720"/>
      <c r="DE487" s="720"/>
      <c r="DF487" s="720"/>
      <c r="DG487" s="1874"/>
      <c r="DH487" s="223"/>
      <c r="DI487" s="595"/>
      <c r="DJ487" s="595"/>
      <c r="DK487" s="595"/>
      <c r="DL487" s="595"/>
      <c r="DM487" s="595"/>
      <c r="DN487" s="514"/>
      <c r="DO487" s="77"/>
      <c r="DP487"/>
      <c r="DQ487"/>
      <c r="DR487"/>
      <c r="DS487"/>
      <c r="DT487"/>
      <c r="DU487"/>
      <c r="DY487" s="231"/>
      <c r="DZ487" s="231"/>
    </row>
    <row r="488" spans="1:132" ht="4.5" customHeight="1">
      <c r="A488" s="962"/>
      <c r="B488" s="293"/>
      <c r="C488" s="293"/>
      <c r="D488" s="294" t="s">
        <v>343</v>
      </c>
      <c r="E488" s="295" t="s">
        <v>343</v>
      </c>
      <c r="F488" s="295" t="s">
        <v>343</v>
      </c>
      <c r="G488" s="295" t="s">
        <v>343</v>
      </c>
      <c r="H488" s="296" t="s">
        <v>343</v>
      </c>
      <c r="I488" s="295" t="s">
        <v>343</v>
      </c>
      <c r="J488" s="295" t="s">
        <v>343</v>
      </c>
      <c r="K488" s="295" t="s">
        <v>343</v>
      </c>
      <c r="L488" s="295" t="s">
        <v>343</v>
      </c>
      <c r="M488" s="296" t="s">
        <v>343</v>
      </c>
      <c r="N488" s="295" t="s">
        <v>343</v>
      </c>
      <c r="O488" s="295" t="s">
        <v>343</v>
      </c>
      <c r="P488" s="295" t="s">
        <v>343</v>
      </c>
      <c r="Q488" s="295" t="s">
        <v>343</v>
      </c>
      <c r="R488" s="296" t="s">
        <v>343</v>
      </c>
      <c r="S488" s="295" t="s">
        <v>343</v>
      </c>
      <c r="T488" s="295" t="s">
        <v>343</v>
      </c>
      <c r="U488" s="295" t="s">
        <v>343</v>
      </c>
      <c r="V488" s="295" t="s">
        <v>343</v>
      </c>
      <c r="W488" s="296" t="s">
        <v>343</v>
      </c>
      <c r="X488" s="295" t="s">
        <v>343</v>
      </c>
      <c r="Y488" s="295" t="s">
        <v>343</v>
      </c>
      <c r="Z488" s="295" t="s">
        <v>343</v>
      </c>
      <c r="AA488" s="295" t="s">
        <v>343</v>
      </c>
      <c r="AB488" s="296" t="s">
        <v>343</v>
      </c>
      <c r="AC488" s="295" t="s">
        <v>343</v>
      </c>
      <c r="AD488" s="295" t="s">
        <v>343</v>
      </c>
      <c r="AE488" s="295" t="s">
        <v>343</v>
      </c>
      <c r="AF488" s="295" t="s">
        <v>343</v>
      </c>
      <c r="AG488" s="296" t="s">
        <v>343</v>
      </c>
      <c r="AH488" s="295" t="s">
        <v>343</v>
      </c>
      <c r="AI488" s="295" t="s">
        <v>343</v>
      </c>
      <c r="AJ488" s="295" t="s">
        <v>343</v>
      </c>
      <c r="AK488" s="295" t="s">
        <v>343</v>
      </c>
      <c r="AL488" s="296" t="s">
        <v>343</v>
      </c>
      <c r="AM488" s="295" t="s">
        <v>343</v>
      </c>
      <c r="AN488" s="295" t="s">
        <v>343</v>
      </c>
      <c r="AO488" s="295" t="s">
        <v>343</v>
      </c>
      <c r="AP488" s="295" t="s">
        <v>343</v>
      </c>
      <c r="AQ488" s="296" t="s">
        <v>343</v>
      </c>
      <c r="AR488" s="295" t="s">
        <v>343</v>
      </c>
      <c r="AS488" s="295" t="s">
        <v>343</v>
      </c>
      <c r="AT488" s="295" t="s">
        <v>343</v>
      </c>
      <c r="AU488" s="295" t="s">
        <v>343</v>
      </c>
      <c r="AV488" s="296" t="s">
        <v>343</v>
      </c>
      <c r="AW488" s="295" t="s">
        <v>343</v>
      </c>
      <c r="AX488" s="295" t="s">
        <v>343</v>
      </c>
      <c r="AY488" s="295" t="s">
        <v>343</v>
      </c>
      <c r="AZ488" s="295" t="s">
        <v>343</v>
      </c>
      <c r="BA488" s="296" t="s">
        <v>343</v>
      </c>
      <c r="BB488" s="295" t="s">
        <v>343</v>
      </c>
      <c r="BC488" s="295" t="s">
        <v>343</v>
      </c>
      <c r="BD488" s="295" t="s">
        <v>343</v>
      </c>
      <c r="BE488" s="295" t="s">
        <v>343</v>
      </c>
      <c r="BF488" s="296" t="s">
        <v>343</v>
      </c>
      <c r="BG488" s="294" t="s">
        <v>343</v>
      </c>
      <c r="BH488" s="295" t="s">
        <v>343</v>
      </c>
      <c r="BI488" s="295" t="s">
        <v>343</v>
      </c>
      <c r="BJ488" s="297" t="s">
        <v>343</v>
      </c>
      <c r="BK488" s="296" t="s">
        <v>343</v>
      </c>
      <c r="BL488" s="295" t="s">
        <v>343</v>
      </c>
      <c r="BM488" s="295" t="s">
        <v>343</v>
      </c>
      <c r="BN488" s="295" t="s">
        <v>343</v>
      </c>
      <c r="BO488" s="297" t="s">
        <v>343</v>
      </c>
      <c r="BP488" s="296" t="s">
        <v>343</v>
      </c>
      <c r="BQ488" s="295" t="s">
        <v>343</v>
      </c>
      <c r="BR488" s="295" t="s">
        <v>343</v>
      </c>
      <c r="BS488" s="295" t="s">
        <v>343</v>
      </c>
      <c r="BT488" s="297" t="s">
        <v>343</v>
      </c>
      <c r="BU488" s="3314" t="s">
        <v>343</v>
      </c>
      <c r="BV488" s="295" t="s">
        <v>343</v>
      </c>
      <c r="BW488" s="295" t="s">
        <v>343</v>
      </c>
      <c r="BX488" s="295" t="s">
        <v>343</v>
      </c>
      <c r="BY488" s="297" t="s">
        <v>343</v>
      </c>
      <c r="BZ488" s="3314" t="s">
        <v>343</v>
      </c>
      <c r="CA488" s="297" t="s">
        <v>343</v>
      </c>
      <c r="CB488" s="297" t="s">
        <v>343</v>
      </c>
      <c r="CC488" s="297" t="s">
        <v>343</v>
      </c>
      <c r="CD488" s="297" t="s">
        <v>343</v>
      </c>
      <c r="CE488" s="297" t="s">
        <v>343</v>
      </c>
      <c r="CF488" s="297" t="s">
        <v>343</v>
      </c>
      <c r="CG488" s="297" t="s">
        <v>343</v>
      </c>
      <c r="CH488" s="295"/>
      <c r="CI488" s="295"/>
      <c r="CJ488" s="295"/>
      <c r="CK488" s="295"/>
      <c r="CL488" s="295"/>
      <c r="CM488" s="965"/>
      <c r="CN488" s="965">
        <f t="shared" si="1095"/>
        <v>0</v>
      </c>
      <c r="CO488" s="295"/>
      <c r="CP488" s="1784"/>
      <c r="CQ488" s="295" t="str">
        <f t="shared" si="1111"/>
        <v xml:space="preserve">                </v>
      </c>
      <c r="CR488" s="295" t="str">
        <f t="shared" si="1112"/>
        <v xml:space="preserve">                </v>
      </c>
      <c r="CS488" s="295" t="str">
        <f t="shared" si="1113"/>
        <v xml:space="preserve">                </v>
      </c>
      <c r="CT488" s="295" t="str">
        <f t="shared" si="1114"/>
        <v xml:space="preserve">                </v>
      </c>
      <c r="CU488" s="295" t="str">
        <f t="shared" si="1115"/>
        <v xml:space="preserve">                </v>
      </c>
      <c r="CV488" s="295" t="str">
        <f t="shared" si="1116"/>
        <v xml:space="preserve">                </v>
      </c>
      <c r="CW488" s="295" t="str">
        <f t="shared" si="1117"/>
        <v xml:space="preserve">                </v>
      </c>
      <c r="CX488" s="295" t="str">
        <f t="shared" si="1096"/>
        <v xml:space="preserve">                </v>
      </c>
      <c r="CY488" s="295" t="str">
        <f t="shared" si="1097"/>
        <v xml:space="preserve">                </v>
      </c>
      <c r="CZ488" s="295" t="str">
        <f t="shared" si="1098"/>
        <v xml:space="preserve">                </v>
      </c>
      <c r="DA488" s="295" t="str">
        <f t="shared" si="1099"/>
        <v xml:space="preserve">                </v>
      </c>
      <c r="DB488" s="295" t="str">
        <f t="shared" si="1100"/>
        <v xml:space="preserve">                </v>
      </c>
      <c r="DC488" s="295" t="str">
        <f t="shared" si="1101"/>
        <v xml:space="preserve">                </v>
      </c>
      <c r="DD488" s="295" t="str">
        <f t="shared" si="1102"/>
        <v xml:space="preserve">                </v>
      </c>
      <c r="DE488" s="295" t="str">
        <f t="shared" si="1103"/>
        <v xml:space="preserve">                </v>
      </c>
      <c r="DF488" s="295" t="str">
        <f t="shared" si="1104"/>
        <v xml:space="preserve">                </v>
      </c>
      <c r="DG488" s="297" t="str">
        <f t="shared" si="1105"/>
        <v xml:space="preserve">                </v>
      </c>
      <c r="DH488" s="298"/>
      <c r="DI488" s="299"/>
      <c r="DJ488" s="299"/>
      <c r="DK488" s="299"/>
      <c r="DL488" s="299"/>
      <c r="DM488" s="299"/>
      <c r="DN488" s="299"/>
      <c r="DO488" s="300"/>
      <c r="DY488" s="295"/>
      <c r="DZ488" s="295"/>
    </row>
    <row r="489" spans="1:132" ht="12" customHeight="1">
      <c r="A489" s="646" t="s">
        <v>1195</v>
      </c>
      <c r="B489" s="646"/>
      <c r="C489" s="646"/>
      <c r="D489" s="763">
        <f t="shared" ref="D489:N489" si="1159">D447/D426/D$5*1000000</f>
        <v>264.06637982225914</v>
      </c>
      <c r="E489" s="356">
        <f t="shared" si="1159"/>
        <v>259.7676380448047</v>
      </c>
      <c r="F489" s="356">
        <f t="shared" si="1159"/>
        <v>267.23494748371559</v>
      </c>
      <c r="G489" s="764">
        <f t="shared" si="1159"/>
        <v>248.87625195897195</v>
      </c>
      <c r="H489" s="765">
        <f t="shared" si="1159"/>
        <v>259.91170792845082</v>
      </c>
      <c r="I489" s="763">
        <f t="shared" si="1159"/>
        <v>277.6084609728577</v>
      </c>
      <c r="J489" s="356">
        <f t="shared" si="1159"/>
        <v>270.99374790146805</v>
      </c>
      <c r="K489" s="356">
        <f t="shared" si="1159"/>
        <v>251.84246954192807</v>
      </c>
      <c r="L489" s="764">
        <f t="shared" si="1159"/>
        <v>261.4170958258108</v>
      </c>
      <c r="M489" s="765">
        <f t="shared" si="1159"/>
        <v>265.39124707843524</v>
      </c>
      <c r="N489" s="763">
        <f t="shared" si="1159"/>
        <v>316.87256764536556</v>
      </c>
      <c r="O489" s="356">
        <f t="shared" ref="O489:AK489" si="1160">O447/O426/O$5*1000000</f>
        <v>291.36613145058743</v>
      </c>
      <c r="P489" s="356">
        <f t="shared" si="1160"/>
        <v>286.92437927085678</v>
      </c>
      <c r="Q489" s="764">
        <f t="shared" si="1160"/>
        <v>265.41478655102503</v>
      </c>
      <c r="R489" s="765">
        <f t="shared" si="1160"/>
        <v>290.50162011834925</v>
      </c>
      <c r="S489" s="763">
        <f t="shared" si="1160"/>
        <v>283.5873364037613</v>
      </c>
      <c r="T489" s="356">
        <f t="shared" si="1160"/>
        <v>282.57726145400369</v>
      </c>
      <c r="U489" s="356">
        <f t="shared" si="1160"/>
        <v>275.05198294473229</v>
      </c>
      <c r="V489" s="764">
        <f t="shared" si="1160"/>
        <v>240.56694142381431</v>
      </c>
      <c r="W489" s="765">
        <f t="shared" si="1160"/>
        <v>270.35564641289409</v>
      </c>
      <c r="X489" s="763">
        <f t="shared" si="1160"/>
        <v>252.55136245191414</v>
      </c>
      <c r="Y489" s="356">
        <f t="shared" si="1160"/>
        <v>246.54772558142855</v>
      </c>
      <c r="Z489" s="356">
        <f t="shared" si="1160"/>
        <v>233.26687838645049</v>
      </c>
      <c r="AA489" s="764">
        <f t="shared" si="1160"/>
        <v>233.10299641085814</v>
      </c>
      <c r="AB489" s="765">
        <f t="shared" si="1160"/>
        <v>241.33985348542146</v>
      </c>
      <c r="AC489" s="763">
        <f t="shared" si="1160"/>
        <v>259.68555253253692</v>
      </c>
      <c r="AD489" s="356">
        <f t="shared" si="1160"/>
        <v>253.44924176784755</v>
      </c>
      <c r="AE489" s="356">
        <f t="shared" si="1160"/>
        <v>241.37898886439646</v>
      </c>
      <c r="AF489" s="764">
        <f t="shared" si="1160"/>
        <v>220.07271315328157</v>
      </c>
      <c r="AG489" s="765">
        <f t="shared" si="1160"/>
        <v>243.60546719372573</v>
      </c>
      <c r="AH489" s="763">
        <f t="shared" si="1160"/>
        <v>242.9567581145445</v>
      </c>
      <c r="AI489" s="356">
        <f t="shared" si="1160"/>
        <v>239.96423519724831</v>
      </c>
      <c r="AJ489" s="356">
        <f t="shared" si="1160"/>
        <v>245.95685678984555</v>
      </c>
      <c r="AK489" s="764">
        <f t="shared" si="1160"/>
        <v>223.8191287131163</v>
      </c>
      <c r="AL489" s="765">
        <f t="shared" ref="AL489:AQ489" si="1161">AL447/AL426/AL$5*1000000</f>
        <v>238.14451807342061</v>
      </c>
      <c r="AM489" s="763">
        <f t="shared" si="1161"/>
        <v>158.96825264551515</v>
      </c>
      <c r="AN489" s="356">
        <f t="shared" si="1161"/>
        <v>156.04966490670628</v>
      </c>
      <c r="AO489" s="356">
        <f t="shared" si="1161"/>
        <v>160.98263251090151</v>
      </c>
      <c r="AP489" s="356">
        <f t="shared" si="1161"/>
        <v>142.55405447630048</v>
      </c>
      <c r="AQ489" s="765">
        <f t="shared" si="1161"/>
        <v>182.05813709709497</v>
      </c>
      <c r="AR489" s="356">
        <f t="shared" ref="AR489:BG489" si="1162">AR447/AR426/AR$5*1000000</f>
        <v>157.62916329454137</v>
      </c>
      <c r="AS489" s="356">
        <f t="shared" si="1162"/>
        <v>154.58607597599914</v>
      </c>
      <c r="AT489" s="356">
        <f t="shared" si="1162"/>
        <v>153.72900466563928</v>
      </c>
      <c r="AU489" s="764">
        <f t="shared" si="1162"/>
        <v>210.62768952349961</v>
      </c>
      <c r="AV489" s="764">
        <f t="shared" si="1162"/>
        <v>227.74503840383858</v>
      </c>
      <c r="AW489" s="356">
        <f t="shared" si="1162"/>
        <v>229.31630651713036</v>
      </c>
      <c r="AX489" s="356">
        <f t="shared" si="1162"/>
        <v>223.2709770134029</v>
      </c>
      <c r="AY489" s="356">
        <f t="shared" si="1162"/>
        <v>215.63217499108194</v>
      </c>
      <c r="AZ489" s="764">
        <f t="shared" si="1162"/>
        <v>198.31696822499609</v>
      </c>
      <c r="BA489" s="764">
        <f t="shared" si="1162"/>
        <v>216.54527397474345</v>
      </c>
      <c r="BB489" s="356">
        <f t="shared" si="1162"/>
        <v>218.17690342566112</v>
      </c>
      <c r="BC489" s="356">
        <f t="shared" si="1162"/>
        <v>215.86160603312851</v>
      </c>
      <c r="BD489" s="356">
        <f t="shared" si="1162"/>
        <v>215.55393986189517</v>
      </c>
      <c r="BE489" s="764">
        <f t="shared" si="1162"/>
        <v>206.46851095840807</v>
      </c>
      <c r="BF489" s="764">
        <f t="shared" si="1162"/>
        <v>213.99239970955574</v>
      </c>
      <c r="BG489" s="763">
        <f t="shared" si="1162"/>
        <v>223.4980798612593</v>
      </c>
      <c r="BH489" s="356">
        <f t="shared" ref="BH489:BP489" si="1163">BH447/BH426/BH$5*1000000</f>
        <v>223.50406220507622</v>
      </c>
      <c r="BI489" s="356">
        <f t="shared" si="1163"/>
        <v>217.18089069356114</v>
      </c>
      <c r="BJ489" s="764">
        <f t="shared" si="1163"/>
        <v>206.3506212911544</v>
      </c>
      <c r="BK489" s="764">
        <f t="shared" si="1163"/>
        <v>217.58793855459695</v>
      </c>
      <c r="BL489" s="356">
        <f t="shared" si="1163"/>
        <v>217.47408869918863</v>
      </c>
      <c r="BM489" s="356">
        <f t="shared" si="1163"/>
        <v>213.76398501490249</v>
      </c>
      <c r="BN489" s="356">
        <f t="shared" si="1163"/>
        <v>214.22495162075626</v>
      </c>
      <c r="BO489" s="764">
        <f t="shared" si="1163"/>
        <v>203.40531110247167</v>
      </c>
      <c r="BP489" s="764">
        <f t="shared" si="1163"/>
        <v>212.23811647319798</v>
      </c>
      <c r="BQ489" s="356">
        <f t="shared" ref="BQ489:BZ489" si="1164">BQ447/BQ426/BQ$5*1000000</f>
        <v>220.58220748904591</v>
      </c>
      <c r="BR489" s="356">
        <f t="shared" si="1164"/>
        <v>216.42528606858352</v>
      </c>
      <c r="BS489" s="356">
        <f t="shared" si="1164"/>
        <v>210.83572977208121</v>
      </c>
      <c r="BT489" s="764">
        <f t="shared" si="1164"/>
        <v>201.47272913546621</v>
      </c>
      <c r="BU489" s="3400">
        <f t="shared" si="1164"/>
        <v>212.24968886634448</v>
      </c>
      <c r="BV489" s="356">
        <f t="shared" si="1164"/>
        <v>216.13338117301564</v>
      </c>
      <c r="BW489" s="356">
        <f t="shared" si="1164"/>
        <v>214.99638373217974</v>
      </c>
      <c r="BX489" s="356">
        <f t="shared" si="1164"/>
        <v>219.60255429720357</v>
      </c>
      <c r="BY489" s="764">
        <f t="shared" si="1164"/>
        <v>212.54686084269275</v>
      </c>
      <c r="BZ489" s="3400">
        <f t="shared" si="1164"/>
        <v>177.65206733785882</v>
      </c>
      <c r="CA489" s="764">
        <f t="shared" ref="CA489:CG489" si="1165">CA447/CA426/CA$5*1000000</f>
        <v>221.0584669111297</v>
      </c>
      <c r="CB489" s="764">
        <f t="shared" si="1165"/>
        <v>220.95830981512862</v>
      </c>
      <c r="CC489" s="764">
        <f t="shared" si="1165"/>
        <v>201.61399743902942</v>
      </c>
      <c r="CD489" s="764">
        <f t="shared" si="1165"/>
        <v>191.53329756707791</v>
      </c>
      <c r="CE489" s="764">
        <f t="shared" si="1165"/>
        <v>195.3639635184195</v>
      </c>
      <c r="CF489" s="764">
        <f t="shared" si="1165"/>
        <v>198.72678584127758</v>
      </c>
      <c r="CG489" s="764">
        <f t="shared" si="1165"/>
        <v>203.25666764456369</v>
      </c>
      <c r="CH489" s="356"/>
      <c r="CI489" s="356"/>
      <c r="CJ489" s="356"/>
      <c r="CK489" s="356"/>
      <c r="CL489" s="356"/>
      <c r="CM489" s="965"/>
      <c r="CN489" s="965">
        <f t="shared" si="1095"/>
        <v>863.27918004509161</v>
      </c>
      <c r="CO489" s="356"/>
      <c r="CP489" s="1888" t="str">
        <f>A489</f>
        <v>Total Casino Win/Day/Position</v>
      </c>
      <c r="CQ489" s="356">
        <f t="shared" si="1111"/>
        <v>259.91170792845082</v>
      </c>
      <c r="CR489" s="356">
        <f t="shared" si="1112"/>
        <v>265.39124707843524</v>
      </c>
      <c r="CS489" s="356">
        <f t="shared" si="1113"/>
        <v>290.50162011834925</v>
      </c>
      <c r="CT489" s="356">
        <f t="shared" si="1114"/>
        <v>270.35564641289409</v>
      </c>
      <c r="CU489" s="356">
        <f t="shared" si="1115"/>
        <v>241.33985348542146</v>
      </c>
      <c r="CV489" s="356">
        <f t="shared" si="1116"/>
        <v>243.60546719372573</v>
      </c>
      <c r="CW489" s="356">
        <f t="shared" si="1117"/>
        <v>238.14451807342061</v>
      </c>
      <c r="CX489" s="356">
        <f t="shared" si="1096"/>
        <v>182.05813709709497</v>
      </c>
      <c r="CY489" s="356">
        <f t="shared" si="1097"/>
        <v>227.74503840383858</v>
      </c>
      <c r="CZ489" s="356">
        <f t="shared" si="1098"/>
        <v>216.54527397474345</v>
      </c>
      <c r="DA489" s="356">
        <f t="shared" si="1099"/>
        <v>213.99239970955574</v>
      </c>
      <c r="DB489" s="356">
        <f t="shared" si="1100"/>
        <v>217.58793855459695</v>
      </c>
      <c r="DC489" s="356">
        <f t="shared" si="1101"/>
        <v>212.23811647319798</v>
      </c>
      <c r="DD489" s="356">
        <f t="shared" si="1102"/>
        <v>212.24968886634448</v>
      </c>
      <c r="DE489" s="356">
        <f t="shared" si="1103"/>
        <v>177.65206733785882</v>
      </c>
      <c r="DF489" s="356">
        <f t="shared" si="1104"/>
        <v>221.0584669111297</v>
      </c>
      <c r="DG489" s="764">
        <f t="shared" si="1105"/>
        <v>220.95830981512862</v>
      </c>
      <c r="DH489" s="1664"/>
      <c r="DI489" s="1665"/>
      <c r="DJ489" s="1665"/>
      <c r="DK489" s="1665"/>
      <c r="DL489" s="1665"/>
      <c r="DM489" s="1665"/>
      <c r="DN489" s="1666"/>
      <c r="DO489" s="1667"/>
      <c r="DY489" s="356"/>
      <c r="DZ489" s="356"/>
    </row>
    <row r="490" spans="1:132" ht="12" customHeight="1">
      <c r="A490" s="257" t="s">
        <v>1249</v>
      </c>
      <c r="B490" s="545"/>
      <c r="C490" s="545"/>
      <c r="D490" s="358"/>
      <c r="E490" s="502"/>
      <c r="F490" s="502"/>
      <c r="G490" s="502"/>
      <c r="H490" s="503"/>
      <c r="I490" s="502">
        <f>+I489/D489-1</f>
        <v>5.1282867435504809E-2</v>
      </c>
      <c r="J490" s="502">
        <f>+J489/E489-1</f>
        <v>4.3215967705442448E-2</v>
      </c>
      <c r="K490" s="502">
        <f t="shared" ref="K490:Q490" si="1166">+K489/F489-1</f>
        <v>-5.7599045658972003E-2</v>
      </c>
      <c r="L490" s="502">
        <f t="shared" si="1166"/>
        <v>5.0389877572192932E-2</v>
      </c>
      <c r="M490" s="503">
        <f t="shared" si="1166"/>
        <v>2.1082309810733335E-2</v>
      </c>
      <c r="N490" s="502">
        <f t="shared" si="1166"/>
        <v>0.14143699559771994</v>
      </c>
      <c r="O490" s="502">
        <f t="shared" si="1166"/>
        <v>7.5176581404109211E-2</v>
      </c>
      <c r="P490" s="502">
        <f t="shared" si="1166"/>
        <v>0.13930100746207974</v>
      </c>
      <c r="Q490" s="502">
        <f t="shared" si="1166"/>
        <v>1.5292384427214367E-2</v>
      </c>
      <c r="R490" s="503">
        <f t="shared" ref="R490:Y490" si="1167">+R489/M489-1</f>
        <v>9.4616432592792954E-2</v>
      </c>
      <c r="S490" s="502">
        <f t="shared" si="1167"/>
        <v>-0.10504295619195447</v>
      </c>
      <c r="T490" s="502">
        <f t="shared" si="1167"/>
        <v>-3.016435010077434E-2</v>
      </c>
      <c r="U490" s="502">
        <f t="shared" si="1167"/>
        <v>-4.1378137181284802E-2</v>
      </c>
      <c r="V490" s="502">
        <f t="shared" si="1167"/>
        <v>-9.3618917958942727E-2</v>
      </c>
      <c r="W490" s="503">
        <f t="shared" si="1167"/>
        <v>-6.9348920316684493E-2</v>
      </c>
      <c r="X490" s="502">
        <f t="shared" si="1167"/>
        <v>-0.10944062011167965</v>
      </c>
      <c r="Y490" s="502">
        <f t="shared" si="1167"/>
        <v>-0.12750330896118411</v>
      </c>
      <c r="Z490" s="502">
        <f t="shared" ref="Z490:AG490" si="1168">+Z489/U489-1</f>
        <v>-0.15191711803320429</v>
      </c>
      <c r="AA490" s="502">
        <f t="shared" si="1168"/>
        <v>-3.1026478404639568E-2</v>
      </c>
      <c r="AB490" s="503">
        <f t="shared" si="1168"/>
        <v>-0.10732453090015726</v>
      </c>
      <c r="AC490" s="502">
        <f t="shared" si="1168"/>
        <v>2.8248471959762655E-2</v>
      </c>
      <c r="AD490" s="502">
        <f t="shared" si="1168"/>
        <v>2.799261753538107E-2</v>
      </c>
      <c r="AE490" s="502">
        <f t="shared" si="1168"/>
        <v>3.4776092234177991E-2</v>
      </c>
      <c r="AF490" s="502">
        <f t="shared" si="1168"/>
        <v>-5.5899252511580344E-2</v>
      </c>
      <c r="AG490" s="503">
        <f t="shared" si="1168"/>
        <v>9.3876484782118297E-3</v>
      </c>
      <c r="AH490" s="502">
        <f t="shared" ref="AH490:AR490" si="1169">+AH489/AC489-1</f>
        <v>-6.4419426706059824E-2</v>
      </c>
      <c r="AI490" s="502">
        <f t="shared" si="1169"/>
        <v>-5.3205945602911364E-2</v>
      </c>
      <c r="AJ490" s="502">
        <f t="shared" si="1169"/>
        <v>1.8965478093127874E-2</v>
      </c>
      <c r="AK490" s="502">
        <f t="shared" si="1169"/>
        <v>1.7023535113257493E-2</v>
      </c>
      <c r="AL490" s="503">
        <f t="shared" si="1169"/>
        <v>-2.2417186211844409E-2</v>
      </c>
      <c r="AM490" s="502">
        <f t="shared" si="1169"/>
        <v>-0.34569322590908169</v>
      </c>
      <c r="AN490" s="502">
        <f t="shared" si="1169"/>
        <v>-0.34969615460222669</v>
      </c>
      <c r="AO490" s="502">
        <f t="shared" si="1169"/>
        <v>-0.34548426658236686</v>
      </c>
      <c r="AP490" s="502">
        <f t="shared" si="1169"/>
        <v>-0.3630836859390093</v>
      </c>
      <c r="AQ490" s="503">
        <f t="shared" si="1169"/>
        <v>-0.23551405436523232</v>
      </c>
      <c r="AR490" s="502">
        <f t="shared" si="1169"/>
        <v>-8.423627540021017E-3</v>
      </c>
      <c r="AS490" s="502">
        <f>+AS489/AN489-1</f>
        <v>-9.3789943835005385E-3</v>
      </c>
      <c r="AT490" s="502">
        <f>+AT489/AO489-1</f>
        <v>-4.5058449673265333E-2</v>
      </c>
      <c r="AU490" s="502">
        <f>+AU489/AP489-1</f>
        <v>0.47752857887683819</v>
      </c>
      <c r="AV490" s="562">
        <f>(AV489-AQ489)/AQ489</f>
        <v>0.25094676917614472</v>
      </c>
      <c r="AW490" s="502">
        <f>+AW489/AR489-1</f>
        <v>0.45478350404383239</v>
      </c>
      <c r="AX490" s="502">
        <f>+AX489/AS489-1</f>
        <v>0.44431492683770379</v>
      </c>
      <c r="AY490" s="502">
        <f>+AY489/AT489-1</f>
        <v>0.40267723361692287</v>
      </c>
      <c r="AZ490" s="502">
        <f>+AZ489/AU489-1</f>
        <v>-5.8447782085792821E-2</v>
      </c>
      <c r="BA490" s="562">
        <f>(BA489-AV489)/AV489</f>
        <v>-4.9176765858826965E-2</v>
      </c>
      <c r="BB490" s="502">
        <f>+BB489/AW489-1</f>
        <v>-4.8576585157222962E-2</v>
      </c>
      <c r="BC490" s="502">
        <f>+BC489/AX489-1</f>
        <v>-3.3185553623611419E-2</v>
      </c>
      <c r="BD490" s="502">
        <f>+BD489/AY489-1</f>
        <v>-3.6281751176514554E-4</v>
      </c>
      <c r="BE490" s="502">
        <f>+BE489/AZ489-1</f>
        <v>4.1103607050728241E-2</v>
      </c>
      <c r="BF490" s="562">
        <f>(BF489-BA489)/BA489</f>
        <v>-1.1789101735304845E-2</v>
      </c>
      <c r="BG490" s="358">
        <f>+BG489/BB489-1</f>
        <v>2.438927472179131E-2</v>
      </c>
      <c r="BH490" s="502">
        <f>+BH489/BC489-1</f>
        <v>3.5404425605796819E-2</v>
      </c>
      <c r="BI490" s="502">
        <f>+BI489/BD489-1</f>
        <v>7.5477666179906144E-3</v>
      </c>
      <c r="BJ490" s="1855">
        <f>+BJ489/BE489-1</f>
        <v>-5.7098134096300601E-4</v>
      </c>
      <c r="BK490" s="562">
        <f>(BK489-BF489)/BF489</f>
        <v>1.6802180123786179E-2</v>
      </c>
      <c r="BL490" s="502">
        <f>+BL489/BG489-1</f>
        <v>-2.6953212152024619E-2</v>
      </c>
      <c r="BM490" s="502">
        <f>+BM489/BH489-1</f>
        <v>-4.3578971648563281E-2</v>
      </c>
      <c r="BN490" s="502">
        <f>+BN489/BI489-1</f>
        <v>-1.3610493369675236E-2</v>
      </c>
      <c r="BO490" s="1855">
        <f>+BO489/BJ489-1</f>
        <v>-1.4273328426411602E-2</v>
      </c>
      <c r="BP490" s="562">
        <f>(BP489-BK489)/BK489</f>
        <v>-2.4586942258550775E-2</v>
      </c>
      <c r="BQ490" s="502">
        <f>+BQ489/BL489-1</f>
        <v>1.4291903961747066E-2</v>
      </c>
      <c r="BR490" s="502">
        <f>+BR489/BM489-1</f>
        <v>1.244971669804662E-2</v>
      </c>
      <c r="BS490" s="502">
        <f>+BS489/BN489-1</f>
        <v>-1.5820854774540982E-2</v>
      </c>
      <c r="BT490" s="1855">
        <f>+BT489/BO489-1</f>
        <v>-9.5011381784021465E-3</v>
      </c>
      <c r="BU490" s="3371">
        <f>(BU489-BP489)/BP489</f>
        <v>5.4525517559282382E-5</v>
      </c>
      <c r="BV490" s="502">
        <f>+BV489/BQ489-1</f>
        <v>-2.0168563759845437E-2</v>
      </c>
      <c r="BW490" s="502">
        <f>+BW489/BR489-1</f>
        <v>-6.6022892350525719E-3</v>
      </c>
      <c r="BX490" s="502">
        <f>+BX489/BS489-1</f>
        <v>4.1581303769524736E-2</v>
      </c>
      <c r="BY490" s="1855">
        <f>+BY489/BT489-1</f>
        <v>5.4965909057500761E-2</v>
      </c>
      <c r="BZ490" s="3371">
        <f>(BZ489-BU489)/BU489</f>
        <v>-0.16300434508656494</v>
      </c>
      <c r="CA490" s="562">
        <f t="shared" ref="CA490:CG490" si="1170">(CA489-BZ489)/BZ489</f>
        <v>0.24433377119513366</v>
      </c>
      <c r="CB490" s="562">
        <f t="shared" si="1170"/>
        <v>-4.5307966440095293E-4</v>
      </c>
      <c r="CC490" s="562">
        <f t="shared" si="1170"/>
        <v>-8.7547340456596512E-2</v>
      </c>
      <c r="CD490" s="562">
        <f t="shared" si="1170"/>
        <v>-5.000000000000019E-2</v>
      </c>
      <c r="CE490" s="562">
        <f t="shared" si="1170"/>
        <v>2.000000000000015E-2</v>
      </c>
      <c r="CF490" s="562">
        <f t="shared" si="1170"/>
        <v>1.7213114754098559E-2</v>
      </c>
      <c r="CG490" s="562">
        <f t="shared" si="1170"/>
        <v>2.2794520547945247E-2</v>
      </c>
      <c r="CH490" s="561"/>
      <c r="CI490" s="561"/>
      <c r="CJ490" s="561"/>
      <c r="CK490" s="561"/>
      <c r="CL490" s="561"/>
      <c r="CM490" s="561"/>
      <c r="CN490" s="561"/>
      <c r="CO490" s="561"/>
      <c r="CP490" s="396" t="str">
        <f>A490</f>
        <v>% Growth (y-o-y)</v>
      </c>
      <c r="CQ490" s="502"/>
      <c r="CR490" s="502">
        <f t="shared" si="1112"/>
        <v>2.1082309810733335E-2</v>
      </c>
      <c r="CS490" s="502">
        <f t="shared" si="1113"/>
        <v>9.4616432592792954E-2</v>
      </c>
      <c r="CT490" s="502">
        <f t="shared" si="1114"/>
        <v>-6.9348920316684493E-2</v>
      </c>
      <c r="CU490" s="502">
        <f t="shared" si="1115"/>
        <v>-0.10732453090015726</v>
      </c>
      <c r="CV490" s="502">
        <f t="shared" si="1116"/>
        <v>9.3876484782118297E-3</v>
      </c>
      <c r="CW490" s="502">
        <f t="shared" si="1117"/>
        <v>-2.2417186211844409E-2</v>
      </c>
      <c r="CX490" s="502">
        <f t="shared" si="1096"/>
        <v>-0.23551405436523232</v>
      </c>
      <c r="CY490" s="502">
        <f t="shared" si="1097"/>
        <v>0.25094676917614472</v>
      </c>
      <c r="CZ490" s="502">
        <f t="shared" si="1098"/>
        <v>-4.9176765858826965E-2</v>
      </c>
      <c r="DA490" s="502">
        <f t="shared" si="1099"/>
        <v>-1.1789101735304845E-2</v>
      </c>
      <c r="DB490" s="502">
        <f t="shared" si="1100"/>
        <v>1.6802180123786179E-2</v>
      </c>
      <c r="DC490" s="502">
        <f t="shared" si="1101"/>
        <v>-2.4586942258550775E-2</v>
      </c>
      <c r="DD490" s="502">
        <f t="shared" si="1102"/>
        <v>5.4525517559282382E-5</v>
      </c>
      <c r="DE490" s="502">
        <f t="shared" si="1103"/>
        <v>-0.16300434508656494</v>
      </c>
      <c r="DF490" s="502">
        <f t="shared" si="1104"/>
        <v>0.24433377119513366</v>
      </c>
      <c r="DG490" s="1855">
        <f t="shared" si="1105"/>
        <v>-4.5307966440095293E-4</v>
      </c>
      <c r="DH490" s="609"/>
      <c r="DI490" s="573"/>
      <c r="DJ490" s="573"/>
      <c r="DK490" s="573"/>
      <c r="DL490" s="573"/>
      <c r="DM490" s="573"/>
      <c r="DN490" s="551"/>
      <c r="DO490" s="266"/>
      <c r="DY490" s="561"/>
      <c r="DZ490" s="561"/>
    </row>
    <row r="491" spans="1:132" ht="6" customHeight="1">
      <c r="A491" s="610"/>
      <c r="B491" s="228"/>
      <c r="C491" s="228"/>
      <c r="D491" s="315"/>
      <c r="E491" s="472"/>
      <c r="F491" s="472"/>
      <c r="G491" s="472"/>
      <c r="H491" s="471"/>
      <c r="I491" s="472"/>
      <c r="J491" s="472"/>
      <c r="K491" s="472"/>
      <c r="L491" s="472"/>
      <c r="M491" s="471"/>
      <c r="N491" s="472"/>
      <c r="O491" s="472"/>
      <c r="P491" s="472"/>
      <c r="Q491" s="472"/>
      <c r="R491" s="471"/>
      <c r="S491" s="472"/>
      <c r="T491" s="472"/>
      <c r="U491" s="472"/>
      <c r="V491" s="472"/>
      <c r="W491" s="471"/>
      <c r="X491" s="472"/>
      <c r="Y491" s="472"/>
      <c r="Z491" s="472"/>
      <c r="AA491" s="472"/>
      <c r="AB491" s="471"/>
      <c r="AC491" s="472"/>
      <c r="AD491" s="472"/>
      <c r="AE491" s="472"/>
      <c r="AF491" s="472"/>
      <c r="AG491" s="471"/>
      <c r="AH491" s="472"/>
      <c r="AI491" s="472"/>
      <c r="AJ491" s="472"/>
      <c r="AK491" s="472"/>
      <c r="AL491" s="471"/>
      <c r="AM491" s="472"/>
      <c r="AN491" s="472"/>
      <c r="AO491" s="472"/>
      <c r="AP491" s="472"/>
      <c r="AQ491" s="471"/>
      <c r="AR491" s="472"/>
      <c r="AS491" s="472"/>
      <c r="AT491" s="472"/>
      <c r="AU491" s="472"/>
      <c r="AV491" s="471"/>
      <c r="AW491" s="472"/>
      <c r="AX491" s="472"/>
      <c r="AY491" s="472"/>
      <c r="AZ491" s="472"/>
      <c r="BA491" s="471"/>
      <c r="BB491" s="472"/>
      <c r="BC491" s="472"/>
      <c r="BD491" s="472"/>
      <c r="BE491" s="472"/>
      <c r="BF491" s="471"/>
      <c r="BG491" s="315"/>
      <c r="BH491" s="472"/>
      <c r="BI491" s="472"/>
      <c r="BJ491" s="2800"/>
      <c r="BK491" s="471"/>
      <c r="BL491" s="472"/>
      <c r="BM491" s="472"/>
      <c r="BN491" s="472"/>
      <c r="BO491" s="2800"/>
      <c r="BP491" s="471"/>
      <c r="BQ491" s="472"/>
      <c r="BR491" s="472"/>
      <c r="BS491" s="472"/>
      <c r="BT491" s="2800"/>
      <c r="BU491" s="3338"/>
      <c r="BV491" s="472"/>
      <c r="BW491" s="472"/>
      <c r="BX491" s="472"/>
      <c r="BY491" s="2800"/>
      <c r="BZ491" s="471"/>
      <c r="CA491" s="471"/>
      <c r="CB491" s="471"/>
      <c r="CC491" s="471"/>
      <c r="CD491" s="471"/>
      <c r="CE491" s="471"/>
      <c r="CF491" s="471"/>
      <c r="CG491" s="471"/>
      <c r="CH491" s="472"/>
      <c r="CI491" s="472"/>
      <c r="CJ491" s="472"/>
      <c r="CK491" s="472"/>
      <c r="CL491" s="472"/>
      <c r="CM491" s="472"/>
      <c r="CN491" s="472"/>
      <c r="CO491" s="472"/>
      <c r="CP491" s="1854"/>
      <c r="CQ491" s="318"/>
      <c r="CR491" s="318"/>
      <c r="CS491" s="318"/>
      <c r="CT491" s="318"/>
      <c r="CU491" s="318"/>
      <c r="CV491" s="318"/>
      <c r="CW491" s="318"/>
      <c r="CX491" s="318"/>
      <c r="CY491" s="318"/>
      <c r="CZ491" s="318"/>
      <c r="DA491" s="318"/>
      <c r="DB491" s="318"/>
      <c r="DC491" s="318"/>
      <c r="DD491" s="318"/>
      <c r="DE491" s="318"/>
      <c r="DF491" s="318"/>
      <c r="DG491" s="1867"/>
      <c r="DH491" s="564"/>
      <c r="DI491" s="595"/>
      <c r="DJ491" s="595"/>
      <c r="DK491" s="595"/>
      <c r="DL491" s="595"/>
      <c r="DM491" s="595"/>
      <c r="DN491" s="514"/>
      <c r="DO491" s="226"/>
      <c r="DY491" s="472"/>
      <c r="DZ491" s="472"/>
    </row>
    <row r="492" spans="1:132" ht="12" customHeight="1">
      <c r="A492" s="766" t="s">
        <v>1102</v>
      </c>
      <c r="B492" s="646"/>
      <c r="C492" s="646"/>
      <c r="D492" s="763">
        <f t="shared" ref="D492:AI492" si="1171">D499/D360/D$5*1000000</f>
        <v>225.48189214855884</v>
      </c>
      <c r="E492" s="356">
        <f t="shared" si="1171"/>
        <v>265.69787708371712</v>
      </c>
      <c r="F492" s="356">
        <f t="shared" si="1171"/>
        <v>271.50822319904444</v>
      </c>
      <c r="G492" s="356">
        <f t="shared" si="1171"/>
        <v>253.09763233356585</v>
      </c>
      <c r="H492" s="765">
        <f t="shared" si="1171"/>
        <v>259.04272371474565</v>
      </c>
      <c r="I492" s="356">
        <f t="shared" si="1171"/>
        <v>279.10327468412498</v>
      </c>
      <c r="J492" s="356">
        <f t="shared" si="1171"/>
        <v>270.09838727280976</v>
      </c>
      <c r="K492" s="356">
        <f t="shared" si="1171"/>
        <v>253.42789770163463</v>
      </c>
      <c r="L492" s="356">
        <f t="shared" si="1171"/>
        <v>259.51079312664342</v>
      </c>
      <c r="M492" s="765">
        <f t="shared" si="1171"/>
        <v>266.00263020452581</v>
      </c>
      <c r="N492" s="356">
        <f t="shared" si="1171"/>
        <v>322.06733783235603</v>
      </c>
      <c r="O492" s="356">
        <f t="shared" si="1171"/>
        <v>291.7010666362998</v>
      </c>
      <c r="P492" s="356">
        <f t="shared" si="1171"/>
        <v>282.89498385522268</v>
      </c>
      <c r="Q492" s="356">
        <f t="shared" si="1171"/>
        <v>261.48672749117668</v>
      </c>
      <c r="R492" s="765">
        <f t="shared" si="1171"/>
        <v>287.42458655688836</v>
      </c>
      <c r="S492" s="356">
        <f t="shared" si="1171"/>
        <v>281.26679140280174</v>
      </c>
      <c r="T492" s="356">
        <f t="shared" si="1171"/>
        <v>278.96477443109569</v>
      </c>
      <c r="U492" s="356">
        <f t="shared" si="1171"/>
        <v>266.19757640609748</v>
      </c>
      <c r="V492" s="356">
        <f t="shared" si="1171"/>
        <v>231.79987972298701</v>
      </c>
      <c r="W492" s="765">
        <f t="shared" si="1171"/>
        <v>264.50591575468223</v>
      </c>
      <c r="X492" s="356">
        <f t="shared" si="1171"/>
        <v>242.14697029495818</v>
      </c>
      <c r="Y492" s="356">
        <f t="shared" si="1171"/>
        <v>237.63320193437025</v>
      </c>
      <c r="Z492" s="356">
        <f t="shared" si="1171"/>
        <v>222.33458130303086</v>
      </c>
      <c r="AA492" s="356">
        <f t="shared" si="1171"/>
        <v>218.68648193841764</v>
      </c>
      <c r="AB492" s="765">
        <f t="shared" si="1171"/>
        <v>230.44719140142806</v>
      </c>
      <c r="AC492" s="356">
        <f t="shared" si="1171"/>
        <v>250.19546425796426</v>
      </c>
      <c r="AD492" s="356">
        <f t="shared" si="1171"/>
        <v>239.23912625835703</v>
      </c>
      <c r="AE492" s="356">
        <f t="shared" si="1171"/>
        <v>228.78938317117667</v>
      </c>
      <c r="AF492" s="356">
        <f t="shared" si="1171"/>
        <v>205.59262447983929</v>
      </c>
      <c r="AG492" s="765">
        <f t="shared" si="1171"/>
        <v>231.25828848975641</v>
      </c>
      <c r="AH492" s="356">
        <f t="shared" si="1171"/>
        <v>228.67867867867872</v>
      </c>
      <c r="AI492" s="356">
        <f t="shared" si="1171"/>
        <v>221.19097119097117</v>
      </c>
      <c r="AJ492" s="356">
        <f t="shared" ref="AJ492:CB492" si="1172">AJ499/AJ360/AJ$5*1000000</f>
        <v>227.185712084144</v>
      </c>
      <c r="AK492" s="356">
        <f t="shared" si="1172"/>
        <v>207.78861068025705</v>
      </c>
      <c r="AL492" s="765">
        <f t="shared" si="1172"/>
        <v>221.18302626367475</v>
      </c>
      <c r="AM492" s="356">
        <f t="shared" si="1172"/>
        <v>180.4373496396251</v>
      </c>
      <c r="AN492" s="356">
        <f t="shared" si="1172"/>
        <v>146.29825199705073</v>
      </c>
      <c r="AO492" s="356">
        <f t="shared" si="1172"/>
        <v>149.61955327368912</v>
      </c>
      <c r="AP492" s="356">
        <f t="shared" si="1172"/>
        <v>153.49746507332452</v>
      </c>
      <c r="AQ492" s="765">
        <f t="shared" si="1172"/>
        <v>145.4513226860978</v>
      </c>
      <c r="AR492" s="356">
        <f t="shared" si="1172"/>
        <v>156.03960243904314</v>
      </c>
      <c r="AS492" s="356">
        <f t="shared" si="1172"/>
        <v>149.56701472933821</v>
      </c>
      <c r="AT492" s="356">
        <f t="shared" si="1172"/>
        <v>147.39825145490644</v>
      </c>
      <c r="AU492" s="356">
        <f t="shared" si="1172"/>
        <v>211.75298355661994</v>
      </c>
      <c r="AV492" s="765">
        <f t="shared" si="1172"/>
        <v>165.94068841998029</v>
      </c>
      <c r="AW492" s="356">
        <f t="shared" si="1172"/>
        <v>230.02860863201312</v>
      </c>
      <c r="AX492" s="356">
        <f t="shared" si="1172"/>
        <v>225.59019177982631</v>
      </c>
      <c r="AY492" s="356">
        <f t="shared" si="1172"/>
        <v>214.15193965250114</v>
      </c>
      <c r="AZ492" s="356">
        <f t="shared" si="1172"/>
        <v>195.77114643658706</v>
      </c>
      <c r="BA492" s="765">
        <f t="shared" si="1172"/>
        <v>216.26579805781338</v>
      </c>
      <c r="BB492" s="356">
        <f t="shared" si="1172"/>
        <v>215.02839921177699</v>
      </c>
      <c r="BC492" s="356">
        <f t="shared" si="1172"/>
        <v>218.26918622225091</v>
      </c>
      <c r="BD492" s="356">
        <f t="shared" si="1172"/>
        <v>215.29827869570369</v>
      </c>
      <c r="BE492" s="356">
        <f t="shared" si="1172"/>
        <v>207.14073192502229</v>
      </c>
      <c r="BF492" s="765">
        <f t="shared" si="1172"/>
        <v>215.08023848505877</v>
      </c>
      <c r="BG492" s="763">
        <f t="shared" si="1172"/>
        <v>227.35108888359665</v>
      </c>
      <c r="BH492" s="356">
        <f t="shared" ref="BH492:BP492" si="1173">BH499/BH360/BH$5*1000000</f>
        <v>228.40713754685837</v>
      </c>
      <c r="BI492" s="356">
        <f t="shared" si="1173"/>
        <v>221.74432341906083</v>
      </c>
      <c r="BJ492" s="764">
        <f t="shared" si="1173"/>
        <v>208.70123563233315</v>
      </c>
      <c r="BK492" s="765">
        <f t="shared" si="1173"/>
        <v>221.62685952035164</v>
      </c>
      <c r="BL492" s="356">
        <f t="shared" si="1173"/>
        <v>220.27610785007235</v>
      </c>
      <c r="BM492" s="356">
        <f t="shared" si="1173"/>
        <v>217.34537328234066</v>
      </c>
      <c r="BN492" s="356">
        <f t="shared" si="1173"/>
        <v>214.76347568172875</v>
      </c>
      <c r="BO492" s="764">
        <f t="shared" si="1173"/>
        <v>205.26226467538299</v>
      </c>
      <c r="BP492" s="765">
        <f t="shared" si="1173"/>
        <v>215.29006124402721</v>
      </c>
      <c r="BQ492" s="356">
        <f t="shared" ref="BQ492:BV492" si="1174">BQ499/BQ360/BQ$5*1000000</f>
        <v>223.23732156725293</v>
      </c>
      <c r="BR492" s="356">
        <f t="shared" si="1174"/>
        <v>220.28077961687919</v>
      </c>
      <c r="BS492" s="356">
        <f t="shared" si="1174"/>
        <v>212.9552607318081</v>
      </c>
      <c r="BT492" s="764">
        <f t="shared" si="1174"/>
        <v>204.5116775636067</v>
      </c>
      <c r="BU492" s="3401">
        <f t="shared" si="1174"/>
        <v>214.82916167753777</v>
      </c>
      <c r="BV492" s="356">
        <f t="shared" si="1174"/>
        <v>218.70425170360858</v>
      </c>
      <c r="BW492" s="356">
        <f t="shared" ref="BW492:BY492" si="1175">BW499/BW360/BW$5*1000000</f>
        <v>216.88895338171</v>
      </c>
      <c r="BX492" s="356">
        <f t="shared" si="1175"/>
        <v>270.00650539014384</v>
      </c>
      <c r="BY492" s="356">
        <f t="shared" si="1175"/>
        <v>214.65788600525175</v>
      </c>
      <c r="BZ492" s="765">
        <f>BZ499/BZ360/BZ$5*1000000</f>
        <v>218.34387240440429</v>
      </c>
      <c r="CA492" s="765">
        <f t="shared" si="1172"/>
        <v>272.13638561218659</v>
      </c>
      <c r="CB492" s="765">
        <f t="shared" si="1172"/>
        <v>272.01722530473523</v>
      </c>
      <c r="CC492" s="765">
        <f>CC499/CC360/CC$5*1000000</f>
        <v>158.82516167226308</v>
      </c>
      <c r="CD492" s="765">
        <f>CD499/CD360/CD$5*1000000</f>
        <v>150.79309922630273</v>
      </c>
      <c r="CE492" s="765">
        <f>CE499/CE360/CE$5*1000000</f>
        <v>153.84528295576769</v>
      </c>
      <c r="CF492" s="765">
        <f>CF499/CF360/CF$5*1000000</f>
        <v>156.52966197086067</v>
      </c>
      <c r="CG492" s="765">
        <f>CG499/CG360/CG$5*1000000</f>
        <v>160.13400231195723</v>
      </c>
      <c r="CH492" s="356"/>
      <c r="CI492" s="356"/>
      <c r="CJ492" s="356"/>
      <c r="CK492" s="356"/>
      <c r="CL492" s="356"/>
      <c r="CM492" s="356"/>
      <c r="CN492" s="356"/>
      <c r="CO492" s="356"/>
      <c r="CP492" s="1889" t="str">
        <f>A492</f>
        <v>Net Revenues/Day/Position</v>
      </c>
      <c r="CQ492" s="356">
        <f>H492</f>
        <v>259.04272371474565</v>
      </c>
      <c r="CR492" s="356">
        <f>M492</f>
        <v>266.00263020452581</v>
      </c>
      <c r="CS492" s="356">
        <f>R492</f>
        <v>287.42458655688836</v>
      </c>
      <c r="CT492" s="356">
        <f>W492</f>
        <v>264.50591575468223</v>
      </c>
      <c r="CU492" s="356">
        <f>AB492</f>
        <v>230.44719140142806</v>
      </c>
      <c r="CV492" s="356">
        <f>AG492</f>
        <v>231.25828848975641</v>
      </c>
      <c r="CW492" s="356">
        <f>AL492</f>
        <v>221.18302626367475</v>
      </c>
      <c r="CX492" s="356">
        <f>AQ492</f>
        <v>145.4513226860978</v>
      </c>
      <c r="CY492" s="356">
        <f>AV492</f>
        <v>165.94068841998029</v>
      </c>
      <c r="CZ492" s="356">
        <f>BA492</f>
        <v>216.26579805781338</v>
      </c>
      <c r="DA492" s="356">
        <f>BF492</f>
        <v>215.08023848505877</v>
      </c>
      <c r="DB492" s="356">
        <f>BK492</f>
        <v>221.62685952035164</v>
      </c>
      <c r="DC492" s="356">
        <f>BP492</f>
        <v>215.29006124402721</v>
      </c>
      <c r="DD492" s="356">
        <f>BU492</f>
        <v>214.82916167753777</v>
      </c>
      <c r="DE492" s="356">
        <f t="shared" ref="DE492:DG493" si="1176">BZ492</f>
        <v>218.34387240440429</v>
      </c>
      <c r="DF492" s="356">
        <f t="shared" si="1176"/>
        <v>272.13638561218659</v>
      </c>
      <c r="DG492" s="764">
        <f t="shared" si="1176"/>
        <v>272.01722530473523</v>
      </c>
      <c r="DH492" s="521"/>
      <c r="DI492" s="614"/>
      <c r="DJ492" s="614"/>
      <c r="DK492" s="614"/>
      <c r="DL492" s="614"/>
      <c r="DM492" s="614"/>
      <c r="DN492" s="559"/>
      <c r="DO492" s="269"/>
      <c r="DY492" s="356"/>
      <c r="DZ492" s="356"/>
    </row>
    <row r="493" spans="1:132" ht="12" customHeight="1">
      <c r="A493" s="257" t="s">
        <v>1249</v>
      </c>
      <c r="B493" s="767"/>
      <c r="C493" s="767"/>
      <c r="D493" s="358"/>
      <c r="E493" s="502"/>
      <c r="F493" s="502"/>
      <c r="G493" s="502"/>
      <c r="H493" s="503"/>
      <c r="I493" s="502">
        <f t="shared" ref="I493:N493" si="1177">+I492/D492-1</f>
        <v>0.23780793226729569</v>
      </c>
      <c r="J493" s="502">
        <f t="shared" si="1177"/>
        <v>1.6562082608232886E-2</v>
      </c>
      <c r="K493" s="502">
        <f t="shared" si="1177"/>
        <v>-6.6592183781317704E-2</v>
      </c>
      <c r="L493" s="502">
        <f t="shared" si="1177"/>
        <v>2.5338683471465506E-2</v>
      </c>
      <c r="M493" s="503">
        <f t="shared" si="1177"/>
        <v>2.6867793813982299E-2</v>
      </c>
      <c r="N493" s="502">
        <f t="shared" si="1177"/>
        <v>0.15393607687640221</v>
      </c>
      <c r="O493" s="502">
        <f t="shared" ref="O493:T493" si="1178">+O492/J492-1</f>
        <v>7.9980778788103279E-2</v>
      </c>
      <c r="P493" s="502">
        <f t="shared" si="1178"/>
        <v>0.11627404252187024</v>
      </c>
      <c r="Q493" s="502">
        <f t="shared" si="1178"/>
        <v>7.6140739301311378E-3</v>
      </c>
      <c r="R493" s="503">
        <f t="shared" si="1178"/>
        <v>8.0532874189595427E-2</v>
      </c>
      <c r="S493" s="502">
        <f t="shared" si="1178"/>
        <v>-0.12668327904393706</v>
      </c>
      <c r="T493" s="502">
        <f t="shared" si="1178"/>
        <v>-4.3662137927949485E-2</v>
      </c>
      <c r="U493" s="502">
        <f t="shared" ref="U493:Z493" si="1179">+U492/P492-1</f>
        <v>-5.9023342236674048E-2</v>
      </c>
      <c r="V493" s="502">
        <f t="shared" si="1179"/>
        <v>-0.11353099276976264</v>
      </c>
      <c r="W493" s="503">
        <f t="shared" si="1179"/>
        <v>-7.973803172774141E-2</v>
      </c>
      <c r="X493" s="502">
        <f t="shared" si="1179"/>
        <v>-0.1390843935493975</v>
      </c>
      <c r="Y493" s="502">
        <f t="shared" si="1179"/>
        <v>-0.14816054314031091</v>
      </c>
      <c r="Z493" s="502">
        <f t="shared" si="1179"/>
        <v>-0.16477608735306992</v>
      </c>
      <c r="AA493" s="502">
        <f t="shared" ref="AA493:AG493" si="1180">+AA492/V492-1</f>
        <v>-5.6572064663021226E-2</v>
      </c>
      <c r="AB493" s="503">
        <f t="shared" si="1180"/>
        <v>-0.12876356377920173</v>
      </c>
      <c r="AC493" s="502">
        <f t="shared" si="1180"/>
        <v>3.3238053539146994E-2</v>
      </c>
      <c r="AD493" s="502">
        <f t="shared" si="1180"/>
        <v>6.757996403340627E-3</v>
      </c>
      <c r="AE493" s="502">
        <f t="shared" si="1180"/>
        <v>2.9031929402598244E-2</v>
      </c>
      <c r="AF493" s="502">
        <f t="shared" si="1180"/>
        <v>-5.9875019902993376E-2</v>
      </c>
      <c r="AG493" s="503">
        <f t="shared" si="1180"/>
        <v>3.5196657568086209E-3</v>
      </c>
      <c r="AH493" s="502">
        <f t="shared" ref="AH493:AQ493" si="1181">+AH492/AC492-1</f>
        <v>-8.5999902688486118E-2</v>
      </c>
      <c r="AI493" s="502">
        <f t="shared" si="1181"/>
        <v>-7.5439813502309216E-2</v>
      </c>
      <c r="AJ493" s="502">
        <f t="shared" si="1181"/>
        <v>-7.0093772045043412E-3</v>
      </c>
      <c r="AK493" s="502">
        <f t="shared" si="1181"/>
        <v>1.0681249903656376E-2</v>
      </c>
      <c r="AL493" s="503">
        <f t="shared" si="1181"/>
        <v>-4.3567139979624803E-2</v>
      </c>
      <c r="AM493" s="502">
        <f t="shared" si="1181"/>
        <v>-0.21095682954701056</v>
      </c>
      <c r="AN493" s="502">
        <f t="shared" si="1181"/>
        <v>-0.33858850020265885</v>
      </c>
      <c r="AO493" s="502">
        <f t="shared" si="1181"/>
        <v>-0.34142181785501668</v>
      </c>
      <c r="AP493" s="502">
        <f t="shared" si="1181"/>
        <v>-0.26128066128934846</v>
      </c>
      <c r="AQ493" s="503">
        <f t="shared" si="1181"/>
        <v>-0.34239383038052995</v>
      </c>
      <c r="AR493" s="502">
        <f t="shared" ref="AR493:BF493" si="1182">+AR492/AM492-1</f>
        <v>-0.13521450658253331</v>
      </c>
      <c r="AS493" s="502">
        <f t="shared" si="1182"/>
        <v>2.2343142776260816E-2</v>
      </c>
      <c r="AT493" s="502">
        <f t="shared" si="1182"/>
        <v>-1.4846333718958493E-2</v>
      </c>
      <c r="AU493" s="502">
        <f t="shared" si="1182"/>
        <v>0.3795210458717817</v>
      </c>
      <c r="AV493" s="503">
        <f t="shared" si="1182"/>
        <v>0.14086751055609925</v>
      </c>
      <c r="AW493" s="502">
        <f t="shared" si="1182"/>
        <v>0.47416812806783315</v>
      </c>
      <c r="AX493" s="502">
        <f t="shared" si="1182"/>
        <v>0.50828838957615319</v>
      </c>
      <c r="AY493" s="502">
        <f t="shared" si="1182"/>
        <v>0.45287978343499313</v>
      </c>
      <c r="AZ493" s="502">
        <f t="shared" si="1182"/>
        <v>-7.5473964293681584E-2</v>
      </c>
      <c r="BA493" s="562">
        <f t="shared" si="1182"/>
        <v>0.30327166963695462</v>
      </c>
      <c r="BB493" s="502">
        <f t="shared" si="1182"/>
        <v>-6.5210190634299003E-2</v>
      </c>
      <c r="BC493" s="502">
        <f t="shared" si="1182"/>
        <v>-3.245267668693963E-2</v>
      </c>
      <c r="BD493" s="502">
        <f t="shared" si="1182"/>
        <v>5.3529239336458367E-3</v>
      </c>
      <c r="BE493" s="502">
        <f t="shared" si="1182"/>
        <v>5.8075899821723675E-2</v>
      </c>
      <c r="BF493" s="562">
        <f t="shared" si="1182"/>
        <v>-5.4819559236901627E-3</v>
      </c>
      <c r="BG493" s="358">
        <f t="shared" ref="BG493:BP493" si="1183">+BG492/BB492-1</f>
        <v>5.7307266002958546E-2</v>
      </c>
      <c r="BH493" s="502">
        <f t="shared" si="1183"/>
        <v>4.6447011142858097E-2</v>
      </c>
      <c r="BI493" s="502">
        <f t="shared" si="1183"/>
        <v>2.9940066230012885E-2</v>
      </c>
      <c r="BJ493" s="1855">
        <f t="shared" si="1183"/>
        <v>7.5335434649119737E-3</v>
      </c>
      <c r="BK493" s="562">
        <f t="shared" si="1183"/>
        <v>3.0438040618723017E-2</v>
      </c>
      <c r="BL493" s="502">
        <f t="shared" si="1183"/>
        <v>-3.1119186929193354E-2</v>
      </c>
      <c r="BM493" s="502">
        <f t="shared" si="1183"/>
        <v>-4.84300288656625E-2</v>
      </c>
      <c r="BN493" s="502">
        <f t="shared" si="1183"/>
        <v>-3.1481517225310895E-2</v>
      </c>
      <c r="BO493" s="1855">
        <f t="shared" si="1183"/>
        <v>-1.6477961649487116E-2</v>
      </c>
      <c r="BP493" s="562">
        <f t="shared" si="1183"/>
        <v>-2.859219451125472E-2</v>
      </c>
      <c r="BQ493" s="502">
        <f t="shared" ref="BQ493:BZ493" si="1184">+BQ492/BL492-1</f>
        <v>1.3443190666851956E-2</v>
      </c>
      <c r="BR493" s="502">
        <f t="shared" si="1184"/>
        <v>1.3505722667145559E-2</v>
      </c>
      <c r="BS493" s="502">
        <f>+BS492/BN492-1</f>
        <v>-8.4195645659989049E-3</v>
      </c>
      <c r="BT493" s="1855">
        <f t="shared" si="1184"/>
        <v>-3.6567223545123095E-3</v>
      </c>
      <c r="BU493" s="3371">
        <f t="shared" si="1184"/>
        <v>-2.140830672006877E-3</v>
      </c>
      <c r="BV493" s="502">
        <f t="shared" si="1184"/>
        <v>-2.0306057391387911E-2</v>
      </c>
      <c r="BW493" s="502">
        <f t="shared" si="1184"/>
        <v>-1.5397740288863981E-2</v>
      </c>
      <c r="BX493" s="502">
        <f>+BX492/BS492-1</f>
        <v>0.26790249023331247</v>
      </c>
      <c r="BY493" s="1855">
        <f t="shared" si="1184"/>
        <v>4.9611878218980499E-2</v>
      </c>
      <c r="BZ493" s="562">
        <f t="shared" si="1184"/>
        <v>1.6360491748053096E-2</v>
      </c>
      <c r="CA493" s="503">
        <f t="shared" ref="CA493:CG493" si="1185">+CA492/BZ492-1</f>
        <v>0.24636603086415354</v>
      </c>
      <c r="CB493" s="503">
        <f t="shared" si="1185"/>
        <v>-4.3786980996052272E-4</v>
      </c>
      <c r="CC493" s="503">
        <f t="shared" si="1185"/>
        <v>-0.41612094052376813</v>
      </c>
      <c r="CD493" s="503">
        <f t="shared" si="1185"/>
        <v>-5.0571725294601411E-2</v>
      </c>
      <c r="CE493" s="503">
        <f t="shared" si="1185"/>
        <v>2.0240871400118765E-2</v>
      </c>
      <c r="CF493" s="503">
        <f t="shared" si="1185"/>
        <v>1.7448562370708354E-2</v>
      </c>
      <c r="CG493" s="503">
        <f t="shared" si="1185"/>
        <v>2.302656439498052E-2</v>
      </c>
      <c r="CH493" s="561"/>
      <c r="CI493" s="561"/>
      <c r="CJ493" s="561"/>
      <c r="CK493" s="561"/>
      <c r="CL493" s="561"/>
      <c r="CM493" s="561"/>
      <c r="CN493" s="561"/>
      <c r="CO493" s="561"/>
      <c r="CP493" s="396" t="str">
        <f>A493</f>
        <v>% Growth (y-o-y)</v>
      </c>
      <c r="CQ493" s="502"/>
      <c r="CR493" s="502">
        <f>M493</f>
        <v>2.6867793813982299E-2</v>
      </c>
      <c r="CS493" s="502">
        <f>R493</f>
        <v>8.0532874189595427E-2</v>
      </c>
      <c r="CT493" s="502">
        <f>W493</f>
        <v>-7.973803172774141E-2</v>
      </c>
      <c r="CU493" s="502">
        <f>AB493</f>
        <v>-0.12876356377920173</v>
      </c>
      <c r="CV493" s="502">
        <f>AG493</f>
        <v>3.5196657568086209E-3</v>
      </c>
      <c r="CW493" s="502">
        <f>AL493</f>
        <v>-4.3567139979624803E-2</v>
      </c>
      <c r="CX493" s="502">
        <f>AQ493</f>
        <v>-0.34239383038052995</v>
      </c>
      <c r="CY493" s="502">
        <f>AV493</f>
        <v>0.14086751055609925</v>
      </c>
      <c r="CZ493" s="502">
        <f>BA493</f>
        <v>0.30327166963695462</v>
      </c>
      <c r="DA493" s="502">
        <f>BF493</f>
        <v>-5.4819559236901627E-3</v>
      </c>
      <c r="DB493" s="502">
        <f>BK493</f>
        <v>3.0438040618723017E-2</v>
      </c>
      <c r="DC493" s="502">
        <f>BP493</f>
        <v>-2.859219451125472E-2</v>
      </c>
      <c r="DD493" s="502">
        <f>BU493</f>
        <v>-2.140830672006877E-3</v>
      </c>
      <c r="DE493" s="502">
        <f t="shared" si="1176"/>
        <v>1.6360491748053096E-2</v>
      </c>
      <c r="DF493" s="502">
        <f t="shared" si="1176"/>
        <v>0.24636603086415354</v>
      </c>
      <c r="DG493" s="1855">
        <f t="shared" si="1176"/>
        <v>-4.3786980996052272E-4</v>
      </c>
      <c r="DH493" s="768"/>
      <c r="DI493" s="769"/>
      <c r="DJ493" s="769"/>
      <c r="DK493" s="769"/>
      <c r="DL493" s="769"/>
      <c r="DM493" s="769"/>
      <c r="DN493" s="770"/>
      <c r="DO493" s="421"/>
      <c r="DY493" s="561"/>
      <c r="DZ493" s="561"/>
    </row>
    <row r="494" spans="1:132" ht="6" customHeight="1">
      <c r="A494" s="257"/>
      <c r="B494" s="767"/>
      <c r="C494" s="767"/>
      <c r="D494" s="358"/>
      <c r="E494" s="502"/>
      <c r="F494" s="502"/>
      <c r="G494" s="502"/>
      <c r="H494" s="503"/>
      <c r="I494" s="502"/>
      <c r="J494" s="502"/>
      <c r="K494" s="502"/>
      <c r="L494" s="502"/>
      <c r="M494" s="503"/>
      <c r="N494" s="502"/>
      <c r="O494" s="502"/>
      <c r="P494" s="502"/>
      <c r="Q494" s="502"/>
      <c r="R494" s="503"/>
      <c r="S494" s="502"/>
      <c r="T494" s="502"/>
      <c r="U494" s="502"/>
      <c r="V494" s="502"/>
      <c r="W494" s="503"/>
      <c r="X494" s="502"/>
      <c r="Y494" s="502"/>
      <c r="Z494" s="502"/>
      <c r="AA494" s="502"/>
      <c r="AB494" s="503"/>
      <c r="AC494" s="502"/>
      <c r="AD494" s="502"/>
      <c r="AE494" s="502"/>
      <c r="AF494" s="502"/>
      <c r="AG494" s="503"/>
      <c r="AH494" s="502"/>
      <c r="AI494" s="502"/>
      <c r="AJ494" s="502"/>
      <c r="AK494" s="502"/>
      <c r="AL494" s="503"/>
      <c r="AM494" s="502"/>
      <c r="AN494" s="502"/>
      <c r="AO494" s="502"/>
      <c r="AP494" s="502"/>
      <c r="AQ494" s="503"/>
      <c r="AR494" s="502"/>
      <c r="AS494" s="502"/>
      <c r="AT494" s="502"/>
      <c r="AU494" s="502"/>
      <c r="AV494" s="503"/>
      <c r="AW494" s="502"/>
      <c r="AX494" s="502"/>
      <c r="AY494" s="502"/>
      <c r="AZ494" s="502"/>
      <c r="BA494" s="562"/>
      <c r="BB494" s="502"/>
      <c r="BC494" s="502"/>
      <c r="BD494" s="502"/>
      <c r="BE494" s="502"/>
      <c r="BF494" s="562"/>
      <c r="BG494" s="560"/>
      <c r="BH494" s="561"/>
      <c r="BI494" s="561"/>
      <c r="BJ494" s="1846"/>
      <c r="BK494" s="562"/>
      <c r="BL494" s="561"/>
      <c r="BM494" s="561"/>
      <c r="BN494" s="561"/>
      <c r="BO494" s="1846"/>
      <c r="BP494" s="560"/>
      <c r="BQ494" s="560"/>
      <c r="BR494" s="561"/>
      <c r="BS494" s="561"/>
      <c r="BT494" s="1846"/>
      <c r="BU494" s="3402"/>
      <c r="BV494" s="560"/>
      <c r="BW494" s="561"/>
      <c r="BX494" s="561"/>
      <c r="BY494" s="1846"/>
      <c r="BZ494" s="562"/>
      <c r="CA494" s="562"/>
      <c r="CB494" s="562"/>
      <c r="CC494" s="562"/>
      <c r="CD494" s="562"/>
      <c r="CE494" s="562"/>
      <c r="CF494" s="562"/>
      <c r="CG494" s="562"/>
      <c r="CH494" s="561"/>
      <c r="CI494" s="561"/>
      <c r="CJ494" s="561"/>
      <c r="CK494" s="561"/>
      <c r="CL494" s="561"/>
      <c r="CM494" s="561"/>
      <c r="CN494" s="561"/>
      <c r="CO494" s="561"/>
      <c r="CP494" s="396"/>
      <c r="CQ494" s="502"/>
      <c r="CR494" s="502"/>
      <c r="CS494" s="502"/>
      <c r="CT494" s="502"/>
      <c r="CU494" s="502"/>
      <c r="CV494" s="502"/>
      <c r="CW494" s="502"/>
      <c r="CX494" s="502"/>
      <c r="CY494" s="502"/>
      <c r="CZ494" s="502"/>
      <c r="DA494" s="502"/>
      <c r="DB494" s="502"/>
      <c r="DC494" s="502"/>
      <c r="DD494" s="502"/>
      <c r="DE494" s="502"/>
      <c r="DF494" s="502"/>
      <c r="DG494" s="1855"/>
      <c r="DH494" s="768"/>
      <c r="DI494" s="769"/>
      <c r="DJ494" s="769"/>
      <c r="DK494" s="769"/>
      <c r="DL494" s="769"/>
      <c r="DM494" s="769"/>
      <c r="DN494" s="770"/>
      <c r="DO494" s="421"/>
      <c r="DY494" s="561"/>
      <c r="DZ494" s="561"/>
    </row>
    <row r="495" spans="1:132" ht="12" customHeight="1">
      <c r="A495" s="771" t="s">
        <v>1796</v>
      </c>
      <c r="B495" s="675"/>
      <c r="C495" s="675"/>
      <c r="D495" s="772">
        <f>D447</f>
        <v>182.41203791999999</v>
      </c>
      <c r="E495" s="773">
        <f>E447</f>
        <v>194.3532112</v>
      </c>
      <c r="F495" s="773">
        <f>F447</f>
        <v>221.04926598</v>
      </c>
      <c r="G495" s="774">
        <f>G447</f>
        <v>205.17656862999999</v>
      </c>
      <c r="H495" s="775">
        <f>SUM(D495:G495)</f>
        <v>802.99108373000001</v>
      </c>
      <c r="I495" s="772">
        <f>I447</f>
        <v>223.88844768999999</v>
      </c>
      <c r="J495" s="773">
        <f>J447</f>
        <v>220.98212272000001</v>
      </c>
      <c r="K495" s="773">
        <f>K447</f>
        <v>207.62195399999999</v>
      </c>
      <c r="L495" s="774">
        <f>L447</f>
        <v>211.97998600000003</v>
      </c>
      <c r="M495" s="775">
        <f>SUM(I495:L495)</f>
        <v>864.47251041000004</v>
      </c>
      <c r="N495" s="772">
        <f>N447</f>
        <v>264.195672</v>
      </c>
      <c r="O495" s="773">
        <f>O447</f>
        <v>245.62864160000001</v>
      </c>
      <c r="P495" s="773">
        <f>P447</f>
        <v>244.54220535999997</v>
      </c>
      <c r="Q495" s="774">
        <f>Q447</f>
        <v>226.20983760000001</v>
      </c>
      <c r="R495" s="775">
        <f>SUM(N495:Q495)</f>
        <v>980.57635655999991</v>
      </c>
      <c r="S495" s="772">
        <f>S447</f>
        <v>236.4437776</v>
      </c>
      <c r="T495" s="773">
        <f>T447</f>
        <v>238.21941326000001</v>
      </c>
      <c r="U495" s="773">
        <f>U447</f>
        <v>234.42350443999999</v>
      </c>
      <c r="V495" s="774">
        <f>V447</f>
        <v>204.58967420000005</v>
      </c>
      <c r="W495" s="775">
        <f>SUM(S495:V495)</f>
        <v>913.67636949999996</v>
      </c>
      <c r="X495" s="772">
        <f>X447</f>
        <v>212.44721630000001</v>
      </c>
      <c r="Y495" s="773">
        <f>Y447</f>
        <v>207.39693295000001</v>
      </c>
      <c r="Z495" s="773">
        <f>Z447</f>
        <v>198.38135019000003</v>
      </c>
      <c r="AA495" s="774">
        <f>AA447</f>
        <v>196.26899333</v>
      </c>
      <c r="AB495" s="775">
        <f>SUM(X495:AA495)</f>
        <v>814.49449277000008</v>
      </c>
      <c r="AC495" s="772">
        <f>AC447</f>
        <v>213.89779591000001</v>
      </c>
      <c r="AD495" s="773">
        <f>AD447</f>
        <v>211.08063891999998</v>
      </c>
      <c r="AE495" s="773">
        <f>AE447</f>
        <v>203.23724656000002</v>
      </c>
      <c r="AF495" s="774">
        <f>AF447</f>
        <v>182.78711379999999</v>
      </c>
      <c r="AG495" s="775">
        <f>SUM(AC495:AF495)</f>
        <v>811.00279518999992</v>
      </c>
      <c r="AH495" s="772">
        <f>AH447</f>
        <v>197.40722510322968</v>
      </c>
      <c r="AI495" s="773">
        <f>AI447</f>
        <v>197.14213749782897</v>
      </c>
      <c r="AJ495" s="773">
        <f>AJ447</f>
        <v>204.28586228508277</v>
      </c>
      <c r="AK495" s="774">
        <f>AK447</f>
        <v>185.81643121065886</v>
      </c>
      <c r="AL495" s="775">
        <f>SUM(AH495:AK495)</f>
        <v>784.65165609680025</v>
      </c>
      <c r="AM495" s="772">
        <f>AM447</f>
        <v>195.33541980322968</v>
      </c>
      <c r="AN495" s="773">
        <f>AN447</f>
        <v>193.85129178337172</v>
      </c>
      <c r="AO495" s="773">
        <f>AO447</f>
        <v>202.17680030938109</v>
      </c>
      <c r="AP495" s="773">
        <f>AP447</f>
        <v>229.95793678924565</v>
      </c>
      <c r="AQ495" s="775">
        <f>SUM(AM495:AP495)</f>
        <v>821.32144868522812</v>
      </c>
      <c r="AR495" s="772">
        <f>AR447</f>
        <v>251.56952419322965</v>
      </c>
      <c r="AS495" s="773">
        <f>AS447</f>
        <v>246.89575997038324</v>
      </c>
      <c r="AT495" s="773">
        <f>AT447</f>
        <v>248.23913706999969</v>
      </c>
      <c r="AU495" s="774">
        <f>AU447</f>
        <v>347.05545658166079</v>
      </c>
      <c r="AV495" s="775">
        <f>SUM(AR495:AU495)</f>
        <v>1093.7598778152733</v>
      </c>
      <c r="AW495" s="772">
        <f>AW447</f>
        <v>369.77942374806821</v>
      </c>
      <c r="AX495" s="773">
        <f>AX447</f>
        <v>364.03149465857172</v>
      </c>
      <c r="AY495" s="773">
        <f>AY447</f>
        <v>355.44031449699975</v>
      </c>
      <c r="AZ495" s="774">
        <f>AZ447</f>
        <v>326.98977681661091</v>
      </c>
      <c r="BA495" s="775">
        <f>SUM(AW495:AZ495)</f>
        <v>1416.2410097202505</v>
      </c>
      <c r="BB495" s="772">
        <f>BB447</f>
        <v>340.52614732870336</v>
      </c>
      <c r="BC495" s="773">
        <f>BC447</f>
        <v>340.47915878087173</v>
      </c>
      <c r="BD495" s="773">
        <f>BD447</f>
        <v>340.67610422564974</v>
      </c>
      <c r="BE495" s="774">
        <f>BE447</f>
        <v>326.46883540147871</v>
      </c>
      <c r="BF495" s="775">
        <f>SUM(BB495:BE495)</f>
        <v>1348.1502457367035</v>
      </c>
      <c r="BG495" s="772">
        <f>BG447</f>
        <v>345.19054936491636</v>
      </c>
      <c r="BH495" s="773">
        <f>BH447</f>
        <v>348.18110972087169</v>
      </c>
      <c r="BI495" s="773">
        <f>BI447</f>
        <v>342.20845457159322</v>
      </c>
      <c r="BJ495" s="773">
        <f>BJ447</f>
        <v>324.87759275830831</v>
      </c>
      <c r="BK495" s="775">
        <f>SUM(BG495:BJ495)</f>
        <v>1360.4577064156895</v>
      </c>
      <c r="BL495" s="773">
        <f>BL447</f>
        <v>338.51038013516552</v>
      </c>
      <c r="BM495" s="773">
        <f>BM447</f>
        <v>332.52142194587162</v>
      </c>
      <c r="BN495" s="773">
        <f>BN447</f>
        <v>329.19434175677725</v>
      </c>
      <c r="BO495" s="774">
        <f>BO447</f>
        <v>310.43474494085905</v>
      </c>
      <c r="BP495" s="775">
        <f>SUM(BL495:BO495)</f>
        <v>1310.6608887786733</v>
      </c>
      <c r="BQ495" s="773">
        <f>BQ447</f>
        <v>327.58443051990719</v>
      </c>
      <c r="BR495" s="773">
        <f>BR447</f>
        <v>330.67403033132808</v>
      </c>
      <c r="BS495" s="773">
        <f>BS447</f>
        <v>325.67373506433842</v>
      </c>
      <c r="BT495" s="774">
        <f>BT447</f>
        <v>311.21089524097192</v>
      </c>
      <c r="BU495" s="3403">
        <f>SUM(BQ495:BT495)</f>
        <v>1295.1430911565456</v>
      </c>
      <c r="BV495" s="773">
        <f>BV447</f>
        <v>325.00408793748704</v>
      </c>
      <c r="BW495" s="773">
        <f t="shared" ref="BW495:BY495" si="1186">BW447</f>
        <v>326.88652172515054</v>
      </c>
      <c r="BX495" s="773">
        <f t="shared" si="1186"/>
        <v>525.02666522397158</v>
      </c>
      <c r="BY495" s="773">
        <f t="shared" si="1186"/>
        <v>508.15788509015334</v>
      </c>
      <c r="BZ495" s="4010">
        <f>SUM(BV495:BY495)</f>
        <v>1685.0751599767625</v>
      </c>
      <c r="CA495" s="775">
        <f t="shared" ref="CA495:CG495" si="1187">CA447</f>
        <v>2096.7959285611278</v>
      </c>
      <c r="CB495" s="775">
        <f t="shared" si="1187"/>
        <v>2101.5879565626637</v>
      </c>
      <c r="CC495" s="775">
        <f t="shared" si="1187"/>
        <v>1229.5268342621257</v>
      </c>
      <c r="CD495" s="775">
        <f t="shared" si="1187"/>
        <v>1168.0504925490193</v>
      </c>
      <c r="CE495" s="775">
        <f t="shared" si="1187"/>
        <v>1191.4115023999998</v>
      </c>
      <c r="CF495" s="775">
        <f t="shared" si="1187"/>
        <v>1215.239732448</v>
      </c>
      <c r="CG495" s="775">
        <f t="shared" si="1187"/>
        <v>1239.5445270969599</v>
      </c>
      <c r="CH495" s="776"/>
      <c r="CI495" s="776"/>
      <c r="CJ495" s="776"/>
      <c r="CK495" s="776"/>
      <c r="CL495" s="776"/>
      <c r="CM495" s="965"/>
      <c r="CN495" s="965">
        <f t="shared" ref="CN495:CN496" si="1188">SUM(BV495:BY495)</f>
        <v>1685.0751599767625</v>
      </c>
      <c r="CO495" s="776"/>
      <c r="CP495" s="1890" t="str">
        <f>A495</f>
        <v>Casino Revenues (est)</v>
      </c>
      <c r="CQ495" s="773">
        <f>H495</f>
        <v>802.99108373000001</v>
      </c>
      <c r="CR495" s="773">
        <f>M495</f>
        <v>864.47251041000004</v>
      </c>
      <c r="CS495" s="773">
        <f>R495</f>
        <v>980.57635655999991</v>
      </c>
      <c r="CT495" s="773">
        <f>W495</f>
        <v>913.67636949999996</v>
      </c>
      <c r="CU495" s="773">
        <f>AB495</f>
        <v>814.49449277000008</v>
      </c>
      <c r="CV495" s="773">
        <f>AG495</f>
        <v>811.00279518999992</v>
      </c>
      <c r="CW495" s="773">
        <f>AL495</f>
        <v>784.65165609680025</v>
      </c>
      <c r="CX495" s="773">
        <f>AQ495</f>
        <v>821.32144868522812</v>
      </c>
      <c r="CY495" s="773">
        <f>AV495</f>
        <v>1093.7598778152733</v>
      </c>
      <c r="CZ495" s="773">
        <f>BA495</f>
        <v>1416.2410097202505</v>
      </c>
      <c r="DA495" s="773">
        <f>BF495</f>
        <v>1348.1502457367035</v>
      </c>
      <c r="DB495" s="773">
        <f>BK495</f>
        <v>1360.4577064156895</v>
      </c>
      <c r="DC495" s="773">
        <f>BP495</f>
        <v>1310.6608887786733</v>
      </c>
      <c r="DD495" s="773">
        <f>BU495</f>
        <v>1295.1430911565456</v>
      </c>
      <c r="DE495" s="773">
        <f t="shared" ref="DE495:DG496" si="1189">BZ495</f>
        <v>1685.0751599767625</v>
      </c>
      <c r="DF495" s="773">
        <f t="shared" si="1189"/>
        <v>2096.7959285611278</v>
      </c>
      <c r="DG495" s="774">
        <f t="shared" si="1189"/>
        <v>2101.5879565626637</v>
      </c>
      <c r="DH495" s="564"/>
      <c r="DI495" s="650"/>
      <c r="DJ495" s="650"/>
      <c r="DK495" s="650"/>
      <c r="DL495" s="650"/>
      <c r="DM495" s="650"/>
      <c r="DN495" s="651"/>
      <c r="DO495" s="320"/>
      <c r="DY495" s="773"/>
      <c r="DZ495" s="773"/>
    </row>
    <row r="496" spans="1:132" ht="12" customHeight="1">
      <c r="A496" s="771" t="s">
        <v>1797</v>
      </c>
      <c r="B496" s="675"/>
      <c r="C496" s="675"/>
      <c r="D496" s="772">
        <f>D499-D495</f>
        <v>2.0729620800000248</v>
      </c>
      <c r="E496" s="773">
        <f>E499-E495</f>
        <v>6.1107887999999946</v>
      </c>
      <c r="F496" s="773">
        <f>F499-F495</f>
        <v>3.5347340200000019</v>
      </c>
      <c r="G496" s="774">
        <f>G499-G495</f>
        <v>3.8294313700000089</v>
      </c>
      <c r="H496" s="775">
        <f>SUM(D496:G496)</f>
        <v>15.54791627000003</v>
      </c>
      <c r="I496" s="772">
        <f>I499-I495</f>
        <v>1.2055523100000016</v>
      </c>
      <c r="J496" s="773">
        <f>J499-J495</f>
        <v>-0.73012271999999712</v>
      </c>
      <c r="K496" s="773">
        <f>K499-K495</f>
        <v>1.3070460000000139</v>
      </c>
      <c r="L496" s="774">
        <f>L499-L495</f>
        <v>0.20901399999996784</v>
      </c>
      <c r="M496" s="775">
        <f>SUM(I496:L496)</f>
        <v>1.9914895899999863</v>
      </c>
      <c r="N496" s="772">
        <f>N499-N495</f>
        <v>-2.1906720000000064</v>
      </c>
      <c r="O496" s="773">
        <f>O499-O495</f>
        <v>0.28235839999999257</v>
      </c>
      <c r="P496" s="773">
        <f>P499-P495</f>
        <v>-3.4342053599999645</v>
      </c>
      <c r="Q496" s="774">
        <f>Q499-Q495</f>
        <v>-3.3478376000000196</v>
      </c>
      <c r="R496" s="775">
        <f>SUM(N496:Q496)</f>
        <v>-8.6903565599999979</v>
      </c>
      <c r="S496" s="772">
        <f>S499-S495</f>
        <v>-1.9347776000000181</v>
      </c>
      <c r="T496" s="773">
        <f>T499-T495</f>
        <v>-3.0454132600000037</v>
      </c>
      <c r="U496" s="773">
        <f>U499-U495</f>
        <v>-7.5465044399999783</v>
      </c>
      <c r="V496" s="774">
        <f>V499-V495</f>
        <v>-7.2426742000000388</v>
      </c>
      <c r="W496" s="775">
        <f>SUM(S496:V496)</f>
        <v>-19.769369500000039</v>
      </c>
      <c r="X496" s="772">
        <f>X499-X495</f>
        <v>-8.7522163000000148</v>
      </c>
      <c r="Y496" s="773">
        <f>Y499-Y495</f>
        <v>-7.498932950000011</v>
      </c>
      <c r="Z496" s="773">
        <f>Z499-Z495</f>
        <v>-9.2973501900000315</v>
      </c>
      <c r="AA496" s="774">
        <f>AA499-AA495</f>
        <v>-11.212993329999989</v>
      </c>
      <c r="AB496" s="775">
        <f>SUM(X496:AA496)</f>
        <v>-36.761492770000046</v>
      </c>
      <c r="AC496" s="772">
        <f>AC499-AC495</f>
        <v>-7.8167959100000246</v>
      </c>
      <c r="AD496" s="773">
        <f>AD499-AD495</f>
        <v>-11.834638919999975</v>
      </c>
      <c r="AE496" s="773">
        <f>AE499-AE495</f>
        <v>-10.600246560000016</v>
      </c>
      <c r="AF496" s="774">
        <f>AF499-AF495</f>
        <v>-10.854113799999993</v>
      </c>
      <c r="AG496" s="775">
        <f>SUM(AC496:AF496)</f>
        <v>-41.105795190000009</v>
      </c>
      <c r="AH496" s="1651">
        <f>AH499-AH495</f>
        <v>-11.601225103229666</v>
      </c>
      <c r="AI496" s="1651">
        <f>AI499-AI495</f>
        <v>-15.423137497828975</v>
      </c>
      <c r="AJ496" s="1651">
        <f>AJ499-AJ495</f>
        <v>-15.590862285082778</v>
      </c>
      <c r="AK496" s="1651">
        <f>AK499-AK495</f>
        <v>-13.27043121065887</v>
      </c>
      <c r="AL496" s="775">
        <f>SUM(AH496:AK496)</f>
        <v>-55.88565609680029</v>
      </c>
      <c r="AM496" s="1650">
        <f>AM499-AM495</f>
        <v>-11.205419803229688</v>
      </c>
      <c r="AN496" s="1651">
        <f>AN499-AN495</f>
        <v>-12.100291783371716</v>
      </c>
      <c r="AO496" s="1651">
        <f>AO499-AO495</f>
        <v>-14.270800309381087</v>
      </c>
      <c r="AP496" s="1651">
        <f>AP499-AP495</f>
        <v>-12.390936789245643</v>
      </c>
      <c r="AQ496" s="775">
        <f>SUM(AM496:AP496)</f>
        <v>-49.967448685228135</v>
      </c>
      <c r="AR496" s="1650">
        <f>AR499-AR495</f>
        <v>-7.8475241932296456</v>
      </c>
      <c r="AS496" s="1651">
        <f>AS499-AS495</f>
        <v>-13.16775997038323</v>
      </c>
      <c r="AT496" s="1651">
        <f>AT499-AT495</f>
        <v>-15.274137069999682</v>
      </c>
      <c r="AU496" s="1651">
        <f>AU499-AU495</f>
        <v>-8.9384565816608301</v>
      </c>
      <c r="AV496" s="777">
        <f>SUM(AR496:AU496)</f>
        <v>-45.227877815273388</v>
      </c>
      <c r="AW496" s="1651">
        <f>AW499-AW495</f>
        <v>-6.7494237480682386</v>
      </c>
      <c r="AX496" s="1651">
        <f>AX499-AX495</f>
        <v>-3.9784946585717194</v>
      </c>
      <c r="AY496" s="1651">
        <f>AY499-AY495</f>
        <v>-9.8873144969997497</v>
      </c>
      <c r="AZ496" s="1651">
        <f>AZ499-AZ495</f>
        <v>-11.050776816610892</v>
      </c>
      <c r="BA496" s="777">
        <f>SUM(AW496:AZ496)</f>
        <v>-31.666009720250599</v>
      </c>
      <c r="BB496" s="1651">
        <f>BB499-BB495</f>
        <v>-6.6171473287033677</v>
      </c>
      <c r="BC496" s="1651">
        <f>BC499-BC495</f>
        <v>-3.6211587808716672</v>
      </c>
      <c r="BD496" s="1651">
        <f>BD499-BD495</f>
        <v>-6.3661042256497353</v>
      </c>
      <c r="BE496" s="1651">
        <f>BE499-BE495</f>
        <v>-6.2168354014787042</v>
      </c>
      <c r="BF496" s="777">
        <f>SUM(BB496:BE496)</f>
        <v>-22.821245736703474</v>
      </c>
      <c r="BG496" s="1651">
        <f>BG499-BG495</f>
        <v>-1.5175493649163627</v>
      </c>
      <c r="BH496" s="1651">
        <f>BH499-BH495</f>
        <v>0.21789027912831216</v>
      </c>
      <c r="BI496" s="1651">
        <f>BI499-BI495</f>
        <v>-0.60245457159322768</v>
      </c>
      <c r="BJ496" s="1651">
        <f>BJ499-BJ495</f>
        <v>-3.4225927583083262</v>
      </c>
      <c r="BK496" s="777">
        <f>SUM(BG496:BJ496)</f>
        <v>-5.3247064156896045</v>
      </c>
      <c r="BL496" s="1651">
        <f>BL499-BL495</f>
        <v>-3.1353801351655193</v>
      </c>
      <c r="BM496" s="1651">
        <f>BM499-BM495</f>
        <v>-1.7964219458716002</v>
      </c>
      <c r="BN496" s="1651">
        <f>BN499-BN495</f>
        <v>-2.7783417567772517</v>
      </c>
      <c r="BO496" s="1651">
        <f>BO499-BO495</f>
        <v>-3.2277449408590542</v>
      </c>
      <c r="BP496" s="777">
        <f>SUM(BL496:BO496)</f>
        <v>-10.937888778673425</v>
      </c>
      <c r="BQ496" s="1651">
        <f>BQ499-BQ495</f>
        <v>-2.7674305199071796</v>
      </c>
      <c r="BR496" s="1651">
        <f>BR499-BR495</f>
        <v>-4.5830303313280751</v>
      </c>
      <c r="BS496" s="1651">
        <f>BS499-BS495</f>
        <v>-4.131735064338443</v>
      </c>
      <c r="BT496" s="1651">
        <f>BT499-BT495</f>
        <v>-2.4178952409719159</v>
      </c>
      <c r="BU496" s="3404">
        <f>SUM(BQ496:BT496)</f>
        <v>-13.900091156545614</v>
      </c>
      <c r="BV496" s="3974">
        <f>BQ496</f>
        <v>-2.7674305199071796</v>
      </c>
      <c r="BW496" s="3974">
        <f>BR496</f>
        <v>-4.5830303313280751</v>
      </c>
      <c r="BX496" s="3974">
        <f>BS496</f>
        <v>-4.131735064338443</v>
      </c>
      <c r="BY496" s="3974">
        <f>BT496</f>
        <v>-2.4178952409719159</v>
      </c>
      <c r="BZ496" s="4011">
        <f>SUM(BV496:BY496)</f>
        <v>-13.900091156545614</v>
      </c>
      <c r="CA496" s="2190">
        <f t="shared" ref="CA496:CG496" si="1190">BZ496</f>
        <v>-13.900091156545614</v>
      </c>
      <c r="CB496" s="2190">
        <f t="shared" si="1190"/>
        <v>-13.900091156545614</v>
      </c>
      <c r="CC496" s="2190">
        <f t="shared" si="1190"/>
        <v>-13.900091156545614</v>
      </c>
      <c r="CD496" s="2190">
        <f t="shared" si="1190"/>
        <v>-13.900091156545614</v>
      </c>
      <c r="CE496" s="2190">
        <f t="shared" si="1190"/>
        <v>-13.900091156545614</v>
      </c>
      <c r="CF496" s="2190">
        <f t="shared" si="1190"/>
        <v>-13.900091156545614</v>
      </c>
      <c r="CG496" s="2190">
        <f t="shared" si="1190"/>
        <v>-13.900091156545614</v>
      </c>
      <c r="CH496" s="776"/>
      <c r="CI496" s="776"/>
      <c r="CJ496" s="776"/>
      <c r="CK496" s="776"/>
      <c r="CL496" s="776"/>
      <c r="CM496" s="965"/>
      <c r="CN496" s="965">
        <f t="shared" si="1188"/>
        <v>-13.900091156545614</v>
      </c>
      <c r="CO496" s="776"/>
      <c r="CP496" s="1890" t="str">
        <f>A496</f>
        <v>Other Revenues (est)</v>
      </c>
      <c r="CQ496" s="773">
        <f>H496</f>
        <v>15.54791627000003</v>
      </c>
      <c r="CR496" s="773">
        <f>M496</f>
        <v>1.9914895899999863</v>
      </c>
      <c r="CS496" s="773">
        <f>R496</f>
        <v>-8.6903565599999979</v>
      </c>
      <c r="CT496" s="773">
        <f>W496</f>
        <v>-19.769369500000039</v>
      </c>
      <c r="CU496" s="773">
        <f>AB496</f>
        <v>-36.761492770000046</v>
      </c>
      <c r="CV496" s="773">
        <f>AG496</f>
        <v>-41.105795190000009</v>
      </c>
      <c r="CW496" s="773">
        <f>AL496</f>
        <v>-55.88565609680029</v>
      </c>
      <c r="CX496" s="773">
        <f>AQ496</f>
        <v>-49.967448685228135</v>
      </c>
      <c r="CY496" s="773">
        <f>AV496</f>
        <v>-45.227877815273388</v>
      </c>
      <c r="CZ496" s="773">
        <f>BA496</f>
        <v>-31.666009720250599</v>
      </c>
      <c r="DA496" s="773">
        <f>BF496</f>
        <v>-22.821245736703474</v>
      </c>
      <c r="DB496" s="773">
        <f>BK496</f>
        <v>-5.3247064156896045</v>
      </c>
      <c r="DC496" s="773">
        <f>BP496</f>
        <v>-10.937888778673425</v>
      </c>
      <c r="DD496" s="773">
        <f>BU496</f>
        <v>-13.900091156545614</v>
      </c>
      <c r="DE496" s="773">
        <f t="shared" si="1189"/>
        <v>-13.900091156545614</v>
      </c>
      <c r="DF496" s="773">
        <f t="shared" si="1189"/>
        <v>-13.900091156545614</v>
      </c>
      <c r="DG496" s="774">
        <f t="shared" si="1189"/>
        <v>-13.900091156545614</v>
      </c>
      <c r="DH496" s="564"/>
      <c r="DI496" s="650"/>
      <c r="DJ496" s="650"/>
      <c r="DK496" s="650"/>
      <c r="DL496" s="650"/>
      <c r="DM496" s="650"/>
      <c r="DN496" s="651"/>
      <c r="DO496" s="320"/>
      <c r="DY496" s="776"/>
      <c r="DZ496" s="776"/>
    </row>
    <row r="497" spans="1:132" ht="12" customHeight="1">
      <c r="A497" s="2194" t="s">
        <v>146</v>
      </c>
      <c r="B497" s="746"/>
      <c r="C497" s="746"/>
      <c r="D497" s="593">
        <f>+D496/D495</f>
        <v>1.1364173678653592E-2</v>
      </c>
      <c r="E497" s="310">
        <f t="shared" ref="E497:CB497" si="1191">+E496/E495</f>
        <v>3.1441666243999751E-2</v>
      </c>
      <c r="F497" s="310">
        <f t="shared" si="1191"/>
        <v>1.5990706887575985E-2</v>
      </c>
      <c r="G497" s="310">
        <f t="shared" si="1191"/>
        <v>1.8664077460549201E-2</v>
      </c>
      <c r="H497" s="594">
        <f t="shared" si="1191"/>
        <v>1.9362501757526247E-2</v>
      </c>
      <c r="I497" s="310">
        <f t="shared" si="1191"/>
        <v>5.3846114993357369E-3</v>
      </c>
      <c r="J497" s="310">
        <f t="shared" si="1191"/>
        <v>-3.3039899835024858E-3</v>
      </c>
      <c r="K497" s="310">
        <f t="shared" si="1191"/>
        <v>6.295316920098026E-3</v>
      </c>
      <c r="L497" s="310">
        <f t="shared" si="1191"/>
        <v>9.8600817909275562E-4</v>
      </c>
      <c r="M497" s="594">
        <f t="shared" si="1191"/>
        <v>2.3037049368469418E-3</v>
      </c>
      <c r="N497" s="310">
        <f t="shared" si="1191"/>
        <v>-8.2918542284069145E-3</v>
      </c>
      <c r="O497" s="310">
        <f t="shared" si="1191"/>
        <v>1.1495336950965436E-3</v>
      </c>
      <c r="P497" s="310">
        <f t="shared" si="1191"/>
        <v>-1.4043405533798712E-2</v>
      </c>
      <c r="Q497" s="310">
        <f t="shared" si="1191"/>
        <v>-1.4799699409713114E-2</v>
      </c>
      <c r="R497" s="594">
        <f t="shared" si="1191"/>
        <v>-8.8624985722549881E-3</v>
      </c>
      <c r="S497" s="310">
        <f t="shared" si="1191"/>
        <v>-8.1828230780221552E-3</v>
      </c>
      <c r="T497" s="310">
        <f t="shared" si="1191"/>
        <v>-1.2784068344069616E-2</v>
      </c>
      <c r="U497" s="310">
        <f t="shared" si="1191"/>
        <v>-3.2191756786621555E-2</v>
      </c>
      <c r="V497" s="310">
        <f t="shared" si="1191"/>
        <v>-3.5400976262955686E-2</v>
      </c>
      <c r="W497" s="594">
        <f t="shared" si="1191"/>
        <v>-2.1637168432864937E-2</v>
      </c>
      <c r="X497" s="310">
        <f t="shared" si="1191"/>
        <v>-4.1197133351189102E-2</v>
      </c>
      <c r="Y497" s="310">
        <f t="shared" si="1191"/>
        <v>-3.615739559566139E-2</v>
      </c>
      <c r="Z497" s="310">
        <f t="shared" si="1191"/>
        <v>-4.6866049561087676E-2</v>
      </c>
      <c r="AA497" s="310">
        <f t="shared" si="1191"/>
        <v>-5.7130742557724559E-2</v>
      </c>
      <c r="AB497" s="594">
        <f t="shared" si="1191"/>
        <v>-4.513412072926181E-2</v>
      </c>
      <c r="AC497" s="310">
        <f t="shared" si="1191"/>
        <v>-3.6544536967968722E-2</v>
      </c>
      <c r="AD497" s="310">
        <f t="shared" si="1191"/>
        <v>-5.6066908744223237E-2</v>
      </c>
      <c r="AE497" s="310">
        <f t="shared" si="1191"/>
        <v>-5.2157007337090618E-2</v>
      </c>
      <c r="AF497" s="310">
        <f t="shared" si="1191"/>
        <v>-5.9381176136279655E-2</v>
      </c>
      <c r="AG497" s="594">
        <f t="shared" si="1191"/>
        <v>-5.0685146134878407E-2</v>
      </c>
      <c r="AH497" s="310">
        <f t="shared" si="1191"/>
        <v>-5.8767986314396878E-2</v>
      </c>
      <c r="AI497" s="310">
        <f t="shared" si="1191"/>
        <v>-7.8233591730224705E-2</v>
      </c>
      <c r="AJ497" s="310">
        <f t="shared" si="1191"/>
        <v>-7.6318850999711321E-2</v>
      </c>
      <c r="AK497" s="310">
        <f t="shared" si="1191"/>
        <v>-7.1416887754206571E-2</v>
      </c>
      <c r="AL497" s="594">
        <f t="shared" si="1191"/>
        <v>-7.1223524047345971E-2</v>
      </c>
      <c r="AM497" s="310">
        <f t="shared" si="1191"/>
        <v>-5.7365017642562834E-2</v>
      </c>
      <c r="AN497" s="310">
        <f t="shared" si="1191"/>
        <v>-6.2420485682879834E-2</v>
      </c>
      <c r="AO497" s="310">
        <f t="shared" si="1191"/>
        <v>-7.0585746176332759E-2</v>
      </c>
      <c r="AP497" s="310">
        <f t="shared" si="1191"/>
        <v>-5.3883492617181651E-2</v>
      </c>
      <c r="AQ497" s="594">
        <f t="shared" si="1191"/>
        <v>-6.0837871414676989E-2</v>
      </c>
      <c r="AR497" s="310">
        <f t="shared" si="1191"/>
        <v>-3.119425621365007E-2</v>
      </c>
      <c r="AS497" s="310">
        <f t="shared" si="1191"/>
        <v>-5.3333277055720961E-2</v>
      </c>
      <c r="AT497" s="310">
        <f t="shared" si="1191"/>
        <v>-6.1529931381015902E-2</v>
      </c>
      <c r="AU497" s="310">
        <f t="shared" si="1191"/>
        <v>-2.5755124756431099E-2</v>
      </c>
      <c r="AV497" s="779">
        <f t="shared" si="1191"/>
        <v>-4.1350829128614271E-2</v>
      </c>
      <c r="AW497" s="310">
        <f t="shared" si="1191"/>
        <v>-1.8252567110566543E-2</v>
      </c>
      <c r="AX497" s="310">
        <f t="shared" si="1191"/>
        <v>-1.0928984763538615E-2</v>
      </c>
      <c r="AY497" s="310">
        <f t="shared" si="1191"/>
        <v>-2.7817087971553682E-2</v>
      </c>
      <c r="AZ497" s="310">
        <f t="shared" si="1191"/>
        <v>-3.3795481082604654E-2</v>
      </c>
      <c r="BA497" s="779">
        <f t="shared" si="1191"/>
        <v>-2.2359195576821752E-2</v>
      </c>
      <c r="BB497" s="310">
        <f t="shared" si="1191"/>
        <v>-1.9432126961798215E-2</v>
      </c>
      <c r="BC497" s="310">
        <f t="shared" si="1191"/>
        <v>-1.0635478523377701E-2</v>
      </c>
      <c r="BD497" s="310">
        <f t="shared" si="1191"/>
        <v>-1.8686676719283757E-2</v>
      </c>
      <c r="BE497" s="310">
        <f t="shared" si="1191"/>
        <v>-1.9042661128231369E-2</v>
      </c>
      <c r="BF497" s="779">
        <f t="shared" si="1191"/>
        <v>-1.6927820774332678E-2</v>
      </c>
      <c r="BG497" s="310">
        <f>+BG496/BG495</f>
        <v>-4.3962656790817681E-3</v>
      </c>
      <c r="BH497" s="310">
        <f>+BH496/BH495</f>
        <v>6.2579580868987836E-4</v>
      </c>
      <c r="BI497" s="310">
        <f>+BI496/BI495</f>
        <v>-1.7604900274817393E-3</v>
      </c>
      <c r="BJ497" s="1891">
        <f>+BJ496/BJ495</f>
        <v>-1.0535022527252452E-2</v>
      </c>
      <c r="BK497" s="779">
        <f t="shared" si="1191"/>
        <v>-3.9139080844477455E-3</v>
      </c>
      <c r="BL497" s="310">
        <f t="shared" ref="BL497:BY497" si="1192">+BL496/BL495</f>
        <v>-9.2622865328784824E-3</v>
      </c>
      <c r="BM497" s="310">
        <f t="shared" si="1192"/>
        <v>-5.4024247080358767E-3</v>
      </c>
      <c r="BN497" s="310">
        <f t="shared" si="1192"/>
        <v>-8.4398223309379017E-3</v>
      </c>
      <c r="BO497" s="1891">
        <f t="shared" si="1192"/>
        <v>-1.0397498970271424E-2</v>
      </c>
      <c r="BP497" s="779">
        <f t="shared" si="1192"/>
        <v>-8.3453232428914483E-3</v>
      </c>
      <c r="BQ497" s="310">
        <f t="shared" si="1192"/>
        <v>-8.4479916078887152E-3</v>
      </c>
      <c r="BR497" s="310">
        <f t="shared" si="1192"/>
        <v>-1.3859662117209445E-2</v>
      </c>
      <c r="BS497" s="310">
        <f t="shared" si="1192"/>
        <v>-1.2686730980999124E-2</v>
      </c>
      <c r="BT497" s="1891">
        <f t="shared" si="1192"/>
        <v>-7.7693142429982381E-3</v>
      </c>
      <c r="BU497" s="3378">
        <f t="shared" si="1192"/>
        <v>-1.0732475238803935E-2</v>
      </c>
      <c r="BV497" s="310">
        <f t="shared" si="1192"/>
        <v>-8.5150637257199093E-3</v>
      </c>
      <c r="BW497" s="310">
        <f t="shared" si="1192"/>
        <v>-1.4020248700194292E-2</v>
      </c>
      <c r="BX497" s="310">
        <f t="shared" si="1192"/>
        <v>-7.869571848461987E-3</v>
      </c>
      <c r="BY497" s="310">
        <f t="shared" si="1192"/>
        <v>-4.7581574780502563E-3</v>
      </c>
      <c r="BZ497" s="3865">
        <f t="shared" ref="BZ497" si="1193">+BZ496/BZ495</f>
        <v>-8.2489443122153068E-3</v>
      </c>
      <c r="CA497" s="779">
        <f t="shared" si="1191"/>
        <v>-6.6292055260161603E-3</v>
      </c>
      <c r="CB497" s="779">
        <f t="shared" si="1191"/>
        <v>-6.61408965213165E-3</v>
      </c>
      <c r="CC497" s="779">
        <f>+CC496/CC495</f>
        <v>-1.1305236103193679E-2</v>
      </c>
      <c r="CD497" s="779">
        <f>+CD496/CD495</f>
        <v>-1.1900248529677557E-2</v>
      </c>
      <c r="CE497" s="779">
        <f>+CE496/CE495</f>
        <v>-1.166691032321329E-2</v>
      </c>
      <c r="CF497" s="779">
        <f>+CF496/CF495</f>
        <v>-1.1438147375699302E-2</v>
      </c>
      <c r="CG497" s="779">
        <f>+CG496/CG495</f>
        <v>-1.1213869976175787E-2</v>
      </c>
      <c r="CH497" s="592"/>
      <c r="CI497" s="592"/>
      <c r="CJ497" s="592"/>
      <c r="CK497" s="592"/>
      <c r="CL497" s="592"/>
      <c r="CM497" s="592"/>
      <c r="CN497" s="592"/>
      <c r="CO497" s="592"/>
      <c r="CP497" s="2195"/>
      <c r="CQ497" s="310"/>
      <c r="CR497" s="310"/>
      <c r="CS497" s="310"/>
      <c r="CT497" s="310"/>
      <c r="CU497" s="310"/>
      <c r="CV497" s="310"/>
      <c r="CW497" s="310"/>
      <c r="CX497" s="310"/>
      <c r="CY497" s="310"/>
      <c r="CZ497" s="310"/>
      <c r="DA497" s="310"/>
      <c r="DB497" s="310"/>
      <c r="DC497" s="310"/>
      <c r="DD497" s="310"/>
      <c r="DE497" s="310"/>
      <c r="DF497" s="310"/>
      <c r="DG497" s="1891"/>
      <c r="DH497" s="747"/>
      <c r="DI497" s="592"/>
      <c r="DJ497" s="592"/>
      <c r="DK497" s="592"/>
      <c r="DL497" s="592"/>
      <c r="DM497" s="592"/>
      <c r="DN497" s="592"/>
      <c r="DO497" s="749"/>
      <c r="DY497" s="592"/>
      <c r="DZ497" s="592"/>
    </row>
    <row r="498" spans="1:132" ht="4.5" customHeight="1">
      <c r="A498" s="962"/>
      <c r="B498" s="293"/>
      <c r="C498" s="293"/>
      <c r="D498" s="294" t="s">
        <v>343</v>
      </c>
      <c r="E498" s="295" t="s">
        <v>343</v>
      </c>
      <c r="F498" s="295" t="s">
        <v>343</v>
      </c>
      <c r="G498" s="295" t="s">
        <v>343</v>
      </c>
      <c r="H498" s="296" t="s">
        <v>343</v>
      </c>
      <c r="I498" s="295" t="s">
        <v>343</v>
      </c>
      <c r="J498" s="295" t="s">
        <v>343</v>
      </c>
      <c r="K498" s="295" t="s">
        <v>343</v>
      </c>
      <c r="L498" s="295" t="s">
        <v>343</v>
      </c>
      <c r="M498" s="296" t="s">
        <v>343</v>
      </c>
      <c r="N498" s="295" t="s">
        <v>343</v>
      </c>
      <c r="O498" s="295" t="s">
        <v>343</v>
      </c>
      <c r="P498" s="295" t="s">
        <v>343</v>
      </c>
      <c r="Q498" s="295" t="s">
        <v>343</v>
      </c>
      <c r="R498" s="296" t="s">
        <v>343</v>
      </c>
      <c r="S498" s="295" t="s">
        <v>343</v>
      </c>
      <c r="T498" s="295" t="s">
        <v>343</v>
      </c>
      <c r="U498" s="295" t="s">
        <v>343</v>
      </c>
      <c r="V498" s="295" t="s">
        <v>343</v>
      </c>
      <c r="W498" s="296" t="s">
        <v>343</v>
      </c>
      <c r="X498" s="295" t="s">
        <v>343</v>
      </c>
      <c r="Y498" s="295" t="s">
        <v>343</v>
      </c>
      <c r="Z498" s="295" t="s">
        <v>343</v>
      </c>
      <c r="AA498" s="295" t="s">
        <v>343</v>
      </c>
      <c r="AB498" s="296" t="s">
        <v>343</v>
      </c>
      <c r="AC498" s="295" t="s">
        <v>343</v>
      </c>
      <c r="AD498" s="295" t="s">
        <v>343</v>
      </c>
      <c r="AE498" s="295" t="s">
        <v>343</v>
      </c>
      <c r="AF498" s="295" t="s">
        <v>343</v>
      </c>
      <c r="AG498" s="296" t="s">
        <v>343</v>
      </c>
      <c r="AH498" s="295" t="s">
        <v>343</v>
      </c>
      <c r="AI498" s="295" t="s">
        <v>343</v>
      </c>
      <c r="AJ498" s="295" t="s">
        <v>343</v>
      </c>
      <c r="AK498" s="295" t="s">
        <v>343</v>
      </c>
      <c r="AL498" s="296" t="s">
        <v>343</v>
      </c>
      <c r="AM498" s="295" t="s">
        <v>343</v>
      </c>
      <c r="AN498" s="295" t="s">
        <v>343</v>
      </c>
      <c r="AO498" s="295" t="s">
        <v>343</v>
      </c>
      <c r="AP498" s="295" t="s">
        <v>343</v>
      </c>
      <c r="AQ498" s="296" t="s">
        <v>343</v>
      </c>
      <c r="AR498" s="295" t="s">
        <v>343</v>
      </c>
      <c r="AS498" s="295" t="s">
        <v>343</v>
      </c>
      <c r="AT498" s="295" t="s">
        <v>343</v>
      </c>
      <c r="AU498" s="295" t="s">
        <v>343</v>
      </c>
      <c r="AV498" s="296" t="s">
        <v>343</v>
      </c>
      <c r="AW498" s="295" t="s">
        <v>343</v>
      </c>
      <c r="AX498" s="295" t="s">
        <v>343</v>
      </c>
      <c r="AY498" s="295" t="s">
        <v>343</v>
      </c>
      <c r="AZ498" s="295" t="s">
        <v>343</v>
      </c>
      <c r="BA498" s="296" t="s">
        <v>343</v>
      </c>
      <c r="BB498" s="295" t="s">
        <v>343</v>
      </c>
      <c r="BC498" s="295" t="s">
        <v>343</v>
      </c>
      <c r="BD498" s="295" t="s">
        <v>343</v>
      </c>
      <c r="BE498" s="295" t="s">
        <v>343</v>
      </c>
      <c r="BF498" s="296" t="s">
        <v>343</v>
      </c>
      <c r="BG498" s="295" t="s">
        <v>343</v>
      </c>
      <c r="BH498" s="295" t="s">
        <v>343</v>
      </c>
      <c r="BI498" s="295" t="s">
        <v>343</v>
      </c>
      <c r="BJ498" s="297" t="s">
        <v>343</v>
      </c>
      <c r="BK498" s="296" t="s">
        <v>343</v>
      </c>
      <c r="BL498" s="295" t="s">
        <v>343</v>
      </c>
      <c r="BM498" s="295" t="s">
        <v>343</v>
      </c>
      <c r="BN498" s="295" t="s">
        <v>343</v>
      </c>
      <c r="BO498" s="297" t="s">
        <v>343</v>
      </c>
      <c r="BP498" s="296" t="s">
        <v>343</v>
      </c>
      <c r="BQ498" s="295" t="s">
        <v>343</v>
      </c>
      <c r="BR498" s="295" t="s">
        <v>343</v>
      </c>
      <c r="BS498" s="295" t="s">
        <v>343</v>
      </c>
      <c r="BT498" s="297" t="s">
        <v>343</v>
      </c>
      <c r="BU498" s="3314" t="s">
        <v>343</v>
      </c>
      <c r="BV498" s="295" t="s">
        <v>343</v>
      </c>
      <c r="BW498" s="295" t="s">
        <v>343</v>
      </c>
      <c r="BX498" s="295" t="s">
        <v>343</v>
      </c>
      <c r="BY498" s="295" t="s">
        <v>343</v>
      </c>
      <c r="BZ498" s="296" t="s">
        <v>343</v>
      </c>
      <c r="CA498" s="297" t="s">
        <v>343</v>
      </c>
      <c r="CB498" s="297" t="s">
        <v>343</v>
      </c>
      <c r="CC498" s="297" t="s">
        <v>343</v>
      </c>
      <c r="CD498" s="297" t="s">
        <v>343</v>
      </c>
      <c r="CE498" s="297" t="s">
        <v>343</v>
      </c>
      <c r="CF498" s="297" t="s">
        <v>343</v>
      </c>
      <c r="CG498" s="297" t="s">
        <v>343</v>
      </c>
      <c r="CH498" s="295"/>
      <c r="CI498" s="295"/>
      <c r="CJ498" s="295"/>
      <c r="CK498" s="295"/>
      <c r="CL498" s="295"/>
      <c r="CM498" s="295"/>
      <c r="CN498" s="295"/>
      <c r="CO498" s="295"/>
      <c r="CP498" s="1784"/>
      <c r="CQ498" s="295" t="str">
        <f>H498</f>
        <v xml:space="preserve">                </v>
      </c>
      <c r="CR498" s="295" t="str">
        <f>M498</f>
        <v xml:space="preserve">                </v>
      </c>
      <c r="CS498" s="295" t="str">
        <f>R498</f>
        <v xml:space="preserve">                </v>
      </c>
      <c r="CT498" s="295" t="str">
        <f>W498</f>
        <v xml:space="preserve">                </v>
      </c>
      <c r="CU498" s="295" t="str">
        <f>AB498</f>
        <v xml:space="preserve">                </v>
      </c>
      <c r="CV498" s="295" t="str">
        <f>AG498</f>
        <v xml:space="preserve">                </v>
      </c>
      <c r="CW498" s="295" t="str">
        <f>AL498</f>
        <v xml:space="preserve">                </v>
      </c>
      <c r="CX498" s="295" t="str">
        <f>AQ498</f>
        <v xml:space="preserve">                </v>
      </c>
      <c r="CY498" s="295" t="str">
        <f>AV498</f>
        <v xml:space="preserve">                </v>
      </c>
      <c r="CZ498" s="295" t="str">
        <f>BA498</f>
        <v xml:space="preserve">                </v>
      </c>
      <c r="DA498" s="295" t="str">
        <f>BF498</f>
        <v xml:space="preserve">                </v>
      </c>
      <c r="DB498" s="295" t="str">
        <f>BK498</f>
        <v xml:space="preserve">                </v>
      </c>
      <c r="DC498" s="295" t="str">
        <f>BP498</f>
        <v xml:space="preserve">                </v>
      </c>
      <c r="DD498" s="295" t="str">
        <f>BU498</f>
        <v xml:space="preserve">                </v>
      </c>
      <c r="DE498" s="295" t="str">
        <f>BZ498</f>
        <v xml:space="preserve">                </v>
      </c>
      <c r="DF498" s="295" t="str">
        <f>CA498</f>
        <v xml:space="preserve">                </v>
      </c>
      <c r="DG498" s="297" t="str">
        <f>CB498</f>
        <v xml:space="preserve">                </v>
      </c>
      <c r="DH498" s="298"/>
      <c r="DI498" s="299"/>
      <c r="DJ498" s="299"/>
      <c r="DK498" s="299"/>
      <c r="DL498" s="299"/>
      <c r="DM498" s="299"/>
      <c r="DN498" s="299"/>
      <c r="DO498" s="300"/>
      <c r="DY498" s="295"/>
      <c r="DZ498" s="295"/>
    </row>
    <row r="499" spans="1:132" s="2266" customFormat="1" ht="12" customHeight="1">
      <c r="A499" s="837" t="s">
        <v>504</v>
      </c>
      <c r="B499" s="837"/>
      <c r="C499" s="837"/>
      <c r="D499" s="2962">
        <v>184.48500000000001</v>
      </c>
      <c r="E499" s="662">
        <v>200.464</v>
      </c>
      <c r="F499" s="662">
        <v>224.584</v>
      </c>
      <c r="G499" s="662">
        <v>209.006</v>
      </c>
      <c r="H499" s="3135">
        <f>SUM(D499:G499)</f>
        <v>818.53899999999999</v>
      </c>
      <c r="I499" s="662">
        <v>225.09399999999999</v>
      </c>
      <c r="J499" s="662">
        <v>220.25200000000001</v>
      </c>
      <c r="K499" s="662">
        <v>208.929</v>
      </c>
      <c r="L499" s="662">
        <v>212.18899999999999</v>
      </c>
      <c r="M499" s="3135">
        <f>SUM(I499:L499)</f>
        <v>866.46399999999994</v>
      </c>
      <c r="N499" s="662">
        <v>262.005</v>
      </c>
      <c r="O499" s="662">
        <v>245.911</v>
      </c>
      <c r="P499" s="662">
        <v>241.108</v>
      </c>
      <c r="Q499" s="662">
        <v>222.86199999999999</v>
      </c>
      <c r="R499" s="3135">
        <f>SUM(N499:Q499)</f>
        <v>971.88599999999997</v>
      </c>
      <c r="S499" s="662">
        <v>234.50899999999999</v>
      </c>
      <c r="T499" s="662">
        <v>235.17400000000001</v>
      </c>
      <c r="U499" s="662">
        <v>226.87700000000001</v>
      </c>
      <c r="V499" s="662">
        <v>197.34700000000001</v>
      </c>
      <c r="W499" s="3135">
        <f>SUM(S499:V499)</f>
        <v>893.90699999999993</v>
      </c>
      <c r="X499" s="662">
        <v>203.69499999999999</v>
      </c>
      <c r="Y499" s="662">
        <v>199.898</v>
      </c>
      <c r="Z499" s="662">
        <v>189.084</v>
      </c>
      <c r="AA499" s="662">
        <v>185.05600000000001</v>
      </c>
      <c r="AB499" s="3135">
        <f>SUM(X499:AA499)</f>
        <v>777.73299999999995</v>
      </c>
      <c r="AC499" s="662">
        <v>206.08099999999999</v>
      </c>
      <c r="AD499" s="662">
        <v>199.24600000000001</v>
      </c>
      <c r="AE499" s="662">
        <v>192.637</v>
      </c>
      <c r="AF499" s="662">
        <v>171.93299999999999</v>
      </c>
      <c r="AG499" s="3135">
        <f>SUM(AC499:AF499)</f>
        <v>769.89699999999993</v>
      </c>
      <c r="AH499" s="662">
        <v>185.80600000000001</v>
      </c>
      <c r="AI499" s="662">
        <v>181.71899999999999</v>
      </c>
      <c r="AJ499" s="662">
        <v>188.69499999999999</v>
      </c>
      <c r="AK499" s="662">
        <v>172.54599999999999</v>
      </c>
      <c r="AL499" s="3135">
        <f>SUM(AH499:AK499)</f>
        <v>728.76600000000008</v>
      </c>
      <c r="AM499" s="3870">
        <v>184.13</v>
      </c>
      <c r="AN499" s="3870">
        <v>181.751</v>
      </c>
      <c r="AO499" s="3870">
        <v>187.90600000000001</v>
      </c>
      <c r="AP499" s="3870">
        <v>217.56700000000001</v>
      </c>
      <c r="AQ499" s="3135">
        <f>SUM(AM499:AP499)</f>
        <v>771.35400000000004</v>
      </c>
      <c r="AR499" s="3870">
        <v>243.72200000000001</v>
      </c>
      <c r="AS499" s="3870">
        <v>233.72800000000001</v>
      </c>
      <c r="AT499" s="3870">
        <v>232.965</v>
      </c>
      <c r="AU499" s="3871">
        <f t="shared" ref="AU499" si="1194">+AU500+AU713</f>
        <v>338.11699999999996</v>
      </c>
      <c r="AV499" s="3135">
        <f>AV496+AV495</f>
        <v>1048.5319999999999</v>
      </c>
      <c r="AW499" s="690">
        <f t="shared" ref="AW499" si="1195">+AW500+AW713</f>
        <v>363.03</v>
      </c>
      <c r="AX499" s="690">
        <f t="shared" ref="AX499" si="1196">+AX500+AX713</f>
        <v>360.053</v>
      </c>
      <c r="AY499" s="690">
        <f t="shared" ref="AY499" si="1197">+AY500+AY713</f>
        <v>345.553</v>
      </c>
      <c r="AZ499" s="690">
        <f t="shared" ref="AZ499" si="1198">+AZ500+AZ713</f>
        <v>315.93900000000002</v>
      </c>
      <c r="BA499" s="3135">
        <f>BA496+BA495</f>
        <v>1384.5749999999998</v>
      </c>
      <c r="BB499" s="690">
        <f t="shared" ref="BB499" si="1199">+BB500+BB713</f>
        <v>333.90899999999999</v>
      </c>
      <c r="BC499" s="690">
        <f t="shared" ref="BC499" si="1200">+BC500+BC713</f>
        <v>336.85800000000006</v>
      </c>
      <c r="BD499" s="690">
        <f t="shared" ref="BD499" si="1201">+BD500+BD713</f>
        <v>334.31</v>
      </c>
      <c r="BE499" s="690">
        <f t="shared" ref="BE499" si="1202">+BE500+BE713</f>
        <v>320.25200000000001</v>
      </c>
      <c r="BF499" s="3135">
        <f>BF496+BF495</f>
        <v>1325.329</v>
      </c>
      <c r="BG499" s="690">
        <f t="shared" ref="BG499" si="1203">+BG500+BG713</f>
        <v>343.673</v>
      </c>
      <c r="BH499" s="690">
        <f t="shared" ref="BH499" si="1204">+BH500+BH713</f>
        <v>348.399</v>
      </c>
      <c r="BI499" s="690">
        <f t="shared" ref="BI499" si="1205">+BI500+BI713</f>
        <v>341.60599999999999</v>
      </c>
      <c r="BJ499" s="690">
        <f t="shared" ref="BJ499" si="1206">+BJ500+BJ713</f>
        <v>321.45499999999998</v>
      </c>
      <c r="BK499" s="3135">
        <f>BK496+BK495</f>
        <v>1355.1329999999998</v>
      </c>
      <c r="BL499" s="690">
        <f t="shared" ref="BL499" si="1207">+BL500+BL713</f>
        <v>335.375</v>
      </c>
      <c r="BM499" s="690">
        <f t="shared" ref="BM499" si="1208">+BM500+BM713</f>
        <v>330.72500000000002</v>
      </c>
      <c r="BN499" s="3870">
        <v>326.416</v>
      </c>
      <c r="BO499" s="3870">
        <v>307.20699999999999</v>
      </c>
      <c r="BP499" s="3135">
        <f t="shared" ref="BP499:CG499" si="1209">BP496+BP495</f>
        <v>1299.723</v>
      </c>
      <c r="BQ499" s="3870">
        <v>324.81700000000001</v>
      </c>
      <c r="BR499" s="3870">
        <v>326.09100000000001</v>
      </c>
      <c r="BS499" s="3870">
        <v>321.54199999999997</v>
      </c>
      <c r="BT499" s="3870">
        <v>308.79300000000001</v>
      </c>
      <c r="BU499" s="3385">
        <f t="shared" si="1209"/>
        <v>1281.2429999999999</v>
      </c>
      <c r="BV499" s="690">
        <f t="shared" ref="BV499:BZ499" si="1210">BV496+BV495</f>
        <v>322.23665741757986</v>
      </c>
      <c r="BW499" s="690">
        <f t="shared" si="1210"/>
        <v>322.30349139382247</v>
      </c>
      <c r="BX499" s="690">
        <f t="shared" si="1210"/>
        <v>520.89493015963308</v>
      </c>
      <c r="BY499" s="690">
        <f t="shared" si="1210"/>
        <v>505.73998984918143</v>
      </c>
      <c r="BZ499" s="3135">
        <f t="shared" si="1210"/>
        <v>1671.1750688202169</v>
      </c>
      <c r="CA499" s="3135">
        <f t="shared" si="1209"/>
        <v>2082.8958374045824</v>
      </c>
      <c r="CB499" s="3135">
        <f t="shared" si="1209"/>
        <v>2087.6878654061184</v>
      </c>
      <c r="CC499" s="3135">
        <f t="shared" si="1209"/>
        <v>1215.6267431055801</v>
      </c>
      <c r="CD499" s="3135">
        <f t="shared" si="1209"/>
        <v>1154.1504013924737</v>
      </c>
      <c r="CE499" s="3135">
        <f t="shared" si="1209"/>
        <v>1177.5114112434542</v>
      </c>
      <c r="CF499" s="3135">
        <f t="shared" si="1209"/>
        <v>1201.3396412914544</v>
      </c>
      <c r="CG499" s="3135">
        <f t="shared" si="1209"/>
        <v>1225.6444359404143</v>
      </c>
      <c r="CH499" s="690"/>
      <c r="CI499" s="690"/>
      <c r="CJ499" s="690"/>
      <c r="CK499" s="690"/>
      <c r="CL499" s="690"/>
      <c r="CM499" s="965"/>
      <c r="CN499" s="965">
        <f t="shared" ref="CN499" si="1211">SUM(BV499:BY499)</f>
        <v>1671.1750688202169</v>
      </c>
      <c r="CO499" s="690"/>
      <c r="CP499" s="1907" t="str">
        <f>A499</f>
        <v>Net Revenues</v>
      </c>
      <c r="CQ499" s="690">
        <f>H499</f>
        <v>818.53899999999999</v>
      </c>
      <c r="CR499" s="690">
        <f>M499</f>
        <v>866.46399999999994</v>
      </c>
      <c r="CS499" s="690">
        <f>R499</f>
        <v>971.88599999999997</v>
      </c>
      <c r="CT499" s="690">
        <f>W499</f>
        <v>893.90699999999993</v>
      </c>
      <c r="CU499" s="690">
        <f>AB499</f>
        <v>777.73299999999995</v>
      </c>
      <c r="CV499" s="690">
        <f>AG499</f>
        <v>769.89699999999993</v>
      </c>
      <c r="CW499" s="690">
        <f>AL499</f>
        <v>728.76600000000008</v>
      </c>
      <c r="CX499" s="690">
        <f>AQ499</f>
        <v>771.35400000000004</v>
      </c>
      <c r="CY499" s="690">
        <f>AV499</f>
        <v>1048.5319999999999</v>
      </c>
      <c r="CZ499" s="690">
        <f>BA499</f>
        <v>1384.5749999999998</v>
      </c>
      <c r="DA499" s="690">
        <f>BF499</f>
        <v>1325.329</v>
      </c>
      <c r="DB499" s="690">
        <f>BK499</f>
        <v>1355.1329999999998</v>
      </c>
      <c r="DC499" s="690">
        <f>BP499</f>
        <v>1299.723</v>
      </c>
      <c r="DD499" s="690">
        <f>BU499</f>
        <v>1281.2429999999999</v>
      </c>
      <c r="DE499" s="690">
        <f t="shared" ref="DE499:DG501" si="1212">BZ499</f>
        <v>1671.1750688202169</v>
      </c>
      <c r="DF499" s="690">
        <f t="shared" si="1212"/>
        <v>2082.8958374045824</v>
      </c>
      <c r="DG499" s="1862">
        <f t="shared" si="1212"/>
        <v>2087.6878654061184</v>
      </c>
      <c r="DH499" s="558"/>
      <c r="DI499" s="3136"/>
      <c r="DJ499" s="3136"/>
      <c r="DK499" s="3136"/>
      <c r="DL499" s="3136"/>
      <c r="DM499" s="3136"/>
      <c r="DN499" s="3137"/>
      <c r="DO499" s="324"/>
      <c r="DP499"/>
      <c r="DQ499"/>
      <c r="DR499"/>
      <c r="DS499"/>
      <c r="DT499"/>
      <c r="DU499"/>
      <c r="DY499" s="690"/>
      <c r="DZ499" s="690"/>
    </row>
    <row r="500" spans="1:132" s="3873" customFormat="1" ht="12" customHeight="1">
      <c r="A500" s="3872" t="s">
        <v>1928</v>
      </c>
      <c r="B500" s="3872"/>
      <c r="C500" s="3872"/>
      <c r="D500" s="3882">
        <v>184.48500000000001</v>
      </c>
      <c r="E500" s="3883">
        <v>200.464</v>
      </c>
      <c r="F500" s="3883">
        <v>224.584</v>
      </c>
      <c r="G500" s="3883">
        <v>209.006</v>
      </c>
      <c r="H500" s="3876">
        <f>SUM(D500:G500)</f>
        <v>818.53899999999999</v>
      </c>
      <c r="I500" s="3883">
        <v>225.09399999999999</v>
      </c>
      <c r="J500" s="3883">
        <v>220.25200000000001</v>
      </c>
      <c r="K500" s="3883">
        <v>208.929</v>
      </c>
      <c r="L500" s="3883">
        <v>212.18899999999999</v>
      </c>
      <c r="M500" s="3876">
        <f>SUM(I500:L500)</f>
        <v>866.46399999999994</v>
      </c>
      <c r="N500" s="3883">
        <v>262.005</v>
      </c>
      <c r="O500" s="3883">
        <v>245.911</v>
      </c>
      <c r="P500" s="3883">
        <v>241.108</v>
      </c>
      <c r="Q500" s="3883">
        <v>222.86199999999999</v>
      </c>
      <c r="R500" s="3876">
        <f>SUM(N500:Q500)</f>
        <v>971.88599999999997</v>
      </c>
      <c r="S500" s="3883">
        <v>234.50899999999999</v>
      </c>
      <c r="T500" s="3883">
        <v>235.17400000000001</v>
      </c>
      <c r="U500" s="3883">
        <v>226.87700000000001</v>
      </c>
      <c r="V500" s="3883">
        <v>197.34700000000001</v>
      </c>
      <c r="W500" s="3876">
        <f>SUM(S500:V500)</f>
        <v>893.90699999999993</v>
      </c>
      <c r="X500" s="3883">
        <v>203.69499999999999</v>
      </c>
      <c r="Y500" s="3883">
        <v>199.898</v>
      </c>
      <c r="Z500" s="3883">
        <v>189.084</v>
      </c>
      <c r="AA500" s="3883">
        <v>185.05600000000001</v>
      </c>
      <c r="AB500" s="3876">
        <f>SUM(X500:AA500)</f>
        <v>777.73299999999995</v>
      </c>
      <c r="AC500" s="3883">
        <v>206.08099999999999</v>
      </c>
      <c r="AD500" s="3883">
        <v>199.24600000000001</v>
      </c>
      <c r="AE500" s="3883">
        <v>192.637</v>
      </c>
      <c r="AF500" s="3883">
        <v>171.93299999999999</v>
      </c>
      <c r="AG500" s="3876">
        <f>SUM(AC500:AF500)</f>
        <v>769.89699999999993</v>
      </c>
      <c r="AH500" s="3883">
        <v>185.80600000000001</v>
      </c>
      <c r="AI500" s="3883">
        <v>181.71899999999999</v>
      </c>
      <c r="AJ500" s="3883">
        <v>188.69499999999999</v>
      </c>
      <c r="AK500" s="3883">
        <v>172.54599999999999</v>
      </c>
      <c r="AL500" s="3876">
        <f>SUM(AH500:AK500)</f>
        <v>728.76600000000008</v>
      </c>
      <c r="AM500" s="3883">
        <v>184.13</v>
      </c>
      <c r="AN500" s="3883">
        <v>181.751</v>
      </c>
      <c r="AO500" s="3883">
        <v>187.90600000000001</v>
      </c>
      <c r="AP500" s="3883">
        <v>217.56700000000001</v>
      </c>
      <c r="AQ500" s="3876">
        <f>SUM(AM500:AP500)</f>
        <v>771.35400000000004</v>
      </c>
      <c r="AR500" s="3883">
        <v>243.72200000000001</v>
      </c>
      <c r="AS500" s="3883">
        <v>233.72800000000001</v>
      </c>
      <c r="AT500" s="3883">
        <v>232.965</v>
      </c>
      <c r="AU500" s="3883">
        <v>213.773</v>
      </c>
      <c r="AV500" s="3876">
        <f>SUM(AR500:AU500)</f>
        <v>924.1880000000001</v>
      </c>
      <c r="AW500" s="3883">
        <v>229.11699999999999</v>
      </c>
      <c r="AX500" s="3883">
        <v>224.273</v>
      </c>
      <c r="AY500" s="3883">
        <v>214.83099999999999</v>
      </c>
      <c r="AZ500" s="3883">
        <v>196.02500000000001</v>
      </c>
      <c r="BA500" s="3876">
        <f>SUM(AW500:AZ500)</f>
        <v>864.24599999999998</v>
      </c>
      <c r="BB500" s="3883">
        <v>211.636</v>
      </c>
      <c r="BC500" s="3883">
        <v>209.10400000000001</v>
      </c>
      <c r="BD500" s="3883">
        <v>210.732</v>
      </c>
      <c r="BE500" s="3883">
        <v>200.005</v>
      </c>
      <c r="BF500" s="3876">
        <f>SUM(BB500:BE500)</f>
        <v>831.47699999999998</v>
      </c>
      <c r="BG500" s="3883">
        <v>217.76400000000001</v>
      </c>
      <c r="BH500" s="3883">
        <v>217.77699999999999</v>
      </c>
      <c r="BI500" s="3883">
        <v>215.79900000000001</v>
      </c>
      <c r="BJ500" s="3883">
        <v>200.947</v>
      </c>
      <c r="BK500" s="3876">
        <f>SUM(BG500:BJ500)</f>
        <v>852.28700000000003</v>
      </c>
      <c r="BL500" s="3883">
        <v>209.185</v>
      </c>
      <c r="BM500" s="3883">
        <v>207.83699999999999</v>
      </c>
      <c r="BN500" s="3874"/>
      <c r="BO500" s="3875"/>
      <c r="BP500" s="3876"/>
      <c r="BQ500" s="3877"/>
      <c r="BR500" s="3877"/>
      <c r="BS500" s="3877"/>
      <c r="BT500" s="3875"/>
      <c r="BU500" s="3878"/>
      <c r="BV500" s="3877"/>
      <c r="BW500" s="3877"/>
      <c r="BX500" s="3877"/>
      <c r="BY500" s="3875"/>
      <c r="BZ500" s="3876"/>
      <c r="CA500" s="3876"/>
      <c r="CB500" s="3876"/>
      <c r="CC500" s="3876"/>
      <c r="CD500" s="3876"/>
      <c r="CE500" s="3876"/>
      <c r="CF500" s="3876"/>
      <c r="CG500" s="3876"/>
      <c r="CH500" s="3877"/>
      <c r="CI500" s="3877"/>
      <c r="CJ500" s="3877"/>
      <c r="CK500" s="3877"/>
      <c r="CL500" s="3877"/>
      <c r="CM500" s="3877"/>
      <c r="CN500" s="3877"/>
      <c r="CO500" s="3877"/>
      <c r="CP500" s="3879"/>
      <c r="CQ500" s="3877"/>
      <c r="CR500" s="3877"/>
      <c r="CS500" s="3877"/>
      <c r="CT500" s="3877"/>
      <c r="CU500" s="3877"/>
      <c r="CV500" s="3877"/>
      <c r="CW500" s="3877"/>
      <c r="CX500" s="3877"/>
      <c r="CY500" s="3877"/>
      <c r="CZ500" s="3877"/>
      <c r="DA500" s="3877"/>
      <c r="DB500" s="3877"/>
      <c r="DC500" s="3877"/>
      <c r="DD500" s="3877"/>
      <c r="DE500" s="3877"/>
      <c r="DF500" s="3877"/>
      <c r="DG500" s="3875"/>
      <c r="DH500" s="568"/>
      <c r="DI500" s="3880"/>
      <c r="DJ500" s="3880"/>
      <c r="DK500" s="3880"/>
      <c r="DL500" s="3880"/>
      <c r="DM500" s="3880"/>
      <c r="DN500" s="2200"/>
      <c r="DO500" s="3881"/>
      <c r="DP500"/>
      <c r="DQ500"/>
      <c r="DR500"/>
      <c r="DS500"/>
      <c r="DT500"/>
      <c r="DU500"/>
      <c r="DY500" s="3877"/>
      <c r="DZ500" s="3877"/>
    </row>
    <row r="501" spans="1:132" ht="12" customHeight="1">
      <c r="A501" s="257" t="s">
        <v>1249</v>
      </c>
      <c r="B501" s="545"/>
      <c r="C501" s="545"/>
      <c r="D501" s="358"/>
      <c r="E501" s="502"/>
      <c r="F501" s="502"/>
      <c r="G501" s="502"/>
      <c r="H501" s="503"/>
      <c r="I501" s="502">
        <f>+I499/D499-1</f>
        <v>0.22012087703607319</v>
      </c>
      <c r="J501" s="502">
        <f>+J499/E499-1</f>
        <v>9.8710990502035356E-2</v>
      </c>
      <c r="K501" s="502">
        <f t="shared" ref="K501:S501" si="1213">+K499/F499-1</f>
        <v>-6.9706657642574665E-2</v>
      </c>
      <c r="L501" s="502">
        <f t="shared" si="1213"/>
        <v>1.522922786905645E-2</v>
      </c>
      <c r="M501" s="503">
        <f t="shared" si="1213"/>
        <v>5.8549439916729673E-2</v>
      </c>
      <c r="N501" s="502">
        <f t="shared" si="1213"/>
        <v>0.16398038152949446</v>
      </c>
      <c r="O501" s="502">
        <f t="shared" si="1213"/>
        <v>0.11649837458910706</v>
      </c>
      <c r="P501" s="502">
        <f t="shared" si="1213"/>
        <v>0.15401882936308509</v>
      </c>
      <c r="Q501" s="502">
        <f t="shared" si="1213"/>
        <v>5.0299497146411909E-2</v>
      </c>
      <c r="R501" s="503">
        <f>+R499/M499-1</f>
        <v>0.12166922111016731</v>
      </c>
      <c r="S501" s="502">
        <f t="shared" si="1213"/>
        <v>-0.10494456212667702</v>
      </c>
      <c r="T501" s="502">
        <f t="shared" ref="T501:Y501" si="1214">+T499/O499-1</f>
        <v>-4.3662137927949485E-2</v>
      </c>
      <c r="U501" s="502">
        <f t="shared" si="1214"/>
        <v>-5.9023342236674048E-2</v>
      </c>
      <c r="V501" s="502">
        <f t="shared" si="1214"/>
        <v>-0.11448788936651377</v>
      </c>
      <c r="W501" s="503">
        <f t="shared" si="1214"/>
        <v>-8.0234718886783019E-2</v>
      </c>
      <c r="X501" s="502">
        <f t="shared" si="1214"/>
        <v>-0.13139794208324629</v>
      </c>
      <c r="Y501" s="502">
        <f t="shared" si="1214"/>
        <v>-0.14999957478292669</v>
      </c>
      <c r="Z501" s="502">
        <f>+Z499/U499-1</f>
        <v>-0.16657924778624544</v>
      </c>
      <c r="AA501" s="502">
        <f>+AA499/V499-1</f>
        <v>-6.2281159581853318E-2</v>
      </c>
      <c r="AB501" s="503">
        <f>+AB499/W499-1</f>
        <v>-0.1299620654050142</v>
      </c>
      <c r="AC501" s="502">
        <f t="shared" ref="AC501:AQ501" si="1215">+AC499/X499-1</f>
        <v>1.1713591398905265E-2</v>
      </c>
      <c r="AD501" s="502">
        <f t="shared" si="1215"/>
        <v>-3.2616634483585427E-3</v>
      </c>
      <c r="AE501" s="502">
        <f t="shared" si="1215"/>
        <v>1.8790590425419307E-2</v>
      </c>
      <c r="AF501" s="502">
        <f t="shared" si="1215"/>
        <v>-7.0913669375756605E-2</v>
      </c>
      <c r="AG501" s="503">
        <f t="shared" si="1215"/>
        <v>-1.0075437200170234E-2</v>
      </c>
      <c r="AH501" s="502">
        <f>+AH499/AC499-1</f>
        <v>-9.8383645265696429E-2</v>
      </c>
      <c r="AI501" s="502">
        <f t="shared" si="1215"/>
        <v>-8.7966634210975503E-2</v>
      </c>
      <c r="AJ501" s="502">
        <f t="shared" si="1215"/>
        <v>-2.0463358544827837E-2</v>
      </c>
      <c r="AK501" s="502">
        <f t="shared" si="1215"/>
        <v>3.5653423135755258E-3</v>
      </c>
      <c r="AL501" s="503">
        <f t="shared" si="1215"/>
        <v>-5.3424029448094879E-2</v>
      </c>
      <c r="AM501" s="502">
        <f t="shared" si="1215"/>
        <v>-9.0201608128909205E-3</v>
      </c>
      <c r="AN501" s="502">
        <f t="shared" si="1215"/>
        <v>1.7609606040092096E-4</v>
      </c>
      <c r="AO501" s="502">
        <f t="shared" si="1215"/>
        <v>-4.1813508572033919E-3</v>
      </c>
      <c r="AP501" s="502">
        <f t="shared" si="1215"/>
        <v>0.26092172522110046</v>
      </c>
      <c r="AQ501" s="503">
        <f t="shared" si="1215"/>
        <v>5.843851112702847E-2</v>
      </c>
      <c r="AR501" s="502">
        <f>+AR499/AM499-1</f>
        <v>0.32364090588171401</v>
      </c>
      <c r="AS501" s="502">
        <f>+AS499/AN499-1</f>
        <v>0.28597916930305756</v>
      </c>
      <c r="AT501" s="502">
        <f>+AT499/AO499-1</f>
        <v>0.23979542962970846</v>
      </c>
      <c r="AU501" s="502">
        <f>+AU499/AP499-1</f>
        <v>0.55408219077341681</v>
      </c>
      <c r="AV501" s="562">
        <f>(AV499-AQ499)/AQ499</f>
        <v>0.35933955097140857</v>
      </c>
      <c r="AW501" s="502">
        <f>+AW499/AR499-1</f>
        <v>0.48952495055842293</v>
      </c>
      <c r="AX501" s="502">
        <f>+AX499/AS499-1</f>
        <v>0.54047867606790789</v>
      </c>
      <c r="AY501" s="502">
        <f>+AY499/AT499-1</f>
        <v>0.4832828965724465</v>
      </c>
      <c r="AZ501" s="502">
        <f>+AZ499/AU499-1</f>
        <v>-6.5592679457110781E-2</v>
      </c>
      <c r="BA501" s="562">
        <f>(BA499-AV499)/AV499</f>
        <v>0.32048902656285161</v>
      </c>
      <c r="BB501" s="502">
        <f>+BB499/AW499-1</f>
        <v>-8.0216511032146109E-2</v>
      </c>
      <c r="BC501" s="502">
        <f>+BC499/AX499-1</f>
        <v>-6.4421071342274483E-2</v>
      </c>
      <c r="BD501" s="502">
        <f>+BD499/AY499-1</f>
        <v>-3.2536253483546607E-2</v>
      </c>
      <c r="BE501" s="502">
        <f>+BE499/AZ499-1</f>
        <v>1.3651369409917624E-2</v>
      </c>
      <c r="BF501" s="562">
        <f>(BF499-BA499)/BA499</f>
        <v>-4.279002582019744E-2</v>
      </c>
      <c r="BG501" s="502">
        <f>+BG499/BB499-1</f>
        <v>2.9241499929621551E-2</v>
      </c>
      <c r="BH501" s="502">
        <f>+BH499/BC499-1</f>
        <v>3.4260727071941055E-2</v>
      </c>
      <c r="BI501" s="502">
        <f>+BI499/BD499-1</f>
        <v>2.1824055517334129E-2</v>
      </c>
      <c r="BJ501" s="1855">
        <f>+BJ499/BE499-1</f>
        <v>3.7564168217527616E-3</v>
      </c>
      <c r="BK501" s="562">
        <f>(BK499-BF499)/BF499</f>
        <v>2.2488001092558798E-2</v>
      </c>
      <c r="BL501" s="502">
        <f>+BL499/BG499-1</f>
        <v>-2.4145044853683628E-2</v>
      </c>
      <c r="BM501" s="502">
        <f>+BM499/BH499-1</f>
        <v>-5.0729192678509394E-2</v>
      </c>
      <c r="BN501" s="502">
        <f>+BN499/BI499-1</f>
        <v>-4.4466432088429375E-2</v>
      </c>
      <c r="BO501" s="502">
        <f>+BO499/BJ499-1</f>
        <v>-4.4323466737179351E-2</v>
      </c>
      <c r="BP501" s="562">
        <f>(BP499-BK499)/BK499</f>
        <v>-4.0888975473256026E-2</v>
      </c>
      <c r="BQ501" s="502">
        <f>+BQ499/BL499-1</f>
        <v>-3.148117778606041E-2</v>
      </c>
      <c r="BR501" s="502">
        <f>+BR499/BM499-1</f>
        <v>-1.4011641091541405E-2</v>
      </c>
      <c r="BS501" s="502">
        <f>+BS499/BN499-1</f>
        <v>-1.493186608499586E-2</v>
      </c>
      <c r="BT501" s="1855">
        <f>+BT499/BO499-1</f>
        <v>5.1626427783222351E-3</v>
      </c>
      <c r="BU501" s="3371">
        <f>(BU499-BP499)/BP499</f>
        <v>-1.4218414231340078E-2</v>
      </c>
      <c r="BV501" s="502">
        <f>+BV499/BQ499-1</f>
        <v>-7.9439887149383992E-3</v>
      </c>
      <c r="BW501" s="502">
        <f>+BW499/BR499-1</f>
        <v>-1.1614882367736445E-2</v>
      </c>
      <c r="BX501" s="502">
        <f>+BX499/BS499-1</f>
        <v>0.61999032835409729</v>
      </c>
      <c r="BY501" s="1855">
        <f>+BY499/BT499-1</f>
        <v>0.63779616069399703</v>
      </c>
      <c r="BZ501" s="562">
        <f>(BZ499-BU499)/BU499</f>
        <v>0.3043388871745773</v>
      </c>
      <c r="CA501" s="562">
        <f t="shared" ref="CA501:CG501" si="1216">CA499/BZ499-1</f>
        <v>0.24636603086415354</v>
      </c>
      <c r="CB501" s="562">
        <f t="shared" si="1216"/>
        <v>2.3006565741219287E-3</v>
      </c>
      <c r="CC501" s="562">
        <f t="shared" si="1216"/>
        <v>-0.41771623850047912</v>
      </c>
      <c r="CD501" s="562">
        <f t="shared" si="1216"/>
        <v>-5.0571725294601411E-2</v>
      </c>
      <c r="CE501" s="562">
        <f t="shared" si="1216"/>
        <v>2.0240871400118765E-2</v>
      </c>
      <c r="CF501" s="562">
        <f t="shared" si="1216"/>
        <v>2.0236092678573403E-2</v>
      </c>
      <c r="CG501" s="562">
        <f t="shared" si="1216"/>
        <v>2.0231409847453197E-2</v>
      </c>
      <c r="CH501" s="561"/>
      <c r="CI501" s="561"/>
      <c r="CJ501" s="561"/>
      <c r="CK501" s="561"/>
      <c r="CL501" s="561"/>
      <c r="CM501" s="561"/>
      <c r="CN501" s="561"/>
      <c r="CO501" s="561"/>
      <c r="CP501" s="396" t="str">
        <f>A501</f>
        <v>% Growth (y-o-y)</v>
      </c>
      <c r="CQ501" s="502"/>
      <c r="CR501" s="502">
        <f>M501</f>
        <v>5.8549439916729673E-2</v>
      </c>
      <c r="CS501" s="502">
        <f>R501</f>
        <v>0.12166922111016731</v>
      </c>
      <c r="CT501" s="502">
        <f>W501</f>
        <v>-8.0234718886783019E-2</v>
      </c>
      <c r="CU501" s="502">
        <f>AB501</f>
        <v>-0.1299620654050142</v>
      </c>
      <c r="CV501" s="502">
        <f>AG501</f>
        <v>-1.0075437200170234E-2</v>
      </c>
      <c r="CW501" s="502">
        <f>AL501</f>
        <v>-5.3424029448094879E-2</v>
      </c>
      <c r="CX501" s="502">
        <f>AQ501</f>
        <v>5.843851112702847E-2</v>
      </c>
      <c r="CY501" s="502">
        <f>AV501</f>
        <v>0.35933955097140857</v>
      </c>
      <c r="CZ501" s="502">
        <f>BA501</f>
        <v>0.32048902656285161</v>
      </c>
      <c r="DA501" s="502">
        <f>BF501</f>
        <v>-4.279002582019744E-2</v>
      </c>
      <c r="DB501" s="502">
        <f>BK501</f>
        <v>2.2488001092558798E-2</v>
      </c>
      <c r="DC501" s="502">
        <f>BP501</f>
        <v>-4.0888975473256026E-2</v>
      </c>
      <c r="DD501" s="502">
        <f>BU501</f>
        <v>-1.4218414231340078E-2</v>
      </c>
      <c r="DE501" s="502">
        <f t="shared" si="1212"/>
        <v>0.3043388871745773</v>
      </c>
      <c r="DF501" s="502">
        <f t="shared" si="1212"/>
        <v>0.24636603086415354</v>
      </c>
      <c r="DG501" s="1855">
        <f t="shared" si="1212"/>
        <v>2.3006565741219287E-3</v>
      </c>
      <c r="DH501" s="573"/>
      <c r="DI501" s="573"/>
      <c r="DJ501" s="573"/>
      <c r="DK501" s="573"/>
      <c r="DL501" s="573"/>
      <c r="DM501" s="573"/>
      <c r="DN501" s="551"/>
      <c r="DO501" s="266"/>
      <c r="DY501" s="561"/>
      <c r="DZ501" s="561"/>
    </row>
    <row r="502" spans="1:132" ht="12" customHeight="1">
      <c r="A502" s="552"/>
      <c r="B502" s="228"/>
      <c r="C502" s="228"/>
      <c r="D502" s="596"/>
      <c r="E502" s="570"/>
      <c r="F502" s="570"/>
      <c r="G502" s="668"/>
      <c r="H502" s="696"/>
      <c r="I502" s="668"/>
      <c r="J502" s="570"/>
      <c r="K502" s="668"/>
      <c r="L502" s="668"/>
      <c r="M502" s="696"/>
      <c r="N502" s="668"/>
      <c r="O502" s="668"/>
      <c r="P502" s="668"/>
      <c r="Q502" s="668"/>
      <c r="R502" s="696"/>
      <c r="S502" s="668"/>
      <c r="T502" s="668"/>
      <c r="U502" s="668"/>
      <c r="V502" s="668"/>
      <c r="W502" s="696"/>
      <c r="X502" s="668"/>
      <c r="Y502" s="668"/>
      <c r="Z502" s="668"/>
      <c r="AA502" s="668"/>
      <c r="AB502" s="696"/>
      <c r="AC502" s="668"/>
      <c r="AD502" s="668"/>
      <c r="AE502" s="668"/>
      <c r="AF502" s="668"/>
      <c r="AG502" s="696"/>
      <c r="AH502" s="668"/>
      <c r="AI502" s="668"/>
      <c r="AJ502" s="668"/>
      <c r="AK502" s="668"/>
      <c r="AL502" s="785"/>
      <c r="AM502" s="786"/>
      <c r="AN502" s="786"/>
      <c r="AO502" s="786"/>
      <c r="AP502" s="668"/>
      <c r="AQ502" s="696"/>
      <c r="AR502" s="786"/>
      <c r="AS502" s="786"/>
      <c r="AT502" s="786"/>
      <c r="AU502" s="786"/>
      <c r="AV502" s="696"/>
      <c r="AW502" s="786"/>
      <c r="AX502" s="786"/>
      <c r="AY502" s="786"/>
      <c r="AZ502" s="786"/>
      <c r="BA502" s="696"/>
      <c r="BB502" s="786"/>
      <c r="BC502" s="786"/>
      <c r="BD502" s="786"/>
      <c r="BE502" s="2512"/>
      <c r="BF502" s="696"/>
      <c r="BG502" s="693"/>
      <c r="BH502" s="668"/>
      <c r="BI502" s="668"/>
      <c r="BJ502" s="2813"/>
      <c r="BK502" s="696"/>
      <c r="BL502" s="668"/>
      <c r="BM502" s="668"/>
      <c r="BN502" s="668"/>
      <c r="BO502" s="2813"/>
      <c r="BP502" s="696"/>
      <c r="BQ502" s="668"/>
      <c r="BR502" s="668"/>
      <c r="BS502" s="668"/>
      <c r="BT502" s="2813"/>
      <c r="BU502" s="3405"/>
      <c r="BV502" s="668"/>
      <c r="BW502" s="668"/>
      <c r="BX502" s="668"/>
      <c r="BY502" s="2813"/>
      <c r="BZ502" s="4009"/>
      <c r="CA502" s="696"/>
      <c r="CB502" s="696"/>
      <c r="CC502" s="696"/>
      <c r="CD502" s="696"/>
      <c r="CE502" s="696"/>
      <c r="CF502" s="696"/>
      <c r="CG502" s="696"/>
      <c r="CH502" s="668"/>
      <c r="CI502" s="668"/>
      <c r="CJ502" s="668"/>
      <c r="CK502" s="668"/>
      <c r="CL502" s="668"/>
      <c r="CM502" s="668"/>
      <c r="CN502" s="668"/>
      <c r="CO502" s="668"/>
      <c r="CP502" s="994"/>
      <c r="CQ502" s="1761"/>
      <c r="CR502" s="1761"/>
      <c r="CS502" s="1761"/>
      <c r="CT502" s="1761"/>
      <c r="CU502" s="1761"/>
      <c r="CV502" s="1761"/>
      <c r="CW502" s="1761"/>
      <c r="CX502" s="1761"/>
      <c r="CY502" s="1761"/>
      <c r="CZ502" s="1761"/>
      <c r="DA502" s="1761"/>
      <c r="DB502" s="1761"/>
      <c r="DC502" s="1761"/>
      <c r="DD502" s="1761"/>
      <c r="DE502" s="1761"/>
      <c r="DF502" s="1761"/>
      <c r="DG502" s="1892"/>
      <c r="DH502" s="590"/>
      <c r="DI502" s="595"/>
      <c r="DJ502" s="595"/>
      <c r="DK502" s="595"/>
      <c r="DL502" s="595"/>
      <c r="DM502" s="595"/>
      <c r="DN502" s="514"/>
      <c r="DO502" s="226"/>
      <c r="DY502" s="668"/>
      <c r="DZ502" s="668"/>
    </row>
    <row r="503" spans="1:132" ht="12" customHeight="1">
      <c r="A503" s="228" t="s">
        <v>1326</v>
      </c>
      <c r="B503" s="228"/>
      <c r="C503" s="228"/>
      <c r="D503" s="661">
        <v>140.31299999999999</v>
      </c>
      <c r="E503" s="557">
        <v>151.21899999999999</v>
      </c>
      <c r="F503" s="557">
        <v>171.52</v>
      </c>
      <c r="G503" s="557">
        <f>G499-G508</f>
        <v>164.28899999999999</v>
      </c>
      <c r="H503" s="556">
        <f>SUM(D503:G503)</f>
        <v>627.34100000000001</v>
      </c>
      <c r="I503" s="557">
        <f t="shared" ref="I503:L504" si="1217">I499-I508</f>
        <v>169.215</v>
      </c>
      <c r="J503" s="557">
        <f t="shared" si="1217"/>
        <v>167.173</v>
      </c>
      <c r="K503" s="557">
        <f t="shared" si="1217"/>
        <v>160.00400000000002</v>
      </c>
      <c r="L503" s="557">
        <f t="shared" si="1217"/>
        <v>145.25599999999997</v>
      </c>
      <c r="M503" s="556">
        <f>SUM(I503:L503)</f>
        <v>641.64800000000002</v>
      </c>
      <c r="N503" s="557">
        <f t="shared" ref="N503:Q504" si="1218">N499-N508</f>
        <v>178.14600000000002</v>
      </c>
      <c r="O503" s="557">
        <f t="shared" si="1218"/>
        <v>180.65199999999999</v>
      </c>
      <c r="P503" s="557">
        <f t="shared" si="1218"/>
        <v>176.65199999999999</v>
      </c>
      <c r="Q503" s="557">
        <f t="shared" si="1218"/>
        <v>172.19399999999999</v>
      </c>
      <c r="R503" s="556">
        <f>SUM(N503:Q503)</f>
        <v>707.64400000000001</v>
      </c>
      <c r="S503" s="557">
        <f t="shared" ref="S503:V504" si="1219">S499-S508</f>
        <v>177.22799999999998</v>
      </c>
      <c r="T503" s="557">
        <f t="shared" si="1219"/>
        <v>177.09399999999999</v>
      </c>
      <c r="U503" s="557">
        <f t="shared" si="1219"/>
        <v>170.44499999999999</v>
      </c>
      <c r="V503" s="557">
        <f t="shared" si="1219"/>
        <v>153.357</v>
      </c>
      <c r="W503" s="556">
        <f>SUM(S503:V503)</f>
        <v>678.12400000000002</v>
      </c>
      <c r="X503" s="557">
        <f t="shared" ref="X503:AA504" si="1220">X499-X508</f>
        <v>158.096</v>
      </c>
      <c r="Y503" s="557">
        <f t="shared" si="1220"/>
        <v>154.56099999999998</v>
      </c>
      <c r="Z503" s="557">
        <f t="shared" si="1220"/>
        <v>149.98099999999999</v>
      </c>
      <c r="AA503" s="557">
        <f t="shared" si="1220"/>
        <v>148.72900000000001</v>
      </c>
      <c r="AB503" s="556">
        <f>SUM(X503:AA503)</f>
        <v>611.36699999999996</v>
      </c>
      <c r="AC503" s="557">
        <f t="shared" ref="AC503:AF504" si="1221">AC499-AC508</f>
        <v>158.06</v>
      </c>
      <c r="AD503" s="557">
        <f t="shared" si="1221"/>
        <v>154.99299999999999</v>
      </c>
      <c r="AE503" s="557">
        <f t="shared" si="1221"/>
        <v>151.1</v>
      </c>
      <c r="AF503" s="557">
        <f t="shared" si="1221"/>
        <v>143.852</v>
      </c>
      <c r="AG503" s="556">
        <f>SUM(AC503:AF503)</f>
        <v>608.005</v>
      </c>
      <c r="AH503" s="557">
        <f t="shared" ref="AH503:AK504" si="1222">AH499-AH508</f>
        <v>146.52700000000002</v>
      </c>
      <c r="AI503" s="557">
        <f t="shared" si="1222"/>
        <v>146.12899999999999</v>
      </c>
      <c r="AJ503" s="557">
        <f t="shared" si="1222"/>
        <v>150.28800000000001</v>
      </c>
      <c r="AK503" s="557">
        <f t="shared" si="1222"/>
        <v>142.12299999999999</v>
      </c>
      <c r="AL503" s="556">
        <f>SUM(AH503:AK503)</f>
        <v>585.06700000000001</v>
      </c>
      <c r="AM503" s="2043">
        <f t="shared" ref="AM503:AP504" si="1223">AM499-AM508</f>
        <v>142.91899999999998</v>
      </c>
      <c r="AN503" s="2043">
        <f t="shared" si="1223"/>
        <v>139.47499999999999</v>
      </c>
      <c r="AO503" s="2043">
        <f t="shared" si="1223"/>
        <v>143.38200000000001</v>
      </c>
      <c r="AP503" s="2043">
        <f t="shared" si="1223"/>
        <v>178.477</v>
      </c>
      <c r="AQ503" s="556">
        <f>SUM(AM503:AP503)</f>
        <v>604.25300000000004</v>
      </c>
      <c r="AR503" s="2043">
        <f t="shared" ref="AR503:AU504" si="1224">AR499-AR508</f>
        <v>185.59200000000001</v>
      </c>
      <c r="AS503" s="2043">
        <f t="shared" si="1224"/>
        <v>182.72500000000002</v>
      </c>
      <c r="AT503" s="2043">
        <f t="shared" si="1224"/>
        <v>184.25700000000001</v>
      </c>
      <c r="AU503" s="2043">
        <f t="shared" si="1224"/>
        <v>260.57399999999996</v>
      </c>
      <c r="AV503" s="556">
        <f>SUM(AR503:AU503)</f>
        <v>813.14800000000002</v>
      </c>
      <c r="AW503" s="2043">
        <f t="shared" ref="AW503:AZ504" si="1225">AW499-AW508</f>
        <v>262.63599999999997</v>
      </c>
      <c r="AX503" s="2043">
        <f t="shared" si="1225"/>
        <v>263.10500000000002</v>
      </c>
      <c r="AY503" s="2043">
        <f t="shared" si="1225"/>
        <v>258.34299999999996</v>
      </c>
      <c r="AZ503" s="2043">
        <f t="shared" si="1225"/>
        <v>235.24600000000004</v>
      </c>
      <c r="BA503" s="556">
        <f>SUM(AW503:AZ503)</f>
        <v>1019.3299999999999</v>
      </c>
      <c r="BB503" s="2043">
        <f t="shared" ref="BB503:BE504" si="1226">BB499-BB508</f>
        <v>245.04999999999998</v>
      </c>
      <c r="BC503" s="2043">
        <f t="shared" si="1226"/>
        <v>249.37700000000007</v>
      </c>
      <c r="BD503" s="2043">
        <f t="shared" si="1226"/>
        <v>247.84199999999998</v>
      </c>
      <c r="BE503" s="2043">
        <f t="shared" si="1226"/>
        <v>238.00200000000001</v>
      </c>
      <c r="BF503" s="556">
        <f>SUM(BB503:BE503)</f>
        <v>980.27099999999996</v>
      </c>
      <c r="BG503" s="2043">
        <f t="shared" ref="BG503:BJ504" si="1227">BG499-BG508</f>
        <v>246.32599999999999</v>
      </c>
      <c r="BH503" s="2043">
        <f t="shared" si="1227"/>
        <v>247.458</v>
      </c>
      <c r="BI503" s="2043">
        <f t="shared" si="1227"/>
        <v>245.25899999999999</v>
      </c>
      <c r="BJ503" s="2043">
        <f t="shared" si="1227"/>
        <v>235.14799999999997</v>
      </c>
      <c r="BK503" s="556">
        <f>SUM(BG503:BJ503)</f>
        <v>974.19100000000003</v>
      </c>
      <c r="BL503" s="2043">
        <f>BL499-BL508</f>
        <v>239.45</v>
      </c>
      <c r="BM503" s="2043">
        <f>BM499-BM508</f>
        <v>235.97800000000001</v>
      </c>
      <c r="BN503" s="2043">
        <f>BN499-BN508</f>
        <v>235.78300000000002</v>
      </c>
      <c r="BO503" s="2043">
        <f>BO499-BO508</f>
        <v>221.14699999999999</v>
      </c>
      <c r="BP503" s="556">
        <f>SUM(BL503:BO503)</f>
        <v>932.35799999999995</v>
      </c>
      <c r="BQ503" s="2043">
        <f>BQ499-BQ508</f>
        <v>230.71600000000001</v>
      </c>
      <c r="BR503" s="2043">
        <f>BR499-BR508</f>
        <v>232.41800000000001</v>
      </c>
      <c r="BS503" s="2043">
        <f>BS499-BS508</f>
        <v>231.43599999999998</v>
      </c>
      <c r="BT503" s="2043">
        <f>BT499-BT508</f>
        <v>222.48000000000002</v>
      </c>
      <c r="BU503" s="3372">
        <f>SUM(BQ503:BT503)</f>
        <v>917.05</v>
      </c>
      <c r="BV503" s="557">
        <f>BQ503*(1+BV505)</f>
        <v>231.29279</v>
      </c>
      <c r="BW503" s="557">
        <f t="shared" ref="BW503" si="1228">BR503*(1+BW505)</f>
        <v>231.83695500000002</v>
      </c>
      <c r="BX503" s="4143">
        <f>BS503*(1+BX505)-'Tables 2'!HN695-'Tables 2'!HN727</f>
        <v>374.2503453143654</v>
      </c>
      <c r="BY503" s="4143">
        <f>BT503*(1+BY505)-'Tables 2'!HO695-'Tables 2'!HO727</f>
        <v>359.66009804354348</v>
      </c>
      <c r="BZ503" s="556">
        <f>SUM(BV503:BY503)</f>
        <v>1197.0401883579088</v>
      </c>
      <c r="CA503" s="4144">
        <f>(BZ503+'Tables 2'!HN695+'Tables 2'!HO695+'Tables 2'!HN727+'Tables 2'!HO727)*(1+CA505)-'Tables 2'!HQ695-'Tables 2'!HQ727</f>
        <v>1488.5480674321982</v>
      </c>
      <c r="CB503" s="556">
        <f t="shared" ref="CB503:CG503" si="1229">CA503*(1+CB505)</f>
        <v>1488.5480674321982</v>
      </c>
      <c r="CC503" s="556">
        <f t="shared" si="1229"/>
        <v>1443.8916254092321</v>
      </c>
      <c r="CD503" s="556">
        <f t="shared" si="1229"/>
        <v>1400.5748766469551</v>
      </c>
      <c r="CE503" s="556">
        <f t="shared" si="1229"/>
        <v>1414.5806254134247</v>
      </c>
      <c r="CF503" s="556">
        <f t="shared" si="1229"/>
        <v>1428.7264316675589</v>
      </c>
      <c r="CG503" s="556">
        <f t="shared" si="1229"/>
        <v>1443.0136959842346</v>
      </c>
      <c r="CH503" s="557"/>
      <c r="CI503" s="557"/>
      <c r="CJ503" s="557"/>
      <c r="CK503" s="557"/>
      <c r="CL503" s="557"/>
      <c r="CM503" s="965"/>
      <c r="CN503" s="965">
        <f t="shared" ref="CN503" si="1230">SUM(BV503:BY503)</f>
        <v>1197.0401883579088</v>
      </c>
      <c r="CO503" s="557"/>
      <c r="CP503" s="1847" t="str">
        <f>A503</f>
        <v>Total Expenses</v>
      </c>
      <c r="CQ503" s="557">
        <f>H503</f>
        <v>627.34100000000001</v>
      </c>
      <c r="CR503" s="557">
        <f>M503</f>
        <v>641.64800000000002</v>
      </c>
      <c r="CS503" s="557">
        <f>R503</f>
        <v>707.64400000000001</v>
      </c>
      <c r="CT503" s="557">
        <f>W503</f>
        <v>678.12400000000002</v>
      </c>
      <c r="CU503" s="557">
        <f>AB503</f>
        <v>611.36699999999996</v>
      </c>
      <c r="CV503" s="557">
        <f>AG503</f>
        <v>608.005</v>
      </c>
      <c r="CW503" s="557">
        <f>AL503</f>
        <v>585.06700000000001</v>
      </c>
      <c r="CX503" s="557">
        <f>AQ503</f>
        <v>604.25300000000004</v>
      </c>
      <c r="CY503" s="557">
        <f>AV503</f>
        <v>813.14800000000002</v>
      </c>
      <c r="CZ503" s="557">
        <f>BA503</f>
        <v>1019.3299999999999</v>
      </c>
      <c r="DA503" s="557">
        <f>BF503</f>
        <v>980.27099999999996</v>
      </c>
      <c r="DB503" s="557">
        <f>BK503</f>
        <v>974.19100000000003</v>
      </c>
      <c r="DC503" s="557">
        <f>BP503</f>
        <v>932.35799999999995</v>
      </c>
      <c r="DD503" s="557">
        <f>BU503</f>
        <v>917.05</v>
      </c>
      <c r="DE503" s="557">
        <f t="shared" ref="DE503:DG505" si="1231">BZ503</f>
        <v>1197.0401883579088</v>
      </c>
      <c r="DF503" s="557">
        <f t="shared" si="1231"/>
        <v>1488.5480674321982</v>
      </c>
      <c r="DG503" s="1848">
        <f t="shared" si="1231"/>
        <v>1488.5480674321982</v>
      </c>
      <c r="DH503" s="558"/>
      <c r="DI503" s="614"/>
      <c r="DJ503" s="614"/>
      <c r="DK503" s="614"/>
      <c r="DL503" s="614"/>
      <c r="DM503" s="614"/>
      <c r="DN503" s="559"/>
      <c r="DO503" s="269"/>
      <c r="DY503" s="557"/>
      <c r="DZ503" s="557"/>
    </row>
    <row r="504" spans="1:132" s="3892" customFormat="1" ht="12" customHeight="1">
      <c r="A504" s="3872" t="s">
        <v>1928</v>
      </c>
      <c r="B504" s="728"/>
      <c r="C504" s="728"/>
      <c r="D504" s="3885">
        <v>140.31299999999999</v>
      </c>
      <c r="E504" s="3886">
        <v>151.21899999999999</v>
      </c>
      <c r="F504" s="3886">
        <v>171.52</v>
      </c>
      <c r="G504" s="3886">
        <f>G500-G509</f>
        <v>164.28899999999999</v>
      </c>
      <c r="H504" s="3887">
        <f>SUM(D504:G504)</f>
        <v>627.34100000000001</v>
      </c>
      <c r="I504" s="3886">
        <f t="shared" si="1217"/>
        <v>169.215</v>
      </c>
      <c r="J504" s="3886">
        <f t="shared" si="1217"/>
        <v>167.173</v>
      </c>
      <c r="K504" s="3886">
        <f t="shared" si="1217"/>
        <v>160.00400000000002</v>
      </c>
      <c r="L504" s="3886">
        <f t="shared" si="1217"/>
        <v>145.25599999999997</v>
      </c>
      <c r="M504" s="3887">
        <f>SUM(I504:L504)</f>
        <v>641.64800000000002</v>
      </c>
      <c r="N504" s="3886">
        <f t="shared" si="1218"/>
        <v>178.14600000000002</v>
      </c>
      <c r="O504" s="3886">
        <f t="shared" si="1218"/>
        <v>180.65199999999999</v>
      </c>
      <c r="P504" s="3886">
        <f t="shared" si="1218"/>
        <v>176.65199999999999</v>
      </c>
      <c r="Q504" s="3886">
        <f t="shared" si="1218"/>
        <v>172.19399999999999</v>
      </c>
      <c r="R504" s="3887">
        <f>SUM(N504:Q504)</f>
        <v>707.64400000000001</v>
      </c>
      <c r="S504" s="3886">
        <f t="shared" si="1219"/>
        <v>177.22799999999998</v>
      </c>
      <c r="T504" s="3886">
        <f t="shared" si="1219"/>
        <v>177.09399999999999</v>
      </c>
      <c r="U504" s="3886">
        <f t="shared" si="1219"/>
        <v>170.44499999999999</v>
      </c>
      <c r="V504" s="3886">
        <f t="shared" si="1219"/>
        <v>153.357</v>
      </c>
      <c r="W504" s="3887">
        <f>SUM(S504:V504)</f>
        <v>678.12400000000002</v>
      </c>
      <c r="X504" s="3886">
        <f t="shared" si="1220"/>
        <v>158.096</v>
      </c>
      <c r="Y504" s="3886">
        <f t="shared" si="1220"/>
        <v>154.56099999999998</v>
      </c>
      <c r="Z504" s="3886">
        <f t="shared" si="1220"/>
        <v>149.98099999999999</v>
      </c>
      <c r="AA504" s="3886">
        <f t="shared" si="1220"/>
        <v>148.72900000000001</v>
      </c>
      <c r="AB504" s="3887">
        <f>SUM(X504:AA504)</f>
        <v>611.36699999999996</v>
      </c>
      <c r="AC504" s="3886">
        <f t="shared" si="1221"/>
        <v>158.06</v>
      </c>
      <c r="AD504" s="3886">
        <f t="shared" si="1221"/>
        <v>154.99299999999999</v>
      </c>
      <c r="AE504" s="3886">
        <f t="shared" si="1221"/>
        <v>151.1</v>
      </c>
      <c r="AF504" s="3886">
        <f t="shared" si="1221"/>
        <v>143.852</v>
      </c>
      <c r="AG504" s="3887">
        <f>SUM(AC504:AF504)</f>
        <v>608.005</v>
      </c>
      <c r="AH504" s="3886">
        <f t="shared" si="1222"/>
        <v>146.52700000000002</v>
      </c>
      <c r="AI504" s="3886">
        <f t="shared" si="1222"/>
        <v>146.12899999999999</v>
      </c>
      <c r="AJ504" s="3886">
        <f t="shared" si="1222"/>
        <v>150.28800000000001</v>
      </c>
      <c r="AK504" s="3886">
        <f t="shared" si="1222"/>
        <v>142.12299999999999</v>
      </c>
      <c r="AL504" s="3887">
        <f>SUM(AH504:AK504)</f>
        <v>585.06700000000001</v>
      </c>
      <c r="AM504" s="3888">
        <f t="shared" si="1223"/>
        <v>142.91899999999998</v>
      </c>
      <c r="AN504" s="3888">
        <f t="shared" si="1223"/>
        <v>139.47499999999999</v>
      </c>
      <c r="AO504" s="3888">
        <f t="shared" si="1223"/>
        <v>143.38200000000001</v>
      </c>
      <c r="AP504" s="3888">
        <f t="shared" si="1223"/>
        <v>178.477</v>
      </c>
      <c r="AQ504" s="3887">
        <f>SUM(AM504:AP504)</f>
        <v>604.25300000000004</v>
      </c>
      <c r="AR504" s="3888">
        <f t="shared" si="1224"/>
        <v>185.59200000000001</v>
      </c>
      <c r="AS504" s="3888">
        <f t="shared" si="1224"/>
        <v>182.72500000000002</v>
      </c>
      <c r="AT504" s="3888">
        <f t="shared" si="1224"/>
        <v>184.25700000000001</v>
      </c>
      <c r="AU504" s="3888">
        <f t="shared" si="1224"/>
        <v>179.26499999999999</v>
      </c>
      <c r="AV504" s="3887">
        <f>SUM(AR504:AU504)</f>
        <v>731.83900000000006</v>
      </c>
      <c r="AW504" s="3888">
        <f t="shared" si="1225"/>
        <v>179.435</v>
      </c>
      <c r="AX504" s="3888">
        <f t="shared" si="1225"/>
        <v>175.648</v>
      </c>
      <c r="AY504" s="3888">
        <f t="shared" si="1225"/>
        <v>172.89499999999998</v>
      </c>
      <c r="AZ504" s="3888">
        <f t="shared" si="1225"/>
        <v>156.292</v>
      </c>
      <c r="BA504" s="3887">
        <f>SUM(AW504:AZ504)</f>
        <v>684.27</v>
      </c>
      <c r="BB504" s="3888">
        <f t="shared" si="1226"/>
        <v>167.53800000000001</v>
      </c>
      <c r="BC504" s="3888">
        <f t="shared" si="1226"/>
        <v>166.90500000000003</v>
      </c>
      <c r="BD504" s="3888">
        <f t="shared" si="1226"/>
        <v>167.13900000000001</v>
      </c>
      <c r="BE504" s="3888">
        <f t="shared" si="1226"/>
        <v>159.91800000000001</v>
      </c>
      <c r="BF504" s="3887">
        <f>SUM(BB504:BE504)</f>
        <v>661.5</v>
      </c>
      <c r="BG504" s="3888">
        <f t="shared" si="1227"/>
        <v>166.78</v>
      </c>
      <c r="BH504" s="3888">
        <f t="shared" si="1227"/>
        <v>166</v>
      </c>
      <c r="BI504" s="3888">
        <f t="shared" si="1227"/>
        <v>165.08199999999999</v>
      </c>
      <c r="BJ504" s="3888">
        <f t="shared" si="1227"/>
        <v>157.60300000000001</v>
      </c>
      <c r="BK504" s="3887">
        <f>SUM(BG504:BJ504)</f>
        <v>655.46499999999992</v>
      </c>
      <c r="BL504" s="3888">
        <f>BL500-BL509</f>
        <v>160.37200000000001</v>
      </c>
      <c r="BM504" s="3888">
        <f>BM500-BM509</f>
        <v>157.78100000000001</v>
      </c>
      <c r="BN504" s="3889"/>
      <c r="BO504" s="3886"/>
      <c r="BP504" s="3887"/>
      <c r="BQ504" s="3889"/>
      <c r="BR504" s="3886"/>
      <c r="BS504" s="3886"/>
      <c r="BT504" s="3886"/>
      <c r="BU504" s="3890"/>
      <c r="BV504" s="3889"/>
      <c r="BW504" s="3886"/>
      <c r="BX504" s="3886"/>
      <c r="BY504" s="3886"/>
      <c r="BZ504" s="3887"/>
      <c r="CA504" s="3887"/>
      <c r="CB504" s="3887"/>
      <c r="CC504" s="3887"/>
      <c r="CD504" s="3887"/>
      <c r="CE504" s="3887"/>
      <c r="CF504" s="3887"/>
      <c r="CG504" s="3887"/>
      <c r="CH504" s="3886"/>
      <c r="CI504" s="3886"/>
      <c r="CJ504" s="3886"/>
      <c r="CK504" s="3886"/>
      <c r="CL504" s="3886"/>
      <c r="CM504" s="3886"/>
      <c r="CN504" s="3886"/>
      <c r="CO504" s="3886"/>
      <c r="CP504" s="1880"/>
      <c r="CQ504" s="3886"/>
      <c r="CR504" s="3886"/>
      <c r="CS504" s="3886"/>
      <c r="CT504" s="3886"/>
      <c r="CU504" s="3886"/>
      <c r="CV504" s="3886"/>
      <c r="CW504" s="3886"/>
      <c r="CX504" s="3886"/>
      <c r="CY504" s="3886"/>
      <c r="CZ504" s="3886"/>
      <c r="DA504" s="3886"/>
      <c r="DB504" s="3886"/>
      <c r="DC504" s="3886"/>
      <c r="DD504" s="3886"/>
      <c r="DE504" s="3886"/>
      <c r="DF504" s="3886"/>
      <c r="DG504" s="3891"/>
      <c r="DH504" s="568"/>
      <c r="DI504" s="573"/>
      <c r="DJ504" s="573"/>
      <c r="DK504" s="573"/>
      <c r="DL504" s="573"/>
      <c r="DM504" s="573"/>
      <c r="DN504" s="551"/>
      <c r="DO504" s="266"/>
      <c r="DP504"/>
      <c r="DQ504"/>
      <c r="DR504"/>
      <c r="DS504"/>
      <c r="DT504"/>
      <c r="DU504"/>
      <c r="DY504" s="3886"/>
      <c r="DZ504" s="3886"/>
    </row>
    <row r="505" spans="1:132" ht="12" customHeight="1">
      <c r="A505" s="257" t="s">
        <v>1249</v>
      </c>
      <c r="B505" s="545"/>
      <c r="C505" s="545"/>
      <c r="D505" s="358"/>
      <c r="E505" s="502"/>
      <c r="F505" s="502"/>
      <c r="G505" s="502"/>
      <c r="H505" s="503"/>
      <c r="I505" s="502">
        <f t="shared" ref="I505:P505" si="1232">+I503/D503-1</f>
        <v>0.20598233948386824</v>
      </c>
      <c r="J505" s="502">
        <f t="shared" si="1232"/>
        <v>0.10550261541208461</v>
      </c>
      <c r="K505" s="502">
        <f t="shared" si="1232"/>
        <v>-6.7140858208955212E-2</v>
      </c>
      <c r="L505" s="502">
        <f t="shared" si="1232"/>
        <v>-0.11585072646373173</v>
      </c>
      <c r="M505" s="503">
        <f t="shared" si="1232"/>
        <v>2.2805778675393462E-2</v>
      </c>
      <c r="N505" s="502">
        <f t="shared" si="1232"/>
        <v>5.2779008953107054E-2</v>
      </c>
      <c r="O505" s="502">
        <f t="shared" si="1232"/>
        <v>8.0629048949292015E-2</v>
      </c>
      <c r="P505" s="502">
        <f t="shared" si="1232"/>
        <v>0.10404739881502945</v>
      </c>
      <c r="Q505" s="502">
        <f t="shared" ref="Q505:AA505" si="1233">+Q503/L503-1</f>
        <v>0.18545189183235133</v>
      </c>
      <c r="R505" s="503">
        <f t="shared" si="1233"/>
        <v>0.10285390120439875</v>
      </c>
      <c r="S505" s="502">
        <f t="shared" si="1233"/>
        <v>-5.1530766899062774E-3</v>
      </c>
      <c r="T505" s="502">
        <f t="shared" si="1233"/>
        <v>-1.9695325819808263E-2</v>
      </c>
      <c r="U505" s="502">
        <f t="shared" si="1233"/>
        <v>-3.5136879288091838E-2</v>
      </c>
      <c r="V505" s="502">
        <f t="shared" si="1233"/>
        <v>-0.10939405554200488</v>
      </c>
      <c r="W505" s="503">
        <f>+W503/R503-1</f>
        <v>-4.1715891041258057E-2</v>
      </c>
      <c r="X505" s="502">
        <f t="shared" si="1233"/>
        <v>-0.10795133951745761</v>
      </c>
      <c r="Y505" s="502">
        <f t="shared" si="1233"/>
        <v>-0.12723751228161329</v>
      </c>
      <c r="Z505" s="502">
        <f t="shared" si="1233"/>
        <v>-0.12006219014931507</v>
      </c>
      <c r="AA505" s="502">
        <f t="shared" si="1233"/>
        <v>-3.0177950794551212E-2</v>
      </c>
      <c r="AB505" s="503">
        <f t="shared" ref="AB505:AG505" si="1234">+AB503/W503-1</f>
        <v>-9.8443647474503293E-2</v>
      </c>
      <c r="AC505" s="502">
        <f t="shared" si="1234"/>
        <v>-2.2770974597718929E-4</v>
      </c>
      <c r="AD505" s="502">
        <f t="shared" si="1234"/>
        <v>2.7950129722247308E-3</v>
      </c>
      <c r="AE505" s="502">
        <f t="shared" si="1234"/>
        <v>7.4609450530400689E-3</v>
      </c>
      <c r="AF505" s="502">
        <f>+AF503/AA503-1</f>
        <v>-3.279118396546743E-2</v>
      </c>
      <c r="AG505" s="503">
        <f t="shared" si="1234"/>
        <v>-5.4991519005768152E-3</v>
      </c>
      <c r="AH505" s="502">
        <f t="shared" ref="AH505:AP505" si="1235">+AH503/AC503-1</f>
        <v>-7.2965962292800168E-2</v>
      </c>
      <c r="AI505" s="502">
        <f t="shared" si="1235"/>
        <v>-5.7189679533914517E-2</v>
      </c>
      <c r="AJ505" s="502">
        <f t="shared" si="1235"/>
        <v>-5.3739245532758995E-3</v>
      </c>
      <c r="AK505" s="502">
        <f t="shared" si="1235"/>
        <v>-1.2019297611434054E-2</v>
      </c>
      <c r="AL505" s="562">
        <f t="shared" si="1235"/>
        <v>-3.7726663432044116E-2</v>
      </c>
      <c r="AM505" s="502">
        <f t="shared" si="1235"/>
        <v>-2.4623448238208834E-2</v>
      </c>
      <c r="AN505" s="502">
        <f t="shared" si="1235"/>
        <v>-4.5535109389648887E-2</v>
      </c>
      <c r="AO505" s="502">
        <f t="shared" si="1235"/>
        <v>-4.5951772596614537E-2</v>
      </c>
      <c r="AP505" s="502">
        <f t="shared" si="1235"/>
        <v>0.25579251774871081</v>
      </c>
      <c r="AQ505" s="562">
        <f>+AQ503/AL503-1</f>
        <v>3.2792825437086837E-2</v>
      </c>
      <c r="AR505" s="502">
        <f>+AR503/AM503-1</f>
        <v>0.29858171411778733</v>
      </c>
      <c r="AS505" s="502">
        <f>+AS503/AN503-1</f>
        <v>0.31009141423194153</v>
      </c>
      <c r="AT505" s="502">
        <f>+AT503/AO503-1</f>
        <v>0.28507762480646104</v>
      </c>
      <c r="AU505" s="502">
        <f>+AU503/AP503-1</f>
        <v>0.45998644082991058</v>
      </c>
      <c r="AV505" s="562">
        <f>AV503/AQ503-1</f>
        <v>0.34570784092093865</v>
      </c>
      <c r="AW505" s="502">
        <f>+AW503/AR503-1</f>
        <v>0.41512565196775686</v>
      </c>
      <c r="AX505" s="502">
        <f>+AX503/AS503-1</f>
        <v>0.43989601860719652</v>
      </c>
      <c r="AY505" s="502">
        <f>+AY503/AT503-1</f>
        <v>0.40207970389184644</v>
      </c>
      <c r="AZ505" s="502">
        <f>+AZ503/AU503-1</f>
        <v>-9.7200795167591281E-2</v>
      </c>
      <c r="BA505" s="562">
        <f>BA503/AV503-1</f>
        <v>0.25356023749674095</v>
      </c>
      <c r="BB505" s="502">
        <f>+BB503/AW503-1</f>
        <v>-6.6959594267350986E-2</v>
      </c>
      <c r="BC505" s="502">
        <f>+BC503/AX503-1</f>
        <v>-5.2176887554398199E-2</v>
      </c>
      <c r="BD505" s="502">
        <f>+BD503/AY503-1</f>
        <v>-4.0647511254417457E-2</v>
      </c>
      <c r="BE505" s="502">
        <f>+BE503/AZ503-1</f>
        <v>1.1715395798440609E-2</v>
      </c>
      <c r="BF505" s="562">
        <f>BF503/BA503-1</f>
        <v>-3.8318307123306417E-2</v>
      </c>
      <c r="BG505" s="502">
        <f>+BG503/BB503-1</f>
        <v>5.2071005917160296E-3</v>
      </c>
      <c r="BH505" s="502">
        <f>+BH503/BC503-1</f>
        <v>-7.6951763795380934E-3</v>
      </c>
      <c r="BI505" s="502">
        <f>+BI503/BD503-1</f>
        <v>-1.0421962379257743E-2</v>
      </c>
      <c r="BJ505" s="502">
        <f>+BJ503/BE503-1</f>
        <v>-1.1991495869782764E-2</v>
      </c>
      <c r="BK505" s="562">
        <f>BK503/BF503-1</f>
        <v>-6.202366488450517E-3</v>
      </c>
      <c r="BL505" s="502">
        <f>+BL503/BG503-1</f>
        <v>-2.7914227487151222E-2</v>
      </c>
      <c r="BM505" s="502">
        <f>+BM503/BH503-1</f>
        <v>-4.6391710916599993E-2</v>
      </c>
      <c r="BN505" s="502">
        <f>+BN503/BI503-1</f>
        <v>-3.8636706502105822E-2</v>
      </c>
      <c r="BO505" s="502">
        <f>+BO503/BJ503-1</f>
        <v>-5.954122510078752E-2</v>
      </c>
      <c r="BP505" s="562">
        <f>BP503/BK503-1</f>
        <v>-4.2941271270212966E-2</v>
      </c>
      <c r="BQ505" s="502">
        <f>+BQ503/BL503-1</f>
        <v>-3.6475255794529038E-2</v>
      </c>
      <c r="BR505" s="502">
        <f>+BR503/BM503-1</f>
        <v>-1.5086152098924499E-2</v>
      </c>
      <c r="BS505" s="502">
        <f>+BS503/BN503-1</f>
        <v>-1.8436443679145764E-2</v>
      </c>
      <c r="BT505" s="502">
        <f>+BT503/BO503-1</f>
        <v>6.0276648564079327E-3</v>
      </c>
      <c r="BU505" s="3371">
        <f>BU503/BP503-1</f>
        <v>-1.641858599379209E-2</v>
      </c>
      <c r="BV505" s="548">
        <v>2.5000000000000001E-3</v>
      </c>
      <c r="BW505" s="548">
        <v>-2.5000000000000001E-3</v>
      </c>
      <c r="BX505" s="548">
        <v>2.5000000000000001E-3</v>
      </c>
      <c r="BY505" s="548">
        <v>2.5000000000000001E-3</v>
      </c>
      <c r="BZ505" s="562">
        <f>BZ503/BU503-1</f>
        <v>0.305316164176336</v>
      </c>
      <c r="CA505" s="550">
        <v>0.01</v>
      </c>
      <c r="CB505" s="550">
        <v>0</v>
      </c>
      <c r="CC505" s="550">
        <v>-0.03</v>
      </c>
      <c r="CD505" s="550">
        <v>-0.03</v>
      </c>
      <c r="CE505" s="550">
        <v>0.01</v>
      </c>
      <c r="CF505" s="550">
        <v>0.01</v>
      </c>
      <c r="CG505" s="550">
        <v>0.01</v>
      </c>
      <c r="CH505" s="561"/>
      <c r="CI505" s="561"/>
      <c r="CJ505" s="561"/>
      <c r="CK505" s="561"/>
      <c r="CL505" s="561"/>
      <c r="CM505" s="561"/>
      <c r="CN505" s="561"/>
      <c r="CO505" s="561"/>
      <c r="CP505" s="396" t="str">
        <f>A505</f>
        <v>% Growth (y-o-y)</v>
      </c>
      <c r="CQ505" s="502"/>
      <c r="CR505" s="502">
        <f>M505</f>
        <v>2.2805778675393462E-2</v>
      </c>
      <c r="CS505" s="502">
        <f>R505</f>
        <v>0.10285390120439875</v>
      </c>
      <c r="CT505" s="502">
        <f>W505</f>
        <v>-4.1715891041258057E-2</v>
      </c>
      <c r="CU505" s="502">
        <f>AB505</f>
        <v>-9.8443647474503293E-2</v>
      </c>
      <c r="CV505" s="502">
        <f>AG505</f>
        <v>-5.4991519005768152E-3</v>
      </c>
      <c r="CW505" s="502">
        <f>AL505</f>
        <v>-3.7726663432044116E-2</v>
      </c>
      <c r="CX505" s="502">
        <f>AQ505</f>
        <v>3.2792825437086837E-2</v>
      </c>
      <c r="CY505" s="502">
        <f>AV505</f>
        <v>0.34570784092093865</v>
      </c>
      <c r="CZ505" s="502">
        <f>BA505</f>
        <v>0.25356023749674095</v>
      </c>
      <c r="DA505" s="502">
        <f>BF505</f>
        <v>-3.8318307123306417E-2</v>
      </c>
      <c r="DB505" s="502">
        <f>BK505</f>
        <v>-6.202366488450517E-3</v>
      </c>
      <c r="DC505" s="502">
        <f>BP505</f>
        <v>-4.2941271270212966E-2</v>
      </c>
      <c r="DD505" s="502">
        <f>BU505</f>
        <v>-1.641858599379209E-2</v>
      </c>
      <c r="DE505" s="502">
        <f t="shared" si="1231"/>
        <v>0.305316164176336</v>
      </c>
      <c r="DF505" s="502">
        <f t="shared" si="1231"/>
        <v>0.01</v>
      </c>
      <c r="DG505" s="1855">
        <f t="shared" si="1231"/>
        <v>0</v>
      </c>
      <c r="DH505" s="573"/>
      <c r="DI505" s="573"/>
      <c r="DJ505" s="573"/>
      <c r="DK505" s="573"/>
      <c r="DL505" s="573"/>
      <c r="DM505" s="573"/>
      <c r="DN505" s="551"/>
      <c r="DO505" s="266"/>
      <c r="DY505" s="561"/>
      <c r="DZ505" s="561"/>
    </row>
    <row r="506" spans="1:132" ht="6" customHeight="1">
      <c r="A506" s="552"/>
      <c r="B506" s="228"/>
      <c r="C506" s="228"/>
      <c r="D506" s="693"/>
      <c r="E506" s="668"/>
      <c r="F506" s="668"/>
      <c r="G506" s="668"/>
      <c r="H506" s="696"/>
      <c r="I506" s="668"/>
      <c r="J506" s="668"/>
      <c r="K506" s="668"/>
      <c r="L506" s="668"/>
      <c r="M506" s="696"/>
      <c r="N506" s="668"/>
      <c r="O506" s="668"/>
      <c r="P506" s="668"/>
      <c r="Q506" s="787"/>
      <c r="R506" s="696"/>
      <c r="S506" s="668"/>
      <c r="T506" s="668"/>
      <c r="U506" s="668"/>
      <c r="V506" s="668"/>
      <c r="W506" s="696"/>
      <c r="X506" s="668"/>
      <c r="Y506" s="668"/>
      <c r="Z506" s="668"/>
      <c r="AA506" s="668"/>
      <c r="AB506" s="696"/>
      <c r="AC506" s="668"/>
      <c r="AD506" s="668"/>
      <c r="AE506" s="668"/>
      <c r="AF506" s="668"/>
      <c r="AG506" s="696"/>
      <c r="AH506" s="668"/>
      <c r="AI506" s="668"/>
      <c r="AJ506" s="668"/>
      <c r="AK506" s="668"/>
      <c r="AL506" s="696"/>
      <c r="AM506" s="668"/>
      <c r="AN506" s="668"/>
      <c r="AO506" s="668"/>
      <c r="AP506" s="668"/>
      <c r="AQ506" s="696"/>
      <c r="AR506" s="668"/>
      <c r="AS506" s="668"/>
      <c r="AT506" s="668"/>
      <c r="AU506" s="668"/>
      <c r="AV506" s="696"/>
      <c r="AW506" s="668"/>
      <c r="AX506" s="668"/>
      <c r="AY506" s="668"/>
      <c r="AZ506" s="668"/>
      <c r="BA506" s="696"/>
      <c r="BB506" s="668"/>
      <c r="BC506" s="668"/>
      <c r="BD506" s="668"/>
      <c r="BE506" s="668"/>
      <c r="BF506" s="696"/>
      <c r="BG506" s="668"/>
      <c r="BH506" s="668"/>
      <c r="BI506" s="668"/>
      <c r="BJ506" s="2813"/>
      <c r="BK506" s="696"/>
      <c r="BL506" s="668"/>
      <c r="BM506" s="668"/>
      <c r="BN506" s="668"/>
      <c r="BO506" s="2813"/>
      <c r="BP506" s="696"/>
      <c r="BQ506" s="668"/>
      <c r="BR506" s="668"/>
      <c r="BS506" s="668"/>
      <c r="BT506" s="2813"/>
      <c r="BU506" s="3405"/>
      <c r="BV506" s="668"/>
      <c r="BW506" s="668"/>
      <c r="BX506" s="668"/>
      <c r="BY506" s="2813"/>
      <c r="BZ506" s="4009"/>
      <c r="CA506" s="696"/>
      <c r="CB506" s="696"/>
      <c r="CC506" s="696"/>
      <c r="CD506" s="696"/>
      <c r="CE506" s="696"/>
      <c r="CF506" s="696"/>
      <c r="CG506" s="696"/>
      <c r="CH506" s="668"/>
      <c r="CI506" s="668"/>
      <c r="CJ506" s="668"/>
      <c r="CK506" s="668"/>
      <c r="CL506" s="668"/>
      <c r="CM506" s="668"/>
      <c r="CN506" s="668"/>
      <c r="CO506" s="668"/>
      <c r="CP506" s="994"/>
      <c r="CQ506" s="589"/>
      <c r="CR506" s="589"/>
      <c r="CS506" s="589"/>
      <c r="CT506" s="589"/>
      <c r="CU506" s="589"/>
      <c r="CV506" s="589"/>
      <c r="CW506" s="589"/>
      <c r="CX506" s="589"/>
      <c r="CY506" s="589"/>
      <c r="CZ506" s="589"/>
      <c r="DA506" s="589"/>
      <c r="DB506" s="589"/>
      <c r="DC506" s="589"/>
      <c r="DD506" s="589"/>
      <c r="DE506" s="589"/>
      <c r="DF506" s="589"/>
      <c r="DG506" s="1870"/>
      <c r="DH506" s="590"/>
      <c r="DI506" s="595"/>
      <c r="DJ506" s="595"/>
      <c r="DK506" s="595"/>
      <c r="DL506" s="595"/>
      <c r="DM506" s="595"/>
      <c r="DN506" s="514"/>
      <c r="DO506" s="226"/>
      <c r="DY506" s="668"/>
      <c r="DZ506" s="668"/>
    </row>
    <row r="507" spans="1:132" ht="12.75" customHeight="1">
      <c r="A507" s="552"/>
      <c r="B507" s="228"/>
      <c r="C507" s="228"/>
      <c r="D507" s="693"/>
      <c r="E507" s="668"/>
      <c r="F507" s="668"/>
      <c r="G507" s="668"/>
      <c r="H507" s="696"/>
      <c r="I507" s="668"/>
      <c r="J507" s="668"/>
      <c r="K507" s="668"/>
      <c r="L507" s="668"/>
      <c r="M507" s="696"/>
      <c r="N507" s="668"/>
      <c r="O507" s="668"/>
      <c r="P507" s="668"/>
      <c r="Q507" s="787"/>
      <c r="R507" s="696"/>
      <c r="S507" s="668"/>
      <c r="T507" s="668"/>
      <c r="U507" s="668"/>
      <c r="V507" s="668"/>
      <c r="W507" s="696"/>
      <c r="X507" s="668"/>
      <c r="Y507" s="668"/>
      <c r="Z507" s="668"/>
      <c r="AA507" s="668"/>
      <c r="AB507" s="696"/>
      <c r="AC507" s="668"/>
      <c r="AD507" s="668"/>
      <c r="AE507" s="668"/>
      <c r="AF507" s="668"/>
      <c r="AG507" s="696"/>
      <c r="AH507" s="668"/>
      <c r="AI507" s="668"/>
      <c r="AJ507" s="668"/>
      <c r="AK507" s="668"/>
      <c r="AL507" s="696"/>
      <c r="AM507" s="668"/>
      <c r="AN507" s="668"/>
      <c r="AO507" s="1464"/>
      <c r="AP507" s="668"/>
      <c r="AQ507" s="696"/>
      <c r="AR507" s="668"/>
      <c r="AS507" s="668"/>
      <c r="AT507" s="668"/>
      <c r="AU507" s="668"/>
      <c r="AV507" s="696"/>
      <c r="AW507" s="668"/>
      <c r="AX507" s="668"/>
      <c r="AY507" s="1464"/>
      <c r="AZ507" s="668"/>
      <c r="BA507" s="696"/>
      <c r="BB507" s="668"/>
      <c r="BC507" s="668"/>
      <c r="BD507" s="3116"/>
      <c r="BE507" s="668"/>
      <c r="BF507" s="696"/>
      <c r="BG507" s="668"/>
      <c r="BH507" s="570"/>
      <c r="BI507" s="668"/>
      <c r="BJ507" s="2813"/>
      <c r="BK507" s="696"/>
      <c r="BL507" s="668"/>
      <c r="BM507" s="668"/>
      <c r="BN507" s="668"/>
      <c r="BO507" s="2813"/>
      <c r="BP507" s="696"/>
      <c r="BQ507" s="668"/>
      <c r="BR507" s="668"/>
      <c r="BS507" s="570"/>
      <c r="BT507" s="3918"/>
      <c r="BU507" s="3405"/>
      <c r="BV507" s="668"/>
      <c r="BW507" s="668"/>
      <c r="BX507" s="668"/>
      <c r="BY507" s="3918"/>
      <c r="BZ507" s="4009"/>
      <c r="CA507" s="696"/>
      <c r="CB507" s="696"/>
      <c r="CC507" s="696"/>
      <c r="CD507" s="696"/>
      <c r="CE507" s="696"/>
      <c r="CF507" s="696"/>
      <c r="CG507" s="696"/>
      <c r="CH507" s="668"/>
      <c r="CI507" s="668"/>
      <c r="CJ507" s="668"/>
      <c r="CK507" s="668"/>
      <c r="CL507" s="668"/>
      <c r="CM507" s="668"/>
      <c r="CN507" s="668"/>
      <c r="CO507" s="668"/>
      <c r="CP507" s="994"/>
      <c r="CQ507" s="589"/>
      <c r="CR507" s="589"/>
      <c r="CS507" s="589"/>
      <c r="CT507" s="589"/>
      <c r="CU507" s="589"/>
      <c r="CV507" s="589"/>
      <c r="CW507" s="589"/>
      <c r="CX507" s="589"/>
      <c r="CY507" s="589"/>
      <c r="CZ507" s="589"/>
      <c r="DA507" s="589"/>
      <c r="DB507" s="589"/>
      <c r="DC507" s="589"/>
      <c r="DD507" s="589"/>
      <c r="DE507" s="589"/>
      <c r="DF507" s="589"/>
      <c r="DG507" s="1870"/>
      <c r="DH507" s="590"/>
      <c r="DI507" s="595"/>
      <c r="DJ507" s="595"/>
      <c r="DK507" s="595"/>
      <c r="DL507" s="595"/>
      <c r="DM507" s="595"/>
      <c r="DN507" s="514"/>
      <c r="DO507" s="226"/>
      <c r="DY507" s="668"/>
      <c r="DZ507" s="668"/>
    </row>
    <row r="508" spans="1:132" s="2266" customFormat="1" ht="12" customHeight="1">
      <c r="A508" s="837" t="s">
        <v>555</v>
      </c>
      <c r="B508" s="837"/>
      <c r="C508" s="837"/>
      <c r="D508" s="2962">
        <v>44.171999999999997</v>
      </c>
      <c r="E508" s="662">
        <v>49.244999999999997</v>
      </c>
      <c r="F508" s="662">
        <v>53.064</v>
      </c>
      <c r="G508" s="662">
        <v>44.716999999999999</v>
      </c>
      <c r="H508" s="1487">
        <f>SUM(D508:G508)</f>
        <v>191.19799999999998</v>
      </c>
      <c r="I508" s="662">
        <v>55.878999999999998</v>
      </c>
      <c r="J508" s="662">
        <v>53.079000000000001</v>
      </c>
      <c r="K508" s="662">
        <v>48.924999999999997</v>
      </c>
      <c r="L508" s="662">
        <v>66.933000000000007</v>
      </c>
      <c r="M508" s="1487">
        <f>SUM(I508:L508)</f>
        <v>224.81599999999997</v>
      </c>
      <c r="N508" s="662">
        <v>83.858999999999995</v>
      </c>
      <c r="O508" s="662">
        <f>58.587+6.672</f>
        <v>65.259</v>
      </c>
      <c r="P508" s="662">
        <v>64.456000000000003</v>
      </c>
      <c r="Q508" s="662">
        <v>50.667999999999999</v>
      </c>
      <c r="R508" s="1487">
        <f>SUM(N508:Q508)</f>
        <v>264.24200000000002</v>
      </c>
      <c r="S508" s="662">
        <v>57.281000000000006</v>
      </c>
      <c r="T508" s="662">
        <v>58.08</v>
      </c>
      <c r="U508" s="662">
        <v>56.432000000000016</v>
      </c>
      <c r="V508" s="662">
        <v>43.99</v>
      </c>
      <c r="W508" s="1487">
        <f>SUM(S508:V508)</f>
        <v>215.78300000000002</v>
      </c>
      <c r="X508" s="662">
        <v>45.59899999999999</v>
      </c>
      <c r="Y508" s="662">
        <v>45.337000000000018</v>
      </c>
      <c r="Z508" s="662">
        <v>39.103000000000009</v>
      </c>
      <c r="AA508" s="662">
        <v>36.326999999999998</v>
      </c>
      <c r="AB508" s="1487">
        <f>SUM(X508:AA508)</f>
        <v>166.36600000000001</v>
      </c>
      <c r="AC508" s="662">
        <v>48.021000000000001</v>
      </c>
      <c r="AD508" s="662">
        <v>44.253</v>
      </c>
      <c r="AE508" s="662">
        <v>41.536999999999999</v>
      </c>
      <c r="AF508" s="662">
        <v>28.081</v>
      </c>
      <c r="AG508" s="1487">
        <f>SUM(AC508:AF508)</f>
        <v>161.892</v>
      </c>
      <c r="AH508" s="662">
        <v>39.279000000000003</v>
      </c>
      <c r="AI508" s="662">
        <v>35.590000000000003</v>
      </c>
      <c r="AJ508" s="662">
        <v>38.406999999999996</v>
      </c>
      <c r="AK508" s="662">
        <v>30.422999999999998</v>
      </c>
      <c r="AL508" s="1487">
        <f>SUM(AH508:AK508)</f>
        <v>143.69899999999998</v>
      </c>
      <c r="AM508" s="662">
        <v>41.210999999999999</v>
      </c>
      <c r="AN508" s="662">
        <v>42.276000000000003</v>
      </c>
      <c r="AO508" s="662">
        <v>44.524000000000001</v>
      </c>
      <c r="AP508" s="662">
        <v>39.090000000000003</v>
      </c>
      <c r="AQ508" s="1487">
        <f>SUM(AM508:AP508)</f>
        <v>167.101</v>
      </c>
      <c r="AR508" s="662">
        <v>58.13</v>
      </c>
      <c r="AS508" s="662">
        <v>51.003</v>
      </c>
      <c r="AT508" s="662">
        <v>48.707999999999998</v>
      </c>
      <c r="AU508" s="3871">
        <f>+AU509+AU727</f>
        <v>77.543000000000006</v>
      </c>
      <c r="AV508" s="3135">
        <f>AV499-AV503</f>
        <v>235.3839999999999</v>
      </c>
      <c r="AW508" s="690">
        <f>+AW509+AW727</f>
        <v>100.39400000000001</v>
      </c>
      <c r="AX508" s="690">
        <f t="shared" ref="AX508:AZ508" si="1236">+AX509+AX727</f>
        <v>96.948000000000008</v>
      </c>
      <c r="AY508" s="690">
        <f t="shared" si="1236"/>
        <v>87.210000000000008</v>
      </c>
      <c r="AZ508" s="690">
        <f t="shared" si="1236"/>
        <v>80.692999999999998</v>
      </c>
      <c r="BA508" s="3135">
        <f>BA499-BA503</f>
        <v>365.24499999999989</v>
      </c>
      <c r="BB508" s="690">
        <f t="shared" ref="BB508" si="1237">+BB509+BB727</f>
        <v>88.859000000000009</v>
      </c>
      <c r="BC508" s="690">
        <f t="shared" ref="BC508" si="1238">+BC509+BC727</f>
        <v>87.480999999999995</v>
      </c>
      <c r="BD508" s="690">
        <f t="shared" ref="BD508" si="1239">+BD509+BD727</f>
        <v>86.468000000000004</v>
      </c>
      <c r="BE508" s="690">
        <f t="shared" ref="BE508" si="1240">+BE509+BE727</f>
        <v>82.25</v>
      </c>
      <c r="BF508" s="3135">
        <f>BF499-BF503</f>
        <v>345.05799999999999</v>
      </c>
      <c r="BG508" s="690">
        <f t="shared" ref="BG508" si="1241">+BG509+BG727</f>
        <v>97.347000000000008</v>
      </c>
      <c r="BH508" s="690">
        <f t="shared" ref="BH508" si="1242">+BH509+BH727</f>
        <v>100.941</v>
      </c>
      <c r="BI508" s="690">
        <f t="shared" ref="BI508" si="1243">+BI509+BI727</f>
        <v>96.347000000000008</v>
      </c>
      <c r="BJ508" s="690">
        <f t="shared" ref="BJ508" si="1244">+BJ509+BJ727</f>
        <v>86.307000000000002</v>
      </c>
      <c r="BK508" s="3135">
        <f>BK499-BK503</f>
        <v>380.94199999999978</v>
      </c>
      <c r="BL508" s="690">
        <f t="shared" ref="BL508" si="1245">+BL509+BL727</f>
        <v>95.925000000000011</v>
      </c>
      <c r="BM508" s="690">
        <f t="shared" ref="BM508" si="1246">+BM509+BM727</f>
        <v>94.747</v>
      </c>
      <c r="BN508" s="3870">
        <v>90.632999999999996</v>
      </c>
      <c r="BO508" s="3870">
        <v>86.06</v>
      </c>
      <c r="BP508" s="3135">
        <f t="shared" ref="BP508:CG508" si="1247">BP499-BP503</f>
        <v>367.36500000000001</v>
      </c>
      <c r="BQ508" s="3870">
        <v>94.100999999999999</v>
      </c>
      <c r="BR508" s="3870">
        <v>93.673000000000002</v>
      </c>
      <c r="BS508" s="3870">
        <v>90.105999999999995</v>
      </c>
      <c r="BT508" s="3870">
        <v>86.313000000000002</v>
      </c>
      <c r="BU508" s="3385">
        <f t="shared" si="1247"/>
        <v>364.19299999999998</v>
      </c>
      <c r="BV508" s="690">
        <f t="shared" si="1247"/>
        <v>90.943867417579867</v>
      </c>
      <c r="BW508" s="690">
        <f t="shared" si="1247"/>
        <v>90.466536393822452</v>
      </c>
      <c r="BX508" s="690">
        <f t="shared" si="1247"/>
        <v>146.64458484526767</v>
      </c>
      <c r="BY508" s="690">
        <f t="shared" si="1247"/>
        <v>146.07989180563794</v>
      </c>
      <c r="BZ508" s="3135">
        <f t="shared" ref="BZ508" si="1248">BZ499-BZ503</f>
        <v>474.13488046230805</v>
      </c>
      <c r="CA508" s="3135">
        <f t="shared" si="1247"/>
        <v>594.34776997238419</v>
      </c>
      <c r="CB508" s="3135">
        <f t="shared" si="1247"/>
        <v>599.13979797392017</v>
      </c>
      <c r="CC508" s="3135">
        <f t="shared" si="1247"/>
        <v>-228.26488230365203</v>
      </c>
      <c r="CD508" s="3135">
        <f t="shared" si="1247"/>
        <v>-246.42447525448142</v>
      </c>
      <c r="CE508" s="3135">
        <f t="shared" si="1247"/>
        <v>-237.06921416997056</v>
      </c>
      <c r="CF508" s="3135">
        <f t="shared" si="1247"/>
        <v>-227.3867903761045</v>
      </c>
      <c r="CG508" s="3135">
        <f t="shared" si="1247"/>
        <v>-217.3692600438203</v>
      </c>
      <c r="CH508" s="690"/>
      <c r="CI508" s="690"/>
      <c r="CJ508" s="690"/>
      <c r="CK508" s="690"/>
      <c r="CL508" s="690"/>
      <c r="CM508" s="965"/>
      <c r="CN508" s="965">
        <f t="shared" ref="CN508" si="1249">SUM(BV508:BY508)</f>
        <v>474.13488046230793</v>
      </c>
      <c r="CO508" s="690"/>
      <c r="CP508" s="1907" t="str">
        <f>A508</f>
        <v>Total EBITDA</v>
      </c>
      <c r="CQ508" s="690">
        <f>H508</f>
        <v>191.19799999999998</v>
      </c>
      <c r="CR508" s="690">
        <f>M508</f>
        <v>224.81599999999997</v>
      </c>
      <c r="CS508" s="690">
        <f>R508</f>
        <v>264.24200000000002</v>
      </c>
      <c r="CT508" s="690">
        <f>W508</f>
        <v>215.78300000000002</v>
      </c>
      <c r="CU508" s="690">
        <f>AB508</f>
        <v>166.36600000000001</v>
      </c>
      <c r="CV508" s="690">
        <f>AG508</f>
        <v>161.892</v>
      </c>
      <c r="CW508" s="690">
        <f>AL508</f>
        <v>143.69899999999998</v>
      </c>
      <c r="CX508" s="690">
        <f>AQ508</f>
        <v>167.101</v>
      </c>
      <c r="CY508" s="690">
        <f>AV508</f>
        <v>235.3839999999999</v>
      </c>
      <c r="CZ508" s="690">
        <f>BA508</f>
        <v>365.24499999999989</v>
      </c>
      <c r="DA508" s="690">
        <f>BF508</f>
        <v>345.05799999999999</v>
      </c>
      <c r="DB508" s="690">
        <f>BK508</f>
        <v>380.94199999999978</v>
      </c>
      <c r="DC508" s="690">
        <f>BP508</f>
        <v>367.36500000000001</v>
      </c>
      <c r="DD508" s="690">
        <f>BU508</f>
        <v>364.19299999999998</v>
      </c>
      <c r="DE508" s="690">
        <f t="shared" ref="DE508:DG511" si="1250">BZ508</f>
        <v>474.13488046230805</v>
      </c>
      <c r="DF508" s="690">
        <f t="shared" si="1250"/>
        <v>594.34776997238419</v>
      </c>
      <c r="DG508" s="1862">
        <f t="shared" si="1250"/>
        <v>599.13979797392017</v>
      </c>
      <c r="DH508" s="558"/>
      <c r="DI508" s="3136"/>
      <c r="DJ508" s="3136"/>
      <c r="DK508" s="3136"/>
      <c r="DL508" s="3136"/>
      <c r="DM508" s="3136"/>
      <c r="DN508" s="3137"/>
      <c r="DO508" s="324"/>
      <c r="DP508"/>
      <c r="DQ508"/>
      <c r="DR508"/>
      <c r="DS508"/>
      <c r="DT508"/>
      <c r="DU508"/>
      <c r="DY508" s="690"/>
      <c r="DZ508" s="690"/>
    </row>
    <row r="509" spans="1:132" s="3873" customFormat="1" ht="12" customHeight="1">
      <c r="A509" s="3872" t="s">
        <v>1928</v>
      </c>
      <c r="B509" s="3872"/>
      <c r="C509" s="3872"/>
      <c r="D509" s="3882">
        <v>44.171999999999997</v>
      </c>
      <c r="E509" s="3883">
        <v>49.244999999999997</v>
      </c>
      <c r="F509" s="3883">
        <v>53.064</v>
      </c>
      <c r="G509" s="3883">
        <v>44.716999999999999</v>
      </c>
      <c r="H509" s="3884">
        <f>SUM(D509:G509)</f>
        <v>191.19799999999998</v>
      </c>
      <c r="I509" s="3883">
        <v>55.878999999999998</v>
      </c>
      <c r="J509" s="3883">
        <v>53.079000000000001</v>
      </c>
      <c r="K509" s="3883">
        <v>48.924999999999997</v>
      </c>
      <c r="L509" s="3883">
        <v>66.933000000000007</v>
      </c>
      <c r="M509" s="3884">
        <f>SUM(I509:L509)</f>
        <v>224.81599999999997</v>
      </c>
      <c r="N509" s="3883">
        <v>83.858999999999995</v>
      </c>
      <c r="O509" s="3883">
        <f>58.587+6.672</f>
        <v>65.259</v>
      </c>
      <c r="P509" s="3883">
        <v>64.456000000000003</v>
      </c>
      <c r="Q509" s="3883">
        <v>50.667999999999999</v>
      </c>
      <c r="R509" s="3884">
        <f>SUM(N509:Q509)</f>
        <v>264.24200000000002</v>
      </c>
      <c r="S509" s="3883">
        <v>57.281000000000006</v>
      </c>
      <c r="T509" s="3883">
        <v>58.08</v>
      </c>
      <c r="U509" s="3883">
        <v>56.432000000000016</v>
      </c>
      <c r="V509" s="3883">
        <v>43.99</v>
      </c>
      <c r="W509" s="3884">
        <f>SUM(S509:V509)</f>
        <v>215.78300000000002</v>
      </c>
      <c r="X509" s="3883">
        <v>45.59899999999999</v>
      </c>
      <c r="Y509" s="3883">
        <v>45.337000000000018</v>
      </c>
      <c r="Z509" s="3883">
        <v>39.103000000000009</v>
      </c>
      <c r="AA509" s="3883">
        <v>36.326999999999998</v>
      </c>
      <c r="AB509" s="3884">
        <f>SUM(X509:AA509)</f>
        <v>166.36600000000001</v>
      </c>
      <c r="AC509" s="3883">
        <v>48.021000000000001</v>
      </c>
      <c r="AD509" s="3883">
        <v>44.253</v>
      </c>
      <c r="AE509" s="3883">
        <v>41.536999999999999</v>
      </c>
      <c r="AF509" s="3883">
        <v>28.081</v>
      </c>
      <c r="AG509" s="3884">
        <f>SUM(AC509:AF509)</f>
        <v>161.892</v>
      </c>
      <c r="AH509" s="3883">
        <v>39.279000000000003</v>
      </c>
      <c r="AI509" s="3883">
        <v>35.590000000000003</v>
      </c>
      <c r="AJ509" s="3883">
        <v>38.406999999999996</v>
      </c>
      <c r="AK509" s="3883">
        <v>30.422999999999998</v>
      </c>
      <c r="AL509" s="3884">
        <f>SUM(AH509:AK509)</f>
        <v>143.69899999999998</v>
      </c>
      <c r="AM509" s="3883">
        <v>41.210999999999999</v>
      </c>
      <c r="AN509" s="3883">
        <v>42.276000000000003</v>
      </c>
      <c r="AO509" s="3883">
        <v>44.524000000000001</v>
      </c>
      <c r="AP509" s="3883">
        <v>39.090000000000003</v>
      </c>
      <c r="AQ509" s="3884">
        <f>SUM(AM509:AP509)</f>
        <v>167.101</v>
      </c>
      <c r="AR509" s="3883">
        <v>58.13</v>
      </c>
      <c r="AS509" s="3883">
        <v>51.003</v>
      </c>
      <c r="AT509" s="3883">
        <v>48.707999999999998</v>
      </c>
      <c r="AU509" s="3883">
        <v>34.508000000000003</v>
      </c>
      <c r="AV509" s="3884">
        <f>SUM(AR509:AU509)</f>
        <v>192.34900000000002</v>
      </c>
      <c r="AW509" s="3883">
        <v>49.682000000000002</v>
      </c>
      <c r="AX509" s="3883">
        <v>48.625</v>
      </c>
      <c r="AY509" s="3883">
        <v>41.936</v>
      </c>
      <c r="AZ509" s="3883">
        <v>39.732999999999997</v>
      </c>
      <c r="BA509" s="3884">
        <f>SUM(AW509:AZ509)</f>
        <v>179.976</v>
      </c>
      <c r="BB509" s="3883">
        <v>44.097999999999999</v>
      </c>
      <c r="BC509" s="3883">
        <v>42.198999999999998</v>
      </c>
      <c r="BD509" s="3883">
        <v>43.593000000000004</v>
      </c>
      <c r="BE509" s="3883">
        <v>40.087000000000003</v>
      </c>
      <c r="BF509" s="3884">
        <f>SUM(BB509:BE509)</f>
        <v>169.97699999999998</v>
      </c>
      <c r="BG509" s="3883">
        <v>50.984000000000002</v>
      </c>
      <c r="BH509" s="3883">
        <v>51.777000000000001</v>
      </c>
      <c r="BI509" s="3883">
        <v>50.716999999999999</v>
      </c>
      <c r="BJ509" s="3883">
        <v>43.344000000000001</v>
      </c>
      <c r="BK509" s="3884">
        <f>SUM(BG509:BJ509)</f>
        <v>196.822</v>
      </c>
      <c r="BL509" s="3883">
        <v>48.813000000000002</v>
      </c>
      <c r="BM509" s="3883">
        <v>50.055999999999997</v>
      </c>
      <c r="BN509" s="3874"/>
      <c r="BO509" s="3877"/>
      <c r="BP509" s="3876"/>
      <c r="BQ509" s="3877"/>
      <c r="BR509" s="3877"/>
      <c r="BS509" s="3877"/>
      <c r="BT509" s="3877"/>
      <c r="BU509" s="3878"/>
      <c r="BV509" s="3877"/>
      <c r="BW509" s="3877"/>
      <c r="BX509" s="3877"/>
      <c r="BY509" s="3877"/>
      <c r="BZ509" s="3876"/>
      <c r="CA509" s="3876"/>
      <c r="CB509" s="3876"/>
      <c r="CC509" s="3876"/>
      <c r="CD509" s="3876"/>
      <c r="CE509" s="3876"/>
      <c r="CF509" s="3876"/>
      <c r="CG509" s="3876"/>
      <c r="CH509" s="3877"/>
      <c r="CI509" s="3877"/>
      <c r="CJ509" s="3877"/>
      <c r="CK509" s="3877"/>
      <c r="CL509" s="3877"/>
      <c r="CM509" s="3877"/>
      <c r="CN509" s="3877"/>
      <c r="CO509" s="3877"/>
      <c r="CP509" s="3879"/>
      <c r="CQ509" s="3877"/>
      <c r="CR509" s="3877"/>
      <c r="CS509" s="3877"/>
      <c r="CT509" s="3877"/>
      <c r="CU509" s="3877"/>
      <c r="CV509" s="3877"/>
      <c r="CW509" s="3877"/>
      <c r="CX509" s="3877"/>
      <c r="CY509" s="3877"/>
      <c r="CZ509" s="3877"/>
      <c r="DA509" s="3877"/>
      <c r="DB509" s="3877"/>
      <c r="DC509" s="3877"/>
      <c r="DD509" s="3877"/>
      <c r="DE509" s="3877"/>
      <c r="DF509" s="3877"/>
      <c r="DG509" s="3875"/>
      <c r="DH509" s="568"/>
      <c r="DI509" s="3880"/>
      <c r="DJ509" s="3880"/>
      <c r="DK509" s="3880"/>
      <c r="DL509" s="3880"/>
      <c r="DM509" s="3880"/>
      <c r="DN509" s="2200"/>
      <c r="DO509" s="3881"/>
      <c r="DP509"/>
      <c r="DQ509"/>
      <c r="DR509"/>
      <c r="DS509"/>
      <c r="DT509"/>
      <c r="DU509"/>
      <c r="DY509" s="3877"/>
      <c r="DZ509" s="3877"/>
    </row>
    <row r="510" spans="1:132" ht="12" customHeight="1">
      <c r="A510" s="212" t="s">
        <v>56</v>
      </c>
      <c r="B510" s="228"/>
      <c r="C510" s="228"/>
      <c r="D510" s="593">
        <v>0.23943410033335999</v>
      </c>
      <c r="E510" s="310">
        <v>0.24565508021390373</v>
      </c>
      <c r="F510" s="310">
        <v>0.23627684964200477</v>
      </c>
      <c r="G510" s="310">
        <f t="shared" ref="G510:AL510" si="1251">G508/G499</f>
        <v>0.21395079567093767</v>
      </c>
      <c r="H510" s="594">
        <f t="shared" si="1251"/>
        <v>0.23358447184556874</v>
      </c>
      <c r="I510" s="310">
        <f t="shared" si="1251"/>
        <v>0.24824739886447439</v>
      </c>
      <c r="J510" s="310">
        <f t="shared" si="1251"/>
        <v>0.24099213628026078</v>
      </c>
      <c r="K510" s="310">
        <f t="shared" si="1251"/>
        <v>0.23417045982127899</v>
      </c>
      <c r="L510" s="310">
        <f t="shared" si="1251"/>
        <v>0.31544047994947905</v>
      </c>
      <c r="M510" s="594">
        <f t="shared" si="1251"/>
        <v>0.25946375152343315</v>
      </c>
      <c r="N510" s="310">
        <f t="shared" si="1251"/>
        <v>0.32006641094635596</v>
      </c>
      <c r="O510" s="310">
        <f t="shared" si="1251"/>
        <v>0.26537649800130941</v>
      </c>
      <c r="P510" s="310">
        <f t="shared" si="1251"/>
        <v>0.26733248170944141</v>
      </c>
      <c r="Q510" s="310">
        <f t="shared" si="1251"/>
        <v>0.22735145516059266</v>
      </c>
      <c r="R510" s="594">
        <f t="shared" si="1251"/>
        <v>0.27188579730544532</v>
      </c>
      <c r="S510" s="310">
        <f t="shared" si="1251"/>
        <v>0.24425928215974657</v>
      </c>
      <c r="T510" s="310">
        <f t="shared" si="1251"/>
        <v>0.24696607618189084</v>
      </c>
      <c r="U510" s="310">
        <f t="shared" si="1251"/>
        <v>0.24873389545877286</v>
      </c>
      <c r="V510" s="310">
        <f t="shared" si="1251"/>
        <v>0.22290685949115011</v>
      </c>
      <c r="W510" s="594">
        <f t="shared" si="1251"/>
        <v>0.2413931203134107</v>
      </c>
      <c r="X510" s="310">
        <f t="shared" si="1251"/>
        <v>0.22385920125678094</v>
      </c>
      <c r="Y510" s="310">
        <f t="shared" si="1251"/>
        <v>0.22680066834085394</v>
      </c>
      <c r="Z510" s="310">
        <f t="shared" si="1251"/>
        <v>0.20680226777516875</v>
      </c>
      <c r="AA510" s="310">
        <f t="shared" si="1251"/>
        <v>0.19630274079197646</v>
      </c>
      <c r="AB510" s="594">
        <f t="shared" si="1251"/>
        <v>0.21391145804537035</v>
      </c>
      <c r="AC510" s="310">
        <f t="shared" si="1251"/>
        <v>0.23302002610623979</v>
      </c>
      <c r="AD510" s="310">
        <f t="shared" si="1251"/>
        <v>0.2221023257681459</v>
      </c>
      <c r="AE510" s="310">
        <f t="shared" si="1251"/>
        <v>0.21562316688901922</v>
      </c>
      <c r="AF510" s="310">
        <f t="shared" si="1251"/>
        <v>0.16332524878877239</v>
      </c>
      <c r="AG510" s="594">
        <f t="shared" si="1251"/>
        <v>0.21027747867571897</v>
      </c>
      <c r="AH510" s="310">
        <f t="shared" si="1251"/>
        <v>0.21139790964769706</v>
      </c>
      <c r="AI510" s="310">
        <f t="shared" si="1251"/>
        <v>0.19585183717718019</v>
      </c>
      <c r="AJ510" s="310">
        <f t="shared" si="1251"/>
        <v>0.20354010440128248</v>
      </c>
      <c r="AK510" s="310">
        <f t="shared" si="1251"/>
        <v>0.17631819920484973</v>
      </c>
      <c r="AL510" s="594">
        <f t="shared" si="1251"/>
        <v>0.19718126257262272</v>
      </c>
      <c r="AM510" s="310">
        <f t="shared" ref="AM510:CB510" si="1252">AM508/AM499</f>
        <v>0.22381469613859772</v>
      </c>
      <c r="AN510" s="310">
        <f t="shared" si="1252"/>
        <v>0.23260394715847507</v>
      </c>
      <c r="AO510" s="310">
        <f t="shared" si="1252"/>
        <v>0.23694826136472491</v>
      </c>
      <c r="AP510" s="310">
        <f t="shared" si="1252"/>
        <v>0.17966879168256217</v>
      </c>
      <c r="AQ510" s="594">
        <f t="shared" si="1252"/>
        <v>0.21663334863110839</v>
      </c>
      <c r="AR510" s="310">
        <f t="shared" si="1252"/>
        <v>0.23850944929058518</v>
      </c>
      <c r="AS510" s="310">
        <f t="shared" si="1252"/>
        <v>0.21821519030668127</v>
      </c>
      <c r="AT510" s="310">
        <f t="shared" si="1252"/>
        <v>0.20907861695962912</v>
      </c>
      <c r="AU510" s="310">
        <f t="shared" si="1252"/>
        <v>0.22933777361090987</v>
      </c>
      <c r="AV510" s="594">
        <f t="shared" si="1252"/>
        <v>0.22448909523028379</v>
      </c>
      <c r="AW510" s="310">
        <f t="shared" si="1252"/>
        <v>0.27654463818417213</v>
      </c>
      <c r="AX510" s="310">
        <f t="shared" si="1252"/>
        <v>0.26926035889160765</v>
      </c>
      <c r="AY510" s="310">
        <f t="shared" si="1252"/>
        <v>0.25237807224940895</v>
      </c>
      <c r="AZ510" s="310">
        <f t="shared" si="1252"/>
        <v>0.2554068981670512</v>
      </c>
      <c r="BA510" s="594">
        <f t="shared" si="1252"/>
        <v>0.26379574959825214</v>
      </c>
      <c r="BB510" s="310">
        <f t="shared" si="1252"/>
        <v>0.26611741522390836</v>
      </c>
      <c r="BC510" s="310">
        <f t="shared" si="1252"/>
        <v>0.25969696429949707</v>
      </c>
      <c r="BD510" s="310">
        <f t="shared" si="1252"/>
        <v>0.25864616673147678</v>
      </c>
      <c r="BE510" s="310">
        <f t="shared" si="1252"/>
        <v>0.25682899716473279</v>
      </c>
      <c r="BF510" s="594">
        <f t="shared" si="1252"/>
        <v>0.2603564850689904</v>
      </c>
      <c r="BG510" s="310">
        <f>BG508/BG499</f>
        <v>0.28325472178495259</v>
      </c>
      <c r="BH510" s="310">
        <f>BH508/BH499</f>
        <v>0.28972815651020811</v>
      </c>
      <c r="BI510" s="310">
        <f>BI508/BI499</f>
        <v>0.28204129904041503</v>
      </c>
      <c r="BJ510" s="1891">
        <f>BJ508/BJ499</f>
        <v>0.26848859093807842</v>
      </c>
      <c r="BK510" s="594">
        <f t="shared" si="1252"/>
        <v>0.28111041499247663</v>
      </c>
      <c r="BL510" s="310">
        <f t="shared" ref="BL510:BU510" si="1253">BL508/BL499</f>
        <v>0.28602310846067835</v>
      </c>
      <c r="BM510" s="310">
        <f t="shared" si="1253"/>
        <v>0.28648272734144681</v>
      </c>
      <c r="BN510" s="310">
        <f t="shared" si="1253"/>
        <v>0.27766102151855299</v>
      </c>
      <c r="BO510" s="1891">
        <f t="shared" si="1253"/>
        <v>0.28013684584010129</v>
      </c>
      <c r="BP510" s="594">
        <f t="shared" si="1253"/>
        <v>0.28264868745109539</v>
      </c>
      <c r="BQ510" s="310">
        <f t="shared" si="1253"/>
        <v>0.28970466447261073</v>
      </c>
      <c r="BR510" s="310">
        <f t="shared" si="1253"/>
        <v>0.28726030463888913</v>
      </c>
      <c r="BS510" s="310">
        <f t="shared" si="1253"/>
        <v>0.28023088741128688</v>
      </c>
      <c r="BT510" s="1891">
        <f t="shared" si="1253"/>
        <v>0.27951734657197541</v>
      </c>
      <c r="BU510" s="3317">
        <f t="shared" si="1253"/>
        <v>0.2842497480961847</v>
      </c>
      <c r="BV510" s="310">
        <f t="shared" ref="BV510:BZ510" si="1254">BV508/BV499</f>
        <v>0.28222694508566598</v>
      </c>
      <c r="BW510" s="310">
        <f t="shared" si="1254"/>
        <v>0.2806874229087436</v>
      </c>
      <c r="BX510" s="310">
        <f t="shared" si="1254"/>
        <v>0.28152430817540702</v>
      </c>
      <c r="BY510" s="1891">
        <f t="shared" si="1254"/>
        <v>0.28884386194020562</v>
      </c>
      <c r="BZ510" s="4012">
        <f t="shared" si="1254"/>
        <v>0.28371347162151506</v>
      </c>
      <c r="CA510" s="594">
        <f t="shared" si="1252"/>
        <v>0.28534685186801201</v>
      </c>
      <c r="CB510" s="594">
        <f t="shared" si="1252"/>
        <v>0.28698724934025011</v>
      </c>
      <c r="CC510" s="594">
        <f>CC508/CC499</f>
        <v>-0.18777546940148773</v>
      </c>
      <c r="CD510" s="594">
        <f>CD508/CD499</f>
        <v>-0.21351157956291672</v>
      </c>
      <c r="CE510" s="594">
        <f>CE508/CE499</f>
        <v>-0.20133071485024934</v>
      </c>
      <c r="CF510" s="594">
        <f>CF508/CF499</f>
        <v>-0.18927768847422782</v>
      </c>
      <c r="CG510" s="594">
        <f>CG508/CG499</f>
        <v>-0.1773509948478956</v>
      </c>
      <c r="CH510" s="310"/>
      <c r="CI510" s="310"/>
      <c r="CJ510" s="310"/>
      <c r="CK510" s="310"/>
      <c r="CL510" s="310"/>
      <c r="CM510" s="310"/>
      <c r="CN510" s="310"/>
      <c r="CO510" s="310"/>
      <c r="CP510" s="1856" t="str">
        <f>A510</f>
        <v>% Margin</v>
      </c>
      <c r="CQ510" s="310">
        <f>H510</f>
        <v>0.23358447184556874</v>
      </c>
      <c r="CR510" s="310">
        <f>M510</f>
        <v>0.25946375152343315</v>
      </c>
      <c r="CS510" s="310">
        <f>R510</f>
        <v>0.27188579730544532</v>
      </c>
      <c r="CT510" s="310">
        <f>W510</f>
        <v>0.2413931203134107</v>
      </c>
      <c r="CU510" s="310">
        <f>AB510</f>
        <v>0.21391145804537035</v>
      </c>
      <c r="CV510" s="310">
        <f>AG510</f>
        <v>0.21027747867571897</v>
      </c>
      <c r="CW510" s="310">
        <f>AL510</f>
        <v>0.19718126257262272</v>
      </c>
      <c r="CX510" s="310">
        <f>AQ510</f>
        <v>0.21663334863110839</v>
      </c>
      <c r="CY510" s="310">
        <f>AV510</f>
        <v>0.22448909523028379</v>
      </c>
      <c r="CZ510" s="310">
        <f>BA510</f>
        <v>0.26379574959825214</v>
      </c>
      <c r="DA510" s="310">
        <f>BF510</f>
        <v>0.2603564850689904</v>
      </c>
      <c r="DB510" s="310">
        <f>BK510</f>
        <v>0.28111041499247663</v>
      </c>
      <c r="DC510" s="310">
        <f>BP510</f>
        <v>0.28264868745109539</v>
      </c>
      <c r="DD510" s="310">
        <f>BU510</f>
        <v>0.2842497480961847</v>
      </c>
      <c r="DE510" s="310">
        <f t="shared" si="1250"/>
        <v>0.28371347162151506</v>
      </c>
      <c r="DF510" s="310">
        <f t="shared" si="1250"/>
        <v>0.28534685186801201</v>
      </c>
      <c r="DG510" s="1891">
        <f t="shared" si="1250"/>
        <v>0.28698724934025011</v>
      </c>
      <c r="DH510" s="595"/>
      <c r="DI510" s="595"/>
      <c r="DJ510" s="595"/>
      <c r="DK510" s="595"/>
      <c r="DL510" s="595"/>
      <c r="DM510" s="595"/>
      <c r="DN510" s="514"/>
      <c r="DO510" s="226"/>
      <c r="DY510" s="310"/>
      <c r="DZ510" s="310"/>
    </row>
    <row r="511" spans="1:132" ht="12" customHeight="1">
      <c r="A511" s="257" t="s">
        <v>1249</v>
      </c>
      <c r="B511" s="228"/>
      <c r="C511" s="228"/>
      <c r="D511" s="593"/>
      <c r="E511" s="310"/>
      <c r="F511" s="310"/>
      <c r="G511" s="310"/>
      <c r="H511" s="594"/>
      <c r="I511" s="310">
        <f t="shared" ref="I511:O511" si="1255">I508/D508-1</f>
        <v>0.26503214706148692</v>
      </c>
      <c r="J511" s="310">
        <f t="shared" si="1255"/>
        <v>7.7855619859884317E-2</v>
      </c>
      <c r="K511" s="310">
        <f t="shared" si="1255"/>
        <v>-7.8000150761344811E-2</v>
      </c>
      <c r="L511" s="310">
        <f t="shared" si="1255"/>
        <v>0.49681329248384309</v>
      </c>
      <c r="M511" s="594">
        <f t="shared" si="1255"/>
        <v>0.17582819903973901</v>
      </c>
      <c r="N511" s="310">
        <f t="shared" si="1255"/>
        <v>0.50072478032892498</v>
      </c>
      <c r="O511" s="310">
        <f t="shared" si="1255"/>
        <v>0.22946928163680558</v>
      </c>
      <c r="P511" s="310">
        <f t="shared" ref="P511:U511" si="1256">P508/K508-1</f>
        <v>0.31744506898313762</v>
      </c>
      <c r="Q511" s="310">
        <f t="shared" si="1256"/>
        <v>-0.24300419822807895</v>
      </c>
      <c r="R511" s="594">
        <f t="shared" si="1256"/>
        <v>0.17537008042132252</v>
      </c>
      <c r="S511" s="310">
        <f t="shared" si="1256"/>
        <v>-0.31693676289962902</v>
      </c>
      <c r="T511" s="310">
        <f t="shared" si="1256"/>
        <v>-0.11000781501402113</v>
      </c>
      <c r="U511" s="310">
        <f t="shared" si="1256"/>
        <v>-0.12448802283728411</v>
      </c>
      <c r="V511" s="310">
        <f t="shared" ref="V511:AK511" si="1257">V508/Q508-1</f>
        <v>-0.13179916317991625</v>
      </c>
      <c r="W511" s="594">
        <f t="shared" si="1257"/>
        <v>-0.18338871186261074</v>
      </c>
      <c r="X511" s="310">
        <f t="shared" si="1257"/>
        <v>-0.20394197028683181</v>
      </c>
      <c r="Y511" s="310">
        <f t="shared" si="1257"/>
        <v>-0.21940426997245144</v>
      </c>
      <c r="Z511" s="310">
        <f t="shared" si="1257"/>
        <v>-0.30707754465551462</v>
      </c>
      <c r="AA511" s="310">
        <f t="shared" si="1257"/>
        <v>-0.17419868151852702</v>
      </c>
      <c r="AB511" s="594">
        <f>AB508/W508-1</f>
        <v>-0.22901248013050146</v>
      </c>
      <c r="AC511" s="310">
        <f>AC508/X508-1</f>
        <v>5.3115199894734788E-2</v>
      </c>
      <c r="AD511" s="310">
        <f>AD508/Y508-1</f>
        <v>-2.3909830822507416E-2</v>
      </c>
      <c r="AE511" s="310">
        <f>AE508/Z508-1</f>
        <v>6.2245863488734621E-2</v>
      </c>
      <c r="AF511" s="310">
        <f>AF508/AA508-1</f>
        <v>-0.22699369614886999</v>
      </c>
      <c r="AG511" s="594">
        <f t="shared" si="1257"/>
        <v>-2.6892514095428255E-2</v>
      </c>
      <c r="AH511" s="310">
        <f>AH508/AC508-1</f>
        <v>-0.18204535515711873</v>
      </c>
      <c r="AI511" s="310">
        <f t="shared" si="1257"/>
        <v>-0.19576073938490035</v>
      </c>
      <c r="AJ511" s="310">
        <f t="shared" si="1257"/>
        <v>-7.5354503214002055E-2</v>
      </c>
      <c r="AK511" s="310">
        <f t="shared" si="1257"/>
        <v>8.3401588262526305E-2</v>
      </c>
      <c r="AL511" s="594">
        <f t="shared" ref="AL511:AQ511" si="1258">AL508/AG508-1</f>
        <v>-0.11237738739406522</v>
      </c>
      <c r="AM511" s="310">
        <f t="shared" si="1258"/>
        <v>4.918658825326494E-2</v>
      </c>
      <c r="AN511" s="310">
        <f t="shared" si="1258"/>
        <v>0.18786175892104517</v>
      </c>
      <c r="AO511" s="310">
        <f t="shared" si="1258"/>
        <v>0.15926784179967202</v>
      </c>
      <c r="AP511" s="310">
        <f>AP508/AK508-1</f>
        <v>0.28488314761857825</v>
      </c>
      <c r="AQ511" s="594">
        <f t="shared" si="1258"/>
        <v>0.16285429961238429</v>
      </c>
      <c r="AR511" s="310">
        <f t="shared" ref="AR511:BG511" si="1259">AR508/AM508-1</f>
        <v>0.41054572808230816</v>
      </c>
      <c r="AS511" s="310">
        <f t="shared" si="1259"/>
        <v>0.20642917967641194</v>
      </c>
      <c r="AT511" s="310">
        <f t="shared" si="1259"/>
        <v>9.3971790495013918E-2</v>
      </c>
      <c r="AU511" s="310">
        <f t="shared" si="1259"/>
        <v>0.98370427219237655</v>
      </c>
      <c r="AV511" s="594">
        <f t="shared" si="1259"/>
        <v>0.40863310213583337</v>
      </c>
      <c r="AW511" s="310">
        <f t="shared" si="1259"/>
        <v>0.72706003784620687</v>
      </c>
      <c r="AX511" s="310">
        <f t="shared" si="1259"/>
        <v>0.90082936297864835</v>
      </c>
      <c r="AY511" s="310">
        <f t="shared" si="1259"/>
        <v>0.79046563192904684</v>
      </c>
      <c r="AZ511" s="310">
        <f t="shared" si="1259"/>
        <v>4.0622622286988985E-2</v>
      </c>
      <c r="BA511" s="594">
        <f t="shared" si="1259"/>
        <v>0.55169850117255237</v>
      </c>
      <c r="BB511" s="310">
        <f t="shared" si="1259"/>
        <v>-0.11489730461979797</v>
      </c>
      <c r="BC511" s="310">
        <f t="shared" si="1259"/>
        <v>-9.7650286751660764E-2</v>
      </c>
      <c r="BD511" s="310">
        <f t="shared" si="1259"/>
        <v>-8.5081986010778765E-3</v>
      </c>
      <c r="BE511" s="310">
        <f t="shared" si="1259"/>
        <v>1.9295353996009679E-2</v>
      </c>
      <c r="BF511" s="594">
        <f t="shared" si="1259"/>
        <v>-5.5269750441484189E-2</v>
      </c>
      <c r="BG511" s="310">
        <f t="shared" si="1259"/>
        <v>9.5522119312618781E-2</v>
      </c>
      <c r="BH511" s="310">
        <f t="shared" ref="BH511:BP511" si="1260">BH508/BC508-1</f>
        <v>0.15386198145883112</v>
      </c>
      <c r="BI511" s="310">
        <f t="shared" si="1260"/>
        <v>0.11425035851413234</v>
      </c>
      <c r="BJ511" s="1891">
        <f t="shared" si="1260"/>
        <v>4.9325227963525897E-2</v>
      </c>
      <c r="BK511" s="594">
        <f t="shared" si="1260"/>
        <v>0.10399411113493895</v>
      </c>
      <c r="BL511" s="310">
        <f t="shared" si="1260"/>
        <v>-1.4607537982680441E-2</v>
      </c>
      <c r="BM511" s="310">
        <f t="shared" si="1260"/>
        <v>-6.1362578139705359E-2</v>
      </c>
      <c r="BN511" s="310">
        <f t="shared" si="1260"/>
        <v>-5.9306465172761058E-2</v>
      </c>
      <c r="BO511" s="1891">
        <f t="shared" si="1260"/>
        <v>-2.8618767886730012E-3</v>
      </c>
      <c r="BP511" s="594">
        <f t="shared" si="1260"/>
        <v>-3.5640596206246045E-2</v>
      </c>
      <c r="BQ511" s="310">
        <f t="shared" ref="BQ511:BZ511" si="1261">BQ508/BL508-1</f>
        <v>-1.9014855355746763E-2</v>
      </c>
      <c r="BR511" s="310">
        <f t="shared" si="1261"/>
        <v>-1.1335451254393281E-2</v>
      </c>
      <c r="BS511" s="310">
        <f>BS508/BN508-1</f>
        <v>-5.8146591197466568E-3</v>
      </c>
      <c r="BT511" s="1891">
        <f t="shared" si="1261"/>
        <v>2.9398094352777182E-3</v>
      </c>
      <c r="BU511" s="3317">
        <f t="shared" si="1261"/>
        <v>-8.6344643610578586E-3</v>
      </c>
      <c r="BV511" s="310">
        <f t="shared" si="1261"/>
        <v>-3.3550467927228489E-2</v>
      </c>
      <c r="BW511" s="310">
        <f t="shared" si="1261"/>
        <v>-3.4230393028701456E-2</v>
      </c>
      <c r="BX511" s="310">
        <f>BX508/BS508-1</f>
        <v>0.62746748102532224</v>
      </c>
      <c r="BY511" s="1891">
        <f t="shared" si="1261"/>
        <v>0.69244368525758504</v>
      </c>
      <c r="BZ511" s="4012">
        <f t="shared" si="1261"/>
        <v>0.30187807141353096</v>
      </c>
      <c r="CA511" s="594">
        <f t="shared" ref="CA511:CG511" si="1262">CA508/BZ508-1</f>
        <v>0.25354154369082038</v>
      </c>
      <c r="CB511" s="594">
        <f t="shared" si="1262"/>
        <v>8.062666747716829E-3</v>
      </c>
      <c r="CC511" s="594">
        <f t="shared" si="1262"/>
        <v>-1.3809876811314545</v>
      </c>
      <c r="CD511" s="594">
        <f t="shared" si="1262"/>
        <v>7.9554913430233132E-2</v>
      </c>
      <c r="CE511" s="594">
        <f t="shared" si="1262"/>
        <v>-3.7964009357632666E-2</v>
      </c>
      <c r="CF511" s="594">
        <f t="shared" si="1262"/>
        <v>-4.0842181165387847E-2</v>
      </c>
      <c r="CG511" s="594">
        <f t="shared" si="1262"/>
        <v>-4.4055023230306856E-2</v>
      </c>
      <c r="CH511" s="310"/>
      <c r="CI511" s="310"/>
      <c r="CJ511" s="310"/>
      <c r="CK511" s="310"/>
      <c r="CL511" s="310"/>
      <c r="CM511" s="310"/>
      <c r="CN511" s="310"/>
      <c r="CO511" s="310"/>
      <c r="CP511" s="396" t="str">
        <f>A511</f>
        <v>% Growth (y-o-y)</v>
      </c>
      <c r="CQ511" s="310"/>
      <c r="CR511" s="310">
        <f>M511</f>
        <v>0.17582819903973901</v>
      </c>
      <c r="CS511" s="310">
        <f>R511</f>
        <v>0.17537008042132252</v>
      </c>
      <c r="CT511" s="310">
        <f>W511</f>
        <v>-0.18338871186261074</v>
      </c>
      <c r="CU511" s="310">
        <f>AB511</f>
        <v>-0.22901248013050146</v>
      </c>
      <c r="CV511" s="310">
        <f>AG511</f>
        <v>-2.6892514095428255E-2</v>
      </c>
      <c r="CW511" s="310">
        <f>AL511</f>
        <v>-0.11237738739406522</v>
      </c>
      <c r="CX511" s="310">
        <f>AQ511</f>
        <v>0.16285429961238429</v>
      </c>
      <c r="CY511" s="310">
        <f>AV511</f>
        <v>0.40863310213583337</v>
      </c>
      <c r="CZ511" s="310">
        <f>BA511</f>
        <v>0.55169850117255237</v>
      </c>
      <c r="DA511" s="310">
        <f>BF511</f>
        <v>-5.5269750441484189E-2</v>
      </c>
      <c r="DB511" s="310">
        <f>BK511</f>
        <v>0.10399411113493895</v>
      </c>
      <c r="DC511" s="310">
        <f>BP511</f>
        <v>-3.5640596206246045E-2</v>
      </c>
      <c r="DD511" s="310">
        <f>BU511</f>
        <v>-8.6344643610578586E-3</v>
      </c>
      <c r="DE511" s="310">
        <f t="shared" si="1250"/>
        <v>0.30187807141353096</v>
      </c>
      <c r="DF511" s="310">
        <f t="shared" si="1250"/>
        <v>0.25354154369082038</v>
      </c>
      <c r="DG511" s="1891">
        <f t="shared" si="1250"/>
        <v>8.062666747716829E-3</v>
      </c>
      <c r="DH511" s="310"/>
      <c r="DI511" s="595"/>
      <c r="DJ511" s="595"/>
      <c r="DK511" s="595"/>
      <c r="DL511" s="595"/>
      <c r="DM511" s="595"/>
      <c r="DN511" s="514"/>
      <c r="DO511" s="226"/>
      <c r="DY511" s="310"/>
      <c r="DZ511" s="310"/>
    </row>
    <row r="512" spans="1:132" ht="12" customHeight="1">
      <c r="A512" s="2501" t="s">
        <v>2012</v>
      </c>
      <c r="B512" s="228"/>
      <c r="C512" s="228"/>
      <c r="D512" s="596"/>
      <c r="E512" s="570"/>
      <c r="F512" s="668"/>
      <c r="G512" s="668"/>
      <c r="H512" s="696"/>
      <c r="I512" s="668"/>
      <c r="J512" s="668"/>
      <c r="K512" s="668"/>
      <c r="L512" s="668"/>
      <c r="M512" s="696"/>
      <c r="N512" s="668"/>
      <c r="O512" s="668"/>
      <c r="P512" s="668"/>
      <c r="Q512" s="668"/>
      <c r="R512" s="696"/>
      <c r="S512" s="786"/>
      <c r="T512" s="668"/>
      <c r="U512" s="668"/>
      <c r="V512" s="668"/>
      <c r="W512" s="696"/>
      <c r="X512" s="668"/>
      <c r="Y512" s="668"/>
      <c r="Z512" s="668"/>
      <c r="AA512" s="668"/>
      <c r="AB512" s="696"/>
      <c r="AC512" s="668"/>
      <c r="AD512" s="668"/>
      <c r="AE512" s="668"/>
      <c r="AF512" s="668"/>
      <c r="AG512" s="696"/>
      <c r="AH512" s="668"/>
      <c r="AI512" s="668"/>
      <c r="AJ512" s="668"/>
      <c r="AK512" s="668"/>
      <c r="AL512" s="696"/>
      <c r="AM512" s="668"/>
      <c r="AN512" s="668"/>
      <c r="AO512" s="668"/>
      <c r="AP512" s="668"/>
      <c r="AQ512" s="696"/>
      <c r="AR512" s="668"/>
      <c r="AS512" s="668"/>
      <c r="AT512" s="668"/>
      <c r="AU512" s="668"/>
      <c r="AV512" s="1553"/>
      <c r="AW512" s="668"/>
      <c r="AX512" s="668"/>
      <c r="AY512" s="668"/>
      <c r="AZ512" s="668"/>
      <c r="BA512" s="696"/>
      <c r="BB512" s="668"/>
      <c r="BC512" s="668"/>
      <c r="BD512" s="668"/>
      <c r="BE512" s="668"/>
      <c r="BF512" s="696"/>
      <c r="BG512" s="693"/>
      <c r="BH512" s="668"/>
      <c r="BJ512" s="2813"/>
      <c r="BK512" s="696"/>
      <c r="BL512" s="668"/>
      <c r="BM512" s="668"/>
      <c r="BN512" s="668"/>
      <c r="BO512" s="2813"/>
      <c r="BP512" s="696"/>
      <c r="BQ512" s="4174">
        <f t="shared" ref="BQ512:BW512" si="1263">+BQ508</f>
        <v>94.100999999999999</v>
      </c>
      <c r="BR512" s="4174">
        <f t="shared" si="1263"/>
        <v>93.673000000000002</v>
      </c>
      <c r="BS512" s="4174">
        <f t="shared" si="1263"/>
        <v>90.105999999999995</v>
      </c>
      <c r="BT512" s="4174">
        <f t="shared" si="1263"/>
        <v>86.313000000000002</v>
      </c>
      <c r="BU512" s="3405">
        <f t="shared" si="1263"/>
        <v>364.19299999999998</v>
      </c>
      <c r="BV512" s="4174">
        <f t="shared" si="1263"/>
        <v>90.943867417579867</v>
      </c>
      <c r="BW512" s="4174">
        <f t="shared" si="1263"/>
        <v>90.466536393822452</v>
      </c>
      <c r="BX512" s="668">
        <f>+BX508-(SUM(BX441:BX445)*0.295)</f>
        <v>87.263689856986673</v>
      </c>
      <c r="BY512" s="668">
        <f>+BY508-(SUM(BY441:BY445)*0.3125)</f>
        <v>85.111735918015484</v>
      </c>
      <c r="BZ512" s="696">
        <f>+BZ508-(SUM(BZ441:BZ445)*0.3025)</f>
        <v>354.22712680391999</v>
      </c>
      <c r="CA512" s="696">
        <f>+CA508-(SUM(CA441:CA445)*0.304)</f>
        <v>350.37039465368161</v>
      </c>
      <c r="CB512" s="696">
        <f>+CB508-(SUM(CB441:CB445)*0.308)</f>
        <v>350.47624940813</v>
      </c>
      <c r="CC512" s="696"/>
      <c r="CD512" s="696"/>
      <c r="CE512" s="696"/>
      <c r="CF512" s="696"/>
      <c r="CG512" s="696"/>
      <c r="CH512" s="668"/>
      <c r="CI512" s="668"/>
      <c r="CJ512" s="668"/>
      <c r="CK512" s="668"/>
      <c r="CL512" s="668"/>
      <c r="CM512" s="668"/>
      <c r="CN512" s="668"/>
      <c r="CO512" s="668"/>
      <c r="CP512" s="994"/>
      <c r="CQ512" s="589"/>
      <c r="CR512" s="589"/>
      <c r="CS512" s="589"/>
      <c r="CT512" s="589"/>
      <c r="CU512" s="589"/>
      <c r="CV512" s="589"/>
      <c r="CW512" s="589"/>
      <c r="CX512" s="589"/>
      <c r="CY512" s="589"/>
      <c r="CZ512" s="589"/>
      <c r="DA512" s="589"/>
      <c r="DB512" s="589"/>
      <c r="DC512" s="589"/>
      <c r="DD512" s="589"/>
      <c r="DE512" s="589"/>
      <c r="DF512" s="589"/>
      <c r="DG512" s="1870"/>
      <c r="DH512" s="595"/>
      <c r="DI512" s="595"/>
      <c r="DJ512" s="595"/>
      <c r="DK512" s="595"/>
      <c r="DL512" s="595"/>
      <c r="DM512" s="595"/>
      <c r="DN512" s="514"/>
      <c r="DO512" s="226"/>
      <c r="DY512" s="668"/>
      <c r="DZ512" s="668"/>
    </row>
    <row r="513" spans="1:130" ht="12" hidden="1" customHeight="1" outlineLevel="1">
      <c r="A513" s="552" t="s">
        <v>372</v>
      </c>
      <c r="B513" s="228"/>
      <c r="C513" s="228"/>
      <c r="D513" s="580">
        <v>11.543999999999999</v>
      </c>
      <c r="E513" s="581">
        <v>14.554</v>
      </c>
      <c r="F513" s="583">
        <v>14.311</v>
      </c>
      <c r="G513" s="583">
        <v>14.739000000000001</v>
      </c>
      <c r="H513" s="585">
        <f>SUM(D513:G513)</f>
        <v>55.147999999999996</v>
      </c>
      <c r="I513" s="583">
        <v>15.196</v>
      </c>
      <c r="J513" s="583">
        <v>16.146999999999998</v>
      </c>
      <c r="K513" s="583">
        <v>14.983000000000001</v>
      </c>
      <c r="L513" s="583">
        <v>15.988</v>
      </c>
      <c r="M513" s="585">
        <f>SUM(I513:L513)</f>
        <v>62.313999999999993</v>
      </c>
      <c r="N513" s="621"/>
      <c r="O513" s="621"/>
      <c r="P513" s="621"/>
      <c r="Q513" s="621"/>
      <c r="R513" s="585"/>
      <c r="S513" s="581"/>
      <c r="T513" s="621"/>
      <c r="U513" s="621"/>
      <c r="V513" s="621"/>
      <c r="W513" s="585"/>
      <c r="X513" s="621"/>
      <c r="Y513" s="621"/>
      <c r="Z513" s="621"/>
      <c r="AA513" s="621"/>
      <c r="AB513" s="585"/>
      <c r="AC513" s="1315"/>
      <c r="AD513" s="1314"/>
      <c r="AE513" s="1314"/>
      <c r="AF513" s="1314"/>
      <c r="AG513" s="1316"/>
      <c r="AH513" s="310">
        <f>AH496/AC496-1</f>
        <v>0.48414071913892776</v>
      </c>
      <c r="AI513" s="310">
        <f>AI496/AD496-1</f>
        <v>0.30321994630225757</v>
      </c>
      <c r="AJ513" s="310">
        <f>AJ496/AE496-1</f>
        <v>0.470801853224323</v>
      </c>
      <c r="AK513" s="310">
        <f>AK496/AF496-1</f>
        <v>0.22261765955124568</v>
      </c>
      <c r="AL513" s="801"/>
      <c r="AM513" s="310">
        <f>AM496/AH496-1</f>
        <v>-3.4117543317885413E-2</v>
      </c>
      <c r="AN513" s="310">
        <f>AN496/AI496-1</f>
        <v>-0.21544550937998164</v>
      </c>
      <c r="AO513" s="1314"/>
      <c r="AP513" s="1314"/>
      <c r="AQ513" s="585"/>
      <c r="AR513" s="447"/>
      <c r="AS513" s="310"/>
      <c r="AT513" s="1314"/>
      <c r="AU513" s="310"/>
      <c r="AV513" s="1440"/>
      <c r="AW513" s="310"/>
      <c r="AX513" s="310"/>
      <c r="AY513" s="310"/>
      <c r="AZ513" s="2761"/>
      <c r="BA513" s="1440"/>
      <c r="BB513" s="2109"/>
      <c r="BC513" s="916"/>
      <c r="BD513" s="1314"/>
      <c r="BE513" s="2761"/>
      <c r="BF513" s="1440"/>
      <c r="BG513" s="2109"/>
      <c r="BH513" s="916"/>
      <c r="BI513" s="570"/>
      <c r="BJ513" s="1858"/>
      <c r="BK513" s="1440"/>
      <c r="BL513" s="916"/>
      <c r="BM513" s="916"/>
      <c r="BN513" s="916"/>
      <c r="BO513" s="1858"/>
      <c r="BP513" s="1440"/>
      <c r="BQ513" s="916"/>
      <c r="BR513" s="916"/>
      <c r="BS513" s="916"/>
      <c r="BT513" s="1858"/>
      <c r="BU513" s="3382"/>
      <c r="BV513" s="916"/>
      <c r="BW513" s="916"/>
      <c r="BX513" s="916"/>
      <c r="BY513" s="1858"/>
      <c r="BZ513" s="1440"/>
      <c r="CA513" s="1440"/>
      <c r="CB513" s="1440"/>
      <c r="CC513" s="1440"/>
      <c r="CD513" s="1440"/>
      <c r="CE513" s="1440"/>
      <c r="CF513" s="1440"/>
      <c r="CG513" s="1440"/>
      <c r="CH513" s="621"/>
      <c r="CI513" s="621"/>
      <c r="CJ513" s="621"/>
      <c r="CK513" s="621"/>
      <c r="CL513" s="621"/>
      <c r="CM513" s="621"/>
      <c r="CN513" s="621"/>
      <c r="CO513" s="621"/>
      <c r="CP513" s="994" t="str">
        <f>A513</f>
        <v>Depreciation</v>
      </c>
      <c r="CQ513" s="773">
        <f>H513</f>
        <v>55.147999999999996</v>
      </c>
      <c r="CR513" s="773">
        <f>M513</f>
        <v>62.313999999999993</v>
      </c>
      <c r="CS513" s="773"/>
      <c r="CT513" s="773"/>
      <c r="CU513" s="773"/>
      <c r="CV513" s="773"/>
      <c r="CW513" s="773"/>
      <c r="CX513" s="773"/>
      <c r="CY513" s="773"/>
      <c r="CZ513" s="773"/>
      <c r="DA513" s="773"/>
      <c r="DB513" s="773"/>
      <c r="DC513" s="773"/>
      <c r="DD513" s="773"/>
      <c r="DE513" s="773"/>
      <c r="DF513" s="773"/>
      <c r="DG513" s="774"/>
      <c r="DH513" s="590"/>
      <c r="DI513" s="590"/>
      <c r="DJ513" s="590"/>
      <c r="DK513" s="590"/>
      <c r="DL513" s="590"/>
      <c r="DM513" s="590"/>
      <c r="DN513" s="514"/>
      <c r="DO513" s="226"/>
      <c r="DY513" s="916"/>
      <c r="DZ513" s="916"/>
    </row>
    <row r="514" spans="1:130" ht="12" hidden="1" customHeight="1" outlineLevel="1">
      <c r="A514" s="567" t="s">
        <v>1103</v>
      </c>
      <c r="B514" s="545"/>
      <c r="C514" s="545"/>
      <c r="D514" s="358">
        <v>6.2574193023823069E-2</v>
      </c>
      <c r="E514" s="502">
        <v>7.2601564370660066E-2</v>
      </c>
      <c r="F514" s="502">
        <v>6.3722259822605348E-2</v>
      </c>
      <c r="G514" s="502">
        <f t="shared" ref="G514:M514" si="1264">G513/G499</f>
        <v>7.0519506617034919E-2</v>
      </c>
      <c r="H514" s="503">
        <f t="shared" si="1264"/>
        <v>6.7373698748624075E-2</v>
      </c>
      <c r="I514" s="502">
        <f t="shared" si="1264"/>
        <v>6.7509573778066059E-2</v>
      </c>
      <c r="J514" s="502">
        <f t="shared" si="1264"/>
        <v>7.3311479577937988E-2</v>
      </c>
      <c r="K514" s="502">
        <f t="shared" si="1264"/>
        <v>7.1713357169181882E-2</v>
      </c>
      <c r="L514" s="502">
        <f t="shared" si="1264"/>
        <v>7.5347920957259798E-2</v>
      </c>
      <c r="M514" s="503">
        <f t="shared" si="1264"/>
        <v>7.1917586881855441E-2</v>
      </c>
      <c r="N514" s="502"/>
      <c r="O514" s="502"/>
      <c r="P514" s="502"/>
      <c r="Q514" s="502"/>
      <c r="R514" s="503"/>
      <c r="S514" s="502"/>
      <c r="T514" s="502"/>
      <c r="U514" s="502"/>
      <c r="V514" s="502"/>
      <c r="W514" s="503"/>
      <c r="X514" s="502"/>
      <c r="Y514" s="502"/>
      <c r="Z514" s="502"/>
      <c r="AA514" s="502"/>
      <c r="AB514" s="503"/>
      <c r="AC514" s="502"/>
      <c r="AD514" s="502"/>
      <c r="AE514" s="502"/>
      <c r="AF514" s="502"/>
      <c r="AG514" s="503"/>
      <c r="AH514" s="502"/>
      <c r="AI514" s="502"/>
      <c r="AJ514" s="502"/>
      <c r="AK514" s="502"/>
      <c r="AL514" s="503"/>
      <c r="AM514" s="502"/>
      <c r="AN514" s="502">
        <f>AN510-AI510</f>
        <v>3.6752109981294884E-2</v>
      </c>
      <c r="AO514" s="502"/>
      <c r="AP514" s="502"/>
      <c r="AQ514" s="585"/>
      <c r="AR514" s="447"/>
      <c r="AS514" s="447"/>
      <c r="AT514" s="502"/>
      <c r="AU514" s="502"/>
      <c r="AV514" s="1622"/>
      <c r="AW514" s="502"/>
      <c r="AX514" s="502"/>
      <c r="AY514" s="502"/>
      <c r="AZ514" s="502"/>
      <c r="BA514" s="503"/>
      <c r="BB514" s="502"/>
      <c r="BC514" s="502"/>
      <c r="BD514" s="502"/>
      <c r="BE514" s="3108"/>
      <c r="BF514" s="3206"/>
      <c r="BG514" s="358"/>
      <c r="BH514" s="502"/>
      <c r="BI514" s="502"/>
      <c r="BJ514" s="1855"/>
      <c r="BK514" s="3206"/>
      <c r="BL514" s="502"/>
      <c r="BM514" s="502"/>
      <c r="BN514" s="502"/>
      <c r="BO514" s="1855"/>
      <c r="BP514" s="3206"/>
      <c r="BQ514" s="502"/>
      <c r="BR514" s="502"/>
      <c r="BS514" s="502"/>
      <c r="BT514" s="1855"/>
      <c r="BU514" s="3390"/>
      <c r="BV514" s="502"/>
      <c r="BW514" s="502"/>
      <c r="BX514" s="502"/>
      <c r="BY514" s="1855"/>
      <c r="BZ514" s="503"/>
      <c r="CA514" s="503"/>
      <c r="CB514" s="503"/>
      <c r="CC514" s="503"/>
      <c r="CD514" s="503"/>
      <c r="CE514" s="503"/>
      <c r="CF514" s="503"/>
      <c r="CG514" s="503"/>
      <c r="CH514" s="502"/>
      <c r="CI514" s="502"/>
      <c r="CJ514" s="502"/>
      <c r="CK514" s="502"/>
      <c r="CL514" s="502"/>
      <c r="CM514" s="502"/>
      <c r="CN514" s="502"/>
      <c r="CO514" s="502"/>
      <c r="CP514" s="1849" t="str">
        <f>A514</f>
        <v>% of Net Revenues</v>
      </c>
      <c r="CQ514" s="542">
        <f>H514</f>
        <v>6.7373698748624075E-2</v>
      </c>
      <c r="CR514" s="542">
        <f>M514</f>
        <v>7.1917586881855441E-2</v>
      </c>
      <c r="CS514" s="542"/>
      <c r="CT514" s="542"/>
      <c r="CU514" s="542"/>
      <c r="CV514" s="542"/>
      <c r="CW514" s="542"/>
      <c r="CX514" s="542"/>
      <c r="CY514" s="542"/>
      <c r="CZ514" s="542"/>
      <c r="DA514" s="542"/>
      <c r="DB514" s="542"/>
      <c r="DC514" s="542"/>
      <c r="DD514" s="542"/>
      <c r="DE514" s="542"/>
      <c r="DF514" s="542"/>
      <c r="DG514" s="1845"/>
      <c r="DH514" s="502"/>
      <c r="DI514" s="548"/>
      <c r="DJ514" s="548"/>
      <c r="DK514" s="548"/>
      <c r="DL514" s="548"/>
      <c r="DM514" s="548"/>
      <c r="DN514" s="551"/>
      <c r="DO514" s="266"/>
      <c r="DY514" s="3108"/>
      <c r="DZ514" s="3108"/>
    </row>
    <row r="515" spans="1:130" ht="6" hidden="1" customHeight="1" outlineLevel="1">
      <c r="A515" s="217"/>
      <c r="B515" s="228"/>
      <c r="C515" s="228"/>
      <c r="D515" s="596"/>
      <c r="E515" s="570"/>
      <c r="F515" s="570"/>
      <c r="G515" s="570"/>
      <c r="H515" s="569"/>
      <c r="I515" s="570"/>
      <c r="J515" s="570"/>
      <c r="K515" s="570"/>
      <c r="L515" s="570"/>
      <c r="M515" s="569"/>
      <c r="N515" s="570"/>
      <c r="O515" s="570"/>
      <c r="P515" s="570"/>
      <c r="Q515" s="570"/>
      <c r="R515" s="569"/>
      <c r="S515" s="570"/>
      <c r="T515" s="570"/>
      <c r="U515" s="570"/>
      <c r="V515" s="570"/>
      <c r="W515" s="569"/>
      <c r="X515" s="570"/>
      <c r="Y515" s="570"/>
      <c r="Z515" s="570"/>
      <c r="AA515" s="570"/>
      <c r="AB515" s="569"/>
      <c r="AC515" s="570"/>
      <c r="AD515" s="570"/>
      <c r="AE515" s="570"/>
      <c r="AF515" s="570"/>
      <c r="AG515" s="569"/>
      <c r="AH515" s="570"/>
      <c r="AI515" s="570"/>
      <c r="AJ515" s="570"/>
      <c r="AK515" s="570"/>
      <c r="AL515" s="569"/>
      <c r="AM515" s="570"/>
      <c r="AN515" s="570"/>
      <c r="AO515" s="570"/>
      <c r="AP515" s="570"/>
      <c r="AQ515" s="569"/>
      <c r="AR515" s="570"/>
      <c r="AS515" s="570"/>
      <c r="AT515" s="570"/>
      <c r="AU515" s="570"/>
      <c r="AV515" s="569"/>
      <c r="AW515" s="570"/>
      <c r="AX515" s="570"/>
      <c r="AY515" s="570"/>
      <c r="AZ515" s="570"/>
      <c r="BA515" s="569"/>
      <c r="BB515" s="570"/>
      <c r="BC515" s="570"/>
      <c r="BD515" s="570"/>
      <c r="BE515" s="570"/>
      <c r="BF515" s="569"/>
      <c r="BG515" s="596"/>
      <c r="BH515" s="570"/>
      <c r="BI515" s="570"/>
      <c r="BJ515" s="2807"/>
      <c r="BK515" s="569"/>
      <c r="BL515" s="570"/>
      <c r="BM515" s="570"/>
      <c r="BN515" s="570"/>
      <c r="BO515" s="2807"/>
      <c r="BP515" s="569"/>
      <c r="BQ515" s="570"/>
      <c r="BR515" s="570"/>
      <c r="BS515" s="570"/>
      <c r="BT515" s="2807"/>
      <c r="BU515" s="3378"/>
      <c r="BV515" s="570"/>
      <c r="BW515" s="570"/>
      <c r="BX515" s="570"/>
      <c r="BY515" s="2807"/>
      <c r="BZ515" s="569"/>
      <c r="CA515" s="569"/>
      <c r="CB515" s="569"/>
      <c r="CC515" s="569"/>
      <c r="CD515" s="569"/>
      <c r="CE515" s="569"/>
      <c r="CF515" s="569"/>
      <c r="CG515" s="569"/>
      <c r="CH515" s="570"/>
      <c r="CI515" s="570"/>
      <c r="CJ515" s="570"/>
      <c r="CK515" s="570"/>
      <c r="CL515" s="570"/>
      <c r="CM515" s="570"/>
      <c r="CN515" s="570"/>
      <c r="CO515" s="570"/>
      <c r="CP515" s="994"/>
      <c r="CQ515" s="592"/>
      <c r="CR515" s="592"/>
      <c r="CS515" s="592"/>
      <c r="CT515" s="592"/>
      <c r="CU515" s="592"/>
      <c r="CV515" s="592"/>
      <c r="CW515" s="592"/>
      <c r="CX515" s="592"/>
      <c r="CY515" s="592"/>
      <c r="CZ515" s="592"/>
      <c r="DA515" s="592"/>
      <c r="DB515" s="592"/>
      <c r="DC515" s="592"/>
      <c r="DD515" s="592"/>
      <c r="DE515" s="592"/>
      <c r="DF515" s="592"/>
      <c r="DG515" s="1850"/>
      <c r="DH515" s="595"/>
      <c r="DI515" s="595"/>
      <c r="DJ515" s="595"/>
      <c r="DK515" s="595"/>
      <c r="DL515" s="595"/>
      <c r="DM515" s="595"/>
      <c r="DN515" s="514"/>
      <c r="DO515" s="226"/>
      <c r="DY515" s="570"/>
      <c r="DZ515" s="570"/>
    </row>
    <row r="516" spans="1:130" ht="12" hidden="1" customHeight="1" outlineLevel="1">
      <c r="A516" s="670" t="s">
        <v>564</v>
      </c>
      <c r="B516" s="837"/>
      <c r="C516" s="837"/>
      <c r="D516" s="2106"/>
      <c r="E516" s="1759"/>
      <c r="F516" s="1759"/>
      <c r="G516" s="1759"/>
      <c r="H516" s="2107"/>
      <c r="I516" s="1759"/>
      <c r="J516" s="1759"/>
      <c r="K516" s="1759"/>
      <c r="L516" s="1759"/>
      <c r="M516" s="2107"/>
      <c r="N516" s="1759"/>
      <c r="O516" s="1759"/>
      <c r="P516" s="1759"/>
      <c r="Q516" s="1759"/>
      <c r="R516" s="2107"/>
      <c r="S516" s="1759"/>
      <c r="T516" s="1759"/>
      <c r="U516" s="1759"/>
      <c r="V516" s="1759"/>
      <c r="W516" s="2107"/>
      <c r="X516" s="1759"/>
      <c r="Y516" s="1759"/>
      <c r="Z516" s="1759"/>
      <c r="AA516" s="1759"/>
      <c r="AB516" s="2107"/>
      <c r="AC516" s="1759"/>
      <c r="AD516" s="1759"/>
      <c r="AE516" s="1759"/>
      <c r="AF516" s="1759"/>
      <c r="AG516" s="2107"/>
      <c r="AH516" s="1759"/>
      <c r="AI516" s="1759"/>
      <c r="AJ516" s="1759"/>
      <c r="AK516" s="1759"/>
      <c r="AL516" s="2107"/>
      <c r="AM516" s="1759"/>
      <c r="AN516" s="2108"/>
      <c r="AO516" s="1759"/>
      <c r="AP516" s="589">
        <f>+AP499-AP429</f>
        <v>172.96700000000001</v>
      </c>
      <c r="AQ516" s="2107"/>
      <c r="AR516" s="589">
        <f>+AR499-AR429</f>
        <v>194.72200000000001</v>
      </c>
      <c r="AS516" s="589">
        <f>+AS499-AS429</f>
        <v>186.428</v>
      </c>
      <c r="AT516" s="589">
        <f>+AT499-AT429</f>
        <v>183.86500000000001</v>
      </c>
      <c r="AU516" s="589"/>
      <c r="AV516" s="2107"/>
      <c r="AW516" s="1759"/>
      <c r="AX516" s="589"/>
      <c r="AY516" s="1759"/>
      <c r="AZ516" s="1759"/>
      <c r="BA516" s="571"/>
      <c r="BB516" s="1759"/>
      <c r="BC516" s="2108"/>
      <c r="BD516" s="1759"/>
      <c r="BE516" s="1759"/>
      <c r="BF516" s="571"/>
      <c r="BG516" s="2820"/>
      <c r="BH516" s="572"/>
      <c r="BI516" s="572"/>
      <c r="BJ516" s="2821"/>
      <c r="BK516" s="569"/>
      <c r="BL516" s="572"/>
      <c r="BM516" s="572"/>
      <c r="BN516" s="572"/>
      <c r="BO516" s="2821"/>
      <c r="BP516" s="569"/>
      <c r="BQ516" s="572"/>
      <c r="BR516" s="572"/>
      <c r="BS516" s="572"/>
      <c r="BT516" s="2821"/>
      <c r="BU516" s="3378"/>
      <c r="BV516" s="572"/>
      <c r="BW516" s="572"/>
      <c r="BX516" s="572"/>
      <c r="BY516" s="2821"/>
      <c r="BZ516" s="571"/>
      <c r="CA516" s="571"/>
      <c r="CB516" s="571"/>
      <c r="CC516" s="571"/>
      <c r="CD516" s="571"/>
      <c r="CE516" s="571"/>
      <c r="CF516" s="571"/>
      <c r="CG516" s="571"/>
      <c r="CH516" s="1759"/>
      <c r="CI516" s="1759"/>
      <c r="CJ516" s="1759"/>
      <c r="CK516" s="1759"/>
      <c r="CL516" s="1759"/>
      <c r="CM516" s="1759"/>
      <c r="CN516" s="1759"/>
      <c r="CO516" s="1759"/>
      <c r="CP516" s="1864"/>
      <c r="CQ516" s="1759"/>
      <c r="CR516" s="1759"/>
      <c r="CS516" s="1759"/>
      <c r="CT516" s="1759"/>
      <c r="CU516" s="1759"/>
      <c r="CV516" s="1759"/>
      <c r="CW516" s="1759"/>
      <c r="CX516" s="1759"/>
      <c r="CY516" s="1759"/>
      <c r="CZ516" s="1759"/>
      <c r="DA516" s="1759"/>
      <c r="DB516" s="1759"/>
      <c r="DC516" s="1759"/>
      <c r="DD516" s="1759"/>
      <c r="DE516" s="1759"/>
      <c r="DF516" s="1759"/>
      <c r="DG516" s="1857"/>
      <c r="DH516" s="632"/>
      <c r="DI516" s="838"/>
      <c r="DJ516" s="838"/>
      <c r="DK516" s="838"/>
      <c r="DL516" s="838"/>
      <c r="DM516" s="838"/>
      <c r="DN516" s="632"/>
      <c r="DO516" s="858"/>
      <c r="DY516" s="570"/>
      <c r="DZ516" s="570"/>
    </row>
    <row r="517" spans="1:130" ht="12" hidden="1" customHeight="1" outlineLevel="1">
      <c r="A517" s="2203" t="s">
        <v>990</v>
      </c>
      <c r="B517" s="746"/>
      <c r="C517" s="746"/>
      <c r="D517" s="591"/>
      <c r="E517" s="592"/>
      <c r="F517" s="592"/>
      <c r="G517" s="592"/>
      <c r="H517" s="779"/>
      <c r="I517" s="592"/>
      <c r="J517" s="592"/>
      <c r="K517" s="592"/>
      <c r="L517" s="592"/>
      <c r="M517" s="779"/>
      <c r="N517" s="592"/>
      <c r="O517" s="592"/>
      <c r="P517" s="592"/>
      <c r="Q517" s="592"/>
      <c r="R517" s="779"/>
      <c r="S517" s="592"/>
      <c r="T517" s="592"/>
      <c r="U517" s="592"/>
      <c r="V517" s="592"/>
      <c r="W517" s="779"/>
      <c r="X517" s="592"/>
      <c r="Y517" s="592"/>
      <c r="Z517" s="592"/>
      <c r="AA517" s="592"/>
      <c r="AB517" s="779"/>
      <c r="AC517" s="592"/>
      <c r="AD517" s="592"/>
      <c r="AE517" s="592"/>
      <c r="AF517" s="592"/>
      <c r="AG517" s="779"/>
      <c r="AH517" s="592"/>
      <c r="AI517" s="592"/>
      <c r="AJ517" s="592"/>
      <c r="AK517" s="592"/>
      <c r="AL517" s="779"/>
      <c r="AM517" s="592"/>
      <c r="AN517" s="261"/>
      <c r="AO517" s="592"/>
      <c r="AP517" s="592">
        <f>+AP516/AK499-1</f>
        <v>2.4399290623950964E-3</v>
      </c>
      <c r="AQ517" s="779"/>
      <c r="AR517" s="592">
        <f>+AR516/AM499-1</f>
        <v>5.7524575028512492E-2</v>
      </c>
      <c r="AS517" s="592">
        <f>+AS516/AN499-1</f>
        <v>2.5733008346584096E-2</v>
      </c>
      <c r="AT517" s="592">
        <f>+AT516/AO499-1</f>
        <v>-2.1505433567847732E-2</v>
      </c>
      <c r="AU517" s="592"/>
      <c r="AV517" s="779"/>
      <c r="AW517" s="592"/>
      <c r="AX517" s="592"/>
      <c r="AY517" s="592"/>
      <c r="AZ517" s="592"/>
      <c r="BA517" s="779"/>
      <c r="BB517" s="592"/>
      <c r="BC517" s="261"/>
      <c r="BD517" s="592"/>
      <c r="BE517" s="592"/>
      <c r="BF517" s="779"/>
      <c r="BG517" s="591"/>
      <c r="BH517" s="592"/>
      <c r="BI517" s="592"/>
      <c r="BJ517" s="1850"/>
      <c r="BK517" s="779"/>
      <c r="BL517" s="592"/>
      <c r="BM517" s="592"/>
      <c r="BN517" s="592"/>
      <c r="BO517" s="1850"/>
      <c r="BP517" s="779"/>
      <c r="BQ517" s="592"/>
      <c r="BR517" s="592"/>
      <c r="BS517" s="592"/>
      <c r="BT517" s="1850"/>
      <c r="BU517" s="3378"/>
      <c r="BV517" s="592"/>
      <c r="BW517" s="592"/>
      <c r="BX517" s="592"/>
      <c r="BY517" s="1850"/>
      <c r="BZ517" s="779"/>
      <c r="CA517" s="779"/>
      <c r="CB517" s="779"/>
      <c r="CC517" s="779"/>
      <c r="CD517" s="779"/>
      <c r="CE517" s="779"/>
      <c r="CF517" s="779"/>
      <c r="CG517" s="779"/>
      <c r="CH517" s="592"/>
      <c r="CI517" s="592"/>
      <c r="CJ517" s="592"/>
      <c r="CK517" s="592"/>
      <c r="CL517" s="592"/>
      <c r="CM517" s="592"/>
      <c r="CN517" s="592"/>
      <c r="CO517" s="592"/>
      <c r="CP517" s="1884"/>
      <c r="CQ517" s="592"/>
      <c r="CR517" s="592"/>
      <c r="CS517" s="592"/>
      <c r="CT517" s="592"/>
      <c r="CU517" s="592"/>
      <c r="CV517" s="592"/>
      <c r="CW517" s="592"/>
      <c r="CX517" s="592"/>
      <c r="CY517" s="592"/>
      <c r="CZ517" s="592"/>
      <c r="DA517" s="592"/>
      <c r="DB517" s="592"/>
      <c r="DC517" s="592"/>
      <c r="DD517" s="592"/>
      <c r="DE517" s="592"/>
      <c r="DF517" s="592"/>
      <c r="DG517" s="1850"/>
      <c r="DH517" s="592"/>
      <c r="DI517" s="592"/>
      <c r="DJ517" s="592"/>
      <c r="DK517" s="592"/>
      <c r="DL517" s="592"/>
      <c r="DM517" s="592"/>
      <c r="DN517" s="592"/>
      <c r="DO517" s="1438"/>
      <c r="DY517" s="592"/>
      <c r="DZ517" s="592"/>
    </row>
    <row r="518" spans="1:130" ht="12" hidden="1" customHeight="1" outlineLevel="1">
      <c r="A518" s="552" t="s">
        <v>147</v>
      </c>
      <c r="B518" s="228"/>
      <c r="C518" s="228"/>
      <c r="D518" s="625"/>
      <c r="E518" s="626"/>
      <c r="F518" s="626"/>
      <c r="G518" s="626"/>
      <c r="H518" s="788"/>
      <c r="I518" s="626"/>
      <c r="J518" s="626"/>
      <c r="K518" s="626"/>
      <c r="L518" s="626"/>
      <c r="M518" s="788"/>
      <c r="N518" s="626"/>
      <c r="O518" s="626"/>
      <c r="P518" s="626"/>
      <c r="Q518" s="626"/>
      <c r="R518" s="788"/>
      <c r="S518" s="626"/>
      <c r="T518" s="626"/>
      <c r="U518" s="626"/>
      <c r="V518" s="626"/>
      <c r="W518" s="788"/>
      <c r="X518" s="626"/>
      <c r="Y518" s="626"/>
      <c r="Z518" s="626"/>
      <c r="AA518" s="626"/>
      <c r="AB518" s="788"/>
      <c r="AC518" s="626"/>
      <c r="AD518" s="626"/>
      <c r="AE518" s="626"/>
      <c r="AF518" s="626"/>
      <c r="AG518" s="788"/>
      <c r="AH518" s="626"/>
      <c r="AI518" s="626"/>
      <c r="AJ518" s="626"/>
      <c r="AK518" s="626"/>
      <c r="AL518" s="788"/>
      <c r="AM518" s="626"/>
      <c r="AN518" s="261"/>
      <c r="AO518" s="626"/>
      <c r="AP518" s="330">
        <f>+AP508-8.4</f>
        <v>30.690000000000005</v>
      </c>
      <c r="AQ518" s="1439"/>
      <c r="AR518" s="330">
        <f>+AR508-12.7</f>
        <v>45.430000000000007</v>
      </c>
      <c r="AS518" s="330">
        <f>+AS508-11.5</f>
        <v>39.503</v>
      </c>
      <c r="AT518" s="330">
        <f>+AT508-9.6</f>
        <v>39.107999999999997</v>
      </c>
      <c r="AU518" s="626"/>
      <c r="AV518" s="1951"/>
      <c r="AW518" s="626"/>
      <c r="AX518" s="626">
        <f>+AS518</f>
        <v>39.503</v>
      </c>
      <c r="AY518" s="626"/>
      <c r="AZ518" s="626"/>
      <c r="BA518" s="1439"/>
      <c r="BB518" s="626"/>
      <c r="BC518" s="261"/>
      <c r="BD518" s="626"/>
      <c r="BE518" s="626"/>
      <c r="BF518" s="1439"/>
      <c r="BG518" s="678"/>
      <c r="BH518" s="330"/>
      <c r="BI518" s="330"/>
      <c r="BJ518" s="2136"/>
      <c r="BK518" s="1439"/>
      <c r="BL518" s="330"/>
      <c r="BM518" s="330"/>
      <c r="BN518" s="330"/>
      <c r="BO518" s="2136"/>
      <c r="BP518" s="1439"/>
      <c r="BQ518" s="330"/>
      <c r="BR518" s="330"/>
      <c r="BS518" s="330"/>
      <c r="BT518" s="2136"/>
      <c r="BU518" s="3406"/>
      <c r="BV518" s="330"/>
      <c r="BW518" s="330"/>
      <c r="BX518" s="330"/>
      <c r="BY518" s="2136"/>
      <c r="BZ518" s="1439"/>
      <c r="CA518" s="1439"/>
      <c r="CB518" s="1439"/>
      <c r="CC518" s="1439"/>
      <c r="CD518" s="1439"/>
      <c r="CE518" s="1439"/>
      <c r="CF518" s="1439"/>
      <c r="CG518" s="1439"/>
      <c r="CH518" s="626"/>
      <c r="CI518" s="626"/>
      <c r="CJ518" s="626"/>
      <c r="CK518" s="626"/>
      <c r="CL518" s="626"/>
      <c r="CM518" s="626"/>
      <c r="CN518" s="626"/>
      <c r="CO518" s="626"/>
      <c r="CP518" s="994"/>
      <c r="CQ518" s="626"/>
      <c r="CR518" s="626"/>
      <c r="CS518" s="626"/>
      <c r="CT518" s="626"/>
      <c r="CU518" s="626"/>
      <c r="CV518" s="626"/>
      <c r="CW518" s="626"/>
      <c r="CX518" s="626"/>
      <c r="CY518" s="626"/>
      <c r="CZ518" s="626"/>
      <c r="DA518" s="626"/>
      <c r="DB518" s="626"/>
      <c r="DC518" s="626"/>
      <c r="DD518" s="626"/>
      <c r="DE518" s="626"/>
      <c r="DF518" s="626"/>
      <c r="DG518" s="1893"/>
      <c r="DH518" s="632"/>
      <c r="DI518" s="595"/>
      <c r="DJ518" s="595"/>
      <c r="DK518" s="595"/>
      <c r="DL518" s="595"/>
      <c r="DM518" s="595"/>
      <c r="DN518" s="514"/>
      <c r="DO518" s="77"/>
      <c r="DY518" s="330"/>
      <c r="DZ518" s="330"/>
    </row>
    <row r="519" spans="1:130" ht="12" hidden="1" customHeight="1" outlineLevel="1">
      <c r="A519" s="2203" t="s">
        <v>990</v>
      </c>
      <c r="B519" s="746"/>
      <c r="C519" s="746"/>
      <c r="D519" s="591"/>
      <c r="E519" s="592"/>
      <c r="F519" s="592"/>
      <c r="G519" s="592"/>
      <c r="H519" s="779"/>
      <c r="I519" s="592"/>
      <c r="J519" s="592"/>
      <c r="K519" s="592"/>
      <c r="L519" s="592"/>
      <c r="M519" s="779"/>
      <c r="N519" s="592"/>
      <c r="O519" s="592"/>
      <c r="P519" s="592"/>
      <c r="Q519" s="592"/>
      <c r="R519" s="779"/>
      <c r="S519" s="592"/>
      <c r="T519" s="592"/>
      <c r="U519" s="592"/>
      <c r="V519" s="592"/>
      <c r="W519" s="779"/>
      <c r="X519" s="592"/>
      <c r="Y519" s="592"/>
      <c r="Z519" s="592"/>
      <c r="AA519" s="592"/>
      <c r="AB519" s="779"/>
      <c r="AC519" s="592"/>
      <c r="AD519" s="592"/>
      <c r="AE519" s="592"/>
      <c r="AF519" s="592"/>
      <c r="AG519" s="779"/>
      <c r="AH519" s="592"/>
      <c r="AI519" s="592"/>
      <c r="AJ519" s="592"/>
      <c r="AK519" s="592"/>
      <c r="AL519" s="779"/>
      <c r="AM519" s="592"/>
      <c r="AN519" s="261"/>
      <c r="AO519" s="592"/>
      <c r="AP519" s="592">
        <f>+AP518/AK508-1</f>
        <v>8.7762548072183311E-3</v>
      </c>
      <c r="AQ519" s="779"/>
      <c r="AR519" s="592">
        <f>+AR518/AM508-1</f>
        <v>0.10237557933561447</v>
      </c>
      <c r="AS519" s="592">
        <f>+AS518/AN508-1</f>
        <v>-6.5592771312328546E-2</v>
      </c>
      <c r="AT519" s="592">
        <f>+AT518/AO508-1</f>
        <v>-0.12164226035396652</v>
      </c>
      <c r="AU519" s="592"/>
      <c r="AV519" s="779"/>
      <c r="AW519" s="592"/>
      <c r="AX519" s="592">
        <f>+AX518/AS508-1</f>
        <v>-0.22547693272944724</v>
      </c>
      <c r="AY519" s="592"/>
      <c r="AZ519" s="592"/>
      <c r="BA519" s="779"/>
      <c r="BB519" s="592"/>
      <c r="BC519" s="261"/>
      <c r="BD519" s="592"/>
      <c r="BE519" s="592"/>
      <c r="BF519" s="779"/>
      <c r="BG519" s="591"/>
      <c r="BH519" s="592"/>
      <c r="BI519" s="592"/>
      <c r="BJ519" s="1850"/>
      <c r="BK519" s="779"/>
      <c r="BL519" s="592"/>
      <c r="BM519" s="592"/>
      <c r="BN519" s="592"/>
      <c r="BO519" s="1850"/>
      <c r="BP519" s="779"/>
      <c r="BQ519" s="592"/>
      <c r="BR519" s="592"/>
      <c r="BS519" s="592"/>
      <c r="BT519" s="1850"/>
      <c r="BU519" s="3378"/>
      <c r="BV519" s="592"/>
      <c r="BW519" s="592"/>
      <c r="BX519" s="592"/>
      <c r="BY519" s="1850"/>
      <c r="BZ519" s="779"/>
      <c r="CA519" s="779"/>
      <c r="CB519" s="779"/>
      <c r="CC519" s="779"/>
      <c r="CD519" s="779"/>
      <c r="CE519" s="779"/>
      <c r="CF519" s="779"/>
      <c r="CG519" s="779"/>
      <c r="CH519" s="592"/>
      <c r="CI519" s="592"/>
      <c r="CJ519" s="592"/>
      <c r="CK519" s="592"/>
      <c r="CL519" s="592"/>
      <c r="CM519" s="592"/>
      <c r="CN519" s="592"/>
      <c r="CO519" s="592"/>
      <c r="CP519" s="1884"/>
      <c r="CQ519" s="592"/>
      <c r="CR519" s="592"/>
      <c r="CS519" s="592"/>
      <c r="CT519" s="592"/>
      <c r="CU519" s="592"/>
      <c r="CV519" s="592"/>
      <c r="CW519" s="592"/>
      <c r="CX519" s="592"/>
      <c r="CY519" s="592"/>
      <c r="CZ519" s="592"/>
      <c r="DA519" s="592"/>
      <c r="DB519" s="592"/>
      <c r="DC519" s="592"/>
      <c r="DD519" s="592"/>
      <c r="DE519" s="592"/>
      <c r="DF519" s="592"/>
      <c r="DG519" s="1850"/>
      <c r="DH519" s="592"/>
      <c r="DI519" s="592"/>
      <c r="DJ519" s="592"/>
      <c r="DK519" s="592"/>
      <c r="DL519" s="592"/>
      <c r="DM519" s="592"/>
      <c r="DN519" s="592"/>
      <c r="DO519" s="1438"/>
      <c r="DY519" s="592"/>
      <c r="DZ519" s="592"/>
    </row>
    <row r="520" spans="1:130" ht="12" hidden="1" customHeight="1" outlineLevel="1">
      <c r="A520" s="552" t="s">
        <v>148</v>
      </c>
      <c r="B520" s="228"/>
      <c r="C520" s="228"/>
      <c r="D520" s="625"/>
      <c r="E520" s="626"/>
      <c r="F520" s="626"/>
      <c r="G520" s="626"/>
      <c r="H520" s="788"/>
      <c r="I520" s="626"/>
      <c r="J520" s="626"/>
      <c r="K520" s="626"/>
      <c r="L520" s="626"/>
      <c r="M520" s="788"/>
      <c r="N520" s="626"/>
      <c r="O520" s="626"/>
      <c r="P520" s="626"/>
      <c r="Q520" s="626"/>
      <c r="R520" s="788"/>
      <c r="S520" s="626"/>
      <c r="T520" s="626"/>
      <c r="U520" s="626"/>
      <c r="V520" s="626"/>
      <c r="W520" s="788"/>
      <c r="X520" s="626"/>
      <c r="Y520" s="626"/>
      <c r="Z520" s="626"/>
      <c r="AA520" s="626"/>
      <c r="AB520" s="788"/>
      <c r="AC520" s="626"/>
      <c r="AD520" s="626"/>
      <c r="AE520" s="626"/>
      <c r="AF520" s="626"/>
      <c r="AG520" s="788"/>
      <c r="AH520" s="626"/>
      <c r="AI520" s="626"/>
      <c r="AJ520" s="626"/>
      <c r="AK520" s="626"/>
      <c r="AL520" s="788"/>
      <c r="AM520" s="626"/>
      <c r="AN520" s="261"/>
      <c r="AO520" s="626"/>
      <c r="AP520" s="330">
        <f>+AP503-(44.6-8.4)</f>
        <v>142.27699999999999</v>
      </c>
      <c r="AQ520" s="1439"/>
      <c r="AR520" s="330">
        <f>+AR503-(49-12.7)</f>
        <v>149.29200000000003</v>
      </c>
      <c r="AS520" s="330">
        <f>+AS503-(47.3-11.5)</f>
        <v>146.92500000000001</v>
      </c>
      <c r="AT520" s="330">
        <f>+AT503-(49.1-9.6)</f>
        <v>144.75700000000001</v>
      </c>
      <c r="AU520" s="626"/>
      <c r="AV520" s="1951"/>
      <c r="AW520" s="626"/>
      <c r="AX520" s="261"/>
      <c r="AY520" s="626"/>
      <c r="AZ520" s="626"/>
      <c r="BA520" s="1439"/>
      <c r="BB520" s="626"/>
      <c r="BC520" s="261"/>
      <c r="BD520" s="626"/>
      <c r="BE520" s="626"/>
      <c r="BF520" s="1439"/>
      <c r="BG520" s="678"/>
      <c r="BH520" s="330"/>
      <c r="BI520" s="330"/>
      <c r="BJ520" s="2136"/>
      <c r="BK520" s="1439"/>
      <c r="BL520" s="330"/>
      <c r="BM520" s="330"/>
      <c r="BN520" s="330"/>
      <c r="BO520" s="2136"/>
      <c r="BP520" s="1439"/>
      <c r="BQ520" s="330"/>
      <c r="BR520" s="330"/>
      <c r="BS520" s="330"/>
      <c r="BT520" s="2136"/>
      <c r="BU520" s="3406"/>
      <c r="BV520" s="330"/>
      <c r="BW520" s="330"/>
      <c r="BX520" s="330"/>
      <c r="BY520" s="2136"/>
      <c r="BZ520" s="1439"/>
      <c r="CA520" s="1439"/>
      <c r="CB520" s="1439"/>
      <c r="CC520" s="1439"/>
      <c r="CD520" s="1439"/>
      <c r="CE520" s="1439"/>
      <c r="CF520" s="1439"/>
      <c r="CG520" s="1439"/>
      <c r="CH520" s="626"/>
      <c r="CI520" s="626"/>
      <c r="CJ520" s="626"/>
      <c r="CK520" s="626"/>
      <c r="CL520" s="626"/>
      <c r="CM520" s="626"/>
      <c r="CN520" s="626"/>
      <c r="CO520" s="626"/>
      <c r="CP520" s="994"/>
      <c r="CQ520" s="626"/>
      <c r="CR520" s="626"/>
      <c r="CS520" s="626"/>
      <c r="CT520" s="626"/>
      <c r="CU520" s="626"/>
      <c r="CV520" s="626"/>
      <c r="CW520" s="626"/>
      <c r="CX520" s="626"/>
      <c r="CY520" s="626"/>
      <c r="CZ520" s="626"/>
      <c r="DA520" s="626"/>
      <c r="DB520" s="626"/>
      <c r="DC520" s="626"/>
      <c r="DD520" s="626"/>
      <c r="DE520" s="626"/>
      <c r="DF520" s="626"/>
      <c r="DG520" s="1893"/>
      <c r="DH520" s="632"/>
      <c r="DI520" s="595"/>
      <c r="DJ520" s="595"/>
      <c r="DK520" s="595"/>
      <c r="DL520" s="595"/>
      <c r="DM520" s="595"/>
      <c r="DN520" s="514"/>
      <c r="DO520" s="77"/>
      <c r="DY520" s="330"/>
      <c r="DZ520" s="330"/>
    </row>
    <row r="521" spans="1:130" ht="12" hidden="1" customHeight="1" outlineLevel="1">
      <c r="A521" s="2203" t="s">
        <v>990</v>
      </c>
      <c r="B521" s="746"/>
      <c r="C521" s="746"/>
      <c r="D521" s="591"/>
      <c r="E521" s="592"/>
      <c r="F521" s="592"/>
      <c r="G521" s="592"/>
      <c r="H521" s="779"/>
      <c r="I521" s="592"/>
      <c r="J521" s="592"/>
      <c r="K521" s="592"/>
      <c r="L521" s="592"/>
      <c r="M521" s="779"/>
      <c r="N521" s="592"/>
      <c r="O521" s="592"/>
      <c r="P521" s="592"/>
      <c r="Q521" s="592"/>
      <c r="R521" s="779"/>
      <c r="S521" s="592"/>
      <c r="T521" s="592"/>
      <c r="U521" s="592"/>
      <c r="V521" s="592"/>
      <c r="W521" s="779"/>
      <c r="X521" s="592"/>
      <c r="Y521" s="592"/>
      <c r="Z521" s="592"/>
      <c r="AA521" s="592"/>
      <c r="AB521" s="779"/>
      <c r="AC521" s="592"/>
      <c r="AD521" s="592"/>
      <c r="AE521" s="592"/>
      <c r="AF521" s="592"/>
      <c r="AG521" s="779"/>
      <c r="AH521" s="592"/>
      <c r="AI521" s="592"/>
      <c r="AJ521" s="592"/>
      <c r="AK521" s="592"/>
      <c r="AL521" s="779"/>
      <c r="AM521" s="592"/>
      <c r="AN521" s="261"/>
      <c r="AO521" s="592"/>
      <c r="AP521" s="592">
        <f>+AP520/AK503-1</f>
        <v>1.0835684583072602E-3</v>
      </c>
      <c r="AQ521" s="779"/>
      <c r="AR521" s="592">
        <f>+AR520/AM503-1</f>
        <v>4.4591691797452038E-2</v>
      </c>
      <c r="AS521" s="592">
        <f>+AS520/AN503-1</f>
        <v>5.341459042839225E-2</v>
      </c>
      <c r="AT521" s="592">
        <f>+AT520/AO503-1</f>
        <v>9.5897671953244501E-3</v>
      </c>
      <c r="AU521" s="592"/>
      <c r="AV521" s="779"/>
      <c r="AW521" s="592"/>
      <c r="AX521" s="261"/>
      <c r="AY521" s="592"/>
      <c r="AZ521" s="592"/>
      <c r="BA521" s="779"/>
      <c r="BB521" s="592"/>
      <c r="BC521" s="261"/>
      <c r="BD521" s="592"/>
      <c r="BE521" s="592"/>
      <c r="BF521" s="779"/>
      <c r="BG521" s="591"/>
      <c r="BH521" s="592"/>
      <c r="BI521" s="592"/>
      <c r="BJ521" s="1850"/>
      <c r="BK521" s="779"/>
      <c r="BL521" s="592"/>
      <c r="BM521" s="592"/>
      <c r="BN521" s="592"/>
      <c r="BO521" s="1850"/>
      <c r="BP521" s="779"/>
      <c r="BQ521" s="592"/>
      <c r="BR521" s="592"/>
      <c r="BS521" s="592"/>
      <c r="BT521" s="1850"/>
      <c r="BU521" s="3378"/>
      <c r="BV521" s="592"/>
      <c r="BW521" s="592"/>
      <c r="BX521" s="592"/>
      <c r="BY521" s="1850"/>
      <c r="BZ521" s="779"/>
      <c r="CA521" s="779"/>
      <c r="CB521" s="779"/>
      <c r="CC521" s="779"/>
      <c r="CD521" s="779"/>
      <c r="CE521" s="779"/>
      <c r="CF521" s="779"/>
      <c r="CG521" s="779"/>
      <c r="CH521" s="592"/>
      <c r="CI521" s="592"/>
      <c r="CJ521" s="592"/>
      <c r="CK521" s="592"/>
      <c r="CL521" s="592"/>
      <c r="CM521" s="592"/>
      <c r="CN521" s="592"/>
      <c r="CO521" s="592"/>
      <c r="CP521" s="1884"/>
      <c r="CQ521" s="592"/>
      <c r="CR521" s="592"/>
      <c r="CS521" s="592"/>
      <c r="CT521" s="592"/>
      <c r="CU521" s="592"/>
      <c r="CV521" s="592"/>
      <c r="CW521" s="592"/>
      <c r="CX521" s="592"/>
      <c r="CY521" s="592"/>
      <c r="CZ521" s="592"/>
      <c r="DA521" s="592"/>
      <c r="DB521" s="592"/>
      <c r="DC521" s="592"/>
      <c r="DD521" s="592"/>
      <c r="DE521" s="592"/>
      <c r="DF521" s="592"/>
      <c r="DG521" s="1850"/>
      <c r="DH521" s="592"/>
      <c r="DI521" s="592"/>
      <c r="DJ521" s="592"/>
      <c r="DK521" s="592"/>
      <c r="DL521" s="592"/>
      <c r="DM521" s="592"/>
      <c r="DN521" s="592"/>
      <c r="DO521" s="1438"/>
      <c r="DY521" s="592"/>
      <c r="DZ521" s="592"/>
    </row>
    <row r="522" spans="1:130" ht="12" hidden="1" customHeight="1" outlineLevel="1">
      <c r="A522" s="552"/>
      <c r="B522" s="228"/>
      <c r="C522" s="228"/>
      <c r="D522" s="625"/>
      <c r="E522" s="626"/>
      <c r="F522" s="626"/>
      <c r="G522" s="626"/>
      <c r="H522" s="788"/>
      <c r="I522" s="626"/>
      <c r="J522" s="626"/>
      <c r="K522" s="626"/>
      <c r="L522" s="626"/>
      <c r="M522" s="788"/>
      <c r="N522" s="626"/>
      <c r="O522" s="626"/>
      <c r="P522" s="626"/>
      <c r="Q522" s="626"/>
      <c r="R522" s="788"/>
      <c r="S522" s="626"/>
      <c r="T522" s="626"/>
      <c r="U522" s="626"/>
      <c r="V522" s="626"/>
      <c r="W522" s="788"/>
      <c r="X522" s="626"/>
      <c r="Y522" s="626"/>
      <c r="Z522" s="626"/>
      <c r="AA522" s="626"/>
      <c r="AB522" s="788"/>
      <c r="AC522" s="626"/>
      <c r="AD522" s="626"/>
      <c r="AE522" s="626"/>
      <c r="AF522" s="626"/>
      <c r="AG522" s="788"/>
      <c r="AH522" s="626"/>
      <c r="AI522" s="626"/>
      <c r="AJ522" s="626"/>
      <c r="AK522" s="626"/>
      <c r="AL522" s="788"/>
      <c r="AM522" s="626"/>
      <c r="AN522" s="261"/>
      <c r="AO522" s="626"/>
      <c r="AP522" s="330"/>
      <c r="AQ522" s="1439"/>
      <c r="AR522" s="330"/>
      <c r="AS522" s="330"/>
      <c r="AT522" s="330"/>
      <c r="AU522" s="626"/>
      <c r="AV522" s="1951"/>
      <c r="AW522" s="626"/>
      <c r="AX522" s="261"/>
      <c r="AY522" s="626"/>
      <c r="AZ522" s="626"/>
      <c r="BA522" s="1439"/>
      <c r="BB522" s="626"/>
      <c r="BC522" s="261"/>
      <c r="BD522" s="626"/>
      <c r="BE522" s="626"/>
      <c r="BF522" s="1439"/>
      <c r="BG522" s="2822"/>
      <c r="BH522" s="2823"/>
      <c r="BI522" s="2823"/>
      <c r="BJ522" s="2824"/>
      <c r="BK522" s="1439"/>
      <c r="BL522" s="2823"/>
      <c r="BM522" s="2823"/>
      <c r="BN522" s="2823"/>
      <c r="BO522" s="2824"/>
      <c r="BP522" s="1439"/>
      <c r="BQ522" s="2823"/>
      <c r="BR522" s="2823"/>
      <c r="BS522" s="2823"/>
      <c r="BT522" s="2824"/>
      <c r="BU522" s="3406"/>
      <c r="BV522" s="2823"/>
      <c r="BW522" s="2823"/>
      <c r="BX522" s="2823"/>
      <c r="BY522" s="2824"/>
      <c r="BZ522" s="1439"/>
      <c r="CA522" s="1439"/>
      <c r="CB522" s="1439"/>
      <c r="CC522" s="1439"/>
      <c r="CD522" s="1439"/>
      <c r="CE522" s="1439"/>
      <c r="CF522" s="1439"/>
      <c r="CG522" s="1439"/>
      <c r="CH522" s="626"/>
      <c r="CI522" s="626"/>
      <c r="CJ522" s="626"/>
      <c r="CK522" s="626"/>
      <c r="CL522" s="626"/>
      <c r="CM522" s="626"/>
      <c r="CN522" s="626"/>
      <c r="CO522" s="626"/>
      <c r="CP522" s="994"/>
      <c r="CQ522" s="626"/>
      <c r="CR522" s="626"/>
      <c r="CS522" s="626"/>
      <c r="CT522" s="626"/>
      <c r="CU522" s="626"/>
      <c r="CV522" s="626"/>
      <c r="CW522" s="626"/>
      <c r="CX522" s="626"/>
      <c r="CY522" s="626"/>
      <c r="CZ522" s="626"/>
      <c r="DA522" s="626"/>
      <c r="DB522" s="626"/>
      <c r="DC522" s="626"/>
      <c r="DD522" s="626"/>
      <c r="DE522" s="626"/>
      <c r="DF522" s="626"/>
      <c r="DG522" s="1893"/>
      <c r="DH522" s="632"/>
      <c r="DI522" s="595"/>
      <c r="DJ522" s="595"/>
      <c r="DK522" s="595"/>
      <c r="DL522" s="595"/>
      <c r="DM522" s="595"/>
      <c r="DN522" s="514"/>
      <c r="DO522" s="77"/>
      <c r="DY522" s="330"/>
      <c r="DZ522" s="330"/>
    </row>
    <row r="523" spans="1:130" ht="12" hidden="1" customHeight="1" outlineLevel="1">
      <c r="A523" s="1300" t="s">
        <v>1921</v>
      </c>
      <c r="B523" s="1301"/>
      <c r="C523" s="1301"/>
      <c r="D523" s="1302" t="str">
        <f t="shared" ref="D523:CC523" si="1265">D$6</f>
        <v>1Q04</v>
      </c>
      <c r="E523" s="1303" t="str">
        <f t="shared" si="1265"/>
        <v>2Q04</v>
      </c>
      <c r="F523" s="1303" t="str">
        <f t="shared" si="1265"/>
        <v>3Q04</v>
      </c>
      <c r="G523" s="1303" t="str">
        <f t="shared" si="1265"/>
        <v>4Q04</v>
      </c>
      <c r="H523" s="1304">
        <f t="shared" si="1265"/>
        <v>2004</v>
      </c>
      <c r="I523" s="1303" t="str">
        <f t="shared" si="1265"/>
        <v>1Q05</v>
      </c>
      <c r="J523" s="1303" t="str">
        <f t="shared" si="1265"/>
        <v>2Q05</v>
      </c>
      <c r="K523" s="1303" t="str">
        <f t="shared" si="1265"/>
        <v>3Q05</v>
      </c>
      <c r="L523" s="1303" t="str">
        <f t="shared" si="1265"/>
        <v>4Q05</v>
      </c>
      <c r="M523" s="1304">
        <f t="shared" si="1265"/>
        <v>2005</v>
      </c>
      <c r="N523" s="1303" t="str">
        <f t="shared" si="1265"/>
        <v>1Q06</v>
      </c>
      <c r="O523" s="1303" t="str">
        <f t="shared" si="1265"/>
        <v>2Q06</v>
      </c>
      <c r="P523" s="1303" t="str">
        <f t="shared" si="1265"/>
        <v>3Q06</v>
      </c>
      <c r="Q523" s="1303" t="str">
        <f t="shared" si="1265"/>
        <v>4Q06</v>
      </c>
      <c r="R523" s="1304">
        <f t="shared" si="1265"/>
        <v>2006</v>
      </c>
      <c r="S523" s="1303" t="str">
        <f t="shared" si="1265"/>
        <v>1Q07</v>
      </c>
      <c r="T523" s="1303" t="str">
        <f t="shared" si="1265"/>
        <v>2Q07</v>
      </c>
      <c r="U523" s="1303" t="str">
        <f t="shared" si="1265"/>
        <v>3Q07</v>
      </c>
      <c r="V523" s="1303" t="str">
        <f t="shared" si="1265"/>
        <v>4Q07</v>
      </c>
      <c r="W523" s="1304">
        <f t="shared" si="1265"/>
        <v>2007</v>
      </c>
      <c r="X523" s="1303" t="str">
        <f t="shared" si="1265"/>
        <v>1Q08</v>
      </c>
      <c r="Y523" s="1303" t="str">
        <f t="shared" si="1265"/>
        <v>2Q08</v>
      </c>
      <c r="Z523" s="1303" t="str">
        <f t="shared" si="1265"/>
        <v>3Q08</v>
      </c>
      <c r="AA523" s="1303" t="str">
        <f t="shared" si="1265"/>
        <v>4Q08</v>
      </c>
      <c r="AB523" s="1304">
        <f t="shared" si="1265"/>
        <v>2008</v>
      </c>
      <c r="AC523" s="1303" t="str">
        <f t="shared" si="1265"/>
        <v>1Q09</v>
      </c>
      <c r="AD523" s="1303" t="str">
        <f t="shared" si="1265"/>
        <v>2Q09</v>
      </c>
      <c r="AE523" s="1303" t="str">
        <f t="shared" si="1265"/>
        <v>3Q09</v>
      </c>
      <c r="AF523" s="1303" t="str">
        <f t="shared" si="1265"/>
        <v>4Q09</v>
      </c>
      <c r="AG523" s="1304">
        <f t="shared" si="1265"/>
        <v>2009</v>
      </c>
      <c r="AH523" s="1303" t="str">
        <f t="shared" si="1265"/>
        <v>1Q10</v>
      </c>
      <c r="AI523" s="109" t="str">
        <f t="shared" si="1265"/>
        <v>2Q10</v>
      </c>
      <c r="AJ523" s="109" t="str">
        <f t="shared" si="1265"/>
        <v>3Q10</v>
      </c>
      <c r="AK523" s="109" t="str">
        <f t="shared" si="1265"/>
        <v>4Q10</v>
      </c>
      <c r="AL523" s="110">
        <f t="shared" si="1265"/>
        <v>2010</v>
      </c>
      <c r="AM523" s="109" t="str">
        <f t="shared" si="1265"/>
        <v>1Q11</v>
      </c>
      <c r="AN523" s="109" t="str">
        <f t="shared" si="1265"/>
        <v>2Q11</v>
      </c>
      <c r="AO523" s="109" t="str">
        <f t="shared" si="1265"/>
        <v>3Q11</v>
      </c>
      <c r="AP523" s="109" t="str">
        <f t="shared" si="1265"/>
        <v>4Q11</v>
      </c>
      <c r="AQ523" s="110">
        <f t="shared" si="1265"/>
        <v>2011</v>
      </c>
      <c r="AR523" s="109" t="str">
        <f t="shared" si="1265"/>
        <v>1Q12</v>
      </c>
      <c r="AS523" s="109" t="str">
        <f t="shared" si="1265"/>
        <v>2Q12</v>
      </c>
      <c r="AT523" s="109" t="str">
        <f t="shared" si="1265"/>
        <v>3Q12</v>
      </c>
      <c r="AU523" s="109" t="str">
        <f t="shared" si="1265"/>
        <v>4Q12</v>
      </c>
      <c r="AV523" s="110">
        <f t="shared" si="1265"/>
        <v>2012</v>
      </c>
      <c r="AW523" s="109" t="str">
        <f t="shared" si="1265"/>
        <v>1Q13</v>
      </c>
      <c r="AX523" s="109" t="str">
        <f t="shared" si="1265"/>
        <v>2Q13</v>
      </c>
      <c r="AY523" s="109" t="str">
        <f t="shared" si="1265"/>
        <v>3Q13</v>
      </c>
      <c r="AZ523" s="109" t="str">
        <f t="shared" si="1265"/>
        <v>4Q13</v>
      </c>
      <c r="BA523" s="110">
        <f t="shared" si="1265"/>
        <v>2013</v>
      </c>
      <c r="BB523" s="109" t="str">
        <f t="shared" si="1265"/>
        <v>1Q14</v>
      </c>
      <c r="BC523" s="109" t="str">
        <f t="shared" si="1265"/>
        <v>2Q14</v>
      </c>
      <c r="BD523" s="109" t="str">
        <f t="shared" si="1265"/>
        <v>3Q14</v>
      </c>
      <c r="BE523" s="109" t="str">
        <f t="shared" si="1265"/>
        <v>4Q14</v>
      </c>
      <c r="BF523" s="110">
        <f t="shared" si="1265"/>
        <v>2014</v>
      </c>
      <c r="BG523" s="109" t="str">
        <f t="shared" si="1265"/>
        <v>1Q15</v>
      </c>
      <c r="BH523" s="109" t="str">
        <f t="shared" si="1265"/>
        <v>2Q15</v>
      </c>
      <c r="BI523" s="109" t="str">
        <f t="shared" si="1265"/>
        <v>3Q15</v>
      </c>
      <c r="BJ523" s="109" t="str">
        <f t="shared" si="1265"/>
        <v>4Q15</v>
      </c>
      <c r="BK523" s="110">
        <f t="shared" si="1265"/>
        <v>2015</v>
      </c>
      <c r="BL523" s="109" t="str">
        <f t="shared" si="1265"/>
        <v>1Q16</v>
      </c>
      <c r="BM523" s="109" t="str">
        <f t="shared" si="1265"/>
        <v>2Q16</v>
      </c>
      <c r="BN523" s="109" t="str">
        <f t="shared" si="1265"/>
        <v>3Q16</v>
      </c>
      <c r="BO523" s="109" t="str">
        <f t="shared" si="1265"/>
        <v>4Q16</v>
      </c>
      <c r="BP523" s="110">
        <f t="shared" si="1265"/>
        <v>2016</v>
      </c>
      <c r="BQ523" s="109" t="str">
        <f t="shared" si="1265"/>
        <v>1Q17</v>
      </c>
      <c r="BR523" s="109" t="str">
        <f t="shared" si="1265"/>
        <v>2Q17</v>
      </c>
      <c r="BS523" s="109" t="str">
        <f t="shared" si="1265"/>
        <v>3Q17</v>
      </c>
      <c r="BT523" s="109" t="str">
        <f t="shared" si="1265"/>
        <v>4Q17A</v>
      </c>
      <c r="BU523" s="3347" t="str">
        <f t="shared" si="1265"/>
        <v>2017A</v>
      </c>
      <c r="BV523" s="109" t="str">
        <f t="shared" si="1265"/>
        <v>1Q18E</v>
      </c>
      <c r="BW523" s="109" t="str">
        <f t="shared" si="1265"/>
        <v>2Q18E</v>
      </c>
      <c r="BX523" s="109" t="str">
        <f t="shared" si="1265"/>
        <v>3Q18E</v>
      </c>
      <c r="BY523" s="109" t="str">
        <f t="shared" si="1265"/>
        <v>4Q18E</v>
      </c>
      <c r="BZ523" s="110" t="str">
        <f t="shared" si="1265"/>
        <v>2018E</v>
      </c>
      <c r="CA523" s="110" t="str">
        <f t="shared" si="1265"/>
        <v>2019E</v>
      </c>
      <c r="CB523" s="110" t="str">
        <f t="shared" si="1265"/>
        <v>2020E</v>
      </c>
      <c r="CC523" s="110" t="str">
        <f t="shared" si="1265"/>
        <v>2021E</v>
      </c>
      <c r="CD523" s="110" t="str">
        <f>CD$6</f>
        <v>2022E</v>
      </c>
      <c r="CE523" s="110" t="str">
        <f>CE$6</f>
        <v>2023E</v>
      </c>
      <c r="CF523" s="110" t="str">
        <f>CF$6</f>
        <v>2024E</v>
      </c>
      <c r="CG523" s="110" t="str">
        <f>CG$6</f>
        <v>2025E</v>
      </c>
      <c r="CH523" s="521"/>
      <c r="CI523" s="521"/>
      <c r="CJ523" s="521"/>
      <c r="CK523" s="521"/>
      <c r="CL523" s="521"/>
      <c r="CM523" s="521"/>
      <c r="CN523" s="521"/>
      <c r="CO523" s="521"/>
      <c r="CP523" s="1300" t="str">
        <f>A523</f>
        <v>Legacy Peninsula Gaming</v>
      </c>
      <c r="CQ523" s="109">
        <f>H523</f>
        <v>2004</v>
      </c>
      <c r="CR523" s="109">
        <f>M523</f>
        <v>2005</v>
      </c>
      <c r="CS523" s="109">
        <f>R523</f>
        <v>2006</v>
      </c>
      <c r="CT523" s="109">
        <f>W523</f>
        <v>2007</v>
      </c>
      <c r="CU523" s="109">
        <f>AB523</f>
        <v>2008</v>
      </c>
      <c r="CV523" s="109">
        <f>AG523</f>
        <v>2009</v>
      </c>
      <c r="CW523" s="109">
        <f>AL523</f>
        <v>2010</v>
      </c>
      <c r="CX523" s="109">
        <f>AQ523</f>
        <v>2011</v>
      </c>
      <c r="CY523" s="109">
        <f>AV523</f>
        <v>2012</v>
      </c>
      <c r="CZ523" s="109">
        <f>BA523</f>
        <v>2013</v>
      </c>
      <c r="DA523" s="109">
        <f>BF523</f>
        <v>2014</v>
      </c>
      <c r="DB523" s="109">
        <f>BK523</f>
        <v>2015</v>
      </c>
      <c r="DC523" s="109">
        <f>BP523</f>
        <v>2016</v>
      </c>
      <c r="DD523" s="109" t="str">
        <f>BU523</f>
        <v>2017A</v>
      </c>
      <c r="DE523" s="109" t="str">
        <f>BZ523</f>
        <v>2018E</v>
      </c>
      <c r="DF523" s="109" t="str">
        <f>CA523</f>
        <v>2019E</v>
      </c>
      <c r="DG523" s="1772" t="str">
        <f>CB523</f>
        <v>2020E</v>
      </c>
      <c r="DH523" s="223"/>
      <c r="DI523" s="595"/>
      <c r="DJ523" s="595"/>
      <c r="DK523" s="595"/>
      <c r="DL523" s="595"/>
      <c r="DM523" s="595"/>
      <c r="DN523" s="514"/>
      <c r="DO523" s="226"/>
      <c r="DY523" s="244"/>
      <c r="DZ523" s="244"/>
    </row>
    <row r="524" spans="1:130" ht="12" hidden="1" customHeight="1" outlineLevel="1">
      <c r="A524" s="552"/>
      <c r="B524" s="228"/>
      <c r="C524" s="228"/>
      <c r="D524" s="625"/>
      <c r="E524" s="626"/>
      <c r="F524" s="626"/>
      <c r="G524" s="626"/>
      <c r="H524" s="788"/>
      <c r="I524" s="626"/>
      <c r="J524" s="626"/>
      <c r="K524" s="626"/>
      <c r="L524" s="626"/>
      <c r="M524" s="788"/>
      <c r="N524" s="626"/>
      <c r="O524" s="626"/>
      <c r="P524" s="626"/>
      <c r="Q524" s="626"/>
      <c r="R524" s="788"/>
      <c r="S524" s="626"/>
      <c r="T524" s="626"/>
      <c r="U524" s="626"/>
      <c r="V524" s="626"/>
      <c r="W524" s="788"/>
      <c r="X524" s="626"/>
      <c r="Y524" s="626"/>
      <c r="Z524" s="626"/>
      <c r="AA524" s="626"/>
      <c r="AB524" s="788"/>
      <c r="AC524" s="626"/>
      <c r="AD524" s="626"/>
      <c r="AE524" s="626"/>
      <c r="AF524" s="626"/>
      <c r="AG524" s="788"/>
      <c r="AH524" s="626"/>
      <c r="AI524" s="626"/>
      <c r="AJ524" s="626"/>
      <c r="AK524" s="626"/>
      <c r="AL524" s="788"/>
      <c r="AM524" s="626"/>
      <c r="AN524" s="261"/>
      <c r="AO524" s="626"/>
      <c r="AP524" s="330"/>
      <c r="AQ524" s="1439"/>
      <c r="AR524" s="330"/>
      <c r="AS524" s="330"/>
      <c r="AT524" s="330"/>
      <c r="AU524" s="626"/>
      <c r="AV524" s="1951"/>
      <c r="AW524" s="626"/>
      <c r="AX524" s="261"/>
      <c r="AY524" s="626"/>
      <c r="AZ524" s="626"/>
      <c r="BA524" s="1439"/>
      <c r="BB524" s="626"/>
      <c r="BC524" s="261"/>
      <c r="BD524" s="626"/>
      <c r="BE524" s="626"/>
      <c r="BF524" s="1439"/>
      <c r="BG524" s="2882"/>
      <c r="BH524" s="2883"/>
      <c r="BI524" s="2883"/>
      <c r="BJ524" s="2884"/>
      <c r="BK524" s="1439"/>
      <c r="BL524" s="2883"/>
      <c r="BM524" s="2883"/>
      <c r="BN524" s="2883"/>
      <c r="BO524" s="2884"/>
      <c r="BP524" s="1439"/>
      <c r="BQ524" s="2883"/>
      <c r="BR524" s="2883"/>
      <c r="BS524" s="2883"/>
      <c r="BT524" s="2884"/>
      <c r="BU524" s="3406"/>
      <c r="BV524" s="2883"/>
      <c r="BW524" s="2883"/>
      <c r="BX524" s="2883"/>
      <c r="BY524" s="2884"/>
      <c r="BZ524" s="1439"/>
      <c r="CA524" s="1439"/>
      <c r="CB524" s="1439"/>
      <c r="CC524" s="1439"/>
      <c r="CD524" s="1439"/>
      <c r="CE524" s="1439"/>
      <c r="CF524" s="1439"/>
      <c r="CG524" s="1439"/>
      <c r="CH524" s="626"/>
      <c r="CI524" s="626"/>
      <c r="CJ524" s="626"/>
      <c r="CK524" s="626"/>
      <c r="CL524" s="626"/>
      <c r="CM524" s="626"/>
      <c r="CN524" s="626"/>
      <c r="CO524" s="626"/>
      <c r="CP524" s="994"/>
      <c r="CQ524" s="626"/>
      <c r="CR524" s="626"/>
      <c r="CS524" s="626"/>
      <c r="CT524" s="626"/>
      <c r="CU524" s="626"/>
      <c r="CV524" s="626"/>
      <c r="CW524" s="626"/>
      <c r="CX524" s="626"/>
      <c r="CY524" s="626"/>
      <c r="CZ524" s="626"/>
      <c r="DA524" s="626"/>
      <c r="DB524" s="626"/>
      <c r="DC524" s="626"/>
      <c r="DD524" s="626"/>
      <c r="DE524" s="626"/>
      <c r="DF524" s="626"/>
      <c r="DG524" s="1893"/>
      <c r="DH524" s="632"/>
      <c r="DI524" s="595"/>
      <c r="DJ524" s="595"/>
      <c r="DK524" s="595"/>
      <c r="DL524" s="595"/>
      <c r="DM524" s="595"/>
      <c r="DN524" s="514"/>
      <c r="DO524" s="77"/>
      <c r="DY524" s="330"/>
      <c r="DZ524" s="330"/>
    </row>
    <row r="525" spans="1:130" ht="12" hidden="1" customHeight="1" outlineLevel="1">
      <c r="A525" s="708" t="s">
        <v>456</v>
      </c>
      <c r="B525" s="228"/>
      <c r="C525" s="228"/>
      <c r="D525" s="625"/>
      <c r="E525" s="626"/>
      <c r="F525" s="626"/>
      <c r="G525" s="626"/>
      <c r="H525" s="788"/>
      <c r="I525" s="626"/>
      <c r="J525" s="626"/>
      <c r="K525" s="626"/>
      <c r="L525" s="626"/>
      <c r="M525" s="788"/>
      <c r="N525" s="626"/>
      <c r="O525" s="626"/>
      <c r="P525" s="626"/>
      <c r="Q525" s="626"/>
      <c r="R525" s="788"/>
      <c r="S525" s="626"/>
      <c r="T525" s="626"/>
      <c r="U525" s="626"/>
      <c r="V525" s="626"/>
      <c r="W525" s="788"/>
      <c r="X525" s="626"/>
      <c r="Y525" s="626"/>
      <c r="Z525" s="626"/>
      <c r="AA525" s="626"/>
      <c r="AB525" s="788"/>
      <c r="AC525" s="626"/>
      <c r="AD525" s="626"/>
      <c r="AE525" s="626"/>
      <c r="AF525" s="626"/>
      <c r="AG525" s="788"/>
      <c r="AH525" s="626"/>
      <c r="AI525" s="626"/>
      <c r="AJ525" s="626"/>
      <c r="AK525" s="626"/>
      <c r="AL525" s="788"/>
      <c r="AM525" s="626"/>
      <c r="AN525" s="261"/>
      <c r="AO525" s="626"/>
      <c r="AP525" s="330"/>
      <c r="AQ525" s="1439"/>
      <c r="AR525" s="330"/>
      <c r="AS525" s="330"/>
      <c r="AT525" s="330"/>
      <c r="AU525" s="626"/>
      <c r="AV525" s="1951"/>
      <c r="AW525" s="626"/>
      <c r="AX525" s="261"/>
      <c r="AY525" s="626"/>
      <c r="AZ525" s="626"/>
      <c r="BA525" s="1439"/>
      <c r="BB525" s="626"/>
      <c r="BC525" s="261"/>
      <c r="BD525" s="626"/>
      <c r="BE525" s="626"/>
      <c r="BF525" s="1439"/>
      <c r="BG525" s="678"/>
      <c r="BH525" s="330"/>
      <c r="BI525" s="330"/>
      <c r="BJ525" s="2136"/>
      <c r="BK525" s="1439"/>
      <c r="BL525" s="330"/>
      <c r="BM525" s="330"/>
      <c r="BN525" s="330"/>
      <c r="BO525" s="2136"/>
      <c r="BP525" s="1439"/>
      <c r="BQ525" s="330"/>
      <c r="BR525" s="330"/>
      <c r="BS525" s="330"/>
      <c r="BT525" s="2136"/>
      <c r="BU525" s="3406"/>
      <c r="BV525" s="330"/>
      <c r="BW525" s="330"/>
      <c r="BX525" s="330"/>
      <c r="BY525" s="2136"/>
      <c r="BZ525" s="1439"/>
      <c r="CA525" s="1439"/>
      <c r="CB525" s="1439"/>
      <c r="CC525" s="1439"/>
      <c r="CD525" s="1439"/>
      <c r="CE525" s="1439"/>
      <c r="CF525" s="1439"/>
      <c r="CG525" s="1439"/>
      <c r="CH525" s="626"/>
      <c r="CI525" s="626"/>
      <c r="CJ525" s="626"/>
      <c r="CK525" s="626"/>
      <c r="CL525" s="626"/>
      <c r="CM525" s="626"/>
      <c r="CN525" s="626"/>
      <c r="CO525" s="626"/>
      <c r="CP525" s="994"/>
      <c r="CQ525" s="626"/>
      <c r="CR525" s="626"/>
      <c r="CS525" s="626"/>
      <c r="CT525" s="626"/>
      <c r="CU525" s="626"/>
      <c r="CV525" s="626"/>
      <c r="CW525" s="626"/>
      <c r="CX525" s="626"/>
      <c r="CY525" s="626"/>
      <c r="CZ525" s="626"/>
      <c r="DA525" s="626"/>
      <c r="DB525" s="626"/>
      <c r="DC525" s="626"/>
      <c r="DD525" s="626"/>
      <c r="DE525" s="626"/>
      <c r="DF525" s="626"/>
      <c r="DG525" s="1893"/>
      <c r="DH525" s="632"/>
      <c r="DI525" s="595"/>
      <c r="DJ525" s="595"/>
      <c r="DK525" s="595"/>
      <c r="DL525" s="595"/>
      <c r="DM525" s="595"/>
      <c r="DN525" s="514"/>
      <c r="DO525" s="77"/>
      <c r="DY525" s="330"/>
      <c r="DZ525" s="330"/>
    </row>
    <row r="526" spans="1:130" ht="12" hidden="1" customHeight="1" outlineLevel="1">
      <c r="A526" s="708"/>
      <c r="B526" s="228"/>
      <c r="C526" s="228"/>
      <c r="D526" s="625"/>
      <c r="E526" s="626"/>
      <c r="F526" s="626"/>
      <c r="G526" s="626"/>
      <c r="H526" s="788"/>
      <c r="I526" s="626"/>
      <c r="J526" s="626"/>
      <c r="K526" s="626"/>
      <c r="L526" s="626"/>
      <c r="M526" s="788"/>
      <c r="N526" s="626"/>
      <c r="O526" s="626"/>
      <c r="P526" s="626"/>
      <c r="Q526" s="626"/>
      <c r="R526" s="788"/>
      <c r="S526" s="626"/>
      <c r="T526" s="626"/>
      <c r="U526" s="626"/>
      <c r="V526" s="626"/>
      <c r="W526" s="788"/>
      <c r="X526" s="626"/>
      <c r="Y526" s="626"/>
      <c r="Z526" s="626"/>
      <c r="AA526" s="626"/>
      <c r="AB526" s="788"/>
      <c r="AC526" s="626"/>
      <c r="AD526" s="626"/>
      <c r="AE526" s="626"/>
      <c r="AF526" s="626"/>
      <c r="AG526" s="788"/>
      <c r="AH526" s="626"/>
      <c r="AI526" s="626"/>
      <c r="AJ526" s="626"/>
      <c r="AK526" s="626"/>
      <c r="AL526" s="788"/>
      <c r="AM526" s="626"/>
      <c r="AN526" s="261"/>
      <c r="AO526" s="626"/>
      <c r="AP526" s="330"/>
      <c r="AQ526" s="1439"/>
      <c r="AR526" s="330"/>
      <c r="AS526" s="330"/>
      <c r="AT526" s="330"/>
      <c r="AU526" s="626"/>
      <c r="AV526" s="1951"/>
      <c r="AW526" s="626"/>
      <c r="AX526" s="261"/>
      <c r="AY526" s="626"/>
      <c r="AZ526" s="626"/>
      <c r="BA526" s="1439"/>
      <c r="BB526" s="626"/>
      <c r="BC526" s="261"/>
      <c r="BD526" s="626"/>
      <c r="BE526" s="626"/>
      <c r="BF526" s="1439"/>
      <c r="BG526" s="678"/>
      <c r="BH526" s="330"/>
      <c r="BI526" s="330"/>
      <c r="BJ526" s="2136"/>
      <c r="BK526" s="1439"/>
      <c r="BL526" s="330"/>
      <c r="BM526" s="330"/>
      <c r="BN526" s="3894" t="s">
        <v>1929</v>
      </c>
      <c r="BO526" s="2136"/>
      <c r="BP526" s="1439"/>
      <c r="BQ526" s="330"/>
      <c r="BR526" s="330"/>
      <c r="BS526" s="330"/>
      <c r="BT526" s="2136"/>
      <c r="BU526" s="3406"/>
      <c r="BV526" s="330"/>
      <c r="BW526" s="330"/>
      <c r="BX526" s="330"/>
      <c r="BY526" s="2136"/>
      <c r="BZ526" s="1439"/>
      <c r="CA526" s="1439"/>
      <c r="CB526" s="1439"/>
      <c r="CC526" s="1439"/>
      <c r="CD526" s="1439"/>
      <c r="CE526" s="1439"/>
      <c r="CF526" s="1439"/>
      <c r="CG526" s="1439"/>
      <c r="CH526" s="626"/>
      <c r="CI526" s="626"/>
      <c r="CJ526" s="626"/>
      <c r="CK526" s="626"/>
      <c r="CL526" s="626"/>
      <c r="CM526" s="626"/>
      <c r="CN526" s="626"/>
      <c r="CO526" s="626"/>
      <c r="CP526" s="994"/>
      <c r="CQ526" s="626"/>
      <c r="CR526" s="626"/>
      <c r="CS526" s="626"/>
      <c r="CT526" s="626"/>
      <c r="CU526" s="626"/>
      <c r="CV526" s="626"/>
      <c r="CW526" s="626"/>
      <c r="CX526" s="626"/>
      <c r="CY526" s="626"/>
      <c r="CZ526" s="626"/>
      <c r="DA526" s="626"/>
      <c r="DB526" s="626"/>
      <c r="DC526" s="626"/>
      <c r="DD526" s="626"/>
      <c r="DE526" s="626"/>
      <c r="DF526" s="626"/>
      <c r="DG526" s="1893"/>
      <c r="DH526" s="632"/>
      <c r="DI526" s="595"/>
      <c r="DJ526" s="595"/>
      <c r="DK526" s="595"/>
      <c r="DL526" s="595"/>
      <c r="DM526" s="595"/>
      <c r="DN526" s="514"/>
      <c r="DO526" s="77"/>
      <c r="DY526" s="330"/>
      <c r="DZ526" s="330"/>
    </row>
    <row r="527" spans="1:130" ht="12" hidden="1" customHeight="1" outlineLevel="1">
      <c r="A527" s="552" t="s">
        <v>183</v>
      </c>
      <c r="B527" s="228"/>
      <c r="C527" s="228"/>
      <c r="D527" s="625"/>
      <c r="E527" s="626"/>
      <c r="F527" s="626"/>
      <c r="G527" s="626"/>
      <c r="H527" s="788"/>
      <c r="I527" s="626"/>
      <c r="J527" s="626"/>
      <c r="K527" s="626"/>
      <c r="L527" s="626"/>
      <c r="M527" s="788"/>
      <c r="N527" s="626"/>
      <c r="O527" s="626"/>
      <c r="P527" s="626"/>
      <c r="Q527" s="626"/>
      <c r="R527" s="788"/>
      <c r="S527" s="626"/>
      <c r="T527" s="626"/>
      <c r="U527" s="626"/>
      <c r="V527" s="626"/>
      <c r="W527" s="788"/>
      <c r="X527" s="626"/>
      <c r="Y527" s="626"/>
      <c r="Z527" s="626"/>
      <c r="AA527" s="626"/>
      <c r="AB527" s="788"/>
      <c r="AC527" s="626"/>
      <c r="AD527" s="626"/>
      <c r="AE527" s="626"/>
      <c r="AF527" s="626"/>
      <c r="AG527" s="788"/>
      <c r="AH527" s="626"/>
      <c r="AI527" s="626"/>
      <c r="AJ527" s="626"/>
      <c r="AK527" s="626"/>
      <c r="AL527" s="788"/>
      <c r="AM527" s="1981">
        <v>987</v>
      </c>
      <c r="AN527" s="1981">
        <v>985</v>
      </c>
      <c r="AO527" s="1981">
        <v>985</v>
      </c>
      <c r="AP527" s="1981">
        <v>986</v>
      </c>
      <c r="AQ527" s="1984">
        <f>+AVERAGE(AM527:AP527)</f>
        <v>985.75</v>
      </c>
      <c r="AR527" s="1981">
        <v>992</v>
      </c>
      <c r="AS527" s="1981">
        <v>991</v>
      </c>
      <c r="AT527" s="1981">
        <v>992</v>
      </c>
      <c r="AU527" s="1981">
        <v>992</v>
      </c>
      <c r="AV527" s="1984">
        <f>+AVERAGE(AR527:AU527)</f>
        <v>991.75</v>
      </c>
      <c r="AW527" s="1982">
        <f>+AU527</f>
        <v>992</v>
      </c>
      <c r="AX527" s="1982">
        <f>+AW527</f>
        <v>992</v>
      </c>
      <c r="AY527" s="1982">
        <f>+AX527</f>
        <v>992</v>
      </c>
      <c r="AZ527" s="1981">
        <v>996</v>
      </c>
      <c r="BA527" s="1984">
        <f>+AVERAGE(AW527:AZ527)</f>
        <v>993</v>
      </c>
      <c r="BB527" s="2744">
        <v>997</v>
      </c>
      <c r="BC527" s="2744">
        <v>999</v>
      </c>
      <c r="BD527" s="2744">
        <v>1000</v>
      </c>
      <c r="BE527" s="2744">
        <v>1002</v>
      </c>
      <c r="BF527" s="1984">
        <f>+AVERAGE(BB527:BE527)</f>
        <v>999.5</v>
      </c>
      <c r="BG527" s="3127">
        <v>999</v>
      </c>
      <c r="BH527" s="3174">
        <v>995</v>
      </c>
      <c r="BI527" s="3174">
        <v>997</v>
      </c>
      <c r="BJ527" s="3174">
        <v>992</v>
      </c>
      <c r="BK527" s="1984">
        <f>+AVERAGE(BG527:BJ527)</f>
        <v>995.75</v>
      </c>
      <c r="BL527" s="3174">
        <v>989</v>
      </c>
      <c r="BM527" s="3174">
        <v>990</v>
      </c>
      <c r="BN527" s="3174"/>
      <c r="BO527" s="3173"/>
      <c r="BP527" s="1984"/>
      <c r="BQ527" s="3172"/>
      <c r="BR527" s="3172"/>
      <c r="BS527" s="3172"/>
      <c r="BT527" s="3173"/>
      <c r="BU527" s="3396"/>
      <c r="BV527" s="3172"/>
      <c r="BW527" s="3172"/>
      <c r="BX527" s="3172"/>
      <c r="BY527" s="3173"/>
      <c r="BZ527" s="2745"/>
      <c r="CA527" s="2745"/>
      <c r="CB527" s="2745"/>
      <c r="CC527" s="2745"/>
      <c r="CD527" s="2745"/>
      <c r="CE527" s="2745"/>
      <c r="CF527" s="2745"/>
      <c r="CG527" s="2745"/>
      <c r="CH527" s="626"/>
      <c r="CI527" s="626"/>
      <c r="CJ527" s="626"/>
      <c r="CK527" s="626"/>
      <c r="CL527" s="626"/>
      <c r="CM527" s="626"/>
      <c r="CN527" s="626"/>
      <c r="CO527" s="626"/>
      <c r="CP527" s="994"/>
      <c r="CQ527" s="626"/>
      <c r="CR527" s="626"/>
      <c r="CS527" s="626"/>
      <c r="CT527" s="626"/>
      <c r="CU527" s="626"/>
      <c r="CV527" s="626"/>
      <c r="CW527" s="626"/>
      <c r="CX527" s="626"/>
      <c r="CY527" s="626"/>
      <c r="CZ527" s="626"/>
      <c r="DA527" s="626"/>
      <c r="DB527" s="626"/>
      <c r="DC527" s="626"/>
      <c r="DD527" s="626"/>
      <c r="DE527" s="626"/>
      <c r="DF527" s="626"/>
      <c r="DG527" s="1893"/>
      <c r="DH527" s="632"/>
      <c r="DI527" s="595"/>
      <c r="DJ527" s="595"/>
      <c r="DK527" s="595"/>
      <c r="DL527" s="595"/>
      <c r="DM527" s="595"/>
      <c r="DN527" s="514"/>
      <c r="DO527" s="77"/>
      <c r="DY527" s="1982"/>
      <c r="DZ527" s="1982"/>
    </row>
    <row r="528" spans="1:130" ht="12" hidden="1" customHeight="1" outlineLevel="1">
      <c r="A528" s="552" t="s">
        <v>184</v>
      </c>
      <c r="B528" s="228"/>
      <c r="C528" s="228"/>
      <c r="D528" s="625"/>
      <c r="E528" s="626"/>
      <c r="F528" s="626"/>
      <c r="G528" s="626"/>
      <c r="H528" s="788"/>
      <c r="I528" s="626"/>
      <c r="J528" s="626"/>
      <c r="K528" s="626"/>
      <c r="L528" s="626"/>
      <c r="M528" s="788"/>
      <c r="N528" s="626"/>
      <c r="O528" s="626"/>
      <c r="P528" s="626"/>
      <c r="Q528" s="626"/>
      <c r="R528" s="788"/>
      <c r="S528" s="626"/>
      <c r="T528" s="626"/>
      <c r="U528" s="626"/>
      <c r="V528" s="626"/>
      <c r="W528" s="788"/>
      <c r="X528" s="626"/>
      <c r="Y528" s="626"/>
      <c r="Z528" s="626"/>
      <c r="AA528" s="626"/>
      <c r="AB528" s="788"/>
      <c r="AC528" s="626"/>
      <c r="AD528" s="626"/>
      <c r="AE528" s="626"/>
      <c r="AF528" s="626"/>
      <c r="AG528" s="788"/>
      <c r="AH528" s="626"/>
      <c r="AI528" s="626"/>
      <c r="AJ528" s="626"/>
      <c r="AK528" s="626"/>
      <c r="AL528" s="788"/>
      <c r="AM528" s="1981">
        <v>19</v>
      </c>
      <c r="AN528" s="1981">
        <v>19</v>
      </c>
      <c r="AO528" s="1981">
        <v>19</v>
      </c>
      <c r="AP528" s="1981">
        <v>19</v>
      </c>
      <c r="AQ528" s="1984">
        <f>+AVERAGE(AM528:AP528)</f>
        <v>19</v>
      </c>
      <c r="AR528" s="1981">
        <v>19</v>
      </c>
      <c r="AS528" s="1981">
        <v>19</v>
      </c>
      <c r="AT528" s="1981">
        <v>19</v>
      </c>
      <c r="AU528" s="1981">
        <v>19</v>
      </c>
      <c r="AV528" s="1984">
        <f>+AVERAGE(AR528:AU528)</f>
        <v>19</v>
      </c>
      <c r="AW528" s="1982">
        <f>+AU528</f>
        <v>19</v>
      </c>
      <c r="AX528" s="1982">
        <f>+AW528</f>
        <v>19</v>
      </c>
      <c r="AY528" s="1982">
        <f>+AX528</f>
        <v>19</v>
      </c>
      <c r="AZ528" s="1981">
        <v>19</v>
      </c>
      <c r="BA528" s="1984">
        <f>+AVERAGE(AW528:AZ528)</f>
        <v>19</v>
      </c>
      <c r="BB528" s="2744">
        <v>19</v>
      </c>
      <c r="BC528" s="2744">
        <v>19</v>
      </c>
      <c r="BD528" s="2744">
        <v>20</v>
      </c>
      <c r="BE528" s="2744">
        <v>20</v>
      </c>
      <c r="BF528" s="1984">
        <f>+AVERAGE(BB528:BE528)</f>
        <v>19.5</v>
      </c>
      <c r="BG528" s="3127">
        <v>20</v>
      </c>
      <c r="BH528" s="3174">
        <v>20</v>
      </c>
      <c r="BI528" s="3174">
        <v>20</v>
      </c>
      <c r="BJ528" s="3174">
        <v>20</v>
      </c>
      <c r="BK528" s="1984">
        <f>+AVERAGE(BG528:BJ528)</f>
        <v>20</v>
      </c>
      <c r="BL528" s="3174">
        <v>20</v>
      </c>
      <c r="BM528" s="3174">
        <v>20</v>
      </c>
      <c r="BN528" s="3174"/>
      <c r="BO528" s="3173"/>
      <c r="BP528" s="1984"/>
      <c r="BQ528" s="3172"/>
      <c r="BR528" s="3172"/>
      <c r="BS528" s="3172"/>
      <c r="BT528" s="3173"/>
      <c r="BU528" s="3396"/>
      <c r="BV528" s="3172"/>
      <c r="BW528" s="3172"/>
      <c r="BX528" s="3172"/>
      <c r="BY528" s="3173"/>
      <c r="BZ528" s="2745"/>
      <c r="CA528" s="2745"/>
      <c r="CB528" s="2745"/>
      <c r="CC528" s="2745"/>
      <c r="CD528" s="2745"/>
      <c r="CE528" s="2745"/>
      <c r="CF528" s="2745"/>
      <c r="CG528" s="2745"/>
      <c r="CH528" s="626"/>
      <c r="CI528" s="626"/>
      <c r="CJ528" s="626"/>
      <c r="CK528" s="626"/>
      <c r="CL528" s="626"/>
      <c r="CM528" s="626"/>
      <c r="CN528" s="626"/>
      <c r="CO528" s="626"/>
      <c r="CP528" s="994"/>
      <c r="CQ528" s="626"/>
      <c r="CR528" s="626"/>
      <c r="CS528" s="626"/>
      <c r="CT528" s="626"/>
      <c r="CU528" s="626"/>
      <c r="CV528" s="626"/>
      <c r="CW528" s="626"/>
      <c r="CX528" s="626"/>
      <c r="CY528" s="626"/>
      <c r="CZ528" s="626"/>
      <c r="DA528" s="626"/>
      <c r="DB528" s="626"/>
      <c r="DC528" s="626"/>
      <c r="DD528" s="626"/>
      <c r="DE528" s="626"/>
      <c r="DF528" s="626"/>
      <c r="DG528" s="1893"/>
      <c r="DH528" s="632"/>
      <c r="DI528" s="595"/>
      <c r="DJ528" s="595"/>
      <c r="DK528" s="595"/>
      <c r="DL528" s="595"/>
      <c r="DM528" s="595"/>
      <c r="DN528" s="514"/>
      <c r="DO528" s="77"/>
      <c r="DY528" s="1982"/>
      <c r="DZ528" s="1982"/>
    </row>
    <row r="529" spans="1:130" ht="12" hidden="1" customHeight="1" outlineLevel="1">
      <c r="A529" s="552" t="s">
        <v>182</v>
      </c>
      <c r="B529" s="228"/>
      <c r="C529" s="228"/>
      <c r="D529" s="625"/>
      <c r="E529" s="626"/>
      <c r="F529" s="626"/>
      <c r="G529" s="626"/>
      <c r="H529" s="788"/>
      <c r="I529" s="626"/>
      <c r="J529" s="626"/>
      <c r="K529" s="626"/>
      <c r="L529" s="626"/>
      <c r="M529" s="788"/>
      <c r="N529" s="626"/>
      <c r="O529" s="626"/>
      <c r="P529" s="626"/>
      <c r="Q529" s="626"/>
      <c r="R529" s="788"/>
      <c r="S529" s="626"/>
      <c r="T529" s="626"/>
      <c r="U529" s="626"/>
      <c r="V529" s="626"/>
      <c r="W529" s="788"/>
      <c r="X529" s="626"/>
      <c r="Y529" s="626"/>
      <c r="Z529" s="626"/>
      <c r="AA529" s="626"/>
      <c r="AB529" s="788"/>
      <c r="AC529" s="626"/>
      <c r="AD529" s="626"/>
      <c r="AE529" s="626"/>
      <c r="AF529" s="626"/>
      <c r="AG529" s="788"/>
      <c r="AH529" s="626"/>
      <c r="AI529" s="626"/>
      <c r="AJ529" s="626"/>
      <c r="AK529" s="626"/>
      <c r="AL529" s="788"/>
      <c r="AM529" s="792">
        <f>+AM527+(AM528*6)</f>
        <v>1101</v>
      </c>
      <c r="AN529" s="792">
        <f>+AN527+(AN528*6)</f>
        <v>1099</v>
      </c>
      <c r="AO529" s="792">
        <f>+AO527+(AO528*6)</f>
        <v>1099</v>
      </c>
      <c r="AP529" s="792">
        <f>+AP527+(AP528*6)</f>
        <v>1100</v>
      </c>
      <c r="AQ529" s="1984">
        <f>+AVERAGE(AM529:AP529)</f>
        <v>1099.75</v>
      </c>
      <c r="AR529" s="792">
        <f>+AR527+(AR528*6)</f>
        <v>1106</v>
      </c>
      <c r="AS529" s="792">
        <f>+AS527+(AS528*6)</f>
        <v>1105</v>
      </c>
      <c r="AT529" s="792">
        <f>+AT527+(AT528*6)</f>
        <v>1106</v>
      </c>
      <c r="AU529" s="792">
        <f>+AU527+(AU528*6)</f>
        <v>1106</v>
      </c>
      <c r="AV529" s="1984">
        <f>+AVERAGE(AR529:AU529)</f>
        <v>1105.75</v>
      </c>
      <c r="AW529" s="792">
        <f>+AW527+(AW528*6)</f>
        <v>1106</v>
      </c>
      <c r="AX529" s="792">
        <f>+AX527+(AX528*6)</f>
        <v>1106</v>
      </c>
      <c r="AY529" s="792">
        <f>+AY527+(AY528*6)</f>
        <v>1106</v>
      </c>
      <c r="AZ529" s="792">
        <f>+AZ527+(AZ528*6)</f>
        <v>1110</v>
      </c>
      <c r="BA529" s="1984">
        <f>+AVERAGE(AW529:AZ529)</f>
        <v>1107</v>
      </c>
      <c r="BB529" s="792">
        <f>+BB527+(BB528*6)</f>
        <v>1111</v>
      </c>
      <c r="BC529" s="792">
        <f>+BC527+(BC528*6)</f>
        <v>1113</v>
      </c>
      <c r="BD529" s="792">
        <f>+BD527+(BD528*6)</f>
        <v>1120</v>
      </c>
      <c r="BE529" s="792">
        <f>+BE527+(BE528*6)</f>
        <v>1122</v>
      </c>
      <c r="BF529" s="525">
        <f>BE529</f>
        <v>1122</v>
      </c>
      <c r="BG529" s="793">
        <f>+BG527+(BG528*6)</f>
        <v>1119</v>
      </c>
      <c r="BH529" s="792">
        <f>+BH527+(BH528*6)</f>
        <v>1115</v>
      </c>
      <c r="BI529" s="792">
        <f>+BI527+(BI528*6)</f>
        <v>1117</v>
      </c>
      <c r="BJ529" s="1894">
        <f>+BJ527+(BJ528*6)</f>
        <v>1112</v>
      </c>
      <c r="BK529" s="525">
        <f>BJ529</f>
        <v>1112</v>
      </c>
      <c r="BL529" s="792">
        <f>+BL527+(BL528*6)</f>
        <v>1109</v>
      </c>
      <c r="BM529" s="792">
        <f>+BM527+(BM528*6)</f>
        <v>1110</v>
      </c>
      <c r="BN529" s="792"/>
      <c r="BO529" s="1894"/>
      <c r="BP529" s="525"/>
      <c r="BQ529" s="792"/>
      <c r="BR529" s="792"/>
      <c r="BS529" s="792"/>
      <c r="BT529" s="1894"/>
      <c r="BU529" s="3367"/>
      <c r="BV529" s="792"/>
      <c r="BW529" s="792"/>
      <c r="BX529" s="792"/>
      <c r="BY529" s="1894"/>
      <c r="BZ529" s="1983"/>
      <c r="CA529" s="1983"/>
      <c r="CB529" s="1983"/>
      <c r="CC529" s="1983"/>
      <c r="CD529" s="1983"/>
      <c r="CE529" s="1983"/>
      <c r="CF529" s="1983"/>
      <c r="CG529" s="1983"/>
      <c r="CH529" s="626"/>
      <c r="CI529" s="626"/>
      <c r="CJ529" s="626"/>
      <c r="CK529" s="626"/>
      <c r="CL529" s="626"/>
      <c r="CM529" s="626"/>
      <c r="CN529" s="626"/>
      <c r="CO529" s="626"/>
      <c r="CP529" s="994"/>
      <c r="CQ529" s="626"/>
      <c r="CR529" s="626"/>
      <c r="CS529" s="626"/>
      <c r="CT529" s="626"/>
      <c r="CU529" s="626"/>
      <c r="CV529" s="626"/>
      <c r="CW529" s="626"/>
      <c r="CX529" s="626"/>
      <c r="CY529" s="626"/>
      <c r="CZ529" s="626"/>
      <c r="DA529" s="626"/>
      <c r="DB529" s="626"/>
      <c r="DC529" s="626"/>
      <c r="DD529" s="626"/>
      <c r="DE529" s="626"/>
      <c r="DF529" s="626"/>
      <c r="DG529" s="1893"/>
      <c r="DH529" s="632"/>
      <c r="DI529" s="595"/>
      <c r="DJ529" s="595"/>
      <c r="DK529" s="595"/>
      <c r="DL529" s="595"/>
      <c r="DM529" s="595"/>
      <c r="DN529" s="514"/>
      <c r="DO529" s="77"/>
      <c r="DY529" s="231"/>
      <c r="DZ529" s="231"/>
    </row>
    <row r="530" spans="1:130" ht="12" hidden="1" customHeight="1" outlineLevel="1">
      <c r="A530" s="552" t="s">
        <v>1156</v>
      </c>
      <c r="B530" s="228"/>
      <c r="C530" s="228"/>
      <c r="D530" s="625"/>
      <c r="E530" s="626"/>
      <c r="F530" s="626"/>
      <c r="G530" s="626"/>
      <c r="H530" s="788"/>
      <c r="I530" s="626"/>
      <c r="J530" s="626"/>
      <c r="K530" s="626"/>
      <c r="L530" s="626"/>
      <c r="M530" s="788"/>
      <c r="N530" s="626"/>
      <c r="O530" s="626"/>
      <c r="P530" s="626"/>
      <c r="Q530" s="626"/>
      <c r="R530" s="788"/>
      <c r="S530" s="626"/>
      <c r="T530" s="626"/>
      <c r="U530" s="626"/>
      <c r="V530" s="626"/>
      <c r="W530" s="788"/>
      <c r="X530" s="626"/>
      <c r="Y530" s="626"/>
      <c r="Z530" s="626"/>
      <c r="AA530" s="626"/>
      <c r="AB530" s="788"/>
      <c r="AC530" s="626"/>
      <c r="AD530" s="626"/>
      <c r="AE530" s="626"/>
      <c r="AF530" s="626"/>
      <c r="AG530" s="788"/>
      <c r="AH530" s="626"/>
      <c r="AI530" s="626"/>
      <c r="AJ530" s="626"/>
      <c r="AK530" s="626"/>
      <c r="AL530" s="788"/>
      <c r="AM530" s="626">
        <f t="shared" ref="AM530:BE530" si="1266">+AM537*1000000/AM529/AM5</f>
        <v>166.59498435765465</v>
      </c>
      <c r="AN530" s="626">
        <f t="shared" si="1266"/>
        <v>173.75803177714008</v>
      </c>
      <c r="AO530" s="626">
        <f t="shared" si="1266"/>
        <v>178.37742809668867</v>
      </c>
      <c r="AP530" s="626">
        <f t="shared" si="1266"/>
        <v>165.54951581027669</v>
      </c>
      <c r="AQ530" s="1950">
        <f t="shared" si="1266"/>
        <v>171.08311664855339</v>
      </c>
      <c r="AR530" s="626">
        <f t="shared" si="1266"/>
        <v>174.6428670786718</v>
      </c>
      <c r="AS530" s="626">
        <f t="shared" si="1266"/>
        <v>175.92792998856348</v>
      </c>
      <c r="AT530" s="626">
        <f t="shared" si="1266"/>
        <v>166.92155436748172</v>
      </c>
      <c r="AU530" s="626">
        <f t="shared" si="1266"/>
        <v>159.29233823413793</v>
      </c>
      <c r="AV530" s="1950">
        <f t="shared" si="1266"/>
        <v>169.16158579902125</v>
      </c>
      <c r="AW530" s="626">
        <f t="shared" si="1266"/>
        <v>162.7856439622262</v>
      </c>
      <c r="AX530" s="626">
        <f t="shared" si="1266"/>
        <v>170.29918725036265</v>
      </c>
      <c r="AY530" s="626">
        <f t="shared" si="1266"/>
        <v>172.68364258196399</v>
      </c>
      <c r="AZ530" s="626">
        <f t="shared" si="1266"/>
        <v>147.55209557383469</v>
      </c>
      <c r="BA530" s="1950">
        <f t="shared" si="1266"/>
        <v>163.30088973035848</v>
      </c>
      <c r="BB530" s="626">
        <f t="shared" si="1266"/>
        <v>148.17228722872289</v>
      </c>
      <c r="BC530" s="626">
        <f t="shared" si="1266"/>
        <v>159.20188975445041</v>
      </c>
      <c r="BD530" s="626">
        <f t="shared" si="1266"/>
        <v>157.93163819875778</v>
      </c>
      <c r="BE530" s="626">
        <f t="shared" si="1266"/>
        <v>149.71043555762228</v>
      </c>
      <c r="BF530" s="1950">
        <f>BE530</f>
        <v>149.71043555762228</v>
      </c>
      <c r="BG530" s="625">
        <f>+BG537*1000000/BG529/BG5</f>
        <v>150.49425081918378</v>
      </c>
      <c r="BH530" s="626">
        <f>+BH537*1000000/BH529/BH5</f>
        <v>167.81544374907602</v>
      </c>
      <c r="BI530" s="626">
        <f>+BI537*1000000/BI529/BI5</f>
        <v>171.56259974310072</v>
      </c>
      <c r="BJ530" s="1893">
        <f>+BJ537*1000000/BJ529/BJ5</f>
        <v>160.33697607131685</v>
      </c>
      <c r="BK530" s="1950">
        <f>BJ530</f>
        <v>160.33697607131685</v>
      </c>
      <c r="BL530" s="626">
        <f>+BL537*1000000/BL529/BL5</f>
        <v>168.97277024148079</v>
      </c>
      <c r="BM530" s="626">
        <f>+BM537*1000000/BM529/BM5</f>
        <v>163.108217008217</v>
      </c>
      <c r="BN530" s="626"/>
      <c r="BO530" s="1893"/>
      <c r="BP530" s="1950"/>
      <c r="BQ530" s="626"/>
      <c r="BR530" s="626"/>
      <c r="BS530" s="626"/>
      <c r="BT530" s="1893"/>
      <c r="BU530" s="3406"/>
      <c r="BV530" s="626"/>
      <c r="BW530" s="626"/>
      <c r="BX530" s="626"/>
      <c r="BY530" s="1893"/>
      <c r="BZ530" s="1439"/>
      <c r="CA530" s="1439"/>
      <c r="CB530" s="1439"/>
      <c r="CC530" s="1439"/>
      <c r="CD530" s="1439"/>
      <c r="CE530" s="1439"/>
      <c r="CF530" s="1439"/>
      <c r="CG530" s="1439"/>
      <c r="CH530" s="626"/>
      <c r="CI530" s="626"/>
      <c r="CJ530" s="626"/>
      <c r="CK530" s="626"/>
      <c r="CL530" s="626"/>
      <c r="CM530" s="626"/>
      <c r="CN530" s="626"/>
      <c r="CO530" s="626"/>
      <c r="CP530" s="994"/>
      <c r="CQ530" s="626"/>
      <c r="CR530" s="626"/>
      <c r="CS530" s="626"/>
      <c r="CT530" s="626"/>
      <c r="CU530" s="626"/>
      <c r="CV530" s="626"/>
      <c r="CW530" s="626"/>
      <c r="CX530" s="626"/>
      <c r="CY530" s="626"/>
      <c r="CZ530" s="626"/>
      <c r="DA530" s="626"/>
      <c r="DB530" s="626"/>
      <c r="DC530" s="626"/>
      <c r="DD530" s="626"/>
      <c r="DE530" s="626"/>
      <c r="DF530" s="626"/>
      <c r="DG530" s="1893"/>
      <c r="DH530" s="632"/>
      <c r="DI530" s="595"/>
      <c r="DJ530" s="595"/>
      <c r="DK530" s="595"/>
      <c r="DL530" s="595"/>
      <c r="DM530" s="595"/>
      <c r="DN530" s="514"/>
      <c r="DO530" s="77"/>
      <c r="DY530" s="1634"/>
      <c r="DZ530" s="1634"/>
    </row>
    <row r="531" spans="1:130" ht="12" hidden="1" customHeight="1" outlineLevel="1">
      <c r="A531" s="567" t="s">
        <v>1153</v>
      </c>
      <c r="B531" s="228"/>
      <c r="C531" s="228"/>
      <c r="D531" s="625"/>
      <c r="E531" s="626"/>
      <c r="F531" s="626"/>
      <c r="G531" s="626"/>
      <c r="H531" s="788"/>
      <c r="I531" s="626"/>
      <c r="J531" s="626"/>
      <c r="K531" s="626"/>
      <c r="L531" s="626"/>
      <c r="M531" s="788"/>
      <c r="N531" s="626"/>
      <c r="O531" s="626"/>
      <c r="P531" s="626"/>
      <c r="Q531" s="626"/>
      <c r="R531" s="788"/>
      <c r="S531" s="626"/>
      <c r="T531" s="626"/>
      <c r="U531" s="626"/>
      <c r="V531" s="626"/>
      <c r="W531" s="788"/>
      <c r="X531" s="626"/>
      <c r="Y531" s="626"/>
      <c r="Z531" s="626"/>
      <c r="AA531" s="626"/>
      <c r="AB531" s="788"/>
      <c r="AC531" s="626"/>
      <c r="AD531" s="626"/>
      <c r="AE531" s="626"/>
      <c r="AF531" s="626"/>
      <c r="AG531" s="788"/>
      <c r="AH531" s="626"/>
      <c r="AI531" s="626"/>
      <c r="AJ531" s="626"/>
      <c r="AK531" s="626"/>
      <c r="AL531" s="788"/>
      <c r="AM531" s="626"/>
      <c r="AN531" s="261"/>
      <c r="AO531" s="626"/>
      <c r="AP531" s="330"/>
      <c r="AQ531" s="1439"/>
      <c r="AR531" s="769">
        <f t="shared" ref="AR531:BE531" si="1267">+AR530/AM530-1</f>
        <v>4.8308073331544854E-2</v>
      </c>
      <c r="AS531" s="769">
        <f t="shared" si="1267"/>
        <v>1.2488045526473757E-2</v>
      </c>
      <c r="AT531" s="769">
        <f t="shared" si="1267"/>
        <v>-6.4222664557072484E-2</v>
      </c>
      <c r="AU531" s="769">
        <f t="shared" si="1267"/>
        <v>-3.7796411215781589E-2</v>
      </c>
      <c r="AV531" s="1621">
        <f t="shared" si="1267"/>
        <v>-1.1231563272718681E-2</v>
      </c>
      <c r="AW531" s="769">
        <f t="shared" si="1267"/>
        <v>-6.7894116231522084E-2</v>
      </c>
      <c r="AX531" s="769">
        <f t="shared" si="1267"/>
        <v>-3.1994594255538189E-2</v>
      </c>
      <c r="AY531" s="769">
        <f t="shared" si="1267"/>
        <v>3.4519737347981527E-2</v>
      </c>
      <c r="AZ531" s="769">
        <f>+AZ530/AU530-1</f>
        <v>-7.3702494360065707E-2</v>
      </c>
      <c r="BA531" s="1621">
        <f>+BA530/AV530-1</f>
        <v>-3.4645549348454319E-2</v>
      </c>
      <c r="BB531" s="769">
        <f t="shared" si="1267"/>
        <v>-8.9770549649293874E-2</v>
      </c>
      <c r="BC531" s="769">
        <f t="shared" si="1267"/>
        <v>-6.5163537625095858E-2</v>
      </c>
      <c r="BD531" s="769">
        <f t="shared" si="1267"/>
        <v>-8.5427919880739167E-2</v>
      </c>
      <c r="BE531" s="769">
        <f t="shared" si="1267"/>
        <v>1.4627647105883046E-2</v>
      </c>
      <c r="BF531" s="1621">
        <f>BE531</f>
        <v>1.4627647105883046E-2</v>
      </c>
      <c r="BG531" s="2726">
        <f>+BG530/BB530-1</f>
        <v>1.5670700870511922E-2</v>
      </c>
      <c r="BH531" s="769">
        <f>+BH530/BC530-1</f>
        <v>5.4104596421003404E-2</v>
      </c>
      <c r="BI531" s="769">
        <f>+BI530/BD530-1</f>
        <v>8.6309251900422268E-2</v>
      </c>
      <c r="BJ531" s="2171">
        <f>+BJ530/BE530-1</f>
        <v>7.0980626528232227E-2</v>
      </c>
      <c r="BK531" s="1621">
        <f>BJ531</f>
        <v>7.0980626528232227E-2</v>
      </c>
      <c r="BL531" s="769">
        <f>+BL530/BG530-1</f>
        <v>0.1227855504227775</v>
      </c>
      <c r="BM531" s="769">
        <f>+BM530/BH530-1</f>
        <v>-2.8050021116634793E-2</v>
      </c>
      <c r="BN531" s="769"/>
      <c r="BO531" s="2171"/>
      <c r="BP531" s="1621"/>
      <c r="BQ531" s="769"/>
      <c r="BR531" s="769"/>
      <c r="BS531" s="769"/>
      <c r="BT531" s="2171"/>
      <c r="BU531" s="3371"/>
      <c r="BV531" s="769"/>
      <c r="BW531" s="769"/>
      <c r="BX531" s="769"/>
      <c r="BY531" s="2171"/>
      <c r="BZ531" s="1621"/>
      <c r="CA531" s="1621"/>
      <c r="CB531" s="1621"/>
      <c r="CC531" s="1621"/>
      <c r="CD531" s="1621"/>
      <c r="CE531" s="1621"/>
      <c r="CF531" s="1621"/>
      <c r="CG531" s="1621"/>
      <c r="CH531" s="626"/>
      <c r="CI531" s="626"/>
      <c r="CJ531" s="626"/>
      <c r="CK531" s="626"/>
      <c r="CL531" s="626"/>
      <c r="CM531" s="626"/>
      <c r="CN531" s="626"/>
      <c r="CO531" s="626"/>
      <c r="CP531" s="994"/>
      <c r="CQ531" s="626"/>
      <c r="CR531" s="626"/>
      <c r="CS531" s="626"/>
      <c r="CT531" s="626"/>
      <c r="CU531" s="626"/>
      <c r="CV531" s="626"/>
      <c r="CW531" s="626"/>
      <c r="CX531" s="626"/>
      <c r="CY531" s="626"/>
      <c r="CZ531" s="626"/>
      <c r="DA531" s="626"/>
      <c r="DB531" s="626"/>
      <c r="DC531" s="626"/>
      <c r="DD531" s="626"/>
      <c r="DE531" s="626"/>
      <c r="DF531" s="626"/>
      <c r="DG531" s="1893"/>
      <c r="DH531" s="632"/>
      <c r="DI531" s="595"/>
      <c r="DJ531" s="595"/>
      <c r="DK531" s="595"/>
      <c r="DL531" s="595"/>
      <c r="DM531" s="595"/>
      <c r="DN531" s="514"/>
      <c r="DO531" s="77"/>
      <c r="DY531" s="573"/>
      <c r="DZ531" s="573"/>
    </row>
    <row r="532" spans="1:130" ht="12" hidden="1" customHeight="1" outlineLevel="1">
      <c r="A532" s="567"/>
      <c r="B532" s="228"/>
      <c r="C532" s="228"/>
      <c r="D532" s="625"/>
      <c r="E532" s="626"/>
      <c r="F532" s="626"/>
      <c r="G532" s="626"/>
      <c r="H532" s="788"/>
      <c r="I532" s="626"/>
      <c r="J532" s="626"/>
      <c r="K532" s="626"/>
      <c r="L532" s="626"/>
      <c r="M532" s="788"/>
      <c r="N532" s="626"/>
      <c r="O532" s="626"/>
      <c r="P532" s="626"/>
      <c r="Q532" s="626"/>
      <c r="R532" s="788"/>
      <c r="S532" s="626"/>
      <c r="T532" s="626"/>
      <c r="U532" s="626"/>
      <c r="V532" s="626"/>
      <c r="W532" s="788"/>
      <c r="X532" s="626"/>
      <c r="Y532" s="626"/>
      <c r="Z532" s="626"/>
      <c r="AA532" s="626"/>
      <c r="AB532" s="788"/>
      <c r="AC532" s="626"/>
      <c r="AD532" s="626"/>
      <c r="AE532" s="626"/>
      <c r="AF532" s="626"/>
      <c r="AG532" s="788"/>
      <c r="AH532" s="626"/>
      <c r="AI532" s="626"/>
      <c r="AJ532" s="626"/>
      <c r="AK532" s="626"/>
      <c r="AL532" s="788"/>
      <c r="AM532" s="626"/>
      <c r="AN532" s="261"/>
      <c r="AO532" s="626"/>
      <c r="AP532" s="330"/>
      <c r="AQ532" s="1439"/>
      <c r="AR532" s="330"/>
      <c r="AS532" s="330"/>
      <c r="AT532" s="330"/>
      <c r="AU532" s="626"/>
      <c r="AV532" s="1951"/>
      <c r="AW532" s="626"/>
      <c r="AX532" s="261"/>
      <c r="AY532" s="626"/>
      <c r="AZ532" s="626"/>
      <c r="BA532" s="1439"/>
      <c r="BB532" s="626"/>
      <c r="BC532" s="261"/>
      <c r="BD532" s="626"/>
      <c r="BE532" s="626"/>
      <c r="BF532" s="1439"/>
      <c r="BG532" s="678"/>
      <c r="BH532" s="330"/>
      <c r="BI532" s="330"/>
      <c r="BJ532" s="2136"/>
      <c r="BK532" s="1439"/>
      <c r="BL532" s="330"/>
      <c r="BM532" s="330"/>
      <c r="BN532" s="330"/>
      <c r="BO532" s="2136"/>
      <c r="BP532" s="1439"/>
      <c r="BQ532" s="330"/>
      <c r="BR532" s="330"/>
      <c r="BS532" s="330"/>
      <c r="BT532" s="2136"/>
      <c r="BU532" s="3406"/>
      <c r="BV532" s="330"/>
      <c r="BW532" s="330"/>
      <c r="BX532" s="330"/>
      <c r="BY532" s="2136"/>
      <c r="BZ532" s="1439"/>
      <c r="CA532" s="1439"/>
      <c r="CB532" s="1439"/>
      <c r="CC532" s="1439"/>
      <c r="CD532" s="1439"/>
      <c r="CE532" s="1439"/>
      <c r="CF532" s="1439"/>
      <c r="CG532" s="1439"/>
      <c r="CH532" s="626"/>
      <c r="CI532" s="626"/>
      <c r="CJ532" s="626"/>
      <c r="CK532" s="626"/>
      <c r="CL532" s="626"/>
      <c r="CM532" s="626"/>
      <c r="CN532" s="626"/>
      <c r="CO532" s="626"/>
      <c r="CP532" s="994"/>
      <c r="CQ532" s="626"/>
      <c r="CR532" s="626"/>
      <c r="CS532" s="626"/>
      <c r="CT532" s="626"/>
      <c r="CU532" s="626"/>
      <c r="CV532" s="626"/>
      <c r="CW532" s="626"/>
      <c r="CX532" s="626"/>
      <c r="CY532" s="626"/>
      <c r="CZ532" s="626"/>
      <c r="DA532" s="626"/>
      <c r="DB532" s="626"/>
      <c r="DC532" s="626"/>
      <c r="DD532" s="626"/>
      <c r="DE532" s="626"/>
      <c r="DF532" s="626"/>
      <c r="DG532" s="1893"/>
      <c r="DH532" s="632"/>
      <c r="DI532" s="595"/>
      <c r="DJ532" s="595"/>
      <c r="DK532" s="595"/>
      <c r="DL532" s="595"/>
      <c r="DM532" s="595"/>
      <c r="DN532" s="514"/>
      <c r="DO532" s="77"/>
      <c r="DY532" s="330"/>
      <c r="DZ532" s="330"/>
    </row>
    <row r="533" spans="1:130" ht="12" hidden="1" customHeight="1" outlineLevel="1">
      <c r="A533" s="552" t="s">
        <v>1350</v>
      </c>
      <c r="B533" s="228"/>
      <c r="C533" s="228"/>
      <c r="D533" s="625"/>
      <c r="E533" s="626"/>
      <c r="F533" s="626"/>
      <c r="G533" s="626"/>
      <c r="H533" s="788"/>
      <c r="I533" s="626"/>
      <c r="J533" s="626"/>
      <c r="K533" s="626"/>
      <c r="L533" s="626"/>
      <c r="M533" s="788"/>
      <c r="N533" s="626"/>
      <c r="O533" s="626"/>
      <c r="P533" s="626"/>
      <c r="Q533" s="626"/>
      <c r="R533" s="788"/>
      <c r="S533" s="626"/>
      <c r="T533" s="626"/>
      <c r="U533" s="626"/>
      <c r="V533" s="626"/>
      <c r="W533" s="788"/>
      <c r="X533" s="626"/>
      <c r="Y533" s="626"/>
      <c r="Z533" s="626"/>
      <c r="AA533" s="626"/>
      <c r="AB533" s="788"/>
      <c r="AC533" s="626"/>
      <c r="AD533" s="626"/>
      <c r="AE533" s="626"/>
      <c r="AF533" s="626"/>
      <c r="AG533" s="788"/>
      <c r="AH533" s="626"/>
      <c r="AI533" s="626"/>
      <c r="AJ533" s="626"/>
      <c r="AK533" s="626"/>
      <c r="AL533" s="788"/>
      <c r="AM533" s="330">
        <v>253.904</v>
      </c>
      <c r="AN533" s="330">
        <v>275.8</v>
      </c>
      <c r="AO533" s="330">
        <v>304.608</v>
      </c>
      <c r="AP533" s="330">
        <v>281.64299999999997</v>
      </c>
      <c r="AQ533" s="1950">
        <f>+SUM(AM533:AP533)</f>
        <v>1115.9549999999999</v>
      </c>
      <c r="AR533" s="330">
        <v>278.49599999999998</v>
      </c>
      <c r="AS533" s="330">
        <v>285.90699999999998</v>
      </c>
      <c r="AT533" s="330">
        <v>281.65600000000001</v>
      </c>
      <c r="AU533" s="330">
        <v>263.66800000000001</v>
      </c>
      <c r="AV533" s="1950">
        <f>+SUM(AR533:AU533)</f>
        <v>1109.7269999999999</v>
      </c>
      <c r="AW533" s="330">
        <v>266.779</v>
      </c>
      <c r="AX533" s="330">
        <v>281.71199999999999</v>
      </c>
      <c r="AY533" s="330">
        <v>292.89600000000002</v>
      </c>
      <c r="AZ533" s="330">
        <v>259.22800000000001</v>
      </c>
      <c r="BA533" s="1950">
        <f>+SUM(AW533:AZ533)</f>
        <v>1100.615</v>
      </c>
      <c r="BB533" s="330">
        <v>238.364</v>
      </c>
      <c r="BC533" s="2740">
        <v>263.00700000000001</v>
      </c>
      <c r="BD533" s="2740">
        <v>264.29500000000002</v>
      </c>
      <c r="BE533" s="2740">
        <v>237.77199999999999</v>
      </c>
      <c r="BF533" s="1950">
        <f>+SUM(BB533:BE533)</f>
        <v>1003.4379999999999</v>
      </c>
      <c r="BG533" s="3118">
        <v>228.46700000000001</v>
      </c>
      <c r="BH533" s="3117">
        <v>253.44399999999999</v>
      </c>
      <c r="BI533" s="3117">
        <v>271.16399999999999</v>
      </c>
      <c r="BJ533" s="3117">
        <v>234.34200000000001</v>
      </c>
      <c r="BK533" s="1950">
        <f>+SUM(BG533:BJ533)</f>
        <v>987.41700000000003</v>
      </c>
      <c r="BL533" s="3117">
        <v>234.8</v>
      </c>
      <c r="BM533" s="3117">
        <v>237.619</v>
      </c>
      <c r="BN533" s="3117"/>
      <c r="BO533" s="1893"/>
      <c r="BP533" s="1950"/>
      <c r="BQ533" s="626"/>
      <c r="BR533" s="626"/>
      <c r="BS533" s="626"/>
      <c r="BT533" s="1893"/>
      <c r="BU533" s="3406"/>
      <c r="BV533" s="626"/>
      <c r="BW533" s="626"/>
      <c r="BX533" s="626"/>
      <c r="BY533" s="1893"/>
      <c r="BZ533" s="1950"/>
      <c r="CA533" s="1950"/>
      <c r="CB533" s="1950"/>
      <c r="CC533" s="1950"/>
      <c r="CD533" s="1950"/>
      <c r="CE533" s="1950"/>
      <c r="CF533" s="1950"/>
      <c r="CG533" s="1950"/>
      <c r="CH533" s="626"/>
      <c r="CI533" s="626"/>
      <c r="CJ533" s="626"/>
      <c r="CK533" s="626"/>
      <c r="CL533" s="626"/>
      <c r="CM533" s="626"/>
      <c r="CN533" s="626"/>
      <c r="CO533" s="626"/>
      <c r="CP533" s="994"/>
      <c r="CQ533" s="626"/>
      <c r="CR533" s="626"/>
      <c r="CS533" s="626"/>
      <c r="CT533" s="626"/>
      <c r="CU533" s="626"/>
      <c r="CV533" s="626"/>
      <c r="CW533" s="626"/>
      <c r="CX533" s="626"/>
      <c r="CY533" s="626"/>
      <c r="CZ533" s="626"/>
      <c r="DA533" s="626"/>
      <c r="DB533" s="626"/>
      <c r="DC533" s="626"/>
      <c r="DD533" s="626"/>
      <c r="DE533" s="626"/>
      <c r="DF533" s="626"/>
      <c r="DG533" s="1893"/>
      <c r="DH533" s="632"/>
      <c r="DI533" s="595"/>
      <c r="DJ533" s="595"/>
      <c r="DK533" s="595"/>
      <c r="DL533" s="595"/>
      <c r="DM533" s="595"/>
      <c r="DN533" s="514"/>
      <c r="DO533" s="77"/>
      <c r="DY533" s="1634"/>
      <c r="DZ533" s="1634"/>
    </row>
    <row r="534" spans="1:130" ht="12" hidden="1" customHeight="1" outlineLevel="1">
      <c r="A534" s="567" t="s">
        <v>1153</v>
      </c>
      <c r="B534" s="228"/>
      <c r="C534" s="228"/>
      <c r="D534" s="625"/>
      <c r="E534" s="626"/>
      <c r="F534" s="626"/>
      <c r="G534" s="626"/>
      <c r="H534" s="788"/>
      <c r="I534" s="626"/>
      <c r="J534" s="626"/>
      <c r="K534" s="626"/>
      <c r="L534" s="626"/>
      <c r="M534" s="788"/>
      <c r="N534" s="626"/>
      <c r="O534" s="626"/>
      <c r="P534" s="626"/>
      <c r="Q534" s="626"/>
      <c r="R534" s="788"/>
      <c r="S534" s="626"/>
      <c r="T534" s="626"/>
      <c r="U534" s="626"/>
      <c r="V534" s="626"/>
      <c r="W534" s="788"/>
      <c r="X534" s="626"/>
      <c r="Y534" s="626"/>
      <c r="Z534" s="626"/>
      <c r="AA534" s="626"/>
      <c r="AB534" s="788"/>
      <c r="AC534" s="626"/>
      <c r="AD534" s="626"/>
      <c r="AE534" s="626"/>
      <c r="AF534" s="626"/>
      <c r="AG534" s="788"/>
      <c r="AH534" s="626"/>
      <c r="AI534" s="626"/>
      <c r="AJ534" s="626"/>
      <c r="AK534" s="626"/>
      <c r="AL534" s="788"/>
      <c r="AM534" s="330"/>
      <c r="AN534" s="330"/>
      <c r="AO534" s="330"/>
      <c r="AP534" s="330"/>
      <c r="AQ534" s="1950"/>
      <c r="AR534" s="573">
        <f t="shared" ref="AR534:AX534" si="1268">+AR533/AM533-1</f>
        <v>9.685550444262403E-2</v>
      </c>
      <c r="AS534" s="573">
        <f t="shared" si="1268"/>
        <v>3.6646120377084701E-2</v>
      </c>
      <c r="AT534" s="573">
        <f t="shared" si="1268"/>
        <v>-7.5349301397205637E-2</v>
      </c>
      <c r="AU534" s="573">
        <f t="shared" si="1268"/>
        <v>-6.3821930600085786E-2</v>
      </c>
      <c r="AV534" s="1621">
        <f t="shared" si="1268"/>
        <v>-5.5808701963789842E-3</v>
      </c>
      <c r="AW534" s="261">
        <f t="shared" si="1268"/>
        <v>-4.2072417557164177E-2</v>
      </c>
      <c r="AX534" s="261">
        <f t="shared" si="1268"/>
        <v>-1.4672603329054512E-2</v>
      </c>
      <c r="AY534" s="261">
        <f t="shared" ref="AY534:BM534" si="1269">+AY533/AT533-1</f>
        <v>3.9906836708609061E-2</v>
      </c>
      <c r="AZ534" s="261">
        <f t="shared" si="1269"/>
        <v>-1.6839358587314335E-2</v>
      </c>
      <c r="BA534" s="1621">
        <f t="shared" si="1269"/>
        <v>-8.2110284781751197E-3</v>
      </c>
      <c r="BB534" s="261">
        <f t="shared" si="1269"/>
        <v>-0.10651138208029864</v>
      </c>
      <c r="BC534" s="261">
        <f t="shared" si="1269"/>
        <v>-6.6397597546430376E-2</v>
      </c>
      <c r="BD534" s="261">
        <f t="shared" si="1269"/>
        <v>-9.7648994865071503E-2</v>
      </c>
      <c r="BE534" s="261">
        <f t="shared" si="1269"/>
        <v>-8.2768836699739334E-2</v>
      </c>
      <c r="BF534" s="1621">
        <f>+BF533/BA533-1</f>
        <v>-8.8293363255997903E-2</v>
      </c>
      <c r="BG534" s="261">
        <f t="shared" si="1269"/>
        <v>-4.1520531623902901E-2</v>
      </c>
      <c r="BH534" s="860">
        <f t="shared" si="1269"/>
        <v>-3.6360248966757602E-2</v>
      </c>
      <c r="BI534" s="860">
        <f t="shared" si="1269"/>
        <v>2.5989897652244576E-2</v>
      </c>
      <c r="BJ534" s="860">
        <f t="shared" si="1269"/>
        <v>-1.4425584173073269E-2</v>
      </c>
      <c r="BK534" s="1621">
        <f>+BK533/BF533-1</f>
        <v>-1.5966108518911781E-2</v>
      </c>
      <c r="BL534" s="860">
        <f t="shared" si="1269"/>
        <v>2.7719539364547074E-2</v>
      </c>
      <c r="BM534" s="860">
        <f t="shared" si="1269"/>
        <v>-6.2439828916841522E-2</v>
      </c>
      <c r="BN534" s="860"/>
      <c r="BO534" s="3055"/>
      <c r="BP534" s="1621"/>
      <c r="BQ534" s="3054"/>
      <c r="BR534" s="3054"/>
      <c r="BS534" s="3054"/>
      <c r="BT534" s="3055"/>
      <c r="BU534" s="3371"/>
      <c r="BV534" s="3054"/>
      <c r="BW534" s="3054"/>
      <c r="BX534" s="3054"/>
      <c r="BY534" s="3055"/>
      <c r="BZ534" s="2279"/>
      <c r="CA534" s="2279"/>
      <c r="CB534" s="2279"/>
      <c r="CC534" s="2279"/>
      <c r="CD534" s="2279"/>
      <c r="CE534" s="2279"/>
      <c r="CF534" s="2279"/>
      <c r="CG534" s="2279"/>
      <c r="CH534" s="626"/>
      <c r="CI534" s="626"/>
      <c r="CJ534" s="626"/>
      <c r="CK534" s="626"/>
      <c r="CL534" s="626"/>
      <c r="CM534" s="626"/>
      <c r="CN534" s="626"/>
      <c r="CO534" s="626"/>
      <c r="CP534" s="994"/>
      <c r="CQ534" s="626"/>
      <c r="CR534" s="626"/>
      <c r="CS534" s="626"/>
      <c r="CT534" s="626"/>
      <c r="CU534" s="626"/>
      <c r="CV534" s="626"/>
      <c r="CW534" s="626"/>
      <c r="CX534" s="626"/>
      <c r="CY534" s="626"/>
      <c r="CZ534" s="626"/>
      <c r="DA534" s="626"/>
      <c r="DB534" s="626"/>
      <c r="DC534" s="626"/>
      <c r="DD534" s="626"/>
      <c r="DE534" s="626"/>
      <c r="DF534" s="626"/>
      <c r="DG534" s="1893"/>
      <c r="DH534" s="632"/>
      <c r="DI534" s="595"/>
      <c r="DJ534" s="595"/>
      <c r="DK534" s="595"/>
      <c r="DL534" s="595"/>
      <c r="DM534" s="595"/>
      <c r="DN534" s="514"/>
      <c r="DO534" s="77"/>
      <c r="DY534" s="573"/>
      <c r="DZ534" s="573"/>
    </row>
    <row r="535" spans="1:130" ht="12" hidden="1" customHeight="1" outlineLevel="1">
      <c r="A535" s="552" t="s">
        <v>1150</v>
      </c>
      <c r="B535" s="228"/>
      <c r="C535" s="228"/>
      <c r="D535" s="625"/>
      <c r="E535" s="626"/>
      <c r="F535" s="626"/>
      <c r="G535" s="626"/>
      <c r="H535" s="788"/>
      <c r="I535" s="626"/>
      <c r="J535" s="626"/>
      <c r="K535" s="626"/>
      <c r="L535" s="626"/>
      <c r="M535" s="788"/>
      <c r="N535" s="626"/>
      <c r="O535" s="626"/>
      <c r="P535" s="626"/>
      <c r="Q535" s="626"/>
      <c r="R535" s="788"/>
      <c r="S535" s="626"/>
      <c r="T535" s="626"/>
      <c r="U535" s="626"/>
      <c r="V535" s="626"/>
      <c r="W535" s="788"/>
      <c r="X535" s="626"/>
      <c r="Y535" s="626"/>
      <c r="Z535" s="626"/>
      <c r="AA535" s="626"/>
      <c r="AB535" s="788"/>
      <c r="AC535" s="626"/>
      <c r="AD535" s="626"/>
      <c r="AE535" s="626"/>
      <c r="AF535" s="626"/>
      <c r="AG535" s="788"/>
      <c r="AH535" s="626"/>
      <c r="AI535" s="626"/>
      <c r="AJ535" s="626"/>
      <c r="AK535" s="626"/>
      <c r="AL535" s="788"/>
      <c r="AM535" s="626">
        <f t="shared" ref="AM535:BL535" si="1270">+AM537*1000/AM533</f>
        <v>65.016293559770631</v>
      </c>
      <c r="AN535" s="626">
        <f t="shared" si="1270"/>
        <v>63.007131979695423</v>
      </c>
      <c r="AO535" s="626">
        <f t="shared" si="1270"/>
        <v>59.20850732745037</v>
      </c>
      <c r="AP535" s="626">
        <f t="shared" si="1270"/>
        <v>59.485273910588944</v>
      </c>
      <c r="AQ535" s="1950">
        <f t="shared" si="1270"/>
        <v>61.538556662231017</v>
      </c>
      <c r="AR535" s="626">
        <f t="shared" si="1270"/>
        <v>63.114393025393547</v>
      </c>
      <c r="AS535" s="626">
        <f t="shared" si="1270"/>
        <v>61.874780960242312</v>
      </c>
      <c r="AT535" s="626">
        <f t="shared" si="1270"/>
        <v>60.302645780668612</v>
      </c>
      <c r="AU535" s="626">
        <f t="shared" si="1270"/>
        <v>61.472435031934104</v>
      </c>
      <c r="AV535" s="1950">
        <f t="shared" si="1270"/>
        <v>61.691258300464895</v>
      </c>
      <c r="AW535" s="626">
        <f t="shared" si="1270"/>
        <v>60.738225272603906</v>
      </c>
      <c r="AX535" s="626">
        <f t="shared" si="1270"/>
        <v>60.842037257908792</v>
      </c>
      <c r="AY535" s="626">
        <f t="shared" si="1270"/>
        <v>59.99025592701846</v>
      </c>
      <c r="AZ535" s="626">
        <f t="shared" si="1270"/>
        <v>58.126514111129971</v>
      </c>
      <c r="BA535" s="1950">
        <f t="shared" si="1270"/>
        <v>59.950610340582308</v>
      </c>
      <c r="BB535" s="626">
        <f>+BB537*1000/BB533</f>
        <v>62.15597573459079</v>
      </c>
      <c r="BC535" s="626">
        <f t="shared" si="1270"/>
        <v>61.308045033021941</v>
      </c>
      <c r="BD535" s="626">
        <f>+BD537*1000/BD533</f>
        <v>61.572394483437066</v>
      </c>
      <c r="BE535" s="626">
        <f t="shared" si="1270"/>
        <v>64.993817606782969</v>
      </c>
      <c r="BF535" s="1950">
        <f t="shared" si="1270"/>
        <v>62.45246642044652</v>
      </c>
      <c r="BG535" s="625">
        <f t="shared" si="1270"/>
        <v>66.33901613799803</v>
      </c>
      <c r="BH535" s="626">
        <f t="shared" si="1270"/>
        <v>67.184048547213592</v>
      </c>
      <c r="BI535" s="626">
        <f t="shared" si="1270"/>
        <v>65.017697776991056</v>
      </c>
      <c r="BJ535" s="1893">
        <f t="shared" si="1270"/>
        <v>69.996475237046695</v>
      </c>
      <c r="BK535" s="1950">
        <f t="shared" si="1270"/>
        <v>67.061072474952326</v>
      </c>
      <c r="BL535" s="626">
        <f t="shared" si="1270"/>
        <v>72.625907155025544</v>
      </c>
      <c r="BM535" s="626">
        <f t="shared" ref="BM535" si="1271">+BM537*1000/BM533</f>
        <v>69.33604215151145</v>
      </c>
      <c r="BN535" s="626"/>
      <c r="BO535" s="1893"/>
      <c r="BP535" s="1950"/>
      <c r="BQ535" s="626"/>
      <c r="BR535" s="626"/>
      <c r="BS535" s="626"/>
      <c r="BT535" s="1893"/>
      <c r="BU535" s="3406"/>
      <c r="BV535" s="626"/>
      <c r="BW535" s="626"/>
      <c r="BX535" s="626"/>
      <c r="BY535" s="1893"/>
      <c r="BZ535" s="1950"/>
      <c r="CA535" s="1950"/>
      <c r="CB535" s="1950"/>
      <c r="CC535" s="1950"/>
      <c r="CD535" s="1950"/>
      <c r="CE535" s="1950"/>
      <c r="CF535" s="1950"/>
      <c r="CG535" s="1950"/>
      <c r="CH535" s="626"/>
      <c r="CI535" s="626"/>
      <c r="CJ535" s="626"/>
      <c r="CK535" s="626"/>
      <c r="CL535" s="626"/>
      <c r="CM535" s="626"/>
      <c r="CN535" s="626"/>
      <c r="CO535" s="626"/>
      <c r="CP535" s="994"/>
      <c r="CQ535" s="626"/>
      <c r="CR535" s="626"/>
      <c r="CS535" s="626"/>
      <c r="CT535" s="626"/>
      <c r="CU535" s="626"/>
      <c r="CV535" s="626"/>
      <c r="CW535" s="626"/>
      <c r="CX535" s="626"/>
      <c r="CY535" s="626"/>
      <c r="CZ535" s="626"/>
      <c r="DA535" s="626"/>
      <c r="DB535" s="626"/>
      <c r="DC535" s="626"/>
      <c r="DD535" s="626"/>
      <c r="DE535" s="626"/>
      <c r="DF535" s="626"/>
      <c r="DG535" s="1893"/>
      <c r="DH535" s="632"/>
      <c r="DI535" s="595"/>
      <c r="DJ535" s="595"/>
      <c r="DK535" s="595"/>
      <c r="DL535" s="595"/>
      <c r="DM535" s="595"/>
      <c r="DN535" s="514"/>
      <c r="DO535" s="77"/>
      <c r="DY535" s="1634"/>
      <c r="DZ535" s="1634"/>
    </row>
    <row r="536" spans="1:130" ht="12" hidden="1" customHeight="1" outlineLevel="1">
      <c r="A536" s="552"/>
      <c r="B536" s="228"/>
      <c r="C536" s="228"/>
      <c r="D536" s="625"/>
      <c r="E536" s="626"/>
      <c r="F536" s="626"/>
      <c r="G536" s="626"/>
      <c r="H536" s="788"/>
      <c r="I536" s="626"/>
      <c r="J536" s="626"/>
      <c r="K536" s="626"/>
      <c r="L536" s="626"/>
      <c r="M536" s="788"/>
      <c r="N536" s="626"/>
      <c r="O536" s="626"/>
      <c r="P536" s="626"/>
      <c r="Q536" s="626"/>
      <c r="R536" s="788"/>
      <c r="S536" s="626"/>
      <c r="T536" s="626"/>
      <c r="U536" s="626"/>
      <c r="V536" s="626"/>
      <c r="W536" s="788"/>
      <c r="X536" s="626"/>
      <c r="Y536" s="626"/>
      <c r="Z536" s="626"/>
      <c r="AA536" s="626"/>
      <c r="AB536" s="788"/>
      <c r="AC536" s="626"/>
      <c r="AD536" s="626"/>
      <c r="AE536" s="626"/>
      <c r="AF536" s="626"/>
      <c r="AG536" s="788"/>
      <c r="AH536" s="626"/>
      <c r="AI536" s="626"/>
      <c r="AJ536" s="626"/>
      <c r="AK536" s="626"/>
      <c r="AL536" s="788"/>
      <c r="AM536" s="626"/>
      <c r="AN536" s="261"/>
      <c r="AO536" s="626"/>
      <c r="AP536" s="330"/>
      <c r="AQ536" s="1439"/>
      <c r="AR536" s="330"/>
      <c r="AS536" s="330"/>
      <c r="AT536" s="330"/>
      <c r="AU536" s="626"/>
      <c r="AV536" s="1951"/>
      <c r="AW536" s="626"/>
      <c r="AX536" s="261"/>
      <c r="AY536" s="626"/>
      <c r="AZ536" s="626"/>
      <c r="BA536" s="1439"/>
      <c r="BB536" s="626"/>
      <c r="BC536" s="261"/>
      <c r="BD536" s="626"/>
      <c r="BE536" s="626"/>
      <c r="BF536" s="1439"/>
      <c r="BG536" s="678"/>
      <c r="BH536" s="330"/>
      <c r="BI536" s="330"/>
      <c r="BJ536" s="2136"/>
      <c r="BK536" s="1439"/>
      <c r="BL536" s="330"/>
      <c r="BM536" s="330"/>
      <c r="BN536" s="330"/>
      <c r="BO536" s="2136"/>
      <c r="BP536" s="1439"/>
      <c r="BQ536" s="330"/>
      <c r="BR536" s="330"/>
      <c r="BS536" s="330"/>
      <c r="BT536" s="2136"/>
      <c r="BU536" s="3406"/>
      <c r="BV536" s="330"/>
      <c r="BW536" s="330"/>
      <c r="BX536" s="330"/>
      <c r="BY536" s="2136"/>
      <c r="BZ536" s="1439"/>
      <c r="CA536" s="1439"/>
      <c r="CB536" s="1439"/>
      <c r="CC536" s="1439"/>
      <c r="CD536" s="1439"/>
      <c r="CE536" s="1439"/>
      <c r="CF536" s="1439"/>
      <c r="CG536" s="1439"/>
      <c r="CH536" s="626"/>
      <c r="CI536" s="626"/>
      <c r="CJ536" s="626"/>
      <c r="CK536" s="626"/>
      <c r="CL536" s="626"/>
      <c r="CM536" s="626"/>
      <c r="CN536" s="626"/>
      <c r="CO536" s="626"/>
      <c r="CP536" s="994"/>
      <c r="CQ536" s="626"/>
      <c r="CR536" s="626"/>
      <c r="CS536" s="626"/>
      <c r="CT536" s="626"/>
      <c r="CU536" s="626"/>
      <c r="CV536" s="626"/>
      <c r="CW536" s="626"/>
      <c r="CX536" s="626"/>
      <c r="CY536" s="626"/>
      <c r="CZ536" s="626"/>
      <c r="DA536" s="626"/>
      <c r="DB536" s="626"/>
      <c r="DC536" s="626"/>
      <c r="DD536" s="626"/>
      <c r="DE536" s="626"/>
      <c r="DF536" s="626"/>
      <c r="DG536" s="1893"/>
      <c r="DH536" s="632"/>
      <c r="DI536" s="595"/>
      <c r="DJ536" s="595"/>
      <c r="DK536" s="595"/>
      <c r="DL536" s="595"/>
      <c r="DM536" s="595"/>
      <c r="DN536" s="514"/>
      <c r="DO536" s="77"/>
      <c r="DY536" s="330"/>
      <c r="DZ536" s="330"/>
    </row>
    <row r="537" spans="1:130" ht="12" hidden="1" customHeight="1" outlineLevel="1">
      <c r="A537" s="552" t="s">
        <v>1661</v>
      </c>
      <c r="B537" s="228"/>
      <c r="C537" s="228"/>
      <c r="D537" s="625"/>
      <c r="E537" s="626"/>
      <c r="F537" s="626"/>
      <c r="G537" s="626"/>
      <c r="H537" s="788"/>
      <c r="I537" s="626"/>
      <c r="J537" s="626"/>
      <c r="K537" s="626"/>
      <c r="L537" s="626"/>
      <c r="M537" s="788"/>
      <c r="N537" s="626"/>
      <c r="O537" s="626"/>
      <c r="P537" s="626"/>
      <c r="Q537" s="626"/>
      <c r="R537" s="788"/>
      <c r="S537" s="626"/>
      <c r="T537" s="626"/>
      <c r="U537" s="626"/>
      <c r="V537" s="626"/>
      <c r="W537" s="788"/>
      <c r="X537" s="626"/>
      <c r="Y537" s="626"/>
      <c r="Z537" s="626"/>
      <c r="AA537" s="626"/>
      <c r="AB537" s="788"/>
      <c r="AC537" s="626"/>
      <c r="AD537" s="626"/>
      <c r="AE537" s="626"/>
      <c r="AF537" s="626"/>
      <c r="AG537" s="788"/>
      <c r="AH537" s="626"/>
      <c r="AI537" s="626"/>
      <c r="AJ537" s="626"/>
      <c r="AK537" s="626"/>
      <c r="AL537" s="788"/>
      <c r="AM537" s="330">
        <v>16.507897</v>
      </c>
      <c r="AN537" s="330">
        <v>17.377367</v>
      </c>
      <c r="AO537" s="330">
        <v>18.035385000000002</v>
      </c>
      <c r="AP537" s="330">
        <v>16.753610999999999</v>
      </c>
      <c r="AQ537" s="1950">
        <f>+SUM(AM537:AP537)</f>
        <v>68.674260000000004</v>
      </c>
      <c r="AR537" s="330">
        <v>17.577106000000001</v>
      </c>
      <c r="AS537" s="330">
        <v>17.690432999999999</v>
      </c>
      <c r="AT537" s="330">
        <v>16.984601999999999</v>
      </c>
      <c r="AU537" s="330">
        <v>16.208314000000001</v>
      </c>
      <c r="AV537" s="1950">
        <f>+SUM(AR537:AU537)</f>
        <v>68.460454999999996</v>
      </c>
      <c r="AW537" s="330">
        <v>16.203682999999998</v>
      </c>
      <c r="AX537" s="330">
        <v>17.139932000000002</v>
      </c>
      <c r="AY537" s="330">
        <v>17.570906000000001</v>
      </c>
      <c r="AZ537" s="330">
        <v>15.068020000000001</v>
      </c>
      <c r="BA537" s="1950">
        <f>+SUM(AW537:AZ537)</f>
        <v>65.982540999999998</v>
      </c>
      <c r="BB537" s="330">
        <v>14.815747</v>
      </c>
      <c r="BC537" s="2740">
        <v>16.124445000000001</v>
      </c>
      <c r="BD537" s="2740">
        <v>16.273275999999999</v>
      </c>
      <c r="BE537" s="2740">
        <v>15.453710000000001</v>
      </c>
      <c r="BF537" s="1950">
        <f>+SUM(BB537:BE537)</f>
        <v>62.667178000000007</v>
      </c>
      <c r="BG537" s="3118">
        <v>15.156275999999998</v>
      </c>
      <c r="BH537" s="3117">
        <v>17.027394000000001</v>
      </c>
      <c r="BI537" s="3117">
        <v>17.630459000000002</v>
      </c>
      <c r="BJ537" s="3117">
        <v>16.403113999999999</v>
      </c>
      <c r="BK537" s="1950">
        <f>+SUM(BG537:BJ537)</f>
        <v>66.217242999999996</v>
      </c>
      <c r="BL537" s="3117">
        <v>17.052562999999999</v>
      </c>
      <c r="BM537" s="3117">
        <v>16.475560999999999</v>
      </c>
      <c r="BN537" s="3117"/>
      <c r="BO537" s="1893"/>
      <c r="BP537" s="1950"/>
      <c r="BQ537" s="626"/>
      <c r="BR537" s="626"/>
      <c r="BS537" s="626"/>
      <c r="BT537" s="1893"/>
      <c r="BU537" s="3406"/>
      <c r="BV537" s="626"/>
      <c r="BW537" s="626"/>
      <c r="BX537" s="626"/>
      <c r="BY537" s="1893"/>
      <c r="BZ537" s="1950"/>
      <c r="CA537" s="1950"/>
      <c r="CB537" s="1950"/>
      <c r="CC537" s="1950"/>
      <c r="CD537" s="1950"/>
      <c r="CE537" s="1950"/>
      <c r="CF537" s="1950"/>
      <c r="CG537" s="1950"/>
      <c r="CH537" s="626"/>
      <c r="CI537" s="626"/>
      <c r="CJ537" s="626"/>
      <c r="CK537" s="626"/>
      <c r="CL537" s="626"/>
      <c r="CM537" s="626"/>
      <c r="CN537" s="626"/>
      <c r="CO537" s="626"/>
      <c r="CP537" s="994"/>
      <c r="CQ537" s="626"/>
      <c r="CR537" s="626"/>
      <c r="CS537" s="626"/>
      <c r="CT537" s="626"/>
      <c r="CU537" s="626"/>
      <c r="CV537" s="626"/>
      <c r="CW537" s="626"/>
      <c r="CX537" s="626"/>
      <c r="CY537" s="626"/>
      <c r="CZ537" s="626"/>
      <c r="DA537" s="626"/>
      <c r="DB537" s="626"/>
      <c r="DC537" s="626"/>
      <c r="DD537" s="626"/>
      <c r="DE537" s="626"/>
      <c r="DF537" s="626"/>
      <c r="DG537" s="1893"/>
      <c r="DH537" s="632"/>
      <c r="DI537" s="595"/>
      <c r="DJ537" s="595"/>
      <c r="DK537" s="595"/>
      <c r="DL537" s="595"/>
      <c r="DM537" s="595"/>
      <c r="DN537" s="514"/>
      <c r="DO537" s="77"/>
      <c r="DY537" s="1634"/>
      <c r="DZ537" s="1634"/>
    </row>
    <row r="538" spans="1:130" ht="12" hidden="1" customHeight="1" outlineLevel="1">
      <c r="A538" s="552" t="s">
        <v>1662</v>
      </c>
      <c r="B538" s="228"/>
      <c r="C538" s="228"/>
      <c r="D538" s="625"/>
      <c r="E538" s="626"/>
      <c r="F538" s="626"/>
      <c r="G538" s="626"/>
      <c r="H538" s="788"/>
      <c r="I538" s="626"/>
      <c r="J538" s="626"/>
      <c r="K538" s="626"/>
      <c r="L538" s="626"/>
      <c r="M538" s="788"/>
      <c r="N538" s="626"/>
      <c r="O538" s="626"/>
      <c r="P538" s="626"/>
      <c r="Q538" s="626"/>
      <c r="R538" s="788"/>
      <c r="S538" s="626"/>
      <c r="T538" s="626"/>
      <c r="U538" s="626"/>
      <c r="V538" s="626"/>
      <c r="W538" s="788"/>
      <c r="X538" s="626"/>
      <c r="Y538" s="626"/>
      <c r="Z538" s="626"/>
      <c r="AA538" s="626"/>
      <c r="AB538" s="788"/>
      <c r="AC538" s="626"/>
      <c r="AD538" s="626"/>
      <c r="AE538" s="626"/>
      <c r="AF538" s="626"/>
      <c r="AG538" s="788"/>
      <c r="AH538" s="626"/>
      <c r="AI538" s="626"/>
      <c r="AJ538" s="626"/>
      <c r="AK538" s="626"/>
      <c r="AL538" s="788"/>
      <c r="AM538" s="1976">
        <f>+AM540-AM537</f>
        <v>0.24910300000000163</v>
      </c>
      <c r="AN538" s="1976">
        <f>+AN540-AN537</f>
        <v>-0.14436699999999902</v>
      </c>
      <c r="AO538" s="1976">
        <f>+AO540-AO537</f>
        <v>-6.5385000000002691E-2</v>
      </c>
      <c r="AP538" s="1976">
        <f>+AP540-AP537</f>
        <v>0.19738900000000115</v>
      </c>
      <c r="AQ538" s="1950">
        <f>+SUM(AM538:AP538)</f>
        <v>0.23674000000000106</v>
      </c>
      <c r="AR538" s="1976">
        <f>+AR540-AR537</f>
        <v>5.1894000000000773E-2</v>
      </c>
      <c r="AS538" s="1976">
        <f>+AS540-AS537</f>
        <v>-0.16743299999999905</v>
      </c>
      <c r="AT538" s="1976">
        <f>+AT540-AT537</f>
        <v>0.13139800000000079</v>
      </c>
      <c r="AU538" s="330">
        <f>+AP538</f>
        <v>0.19738900000000115</v>
      </c>
      <c r="AV538" s="1950">
        <f>+SUM(AR538:AU538)</f>
        <v>0.21324800000000366</v>
      </c>
      <c r="AW538" s="2056">
        <f>+AR538</f>
        <v>5.1894000000000773E-2</v>
      </c>
      <c r="AX538" s="2056">
        <f>+AS538</f>
        <v>-0.16743299999999905</v>
      </c>
      <c r="AY538" s="2056">
        <f>+AT538</f>
        <v>0.13139800000000079</v>
      </c>
      <c r="AZ538" s="2056">
        <f>+AU538</f>
        <v>0.19738900000000115</v>
      </c>
      <c r="BA538" s="1950">
        <f>+SUM(AW538:AZ538)</f>
        <v>0.21324800000000366</v>
      </c>
      <c r="BB538" s="2056">
        <f>+AW538</f>
        <v>5.1894000000000773E-2</v>
      </c>
      <c r="BC538" s="2056">
        <f>+AX538</f>
        <v>-0.16743299999999905</v>
      </c>
      <c r="BD538" s="2056">
        <f>+AY538</f>
        <v>0.13139800000000079</v>
      </c>
      <c r="BE538" s="2056">
        <f>+AZ538</f>
        <v>0.19738900000000115</v>
      </c>
      <c r="BF538" s="1950">
        <f>+SUM(BB538:BE538)</f>
        <v>0.21324800000000366</v>
      </c>
      <c r="BG538" s="626">
        <f>+BB538-0.2</f>
        <v>-0.14810599999999924</v>
      </c>
      <c r="BH538" s="3117">
        <v>-0.4</v>
      </c>
      <c r="BI538" s="3125">
        <f>+BH538</f>
        <v>-0.4</v>
      </c>
      <c r="BJ538" s="3125">
        <f>+BI538</f>
        <v>-0.4</v>
      </c>
      <c r="BK538" s="1950">
        <f>+SUM(BG538:BJ538)</f>
        <v>-1.3481059999999994</v>
      </c>
      <c r="BL538" s="3125">
        <f>+BJ538</f>
        <v>-0.4</v>
      </c>
      <c r="BM538" s="3125">
        <f>+BL538</f>
        <v>-0.4</v>
      </c>
      <c r="BN538" s="3125"/>
      <c r="BO538" s="3125"/>
      <c r="BP538" s="1950"/>
      <c r="BQ538" s="3125"/>
      <c r="BR538" s="3125"/>
      <c r="BS538" s="3125"/>
      <c r="BT538" s="3125"/>
      <c r="BU538" s="3406"/>
      <c r="BV538" s="3125"/>
      <c r="BW538" s="3125"/>
      <c r="BX538" s="3125"/>
      <c r="BY538" s="3125"/>
      <c r="BZ538" s="1950"/>
      <c r="CA538" s="1950"/>
      <c r="CB538" s="1950"/>
      <c r="CC538" s="1950"/>
      <c r="CD538" s="1950"/>
      <c r="CE538" s="1950"/>
      <c r="CF538" s="1950"/>
      <c r="CG538" s="1950"/>
      <c r="CH538" s="626"/>
      <c r="CI538" s="626"/>
      <c r="CJ538" s="626"/>
      <c r="CK538" s="626"/>
      <c r="CL538" s="626"/>
      <c r="CM538" s="626"/>
      <c r="CN538" s="626"/>
      <c r="CO538" s="626"/>
      <c r="CP538" s="994"/>
      <c r="CQ538" s="626"/>
      <c r="CR538" s="626"/>
      <c r="CS538" s="626"/>
      <c r="CT538" s="626"/>
      <c r="CU538" s="626"/>
      <c r="CV538" s="626"/>
      <c r="CW538" s="626"/>
      <c r="CX538" s="626"/>
      <c r="CY538" s="626"/>
      <c r="CZ538" s="626"/>
      <c r="DA538" s="626"/>
      <c r="DB538" s="626"/>
      <c r="DC538" s="626"/>
      <c r="DD538" s="626"/>
      <c r="DE538" s="626"/>
      <c r="DF538" s="626"/>
      <c r="DG538" s="1893"/>
      <c r="DH538" s="632"/>
      <c r="DI538" s="595"/>
      <c r="DJ538" s="595"/>
      <c r="DK538" s="595"/>
      <c r="DL538" s="595"/>
      <c r="DM538" s="595"/>
      <c r="DN538" s="514"/>
      <c r="DO538" s="77"/>
      <c r="DY538" s="1634"/>
      <c r="DZ538" s="1634"/>
    </row>
    <row r="539" spans="1:130" ht="4.5" hidden="1" customHeight="1" outlineLevel="1">
      <c r="A539" s="962"/>
      <c r="B539" s="293"/>
      <c r="C539" s="293"/>
      <c r="D539" s="294" t="s">
        <v>343</v>
      </c>
      <c r="E539" s="295" t="s">
        <v>343</v>
      </c>
      <c r="F539" s="295" t="s">
        <v>343</v>
      </c>
      <c r="G539" s="295" t="s">
        <v>343</v>
      </c>
      <c r="H539" s="296" t="s">
        <v>343</v>
      </c>
      <c r="I539" s="295" t="s">
        <v>343</v>
      </c>
      <c r="J539" s="295" t="s">
        <v>343</v>
      </c>
      <c r="K539" s="295" t="s">
        <v>343</v>
      </c>
      <c r="L539" s="295" t="s">
        <v>343</v>
      </c>
      <c r="M539" s="296" t="s">
        <v>343</v>
      </c>
      <c r="N539" s="295" t="s">
        <v>343</v>
      </c>
      <c r="O539" s="295" t="s">
        <v>343</v>
      </c>
      <c r="P539" s="295" t="s">
        <v>343</v>
      </c>
      <c r="Q539" s="295" t="s">
        <v>343</v>
      </c>
      <c r="R539" s="296" t="s">
        <v>343</v>
      </c>
      <c r="S539" s="295" t="s">
        <v>343</v>
      </c>
      <c r="T539" s="295" t="s">
        <v>343</v>
      </c>
      <c r="U539" s="295" t="s">
        <v>343</v>
      </c>
      <c r="V539" s="295" t="s">
        <v>343</v>
      </c>
      <c r="W539" s="296" t="s">
        <v>343</v>
      </c>
      <c r="X539" s="295" t="s">
        <v>343</v>
      </c>
      <c r="Y539" s="295" t="s">
        <v>343</v>
      </c>
      <c r="Z539" s="295" t="s">
        <v>343</v>
      </c>
      <c r="AA539" s="295" t="s">
        <v>343</v>
      </c>
      <c r="AB539" s="296" t="s">
        <v>343</v>
      </c>
      <c r="AC539" s="295" t="s">
        <v>343</v>
      </c>
      <c r="AD539" s="295" t="s">
        <v>343</v>
      </c>
      <c r="AE539" s="295" t="s">
        <v>343</v>
      </c>
      <c r="AF539" s="295" t="s">
        <v>343</v>
      </c>
      <c r="AG539" s="296" t="s">
        <v>343</v>
      </c>
      <c r="AH539" s="295" t="s">
        <v>343</v>
      </c>
      <c r="AI539" s="295" t="s">
        <v>343</v>
      </c>
      <c r="AJ539" s="295" t="s">
        <v>343</v>
      </c>
      <c r="AK539" s="295" t="s">
        <v>343</v>
      </c>
      <c r="AL539" s="296" t="s">
        <v>343</v>
      </c>
      <c r="AM539" s="295" t="s">
        <v>343</v>
      </c>
      <c r="AN539" s="295" t="s">
        <v>343</v>
      </c>
      <c r="AO539" s="295" t="s">
        <v>343</v>
      </c>
      <c r="AP539" s="295" t="s">
        <v>343</v>
      </c>
      <c r="AQ539" s="296" t="s">
        <v>343</v>
      </c>
      <c r="AR539" s="295" t="s">
        <v>343</v>
      </c>
      <c r="AS539" s="295" t="s">
        <v>343</v>
      </c>
      <c r="AT539" s="295" t="s">
        <v>343</v>
      </c>
      <c r="AU539" s="295" t="s">
        <v>343</v>
      </c>
      <c r="AV539" s="296" t="s">
        <v>343</v>
      </c>
      <c r="AW539" s="295" t="s">
        <v>343</v>
      </c>
      <c r="AX539" s="295" t="s">
        <v>343</v>
      </c>
      <c r="AY539" s="295" t="s">
        <v>343</v>
      </c>
      <c r="AZ539" s="295" t="s">
        <v>343</v>
      </c>
      <c r="BA539" s="296" t="s">
        <v>343</v>
      </c>
      <c r="BB539" s="295" t="s">
        <v>343</v>
      </c>
      <c r="BC539" s="295" t="s">
        <v>343</v>
      </c>
      <c r="BD539" s="295" t="s">
        <v>343</v>
      </c>
      <c r="BE539" s="295" t="s">
        <v>343</v>
      </c>
      <c r="BF539" s="296" t="s">
        <v>343</v>
      </c>
      <c r="BG539" s="294" t="s">
        <v>343</v>
      </c>
      <c r="BH539" s="295" t="s">
        <v>343</v>
      </c>
      <c r="BI539" s="295" t="s">
        <v>343</v>
      </c>
      <c r="BJ539" s="297" t="s">
        <v>343</v>
      </c>
      <c r="BK539" s="296" t="s">
        <v>343</v>
      </c>
      <c r="BL539" s="295" t="s">
        <v>343</v>
      </c>
      <c r="BM539" s="295" t="s">
        <v>343</v>
      </c>
      <c r="BN539" s="295"/>
      <c r="BO539" s="297"/>
      <c r="BP539" s="296"/>
      <c r="BQ539" s="295"/>
      <c r="BR539" s="295"/>
      <c r="BS539" s="295"/>
      <c r="BT539" s="297"/>
      <c r="BU539" s="3314"/>
      <c r="BV539" s="295"/>
      <c r="BW539" s="295"/>
      <c r="BX539" s="295"/>
      <c r="BY539" s="297"/>
      <c r="BZ539" s="297"/>
      <c r="CA539" s="297"/>
      <c r="CB539" s="297"/>
      <c r="CC539" s="297"/>
      <c r="CD539" s="297"/>
      <c r="CE539" s="297"/>
      <c r="CF539" s="297"/>
      <c r="CG539" s="297"/>
      <c r="CH539" s="295"/>
      <c r="CI539" s="295"/>
      <c r="CJ539" s="295"/>
      <c r="CK539" s="295"/>
      <c r="CL539" s="295"/>
      <c r="CM539" s="295"/>
      <c r="CN539" s="295"/>
      <c r="CO539" s="295"/>
      <c r="CP539" s="1784"/>
      <c r="CQ539" s="295" t="str">
        <f>H539</f>
        <v xml:space="preserve">                </v>
      </c>
      <c r="CR539" s="295" t="str">
        <f>M539</f>
        <v xml:space="preserve">                </v>
      </c>
      <c r="CS539" s="295" t="str">
        <f>R539</f>
        <v xml:space="preserve">                </v>
      </c>
      <c r="CT539" s="295" t="str">
        <f>W539</f>
        <v xml:space="preserve">                </v>
      </c>
      <c r="CU539" s="295" t="str">
        <f>AB539</f>
        <v xml:space="preserve">                </v>
      </c>
      <c r="CV539" s="295" t="str">
        <f>AG539</f>
        <v xml:space="preserve">                </v>
      </c>
      <c r="CW539" s="295" t="str">
        <f>AL539</f>
        <v xml:space="preserve">                </v>
      </c>
      <c r="CX539" s="295" t="str">
        <f>AQ539</f>
        <v xml:space="preserve">                </v>
      </c>
      <c r="CY539" s="295" t="str">
        <f>AV539</f>
        <v xml:space="preserve">                </v>
      </c>
      <c r="CZ539" s="295" t="str">
        <f>BA539</f>
        <v xml:space="preserve">                </v>
      </c>
      <c r="DA539" s="295" t="str">
        <f>BF539</f>
        <v xml:space="preserve">                </v>
      </c>
      <c r="DB539" s="295" t="str">
        <f>BK539</f>
        <v xml:space="preserve">                </v>
      </c>
      <c r="DC539" s="295">
        <f>BP539</f>
        <v>0</v>
      </c>
      <c r="DD539" s="295">
        <f>BU539</f>
        <v>0</v>
      </c>
      <c r="DE539" s="295">
        <f>BZ539</f>
        <v>0</v>
      </c>
      <c r="DF539" s="295">
        <f>CA539</f>
        <v>0</v>
      </c>
      <c r="DG539" s="297">
        <f>CB539</f>
        <v>0</v>
      </c>
      <c r="DH539" s="298"/>
      <c r="DI539" s="299"/>
      <c r="DJ539" s="299"/>
      <c r="DK539" s="299"/>
      <c r="DL539" s="299"/>
      <c r="DM539" s="299"/>
      <c r="DN539" s="299"/>
      <c r="DO539" s="300"/>
      <c r="DY539" s="295"/>
      <c r="DZ539" s="295"/>
    </row>
    <row r="540" spans="1:130" ht="12" hidden="1" customHeight="1" outlineLevel="1">
      <c r="A540" s="228" t="s">
        <v>741</v>
      </c>
      <c r="B540" s="228"/>
      <c r="C540" s="228"/>
      <c r="D540" s="625"/>
      <c r="E540" s="626"/>
      <c r="F540" s="626"/>
      <c r="G540" s="626"/>
      <c r="H540" s="788"/>
      <c r="I540" s="626"/>
      <c r="J540" s="626"/>
      <c r="K540" s="626"/>
      <c r="L540" s="626"/>
      <c r="M540" s="788"/>
      <c r="N540" s="626"/>
      <c r="O540" s="626"/>
      <c r="P540" s="626"/>
      <c r="Q540" s="626"/>
      <c r="R540" s="788"/>
      <c r="S540" s="626"/>
      <c r="T540" s="626"/>
      <c r="U540" s="626"/>
      <c r="V540" s="626"/>
      <c r="W540" s="788"/>
      <c r="X540" s="626"/>
      <c r="Y540" s="626"/>
      <c r="Z540" s="626"/>
      <c r="AA540" s="626"/>
      <c r="AB540" s="788"/>
      <c r="AC540" s="626"/>
      <c r="AD540" s="626"/>
      <c r="AE540" s="626"/>
      <c r="AF540" s="626"/>
      <c r="AG540" s="788"/>
      <c r="AH540" s="626"/>
      <c r="AI540" s="626"/>
      <c r="AJ540" s="626"/>
      <c r="AK540" s="626"/>
      <c r="AL540" s="788"/>
      <c r="AM540" s="827">
        <v>16.757000000000001</v>
      </c>
      <c r="AN540" s="554">
        <v>17.233000000000001</v>
      </c>
      <c r="AO540" s="554">
        <v>17.97</v>
      </c>
      <c r="AP540" s="554">
        <v>16.951000000000001</v>
      </c>
      <c r="AQ540" s="556">
        <f>+SUM(AM540:AP540)</f>
        <v>68.911000000000001</v>
      </c>
      <c r="AR540" s="554">
        <v>17.629000000000001</v>
      </c>
      <c r="AS540" s="554">
        <v>17.523</v>
      </c>
      <c r="AT540" s="554">
        <v>17.116</v>
      </c>
      <c r="AU540" s="1978">
        <f>+AU537+AU538</f>
        <v>16.405703000000003</v>
      </c>
      <c r="AV540" s="556">
        <f>+SUM(AR540:AU540)</f>
        <v>68.673703000000003</v>
      </c>
      <c r="AW540" s="557">
        <f>+AW537+AW538</f>
        <v>16.255576999999999</v>
      </c>
      <c r="AX540" s="557">
        <f>+AX537+AX538</f>
        <v>16.972499000000003</v>
      </c>
      <c r="AY540" s="557">
        <f>+AY537+AY538</f>
        <v>17.702304000000002</v>
      </c>
      <c r="AZ540" s="557">
        <f>+AZ537+AZ538</f>
        <v>15.265409000000002</v>
      </c>
      <c r="BA540" s="556">
        <f>+SUM(AW540:AZ540)</f>
        <v>66.195789000000005</v>
      </c>
      <c r="BB540" s="557">
        <f>+BB537+BB538</f>
        <v>14.867641000000001</v>
      </c>
      <c r="BC540" s="557">
        <f>+BC537+BC538</f>
        <v>15.957012000000002</v>
      </c>
      <c r="BD540" s="557">
        <f>+BD537+BD538</f>
        <v>16.404674</v>
      </c>
      <c r="BE540" s="557">
        <f>+BE537+BE538</f>
        <v>15.651099000000002</v>
      </c>
      <c r="BF540" s="556">
        <f>+SUM(BB540:BE540)</f>
        <v>62.880426000000007</v>
      </c>
      <c r="BG540" s="557">
        <f t="shared" ref="BG540:BM540" si="1272">+BG537+BG538</f>
        <v>15.00817</v>
      </c>
      <c r="BH540" s="557">
        <f t="shared" si="1272"/>
        <v>16.627394000000002</v>
      </c>
      <c r="BI540" s="557">
        <f t="shared" si="1272"/>
        <v>17.230459000000003</v>
      </c>
      <c r="BJ540" s="1848">
        <f t="shared" si="1272"/>
        <v>16.003114</v>
      </c>
      <c r="BK540" s="556">
        <f t="shared" si="1272"/>
        <v>64.869136999999995</v>
      </c>
      <c r="BL540" s="557">
        <f t="shared" si="1272"/>
        <v>16.652563000000001</v>
      </c>
      <c r="BM540" s="557">
        <f t="shared" si="1272"/>
        <v>16.075561</v>
      </c>
      <c r="BN540" s="557"/>
      <c r="BO540" s="1848"/>
      <c r="BP540" s="556"/>
      <c r="BQ540" s="557"/>
      <c r="BR540" s="557"/>
      <c r="BS540" s="557"/>
      <c r="BT540" s="1848"/>
      <c r="BU540" s="3372"/>
      <c r="BV540" s="557"/>
      <c r="BW540" s="557"/>
      <c r="BX540" s="557"/>
      <c r="BY540" s="1848"/>
      <c r="BZ540" s="556"/>
      <c r="CA540" s="556"/>
      <c r="CB540" s="556"/>
      <c r="CC540" s="556"/>
      <c r="CD540" s="556"/>
      <c r="CE540" s="556"/>
      <c r="CF540" s="556"/>
      <c r="CG540" s="556"/>
      <c r="CH540" s="626"/>
      <c r="CI540" s="626"/>
      <c r="CJ540" s="626"/>
      <c r="CK540" s="626"/>
      <c r="CL540" s="626"/>
      <c r="CM540" s="626"/>
      <c r="CN540" s="626"/>
      <c r="CO540" s="626"/>
      <c r="CP540" s="994"/>
      <c r="CQ540" s="626"/>
      <c r="CR540" s="626"/>
      <c r="CS540" s="626"/>
      <c r="CT540" s="626"/>
      <c r="CU540" s="626"/>
      <c r="CV540" s="626"/>
      <c r="CW540" s="626"/>
      <c r="CX540" s="626"/>
      <c r="CY540" s="626"/>
      <c r="CZ540" s="626"/>
      <c r="DA540" s="626"/>
      <c r="DB540" s="626"/>
      <c r="DC540" s="626"/>
      <c r="DD540" s="626"/>
      <c r="DE540" s="626"/>
      <c r="DF540" s="626"/>
      <c r="DG540" s="1893"/>
      <c r="DH540" s="632"/>
      <c r="DI540" s="595"/>
      <c r="DJ540" s="595"/>
      <c r="DK540" s="595"/>
      <c r="DL540" s="595"/>
      <c r="DM540" s="595"/>
      <c r="DN540" s="514"/>
      <c r="DO540" s="77"/>
      <c r="DY540" s="557"/>
      <c r="DZ540" s="557"/>
    </row>
    <row r="541" spans="1:130" ht="12" hidden="1" customHeight="1" outlineLevel="1">
      <c r="A541" s="567" t="s">
        <v>8</v>
      </c>
      <c r="B541" s="753"/>
      <c r="C541" s="753"/>
      <c r="D541" s="560"/>
      <c r="E541" s="561"/>
      <c r="F541" s="561"/>
      <c r="G541" s="561"/>
      <c r="H541" s="562"/>
      <c r="I541" s="561"/>
      <c r="J541" s="561"/>
      <c r="K541" s="561"/>
      <c r="L541" s="561"/>
      <c r="M541" s="562"/>
      <c r="N541" s="561"/>
      <c r="O541" s="561"/>
      <c r="P541" s="561"/>
      <c r="Q541" s="561"/>
      <c r="R541" s="562"/>
      <c r="S541" s="561"/>
      <c r="T541" s="561"/>
      <c r="U541" s="561"/>
      <c r="V541" s="561"/>
      <c r="W541" s="562"/>
      <c r="X541" s="561"/>
      <c r="Y541" s="561"/>
      <c r="Z541" s="561"/>
      <c r="AA541" s="561"/>
      <c r="AB541" s="562"/>
      <c r="AC541" s="561"/>
      <c r="AD541" s="561"/>
      <c r="AE541" s="561"/>
      <c r="AF541" s="561"/>
      <c r="AG541" s="562"/>
      <c r="AH541" s="561"/>
      <c r="AI541" s="561"/>
      <c r="AJ541" s="561"/>
      <c r="AK541" s="561"/>
      <c r="AL541" s="562"/>
      <c r="AM541" s="561"/>
      <c r="AN541" s="261"/>
      <c r="AO541" s="561"/>
      <c r="AP541" s="561"/>
      <c r="AQ541" s="562"/>
      <c r="AR541" s="561">
        <f t="shared" ref="AR541:BM541" si="1273">AR537/AM537-1</f>
        <v>6.4769546357116292E-2</v>
      </c>
      <c r="AS541" s="561">
        <f t="shared" si="1273"/>
        <v>1.8015732763197123E-2</v>
      </c>
      <c r="AT541" s="561">
        <f t="shared" si="1273"/>
        <v>-5.8262299363168735E-2</v>
      </c>
      <c r="AU541" s="561">
        <f t="shared" si="1273"/>
        <v>-3.2548028004231289E-2</v>
      </c>
      <c r="AV541" s="562">
        <f t="shared" si="1273"/>
        <v>-3.1133207696741882E-3</v>
      </c>
      <c r="AW541" s="561">
        <f t="shared" si="1273"/>
        <v>-7.8137038031175443E-2</v>
      </c>
      <c r="AX541" s="561">
        <f t="shared" si="1273"/>
        <v>-3.1118571263914041E-2</v>
      </c>
      <c r="AY541" s="561">
        <f t="shared" si="1273"/>
        <v>3.4519737347981527E-2</v>
      </c>
      <c r="AZ541" s="561">
        <f t="shared" si="1273"/>
        <v>-7.0352412965346112E-2</v>
      </c>
      <c r="BA541" s="562">
        <f>+BA537/AV537-1</f>
        <v>-3.6194822251765624E-2</v>
      </c>
      <c r="BB541" s="561">
        <f t="shared" si="1273"/>
        <v>-8.5655588300511565E-2</v>
      </c>
      <c r="BC541" s="261">
        <f t="shared" si="1273"/>
        <v>-5.9246851154368674E-2</v>
      </c>
      <c r="BD541" s="261">
        <f t="shared" si="1273"/>
        <v>-7.3851058107077816E-2</v>
      </c>
      <c r="BE541" s="261">
        <f t="shared" si="1273"/>
        <v>2.5596594642162795E-2</v>
      </c>
      <c r="BF541" s="562">
        <f>+BF537/BA537-1</f>
        <v>-5.0246064333896889E-2</v>
      </c>
      <c r="BG541" s="561">
        <f t="shared" si="1273"/>
        <v>2.2984261272819939E-2</v>
      </c>
      <c r="BH541" s="561">
        <f t="shared" si="1273"/>
        <v>5.5998764608642393E-2</v>
      </c>
      <c r="BI541" s="561">
        <f t="shared" si="1273"/>
        <v>8.3399494975689104E-2</v>
      </c>
      <c r="BJ541" s="561">
        <f t="shared" si="1273"/>
        <v>6.1435344651866508E-2</v>
      </c>
      <c r="BK541" s="562">
        <f>+BK537/BF537-1</f>
        <v>5.6649511168350264E-2</v>
      </c>
      <c r="BL541" s="561">
        <f t="shared" si="1273"/>
        <v>0.12511562866762271</v>
      </c>
      <c r="BM541" s="561">
        <f t="shared" si="1273"/>
        <v>-3.2408541201313756E-2</v>
      </c>
      <c r="BN541" s="561"/>
      <c r="BO541" s="866"/>
      <c r="BP541" s="562"/>
      <c r="BQ541" s="866"/>
      <c r="BR541" s="866"/>
      <c r="BS541" s="866"/>
      <c r="BT541" s="866"/>
      <c r="BU541" s="3371"/>
      <c r="BV541" s="866"/>
      <c r="BW541" s="866"/>
      <c r="BX541" s="866"/>
      <c r="BY541" s="866"/>
      <c r="BZ541" s="458"/>
      <c r="CA541" s="458"/>
      <c r="CB541" s="458"/>
      <c r="CC541" s="458"/>
      <c r="CD541" s="458"/>
      <c r="CE541" s="458"/>
      <c r="CF541" s="458"/>
      <c r="CG541" s="458"/>
      <c r="CH541" s="561"/>
      <c r="CI541" s="561"/>
      <c r="CJ541" s="561"/>
      <c r="CK541" s="561"/>
      <c r="CL541" s="561"/>
      <c r="CM541" s="561"/>
      <c r="CN541" s="561"/>
      <c r="CO541" s="561"/>
      <c r="CP541" s="2280"/>
      <c r="CQ541" s="561"/>
      <c r="CR541" s="561"/>
      <c r="CS541" s="561"/>
      <c r="CT541" s="561"/>
      <c r="CU541" s="561"/>
      <c r="CV541" s="561"/>
      <c r="CW541" s="561"/>
      <c r="CX541" s="561"/>
      <c r="CY541" s="561"/>
      <c r="CZ541" s="561"/>
      <c r="DA541" s="561"/>
      <c r="DB541" s="561"/>
      <c r="DC541" s="561"/>
      <c r="DD541" s="561"/>
      <c r="DE541" s="561"/>
      <c r="DF541" s="561"/>
      <c r="DG541" s="1846"/>
      <c r="DH541" s="561"/>
      <c r="DI541" s="561"/>
      <c r="DJ541" s="561"/>
      <c r="DK541" s="561"/>
      <c r="DL541" s="561"/>
      <c r="DM541" s="561"/>
      <c r="DN541" s="561"/>
      <c r="DO541" s="215"/>
      <c r="DY541" s="561"/>
      <c r="DZ541" s="561"/>
    </row>
    <row r="542" spans="1:130" ht="12" hidden="1" customHeight="1" outlineLevel="1">
      <c r="A542" s="567" t="s">
        <v>1153</v>
      </c>
      <c r="B542" s="228"/>
      <c r="C542" s="228"/>
      <c r="D542" s="625"/>
      <c r="E542" s="626"/>
      <c r="F542" s="626"/>
      <c r="G542" s="626"/>
      <c r="H542" s="788"/>
      <c r="I542" s="626"/>
      <c r="J542" s="626"/>
      <c r="K542" s="626"/>
      <c r="L542" s="626"/>
      <c r="M542" s="788"/>
      <c r="N542" s="626"/>
      <c r="O542" s="626"/>
      <c r="P542" s="626"/>
      <c r="Q542" s="626"/>
      <c r="R542" s="788"/>
      <c r="S542" s="626"/>
      <c r="T542" s="626"/>
      <c r="U542" s="626"/>
      <c r="V542" s="626"/>
      <c r="W542" s="788"/>
      <c r="X542" s="626"/>
      <c r="Y542" s="626"/>
      <c r="Z542" s="626"/>
      <c r="AA542" s="626"/>
      <c r="AB542" s="788"/>
      <c r="AC542" s="626"/>
      <c r="AD542" s="626"/>
      <c r="AE542" s="626"/>
      <c r="AF542" s="626"/>
      <c r="AG542" s="788"/>
      <c r="AH542" s="626"/>
      <c r="AI542" s="626"/>
      <c r="AJ542" s="626"/>
      <c r="AK542" s="626"/>
      <c r="AL542" s="788"/>
      <c r="AM542" s="626"/>
      <c r="AN542" s="261"/>
      <c r="AO542" s="626"/>
      <c r="AP542" s="330"/>
      <c r="AQ542" s="1439"/>
      <c r="AR542" s="573">
        <f t="shared" ref="AR542:BG542" si="1274">+AR540/AM540-1</f>
        <v>5.2037954287760257E-2</v>
      </c>
      <c r="AS542" s="573">
        <f t="shared" si="1274"/>
        <v>1.682817849474838E-2</v>
      </c>
      <c r="AT542" s="573">
        <f t="shared" si="1274"/>
        <v>-4.7523650528658812E-2</v>
      </c>
      <c r="AU542" s="573">
        <f t="shared" si="1274"/>
        <v>-3.2169016577192955E-2</v>
      </c>
      <c r="AV542" s="1621">
        <f t="shared" si="1274"/>
        <v>-3.443528609365698E-3</v>
      </c>
      <c r="AW542" s="573">
        <f t="shared" si="1274"/>
        <v>-7.7907028192183425E-2</v>
      </c>
      <c r="AX542" s="573">
        <f t="shared" si="1274"/>
        <v>-3.1415910517605283E-2</v>
      </c>
      <c r="AY542" s="573">
        <f t="shared" si="1274"/>
        <v>3.4254732414115585E-2</v>
      </c>
      <c r="AZ542" s="573">
        <f t="shared" si="1274"/>
        <v>-6.9505951680339462E-2</v>
      </c>
      <c r="BA542" s="1621">
        <f t="shared" si="1274"/>
        <v>-3.6082428815583101E-2</v>
      </c>
      <c r="BB542" s="573">
        <f t="shared" si="1274"/>
        <v>-8.5382143002367683E-2</v>
      </c>
      <c r="BC542" s="573">
        <f t="shared" si="1274"/>
        <v>-5.9831318888279195E-2</v>
      </c>
      <c r="BD542" s="573">
        <f t="shared" si="1274"/>
        <v>-7.3302887578927667E-2</v>
      </c>
      <c r="BE542" s="573">
        <f t="shared" si="1274"/>
        <v>2.5265618497349207E-2</v>
      </c>
      <c r="BF542" s="1621">
        <f t="shared" si="1274"/>
        <v>-5.0084197954042065E-2</v>
      </c>
      <c r="BG542" s="573">
        <f t="shared" si="1274"/>
        <v>9.4520038518550731E-3</v>
      </c>
      <c r="BH542" s="573">
        <f t="shared" ref="BH542:BM542" si="1275">+BH540/BC540-1</f>
        <v>4.2011750069499199E-2</v>
      </c>
      <c r="BI542" s="573">
        <f t="shared" si="1275"/>
        <v>5.0338397459163353E-2</v>
      </c>
      <c r="BJ542" s="2135">
        <f t="shared" si="1275"/>
        <v>2.2491391818555195E-2</v>
      </c>
      <c r="BK542" s="1621">
        <f t="shared" si="1275"/>
        <v>3.1626869067330921E-2</v>
      </c>
      <c r="BL542" s="573">
        <f t="shared" si="1275"/>
        <v>0.10956652276726619</v>
      </c>
      <c r="BM542" s="573">
        <f t="shared" si="1275"/>
        <v>-3.3188183307618857E-2</v>
      </c>
      <c r="BN542" s="573"/>
      <c r="BO542" s="2135"/>
      <c r="BP542" s="1621"/>
      <c r="BQ542" s="573"/>
      <c r="BR542" s="573"/>
      <c r="BS542" s="573"/>
      <c r="BT542" s="2135"/>
      <c r="BU542" s="3371"/>
      <c r="BV542" s="573"/>
      <c r="BW542" s="573"/>
      <c r="BX542" s="573"/>
      <c r="BY542" s="2135"/>
      <c r="BZ542" s="1621"/>
      <c r="CA542" s="1621"/>
      <c r="CB542" s="1621"/>
      <c r="CC542" s="1621"/>
      <c r="CD542" s="1621"/>
      <c r="CE542" s="1621"/>
      <c r="CF542" s="1621"/>
      <c r="CG542" s="1621"/>
      <c r="CH542" s="626"/>
      <c r="CI542" s="626"/>
      <c r="CJ542" s="626"/>
      <c r="CK542" s="626"/>
      <c r="CL542" s="626"/>
      <c r="CM542" s="626"/>
      <c r="CN542" s="626"/>
      <c r="CO542" s="626"/>
      <c r="CP542" s="994"/>
      <c r="CQ542" s="626"/>
      <c r="CR542" s="626"/>
      <c r="CS542" s="626"/>
      <c r="CT542" s="626"/>
      <c r="CU542" s="626"/>
      <c r="CV542" s="626"/>
      <c r="CW542" s="626"/>
      <c r="CX542" s="626"/>
      <c r="CY542" s="626"/>
      <c r="CZ542" s="626"/>
      <c r="DA542" s="626"/>
      <c r="DB542" s="626"/>
      <c r="DC542" s="626"/>
      <c r="DD542" s="626"/>
      <c r="DE542" s="626"/>
      <c r="DF542" s="626"/>
      <c r="DG542" s="1893"/>
      <c r="DH542" s="632"/>
      <c r="DI542" s="595"/>
      <c r="DJ542" s="595"/>
      <c r="DK542" s="595"/>
      <c r="DL542" s="595"/>
      <c r="DM542" s="595"/>
      <c r="DN542" s="514"/>
      <c r="DO542" s="77"/>
      <c r="DY542" s="573"/>
      <c r="DZ542" s="573"/>
    </row>
    <row r="543" spans="1:130" ht="12" hidden="1" customHeight="1" outlineLevel="1">
      <c r="A543" s="567"/>
      <c r="B543" s="228"/>
      <c r="C543" s="228"/>
      <c r="D543" s="625"/>
      <c r="E543" s="626"/>
      <c r="F543" s="626"/>
      <c r="G543" s="626"/>
      <c r="H543" s="788"/>
      <c r="I543" s="626"/>
      <c r="J543" s="626"/>
      <c r="K543" s="626"/>
      <c r="L543" s="626"/>
      <c r="M543" s="788"/>
      <c r="N543" s="626"/>
      <c r="O543" s="626"/>
      <c r="P543" s="626"/>
      <c r="Q543" s="626"/>
      <c r="R543" s="788"/>
      <c r="S543" s="626"/>
      <c r="T543" s="626"/>
      <c r="U543" s="626"/>
      <c r="V543" s="626"/>
      <c r="W543" s="788"/>
      <c r="X543" s="626"/>
      <c r="Y543" s="626"/>
      <c r="Z543" s="626"/>
      <c r="AA543" s="626"/>
      <c r="AB543" s="788"/>
      <c r="AC543" s="626"/>
      <c r="AD543" s="626"/>
      <c r="AE543" s="626"/>
      <c r="AF543" s="626"/>
      <c r="AG543" s="788"/>
      <c r="AH543" s="626"/>
      <c r="AI543" s="626"/>
      <c r="AJ543" s="626"/>
      <c r="AK543" s="626"/>
      <c r="AL543" s="788"/>
      <c r="AM543" s="626"/>
      <c r="AN543" s="261"/>
      <c r="AO543" s="626"/>
      <c r="AP543" s="330"/>
      <c r="AQ543" s="1439"/>
      <c r="AR543" s="330"/>
      <c r="AS543" s="330"/>
      <c r="AT543" s="330"/>
      <c r="AU543" s="626"/>
      <c r="AV543" s="1951"/>
      <c r="AW543" s="626"/>
      <c r="AX543" s="261"/>
      <c r="AY543" s="626"/>
      <c r="AZ543" s="626"/>
      <c r="BA543" s="1439"/>
      <c r="BB543" s="626"/>
      <c r="BC543" s="261"/>
      <c r="BD543" s="626"/>
      <c r="BE543" s="626"/>
      <c r="BF543" s="1439"/>
      <c r="BG543" s="678"/>
      <c r="BH543" s="330"/>
      <c r="BI543" s="330"/>
      <c r="BJ543" s="2136"/>
      <c r="BK543" s="1439"/>
      <c r="BL543" s="330"/>
      <c r="BM543" s="330"/>
      <c r="BN543" s="330"/>
      <c r="BO543" s="2136"/>
      <c r="BP543" s="1439"/>
      <c r="BQ543" s="330"/>
      <c r="BR543" s="330"/>
      <c r="BS543" s="330"/>
      <c r="BT543" s="2136"/>
      <c r="BU543" s="3406"/>
      <c r="BV543" s="330"/>
      <c r="BW543" s="330"/>
      <c r="BX543" s="330"/>
      <c r="BY543" s="2136"/>
      <c r="BZ543" s="1439"/>
      <c r="CA543" s="1439"/>
      <c r="CB543" s="1439"/>
      <c r="CC543" s="1439"/>
      <c r="CD543" s="1439"/>
      <c r="CE543" s="1439"/>
      <c r="CF543" s="1439"/>
      <c r="CG543" s="1439"/>
      <c r="CH543" s="626"/>
      <c r="CI543" s="626"/>
      <c r="CJ543" s="626"/>
      <c r="CK543" s="626"/>
      <c r="CL543" s="626"/>
      <c r="CM543" s="626"/>
      <c r="CN543" s="626"/>
      <c r="CO543" s="626"/>
      <c r="CP543" s="994"/>
      <c r="CQ543" s="626"/>
      <c r="CR543" s="626"/>
      <c r="CS543" s="626"/>
      <c r="CT543" s="626"/>
      <c r="CU543" s="626"/>
      <c r="CV543" s="626"/>
      <c r="CW543" s="626"/>
      <c r="CX543" s="626"/>
      <c r="CY543" s="626"/>
      <c r="CZ543" s="626"/>
      <c r="DA543" s="626"/>
      <c r="DB543" s="626"/>
      <c r="DC543" s="626"/>
      <c r="DD543" s="626"/>
      <c r="DE543" s="626"/>
      <c r="DF543" s="626"/>
      <c r="DG543" s="1893"/>
      <c r="DH543" s="632"/>
      <c r="DI543" s="595"/>
      <c r="DJ543" s="595"/>
      <c r="DK543" s="595"/>
      <c r="DL543" s="595"/>
      <c r="DM543" s="595"/>
      <c r="DN543" s="514"/>
      <c r="DO543" s="77"/>
      <c r="DY543" s="330"/>
      <c r="DZ543" s="330"/>
    </row>
    <row r="544" spans="1:130" ht="12" hidden="1" customHeight="1" outlineLevel="1">
      <c r="A544" s="552" t="s">
        <v>1663</v>
      </c>
      <c r="B544" s="228"/>
      <c r="C544" s="228"/>
      <c r="D544" s="625"/>
      <c r="E544" s="626"/>
      <c r="F544" s="626"/>
      <c r="G544" s="626"/>
      <c r="H544" s="788"/>
      <c r="I544" s="626"/>
      <c r="J544" s="626"/>
      <c r="K544" s="626"/>
      <c r="L544" s="626"/>
      <c r="M544" s="788"/>
      <c r="N544" s="626"/>
      <c r="O544" s="626"/>
      <c r="P544" s="626"/>
      <c r="Q544" s="626"/>
      <c r="R544" s="788"/>
      <c r="S544" s="626"/>
      <c r="T544" s="626"/>
      <c r="U544" s="626"/>
      <c r="V544" s="626"/>
      <c r="W544" s="788"/>
      <c r="X544" s="626"/>
      <c r="Y544" s="626"/>
      <c r="Z544" s="626"/>
      <c r="AA544" s="626"/>
      <c r="AB544" s="788"/>
      <c r="AC544" s="626"/>
      <c r="AD544" s="626"/>
      <c r="AE544" s="626"/>
      <c r="AF544" s="626"/>
      <c r="AG544" s="788"/>
      <c r="AH544" s="626"/>
      <c r="AI544" s="626"/>
      <c r="AJ544" s="626"/>
      <c r="AK544" s="626"/>
      <c r="AL544" s="788"/>
      <c r="AM544" s="626">
        <f>+Taxes!AL187</f>
        <v>4.5322949250000004</v>
      </c>
      <c r="AN544" s="626">
        <f>+Taxes!AM187</f>
        <v>4.5322949250000004</v>
      </c>
      <c r="AO544" s="626">
        <f>+Taxes!AN187</f>
        <v>4.5322949250000004</v>
      </c>
      <c r="AP544" s="626">
        <f>+Taxes!AO187</f>
        <v>4.5322949250000004</v>
      </c>
      <c r="AQ544" s="1950">
        <f>+SUM(AM544:AP544)</f>
        <v>18.129179700000002</v>
      </c>
      <c r="AR544" s="626">
        <f>+Taxes!AQ187</f>
        <v>4.5150861499999992</v>
      </c>
      <c r="AS544" s="626">
        <f>+Taxes!AR187</f>
        <v>4.5150861499999992</v>
      </c>
      <c r="AT544" s="626">
        <f>+Taxes!AS187</f>
        <v>4.5150861499999992</v>
      </c>
      <c r="AU544" s="626">
        <f>+Taxes!AT187</f>
        <v>4.5150861499999992</v>
      </c>
      <c r="AV544" s="1950">
        <f>+SUM(AR544:AU544)</f>
        <v>18.060344599999997</v>
      </c>
      <c r="AW544" s="626">
        <f>+Taxes!AV187</f>
        <v>4.3708278800000002</v>
      </c>
      <c r="AX544" s="626">
        <f>+Taxes!AW187</f>
        <v>4.3708278800000002</v>
      </c>
      <c r="AY544" s="626">
        <f>+Taxes!AX187</f>
        <v>4.3708278800000002</v>
      </c>
      <c r="AZ544" s="626">
        <f>+Taxes!AY187</f>
        <v>4.3708278800000002</v>
      </c>
      <c r="BA544" s="1950">
        <f>+SUM(AW544:AZ544)</f>
        <v>17.483311520000001</v>
      </c>
      <c r="BB544" s="626">
        <f>+Taxes!BA187</f>
        <v>4.1034530399999998</v>
      </c>
      <c r="BC544" s="626">
        <f>+Taxes!BB187</f>
        <v>4.1034530399999998</v>
      </c>
      <c r="BD544" s="626">
        <f>+Taxes!BC187</f>
        <v>4.1034530399999998</v>
      </c>
      <c r="BE544" s="626">
        <f>+Taxes!BD187</f>
        <v>4.1034530399999998</v>
      </c>
      <c r="BF544" s="1950">
        <f>+SUM(BB544:BE544)</f>
        <v>16.413812159999999</v>
      </c>
      <c r="BG544" s="625">
        <f>+Taxes!BF187</f>
        <v>4.2846882399999995</v>
      </c>
      <c r="BH544" s="626">
        <f>+Taxes!BG187</f>
        <v>4.2846882399999995</v>
      </c>
      <c r="BI544" s="626">
        <f>+Taxes!BH187</f>
        <v>4.2846882399999995</v>
      </c>
      <c r="BJ544" s="1893">
        <f>+Taxes!BI187</f>
        <v>4.2846882399999995</v>
      </c>
      <c r="BK544" s="1950">
        <f>+SUM(BG544:BJ544)</f>
        <v>17.138752959999998</v>
      </c>
      <c r="BL544" s="626">
        <f>+Taxes!BK187</f>
        <v>2.0396110699999999</v>
      </c>
      <c r="BM544" s="626">
        <f>+Taxes!BL187</f>
        <v>2.0396110699999999</v>
      </c>
      <c r="BN544" s="626"/>
      <c r="BO544" s="626"/>
      <c r="BP544" s="1950"/>
      <c r="BQ544" s="626"/>
      <c r="BR544" s="626"/>
      <c r="BS544" s="626"/>
      <c r="BT544" s="626"/>
      <c r="BU544" s="3406"/>
      <c r="BV544" s="626"/>
      <c r="BW544" s="626"/>
      <c r="BX544" s="626"/>
      <c r="BY544" s="626"/>
      <c r="BZ544" s="1950"/>
      <c r="CA544" s="1950"/>
      <c r="CB544" s="1950"/>
      <c r="CC544" s="1950"/>
      <c r="CD544" s="1950"/>
      <c r="CE544" s="1950"/>
      <c r="CF544" s="1950"/>
      <c r="CG544" s="1950"/>
      <c r="CH544" s="626"/>
      <c r="CI544" s="626"/>
      <c r="CJ544" s="626"/>
      <c r="CK544" s="626"/>
      <c r="CL544" s="626"/>
      <c r="CM544" s="626"/>
      <c r="CN544" s="626"/>
      <c r="CO544" s="626"/>
      <c r="CP544" s="994"/>
      <c r="CQ544" s="626"/>
      <c r="CR544" s="626"/>
      <c r="CS544" s="626"/>
      <c r="CT544" s="626"/>
      <c r="CU544" s="626"/>
      <c r="CV544" s="626"/>
      <c r="CW544" s="626"/>
      <c r="CX544" s="626"/>
      <c r="CY544" s="626"/>
      <c r="CZ544" s="626"/>
      <c r="DA544" s="626"/>
      <c r="DB544" s="626"/>
      <c r="DC544" s="626"/>
      <c r="DD544" s="626"/>
      <c r="DE544" s="626"/>
      <c r="DF544" s="626"/>
      <c r="DG544" s="1893"/>
      <c r="DH544" s="632"/>
      <c r="DI544" s="595"/>
      <c r="DJ544" s="595"/>
      <c r="DK544" s="595"/>
      <c r="DL544" s="595"/>
      <c r="DM544" s="595"/>
      <c r="DN544" s="514"/>
      <c r="DO544" s="77"/>
      <c r="DY544" s="1634"/>
      <c r="DZ544" s="1634"/>
    </row>
    <row r="545" spans="1:130" ht="12" hidden="1" customHeight="1" outlineLevel="1">
      <c r="A545" s="567" t="s">
        <v>1664</v>
      </c>
      <c r="B545" s="228"/>
      <c r="C545" s="228"/>
      <c r="D545" s="625"/>
      <c r="E545" s="626"/>
      <c r="F545" s="626"/>
      <c r="G545" s="626"/>
      <c r="H545" s="788"/>
      <c r="I545" s="626"/>
      <c r="J545" s="626"/>
      <c r="K545" s="626"/>
      <c r="L545" s="626"/>
      <c r="M545" s="788"/>
      <c r="N545" s="626"/>
      <c r="O545" s="626"/>
      <c r="P545" s="626"/>
      <c r="Q545" s="626"/>
      <c r="R545" s="788"/>
      <c r="S545" s="626"/>
      <c r="T545" s="626"/>
      <c r="U545" s="626"/>
      <c r="V545" s="626"/>
      <c r="W545" s="788"/>
      <c r="X545" s="626"/>
      <c r="Y545" s="626"/>
      <c r="Z545" s="626"/>
      <c r="AA545" s="626"/>
      <c r="AB545" s="788"/>
      <c r="AC545" s="626"/>
      <c r="AD545" s="626"/>
      <c r="AE545" s="626"/>
      <c r="AF545" s="626"/>
      <c r="AG545" s="788"/>
      <c r="AH545" s="626"/>
      <c r="AI545" s="626"/>
      <c r="AJ545" s="626"/>
      <c r="AK545" s="626"/>
      <c r="AL545" s="788"/>
      <c r="AM545" s="860">
        <f t="shared" ref="AM545:BF545" si="1276">+AM544/AM537</f>
        <v>0.27455313811323151</v>
      </c>
      <c r="AN545" s="860">
        <f t="shared" si="1276"/>
        <v>0.2608159754581923</v>
      </c>
      <c r="AO545" s="860">
        <f t="shared" si="1276"/>
        <v>0.25130014829181635</v>
      </c>
      <c r="AP545" s="860">
        <f t="shared" si="1276"/>
        <v>0.27052645098420874</v>
      </c>
      <c r="AQ545" s="1975">
        <f t="shared" si="1276"/>
        <v>0.2639879876390368</v>
      </c>
      <c r="AR545" s="860">
        <f t="shared" si="1276"/>
        <v>0.25687312518909533</v>
      </c>
      <c r="AS545" s="860">
        <f t="shared" si="1276"/>
        <v>0.2552275656565331</v>
      </c>
      <c r="AT545" s="860">
        <f t="shared" si="1276"/>
        <v>0.26583408607396275</v>
      </c>
      <c r="AU545" s="860">
        <f t="shared" si="1276"/>
        <v>0.27856605875231677</v>
      </c>
      <c r="AV545" s="1975">
        <f t="shared" si="1276"/>
        <v>0.26380696125960595</v>
      </c>
      <c r="AW545" s="860">
        <f t="shared" si="1276"/>
        <v>0.26974286524859814</v>
      </c>
      <c r="AX545" s="860">
        <f t="shared" si="1276"/>
        <v>0.25500847261237675</v>
      </c>
      <c r="AY545" s="860">
        <f t="shared" si="1276"/>
        <v>0.24875370000841163</v>
      </c>
      <c r="AZ545" s="860">
        <f t="shared" si="1276"/>
        <v>0.2900731403329701</v>
      </c>
      <c r="BA545" s="1975">
        <f t="shared" si="1276"/>
        <v>0.26496875165810913</v>
      </c>
      <c r="BB545" s="860">
        <f t="shared" si="1276"/>
        <v>0.27696565282870989</v>
      </c>
      <c r="BC545" s="860">
        <f t="shared" si="1276"/>
        <v>0.25448646697607263</v>
      </c>
      <c r="BD545" s="860">
        <f t="shared" si="1276"/>
        <v>0.25215900228079458</v>
      </c>
      <c r="BE545" s="860">
        <f t="shared" si="1276"/>
        <v>0.26553190398939797</v>
      </c>
      <c r="BF545" s="1975">
        <f t="shared" si="1276"/>
        <v>0.2619203973090985</v>
      </c>
      <c r="BG545" s="861">
        <f t="shared" ref="BG545:BM545" si="1277">+BG544/BG537</f>
        <v>0.2827005947899075</v>
      </c>
      <c r="BH545" s="860">
        <f t="shared" si="1277"/>
        <v>0.25163499711112569</v>
      </c>
      <c r="BI545" s="860">
        <f t="shared" si="1277"/>
        <v>0.24302760580425042</v>
      </c>
      <c r="BJ545" s="1295">
        <f t="shared" si="1277"/>
        <v>0.26121187964675485</v>
      </c>
      <c r="BK545" s="1975">
        <f t="shared" si="1277"/>
        <v>0.2588261332474987</v>
      </c>
      <c r="BL545" s="860">
        <f t="shared" si="1277"/>
        <v>0.11960730301949331</v>
      </c>
      <c r="BM545" s="860">
        <f t="shared" si="1277"/>
        <v>0.12379615298076951</v>
      </c>
      <c r="BN545" s="860"/>
      <c r="BO545" s="1295"/>
      <c r="BP545" s="1975"/>
      <c r="BQ545" s="860"/>
      <c r="BR545" s="860"/>
      <c r="BS545" s="860"/>
      <c r="BT545" s="1295"/>
      <c r="BU545" s="3407"/>
      <c r="BV545" s="860"/>
      <c r="BW545" s="860"/>
      <c r="BX545" s="860"/>
      <c r="BY545" s="1295"/>
      <c r="BZ545" s="1975"/>
      <c r="CA545" s="1975"/>
      <c r="CB545" s="1975"/>
      <c r="CC545" s="1975"/>
      <c r="CD545" s="1975"/>
      <c r="CE545" s="1975"/>
      <c r="CF545" s="1975"/>
      <c r="CG545" s="1975"/>
      <c r="CH545" s="626"/>
      <c r="CI545" s="626"/>
      <c r="CJ545" s="626"/>
      <c r="CK545" s="626"/>
      <c r="CL545" s="626"/>
      <c r="CM545" s="626"/>
      <c r="CN545" s="626"/>
      <c r="CO545" s="626"/>
      <c r="CP545" s="994"/>
      <c r="CQ545" s="626"/>
      <c r="CR545" s="626"/>
      <c r="CS545" s="626"/>
      <c r="CT545" s="626"/>
      <c r="CU545" s="626"/>
      <c r="CV545" s="626"/>
      <c r="CW545" s="626"/>
      <c r="CX545" s="626"/>
      <c r="CY545" s="626"/>
      <c r="CZ545" s="626"/>
      <c r="DA545" s="626"/>
      <c r="DB545" s="626"/>
      <c r="DC545" s="626"/>
      <c r="DD545" s="626"/>
      <c r="DE545" s="626"/>
      <c r="DF545" s="626"/>
      <c r="DG545" s="1893"/>
      <c r="DH545" s="632"/>
      <c r="DI545" s="595"/>
      <c r="DJ545" s="595"/>
      <c r="DK545" s="595"/>
      <c r="DL545" s="595"/>
      <c r="DM545" s="595"/>
      <c r="DN545" s="514"/>
      <c r="DO545" s="77"/>
      <c r="DY545" s="769"/>
      <c r="DZ545" s="769"/>
    </row>
    <row r="546" spans="1:130" ht="3" hidden="1" customHeight="1" outlineLevel="1">
      <c r="A546" s="552"/>
      <c r="B546" s="228"/>
      <c r="C546" s="228"/>
      <c r="D546" s="625"/>
      <c r="E546" s="626"/>
      <c r="F546" s="626"/>
      <c r="G546" s="626"/>
      <c r="H546" s="788"/>
      <c r="I546" s="626"/>
      <c r="J546" s="626"/>
      <c r="K546" s="626"/>
      <c r="L546" s="626"/>
      <c r="M546" s="788"/>
      <c r="N546" s="626"/>
      <c r="O546" s="626"/>
      <c r="P546" s="626"/>
      <c r="Q546" s="626"/>
      <c r="R546" s="788"/>
      <c r="S546" s="626"/>
      <c r="T546" s="626"/>
      <c r="U546" s="626"/>
      <c r="V546" s="626"/>
      <c r="W546" s="788"/>
      <c r="X546" s="626"/>
      <c r="Y546" s="626"/>
      <c r="Z546" s="626"/>
      <c r="AA546" s="626"/>
      <c r="AB546" s="788"/>
      <c r="AC546" s="626"/>
      <c r="AD546" s="626"/>
      <c r="AE546" s="626"/>
      <c r="AF546" s="626"/>
      <c r="AG546" s="788"/>
      <c r="AH546" s="626"/>
      <c r="AI546" s="626"/>
      <c r="AJ546" s="626"/>
      <c r="AK546" s="626"/>
      <c r="AL546" s="788"/>
      <c r="AM546" s="626"/>
      <c r="AN546" s="261"/>
      <c r="AO546" s="626"/>
      <c r="AP546" s="330"/>
      <c r="AQ546" s="1439"/>
      <c r="AR546" s="330"/>
      <c r="AS546" s="330"/>
      <c r="AT546" s="330"/>
      <c r="AU546" s="626"/>
      <c r="AV546" s="1439"/>
      <c r="AW546" s="626"/>
      <c r="AX546" s="261"/>
      <c r="AY546" s="626"/>
      <c r="AZ546" s="626"/>
      <c r="BA546" s="1439"/>
      <c r="BB546" s="626"/>
      <c r="BC546" s="261"/>
      <c r="BD546" s="626"/>
      <c r="BE546" s="626"/>
      <c r="BF546" s="1439"/>
      <c r="BG546" s="678"/>
      <c r="BH546" s="330"/>
      <c r="BI546" s="330"/>
      <c r="BJ546" s="2136"/>
      <c r="BK546" s="1439"/>
      <c r="BL546" s="330"/>
      <c r="BM546" s="330"/>
      <c r="BN546" s="330"/>
      <c r="BO546" s="2136"/>
      <c r="BP546" s="1439"/>
      <c r="BQ546" s="330"/>
      <c r="BR546" s="330"/>
      <c r="BS546" s="330"/>
      <c r="BT546" s="2136"/>
      <c r="BU546" s="3406"/>
      <c r="BV546" s="330"/>
      <c r="BW546" s="330"/>
      <c r="BX546" s="330"/>
      <c r="BY546" s="2136"/>
      <c r="BZ546" s="1439"/>
      <c r="CA546" s="1439"/>
      <c r="CB546" s="1439"/>
      <c r="CC546" s="1439"/>
      <c r="CD546" s="1439"/>
      <c r="CE546" s="1439"/>
      <c r="CF546" s="1439"/>
      <c r="CG546" s="1439"/>
      <c r="CH546" s="626"/>
      <c r="CI546" s="626"/>
      <c r="CJ546" s="626"/>
      <c r="CK546" s="626"/>
      <c r="CL546" s="626"/>
      <c r="CM546" s="626"/>
      <c r="CN546" s="626"/>
      <c r="CO546" s="626"/>
      <c r="CP546" s="994"/>
      <c r="CQ546" s="626"/>
      <c r="CR546" s="626"/>
      <c r="CS546" s="626"/>
      <c r="CT546" s="626"/>
      <c r="CU546" s="626"/>
      <c r="CV546" s="626"/>
      <c r="CW546" s="626"/>
      <c r="CX546" s="626"/>
      <c r="CY546" s="626"/>
      <c r="CZ546" s="626"/>
      <c r="DA546" s="626"/>
      <c r="DB546" s="626"/>
      <c r="DC546" s="626"/>
      <c r="DD546" s="626"/>
      <c r="DE546" s="626"/>
      <c r="DF546" s="626"/>
      <c r="DG546" s="1893"/>
      <c r="DH546" s="632"/>
      <c r="DI546" s="595"/>
      <c r="DJ546" s="595"/>
      <c r="DK546" s="595"/>
      <c r="DL546" s="595"/>
      <c r="DM546" s="595"/>
      <c r="DN546" s="514"/>
      <c r="DO546" s="77"/>
      <c r="DY546" s="330"/>
      <c r="DZ546" s="330"/>
    </row>
    <row r="547" spans="1:130" ht="12" hidden="1" customHeight="1" outlineLevel="1">
      <c r="A547" s="552" t="s">
        <v>1665</v>
      </c>
      <c r="B547" s="228"/>
      <c r="C547" s="228"/>
      <c r="D547" s="625"/>
      <c r="E547" s="626"/>
      <c r="F547" s="626"/>
      <c r="G547" s="626"/>
      <c r="H547" s="788"/>
      <c r="I547" s="626"/>
      <c r="J547" s="626"/>
      <c r="K547" s="626"/>
      <c r="L547" s="626"/>
      <c r="M547" s="788"/>
      <c r="N547" s="626"/>
      <c r="O547" s="626"/>
      <c r="P547" s="626"/>
      <c r="Q547" s="626"/>
      <c r="R547" s="788"/>
      <c r="S547" s="626"/>
      <c r="T547" s="626"/>
      <c r="U547" s="626"/>
      <c r="V547" s="626"/>
      <c r="W547" s="788"/>
      <c r="X547" s="626"/>
      <c r="Y547" s="626"/>
      <c r="Z547" s="626"/>
      <c r="AA547" s="626"/>
      <c r="AB547" s="788"/>
      <c r="AC547" s="626"/>
      <c r="AD547" s="626"/>
      <c r="AE547" s="626"/>
      <c r="AF547" s="626"/>
      <c r="AG547" s="788"/>
      <c r="AH547" s="626"/>
      <c r="AI547" s="626"/>
      <c r="AJ547" s="626"/>
      <c r="AK547" s="626"/>
      <c r="AL547" s="788"/>
      <c r="AM547" s="1976">
        <f>+AM551-AM544</f>
        <v>6.5337050750000021</v>
      </c>
      <c r="AN547" s="1976">
        <f>+AN551-AN544</f>
        <v>6.5797050749999997</v>
      </c>
      <c r="AO547" s="1976">
        <f>+AO551-AO544</f>
        <v>6.9537050749999985</v>
      </c>
      <c r="AP547" s="1976">
        <f>+AP551-AP544</f>
        <v>6.8307050749999991</v>
      </c>
      <c r="AQ547" s="1950">
        <f>+SUM(AM547:AP547)</f>
        <v>26.897820299999999</v>
      </c>
      <c r="AR547" s="1976">
        <f>+AR551-AR544</f>
        <v>7.0579138500000012</v>
      </c>
      <c r="AS547" s="1976">
        <f>+AS551-AS544</f>
        <v>7.1959138499999993</v>
      </c>
      <c r="AT547" s="1976">
        <f>+AT551-AT544</f>
        <v>6.4319138499999999</v>
      </c>
      <c r="AU547" s="626">
        <f>+AP547*(1+AU549)</f>
        <v>7.5137755824999992</v>
      </c>
      <c r="AV547" s="1950">
        <f>+SUM(AR547:AU547)</f>
        <v>28.199517132499999</v>
      </c>
      <c r="AW547" s="626">
        <f>+AR547*(1+AW549)</f>
        <v>6.8461764345000011</v>
      </c>
      <c r="AX547" s="626">
        <f>+AS547*(1+AX549)</f>
        <v>6.9800364344999988</v>
      </c>
      <c r="AY547" s="626">
        <f>+AT547*(1+AY549)</f>
        <v>6.4319138499999999</v>
      </c>
      <c r="AZ547" s="626">
        <f>+AU547*(1+AZ549)</f>
        <v>7.0629490475499992</v>
      </c>
      <c r="BA547" s="1950">
        <f>+SUM(AW547:AZ547)</f>
        <v>27.321075766549999</v>
      </c>
      <c r="BB547" s="626">
        <f>+AW547*(1+BB549)</f>
        <v>6.6407911414650007</v>
      </c>
      <c r="BC547" s="626">
        <f>+AX547*(1+BC549)</f>
        <v>6.8404357058099983</v>
      </c>
      <c r="BD547" s="626">
        <f>+AY547*(1+BD549)</f>
        <v>6.3032755729999996</v>
      </c>
      <c r="BE547" s="626">
        <f>+AZ547*(1+BE549)</f>
        <v>7.2395227737387486</v>
      </c>
      <c r="BF547" s="1950">
        <f>+SUM(BB547:BE547)</f>
        <v>27.024025194013749</v>
      </c>
      <c r="BG547" s="625">
        <f>+BB547*(1+BG549)</f>
        <v>6.5743832300503504</v>
      </c>
      <c r="BH547" s="626">
        <f>+BC547*(1+BH549)</f>
        <v>6.9772444199261985</v>
      </c>
      <c r="BI547" s="626">
        <f>+BD547*(1+BI549)</f>
        <v>6.4293410844599999</v>
      </c>
      <c r="BJ547" s="1893">
        <f>+BE547*(1+BJ549)</f>
        <v>6.9861394766578924</v>
      </c>
      <c r="BK547" s="1950">
        <f>+SUM(BG547:BJ547)</f>
        <v>26.967108211094441</v>
      </c>
      <c r="BL547" s="626">
        <f>+BG547*(1+BL549)</f>
        <v>6.8373585592523645</v>
      </c>
      <c r="BM547" s="626">
        <f>+BH547*(1+BM549)</f>
        <v>7.1516755304243524</v>
      </c>
      <c r="BN547" s="626"/>
      <c r="BO547" s="1893"/>
      <c r="BP547" s="1950"/>
      <c r="BQ547" s="626"/>
      <c r="BR547" s="626"/>
      <c r="BS547" s="626"/>
      <c r="BT547" s="1893"/>
      <c r="BU547" s="3406"/>
      <c r="BV547" s="626"/>
      <c r="BW547" s="626"/>
      <c r="BX547" s="626"/>
      <c r="BY547" s="1893"/>
      <c r="BZ547" s="2503"/>
      <c r="CA547" s="2503"/>
      <c r="CB547" s="2503"/>
      <c r="CC547" s="2503"/>
      <c r="CD547" s="2503"/>
      <c r="CE547" s="2503"/>
      <c r="CF547" s="2503"/>
      <c r="CG547" s="2503"/>
      <c r="CH547" s="626"/>
      <c r="CI547" s="626"/>
      <c r="CJ547" s="626"/>
      <c r="CK547" s="626"/>
      <c r="CL547" s="626"/>
      <c r="CM547" s="626"/>
      <c r="CN547" s="626"/>
      <c r="CO547" s="626"/>
      <c r="CP547" s="994"/>
      <c r="CQ547" s="626"/>
      <c r="CR547" s="626"/>
      <c r="CS547" s="626"/>
      <c r="CT547" s="626"/>
      <c r="CU547" s="626"/>
      <c r="CV547" s="626"/>
      <c r="CW547" s="626"/>
      <c r="CX547" s="626"/>
      <c r="CY547" s="626"/>
      <c r="CZ547" s="626"/>
      <c r="DA547" s="626"/>
      <c r="DB547" s="626"/>
      <c r="DC547" s="626"/>
      <c r="DD547" s="626"/>
      <c r="DE547" s="626"/>
      <c r="DF547" s="626"/>
      <c r="DG547" s="1893"/>
      <c r="DH547" s="632"/>
      <c r="DI547" s="595"/>
      <c r="DJ547" s="595"/>
      <c r="DK547" s="595"/>
      <c r="DL547" s="595"/>
      <c r="DM547" s="595"/>
      <c r="DN547" s="514"/>
      <c r="DO547" s="77"/>
      <c r="DY547" s="1634"/>
      <c r="DZ547" s="1634"/>
    </row>
    <row r="548" spans="1:130" ht="12" hidden="1" customHeight="1" outlineLevel="1">
      <c r="A548" s="567" t="s">
        <v>1664</v>
      </c>
      <c r="B548" s="228"/>
      <c r="C548" s="228"/>
      <c r="D548" s="625"/>
      <c r="E548" s="626"/>
      <c r="F548" s="626"/>
      <c r="G548" s="626"/>
      <c r="H548" s="788"/>
      <c r="I548" s="626"/>
      <c r="J548" s="626"/>
      <c r="K548" s="626"/>
      <c r="L548" s="626"/>
      <c r="M548" s="788"/>
      <c r="N548" s="626"/>
      <c r="O548" s="626"/>
      <c r="P548" s="626"/>
      <c r="Q548" s="626"/>
      <c r="R548" s="788"/>
      <c r="S548" s="626"/>
      <c r="T548" s="626"/>
      <c r="U548" s="626"/>
      <c r="V548" s="626"/>
      <c r="W548" s="788"/>
      <c r="X548" s="626"/>
      <c r="Y548" s="626"/>
      <c r="Z548" s="626"/>
      <c r="AA548" s="626"/>
      <c r="AB548" s="788"/>
      <c r="AC548" s="626"/>
      <c r="AD548" s="626"/>
      <c r="AE548" s="626"/>
      <c r="AF548" s="626"/>
      <c r="AG548" s="788"/>
      <c r="AH548" s="626"/>
      <c r="AI548" s="626"/>
      <c r="AJ548" s="626"/>
      <c r="AK548" s="626"/>
      <c r="AL548" s="788"/>
      <c r="AM548" s="860">
        <f t="shared" ref="AM548:BF548" si="1278">+AM547/AM540</f>
        <v>0.3899089977322911</v>
      </c>
      <c r="AN548" s="860">
        <f t="shared" si="1278"/>
        <v>0.3818084532582835</v>
      </c>
      <c r="AO548" s="860">
        <f t="shared" si="1278"/>
        <v>0.38696188508625479</v>
      </c>
      <c r="AP548" s="860">
        <f t="shared" si="1278"/>
        <v>0.40296767594832156</v>
      </c>
      <c r="AQ548" s="1975">
        <f t="shared" si="1278"/>
        <v>0.39032694780223764</v>
      </c>
      <c r="AR548" s="860">
        <f t="shared" si="1278"/>
        <v>0.40035815134153957</v>
      </c>
      <c r="AS548" s="860">
        <f t="shared" si="1278"/>
        <v>0.41065535867146036</v>
      </c>
      <c r="AT548" s="860">
        <f t="shared" si="1278"/>
        <v>0.37578370238373454</v>
      </c>
      <c r="AU548" s="860">
        <f t="shared" si="1278"/>
        <v>0.4579977817774708</v>
      </c>
      <c r="AV548" s="1975">
        <f t="shared" si="1278"/>
        <v>0.41063050193317807</v>
      </c>
      <c r="AW548" s="860">
        <f t="shared" si="1278"/>
        <v>0.42115862356039419</v>
      </c>
      <c r="AX548" s="860">
        <f t="shared" si="1278"/>
        <v>0.41125566921524037</v>
      </c>
      <c r="AY548" s="860">
        <f t="shared" si="1278"/>
        <v>0.36333766779736693</v>
      </c>
      <c r="AZ548" s="860">
        <f t="shared" si="1278"/>
        <v>0.46267669916672383</v>
      </c>
      <c r="BA548" s="1975">
        <f t="shared" si="1278"/>
        <v>0.41273132595413276</v>
      </c>
      <c r="BB548" s="860">
        <f t="shared" si="1278"/>
        <v>0.4466607137921208</v>
      </c>
      <c r="BC548" s="860">
        <f t="shared" si="1278"/>
        <v>0.42867898487573974</v>
      </c>
      <c r="BD548" s="860">
        <f t="shared" si="1278"/>
        <v>0.38423656410362067</v>
      </c>
      <c r="BE548" s="860">
        <f t="shared" si="1278"/>
        <v>0.4625568321904262</v>
      </c>
      <c r="BF548" s="1975">
        <f t="shared" si="1278"/>
        <v>0.42976848143512492</v>
      </c>
      <c r="BG548" s="861">
        <f t="shared" ref="BG548:BM548" si="1279">+BG547/BG540</f>
        <v>0.43805362213050297</v>
      </c>
      <c r="BH548" s="860">
        <f t="shared" si="1279"/>
        <v>0.41962344910610749</v>
      </c>
      <c r="BI548" s="860">
        <f t="shared" si="1279"/>
        <v>0.37313812037508687</v>
      </c>
      <c r="BJ548" s="1295">
        <f t="shared" si="1279"/>
        <v>0.43654875398987297</v>
      </c>
      <c r="BK548" s="1975">
        <f t="shared" si="1279"/>
        <v>0.41571553836294206</v>
      </c>
      <c r="BL548" s="860">
        <f t="shared" si="1279"/>
        <v>0.41058896214668961</v>
      </c>
      <c r="BM548" s="860">
        <f t="shared" si="1279"/>
        <v>0.44487875293586038</v>
      </c>
      <c r="BN548" s="860"/>
      <c r="BO548" s="1295"/>
      <c r="BP548" s="1975"/>
      <c r="BQ548" s="860"/>
      <c r="BR548" s="860"/>
      <c r="BS548" s="860"/>
      <c r="BT548" s="1295"/>
      <c r="BU548" s="3407"/>
      <c r="BV548" s="860"/>
      <c r="BW548" s="860"/>
      <c r="BX548" s="860"/>
      <c r="BY548" s="1295"/>
      <c r="BZ548" s="1975"/>
      <c r="CA548" s="1975"/>
      <c r="CB548" s="1975"/>
      <c r="CC548" s="1975"/>
      <c r="CD548" s="1975"/>
      <c r="CE548" s="1975"/>
      <c r="CF548" s="1975"/>
      <c r="CG548" s="1975"/>
      <c r="CH548" s="626"/>
      <c r="CI548" s="626"/>
      <c r="CJ548" s="626"/>
      <c r="CK548" s="626"/>
      <c r="CL548" s="626"/>
      <c r="CM548" s="626"/>
      <c r="CN548" s="626"/>
      <c r="CO548" s="626"/>
      <c r="CP548" s="994"/>
      <c r="CQ548" s="626"/>
      <c r="CR548" s="626"/>
      <c r="CS548" s="626"/>
      <c r="CT548" s="626"/>
      <c r="CU548" s="626"/>
      <c r="CV548" s="626"/>
      <c r="CW548" s="626"/>
      <c r="CX548" s="626"/>
      <c r="CY548" s="626"/>
      <c r="CZ548" s="626"/>
      <c r="DA548" s="626"/>
      <c r="DB548" s="626"/>
      <c r="DC548" s="626"/>
      <c r="DD548" s="626"/>
      <c r="DE548" s="626"/>
      <c r="DF548" s="626"/>
      <c r="DG548" s="1893"/>
      <c r="DH548" s="632"/>
      <c r="DI548" s="595"/>
      <c r="DJ548" s="595"/>
      <c r="DK548" s="595"/>
      <c r="DL548" s="595"/>
      <c r="DM548" s="595"/>
      <c r="DN548" s="514"/>
      <c r="DO548" s="77"/>
      <c r="DY548" s="769"/>
      <c r="DZ548" s="769"/>
    </row>
    <row r="549" spans="1:130" ht="12" hidden="1" customHeight="1" outlineLevel="1">
      <c r="A549" s="567" t="s">
        <v>1153</v>
      </c>
      <c r="B549" s="228"/>
      <c r="C549" s="228"/>
      <c r="D549" s="625"/>
      <c r="E549" s="626"/>
      <c r="F549" s="626"/>
      <c r="G549" s="626"/>
      <c r="H549" s="788"/>
      <c r="I549" s="626"/>
      <c r="J549" s="626"/>
      <c r="K549" s="626"/>
      <c r="L549" s="626"/>
      <c r="M549" s="788"/>
      <c r="N549" s="626"/>
      <c r="O549" s="626"/>
      <c r="P549" s="626"/>
      <c r="Q549" s="626"/>
      <c r="R549" s="788"/>
      <c r="S549" s="626"/>
      <c r="T549" s="626"/>
      <c r="U549" s="626"/>
      <c r="V549" s="626"/>
      <c r="W549" s="788"/>
      <c r="X549" s="626"/>
      <c r="Y549" s="626"/>
      <c r="Z549" s="626"/>
      <c r="AA549" s="626"/>
      <c r="AB549" s="788"/>
      <c r="AC549" s="626"/>
      <c r="AD549" s="626"/>
      <c r="AE549" s="626"/>
      <c r="AF549" s="626"/>
      <c r="AG549" s="788"/>
      <c r="AH549" s="626"/>
      <c r="AI549" s="626"/>
      <c r="AJ549" s="626"/>
      <c r="AK549" s="626"/>
      <c r="AL549" s="788"/>
      <c r="AM549" s="626"/>
      <c r="AN549" s="261"/>
      <c r="AO549" s="626"/>
      <c r="AP549" s="330"/>
      <c r="AQ549" s="1439"/>
      <c r="AR549" s="573">
        <f>+AR547/AM547-1</f>
        <v>8.0231471880447325E-2</v>
      </c>
      <c r="AS549" s="573">
        <f>+AS547/AN547-1</f>
        <v>9.3652947658903862E-2</v>
      </c>
      <c r="AT549" s="573">
        <f>+AT547/AO547-1</f>
        <v>-7.5037871087737851E-2</v>
      </c>
      <c r="AU549" s="548">
        <v>0.1</v>
      </c>
      <c r="AV549" s="1975">
        <f>+AV547/AQ547-1</f>
        <v>4.8394138185985147E-2</v>
      </c>
      <c r="AW549" s="548">
        <v>-0.03</v>
      </c>
      <c r="AX549" s="548">
        <v>-0.03</v>
      </c>
      <c r="AY549" s="548">
        <v>0</v>
      </c>
      <c r="AZ549" s="548">
        <v>-0.06</v>
      </c>
      <c r="BA549" s="1975">
        <f>+BA547/AV547-1</f>
        <v>-3.1150936444141908E-2</v>
      </c>
      <c r="BB549" s="548">
        <v>-0.03</v>
      </c>
      <c r="BC549" s="548">
        <v>-0.02</v>
      </c>
      <c r="BD549" s="548">
        <v>-0.02</v>
      </c>
      <c r="BE549" s="548">
        <v>2.5000000000000001E-2</v>
      </c>
      <c r="BF549" s="1975">
        <f>+BF547/BA547-1</f>
        <v>-1.087257965515176E-2</v>
      </c>
      <c r="BG549" s="2886">
        <v>-0.01</v>
      </c>
      <c r="BH549" s="2887">
        <v>0.02</v>
      </c>
      <c r="BI549" s="2887">
        <v>0.02</v>
      </c>
      <c r="BJ549" s="2888">
        <v>-3.5000000000000003E-2</v>
      </c>
      <c r="BK549" s="1975">
        <f>+BK547/BF547-1</f>
        <v>-2.1061622948721492E-3</v>
      </c>
      <c r="BL549" s="2887">
        <v>0.04</v>
      </c>
      <c r="BM549" s="2887">
        <v>2.5000000000000001E-2</v>
      </c>
      <c r="BN549" s="2887"/>
      <c r="BO549" s="2888"/>
      <c r="BP549" s="1975"/>
      <c r="BQ549" s="2887"/>
      <c r="BR549" s="2887"/>
      <c r="BS549" s="2887"/>
      <c r="BT549" s="2888"/>
      <c r="BU549" s="3407"/>
      <c r="BV549" s="2887"/>
      <c r="BW549" s="2887"/>
      <c r="BX549" s="2887"/>
      <c r="BY549" s="2888"/>
      <c r="BZ549" s="458"/>
      <c r="CA549" s="458"/>
      <c r="CB549" s="458"/>
      <c r="CC549" s="458"/>
      <c r="CD549" s="458"/>
      <c r="CE549" s="458"/>
      <c r="CF549" s="458"/>
      <c r="CG549" s="458"/>
      <c r="CH549" s="626"/>
      <c r="CI549" s="626"/>
      <c r="CJ549" s="626"/>
      <c r="CK549" s="626"/>
      <c r="CL549" s="626"/>
      <c r="CM549" s="626"/>
      <c r="CN549" s="626"/>
      <c r="CO549" s="626"/>
      <c r="CP549" s="994"/>
      <c r="CQ549" s="626"/>
      <c r="CR549" s="626"/>
      <c r="CS549" s="626"/>
      <c r="CT549" s="626"/>
      <c r="CU549" s="626"/>
      <c r="CV549" s="626"/>
      <c r="CW549" s="626"/>
      <c r="CX549" s="626"/>
      <c r="CY549" s="626"/>
      <c r="CZ549" s="626"/>
      <c r="DA549" s="626"/>
      <c r="DB549" s="626"/>
      <c r="DC549" s="626"/>
      <c r="DD549" s="626"/>
      <c r="DE549" s="626"/>
      <c r="DF549" s="626"/>
      <c r="DG549" s="1893"/>
      <c r="DH549" s="632"/>
      <c r="DI549" s="595"/>
      <c r="DJ549" s="595"/>
      <c r="DK549" s="595"/>
      <c r="DL549" s="595"/>
      <c r="DM549" s="595"/>
      <c r="DN549" s="514"/>
      <c r="DO549" s="77"/>
      <c r="DY549" s="769"/>
      <c r="DZ549" s="769"/>
    </row>
    <row r="550" spans="1:130" ht="3" hidden="1" customHeight="1" outlineLevel="1">
      <c r="A550" s="552"/>
      <c r="B550" s="228"/>
      <c r="C550" s="228"/>
      <c r="D550" s="625"/>
      <c r="E550" s="626"/>
      <c r="F550" s="626"/>
      <c r="G550" s="626"/>
      <c r="H550" s="788"/>
      <c r="I550" s="626"/>
      <c r="J550" s="626"/>
      <c r="K550" s="626"/>
      <c r="L550" s="626"/>
      <c r="M550" s="788"/>
      <c r="N550" s="626"/>
      <c r="O550" s="626"/>
      <c r="P550" s="626"/>
      <c r="Q550" s="626"/>
      <c r="R550" s="788"/>
      <c r="S550" s="626"/>
      <c r="T550" s="626"/>
      <c r="U550" s="626"/>
      <c r="V550" s="626"/>
      <c r="W550" s="788"/>
      <c r="X550" s="626"/>
      <c r="Y550" s="626"/>
      <c r="Z550" s="626"/>
      <c r="AA550" s="626"/>
      <c r="AB550" s="788"/>
      <c r="AC550" s="626"/>
      <c r="AD550" s="626"/>
      <c r="AE550" s="626"/>
      <c r="AF550" s="626"/>
      <c r="AG550" s="788"/>
      <c r="AH550" s="626"/>
      <c r="AI550" s="626"/>
      <c r="AJ550" s="626"/>
      <c r="AK550" s="626"/>
      <c r="AL550" s="788"/>
      <c r="AM550" s="626"/>
      <c r="AN550" s="261"/>
      <c r="AO550" s="626"/>
      <c r="AP550" s="330"/>
      <c r="AQ550" s="1439"/>
      <c r="AR550" s="626"/>
      <c r="AS550" s="626"/>
      <c r="AT550" s="626"/>
      <c r="AU550" s="626"/>
      <c r="AV550" s="1439"/>
      <c r="AW550" s="626"/>
      <c r="AX550" s="261"/>
      <c r="AY550" s="626"/>
      <c r="AZ550" s="626"/>
      <c r="BA550" s="1439"/>
      <c r="BB550" s="626"/>
      <c r="BC550" s="261"/>
      <c r="BD550" s="626"/>
      <c r="BE550" s="626"/>
      <c r="BF550" s="1439"/>
      <c r="BG550" s="678"/>
      <c r="BH550" s="330"/>
      <c r="BI550" s="330"/>
      <c r="BJ550" s="2136"/>
      <c r="BK550" s="1439"/>
      <c r="BL550" s="330"/>
      <c r="BM550" s="330"/>
      <c r="BN550" s="330"/>
      <c r="BO550" s="2136"/>
      <c r="BP550" s="1439"/>
      <c r="BQ550" s="330"/>
      <c r="BR550" s="330"/>
      <c r="BS550" s="330"/>
      <c r="BT550" s="2136"/>
      <c r="BU550" s="3406"/>
      <c r="BV550" s="330"/>
      <c r="BW550" s="330"/>
      <c r="BX550" s="330"/>
      <c r="BY550" s="2136"/>
      <c r="BZ550" s="1439"/>
      <c r="CA550" s="1439"/>
      <c r="CB550" s="1439"/>
      <c r="CC550" s="1439"/>
      <c r="CD550" s="1439"/>
      <c r="CE550" s="1439"/>
      <c r="CF550" s="1439"/>
      <c r="CG550" s="1439"/>
      <c r="CH550" s="626"/>
      <c r="CI550" s="626"/>
      <c r="CJ550" s="626"/>
      <c r="CK550" s="626"/>
      <c r="CL550" s="626"/>
      <c r="CM550" s="626"/>
      <c r="CN550" s="626"/>
      <c r="CO550" s="626"/>
      <c r="CP550" s="994"/>
      <c r="CQ550" s="626"/>
      <c r="CR550" s="626"/>
      <c r="CS550" s="626"/>
      <c r="CT550" s="626"/>
      <c r="CU550" s="626"/>
      <c r="CV550" s="626"/>
      <c r="CW550" s="626"/>
      <c r="CX550" s="626"/>
      <c r="CY550" s="626"/>
      <c r="CZ550" s="626"/>
      <c r="DA550" s="626"/>
      <c r="DB550" s="626"/>
      <c r="DC550" s="626"/>
      <c r="DD550" s="626"/>
      <c r="DE550" s="626"/>
      <c r="DF550" s="626"/>
      <c r="DG550" s="1893"/>
      <c r="DH550" s="632"/>
      <c r="DI550" s="595"/>
      <c r="DJ550" s="595"/>
      <c r="DK550" s="595"/>
      <c r="DL550" s="595"/>
      <c r="DM550" s="595"/>
      <c r="DN550" s="514"/>
      <c r="DO550" s="77"/>
      <c r="DY550" s="330"/>
      <c r="DZ550" s="330"/>
    </row>
    <row r="551" spans="1:130" ht="12" hidden="1" customHeight="1" outlineLevel="1">
      <c r="A551" s="552" t="s">
        <v>1145</v>
      </c>
      <c r="B551" s="228"/>
      <c r="C551" s="228"/>
      <c r="D551" s="625"/>
      <c r="E551" s="626"/>
      <c r="F551" s="626"/>
      <c r="G551" s="626"/>
      <c r="H551" s="788"/>
      <c r="I551" s="626"/>
      <c r="J551" s="626"/>
      <c r="K551" s="626"/>
      <c r="L551" s="626"/>
      <c r="M551" s="788"/>
      <c r="N551" s="626"/>
      <c r="O551" s="626"/>
      <c r="P551" s="626"/>
      <c r="Q551" s="626"/>
      <c r="R551" s="788"/>
      <c r="S551" s="626"/>
      <c r="T551" s="626"/>
      <c r="U551" s="626"/>
      <c r="V551" s="626"/>
      <c r="W551" s="788"/>
      <c r="X551" s="626"/>
      <c r="Y551" s="626"/>
      <c r="Z551" s="626"/>
      <c r="AA551" s="626"/>
      <c r="AB551" s="788"/>
      <c r="AC551" s="626"/>
      <c r="AD551" s="626"/>
      <c r="AE551" s="626"/>
      <c r="AF551" s="626"/>
      <c r="AG551" s="788"/>
      <c r="AH551" s="626"/>
      <c r="AI551" s="626"/>
      <c r="AJ551" s="626"/>
      <c r="AK551" s="626"/>
      <c r="AL551" s="788"/>
      <c r="AM551" s="626">
        <f>+AM540-AM555</f>
        <v>11.066000000000003</v>
      </c>
      <c r="AN551" s="626">
        <f>+AN540-AN555</f>
        <v>11.112</v>
      </c>
      <c r="AO551" s="626">
        <f>+AO540-AO555</f>
        <v>11.485999999999999</v>
      </c>
      <c r="AP551" s="626">
        <f>+AP540-AP555</f>
        <v>11.363</v>
      </c>
      <c r="AQ551" s="1950">
        <f>+SUM(AM551:AP551)</f>
        <v>45.027000000000001</v>
      </c>
      <c r="AR551" s="626">
        <f>+AR540-AR555</f>
        <v>11.573</v>
      </c>
      <c r="AS551" s="626">
        <f>+AS540-AS555</f>
        <v>11.710999999999999</v>
      </c>
      <c r="AT551" s="626">
        <f>+AT540-AT555</f>
        <v>10.946999999999999</v>
      </c>
      <c r="AU551" s="626">
        <f>+AU544+AU547</f>
        <v>12.028861732499998</v>
      </c>
      <c r="AV551" s="1950">
        <f>+SUM(AR551:AU551)</f>
        <v>46.259861732499992</v>
      </c>
      <c r="AW551" s="626">
        <f>+AW544+AW547</f>
        <v>11.217004314500002</v>
      </c>
      <c r="AX551" s="626">
        <f>+AX544+AX547</f>
        <v>11.350864314499999</v>
      </c>
      <c r="AY551" s="626">
        <f>+AY544+AY547</f>
        <v>10.802741730000001</v>
      </c>
      <c r="AZ551" s="626">
        <f>+AZ544+AZ547</f>
        <v>11.433776927549999</v>
      </c>
      <c r="BA551" s="1950">
        <f>+SUM(AW551:AZ551)</f>
        <v>44.804387286550003</v>
      </c>
      <c r="BB551" s="626">
        <f>+BB544+BB547</f>
        <v>10.744244181465</v>
      </c>
      <c r="BC551" s="626">
        <f>+BC544+BC547</f>
        <v>10.943888745809998</v>
      </c>
      <c r="BD551" s="626">
        <f>+BD544+BD547</f>
        <v>10.406728612999999</v>
      </c>
      <c r="BE551" s="626">
        <f>+BE544+BE547</f>
        <v>11.342975813738748</v>
      </c>
      <c r="BF551" s="1950">
        <f>+SUM(BB551:BE551)</f>
        <v>43.437837354013745</v>
      </c>
      <c r="BG551" s="625">
        <f>+BG544+BG547</f>
        <v>10.859071470050349</v>
      </c>
      <c r="BH551" s="626">
        <f>+BH544+BH547</f>
        <v>11.261932659926199</v>
      </c>
      <c r="BI551" s="626">
        <f>+BI544+BI547</f>
        <v>10.71402932446</v>
      </c>
      <c r="BJ551" s="1893">
        <f>+BJ544+BJ547</f>
        <v>11.270827716657891</v>
      </c>
      <c r="BK551" s="1950">
        <f>+SUM(BG551:BJ551)</f>
        <v>44.105861171094439</v>
      </c>
      <c r="BL551" s="626">
        <f>+BL544+BL547</f>
        <v>8.8769696292523648</v>
      </c>
      <c r="BM551" s="626">
        <f>+BM544+BM547</f>
        <v>9.1912866004243519</v>
      </c>
      <c r="BN551" s="626"/>
      <c r="BO551" s="1893"/>
      <c r="BP551" s="1950"/>
      <c r="BQ551" s="626"/>
      <c r="BR551" s="626"/>
      <c r="BS551" s="626"/>
      <c r="BT551" s="1893"/>
      <c r="BU551" s="3406"/>
      <c r="BV551" s="626"/>
      <c r="BW551" s="626"/>
      <c r="BX551" s="626"/>
      <c r="BY551" s="1893"/>
      <c r="BZ551" s="1950"/>
      <c r="CA551" s="1950"/>
      <c r="CB551" s="1950"/>
      <c r="CC551" s="1950"/>
      <c r="CD551" s="1950"/>
      <c r="CE551" s="1950"/>
      <c r="CF551" s="1950"/>
      <c r="CG551" s="1950"/>
      <c r="CH551" s="626"/>
      <c r="CI551" s="626"/>
      <c r="CJ551" s="626"/>
      <c r="CK551" s="626"/>
      <c r="CL551" s="626"/>
      <c r="CM551" s="626"/>
      <c r="CN551" s="626"/>
      <c r="CO551" s="626"/>
      <c r="CP551" s="994"/>
      <c r="CQ551" s="626"/>
      <c r="CR551" s="626"/>
      <c r="CS551" s="626"/>
      <c r="CT551" s="626"/>
      <c r="CU551" s="626"/>
      <c r="CV551" s="626"/>
      <c r="CW551" s="626"/>
      <c r="CX551" s="626"/>
      <c r="CY551" s="626"/>
      <c r="CZ551" s="626"/>
      <c r="DA551" s="626"/>
      <c r="DB551" s="626"/>
      <c r="DC551" s="626"/>
      <c r="DD551" s="626"/>
      <c r="DE551" s="626"/>
      <c r="DF551" s="626"/>
      <c r="DG551" s="1893"/>
      <c r="DH551" s="632"/>
      <c r="DI551" s="595"/>
      <c r="DJ551" s="595"/>
      <c r="DK551" s="595"/>
      <c r="DL551" s="595"/>
      <c r="DM551" s="595"/>
      <c r="DN551" s="514"/>
      <c r="DO551" s="77"/>
      <c r="DY551" s="1634"/>
      <c r="DZ551" s="1634"/>
    </row>
    <row r="552" spans="1:130" ht="12" hidden="1" customHeight="1" outlineLevel="1">
      <c r="A552" s="567" t="s">
        <v>1664</v>
      </c>
      <c r="B552" s="228"/>
      <c r="C552" s="228"/>
      <c r="D552" s="625"/>
      <c r="E552" s="626"/>
      <c r="F552" s="626"/>
      <c r="G552" s="626"/>
      <c r="H552" s="788"/>
      <c r="I552" s="626"/>
      <c r="J552" s="626"/>
      <c r="K552" s="626"/>
      <c r="L552" s="626"/>
      <c r="M552" s="788"/>
      <c r="N552" s="626"/>
      <c r="O552" s="626"/>
      <c r="P552" s="626"/>
      <c r="Q552" s="626"/>
      <c r="R552" s="788"/>
      <c r="S552" s="626"/>
      <c r="T552" s="626"/>
      <c r="U552" s="626"/>
      <c r="V552" s="626"/>
      <c r="W552" s="788"/>
      <c r="X552" s="626"/>
      <c r="Y552" s="626"/>
      <c r="Z552" s="626"/>
      <c r="AA552" s="626"/>
      <c r="AB552" s="788"/>
      <c r="AC552" s="626"/>
      <c r="AD552" s="626"/>
      <c r="AE552" s="626"/>
      <c r="AF552" s="626"/>
      <c r="AG552" s="788"/>
      <c r="AH552" s="626"/>
      <c r="AI552" s="626"/>
      <c r="AJ552" s="626"/>
      <c r="AK552" s="626"/>
      <c r="AL552" s="788"/>
      <c r="AM552" s="860">
        <f t="shared" ref="AM552:BD552" si="1280">+AM551/AM540</f>
        <v>0.66038073640866513</v>
      </c>
      <c r="AN552" s="860">
        <f t="shared" si="1280"/>
        <v>0.64480937735739563</v>
      </c>
      <c r="AO552" s="860">
        <f t="shared" si="1280"/>
        <v>0.6391764051196438</v>
      </c>
      <c r="AP552" s="860">
        <f t="shared" si="1280"/>
        <v>0.67034393251135627</v>
      </c>
      <c r="AQ552" s="1975">
        <f t="shared" si="1280"/>
        <v>0.65340801903905033</v>
      </c>
      <c r="AR552" s="860">
        <f t="shared" si="1280"/>
        <v>0.65647512621249071</v>
      </c>
      <c r="AS552" s="860">
        <f t="shared" si="1280"/>
        <v>0.66832163442332926</v>
      </c>
      <c r="AT552" s="860">
        <f t="shared" si="1280"/>
        <v>0.63957700397289086</v>
      </c>
      <c r="AU552" s="860">
        <f t="shared" si="1280"/>
        <v>0.73321220873619353</v>
      </c>
      <c r="AV552" s="1975">
        <f t="shared" si="1280"/>
        <v>0.67361828053017603</v>
      </c>
      <c r="AW552" s="860">
        <f t="shared" si="1280"/>
        <v>0.69004036673075353</v>
      </c>
      <c r="AX552" s="860">
        <f t="shared" si="1280"/>
        <v>0.66877978985298492</v>
      </c>
      <c r="AY552" s="860">
        <f t="shared" si="1280"/>
        <v>0.61024495624976272</v>
      </c>
      <c r="AZ552" s="860">
        <f t="shared" si="1280"/>
        <v>0.74899905580977211</v>
      </c>
      <c r="BA552" s="1975">
        <f t="shared" si="1280"/>
        <v>0.67684648772069167</v>
      </c>
      <c r="BB552" s="860">
        <f t="shared" si="1280"/>
        <v>0.72265964596972709</v>
      </c>
      <c r="BC552" s="860">
        <f t="shared" si="1280"/>
        <v>0.68583571572234181</v>
      </c>
      <c r="BD552" s="860">
        <f t="shared" si="1280"/>
        <v>0.63437582563359673</v>
      </c>
      <c r="BE552" s="860">
        <f>+BE551/BE540</f>
        <v>0.72473989294545682</v>
      </c>
      <c r="BF552" s="1975">
        <f t="shared" ref="BF552:BL552" si="1281">+BF551/BF540</f>
        <v>0.69080062138913845</v>
      </c>
      <c r="BG552" s="861">
        <f t="shared" si="1281"/>
        <v>0.72354400770049576</v>
      </c>
      <c r="BH552" s="860">
        <f t="shared" si="1281"/>
        <v>0.67731195038297631</v>
      </c>
      <c r="BI552" s="860">
        <f t="shared" si="1281"/>
        <v>0.62180754003477201</v>
      </c>
      <c r="BJ552" s="1295">
        <f t="shared" si="1281"/>
        <v>0.70428965991605696</v>
      </c>
      <c r="BK552" s="1975">
        <f t="shared" si="1281"/>
        <v>0.6799205787352226</v>
      </c>
      <c r="BL552" s="860">
        <f t="shared" si="1281"/>
        <v>0.53306927163418416</v>
      </c>
      <c r="BM552" s="860">
        <f t="shared" ref="BM552" si="1282">+BM551/BM540</f>
        <v>0.57175526256435794</v>
      </c>
      <c r="BN552" s="860"/>
      <c r="BO552" s="1295"/>
      <c r="BP552" s="1975"/>
      <c r="BQ552" s="860"/>
      <c r="BR552" s="860"/>
      <c r="BS552" s="860"/>
      <c r="BT552" s="1295"/>
      <c r="BU552" s="3407"/>
      <c r="BV552" s="860"/>
      <c r="BW552" s="860"/>
      <c r="BX552" s="860"/>
      <c r="BY552" s="1295"/>
      <c r="BZ552" s="1975"/>
      <c r="CA552" s="1975"/>
      <c r="CB552" s="1975"/>
      <c r="CC552" s="1975"/>
      <c r="CD552" s="1975"/>
      <c r="CE552" s="1975"/>
      <c r="CF552" s="1975"/>
      <c r="CG552" s="1975"/>
      <c r="CH552" s="626"/>
      <c r="CI552" s="626"/>
      <c r="CJ552" s="626"/>
      <c r="CK552" s="626"/>
      <c r="CL552" s="626"/>
      <c r="CM552" s="626"/>
      <c r="CN552" s="626"/>
      <c r="CO552" s="626"/>
      <c r="CP552" s="994"/>
      <c r="CQ552" s="626"/>
      <c r="CR552" s="626"/>
      <c r="CS552" s="626"/>
      <c r="CT552" s="626"/>
      <c r="CU552" s="626"/>
      <c r="CV552" s="626"/>
      <c r="CW552" s="626"/>
      <c r="CX552" s="626"/>
      <c r="CY552" s="626"/>
      <c r="CZ552" s="626"/>
      <c r="DA552" s="626"/>
      <c r="DB552" s="626"/>
      <c r="DC552" s="626"/>
      <c r="DD552" s="626"/>
      <c r="DE552" s="626"/>
      <c r="DF552" s="626"/>
      <c r="DG552" s="1893"/>
      <c r="DH552" s="632"/>
      <c r="DI552" s="595"/>
      <c r="DJ552" s="595"/>
      <c r="DK552" s="595"/>
      <c r="DL552" s="595"/>
      <c r="DM552" s="595"/>
      <c r="DN552" s="514"/>
      <c r="DO552" s="77"/>
      <c r="DY552" s="769"/>
      <c r="DZ552" s="769"/>
    </row>
    <row r="553" spans="1:130" ht="12" hidden="1" customHeight="1" outlineLevel="1">
      <c r="A553" s="567" t="s">
        <v>1153</v>
      </c>
      <c r="B553" s="228"/>
      <c r="C553" s="228"/>
      <c r="D553" s="625"/>
      <c r="E553" s="626"/>
      <c r="F553" s="626"/>
      <c r="G553" s="626"/>
      <c r="H553" s="788"/>
      <c r="I553" s="626"/>
      <c r="J553" s="626"/>
      <c r="K553" s="626"/>
      <c r="L553" s="626"/>
      <c r="M553" s="788"/>
      <c r="N553" s="626"/>
      <c r="O553" s="626"/>
      <c r="P553" s="626"/>
      <c r="Q553" s="626"/>
      <c r="R553" s="788"/>
      <c r="S553" s="626"/>
      <c r="T553" s="626"/>
      <c r="U553" s="626"/>
      <c r="V553" s="626"/>
      <c r="W553" s="788"/>
      <c r="X553" s="626"/>
      <c r="Y553" s="626"/>
      <c r="Z553" s="626"/>
      <c r="AA553" s="626"/>
      <c r="AB553" s="788"/>
      <c r="AC553" s="626"/>
      <c r="AD553" s="626"/>
      <c r="AE553" s="626"/>
      <c r="AF553" s="626"/>
      <c r="AG553" s="788"/>
      <c r="AH553" s="626"/>
      <c r="AI553" s="626"/>
      <c r="AJ553" s="626"/>
      <c r="AK553" s="626"/>
      <c r="AL553" s="788"/>
      <c r="AM553" s="626"/>
      <c r="AN553" s="261"/>
      <c r="AO553" s="626"/>
      <c r="AP553" s="330"/>
      <c r="AQ553" s="1439"/>
      <c r="AR553" s="573">
        <f t="shared" ref="AR553:BF553" si="1283">+AR551/AM551-1</f>
        <v>4.5816013012832002E-2</v>
      </c>
      <c r="AS553" s="573">
        <f t="shared" si="1283"/>
        <v>5.3905687544996361E-2</v>
      </c>
      <c r="AT553" s="573">
        <f t="shared" si="1283"/>
        <v>-4.6926693365836658E-2</v>
      </c>
      <c r="AU553" s="573">
        <f t="shared" si="1283"/>
        <v>5.8599114010384312E-2</v>
      </c>
      <c r="AV553" s="1975">
        <f t="shared" si="1283"/>
        <v>2.7380499089435073E-2</v>
      </c>
      <c r="AW553" s="573">
        <f t="shared" si="1283"/>
        <v>-3.0760881837034293E-2</v>
      </c>
      <c r="AX553" s="573">
        <f t="shared" si="1283"/>
        <v>-3.0751915762957882E-2</v>
      </c>
      <c r="AY553" s="573">
        <f t="shared" si="1283"/>
        <v>-1.3177881611400211E-2</v>
      </c>
      <c r="AZ553" s="573">
        <f t="shared" si="1283"/>
        <v>-4.9471414518148293E-2</v>
      </c>
      <c r="BA553" s="1975">
        <f t="shared" si="1283"/>
        <v>-3.1463008998304898E-2</v>
      </c>
      <c r="BB553" s="573">
        <f t="shared" si="1283"/>
        <v>-4.2146737201828044E-2</v>
      </c>
      <c r="BC553" s="573">
        <f t="shared" si="1283"/>
        <v>-3.5854147967403271E-2</v>
      </c>
      <c r="BD553" s="573">
        <f t="shared" si="1283"/>
        <v>-3.6658574915314768E-2</v>
      </c>
      <c r="BE553" s="573">
        <f t="shared" si="1283"/>
        <v>-7.9414802638367865E-3</v>
      </c>
      <c r="BF553" s="1975">
        <f t="shared" si="1283"/>
        <v>-3.0500359792811849E-2</v>
      </c>
      <c r="BG553" s="2730">
        <f t="shared" ref="BG553:BM553" si="1284">+BG551/BB551-1</f>
        <v>1.0687330504218995E-2</v>
      </c>
      <c r="BH553" s="573">
        <f t="shared" si="1284"/>
        <v>2.9061325594886611E-2</v>
      </c>
      <c r="BI553" s="573">
        <f t="shared" si="1284"/>
        <v>2.952904057439576E-2</v>
      </c>
      <c r="BJ553" s="2135">
        <f t="shared" si="1284"/>
        <v>-6.3605969249683758E-3</v>
      </c>
      <c r="BK553" s="1975">
        <f t="shared" si="1284"/>
        <v>1.5378846134451285E-2</v>
      </c>
      <c r="BL553" s="573">
        <f t="shared" si="1284"/>
        <v>-0.18252958793619523</v>
      </c>
      <c r="BM553" s="573">
        <f t="shared" si="1284"/>
        <v>-0.18386240816995048</v>
      </c>
      <c r="BN553" s="573"/>
      <c r="BO553" s="2135"/>
      <c r="BP553" s="1975"/>
      <c r="BQ553" s="573"/>
      <c r="BR553" s="573"/>
      <c r="BS553" s="573"/>
      <c r="BT553" s="2135"/>
      <c r="BU553" s="3407"/>
      <c r="BV553" s="573"/>
      <c r="BW553" s="573"/>
      <c r="BX553" s="573"/>
      <c r="BY553" s="2135"/>
      <c r="BZ553" s="1621"/>
      <c r="CA553" s="1621"/>
      <c r="CB553" s="1621"/>
      <c r="CC553" s="1621"/>
      <c r="CD553" s="1621"/>
      <c r="CE553" s="1621"/>
      <c r="CF553" s="1621"/>
      <c r="CG553" s="1621"/>
      <c r="CH553" s="626"/>
      <c r="CI553" s="626"/>
      <c r="CJ553" s="626"/>
      <c r="CK553" s="626"/>
      <c r="CL553" s="626"/>
      <c r="CM553" s="626"/>
      <c r="CN553" s="626"/>
      <c r="CO553" s="626"/>
      <c r="CP553" s="994"/>
      <c r="CQ553" s="626"/>
      <c r="CR553" s="626"/>
      <c r="CS553" s="626"/>
      <c r="CT553" s="626"/>
      <c r="CU553" s="626"/>
      <c r="CV553" s="626"/>
      <c r="CW553" s="626"/>
      <c r="CX553" s="626"/>
      <c r="CY553" s="626"/>
      <c r="CZ553" s="626"/>
      <c r="DA553" s="626"/>
      <c r="DB553" s="626"/>
      <c r="DC553" s="626"/>
      <c r="DD553" s="626"/>
      <c r="DE553" s="626"/>
      <c r="DF553" s="626"/>
      <c r="DG553" s="1893"/>
      <c r="DH553" s="632"/>
      <c r="DI553" s="595"/>
      <c r="DJ553" s="595"/>
      <c r="DK553" s="595"/>
      <c r="DL553" s="595"/>
      <c r="DM553" s="595"/>
      <c r="DN553" s="514"/>
      <c r="DO553" s="77"/>
      <c r="DY553" s="769"/>
      <c r="DZ553" s="769"/>
    </row>
    <row r="554" spans="1:130" ht="12" hidden="1" customHeight="1" outlineLevel="1">
      <c r="A554" s="552"/>
      <c r="B554" s="228"/>
      <c r="C554" s="228"/>
      <c r="D554" s="625"/>
      <c r="E554" s="626"/>
      <c r="F554" s="626"/>
      <c r="G554" s="626"/>
      <c r="H554" s="788"/>
      <c r="I554" s="626"/>
      <c r="J554" s="626"/>
      <c r="K554" s="626"/>
      <c r="L554" s="626"/>
      <c r="M554" s="788"/>
      <c r="N554" s="626"/>
      <c r="O554" s="626"/>
      <c r="P554" s="626"/>
      <c r="Q554" s="626"/>
      <c r="R554" s="788"/>
      <c r="S554" s="626"/>
      <c r="T554" s="626"/>
      <c r="U554" s="626"/>
      <c r="V554" s="626"/>
      <c r="W554" s="788"/>
      <c r="X554" s="626"/>
      <c r="Y554" s="626"/>
      <c r="Z554" s="626"/>
      <c r="AA554" s="626"/>
      <c r="AB554" s="788"/>
      <c r="AC554" s="626"/>
      <c r="AD554" s="626"/>
      <c r="AE554" s="626"/>
      <c r="AF554" s="626"/>
      <c r="AG554" s="788"/>
      <c r="AH554" s="626"/>
      <c r="AI554" s="626"/>
      <c r="AJ554" s="626"/>
      <c r="AK554" s="626"/>
      <c r="AL554" s="788"/>
      <c r="AM554" s="626"/>
      <c r="AN554" s="261"/>
      <c r="AO554" s="626"/>
      <c r="AP554" s="330"/>
      <c r="AQ554" s="1439"/>
      <c r="AR554" s="330"/>
      <c r="AS554" s="330"/>
      <c r="AT554" s="330"/>
      <c r="AU554" s="626"/>
      <c r="AV554" s="1439"/>
      <c r="AW554" s="626"/>
      <c r="AX554" s="261"/>
      <c r="AY554" s="626"/>
      <c r="AZ554" s="626"/>
      <c r="BA554" s="1439"/>
      <c r="BB554" s="626"/>
      <c r="BC554" s="261"/>
      <c r="BD554" s="626"/>
      <c r="BE554" s="626"/>
      <c r="BF554" s="1439"/>
      <c r="BG554" s="678"/>
      <c r="BH554" s="330"/>
      <c r="BI554" s="330"/>
      <c r="BJ554" s="2136"/>
      <c r="BK554" s="1439"/>
      <c r="BL554" s="330"/>
      <c r="BM554" s="330"/>
      <c r="BN554" s="330"/>
      <c r="BO554" s="2136"/>
      <c r="BP554" s="1439"/>
      <c r="BQ554" s="330"/>
      <c r="BR554" s="330"/>
      <c r="BS554" s="330"/>
      <c r="BT554" s="2136"/>
      <c r="BU554" s="3406"/>
      <c r="BV554" s="330"/>
      <c r="BW554" s="330"/>
      <c r="BX554" s="330"/>
      <c r="BY554" s="2136"/>
      <c r="BZ554" s="1439"/>
      <c r="CA554" s="1439"/>
      <c r="CB554" s="1439"/>
      <c r="CC554" s="1439"/>
      <c r="CD554" s="1439"/>
      <c r="CE554" s="1439"/>
      <c r="CF554" s="1439"/>
      <c r="CG554" s="1439"/>
      <c r="CH554" s="626"/>
      <c r="CI554" s="626"/>
      <c r="CJ554" s="626"/>
      <c r="CK554" s="626"/>
      <c r="CL554" s="626"/>
      <c r="CM554" s="626"/>
      <c r="CN554" s="626"/>
      <c r="CO554" s="626"/>
      <c r="CP554" s="994"/>
      <c r="CQ554" s="626"/>
      <c r="CR554" s="626"/>
      <c r="CS554" s="626"/>
      <c r="CT554" s="626"/>
      <c r="CU554" s="626"/>
      <c r="CV554" s="626"/>
      <c r="CW554" s="626"/>
      <c r="CX554" s="626"/>
      <c r="CY554" s="626"/>
      <c r="CZ554" s="626"/>
      <c r="DA554" s="626"/>
      <c r="DB554" s="626"/>
      <c r="DC554" s="626"/>
      <c r="DD554" s="626"/>
      <c r="DE554" s="626"/>
      <c r="DF554" s="626"/>
      <c r="DG554" s="1893"/>
      <c r="DH554" s="632"/>
      <c r="DI554" s="595"/>
      <c r="DJ554" s="595"/>
      <c r="DK554" s="595"/>
      <c r="DL554" s="595"/>
      <c r="DM554" s="595"/>
      <c r="DN554" s="514"/>
      <c r="DO554" s="77"/>
      <c r="DY554" s="330"/>
      <c r="DZ554" s="330"/>
    </row>
    <row r="555" spans="1:130" ht="12" hidden="1" customHeight="1" outlineLevel="1">
      <c r="A555" s="228" t="s">
        <v>401</v>
      </c>
      <c r="B555" s="228"/>
      <c r="C555" s="228"/>
      <c r="D555" s="625"/>
      <c r="E555" s="626"/>
      <c r="F555" s="626"/>
      <c r="G555" s="626"/>
      <c r="H555" s="788"/>
      <c r="I555" s="626"/>
      <c r="J555" s="626"/>
      <c r="K555" s="626"/>
      <c r="L555" s="626"/>
      <c r="M555" s="788"/>
      <c r="N555" s="626"/>
      <c r="O555" s="626"/>
      <c r="P555" s="626"/>
      <c r="Q555" s="626"/>
      <c r="R555" s="788"/>
      <c r="S555" s="626"/>
      <c r="T555" s="626"/>
      <c r="U555" s="626"/>
      <c r="V555" s="626"/>
      <c r="W555" s="788"/>
      <c r="X555" s="626"/>
      <c r="Y555" s="626"/>
      <c r="Z555" s="626"/>
      <c r="AA555" s="626"/>
      <c r="AB555" s="788"/>
      <c r="AC555" s="626"/>
      <c r="AD555" s="626"/>
      <c r="AE555" s="626"/>
      <c r="AF555" s="626"/>
      <c r="AG555" s="788"/>
      <c r="AH555" s="626"/>
      <c r="AI555" s="626"/>
      <c r="AJ555" s="626"/>
      <c r="AK555" s="626"/>
      <c r="AL555" s="788"/>
      <c r="AM555" s="827">
        <v>5.6909999999999998</v>
      </c>
      <c r="AN555" s="827">
        <v>6.1210000000000004</v>
      </c>
      <c r="AO555" s="827">
        <v>6.484</v>
      </c>
      <c r="AP555" s="827">
        <v>5.5880000000000001</v>
      </c>
      <c r="AQ555" s="556">
        <f>+SUM(AM555:AP555)</f>
        <v>23.884</v>
      </c>
      <c r="AR555" s="827">
        <v>6.056</v>
      </c>
      <c r="AS555" s="827">
        <v>5.8120000000000003</v>
      </c>
      <c r="AT555" s="827">
        <v>6.1689999999999996</v>
      </c>
      <c r="AU555" s="826">
        <f>+AU540-AU551</f>
        <v>4.376841267500005</v>
      </c>
      <c r="AV555" s="556">
        <f>+SUM(AR555:AU555)</f>
        <v>22.413841267500004</v>
      </c>
      <c r="AW555" s="826">
        <f>+AW540-AW551</f>
        <v>5.0385726854999966</v>
      </c>
      <c r="AX555" s="826">
        <f>+AX540-AX551</f>
        <v>5.6216346855000037</v>
      </c>
      <c r="AY555" s="826">
        <f>+AY540-AY551</f>
        <v>6.8995622700000006</v>
      </c>
      <c r="AZ555" s="826">
        <f>+AZ540-AZ551</f>
        <v>3.8316320724500024</v>
      </c>
      <c r="BA555" s="556">
        <f>+SUM(AW555:AZ555)</f>
        <v>21.391401713450005</v>
      </c>
      <c r="BB555" s="826">
        <f>+BB540-BB551</f>
        <v>4.1233968185350012</v>
      </c>
      <c r="BC555" s="826">
        <f>+BC540-BC551</f>
        <v>5.0131232541900044</v>
      </c>
      <c r="BD555" s="826">
        <f>+BD540-BD551</f>
        <v>5.9979453870000015</v>
      </c>
      <c r="BE555" s="826">
        <f>+BE540-BE551</f>
        <v>4.3081231862612537</v>
      </c>
      <c r="BF555" s="556">
        <f>+SUM(BB555:BE555)</f>
        <v>19.442588645986262</v>
      </c>
      <c r="BG555" s="2731">
        <f>+BG540-BG551</f>
        <v>4.1490985299496508</v>
      </c>
      <c r="BH555" s="826">
        <f>+BH540-BH551</f>
        <v>5.3654613400738036</v>
      </c>
      <c r="BI555" s="826">
        <f>+BI540-BI551</f>
        <v>6.5164296755400031</v>
      </c>
      <c r="BJ555" s="1900">
        <f>+BJ540-BJ551</f>
        <v>4.7322862833421091</v>
      </c>
      <c r="BK555" s="556">
        <f>+SUM(BG555:BJ555)</f>
        <v>20.763275828905567</v>
      </c>
      <c r="BL555" s="826">
        <f>+BL540-BL551</f>
        <v>7.7755933707476359</v>
      </c>
      <c r="BM555" s="826">
        <f>+BM540-BM551</f>
        <v>6.8842743995756486</v>
      </c>
      <c r="BN555" s="826"/>
      <c r="BO555" s="1900"/>
      <c r="BP555" s="556"/>
      <c r="BQ555" s="826"/>
      <c r="BR555" s="826"/>
      <c r="BS555" s="826"/>
      <c r="BT555" s="1900"/>
      <c r="BU555" s="3372"/>
      <c r="BV555" s="826"/>
      <c r="BW555" s="826"/>
      <c r="BX555" s="826"/>
      <c r="BY555" s="1900"/>
      <c r="BZ555" s="556"/>
      <c r="CA555" s="556"/>
      <c r="CB555" s="556"/>
      <c r="CC555" s="556"/>
      <c r="CD555" s="556"/>
      <c r="CE555" s="556"/>
      <c r="CF555" s="556"/>
      <c r="CG555" s="556"/>
      <c r="CH555" s="626"/>
      <c r="CI555" s="626"/>
      <c r="CJ555" s="626"/>
      <c r="CK555" s="626"/>
      <c r="CL555" s="626"/>
      <c r="CM555" s="626"/>
      <c r="CN555" s="626"/>
      <c r="CO555" s="626"/>
      <c r="CP555" s="994"/>
      <c r="CQ555" s="626"/>
      <c r="CR555" s="626"/>
      <c r="CS555" s="626"/>
      <c r="CT555" s="626"/>
      <c r="CU555" s="626"/>
      <c r="CV555" s="626"/>
      <c r="CW555" s="626"/>
      <c r="CX555" s="626"/>
      <c r="CY555" s="626"/>
      <c r="CZ555" s="626"/>
      <c r="DA555" s="626"/>
      <c r="DB555" s="626"/>
      <c r="DC555" s="626"/>
      <c r="DD555" s="626"/>
      <c r="DE555" s="626"/>
      <c r="DF555" s="626"/>
      <c r="DG555" s="1893"/>
      <c r="DH555" s="632"/>
      <c r="DI555" s="595"/>
      <c r="DJ555" s="595"/>
      <c r="DK555" s="595"/>
      <c r="DL555" s="595"/>
      <c r="DM555" s="595"/>
      <c r="DN555" s="514"/>
      <c r="DO555" s="77"/>
      <c r="DY555" s="557"/>
      <c r="DZ555" s="557"/>
    </row>
    <row r="556" spans="1:130" ht="12" hidden="1" customHeight="1" outlineLevel="1">
      <c r="A556" s="212" t="s">
        <v>56</v>
      </c>
      <c r="B556" s="228"/>
      <c r="C556" s="228"/>
      <c r="D556" s="625"/>
      <c r="E556" s="626"/>
      <c r="F556" s="626"/>
      <c r="G556" s="626"/>
      <c r="H556" s="788"/>
      <c r="I556" s="626"/>
      <c r="J556" s="626"/>
      <c r="K556" s="626"/>
      <c r="L556" s="626"/>
      <c r="M556" s="788"/>
      <c r="N556" s="626"/>
      <c r="O556" s="626"/>
      <c r="P556" s="626"/>
      <c r="Q556" s="626"/>
      <c r="R556" s="788"/>
      <c r="S556" s="626"/>
      <c r="T556" s="626"/>
      <c r="U556" s="626"/>
      <c r="V556" s="626"/>
      <c r="W556" s="788"/>
      <c r="X556" s="626"/>
      <c r="Y556" s="626"/>
      <c r="Z556" s="626"/>
      <c r="AA556" s="626"/>
      <c r="AB556" s="788"/>
      <c r="AC556" s="626"/>
      <c r="AD556" s="626"/>
      <c r="AE556" s="626"/>
      <c r="AF556" s="626"/>
      <c r="AG556" s="788"/>
      <c r="AH556" s="626"/>
      <c r="AI556" s="626"/>
      <c r="AJ556" s="626"/>
      <c r="AK556" s="626"/>
      <c r="AL556" s="788"/>
      <c r="AM556" s="573">
        <f t="shared" ref="AM556:BF556" si="1285">+AM555/AM540</f>
        <v>0.33961926359133493</v>
      </c>
      <c r="AN556" s="573">
        <f t="shared" si="1285"/>
        <v>0.35519062264260431</v>
      </c>
      <c r="AO556" s="573">
        <f t="shared" si="1285"/>
        <v>0.36082359488035615</v>
      </c>
      <c r="AP556" s="573">
        <f t="shared" si="1285"/>
        <v>0.32965606748864373</v>
      </c>
      <c r="AQ556" s="1621">
        <f t="shared" si="1285"/>
        <v>0.34659198096094962</v>
      </c>
      <c r="AR556" s="573">
        <f t="shared" si="1285"/>
        <v>0.34352487378750918</v>
      </c>
      <c r="AS556" s="573">
        <f t="shared" si="1285"/>
        <v>0.33167836557667069</v>
      </c>
      <c r="AT556" s="573">
        <f t="shared" si="1285"/>
        <v>0.36042299602710914</v>
      </c>
      <c r="AU556" s="573">
        <f t="shared" si="1285"/>
        <v>0.26678779126380653</v>
      </c>
      <c r="AV556" s="1621">
        <f t="shared" si="1285"/>
        <v>0.32638171946982386</v>
      </c>
      <c r="AW556" s="573">
        <f t="shared" si="1285"/>
        <v>0.30995963326924642</v>
      </c>
      <c r="AX556" s="573">
        <f t="shared" si="1285"/>
        <v>0.33122021014701503</v>
      </c>
      <c r="AY556" s="573">
        <f t="shared" si="1285"/>
        <v>0.38975504375023723</v>
      </c>
      <c r="AZ556" s="573">
        <f t="shared" si="1285"/>
        <v>0.25100094419022784</v>
      </c>
      <c r="BA556" s="1621">
        <f t="shared" si="1285"/>
        <v>0.32315351227930833</v>
      </c>
      <c r="BB556" s="573">
        <f t="shared" si="1285"/>
        <v>0.27734035403027291</v>
      </c>
      <c r="BC556" s="573">
        <f t="shared" si="1285"/>
        <v>0.31416428427765825</v>
      </c>
      <c r="BD556" s="573">
        <f t="shared" si="1285"/>
        <v>0.36562417436640321</v>
      </c>
      <c r="BE556" s="573">
        <f t="shared" si="1285"/>
        <v>0.27526010705454312</v>
      </c>
      <c r="BF556" s="1621">
        <f t="shared" si="1285"/>
        <v>0.3091993786108615</v>
      </c>
      <c r="BG556" s="2730">
        <f t="shared" ref="BG556:BM556" si="1286">+BG555/BG540</f>
        <v>0.27645599229950424</v>
      </c>
      <c r="BH556" s="573">
        <f t="shared" si="1286"/>
        <v>0.32268804961702374</v>
      </c>
      <c r="BI556" s="573">
        <f t="shared" si="1286"/>
        <v>0.37819245996522799</v>
      </c>
      <c r="BJ556" s="2135">
        <f t="shared" si="1286"/>
        <v>0.29571034008394298</v>
      </c>
      <c r="BK556" s="1621">
        <f t="shared" si="1286"/>
        <v>0.32007942126477756</v>
      </c>
      <c r="BL556" s="573">
        <f t="shared" si="1286"/>
        <v>0.46693072836581584</v>
      </c>
      <c r="BM556" s="573">
        <f t="shared" si="1286"/>
        <v>0.42824473743564212</v>
      </c>
      <c r="BN556" s="573"/>
      <c r="BO556" s="2135"/>
      <c r="BP556" s="1621"/>
      <c r="BQ556" s="573"/>
      <c r="BR556" s="573"/>
      <c r="BS556" s="573"/>
      <c r="BT556" s="2135"/>
      <c r="BU556" s="3371"/>
      <c r="BV556" s="573"/>
      <c r="BW556" s="573"/>
      <c r="BX556" s="573"/>
      <c r="BY556" s="2135"/>
      <c r="BZ556" s="562"/>
      <c r="CA556" s="562"/>
      <c r="CB556" s="562"/>
      <c r="CC556" s="562"/>
      <c r="CD556" s="562"/>
      <c r="CE556" s="562"/>
      <c r="CF556" s="562"/>
      <c r="CG556" s="562"/>
      <c r="CH556" s="626"/>
      <c r="CI556" s="626"/>
      <c r="CJ556" s="626"/>
      <c r="CK556" s="626"/>
      <c r="CL556" s="626"/>
      <c r="CM556" s="626"/>
      <c r="CN556" s="626"/>
      <c r="CO556" s="626"/>
      <c r="CP556" s="994"/>
      <c r="CQ556" s="626"/>
      <c r="CR556" s="626"/>
      <c r="CS556" s="626"/>
      <c r="CT556" s="626"/>
      <c r="CU556" s="626"/>
      <c r="CV556" s="626"/>
      <c r="CW556" s="626"/>
      <c r="CX556" s="626"/>
      <c r="CY556" s="626"/>
      <c r="CZ556" s="626"/>
      <c r="DA556" s="626"/>
      <c r="DB556" s="626"/>
      <c r="DC556" s="626"/>
      <c r="DD556" s="626"/>
      <c r="DE556" s="626"/>
      <c r="DF556" s="626"/>
      <c r="DG556" s="1893"/>
      <c r="DH556" s="632"/>
      <c r="DI556" s="595"/>
      <c r="DJ556" s="595"/>
      <c r="DK556" s="595"/>
      <c r="DL556" s="595"/>
      <c r="DM556" s="595"/>
      <c r="DN556" s="514"/>
      <c r="DO556" s="77"/>
      <c r="DY556" s="573"/>
      <c r="DZ556" s="573"/>
    </row>
    <row r="557" spans="1:130" ht="12" hidden="1" customHeight="1" outlineLevel="1">
      <c r="A557" s="567" t="s">
        <v>1153</v>
      </c>
      <c r="B557" s="228"/>
      <c r="C557" s="228"/>
      <c r="D557" s="625"/>
      <c r="E557" s="626"/>
      <c r="F557" s="626"/>
      <c r="G557" s="626"/>
      <c r="H557" s="788"/>
      <c r="I557" s="626"/>
      <c r="J557" s="626"/>
      <c r="K557" s="626"/>
      <c r="L557" s="626"/>
      <c r="M557" s="788"/>
      <c r="N557" s="626"/>
      <c r="O557" s="626"/>
      <c r="P557" s="626"/>
      <c r="Q557" s="626"/>
      <c r="R557" s="788"/>
      <c r="S557" s="626"/>
      <c r="T557" s="626"/>
      <c r="U557" s="626"/>
      <c r="V557" s="626"/>
      <c r="W557" s="788"/>
      <c r="X557" s="626"/>
      <c r="Y557" s="626"/>
      <c r="Z557" s="626"/>
      <c r="AA557" s="626"/>
      <c r="AB557" s="788"/>
      <c r="AC557" s="626"/>
      <c r="AD557" s="626"/>
      <c r="AE557" s="626"/>
      <c r="AF557" s="626"/>
      <c r="AG557" s="788"/>
      <c r="AH557" s="626"/>
      <c r="AI557" s="626"/>
      <c r="AJ557" s="626"/>
      <c r="AK557" s="626"/>
      <c r="AL557" s="788"/>
      <c r="AM557" s="626"/>
      <c r="AN557" s="261"/>
      <c r="AO557" s="626"/>
      <c r="AP557" s="330"/>
      <c r="AQ557" s="1439"/>
      <c r="AR557" s="573">
        <f t="shared" ref="AR557:BF557" si="1287">+AR555/AM555-1</f>
        <v>6.4136355649270893E-2</v>
      </c>
      <c r="AS557" s="573">
        <f t="shared" si="1287"/>
        <v>-5.0481947394216631E-2</v>
      </c>
      <c r="AT557" s="573">
        <f t="shared" si="1287"/>
        <v>-4.858112276372617E-2</v>
      </c>
      <c r="AU557" s="573">
        <f t="shared" si="1287"/>
        <v>-0.21674279393342788</v>
      </c>
      <c r="AV557" s="1975">
        <f t="shared" si="1287"/>
        <v>-6.1554125460559161E-2</v>
      </c>
      <c r="AW557" s="573">
        <f t="shared" si="1287"/>
        <v>-0.16800318931638103</v>
      </c>
      <c r="AX557" s="573">
        <f t="shared" si="1287"/>
        <v>-3.2753839384032424E-2</v>
      </c>
      <c r="AY557" s="573">
        <f t="shared" si="1287"/>
        <v>0.11842474793321456</v>
      </c>
      <c r="AZ557" s="573">
        <f t="shared" si="1287"/>
        <v>-0.12456681924894641</v>
      </c>
      <c r="BA557" s="1975">
        <f t="shared" si="1287"/>
        <v>-4.5616435926693844E-2</v>
      </c>
      <c r="BB557" s="573">
        <f t="shared" si="1287"/>
        <v>-0.18163395153526085</v>
      </c>
      <c r="BC557" s="573">
        <f t="shared" si="1287"/>
        <v>-0.10824457037017099</v>
      </c>
      <c r="BD557" s="573">
        <f t="shared" si="1287"/>
        <v>-0.13067740353910873</v>
      </c>
      <c r="BE557" s="573">
        <f t="shared" si="1287"/>
        <v>0.12435722031801855</v>
      </c>
      <c r="BF557" s="1975">
        <f t="shared" si="1287"/>
        <v>-9.110263523490425E-2</v>
      </c>
      <c r="BG557" s="2730">
        <f t="shared" ref="BG557:BM557" si="1288">+BG555/BB555-1</f>
        <v>6.2331404290556502E-3</v>
      </c>
      <c r="BH557" s="573">
        <f t="shared" si="1288"/>
        <v>7.0283148452277233E-2</v>
      </c>
      <c r="BI557" s="573">
        <f t="shared" si="1288"/>
        <v>8.6443649464326366E-2</v>
      </c>
      <c r="BJ557" s="2135">
        <f t="shared" si="1288"/>
        <v>9.8456585093370963E-2</v>
      </c>
      <c r="BK557" s="1975">
        <f t="shared" si="1288"/>
        <v>6.7927538198055082E-2</v>
      </c>
      <c r="BL557" s="573">
        <f t="shared" si="1288"/>
        <v>0.87404403983676726</v>
      </c>
      <c r="BM557" s="573">
        <f t="shared" si="1288"/>
        <v>0.28307222123810005</v>
      </c>
      <c r="BN557" s="573"/>
      <c r="BO557" s="2135"/>
      <c r="BP557" s="1975"/>
      <c r="BQ557" s="573"/>
      <c r="BR557" s="573"/>
      <c r="BS557" s="573"/>
      <c r="BT557" s="2135"/>
      <c r="BU557" s="3407"/>
      <c r="BV557" s="573"/>
      <c r="BW557" s="573"/>
      <c r="BX557" s="573"/>
      <c r="BY557" s="2135"/>
      <c r="BZ557" s="1621"/>
      <c r="CA557" s="1621"/>
      <c r="CB557" s="1621"/>
      <c r="CC557" s="1621"/>
      <c r="CD557" s="1621"/>
      <c r="CE557" s="1621"/>
      <c r="CF557" s="1621"/>
      <c r="CG557" s="1621"/>
      <c r="CH557" s="626"/>
      <c r="CI557" s="626"/>
      <c r="CJ557" s="626"/>
      <c r="CK557" s="626"/>
      <c r="CL557" s="626"/>
      <c r="CM557" s="626"/>
      <c r="CN557" s="626"/>
      <c r="CO557" s="626"/>
      <c r="CP557" s="994"/>
      <c r="CQ557" s="626"/>
      <c r="CR557" s="626"/>
      <c r="CS557" s="626"/>
      <c r="CT557" s="626"/>
      <c r="CU557" s="626"/>
      <c r="CV557" s="626"/>
      <c r="CW557" s="626"/>
      <c r="CX557" s="626"/>
      <c r="CY557" s="626"/>
      <c r="CZ557" s="626"/>
      <c r="DA557" s="626"/>
      <c r="DB557" s="626"/>
      <c r="DC557" s="626"/>
      <c r="DD557" s="626"/>
      <c r="DE557" s="626"/>
      <c r="DF557" s="626"/>
      <c r="DG557" s="1893"/>
      <c r="DH557" s="632"/>
      <c r="DI557" s="595"/>
      <c r="DJ557" s="595"/>
      <c r="DK557" s="595"/>
      <c r="DL557" s="595"/>
      <c r="DM557" s="595"/>
      <c r="DN557" s="514"/>
      <c r="DO557" s="77"/>
      <c r="DY557" s="769"/>
      <c r="DZ557" s="769"/>
    </row>
    <row r="558" spans="1:130" ht="12" hidden="1" customHeight="1" outlineLevel="1">
      <c r="A558" s="552"/>
      <c r="B558" s="228"/>
      <c r="C558" s="228"/>
      <c r="D558" s="625"/>
      <c r="E558" s="626"/>
      <c r="F558" s="626"/>
      <c r="G558" s="626"/>
      <c r="H558" s="788"/>
      <c r="I558" s="626"/>
      <c r="J558" s="626"/>
      <c r="K558" s="626"/>
      <c r="L558" s="626"/>
      <c r="M558" s="788"/>
      <c r="N558" s="626"/>
      <c r="O558" s="626"/>
      <c r="P558" s="626"/>
      <c r="Q558" s="626"/>
      <c r="R558" s="788"/>
      <c r="S558" s="626"/>
      <c r="T558" s="626"/>
      <c r="U558" s="626"/>
      <c r="V558" s="626"/>
      <c r="W558" s="788"/>
      <c r="X558" s="626"/>
      <c r="Y558" s="626"/>
      <c r="Z558" s="626"/>
      <c r="AA558" s="626"/>
      <c r="AB558" s="788"/>
      <c r="AC558" s="626"/>
      <c r="AD558" s="626"/>
      <c r="AE558" s="626"/>
      <c r="AF558" s="626"/>
      <c r="AG558" s="788"/>
      <c r="AH558" s="626"/>
      <c r="AI558" s="626"/>
      <c r="AJ558" s="626"/>
      <c r="AK558" s="626"/>
      <c r="AL558" s="788"/>
      <c r="AM558" s="626"/>
      <c r="AN558" s="261"/>
      <c r="AO558" s="626"/>
      <c r="AP558" s="330"/>
      <c r="AQ558" s="1439"/>
      <c r="AR558" s="330"/>
      <c r="AS558" s="330"/>
      <c r="AT558" s="330"/>
      <c r="AU558" s="626"/>
      <c r="AV558" s="1951"/>
      <c r="AW558" s="626"/>
      <c r="AX558" s="261"/>
      <c r="AY558" s="626"/>
      <c r="AZ558" s="626"/>
      <c r="BA558" s="1439"/>
      <c r="BB558" s="626"/>
      <c r="BC558" s="261"/>
      <c r="BD558" s="626"/>
      <c r="BE558" s="626"/>
      <c r="BF558" s="1439"/>
      <c r="BG558" s="678"/>
      <c r="BH558" s="330"/>
      <c r="BI558" s="330"/>
      <c r="BJ558" s="2136"/>
      <c r="BK558" s="1439"/>
      <c r="BL558" s="570"/>
      <c r="BM558" s="330"/>
      <c r="BN558" s="330"/>
      <c r="BO558" s="2136"/>
      <c r="BP558" s="1439"/>
      <c r="BQ558" s="330"/>
      <c r="BR558" s="330"/>
      <c r="BS558" s="330"/>
      <c r="BT558" s="2136"/>
      <c r="BU558" s="3406"/>
      <c r="BV558" s="330"/>
      <c r="BW558" s="330"/>
      <c r="BX558" s="330"/>
      <c r="BY558" s="2136"/>
      <c r="BZ558" s="1439"/>
      <c r="CA558" s="1439"/>
      <c r="CB558" s="1439"/>
      <c r="CC558" s="1439"/>
      <c r="CD558" s="1439"/>
      <c r="CE558" s="1439"/>
      <c r="CF558" s="1439"/>
      <c r="CG558" s="1439"/>
      <c r="CH558" s="626"/>
      <c r="CI558" s="626"/>
      <c r="CJ558" s="626"/>
      <c r="CK558" s="626"/>
      <c r="CL558" s="626"/>
      <c r="CM558" s="626"/>
      <c r="CN558" s="626"/>
      <c r="CO558" s="626"/>
      <c r="CP558" s="994"/>
      <c r="CQ558" s="626"/>
      <c r="CR558" s="626"/>
      <c r="CS558" s="626"/>
      <c r="CT558" s="626"/>
      <c r="CU558" s="626"/>
      <c r="CV558" s="626"/>
      <c r="CW558" s="626"/>
      <c r="CX558" s="626"/>
      <c r="CY558" s="626"/>
      <c r="CZ558" s="626"/>
      <c r="DA558" s="626"/>
      <c r="DB558" s="626"/>
      <c r="DC558" s="626"/>
      <c r="DD558" s="626"/>
      <c r="DE558" s="626"/>
      <c r="DF558" s="626"/>
      <c r="DG558" s="1893"/>
      <c r="DH558" s="632"/>
      <c r="DI558" s="595"/>
      <c r="DJ558" s="595"/>
      <c r="DK558" s="595"/>
      <c r="DL558" s="595"/>
      <c r="DM558" s="595"/>
      <c r="DN558" s="514"/>
      <c r="DO558" s="77"/>
      <c r="DY558" s="330"/>
      <c r="DZ558" s="330"/>
    </row>
    <row r="559" spans="1:130" ht="12" hidden="1" customHeight="1" outlineLevel="1">
      <c r="A559" s="708" t="s">
        <v>457</v>
      </c>
      <c r="B559" s="228"/>
      <c r="C559" s="228"/>
      <c r="D559" s="625"/>
      <c r="E559" s="626"/>
      <c r="F559" s="626"/>
      <c r="G559" s="626"/>
      <c r="H559" s="788"/>
      <c r="I559" s="626"/>
      <c r="J559" s="626"/>
      <c r="K559" s="626"/>
      <c r="L559" s="626"/>
      <c r="M559" s="788"/>
      <c r="N559" s="626"/>
      <c r="O559" s="626"/>
      <c r="P559" s="626"/>
      <c r="Q559" s="626"/>
      <c r="R559" s="788"/>
      <c r="S559" s="626"/>
      <c r="T559" s="626"/>
      <c r="U559" s="626"/>
      <c r="V559" s="626"/>
      <c r="W559" s="788"/>
      <c r="X559" s="626"/>
      <c r="Y559" s="626"/>
      <c r="Z559" s="626"/>
      <c r="AA559" s="626"/>
      <c r="AB559" s="788"/>
      <c r="AC559" s="626"/>
      <c r="AD559" s="626"/>
      <c r="AE559" s="626"/>
      <c r="AF559" s="626"/>
      <c r="AG559" s="788"/>
      <c r="AH559" s="626"/>
      <c r="AI559" s="626"/>
      <c r="AJ559" s="626"/>
      <c r="AK559" s="626"/>
      <c r="AL559" s="788"/>
      <c r="AM559" s="626"/>
      <c r="AN559" s="261"/>
      <c r="AO559" s="626"/>
      <c r="AP559" s="330"/>
      <c r="AQ559" s="1439"/>
      <c r="AR559" s="330"/>
      <c r="AS559" s="330"/>
      <c r="AT559" s="330"/>
      <c r="AU559" s="626"/>
      <c r="AV559" s="1951"/>
      <c r="AW559" s="626"/>
      <c r="AX559" s="261"/>
      <c r="AY559" s="626"/>
      <c r="AZ559" s="626"/>
      <c r="BA559" s="1439"/>
      <c r="BB559" s="626"/>
      <c r="BC559" s="261"/>
      <c r="BD559" s="626"/>
      <c r="BE559" s="626"/>
      <c r="BF559" s="1439"/>
      <c r="BG559" s="678"/>
      <c r="BH559" s="330"/>
      <c r="BI559" s="330"/>
      <c r="BJ559" s="2136"/>
      <c r="BK559" s="1439"/>
      <c r="BL559" s="330"/>
      <c r="BM559" s="330"/>
      <c r="BN559" s="330"/>
      <c r="BO559" s="2136"/>
      <c r="BP559" s="1439"/>
      <c r="BQ559" s="330"/>
      <c r="BR559" s="330"/>
      <c r="BS559" s="330"/>
      <c r="BT559" s="2136"/>
      <c r="BU559" s="3406"/>
      <c r="BV559" s="330"/>
      <c r="BW559" s="330"/>
      <c r="BX559" s="330"/>
      <c r="BY559" s="2136"/>
      <c r="BZ559" s="1439"/>
      <c r="CA559" s="1439"/>
      <c r="CB559" s="1439"/>
      <c r="CC559" s="1439"/>
      <c r="CD559" s="1439"/>
      <c r="CE559" s="1439"/>
      <c r="CF559" s="1439"/>
      <c r="CG559" s="1439"/>
      <c r="CH559" s="626"/>
      <c r="CI559" s="626"/>
      <c r="CJ559" s="626"/>
      <c r="CK559" s="626"/>
      <c r="CL559" s="626"/>
      <c r="CM559" s="626"/>
      <c r="CN559" s="626"/>
      <c r="CO559" s="626"/>
      <c r="CP559" s="994"/>
      <c r="CQ559" s="626"/>
      <c r="CR559" s="626"/>
      <c r="CS559" s="626"/>
      <c r="CT559" s="626"/>
      <c r="CU559" s="626"/>
      <c r="CV559" s="626"/>
      <c r="CW559" s="626"/>
      <c r="CX559" s="626"/>
      <c r="CY559" s="626"/>
      <c r="CZ559" s="626"/>
      <c r="DA559" s="626"/>
      <c r="DB559" s="626"/>
      <c r="DC559" s="626"/>
      <c r="DD559" s="626"/>
      <c r="DE559" s="626"/>
      <c r="DF559" s="626"/>
      <c r="DG559" s="1893"/>
      <c r="DH559" s="632"/>
      <c r="DI559" s="595"/>
      <c r="DJ559" s="595"/>
      <c r="DK559" s="595"/>
      <c r="DL559" s="595"/>
      <c r="DM559" s="595"/>
      <c r="DN559" s="514"/>
      <c r="DO559" s="77"/>
      <c r="DY559" s="330"/>
      <c r="DZ559" s="330"/>
    </row>
    <row r="560" spans="1:130" ht="12" hidden="1" customHeight="1" outlineLevel="1">
      <c r="A560" s="552"/>
      <c r="B560" s="228"/>
      <c r="C560" s="228"/>
      <c r="D560" s="625"/>
      <c r="E560" s="626"/>
      <c r="F560" s="626"/>
      <c r="G560" s="626"/>
      <c r="H560" s="788"/>
      <c r="I560" s="626"/>
      <c r="J560" s="626"/>
      <c r="K560" s="626"/>
      <c r="L560" s="626"/>
      <c r="M560" s="788"/>
      <c r="N560" s="626"/>
      <c r="O560" s="626"/>
      <c r="P560" s="626"/>
      <c r="Q560" s="626"/>
      <c r="R560" s="788"/>
      <c r="S560" s="626"/>
      <c r="T560" s="626"/>
      <c r="U560" s="626"/>
      <c r="V560" s="626"/>
      <c r="W560" s="788"/>
      <c r="X560" s="626"/>
      <c r="Y560" s="626"/>
      <c r="Z560" s="626"/>
      <c r="AA560" s="626"/>
      <c r="AB560" s="788"/>
      <c r="AC560" s="626"/>
      <c r="AD560" s="626"/>
      <c r="AE560" s="626"/>
      <c r="AF560" s="626"/>
      <c r="AG560" s="788"/>
      <c r="AH560" s="626"/>
      <c r="AI560" s="626"/>
      <c r="AJ560" s="626"/>
      <c r="AK560" s="626"/>
      <c r="AL560" s="788"/>
      <c r="AM560" s="626"/>
      <c r="AN560" s="261"/>
      <c r="AO560" s="626"/>
      <c r="AP560" s="330"/>
      <c r="AQ560" s="1439"/>
      <c r="AR560" s="330"/>
      <c r="AS560" s="330"/>
      <c r="AT560" s="330"/>
      <c r="AU560" s="626"/>
      <c r="AV560" s="1951"/>
      <c r="AW560" s="626"/>
      <c r="AX560" s="261"/>
      <c r="AY560" s="626"/>
      <c r="AZ560" s="626"/>
      <c r="BA560" s="1439"/>
      <c r="BB560" s="626"/>
      <c r="BC560" s="261"/>
      <c r="BD560" s="626"/>
      <c r="BE560" s="626"/>
      <c r="BF560" s="1439"/>
      <c r="BG560" s="678"/>
      <c r="BH560" s="330"/>
      <c r="BI560" s="330"/>
      <c r="BJ560" s="2136"/>
      <c r="BK560" s="1439"/>
      <c r="BL560" s="330"/>
      <c r="BM560" s="330"/>
      <c r="BN560" s="330"/>
      <c r="BO560" s="2136"/>
      <c r="BP560" s="1439"/>
      <c r="BQ560" s="330"/>
      <c r="BR560" s="330"/>
      <c r="BS560" s="330"/>
      <c r="BT560" s="2136"/>
      <c r="BU560" s="3406"/>
      <c r="BV560" s="330"/>
      <c r="BW560" s="330"/>
      <c r="BX560" s="330"/>
      <c r="BY560" s="2136"/>
      <c r="BZ560" s="1439"/>
      <c r="CA560" s="1439"/>
      <c r="CB560" s="1439"/>
      <c r="CC560" s="1439"/>
      <c r="CD560" s="1439"/>
      <c r="CE560" s="1439"/>
      <c r="CF560" s="1439"/>
      <c r="CG560" s="1439"/>
      <c r="CH560" s="626"/>
      <c r="CI560" s="626"/>
      <c r="CJ560" s="626"/>
      <c r="CK560" s="626"/>
      <c r="CL560" s="626"/>
      <c r="CM560" s="626"/>
      <c r="CN560" s="626"/>
      <c r="CO560" s="626"/>
      <c r="CP560" s="994"/>
      <c r="CQ560" s="626"/>
      <c r="CR560" s="626"/>
      <c r="CS560" s="626"/>
      <c r="CT560" s="626"/>
      <c r="CU560" s="626"/>
      <c r="CV560" s="626"/>
      <c r="CW560" s="626"/>
      <c r="CX560" s="626"/>
      <c r="CY560" s="626"/>
      <c r="CZ560" s="626"/>
      <c r="DA560" s="626"/>
      <c r="DB560" s="626"/>
      <c r="DC560" s="626"/>
      <c r="DD560" s="626"/>
      <c r="DE560" s="626"/>
      <c r="DF560" s="626"/>
      <c r="DG560" s="1893"/>
      <c r="DH560" s="632"/>
      <c r="DI560" s="595"/>
      <c r="DJ560" s="595"/>
      <c r="DK560" s="595"/>
      <c r="DL560" s="595"/>
      <c r="DM560" s="595"/>
      <c r="DN560" s="514"/>
      <c r="DO560" s="77"/>
      <c r="DY560" s="330"/>
      <c r="DZ560" s="330"/>
    </row>
    <row r="561" spans="1:130" ht="12" hidden="1" customHeight="1" outlineLevel="1">
      <c r="A561" s="552" t="s">
        <v>183</v>
      </c>
      <c r="B561" s="228"/>
      <c r="C561" s="228"/>
      <c r="D561" s="625"/>
      <c r="E561" s="626"/>
      <c r="F561" s="626"/>
      <c r="G561" s="626"/>
      <c r="H561" s="788"/>
      <c r="I561" s="626"/>
      <c r="J561" s="626"/>
      <c r="K561" s="626"/>
      <c r="L561" s="626"/>
      <c r="M561" s="788"/>
      <c r="N561" s="626"/>
      <c r="O561" s="626"/>
      <c r="P561" s="626"/>
      <c r="Q561" s="626"/>
      <c r="R561" s="788"/>
      <c r="S561" s="626"/>
      <c r="T561" s="626"/>
      <c r="U561" s="626"/>
      <c r="V561" s="626"/>
      <c r="W561" s="788"/>
      <c r="X561" s="626"/>
      <c r="Y561" s="626"/>
      <c r="Z561" s="626"/>
      <c r="AA561" s="626"/>
      <c r="AB561" s="788"/>
      <c r="AC561" s="626"/>
      <c r="AD561" s="626"/>
      <c r="AE561" s="626"/>
      <c r="AF561" s="626"/>
      <c r="AG561" s="788"/>
      <c r="AH561" s="626"/>
      <c r="AI561" s="626"/>
      <c r="AJ561" s="626"/>
      <c r="AK561" s="626"/>
      <c r="AL561" s="788"/>
      <c r="AM561" s="1981">
        <v>968</v>
      </c>
      <c r="AN561" s="1981">
        <v>968</v>
      </c>
      <c r="AO561" s="1981">
        <v>968</v>
      </c>
      <c r="AP561" s="1981">
        <v>972</v>
      </c>
      <c r="AQ561" s="1984">
        <f>+AVERAGE(AM561:AP561)</f>
        <v>969</v>
      </c>
      <c r="AR561" s="1981">
        <v>974</v>
      </c>
      <c r="AS561" s="1981">
        <v>988</v>
      </c>
      <c r="AT561" s="1981">
        <v>988</v>
      </c>
      <c r="AU561" s="1981">
        <v>988</v>
      </c>
      <c r="AV561" s="1984">
        <f>+AVERAGE(AR561:AU561)</f>
        <v>984.5</v>
      </c>
      <c r="AW561" s="1981">
        <f>+AU561</f>
        <v>988</v>
      </c>
      <c r="AX561" s="1981">
        <f>+AW561</f>
        <v>988</v>
      </c>
      <c r="AY561" s="1981">
        <f>+AX561</f>
        <v>988</v>
      </c>
      <c r="AZ561" s="1981">
        <v>1002</v>
      </c>
      <c r="BA561" s="1984">
        <f>+AVERAGE(AW561:AZ561)</f>
        <v>991.5</v>
      </c>
      <c r="BB561" s="1981">
        <v>1002</v>
      </c>
      <c r="BC561" s="1981">
        <v>1002</v>
      </c>
      <c r="BD561" s="1981">
        <v>979</v>
      </c>
      <c r="BE561" s="1981">
        <v>1001</v>
      </c>
      <c r="BF561" s="1984">
        <f>+AVERAGE(BB561:BE561)</f>
        <v>996</v>
      </c>
      <c r="BG561" s="3128">
        <v>1002</v>
      </c>
      <c r="BH561" s="3175">
        <v>990</v>
      </c>
      <c r="BI561" s="3175">
        <v>997</v>
      </c>
      <c r="BJ561" s="3175">
        <v>994</v>
      </c>
      <c r="BK561" s="1984">
        <f>+AVERAGE(BG561:BJ561)</f>
        <v>995.75</v>
      </c>
      <c r="BL561" s="3175">
        <v>1003</v>
      </c>
      <c r="BM561" s="3175">
        <v>1009</v>
      </c>
      <c r="BN561" s="3175"/>
      <c r="BO561" s="3184"/>
      <c r="BP561" s="1984"/>
      <c r="BQ561" s="3183"/>
      <c r="BR561" s="3183"/>
      <c r="BS561" s="3183"/>
      <c r="BT561" s="3184"/>
      <c r="BU561" s="3396"/>
      <c r="BV561" s="3183"/>
      <c r="BW561" s="3183"/>
      <c r="BX561" s="3183"/>
      <c r="BY561" s="3184"/>
      <c r="BZ561" s="2742"/>
      <c r="CA561" s="2742"/>
      <c r="CB561" s="2742"/>
      <c r="CC561" s="2742"/>
      <c r="CD561" s="2742"/>
      <c r="CE561" s="2742"/>
      <c r="CF561" s="2742"/>
      <c r="CG561" s="2742"/>
      <c r="CH561" s="626"/>
      <c r="CI561" s="626"/>
      <c r="CJ561" s="626"/>
      <c r="CK561" s="626"/>
      <c r="CL561" s="626"/>
      <c r="CM561" s="626"/>
      <c r="CN561" s="626"/>
      <c r="CO561" s="626"/>
      <c r="CP561" s="994"/>
      <c r="CQ561" s="626"/>
      <c r="CR561" s="626"/>
      <c r="CS561" s="626"/>
      <c r="CT561" s="626"/>
      <c r="CU561" s="626"/>
      <c r="CV561" s="626"/>
      <c r="CW561" s="626"/>
      <c r="CX561" s="626"/>
      <c r="CY561" s="626"/>
      <c r="CZ561" s="626"/>
      <c r="DA561" s="626"/>
      <c r="DB561" s="626"/>
      <c r="DC561" s="626"/>
      <c r="DD561" s="626"/>
      <c r="DE561" s="626"/>
      <c r="DF561" s="626"/>
      <c r="DG561" s="1893"/>
      <c r="DH561" s="632"/>
      <c r="DI561" s="595"/>
      <c r="DJ561" s="595"/>
      <c r="DK561" s="595"/>
      <c r="DL561" s="595"/>
      <c r="DM561" s="595"/>
      <c r="DN561" s="514"/>
      <c r="DO561" s="77"/>
      <c r="DY561" s="1982"/>
      <c r="DZ561" s="1982"/>
    </row>
    <row r="562" spans="1:130" ht="12" hidden="1" customHeight="1" outlineLevel="1">
      <c r="A562" s="552" t="s">
        <v>184</v>
      </c>
      <c r="B562" s="228"/>
      <c r="C562" s="228"/>
      <c r="D562" s="625"/>
      <c r="E562" s="626"/>
      <c r="F562" s="626"/>
      <c r="G562" s="626"/>
      <c r="H562" s="788"/>
      <c r="I562" s="626"/>
      <c r="J562" s="626"/>
      <c r="K562" s="626"/>
      <c r="L562" s="626"/>
      <c r="M562" s="788"/>
      <c r="N562" s="626"/>
      <c r="O562" s="626"/>
      <c r="P562" s="626"/>
      <c r="Q562" s="626"/>
      <c r="R562" s="788"/>
      <c r="S562" s="626"/>
      <c r="T562" s="626"/>
      <c r="U562" s="626"/>
      <c r="V562" s="626"/>
      <c r="W562" s="788"/>
      <c r="X562" s="626"/>
      <c r="Y562" s="626"/>
      <c r="Z562" s="626"/>
      <c r="AA562" s="626"/>
      <c r="AB562" s="788"/>
      <c r="AC562" s="626"/>
      <c r="AD562" s="626"/>
      <c r="AE562" s="626"/>
      <c r="AF562" s="626"/>
      <c r="AG562" s="788"/>
      <c r="AH562" s="626"/>
      <c r="AI562" s="626"/>
      <c r="AJ562" s="626"/>
      <c r="AK562" s="626"/>
      <c r="AL562" s="788"/>
      <c r="AM562" s="1981">
        <v>29</v>
      </c>
      <c r="AN562" s="1981">
        <v>29</v>
      </c>
      <c r="AO562" s="1981">
        <v>29</v>
      </c>
      <c r="AP562" s="1981">
        <v>29</v>
      </c>
      <c r="AQ562" s="1984">
        <f>+AVERAGE(AM562:AP562)</f>
        <v>29</v>
      </c>
      <c r="AR562" s="1981">
        <v>29</v>
      </c>
      <c r="AS562" s="1981">
        <v>29</v>
      </c>
      <c r="AT562" s="1981">
        <v>29</v>
      </c>
      <c r="AU562" s="1981">
        <v>29</v>
      </c>
      <c r="AV562" s="1984">
        <f>+AVERAGE(AR562:AU562)</f>
        <v>29</v>
      </c>
      <c r="AW562" s="1981">
        <f>+AU562</f>
        <v>29</v>
      </c>
      <c r="AX562" s="1981">
        <f>+AW562</f>
        <v>29</v>
      </c>
      <c r="AY562" s="1981">
        <f>+AX562</f>
        <v>29</v>
      </c>
      <c r="AZ562" s="1981">
        <v>30</v>
      </c>
      <c r="BA562" s="1984">
        <f>+AVERAGE(AW562:AZ562)</f>
        <v>29.25</v>
      </c>
      <c r="BB562" s="1981">
        <v>30</v>
      </c>
      <c r="BC562" s="1981">
        <v>30</v>
      </c>
      <c r="BD562" s="1981">
        <v>30</v>
      </c>
      <c r="BE562" s="1981">
        <v>30</v>
      </c>
      <c r="BF562" s="1984">
        <f>+AVERAGE(BB562:BE562)</f>
        <v>30</v>
      </c>
      <c r="BG562" s="3128">
        <v>30</v>
      </c>
      <c r="BH562" s="3175">
        <v>29</v>
      </c>
      <c r="BI562" s="3175">
        <v>31</v>
      </c>
      <c r="BJ562" s="3175">
        <v>31</v>
      </c>
      <c r="BK562" s="1984">
        <f>+AVERAGE(BG562:BJ562)</f>
        <v>30.25</v>
      </c>
      <c r="BL562" s="3175">
        <v>31</v>
      </c>
      <c r="BM562" s="3175">
        <v>31</v>
      </c>
      <c r="BN562" s="3175"/>
      <c r="BO562" s="3184"/>
      <c r="BP562" s="1984"/>
      <c r="BQ562" s="3183"/>
      <c r="BR562" s="3183"/>
      <c r="BS562" s="3183"/>
      <c r="BT562" s="3184"/>
      <c r="BU562" s="3396"/>
      <c r="BV562" s="3183"/>
      <c r="BW562" s="3183"/>
      <c r="BX562" s="3183"/>
      <c r="BY562" s="3184"/>
      <c r="BZ562" s="2742"/>
      <c r="CA562" s="2742"/>
      <c r="CB562" s="2742"/>
      <c r="CC562" s="2742"/>
      <c r="CD562" s="2742"/>
      <c r="CE562" s="2742"/>
      <c r="CF562" s="2742"/>
      <c r="CG562" s="2742"/>
      <c r="CH562" s="626"/>
      <c r="CI562" s="626"/>
      <c r="CJ562" s="626"/>
      <c r="CK562" s="626"/>
      <c r="CL562" s="626"/>
      <c r="CM562" s="626"/>
      <c r="CN562" s="626"/>
      <c r="CO562" s="626"/>
      <c r="CP562" s="994"/>
      <c r="CQ562" s="626"/>
      <c r="CR562" s="626"/>
      <c r="CS562" s="626"/>
      <c r="CT562" s="626"/>
      <c r="CU562" s="626"/>
      <c r="CV562" s="626"/>
      <c r="CW562" s="626"/>
      <c r="CX562" s="626"/>
      <c r="CY562" s="626"/>
      <c r="CZ562" s="626"/>
      <c r="DA562" s="626"/>
      <c r="DB562" s="626"/>
      <c r="DC562" s="626"/>
      <c r="DD562" s="626"/>
      <c r="DE562" s="626"/>
      <c r="DF562" s="626"/>
      <c r="DG562" s="1893"/>
      <c r="DH562" s="632"/>
      <c r="DI562" s="595"/>
      <c r="DJ562" s="595"/>
      <c r="DK562" s="595"/>
      <c r="DL562" s="595"/>
      <c r="DM562" s="595"/>
      <c r="DN562" s="514"/>
      <c r="DO562" s="77"/>
      <c r="DY562" s="1982"/>
      <c r="DZ562" s="1982"/>
    </row>
    <row r="563" spans="1:130" ht="12" hidden="1" customHeight="1" outlineLevel="1">
      <c r="A563" s="552" t="s">
        <v>182</v>
      </c>
      <c r="B563" s="228"/>
      <c r="C563" s="228"/>
      <c r="D563" s="625"/>
      <c r="E563" s="626"/>
      <c r="F563" s="626"/>
      <c r="G563" s="626"/>
      <c r="H563" s="788"/>
      <c r="I563" s="626"/>
      <c r="J563" s="626"/>
      <c r="K563" s="626"/>
      <c r="L563" s="626"/>
      <c r="M563" s="788"/>
      <c r="N563" s="626"/>
      <c r="O563" s="626"/>
      <c r="P563" s="626"/>
      <c r="Q563" s="626"/>
      <c r="R563" s="788"/>
      <c r="S563" s="626"/>
      <c r="T563" s="626"/>
      <c r="U563" s="626"/>
      <c r="V563" s="626"/>
      <c r="W563" s="788"/>
      <c r="X563" s="626"/>
      <c r="Y563" s="626"/>
      <c r="Z563" s="626"/>
      <c r="AA563" s="626"/>
      <c r="AB563" s="788"/>
      <c r="AC563" s="626"/>
      <c r="AD563" s="626"/>
      <c r="AE563" s="626"/>
      <c r="AF563" s="626"/>
      <c r="AG563" s="788"/>
      <c r="AH563" s="626"/>
      <c r="AI563" s="626"/>
      <c r="AJ563" s="626"/>
      <c r="AK563" s="626"/>
      <c r="AL563" s="788"/>
      <c r="AM563" s="792">
        <f>+AM561+(AM562*6)</f>
        <v>1142</v>
      </c>
      <c r="AN563" s="792">
        <f>+AN561+(AN562*6)</f>
        <v>1142</v>
      </c>
      <c r="AO563" s="792">
        <f>+AO561+(AO562*6)</f>
        <v>1142</v>
      </c>
      <c r="AP563" s="792">
        <f>+AP561+(AP562*6)</f>
        <v>1146</v>
      </c>
      <c r="AQ563" s="1984">
        <f>+AVERAGE(AM563:AP563)</f>
        <v>1143</v>
      </c>
      <c r="AR563" s="792">
        <f>+AR561+(AR562*6)</f>
        <v>1148</v>
      </c>
      <c r="AS563" s="792">
        <f>+AS561+(AS562*6)</f>
        <v>1162</v>
      </c>
      <c r="AT563" s="792">
        <f>+AT561+(AT562*6)</f>
        <v>1162</v>
      </c>
      <c r="AU563" s="792">
        <f>+AU561+(AU562*6)</f>
        <v>1162</v>
      </c>
      <c r="AV563" s="1984">
        <f>+AVERAGE(AR563:AU563)</f>
        <v>1158.5</v>
      </c>
      <c r="AW563" s="792">
        <f>+AW561+(AW562*6)</f>
        <v>1162</v>
      </c>
      <c r="AX563" s="792">
        <f>+AX561+(AX562*6)</f>
        <v>1162</v>
      </c>
      <c r="AY563" s="792">
        <f>+AY561+(AY562*6)</f>
        <v>1162</v>
      </c>
      <c r="AZ563" s="792">
        <f>+AZ561+(AZ562*6)</f>
        <v>1182</v>
      </c>
      <c r="BA563" s="1984">
        <f>+AVERAGE(AW563:AZ563)</f>
        <v>1167</v>
      </c>
      <c r="BB563" s="792">
        <f>+BB561+(BB562*6)</f>
        <v>1182</v>
      </c>
      <c r="BC563" s="792">
        <f>+BC561+(BC562*6)</f>
        <v>1182</v>
      </c>
      <c r="BD563" s="792">
        <f>+BD561+(BD562*6)</f>
        <v>1159</v>
      </c>
      <c r="BE563" s="792">
        <f>+BE561+(BE562*6)</f>
        <v>1181</v>
      </c>
      <c r="BF563" s="1984">
        <f>+AVERAGE(BB563:BE563)</f>
        <v>1176</v>
      </c>
      <c r="BG563" s="793">
        <f t="shared" ref="BG563:BM563" si="1289">+BG561+(BG562*6)</f>
        <v>1182</v>
      </c>
      <c r="BH563" s="792">
        <f t="shared" si="1289"/>
        <v>1164</v>
      </c>
      <c r="BI563" s="792">
        <f t="shared" si="1289"/>
        <v>1183</v>
      </c>
      <c r="BJ563" s="1894">
        <f t="shared" si="1289"/>
        <v>1180</v>
      </c>
      <c r="BK563" s="1984">
        <f t="shared" si="1289"/>
        <v>1177.25</v>
      </c>
      <c r="BL563" s="792">
        <f t="shared" si="1289"/>
        <v>1189</v>
      </c>
      <c r="BM563" s="792">
        <f t="shared" si="1289"/>
        <v>1195</v>
      </c>
      <c r="BN563" s="792"/>
      <c r="BO563" s="1894"/>
      <c r="BP563" s="1984"/>
      <c r="BQ563" s="792"/>
      <c r="BR563" s="792"/>
      <c r="BS563" s="792"/>
      <c r="BT563" s="1894"/>
      <c r="BU563" s="3396"/>
      <c r="BV563" s="792"/>
      <c r="BW563" s="792"/>
      <c r="BX563" s="792"/>
      <c r="BY563" s="1894"/>
      <c r="BZ563" s="1984"/>
      <c r="CA563" s="1984"/>
      <c r="CB563" s="1984"/>
      <c r="CC563" s="1984"/>
      <c r="CD563" s="1984"/>
      <c r="CE563" s="1984"/>
      <c r="CF563" s="1984"/>
      <c r="CG563" s="1984"/>
      <c r="CH563" s="626"/>
      <c r="CI563" s="626"/>
      <c r="CJ563" s="626"/>
      <c r="CK563" s="626"/>
      <c r="CL563" s="626"/>
      <c r="CM563" s="626"/>
      <c r="CN563" s="626"/>
      <c r="CO563" s="626"/>
      <c r="CP563" s="994"/>
      <c r="CQ563" s="626"/>
      <c r="CR563" s="626"/>
      <c r="CS563" s="626"/>
      <c r="CT563" s="626"/>
      <c r="CU563" s="626"/>
      <c r="CV563" s="626"/>
      <c r="CW563" s="626"/>
      <c r="CX563" s="626"/>
      <c r="CY563" s="626"/>
      <c r="CZ563" s="626"/>
      <c r="DA563" s="626"/>
      <c r="DB563" s="626"/>
      <c r="DC563" s="626"/>
      <c r="DD563" s="626"/>
      <c r="DE563" s="626"/>
      <c r="DF563" s="626"/>
      <c r="DG563" s="1893"/>
      <c r="DH563" s="632"/>
      <c r="DI563" s="595"/>
      <c r="DJ563" s="595"/>
      <c r="DK563" s="595"/>
      <c r="DL563" s="595"/>
      <c r="DM563" s="595"/>
      <c r="DN563" s="514"/>
      <c r="DO563" s="77"/>
      <c r="DY563" s="1982"/>
      <c r="DZ563" s="1982"/>
    </row>
    <row r="564" spans="1:130" ht="12" hidden="1" customHeight="1" outlineLevel="1">
      <c r="A564" s="552" t="s">
        <v>1156</v>
      </c>
      <c r="B564" s="228"/>
      <c r="C564" s="228"/>
      <c r="D564" s="625"/>
      <c r="E564" s="626"/>
      <c r="F564" s="626"/>
      <c r="G564" s="626"/>
      <c r="H564" s="788"/>
      <c r="I564" s="626"/>
      <c r="J564" s="626"/>
      <c r="K564" s="626"/>
      <c r="L564" s="626"/>
      <c r="M564" s="788"/>
      <c r="N564" s="626"/>
      <c r="O564" s="626"/>
      <c r="P564" s="626"/>
      <c r="Q564" s="626"/>
      <c r="R564" s="788"/>
      <c r="S564" s="626"/>
      <c r="T564" s="626"/>
      <c r="U564" s="626"/>
      <c r="V564" s="626"/>
      <c r="W564" s="788"/>
      <c r="X564" s="626"/>
      <c r="Y564" s="626"/>
      <c r="Z564" s="626"/>
      <c r="AA564" s="626"/>
      <c r="AB564" s="788"/>
      <c r="AC564" s="626"/>
      <c r="AD564" s="626"/>
      <c r="AE564" s="626"/>
      <c r="AF564" s="626"/>
      <c r="AG564" s="788"/>
      <c r="AH564" s="626"/>
      <c r="AI564" s="626"/>
      <c r="AJ564" s="626"/>
      <c r="AK564" s="626"/>
      <c r="AL564" s="788"/>
      <c r="AM564" s="626">
        <f t="shared" ref="AM564:BM564" si="1290">+AM571*1000000/AM563/AM5</f>
        <v>198.21513913212689</v>
      </c>
      <c r="AN564" s="626">
        <f t="shared" si="1290"/>
        <v>220.98083177767941</v>
      </c>
      <c r="AO564" s="626">
        <f t="shared" si="1290"/>
        <v>212.36601500038071</v>
      </c>
      <c r="AP564" s="626">
        <f t="shared" si="1290"/>
        <v>206.230518248729</v>
      </c>
      <c r="AQ564" s="1950">
        <f t="shared" si="1290"/>
        <v>209.47672191660976</v>
      </c>
      <c r="AR564" s="626">
        <f t="shared" si="1290"/>
        <v>221.27105237967612</v>
      </c>
      <c r="AS564" s="626">
        <f t="shared" si="1290"/>
        <v>223.24273231071854</v>
      </c>
      <c r="AT564" s="626">
        <f t="shared" si="1290"/>
        <v>214.98314375514477</v>
      </c>
      <c r="AU564" s="626">
        <f t="shared" si="1290"/>
        <v>201.48255444136794</v>
      </c>
      <c r="AV564" s="1950">
        <f t="shared" si="1290"/>
        <v>215.19188488034507</v>
      </c>
      <c r="AW564" s="626">
        <f t="shared" si="1290"/>
        <v>204.14919678714855</v>
      </c>
      <c r="AX564" s="626">
        <f t="shared" si="1290"/>
        <v>215.02264946757202</v>
      </c>
      <c r="AY564" s="626">
        <f t="shared" si="1290"/>
        <v>208.3950834393475</v>
      </c>
      <c r="AZ564" s="626">
        <f t="shared" si="1290"/>
        <v>185.90122673434854</v>
      </c>
      <c r="BA564" s="1950">
        <f t="shared" si="1290"/>
        <v>203.26268972074513</v>
      </c>
      <c r="BB564" s="626">
        <f t="shared" si="1290"/>
        <v>185.24239518706523</v>
      </c>
      <c r="BC564" s="626">
        <f t="shared" si="1290"/>
        <v>205.18498168498166</v>
      </c>
      <c r="BD564" s="626">
        <f t="shared" si="1290"/>
        <v>200.81952207675278</v>
      </c>
      <c r="BE564" s="626">
        <f t="shared" si="1290"/>
        <v>183.86393255531422</v>
      </c>
      <c r="BF564" s="1950">
        <f t="shared" si="1290"/>
        <v>193.7525882955922</v>
      </c>
      <c r="BG564" s="625">
        <f t="shared" si="1290"/>
        <v>194.01315096822708</v>
      </c>
      <c r="BH564" s="626">
        <f t="shared" si="1290"/>
        <v>209.85351761640422</v>
      </c>
      <c r="BI564" s="626">
        <f t="shared" si="1290"/>
        <v>207.38724319159104</v>
      </c>
      <c r="BJ564" s="1893">
        <f t="shared" si="1290"/>
        <v>192.60052505526895</v>
      </c>
      <c r="BK564" s="1950">
        <f t="shared" si="1290"/>
        <v>200.95021541379521</v>
      </c>
      <c r="BL564" s="626">
        <f t="shared" si="1290"/>
        <v>198.5788778084825</v>
      </c>
      <c r="BM564" s="626">
        <f t="shared" si="1290"/>
        <v>198.38914892638743</v>
      </c>
      <c r="BN564" s="626"/>
      <c r="BO564" s="1893"/>
      <c r="BP564" s="1950"/>
      <c r="BQ564" s="626"/>
      <c r="BR564" s="626"/>
      <c r="BS564" s="626"/>
      <c r="BT564" s="1893"/>
      <c r="BU564" s="3406"/>
      <c r="BV564" s="626"/>
      <c r="BW564" s="626"/>
      <c r="BX564" s="626"/>
      <c r="BY564" s="1893"/>
      <c r="BZ564" s="1950"/>
      <c r="CA564" s="1950"/>
      <c r="CB564" s="1950"/>
      <c r="CC564" s="1950"/>
      <c r="CD564" s="1950"/>
      <c r="CE564" s="1950"/>
      <c r="CF564" s="1950"/>
      <c r="CG564" s="1950"/>
      <c r="CH564" s="626"/>
      <c r="CI564" s="626"/>
      <c r="CJ564" s="626"/>
      <c r="CK564" s="626"/>
      <c r="CL564" s="626"/>
      <c r="CM564" s="626"/>
      <c r="CN564" s="626"/>
      <c r="CO564" s="626"/>
      <c r="CP564" s="994"/>
      <c r="CQ564" s="626"/>
      <c r="CR564" s="626"/>
      <c r="CS564" s="626"/>
      <c r="CT564" s="626"/>
      <c r="CU564" s="626"/>
      <c r="CV564" s="626"/>
      <c r="CW564" s="626"/>
      <c r="CX564" s="626"/>
      <c r="CY564" s="626"/>
      <c r="CZ564" s="626"/>
      <c r="DA564" s="626"/>
      <c r="DB564" s="626"/>
      <c r="DC564" s="626"/>
      <c r="DD564" s="626"/>
      <c r="DE564" s="626"/>
      <c r="DF564" s="626"/>
      <c r="DG564" s="1893"/>
      <c r="DH564" s="632"/>
      <c r="DI564" s="595"/>
      <c r="DJ564" s="595"/>
      <c r="DK564" s="595"/>
      <c r="DL564" s="595"/>
      <c r="DM564" s="595"/>
      <c r="DN564" s="514"/>
      <c r="DO564" s="77"/>
      <c r="DY564" s="1634"/>
      <c r="DZ564" s="1634"/>
    </row>
    <row r="565" spans="1:130" ht="12" hidden="1" customHeight="1" outlineLevel="1">
      <c r="A565" s="567" t="s">
        <v>1153</v>
      </c>
      <c r="B565" s="228"/>
      <c r="C565" s="228"/>
      <c r="D565" s="625"/>
      <c r="E565" s="626"/>
      <c r="F565" s="626"/>
      <c r="G565" s="626"/>
      <c r="H565" s="788"/>
      <c r="I565" s="626"/>
      <c r="J565" s="626"/>
      <c r="K565" s="626"/>
      <c r="L565" s="626"/>
      <c r="M565" s="788"/>
      <c r="N565" s="626"/>
      <c r="O565" s="626"/>
      <c r="P565" s="626"/>
      <c r="Q565" s="626"/>
      <c r="R565" s="788"/>
      <c r="S565" s="626"/>
      <c r="T565" s="626"/>
      <c r="U565" s="626"/>
      <c r="V565" s="626"/>
      <c r="W565" s="788"/>
      <c r="X565" s="626"/>
      <c r="Y565" s="626"/>
      <c r="Z565" s="626"/>
      <c r="AA565" s="626"/>
      <c r="AB565" s="788"/>
      <c r="AC565" s="626"/>
      <c r="AD565" s="626"/>
      <c r="AE565" s="626"/>
      <c r="AF565" s="626"/>
      <c r="AG565" s="788"/>
      <c r="AH565" s="626"/>
      <c r="AI565" s="626"/>
      <c r="AJ565" s="626"/>
      <c r="AK565" s="626"/>
      <c r="AL565" s="788"/>
      <c r="AM565" s="626"/>
      <c r="AN565" s="261"/>
      <c r="AO565" s="626"/>
      <c r="AP565" s="330"/>
      <c r="AQ565" s="1439"/>
      <c r="AR565" s="769">
        <f t="shared" ref="AR565:BF565" si="1291">+AR564/AM564-1</f>
        <v>0.11631762007936519</v>
      </c>
      <c r="AS565" s="769">
        <f t="shared" si="1291"/>
        <v>1.0235731827250794E-2</v>
      </c>
      <c r="AT565" s="769">
        <f t="shared" si="1291"/>
        <v>1.2323670314006607E-2</v>
      </c>
      <c r="AU565" s="769">
        <f t="shared" si="1291"/>
        <v>-2.3022605226810655E-2</v>
      </c>
      <c r="AV565" s="1621">
        <f t="shared" si="1291"/>
        <v>2.7283045636022685E-2</v>
      </c>
      <c r="AW565" s="769">
        <f t="shared" si="1291"/>
        <v>-7.7379555113013199E-2</v>
      </c>
      <c r="AX565" s="769">
        <f t="shared" si="1291"/>
        <v>-3.6821278605860597E-2</v>
      </c>
      <c r="AY565" s="769">
        <f t="shared" si="1291"/>
        <v>-3.0644543570824023E-2</v>
      </c>
      <c r="AZ565" s="769">
        <f t="shared" si="1291"/>
        <v>-7.7333383777172693E-2</v>
      </c>
      <c r="BA565" s="1621">
        <f t="shared" si="1291"/>
        <v>-5.5435153450294039E-2</v>
      </c>
      <c r="BB565" s="769">
        <f t="shared" si="1291"/>
        <v>-9.2612667096584556E-2</v>
      </c>
      <c r="BC565" s="769">
        <f t="shared" si="1291"/>
        <v>-4.5751774554680047E-2</v>
      </c>
      <c r="BD565" s="769">
        <f t="shared" si="1291"/>
        <v>-3.635191981292385E-2</v>
      </c>
      <c r="BE565" s="769">
        <f t="shared" si="1291"/>
        <v>-1.0959014175552451E-2</v>
      </c>
      <c r="BF565" s="1621">
        <f t="shared" si="1291"/>
        <v>-4.6787245796159116E-2</v>
      </c>
      <c r="BG565" s="2726">
        <f t="shared" ref="BG565:BM565" si="1292">+BG564/BB564-1</f>
        <v>4.734745397944562E-2</v>
      </c>
      <c r="BH565" s="769">
        <f t="shared" si="1292"/>
        <v>2.2752815011529925E-2</v>
      </c>
      <c r="BI565" s="769">
        <f t="shared" si="1292"/>
        <v>3.2704594886587168E-2</v>
      </c>
      <c r="BJ565" s="2171">
        <f t="shared" si="1292"/>
        <v>4.7516619374636582E-2</v>
      </c>
      <c r="BK565" s="1621">
        <f t="shared" si="1292"/>
        <v>3.7148546925330317E-2</v>
      </c>
      <c r="BL565" s="769">
        <f t="shared" si="1292"/>
        <v>2.3533079162263215E-2</v>
      </c>
      <c r="BM565" s="769">
        <f t="shared" si="1292"/>
        <v>-5.4630338439085602E-2</v>
      </c>
      <c r="BN565" s="769"/>
      <c r="BO565" s="2171"/>
      <c r="BP565" s="1621"/>
      <c r="BQ565" s="769"/>
      <c r="BR565" s="769"/>
      <c r="BS565" s="769"/>
      <c r="BT565" s="2171"/>
      <c r="BU565" s="3371"/>
      <c r="BV565" s="769"/>
      <c r="BW565" s="769"/>
      <c r="BX565" s="769"/>
      <c r="BY565" s="2171"/>
      <c r="BZ565" s="1621"/>
      <c r="CA565" s="1621"/>
      <c r="CB565" s="1621"/>
      <c r="CC565" s="1621"/>
      <c r="CD565" s="1621"/>
      <c r="CE565" s="1621"/>
      <c r="CF565" s="1621"/>
      <c r="CG565" s="1621"/>
      <c r="CH565" s="626"/>
      <c r="CI565" s="626"/>
      <c r="CJ565" s="626"/>
      <c r="CK565" s="626"/>
      <c r="CL565" s="626"/>
      <c r="CM565" s="626"/>
      <c r="CN565" s="626"/>
      <c r="CO565" s="626"/>
      <c r="CP565" s="994"/>
      <c r="CQ565" s="626"/>
      <c r="CR565" s="626"/>
      <c r="CS565" s="626"/>
      <c r="CT565" s="626"/>
      <c r="CU565" s="626"/>
      <c r="CV565" s="626"/>
      <c r="CW565" s="626"/>
      <c r="CX565" s="626"/>
      <c r="CY565" s="626"/>
      <c r="CZ565" s="626"/>
      <c r="DA565" s="626"/>
      <c r="DB565" s="626"/>
      <c r="DC565" s="626"/>
      <c r="DD565" s="626"/>
      <c r="DE565" s="626"/>
      <c r="DF565" s="626"/>
      <c r="DG565" s="1893"/>
      <c r="DH565" s="632"/>
      <c r="DI565" s="595"/>
      <c r="DJ565" s="595"/>
      <c r="DK565" s="595"/>
      <c r="DL565" s="595"/>
      <c r="DM565" s="595"/>
      <c r="DN565" s="514"/>
      <c r="DO565" s="77"/>
      <c r="DY565" s="573"/>
      <c r="DZ565" s="573"/>
    </row>
    <row r="566" spans="1:130" ht="12" hidden="1" customHeight="1" outlineLevel="1">
      <c r="A566" s="552"/>
      <c r="B566" s="228"/>
      <c r="C566" s="228"/>
      <c r="D566" s="625"/>
      <c r="E566" s="626"/>
      <c r="F566" s="626"/>
      <c r="G566" s="626"/>
      <c r="H566" s="788"/>
      <c r="I566" s="626"/>
      <c r="J566" s="626"/>
      <c r="K566" s="626"/>
      <c r="L566" s="626"/>
      <c r="M566" s="788"/>
      <c r="N566" s="626"/>
      <c r="O566" s="626"/>
      <c r="P566" s="626"/>
      <c r="Q566" s="626"/>
      <c r="R566" s="788"/>
      <c r="S566" s="626"/>
      <c r="T566" s="626"/>
      <c r="U566" s="626"/>
      <c r="V566" s="626"/>
      <c r="W566" s="788"/>
      <c r="X566" s="626"/>
      <c r="Y566" s="626"/>
      <c r="Z566" s="626"/>
      <c r="AA566" s="626"/>
      <c r="AB566" s="788"/>
      <c r="AC566" s="626"/>
      <c r="AD566" s="626"/>
      <c r="AE566" s="626"/>
      <c r="AF566" s="626"/>
      <c r="AG566" s="788"/>
      <c r="AH566" s="626"/>
      <c r="AI566" s="626"/>
      <c r="AJ566" s="626"/>
      <c r="AK566" s="626"/>
      <c r="AL566" s="788"/>
      <c r="AM566" s="626"/>
      <c r="AN566" s="261"/>
      <c r="AO566" s="626"/>
      <c r="AP566" s="330"/>
      <c r="AQ566" s="1439"/>
      <c r="AR566" s="330"/>
      <c r="AS566" s="330"/>
      <c r="AT566" s="330"/>
      <c r="AU566" s="626"/>
      <c r="AV566" s="1951"/>
      <c r="AW566" s="626"/>
      <c r="AX566" s="261"/>
      <c r="AY566" s="626"/>
      <c r="AZ566" s="626"/>
      <c r="BA566" s="1439"/>
      <c r="BB566" s="626"/>
      <c r="BC566" s="261"/>
      <c r="BD566" s="626"/>
      <c r="BE566" s="626"/>
      <c r="BF566" s="1439"/>
      <c r="BG566" s="678"/>
      <c r="BH566" s="330"/>
      <c r="BI566" s="330"/>
      <c r="BJ566" s="2136"/>
      <c r="BK566" s="1439"/>
      <c r="BL566" s="330"/>
      <c r="BM566" s="330"/>
      <c r="BN566" s="330"/>
      <c r="BO566" s="2136"/>
      <c r="BP566" s="1439"/>
      <c r="BQ566" s="330"/>
      <c r="BR566" s="330"/>
      <c r="BS566" s="330"/>
      <c r="BT566" s="2136"/>
      <c r="BU566" s="3406"/>
      <c r="BV566" s="330"/>
      <c r="BW566" s="330"/>
      <c r="BX566" s="330"/>
      <c r="BY566" s="2136"/>
      <c r="BZ566" s="1439"/>
      <c r="CA566" s="1439"/>
      <c r="CB566" s="1439"/>
      <c r="CC566" s="1439"/>
      <c r="CD566" s="1439"/>
      <c r="CE566" s="1439"/>
      <c r="CF566" s="1439"/>
      <c r="CG566" s="1439"/>
      <c r="CH566" s="626"/>
      <c r="CI566" s="626"/>
      <c r="CJ566" s="626"/>
      <c r="CK566" s="626"/>
      <c r="CL566" s="626"/>
      <c r="CM566" s="626"/>
      <c r="CN566" s="626"/>
      <c r="CO566" s="626"/>
      <c r="CP566" s="994"/>
      <c r="CQ566" s="626"/>
      <c r="CR566" s="626"/>
      <c r="CS566" s="626"/>
      <c r="CT566" s="626"/>
      <c r="CU566" s="626"/>
      <c r="CV566" s="626"/>
      <c r="CW566" s="626"/>
      <c r="CX566" s="626"/>
      <c r="CY566" s="626"/>
      <c r="CZ566" s="626"/>
      <c r="DA566" s="626"/>
      <c r="DB566" s="626"/>
      <c r="DC566" s="626"/>
      <c r="DD566" s="626"/>
      <c r="DE566" s="626"/>
      <c r="DF566" s="626"/>
      <c r="DG566" s="1893"/>
      <c r="DH566" s="632"/>
      <c r="DI566" s="595"/>
      <c r="DJ566" s="595"/>
      <c r="DK566" s="595"/>
      <c r="DL566" s="595"/>
      <c r="DM566" s="595"/>
      <c r="DN566" s="514"/>
      <c r="DO566" s="77"/>
      <c r="DY566" s="330"/>
      <c r="DZ566" s="330"/>
    </row>
    <row r="567" spans="1:130" ht="12" hidden="1" customHeight="1" outlineLevel="1">
      <c r="A567" s="552" t="s">
        <v>1350</v>
      </c>
      <c r="B567" s="228"/>
      <c r="C567" s="228"/>
      <c r="D567" s="625"/>
      <c r="E567" s="626"/>
      <c r="F567" s="626"/>
      <c r="G567" s="626"/>
      <c r="H567" s="788"/>
      <c r="I567" s="626"/>
      <c r="J567" s="626"/>
      <c r="K567" s="626"/>
      <c r="L567" s="626"/>
      <c r="M567" s="788"/>
      <c r="N567" s="626"/>
      <c r="O567" s="626"/>
      <c r="P567" s="626"/>
      <c r="Q567" s="626"/>
      <c r="R567" s="788"/>
      <c r="S567" s="626"/>
      <c r="T567" s="626"/>
      <c r="U567" s="626"/>
      <c r="V567" s="626"/>
      <c r="W567" s="788"/>
      <c r="X567" s="626"/>
      <c r="Y567" s="626"/>
      <c r="Z567" s="626"/>
      <c r="AA567" s="626"/>
      <c r="AB567" s="788"/>
      <c r="AC567" s="626"/>
      <c r="AD567" s="626"/>
      <c r="AE567" s="626"/>
      <c r="AF567" s="626"/>
      <c r="AG567" s="788"/>
      <c r="AH567" s="626"/>
      <c r="AI567" s="626"/>
      <c r="AJ567" s="626"/>
      <c r="AK567" s="626"/>
      <c r="AL567" s="788"/>
      <c r="AM567" s="330">
        <v>343.97199999999998</v>
      </c>
      <c r="AN567" s="330">
        <v>381.40499999999997</v>
      </c>
      <c r="AO567" s="330">
        <v>379.38299999999998</v>
      </c>
      <c r="AP567" s="330">
        <v>345.01400000000001</v>
      </c>
      <c r="AQ567" s="1950">
        <f>+SUM(AM567:AP567)</f>
        <v>1449.7739999999999</v>
      </c>
      <c r="AR567" s="330">
        <v>361.68299999999999</v>
      </c>
      <c r="AS567" s="330">
        <v>371.02</v>
      </c>
      <c r="AT567" s="330">
        <v>357.54700000000003</v>
      </c>
      <c r="AU567" s="330">
        <v>310.89299999999997</v>
      </c>
      <c r="AV567" s="1950">
        <f>+SUM(AR567:AU567)</f>
        <v>1401.143</v>
      </c>
      <c r="AW567" s="330">
        <v>308.91699999999997</v>
      </c>
      <c r="AX567" s="330">
        <v>336.42899999999997</v>
      </c>
      <c r="AY567" s="330">
        <v>340.47399999999999</v>
      </c>
      <c r="AZ567" s="330">
        <v>290.99099999999999</v>
      </c>
      <c r="BA567" s="1950">
        <f>+SUM(AW567:AZ567)</f>
        <v>1276.8109999999999</v>
      </c>
      <c r="BB567" s="330">
        <v>281.57900000000001</v>
      </c>
      <c r="BC567" s="2740">
        <v>332.59899999999999</v>
      </c>
      <c r="BD567" s="2740">
        <v>328.113</v>
      </c>
      <c r="BE567" s="2740">
        <v>280.31200000000001</v>
      </c>
      <c r="BF567" s="1950">
        <f>+SUM(BB567:BE567)</f>
        <v>1222.6030000000001</v>
      </c>
      <c r="BG567" s="3118">
        <v>299.08999999999997</v>
      </c>
      <c r="BH567" s="3117">
        <v>326.25</v>
      </c>
      <c r="BI567" s="3117">
        <v>330.34100000000001</v>
      </c>
      <c r="BJ567" s="3117">
        <v>300.88499999999999</v>
      </c>
      <c r="BK567" s="1950">
        <f>+SUM(BG567:BJ567)</f>
        <v>1256.5659999999998</v>
      </c>
      <c r="BL567" s="3117">
        <v>312.971</v>
      </c>
      <c r="BM567" s="3117">
        <v>322.69600000000003</v>
      </c>
      <c r="BN567" s="3117"/>
      <c r="BO567" s="1893"/>
      <c r="BP567" s="1950"/>
      <c r="BQ567" s="626"/>
      <c r="BR567" s="626"/>
      <c r="BS567" s="626"/>
      <c r="BT567" s="1893"/>
      <c r="BU567" s="3406"/>
      <c r="BV567" s="626"/>
      <c r="BW567" s="626"/>
      <c r="BX567" s="626"/>
      <c r="BY567" s="1893"/>
      <c r="BZ567" s="1950"/>
      <c r="CA567" s="1950"/>
      <c r="CB567" s="1950"/>
      <c r="CC567" s="1950"/>
      <c r="CD567" s="1950"/>
      <c r="CE567" s="1950"/>
      <c r="CF567" s="1950"/>
      <c r="CG567" s="1950"/>
      <c r="CH567" s="626"/>
      <c r="CI567" s="626"/>
      <c r="CJ567" s="626"/>
      <c r="CK567" s="626"/>
      <c r="CL567" s="626"/>
      <c r="CM567" s="626"/>
      <c r="CN567" s="626"/>
      <c r="CO567" s="626"/>
      <c r="CP567" s="994"/>
      <c r="CQ567" s="626"/>
      <c r="CR567" s="626"/>
      <c r="CS567" s="626"/>
      <c r="CT567" s="626"/>
      <c r="CU567" s="626"/>
      <c r="CV567" s="626"/>
      <c r="CW567" s="626"/>
      <c r="CX567" s="626"/>
      <c r="CY567" s="626"/>
      <c r="CZ567" s="626"/>
      <c r="DA567" s="626"/>
      <c r="DB567" s="626"/>
      <c r="DC567" s="626"/>
      <c r="DD567" s="626"/>
      <c r="DE567" s="626"/>
      <c r="DF567" s="626"/>
      <c r="DG567" s="1893"/>
      <c r="DH567" s="632"/>
      <c r="DI567" s="595"/>
      <c r="DJ567" s="595"/>
      <c r="DK567" s="595"/>
      <c r="DL567" s="595"/>
      <c r="DM567" s="595"/>
      <c r="DN567" s="514"/>
      <c r="DO567" s="77"/>
      <c r="DY567" s="1634"/>
      <c r="DZ567" s="1634"/>
    </row>
    <row r="568" spans="1:130" ht="12" hidden="1" customHeight="1" outlineLevel="1">
      <c r="A568" s="567" t="s">
        <v>1153</v>
      </c>
      <c r="B568" s="228"/>
      <c r="C568" s="228"/>
      <c r="D568" s="625"/>
      <c r="E568" s="626"/>
      <c r="F568" s="626"/>
      <c r="G568" s="626"/>
      <c r="H568" s="788"/>
      <c r="I568" s="626"/>
      <c r="J568" s="626"/>
      <c r="K568" s="626"/>
      <c r="L568" s="626"/>
      <c r="M568" s="788"/>
      <c r="N568" s="626"/>
      <c r="O568" s="626"/>
      <c r="P568" s="626"/>
      <c r="Q568" s="626"/>
      <c r="R568" s="788"/>
      <c r="S568" s="626"/>
      <c r="T568" s="626"/>
      <c r="U568" s="626"/>
      <c r="V568" s="626"/>
      <c r="W568" s="788"/>
      <c r="X568" s="626"/>
      <c r="Y568" s="626"/>
      <c r="Z568" s="626"/>
      <c r="AA568" s="626"/>
      <c r="AB568" s="788"/>
      <c r="AC568" s="626"/>
      <c r="AD568" s="626"/>
      <c r="AE568" s="626"/>
      <c r="AF568" s="626"/>
      <c r="AG568" s="788"/>
      <c r="AH568" s="626"/>
      <c r="AI568" s="626"/>
      <c r="AJ568" s="626"/>
      <c r="AK568" s="626"/>
      <c r="AL568" s="788"/>
      <c r="AM568" s="626"/>
      <c r="AN568" s="261"/>
      <c r="AO568" s="626"/>
      <c r="AP568" s="330"/>
      <c r="AQ568" s="1439"/>
      <c r="AR568" s="573">
        <f t="shared" ref="AR568:AX568" si="1293">+AR567/AM567-1</f>
        <v>5.148965613480172E-2</v>
      </c>
      <c r="AS568" s="573">
        <f t="shared" si="1293"/>
        <v>-2.7228274406470798E-2</v>
      </c>
      <c r="AT568" s="573">
        <f t="shared" si="1293"/>
        <v>-5.7556611656294443E-2</v>
      </c>
      <c r="AU568" s="573">
        <f t="shared" si="1293"/>
        <v>-9.8897436046073595E-2</v>
      </c>
      <c r="AV568" s="1621">
        <f t="shared" si="1293"/>
        <v>-3.3543848903346274E-2</v>
      </c>
      <c r="AW568" s="261">
        <f t="shared" si="1293"/>
        <v>-0.14589018560452116</v>
      </c>
      <c r="AX568" s="261">
        <f t="shared" si="1293"/>
        <v>-9.323217077246515E-2</v>
      </c>
      <c r="AY568" s="261">
        <f t="shared" ref="AY568:BM568" si="1294">+AY567/AT567-1</f>
        <v>-4.7750365686189622E-2</v>
      </c>
      <c r="AZ568" s="261">
        <f t="shared" si="1294"/>
        <v>-6.4015593789503056E-2</v>
      </c>
      <c r="BA568" s="1621">
        <f t="shared" si="1294"/>
        <v>-8.8736124721031429E-2</v>
      </c>
      <c r="BB568" s="261">
        <f t="shared" si="1294"/>
        <v>-8.8496262750188404E-2</v>
      </c>
      <c r="BC568" s="261">
        <f t="shared" si="1294"/>
        <v>-1.1384274245085813E-2</v>
      </c>
      <c r="BD568" s="261">
        <f t="shared" si="1294"/>
        <v>-3.630526853739191E-2</v>
      </c>
      <c r="BE568" s="261">
        <f t="shared" si="1294"/>
        <v>-3.6698729513971129E-2</v>
      </c>
      <c r="BF568" s="1621">
        <f>+BF567/BA567-1</f>
        <v>-4.2455774582142447E-2</v>
      </c>
      <c r="BG568" s="261">
        <f t="shared" si="1294"/>
        <v>6.2188586506806143E-2</v>
      </c>
      <c r="BH568" s="261">
        <f t="shared" si="1294"/>
        <v>-1.908905318416465E-2</v>
      </c>
      <c r="BI568" s="261">
        <f t="shared" si="1294"/>
        <v>6.7903435706602178E-3</v>
      </c>
      <c r="BJ568" s="261">
        <f t="shared" si="1294"/>
        <v>7.3393218984560082E-2</v>
      </c>
      <c r="BK568" s="1621">
        <f>+BK567/BF567-1</f>
        <v>2.7779254590410529E-2</v>
      </c>
      <c r="BL568" s="261">
        <f t="shared" si="1294"/>
        <v>4.641077936407112E-2</v>
      </c>
      <c r="BM568" s="261">
        <f t="shared" si="1294"/>
        <v>-1.0893486590038193E-2</v>
      </c>
      <c r="BN568" s="261"/>
      <c r="BO568" s="2889"/>
      <c r="BP568" s="1621"/>
      <c r="BQ568" s="2278"/>
      <c r="BR568" s="2278"/>
      <c r="BS568" s="2278"/>
      <c r="BT568" s="2889"/>
      <c r="BU568" s="3371"/>
      <c r="BV568" s="2278"/>
      <c r="BW568" s="2278"/>
      <c r="BX568" s="2278"/>
      <c r="BY568" s="2889"/>
      <c r="BZ568" s="2279"/>
      <c r="CA568" s="2279"/>
      <c r="CB568" s="2279"/>
      <c r="CC568" s="2279"/>
      <c r="CD568" s="2279"/>
      <c r="CE568" s="2279"/>
      <c r="CF568" s="2279"/>
      <c r="CG568" s="2279"/>
      <c r="CH568" s="626"/>
      <c r="CI568" s="626"/>
      <c r="CJ568" s="626"/>
      <c r="CK568" s="626"/>
      <c r="CL568" s="626"/>
      <c r="CM568" s="626"/>
      <c r="CN568" s="626"/>
      <c r="CO568" s="626"/>
      <c r="CP568" s="994"/>
      <c r="CQ568" s="626"/>
      <c r="CR568" s="626"/>
      <c r="CS568" s="626"/>
      <c r="CT568" s="626"/>
      <c r="CU568" s="626"/>
      <c r="CV568" s="626"/>
      <c r="CW568" s="626"/>
      <c r="CX568" s="626"/>
      <c r="CY568" s="626"/>
      <c r="CZ568" s="626"/>
      <c r="DA568" s="626"/>
      <c r="DB568" s="626"/>
      <c r="DC568" s="626"/>
      <c r="DD568" s="626"/>
      <c r="DE568" s="626"/>
      <c r="DF568" s="626"/>
      <c r="DG568" s="1893"/>
      <c r="DH568" s="632"/>
      <c r="DI568" s="595"/>
      <c r="DJ568" s="595"/>
      <c r="DK568" s="595"/>
      <c r="DL568" s="595"/>
      <c r="DM568" s="595"/>
      <c r="DN568" s="514"/>
      <c r="DO568" s="77"/>
      <c r="DY568" s="573"/>
      <c r="DZ568" s="573"/>
    </row>
    <row r="569" spans="1:130" ht="12" hidden="1" customHeight="1" outlineLevel="1">
      <c r="A569" s="552" t="s">
        <v>1150</v>
      </c>
      <c r="B569" s="228"/>
      <c r="C569" s="228"/>
      <c r="D569" s="625"/>
      <c r="E569" s="626"/>
      <c r="F569" s="626"/>
      <c r="G569" s="626"/>
      <c r="H569" s="788"/>
      <c r="I569" s="626"/>
      <c r="J569" s="626"/>
      <c r="K569" s="626"/>
      <c r="L569" s="626"/>
      <c r="M569" s="788"/>
      <c r="N569" s="626"/>
      <c r="O569" s="626"/>
      <c r="P569" s="626"/>
      <c r="Q569" s="626"/>
      <c r="R569" s="788"/>
      <c r="S569" s="626"/>
      <c r="T569" s="626"/>
      <c r="U569" s="626"/>
      <c r="V569" s="626"/>
      <c r="W569" s="788"/>
      <c r="X569" s="626"/>
      <c r="Y569" s="626"/>
      <c r="Z569" s="626"/>
      <c r="AA569" s="626"/>
      <c r="AB569" s="788"/>
      <c r="AC569" s="626"/>
      <c r="AD569" s="626"/>
      <c r="AE569" s="626"/>
      <c r="AF569" s="626"/>
      <c r="AG569" s="788"/>
      <c r="AH569" s="626"/>
      <c r="AI569" s="626"/>
      <c r="AJ569" s="626"/>
      <c r="AK569" s="626"/>
      <c r="AL569" s="788"/>
      <c r="AM569" s="626">
        <f t="shared" ref="AM569:BK569" si="1295">+AM571*1000/AM567</f>
        <v>59.227355715000058</v>
      </c>
      <c r="AN569" s="626">
        <f t="shared" si="1295"/>
        <v>60.210983075733147</v>
      </c>
      <c r="AO569" s="626">
        <f t="shared" si="1295"/>
        <v>58.811341045856039</v>
      </c>
      <c r="AP569" s="626">
        <f t="shared" si="1295"/>
        <v>63.021488983055754</v>
      </c>
      <c r="AQ569" s="1950">
        <f t="shared" si="1295"/>
        <v>60.280182290481143</v>
      </c>
      <c r="AR569" s="626">
        <f t="shared" si="1295"/>
        <v>63.911614037707061</v>
      </c>
      <c r="AS569" s="626">
        <f t="shared" si="1295"/>
        <v>63.624960918548872</v>
      </c>
      <c r="AT569" s="626">
        <f t="shared" si="1295"/>
        <v>64.278424934344287</v>
      </c>
      <c r="AU569" s="626">
        <f t="shared" si="1295"/>
        <v>69.282006992759563</v>
      </c>
      <c r="AV569" s="1950">
        <f t="shared" si="1295"/>
        <v>65.120923631635023</v>
      </c>
      <c r="AW569" s="626">
        <f t="shared" si="1295"/>
        <v>69.112166051075192</v>
      </c>
      <c r="AX569" s="626">
        <f t="shared" si="1295"/>
        <v>67.583130467349733</v>
      </c>
      <c r="AY569" s="626">
        <f t="shared" si="1295"/>
        <v>65.433096212926699</v>
      </c>
      <c r="AZ569" s="626">
        <f t="shared" si="1295"/>
        <v>69.47171218353833</v>
      </c>
      <c r="BA569" s="1950">
        <f t="shared" si="1295"/>
        <v>67.810160626748996</v>
      </c>
      <c r="BB569" s="626">
        <f>+BB571*1000/BB567</f>
        <v>69.984217573043438</v>
      </c>
      <c r="BC569" s="626">
        <f t="shared" si="1295"/>
        <v>66.356504379147268</v>
      </c>
      <c r="BD569" s="626">
        <f>+BD571*1000/BD567</f>
        <v>65.261004592929865</v>
      </c>
      <c r="BE569" s="626">
        <f t="shared" si="1295"/>
        <v>71.26767316418848</v>
      </c>
      <c r="BF569" s="1950">
        <f t="shared" si="1295"/>
        <v>68.024011882843396</v>
      </c>
      <c r="BG569" s="625">
        <f t="shared" si="1295"/>
        <v>69.006382694172331</v>
      </c>
      <c r="BH569" s="2694">
        <f>+BH571*1000/BH567</f>
        <v>68.133406896551733</v>
      </c>
      <c r="BI569" s="626">
        <f t="shared" si="1295"/>
        <v>68.326965166297867</v>
      </c>
      <c r="BJ569" s="1893">
        <f t="shared" si="1295"/>
        <v>69.490712398424648</v>
      </c>
      <c r="BK569" s="1950">
        <f t="shared" si="1295"/>
        <v>68.717086090185489</v>
      </c>
      <c r="BL569" s="626">
        <f t="shared" ref="BL569:BM569" si="1296">+BL571*1000/BL567</f>
        <v>68.651843142016347</v>
      </c>
      <c r="BM569" s="626">
        <f t="shared" si="1296"/>
        <v>66.854959466494762</v>
      </c>
      <c r="BN569" s="626"/>
      <c r="BO569" s="1893"/>
      <c r="BP569" s="1950"/>
      <c r="BQ569" s="626"/>
      <c r="BR569" s="626"/>
      <c r="BS569" s="626"/>
      <c r="BT569" s="1893"/>
      <c r="BU569" s="3406"/>
      <c r="BV569" s="626"/>
      <c r="BW569" s="626"/>
      <c r="BX569" s="626"/>
      <c r="BY569" s="1893"/>
      <c r="BZ569" s="1950"/>
      <c r="CA569" s="1950"/>
      <c r="CB569" s="1950"/>
      <c r="CC569" s="1950"/>
      <c r="CD569" s="1950"/>
      <c r="CE569" s="1950"/>
      <c r="CF569" s="1950"/>
      <c r="CG569" s="1950"/>
      <c r="CH569" s="626"/>
      <c r="CI569" s="626"/>
      <c r="CJ569" s="626"/>
      <c r="CK569" s="626"/>
      <c r="CL569" s="626"/>
      <c r="CM569" s="626"/>
      <c r="CN569" s="626"/>
      <c r="CO569" s="626"/>
      <c r="CP569" s="994"/>
      <c r="CQ569" s="626"/>
      <c r="CR569" s="626"/>
      <c r="CS569" s="626"/>
      <c r="CT569" s="626"/>
      <c r="CU569" s="626"/>
      <c r="CV569" s="626"/>
      <c r="CW569" s="626"/>
      <c r="CX569" s="626"/>
      <c r="CY569" s="626"/>
      <c r="CZ569" s="626"/>
      <c r="DA569" s="626"/>
      <c r="DB569" s="626"/>
      <c r="DC569" s="626"/>
      <c r="DD569" s="626"/>
      <c r="DE569" s="626"/>
      <c r="DF569" s="626"/>
      <c r="DG569" s="1893"/>
      <c r="DH569" s="632"/>
      <c r="DI569" s="595"/>
      <c r="DJ569" s="595"/>
      <c r="DK569" s="595"/>
      <c r="DL569" s="595"/>
      <c r="DM569" s="595"/>
      <c r="DN569" s="514"/>
      <c r="DO569" s="77"/>
      <c r="DY569" s="1634"/>
      <c r="DZ569" s="1634"/>
    </row>
    <row r="570" spans="1:130" ht="12" hidden="1" customHeight="1" outlineLevel="1">
      <c r="A570" s="552"/>
      <c r="B570" s="228"/>
      <c r="C570" s="228"/>
      <c r="D570" s="625"/>
      <c r="E570" s="626"/>
      <c r="F570" s="626"/>
      <c r="G570" s="626"/>
      <c r="H570" s="788"/>
      <c r="I570" s="626"/>
      <c r="J570" s="626"/>
      <c r="K570" s="626"/>
      <c r="L570" s="626"/>
      <c r="M570" s="788"/>
      <c r="N570" s="626"/>
      <c r="O570" s="626"/>
      <c r="P570" s="626"/>
      <c r="Q570" s="626"/>
      <c r="R570" s="788"/>
      <c r="S570" s="626"/>
      <c r="T570" s="626"/>
      <c r="U570" s="626"/>
      <c r="V570" s="626"/>
      <c r="W570" s="788"/>
      <c r="X570" s="626"/>
      <c r="Y570" s="626"/>
      <c r="Z570" s="626"/>
      <c r="AA570" s="626"/>
      <c r="AB570" s="788"/>
      <c r="AC570" s="626"/>
      <c r="AD570" s="626"/>
      <c r="AE570" s="626"/>
      <c r="AF570" s="626"/>
      <c r="AG570" s="788"/>
      <c r="AH570" s="626"/>
      <c r="AI570" s="626"/>
      <c r="AJ570" s="626"/>
      <c r="AK570" s="626"/>
      <c r="AL570" s="788"/>
      <c r="AM570" s="626"/>
      <c r="AN570" s="261"/>
      <c r="AO570" s="626"/>
      <c r="AP570" s="330"/>
      <c r="AQ570" s="1439"/>
      <c r="AR570" s="330"/>
      <c r="AS570" s="330"/>
      <c r="AT570" s="330"/>
      <c r="AU570" s="626"/>
      <c r="AV570" s="1951"/>
      <c r="AW570" s="626"/>
      <c r="AX570" s="261"/>
      <c r="AY570" s="626"/>
      <c r="AZ570" s="626"/>
      <c r="BA570" s="1439"/>
      <c r="BB570" s="626"/>
      <c r="BC570" s="261"/>
      <c r="BD570" s="626"/>
      <c r="BE570" s="626"/>
      <c r="BF570" s="1439"/>
      <c r="BG570" s="678"/>
      <c r="BH570" s="330"/>
      <c r="BI570" s="330"/>
      <c r="BJ570" s="2136"/>
      <c r="BK570" s="1439"/>
      <c r="BL570" s="330"/>
      <c r="BM570" s="330"/>
      <c r="BN570" s="330"/>
      <c r="BO570" s="2136"/>
      <c r="BP570" s="1439"/>
      <c r="BQ570" s="330"/>
      <c r="BR570" s="330"/>
      <c r="BS570" s="330"/>
      <c r="BT570" s="2136"/>
      <c r="BU570" s="3406"/>
      <c r="BV570" s="330"/>
      <c r="BW570" s="330"/>
      <c r="BX570" s="330"/>
      <c r="BY570" s="2136"/>
      <c r="BZ570" s="1439"/>
      <c r="CA570" s="1439"/>
      <c r="CB570" s="1439"/>
      <c r="CC570" s="1439"/>
      <c r="CD570" s="1439"/>
      <c r="CE570" s="1439"/>
      <c r="CF570" s="1439"/>
      <c r="CG570" s="1439"/>
      <c r="CH570" s="626"/>
      <c r="CI570" s="626"/>
      <c r="CJ570" s="626"/>
      <c r="CK570" s="626"/>
      <c r="CL570" s="626"/>
      <c r="CM570" s="626"/>
      <c r="CN570" s="626"/>
      <c r="CO570" s="626"/>
      <c r="CP570" s="994"/>
      <c r="CQ570" s="626"/>
      <c r="CR570" s="626"/>
      <c r="CS570" s="626"/>
      <c r="CT570" s="626"/>
      <c r="CU570" s="626"/>
      <c r="CV570" s="626"/>
      <c r="CW570" s="626"/>
      <c r="CX570" s="626"/>
      <c r="CY570" s="626"/>
      <c r="CZ570" s="626"/>
      <c r="DA570" s="626"/>
      <c r="DB570" s="626"/>
      <c r="DC570" s="626"/>
      <c r="DD570" s="626"/>
      <c r="DE570" s="626"/>
      <c r="DF570" s="626"/>
      <c r="DG570" s="1893"/>
      <c r="DH570" s="632"/>
      <c r="DI570" s="595"/>
      <c r="DJ570" s="595"/>
      <c r="DK570" s="595"/>
      <c r="DL570" s="595"/>
      <c r="DM570" s="595"/>
      <c r="DN570" s="514"/>
      <c r="DO570" s="77"/>
      <c r="DY570" s="330"/>
      <c r="DZ570" s="330"/>
    </row>
    <row r="571" spans="1:130" ht="12" hidden="1" customHeight="1" outlineLevel="1">
      <c r="A571" s="552" t="s">
        <v>1661</v>
      </c>
      <c r="B571" s="228"/>
      <c r="C571" s="228"/>
      <c r="D571" s="625"/>
      <c r="E571" s="626"/>
      <c r="F571" s="626"/>
      <c r="G571" s="626"/>
      <c r="H571" s="788"/>
      <c r="I571" s="626"/>
      <c r="J571" s="626"/>
      <c r="K571" s="626"/>
      <c r="L571" s="626"/>
      <c r="M571" s="788"/>
      <c r="N571" s="626"/>
      <c r="O571" s="626"/>
      <c r="P571" s="626"/>
      <c r="Q571" s="626"/>
      <c r="R571" s="788"/>
      <c r="S571" s="626"/>
      <c r="T571" s="626"/>
      <c r="U571" s="626"/>
      <c r="V571" s="626"/>
      <c r="W571" s="788"/>
      <c r="X571" s="626"/>
      <c r="Y571" s="626"/>
      <c r="Z571" s="626"/>
      <c r="AA571" s="626"/>
      <c r="AB571" s="788"/>
      <c r="AC571" s="626"/>
      <c r="AD571" s="626"/>
      <c r="AE571" s="626"/>
      <c r="AF571" s="626"/>
      <c r="AG571" s="788"/>
      <c r="AH571" s="626"/>
      <c r="AI571" s="626"/>
      <c r="AJ571" s="626"/>
      <c r="AK571" s="626"/>
      <c r="AL571" s="788"/>
      <c r="AM571" s="330">
        <v>20.372551999999999</v>
      </c>
      <c r="AN571" s="330">
        <v>22.964770000000001</v>
      </c>
      <c r="AO571" s="330">
        <v>22.312023</v>
      </c>
      <c r="AP571" s="330">
        <v>21.743295999999997</v>
      </c>
      <c r="AQ571" s="1950">
        <f>+SUM(AM571:AP571)</f>
        <v>87.392640999999998</v>
      </c>
      <c r="AR571" s="330">
        <v>23.115744300000003</v>
      </c>
      <c r="AS571" s="330">
        <v>23.606133</v>
      </c>
      <c r="AT571" s="330">
        <v>22.982557999999997</v>
      </c>
      <c r="AU571" s="330">
        <v>21.539290999999999</v>
      </c>
      <c r="AV571" s="1950">
        <f>+SUM(AR571:AU571)</f>
        <v>91.243726299999992</v>
      </c>
      <c r="AW571" s="330">
        <v>21.349922999999997</v>
      </c>
      <c r="AX571" s="330">
        <v>22.736924999999999</v>
      </c>
      <c r="AY571" s="330">
        <v>22.278268000000004</v>
      </c>
      <c r="AZ571" s="330">
        <v>20.215643</v>
      </c>
      <c r="BA571" s="1950">
        <f>+SUM(AW571:AZ571)</f>
        <v>86.580759</v>
      </c>
      <c r="BB571" s="330">
        <v>19.706085999999999</v>
      </c>
      <c r="BC571" s="2740">
        <v>22.070107</v>
      </c>
      <c r="BD571" s="2740">
        <v>21.412983999999998</v>
      </c>
      <c r="BE571" s="2740">
        <v>19.977184000000001</v>
      </c>
      <c r="BF571" s="1950">
        <f>+SUM(BB571:BE571)</f>
        <v>83.166360999999995</v>
      </c>
      <c r="BG571" s="3118">
        <v>20.639118999999997</v>
      </c>
      <c r="BH571" s="3117">
        <v>22.228524</v>
      </c>
      <c r="BI571" s="3117">
        <v>22.571198000000003</v>
      </c>
      <c r="BJ571" s="3117">
        <v>20.908712999999999</v>
      </c>
      <c r="BK571" s="1950">
        <f>+SUM(BG571:BJ571)</f>
        <v>86.347554000000002</v>
      </c>
      <c r="BL571" s="3117">
        <v>21.486035999999999</v>
      </c>
      <c r="BM571" s="3117">
        <v>21.573827999999999</v>
      </c>
      <c r="BN571" s="3117"/>
      <c r="BO571" s="1893"/>
      <c r="BP571" s="1950"/>
      <c r="BQ571" s="626"/>
      <c r="BR571" s="626"/>
      <c r="BS571" s="626"/>
      <c r="BT571" s="1893"/>
      <c r="BU571" s="3406"/>
      <c r="BV571" s="626"/>
      <c r="BW571" s="626"/>
      <c r="BX571" s="626"/>
      <c r="BY571" s="1893"/>
      <c r="BZ571" s="1950"/>
      <c r="CA571" s="1950"/>
      <c r="CB571" s="1950"/>
      <c r="CC571" s="1950"/>
      <c r="CD571" s="1950"/>
      <c r="CE571" s="1950"/>
      <c r="CF571" s="1950"/>
      <c r="CG571" s="1950"/>
      <c r="CH571" s="626"/>
      <c r="CI571" s="626"/>
      <c r="CJ571" s="626"/>
      <c r="CK571" s="626"/>
      <c r="CL571" s="626"/>
      <c r="CM571" s="626"/>
      <c r="CN571" s="626"/>
      <c r="CO571" s="626"/>
      <c r="CP571" s="994"/>
      <c r="CQ571" s="626"/>
      <c r="CR571" s="626"/>
      <c r="CS571" s="626"/>
      <c r="CT571" s="626"/>
      <c r="CU571" s="626"/>
      <c r="CV571" s="626"/>
      <c r="CW571" s="626"/>
      <c r="CX571" s="626"/>
      <c r="CY571" s="626"/>
      <c r="CZ571" s="626"/>
      <c r="DA571" s="626"/>
      <c r="DB571" s="626"/>
      <c r="DC571" s="626"/>
      <c r="DD571" s="626"/>
      <c r="DE571" s="626"/>
      <c r="DF571" s="626"/>
      <c r="DG571" s="1893"/>
      <c r="DH571" s="632"/>
      <c r="DI571" s="595"/>
      <c r="DJ571" s="595"/>
      <c r="DK571" s="595"/>
      <c r="DL571" s="595"/>
      <c r="DM571" s="595"/>
      <c r="DN571" s="514"/>
      <c r="DO571" s="77"/>
      <c r="DY571" s="1634"/>
      <c r="DZ571" s="1634"/>
    </row>
    <row r="572" spans="1:130" ht="12" hidden="1" customHeight="1" outlineLevel="1">
      <c r="A572" s="552" t="s">
        <v>1662</v>
      </c>
      <c r="B572" s="228"/>
      <c r="C572" s="228"/>
      <c r="D572" s="625"/>
      <c r="E572" s="626"/>
      <c r="F572" s="626"/>
      <c r="G572" s="626"/>
      <c r="H572" s="788"/>
      <c r="I572" s="626"/>
      <c r="J572" s="626"/>
      <c r="K572" s="626"/>
      <c r="L572" s="626"/>
      <c r="M572" s="788"/>
      <c r="N572" s="626"/>
      <c r="O572" s="626"/>
      <c r="P572" s="626"/>
      <c r="Q572" s="626"/>
      <c r="R572" s="788"/>
      <c r="S572" s="626"/>
      <c r="T572" s="626"/>
      <c r="U572" s="626"/>
      <c r="V572" s="626"/>
      <c r="W572" s="788"/>
      <c r="X572" s="626"/>
      <c r="Y572" s="626"/>
      <c r="Z572" s="626"/>
      <c r="AA572" s="626"/>
      <c r="AB572" s="788"/>
      <c r="AC572" s="626"/>
      <c r="AD572" s="626"/>
      <c r="AE572" s="626"/>
      <c r="AF572" s="626"/>
      <c r="AG572" s="788"/>
      <c r="AH572" s="626"/>
      <c r="AI572" s="626"/>
      <c r="AJ572" s="626"/>
      <c r="AK572" s="626"/>
      <c r="AL572" s="788"/>
      <c r="AM572" s="626">
        <f>+AM574-AM571</f>
        <v>1.212448000000002</v>
      </c>
      <c r="AN572" s="626">
        <f>+AN574-AN571</f>
        <v>1.5302299999999995</v>
      </c>
      <c r="AO572" s="626">
        <f>+AO574-AO571</f>
        <v>2.2949769999999994</v>
      </c>
      <c r="AP572" s="626">
        <f>+AP574-AP571</f>
        <v>1.493704000000001</v>
      </c>
      <c r="AQ572" s="1950">
        <f>+SUM(AM572:AP572)</f>
        <v>6.5313590000000019</v>
      </c>
      <c r="AR572" s="1976">
        <f>+AR574-AR571</f>
        <v>0.82425569999999837</v>
      </c>
      <c r="AS572" s="1976">
        <f>+AS574-AS571</f>
        <v>1.5388669999999998</v>
      </c>
      <c r="AT572" s="1976">
        <f>+AT574-AT571</f>
        <v>2.0324420000000032</v>
      </c>
      <c r="AU572" s="330">
        <f>+AP572-0.1</f>
        <v>1.3937040000000009</v>
      </c>
      <c r="AV572" s="1950">
        <f>+SUM(AR572:AU572)</f>
        <v>5.7892687000000027</v>
      </c>
      <c r="AW572" s="330">
        <f>+AR572-0.2</f>
        <v>0.62425569999999841</v>
      </c>
      <c r="AX572" s="330">
        <f>+AS572-0.3</f>
        <v>1.2388669999999997</v>
      </c>
      <c r="AY572" s="330">
        <f>+AT572-0.3</f>
        <v>1.7324420000000031</v>
      </c>
      <c r="AZ572" s="330">
        <f>+AU572-0.3</f>
        <v>1.0937040000000009</v>
      </c>
      <c r="BA572" s="1950">
        <f>+SUM(AW572:AZ572)</f>
        <v>4.6892687000000022</v>
      </c>
      <c r="BB572" s="330">
        <f>+AW572-0.3</f>
        <v>0.32425569999999843</v>
      </c>
      <c r="BC572" s="330">
        <f>+AX572-0.3</f>
        <v>0.93886699999999967</v>
      </c>
      <c r="BD572" s="330">
        <f>+AY572-0.3</f>
        <v>1.4324420000000031</v>
      </c>
      <c r="BE572" s="3117">
        <f>+AZ572</f>
        <v>1.0937040000000009</v>
      </c>
      <c r="BF572" s="1950">
        <f>+SUM(BB572:BE572)</f>
        <v>3.7892687000000018</v>
      </c>
      <c r="BG572" s="330">
        <f>+BB572</f>
        <v>0.32425569999999843</v>
      </c>
      <c r="BH572" s="330">
        <f>+BC572</f>
        <v>0.93886699999999967</v>
      </c>
      <c r="BI572" s="330">
        <f>+BD572</f>
        <v>1.4324420000000031</v>
      </c>
      <c r="BJ572" s="3117">
        <f>+BE572</f>
        <v>1.0937040000000009</v>
      </c>
      <c r="BK572" s="1950">
        <f>+SUM(BG572:BJ572)</f>
        <v>3.7892687000000018</v>
      </c>
      <c r="BL572" s="3117">
        <f>+BG572</f>
        <v>0.32425569999999843</v>
      </c>
      <c r="BM572" s="3117">
        <f>+BH572</f>
        <v>0.93886699999999967</v>
      </c>
      <c r="BN572" s="3117"/>
      <c r="BO572" s="1893"/>
      <c r="BP572" s="1950"/>
      <c r="BQ572" s="626"/>
      <c r="BR572" s="626"/>
      <c r="BS572" s="626"/>
      <c r="BT572" s="1893"/>
      <c r="BU572" s="3406"/>
      <c r="BV572" s="626"/>
      <c r="BW572" s="626"/>
      <c r="BX572" s="626"/>
      <c r="BY572" s="1893"/>
      <c r="BZ572" s="1950"/>
      <c r="CA572" s="1950"/>
      <c r="CB572" s="1950"/>
      <c r="CC572" s="1950"/>
      <c r="CD572" s="1950"/>
      <c r="CE572" s="1950"/>
      <c r="CF572" s="1950"/>
      <c r="CG572" s="1950"/>
      <c r="CH572" s="626"/>
      <c r="CI572" s="626"/>
      <c r="CJ572" s="626"/>
      <c r="CK572" s="626"/>
      <c r="CL572" s="626"/>
      <c r="CM572" s="626"/>
      <c r="CN572" s="626"/>
      <c r="CO572" s="626"/>
      <c r="CP572" s="994"/>
      <c r="CQ572" s="626"/>
      <c r="CR572" s="626"/>
      <c r="CS572" s="626"/>
      <c r="CT572" s="626"/>
      <c r="CU572" s="626"/>
      <c r="CV572" s="626"/>
      <c r="CW572" s="626"/>
      <c r="CX572" s="626"/>
      <c r="CY572" s="626"/>
      <c r="CZ572" s="626"/>
      <c r="DA572" s="626"/>
      <c r="DB572" s="626"/>
      <c r="DC572" s="626"/>
      <c r="DD572" s="626"/>
      <c r="DE572" s="626"/>
      <c r="DF572" s="626"/>
      <c r="DG572" s="1893"/>
      <c r="DH572" s="632"/>
      <c r="DI572" s="595"/>
      <c r="DJ572" s="595"/>
      <c r="DK572" s="595"/>
      <c r="DL572" s="595"/>
      <c r="DM572" s="595"/>
      <c r="DN572" s="514"/>
      <c r="DO572" s="77"/>
      <c r="DY572" s="1634"/>
      <c r="DZ572" s="1634"/>
    </row>
    <row r="573" spans="1:130" ht="4.5" hidden="1" customHeight="1" outlineLevel="1">
      <c r="A573" s="962"/>
      <c r="B573" s="293"/>
      <c r="C573" s="293"/>
      <c r="D573" s="294" t="s">
        <v>343</v>
      </c>
      <c r="E573" s="295" t="s">
        <v>343</v>
      </c>
      <c r="F573" s="295" t="s">
        <v>343</v>
      </c>
      <c r="G573" s="295" t="s">
        <v>343</v>
      </c>
      <c r="H573" s="296" t="s">
        <v>343</v>
      </c>
      <c r="I573" s="295" t="s">
        <v>343</v>
      </c>
      <c r="J573" s="295" t="s">
        <v>343</v>
      </c>
      <c r="K573" s="295" t="s">
        <v>343</v>
      </c>
      <c r="L573" s="295" t="s">
        <v>343</v>
      </c>
      <c r="M573" s="296" t="s">
        <v>343</v>
      </c>
      <c r="N573" s="295" t="s">
        <v>343</v>
      </c>
      <c r="O573" s="295" t="s">
        <v>343</v>
      </c>
      <c r="P573" s="295" t="s">
        <v>343</v>
      </c>
      <c r="Q573" s="295" t="s">
        <v>343</v>
      </c>
      <c r="R573" s="296" t="s">
        <v>343</v>
      </c>
      <c r="S573" s="295" t="s">
        <v>343</v>
      </c>
      <c r="T573" s="295" t="s">
        <v>343</v>
      </c>
      <c r="U573" s="295" t="s">
        <v>343</v>
      </c>
      <c r="V573" s="295" t="s">
        <v>343</v>
      </c>
      <c r="W573" s="296" t="s">
        <v>343</v>
      </c>
      <c r="X573" s="295" t="s">
        <v>343</v>
      </c>
      <c r="Y573" s="295" t="s">
        <v>343</v>
      </c>
      <c r="Z573" s="295" t="s">
        <v>343</v>
      </c>
      <c r="AA573" s="295" t="s">
        <v>343</v>
      </c>
      <c r="AB573" s="296" t="s">
        <v>343</v>
      </c>
      <c r="AC573" s="295" t="s">
        <v>343</v>
      </c>
      <c r="AD573" s="295" t="s">
        <v>343</v>
      </c>
      <c r="AE573" s="295" t="s">
        <v>343</v>
      </c>
      <c r="AF573" s="295" t="s">
        <v>343</v>
      </c>
      <c r="AG573" s="296" t="s">
        <v>343</v>
      </c>
      <c r="AH573" s="295" t="s">
        <v>343</v>
      </c>
      <c r="AI573" s="295" t="s">
        <v>343</v>
      </c>
      <c r="AJ573" s="295" t="s">
        <v>343</v>
      </c>
      <c r="AK573" s="295" t="s">
        <v>343</v>
      </c>
      <c r="AL573" s="296" t="s">
        <v>343</v>
      </c>
      <c r="AM573" s="295" t="s">
        <v>343</v>
      </c>
      <c r="AN573" s="295" t="s">
        <v>343</v>
      </c>
      <c r="AO573" s="295" t="s">
        <v>343</v>
      </c>
      <c r="AP573" s="295" t="s">
        <v>343</v>
      </c>
      <c r="AQ573" s="296" t="s">
        <v>343</v>
      </c>
      <c r="AR573" s="295" t="s">
        <v>343</v>
      </c>
      <c r="AS573" s="295" t="s">
        <v>343</v>
      </c>
      <c r="AT573" s="295" t="s">
        <v>343</v>
      </c>
      <c r="AU573" s="295" t="s">
        <v>343</v>
      </c>
      <c r="AV573" s="296" t="s">
        <v>343</v>
      </c>
      <c r="AW573" s="295" t="s">
        <v>343</v>
      </c>
      <c r="AX573" s="295" t="s">
        <v>343</v>
      </c>
      <c r="AY573" s="295" t="s">
        <v>343</v>
      </c>
      <c r="AZ573" s="295" t="s">
        <v>343</v>
      </c>
      <c r="BA573" s="296" t="s">
        <v>343</v>
      </c>
      <c r="BB573" s="295" t="s">
        <v>343</v>
      </c>
      <c r="BC573" s="295" t="s">
        <v>343</v>
      </c>
      <c r="BD573" s="295" t="s">
        <v>343</v>
      </c>
      <c r="BE573" s="295" t="s">
        <v>343</v>
      </c>
      <c r="BF573" s="296" t="s">
        <v>343</v>
      </c>
      <c r="BG573" s="294" t="s">
        <v>343</v>
      </c>
      <c r="BH573" s="295" t="s">
        <v>343</v>
      </c>
      <c r="BI573" s="295" t="s">
        <v>343</v>
      </c>
      <c r="BJ573" s="297" t="s">
        <v>343</v>
      </c>
      <c r="BK573" s="296" t="s">
        <v>343</v>
      </c>
      <c r="BL573" s="295" t="s">
        <v>343</v>
      </c>
      <c r="BM573" s="295" t="s">
        <v>343</v>
      </c>
      <c r="BN573" s="295"/>
      <c r="BO573" s="297"/>
      <c r="BP573" s="296"/>
      <c r="BQ573" s="295"/>
      <c r="BR573" s="295"/>
      <c r="BS573" s="295"/>
      <c r="BT573" s="297"/>
      <c r="BU573" s="3314"/>
      <c r="BV573" s="295"/>
      <c r="BW573" s="295"/>
      <c r="BX573" s="295"/>
      <c r="BY573" s="297"/>
      <c r="BZ573" s="297"/>
      <c r="CA573" s="297"/>
      <c r="CB573" s="297"/>
      <c r="CC573" s="297"/>
      <c r="CD573" s="297"/>
      <c r="CE573" s="297"/>
      <c r="CF573" s="297"/>
      <c r="CG573" s="297"/>
      <c r="CH573" s="295"/>
      <c r="CI573" s="295"/>
      <c r="CJ573" s="295"/>
      <c r="CK573" s="295"/>
      <c r="CL573" s="295"/>
      <c r="CM573" s="295"/>
      <c r="CN573" s="295"/>
      <c r="CO573" s="295"/>
      <c r="CP573" s="1784"/>
      <c r="CQ573" s="295" t="str">
        <f>H573</f>
        <v xml:space="preserve">                </v>
      </c>
      <c r="CR573" s="295" t="str">
        <f>M573</f>
        <v xml:space="preserve">                </v>
      </c>
      <c r="CS573" s="295" t="str">
        <f>R573</f>
        <v xml:space="preserve">                </v>
      </c>
      <c r="CT573" s="295" t="str">
        <f>W573</f>
        <v xml:space="preserve">                </v>
      </c>
      <c r="CU573" s="295" t="str">
        <f>AB573</f>
        <v xml:space="preserve">                </v>
      </c>
      <c r="CV573" s="295" t="str">
        <f>AG573</f>
        <v xml:space="preserve">                </v>
      </c>
      <c r="CW573" s="295" t="str">
        <f>AL573</f>
        <v xml:space="preserve">                </v>
      </c>
      <c r="CX573" s="295" t="str">
        <f>AQ573</f>
        <v xml:space="preserve">                </v>
      </c>
      <c r="CY573" s="295" t="str">
        <f>AV573</f>
        <v xml:space="preserve">                </v>
      </c>
      <c r="CZ573" s="295" t="str">
        <f>BA573</f>
        <v xml:space="preserve">                </v>
      </c>
      <c r="DA573" s="295" t="str">
        <f>BF573</f>
        <v xml:space="preserve">                </v>
      </c>
      <c r="DB573" s="295" t="str">
        <f>BK573</f>
        <v xml:space="preserve">                </v>
      </c>
      <c r="DC573" s="295">
        <f>BP573</f>
        <v>0</v>
      </c>
      <c r="DD573" s="295">
        <f>BU573</f>
        <v>0</v>
      </c>
      <c r="DE573" s="295">
        <f>BZ573</f>
        <v>0</v>
      </c>
      <c r="DF573" s="295">
        <f>CA573</f>
        <v>0</v>
      </c>
      <c r="DG573" s="297">
        <f>CB573</f>
        <v>0</v>
      </c>
      <c r="DH573" s="298"/>
      <c r="DI573" s="299"/>
      <c r="DJ573" s="299"/>
      <c r="DK573" s="299"/>
      <c r="DL573" s="299"/>
      <c r="DM573" s="299"/>
      <c r="DN573" s="299"/>
      <c r="DO573" s="300"/>
      <c r="DY573" s="295"/>
      <c r="DZ573" s="295"/>
    </row>
    <row r="574" spans="1:130" ht="12" hidden="1" customHeight="1" outlineLevel="1">
      <c r="A574" s="228" t="s">
        <v>741</v>
      </c>
      <c r="B574" s="228"/>
      <c r="C574" s="228"/>
      <c r="D574" s="625"/>
      <c r="E574" s="626"/>
      <c r="F574" s="626"/>
      <c r="G574" s="626"/>
      <c r="H574" s="788"/>
      <c r="I574" s="626"/>
      <c r="J574" s="626"/>
      <c r="K574" s="626"/>
      <c r="L574" s="626"/>
      <c r="M574" s="788"/>
      <c r="N574" s="626"/>
      <c r="O574" s="626"/>
      <c r="P574" s="626"/>
      <c r="Q574" s="626"/>
      <c r="R574" s="788"/>
      <c r="S574" s="626"/>
      <c r="T574" s="626"/>
      <c r="U574" s="626"/>
      <c r="V574" s="626"/>
      <c r="W574" s="788"/>
      <c r="X574" s="626"/>
      <c r="Y574" s="626"/>
      <c r="Z574" s="626"/>
      <c r="AA574" s="626"/>
      <c r="AB574" s="788"/>
      <c r="AC574" s="626"/>
      <c r="AD574" s="626"/>
      <c r="AE574" s="626"/>
      <c r="AF574" s="626"/>
      <c r="AG574" s="788"/>
      <c r="AH574" s="626"/>
      <c r="AI574" s="626"/>
      <c r="AJ574" s="626"/>
      <c r="AK574" s="626"/>
      <c r="AL574" s="788"/>
      <c r="AM574" s="827">
        <v>21.585000000000001</v>
      </c>
      <c r="AN574" s="554">
        <v>24.495000000000001</v>
      </c>
      <c r="AO574" s="554">
        <v>24.606999999999999</v>
      </c>
      <c r="AP574" s="554">
        <v>23.236999999999998</v>
      </c>
      <c r="AQ574" s="556">
        <f>+SUM(AM574:AP574)</f>
        <v>93.923999999999992</v>
      </c>
      <c r="AR574" s="554">
        <v>23.94</v>
      </c>
      <c r="AS574" s="554">
        <v>25.145</v>
      </c>
      <c r="AT574" s="554">
        <v>25.015000000000001</v>
      </c>
      <c r="AU574" s="1978">
        <f>+AU571+AU572</f>
        <v>22.932994999999998</v>
      </c>
      <c r="AV574" s="556">
        <f>+SUM(AR574:AU574)</f>
        <v>97.032995</v>
      </c>
      <c r="AW574" s="557">
        <f>+AW571+AW572</f>
        <v>21.974178699999996</v>
      </c>
      <c r="AX574" s="557">
        <f>+AX571+AX572</f>
        <v>23.975791999999998</v>
      </c>
      <c r="AY574" s="557">
        <f>+AY571+AY572</f>
        <v>24.010710000000007</v>
      </c>
      <c r="AZ574" s="557">
        <f>+AZ571+AZ572</f>
        <v>21.309347000000002</v>
      </c>
      <c r="BA574" s="556">
        <f>+SUM(AW574:AZ574)</f>
        <v>91.2700277</v>
      </c>
      <c r="BB574" s="557">
        <f>+BB571+BB572</f>
        <v>20.030341699999997</v>
      </c>
      <c r="BC574" s="557">
        <f>+BC571+BC572</f>
        <v>23.008973999999998</v>
      </c>
      <c r="BD574" s="557">
        <f>+BD571+BD572</f>
        <v>22.845426</v>
      </c>
      <c r="BE574" s="557">
        <f>+BE571+BE572</f>
        <v>21.070888000000004</v>
      </c>
      <c r="BF574" s="556">
        <f>+SUM(BB574:BE574)</f>
        <v>86.955629700000003</v>
      </c>
      <c r="BG574" s="557">
        <f>+BG571+BG572</f>
        <v>20.963374699999996</v>
      </c>
      <c r="BH574" s="557">
        <f>+BH571+BH572</f>
        <v>23.167390999999999</v>
      </c>
      <c r="BI574" s="557">
        <f>+BI571+BI572</f>
        <v>24.003640000000004</v>
      </c>
      <c r="BJ574" s="1848">
        <f>+BJ571+BJ572</f>
        <v>22.002417000000001</v>
      </c>
      <c r="BK574" s="556">
        <f>+SUM(BG574:BJ574)</f>
        <v>90.13682270000001</v>
      </c>
      <c r="BL574" s="557">
        <f>+BL571+BL572</f>
        <v>21.810291699999997</v>
      </c>
      <c r="BM574" s="557">
        <f>+BM571+BM572</f>
        <v>22.512694999999997</v>
      </c>
      <c r="BN574" s="557"/>
      <c r="BO574" s="1848"/>
      <c r="BP574" s="556"/>
      <c r="BQ574" s="557"/>
      <c r="BR574" s="557"/>
      <c r="BS574" s="557"/>
      <c r="BT574" s="1848"/>
      <c r="BU574" s="3372"/>
      <c r="BV574" s="557"/>
      <c r="BW574" s="557"/>
      <c r="BX574" s="557"/>
      <c r="BY574" s="1848"/>
      <c r="BZ574" s="556"/>
      <c r="CA574" s="556"/>
      <c r="CB574" s="556"/>
      <c r="CC574" s="556"/>
      <c r="CD574" s="556"/>
      <c r="CE574" s="556"/>
      <c r="CF574" s="556"/>
      <c r="CG574" s="556"/>
      <c r="CH574" s="626"/>
      <c r="CI574" s="626"/>
      <c r="CJ574" s="626"/>
      <c r="CK574" s="626"/>
      <c r="CL574" s="626"/>
      <c r="CM574" s="626"/>
      <c r="CN574" s="626"/>
      <c r="CO574" s="626"/>
      <c r="CP574" s="994"/>
      <c r="CQ574" s="626"/>
      <c r="CR574" s="626"/>
      <c r="CS574" s="626"/>
      <c r="CT574" s="626"/>
      <c r="CU574" s="626"/>
      <c r="CV574" s="626"/>
      <c r="CW574" s="626"/>
      <c r="CX574" s="626"/>
      <c r="CY574" s="626"/>
      <c r="CZ574" s="626"/>
      <c r="DA574" s="626"/>
      <c r="DB574" s="626"/>
      <c r="DC574" s="626"/>
      <c r="DD574" s="626"/>
      <c r="DE574" s="626"/>
      <c r="DF574" s="626"/>
      <c r="DG574" s="1893"/>
      <c r="DH574" s="632"/>
      <c r="DI574" s="595"/>
      <c r="DJ574" s="595"/>
      <c r="DK574" s="595"/>
      <c r="DL574" s="595"/>
      <c r="DM574" s="595"/>
      <c r="DN574" s="514"/>
      <c r="DO574" s="77"/>
      <c r="DY574" s="557"/>
      <c r="DZ574" s="557"/>
    </row>
    <row r="575" spans="1:130" ht="12" hidden="1" customHeight="1" outlineLevel="1">
      <c r="A575" s="567" t="s">
        <v>8</v>
      </c>
      <c r="B575" s="753"/>
      <c r="C575" s="753"/>
      <c r="D575" s="560"/>
      <c r="E575" s="561"/>
      <c r="F575" s="561"/>
      <c r="G575" s="561"/>
      <c r="H575" s="562"/>
      <c r="I575" s="561"/>
      <c r="J575" s="561"/>
      <c r="K575" s="561"/>
      <c r="L575" s="561"/>
      <c r="M575" s="562"/>
      <c r="N575" s="561"/>
      <c r="O575" s="561"/>
      <c r="P575" s="561"/>
      <c r="Q575" s="561"/>
      <c r="R575" s="562"/>
      <c r="S575" s="561"/>
      <c r="T575" s="561"/>
      <c r="U575" s="561"/>
      <c r="V575" s="561"/>
      <c r="W575" s="562"/>
      <c r="X575" s="561"/>
      <c r="Y575" s="561"/>
      <c r="Z575" s="561"/>
      <c r="AA575" s="561"/>
      <c r="AB575" s="562"/>
      <c r="AC575" s="561"/>
      <c r="AD575" s="561"/>
      <c r="AE575" s="561"/>
      <c r="AF575" s="561"/>
      <c r="AG575" s="562"/>
      <c r="AH575" s="561"/>
      <c r="AI575" s="561"/>
      <c r="AJ575" s="561"/>
      <c r="AK575" s="561"/>
      <c r="AL575" s="562"/>
      <c r="AM575" s="561"/>
      <c r="AN575" s="261"/>
      <c r="AO575" s="561"/>
      <c r="AP575" s="561"/>
      <c r="AQ575" s="562"/>
      <c r="AR575" s="561">
        <f t="shared" ref="AR575:BM575" si="1297">AR571/AM571-1</f>
        <v>0.13465138289989409</v>
      </c>
      <c r="AS575" s="561">
        <f t="shared" si="1297"/>
        <v>2.7928126430179612E-2</v>
      </c>
      <c r="AT575" s="561">
        <f t="shared" si="1297"/>
        <v>3.0052631265214957E-2</v>
      </c>
      <c r="AU575" s="561">
        <f t="shared" si="1297"/>
        <v>-9.3824321758760876E-3</v>
      </c>
      <c r="AV575" s="562">
        <f t="shared" si="1297"/>
        <v>4.4066471226106962E-2</v>
      </c>
      <c r="AW575" s="561">
        <f t="shared" si="1297"/>
        <v>-7.6390414995203271E-2</v>
      </c>
      <c r="AX575" s="561">
        <f t="shared" si="1297"/>
        <v>-3.6821278605860597E-2</v>
      </c>
      <c r="AY575" s="561">
        <f t="shared" si="1297"/>
        <v>-3.0644543570824134E-2</v>
      </c>
      <c r="AZ575" s="561">
        <f t="shared" si="1297"/>
        <v>-6.1452719126177335E-2</v>
      </c>
      <c r="BA575" s="562">
        <f>+BA571/AV571-1</f>
        <v>-5.1104525089962216E-2</v>
      </c>
      <c r="BB575" s="561">
        <f t="shared" si="1297"/>
        <v>-7.6994984946784029E-2</v>
      </c>
      <c r="BC575" s="261">
        <f t="shared" si="1297"/>
        <v>-2.9327536595208037E-2</v>
      </c>
      <c r="BD575" s="261">
        <f t="shared" si="1297"/>
        <v>-3.8839823634404858E-2</v>
      </c>
      <c r="BE575" s="261">
        <f t="shared" si="1297"/>
        <v>-1.1795766278618891E-2</v>
      </c>
      <c r="BF575" s="562">
        <f>+BF571/BA571-1</f>
        <v>-3.9435990622350703E-2</v>
      </c>
      <c r="BG575" s="561">
        <f t="shared" si="1297"/>
        <v>4.734745397944562E-2</v>
      </c>
      <c r="BH575" s="860">
        <f t="shared" si="1297"/>
        <v>7.1778990468873705E-3</v>
      </c>
      <c r="BI575" s="860">
        <f t="shared" si="1297"/>
        <v>5.408933196793142E-2</v>
      </c>
      <c r="BJ575" s="860">
        <f t="shared" si="1297"/>
        <v>4.6629645099129036E-2</v>
      </c>
      <c r="BK575" s="862">
        <f>+BK571/BF571-1</f>
        <v>3.8250958220956699E-2</v>
      </c>
      <c r="BL575" s="860">
        <f t="shared" si="1297"/>
        <v>4.1034551910864137E-2</v>
      </c>
      <c r="BM575" s="860">
        <f t="shared" si="1297"/>
        <v>-2.9452967727411905E-2</v>
      </c>
      <c r="BN575" s="860"/>
      <c r="BO575" s="866"/>
      <c r="BP575" s="862"/>
      <c r="BQ575" s="866"/>
      <c r="BR575" s="866"/>
      <c r="BS575" s="866"/>
      <c r="BT575" s="866"/>
      <c r="BU575" s="3407"/>
      <c r="BV575" s="866"/>
      <c r="BW575" s="866"/>
      <c r="BX575" s="866"/>
      <c r="BY575" s="866"/>
      <c r="BZ575" s="458"/>
      <c r="CA575" s="458"/>
      <c r="CB575" s="458"/>
      <c r="CC575" s="458"/>
      <c r="CD575" s="458"/>
      <c r="CE575" s="458"/>
      <c r="CF575" s="458"/>
      <c r="CG575" s="458"/>
      <c r="CH575" s="561"/>
      <c r="CI575" s="561"/>
      <c r="CJ575" s="561"/>
      <c r="CK575" s="561"/>
      <c r="CL575" s="561"/>
      <c r="CM575" s="561"/>
      <c r="CN575" s="561"/>
      <c r="CO575" s="561"/>
      <c r="CP575" s="2280"/>
      <c r="CQ575" s="561"/>
      <c r="CR575" s="561"/>
      <c r="CS575" s="561"/>
      <c r="CT575" s="561"/>
      <c r="CU575" s="561"/>
      <c r="CV575" s="561"/>
      <c r="CW575" s="561"/>
      <c r="CX575" s="561"/>
      <c r="CY575" s="561"/>
      <c r="CZ575" s="561"/>
      <c r="DA575" s="561"/>
      <c r="DB575" s="561"/>
      <c r="DC575" s="561"/>
      <c r="DD575" s="561"/>
      <c r="DE575" s="561"/>
      <c r="DF575" s="561"/>
      <c r="DG575" s="1846"/>
      <c r="DH575" s="561"/>
      <c r="DI575" s="561"/>
      <c r="DJ575" s="561"/>
      <c r="DK575" s="561"/>
      <c r="DL575" s="561"/>
      <c r="DM575" s="561"/>
      <c r="DN575" s="561"/>
      <c r="DO575" s="215"/>
      <c r="DY575" s="860"/>
      <c r="DZ575" s="860"/>
    </row>
    <row r="576" spans="1:130" ht="12" hidden="1" customHeight="1" outlineLevel="1">
      <c r="A576" s="567" t="s">
        <v>1153</v>
      </c>
      <c r="B576" s="228"/>
      <c r="C576" s="228"/>
      <c r="D576" s="625"/>
      <c r="E576" s="626"/>
      <c r="F576" s="626"/>
      <c r="G576" s="626"/>
      <c r="H576" s="788"/>
      <c r="I576" s="626"/>
      <c r="J576" s="626"/>
      <c r="K576" s="626"/>
      <c r="L576" s="626"/>
      <c r="M576" s="788"/>
      <c r="N576" s="626"/>
      <c r="O576" s="626"/>
      <c r="P576" s="626"/>
      <c r="Q576" s="626"/>
      <c r="R576" s="788"/>
      <c r="S576" s="626"/>
      <c r="T576" s="626"/>
      <c r="U576" s="626"/>
      <c r="V576" s="626"/>
      <c r="W576" s="788"/>
      <c r="X576" s="626"/>
      <c r="Y576" s="626"/>
      <c r="Z576" s="626"/>
      <c r="AA576" s="626"/>
      <c r="AB576" s="788"/>
      <c r="AC576" s="626"/>
      <c r="AD576" s="626"/>
      <c r="AE576" s="626"/>
      <c r="AF576" s="626"/>
      <c r="AG576" s="788"/>
      <c r="AH576" s="626"/>
      <c r="AI576" s="626"/>
      <c r="AJ576" s="626"/>
      <c r="AK576" s="626"/>
      <c r="AL576" s="788"/>
      <c r="AM576" s="626"/>
      <c r="AN576" s="261"/>
      <c r="AO576" s="626"/>
      <c r="AP576" s="330"/>
      <c r="AQ576" s="1439"/>
      <c r="AR576" s="573"/>
      <c r="AS576" s="573"/>
      <c r="AT576" s="573"/>
      <c r="AU576" s="573"/>
      <c r="AV576" s="1621"/>
      <c r="AW576" s="573">
        <f t="shared" ref="AW576:BG576" si="1298">+AW574/AR574-1</f>
        <v>-8.2114507101086254E-2</v>
      </c>
      <c r="AX576" s="573">
        <f t="shared" si="1298"/>
        <v>-4.6498627957844541E-2</v>
      </c>
      <c r="AY576" s="573">
        <f t="shared" si="1298"/>
        <v>-4.0147511493103916E-2</v>
      </c>
      <c r="AZ576" s="573">
        <f t="shared" si="1298"/>
        <v>-7.0799649151800481E-2</v>
      </c>
      <c r="BA576" s="1621">
        <f t="shared" si="1298"/>
        <v>-5.9391831613566093E-2</v>
      </c>
      <c r="BB576" s="573">
        <f t="shared" si="1298"/>
        <v>-8.8460052434178094E-2</v>
      </c>
      <c r="BC576" s="573">
        <f t="shared" si="1298"/>
        <v>-4.0324757572137715E-2</v>
      </c>
      <c r="BD576" s="573">
        <f t="shared" si="1298"/>
        <v>-4.8531842665210934E-2</v>
      </c>
      <c r="BE576" s="573">
        <f t="shared" si="1298"/>
        <v>-1.1190347597230366E-2</v>
      </c>
      <c r="BF576" s="1621">
        <f t="shared" si="1298"/>
        <v>-4.7270698921898058E-2</v>
      </c>
      <c r="BG576" s="573">
        <f t="shared" si="1298"/>
        <v>4.6580982689875761E-2</v>
      </c>
      <c r="BH576" s="573">
        <f t="shared" ref="BH576:BM576" si="1299">+BH574/BC574-1</f>
        <v>6.885009301153433E-3</v>
      </c>
      <c r="BI576" s="573">
        <f t="shared" si="1299"/>
        <v>5.0697850852070125E-2</v>
      </c>
      <c r="BJ576" s="2135">
        <f t="shared" si="1299"/>
        <v>4.4209290087821485E-2</v>
      </c>
      <c r="BK576" s="1621">
        <f t="shared" si="1299"/>
        <v>3.6584094796107358E-2</v>
      </c>
      <c r="BL576" s="573">
        <f t="shared" si="1299"/>
        <v>4.0399840775636298E-2</v>
      </c>
      <c r="BM576" s="573">
        <f t="shared" si="1299"/>
        <v>-2.8259375429887656E-2</v>
      </c>
      <c r="BN576" s="573"/>
      <c r="BO576" s="2135"/>
      <c r="BP576" s="1621"/>
      <c r="BQ576" s="573"/>
      <c r="BR576" s="573"/>
      <c r="BS576" s="573"/>
      <c r="BT576" s="2135"/>
      <c r="BU576" s="3371"/>
      <c r="BV576" s="573"/>
      <c r="BW576" s="573"/>
      <c r="BX576" s="573"/>
      <c r="BY576" s="2135"/>
      <c r="BZ576" s="1621"/>
      <c r="CA576" s="1621"/>
      <c r="CB576" s="1621"/>
      <c r="CC576" s="1621"/>
      <c r="CD576" s="1621"/>
      <c r="CE576" s="1621"/>
      <c r="CF576" s="1621"/>
      <c r="CG576" s="1621"/>
      <c r="CH576" s="626"/>
      <c r="CI576" s="626"/>
      <c r="CJ576" s="626"/>
      <c r="CK576" s="626"/>
      <c r="CL576" s="626"/>
      <c r="CM576" s="626"/>
      <c r="CN576" s="626"/>
      <c r="CO576" s="626"/>
      <c r="CP576" s="994"/>
      <c r="CQ576" s="626"/>
      <c r="CR576" s="626"/>
      <c r="CS576" s="626"/>
      <c r="CT576" s="626"/>
      <c r="CU576" s="626"/>
      <c r="CV576" s="626"/>
      <c r="CW576" s="626"/>
      <c r="CX576" s="626"/>
      <c r="CY576" s="626"/>
      <c r="CZ576" s="626"/>
      <c r="DA576" s="626"/>
      <c r="DB576" s="626"/>
      <c r="DC576" s="626"/>
      <c r="DD576" s="626"/>
      <c r="DE576" s="626"/>
      <c r="DF576" s="626"/>
      <c r="DG576" s="1893"/>
      <c r="DH576" s="632"/>
      <c r="DI576" s="595"/>
      <c r="DJ576" s="595"/>
      <c r="DK576" s="595"/>
      <c r="DL576" s="595"/>
      <c r="DM576" s="595"/>
      <c r="DN576" s="514"/>
      <c r="DO576" s="77"/>
      <c r="DY576" s="573"/>
      <c r="DZ576" s="573"/>
    </row>
    <row r="577" spans="1:130" ht="12" hidden="1" customHeight="1" outlineLevel="1">
      <c r="A577" s="567"/>
      <c r="B577" s="228"/>
      <c r="C577" s="228"/>
      <c r="D577" s="625"/>
      <c r="E577" s="626"/>
      <c r="F577" s="626"/>
      <c r="G577" s="626"/>
      <c r="H577" s="788"/>
      <c r="I577" s="626"/>
      <c r="J577" s="626"/>
      <c r="K577" s="626"/>
      <c r="L577" s="626"/>
      <c r="M577" s="788"/>
      <c r="N577" s="626"/>
      <c r="O577" s="626"/>
      <c r="P577" s="626"/>
      <c r="Q577" s="626"/>
      <c r="R577" s="788"/>
      <c r="S577" s="626"/>
      <c r="T577" s="626"/>
      <c r="U577" s="626"/>
      <c r="V577" s="626"/>
      <c r="W577" s="788"/>
      <c r="X577" s="626"/>
      <c r="Y577" s="626"/>
      <c r="Z577" s="626"/>
      <c r="AA577" s="626"/>
      <c r="AB577" s="788"/>
      <c r="AC577" s="626"/>
      <c r="AD577" s="626"/>
      <c r="AE577" s="626"/>
      <c r="AF577" s="626"/>
      <c r="AG577" s="788"/>
      <c r="AH577" s="626"/>
      <c r="AI577" s="626"/>
      <c r="AJ577" s="626"/>
      <c r="AK577" s="626"/>
      <c r="AL577" s="788"/>
      <c r="AM577" s="626"/>
      <c r="AN577" s="261"/>
      <c r="AO577" s="626"/>
      <c r="AP577" s="330"/>
      <c r="AQ577" s="1439"/>
      <c r="AR577" s="330"/>
      <c r="AS577" s="330"/>
      <c r="AT577" s="330"/>
      <c r="AU577" s="626"/>
      <c r="AV577" s="1951"/>
      <c r="AW577" s="626"/>
      <c r="AX577" s="261"/>
      <c r="AY577" s="626"/>
      <c r="AZ577" s="626"/>
      <c r="BA577" s="1439"/>
      <c r="BB577" s="626"/>
      <c r="BC577" s="261"/>
      <c r="BD577" s="626"/>
      <c r="BE577" s="626"/>
      <c r="BF577" s="1439"/>
      <c r="BG577" s="678"/>
      <c r="BH577" s="330"/>
      <c r="BI577" s="330"/>
      <c r="BJ577" s="2136"/>
      <c r="BK577" s="1439"/>
      <c r="BL577" s="330"/>
      <c r="BM577" s="330"/>
      <c r="BN577" s="330"/>
      <c r="BO577" s="2136"/>
      <c r="BP577" s="1439"/>
      <c r="BQ577" s="330"/>
      <c r="BR577" s="330"/>
      <c r="BS577" s="330"/>
      <c r="BT577" s="2136"/>
      <c r="BU577" s="3406"/>
      <c r="BV577" s="330"/>
      <c r="BW577" s="330"/>
      <c r="BX577" s="330"/>
      <c r="BY577" s="2136"/>
      <c r="BZ577" s="1439"/>
      <c r="CA577" s="1439"/>
      <c r="CB577" s="1439"/>
      <c r="CC577" s="1439"/>
      <c r="CD577" s="1439"/>
      <c r="CE577" s="1439"/>
      <c r="CF577" s="1439"/>
      <c r="CG577" s="1439"/>
      <c r="CH577" s="626"/>
      <c r="CI577" s="626"/>
      <c r="CJ577" s="626"/>
      <c r="CK577" s="626"/>
      <c r="CL577" s="626"/>
      <c r="CM577" s="626"/>
      <c r="CN577" s="626"/>
      <c r="CO577" s="626"/>
      <c r="CP577" s="994"/>
      <c r="CQ577" s="626"/>
      <c r="CR577" s="626"/>
      <c r="CS577" s="626"/>
      <c r="CT577" s="626"/>
      <c r="CU577" s="626"/>
      <c r="CV577" s="626"/>
      <c r="CW577" s="626"/>
      <c r="CX577" s="626"/>
      <c r="CY577" s="626"/>
      <c r="CZ577" s="626"/>
      <c r="DA577" s="626"/>
      <c r="DB577" s="626"/>
      <c r="DC577" s="626"/>
      <c r="DD577" s="626"/>
      <c r="DE577" s="626"/>
      <c r="DF577" s="626"/>
      <c r="DG577" s="1893"/>
      <c r="DH577" s="632"/>
      <c r="DI577" s="595"/>
      <c r="DJ577" s="595"/>
      <c r="DK577" s="595"/>
      <c r="DL577" s="595"/>
      <c r="DM577" s="595"/>
      <c r="DN577" s="514"/>
      <c r="DO577" s="77"/>
      <c r="DY577" s="330"/>
      <c r="DZ577" s="330"/>
    </row>
    <row r="578" spans="1:130" ht="12" hidden="1" customHeight="1" outlineLevel="1">
      <c r="A578" s="552" t="s">
        <v>1663</v>
      </c>
      <c r="B578" s="228"/>
      <c r="C578" s="228"/>
      <c r="D578" s="625"/>
      <c r="E578" s="626"/>
      <c r="F578" s="626"/>
      <c r="G578" s="626"/>
      <c r="H578" s="788"/>
      <c r="I578" s="626"/>
      <c r="J578" s="626"/>
      <c r="K578" s="626"/>
      <c r="L578" s="626"/>
      <c r="M578" s="788"/>
      <c r="N578" s="626"/>
      <c r="O578" s="626"/>
      <c r="P578" s="626"/>
      <c r="Q578" s="626"/>
      <c r="R578" s="788"/>
      <c r="S578" s="626"/>
      <c r="T578" s="626"/>
      <c r="U578" s="626"/>
      <c r="V578" s="626"/>
      <c r="W578" s="788"/>
      <c r="X578" s="626"/>
      <c r="Y578" s="626"/>
      <c r="Z578" s="626"/>
      <c r="AA578" s="626"/>
      <c r="AB578" s="788"/>
      <c r="AC578" s="626"/>
      <c r="AD578" s="626"/>
      <c r="AE578" s="626"/>
      <c r="AF578" s="626"/>
      <c r="AG578" s="788"/>
      <c r="AH578" s="626"/>
      <c r="AI578" s="626"/>
      <c r="AJ578" s="626"/>
      <c r="AK578" s="626"/>
      <c r="AL578" s="788"/>
      <c r="AM578" s="626">
        <f>+Taxes!AL208</f>
        <v>5.8538975049999991</v>
      </c>
      <c r="AN578" s="626">
        <f>+Taxes!AM208</f>
        <v>5.8538975049999991</v>
      </c>
      <c r="AO578" s="626">
        <f>+Taxes!AN208</f>
        <v>5.8538975049999991</v>
      </c>
      <c r="AP578" s="626">
        <f>+Taxes!AO208</f>
        <v>5.8538975049999991</v>
      </c>
      <c r="AQ578" s="1950">
        <f>+SUM(AM578:AP578)</f>
        <v>23.415590019999996</v>
      </c>
      <c r="AR578" s="626">
        <f>+Taxes!AQ208</f>
        <v>6.0231550714999997</v>
      </c>
      <c r="AS578" s="626">
        <f>+Taxes!AR208</f>
        <v>6.0231550714999997</v>
      </c>
      <c r="AT578" s="626">
        <f>+Taxes!AS208</f>
        <v>6.0231550714999997</v>
      </c>
      <c r="AU578" s="626">
        <f>+Taxes!AT208</f>
        <v>6.0231550714999997</v>
      </c>
      <c r="AV578" s="1950">
        <f>+SUM(AR578:AU578)</f>
        <v>24.092620285999999</v>
      </c>
      <c r="AW578" s="626">
        <f>+Taxes!AV208</f>
        <v>5.6579013699999994</v>
      </c>
      <c r="AX578" s="626">
        <f>+Taxes!AW208</f>
        <v>5.6579013699999994</v>
      </c>
      <c r="AY578" s="626">
        <f>+Taxes!AX208</f>
        <v>5.6579013699999994</v>
      </c>
      <c r="AZ578" s="626">
        <f>+Taxes!AY208</f>
        <v>5.6579013699999994</v>
      </c>
      <c r="BA578" s="1950">
        <f>+SUM(AW578:AZ578)</f>
        <v>22.631605479999997</v>
      </c>
      <c r="BB578" s="626">
        <f>+Taxes!BA208</f>
        <v>5.4226774799999999</v>
      </c>
      <c r="BC578" s="626">
        <f>+Taxes!BB208</f>
        <v>5.4226774799999999</v>
      </c>
      <c r="BD578" s="626">
        <f>+Taxes!BC208</f>
        <v>5.4226774799999999</v>
      </c>
      <c r="BE578" s="626">
        <f>+Taxes!BD208</f>
        <v>5.4226774799999999</v>
      </c>
      <c r="BF578" s="1950">
        <f>+SUM(BB578:BE578)</f>
        <v>21.69070992</v>
      </c>
      <c r="BG578" s="625">
        <f>+Taxes!BF208</f>
        <v>5.6273607200000004</v>
      </c>
      <c r="BH578" s="626">
        <f>+Taxes!BG208</f>
        <v>5.6273607200000004</v>
      </c>
      <c r="BI578" s="626">
        <f>+Taxes!BH208</f>
        <v>5.6273607200000004</v>
      </c>
      <c r="BJ578" s="1893">
        <f>+Taxes!BI208</f>
        <v>5.6273607200000004</v>
      </c>
      <c r="BK578" s="1950">
        <f>+SUM(BG578:BJ578)</f>
        <v>22.509442880000002</v>
      </c>
      <c r="BL578" s="626">
        <f>+Taxes!BK208</f>
        <v>0</v>
      </c>
      <c r="BM578" s="626">
        <f>+Taxes!BL208</f>
        <v>0</v>
      </c>
      <c r="BN578" s="626"/>
      <c r="BO578" s="626"/>
      <c r="BP578" s="1950"/>
      <c r="BQ578" s="626"/>
      <c r="BR578" s="626"/>
      <c r="BS578" s="626"/>
      <c r="BT578" s="626"/>
      <c r="BU578" s="3406"/>
      <c r="BV578" s="626"/>
      <c r="BW578" s="626"/>
      <c r="BX578" s="626"/>
      <c r="BY578" s="626"/>
      <c r="BZ578" s="1950"/>
      <c r="CA578" s="1950"/>
      <c r="CB578" s="1950"/>
      <c r="CC578" s="1950"/>
      <c r="CD578" s="1950"/>
      <c r="CE578" s="1950"/>
      <c r="CF578" s="1950"/>
      <c r="CG578" s="1950"/>
      <c r="CH578" s="626"/>
      <c r="CI578" s="626"/>
      <c r="CJ578" s="626"/>
      <c r="CK578" s="626"/>
      <c r="CL578" s="626"/>
      <c r="CM578" s="626"/>
      <c r="CN578" s="626"/>
      <c r="CO578" s="626"/>
      <c r="CP578" s="994"/>
      <c r="CQ578" s="626"/>
      <c r="CR578" s="626"/>
      <c r="CS578" s="626"/>
      <c r="CT578" s="626"/>
      <c r="CU578" s="626"/>
      <c r="CV578" s="626"/>
      <c r="CW578" s="626"/>
      <c r="CX578" s="626"/>
      <c r="CY578" s="626"/>
      <c r="CZ578" s="626"/>
      <c r="DA578" s="626"/>
      <c r="DB578" s="626"/>
      <c r="DC578" s="626"/>
      <c r="DD578" s="626"/>
      <c r="DE578" s="626"/>
      <c r="DF578" s="626"/>
      <c r="DG578" s="1893"/>
      <c r="DH578" s="632"/>
      <c r="DI578" s="595"/>
      <c r="DJ578" s="595"/>
      <c r="DK578" s="595"/>
      <c r="DL578" s="595"/>
      <c r="DM578" s="595"/>
      <c r="DN578" s="514"/>
      <c r="DO578" s="77"/>
      <c r="DY578" s="1634"/>
      <c r="DZ578" s="1634"/>
    </row>
    <row r="579" spans="1:130" ht="12" hidden="1" customHeight="1" outlineLevel="1">
      <c r="A579" s="567" t="s">
        <v>1664</v>
      </c>
      <c r="B579" s="228"/>
      <c r="C579" s="228"/>
      <c r="D579" s="625"/>
      <c r="E579" s="626"/>
      <c r="F579" s="626"/>
      <c r="G579" s="626"/>
      <c r="H579" s="788"/>
      <c r="I579" s="626"/>
      <c r="J579" s="626"/>
      <c r="K579" s="626"/>
      <c r="L579" s="626"/>
      <c r="M579" s="788"/>
      <c r="N579" s="626"/>
      <c r="O579" s="626"/>
      <c r="P579" s="626"/>
      <c r="Q579" s="626"/>
      <c r="R579" s="788"/>
      <c r="S579" s="626"/>
      <c r="T579" s="626"/>
      <c r="U579" s="626"/>
      <c r="V579" s="626"/>
      <c r="W579" s="788"/>
      <c r="X579" s="626"/>
      <c r="Y579" s="626"/>
      <c r="Z579" s="626"/>
      <c r="AA579" s="626"/>
      <c r="AB579" s="788"/>
      <c r="AC579" s="626"/>
      <c r="AD579" s="626"/>
      <c r="AE579" s="626"/>
      <c r="AF579" s="626"/>
      <c r="AG579" s="788"/>
      <c r="AH579" s="626"/>
      <c r="AI579" s="626"/>
      <c r="AJ579" s="626"/>
      <c r="AK579" s="626"/>
      <c r="AL579" s="788"/>
      <c r="AM579" s="860">
        <f t="shared" ref="AM579:BK579" si="1300">+AM578/AM571</f>
        <v>0.28734237639938282</v>
      </c>
      <c r="AN579" s="860">
        <f t="shared" si="1300"/>
        <v>0.2549077349784038</v>
      </c>
      <c r="AO579" s="860">
        <f t="shared" si="1300"/>
        <v>0.26236516092691364</v>
      </c>
      <c r="AP579" s="860">
        <f t="shared" si="1300"/>
        <v>0.26922769689563164</v>
      </c>
      <c r="AQ579" s="1975">
        <f t="shared" si="1300"/>
        <v>0.2679354892135597</v>
      </c>
      <c r="AR579" s="860">
        <f t="shared" si="1300"/>
        <v>0.26056505009445008</v>
      </c>
      <c r="AS579" s="860">
        <f t="shared" si="1300"/>
        <v>0.25515212811433369</v>
      </c>
      <c r="AT579" s="860">
        <f t="shared" si="1300"/>
        <v>0.26207505150209998</v>
      </c>
      <c r="AU579" s="860">
        <f t="shared" si="1300"/>
        <v>0.27963571649131813</v>
      </c>
      <c r="AV579" s="1975">
        <f t="shared" si="1300"/>
        <v>0.26404686944487493</v>
      </c>
      <c r="AW579" s="860">
        <f t="shared" si="1300"/>
        <v>0.26500804569646458</v>
      </c>
      <c r="AX579" s="860">
        <f t="shared" si="1300"/>
        <v>0.24884197709232886</v>
      </c>
      <c r="AY579" s="860">
        <f t="shared" si="1300"/>
        <v>0.25396504656466107</v>
      </c>
      <c r="AZ579" s="860">
        <f t="shared" si="1300"/>
        <v>0.27987738851541843</v>
      </c>
      <c r="BA579" s="1975">
        <f t="shared" si="1300"/>
        <v>0.2613930131982326</v>
      </c>
      <c r="BB579" s="860">
        <f t="shared" si="1300"/>
        <v>0.27517780446101781</v>
      </c>
      <c r="BC579" s="860">
        <f t="shared" si="1300"/>
        <v>0.24570236474159368</v>
      </c>
      <c r="BD579" s="860">
        <f t="shared" si="1300"/>
        <v>0.25324249436696916</v>
      </c>
      <c r="BE579" s="860">
        <f t="shared" si="1300"/>
        <v>0.2714435367867663</v>
      </c>
      <c r="BF579" s="1975">
        <f t="shared" si="1300"/>
        <v>0.26081109789088885</v>
      </c>
      <c r="BG579" s="861">
        <f>+BG578/BG571</f>
        <v>0.27265508377562053</v>
      </c>
      <c r="BH579" s="860">
        <f>+BH578/BH571</f>
        <v>0.25315944144559488</v>
      </c>
      <c r="BI579" s="860">
        <f>+BI578/BI571</f>
        <v>0.24931599643049518</v>
      </c>
      <c r="BJ579" s="1295">
        <f>+BJ578/BJ571</f>
        <v>0.26913950753449056</v>
      </c>
      <c r="BK579" s="1975">
        <f t="shared" si="1300"/>
        <v>0.26068419818817334</v>
      </c>
      <c r="BL579" s="860">
        <f t="shared" ref="BL579:BM579" si="1301">+BL578/BL571</f>
        <v>0</v>
      </c>
      <c r="BM579" s="860">
        <f t="shared" si="1301"/>
        <v>0</v>
      </c>
      <c r="BN579" s="860"/>
      <c r="BO579" s="1295"/>
      <c r="BP579" s="1975"/>
      <c r="BQ579" s="860"/>
      <c r="BR579" s="860"/>
      <c r="BS579" s="860"/>
      <c r="BT579" s="1295"/>
      <c r="BU579" s="3407"/>
      <c r="BV579" s="860"/>
      <c r="BW579" s="860"/>
      <c r="BX579" s="860"/>
      <c r="BY579" s="1295"/>
      <c r="BZ579" s="1975"/>
      <c r="CA579" s="1975"/>
      <c r="CB579" s="1975"/>
      <c r="CC579" s="1975"/>
      <c r="CD579" s="1975"/>
      <c r="CE579" s="1975"/>
      <c r="CF579" s="1975"/>
      <c r="CG579" s="1975"/>
      <c r="CH579" s="626"/>
      <c r="CI579" s="626"/>
      <c r="CJ579" s="626"/>
      <c r="CK579" s="626"/>
      <c r="CL579" s="626"/>
      <c r="CM579" s="626"/>
      <c r="CN579" s="626"/>
      <c r="CO579" s="626"/>
      <c r="CP579" s="994"/>
      <c r="CQ579" s="626"/>
      <c r="CR579" s="626"/>
      <c r="CS579" s="626"/>
      <c r="CT579" s="626"/>
      <c r="CU579" s="626"/>
      <c r="CV579" s="626"/>
      <c r="CW579" s="626"/>
      <c r="CX579" s="626"/>
      <c r="CY579" s="626"/>
      <c r="CZ579" s="626"/>
      <c r="DA579" s="626"/>
      <c r="DB579" s="626"/>
      <c r="DC579" s="626"/>
      <c r="DD579" s="626"/>
      <c r="DE579" s="626"/>
      <c r="DF579" s="626"/>
      <c r="DG579" s="1893"/>
      <c r="DH579" s="632"/>
      <c r="DI579" s="595"/>
      <c r="DJ579" s="595"/>
      <c r="DK579" s="595"/>
      <c r="DL579" s="595"/>
      <c r="DM579" s="595"/>
      <c r="DN579" s="514"/>
      <c r="DO579" s="77"/>
      <c r="DY579" s="769"/>
      <c r="DZ579" s="769"/>
    </row>
    <row r="580" spans="1:130" ht="2.25" hidden="1" customHeight="1" outlineLevel="1">
      <c r="A580" s="552"/>
      <c r="B580" s="228"/>
      <c r="C580" s="228"/>
      <c r="D580" s="625"/>
      <c r="E580" s="626"/>
      <c r="F580" s="626"/>
      <c r="G580" s="626"/>
      <c r="H580" s="788"/>
      <c r="I580" s="626"/>
      <c r="J580" s="626"/>
      <c r="K580" s="626"/>
      <c r="L580" s="626"/>
      <c r="M580" s="788"/>
      <c r="N580" s="626"/>
      <c r="O580" s="626"/>
      <c r="P580" s="626"/>
      <c r="Q580" s="626"/>
      <c r="R580" s="788"/>
      <c r="S580" s="626"/>
      <c r="T580" s="626"/>
      <c r="U580" s="626"/>
      <c r="V580" s="626"/>
      <c r="W580" s="788"/>
      <c r="X580" s="626"/>
      <c r="Y580" s="626"/>
      <c r="Z580" s="626"/>
      <c r="AA580" s="626"/>
      <c r="AB580" s="788"/>
      <c r="AC580" s="626"/>
      <c r="AD580" s="626"/>
      <c r="AE580" s="626"/>
      <c r="AF580" s="626"/>
      <c r="AG580" s="788"/>
      <c r="AH580" s="626"/>
      <c r="AI580" s="626"/>
      <c r="AJ580" s="626"/>
      <c r="AK580" s="626"/>
      <c r="AL580" s="788"/>
      <c r="AM580" s="626"/>
      <c r="AN580" s="261"/>
      <c r="AO580" s="626"/>
      <c r="AP580" s="330"/>
      <c r="AQ580" s="1439"/>
      <c r="AR580" s="330"/>
      <c r="AS580" s="330"/>
      <c r="AT580" s="330"/>
      <c r="AU580" s="626"/>
      <c r="AV580" s="1439"/>
      <c r="AW580" s="626"/>
      <c r="AX580" s="261"/>
      <c r="AY580" s="626"/>
      <c r="AZ580" s="626"/>
      <c r="BA580" s="1439"/>
      <c r="BB580" s="626"/>
      <c r="BC580" s="261"/>
      <c r="BD580" s="626"/>
      <c r="BE580" s="626"/>
      <c r="BF580" s="1439"/>
      <c r="BG580" s="625"/>
      <c r="BH580" s="626"/>
      <c r="BI580" s="626"/>
      <c r="BJ580" s="1893"/>
      <c r="BK580" s="1439"/>
      <c r="BL580" s="626"/>
      <c r="BM580" s="626"/>
      <c r="BN580" s="626"/>
      <c r="BO580" s="1893"/>
      <c r="BP580" s="1439"/>
      <c r="BQ580" s="626"/>
      <c r="BR580" s="626"/>
      <c r="BS580" s="626"/>
      <c r="BT580" s="1893"/>
      <c r="BU580" s="3406"/>
      <c r="BV580" s="626"/>
      <c r="BW580" s="626"/>
      <c r="BX580" s="626"/>
      <c r="BY580" s="1893"/>
      <c r="BZ580" s="1439"/>
      <c r="CA580" s="1439"/>
      <c r="CB580" s="1439"/>
      <c r="CC580" s="1439"/>
      <c r="CD580" s="1439"/>
      <c r="CE580" s="1439"/>
      <c r="CF580" s="1439"/>
      <c r="CG580" s="1439"/>
      <c r="CH580" s="626"/>
      <c r="CI580" s="626"/>
      <c r="CJ580" s="626"/>
      <c r="CK580" s="626"/>
      <c r="CL580" s="626"/>
      <c r="CM580" s="626"/>
      <c r="CN580" s="626"/>
      <c r="CO580" s="626"/>
      <c r="CP580" s="994"/>
      <c r="CQ580" s="626"/>
      <c r="CR580" s="626"/>
      <c r="CS580" s="626"/>
      <c r="CT580" s="626"/>
      <c r="CU580" s="626"/>
      <c r="CV580" s="626"/>
      <c r="CW580" s="626"/>
      <c r="CX580" s="626"/>
      <c r="CY580" s="626"/>
      <c r="CZ580" s="626"/>
      <c r="DA580" s="626"/>
      <c r="DB580" s="626"/>
      <c r="DC580" s="626"/>
      <c r="DD580" s="626"/>
      <c r="DE580" s="626"/>
      <c r="DF580" s="626"/>
      <c r="DG580" s="1893"/>
      <c r="DH580" s="632"/>
      <c r="DI580" s="595"/>
      <c r="DJ580" s="595"/>
      <c r="DK580" s="595"/>
      <c r="DL580" s="595"/>
      <c r="DM580" s="595"/>
      <c r="DN580" s="514"/>
      <c r="DO580" s="77"/>
      <c r="DY580" s="330"/>
      <c r="DZ580" s="330"/>
    </row>
    <row r="581" spans="1:130" ht="12" hidden="1" customHeight="1" outlineLevel="1">
      <c r="A581" s="552" t="s">
        <v>1665</v>
      </c>
      <c r="B581" s="228"/>
      <c r="C581" s="228"/>
      <c r="D581" s="625"/>
      <c r="E581" s="626"/>
      <c r="F581" s="626"/>
      <c r="G581" s="626"/>
      <c r="H581" s="788"/>
      <c r="I581" s="626"/>
      <c r="J581" s="626"/>
      <c r="K581" s="626"/>
      <c r="L581" s="626"/>
      <c r="M581" s="788"/>
      <c r="N581" s="626"/>
      <c r="O581" s="626"/>
      <c r="P581" s="626"/>
      <c r="Q581" s="626"/>
      <c r="R581" s="788"/>
      <c r="S581" s="626"/>
      <c r="T581" s="626"/>
      <c r="U581" s="626"/>
      <c r="V581" s="626"/>
      <c r="W581" s="788"/>
      <c r="X581" s="626"/>
      <c r="Y581" s="626"/>
      <c r="Z581" s="626"/>
      <c r="AA581" s="626"/>
      <c r="AB581" s="788"/>
      <c r="AC581" s="626"/>
      <c r="AD581" s="626"/>
      <c r="AE581" s="626"/>
      <c r="AF581" s="626"/>
      <c r="AG581" s="788"/>
      <c r="AH581" s="626"/>
      <c r="AI581" s="626"/>
      <c r="AJ581" s="626"/>
      <c r="AK581" s="626"/>
      <c r="AL581" s="788"/>
      <c r="AM581" s="1976">
        <f>+AM585-AM578</f>
        <v>7.0391024950000016</v>
      </c>
      <c r="AN581" s="1976">
        <f>+AN585-AN578</f>
        <v>8.4931024950000022</v>
      </c>
      <c r="AO581" s="1976">
        <f>+AO585-AO578</f>
        <v>8.3541024950000011</v>
      </c>
      <c r="AP581" s="1976">
        <f>+AP585-AP578</f>
        <v>7.8861024949999994</v>
      </c>
      <c r="AQ581" s="1950">
        <f>+SUM(AM581:AP581)</f>
        <v>31.772409980000003</v>
      </c>
      <c r="AR581" s="1976">
        <f>+AR585-AR578</f>
        <v>7.9958449285000022</v>
      </c>
      <c r="AS581" s="1976">
        <f>+AS585-AS578</f>
        <v>8.6708449284999993</v>
      </c>
      <c r="AT581" s="1976">
        <f>+AT585-AT578</f>
        <v>8.2718449285000002</v>
      </c>
      <c r="AU581" s="626">
        <f>+AP581*(1+AU583)</f>
        <v>8.6747127445000007</v>
      </c>
      <c r="AV581" s="1950">
        <f>+SUM(AR581:AU581)</f>
        <v>33.613247530000002</v>
      </c>
      <c r="AW581" s="626">
        <f>+AR581*(1+AW583)</f>
        <v>7.7559695806450017</v>
      </c>
      <c r="AX581" s="626">
        <f>+AS581*(1+AX583)</f>
        <v>8.6708449284999993</v>
      </c>
      <c r="AY581" s="626">
        <f>+AT581*(1+AY583)</f>
        <v>8.2718449285000002</v>
      </c>
      <c r="AZ581" s="626">
        <f>+AU581*(1+AZ583)</f>
        <v>8.2409771072750004</v>
      </c>
      <c r="BA581" s="1950">
        <f>+SUM(AW581:AZ581)</f>
        <v>32.939636544919999</v>
      </c>
      <c r="BB581" s="626">
        <f>+AW581*(1+BB583)</f>
        <v>7.5232904932256517</v>
      </c>
      <c r="BC581" s="626">
        <f>+AX581*(1+BC583)</f>
        <v>8.5841364792149992</v>
      </c>
      <c r="BD581" s="626">
        <f>+AY581*(1+BD583)</f>
        <v>8.189126479215</v>
      </c>
      <c r="BE581" s="626">
        <f>+AZ581*(1+BE583)</f>
        <v>8.1585673362022497</v>
      </c>
      <c r="BF581" s="1950">
        <f>+SUM(BB581:BE581)</f>
        <v>32.455120787857894</v>
      </c>
      <c r="BG581" s="625">
        <f>+BB581*(1+BG583)</f>
        <v>7.6737563030901645</v>
      </c>
      <c r="BH581" s="626">
        <f>+BC581*(1+BH583)</f>
        <v>8.4124537496306999</v>
      </c>
      <c r="BI581" s="626">
        <f>+BD581*(1+BI583)</f>
        <v>8.3529090087992994</v>
      </c>
      <c r="BJ581" s="1893">
        <f>+BE581*(1+BJ583)</f>
        <v>8.2401530095642723</v>
      </c>
      <c r="BK581" s="1950">
        <f>+SUM(BG581:BJ581)</f>
        <v>32.679272071084441</v>
      </c>
      <c r="BL581" s="626">
        <f>+BG581*(1+BL583)</f>
        <v>7.9807065552137715</v>
      </c>
      <c r="BM581" s="626">
        <f>+BH581*(1+BM583)</f>
        <v>8.6227650933714663</v>
      </c>
      <c r="BN581" s="626"/>
      <c r="BO581" s="1893"/>
      <c r="BP581" s="1950"/>
      <c r="BQ581" s="626"/>
      <c r="BR581" s="626"/>
      <c r="BS581" s="626"/>
      <c r="BT581" s="1893"/>
      <c r="BU581" s="3406"/>
      <c r="BV581" s="626"/>
      <c r="BW581" s="626"/>
      <c r="BX581" s="626"/>
      <c r="BY581" s="1893"/>
      <c r="BZ581" s="2503"/>
      <c r="CA581" s="2503"/>
      <c r="CB581" s="2503"/>
      <c r="CC581" s="2503"/>
      <c r="CD581" s="2503"/>
      <c r="CE581" s="2503"/>
      <c r="CF581" s="2503"/>
      <c r="CG581" s="2503"/>
      <c r="CH581" s="626"/>
      <c r="CI581" s="626"/>
      <c r="CJ581" s="626"/>
      <c r="CK581" s="626"/>
      <c r="CL581" s="626"/>
      <c r="CM581" s="626"/>
      <c r="CN581" s="626"/>
      <c r="CO581" s="626"/>
      <c r="CP581" s="994"/>
      <c r="CQ581" s="626"/>
      <c r="CR581" s="626"/>
      <c r="CS581" s="626"/>
      <c r="CT581" s="626"/>
      <c r="CU581" s="626"/>
      <c r="CV581" s="626"/>
      <c r="CW581" s="626"/>
      <c r="CX581" s="626"/>
      <c r="CY581" s="626"/>
      <c r="CZ581" s="626"/>
      <c r="DA581" s="626"/>
      <c r="DB581" s="626"/>
      <c r="DC581" s="626"/>
      <c r="DD581" s="626"/>
      <c r="DE581" s="626"/>
      <c r="DF581" s="626"/>
      <c r="DG581" s="1893"/>
      <c r="DH581" s="632"/>
      <c r="DI581" s="595"/>
      <c r="DJ581" s="595"/>
      <c r="DK581" s="595"/>
      <c r="DL581" s="595"/>
      <c r="DM581" s="595"/>
      <c r="DN581" s="514"/>
      <c r="DO581" s="77"/>
      <c r="DY581" s="1634"/>
      <c r="DZ581" s="1634"/>
    </row>
    <row r="582" spans="1:130" ht="12" hidden="1" customHeight="1" outlineLevel="1">
      <c r="A582" s="567" t="s">
        <v>1664</v>
      </c>
      <c r="B582" s="228"/>
      <c r="C582" s="228"/>
      <c r="D582" s="625"/>
      <c r="E582" s="626"/>
      <c r="F582" s="626"/>
      <c r="G582" s="626"/>
      <c r="H582" s="788"/>
      <c r="I582" s="626"/>
      <c r="J582" s="626"/>
      <c r="K582" s="626"/>
      <c r="L582" s="626"/>
      <c r="M582" s="788"/>
      <c r="N582" s="626"/>
      <c r="O582" s="626"/>
      <c r="P582" s="626"/>
      <c r="Q582" s="626"/>
      <c r="R582" s="788"/>
      <c r="S582" s="626"/>
      <c r="T582" s="626"/>
      <c r="U582" s="626"/>
      <c r="V582" s="626"/>
      <c r="W582" s="788"/>
      <c r="X582" s="626"/>
      <c r="Y582" s="626"/>
      <c r="Z582" s="626"/>
      <c r="AA582" s="626"/>
      <c r="AB582" s="788"/>
      <c r="AC582" s="626"/>
      <c r="AD582" s="626"/>
      <c r="AE582" s="626"/>
      <c r="AF582" s="626"/>
      <c r="AG582" s="788"/>
      <c r="AH582" s="626"/>
      <c r="AI582" s="626"/>
      <c r="AJ582" s="626"/>
      <c r="AK582" s="626"/>
      <c r="AL582" s="788"/>
      <c r="AM582" s="860">
        <f t="shared" ref="AM582:BK582" si="1302">+AM581/AM574</f>
        <v>0.32611084063006723</v>
      </c>
      <c r="AN582" s="860">
        <f t="shared" si="1302"/>
        <v>0.34672800551132893</v>
      </c>
      <c r="AO582" s="860">
        <f t="shared" si="1302"/>
        <v>0.33950105640671357</v>
      </c>
      <c r="AP582" s="860">
        <f t="shared" si="1302"/>
        <v>0.33937696324826783</v>
      </c>
      <c r="AQ582" s="1975">
        <f t="shared" si="1302"/>
        <v>0.33827786274008781</v>
      </c>
      <c r="AR582" s="860">
        <f t="shared" si="1302"/>
        <v>0.33399519333751054</v>
      </c>
      <c r="AS582" s="860">
        <f t="shared" si="1302"/>
        <v>0.34483376132431892</v>
      </c>
      <c r="AT582" s="860">
        <f t="shared" si="1302"/>
        <v>0.33067539190485706</v>
      </c>
      <c r="AU582" s="860">
        <f t="shared" si="1302"/>
        <v>0.37826340364614397</v>
      </c>
      <c r="AV582" s="1975">
        <f t="shared" si="1302"/>
        <v>0.34641049191566231</v>
      </c>
      <c r="AW582" s="860">
        <f t="shared" si="1302"/>
        <v>0.35295833744380184</v>
      </c>
      <c r="AX582" s="860">
        <f t="shared" si="1302"/>
        <v>0.36164998964372064</v>
      </c>
      <c r="AY582" s="860">
        <f t="shared" si="1302"/>
        <v>0.34450646934222262</v>
      </c>
      <c r="AZ582" s="860">
        <f t="shared" si="1302"/>
        <v>0.38673062610858039</v>
      </c>
      <c r="BA582" s="1975">
        <f t="shared" si="1302"/>
        <v>0.36090310669337072</v>
      </c>
      <c r="BB582" s="860">
        <f t="shared" si="1302"/>
        <v>0.37559471555223906</v>
      </c>
      <c r="BC582" s="860">
        <f t="shared" si="1302"/>
        <v>0.3730777599737824</v>
      </c>
      <c r="BD582" s="860">
        <f t="shared" si="1302"/>
        <v>0.35845803353437139</v>
      </c>
      <c r="BE582" s="860">
        <f t="shared" si="1302"/>
        <v>0.38719617968650627</v>
      </c>
      <c r="BF582" s="1975">
        <f t="shared" si="1302"/>
        <v>0.37323771790083299</v>
      </c>
      <c r="BG582" s="861">
        <f>+BG581/BG574</f>
        <v>0.36605539007467947</v>
      </c>
      <c r="BH582" s="860">
        <f>+BH581/BH574</f>
        <v>0.36311614672669446</v>
      </c>
      <c r="BI582" s="860">
        <f>+BI581/BI574</f>
        <v>0.34798509762683066</v>
      </c>
      <c r="BJ582" s="1295">
        <f>+BJ581/BJ574</f>
        <v>0.3745112643562874</v>
      </c>
      <c r="BK582" s="1975">
        <f t="shared" si="1302"/>
        <v>0.36255185275223195</v>
      </c>
      <c r="BL582" s="860">
        <f t="shared" ref="BL582:BM582" si="1303">+BL581/BL574</f>
        <v>0.36591470966955353</v>
      </c>
      <c r="BM582" s="860">
        <f t="shared" si="1303"/>
        <v>0.38301789694088012</v>
      </c>
      <c r="BN582" s="860"/>
      <c r="BO582" s="1295"/>
      <c r="BP582" s="1975"/>
      <c r="BQ582" s="860"/>
      <c r="BR582" s="860"/>
      <c r="BS582" s="860"/>
      <c r="BT582" s="1295"/>
      <c r="BU582" s="3407"/>
      <c r="BV582" s="860"/>
      <c r="BW582" s="860"/>
      <c r="BX582" s="860"/>
      <c r="BY582" s="1295"/>
      <c r="BZ582" s="1975"/>
      <c r="CA582" s="1975"/>
      <c r="CB582" s="1975"/>
      <c r="CC582" s="1975"/>
      <c r="CD582" s="1975"/>
      <c r="CE582" s="1975"/>
      <c r="CF582" s="1975"/>
      <c r="CG582" s="1975"/>
      <c r="CH582" s="626"/>
      <c r="CI582" s="626"/>
      <c r="CJ582" s="626"/>
      <c r="CK582" s="626"/>
      <c r="CL582" s="626"/>
      <c r="CM582" s="626"/>
      <c r="CN582" s="626"/>
      <c r="CO582" s="626"/>
      <c r="CP582" s="994"/>
      <c r="CQ582" s="626"/>
      <c r="CR582" s="626"/>
      <c r="CS582" s="626"/>
      <c r="CT582" s="626"/>
      <c r="CU582" s="626"/>
      <c r="CV582" s="626"/>
      <c r="CW582" s="626"/>
      <c r="CX582" s="626"/>
      <c r="CY582" s="626"/>
      <c r="CZ582" s="626"/>
      <c r="DA582" s="626"/>
      <c r="DB582" s="626"/>
      <c r="DC582" s="626"/>
      <c r="DD582" s="626"/>
      <c r="DE582" s="626"/>
      <c r="DF582" s="626"/>
      <c r="DG582" s="1893"/>
      <c r="DH582" s="632"/>
      <c r="DI582" s="595"/>
      <c r="DJ582" s="595"/>
      <c r="DK582" s="595"/>
      <c r="DL582" s="595"/>
      <c r="DM582" s="595"/>
      <c r="DN582" s="514"/>
      <c r="DO582" s="77"/>
      <c r="DY582" s="769"/>
      <c r="DZ582" s="769"/>
    </row>
    <row r="583" spans="1:130" ht="12" hidden="1" customHeight="1" outlineLevel="1">
      <c r="A583" s="567" t="s">
        <v>1153</v>
      </c>
      <c r="B583" s="228"/>
      <c r="C583" s="228"/>
      <c r="D583" s="625"/>
      <c r="E583" s="626"/>
      <c r="F583" s="626"/>
      <c r="G583" s="626"/>
      <c r="H583" s="788"/>
      <c r="I583" s="626"/>
      <c r="J583" s="626"/>
      <c r="K583" s="626"/>
      <c r="L583" s="626"/>
      <c r="M583" s="788"/>
      <c r="N583" s="626"/>
      <c r="O583" s="626"/>
      <c r="P583" s="626"/>
      <c r="Q583" s="626"/>
      <c r="R583" s="788"/>
      <c r="S583" s="626"/>
      <c r="T583" s="626"/>
      <c r="U583" s="626"/>
      <c r="V583" s="626"/>
      <c r="W583" s="788"/>
      <c r="X583" s="626"/>
      <c r="Y583" s="626"/>
      <c r="Z583" s="626"/>
      <c r="AA583" s="626"/>
      <c r="AB583" s="788"/>
      <c r="AC583" s="626"/>
      <c r="AD583" s="626"/>
      <c r="AE583" s="626"/>
      <c r="AF583" s="626"/>
      <c r="AG583" s="788"/>
      <c r="AH583" s="626"/>
      <c r="AI583" s="626"/>
      <c r="AJ583" s="626"/>
      <c r="AK583" s="626"/>
      <c r="AL583" s="788"/>
      <c r="AM583" s="626"/>
      <c r="AN583" s="261"/>
      <c r="AO583" s="626"/>
      <c r="AP583" s="330"/>
      <c r="AQ583" s="1439"/>
      <c r="AR583" s="573">
        <f>+AR581/AM581-1</f>
        <v>0.13591824159111066</v>
      </c>
      <c r="AS583" s="573">
        <f>+AS581/AN581-1</f>
        <v>2.0927856882056561E-2</v>
      </c>
      <c r="AT583" s="573">
        <f>+AT581/AO581-1</f>
        <v>-9.8463678832325652E-3</v>
      </c>
      <c r="AU583" s="548">
        <v>0.1</v>
      </c>
      <c r="AV583" s="1975">
        <f>+AV581/AQ581-1</f>
        <v>5.7938241107890809E-2</v>
      </c>
      <c r="AW583" s="548">
        <v>-0.03</v>
      </c>
      <c r="AX583" s="548">
        <v>0</v>
      </c>
      <c r="AY583" s="548">
        <v>0</v>
      </c>
      <c r="AZ583" s="548">
        <v>-0.05</v>
      </c>
      <c r="BA583" s="1975">
        <f>+BA581/AV581-1</f>
        <v>-2.0040044761482911E-2</v>
      </c>
      <c r="BB583" s="548">
        <v>-0.03</v>
      </c>
      <c r="BC583" s="548">
        <v>-0.01</v>
      </c>
      <c r="BD583" s="548">
        <v>-0.01</v>
      </c>
      <c r="BE583" s="548">
        <v>-0.01</v>
      </c>
      <c r="BF583" s="1975">
        <f>+BF581/BA581-1</f>
        <v>-1.4709201675658035E-2</v>
      </c>
      <c r="BG583" s="2886">
        <v>0.02</v>
      </c>
      <c r="BH583" s="2887">
        <v>-0.02</v>
      </c>
      <c r="BI583" s="2887">
        <v>0.02</v>
      </c>
      <c r="BJ583" s="2888">
        <v>0.01</v>
      </c>
      <c r="BK583" s="1975">
        <f>+BK581/BF581-1</f>
        <v>6.9064997382604076E-3</v>
      </c>
      <c r="BL583" s="2887">
        <v>0.04</v>
      </c>
      <c r="BM583" s="2887">
        <v>2.5000000000000001E-2</v>
      </c>
      <c r="BN583" s="2887"/>
      <c r="BO583" s="2888"/>
      <c r="BP583" s="1975"/>
      <c r="BQ583" s="2887"/>
      <c r="BR583" s="2887"/>
      <c r="BS583" s="2887"/>
      <c r="BT583" s="2887"/>
      <c r="BU583" s="3407"/>
      <c r="BV583" s="2887"/>
      <c r="BW583" s="2887"/>
      <c r="BX583" s="2887"/>
      <c r="BY583" s="2887"/>
      <c r="BZ583" s="3056"/>
      <c r="CA583" s="458"/>
      <c r="CB583" s="458"/>
      <c r="CC583" s="458"/>
      <c r="CD583" s="458"/>
      <c r="CE583" s="458"/>
      <c r="CF583" s="458"/>
      <c r="CG583" s="458"/>
      <c r="CH583" s="626"/>
      <c r="CI583" s="626"/>
      <c r="CJ583" s="626"/>
      <c r="CK583" s="626"/>
      <c r="CL583" s="626"/>
      <c r="CM583" s="626"/>
      <c r="CN583" s="626"/>
      <c r="CO583" s="626"/>
      <c r="CP583" s="994"/>
      <c r="CQ583" s="626"/>
      <c r="CR583" s="626"/>
      <c r="CS583" s="626"/>
      <c r="CT583" s="626"/>
      <c r="CU583" s="626"/>
      <c r="CV583" s="626"/>
      <c r="CW583" s="626"/>
      <c r="CX583" s="626"/>
      <c r="CY583" s="626"/>
      <c r="CZ583" s="626"/>
      <c r="DA583" s="626"/>
      <c r="DB583" s="626"/>
      <c r="DC583" s="626"/>
      <c r="DD583" s="626"/>
      <c r="DE583" s="626"/>
      <c r="DF583" s="626"/>
      <c r="DG583" s="1893"/>
      <c r="DH583" s="632"/>
      <c r="DI583" s="595"/>
      <c r="DJ583" s="595"/>
      <c r="DK583" s="595"/>
      <c r="DL583" s="595"/>
      <c r="DM583" s="595"/>
      <c r="DN583" s="514"/>
      <c r="DO583" s="77"/>
      <c r="DY583" s="769"/>
      <c r="DZ583" s="769"/>
    </row>
    <row r="584" spans="1:130" ht="2.25" hidden="1" customHeight="1" outlineLevel="1">
      <c r="A584" s="552"/>
      <c r="B584" s="228"/>
      <c r="C584" s="228"/>
      <c r="D584" s="625"/>
      <c r="E584" s="626"/>
      <c r="F584" s="626"/>
      <c r="G584" s="626"/>
      <c r="H584" s="788"/>
      <c r="I584" s="626"/>
      <c r="J584" s="626"/>
      <c r="K584" s="626"/>
      <c r="L584" s="626"/>
      <c r="M584" s="788"/>
      <c r="N584" s="626"/>
      <c r="O584" s="626"/>
      <c r="P584" s="626"/>
      <c r="Q584" s="626"/>
      <c r="R584" s="788"/>
      <c r="S584" s="626"/>
      <c r="T584" s="626"/>
      <c r="U584" s="626"/>
      <c r="V584" s="626"/>
      <c r="W584" s="788"/>
      <c r="X584" s="626"/>
      <c r="Y584" s="626"/>
      <c r="Z584" s="626"/>
      <c r="AA584" s="626"/>
      <c r="AB584" s="788"/>
      <c r="AC584" s="626"/>
      <c r="AD584" s="626"/>
      <c r="AE584" s="626"/>
      <c r="AF584" s="626"/>
      <c r="AG584" s="788"/>
      <c r="AH584" s="626"/>
      <c r="AI584" s="626"/>
      <c r="AJ584" s="626"/>
      <c r="AK584" s="626"/>
      <c r="AL584" s="788"/>
      <c r="AM584" s="626"/>
      <c r="AN584" s="261"/>
      <c r="AO584" s="626"/>
      <c r="AP584" s="330"/>
      <c r="AQ584" s="1439"/>
      <c r="AR584" s="626"/>
      <c r="AS584" s="626"/>
      <c r="AT584" s="626"/>
      <c r="AU584" s="626"/>
      <c r="AV584" s="1439"/>
      <c r="AW584" s="626"/>
      <c r="AX584" s="261"/>
      <c r="AY584" s="626"/>
      <c r="AZ584" s="626"/>
      <c r="BA584" s="1439"/>
      <c r="BB584" s="626"/>
      <c r="BC584" s="261"/>
      <c r="BD584" s="626"/>
      <c r="BE584" s="626"/>
      <c r="BF584" s="1439"/>
      <c r="BG584" s="678"/>
      <c r="BH584" s="330"/>
      <c r="BI584" s="330"/>
      <c r="BJ584" s="2136"/>
      <c r="BK584" s="1439"/>
      <c r="BL584" s="330"/>
      <c r="BM584" s="330"/>
      <c r="BN584" s="330"/>
      <c r="BO584" s="2136"/>
      <c r="BP584" s="1439"/>
      <c r="BQ584" s="330"/>
      <c r="BR584" s="330"/>
      <c r="BS584" s="330"/>
      <c r="BT584" s="2136"/>
      <c r="BU584" s="3406"/>
      <c r="BV584" s="330"/>
      <c r="BW584" s="330"/>
      <c r="BX584" s="330"/>
      <c r="BY584" s="2136"/>
      <c r="BZ584" s="1439"/>
      <c r="CA584" s="1439"/>
      <c r="CB584" s="1439"/>
      <c r="CC584" s="1439"/>
      <c r="CD584" s="1439"/>
      <c r="CE584" s="1439"/>
      <c r="CF584" s="1439"/>
      <c r="CG584" s="1439"/>
      <c r="CH584" s="626"/>
      <c r="CI584" s="626"/>
      <c r="CJ584" s="626"/>
      <c r="CK584" s="626"/>
      <c r="CL584" s="626"/>
      <c r="CM584" s="626"/>
      <c r="CN584" s="626"/>
      <c r="CO584" s="626"/>
      <c r="CP584" s="994"/>
      <c r="CQ584" s="626"/>
      <c r="CR584" s="626"/>
      <c r="CS584" s="626"/>
      <c r="CT584" s="626"/>
      <c r="CU584" s="626"/>
      <c r="CV584" s="626"/>
      <c r="CW584" s="626"/>
      <c r="CX584" s="626"/>
      <c r="CY584" s="626"/>
      <c r="CZ584" s="626"/>
      <c r="DA584" s="626"/>
      <c r="DB584" s="626"/>
      <c r="DC584" s="626"/>
      <c r="DD584" s="626"/>
      <c r="DE584" s="626"/>
      <c r="DF584" s="626"/>
      <c r="DG584" s="1893"/>
      <c r="DH584" s="632"/>
      <c r="DI584" s="595"/>
      <c r="DJ584" s="595"/>
      <c r="DK584" s="595"/>
      <c r="DL584" s="595"/>
      <c r="DM584" s="595"/>
      <c r="DN584" s="514"/>
      <c r="DO584" s="77"/>
      <c r="DY584" s="330"/>
      <c r="DZ584" s="330"/>
    </row>
    <row r="585" spans="1:130" ht="12" hidden="1" customHeight="1" outlineLevel="1">
      <c r="A585" s="552" t="s">
        <v>1145</v>
      </c>
      <c r="B585" s="228"/>
      <c r="C585" s="228"/>
      <c r="D585" s="625"/>
      <c r="E585" s="626"/>
      <c r="F585" s="626"/>
      <c r="G585" s="626"/>
      <c r="H585" s="788"/>
      <c r="I585" s="626"/>
      <c r="J585" s="626"/>
      <c r="K585" s="626"/>
      <c r="L585" s="626"/>
      <c r="M585" s="788"/>
      <c r="N585" s="626"/>
      <c r="O585" s="626"/>
      <c r="P585" s="626"/>
      <c r="Q585" s="626"/>
      <c r="R585" s="788"/>
      <c r="S585" s="626"/>
      <c r="T585" s="626"/>
      <c r="U585" s="626"/>
      <c r="V585" s="626"/>
      <c r="W585" s="788"/>
      <c r="X585" s="626"/>
      <c r="Y585" s="626"/>
      <c r="Z585" s="626"/>
      <c r="AA585" s="626"/>
      <c r="AB585" s="788"/>
      <c r="AC585" s="626"/>
      <c r="AD585" s="626"/>
      <c r="AE585" s="626"/>
      <c r="AF585" s="626"/>
      <c r="AG585" s="788"/>
      <c r="AH585" s="626"/>
      <c r="AI585" s="626"/>
      <c r="AJ585" s="626"/>
      <c r="AK585" s="626"/>
      <c r="AL585" s="788"/>
      <c r="AM585" s="626">
        <f>+AM574-AM589</f>
        <v>12.893000000000001</v>
      </c>
      <c r="AN585" s="626">
        <f>+AN574-AN589</f>
        <v>14.347000000000001</v>
      </c>
      <c r="AO585" s="626">
        <f>+AO574-AO589</f>
        <v>14.208</v>
      </c>
      <c r="AP585" s="626">
        <f>+AP574-AP589</f>
        <v>13.739999999999998</v>
      </c>
      <c r="AQ585" s="1950">
        <f>+SUM(AM585:AP585)</f>
        <v>55.188000000000002</v>
      </c>
      <c r="AR585" s="626">
        <f>+AR574-AR589</f>
        <v>14.019000000000002</v>
      </c>
      <c r="AS585" s="626">
        <f>+AS574-AS589</f>
        <v>14.693999999999999</v>
      </c>
      <c r="AT585" s="626">
        <f>+AT574-AT589</f>
        <v>14.295</v>
      </c>
      <c r="AU585" s="626">
        <f>+AU578+AU581</f>
        <v>14.697867816</v>
      </c>
      <c r="AV585" s="1950">
        <f>+SUM(AR585:AU585)</f>
        <v>57.705867816000001</v>
      </c>
      <c r="AW585" s="626">
        <f>+AW578+AW581</f>
        <v>13.413870950645002</v>
      </c>
      <c r="AX585" s="626">
        <f>+AX578+AX581</f>
        <v>14.328746298499999</v>
      </c>
      <c r="AY585" s="626">
        <f>+AY578+AY581</f>
        <v>13.9297462985</v>
      </c>
      <c r="AZ585" s="626">
        <f>+AZ578+AZ581</f>
        <v>13.898878477275</v>
      </c>
      <c r="BA585" s="1950">
        <f>+SUM(AW585:AZ585)</f>
        <v>55.571242024919997</v>
      </c>
      <c r="BB585" s="626">
        <f>+BB578+BB581</f>
        <v>12.945967973225653</v>
      </c>
      <c r="BC585" s="626">
        <f>+BC578+BC581</f>
        <v>14.006813959214998</v>
      </c>
      <c r="BD585" s="626">
        <f>+BD578+BD581</f>
        <v>13.611803959214999</v>
      </c>
      <c r="BE585" s="626">
        <f>+BE578+BE581</f>
        <v>13.581244816202251</v>
      </c>
      <c r="BF585" s="1950">
        <f>+SUM(BB585:BE585)</f>
        <v>54.145830707857904</v>
      </c>
      <c r="BG585" s="625">
        <f>+BG578+BG581</f>
        <v>13.301117023090164</v>
      </c>
      <c r="BH585" s="626">
        <f>+BH578+BH581</f>
        <v>14.0398144696307</v>
      </c>
      <c r="BI585" s="626">
        <f>+BI578+BI581</f>
        <v>13.9802697287993</v>
      </c>
      <c r="BJ585" s="1893">
        <f>+BJ578+BJ581</f>
        <v>13.867513729564273</v>
      </c>
      <c r="BK585" s="1950">
        <f>+SUM(BG585:BJ585)</f>
        <v>55.188714951084435</v>
      </c>
      <c r="BL585" s="626">
        <f>+BL578+BL581</f>
        <v>7.9807065552137715</v>
      </c>
      <c r="BM585" s="626">
        <f>+BM578+BM581</f>
        <v>8.6227650933714663</v>
      </c>
      <c r="BN585" s="626"/>
      <c r="BO585" s="1893"/>
      <c r="BP585" s="1950"/>
      <c r="BQ585" s="626"/>
      <c r="BR585" s="626"/>
      <c r="BS585" s="626"/>
      <c r="BT585" s="1893"/>
      <c r="BU585" s="3406"/>
      <c r="BV585" s="626"/>
      <c r="BW585" s="626"/>
      <c r="BX585" s="626"/>
      <c r="BY585" s="1893"/>
      <c r="BZ585" s="1950"/>
      <c r="CA585" s="1950"/>
      <c r="CB585" s="1950"/>
      <c r="CC585" s="1950"/>
      <c r="CD585" s="1950"/>
      <c r="CE585" s="1950"/>
      <c r="CF585" s="1950"/>
      <c r="CG585" s="1950"/>
      <c r="CH585" s="626"/>
      <c r="CI585" s="626"/>
      <c r="CJ585" s="626"/>
      <c r="CK585" s="626"/>
      <c r="CL585" s="626"/>
      <c r="CM585" s="626"/>
      <c r="CN585" s="626"/>
      <c r="CO585" s="626"/>
      <c r="CP585" s="994"/>
      <c r="CQ585" s="626"/>
      <c r="CR585" s="626"/>
      <c r="CS585" s="626"/>
      <c r="CT585" s="626"/>
      <c r="CU585" s="626"/>
      <c r="CV585" s="626"/>
      <c r="CW585" s="626"/>
      <c r="CX585" s="626"/>
      <c r="CY585" s="626"/>
      <c r="CZ585" s="626"/>
      <c r="DA585" s="626"/>
      <c r="DB585" s="626"/>
      <c r="DC585" s="626"/>
      <c r="DD585" s="626"/>
      <c r="DE585" s="626"/>
      <c r="DF585" s="626"/>
      <c r="DG585" s="1893"/>
      <c r="DH585" s="632"/>
      <c r="DI585" s="595"/>
      <c r="DJ585" s="595"/>
      <c r="DK585" s="595"/>
      <c r="DL585" s="595"/>
      <c r="DM585" s="595"/>
      <c r="DN585" s="514"/>
      <c r="DO585" s="77"/>
      <c r="DY585" s="1634"/>
      <c r="DZ585" s="1634"/>
    </row>
    <row r="586" spans="1:130" ht="12" hidden="1" customHeight="1" outlineLevel="1">
      <c r="A586" s="567" t="s">
        <v>1664</v>
      </c>
      <c r="B586" s="228"/>
      <c r="C586" s="228"/>
      <c r="D586" s="625"/>
      <c r="E586" s="626"/>
      <c r="F586" s="626"/>
      <c r="G586" s="626"/>
      <c r="H586" s="788"/>
      <c r="I586" s="626"/>
      <c r="J586" s="626"/>
      <c r="K586" s="626"/>
      <c r="L586" s="626"/>
      <c r="M586" s="788"/>
      <c r="N586" s="626"/>
      <c r="O586" s="626"/>
      <c r="P586" s="626"/>
      <c r="Q586" s="626"/>
      <c r="R586" s="788"/>
      <c r="S586" s="626"/>
      <c r="T586" s="626"/>
      <c r="U586" s="626"/>
      <c r="V586" s="626"/>
      <c r="W586" s="788"/>
      <c r="X586" s="626"/>
      <c r="Y586" s="626"/>
      <c r="Z586" s="626"/>
      <c r="AA586" s="626"/>
      <c r="AB586" s="788"/>
      <c r="AC586" s="626"/>
      <c r="AD586" s="626"/>
      <c r="AE586" s="626"/>
      <c r="AF586" s="626"/>
      <c r="AG586" s="788"/>
      <c r="AH586" s="626"/>
      <c r="AI586" s="626"/>
      <c r="AJ586" s="626"/>
      <c r="AK586" s="626"/>
      <c r="AL586" s="788"/>
      <c r="AM586" s="860">
        <f t="shared" ref="AM586:BF586" si="1304">+AM585/AM574</f>
        <v>0.59731294880704189</v>
      </c>
      <c r="AN586" s="860">
        <f t="shared" si="1304"/>
        <v>0.5857113696672791</v>
      </c>
      <c r="AO586" s="860">
        <f t="shared" si="1304"/>
        <v>0.57739667574267484</v>
      </c>
      <c r="AP586" s="860">
        <f t="shared" si="1304"/>
        <v>0.59129836037354222</v>
      </c>
      <c r="AQ586" s="1975">
        <f t="shared" si="1304"/>
        <v>0.58758144883096974</v>
      </c>
      <c r="AR586" s="860">
        <f t="shared" si="1304"/>
        <v>0.58558897243107777</v>
      </c>
      <c r="AS586" s="860">
        <f t="shared" si="1304"/>
        <v>0.58437065022867363</v>
      </c>
      <c r="AT586" s="860">
        <f t="shared" si="1304"/>
        <v>0.5714571257245652</v>
      </c>
      <c r="AU586" s="860">
        <f t="shared" si="1304"/>
        <v>0.64090485416318288</v>
      </c>
      <c r="AV586" s="1975">
        <f t="shared" si="1304"/>
        <v>0.59470356259744428</v>
      </c>
      <c r="AW586" s="860">
        <f t="shared" si="1304"/>
        <v>0.6104378750066779</v>
      </c>
      <c r="AX586" s="860">
        <f t="shared" si="1304"/>
        <v>0.5976339091738867</v>
      </c>
      <c r="AY586" s="860">
        <f t="shared" si="1304"/>
        <v>0.58014720508056594</v>
      </c>
      <c r="AZ586" s="860">
        <f t="shared" si="1304"/>
        <v>0.65224328447394464</v>
      </c>
      <c r="BA586" s="1975">
        <f t="shared" si="1304"/>
        <v>0.6088662776303726</v>
      </c>
      <c r="BB586" s="860">
        <f t="shared" si="1304"/>
        <v>0.64631787950105979</v>
      </c>
      <c r="BC586" s="860">
        <f t="shared" si="1304"/>
        <v>0.60875439118732544</v>
      </c>
      <c r="BD586" s="860">
        <f t="shared" si="1304"/>
        <v>0.59582184894319756</v>
      </c>
      <c r="BE586" s="860">
        <f t="shared" si="1304"/>
        <v>0.64455018773780437</v>
      </c>
      <c r="BF586" s="1975">
        <f t="shared" si="1304"/>
        <v>0.6226834409073102</v>
      </c>
      <c r="BG586" s="861">
        <f t="shared" ref="BG586:BM586" si="1305">+BG585/BG574</f>
        <v>0.63449312018881043</v>
      </c>
      <c r="BH586" s="860">
        <f t="shared" si="1305"/>
        <v>0.60601620914632559</v>
      </c>
      <c r="BI586" s="860">
        <f t="shared" si="1305"/>
        <v>0.5824229045594459</v>
      </c>
      <c r="BJ586" s="1295">
        <f t="shared" si="1305"/>
        <v>0.63027228915642641</v>
      </c>
      <c r="BK586" s="1975">
        <f t="shared" si="1305"/>
        <v>0.61227712823612135</v>
      </c>
      <c r="BL586" s="860">
        <f t="shared" si="1305"/>
        <v>0.36591470966955353</v>
      </c>
      <c r="BM586" s="860">
        <f t="shared" si="1305"/>
        <v>0.38301789694088012</v>
      </c>
      <c r="BN586" s="860"/>
      <c r="BO586" s="1295"/>
      <c r="BP586" s="1975"/>
      <c r="BQ586" s="860"/>
      <c r="BR586" s="860"/>
      <c r="BS586" s="860"/>
      <c r="BT586" s="1295"/>
      <c r="BU586" s="3407"/>
      <c r="BV586" s="860"/>
      <c r="BW586" s="860"/>
      <c r="BX586" s="860"/>
      <c r="BY586" s="1295"/>
      <c r="BZ586" s="1975"/>
      <c r="CA586" s="1975"/>
      <c r="CB586" s="1975"/>
      <c r="CC586" s="1975"/>
      <c r="CD586" s="1975"/>
      <c r="CE586" s="1975"/>
      <c r="CF586" s="1975"/>
      <c r="CG586" s="1975"/>
      <c r="CH586" s="626"/>
      <c r="CI586" s="626"/>
      <c r="CJ586" s="626"/>
      <c r="CK586" s="626"/>
      <c r="CL586" s="626"/>
      <c r="CM586" s="626"/>
      <c r="CN586" s="626"/>
      <c r="CO586" s="626"/>
      <c r="CP586" s="994"/>
      <c r="CQ586" s="626"/>
      <c r="CR586" s="626"/>
      <c r="CS586" s="626"/>
      <c r="CT586" s="626"/>
      <c r="CU586" s="626"/>
      <c r="CV586" s="626"/>
      <c r="CW586" s="626"/>
      <c r="CX586" s="626"/>
      <c r="CY586" s="626"/>
      <c r="CZ586" s="626"/>
      <c r="DA586" s="626"/>
      <c r="DB586" s="626"/>
      <c r="DC586" s="626"/>
      <c r="DD586" s="626"/>
      <c r="DE586" s="626"/>
      <c r="DF586" s="626"/>
      <c r="DG586" s="1893"/>
      <c r="DH586" s="632"/>
      <c r="DI586" s="595"/>
      <c r="DJ586" s="595"/>
      <c r="DK586" s="595"/>
      <c r="DL586" s="595"/>
      <c r="DM586" s="595"/>
      <c r="DN586" s="514"/>
      <c r="DO586" s="77"/>
      <c r="DY586" s="769"/>
      <c r="DZ586" s="769"/>
    </row>
    <row r="587" spans="1:130" ht="12" hidden="1" customHeight="1" outlineLevel="1">
      <c r="A587" s="567" t="s">
        <v>1153</v>
      </c>
      <c r="B587" s="228"/>
      <c r="C587" s="228"/>
      <c r="D587" s="625"/>
      <c r="E587" s="626"/>
      <c r="F587" s="626"/>
      <c r="G587" s="626"/>
      <c r="H587" s="788"/>
      <c r="I587" s="626"/>
      <c r="J587" s="626"/>
      <c r="K587" s="626"/>
      <c r="L587" s="626"/>
      <c r="M587" s="788"/>
      <c r="N587" s="626"/>
      <c r="O587" s="626"/>
      <c r="P587" s="626"/>
      <c r="Q587" s="626"/>
      <c r="R587" s="788"/>
      <c r="S587" s="626"/>
      <c r="T587" s="626"/>
      <c r="U587" s="626"/>
      <c r="V587" s="626"/>
      <c r="W587" s="788"/>
      <c r="X587" s="626"/>
      <c r="Y587" s="626"/>
      <c r="Z587" s="626"/>
      <c r="AA587" s="626"/>
      <c r="AB587" s="788"/>
      <c r="AC587" s="626"/>
      <c r="AD587" s="626"/>
      <c r="AE587" s="626"/>
      <c r="AF587" s="626"/>
      <c r="AG587" s="788"/>
      <c r="AH587" s="626"/>
      <c r="AI587" s="626"/>
      <c r="AJ587" s="626"/>
      <c r="AK587" s="626"/>
      <c r="AL587" s="788"/>
      <c r="AM587" s="626"/>
      <c r="AN587" s="261"/>
      <c r="AO587" s="626"/>
      <c r="AP587" s="330"/>
      <c r="AQ587" s="1439"/>
      <c r="AR587" s="573">
        <f t="shared" ref="AR587:BF587" si="1306">+AR585/AM585-1</f>
        <v>8.733421236329808E-2</v>
      </c>
      <c r="AS587" s="573">
        <f t="shared" si="1306"/>
        <v>2.4186241025998312E-2</v>
      </c>
      <c r="AT587" s="573">
        <f t="shared" si="1306"/>
        <v>6.1233108108107448E-3</v>
      </c>
      <c r="AU587" s="573">
        <f t="shared" si="1306"/>
        <v>6.9713814847161659E-2</v>
      </c>
      <c r="AV587" s="1975">
        <f t="shared" si="1306"/>
        <v>4.5623465535986174E-2</v>
      </c>
      <c r="AW587" s="573">
        <f t="shared" si="1306"/>
        <v>-4.3164922559027041E-2</v>
      </c>
      <c r="AX587" s="573">
        <f t="shared" si="1306"/>
        <v>-2.4857336429835342E-2</v>
      </c>
      <c r="AY587" s="573">
        <f t="shared" si="1306"/>
        <v>-2.5551150856943039E-2</v>
      </c>
      <c r="AZ587" s="573">
        <f t="shared" si="1306"/>
        <v>-5.4360901099901437E-2</v>
      </c>
      <c r="BA587" s="1975">
        <f t="shared" si="1306"/>
        <v>-3.6991485820583092E-2</v>
      </c>
      <c r="BB587" s="573">
        <f t="shared" si="1306"/>
        <v>-3.4882024669907086E-2</v>
      </c>
      <c r="BC587" s="573">
        <f t="shared" si="1306"/>
        <v>-2.2467585968683257E-2</v>
      </c>
      <c r="BD587" s="573">
        <f t="shared" si="1306"/>
        <v>-2.282470423163685E-2</v>
      </c>
      <c r="BE587" s="573">
        <f t="shared" si="1306"/>
        <v>-2.2853186434580897E-2</v>
      </c>
      <c r="BF587" s="1975">
        <f t="shared" si="1306"/>
        <v>-2.5650161218691014E-2</v>
      </c>
      <c r="BG587" s="2730">
        <f t="shared" ref="BG587:BM587" si="1307">+BG585/BB585-1</f>
        <v>2.7433178469081332E-2</v>
      </c>
      <c r="BH587" s="573">
        <f t="shared" si="1307"/>
        <v>2.3560326075431348E-3</v>
      </c>
      <c r="BI587" s="573">
        <f t="shared" si="1307"/>
        <v>2.7069576574003884E-2</v>
      </c>
      <c r="BJ587" s="2135">
        <f t="shared" si="1307"/>
        <v>2.1078252931609587E-2</v>
      </c>
      <c r="BK587" s="1975">
        <f t="shared" si="1307"/>
        <v>1.926065644561592E-2</v>
      </c>
      <c r="BL587" s="573">
        <f t="shared" si="1307"/>
        <v>-0.39999726779641065</v>
      </c>
      <c r="BM587" s="573">
        <f t="shared" si="1307"/>
        <v>-0.38583482623483145</v>
      </c>
      <c r="BN587" s="573"/>
      <c r="BO587" s="2135"/>
      <c r="BP587" s="1975"/>
      <c r="BQ587" s="573"/>
      <c r="BR587" s="573"/>
      <c r="BS587" s="573"/>
      <c r="BT587" s="2135"/>
      <c r="BU587" s="3407"/>
      <c r="BV587" s="573"/>
      <c r="BW587" s="573"/>
      <c r="BX587" s="573"/>
      <c r="BY587" s="2135"/>
      <c r="BZ587" s="1621"/>
      <c r="CA587" s="1621"/>
      <c r="CB587" s="1621"/>
      <c r="CC587" s="1621"/>
      <c r="CD587" s="1621"/>
      <c r="CE587" s="1621"/>
      <c r="CF587" s="1621"/>
      <c r="CG587" s="1621"/>
      <c r="CH587" s="626"/>
      <c r="CI587" s="626"/>
      <c r="CJ587" s="626"/>
      <c r="CK587" s="626"/>
      <c r="CL587" s="626"/>
      <c r="CM587" s="626"/>
      <c r="CN587" s="626"/>
      <c r="CO587" s="626"/>
      <c r="CP587" s="994"/>
      <c r="CQ587" s="626"/>
      <c r="CR587" s="626"/>
      <c r="CS587" s="626"/>
      <c r="CT587" s="626"/>
      <c r="CU587" s="626"/>
      <c r="CV587" s="626"/>
      <c r="CW587" s="626"/>
      <c r="CX587" s="626"/>
      <c r="CY587" s="626"/>
      <c r="CZ587" s="626"/>
      <c r="DA587" s="626"/>
      <c r="DB587" s="626"/>
      <c r="DC587" s="626"/>
      <c r="DD587" s="626"/>
      <c r="DE587" s="626"/>
      <c r="DF587" s="626"/>
      <c r="DG587" s="1893"/>
      <c r="DH587" s="632"/>
      <c r="DI587" s="595"/>
      <c r="DJ587" s="595"/>
      <c r="DK587" s="595"/>
      <c r="DL587" s="595"/>
      <c r="DM587" s="595"/>
      <c r="DN587" s="514"/>
      <c r="DO587" s="77"/>
      <c r="DY587" s="769"/>
      <c r="DZ587" s="769"/>
    </row>
    <row r="588" spans="1:130" ht="12" hidden="1" customHeight="1" outlineLevel="1">
      <c r="A588" s="552"/>
      <c r="B588" s="228"/>
      <c r="C588" s="228"/>
      <c r="D588" s="625"/>
      <c r="E588" s="626"/>
      <c r="F588" s="626"/>
      <c r="G588" s="626"/>
      <c r="H588" s="788"/>
      <c r="I588" s="626"/>
      <c r="J588" s="626"/>
      <c r="K588" s="626"/>
      <c r="L588" s="626"/>
      <c r="M588" s="788"/>
      <c r="N588" s="626"/>
      <c r="O588" s="626"/>
      <c r="P588" s="626"/>
      <c r="Q588" s="626"/>
      <c r="R588" s="788"/>
      <c r="S588" s="626"/>
      <c r="T588" s="626"/>
      <c r="U588" s="626"/>
      <c r="V588" s="626"/>
      <c r="W588" s="788"/>
      <c r="X588" s="626"/>
      <c r="Y588" s="626"/>
      <c r="Z588" s="626"/>
      <c r="AA588" s="626"/>
      <c r="AB588" s="788"/>
      <c r="AC588" s="626"/>
      <c r="AD588" s="626"/>
      <c r="AE588" s="626"/>
      <c r="AF588" s="626"/>
      <c r="AG588" s="788"/>
      <c r="AH588" s="626"/>
      <c r="AI588" s="626"/>
      <c r="AJ588" s="626"/>
      <c r="AK588" s="626"/>
      <c r="AL588" s="788"/>
      <c r="AM588" s="626"/>
      <c r="AN588" s="261"/>
      <c r="AO588" s="626"/>
      <c r="AP588" s="330"/>
      <c r="AQ588" s="1439"/>
      <c r="AR588" s="330"/>
      <c r="AS588" s="330"/>
      <c r="AT588" s="330"/>
      <c r="AU588" s="626"/>
      <c r="AV588" s="1439"/>
      <c r="AW588" s="626"/>
      <c r="AX588" s="261"/>
      <c r="AY588" s="626"/>
      <c r="AZ588" s="626"/>
      <c r="BA588" s="1439"/>
      <c r="BB588" s="626"/>
      <c r="BC588" s="261"/>
      <c r="BD588" s="626"/>
      <c r="BE588" s="626"/>
      <c r="BF588" s="1439"/>
      <c r="BG588" s="678"/>
      <c r="BH588" s="330"/>
      <c r="BI588" s="330"/>
      <c r="BJ588" s="2136"/>
      <c r="BK588" s="1439"/>
      <c r="BL588" s="330"/>
      <c r="BM588" s="330"/>
      <c r="BN588" s="330"/>
      <c r="BO588" s="2136"/>
      <c r="BP588" s="1439"/>
      <c r="BQ588" s="330"/>
      <c r="BR588" s="330"/>
      <c r="BS588" s="330"/>
      <c r="BT588" s="2136"/>
      <c r="BU588" s="3406"/>
      <c r="BV588" s="330"/>
      <c r="BW588" s="330"/>
      <c r="BX588" s="330"/>
      <c r="BY588" s="2136"/>
      <c r="BZ588" s="1439"/>
      <c r="CA588" s="1439"/>
      <c r="CB588" s="1439"/>
      <c r="CC588" s="1439"/>
      <c r="CD588" s="1439"/>
      <c r="CE588" s="1439"/>
      <c r="CF588" s="1439"/>
      <c r="CG588" s="1439"/>
      <c r="CH588" s="626"/>
      <c r="CI588" s="626"/>
      <c r="CJ588" s="626"/>
      <c r="CK588" s="626"/>
      <c r="CL588" s="626"/>
      <c r="CM588" s="626"/>
      <c r="CN588" s="626"/>
      <c r="CO588" s="626"/>
      <c r="CP588" s="994"/>
      <c r="CQ588" s="626"/>
      <c r="CR588" s="626"/>
      <c r="CS588" s="626"/>
      <c r="CT588" s="626"/>
      <c r="CU588" s="626"/>
      <c r="CV588" s="626"/>
      <c r="CW588" s="626"/>
      <c r="CX588" s="626"/>
      <c r="CY588" s="626"/>
      <c r="CZ588" s="626"/>
      <c r="DA588" s="626"/>
      <c r="DB588" s="626"/>
      <c r="DC588" s="626"/>
      <c r="DD588" s="626"/>
      <c r="DE588" s="626"/>
      <c r="DF588" s="626"/>
      <c r="DG588" s="1893"/>
      <c r="DH588" s="632"/>
      <c r="DI588" s="595"/>
      <c r="DJ588" s="595"/>
      <c r="DK588" s="595"/>
      <c r="DL588" s="595"/>
      <c r="DM588" s="595"/>
      <c r="DN588" s="514"/>
      <c r="DO588" s="77"/>
      <c r="DY588" s="330"/>
      <c r="DZ588" s="330"/>
    </row>
    <row r="589" spans="1:130" ht="12" hidden="1" customHeight="1" outlineLevel="1">
      <c r="A589" s="228" t="s">
        <v>401</v>
      </c>
      <c r="B589" s="228"/>
      <c r="C589" s="228"/>
      <c r="D589" s="625"/>
      <c r="E589" s="626"/>
      <c r="F589" s="626"/>
      <c r="G589" s="626"/>
      <c r="H589" s="788"/>
      <c r="I589" s="626"/>
      <c r="J589" s="626"/>
      <c r="K589" s="626"/>
      <c r="L589" s="626"/>
      <c r="M589" s="788"/>
      <c r="N589" s="626"/>
      <c r="O589" s="626"/>
      <c r="P589" s="626"/>
      <c r="Q589" s="626"/>
      <c r="R589" s="788"/>
      <c r="S589" s="626"/>
      <c r="T589" s="626"/>
      <c r="U589" s="626"/>
      <c r="V589" s="626"/>
      <c r="W589" s="788"/>
      <c r="X589" s="626"/>
      <c r="Y589" s="626"/>
      <c r="Z589" s="626"/>
      <c r="AA589" s="626"/>
      <c r="AB589" s="788"/>
      <c r="AC589" s="626"/>
      <c r="AD589" s="626"/>
      <c r="AE589" s="626"/>
      <c r="AF589" s="626"/>
      <c r="AG589" s="788"/>
      <c r="AH589" s="626"/>
      <c r="AI589" s="626"/>
      <c r="AJ589" s="626"/>
      <c r="AK589" s="626"/>
      <c r="AL589" s="788"/>
      <c r="AM589" s="827">
        <v>8.6920000000000002</v>
      </c>
      <c r="AN589" s="827">
        <v>10.148</v>
      </c>
      <c r="AO589" s="827">
        <v>10.398999999999999</v>
      </c>
      <c r="AP589" s="827">
        <v>9.4969999999999999</v>
      </c>
      <c r="AQ589" s="556">
        <f>+SUM(AM589:AP589)</f>
        <v>38.735999999999997</v>
      </c>
      <c r="AR589" s="827">
        <v>9.9209999999999994</v>
      </c>
      <c r="AS589" s="827">
        <v>10.451000000000001</v>
      </c>
      <c r="AT589" s="827">
        <v>10.72</v>
      </c>
      <c r="AU589" s="826">
        <f>+AU574-AU585</f>
        <v>8.2351271839999978</v>
      </c>
      <c r="AV589" s="556">
        <f>+SUM(AR589:AU589)</f>
        <v>39.327127183999998</v>
      </c>
      <c r="AW589" s="826">
        <f>+AW574-AW585</f>
        <v>8.5603077493549939</v>
      </c>
      <c r="AX589" s="826">
        <f>+AX574-AX585</f>
        <v>9.6470457014999997</v>
      </c>
      <c r="AY589" s="826">
        <f>+AY574-AY585</f>
        <v>10.080963701500007</v>
      </c>
      <c r="AZ589" s="826">
        <f>+AZ574-AZ585</f>
        <v>7.4104685227250027</v>
      </c>
      <c r="BA589" s="556">
        <f>+SUM(AW589:AZ589)</f>
        <v>35.698785675080003</v>
      </c>
      <c r="BB589" s="826">
        <f>+BB574-BB585</f>
        <v>7.084373726774345</v>
      </c>
      <c r="BC589" s="826">
        <f>+BC574-BC585</f>
        <v>9.0021600407850002</v>
      </c>
      <c r="BD589" s="826">
        <f>+BD574-BD585</f>
        <v>9.2336220407850007</v>
      </c>
      <c r="BE589" s="826">
        <f>+BE574-BE585</f>
        <v>7.4896431837977531</v>
      </c>
      <c r="BF589" s="556">
        <f>+SUM(BB589:BE589)</f>
        <v>32.809798992142099</v>
      </c>
      <c r="BG589" s="2731">
        <f>+BG574-BG585</f>
        <v>7.6622576769098316</v>
      </c>
      <c r="BH589" s="826">
        <f>+BH574-BH585</f>
        <v>9.1275765303692982</v>
      </c>
      <c r="BI589" s="826">
        <f>+BI574-BI585</f>
        <v>10.023370271200704</v>
      </c>
      <c r="BJ589" s="1900">
        <f>+BJ574-BJ585</f>
        <v>8.1349032704357285</v>
      </c>
      <c r="BK589" s="556">
        <f>+SUM(BG589:BJ589)</f>
        <v>34.948107748915561</v>
      </c>
      <c r="BL589" s="826">
        <f>+BL574-BL585</f>
        <v>13.829585144786225</v>
      </c>
      <c r="BM589" s="826">
        <f>+BM574-BM585</f>
        <v>13.889929906628531</v>
      </c>
      <c r="BN589" s="826"/>
      <c r="BO589" s="1900"/>
      <c r="BP589" s="556"/>
      <c r="BQ589" s="826"/>
      <c r="BR589" s="826"/>
      <c r="BS589" s="826"/>
      <c r="BT589" s="1900"/>
      <c r="BU589" s="3372"/>
      <c r="BV589" s="826"/>
      <c r="BW589" s="826"/>
      <c r="BX589" s="826"/>
      <c r="BY589" s="1900"/>
      <c r="BZ589" s="556"/>
      <c r="CA589" s="556"/>
      <c r="CB589" s="556"/>
      <c r="CC589" s="556"/>
      <c r="CD589" s="556"/>
      <c r="CE589" s="556"/>
      <c r="CF589" s="556"/>
      <c r="CG589" s="556"/>
      <c r="CH589" s="626"/>
      <c r="CI589" s="626"/>
      <c r="CJ589" s="626"/>
      <c r="CK589" s="626"/>
      <c r="CL589" s="626"/>
      <c r="CM589" s="626"/>
      <c r="CN589" s="626"/>
      <c r="CO589" s="626"/>
      <c r="CP589" s="994"/>
      <c r="CQ589" s="626"/>
      <c r="CR589" s="626"/>
      <c r="CS589" s="626"/>
      <c r="CT589" s="626"/>
      <c r="CU589" s="626"/>
      <c r="CV589" s="626"/>
      <c r="CW589" s="626"/>
      <c r="CX589" s="626"/>
      <c r="CY589" s="626"/>
      <c r="CZ589" s="626"/>
      <c r="DA589" s="626"/>
      <c r="DB589" s="626"/>
      <c r="DC589" s="626"/>
      <c r="DD589" s="626"/>
      <c r="DE589" s="626"/>
      <c r="DF589" s="626"/>
      <c r="DG589" s="1893"/>
      <c r="DH589" s="632"/>
      <c r="DI589" s="595"/>
      <c r="DJ589" s="595"/>
      <c r="DK589" s="595"/>
      <c r="DL589" s="595"/>
      <c r="DM589" s="595"/>
      <c r="DN589" s="514"/>
      <c r="DO589" s="77"/>
      <c r="DY589" s="557"/>
      <c r="DZ589" s="557"/>
    </row>
    <row r="590" spans="1:130" ht="12" hidden="1" customHeight="1" outlineLevel="1">
      <c r="A590" s="212" t="s">
        <v>56</v>
      </c>
      <c r="B590" s="228"/>
      <c r="C590" s="228"/>
      <c r="D590" s="625"/>
      <c r="E590" s="626"/>
      <c r="F590" s="626"/>
      <c r="G590" s="626"/>
      <c r="H590" s="788"/>
      <c r="I590" s="626"/>
      <c r="J590" s="626"/>
      <c r="K590" s="626"/>
      <c r="L590" s="626"/>
      <c r="M590" s="788"/>
      <c r="N590" s="626"/>
      <c r="O590" s="626"/>
      <c r="P590" s="626"/>
      <c r="Q590" s="626"/>
      <c r="R590" s="788"/>
      <c r="S590" s="626"/>
      <c r="T590" s="626"/>
      <c r="U590" s="626"/>
      <c r="V590" s="626"/>
      <c r="W590" s="788"/>
      <c r="X590" s="626"/>
      <c r="Y590" s="626"/>
      <c r="Z590" s="626"/>
      <c r="AA590" s="626"/>
      <c r="AB590" s="788"/>
      <c r="AC590" s="626"/>
      <c r="AD590" s="626"/>
      <c r="AE590" s="626"/>
      <c r="AF590" s="626"/>
      <c r="AG590" s="788"/>
      <c r="AH590" s="626"/>
      <c r="AI590" s="626"/>
      <c r="AJ590" s="626"/>
      <c r="AK590" s="626"/>
      <c r="AL590" s="788"/>
      <c r="AM590" s="573">
        <f t="shared" ref="AM590:BF590" si="1308">+AM589/AM574</f>
        <v>0.40268705119295806</v>
      </c>
      <c r="AN590" s="573">
        <f t="shared" si="1308"/>
        <v>0.41428863033272095</v>
      </c>
      <c r="AO590" s="573">
        <f t="shared" si="1308"/>
        <v>0.42260332425732511</v>
      </c>
      <c r="AP590" s="573">
        <f t="shared" si="1308"/>
        <v>0.40870163962645784</v>
      </c>
      <c r="AQ590" s="1621">
        <f t="shared" si="1308"/>
        <v>0.41241855116903026</v>
      </c>
      <c r="AR590" s="573">
        <f t="shared" si="1308"/>
        <v>0.41441102756892223</v>
      </c>
      <c r="AS590" s="573">
        <f t="shared" si="1308"/>
        <v>0.41562934977132632</v>
      </c>
      <c r="AT590" s="573">
        <f t="shared" si="1308"/>
        <v>0.42854287427543475</v>
      </c>
      <c r="AU590" s="573">
        <f t="shared" si="1308"/>
        <v>0.35909514583681712</v>
      </c>
      <c r="AV590" s="1621">
        <f t="shared" si="1308"/>
        <v>0.40529643740255566</v>
      </c>
      <c r="AW590" s="573">
        <f t="shared" si="1308"/>
        <v>0.38956212499332205</v>
      </c>
      <c r="AX590" s="573">
        <f t="shared" si="1308"/>
        <v>0.4023660908261133</v>
      </c>
      <c r="AY590" s="573">
        <f t="shared" si="1308"/>
        <v>0.41985279491943406</v>
      </c>
      <c r="AZ590" s="573">
        <f t="shared" si="1308"/>
        <v>0.34775671552605542</v>
      </c>
      <c r="BA590" s="1621">
        <f t="shared" si="1308"/>
        <v>0.3911337223696274</v>
      </c>
      <c r="BB590" s="573">
        <f t="shared" si="1308"/>
        <v>0.35368212049894016</v>
      </c>
      <c r="BC590" s="573">
        <f t="shared" si="1308"/>
        <v>0.39124560881267462</v>
      </c>
      <c r="BD590" s="573">
        <f t="shared" si="1308"/>
        <v>0.40417815105680238</v>
      </c>
      <c r="BE590" s="573">
        <f t="shared" si="1308"/>
        <v>0.35544981226219569</v>
      </c>
      <c r="BF590" s="1621">
        <f t="shared" si="1308"/>
        <v>0.37731655909268974</v>
      </c>
      <c r="BG590" s="2730">
        <f t="shared" ref="BG590:BL590" si="1309">+BG589/BG574</f>
        <v>0.36550687981118962</v>
      </c>
      <c r="BH590" s="573">
        <f t="shared" si="1309"/>
        <v>0.39398379085367441</v>
      </c>
      <c r="BI590" s="573">
        <f t="shared" si="1309"/>
        <v>0.4175770954405541</v>
      </c>
      <c r="BJ590" s="2135">
        <f t="shared" si="1309"/>
        <v>0.36972771084357359</v>
      </c>
      <c r="BK590" s="1621">
        <f t="shared" si="1309"/>
        <v>0.38772287176387854</v>
      </c>
      <c r="BL590" s="573">
        <f t="shared" si="1309"/>
        <v>0.63408529033044647</v>
      </c>
      <c r="BM590" s="573">
        <f t="shared" ref="BM590" si="1310">+BM589/BM574</f>
        <v>0.61698210305911982</v>
      </c>
      <c r="BN590" s="573"/>
      <c r="BO590" s="2135"/>
      <c r="BP590" s="1621"/>
      <c r="BQ590" s="573"/>
      <c r="BR590" s="573"/>
      <c r="BS590" s="573"/>
      <c r="BT590" s="2135"/>
      <c r="BU590" s="3371"/>
      <c r="BV590" s="573"/>
      <c r="BW590" s="573"/>
      <c r="BX590" s="573"/>
      <c r="BY590" s="2135"/>
      <c r="BZ590" s="562"/>
      <c r="CA590" s="562"/>
      <c r="CB590" s="562"/>
      <c r="CC590" s="562"/>
      <c r="CD590" s="562"/>
      <c r="CE590" s="562"/>
      <c r="CF590" s="562"/>
      <c r="CG590" s="562"/>
      <c r="CH590" s="626"/>
      <c r="CI590" s="626"/>
      <c r="CJ590" s="626"/>
      <c r="CK590" s="626"/>
      <c r="CL590" s="626"/>
      <c r="CM590" s="626"/>
      <c r="CN590" s="626"/>
      <c r="CO590" s="626"/>
      <c r="CP590" s="994"/>
      <c r="CQ590" s="626"/>
      <c r="CR590" s="626"/>
      <c r="CS590" s="626"/>
      <c r="CT590" s="626"/>
      <c r="CU590" s="626"/>
      <c r="CV590" s="626"/>
      <c r="CW590" s="626"/>
      <c r="CX590" s="626"/>
      <c r="CY590" s="626"/>
      <c r="CZ590" s="626"/>
      <c r="DA590" s="626"/>
      <c r="DB590" s="626"/>
      <c r="DC590" s="626"/>
      <c r="DD590" s="626"/>
      <c r="DE590" s="626"/>
      <c r="DF590" s="626"/>
      <c r="DG590" s="1893"/>
      <c r="DH590" s="632"/>
      <c r="DI590" s="595"/>
      <c r="DJ590" s="595"/>
      <c r="DK590" s="595"/>
      <c r="DL590" s="595"/>
      <c r="DM590" s="595"/>
      <c r="DN590" s="514"/>
      <c r="DO590" s="77"/>
      <c r="DY590" s="573"/>
      <c r="DZ590" s="573"/>
    </row>
    <row r="591" spans="1:130" ht="12" hidden="1" customHeight="1" outlineLevel="1">
      <c r="A591" s="567" t="s">
        <v>1153</v>
      </c>
      <c r="B591" s="228"/>
      <c r="C591" s="228"/>
      <c r="D591" s="625"/>
      <c r="E591" s="626"/>
      <c r="F591" s="626"/>
      <c r="G591" s="626"/>
      <c r="H591" s="788"/>
      <c r="I591" s="626"/>
      <c r="J591" s="626"/>
      <c r="K591" s="626"/>
      <c r="L591" s="626"/>
      <c r="M591" s="788"/>
      <c r="N591" s="626"/>
      <c r="O591" s="626"/>
      <c r="P591" s="626"/>
      <c r="Q591" s="626"/>
      <c r="R591" s="788"/>
      <c r="S591" s="626"/>
      <c r="T591" s="626"/>
      <c r="U591" s="626"/>
      <c r="V591" s="626"/>
      <c r="W591" s="788"/>
      <c r="X591" s="626"/>
      <c r="Y591" s="626"/>
      <c r="Z591" s="626"/>
      <c r="AA591" s="626"/>
      <c r="AB591" s="788"/>
      <c r="AC591" s="626"/>
      <c r="AD591" s="626"/>
      <c r="AE591" s="626"/>
      <c r="AF591" s="626"/>
      <c r="AG591" s="788"/>
      <c r="AH591" s="626"/>
      <c r="AI591" s="626"/>
      <c r="AJ591" s="626"/>
      <c r="AK591" s="626"/>
      <c r="AL591" s="788"/>
      <c r="AM591" s="626"/>
      <c r="AN591" s="261"/>
      <c r="AO591" s="626"/>
      <c r="AP591" s="330"/>
      <c r="AQ591" s="1439"/>
      <c r="AR591" s="573">
        <f t="shared" ref="AR591:BF591" si="1311">+AR589/AM589-1</f>
        <v>0.14139438564196949</v>
      </c>
      <c r="AS591" s="573">
        <f t="shared" si="1311"/>
        <v>2.9858100118250075E-2</v>
      </c>
      <c r="AT591" s="573">
        <f t="shared" si="1311"/>
        <v>3.0868352726223902E-2</v>
      </c>
      <c r="AU591" s="573">
        <f t="shared" si="1311"/>
        <v>-0.13287067663472696</v>
      </c>
      <c r="AV591" s="1621">
        <f t="shared" si="1311"/>
        <v>1.5260408508880552E-2</v>
      </c>
      <c r="AW591" s="573">
        <f t="shared" si="1311"/>
        <v>-0.13715273164449204</v>
      </c>
      <c r="AX591" s="573">
        <f t="shared" si="1311"/>
        <v>-7.6926064347909384E-2</v>
      </c>
      <c r="AY591" s="573">
        <f t="shared" si="1311"/>
        <v>-5.9611595009327778E-2</v>
      </c>
      <c r="AZ591" s="573">
        <f t="shared" si="1311"/>
        <v>-0.10013915302695287</v>
      </c>
      <c r="BA591" s="1621">
        <f t="shared" si="1311"/>
        <v>-9.2260527750833599E-2</v>
      </c>
      <c r="BB591" s="573">
        <f t="shared" si="1311"/>
        <v>-0.17241600019483627</v>
      </c>
      <c r="BC591" s="573">
        <f t="shared" si="1311"/>
        <v>-6.6847994781939035E-2</v>
      </c>
      <c r="BD591" s="573">
        <f t="shared" si="1311"/>
        <v>-8.4053636716192703E-2</v>
      </c>
      <c r="BE591" s="573">
        <f t="shared" si="1311"/>
        <v>1.0684164007977781E-2</v>
      </c>
      <c r="BF591" s="1621">
        <f t="shared" si="1311"/>
        <v>-8.0926749420347943E-2</v>
      </c>
      <c r="BG591" s="2730">
        <f t="shared" ref="BG591:BM591" si="1312">+BG589/BB589-1</f>
        <v>8.1571635323452796E-2</v>
      </c>
      <c r="BH591" s="573">
        <f t="shared" si="1312"/>
        <v>1.393182180899788E-2</v>
      </c>
      <c r="BI591" s="573">
        <f t="shared" si="1312"/>
        <v>8.5529624986530495E-2</v>
      </c>
      <c r="BJ591" s="2135">
        <f t="shared" si="1312"/>
        <v>8.615364855215768E-2</v>
      </c>
      <c r="BK591" s="1621">
        <f t="shared" si="1312"/>
        <v>6.517286976630321E-2</v>
      </c>
      <c r="BL591" s="573">
        <f t="shared" si="1312"/>
        <v>0.80489690218349086</v>
      </c>
      <c r="BM591" s="573">
        <f t="shared" si="1312"/>
        <v>0.52175441755146257</v>
      </c>
      <c r="BN591" s="573"/>
      <c r="BO591" s="2135"/>
      <c r="BP591" s="1621"/>
      <c r="BQ591" s="573"/>
      <c r="BR591" s="573"/>
      <c r="BS591" s="573"/>
      <c r="BT591" s="2135"/>
      <c r="BU591" s="3371"/>
      <c r="BV591" s="573"/>
      <c r="BW591" s="573"/>
      <c r="BX591" s="573"/>
      <c r="BY591" s="2135"/>
      <c r="BZ591" s="1621"/>
      <c r="CA591" s="1621"/>
      <c r="CB591" s="1621"/>
      <c r="CC591" s="1621"/>
      <c r="CD591" s="1621"/>
      <c r="CE591" s="1621"/>
      <c r="CF591" s="1621"/>
      <c r="CG591" s="1621"/>
      <c r="CH591" s="626"/>
      <c r="CI591" s="626"/>
      <c r="CJ591" s="626"/>
      <c r="CK591" s="626"/>
      <c r="CL591" s="626"/>
      <c r="CM591" s="626"/>
      <c r="CN591" s="626"/>
      <c r="CO591" s="626"/>
      <c r="CP591" s="994"/>
      <c r="CQ591" s="626"/>
      <c r="CR591" s="626"/>
      <c r="CS591" s="626"/>
      <c r="CT591" s="626"/>
      <c r="CU591" s="626"/>
      <c r="CV591" s="626"/>
      <c r="CW591" s="626"/>
      <c r="CX591" s="626"/>
      <c r="CY591" s="626"/>
      <c r="CZ591" s="626"/>
      <c r="DA591" s="626"/>
      <c r="DB591" s="626"/>
      <c r="DC591" s="626"/>
      <c r="DD591" s="626"/>
      <c r="DE591" s="626"/>
      <c r="DF591" s="626"/>
      <c r="DG591" s="1893"/>
      <c r="DH591" s="632"/>
      <c r="DI591" s="595"/>
      <c r="DJ591" s="595"/>
      <c r="DK591" s="595"/>
      <c r="DL591" s="595"/>
      <c r="DM591" s="595"/>
      <c r="DN591" s="514"/>
      <c r="DO591" s="77"/>
      <c r="DY591" s="573"/>
      <c r="DZ591" s="573"/>
    </row>
    <row r="592" spans="1:130" ht="12" hidden="1" customHeight="1" outlineLevel="1">
      <c r="A592" s="552"/>
      <c r="B592" s="228"/>
      <c r="C592" s="228"/>
      <c r="D592" s="625"/>
      <c r="E592" s="626"/>
      <c r="F592" s="626"/>
      <c r="G592" s="626"/>
      <c r="H592" s="788"/>
      <c r="I592" s="626"/>
      <c r="J592" s="626"/>
      <c r="K592" s="626"/>
      <c r="L592" s="626"/>
      <c r="M592" s="788"/>
      <c r="N592" s="626"/>
      <c r="O592" s="626"/>
      <c r="P592" s="626"/>
      <c r="Q592" s="626"/>
      <c r="R592" s="788"/>
      <c r="S592" s="626"/>
      <c r="T592" s="626"/>
      <c r="U592" s="626"/>
      <c r="V592" s="626"/>
      <c r="W592" s="788"/>
      <c r="X592" s="626"/>
      <c r="Y592" s="626"/>
      <c r="Z592" s="626"/>
      <c r="AA592" s="626"/>
      <c r="AB592" s="788"/>
      <c r="AC592" s="626"/>
      <c r="AD592" s="626"/>
      <c r="AE592" s="626"/>
      <c r="AF592" s="626"/>
      <c r="AG592" s="788"/>
      <c r="AH592" s="626"/>
      <c r="AI592" s="626"/>
      <c r="AJ592" s="626"/>
      <c r="AK592" s="626"/>
      <c r="AL592" s="788"/>
      <c r="AM592" s="626"/>
      <c r="AN592" s="261"/>
      <c r="AO592" s="626"/>
      <c r="AP592" s="330"/>
      <c r="AQ592" s="1439"/>
      <c r="AR592" s="573"/>
      <c r="AS592" s="573"/>
      <c r="AT592" s="573"/>
      <c r="AU592" s="573"/>
      <c r="AV592" s="1975"/>
      <c r="AW592" s="573"/>
      <c r="AX592" s="573"/>
      <c r="AY592" s="573"/>
      <c r="AZ592" s="573"/>
      <c r="BA592" s="1621"/>
      <c r="BB592" s="573"/>
      <c r="BC592" s="573"/>
      <c r="BD592" s="573"/>
      <c r="BE592" s="573"/>
      <c r="BF592" s="1621"/>
      <c r="BG592" s="2730"/>
      <c r="BH592" s="573"/>
      <c r="BI592" s="573"/>
      <c r="BJ592" s="2135"/>
      <c r="BK592" s="1621"/>
      <c r="BL592" s="573"/>
      <c r="BM592" s="573"/>
      <c r="BN592" s="573"/>
      <c r="BO592" s="2135"/>
      <c r="BP592" s="1621"/>
      <c r="BQ592" s="573"/>
      <c r="BR592" s="573"/>
      <c r="BS592" s="573"/>
      <c r="BT592" s="2135"/>
      <c r="BU592" s="3371"/>
      <c r="BV592" s="573"/>
      <c r="BW592" s="573"/>
      <c r="BX592" s="573"/>
      <c r="BY592" s="2135"/>
      <c r="BZ592" s="1621"/>
      <c r="CA592" s="1621"/>
      <c r="CB592" s="1621"/>
      <c r="CC592" s="1621"/>
      <c r="CD592" s="1621"/>
      <c r="CE592" s="1621"/>
      <c r="CF592" s="1621"/>
      <c r="CG592" s="1621"/>
      <c r="CH592" s="626"/>
      <c r="CI592" s="626"/>
      <c r="CJ592" s="626"/>
      <c r="CK592" s="626"/>
      <c r="CL592" s="626"/>
      <c r="CM592" s="626"/>
      <c r="CN592" s="626"/>
      <c r="CO592" s="626"/>
      <c r="CP592" s="994"/>
      <c r="CQ592" s="626"/>
      <c r="CR592" s="626"/>
      <c r="CS592" s="626"/>
      <c r="CT592" s="626"/>
      <c r="CU592" s="626"/>
      <c r="CV592" s="626"/>
      <c r="CW592" s="626"/>
      <c r="CX592" s="626"/>
      <c r="CY592" s="626"/>
      <c r="CZ592" s="626"/>
      <c r="DA592" s="626"/>
      <c r="DB592" s="626"/>
      <c r="DC592" s="626"/>
      <c r="DD592" s="626"/>
      <c r="DE592" s="626"/>
      <c r="DF592" s="626"/>
      <c r="DG592" s="1893"/>
      <c r="DH592" s="632"/>
      <c r="DI592" s="595"/>
      <c r="DJ592" s="595"/>
      <c r="DK592" s="595"/>
      <c r="DL592" s="595"/>
      <c r="DM592" s="595"/>
      <c r="DN592" s="514"/>
      <c r="DO592" s="77"/>
      <c r="DY592" s="573"/>
      <c r="DZ592" s="573"/>
    </row>
    <row r="593" spans="1:130" ht="12" hidden="1" customHeight="1" outlineLevel="1">
      <c r="A593" s="708" t="s">
        <v>458</v>
      </c>
      <c r="B593" s="228"/>
      <c r="C593" s="228"/>
      <c r="D593" s="625"/>
      <c r="E593" s="626"/>
      <c r="F593" s="626"/>
      <c r="G593" s="626"/>
      <c r="H593" s="788"/>
      <c r="I593" s="626"/>
      <c r="J593" s="626"/>
      <c r="K593" s="626"/>
      <c r="L593" s="626"/>
      <c r="M593" s="788"/>
      <c r="N593" s="626"/>
      <c r="O593" s="626"/>
      <c r="P593" s="626"/>
      <c r="Q593" s="626"/>
      <c r="R593" s="788"/>
      <c r="S593" s="626"/>
      <c r="T593" s="626"/>
      <c r="U593" s="626"/>
      <c r="V593" s="626"/>
      <c r="W593" s="788"/>
      <c r="X593" s="626"/>
      <c r="Y593" s="626"/>
      <c r="Z593" s="626"/>
      <c r="AA593" s="626"/>
      <c r="AB593" s="788"/>
      <c r="AC593" s="626"/>
      <c r="AD593" s="626"/>
      <c r="AE593" s="626"/>
      <c r="AF593" s="626"/>
      <c r="AG593" s="788"/>
      <c r="AH593" s="626"/>
      <c r="AI593" s="626"/>
      <c r="AJ593" s="626"/>
      <c r="AK593" s="626"/>
      <c r="AL593" s="788"/>
      <c r="AM593" s="626"/>
      <c r="AN593" s="261"/>
      <c r="AO593" s="626"/>
      <c r="AP593" s="330"/>
      <c r="AQ593" s="1439"/>
      <c r="AR593" s="573"/>
      <c r="AS593" s="573"/>
      <c r="AT593" s="573"/>
      <c r="AU593" s="573"/>
      <c r="AV593" s="1975"/>
      <c r="AW593" s="573"/>
      <c r="AX593" s="573"/>
      <c r="AY593" s="573"/>
      <c r="AZ593" s="573"/>
      <c r="BA593" s="1621"/>
      <c r="BB593" s="573"/>
      <c r="BC593" s="573"/>
      <c r="BD593" s="573"/>
      <c r="BE593" s="573"/>
      <c r="BF593" s="1621"/>
      <c r="BG593" s="2730"/>
      <c r="BH593" s="573"/>
      <c r="BI593" s="573"/>
      <c r="BJ593" s="2135"/>
      <c r="BK593" s="1621"/>
      <c r="BL593" s="573"/>
      <c r="BM593" s="573"/>
      <c r="BN593" s="573"/>
      <c r="BO593" s="2135"/>
      <c r="BP593" s="1621"/>
      <c r="BQ593" s="573"/>
      <c r="BR593" s="573"/>
      <c r="BS593" s="573"/>
      <c r="BT593" s="2135"/>
      <c r="BU593" s="3371"/>
      <c r="BV593" s="573"/>
      <c r="BW593" s="573"/>
      <c r="BX593" s="573"/>
      <c r="BY593" s="2135"/>
      <c r="BZ593" s="1621"/>
      <c r="CA593" s="1621"/>
      <c r="CB593" s="1621"/>
      <c r="CC593" s="1621"/>
      <c r="CD593" s="1621"/>
      <c r="CE593" s="1621"/>
      <c r="CF593" s="1621"/>
      <c r="CG593" s="1621"/>
      <c r="CH593" s="626"/>
      <c r="CI593" s="626"/>
      <c r="CJ593" s="626"/>
      <c r="CK593" s="626"/>
      <c r="CL593" s="626"/>
      <c r="CM593" s="626"/>
      <c r="CN593" s="626"/>
      <c r="CO593" s="626"/>
      <c r="CP593" s="994"/>
      <c r="CQ593" s="626"/>
      <c r="CR593" s="626"/>
      <c r="CS593" s="626"/>
      <c r="CT593" s="626"/>
      <c r="CU593" s="626"/>
      <c r="CV593" s="626"/>
      <c r="CW593" s="626"/>
      <c r="CX593" s="626"/>
      <c r="CY593" s="626"/>
      <c r="CZ593" s="626"/>
      <c r="DA593" s="626"/>
      <c r="DB593" s="626"/>
      <c r="DC593" s="626"/>
      <c r="DD593" s="626"/>
      <c r="DE593" s="626"/>
      <c r="DF593" s="626"/>
      <c r="DG593" s="1893"/>
      <c r="DH593" s="632"/>
      <c r="DI593" s="595"/>
      <c r="DJ593" s="595"/>
      <c r="DK593" s="595"/>
      <c r="DL593" s="595"/>
      <c r="DM593" s="595"/>
      <c r="DN593" s="514"/>
      <c r="DO593" s="77"/>
      <c r="DY593" s="573"/>
      <c r="DZ593" s="573"/>
    </row>
    <row r="594" spans="1:130" ht="12" hidden="1" customHeight="1" outlineLevel="1">
      <c r="A594" s="552"/>
      <c r="B594" s="228"/>
      <c r="C594" s="228"/>
      <c r="D594" s="625"/>
      <c r="E594" s="626"/>
      <c r="F594" s="626"/>
      <c r="G594" s="626"/>
      <c r="H594" s="788"/>
      <c r="I594" s="626"/>
      <c r="J594" s="626"/>
      <c r="K594" s="626"/>
      <c r="L594" s="626"/>
      <c r="M594" s="788"/>
      <c r="N594" s="626"/>
      <c r="O594" s="626"/>
      <c r="P594" s="626"/>
      <c r="Q594" s="626"/>
      <c r="R594" s="788"/>
      <c r="S594" s="626"/>
      <c r="T594" s="626"/>
      <c r="U594" s="626"/>
      <c r="V594" s="626"/>
      <c r="W594" s="788"/>
      <c r="X594" s="626"/>
      <c r="Y594" s="626"/>
      <c r="Z594" s="626"/>
      <c r="AA594" s="626"/>
      <c r="AB594" s="788"/>
      <c r="AC594" s="626"/>
      <c r="AD594" s="626"/>
      <c r="AE594" s="626"/>
      <c r="AF594" s="626"/>
      <c r="AG594" s="788"/>
      <c r="AH594" s="626"/>
      <c r="AI594" s="626"/>
      <c r="AJ594" s="626"/>
      <c r="AK594" s="626"/>
      <c r="AL594" s="788"/>
      <c r="AM594" s="626"/>
      <c r="AN594" s="261"/>
      <c r="AO594" s="626"/>
      <c r="AP594" s="330"/>
      <c r="AQ594" s="1439"/>
      <c r="AR594" s="573"/>
      <c r="AS594" s="573"/>
      <c r="AT594" s="573"/>
      <c r="AU594" s="573"/>
      <c r="AV594" s="1975"/>
      <c r="AW594" s="573"/>
      <c r="AX594" s="573"/>
      <c r="AY594" s="573"/>
      <c r="AZ594" s="573"/>
      <c r="BA594" s="1621"/>
      <c r="BB594" s="573"/>
      <c r="BC594" s="573"/>
      <c r="BD594" s="573"/>
      <c r="BE594" s="573"/>
      <c r="BF594" s="1621"/>
      <c r="BG594" s="2730"/>
      <c r="BH594" s="573"/>
      <c r="BI594" s="573"/>
      <c r="BJ594" s="2135"/>
      <c r="BK594" s="1621"/>
      <c r="BL594" s="573"/>
      <c r="BM594" s="573"/>
      <c r="BN594" s="573"/>
      <c r="BO594" s="2135"/>
      <c r="BP594" s="1621"/>
      <c r="BQ594" s="573"/>
      <c r="BR594" s="573"/>
      <c r="BS594" s="573"/>
      <c r="BT594" s="2135"/>
      <c r="BU594" s="3371"/>
      <c r="BV594" s="573"/>
      <c r="BW594" s="573"/>
      <c r="BX594" s="573"/>
      <c r="BY594" s="2135"/>
      <c r="BZ594" s="1621"/>
      <c r="CA594" s="1621"/>
      <c r="CB594" s="1621"/>
      <c r="CC594" s="1621"/>
      <c r="CD594" s="1621"/>
      <c r="CE594" s="1621"/>
      <c r="CF594" s="1621"/>
      <c r="CG594" s="1621"/>
      <c r="CH594" s="626"/>
      <c r="CI594" s="626"/>
      <c r="CJ594" s="626"/>
      <c r="CK594" s="626"/>
      <c r="CL594" s="626"/>
      <c r="CM594" s="626"/>
      <c r="CN594" s="626"/>
      <c r="CO594" s="626"/>
      <c r="CP594" s="994"/>
      <c r="CQ594" s="626"/>
      <c r="CR594" s="626"/>
      <c r="CS594" s="626"/>
      <c r="CT594" s="626"/>
      <c r="CU594" s="626"/>
      <c r="CV594" s="626"/>
      <c r="CW594" s="626"/>
      <c r="CX594" s="626"/>
      <c r="CY594" s="626"/>
      <c r="CZ594" s="626"/>
      <c r="DA594" s="626"/>
      <c r="DB594" s="626"/>
      <c r="DC594" s="626"/>
      <c r="DD594" s="626"/>
      <c r="DE594" s="626"/>
      <c r="DF594" s="626"/>
      <c r="DG594" s="1893"/>
      <c r="DH594" s="632"/>
      <c r="DI594" s="595"/>
      <c r="DJ594" s="595"/>
      <c r="DK594" s="595"/>
      <c r="DL594" s="595"/>
      <c r="DM594" s="595"/>
      <c r="DN594" s="514"/>
      <c r="DO594" s="77"/>
      <c r="DY594" s="573"/>
      <c r="DZ594" s="573"/>
    </row>
    <row r="595" spans="1:130" ht="12" hidden="1" customHeight="1" outlineLevel="1">
      <c r="A595" s="552" t="s">
        <v>183</v>
      </c>
      <c r="B595" s="228"/>
      <c r="C595" s="228"/>
      <c r="D595" s="625"/>
      <c r="E595" s="626"/>
      <c r="F595" s="626"/>
      <c r="G595" s="626"/>
      <c r="H595" s="788"/>
      <c r="I595" s="626"/>
      <c r="J595" s="626"/>
      <c r="K595" s="626"/>
      <c r="L595" s="626"/>
      <c r="M595" s="788"/>
      <c r="N595" s="626"/>
      <c r="O595" s="626"/>
      <c r="P595" s="626"/>
      <c r="Q595" s="626"/>
      <c r="R595" s="788"/>
      <c r="S595" s="626"/>
      <c r="T595" s="626"/>
      <c r="U595" s="626"/>
      <c r="V595" s="626"/>
      <c r="W595" s="788"/>
      <c r="X595" s="626"/>
      <c r="Y595" s="626"/>
      <c r="Z595" s="626"/>
      <c r="AA595" s="626"/>
      <c r="AB595" s="788"/>
      <c r="AC595" s="626"/>
      <c r="AD595" s="626"/>
      <c r="AE595" s="626"/>
      <c r="AF595" s="626"/>
      <c r="AG595" s="788"/>
      <c r="AH595" s="626"/>
      <c r="AI595" s="626"/>
      <c r="AJ595" s="626"/>
      <c r="AK595" s="626"/>
      <c r="AL595" s="788"/>
      <c r="AM595" s="1981">
        <v>1424</v>
      </c>
      <c r="AN595" s="1981">
        <f>+AM595</f>
        <v>1424</v>
      </c>
      <c r="AO595" s="1981">
        <f>+AN595</f>
        <v>1424</v>
      </c>
      <c r="AP595" s="1981">
        <f>+AO595</f>
        <v>1424</v>
      </c>
      <c r="AQ595" s="1984">
        <f>+AVERAGE(AM595:AP595)</f>
        <v>1424</v>
      </c>
      <c r="AR595" s="1981">
        <f>+AP595</f>
        <v>1424</v>
      </c>
      <c r="AS595" s="1981">
        <f>+AR595</f>
        <v>1424</v>
      </c>
      <c r="AT595" s="1981">
        <f>+AS595</f>
        <v>1424</v>
      </c>
      <c r="AU595" s="1981">
        <f>+AT595</f>
        <v>1424</v>
      </c>
      <c r="AV595" s="1984">
        <f>+AVERAGE(AR595:AU595)</f>
        <v>1424</v>
      </c>
      <c r="AW595" s="1981">
        <f>+AU595</f>
        <v>1424</v>
      </c>
      <c r="AX595" s="1981">
        <f>+AW595</f>
        <v>1424</v>
      </c>
      <c r="AY595" s="1981">
        <f>+AX595</f>
        <v>1424</v>
      </c>
      <c r="AZ595" s="1981">
        <v>1424</v>
      </c>
      <c r="BA595" s="1984">
        <f>+AVERAGE(AW595:AZ595)</f>
        <v>1424</v>
      </c>
      <c r="BB595" s="1981">
        <v>1373</v>
      </c>
      <c r="BC595" s="1981">
        <v>1373</v>
      </c>
      <c r="BD595" s="1981">
        <v>1373</v>
      </c>
      <c r="BE595" s="1981">
        <v>1373</v>
      </c>
      <c r="BF595" s="1984">
        <f>+AVERAGE(BB595:BE595)</f>
        <v>1373</v>
      </c>
      <c r="BG595" s="3128">
        <v>1373</v>
      </c>
      <c r="BH595" s="1981">
        <v>1373</v>
      </c>
      <c r="BI595" s="1981">
        <v>1373</v>
      </c>
      <c r="BJ595" s="1981">
        <v>1373</v>
      </c>
      <c r="BK595" s="1984">
        <f>+AVERAGE(BG595:BJ595)</f>
        <v>1373</v>
      </c>
      <c r="BL595" s="1981">
        <v>1373</v>
      </c>
      <c r="BM595" s="1981">
        <v>1373</v>
      </c>
      <c r="BN595" s="1981"/>
      <c r="BO595" s="3184"/>
      <c r="BP595" s="1984"/>
      <c r="BQ595" s="3183"/>
      <c r="BR595" s="3183"/>
      <c r="BS595" s="3183"/>
      <c r="BT595" s="3184"/>
      <c r="BU595" s="3396"/>
      <c r="BV595" s="3183"/>
      <c r="BW595" s="3183"/>
      <c r="BX595" s="3183"/>
      <c r="BY595" s="3184"/>
      <c r="BZ595" s="2742"/>
      <c r="CA595" s="2742"/>
      <c r="CB595" s="2742"/>
      <c r="CC595" s="2742"/>
      <c r="CD595" s="2742"/>
      <c r="CE595" s="2742"/>
      <c r="CF595" s="2742"/>
      <c r="CG595" s="2742"/>
      <c r="CH595" s="626"/>
      <c r="CI595" s="626"/>
      <c r="CJ595" s="626"/>
      <c r="CK595" s="626"/>
      <c r="CL595" s="626"/>
      <c r="CM595" s="626"/>
      <c r="CN595" s="626"/>
      <c r="CO595" s="626"/>
      <c r="CP595" s="994"/>
      <c r="CQ595" s="626"/>
      <c r="CR595" s="626"/>
      <c r="CS595" s="626"/>
      <c r="CT595" s="626"/>
      <c r="CU595" s="626"/>
      <c r="CV595" s="626"/>
      <c r="CW595" s="626"/>
      <c r="CX595" s="626"/>
      <c r="CY595" s="626"/>
      <c r="CZ595" s="626"/>
      <c r="DA595" s="626"/>
      <c r="DB595" s="626"/>
      <c r="DC595" s="626"/>
      <c r="DD595" s="626"/>
      <c r="DE595" s="626"/>
      <c r="DF595" s="626"/>
      <c r="DG595" s="1893"/>
      <c r="DH595" s="632"/>
      <c r="DI595" s="595"/>
      <c r="DJ595" s="595"/>
      <c r="DK595" s="595"/>
      <c r="DL595" s="595"/>
      <c r="DM595" s="595"/>
      <c r="DN595" s="514"/>
      <c r="DO595" s="77"/>
      <c r="DY595" s="1982"/>
      <c r="DZ595" s="1982"/>
    </row>
    <row r="596" spans="1:130" ht="12" hidden="1" customHeight="1" outlineLevel="1">
      <c r="A596" s="552" t="s">
        <v>184</v>
      </c>
      <c r="B596" s="228"/>
      <c r="C596" s="228"/>
      <c r="D596" s="625"/>
      <c r="E596" s="626"/>
      <c r="F596" s="626"/>
      <c r="G596" s="626"/>
      <c r="H596" s="788"/>
      <c r="I596" s="626"/>
      <c r="J596" s="626"/>
      <c r="K596" s="626"/>
      <c r="L596" s="626"/>
      <c r="M596" s="788"/>
      <c r="N596" s="626"/>
      <c r="O596" s="626"/>
      <c r="P596" s="626"/>
      <c r="Q596" s="626"/>
      <c r="R596" s="788"/>
      <c r="S596" s="626"/>
      <c r="T596" s="626"/>
      <c r="U596" s="626"/>
      <c r="V596" s="626"/>
      <c r="W596" s="788"/>
      <c r="X596" s="626"/>
      <c r="Y596" s="626"/>
      <c r="Z596" s="626"/>
      <c r="AA596" s="626"/>
      <c r="AB596" s="788"/>
      <c r="AC596" s="626"/>
      <c r="AD596" s="626"/>
      <c r="AE596" s="626"/>
      <c r="AF596" s="626"/>
      <c r="AG596" s="788"/>
      <c r="AH596" s="626"/>
      <c r="AI596" s="626"/>
      <c r="AJ596" s="626"/>
      <c r="AK596" s="626"/>
      <c r="AL596" s="788"/>
      <c r="AM596" s="626">
        <v>0</v>
      </c>
      <c r="AN596" s="626">
        <v>0</v>
      </c>
      <c r="AO596" s="626">
        <v>0</v>
      </c>
      <c r="AP596" s="330">
        <v>0</v>
      </c>
      <c r="AQ596" s="1984">
        <f>+AVERAGE(AM596:AP596)</f>
        <v>0</v>
      </c>
      <c r="AR596" s="626">
        <v>0</v>
      </c>
      <c r="AS596" s="626">
        <v>0</v>
      </c>
      <c r="AT596" s="626">
        <v>0</v>
      </c>
      <c r="AU596" s="330">
        <v>0</v>
      </c>
      <c r="AV596" s="1984">
        <f>+AVERAGE(AR596:AU596)</f>
        <v>0</v>
      </c>
      <c r="AW596" s="626">
        <v>0</v>
      </c>
      <c r="AX596" s="626">
        <v>0</v>
      </c>
      <c r="AY596" s="626">
        <v>0</v>
      </c>
      <c r="AZ596" s="330">
        <v>0</v>
      </c>
      <c r="BA596" s="1984">
        <f>+AVERAGE(AW596:AZ596)</f>
        <v>0</v>
      </c>
      <c r="BB596" s="626">
        <v>0</v>
      </c>
      <c r="BC596" s="626">
        <v>0</v>
      </c>
      <c r="BD596" s="626">
        <v>0</v>
      </c>
      <c r="BE596" s="330">
        <v>0</v>
      </c>
      <c r="BF596" s="1984">
        <f>+AVERAGE(BB596:BE596)</f>
        <v>0</v>
      </c>
      <c r="BG596" s="625">
        <v>0</v>
      </c>
      <c r="BH596" s="626">
        <v>0</v>
      </c>
      <c r="BI596" s="626">
        <v>0</v>
      </c>
      <c r="BJ596" s="2136">
        <v>0</v>
      </c>
      <c r="BK596" s="1984">
        <f>+AVERAGE(BG596:BJ596)</f>
        <v>0</v>
      </c>
      <c r="BL596" s="626">
        <v>0</v>
      </c>
      <c r="BM596" s="626">
        <v>0</v>
      </c>
      <c r="BN596" s="626"/>
      <c r="BO596" s="2136"/>
      <c r="BP596" s="1984"/>
      <c r="BQ596" s="626"/>
      <c r="BR596" s="626"/>
      <c r="BS596" s="626"/>
      <c r="BT596" s="2136"/>
      <c r="BU596" s="3396"/>
      <c r="BV596" s="626"/>
      <c r="BW596" s="626"/>
      <c r="BX596" s="626"/>
      <c r="BY596" s="2136"/>
      <c r="BZ596" s="1984"/>
      <c r="CA596" s="1984"/>
      <c r="CB596" s="1984"/>
      <c r="CC596" s="1984"/>
      <c r="CD596" s="1984"/>
      <c r="CE596" s="1984"/>
      <c r="CF596" s="1984"/>
      <c r="CG596" s="1984"/>
      <c r="CH596" s="626"/>
      <c r="CI596" s="626"/>
      <c r="CJ596" s="626"/>
      <c r="CK596" s="626"/>
      <c r="CL596" s="626"/>
      <c r="CM596" s="626"/>
      <c r="CN596" s="626"/>
      <c r="CO596" s="626"/>
      <c r="CP596" s="994"/>
      <c r="CQ596" s="626"/>
      <c r="CR596" s="626"/>
      <c r="CS596" s="626"/>
      <c r="CT596" s="626"/>
      <c r="CU596" s="626"/>
      <c r="CV596" s="626"/>
      <c r="CW596" s="626"/>
      <c r="CX596" s="626"/>
      <c r="CY596" s="626"/>
      <c r="CZ596" s="626"/>
      <c r="DA596" s="626"/>
      <c r="DB596" s="626"/>
      <c r="DC596" s="626"/>
      <c r="DD596" s="626"/>
      <c r="DE596" s="626"/>
      <c r="DF596" s="626"/>
      <c r="DG596" s="1893"/>
      <c r="DH596" s="632"/>
      <c r="DI596" s="595"/>
      <c r="DJ596" s="595"/>
      <c r="DK596" s="595"/>
      <c r="DL596" s="595"/>
      <c r="DM596" s="595"/>
      <c r="DN596" s="514"/>
      <c r="DO596" s="77"/>
      <c r="DY596" s="1982"/>
      <c r="DZ596" s="1982"/>
    </row>
    <row r="597" spans="1:130" ht="12" hidden="1" customHeight="1" outlineLevel="1">
      <c r="A597" s="552" t="s">
        <v>182</v>
      </c>
      <c r="B597" s="228"/>
      <c r="C597" s="228"/>
      <c r="D597" s="625"/>
      <c r="E597" s="626"/>
      <c r="F597" s="626"/>
      <c r="G597" s="626"/>
      <c r="H597" s="788"/>
      <c r="I597" s="626"/>
      <c r="J597" s="626"/>
      <c r="K597" s="626"/>
      <c r="L597" s="626"/>
      <c r="M597" s="788"/>
      <c r="N597" s="626"/>
      <c r="O597" s="626"/>
      <c r="P597" s="626"/>
      <c r="Q597" s="626"/>
      <c r="R597" s="788"/>
      <c r="S597" s="626"/>
      <c r="T597" s="626"/>
      <c r="U597" s="626"/>
      <c r="V597" s="626"/>
      <c r="W597" s="788"/>
      <c r="X597" s="626"/>
      <c r="Y597" s="626"/>
      <c r="Z597" s="626"/>
      <c r="AA597" s="626"/>
      <c r="AB597" s="788"/>
      <c r="AC597" s="626"/>
      <c r="AD597" s="626"/>
      <c r="AE597" s="626"/>
      <c r="AF597" s="626"/>
      <c r="AG597" s="788"/>
      <c r="AH597" s="626"/>
      <c r="AI597" s="626"/>
      <c r="AJ597" s="626"/>
      <c r="AK597" s="626"/>
      <c r="AL597" s="788"/>
      <c r="AM597" s="792">
        <f t="shared" ref="AM597:BK597" si="1313">+AM595+(AM596*6)</f>
        <v>1424</v>
      </c>
      <c r="AN597" s="792">
        <f t="shared" si="1313"/>
        <v>1424</v>
      </c>
      <c r="AO597" s="792">
        <f t="shared" si="1313"/>
        <v>1424</v>
      </c>
      <c r="AP597" s="792">
        <f t="shared" si="1313"/>
        <v>1424</v>
      </c>
      <c r="AQ597" s="1984">
        <f t="shared" si="1313"/>
        <v>1424</v>
      </c>
      <c r="AR597" s="792">
        <f t="shared" si="1313"/>
        <v>1424</v>
      </c>
      <c r="AS597" s="792">
        <f t="shared" si="1313"/>
        <v>1424</v>
      </c>
      <c r="AT597" s="792">
        <f t="shared" si="1313"/>
        <v>1424</v>
      </c>
      <c r="AU597" s="792">
        <f t="shared" si="1313"/>
        <v>1424</v>
      </c>
      <c r="AV597" s="1984">
        <f t="shared" si="1313"/>
        <v>1424</v>
      </c>
      <c r="AW597" s="792">
        <f t="shared" si="1313"/>
        <v>1424</v>
      </c>
      <c r="AX597" s="792">
        <f t="shared" si="1313"/>
        <v>1424</v>
      </c>
      <c r="AY597" s="792">
        <f t="shared" si="1313"/>
        <v>1424</v>
      </c>
      <c r="AZ597" s="792">
        <f t="shared" si="1313"/>
        <v>1424</v>
      </c>
      <c r="BA597" s="1984">
        <f t="shared" si="1313"/>
        <v>1424</v>
      </c>
      <c r="BB597" s="792">
        <f t="shared" si="1313"/>
        <v>1373</v>
      </c>
      <c r="BC597" s="792">
        <f t="shared" si="1313"/>
        <v>1373</v>
      </c>
      <c r="BD597" s="792">
        <f t="shared" si="1313"/>
        <v>1373</v>
      </c>
      <c r="BE597" s="792">
        <f t="shared" si="1313"/>
        <v>1373</v>
      </c>
      <c r="BF597" s="1984">
        <f t="shared" si="1313"/>
        <v>1373</v>
      </c>
      <c r="BG597" s="793">
        <f>+BG595+(BG596*6)</f>
        <v>1373</v>
      </c>
      <c r="BH597" s="792">
        <f>+BH595+(BH596*6)</f>
        <v>1373</v>
      </c>
      <c r="BI597" s="792">
        <f>+BI595+(BI596*6)</f>
        <v>1373</v>
      </c>
      <c r="BJ597" s="1894">
        <f>+BJ595+(BJ596*6)</f>
        <v>1373</v>
      </c>
      <c r="BK597" s="1984">
        <f t="shared" si="1313"/>
        <v>1373</v>
      </c>
      <c r="BL597" s="792">
        <f t="shared" ref="BL597:BM597" si="1314">+BL595+(BL596*6)</f>
        <v>1373</v>
      </c>
      <c r="BM597" s="792">
        <f t="shared" si="1314"/>
        <v>1373</v>
      </c>
      <c r="BN597" s="792"/>
      <c r="BO597" s="1894"/>
      <c r="BP597" s="1984"/>
      <c r="BQ597" s="792"/>
      <c r="BR597" s="792"/>
      <c r="BS597" s="792"/>
      <c r="BT597" s="1894"/>
      <c r="BU597" s="3396"/>
      <c r="BV597" s="792"/>
      <c r="BW597" s="792"/>
      <c r="BX597" s="792"/>
      <c r="BY597" s="1894"/>
      <c r="BZ597" s="1984"/>
      <c r="CA597" s="1984"/>
      <c r="CB597" s="1984"/>
      <c r="CC597" s="1984"/>
      <c r="CD597" s="1984"/>
      <c r="CE597" s="1984"/>
      <c r="CF597" s="1984"/>
      <c r="CG597" s="1984"/>
      <c r="CH597" s="626"/>
      <c r="CI597" s="626"/>
      <c r="CJ597" s="626"/>
      <c r="CK597" s="626"/>
      <c r="CL597" s="626"/>
      <c r="CM597" s="626"/>
      <c r="CN597" s="626"/>
      <c r="CO597" s="626"/>
      <c r="CP597" s="994"/>
      <c r="CQ597" s="626"/>
      <c r="CR597" s="626"/>
      <c r="CS597" s="626"/>
      <c r="CT597" s="626"/>
      <c r="CU597" s="626"/>
      <c r="CV597" s="626"/>
      <c r="CW597" s="626"/>
      <c r="CX597" s="626"/>
      <c r="CY597" s="626"/>
      <c r="CZ597" s="626"/>
      <c r="DA597" s="626"/>
      <c r="DB597" s="626"/>
      <c r="DC597" s="626"/>
      <c r="DD597" s="626"/>
      <c r="DE597" s="626"/>
      <c r="DF597" s="626"/>
      <c r="DG597" s="1893"/>
      <c r="DH597" s="632"/>
      <c r="DI597" s="595"/>
      <c r="DJ597" s="595"/>
      <c r="DK597" s="595"/>
      <c r="DL597" s="595"/>
      <c r="DM597" s="595"/>
      <c r="DN597" s="514"/>
      <c r="DO597" s="77"/>
      <c r="DY597" s="1982"/>
      <c r="DZ597" s="1982"/>
    </row>
    <row r="598" spans="1:130" ht="12" hidden="1" customHeight="1" outlineLevel="1">
      <c r="A598" s="552" t="s">
        <v>1156</v>
      </c>
      <c r="B598" s="228"/>
      <c r="C598" s="228"/>
      <c r="D598" s="625"/>
      <c r="E598" s="626"/>
      <c r="F598" s="626"/>
      <c r="G598" s="626"/>
      <c r="H598" s="788"/>
      <c r="I598" s="626"/>
      <c r="J598" s="626"/>
      <c r="K598" s="626"/>
      <c r="L598" s="626"/>
      <c r="M598" s="788"/>
      <c r="N598" s="626"/>
      <c r="O598" s="626"/>
      <c r="P598" s="626"/>
      <c r="Q598" s="626"/>
      <c r="R598" s="788"/>
      <c r="S598" s="626"/>
      <c r="T598" s="626"/>
      <c r="U598" s="626"/>
      <c r="V598" s="626"/>
      <c r="W598" s="788"/>
      <c r="X598" s="626"/>
      <c r="Y598" s="626"/>
      <c r="Z598" s="626"/>
      <c r="AA598" s="626"/>
      <c r="AB598" s="788"/>
      <c r="AC598" s="626"/>
      <c r="AD598" s="626"/>
      <c r="AE598" s="626"/>
      <c r="AF598" s="626"/>
      <c r="AG598" s="788"/>
      <c r="AH598" s="626"/>
      <c r="AI598" s="626"/>
      <c r="AJ598" s="626"/>
      <c r="AK598" s="626"/>
      <c r="AL598" s="788"/>
      <c r="AM598" s="626">
        <f t="shared" ref="AM598:BM598" si="1315">+AM605*1000000/AM597/AM5</f>
        <v>195.20180805243444</v>
      </c>
      <c r="AN598" s="626">
        <f t="shared" si="1315"/>
        <v>189.61839571243362</v>
      </c>
      <c r="AO598" s="626">
        <f t="shared" si="1315"/>
        <v>179.50941820346847</v>
      </c>
      <c r="AP598" s="626">
        <f t="shared" si="1315"/>
        <v>171.2876767830972</v>
      </c>
      <c r="AQ598" s="1950">
        <f t="shared" si="1315"/>
        <v>183.826765680314</v>
      </c>
      <c r="AR598" s="626">
        <f t="shared" si="1315"/>
        <v>204.39450395110507</v>
      </c>
      <c r="AS598" s="626">
        <f t="shared" si="1315"/>
        <v>193.8695815841462</v>
      </c>
      <c r="AT598" s="626">
        <f t="shared" si="1315"/>
        <v>181.71535593246216</v>
      </c>
      <c r="AU598" s="626">
        <f t="shared" si="1315"/>
        <v>171.11000526685393</v>
      </c>
      <c r="AV598" s="1950">
        <f t="shared" si="1315"/>
        <v>187.71028692362009</v>
      </c>
      <c r="AW598" s="626">
        <f t="shared" si="1315"/>
        <v>188.01539856429466</v>
      </c>
      <c r="AX598" s="626">
        <f t="shared" si="1315"/>
        <v>182.95065008025682</v>
      </c>
      <c r="AY598" s="626">
        <f t="shared" si="1315"/>
        <v>172.90063309110894</v>
      </c>
      <c r="AZ598" s="626">
        <f t="shared" si="1315"/>
        <v>167.87127831888128</v>
      </c>
      <c r="BA598" s="1950">
        <f t="shared" si="1315"/>
        <v>177.86550925427122</v>
      </c>
      <c r="BB598" s="626">
        <f t="shared" si="1315"/>
        <v>188.74626567937202</v>
      </c>
      <c r="BC598" s="626">
        <f t="shared" si="1315"/>
        <v>185.65907213689442</v>
      </c>
      <c r="BD598" s="626">
        <f t="shared" si="1315"/>
        <v>170.23843479844203</v>
      </c>
      <c r="BE598" s="626">
        <f t="shared" si="1315"/>
        <v>172.43701162164729</v>
      </c>
      <c r="BF598" s="1950">
        <f t="shared" si="1315"/>
        <v>179.20076861986053</v>
      </c>
      <c r="BG598" s="625">
        <f t="shared" si="1315"/>
        <v>194.67745334628145</v>
      </c>
      <c r="BH598" s="626">
        <f t="shared" si="1315"/>
        <v>192.17523382662495</v>
      </c>
      <c r="BI598" s="626">
        <f t="shared" si="1315"/>
        <v>172.47341888596853</v>
      </c>
      <c r="BJ598" s="1893">
        <f t="shared" si="1315"/>
        <v>167.81136301022832</v>
      </c>
      <c r="BK598" s="1950">
        <f t="shared" si="1315"/>
        <v>181.68525209270769</v>
      </c>
      <c r="BL598" s="626">
        <f t="shared" si="1315"/>
        <v>180.06876279583489</v>
      </c>
      <c r="BM598" s="626">
        <f t="shared" si="1315"/>
        <v>173.58510288691642</v>
      </c>
      <c r="BN598" s="626"/>
      <c r="BO598" s="1893"/>
      <c r="BP598" s="1950"/>
      <c r="BQ598" s="626"/>
      <c r="BR598" s="626"/>
      <c r="BS598" s="626"/>
      <c r="BT598" s="1893"/>
      <c r="BU598" s="3406"/>
      <c r="BV598" s="626"/>
      <c r="BW598" s="626"/>
      <c r="BX598" s="626"/>
      <c r="BY598" s="1893"/>
      <c r="BZ598" s="1950"/>
      <c r="CA598" s="1950"/>
      <c r="CB598" s="1950"/>
      <c r="CC598" s="1950"/>
      <c r="CD598" s="1950"/>
      <c r="CE598" s="1950"/>
      <c r="CF598" s="1950"/>
      <c r="CG598" s="1950"/>
      <c r="CH598" s="626"/>
      <c r="CI598" s="626"/>
      <c r="CJ598" s="626"/>
      <c r="CK598" s="626"/>
      <c r="CL598" s="626"/>
      <c r="CM598" s="626"/>
      <c r="CN598" s="626"/>
      <c r="CO598" s="626"/>
      <c r="CP598" s="994"/>
      <c r="CQ598" s="626"/>
      <c r="CR598" s="626"/>
      <c r="CS598" s="626"/>
      <c r="CT598" s="626"/>
      <c r="CU598" s="626"/>
      <c r="CV598" s="626"/>
      <c r="CW598" s="626"/>
      <c r="CX598" s="626"/>
      <c r="CY598" s="626"/>
      <c r="CZ598" s="626"/>
      <c r="DA598" s="626"/>
      <c r="DB598" s="626"/>
      <c r="DC598" s="626"/>
      <c r="DD598" s="626"/>
      <c r="DE598" s="626"/>
      <c r="DF598" s="626"/>
      <c r="DG598" s="1893"/>
      <c r="DH598" s="632"/>
      <c r="DI598" s="595"/>
      <c r="DJ598" s="595"/>
      <c r="DK598" s="595"/>
      <c r="DL598" s="595"/>
      <c r="DM598" s="595"/>
      <c r="DN598" s="514"/>
      <c r="DO598" s="77"/>
      <c r="DY598" s="1634"/>
      <c r="DZ598" s="1634"/>
    </row>
    <row r="599" spans="1:130" ht="12" hidden="1" customHeight="1" outlineLevel="1">
      <c r="A599" s="567" t="s">
        <v>1153</v>
      </c>
      <c r="B599" s="228"/>
      <c r="C599" s="228"/>
      <c r="D599" s="625"/>
      <c r="E599" s="626"/>
      <c r="F599" s="626"/>
      <c r="G599" s="626"/>
      <c r="H599" s="788"/>
      <c r="I599" s="626"/>
      <c r="J599" s="626"/>
      <c r="K599" s="626"/>
      <c r="L599" s="626"/>
      <c r="M599" s="788"/>
      <c r="N599" s="626"/>
      <c r="O599" s="626"/>
      <c r="P599" s="626"/>
      <c r="Q599" s="626"/>
      <c r="R599" s="788"/>
      <c r="S599" s="626"/>
      <c r="T599" s="626"/>
      <c r="U599" s="626"/>
      <c r="V599" s="626"/>
      <c r="W599" s="788"/>
      <c r="X599" s="626"/>
      <c r="Y599" s="626"/>
      <c r="Z599" s="626"/>
      <c r="AA599" s="626"/>
      <c r="AB599" s="788"/>
      <c r="AC599" s="626"/>
      <c r="AD599" s="626"/>
      <c r="AE599" s="626"/>
      <c r="AF599" s="626"/>
      <c r="AG599" s="788"/>
      <c r="AH599" s="626"/>
      <c r="AI599" s="626"/>
      <c r="AJ599" s="626"/>
      <c r="AK599" s="626"/>
      <c r="AL599" s="788"/>
      <c r="AM599" s="626"/>
      <c r="AN599" s="261"/>
      <c r="AO599" s="626"/>
      <c r="AP599" s="330"/>
      <c r="AQ599" s="1439"/>
      <c r="AR599" s="573">
        <f t="shared" ref="AR599:BF599" si="1316">+AR598/AM598-1</f>
        <v>4.7093292784466945E-2</v>
      </c>
      <c r="AS599" s="573">
        <f t="shared" si="1316"/>
        <v>2.2419691168359623E-2</v>
      </c>
      <c r="AT599" s="573">
        <f t="shared" si="1316"/>
        <v>1.2288701902500421E-2</v>
      </c>
      <c r="AU599" s="573">
        <f t="shared" si="1316"/>
        <v>-1.0372696949370042E-3</v>
      </c>
      <c r="AV599" s="1975">
        <f t="shared" si="1316"/>
        <v>2.1125983634286305E-2</v>
      </c>
      <c r="AW599" s="573">
        <f t="shared" si="1316"/>
        <v>-8.0134764243605106E-2</v>
      </c>
      <c r="AX599" s="573">
        <f t="shared" si="1316"/>
        <v>-5.6321014440061545E-2</v>
      </c>
      <c r="AY599" s="573">
        <f t="shared" si="1316"/>
        <v>-4.8508409188210644E-2</v>
      </c>
      <c r="AZ599" s="573">
        <f t="shared" si="1316"/>
        <v>-1.8927747345467649E-2</v>
      </c>
      <c r="BA599" s="1975">
        <f t="shared" si="1316"/>
        <v>-5.2446660386570865E-2</v>
      </c>
      <c r="BB599" s="573">
        <f t="shared" si="1316"/>
        <v>3.8872726418066605E-3</v>
      </c>
      <c r="BC599" s="573">
        <f t="shared" si="1316"/>
        <v>1.4804112778224354E-2</v>
      </c>
      <c r="BD599" s="573">
        <f t="shared" si="1316"/>
        <v>-1.5397273249219912E-2</v>
      </c>
      <c r="BE599" s="573">
        <f t="shared" si="1316"/>
        <v>2.7197822930097315E-2</v>
      </c>
      <c r="BF599" s="1975">
        <f t="shared" si="1316"/>
        <v>7.5071292415689328E-3</v>
      </c>
      <c r="BG599" s="2730">
        <f t="shared" ref="BG599:BM599" si="1317">+BG598/BB598-1</f>
        <v>3.142413252818943E-2</v>
      </c>
      <c r="BH599" s="573">
        <f t="shared" si="1317"/>
        <v>3.5097459093869965E-2</v>
      </c>
      <c r="BI599" s="573">
        <f t="shared" si="1317"/>
        <v>1.312855167032434E-2</v>
      </c>
      <c r="BJ599" s="2135">
        <f t="shared" si="1317"/>
        <v>-2.6825149472946896E-2</v>
      </c>
      <c r="BK599" s="1975">
        <f t="shared" si="1317"/>
        <v>1.3864245627860594E-2</v>
      </c>
      <c r="BL599" s="573">
        <f t="shared" si="1317"/>
        <v>-7.5040485168364257E-2</v>
      </c>
      <c r="BM599" s="573">
        <f t="shared" si="1317"/>
        <v>-9.6735310630505222E-2</v>
      </c>
      <c r="BN599" s="573"/>
      <c r="BO599" s="2135"/>
      <c r="BP599" s="1975"/>
      <c r="BQ599" s="573"/>
      <c r="BR599" s="573"/>
      <c r="BS599" s="573"/>
      <c r="BT599" s="2135"/>
      <c r="BU599" s="3407"/>
      <c r="BV599" s="573"/>
      <c r="BW599" s="573"/>
      <c r="BX599" s="573"/>
      <c r="BY599" s="2135"/>
      <c r="BZ599" s="1621"/>
      <c r="CA599" s="1621"/>
      <c r="CB599" s="1621"/>
      <c r="CC599" s="1621"/>
      <c r="CD599" s="1621"/>
      <c r="CE599" s="1621"/>
      <c r="CF599" s="1621"/>
      <c r="CG599" s="1621"/>
      <c r="CH599" s="626"/>
      <c r="CI599" s="626"/>
      <c r="CJ599" s="626"/>
      <c r="CK599" s="626"/>
      <c r="CL599" s="626"/>
      <c r="CM599" s="626"/>
      <c r="CN599" s="626"/>
      <c r="CO599" s="626"/>
      <c r="CP599" s="994"/>
      <c r="CQ599" s="626"/>
      <c r="CR599" s="626"/>
      <c r="CS599" s="626"/>
      <c r="CT599" s="626"/>
      <c r="CU599" s="626"/>
      <c r="CV599" s="626"/>
      <c r="CW599" s="626"/>
      <c r="CX599" s="626"/>
      <c r="CY599" s="626"/>
      <c r="CZ599" s="626"/>
      <c r="DA599" s="626"/>
      <c r="DB599" s="626"/>
      <c r="DC599" s="626"/>
      <c r="DD599" s="626"/>
      <c r="DE599" s="626"/>
      <c r="DF599" s="626"/>
      <c r="DG599" s="1893"/>
      <c r="DH599" s="632"/>
      <c r="DI599" s="595"/>
      <c r="DJ599" s="595"/>
      <c r="DK599" s="595"/>
      <c r="DL599" s="595"/>
      <c r="DM599" s="595"/>
      <c r="DN599" s="514"/>
      <c r="DO599" s="77"/>
      <c r="DY599" s="769"/>
      <c r="DZ599" s="769"/>
    </row>
    <row r="600" spans="1:130" ht="12" hidden="1" customHeight="1" outlineLevel="1">
      <c r="A600" s="552"/>
      <c r="B600" s="228"/>
      <c r="C600" s="228"/>
      <c r="D600" s="625"/>
      <c r="E600" s="626"/>
      <c r="F600" s="626"/>
      <c r="G600" s="626"/>
      <c r="H600" s="788"/>
      <c r="I600" s="626"/>
      <c r="J600" s="626"/>
      <c r="K600" s="626"/>
      <c r="L600" s="626"/>
      <c r="M600" s="788"/>
      <c r="N600" s="626"/>
      <c r="O600" s="626"/>
      <c r="P600" s="626"/>
      <c r="Q600" s="626"/>
      <c r="R600" s="788"/>
      <c r="S600" s="626"/>
      <c r="T600" s="626"/>
      <c r="U600" s="626"/>
      <c r="V600" s="626"/>
      <c r="W600" s="788"/>
      <c r="X600" s="626"/>
      <c r="Y600" s="626"/>
      <c r="Z600" s="626"/>
      <c r="AA600" s="626"/>
      <c r="AB600" s="788"/>
      <c r="AC600" s="626"/>
      <c r="AD600" s="626"/>
      <c r="AE600" s="626"/>
      <c r="AF600" s="626"/>
      <c r="AG600" s="788"/>
      <c r="AH600" s="626"/>
      <c r="AI600" s="626"/>
      <c r="AJ600" s="626"/>
      <c r="AK600" s="626"/>
      <c r="AL600" s="788"/>
      <c r="AM600" s="626"/>
      <c r="AN600" s="261"/>
      <c r="AO600" s="626"/>
      <c r="AP600" s="330"/>
      <c r="AQ600" s="1439"/>
      <c r="AR600" s="573"/>
      <c r="AS600" s="573"/>
      <c r="AT600" s="573"/>
      <c r="AU600" s="573"/>
      <c r="AV600" s="1975"/>
      <c r="AW600" s="573"/>
      <c r="AX600" s="573"/>
      <c r="AY600" s="573"/>
      <c r="AZ600" s="573"/>
      <c r="BA600" s="1621"/>
      <c r="BB600" s="573"/>
      <c r="BC600" s="573"/>
      <c r="BD600" s="573"/>
      <c r="BE600" s="573"/>
      <c r="BF600" s="1621"/>
      <c r="BG600" s="2730"/>
      <c r="BH600" s="573"/>
      <c r="BI600" s="573"/>
      <c r="BJ600" s="2135"/>
      <c r="BK600" s="1621"/>
      <c r="BL600" s="573"/>
      <c r="BM600" s="573"/>
      <c r="BN600" s="573"/>
      <c r="BO600" s="2135"/>
      <c r="BP600" s="1621"/>
      <c r="BQ600" s="573"/>
      <c r="BR600" s="573"/>
      <c r="BS600" s="573"/>
      <c r="BT600" s="2135"/>
      <c r="BU600" s="3371"/>
      <c r="BV600" s="573"/>
      <c r="BW600" s="573"/>
      <c r="BX600" s="573"/>
      <c r="BY600" s="2135"/>
      <c r="BZ600" s="1621"/>
      <c r="CA600" s="1621"/>
      <c r="CB600" s="1621"/>
      <c r="CC600" s="1621"/>
      <c r="CD600" s="1621"/>
      <c r="CE600" s="1621"/>
      <c r="CF600" s="1621"/>
      <c r="CG600" s="1621"/>
      <c r="CH600" s="626"/>
      <c r="CI600" s="626"/>
      <c r="CJ600" s="626"/>
      <c r="CK600" s="626"/>
      <c r="CL600" s="626"/>
      <c r="CM600" s="626"/>
      <c r="CN600" s="626"/>
      <c r="CO600" s="626"/>
      <c r="CP600" s="994"/>
      <c r="CQ600" s="626"/>
      <c r="CR600" s="626"/>
      <c r="CS600" s="626"/>
      <c r="CT600" s="626"/>
      <c r="CU600" s="626"/>
      <c r="CV600" s="626"/>
      <c r="CW600" s="626"/>
      <c r="CX600" s="626"/>
      <c r="CY600" s="626"/>
      <c r="CZ600" s="626"/>
      <c r="DA600" s="626"/>
      <c r="DB600" s="626"/>
      <c r="DC600" s="626"/>
      <c r="DD600" s="626"/>
      <c r="DE600" s="626"/>
      <c r="DF600" s="626"/>
      <c r="DG600" s="1893"/>
      <c r="DH600" s="632"/>
      <c r="DI600" s="595"/>
      <c r="DJ600" s="595"/>
      <c r="DK600" s="595"/>
      <c r="DL600" s="595"/>
      <c r="DM600" s="595"/>
      <c r="DN600" s="514"/>
      <c r="DO600" s="77"/>
      <c r="DY600" s="573"/>
      <c r="DZ600" s="573"/>
    </row>
    <row r="601" spans="1:130" ht="12" hidden="1" customHeight="1" outlineLevel="1">
      <c r="A601" s="552" t="s">
        <v>1350</v>
      </c>
      <c r="B601" s="228"/>
      <c r="C601" s="228"/>
      <c r="D601" s="625"/>
      <c r="E601" s="626"/>
      <c r="F601" s="626"/>
      <c r="G601" s="626"/>
      <c r="H601" s="788"/>
      <c r="I601" s="626"/>
      <c r="J601" s="626"/>
      <c r="K601" s="626"/>
      <c r="L601" s="626"/>
      <c r="M601" s="788"/>
      <c r="N601" s="626"/>
      <c r="O601" s="626"/>
      <c r="P601" s="626"/>
      <c r="Q601" s="626"/>
      <c r="R601" s="788"/>
      <c r="S601" s="626"/>
      <c r="T601" s="626"/>
      <c r="U601" s="626"/>
      <c r="V601" s="626"/>
      <c r="W601" s="788"/>
      <c r="X601" s="626"/>
      <c r="Y601" s="626"/>
      <c r="Z601" s="626"/>
      <c r="AA601" s="626"/>
      <c r="AB601" s="788"/>
      <c r="AC601" s="626"/>
      <c r="AD601" s="626"/>
      <c r="AE601" s="626"/>
      <c r="AF601" s="626"/>
      <c r="AG601" s="788"/>
      <c r="AH601" s="626"/>
      <c r="AI601" s="626"/>
      <c r="AJ601" s="626"/>
      <c r="AK601" s="626"/>
      <c r="AL601" s="788"/>
      <c r="AM601" s="330">
        <v>245.376</v>
      </c>
      <c r="AN601" s="330">
        <v>413.024</v>
      </c>
      <c r="AO601" s="330">
        <v>398.56299999999999</v>
      </c>
      <c r="AP601" s="330">
        <v>369.24599999999998</v>
      </c>
      <c r="AQ601" s="1950">
        <f>+SUM(AM601:AP601)</f>
        <v>1426.2089999999998</v>
      </c>
      <c r="AR601" s="330">
        <v>395.87599999999998</v>
      </c>
      <c r="AS601" s="330">
        <v>399.78500000000003</v>
      </c>
      <c r="AT601" s="330">
        <v>375.88799999999998</v>
      </c>
      <c r="AU601" s="330">
        <v>363.25599999999997</v>
      </c>
      <c r="AV601" s="1950">
        <f>+SUM(AR601:AU601)</f>
        <v>1534.8049999999998</v>
      </c>
      <c r="AW601" s="330">
        <v>354.48099999999999</v>
      </c>
      <c r="AX601" s="330">
        <v>367.35199999999998</v>
      </c>
      <c r="AY601" s="330">
        <v>357.13799999999998</v>
      </c>
      <c r="AZ601" s="330">
        <v>333.166</v>
      </c>
      <c r="BA601" s="1950">
        <f>+SUM(AW601:AZ601)</f>
        <v>1412.1369999999999</v>
      </c>
      <c r="BB601" s="330">
        <v>328.32100000000003</v>
      </c>
      <c r="BC601" s="330">
        <v>325.17200000000003</v>
      </c>
      <c r="BD601" s="330">
        <v>302.81700000000001</v>
      </c>
      <c r="BE601" s="330">
        <v>300.25099999999998</v>
      </c>
      <c r="BF601" s="1950">
        <f>+SUM(BB601:BE601)</f>
        <v>1256.5610000000001</v>
      </c>
      <c r="BG601" s="3118">
        <v>313.97199999999998</v>
      </c>
      <c r="BH601" s="330">
        <v>336.67500000000001</v>
      </c>
      <c r="BI601" s="330">
        <v>314.63200000000001</v>
      </c>
      <c r="BJ601" s="330">
        <v>314.12900000000002</v>
      </c>
      <c r="BK601" s="1950">
        <f>+SUM(BG601:BJ601)</f>
        <v>1279.4079999999999</v>
      </c>
      <c r="BL601" s="3117">
        <v>297.08100000000002</v>
      </c>
      <c r="BM601" s="3117">
        <v>293.53899999999999</v>
      </c>
      <c r="BN601" s="3117"/>
      <c r="BO601" s="1893"/>
      <c r="BP601" s="1950"/>
      <c r="BQ601" s="626"/>
      <c r="BR601" s="626"/>
      <c r="BS601" s="626"/>
      <c r="BT601" s="1893"/>
      <c r="BU601" s="3406"/>
      <c r="BV601" s="626"/>
      <c r="BW601" s="626"/>
      <c r="BX601" s="626"/>
      <c r="BY601" s="1893"/>
      <c r="BZ601" s="1950"/>
      <c r="CA601" s="1950"/>
      <c r="CB601" s="1950"/>
      <c r="CC601" s="1950"/>
      <c r="CD601" s="1950"/>
      <c r="CE601" s="1950"/>
      <c r="CF601" s="1950"/>
      <c r="CG601" s="1950"/>
      <c r="CH601" s="626"/>
      <c r="CI601" s="626"/>
      <c r="CJ601" s="626"/>
      <c r="CK601" s="626"/>
      <c r="CL601" s="626"/>
      <c r="CM601" s="626"/>
      <c r="CN601" s="626"/>
      <c r="CO601" s="626"/>
      <c r="CP601" s="994"/>
      <c r="CQ601" s="626"/>
      <c r="CR601" s="626"/>
      <c r="CS601" s="626"/>
      <c r="CT601" s="626"/>
      <c r="CU601" s="626"/>
      <c r="CV601" s="626"/>
      <c r="CW601" s="626"/>
      <c r="CX601" s="626"/>
      <c r="CY601" s="626"/>
      <c r="CZ601" s="626"/>
      <c r="DA601" s="626"/>
      <c r="DB601" s="626"/>
      <c r="DC601" s="626"/>
      <c r="DD601" s="626"/>
      <c r="DE601" s="626"/>
      <c r="DF601" s="626"/>
      <c r="DG601" s="1893"/>
      <c r="DH601" s="632"/>
      <c r="DI601" s="595"/>
      <c r="DJ601" s="595"/>
      <c r="DK601" s="595"/>
      <c r="DL601" s="595"/>
      <c r="DM601" s="595"/>
      <c r="DN601" s="514"/>
      <c r="DO601" s="77"/>
      <c r="DY601" s="1634"/>
      <c r="DZ601" s="1634"/>
    </row>
    <row r="602" spans="1:130" ht="12" hidden="1" customHeight="1" outlineLevel="1">
      <c r="A602" s="567" t="s">
        <v>1153</v>
      </c>
      <c r="B602" s="228"/>
      <c r="C602" s="228"/>
      <c r="D602" s="625"/>
      <c r="E602" s="626"/>
      <c r="F602" s="626"/>
      <c r="G602" s="626"/>
      <c r="H602" s="788"/>
      <c r="I602" s="626"/>
      <c r="J602" s="626"/>
      <c r="K602" s="626"/>
      <c r="L602" s="626"/>
      <c r="M602" s="788"/>
      <c r="N602" s="626"/>
      <c r="O602" s="626"/>
      <c r="P602" s="626"/>
      <c r="Q602" s="626"/>
      <c r="R602" s="788"/>
      <c r="S602" s="626"/>
      <c r="T602" s="626"/>
      <c r="U602" s="626"/>
      <c r="V602" s="626"/>
      <c r="W602" s="788"/>
      <c r="X602" s="626"/>
      <c r="Y602" s="626"/>
      <c r="Z602" s="626"/>
      <c r="AA602" s="626"/>
      <c r="AB602" s="788"/>
      <c r="AC602" s="626"/>
      <c r="AD602" s="626"/>
      <c r="AE602" s="626"/>
      <c r="AF602" s="626"/>
      <c r="AG602" s="788"/>
      <c r="AH602" s="626"/>
      <c r="AI602" s="626"/>
      <c r="AJ602" s="626"/>
      <c r="AK602" s="626"/>
      <c r="AL602" s="788"/>
      <c r="AM602" s="626"/>
      <c r="AN602" s="261"/>
      <c r="AO602" s="626"/>
      <c r="AP602" s="330"/>
      <c r="AQ602" s="1439"/>
      <c r="AR602" s="573">
        <f t="shared" ref="AR602:AX602" si="1318">+AR601/AM601-1</f>
        <v>0.6133444183620238</v>
      </c>
      <c r="AS602" s="573">
        <f t="shared" si="1318"/>
        <v>-3.2053827380491118E-2</v>
      </c>
      <c r="AT602" s="573">
        <f t="shared" si="1318"/>
        <v>-5.6891884093606349E-2</v>
      </c>
      <c r="AU602" s="573">
        <f t="shared" si="1318"/>
        <v>-1.6222247498957398E-2</v>
      </c>
      <c r="AV602" s="1621">
        <f t="shared" si="1318"/>
        <v>7.6143117874028388E-2</v>
      </c>
      <c r="AW602" s="573">
        <f t="shared" si="1318"/>
        <v>-0.1045655710373955</v>
      </c>
      <c r="AX602" s="261">
        <f t="shared" si="1318"/>
        <v>-8.1126105281588923E-2</v>
      </c>
      <c r="AY602" s="261">
        <f t="shared" ref="AY602:BM602" si="1319">+AY601/AT601-1</f>
        <v>-4.9881879708849497E-2</v>
      </c>
      <c r="AZ602" s="261">
        <f t="shared" si="1319"/>
        <v>-8.28341445151628E-2</v>
      </c>
      <c r="BA602" s="1621">
        <f t="shared" si="1319"/>
        <v>-7.9924159746677881E-2</v>
      </c>
      <c r="BB602" s="261">
        <f t="shared" si="1319"/>
        <v>-7.3798031488288451E-2</v>
      </c>
      <c r="BC602" s="261">
        <f t="shared" si="1319"/>
        <v>-0.11482175134475914</v>
      </c>
      <c r="BD602" s="261">
        <f t="shared" si="1319"/>
        <v>-0.15210086857181249</v>
      </c>
      <c r="BE602" s="261">
        <f t="shared" si="1319"/>
        <v>-9.8794594886633114E-2</v>
      </c>
      <c r="BF602" s="1621">
        <f>+BF601/BA601-1</f>
        <v>-0.11017061375773018</v>
      </c>
      <c r="BG602" s="261">
        <f t="shared" si="1319"/>
        <v>-4.3704179750914673E-2</v>
      </c>
      <c r="BH602" s="261">
        <f t="shared" si="1319"/>
        <v>3.5375124549469117E-2</v>
      </c>
      <c r="BI602" s="261">
        <f t="shared" si="1319"/>
        <v>3.9016964040988533E-2</v>
      </c>
      <c r="BJ602" s="261">
        <f t="shared" si="1319"/>
        <v>4.6221328155443331E-2</v>
      </c>
      <c r="BK602" s="1621">
        <f>+BK601/BF601-1</f>
        <v>1.8182165449985854E-2</v>
      </c>
      <c r="BL602" s="261">
        <f t="shared" si="1319"/>
        <v>-5.3797790885811381E-2</v>
      </c>
      <c r="BM602" s="261">
        <f t="shared" si="1319"/>
        <v>-0.12812356129798774</v>
      </c>
      <c r="BN602" s="261"/>
      <c r="BO602" s="2889"/>
      <c r="BP602" s="1621"/>
      <c r="BQ602" s="2278"/>
      <c r="BR602" s="2278"/>
      <c r="BS602" s="2278"/>
      <c r="BT602" s="2889"/>
      <c r="BU602" s="3371"/>
      <c r="BV602" s="2278"/>
      <c r="BW602" s="2278"/>
      <c r="BX602" s="2278"/>
      <c r="BY602" s="2889"/>
      <c r="BZ602" s="2279"/>
      <c r="CA602" s="2279"/>
      <c r="CB602" s="2279"/>
      <c r="CC602" s="2279"/>
      <c r="CD602" s="2279"/>
      <c r="CE602" s="2279"/>
      <c r="CF602" s="2279"/>
      <c r="CG602" s="2279"/>
      <c r="CH602" s="626"/>
      <c r="CI602" s="626"/>
      <c r="CJ602" s="626"/>
      <c r="CK602" s="626"/>
      <c r="CL602" s="626"/>
      <c r="CM602" s="626"/>
      <c r="CN602" s="626"/>
      <c r="CO602" s="626"/>
      <c r="CP602" s="994"/>
      <c r="CQ602" s="626"/>
      <c r="CR602" s="626"/>
      <c r="CS602" s="626"/>
      <c r="CT602" s="626"/>
      <c r="CU602" s="626"/>
      <c r="CV602" s="626"/>
      <c r="CW602" s="626"/>
      <c r="CX602" s="626"/>
      <c r="CY602" s="626"/>
      <c r="CZ602" s="626"/>
      <c r="DA602" s="626"/>
      <c r="DB602" s="626"/>
      <c r="DC602" s="626"/>
      <c r="DD602" s="626"/>
      <c r="DE602" s="626"/>
      <c r="DF602" s="626"/>
      <c r="DG602" s="1893"/>
      <c r="DH602" s="632"/>
      <c r="DI602" s="595"/>
      <c r="DJ602" s="595"/>
      <c r="DK602" s="595"/>
      <c r="DL602" s="595"/>
      <c r="DM602" s="595"/>
      <c r="DN602" s="514"/>
      <c r="DO602" s="77"/>
      <c r="DY602" s="573"/>
      <c r="DZ602" s="573"/>
    </row>
    <row r="603" spans="1:130" ht="12" hidden="1" customHeight="1" outlineLevel="1">
      <c r="A603" s="552" t="s">
        <v>1150</v>
      </c>
      <c r="B603" s="228"/>
      <c r="C603" s="228"/>
      <c r="D603" s="625"/>
      <c r="E603" s="626"/>
      <c r="F603" s="626"/>
      <c r="G603" s="626"/>
      <c r="H603" s="788"/>
      <c r="I603" s="626"/>
      <c r="J603" s="626"/>
      <c r="K603" s="626"/>
      <c r="L603" s="626"/>
      <c r="M603" s="788"/>
      <c r="N603" s="626"/>
      <c r="O603" s="626"/>
      <c r="P603" s="626"/>
      <c r="Q603" s="626"/>
      <c r="R603" s="788"/>
      <c r="S603" s="626"/>
      <c r="T603" s="626"/>
      <c r="U603" s="626"/>
      <c r="V603" s="626"/>
      <c r="W603" s="788"/>
      <c r="X603" s="626"/>
      <c r="Y603" s="626"/>
      <c r="Z603" s="626"/>
      <c r="AA603" s="626"/>
      <c r="AB603" s="788"/>
      <c r="AC603" s="626"/>
      <c r="AD603" s="626"/>
      <c r="AE603" s="626"/>
      <c r="AF603" s="626"/>
      <c r="AG603" s="788"/>
      <c r="AH603" s="626"/>
      <c r="AI603" s="626"/>
      <c r="AJ603" s="626"/>
      <c r="AK603" s="626"/>
      <c r="AL603" s="788"/>
      <c r="AM603" s="626">
        <f t="shared" ref="AM603:BL603" si="1320">+AM605*1000/AM601</f>
        <v>101.95399598982783</v>
      </c>
      <c r="AN603" s="626">
        <f t="shared" si="1320"/>
        <v>59.491724911869518</v>
      </c>
      <c r="AO603" s="626">
        <f t="shared" si="1320"/>
        <v>59.004899752360352</v>
      </c>
      <c r="AP603" s="626">
        <f t="shared" si="1320"/>
        <v>60.772644686740001</v>
      </c>
      <c r="AQ603" s="1950">
        <f t="shared" si="1320"/>
        <v>66.992845880232139</v>
      </c>
      <c r="AR603" s="626">
        <f t="shared" si="1320"/>
        <v>66.905438571673955</v>
      </c>
      <c r="AS603" s="626">
        <f t="shared" si="1320"/>
        <v>62.839766024238024</v>
      </c>
      <c r="AT603" s="626">
        <f t="shared" si="1320"/>
        <v>63.333134736942924</v>
      </c>
      <c r="AU603" s="626">
        <f t="shared" si="1320"/>
        <v>61.710693202589908</v>
      </c>
      <c r="AV603" s="1950">
        <f t="shared" si="1320"/>
        <v>63.742037705115642</v>
      </c>
      <c r="AW603" s="626">
        <f t="shared" si="1320"/>
        <v>67.975585376931349</v>
      </c>
      <c r="AX603" s="626">
        <f t="shared" si="1320"/>
        <v>64.536131666630382</v>
      </c>
      <c r="AY603" s="626">
        <f t="shared" si="1320"/>
        <v>63.424687767753653</v>
      </c>
      <c r="AZ603" s="626">
        <f t="shared" si="1320"/>
        <v>66.010578600457436</v>
      </c>
      <c r="BA603" s="1950">
        <f t="shared" si="1320"/>
        <v>65.466294764601457</v>
      </c>
      <c r="BB603" s="626">
        <f t="shared" si="1320"/>
        <v>71.038331541387834</v>
      </c>
      <c r="BC603" s="626">
        <f t="shared" si="1320"/>
        <v>71.337019946366837</v>
      </c>
      <c r="BD603" s="626">
        <f>+BD605*1000/BD601</f>
        <v>71.012651634485508</v>
      </c>
      <c r="BE603" s="626">
        <f t="shared" si="1320"/>
        <v>72.544482982571253</v>
      </c>
      <c r="BF603" s="1950">
        <f t="shared" si="1320"/>
        <v>71.469327147667315</v>
      </c>
      <c r="BG603" s="626">
        <f>+BG605*1000/BG601</f>
        <v>76.619230090581325</v>
      </c>
      <c r="BH603" s="626">
        <f t="shared" si="1320"/>
        <v>71.317888883938508</v>
      </c>
      <c r="BI603" s="626">
        <f t="shared" si="1320"/>
        <v>69.243282247196717</v>
      </c>
      <c r="BJ603" s="1893">
        <f t="shared" si="1320"/>
        <v>67.479475406600471</v>
      </c>
      <c r="BK603" s="1950">
        <f t="shared" si="1320"/>
        <v>71.166239119967997</v>
      </c>
      <c r="BL603" s="626">
        <f t="shared" si="1320"/>
        <v>75.731303684853629</v>
      </c>
      <c r="BM603" s="626">
        <f t="shared" ref="BM603" si="1321">+BM605*1000/BM601</f>
        <v>73.885390050385126</v>
      </c>
      <c r="BN603" s="626"/>
      <c r="BO603" s="1893"/>
      <c r="BP603" s="1950"/>
      <c r="BQ603" s="626"/>
      <c r="BR603" s="626"/>
      <c r="BS603" s="626"/>
      <c r="BT603" s="1893"/>
      <c r="BU603" s="3406"/>
      <c r="BV603" s="626"/>
      <c r="BW603" s="626"/>
      <c r="BX603" s="626"/>
      <c r="BY603" s="1893"/>
      <c r="BZ603" s="1950"/>
      <c r="CA603" s="1950"/>
      <c r="CB603" s="1950"/>
      <c r="CC603" s="1950"/>
      <c r="CD603" s="1950"/>
      <c r="CE603" s="1950"/>
      <c r="CF603" s="1950"/>
      <c r="CG603" s="1950"/>
      <c r="CH603" s="626"/>
      <c r="CI603" s="626"/>
      <c r="CJ603" s="626"/>
      <c r="CK603" s="626"/>
      <c r="CL603" s="626"/>
      <c r="CM603" s="626"/>
      <c r="CN603" s="626"/>
      <c r="CO603" s="626"/>
      <c r="CP603" s="994"/>
      <c r="CQ603" s="626"/>
      <c r="CR603" s="626"/>
      <c r="CS603" s="626"/>
      <c r="CT603" s="626"/>
      <c r="CU603" s="626"/>
      <c r="CV603" s="626"/>
      <c r="CW603" s="626"/>
      <c r="CX603" s="626"/>
      <c r="CY603" s="626"/>
      <c r="CZ603" s="626"/>
      <c r="DA603" s="626"/>
      <c r="DB603" s="626"/>
      <c r="DC603" s="626"/>
      <c r="DD603" s="626"/>
      <c r="DE603" s="626"/>
      <c r="DF603" s="626"/>
      <c r="DG603" s="1893"/>
      <c r="DH603" s="632"/>
      <c r="DI603" s="595"/>
      <c r="DJ603" s="595"/>
      <c r="DK603" s="595"/>
      <c r="DL603" s="595"/>
      <c r="DM603" s="595"/>
      <c r="DN603" s="514"/>
      <c r="DO603" s="77"/>
      <c r="DY603" s="1634"/>
      <c r="DZ603" s="1634"/>
    </row>
    <row r="604" spans="1:130" ht="12" hidden="1" customHeight="1" outlineLevel="1">
      <c r="A604" s="552"/>
      <c r="B604" s="228"/>
      <c r="C604" s="228"/>
      <c r="D604" s="625"/>
      <c r="E604" s="626"/>
      <c r="F604" s="626"/>
      <c r="G604" s="626"/>
      <c r="H604" s="788"/>
      <c r="I604" s="626"/>
      <c r="J604" s="626"/>
      <c r="K604" s="626"/>
      <c r="L604" s="626"/>
      <c r="M604" s="788"/>
      <c r="N604" s="626"/>
      <c r="O604" s="626"/>
      <c r="P604" s="626"/>
      <c r="Q604" s="626"/>
      <c r="R604" s="788"/>
      <c r="S604" s="626"/>
      <c r="T604" s="626"/>
      <c r="U604" s="626"/>
      <c r="V604" s="626"/>
      <c r="W604" s="788"/>
      <c r="X604" s="626"/>
      <c r="Y604" s="626"/>
      <c r="Z604" s="626"/>
      <c r="AA604" s="626"/>
      <c r="AB604" s="788"/>
      <c r="AC604" s="626"/>
      <c r="AD604" s="626"/>
      <c r="AE604" s="626"/>
      <c r="AF604" s="626"/>
      <c r="AG604" s="788"/>
      <c r="AH604" s="626"/>
      <c r="AI604" s="626"/>
      <c r="AJ604" s="626"/>
      <c r="AK604" s="626"/>
      <c r="AL604" s="788"/>
      <c r="AM604" s="626"/>
      <c r="AN604" s="261"/>
      <c r="AO604" s="626"/>
      <c r="AP604" s="330"/>
      <c r="AQ604" s="1439"/>
      <c r="AR604" s="330"/>
      <c r="AS604" s="330"/>
      <c r="AT604" s="330"/>
      <c r="AU604" s="626"/>
      <c r="AV604" s="1951"/>
      <c r="AW604" s="626"/>
      <c r="AX604" s="261"/>
      <c r="AY604" s="626"/>
      <c r="AZ604" s="626"/>
      <c r="BA604" s="1439"/>
      <c r="BB604" s="626"/>
      <c r="BC604" s="261"/>
      <c r="BD604" s="626"/>
      <c r="BE604" s="626"/>
      <c r="BF604" s="1439"/>
      <c r="BG604" s="678"/>
      <c r="BH604" s="330"/>
      <c r="BI604" s="330"/>
      <c r="BJ604" s="2136"/>
      <c r="BK604" s="1439"/>
      <c r="BL604" s="330"/>
      <c r="BM604" s="330"/>
      <c r="BN604" s="330"/>
      <c r="BO604" s="2136"/>
      <c r="BP604" s="1439"/>
      <c r="BQ604" s="330"/>
      <c r="BR604" s="330"/>
      <c r="BS604" s="330"/>
      <c r="BT604" s="2136"/>
      <c r="BU604" s="3406"/>
      <c r="BV604" s="330"/>
      <c r="BW604" s="330"/>
      <c r="BX604" s="330"/>
      <c r="BY604" s="2136"/>
      <c r="BZ604" s="1439"/>
      <c r="CA604" s="1439"/>
      <c r="CB604" s="1439"/>
      <c r="CC604" s="1439"/>
      <c r="CD604" s="1439"/>
      <c r="CE604" s="1439"/>
      <c r="CF604" s="1439"/>
      <c r="CG604" s="1439"/>
      <c r="CH604" s="626"/>
      <c r="CI604" s="626"/>
      <c r="CJ604" s="626"/>
      <c r="CK604" s="626"/>
      <c r="CL604" s="626"/>
      <c r="CM604" s="626"/>
      <c r="CN604" s="626"/>
      <c r="CO604" s="626"/>
      <c r="CP604" s="994"/>
      <c r="CQ604" s="626"/>
      <c r="CR604" s="626"/>
      <c r="CS604" s="626"/>
      <c r="CT604" s="626"/>
      <c r="CU604" s="626"/>
      <c r="CV604" s="626"/>
      <c r="CW604" s="626"/>
      <c r="CX604" s="626"/>
      <c r="CY604" s="626"/>
      <c r="CZ604" s="626"/>
      <c r="DA604" s="626"/>
      <c r="DB604" s="626"/>
      <c r="DC604" s="626"/>
      <c r="DD604" s="626"/>
      <c r="DE604" s="626"/>
      <c r="DF604" s="626"/>
      <c r="DG604" s="1893"/>
      <c r="DH604" s="632"/>
      <c r="DI604" s="595"/>
      <c r="DJ604" s="595"/>
      <c r="DK604" s="595"/>
      <c r="DL604" s="595"/>
      <c r="DM604" s="595"/>
      <c r="DN604" s="514"/>
      <c r="DO604" s="77"/>
      <c r="DY604" s="330"/>
      <c r="DZ604" s="330"/>
    </row>
    <row r="605" spans="1:130" ht="12" hidden="1" customHeight="1" outlineLevel="1">
      <c r="A605" s="552" t="s">
        <v>1661</v>
      </c>
      <c r="B605" s="228"/>
      <c r="C605" s="228"/>
      <c r="D605" s="625"/>
      <c r="E605" s="626"/>
      <c r="F605" s="626"/>
      <c r="G605" s="626"/>
      <c r="H605" s="788"/>
      <c r="I605" s="626"/>
      <c r="J605" s="626"/>
      <c r="K605" s="626"/>
      <c r="L605" s="626"/>
      <c r="M605" s="788"/>
      <c r="N605" s="626"/>
      <c r="O605" s="626"/>
      <c r="P605" s="626"/>
      <c r="Q605" s="626"/>
      <c r="R605" s="788"/>
      <c r="S605" s="626"/>
      <c r="T605" s="626"/>
      <c r="U605" s="626"/>
      <c r="V605" s="626"/>
      <c r="W605" s="788"/>
      <c r="X605" s="626"/>
      <c r="Y605" s="626"/>
      <c r="Z605" s="626"/>
      <c r="AA605" s="626"/>
      <c r="AB605" s="788"/>
      <c r="AC605" s="626"/>
      <c r="AD605" s="626"/>
      <c r="AE605" s="626"/>
      <c r="AF605" s="626"/>
      <c r="AG605" s="788"/>
      <c r="AH605" s="626"/>
      <c r="AI605" s="626"/>
      <c r="AJ605" s="626"/>
      <c r="AK605" s="626"/>
      <c r="AL605" s="788"/>
      <c r="AM605" s="330">
        <v>25.017063719999996</v>
      </c>
      <c r="AN605" s="330">
        <v>24.571510189999998</v>
      </c>
      <c r="AO605" s="330">
        <v>23.517169859999999</v>
      </c>
      <c r="AP605" s="330">
        <v>22.440055959999999</v>
      </c>
      <c r="AQ605" s="1950">
        <f>+SUM(AM605:AP605)</f>
        <v>95.545799729999985</v>
      </c>
      <c r="AR605" s="330">
        <v>26.4862574</v>
      </c>
      <c r="AS605" s="330">
        <v>25.122395860000001</v>
      </c>
      <c r="AT605" s="330">
        <v>23.806165350000001</v>
      </c>
      <c r="AU605" s="330">
        <v>22.416779569999999</v>
      </c>
      <c r="AV605" s="1950">
        <f>+SUM(AR605:AU605)</f>
        <v>97.83159818</v>
      </c>
      <c r="AW605" s="330">
        <v>24.096053480000002</v>
      </c>
      <c r="AX605" s="330">
        <v>23.707477040000001</v>
      </c>
      <c r="AY605" s="330">
        <v>22.65136614</v>
      </c>
      <c r="AZ605" s="330">
        <v>21.992480430000001</v>
      </c>
      <c r="BA605" s="1950">
        <f>+SUM(AW605:AZ605)</f>
        <v>92.447377090000003</v>
      </c>
      <c r="BB605" s="330">
        <v>23.32337605</v>
      </c>
      <c r="BC605" s="330">
        <v>23.196801449999999</v>
      </c>
      <c r="BD605" s="330">
        <v>21.503838130000002</v>
      </c>
      <c r="BE605" s="330">
        <v>21.781553559999999</v>
      </c>
      <c r="BF605" s="1950">
        <f>+SUM(BB605:BE605)</f>
        <v>89.80556919</v>
      </c>
      <c r="BG605" s="3118">
        <v>24.05629291</v>
      </c>
      <c r="BH605" s="3117">
        <v>24.01095024</v>
      </c>
      <c r="BI605" s="3117">
        <v>21.786152380000001</v>
      </c>
      <c r="BJ605" s="3117">
        <v>21.19726013</v>
      </c>
      <c r="BK605" s="1950">
        <f>+SUM(BG605:BJ605)</f>
        <v>91.050655660000004</v>
      </c>
      <c r="BL605" s="3117">
        <v>22.49833143</v>
      </c>
      <c r="BM605" s="3117">
        <v>21.68824351</v>
      </c>
      <c r="BN605" s="3117"/>
      <c r="BO605" s="1893"/>
      <c r="BP605" s="1950"/>
      <c r="BQ605" s="626"/>
      <c r="BR605" s="626"/>
      <c r="BS605" s="626"/>
      <c r="BT605" s="1893"/>
      <c r="BU605" s="3406"/>
      <c r="BV605" s="626"/>
      <c r="BW605" s="626"/>
      <c r="BX605" s="626"/>
      <c r="BY605" s="1893"/>
      <c r="BZ605" s="1950"/>
      <c r="CA605" s="1950"/>
      <c r="CB605" s="1950"/>
      <c r="CC605" s="1950"/>
      <c r="CD605" s="1950"/>
      <c r="CE605" s="1950"/>
      <c r="CF605" s="1950"/>
      <c r="CG605" s="1950"/>
      <c r="CH605" s="626"/>
      <c r="CI605" s="626"/>
      <c r="CJ605" s="626"/>
      <c r="CK605" s="626"/>
      <c r="CL605" s="626"/>
      <c r="CM605" s="626"/>
      <c r="CN605" s="626"/>
      <c r="CO605" s="626"/>
      <c r="CP605" s="994"/>
      <c r="CQ605" s="626"/>
      <c r="CR605" s="626"/>
      <c r="CS605" s="626"/>
      <c r="CT605" s="626"/>
      <c r="CU605" s="626"/>
      <c r="CV605" s="626"/>
      <c r="CW605" s="626"/>
      <c r="CX605" s="626"/>
      <c r="CY605" s="626"/>
      <c r="CZ605" s="626"/>
      <c r="DA605" s="626"/>
      <c r="DB605" s="626"/>
      <c r="DC605" s="626"/>
      <c r="DD605" s="626"/>
      <c r="DE605" s="626"/>
      <c r="DF605" s="626"/>
      <c r="DG605" s="1893"/>
      <c r="DH605" s="632"/>
      <c r="DI605" s="595"/>
      <c r="DJ605" s="595"/>
      <c r="DK605" s="595"/>
      <c r="DL605" s="595"/>
      <c r="DM605" s="595"/>
      <c r="DN605" s="514"/>
      <c r="DO605" s="77"/>
      <c r="DY605" s="1634"/>
      <c r="DZ605" s="1634"/>
    </row>
    <row r="606" spans="1:130" ht="12" hidden="1" customHeight="1" outlineLevel="1">
      <c r="A606" s="552" t="s">
        <v>1662</v>
      </c>
      <c r="B606" s="228"/>
      <c r="C606" s="228"/>
      <c r="D606" s="625"/>
      <c r="E606" s="626"/>
      <c r="F606" s="626"/>
      <c r="G606" s="626"/>
      <c r="H606" s="788"/>
      <c r="I606" s="626"/>
      <c r="J606" s="626"/>
      <c r="K606" s="626"/>
      <c r="L606" s="626"/>
      <c r="M606" s="788"/>
      <c r="N606" s="626"/>
      <c r="O606" s="626"/>
      <c r="P606" s="626"/>
      <c r="Q606" s="626"/>
      <c r="R606" s="788"/>
      <c r="S606" s="626"/>
      <c r="T606" s="626"/>
      <c r="U606" s="626"/>
      <c r="V606" s="626"/>
      <c r="W606" s="788"/>
      <c r="X606" s="626"/>
      <c r="Y606" s="626"/>
      <c r="Z606" s="626"/>
      <c r="AA606" s="626"/>
      <c r="AB606" s="788"/>
      <c r="AC606" s="626"/>
      <c r="AD606" s="626"/>
      <c r="AE606" s="626"/>
      <c r="AF606" s="626"/>
      <c r="AG606" s="788"/>
      <c r="AH606" s="626"/>
      <c r="AI606" s="626"/>
      <c r="AJ606" s="626"/>
      <c r="AK606" s="626"/>
      <c r="AL606" s="788"/>
      <c r="AM606" s="626">
        <f>+AM608-AM605</f>
        <v>3.6009362800000027</v>
      </c>
      <c r="AN606" s="626">
        <f>+AN608-AN605</f>
        <v>6.8634898100000008</v>
      </c>
      <c r="AO606" s="626">
        <f>+AO608-AO605</f>
        <v>5.2818301400000003</v>
      </c>
      <c r="AP606" s="626">
        <f>+AP608-AP605</f>
        <v>4.1459440399999998</v>
      </c>
      <c r="AQ606" s="1950">
        <f>+SUM(AM606:AP606)</f>
        <v>19.892200270000004</v>
      </c>
      <c r="AR606" s="626">
        <f>+AR608-AR605</f>
        <v>3.6057425999999992</v>
      </c>
      <c r="AS606" s="626">
        <f>+AS608-AS605</f>
        <v>6.924604139999996</v>
      </c>
      <c r="AT606" s="626">
        <f>+AT608-AT605</f>
        <v>5.4988346499999992</v>
      </c>
      <c r="AU606" s="626">
        <f>+AP606</f>
        <v>4.1459440399999998</v>
      </c>
      <c r="AV606" s="1950">
        <f>+SUM(AR606:AU606)</f>
        <v>20.175125429999994</v>
      </c>
      <c r="AW606" s="626">
        <f>+AR606</f>
        <v>3.6057425999999992</v>
      </c>
      <c r="AX606" s="626">
        <f>+AS606</f>
        <v>6.924604139999996</v>
      </c>
      <c r="AY606" s="626">
        <f>+AT606</f>
        <v>5.4988346499999992</v>
      </c>
      <c r="AZ606" s="626">
        <f>+AU606</f>
        <v>4.1459440399999998</v>
      </c>
      <c r="BA606" s="1950">
        <f>+SUM(AW606:AZ606)</f>
        <v>20.175125429999994</v>
      </c>
      <c r="BB606" s="626">
        <f>+AW606</f>
        <v>3.6057425999999992</v>
      </c>
      <c r="BC606" s="626">
        <f>+AX606</f>
        <v>6.924604139999996</v>
      </c>
      <c r="BD606" s="626">
        <f>+AY606</f>
        <v>5.4988346499999992</v>
      </c>
      <c r="BE606" s="626">
        <f>+AZ606</f>
        <v>4.1459440399999998</v>
      </c>
      <c r="BF606" s="1950">
        <f>+SUM(BB606:BE606)</f>
        <v>20.175125429999994</v>
      </c>
      <c r="BG606" s="625">
        <f>+BB606</f>
        <v>3.6057425999999992</v>
      </c>
      <c r="BH606" s="626">
        <f>+BC606</f>
        <v>6.924604139999996</v>
      </c>
      <c r="BI606" s="626">
        <f>+BD606</f>
        <v>5.4988346499999992</v>
      </c>
      <c r="BJ606" s="1893">
        <f>+BE606</f>
        <v>4.1459440399999998</v>
      </c>
      <c r="BK606" s="1950">
        <f>+SUM(BG606:BJ606)</f>
        <v>20.175125429999994</v>
      </c>
      <c r="BL606" s="626">
        <f>+BG606</f>
        <v>3.6057425999999992</v>
      </c>
      <c r="BM606" s="626">
        <f>+BH606</f>
        <v>6.924604139999996</v>
      </c>
      <c r="BN606" s="626"/>
      <c r="BO606" s="1893"/>
      <c r="BP606" s="1950"/>
      <c r="BQ606" s="626"/>
      <c r="BR606" s="626"/>
      <c r="BS606" s="626"/>
      <c r="BT606" s="1893"/>
      <c r="BU606" s="3406"/>
      <c r="BV606" s="626"/>
      <c r="BW606" s="626"/>
      <c r="BX606" s="626"/>
      <c r="BY606" s="1893"/>
      <c r="BZ606" s="1950"/>
      <c r="CA606" s="1950"/>
      <c r="CB606" s="1950"/>
      <c r="CC606" s="1950"/>
      <c r="CD606" s="1950"/>
      <c r="CE606" s="1950"/>
      <c r="CF606" s="1950"/>
      <c r="CG606" s="1950"/>
      <c r="CH606" s="626"/>
      <c r="CI606" s="626"/>
      <c r="CJ606" s="626"/>
      <c r="CK606" s="626"/>
      <c r="CL606" s="626"/>
      <c r="CM606" s="626"/>
      <c r="CN606" s="626"/>
      <c r="CO606" s="626"/>
      <c r="CP606" s="994"/>
      <c r="CQ606" s="626"/>
      <c r="CR606" s="626"/>
      <c r="CS606" s="626"/>
      <c r="CT606" s="626"/>
      <c r="CU606" s="626"/>
      <c r="CV606" s="626"/>
      <c r="CW606" s="626"/>
      <c r="CX606" s="626"/>
      <c r="CY606" s="626"/>
      <c r="CZ606" s="626"/>
      <c r="DA606" s="626"/>
      <c r="DB606" s="626"/>
      <c r="DC606" s="626"/>
      <c r="DD606" s="626"/>
      <c r="DE606" s="626"/>
      <c r="DF606" s="626"/>
      <c r="DG606" s="1893"/>
      <c r="DH606" s="632"/>
      <c r="DI606" s="595"/>
      <c r="DJ606" s="595"/>
      <c r="DK606" s="595"/>
      <c r="DL606" s="595"/>
      <c r="DM606" s="595"/>
      <c r="DN606" s="514"/>
      <c r="DO606" s="77"/>
      <c r="DY606" s="1634"/>
      <c r="DZ606" s="1634"/>
    </row>
    <row r="607" spans="1:130" ht="4.5" hidden="1" customHeight="1" outlineLevel="1">
      <c r="A607" s="962"/>
      <c r="B607" s="293"/>
      <c r="C607" s="293"/>
      <c r="D607" s="294" t="s">
        <v>343</v>
      </c>
      <c r="E607" s="295" t="s">
        <v>343</v>
      </c>
      <c r="F607" s="295" t="s">
        <v>343</v>
      </c>
      <c r="G607" s="295" t="s">
        <v>343</v>
      </c>
      <c r="H607" s="296" t="s">
        <v>343</v>
      </c>
      <c r="I607" s="295" t="s">
        <v>343</v>
      </c>
      <c r="J607" s="295" t="s">
        <v>343</v>
      </c>
      <c r="K607" s="295" t="s">
        <v>343</v>
      </c>
      <c r="L607" s="295" t="s">
        <v>343</v>
      </c>
      <c r="M607" s="296" t="s">
        <v>343</v>
      </c>
      <c r="N607" s="295" t="s">
        <v>343</v>
      </c>
      <c r="O607" s="295" t="s">
        <v>343</v>
      </c>
      <c r="P607" s="295" t="s">
        <v>343</v>
      </c>
      <c r="Q607" s="295" t="s">
        <v>343</v>
      </c>
      <c r="R607" s="296" t="s">
        <v>343</v>
      </c>
      <c r="S607" s="295" t="s">
        <v>343</v>
      </c>
      <c r="T607" s="295" t="s">
        <v>343</v>
      </c>
      <c r="U607" s="295" t="s">
        <v>343</v>
      </c>
      <c r="V607" s="295" t="s">
        <v>343</v>
      </c>
      <c r="W607" s="296" t="s">
        <v>343</v>
      </c>
      <c r="X607" s="295" t="s">
        <v>343</v>
      </c>
      <c r="Y607" s="295" t="s">
        <v>343</v>
      </c>
      <c r="Z607" s="295" t="s">
        <v>343</v>
      </c>
      <c r="AA607" s="295" t="s">
        <v>343</v>
      </c>
      <c r="AB607" s="296" t="s">
        <v>343</v>
      </c>
      <c r="AC607" s="295" t="s">
        <v>343</v>
      </c>
      <c r="AD607" s="295" t="s">
        <v>343</v>
      </c>
      <c r="AE607" s="295" t="s">
        <v>343</v>
      </c>
      <c r="AF607" s="295" t="s">
        <v>343</v>
      </c>
      <c r="AG607" s="296" t="s">
        <v>343</v>
      </c>
      <c r="AH607" s="295" t="s">
        <v>343</v>
      </c>
      <c r="AI607" s="295" t="s">
        <v>343</v>
      </c>
      <c r="AJ607" s="295" t="s">
        <v>343</v>
      </c>
      <c r="AK607" s="295" t="s">
        <v>343</v>
      </c>
      <c r="AL607" s="296" t="s">
        <v>343</v>
      </c>
      <c r="AM607" s="295" t="s">
        <v>343</v>
      </c>
      <c r="AN607" s="295" t="s">
        <v>343</v>
      </c>
      <c r="AO607" s="295" t="s">
        <v>343</v>
      </c>
      <c r="AP607" s="295" t="s">
        <v>343</v>
      </c>
      <c r="AQ607" s="296" t="s">
        <v>343</v>
      </c>
      <c r="AR607" s="295" t="s">
        <v>343</v>
      </c>
      <c r="AS607" s="295" t="s">
        <v>343</v>
      </c>
      <c r="AT607" s="295" t="s">
        <v>343</v>
      </c>
      <c r="AU607" s="295" t="s">
        <v>343</v>
      </c>
      <c r="AV607" s="296" t="s">
        <v>343</v>
      </c>
      <c r="AW607" s="295" t="s">
        <v>343</v>
      </c>
      <c r="AX607" s="295" t="s">
        <v>343</v>
      </c>
      <c r="AY607" s="295" t="s">
        <v>343</v>
      </c>
      <c r="AZ607" s="295" t="s">
        <v>343</v>
      </c>
      <c r="BA607" s="296" t="s">
        <v>343</v>
      </c>
      <c r="BB607" s="295" t="s">
        <v>343</v>
      </c>
      <c r="BC607" s="295" t="s">
        <v>343</v>
      </c>
      <c r="BD607" s="295" t="s">
        <v>343</v>
      </c>
      <c r="BE607" s="295" t="s">
        <v>343</v>
      </c>
      <c r="BF607" s="296" t="s">
        <v>343</v>
      </c>
      <c r="BG607" s="294" t="s">
        <v>343</v>
      </c>
      <c r="BH607" s="295" t="s">
        <v>343</v>
      </c>
      <c r="BI607" s="295" t="s">
        <v>343</v>
      </c>
      <c r="BJ607" s="297" t="s">
        <v>343</v>
      </c>
      <c r="BK607" s="296" t="s">
        <v>343</v>
      </c>
      <c r="BL607" s="295" t="s">
        <v>343</v>
      </c>
      <c r="BM607" s="295" t="s">
        <v>343</v>
      </c>
      <c r="BN607" s="295"/>
      <c r="BO607" s="297"/>
      <c r="BP607" s="296"/>
      <c r="BQ607" s="295"/>
      <c r="BR607" s="295"/>
      <c r="BS607" s="295"/>
      <c r="BT607" s="297"/>
      <c r="BU607" s="3314"/>
      <c r="BV607" s="295"/>
      <c r="BW607" s="295"/>
      <c r="BX607" s="295"/>
      <c r="BY607" s="297"/>
      <c r="BZ607" s="297"/>
      <c r="CA607" s="297"/>
      <c r="CB607" s="297"/>
      <c r="CC607" s="297"/>
      <c r="CD607" s="297"/>
      <c r="CE607" s="297"/>
      <c r="CF607" s="297"/>
      <c r="CG607" s="297"/>
      <c r="CH607" s="295"/>
      <c r="CI607" s="295"/>
      <c r="CJ607" s="295"/>
      <c r="CK607" s="295"/>
      <c r="CL607" s="295"/>
      <c r="CM607" s="295"/>
      <c r="CN607" s="295"/>
      <c r="CO607" s="295"/>
      <c r="CP607" s="1784"/>
      <c r="CQ607" s="295" t="str">
        <f>H607</f>
        <v xml:space="preserve">                </v>
      </c>
      <c r="CR607" s="295" t="str">
        <f>M607</f>
        <v xml:space="preserve">                </v>
      </c>
      <c r="CS607" s="295" t="str">
        <f>R607</f>
        <v xml:space="preserve">                </v>
      </c>
      <c r="CT607" s="295" t="str">
        <f>W607</f>
        <v xml:space="preserve">                </v>
      </c>
      <c r="CU607" s="295" t="str">
        <f>AB607</f>
        <v xml:space="preserve">                </v>
      </c>
      <c r="CV607" s="295" t="str">
        <f>AG607</f>
        <v xml:space="preserve">                </v>
      </c>
      <c r="CW607" s="295" t="str">
        <f>AL607</f>
        <v xml:space="preserve">                </v>
      </c>
      <c r="CX607" s="295" t="str">
        <f>AQ607</f>
        <v xml:space="preserve">                </v>
      </c>
      <c r="CY607" s="295" t="str">
        <f>AV607</f>
        <v xml:space="preserve">                </v>
      </c>
      <c r="CZ607" s="295" t="str">
        <f>BA607</f>
        <v xml:space="preserve">                </v>
      </c>
      <c r="DA607" s="295" t="str">
        <f>BF607</f>
        <v xml:space="preserve">                </v>
      </c>
      <c r="DB607" s="295" t="str">
        <f>BK607</f>
        <v xml:space="preserve">                </v>
      </c>
      <c r="DC607" s="295">
        <f>BP607</f>
        <v>0</v>
      </c>
      <c r="DD607" s="295">
        <f>BU607</f>
        <v>0</v>
      </c>
      <c r="DE607" s="295">
        <f>BZ607</f>
        <v>0</v>
      </c>
      <c r="DF607" s="295">
        <f>CA607</f>
        <v>0</v>
      </c>
      <c r="DG607" s="297">
        <f>CB607</f>
        <v>0</v>
      </c>
      <c r="DH607" s="298"/>
      <c r="DI607" s="299"/>
      <c r="DJ607" s="299"/>
      <c r="DK607" s="299"/>
      <c r="DL607" s="299"/>
      <c r="DM607" s="299"/>
      <c r="DN607" s="299"/>
      <c r="DO607" s="300"/>
      <c r="DY607" s="295"/>
      <c r="DZ607" s="295"/>
    </row>
    <row r="608" spans="1:130" ht="12" hidden="1" customHeight="1" outlineLevel="1">
      <c r="A608" s="228" t="s">
        <v>741</v>
      </c>
      <c r="B608" s="228"/>
      <c r="C608" s="228"/>
      <c r="D608" s="625"/>
      <c r="E608" s="626"/>
      <c r="F608" s="626"/>
      <c r="G608" s="626"/>
      <c r="H608" s="788"/>
      <c r="I608" s="626"/>
      <c r="J608" s="626"/>
      <c r="K608" s="626"/>
      <c r="L608" s="626"/>
      <c r="M608" s="788"/>
      <c r="N608" s="626"/>
      <c r="O608" s="626"/>
      <c r="P608" s="626"/>
      <c r="Q608" s="626"/>
      <c r="R608" s="788"/>
      <c r="S608" s="626"/>
      <c r="T608" s="626"/>
      <c r="U608" s="626"/>
      <c r="V608" s="626"/>
      <c r="W608" s="788"/>
      <c r="X608" s="626"/>
      <c r="Y608" s="626"/>
      <c r="Z608" s="626"/>
      <c r="AA608" s="626"/>
      <c r="AB608" s="788"/>
      <c r="AC608" s="626"/>
      <c r="AD608" s="626"/>
      <c r="AE608" s="626"/>
      <c r="AF608" s="626"/>
      <c r="AG608" s="788"/>
      <c r="AH608" s="626"/>
      <c r="AI608" s="626"/>
      <c r="AJ608" s="626"/>
      <c r="AK608" s="626"/>
      <c r="AL608" s="788"/>
      <c r="AM608" s="554">
        <v>28.617999999999999</v>
      </c>
      <c r="AN608" s="554">
        <v>31.434999999999999</v>
      </c>
      <c r="AO608" s="554">
        <v>28.798999999999999</v>
      </c>
      <c r="AP608" s="554">
        <v>26.585999999999999</v>
      </c>
      <c r="AQ608" s="556">
        <f>+SUM(AM608:AP608)</f>
        <v>115.438</v>
      </c>
      <c r="AR608" s="554">
        <v>30.091999999999999</v>
      </c>
      <c r="AS608" s="554">
        <v>32.046999999999997</v>
      </c>
      <c r="AT608" s="554">
        <v>29.305</v>
      </c>
      <c r="AU608" s="1978">
        <f>+AU605+AU606</f>
        <v>26.562723609999999</v>
      </c>
      <c r="AV608" s="556">
        <f>+SUM(AR608:AU608)</f>
        <v>118.00672360999999</v>
      </c>
      <c r="AW608" s="557">
        <f>+AW605+AW606</f>
        <v>27.701796080000001</v>
      </c>
      <c r="AX608" s="557">
        <f>+AX605+AX606</f>
        <v>30.632081179999997</v>
      </c>
      <c r="AY608" s="557">
        <f>+AY605+AY606</f>
        <v>28.15020079</v>
      </c>
      <c r="AZ608" s="557">
        <f>+AZ605+AZ606</f>
        <v>26.13842447</v>
      </c>
      <c r="BA608" s="556">
        <f>+SUM(AW608:AZ608)</f>
        <v>112.62250252</v>
      </c>
      <c r="BB608" s="557">
        <f>+BB605+BB606</f>
        <v>26.929118649999999</v>
      </c>
      <c r="BC608" s="557">
        <f>+BC605+BC606</f>
        <v>30.121405589999995</v>
      </c>
      <c r="BD608" s="557">
        <f>+BD605+BD606</f>
        <v>27.002672780000001</v>
      </c>
      <c r="BE608" s="557">
        <f>+BE605+BE606</f>
        <v>25.927497599999999</v>
      </c>
      <c r="BF608" s="556">
        <f>+SUM(BB608:BE608)</f>
        <v>109.98069461999999</v>
      </c>
      <c r="BG608" s="557">
        <f>+BG605+BG606</f>
        <v>27.662035509999999</v>
      </c>
      <c r="BH608" s="557">
        <f>+BH605+BH606</f>
        <v>30.935554379999996</v>
      </c>
      <c r="BI608" s="557">
        <f>+BI605+BI606</f>
        <v>27.28498703</v>
      </c>
      <c r="BJ608" s="1848">
        <f>+BJ605+BJ606</f>
        <v>25.34320417</v>
      </c>
      <c r="BK608" s="556">
        <f>+SUM(BG608:BJ608)</f>
        <v>111.22578109</v>
      </c>
      <c r="BL608" s="557">
        <f>+BL605+BL606</f>
        <v>26.10407403</v>
      </c>
      <c r="BM608" s="557">
        <f>+BM605+BM606</f>
        <v>28.612847649999996</v>
      </c>
      <c r="BN608" s="557"/>
      <c r="BO608" s="1848"/>
      <c r="BP608" s="556"/>
      <c r="BQ608" s="557"/>
      <c r="BR608" s="557"/>
      <c r="BS608" s="557"/>
      <c r="BT608" s="1848"/>
      <c r="BU608" s="3372"/>
      <c r="BV608" s="557"/>
      <c r="BW608" s="557"/>
      <c r="BX608" s="557"/>
      <c r="BY608" s="1848"/>
      <c r="BZ608" s="556"/>
      <c r="CA608" s="556"/>
      <c r="CB608" s="556"/>
      <c r="CC608" s="556"/>
      <c r="CD608" s="556"/>
      <c r="CE608" s="556"/>
      <c r="CF608" s="556"/>
      <c r="CG608" s="556"/>
      <c r="CH608" s="626"/>
      <c r="CI608" s="626"/>
      <c r="CJ608" s="626"/>
      <c r="CK608" s="626"/>
      <c r="CL608" s="626"/>
      <c r="CM608" s="626"/>
      <c r="CN608" s="626"/>
      <c r="CO608" s="626"/>
      <c r="CP608" s="994"/>
      <c r="CQ608" s="626"/>
      <c r="CR608" s="626"/>
      <c r="CS608" s="626"/>
      <c r="CT608" s="626"/>
      <c r="CU608" s="626"/>
      <c r="CV608" s="626"/>
      <c r="CW608" s="626"/>
      <c r="CX608" s="626"/>
      <c r="CY608" s="626"/>
      <c r="CZ608" s="626"/>
      <c r="DA608" s="626"/>
      <c r="DB608" s="626"/>
      <c r="DC608" s="626"/>
      <c r="DD608" s="626"/>
      <c r="DE608" s="626"/>
      <c r="DF608" s="626"/>
      <c r="DG608" s="1893"/>
      <c r="DH608" s="632"/>
      <c r="DI608" s="595"/>
      <c r="DJ608" s="595"/>
      <c r="DK608" s="595"/>
      <c r="DL608" s="595"/>
      <c r="DM608" s="595"/>
      <c r="DN608" s="514"/>
      <c r="DO608" s="77"/>
      <c r="DY608" s="557"/>
      <c r="DZ608" s="557"/>
    </row>
    <row r="609" spans="1:130" ht="12" hidden="1" customHeight="1" outlineLevel="1">
      <c r="A609" s="567" t="s">
        <v>8</v>
      </c>
      <c r="B609" s="753"/>
      <c r="C609" s="753"/>
      <c r="D609" s="560"/>
      <c r="E609" s="561"/>
      <c r="F609" s="561"/>
      <c r="G609" s="561"/>
      <c r="H609" s="562"/>
      <c r="I609" s="561"/>
      <c r="J609" s="561"/>
      <c r="K609" s="561"/>
      <c r="L609" s="561"/>
      <c r="M609" s="562"/>
      <c r="N609" s="561"/>
      <c r="O609" s="561"/>
      <c r="P609" s="561"/>
      <c r="Q609" s="561"/>
      <c r="R609" s="562"/>
      <c r="S609" s="561"/>
      <c r="T609" s="561"/>
      <c r="U609" s="561"/>
      <c r="V609" s="561"/>
      <c r="W609" s="562"/>
      <c r="X609" s="561"/>
      <c r="Y609" s="561"/>
      <c r="Z609" s="561"/>
      <c r="AA609" s="561"/>
      <c r="AB609" s="562"/>
      <c r="AC609" s="561"/>
      <c r="AD609" s="561"/>
      <c r="AE609" s="561"/>
      <c r="AF609" s="561"/>
      <c r="AG609" s="562"/>
      <c r="AH609" s="561"/>
      <c r="AI609" s="561"/>
      <c r="AJ609" s="561"/>
      <c r="AK609" s="561"/>
      <c r="AL609" s="562"/>
      <c r="AM609" s="561"/>
      <c r="AN609" s="261"/>
      <c r="AO609" s="561"/>
      <c r="AP609" s="561"/>
      <c r="AQ609" s="562"/>
      <c r="AR609" s="561">
        <f t="shared" ref="AR609:BM609" si="1322">AR605/AM605-1</f>
        <v>5.8727662704294525E-2</v>
      </c>
      <c r="AS609" s="561">
        <f t="shared" si="1322"/>
        <v>2.2419691168359623E-2</v>
      </c>
      <c r="AT609" s="561">
        <f t="shared" si="1322"/>
        <v>1.2288701902500199E-2</v>
      </c>
      <c r="AU609" s="561">
        <f t="shared" si="1322"/>
        <v>-1.0372696949370042E-3</v>
      </c>
      <c r="AV609" s="562">
        <f t="shared" si="1322"/>
        <v>2.3923589068900908E-2</v>
      </c>
      <c r="AW609" s="561">
        <f t="shared" si="1322"/>
        <v>-9.0243173427741352E-2</v>
      </c>
      <c r="AX609" s="261">
        <f t="shared" si="1322"/>
        <v>-5.6321014440061434E-2</v>
      </c>
      <c r="AY609" s="261">
        <f t="shared" si="1322"/>
        <v>-4.8508409188210533E-2</v>
      </c>
      <c r="AZ609" s="261">
        <f t="shared" si="1322"/>
        <v>-1.8927747345467538E-2</v>
      </c>
      <c r="BA609" s="562">
        <f>+BA605/AV605-1</f>
        <v>-5.5035603937427124E-2</v>
      </c>
      <c r="BB609" s="561">
        <f t="shared" si="1322"/>
        <v>-3.2066555240729877E-2</v>
      </c>
      <c r="BC609" s="561">
        <f t="shared" si="1322"/>
        <v>-2.1540697440658674E-2</v>
      </c>
      <c r="BD609" s="561">
        <f t="shared" si="1322"/>
        <v>-5.0660432704479619E-2</v>
      </c>
      <c r="BE609" s="561">
        <f t="shared" si="1322"/>
        <v>-9.5908631439441949E-3</v>
      </c>
      <c r="BF609" s="562">
        <f>+BF605/BA605-1</f>
        <v>-2.8576342381548936E-2</v>
      </c>
      <c r="BG609" s="561">
        <f t="shared" si="1322"/>
        <v>3.142413252818943E-2</v>
      </c>
      <c r="BH609" s="561">
        <f t="shared" si="1322"/>
        <v>3.5097459093869965E-2</v>
      </c>
      <c r="BI609" s="561">
        <f t="shared" si="1322"/>
        <v>1.3128551670324562E-2</v>
      </c>
      <c r="BJ609" s="561">
        <f t="shared" si="1322"/>
        <v>-2.6825149472946896E-2</v>
      </c>
      <c r="BK609" s="862">
        <f>+BK605/BF605-1</f>
        <v>1.3864245627860816E-2</v>
      </c>
      <c r="BL609" s="860">
        <f t="shared" si="1322"/>
        <v>-6.4763157225790513E-2</v>
      </c>
      <c r="BM609" s="860">
        <f t="shared" si="1322"/>
        <v>-9.6735310630505111E-2</v>
      </c>
      <c r="BN609" s="860"/>
      <c r="BO609" s="866"/>
      <c r="BP609" s="862"/>
      <c r="BQ609" s="866"/>
      <c r="BR609" s="866"/>
      <c r="BS609" s="866"/>
      <c r="BT609" s="866"/>
      <c r="BU609" s="3407"/>
      <c r="BV609" s="866"/>
      <c r="BW609" s="866"/>
      <c r="BX609" s="866"/>
      <c r="BY609" s="866"/>
      <c r="BZ609" s="458"/>
      <c r="CA609" s="458"/>
      <c r="CB609" s="458"/>
      <c r="CC609" s="458"/>
      <c r="CD609" s="458"/>
      <c r="CE609" s="458"/>
      <c r="CF609" s="458"/>
      <c r="CG609" s="458"/>
      <c r="CH609" s="561"/>
      <c r="CI609" s="561"/>
      <c r="CJ609" s="561"/>
      <c r="CK609" s="561"/>
      <c r="CL609" s="561"/>
      <c r="CM609" s="561"/>
      <c r="CN609" s="561"/>
      <c r="CO609" s="561"/>
      <c r="CP609" s="2280"/>
      <c r="CQ609" s="561"/>
      <c r="CR609" s="561"/>
      <c r="CS609" s="561"/>
      <c r="CT609" s="561"/>
      <c r="CU609" s="561"/>
      <c r="CV609" s="561"/>
      <c r="CW609" s="561"/>
      <c r="CX609" s="561"/>
      <c r="CY609" s="561"/>
      <c r="CZ609" s="561"/>
      <c r="DA609" s="561"/>
      <c r="DB609" s="561"/>
      <c r="DC609" s="561"/>
      <c r="DD609" s="561"/>
      <c r="DE609" s="561"/>
      <c r="DF609" s="561"/>
      <c r="DG609" s="1846"/>
      <c r="DH609" s="561"/>
      <c r="DI609" s="561"/>
      <c r="DJ609" s="561"/>
      <c r="DK609" s="561"/>
      <c r="DL609" s="561"/>
      <c r="DM609" s="561"/>
      <c r="DN609" s="561"/>
      <c r="DO609" s="215"/>
      <c r="DY609" s="860"/>
      <c r="DZ609" s="860"/>
    </row>
    <row r="610" spans="1:130" ht="12" hidden="1" customHeight="1" outlineLevel="1">
      <c r="A610" s="567" t="s">
        <v>1153</v>
      </c>
      <c r="B610" s="228"/>
      <c r="C610" s="228"/>
      <c r="D610" s="625"/>
      <c r="E610" s="626"/>
      <c r="F610" s="626"/>
      <c r="G610" s="626"/>
      <c r="H610" s="788"/>
      <c r="I610" s="626"/>
      <c r="J610" s="626"/>
      <c r="K610" s="626"/>
      <c r="L610" s="626"/>
      <c r="M610" s="788"/>
      <c r="N610" s="626"/>
      <c r="O610" s="626"/>
      <c r="P610" s="626"/>
      <c r="Q610" s="626"/>
      <c r="R610" s="788"/>
      <c r="S610" s="626"/>
      <c r="T610" s="626"/>
      <c r="U610" s="626"/>
      <c r="V610" s="626"/>
      <c r="W610" s="788"/>
      <c r="X610" s="626"/>
      <c r="Y610" s="626"/>
      <c r="Z610" s="626"/>
      <c r="AA610" s="626"/>
      <c r="AB610" s="788"/>
      <c r="AC610" s="626"/>
      <c r="AD610" s="626"/>
      <c r="AE610" s="626"/>
      <c r="AF610" s="626"/>
      <c r="AG610" s="788"/>
      <c r="AH610" s="626"/>
      <c r="AI610" s="626"/>
      <c r="AJ610" s="626"/>
      <c r="AK610" s="626"/>
      <c r="AL610" s="788"/>
      <c r="AM610" s="626"/>
      <c r="AN610" s="261"/>
      <c r="AO610" s="626"/>
      <c r="AP610" s="330"/>
      <c r="AQ610" s="1439"/>
      <c r="AR610" s="573">
        <f t="shared" ref="AR610:BG610" si="1323">+AR608/AM608-1</f>
        <v>5.1506045146411328E-2</v>
      </c>
      <c r="AS610" s="573">
        <f t="shared" si="1323"/>
        <v>1.9468745029425749E-2</v>
      </c>
      <c r="AT610" s="573">
        <f t="shared" si="1323"/>
        <v>1.7570054515781752E-2</v>
      </c>
      <c r="AU610" s="573">
        <f t="shared" si="1323"/>
        <v>-8.7551305198219076E-4</v>
      </c>
      <c r="AV610" s="1621">
        <f t="shared" si="1323"/>
        <v>2.2251976039085797E-2</v>
      </c>
      <c r="AW610" s="573">
        <f t="shared" si="1323"/>
        <v>-7.942987903761789E-2</v>
      </c>
      <c r="AX610" s="573">
        <f t="shared" si="1323"/>
        <v>-4.4151365806471721E-2</v>
      </c>
      <c r="AY610" s="573">
        <f t="shared" si="1323"/>
        <v>-3.9406217710288405E-2</v>
      </c>
      <c r="AZ610" s="573">
        <f t="shared" si="1323"/>
        <v>-1.5973480213462121E-2</v>
      </c>
      <c r="BA610" s="1621">
        <f t="shared" si="1323"/>
        <v>-4.5626392507890356E-2</v>
      </c>
      <c r="BB610" s="573">
        <f t="shared" si="1323"/>
        <v>-2.7892683484081249E-2</v>
      </c>
      <c r="BC610" s="573">
        <f t="shared" si="1323"/>
        <v>-1.6671266539128538E-2</v>
      </c>
      <c r="BD610" s="573">
        <f t="shared" si="1323"/>
        <v>-4.0764469801140568E-2</v>
      </c>
      <c r="BE610" s="573">
        <f t="shared" si="1323"/>
        <v>-8.0696091779399737E-3</v>
      </c>
      <c r="BF610" s="1621">
        <f t="shared" si="1323"/>
        <v>-2.3457194085443667E-2</v>
      </c>
      <c r="BG610" s="573">
        <f t="shared" si="1323"/>
        <v>2.7216518651270505E-2</v>
      </c>
      <c r="BH610" s="573">
        <f t="shared" ref="BH610:BM610" si="1324">+BH608/BC608-1</f>
        <v>2.7028910970552156E-2</v>
      </c>
      <c r="BI610" s="573">
        <f t="shared" si="1324"/>
        <v>1.045504836873401E-2</v>
      </c>
      <c r="BJ610" s="2135">
        <f t="shared" si="1324"/>
        <v>-2.2535666149285372E-2</v>
      </c>
      <c r="BK610" s="1621">
        <f t="shared" si="1324"/>
        <v>1.1320954775762893E-2</v>
      </c>
      <c r="BL610" s="573">
        <f t="shared" si="1324"/>
        <v>-5.6321288411215642E-2</v>
      </c>
      <c r="BM610" s="573">
        <f t="shared" si="1324"/>
        <v>-7.5082111070931434E-2</v>
      </c>
      <c r="BN610" s="573"/>
      <c r="BO610" s="2135"/>
      <c r="BP610" s="1621"/>
      <c r="BQ610" s="573"/>
      <c r="BR610" s="573"/>
      <c r="BS610" s="573"/>
      <c r="BT610" s="2135"/>
      <c r="BU610" s="3371"/>
      <c r="BV610" s="573"/>
      <c r="BW610" s="573"/>
      <c r="BX610" s="573"/>
      <c r="BY610" s="2135"/>
      <c r="BZ610" s="1621"/>
      <c r="CA610" s="1621"/>
      <c r="CB610" s="1621"/>
      <c r="CC610" s="1621"/>
      <c r="CD610" s="1621"/>
      <c r="CE610" s="1621"/>
      <c r="CF610" s="1621"/>
      <c r="CG610" s="1621"/>
      <c r="CH610" s="626"/>
      <c r="CI610" s="626"/>
      <c r="CJ610" s="626"/>
      <c r="CK610" s="626"/>
      <c r="CL610" s="626"/>
      <c r="CM610" s="626"/>
      <c r="CN610" s="626"/>
      <c r="CO610" s="626"/>
      <c r="CP610" s="994"/>
      <c r="CQ610" s="626"/>
      <c r="CR610" s="626"/>
      <c r="CS610" s="626"/>
      <c r="CT610" s="626"/>
      <c r="CU610" s="626"/>
      <c r="CV610" s="626"/>
      <c r="CW610" s="626"/>
      <c r="CX610" s="626"/>
      <c r="CY610" s="626"/>
      <c r="CZ610" s="626"/>
      <c r="DA610" s="626"/>
      <c r="DB610" s="626"/>
      <c r="DC610" s="626"/>
      <c r="DD610" s="626"/>
      <c r="DE610" s="626"/>
      <c r="DF610" s="626"/>
      <c r="DG610" s="1893"/>
      <c r="DH610" s="632"/>
      <c r="DI610" s="595"/>
      <c r="DJ610" s="595"/>
      <c r="DK610" s="595"/>
      <c r="DL610" s="595"/>
      <c r="DM610" s="595"/>
      <c r="DN610" s="514"/>
      <c r="DO610" s="77"/>
      <c r="DY610" s="573"/>
      <c r="DZ610" s="573"/>
    </row>
    <row r="611" spans="1:130" ht="12" hidden="1" customHeight="1" outlineLevel="1">
      <c r="A611" s="567"/>
      <c r="B611" s="228"/>
      <c r="C611" s="228"/>
      <c r="D611" s="625"/>
      <c r="E611" s="626"/>
      <c r="F611" s="626"/>
      <c r="G611" s="626"/>
      <c r="H611" s="788"/>
      <c r="I611" s="626"/>
      <c r="J611" s="626"/>
      <c r="K611" s="626"/>
      <c r="L611" s="626"/>
      <c r="M611" s="788"/>
      <c r="N611" s="626"/>
      <c r="O611" s="626"/>
      <c r="P611" s="626"/>
      <c r="Q611" s="626"/>
      <c r="R611" s="788"/>
      <c r="S611" s="626"/>
      <c r="T611" s="626"/>
      <c r="U611" s="626"/>
      <c r="V611" s="626"/>
      <c r="W611" s="788"/>
      <c r="X611" s="626"/>
      <c r="Y611" s="626"/>
      <c r="Z611" s="626"/>
      <c r="AA611" s="626"/>
      <c r="AB611" s="788"/>
      <c r="AC611" s="626"/>
      <c r="AD611" s="626"/>
      <c r="AE611" s="626"/>
      <c r="AF611" s="626"/>
      <c r="AG611" s="788"/>
      <c r="AH611" s="626"/>
      <c r="AI611" s="626"/>
      <c r="AJ611" s="626"/>
      <c r="AK611" s="626"/>
      <c r="AL611" s="788"/>
      <c r="AM611" s="626"/>
      <c r="AN611" s="261"/>
      <c r="AO611" s="626"/>
      <c r="AP611" s="330"/>
      <c r="AQ611" s="1439"/>
      <c r="AR611" s="330"/>
      <c r="AS611" s="330"/>
      <c r="AT611" s="330"/>
      <c r="AU611" s="626"/>
      <c r="AV611" s="1951"/>
      <c r="AW611" s="626"/>
      <c r="AX611" s="261"/>
      <c r="AY611" s="626"/>
      <c r="AZ611" s="626"/>
      <c r="BA611" s="1439"/>
      <c r="BB611" s="626"/>
      <c r="BC611" s="261"/>
      <c r="BD611" s="626"/>
      <c r="BE611" s="626"/>
      <c r="BF611" s="1439"/>
      <c r="BG611" s="678"/>
      <c r="BH611" s="330"/>
      <c r="BI611" s="330"/>
      <c r="BJ611" s="2136"/>
      <c r="BK611" s="1439"/>
      <c r="BL611" s="330"/>
      <c r="BM611" s="330"/>
      <c r="BN611" s="330"/>
      <c r="BO611" s="2136"/>
      <c r="BP611" s="1439"/>
      <c r="BQ611" s="330"/>
      <c r="BR611" s="330"/>
      <c r="BS611" s="330"/>
      <c r="BT611" s="2136"/>
      <c r="BU611" s="3406"/>
      <c r="BV611" s="330"/>
      <c r="BW611" s="330"/>
      <c r="BX611" s="330"/>
      <c r="BY611" s="2136"/>
      <c r="BZ611" s="1439"/>
      <c r="CA611" s="1439"/>
      <c r="CB611" s="1439"/>
      <c r="CC611" s="1439"/>
      <c r="CD611" s="1439"/>
      <c r="CE611" s="1439"/>
      <c r="CF611" s="1439"/>
      <c r="CG611" s="1439"/>
      <c r="CH611" s="626"/>
      <c r="CI611" s="626"/>
      <c r="CJ611" s="626"/>
      <c r="CK611" s="626"/>
      <c r="CL611" s="626"/>
      <c r="CM611" s="626"/>
      <c r="CN611" s="626"/>
      <c r="CO611" s="626"/>
      <c r="CP611" s="994"/>
      <c r="CQ611" s="626"/>
      <c r="CR611" s="626"/>
      <c r="CS611" s="626"/>
      <c r="CT611" s="626"/>
      <c r="CU611" s="626"/>
      <c r="CV611" s="626"/>
      <c r="CW611" s="626"/>
      <c r="CX611" s="626"/>
      <c r="CY611" s="626"/>
      <c r="CZ611" s="626"/>
      <c r="DA611" s="626"/>
      <c r="DB611" s="626"/>
      <c r="DC611" s="626"/>
      <c r="DD611" s="626"/>
      <c r="DE611" s="626"/>
      <c r="DF611" s="626"/>
      <c r="DG611" s="1893"/>
      <c r="DH611" s="632"/>
      <c r="DI611" s="595"/>
      <c r="DJ611" s="595"/>
      <c r="DK611" s="595"/>
      <c r="DL611" s="595"/>
      <c r="DM611" s="595"/>
      <c r="DN611" s="514"/>
      <c r="DO611" s="77"/>
      <c r="DY611" s="330"/>
      <c r="DZ611" s="330"/>
    </row>
    <row r="612" spans="1:130" ht="12" hidden="1" customHeight="1" outlineLevel="1">
      <c r="A612" s="552" t="s">
        <v>1663</v>
      </c>
      <c r="B612" s="228"/>
      <c r="C612" s="228"/>
      <c r="D612" s="625"/>
      <c r="E612" s="626"/>
      <c r="F612" s="626"/>
      <c r="G612" s="626"/>
      <c r="H612" s="788"/>
      <c r="I612" s="626"/>
      <c r="J612" s="626"/>
      <c r="K612" s="626"/>
      <c r="L612" s="626"/>
      <c r="M612" s="788"/>
      <c r="N612" s="626"/>
      <c r="O612" s="626"/>
      <c r="P612" s="626"/>
      <c r="Q612" s="626"/>
      <c r="R612" s="788"/>
      <c r="S612" s="626"/>
      <c r="T612" s="626"/>
      <c r="U612" s="626"/>
      <c r="V612" s="626"/>
      <c r="W612" s="788"/>
      <c r="X612" s="626"/>
      <c r="Y612" s="626"/>
      <c r="Z612" s="626"/>
      <c r="AA612" s="626"/>
      <c r="AB612" s="788"/>
      <c r="AC612" s="626"/>
      <c r="AD612" s="626"/>
      <c r="AE612" s="626"/>
      <c r="AF612" s="626"/>
      <c r="AG612" s="788"/>
      <c r="AH612" s="626"/>
      <c r="AI612" s="626"/>
      <c r="AJ612" s="626"/>
      <c r="AK612" s="626"/>
      <c r="AL612" s="788"/>
      <c r="AM612" s="626">
        <f>+AM605*AM613</f>
        <v>10.131910806599999</v>
      </c>
      <c r="AN612" s="626">
        <f>+AN605*AN613</f>
        <v>9.9514616269499996</v>
      </c>
      <c r="AO612" s="626">
        <f>+AO605*AO613</f>
        <v>9.5244537933000011</v>
      </c>
      <c r="AP612" s="626">
        <f>+AP605*AP613</f>
        <v>9.0882226637999999</v>
      </c>
      <c r="AQ612" s="1950">
        <f>+SUM(AM612:AP612)</f>
        <v>38.696048890649998</v>
      </c>
      <c r="AR612" s="626">
        <f>+AR605*AR613</f>
        <v>10.726934247000001</v>
      </c>
      <c r="AS612" s="626">
        <f>+AS605*AS613</f>
        <v>10.174570323300001</v>
      </c>
      <c r="AT612" s="626">
        <f>+AT605*AT613</f>
        <v>9.641496966750001</v>
      </c>
      <c r="AU612" s="626">
        <f>+AU605*AU613</f>
        <v>9.0787957258500001</v>
      </c>
      <c r="AV612" s="1950">
        <f>+SUM(AR612:AU612)</f>
        <v>39.621797262900003</v>
      </c>
      <c r="AW612" s="626">
        <f>+AW605*AW613</f>
        <v>9.7589016594000011</v>
      </c>
      <c r="AX612" s="626">
        <f>+AX605*AX613</f>
        <v>9.6015282012000007</v>
      </c>
      <c r="AY612" s="626">
        <f>+AY605*AY613</f>
        <v>9.1738032867000001</v>
      </c>
      <c r="AZ612" s="626">
        <f>+AZ605*AZ613</f>
        <v>8.9069545741500011</v>
      </c>
      <c r="BA612" s="1950">
        <f>+SUM(AW612:AZ612)</f>
        <v>37.44118772145</v>
      </c>
      <c r="BB612" s="626">
        <f>+BB605*BB613</f>
        <v>9.4459673002500004</v>
      </c>
      <c r="BC612" s="626">
        <f>+BC605*BC613</f>
        <v>9.3947045872500006</v>
      </c>
      <c r="BD612" s="626">
        <f>+BD605*BD613</f>
        <v>8.7090544426500021</v>
      </c>
      <c r="BE612" s="626">
        <f>+BE605*BE613</f>
        <v>8.8215291917999998</v>
      </c>
      <c r="BF612" s="1950">
        <f>+SUM(BB612:BE612)</f>
        <v>36.371255521950005</v>
      </c>
      <c r="BG612" s="625">
        <f>+BG605*BG613</f>
        <v>9.7427986285500001</v>
      </c>
      <c r="BH612" s="626">
        <f>+BH605*BH613</f>
        <v>9.7244348472000013</v>
      </c>
      <c r="BI612" s="626">
        <f>+BI605*BI613</f>
        <v>8.8233917139000013</v>
      </c>
      <c r="BJ612" s="1893">
        <f>+BJ605*BJ613</f>
        <v>8.5848903526500013</v>
      </c>
      <c r="BK612" s="1950">
        <f>+SUM(BG612:BJ612)</f>
        <v>36.875515542300001</v>
      </c>
      <c r="BL612" s="626">
        <f>+BL605*BL613</f>
        <v>9.1118242291500007</v>
      </c>
      <c r="BM612" s="626">
        <f>+BM605*BM613</f>
        <v>8.7837386215500004</v>
      </c>
      <c r="BN612" s="626"/>
      <c r="BO612" s="1893"/>
      <c r="BP612" s="1950"/>
      <c r="BQ612" s="626"/>
      <c r="BR612" s="626"/>
      <c r="BS612" s="626"/>
      <c r="BT612" s="1893"/>
      <c r="BU612" s="3406"/>
      <c r="BV612" s="626"/>
      <c r="BW612" s="626"/>
      <c r="BX612" s="626"/>
      <c r="BY612" s="1893"/>
      <c r="BZ612" s="1950"/>
      <c r="CA612" s="1950"/>
      <c r="CB612" s="1950"/>
      <c r="CC612" s="1950"/>
      <c r="CD612" s="1950"/>
      <c r="CE612" s="1950"/>
      <c r="CF612" s="1950"/>
      <c r="CG612" s="1950"/>
      <c r="CH612" s="626"/>
      <c r="CI612" s="626"/>
      <c r="CJ612" s="626"/>
      <c r="CK612" s="626"/>
      <c r="CL612" s="626"/>
      <c r="CM612" s="626"/>
      <c r="CN612" s="626"/>
      <c r="CO612" s="626"/>
      <c r="CP612" s="994"/>
      <c r="CQ612" s="626"/>
      <c r="CR612" s="626"/>
      <c r="CS612" s="626"/>
      <c r="CT612" s="626"/>
      <c r="CU612" s="626"/>
      <c r="CV612" s="626"/>
      <c r="CW612" s="626"/>
      <c r="CX612" s="626"/>
      <c r="CY612" s="626"/>
      <c r="CZ612" s="626"/>
      <c r="DA612" s="626"/>
      <c r="DB612" s="626"/>
      <c r="DC612" s="626"/>
      <c r="DD612" s="626"/>
      <c r="DE612" s="626"/>
      <c r="DF612" s="626"/>
      <c r="DG612" s="1893"/>
      <c r="DH612" s="632"/>
      <c r="DI612" s="595"/>
      <c r="DJ612" s="595"/>
      <c r="DK612" s="595"/>
      <c r="DL612" s="595"/>
      <c r="DM612" s="595"/>
      <c r="DN612" s="514"/>
      <c r="DO612" s="77"/>
      <c r="DY612" s="1634"/>
      <c r="DZ612" s="1634"/>
    </row>
    <row r="613" spans="1:130" ht="12" hidden="1" customHeight="1" outlineLevel="1">
      <c r="A613" s="567" t="s">
        <v>1664</v>
      </c>
      <c r="B613" s="228"/>
      <c r="C613" s="228"/>
      <c r="D613" s="625"/>
      <c r="E613" s="626"/>
      <c r="F613" s="626"/>
      <c r="G613" s="626"/>
      <c r="H613" s="788"/>
      <c r="I613" s="626"/>
      <c r="J613" s="626"/>
      <c r="K613" s="626"/>
      <c r="L613" s="626"/>
      <c r="M613" s="788"/>
      <c r="N613" s="626"/>
      <c r="O613" s="626"/>
      <c r="P613" s="626"/>
      <c r="Q613" s="626"/>
      <c r="R613" s="788"/>
      <c r="S613" s="626"/>
      <c r="T613" s="626"/>
      <c r="U613" s="626"/>
      <c r="V613" s="626"/>
      <c r="W613" s="788"/>
      <c r="X613" s="626"/>
      <c r="Y613" s="626"/>
      <c r="Z613" s="626"/>
      <c r="AA613" s="626"/>
      <c r="AB613" s="788"/>
      <c r="AC613" s="626"/>
      <c r="AD613" s="626"/>
      <c r="AE613" s="626"/>
      <c r="AF613" s="626"/>
      <c r="AG613" s="788"/>
      <c r="AH613" s="626"/>
      <c r="AI613" s="626"/>
      <c r="AJ613" s="626"/>
      <c r="AK613" s="626"/>
      <c r="AL613" s="788"/>
      <c r="AM613" s="866">
        <v>0.40500000000000003</v>
      </c>
      <c r="AN613" s="866">
        <v>0.40500000000000003</v>
      </c>
      <c r="AO613" s="866">
        <v>0.40500000000000003</v>
      </c>
      <c r="AP613" s="866">
        <v>0.40500000000000003</v>
      </c>
      <c r="AQ613" s="1975">
        <f>+AQ612/AQ605</f>
        <v>0.40500000000000003</v>
      </c>
      <c r="AR613" s="866">
        <v>0.40500000000000003</v>
      </c>
      <c r="AS613" s="866">
        <v>0.40500000000000003</v>
      </c>
      <c r="AT613" s="866">
        <v>0.40500000000000003</v>
      </c>
      <c r="AU613" s="866">
        <v>0.40500000000000003</v>
      </c>
      <c r="AV613" s="1975">
        <f>+AV612/AV605</f>
        <v>0.40500000000000003</v>
      </c>
      <c r="AW613" s="866">
        <v>0.40500000000000003</v>
      </c>
      <c r="AX613" s="866">
        <v>0.40500000000000003</v>
      </c>
      <c r="AY613" s="866">
        <v>0.40500000000000003</v>
      </c>
      <c r="AZ613" s="866">
        <v>0.40500000000000003</v>
      </c>
      <c r="BA613" s="1975">
        <f>+BA612/BA605</f>
        <v>0.40499999999999997</v>
      </c>
      <c r="BB613" s="866">
        <v>0.40500000000000003</v>
      </c>
      <c r="BC613" s="866">
        <v>0.40500000000000003</v>
      </c>
      <c r="BD613" s="866">
        <v>0.40500000000000003</v>
      </c>
      <c r="BE613" s="866">
        <v>0.40500000000000003</v>
      </c>
      <c r="BF613" s="1975">
        <f>+BF612/BF605</f>
        <v>0.40500000000000003</v>
      </c>
      <c r="BG613" s="864">
        <v>0.40500000000000003</v>
      </c>
      <c r="BH613" s="866">
        <v>0.40500000000000003</v>
      </c>
      <c r="BI613" s="866">
        <v>0.40500000000000003</v>
      </c>
      <c r="BJ613" s="2885">
        <v>0.40500000000000003</v>
      </c>
      <c r="BK613" s="1975">
        <f>+BK612/BK605</f>
        <v>0.40499999999999997</v>
      </c>
      <c r="BL613" s="866">
        <v>0.40500000000000003</v>
      </c>
      <c r="BM613" s="866">
        <v>0.40500000000000003</v>
      </c>
      <c r="BN613" s="866"/>
      <c r="BO613" s="2885"/>
      <c r="BP613" s="1975"/>
      <c r="BQ613" s="866"/>
      <c r="BR613" s="866"/>
      <c r="BS613" s="866"/>
      <c r="BT613" s="2885"/>
      <c r="BU613" s="3407"/>
      <c r="BV613" s="866"/>
      <c r="BW613" s="866"/>
      <c r="BX613" s="866"/>
      <c r="BY613" s="2885"/>
      <c r="BZ613" s="1974"/>
      <c r="CA613" s="1974"/>
      <c r="CB613" s="1974"/>
      <c r="CC613" s="1974"/>
      <c r="CD613" s="1974"/>
      <c r="CE613" s="1974"/>
      <c r="CF613" s="1974"/>
      <c r="CG613" s="1974"/>
      <c r="CH613" s="626"/>
      <c r="CI613" s="626"/>
      <c r="CJ613" s="626"/>
      <c r="CK613" s="626"/>
      <c r="CL613" s="626"/>
      <c r="CM613" s="626"/>
      <c r="CN613" s="626"/>
      <c r="CO613" s="626"/>
      <c r="CP613" s="994"/>
      <c r="CQ613" s="626"/>
      <c r="CR613" s="626"/>
      <c r="CS613" s="626"/>
      <c r="CT613" s="626"/>
      <c r="CU613" s="626"/>
      <c r="CV613" s="626"/>
      <c r="CW613" s="626"/>
      <c r="CX613" s="626"/>
      <c r="CY613" s="626"/>
      <c r="CZ613" s="626"/>
      <c r="DA613" s="626"/>
      <c r="DB613" s="626"/>
      <c r="DC613" s="626"/>
      <c r="DD613" s="626"/>
      <c r="DE613" s="626"/>
      <c r="DF613" s="626"/>
      <c r="DG613" s="1893"/>
      <c r="DH613" s="632"/>
      <c r="DI613" s="595"/>
      <c r="DJ613" s="595"/>
      <c r="DK613" s="595"/>
      <c r="DL613" s="595"/>
      <c r="DM613" s="595"/>
      <c r="DN613" s="514"/>
      <c r="DO613" s="77"/>
      <c r="DY613" s="769"/>
      <c r="DZ613" s="769"/>
    </row>
    <row r="614" spans="1:130" ht="2.25" hidden="1" customHeight="1" outlineLevel="1">
      <c r="A614" s="552"/>
      <c r="B614" s="228"/>
      <c r="C614" s="228"/>
      <c r="D614" s="625"/>
      <c r="E614" s="626"/>
      <c r="F614" s="626"/>
      <c r="G614" s="626"/>
      <c r="H614" s="788"/>
      <c r="I614" s="626"/>
      <c r="J614" s="626"/>
      <c r="K614" s="626"/>
      <c r="L614" s="626"/>
      <c r="M614" s="788"/>
      <c r="N614" s="626"/>
      <c r="O614" s="626"/>
      <c r="P614" s="626"/>
      <c r="Q614" s="626"/>
      <c r="R614" s="788"/>
      <c r="S614" s="626"/>
      <c r="T614" s="626"/>
      <c r="U614" s="626"/>
      <c r="V614" s="626"/>
      <c r="W614" s="788"/>
      <c r="X614" s="626"/>
      <c r="Y614" s="626"/>
      <c r="Z614" s="626"/>
      <c r="AA614" s="626"/>
      <c r="AB614" s="788"/>
      <c r="AC614" s="626"/>
      <c r="AD614" s="626"/>
      <c r="AE614" s="626"/>
      <c r="AF614" s="626"/>
      <c r="AG614" s="788"/>
      <c r="AH614" s="626"/>
      <c r="AI614" s="626"/>
      <c r="AJ614" s="626"/>
      <c r="AK614" s="626"/>
      <c r="AL614" s="788"/>
      <c r="AM614" s="626"/>
      <c r="AN614" s="261"/>
      <c r="AO614" s="626"/>
      <c r="AP614" s="330"/>
      <c r="AQ614" s="1439"/>
      <c r="AR614" s="330"/>
      <c r="AS614" s="330"/>
      <c r="AT614" s="330"/>
      <c r="AU614" s="626"/>
      <c r="AV614" s="1439"/>
      <c r="AW614" s="626"/>
      <c r="AX614" s="261"/>
      <c r="AY614" s="626"/>
      <c r="AZ614" s="626"/>
      <c r="BA614" s="1439"/>
      <c r="BB614" s="626"/>
      <c r="BC614" s="261"/>
      <c r="BD614" s="626"/>
      <c r="BE614" s="626"/>
      <c r="BF614" s="1439"/>
      <c r="BG614" s="678"/>
      <c r="BH614" s="330"/>
      <c r="BI614" s="330"/>
      <c r="BJ614" s="2136"/>
      <c r="BK614" s="1439"/>
      <c r="BL614" s="330"/>
      <c r="BM614" s="330"/>
      <c r="BN614" s="330"/>
      <c r="BO614" s="2136"/>
      <c r="BP614" s="1439"/>
      <c r="BQ614" s="330"/>
      <c r="BR614" s="330"/>
      <c r="BS614" s="330"/>
      <c r="BT614" s="2136"/>
      <c r="BU614" s="3406"/>
      <c r="BV614" s="330"/>
      <c r="BW614" s="330"/>
      <c r="BX614" s="330"/>
      <c r="BY614" s="2136"/>
      <c r="BZ614" s="1439"/>
      <c r="CA614" s="1439"/>
      <c r="CB614" s="1439"/>
      <c r="CC614" s="1439"/>
      <c r="CD614" s="1439"/>
      <c r="CE614" s="1439"/>
      <c r="CF614" s="1439"/>
      <c r="CG614" s="1439"/>
      <c r="CH614" s="626"/>
      <c r="CI614" s="626"/>
      <c r="CJ614" s="626"/>
      <c r="CK614" s="626"/>
      <c r="CL614" s="626"/>
      <c r="CM614" s="626"/>
      <c r="CN614" s="626"/>
      <c r="CO614" s="626"/>
      <c r="CP614" s="994"/>
      <c r="CQ614" s="626"/>
      <c r="CR614" s="626"/>
      <c r="CS614" s="626"/>
      <c r="CT614" s="626"/>
      <c r="CU614" s="626"/>
      <c r="CV614" s="626"/>
      <c r="CW614" s="626"/>
      <c r="CX614" s="626"/>
      <c r="CY614" s="626"/>
      <c r="CZ614" s="626"/>
      <c r="DA614" s="626"/>
      <c r="DB614" s="626"/>
      <c r="DC614" s="626"/>
      <c r="DD614" s="626"/>
      <c r="DE614" s="626"/>
      <c r="DF614" s="626"/>
      <c r="DG614" s="1893"/>
      <c r="DH614" s="632"/>
      <c r="DI614" s="595"/>
      <c r="DJ614" s="595"/>
      <c r="DK614" s="595"/>
      <c r="DL614" s="595"/>
      <c r="DM614" s="595"/>
      <c r="DN614" s="514"/>
      <c r="DO614" s="77"/>
      <c r="DY614" s="330"/>
      <c r="DZ614" s="330"/>
    </row>
    <row r="615" spans="1:130" ht="12" hidden="1" customHeight="1" outlineLevel="1">
      <c r="A615" s="552" t="s">
        <v>1665</v>
      </c>
      <c r="B615" s="228"/>
      <c r="C615" s="228"/>
      <c r="D615" s="625"/>
      <c r="E615" s="626"/>
      <c r="F615" s="626"/>
      <c r="G615" s="626"/>
      <c r="H615" s="788"/>
      <c r="I615" s="626"/>
      <c r="J615" s="626"/>
      <c r="K615" s="626"/>
      <c r="L615" s="626"/>
      <c r="M615" s="788"/>
      <c r="N615" s="626"/>
      <c r="O615" s="626"/>
      <c r="P615" s="626"/>
      <c r="Q615" s="626"/>
      <c r="R615" s="788"/>
      <c r="S615" s="626"/>
      <c r="T615" s="626"/>
      <c r="U615" s="626"/>
      <c r="V615" s="626"/>
      <c r="W615" s="788"/>
      <c r="X615" s="626"/>
      <c r="Y615" s="626"/>
      <c r="Z615" s="626"/>
      <c r="AA615" s="626"/>
      <c r="AB615" s="788"/>
      <c r="AC615" s="626"/>
      <c r="AD615" s="626"/>
      <c r="AE615" s="626"/>
      <c r="AF615" s="626"/>
      <c r="AG615" s="788"/>
      <c r="AH615" s="626"/>
      <c r="AI615" s="626"/>
      <c r="AJ615" s="626"/>
      <c r="AK615" s="626"/>
      <c r="AL615" s="788"/>
      <c r="AM615" s="1976">
        <f>+AM619-AM612</f>
        <v>9.9070891933999992</v>
      </c>
      <c r="AN615" s="1976">
        <f>+AN619-AN612</f>
        <v>13.25153837305</v>
      </c>
      <c r="AO615" s="1976">
        <f>+AO619-AO612</f>
        <v>12.361546206699998</v>
      </c>
      <c r="AP615" s="1976">
        <f>+AP619-AP612</f>
        <v>11.122777336199999</v>
      </c>
      <c r="AQ615" s="1950">
        <f>+SUM(AM615:AP615)</f>
        <v>46.642951109349994</v>
      </c>
      <c r="AR615" s="1976">
        <f>+AR619-AR612</f>
        <v>10.448065752999996</v>
      </c>
      <c r="AS615" s="1976">
        <f>+AS619-AS612</f>
        <v>13.480429676699996</v>
      </c>
      <c r="AT615" s="1976">
        <f>+AT619-AT612</f>
        <v>12.654503033249998</v>
      </c>
      <c r="AU615" s="626">
        <f>+AP615*(1+AU617)</f>
        <v>12.23505506982</v>
      </c>
      <c r="AV615" s="1950">
        <f>+SUM(AR615:AU615)</f>
        <v>48.818053532769987</v>
      </c>
      <c r="AW615" s="626">
        <f>+AR615*(1+AW617)</f>
        <v>10.134623780409996</v>
      </c>
      <c r="AX615" s="626">
        <f>+AS615*(1+AX617)</f>
        <v>13.345625379932997</v>
      </c>
      <c r="AY615" s="626">
        <f>+AT615*(1+AY617)</f>
        <v>12.654503033249998</v>
      </c>
      <c r="AZ615" s="626">
        <f>+AU615*(1+AZ617)</f>
        <v>11.9903539684236</v>
      </c>
      <c r="BA615" s="1950">
        <f>+SUM(AW615:AZ615)</f>
        <v>48.125106162016586</v>
      </c>
      <c r="BB615" s="626">
        <f>+AW615*(1+BB617)</f>
        <v>10.134623780409996</v>
      </c>
      <c r="BC615" s="626">
        <f>+AX615*(1+BC617)</f>
        <v>13.345625379932997</v>
      </c>
      <c r="BD615" s="626">
        <f>+AY615*(1+BD617)</f>
        <v>12.654503033249998</v>
      </c>
      <c r="BE615" s="626">
        <f>+AZ615*(1+BE617)</f>
        <v>11.9903539684236</v>
      </c>
      <c r="BF615" s="1950">
        <f>+SUM(BB615:BE615)</f>
        <v>48.125106162016586</v>
      </c>
      <c r="BG615" s="625">
        <f>+BB615*(1+BG617)</f>
        <v>10.641354969430497</v>
      </c>
      <c r="BH615" s="626">
        <f>+BC615*(1+BH617)</f>
        <v>12.945256618535007</v>
      </c>
      <c r="BI615" s="626">
        <f>+BD615*(1+BI617)</f>
        <v>12.401412972584998</v>
      </c>
      <c r="BJ615" s="1893">
        <f>+BE615*(1+BJ617)</f>
        <v>11.690595119213009</v>
      </c>
      <c r="BK615" s="1950">
        <f>+SUM(BG615:BJ615)</f>
        <v>47.678619679763507</v>
      </c>
      <c r="BL615" s="626">
        <f>+BG615*(1+BL617)</f>
        <v>10.32211432034758</v>
      </c>
      <c r="BM615" s="626">
        <f>+BH615*(1+BM617)</f>
        <v>12.686351486164307</v>
      </c>
      <c r="BN615" s="626"/>
      <c r="BO615" s="1893"/>
      <c r="BP615" s="1950"/>
      <c r="BQ615" s="626"/>
      <c r="BR615" s="626"/>
      <c r="BS615" s="626"/>
      <c r="BT615" s="1893"/>
      <c r="BU615" s="3406"/>
      <c r="BV615" s="626"/>
      <c r="BW615" s="626"/>
      <c r="BX615" s="626"/>
      <c r="BY615" s="1893"/>
      <c r="BZ615" s="2503"/>
      <c r="CA615" s="2503"/>
      <c r="CB615" s="2503"/>
      <c r="CC615" s="2503"/>
      <c r="CD615" s="2503"/>
      <c r="CE615" s="2503"/>
      <c r="CF615" s="2503"/>
      <c r="CG615" s="2503"/>
      <c r="CH615" s="626"/>
      <c r="CI615" s="626"/>
      <c r="CJ615" s="626"/>
      <c r="CK615" s="626"/>
      <c r="CL615" s="626"/>
      <c r="CM615" s="626"/>
      <c r="CN615" s="626"/>
      <c r="CO615" s="626"/>
      <c r="CP615" s="994"/>
      <c r="CQ615" s="626"/>
      <c r="CR615" s="626"/>
      <c r="CS615" s="626"/>
      <c r="CT615" s="626"/>
      <c r="CU615" s="626"/>
      <c r="CV615" s="626"/>
      <c r="CW615" s="626"/>
      <c r="CX615" s="626"/>
      <c r="CY615" s="626"/>
      <c r="CZ615" s="626"/>
      <c r="DA615" s="626"/>
      <c r="DB615" s="626"/>
      <c r="DC615" s="626"/>
      <c r="DD615" s="626"/>
      <c r="DE615" s="626"/>
      <c r="DF615" s="626"/>
      <c r="DG615" s="1893"/>
      <c r="DH615" s="632"/>
      <c r="DI615" s="595"/>
      <c r="DJ615" s="595"/>
      <c r="DK615" s="595"/>
      <c r="DL615" s="595"/>
      <c r="DM615" s="595"/>
      <c r="DN615" s="514"/>
      <c r="DO615" s="77"/>
      <c r="DY615" s="1634"/>
      <c r="DZ615" s="1634"/>
    </row>
    <row r="616" spans="1:130" ht="12" hidden="1" customHeight="1" outlineLevel="1">
      <c r="A616" s="567" t="s">
        <v>1664</v>
      </c>
      <c r="B616" s="228"/>
      <c r="C616" s="228"/>
      <c r="D616" s="625"/>
      <c r="E616" s="626"/>
      <c r="F616" s="626"/>
      <c r="G616" s="626"/>
      <c r="H616" s="788"/>
      <c r="I616" s="626"/>
      <c r="J616" s="626"/>
      <c r="K616" s="626"/>
      <c r="L616" s="626"/>
      <c r="M616" s="788"/>
      <c r="N616" s="626"/>
      <c r="O616" s="626"/>
      <c r="P616" s="626"/>
      <c r="Q616" s="626"/>
      <c r="R616" s="788"/>
      <c r="S616" s="626"/>
      <c r="T616" s="626"/>
      <c r="U616" s="626"/>
      <c r="V616" s="626"/>
      <c r="W616" s="788"/>
      <c r="X616" s="626"/>
      <c r="Y616" s="626"/>
      <c r="Z616" s="626"/>
      <c r="AA616" s="626"/>
      <c r="AB616" s="788"/>
      <c r="AC616" s="626"/>
      <c r="AD616" s="626"/>
      <c r="AE616" s="626"/>
      <c r="AF616" s="626"/>
      <c r="AG616" s="788"/>
      <c r="AH616" s="626"/>
      <c r="AI616" s="626"/>
      <c r="AJ616" s="626"/>
      <c r="AK616" s="626"/>
      <c r="AL616" s="788"/>
      <c r="AM616" s="860">
        <f t="shared" ref="AM616:BF616" si="1325">+AM615/AM608</f>
        <v>0.3461838421063666</v>
      </c>
      <c r="AN616" s="860">
        <f t="shared" si="1325"/>
        <v>0.42155363044536348</v>
      </c>
      <c r="AO616" s="860">
        <f t="shared" si="1325"/>
        <v>0.42923525840133331</v>
      </c>
      <c r="AP616" s="860">
        <f t="shared" si="1325"/>
        <v>0.41836971850598054</v>
      </c>
      <c r="AQ616" s="1975">
        <f t="shared" si="1325"/>
        <v>0.40405196823706224</v>
      </c>
      <c r="AR616" s="860">
        <f t="shared" si="1325"/>
        <v>0.34720409919579942</v>
      </c>
      <c r="AS616" s="860">
        <f t="shared" si="1325"/>
        <v>0.42064560416575647</v>
      </c>
      <c r="AT616" s="860">
        <f t="shared" si="1325"/>
        <v>0.43182061195188531</v>
      </c>
      <c r="AU616" s="860">
        <f t="shared" si="1325"/>
        <v>0.46060996038877206</v>
      </c>
      <c r="AV616" s="1975">
        <f t="shared" si="1325"/>
        <v>0.41368874619473889</v>
      </c>
      <c r="AW616" s="860">
        <f t="shared" si="1325"/>
        <v>0.36584717291045754</v>
      </c>
      <c r="AX616" s="860">
        <f t="shared" si="1325"/>
        <v>0.43567478492602368</v>
      </c>
      <c r="AY616" s="860">
        <f t="shared" si="1325"/>
        <v>0.44953508955948013</v>
      </c>
      <c r="AZ616" s="860">
        <f t="shared" si="1325"/>
        <v>0.45872519907178627</v>
      </c>
      <c r="BA616" s="1975">
        <f t="shared" si="1325"/>
        <v>0.42731341503861825</v>
      </c>
      <c r="BB616" s="860">
        <f t="shared" si="1325"/>
        <v>0.37634442894810433</v>
      </c>
      <c r="BC616" s="860">
        <f t="shared" si="1325"/>
        <v>0.44306117588229715</v>
      </c>
      <c r="BD616" s="860">
        <f t="shared" si="1325"/>
        <v>0.46863890609461356</v>
      </c>
      <c r="BE616" s="860">
        <f t="shared" si="1325"/>
        <v>0.46245704670024151</v>
      </c>
      <c r="BF616" s="1975">
        <f t="shared" si="1325"/>
        <v>0.43757776151802041</v>
      </c>
      <c r="BG616" s="861">
        <f t="shared" ref="BG616:BM616" si="1326">+BG615/BG608</f>
        <v>0.38469168205584797</v>
      </c>
      <c r="BH616" s="860">
        <f t="shared" si="1326"/>
        <v>0.4184588535094812</v>
      </c>
      <c r="BI616" s="860">
        <f t="shared" si="1326"/>
        <v>0.45451416044103571</v>
      </c>
      <c r="BJ616" s="1295">
        <f t="shared" si="1326"/>
        <v>0.4612911232847085</v>
      </c>
      <c r="BK616" s="1975">
        <f t="shared" si="1326"/>
        <v>0.42866518187167091</v>
      </c>
      <c r="BL616" s="860">
        <f t="shared" si="1326"/>
        <v>0.39542158471068284</v>
      </c>
      <c r="BM616" s="860">
        <f t="shared" si="1326"/>
        <v>0.44337954898258125</v>
      </c>
      <c r="BN616" s="860"/>
      <c r="BO616" s="1295"/>
      <c r="BP616" s="1975"/>
      <c r="BQ616" s="860"/>
      <c r="BR616" s="860"/>
      <c r="BS616" s="860"/>
      <c r="BT616" s="1295"/>
      <c r="BU616" s="3407"/>
      <c r="BV616" s="860"/>
      <c r="BW616" s="860"/>
      <c r="BX616" s="860"/>
      <c r="BY616" s="1295"/>
      <c r="BZ616" s="1975"/>
      <c r="CA616" s="1975"/>
      <c r="CB616" s="1975"/>
      <c r="CC616" s="1975"/>
      <c r="CD616" s="1975"/>
      <c r="CE616" s="1975"/>
      <c r="CF616" s="1975"/>
      <c r="CG616" s="1975"/>
      <c r="CH616" s="626"/>
      <c r="CI616" s="626"/>
      <c r="CJ616" s="626"/>
      <c r="CK616" s="626"/>
      <c r="CL616" s="626"/>
      <c r="CM616" s="626"/>
      <c r="CN616" s="626"/>
      <c r="CO616" s="626"/>
      <c r="CP616" s="994"/>
      <c r="CQ616" s="626"/>
      <c r="CR616" s="626"/>
      <c r="CS616" s="626"/>
      <c r="CT616" s="626"/>
      <c r="CU616" s="626"/>
      <c r="CV616" s="626"/>
      <c r="CW616" s="626"/>
      <c r="CX616" s="626"/>
      <c r="CY616" s="626"/>
      <c r="CZ616" s="626"/>
      <c r="DA616" s="626"/>
      <c r="DB616" s="626"/>
      <c r="DC616" s="626"/>
      <c r="DD616" s="626"/>
      <c r="DE616" s="626"/>
      <c r="DF616" s="626"/>
      <c r="DG616" s="1893"/>
      <c r="DH616" s="632"/>
      <c r="DI616" s="595"/>
      <c r="DJ616" s="595"/>
      <c r="DK616" s="595"/>
      <c r="DL616" s="595"/>
      <c r="DM616" s="595"/>
      <c r="DN616" s="514"/>
      <c r="DO616" s="77"/>
      <c r="DY616" s="769"/>
      <c r="DZ616" s="769"/>
    </row>
    <row r="617" spans="1:130" ht="12" hidden="1" customHeight="1" outlineLevel="1">
      <c r="A617" s="567" t="s">
        <v>1153</v>
      </c>
      <c r="B617" s="228"/>
      <c r="C617" s="228"/>
      <c r="D617" s="625"/>
      <c r="E617" s="626"/>
      <c r="F617" s="626"/>
      <c r="G617" s="626"/>
      <c r="H617" s="788"/>
      <c r="I617" s="626"/>
      <c r="J617" s="626"/>
      <c r="K617" s="626"/>
      <c r="L617" s="626"/>
      <c r="M617" s="788"/>
      <c r="N617" s="626"/>
      <c r="O617" s="626"/>
      <c r="P617" s="626"/>
      <c r="Q617" s="626"/>
      <c r="R617" s="788"/>
      <c r="S617" s="626"/>
      <c r="T617" s="626"/>
      <c r="U617" s="626"/>
      <c r="V617" s="626"/>
      <c r="W617" s="788"/>
      <c r="X617" s="626"/>
      <c r="Y617" s="626"/>
      <c r="Z617" s="626"/>
      <c r="AA617" s="626"/>
      <c r="AB617" s="788"/>
      <c r="AC617" s="626"/>
      <c r="AD617" s="626"/>
      <c r="AE617" s="626"/>
      <c r="AF617" s="626"/>
      <c r="AG617" s="788"/>
      <c r="AH617" s="626"/>
      <c r="AI617" s="626"/>
      <c r="AJ617" s="626"/>
      <c r="AK617" s="626"/>
      <c r="AL617" s="788"/>
      <c r="AM617" s="626"/>
      <c r="AN617" s="261"/>
      <c r="AO617" s="626"/>
      <c r="AP617" s="330"/>
      <c r="AQ617" s="1439"/>
      <c r="AR617" s="573">
        <f>+AR615/AM615-1</f>
        <v>5.4604995376481558E-2</v>
      </c>
      <c r="AS617" s="573">
        <f>+AS615/AN615-1</f>
        <v>1.7272809933939426E-2</v>
      </c>
      <c r="AT617" s="573">
        <f>+AT615/AO615-1</f>
        <v>2.3699043926334706E-2</v>
      </c>
      <c r="AU617" s="548">
        <v>0.1</v>
      </c>
      <c r="AV617" s="1975">
        <f>+AV615/AQ615-1</f>
        <v>4.6633036111301651E-2</v>
      </c>
      <c r="AW617" s="548">
        <v>-0.03</v>
      </c>
      <c r="AX617" s="548">
        <v>-0.01</v>
      </c>
      <c r="AY617" s="548">
        <v>0</v>
      </c>
      <c r="AZ617" s="548">
        <v>-0.02</v>
      </c>
      <c r="BA617" s="1975">
        <f>+BA615/AV615-1</f>
        <v>-1.4194489960322687E-2</v>
      </c>
      <c r="BB617" s="548">
        <v>0</v>
      </c>
      <c r="BC617" s="548">
        <v>0</v>
      </c>
      <c r="BD617" s="548">
        <v>0</v>
      </c>
      <c r="BE617" s="548">
        <v>0</v>
      </c>
      <c r="BF617" s="1975">
        <f>+BF615/BA615-1</f>
        <v>0</v>
      </c>
      <c r="BG617" s="607">
        <v>0.05</v>
      </c>
      <c r="BH617" s="548">
        <v>-0.03</v>
      </c>
      <c r="BI617" s="548">
        <v>-0.02</v>
      </c>
      <c r="BJ617" s="2812">
        <v>-2.5000000000000001E-2</v>
      </c>
      <c r="BK617" s="1975">
        <f>+BK615/BF615-1</f>
        <v>-9.2776207235771846E-3</v>
      </c>
      <c r="BL617" s="548">
        <v>-0.03</v>
      </c>
      <c r="BM617" s="548">
        <v>-0.02</v>
      </c>
      <c r="BN617" s="548"/>
      <c r="BO617" s="548"/>
      <c r="BP617" s="1975"/>
      <c r="BQ617" s="548"/>
      <c r="BR617" s="548"/>
      <c r="BS617" s="548"/>
      <c r="BT617" s="548"/>
      <c r="BU617" s="3407"/>
      <c r="BV617" s="548"/>
      <c r="BW617" s="548"/>
      <c r="BX617" s="548"/>
      <c r="BY617" s="548"/>
      <c r="BZ617" s="458"/>
      <c r="CA617" s="458"/>
      <c r="CB617" s="458"/>
      <c r="CC617" s="458"/>
      <c r="CD617" s="458"/>
      <c r="CE617" s="458"/>
      <c r="CF617" s="458"/>
      <c r="CG617" s="458"/>
      <c r="CH617" s="626"/>
      <c r="CI617" s="626"/>
      <c r="CJ617" s="626"/>
      <c r="CK617" s="626"/>
      <c r="CL617" s="626"/>
      <c r="CM617" s="626"/>
      <c r="CN617" s="626"/>
      <c r="CO617" s="626"/>
      <c r="CP617" s="994"/>
      <c r="CQ617" s="626"/>
      <c r="CR617" s="626"/>
      <c r="CS617" s="626"/>
      <c r="CT617" s="626"/>
      <c r="CU617" s="626"/>
      <c r="CV617" s="626"/>
      <c r="CW617" s="626"/>
      <c r="CX617" s="626"/>
      <c r="CY617" s="626"/>
      <c r="CZ617" s="626"/>
      <c r="DA617" s="626"/>
      <c r="DB617" s="626"/>
      <c r="DC617" s="626"/>
      <c r="DD617" s="626"/>
      <c r="DE617" s="626"/>
      <c r="DF617" s="626"/>
      <c r="DG617" s="1893"/>
      <c r="DH617" s="632"/>
      <c r="DI617" s="595"/>
      <c r="DJ617" s="595"/>
      <c r="DK617" s="595"/>
      <c r="DL617" s="595"/>
      <c r="DM617" s="595"/>
      <c r="DN617" s="514"/>
      <c r="DO617" s="77"/>
      <c r="DY617" s="769"/>
      <c r="DZ617" s="769"/>
    </row>
    <row r="618" spans="1:130" ht="2.25" hidden="1" customHeight="1" outlineLevel="1">
      <c r="A618" s="552"/>
      <c r="B618" s="228"/>
      <c r="C618" s="228"/>
      <c r="D618" s="625"/>
      <c r="E618" s="626"/>
      <c r="F618" s="626"/>
      <c r="G618" s="626"/>
      <c r="H618" s="788"/>
      <c r="I618" s="626"/>
      <c r="J618" s="626"/>
      <c r="K618" s="626"/>
      <c r="L618" s="626"/>
      <c r="M618" s="788"/>
      <c r="N618" s="626"/>
      <c r="O618" s="626"/>
      <c r="P618" s="626"/>
      <c r="Q618" s="626"/>
      <c r="R618" s="788"/>
      <c r="S618" s="626"/>
      <c r="T618" s="626"/>
      <c r="U618" s="626"/>
      <c r="V618" s="626"/>
      <c r="W618" s="788"/>
      <c r="X618" s="626"/>
      <c r="Y618" s="626"/>
      <c r="Z618" s="626"/>
      <c r="AA618" s="626"/>
      <c r="AB618" s="788"/>
      <c r="AC618" s="626"/>
      <c r="AD618" s="626"/>
      <c r="AE618" s="626"/>
      <c r="AF618" s="626"/>
      <c r="AG618" s="788"/>
      <c r="AH618" s="626"/>
      <c r="AI618" s="626"/>
      <c r="AJ618" s="626"/>
      <c r="AK618" s="626"/>
      <c r="AL618" s="788"/>
      <c r="AM618" s="626"/>
      <c r="AN618" s="261"/>
      <c r="AO618" s="626"/>
      <c r="AP618" s="330"/>
      <c r="AQ618" s="1439"/>
      <c r="AR618" s="626"/>
      <c r="AS618" s="626"/>
      <c r="AT618" s="626"/>
      <c r="AU618" s="626"/>
      <c r="AV618" s="1439"/>
      <c r="AW618" s="626"/>
      <c r="AX618" s="261"/>
      <c r="AY618" s="626"/>
      <c r="AZ618" s="626"/>
      <c r="BA618" s="1439"/>
      <c r="BB618" s="626"/>
      <c r="BC618" s="261"/>
      <c r="BD618" s="626"/>
      <c r="BE618" s="626"/>
      <c r="BF618" s="1439"/>
      <c r="BG618" s="678"/>
      <c r="BH618" s="330"/>
      <c r="BI618" s="330"/>
      <c r="BJ618" s="2136"/>
      <c r="BK618" s="1439"/>
      <c r="BL618" s="330"/>
      <c r="BM618" s="330"/>
      <c r="BN618" s="330"/>
      <c r="BO618" s="2136"/>
      <c r="BP618" s="1439"/>
      <c r="BQ618" s="330"/>
      <c r="BR618" s="330"/>
      <c r="BS618" s="330"/>
      <c r="BT618" s="2136"/>
      <c r="BU618" s="3406"/>
      <c r="BV618" s="330"/>
      <c r="BW618" s="330"/>
      <c r="BX618" s="330"/>
      <c r="BY618" s="2136"/>
      <c r="BZ618" s="1439"/>
      <c r="CA618" s="1439"/>
      <c r="CB618" s="1439"/>
      <c r="CC618" s="1439"/>
      <c r="CD618" s="1439"/>
      <c r="CE618" s="1439"/>
      <c r="CF618" s="1439"/>
      <c r="CG618" s="1439"/>
      <c r="CH618" s="626"/>
      <c r="CI618" s="626"/>
      <c r="CJ618" s="626"/>
      <c r="CK618" s="626"/>
      <c r="CL618" s="626"/>
      <c r="CM618" s="626"/>
      <c r="CN618" s="626"/>
      <c r="CO618" s="626"/>
      <c r="CP618" s="994"/>
      <c r="CQ618" s="626"/>
      <c r="CR618" s="626"/>
      <c r="CS618" s="626"/>
      <c r="CT618" s="626"/>
      <c r="CU618" s="626"/>
      <c r="CV618" s="626"/>
      <c r="CW618" s="626"/>
      <c r="CX618" s="626"/>
      <c r="CY618" s="626"/>
      <c r="CZ618" s="626"/>
      <c r="DA618" s="626"/>
      <c r="DB618" s="626"/>
      <c r="DC618" s="626"/>
      <c r="DD618" s="626"/>
      <c r="DE618" s="626"/>
      <c r="DF618" s="626"/>
      <c r="DG618" s="1893"/>
      <c r="DH618" s="632"/>
      <c r="DI618" s="595"/>
      <c r="DJ618" s="595"/>
      <c r="DK618" s="595"/>
      <c r="DL618" s="595"/>
      <c r="DM618" s="595"/>
      <c r="DN618" s="514"/>
      <c r="DO618" s="77"/>
      <c r="DY618" s="330"/>
      <c r="DZ618" s="330"/>
    </row>
    <row r="619" spans="1:130" ht="12" hidden="1" customHeight="1" outlineLevel="1">
      <c r="A619" s="552" t="s">
        <v>1145</v>
      </c>
      <c r="B619" s="228"/>
      <c r="C619" s="228"/>
      <c r="D619" s="625"/>
      <c r="E619" s="626"/>
      <c r="F619" s="626"/>
      <c r="G619" s="626"/>
      <c r="H619" s="788"/>
      <c r="I619" s="626"/>
      <c r="J619" s="626"/>
      <c r="K619" s="626"/>
      <c r="L619" s="626"/>
      <c r="M619" s="788"/>
      <c r="N619" s="626"/>
      <c r="O619" s="626"/>
      <c r="P619" s="626"/>
      <c r="Q619" s="626"/>
      <c r="R619" s="788"/>
      <c r="S619" s="626"/>
      <c r="T619" s="626"/>
      <c r="U619" s="626"/>
      <c r="V619" s="626"/>
      <c r="W619" s="788"/>
      <c r="X619" s="626"/>
      <c r="Y619" s="626"/>
      <c r="Z619" s="626"/>
      <c r="AA619" s="626"/>
      <c r="AB619" s="788"/>
      <c r="AC619" s="626"/>
      <c r="AD619" s="626"/>
      <c r="AE619" s="626"/>
      <c r="AF619" s="626"/>
      <c r="AG619" s="788"/>
      <c r="AH619" s="626"/>
      <c r="AI619" s="626"/>
      <c r="AJ619" s="626"/>
      <c r="AK619" s="626"/>
      <c r="AL619" s="788"/>
      <c r="AM619" s="626">
        <f>+AM608-AM623</f>
        <v>20.038999999999998</v>
      </c>
      <c r="AN619" s="626">
        <f>+AN608-AN623</f>
        <v>23.202999999999999</v>
      </c>
      <c r="AO619" s="626">
        <f>+AO608-AO623</f>
        <v>21.885999999999999</v>
      </c>
      <c r="AP619" s="626">
        <f>+AP608-AP623</f>
        <v>20.210999999999999</v>
      </c>
      <c r="AQ619" s="1950">
        <f>+SUM(AM619:AP619)</f>
        <v>85.338999999999999</v>
      </c>
      <c r="AR619" s="626">
        <f>+AR608-AR623</f>
        <v>21.174999999999997</v>
      </c>
      <c r="AS619" s="626">
        <f>+AS608-AS623</f>
        <v>23.654999999999998</v>
      </c>
      <c r="AT619" s="626">
        <f>+AT608-AT623</f>
        <v>22.295999999999999</v>
      </c>
      <c r="AU619" s="626">
        <f>+AU615+AU612</f>
        <v>21.31385079567</v>
      </c>
      <c r="AV619" s="1950">
        <f>+SUM(AR619:AU619)</f>
        <v>88.439850795669997</v>
      </c>
      <c r="AW619" s="626">
        <f>+AW615+AW612</f>
        <v>19.893525439809999</v>
      </c>
      <c r="AX619" s="626">
        <f>+AX615+AX612</f>
        <v>22.947153581132998</v>
      </c>
      <c r="AY619" s="626">
        <f>+AY615+AY612</f>
        <v>21.828306319949998</v>
      </c>
      <c r="AZ619" s="626">
        <f>+AZ615+AZ612</f>
        <v>20.897308542573601</v>
      </c>
      <c r="BA619" s="1950">
        <f>+SUM(AW619:AZ619)</f>
        <v>85.566293883466599</v>
      </c>
      <c r="BB619" s="626">
        <f>+BB615+BB612</f>
        <v>19.580591080659996</v>
      </c>
      <c r="BC619" s="626">
        <f>+BC615+BC612</f>
        <v>22.740329967182998</v>
      </c>
      <c r="BD619" s="626">
        <f>+BD615+BD612</f>
        <v>21.363557475900002</v>
      </c>
      <c r="BE619" s="626">
        <f>+BE615+BE612</f>
        <v>20.811883160223601</v>
      </c>
      <c r="BF619" s="1950">
        <f>+SUM(BB619:BE619)</f>
        <v>84.496361683966597</v>
      </c>
      <c r="BG619" s="625">
        <f>+BG615+BG612</f>
        <v>20.384153597980497</v>
      </c>
      <c r="BH619" s="626">
        <f>+BH615+BH612</f>
        <v>22.669691465735006</v>
      </c>
      <c r="BI619" s="626">
        <f>+BI615+BI612</f>
        <v>21.224804686485001</v>
      </c>
      <c r="BJ619" s="1893">
        <f>+BJ615+BJ612</f>
        <v>20.275485471863011</v>
      </c>
      <c r="BK619" s="1950">
        <f>+SUM(BG619:BJ619)</f>
        <v>84.554135222063508</v>
      </c>
      <c r="BL619" s="626">
        <f>+BL615+BL612</f>
        <v>19.433938549497583</v>
      </c>
      <c r="BM619" s="626">
        <f>+BM615+BM612</f>
        <v>21.470090107714306</v>
      </c>
      <c r="BN619" s="626"/>
      <c r="BO619" s="1893"/>
      <c r="BP619" s="1950"/>
      <c r="BQ619" s="626"/>
      <c r="BR619" s="626"/>
      <c r="BS619" s="626"/>
      <c r="BT619" s="1893"/>
      <c r="BU619" s="3406"/>
      <c r="BV619" s="626"/>
      <c r="BW619" s="626"/>
      <c r="BX619" s="626"/>
      <c r="BY619" s="1893"/>
      <c r="BZ619" s="1950"/>
      <c r="CA619" s="1950"/>
      <c r="CB619" s="1950"/>
      <c r="CC619" s="1950"/>
      <c r="CD619" s="1950"/>
      <c r="CE619" s="1950"/>
      <c r="CF619" s="1950"/>
      <c r="CG619" s="1950"/>
      <c r="CH619" s="626"/>
      <c r="CI619" s="626"/>
      <c r="CJ619" s="626"/>
      <c r="CK619" s="626"/>
      <c r="CL619" s="626"/>
      <c r="CM619" s="626"/>
      <c r="CN619" s="626"/>
      <c r="CO619" s="626"/>
      <c r="CP619" s="994"/>
      <c r="CQ619" s="626"/>
      <c r="CR619" s="626"/>
      <c r="CS619" s="626"/>
      <c r="CT619" s="626"/>
      <c r="CU619" s="626"/>
      <c r="CV619" s="626"/>
      <c r="CW619" s="626"/>
      <c r="CX619" s="626"/>
      <c r="CY619" s="626"/>
      <c r="CZ619" s="626"/>
      <c r="DA619" s="626"/>
      <c r="DB619" s="626"/>
      <c r="DC619" s="626"/>
      <c r="DD619" s="626"/>
      <c r="DE619" s="626"/>
      <c r="DF619" s="626"/>
      <c r="DG619" s="1893"/>
      <c r="DH619" s="632"/>
      <c r="DI619" s="595"/>
      <c r="DJ619" s="595"/>
      <c r="DK619" s="595"/>
      <c r="DL619" s="595"/>
      <c r="DM619" s="595"/>
      <c r="DN619" s="514"/>
      <c r="DO619" s="77"/>
      <c r="DY619" s="1634"/>
      <c r="DZ619" s="1634"/>
    </row>
    <row r="620" spans="1:130" ht="12" hidden="1" customHeight="1" outlineLevel="1">
      <c r="A620" s="567" t="s">
        <v>1664</v>
      </c>
      <c r="B620" s="228"/>
      <c r="C620" s="228"/>
      <c r="D620" s="625"/>
      <c r="E620" s="626"/>
      <c r="F620" s="626"/>
      <c r="G620" s="626"/>
      <c r="H620" s="788"/>
      <c r="I620" s="626"/>
      <c r="J620" s="626"/>
      <c r="K620" s="626"/>
      <c r="L620" s="626"/>
      <c r="M620" s="788"/>
      <c r="N620" s="626"/>
      <c r="O620" s="626"/>
      <c r="P620" s="626"/>
      <c r="Q620" s="626"/>
      <c r="R620" s="788"/>
      <c r="S620" s="626"/>
      <c r="T620" s="626"/>
      <c r="U620" s="626"/>
      <c r="V620" s="626"/>
      <c r="W620" s="788"/>
      <c r="X620" s="626"/>
      <c r="Y620" s="626"/>
      <c r="Z620" s="626"/>
      <c r="AA620" s="626"/>
      <c r="AB620" s="788"/>
      <c r="AC620" s="626"/>
      <c r="AD620" s="626"/>
      <c r="AE620" s="626"/>
      <c r="AF620" s="626"/>
      <c r="AG620" s="788"/>
      <c r="AH620" s="626"/>
      <c r="AI620" s="626"/>
      <c r="AJ620" s="626"/>
      <c r="AK620" s="626"/>
      <c r="AL620" s="788"/>
      <c r="AM620" s="860">
        <f t="shared" ref="AM620:BF620" si="1327">+AM619/AM608</f>
        <v>0.7002236354741771</v>
      </c>
      <c r="AN620" s="860">
        <f t="shared" si="1327"/>
        <v>0.73812629234929217</v>
      </c>
      <c r="AO620" s="860">
        <f t="shared" si="1327"/>
        <v>0.75995694294940797</v>
      </c>
      <c r="AP620" s="860">
        <f t="shared" si="1327"/>
        <v>0.76021214172872942</v>
      </c>
      <c r="AQ620" s="1975">
        <f t="shared" si="1327"/>
        <v>0.73926263448777696</v>
      </c>
      <c r="AR620" s="860">
        <f t="shared" si="1327"/>
        <v>0.7036753954539412</v>
      </c>
      <c r="AS620" s="860">
        <f t="shared" si="1327"/>
        <v>0.73813461478453524</v>
      </c>
      <c r="AT620" s="860">
        <f t="shared" si="1327"/>
        <v>0.76082579764545299</v>
      </c>
      <c r="AU620" s="860">
        <f t="shared" si="1327"/>
        <v>0.80239703987455679</v>
      </c>
      <c r="AV620" s="1975">
        <f t="shared" si="1327"/>
        <v>0.74944755764895687</v>
      </c>
      <c r="AW620" s="860">
        <f t="shared" si="1327"/>
        <v>0.71813124977021336</v>
      </c>
      <c r="AX620" s="860">
        <f t="shared" si="1327"/>
        <v>0.74912159726566119</v>
      </c>
      <c r="AY620" s="860">
        <f t="shared" si="1327"/>
        <v>0.7754227574712087</v>
      </c>
      <c r="AZ620" s="860">
        <f t="shared" si="1327"/>
        <v>0.7994861574980614</v>
      </c>
      <c r="BA620" s="1975">
        <f t="shared" si="1327"/>
        <v>0.75976196558295583</v>
      </c>
      <c r="BB620" s="860">
        <f t="shared" si="1327"/>
        <v>0.727115927377742</v>
      </c>
      <c r="BC620" s="860">
        <f t="shared" si="1327"/>
        <v>0.75495580374683979</v>
      </c>
      <c r="BD620" s="860">
        <f t="shared" si="1327"/>
        <v>0.7911645506337911</v>
      </c>
      <c r="BE620" s="860">
        <f t="shared" si="1327"/>
        <v>0.80269540398004324</v>
      </c>
      <c r="BF620" s="1975">
        <f t="shared" si="1327"/>
        <v>0.76828357900370026</v>
      </c>
      <c r="BG620" s="861">
        <f t="shared" ref="BG620:BM620" si="1328">+BG619/BG608</f>
        <v>0.73689998664818057</v>
      </c>
      <c r="BH620" s="860">
        <f t="shared" si="1328"/>
        <v>0.73280378904058319</v>
      </c>
      <c r="BI620" s="860">
        <f t="shared" si="1328"/>
        <v>0.77789315652406965</v>
      </c>
      <c r="BJ620" s="1295">
        <f t="shared" si="1328"/>
        <v>0.80003638592250703</v>
      </c>
      <c r="BK620" s="1975">
        <f t="shared" si="1328"/>
        <v>0.76020266518645774</v>
      </c>
      <c r="BL620" s="860">
        <f t="shared" si="1328"/>
        <v>0.74447913866483861</v>
      </c>
      <c r="BM620" s="860">
        <f t="shared" si="1328"/>
        <v>0.75036537328762898</v>
      </c>
      <c r="BN620" s="860"/>
      <c r="BO620" s="1295"/>
      <c r="BP620" s="1975"/>
      <c r="BQ620" s="860"/>
      <c r="BR620" s="860"/>
      <c r="BS620" s="860"/>
      <c r="BT620" s="1295"/>
      <c r="BU620" s="3407"/>
      <c r="BV620" s="860"/>
      <c r="BW620" s="860"/>
      <c r="BX620" s="860"/>
      <c r="BY620" s="1295"/>
      <c r="BZ620" s="1975"/>
      <c r="CA620" s="1975"/>
      <c r="CB620" s="1975"/>
      <c r="CC620" s="1975"/>
      <c r="CD620" s="1975"/>
      <c r="CE620" s="1975"/>
      <c r="CF620" s="1975"/>
      <c r="CG620" s="1975"/>
      <c r="CH620" s="626"/>
      <c r="CI620" s="626"/>
      <c r="CJ620" s="626"/>
      <c r="CK620" s="626"/>
      <c r="CL620" s="626"/>
      <c r="CM620" s="626"/>
      <c r="CN620" s="626"/>
      <c r="CO620" s="626"/>
      <c r="CP620" s="994"/>
      <c r="CQ620" s="626"/>
      <c r="CR620" s="626"/>
      <c r="CS620" s="626"/>
      <c r="CT620" s="626"/>
      <c r="CU620" s="626"/>
      <c r="CV620" s="626"/>
      <c r="CW620" s="626"/>
      <c r="CX620" s="626"/>
      <c r="CY620" s="626"/>
      <c r="CZ620" s="626"/>
      <c r="DA620" s="626"/>
      <c r="DB620" s="626"/>
      <c r="DC620" s="626"/>
      <c r="DD620" s="626"/>
      <c r="DE620" s="626"/>
      <c r="DF620" s="626"/>
      <c r="DG620" s="1893"/>
      <c r="DH620" s="632"/>
      <c r="DI620" s="595"/>
      <c r="DJ620" s="595"/>
      <c r="DK620" s="595"/>
      <c r="DL620" s="595"/>
      <c r="DM620" s="595"/>
      <c r="DN620" s="514"/>
      <c r="DO620" s="77"/>
      <c r="DY620" s="769"/>
      <c r="DZ620" s="769"/>
    </row>
    <row r="621" spans="1:130" ht="12" hidden="1" customHeight="1" outlineLevel="1">
      <c r="A621" s="567" t="s">
        <v>1153</v>
      </c>
      <c r="B621" s="228"/>
      <c r="C621" s="228"/>
      <c r="D621" s="625"/>
      <c r="E621" s="626"/>
      <c r="F621" s="626"/>
      <c r="G621" s="626"/>
      <c r="H621" s="788"/>
      <c r="I621" s="626"/>
      <c r="J621" s="626"/>
      <c r="K621" s="626"/>
      <c r="L621" s="626"/>
      <c r="M621" s="788"/>
      <c r="N621" s="626"/>
      <c r="O621" s="626"/>
      <c r="P621" s="626"/>
      <c r="Q621" s="626"/>
      <c r="R621" s="788"/>
      <c r="S621" s="626"/>
      <c r="T621" s="626"/>
      <c r="U621" s="626"/>
      <c r="V621" s="626"/>
      <c r="W621" s="788"/>
      <c r="X621" s="626"/>
      <c r="Y621" s="626"/>
      <c r="Z621" s="626"/>
      <c r="AA621" s="626"/>
      <c r="AB621" s="788"/>
      <c r="AC621" s="626"/>
      <c r="AD621" s="626"/>
      <c r="AE621" s="626"/>
      <c r="AF621" s="626"/>
      <c r="AG621" s="788"/>
      <c r="AH621" s="626"/>
      <c r="AI621" s="626"/>
      <c r="AJ621" s="626"/>
      <c r="AK621" s="626"/>
      <c r="AL621" s="788"/>
      <c r="AM621" s="626"/>
      <c r="AN621" s="261"/>
      <c r="AO621" s="626"/>
      <c r="AP621" s="330"/>
      <c r="AQ621" s="1439"/>
      <c r="AR621" s="573">
        <f t="shared" ref="AR621:BF621" si="1329">+AR619/AM619-1</f>
        <v>5.6689455561654833E-2</v>
      </c>
      <c r="AS621" s="573">
        <f t="shared" si="1329"/>
        <v>1.9480239624186435E-2</v>
      </c>
      <c r="AT621" s="573">
        <f t="shared" si="1329"/>
        <v>1.8733436900301603E-2</v>
      </c>
      <c r="AU621" s="573">
        <f t="shared" si="1329"/>
        <v>5.4566859416654401E-2</v>
      </c>
      <c r="AV621" s="1975">
        <f t="shared" si="1329"/>
        <v>3.6335682345352005E-2</v>
      </c>
      <c r="AW621" s="573">
        <f t="shared" si="1329"/>
        <v>-6.0518279111688278E-2</v>
      </c>
      <c r="AX621" s="573">
        <f t="shared" si="1329"/>
        <v>-2.9923754760811661E-2</v>
      </c>
      <c r="AY621" s="573">
        <f t="shared" si="1329"/>
        <v>-2.0976573378633012E-2</v>
      </c>
      <c r="AZ621" s="573">
        <f t="shared" si="1329"/>
        <v>-1.9543265883282812E-2</v>
      </c>
      <c r="BA621" s="1975">
        <f t="shared" si="1329"/>
        <v>-3.2491652646977176E-2</v>
      </c>
      <c r="BB621" s="573">
        <f t="shared" si="1329"/>
        <v>-1.5730462662177147E-2</v>
      </c>
      <c r="BC621" s="573">
        <f t="shared" si="1329"/>
        <v>-9.0130400364797358E-3</v>
      </c>
      <c r="BD621" s="573">
        <f t="shared" si="1329"/>
        <v>-2.1291108766658629E-2</v>
      </c>
      <c r="BE621" s="573">
        <f t="shared" si="1329"/>
        <v>-4.0878652949954963E-3</v>
      </c>
      <c r="BF621" s="1975">
        <f t="shared" si="1329"/>
        <v>-1.25041316030019E-2</v>
      </c>
      <c r="BG621" s="2730">
        <f t="shared" ref="BG621:BM621" si="1330">+BG619/BB619-1</f>
        <v>4.1038726257563773E-2</v>
      </c>
      <c r="BH621" s="573">
        <f t="shared" si="1330"/>
        <v>-3.106309431302523E-3</v>
      </c>
      <c r="BI621" s="573">
        <f t="shared" si="1330"/>
        <v>-6.4948354023680599E-3</v>
      </c>
      <c r="BJ621" s="2135">
        <f t="shared" si="1330"/>
        <v>-2.5773625780571963E-2</v>
      </c>
      <c r="BK621" s="1975">
        <f t="shared" si="1330"/>
        <v>6.8373994980985842E-4</v>
      </c>
      <c r="BL621" s="573">
        <f t="shared" si="1330"/>
        <v>-4.6615379143191582E-2</v>
      </c>
      <c r="BM621" s="573">
        <f t="shared" si="1330"/>
        <v>-5.2916527771623367E-2</v>
      </c>
      <c r="BN621" s="573"/>
      <c r="BO621" s="2135"/>
      <c r="BP621" s="1975"/>
      <c r="BQ621" s="573"/>
      <c r="BR621" s="573"/>
      <c r="BS621" s="573"/>
      <c r="BT621" s="2135"/>
      <c r="BU621" s="3407"/>
      <c r="BV621" s="573"/>
      <c r="BW621" s="573"/>
      <c r="BX621" s="573"/>
      <c r="BY621" s="2135"/>
      <c r="BZ621" s="1621"/>
      <c r="CA621" s="1621"/>
      <c r="CB621" s="1621"/>
      <c r="CC621" s="1621"/>
      <c r="CD621" s="1621"/>
      <c r="CE621" s="1621"/>
      <c r="CF621" s="1621"/>
      <c r="CG621" s="1621"/>
      <c r="CH621" s="626"/>
      <c r="CI621" s="626"/>
      <c r="CJ621" s="626"/>
      <c r="CK621" s="626"/>
      <c r="CL621" s="626"/>
      <c r="CM621" s="626"/>
      <c r="CN621" s="626"/>
      <c r="CO621" s="626"/>
      <c r="CP621" s="994"/>
      <c r="CQ621" s="626"/>
      <c r="CR621" s="626"/>
      <c r="CS621" s="626"/>
      <c r="CT621" s="626"/>
      <c r="CU621" s="626"/>
      <c r="CV621" s="626"/>
      <c r="CW621" s="626"/>
      <c r="CX621" s="626"/>
      <c r="CY621" s="626"/>
      <c r="CZ621" s="626"/>
      <c r="DA621" s="626"/>
      <c r="DB621" s="626"/>
      <c r="DC621" s="626"/>
      <c r="DD621" s="626"/>
      <c r="DE621" s="626"/>
      <c r="DF621" s="626"/>
      <c r="DG621" s="1893"/>
      <c r="DH621" s="632"/>
      <c r="DI621" s="595"/>
      <c r="DJ621" s="595"/>
      <c r="DK621" s="595"/>
      <c r="DL621" s="595"/>
      <c r="DM621" s="595"/>
      <c r="DN621" s="514"/>
      <c r="DO621" s="77"/>
      <c r="DY621" s="769"/>
      <c r="DZ621" s="769"/>
    </row>
    <row r="622" spans="1:130" ht="12" hidden="1" customHeight="1" outlineLevel="1">
      <c r="A622" s="552"/>
      <c r="B622" s="228"/>
      <c r="C622" s="228"/>
      <c r="D622" s="625"/>
      <c r="E622" s="626"/>
      <c r="F622" s="626"/>
      <c r="G622" s="626"/>
      <c r="H622" s="788"/>
      <c r="I622" s="626"/>
      <c r="J622" s="626"/>
      <c r="K622" s="626"/>
      <c r="L622" s="626"/>
      <c r="M622" s="788"/>
      <c r="N622" s="626"/>
      <c r="O622" s="626"/>
      <c r="P622" s="626"/>
      <c r="Q622" s="626"/>
      <c r="R622" s="788"/>
      <c r="S622" s="626"/>
      <c r="T622" s="626"/>
      <c r="U622" s="626"/>
      <c r="V622" s="626"/>
      <c r="W622" s="788"/>
      <c r="X622" s="626"/>
      <c r="Y622" s="626"/>
      <c r="Z622" s="626"/>
      <c r="AA622" s="626"/>
      <c r="AB622" s="788"/>
      <c r="AC622" s="626"/>
      <c r="AD622" s="626"/>
      <c r="AE622" s="626"/>
      <c r="AF622" s="626"/>
      <c r="AG622" s="788"/>
      <c r="AH622" s="626"/>
      <c r="AI622" s="626"/>
      <c r="AJ622" s="626"/>
      <c r="AK622" s="626"/>
      <c r="AL622" s="788"/>
      <c r="AM622" s="626"/>
      <c r="AN622" s="261"/>
      <c r="AO622" s="626"/>
      <c r="AP622" s="330"/>
      <c r="AQ622" s="1439"/>
      <c r="AR622" s="330"/>
      <c r="AS622" s="330"/>
      <c r="AT622" s="330"/>
      <c r="AU622" s="626"/>
      <c r="AV622" s="1439"/>
      <c r="AW622" s="626"/>
      <c r="AX622" s="261"/>
      <c r="AY622" s="626"/>
      <c r="AZ622" s="626"/>
      <c r="BA622" s="1439"/>
      <c r="BB622" s="626"/>
      <c r="BC622" s="261"/>
      <c r="BD622" s="626"/>
      <c r="BE622" s="626"/>
      <c r="BF622" s="1439"/>
      <c r="BG622" s="678"/>
      <c r="BH622" s="330"/>
      <c r="BI622" s="330"/>
      <c r="BJ622" s="2136"/>
      <c r="BK622" s="1439"/>
      <c r="BL622" s="330"/>
      <c r="BM622" s="330"/>
      <c r="BN622" s="330"/>
      <c r="BO622" s="2136"/>
      <c r="BP622" s="1439"/>
      <c r="BQ622" s="330"/>
      <c r="BR622" s="330"/>
      <c r="BS622" s="330"/>
      <c r="BT622" s="2136"/>
      <c r="BU622" s="3406"/>
      <c r="BV622" s="330"/>
      <c r="BW622" s="330"/>
      <c r="BX622" s="330"/>
      <c r="BY622" s="2136"/>
      <c r="BZ622" s="1439"/>
      <c r="CA622" s="1439"/>
      <c r="CB622" s="1439"/>
      <c r="CC622" s="1439"/>
      <c r="CD622" s="1439"/>
      <c r="CE622" s="1439"/>
      <c r="CF622" s="1439"/>
      <c r="CG622" s="1439"/>
      <c r="CH622" s="626"/>
      <c r="CI622" s="626"/>
      <c r="CJ622" s="626"/>
      <c r="CK622" s="626"/>
      <c r="CL622" s="626"/>
      <c r="CM622" s="626"/>
      <c r="CN622" s="626"/>
      <c r="CO622" s="626"/>
      <c r="CP622" s="994"/>
      <c r="CQ622" s="626"/>
      <c r="CR622" s="626"/>
      <c r="CS622" s="626"/>
      <c r="CT622" s="626"/>
      <c r="CU622" s="626"/>
      <c r="CV622" s="626"/>
      <c r="CW622" s="626"/>
      <c r="CX622" s="626"/>
      <c r="CY622" s="626"/>
      <c r="CZ622" s="626"/>
      <c r="DA622" s="626"/>
      <c r="DB622" s="626"/>
      <c r="DC622" s="626"/>
      <c r="DD622" s="626"/>
      <c r="DE622" s="626"/>
      <c r="DF622" s="626"/>
      <c r="DG622" s="1893"/>
      <c r="DH622" s="632"/>
      <c r="DI622" s="595"/>
      <c r="DJ622" s="595"/>
      <c r="DK622" s="595"/>
      <c r="DL622" s="595"/>
      <c r="DM622" s="595"/>
      <c r="DN622" s="514"/>
      <c r="DO622" s="77"/>
      <c r="DY622" s="330"/>
      <c r="DZ622" s="330"/>
    </row>
    <row r="623" spans="1:130" ht="12" hidden="1" customHeight="1" outlineLevel="1">
      <c r="A623" s="228" t="s">
        <v>401</v>
      </c>
      <c r="B623" s="228"/>
      <c r="C623" s="228"/>
      <c r="D623" s="625"/>
      <c r="E623" s="626"/>
      <c r="F623" s="626"/>
      <c r="G623" s="626"/>
      <c r="H623" s="788"/>
      <c r="I623" s="626"/>
      <c r="J623" s="626"/>
      <c r="K623" s="626"/>
      <c r="L623" s="626"/>
      <c r="M623" s="788"/>
      <c r="N623" s="626"/>
      <c r="O623" s="626"/>
      <c r="P623" s="626"/>
      <c r="Q623" s="626"/>
      <c r="R623" s="788"/>
      <c r="S623" s="626"/>
      <c r="T623" s="626"/>
      <c r="U623" s="626"/>
      <c r="V623" s="626"/>
      <c r="W623" s="788"/>
      <c r="X623" s="626"/>
      <c r="Y623" s="626"/>
      <c r="Z623" s="626"/>
      <c r="AA623" s="626"/>
      <c r="AB623" s="788"/>
      <c r="AC623" s="626"/>
      <c r="AD623" s="626"/>
      <c r="AE623" s="626"/>
      <c r="AF623" s="626"/>
      <c r="AG623" s="788"/>
      <c r="AH623" s="626"/>
      <c r="AI623" s="626"/>
      <c r="AJ623" s="626"/>
      <c r="AK623" s="626"/>
      <c r="AL623" s="788"/>
      <c r="AM623" s="827">
        <v>8.5790000000000006</v>
      </c>
      <c r="AN623" s="827">
        <v>8.2319999999999993</v>
      </c>
      <c r="AO623" s="827">
        <v>6.9130000000000003</v>
      </c>
      <c r="AP623" s="827">
        <v>6.375</v>
      </c>
      <c r="AQ623" s="556">
        <f>+SUM(AM623:AP623)</f>
        <v>30.099</v>
      </c>
      <c r="AR623" s="827">
        <v>8.9169999999999998</v>
      </c>
      <c r="AS623" s="827">
        <v>8.3919999999999995</v>
      </c>
      <c r="AT623" s="827">
        <v>7.0090000000000003</v>
      </c>
      <c r="AU623" s="826">
        <f>+AU608-AU619</f>
        <v>5.2488728143299994</v>
      </c>
      <c r="AV623" s="556">
        <f>+SUM(AR623:AU623)</f>
        <v>29.566872814329997</v>
      </c>
      <c r="AW623" s="826">
        <f>+AW608-AW619</f>
        <v>7.8082706401900026</v>
      </c>
      <c r="AX623" s="826">
        <f>+AX608-AX619</f>
        <v>7.6849275988669987</v>
      </c>
      <c r="AY623" s="826">
        <f>+AY608-AY619</f>
        <v>6.321894470050001</v>
      </c>
      <c r="AZ623" s="826">
        <f>+AZ608-AZ619</f>
        <v>5.2411159274263994</v>
      </c>
      <c r="BA623" s="556">
        <f>+SUM(AW623:AZ623)</f>
        <v>27.056208636533402</v>
      </c>
      <c r="BB623" s="826">
        <f>+BB608-BB619</f>
        <v>7.3485275693400034</v>
      </c>
      <c r="BC623" s="826">
        <f>+BC608-BC619</f>
        <v>7.3810756228169971</v>
      </c>
      <c r="BD623" s="826">
        <f>+BD608-BD619</f>
        <v>5.6391153040999988</v>
      </c>
      <c r="BE623" s="826">
        <f>+BE608-BE619</f>
        <v>5.1156144397763974</v>
      </c>
      <c r="BF623" s="556">
        <f>+SUM(BB623:BE623)</f>
        <v>25.484332936033397</v>
      </c>
      <c r="BG623" s="2731">
        <f>+BG608-BG619</f>
        <v>7.2778819120195024</v>
      </c>
      <c r="BH623" s="826">
        <f>+BH608-BH619</f>
        <v>8.2658629142649893</v>
      </c>
      <c r="BI623" s="826">
        <f>+BI608-BI619</f>
        <v>6.0601823435149988</v>
      </c>
      <c r="BJ623" s="1900">
        <f>+BJ608-BJ619</f>
        <v>5.0677186981369893</v>
      </c>
      <c r="BK623" s="556">
        <f>+SUM(BG623:BJ623)</f>
        <v>26.67164586793648</v>
      </c>
      <c r="BL623" s="826">
        <f>+BL608-BL619</f>
        <v>6.6701354805024167</v>
      </c>
      <c r="BM623" s="826">
        <f>+BM608-BM619</f>
        <v>7.1427575422856897</v>
      </c>
      <c r="BN623" s="826"/>
      <c r="BO623" s="1900"/>
      <c r="BP623" s="556"/>
      <c r="BQ623" s="826"/>
      <c r="BR623" s="826"/>
      <c r="BS623" s="826"/>
      <c r="BT623" s="1900"/>
      <c r="BU623" s="3372"/>
      <c r="BV623" s="826"/>
      <c r="BW623" s="826"/>
      <c r="BX623" s="826"/>
      <c r="BY623" s="1900"/>
      <c r="BZ623" s="556"/>
      <c r="CA623" s="556"/>
      <c r="CB623" s="556"/>
      <c r="CC623" s="556"/>
      <c r="CD623" s="556"/>
      <c r="CE623" s="556"/>
      <c r="CF623" s="556"/>
      <c r="CG623" s="556"/>
      <c r="CH623" s="626"/>
      <c r="CI623" s="626"/>
      <c r="CJ623" s="626"/>
      <c r="CK623" s="626"/>
      <c r="CL623" s="626"/>
      <c r="CM623" s="626"/>
      <c r="CN623" s="626"/>
      <c r="CO623" s="626"/>
      <c r="CP623" s="994"/>
      <c r="CQ623" s="626"/>
      <c r="CR623" s="626"/>
      <c r="CS623" s="626"/>
      <c r="CT623" s="626"/>
      <c r="CU623" s="626"/>
      <c r="CV623" s="626"/>
      <c r="CW623" s="626"/>
      <c r="CX623" s="626"/>
      <c r="CY623" s="626"/>
      <c r="CZ623" s="626"/>
      <c r="DA623" s="626"/>
      <c r="DB623" s="626"/>
      <c r="DC623" s="626"/>
      <c r="DD623" s="626"/>
      <c r="DE623" s="626"/>
      <c r="DF623" s="626"/>
      <c r="DG623" s="1893"/>
      <c r="DH623" s="632"/>
      <c r="DI623" s="595"/>
      <c r="DJ623" s="595"/>
      <c r="DK623" s="595"/>
      <c r="DL623" s="595"/>
      <c r="DM623" s="595"/>
      <c r="DN623" s="514"/>
      <c r="DO623" s="77"/>
      <c r="DY623" s="557"/>
      <c r="DZ623" s="557"/>
    </row>
    <row r="624" spans="1:130" ht="12" hidden="1" customHeight="1" outlineLevel="1">
      <c r="A624" s="212" t="s">
        <v>56</v>
      </c>
      <c r="B624" s="228"/>
      <c r="C624" s="228"/>
      <c r="D624" s="625"/>
      <c r="E624" s="626"/>
      <c r="F624" s="626"/>
      <c r="G624" s="626"/>
      <c r="H624" s="788"/>
      <c r="I624" s="626"/>
      <c r="J624" s="626"/>
      <c r="K624" s="626"/>
      <c r="L624" s="626"/>
      <c r="M624" s="788"/>
      <c r="N624" s="626"/>
      <c r="O624" s="626"/>
      <c r="P624" s="626"/>
      <c r="Q624" s="626"/>
      <c r="R624" s="788"/>
      <c r="S624" s="626"/>
      <c r="T624" s="626"/>
      <c r="U624" s="626"/>
      <c r="V624" s="626"/>
      <c r="W624" s="788"/>
      <c r="X624" s="626"/>
      <c r="Y624" s="626"/>
      <c r="Z624" s="626"/>
      <c r="AA624" s="626"/>
      <c r="AB624" s="788"/>
      <c r="AC624" s="626"/>
      <c r="AD624" s="626"/>
      <c r="AE624" s="626"/>
      <c r="AF624" s="626"/>
      <c r="AG624" s="788"/>
      <c r="AH624" s="626"/>
      <c r="AI624" s="626"/>
      <c r="AJ624" s="626"/>
      <c r="AK624" s="626"/>
      <c r="AL624" s="788"/>
      <c r="AM624" s="573">
        <f t="shared" ref="AM624:BF624" si="1331">+AM623/AM608</f>
        <v>0.29977636452582296</v>
      </c>
      <c r="AN624" s="573">
        <f t="shared" si="1331"/>
        <v>0.26187370765070778</v>
      </c>
      <c r="AO624" s="573">
        <f t="shared" si="1331"/>
        <v>0.24004305705059203</v>
      </c>
      <c r="AP624" s="573">
        <f t="shared" si="1331"/>
        <v>0.23978785827127061</v>
      </c>
      <c r="AQ624" s="1621">
        <f t="shared" si="1331"/>
        <v>0.26073736551222298</v>
      </c>
      <c r="AR624" s="573">
        <f t="shared" si="1331"/>
        <v>0.29632460454605875</v>
      </c>
      <c r="AS624" s="573">
        <f t="shared" si="1331"/>
        <v>0.26186538521546482</v>
      </c>
      <c r="AT624" s="573">
        <f t="shared" si="1331"/>
        <v>0.23917420235454703</v>
      </c>
      <c r="AU624" s="573">
        <f t="shared" si="1331"/>
        <v>0.19760296012544323</v>
      </c>
      <c r="AV624" s="1621">
        <f t="shared" si="1331"/>
        <v>0.25055244235104307</v>
      </c>
      <c r="AW624" s="573">
        <f t="shared" si="1331"/>
        <v>0.28186875022978664</v>
      </c>
      <c r="AX624" s="573">
        <f t="shared" si="1331"/>
        <v>0.25087840273433876</v>
      </c>
      <c r="AY624" s="573">
        <f t="shared" si="1331"/>
        <v>0.22457724252879124</v>
      </c>
      <c r="AZ624" s="573">
        <f t="shared" si="1331"/>
        <v>0.20051384250193865</v>
      </c>
      <c r="BA624" s="1621">
        <f t="shared" si="1331"/>
        <v>0.24023803441704417</v>
      </c>
      <c r="BB624" s="573">
        <f t="shared" si="1331"/>
        <v>0.27288407262225806</v>
      </c>
      <c r="BC624" s="573">
        <f t="shared" si="1331"/>
        <v>0.24504419625316026</v>
      </c>
      <c r="BD624" s="573">
        <f t="shared" si="1331"/>
        <v>0.20883544936620896</v>
      </c>
      <c r="BE624" s="573">
        <f t="shared" si="1331"/>
        <v>0.19730459601995673</v>
      </c>
      <c r="BF624" s="1621">
        <f t="shared" si="1331"/>
        <v>0.23171642099629974</v>
      </c>
      <c r="BG624" s="2730">
        <f t="shared" ref="BG624:BM624" si="1332">+BG623/BG608</f>
        <v>0.26310001335181943</v>
      </c>
      <c r="BH624" s="573">
        <f t="shared" si="1332"/>
        <v>0.26719621095941681</v>
      </c>
      <c r="BI624" s="573">
        <f t="shared" si="1332"/>
        <v>0.22210684347593032</v>
      </c>
      <c r="BJ624" s="2135">
        <f t="shared" si="1332"/>
        <v>0.19996361407749291</v>
      </c>
      <c r="BK624" s="1621">
        <f t="shared" si="1332"/>
        <v>0.23979733481354221</v>
      </c>
      <c r="BL624" s="573">
        <f t="shared" si="1332"/>
        <v>0.25552086133516139</v>
      </c>
      <c r="BM624" s="573">
        <f t="shared" si="1332"/>
        <v>0.24963462671237097</v>
      </c>
      <c r="BN624" s="573"/>
      <c r="BO624" s="2135"/>
      <c r="BP624" s="1621"/>
      <c r="BQ624" s="573"/>
      <c r="BR624" s="573"/>
      <c r="BS624" s="573"/>
      <c r="BT624" s="2135"/>
      <c r="BU624" s="3371"/>
      <c r="BV624" s="573"/>
      <c r="BW624" s="573"/>
      <c r="BX624" s="573"/>
      <c r="BY624" s="2135"/>
      <c r="BZ624" s="562"/>
      <c r="CA624" s="562"/>
      <c r="CB624" s="562"/>
      <c r="CC624" s="562"/>
      <c r="CD624" s="562"/>
      <c r="CE624" s="562"/>
      <c r="CF624" s="562"/>
      <c r="CG624" s="562"/>
      <c r="CH624" s="626"/>
      <c r="CI624" s="626"/>
      <c r="CJ624" s="626"/>
      <c r="CK624" s="626"/>
      <c r="CL624" s="626"/>
      <c r="CM624" s="626"/>
      <c r="CN624" s="626"/>
      <c r="CO624" s="626"/>
      <c r="CP624" s="994"/>
      <c r="CQ624" s="626"/>
      <c r="CR624" s="626"/>
      <c r="CS624" s="626"/>
      <c r="CT624" s="626"/>
      <c r="CU624" s="626"/>
      <c r="CV624" s="626"/>
      <c r="CW624" s="626"/>
      <c r="CX624" s="626"/>
      <c r="CY624" s="626"/>
      <c r="CZ624" s="626"/>
      <c r="DA624" s="626"/>
      <c r="DB624" s="626"/>
      <c r="DC624" s="626"/>
      <c r="DD624" s="626"/>
      <c r="DE624" s="626"/>
      <c r="DF624" s="626"/>
      <c r="DG624" s="1893"/>
      <c r="DH624" s="632"/>
      <c r="DI624" s="595"/>
      <c r="DJ624" s="595"/>
      <c r="DK624" s="595"/>
      <c r="DL624" s="595"/>
      <c r="DM624" s="595"/>
      <c r="DN624" s="514"/>
      <c r="DO624" s="77"/>
      <c r="DY624" s="573"/>
      <c r="DZ624" s="573"/>
    </row>
    <row r="625" spans="1:130" ht="12" hidden="1" customHeight="1" outlineLevel="1">
      <c r="A625" s="567" t="s">
        <v>1153</v>
      </c>
      <c r="B625" s="228"/>
      <c r="C625" s="228"/>
      <c r="D625" s="625"/>
      <c r="E625" s="626"/>
      <c r="F625" s="626"/>
      <c r="G625" s="626"/>
      <c r="H625" s="788"/>
      <c r="I625" s="626"/>
      <c r="J625" s="626"/>
      <c r="K625" s="626"/>
      <c r="L625" s="626"/>
      <c r="M625" s="788"/>
      <c r="N625" s="626"/>
      <c r="O625" s="626"/>
      <c r="P625" s="626"/>
      <c r="Q625" s="626"/>
      <c r="R625" s="788"/>
      <c r="S625" s="626"/>
      <c r="T625" s="626"/>
      <c r="U625" s="626"/>
      <c r="V625" s="626"/>
      <c r="W625" s="788"/>
      <c r="X625" s="626"/>
      <c r="Y625" s="626"/>
      <c r="Z625" s="626"/>
      <c r="AA625" s="626"/>
      <c r="AB625" s="788"/>
      <c r="AC625" s="626"/>
      <c r="AD625" s="626"/>
      <c r="AE625" s="626"/>
      <c r="AF625" s="626"/>
      <c r="AG625" s="788"/>
      <c r="AH625" s="626"/>
      <c r="AI625" s="626"/>
      <c r="AJ625" s="626"/>
      <c r="AK625" s="626"/>
      <c r="AL625" s="788"/>
      <c r="AM625" s="626"/>
      <c r="AN625" s="261"/>
      <c r="AO625" s="626"/>
      <c r="AP625" s="330"/>
      <c r="AQ625" s="1439"/>
      <c r="AR625" s="573">
        <f>+AR623/AM623-1</f>
        <v>3.9398531297353934E-2</v>
      </c>
      <c r="AS625" s="573">
        <f t="shared" ref="AS625:BE625" si="1333">+AS623/AN623-1</f>
        <v>1.9436345966958202E-2</v>
      </c>
      <c r="AT625" s="573">
        <f t="shared" si="1333"/>
        <v>1.3886879791696893E-2</v>
      </c>
      <c r="AU625" s="573">
        <f t="shared" si="1333"/>
        <v>-0.17664740167372561</v>
      </c>
      <c r="AV625" s="1975">
        <f>+AV623/AQ623-1</f>
        <v>-1.7679231392072947E-2</v>
      </c>
      <c r="AW625" s="573">
        <f t="shared" si="1333"/>
        <v>-0.12433883142424551</v>
      </c>
      <c r="AX625" s="573">
        <f t="shared" si="1333"/>
        <v>-8.4255529210319424E-2</v>
      </c>
      <c r="AY625" s="573">
        <f t="shared" si="1333"/>
        <v>-9.803189184619765E-2</v>
      </c>
      <c r="AZ625" s="573">
        <f t="shared" si="1333"/>
        <v>-1.4778195582150211E-3</v>
      </c>
      <c r="BA625" s="1975">
        <f>+BA623/AV623-1</f>
        <v>-8.4914769091838704E-2</v>
      </c>
      <c r="BB625" s="573">
        <f t="shared" si="1333"/>
        <v>-5.887898768309241E-2</v>
      </c>
      <c r="BC625" s="573">
        <f t="shared" si="1333"/>
        <v>-3.9538690786728892E-2</v>
      </c>
      <c r="BD625" s="573">
        <f t="shared" si="1333"/>
        <v>-0.10800230361083552</v>
      </c>
      <c r="BE625" s="573">
        <f t="shared" si="1333"/>
        <v>-2.3945566056507439E-2</v>
      </c>
      <c r="BF625" s="1975">
        <f t="shared" ref="BF625:BK625" si="1334">+BF623/BA623-1</f>
        <v>-5.8096672804981875E-2</v>
      </c>
      <c r="BG625" s="2730">
        <f t="shared" si="1334"/>
        <v>-9.6135799524320609E-3</v>
      </c>
      <c r="BH625" s="573">
        <f t="shared" si="1334"/>
        <v>0.11987240568473023</v>
      </c>
      <c r="BI625" s="573">
        <f t="shared" si="1334"/>
        <v>7.4668989142473663E-2</v>
      </c>
      <c r="BJ625" s="2135">
        <f t="shared" si="1334"/>
        <v>-9.3626566668112421E-3</v>
      </c>
      <c r="BK625" s="1975">
        <f t="shared" si="1334"/>
        <v>4.6589916043056068E-2</v>
      </c>
      <c r="BL625" s="573">
        <f t="shared" ref="BL625:BM625" si="1335">+BL623/BG623-1</f>
        <v>-8.3505948415209308E-2</v>
      </c>
      <c r="BM625" s="573">
        <f t="shared" si="1335"/>
        <v>-0.1358727314532493</v>
      </c>
      <c r="BN625" s="573"/>
      <c r="BO625" s="2135"/>
      <c r="BP625" s="1975"/>
      <c r="BQ625" s="573"/>
      <c r="BR625" s="573"/>
      <c r="BS625" s="573"/>
      <c r="BT625" s="2135"/>
      <c r="BU625" s="3407"/>
      <c r="BV625" s="573"/>
      <c r="BW625" s="573"/>
      <c r="BX625" s="573"/>
      <c r="BY625" s="2135"/>
      <c r="BZ625" s="1621"/>
      <c r="CA625" s="1621"/>
      <c r="CB625" s="1621"/>
      <c r="CC625" s="1621"/>
      <c r="CD625" s="1621"/>
      <c r="CE625" s="1621"/>
      <c r="CF625" s="1621"/>
      <c r="CG625" s="1621"/>
      <c r="CH625" s="626"/>
      <c r="CI625" s="626"/>
      <c r="CJ625" s="626"/>
      <c r="CK625" s="626"/>
      <c r="CL625" s="626"/>
      <c r="CM625" s="626"/>
      <c r="CN625" s="626"/>
      <c r="CO625" s="626"/>
      <c r="CP625" s="994"/>
      <c r="CQ625" s="626"/>
      <c r="CR625" s="626"/>
      <c r="CS625" s="626"/>
      <c r="CT625" s="626"/>
      <c r="CU625" s="626"/>
      <c r="CV625" s="626"/>
      <c r="CW625" s="626"/>
      <c r="CX625" s="626"/>
      <c r="CY625" s="626"/>
      <c r="CZ625" s="626"/>
      <c r="DA625" s="626"/>
      <c r="DB625" s="626"/>
      <c r="DC625" s="626"/>
      <c r="DD625" s="626"/>
      <c r="DE625" s="626"/>
      <c r="DF625" s="626"/>
      <c r="DG625" s="1893"/>
      <c r="DH625" s="632"/>
      <c r="DI625" s="595"/>
      <c r="DJ625" s="595"/>
      <c r="DK625" s="595"/>
      <c r="DL625" s="595"/>
      <c r="DM625" s="595"/>
      <c r="DN625" s="514"/>
      <c r="DO625" s="77"/>
      <c r="DY625" s="769"/>
      <c r="DZ625" s="769"/>
    </row>
    <row r="626" spans="1:130" ht="12" hidden="1" customHeight="1" outlineLevel="1">
      <c r="A626" s="552"/>
      <c r="B626" s="228"/>
      <c r="C626" s="228"/>
      <c r="D626" s="625"/>
      <c r="E626" s="626"/>
      <c r="F626" s="626"/>
      <c r="G626" s="626"/>
      <c r="H626" s="788"/>
      <c r="I626" s="626"/>
      <c r="J626" s="626"/>
      <c r="K626" s="626"/>
      <c r="L626" s="626"/>
      <c r="M626" s="788"/>
      <c r="N626" s="626"/>
      <c r="O626" s="626"/>
      <c r="P626" s="626"/>
      <c r="Q626" s="626"/>
      <c r="R626" s="788"/>
      <c r="S626" s="626"/>
      <c r="T626" s="626"/>
      <c r="U626" s="626"/>
      <c r="V626" s="626"/>
      <c r="W626" s="788"/>
      <c r="X626" s="626"/>
      <c r="Y626" s="626"/>
      <c r="Z626" s="626"/>
      <c r="AA626" s="626"/>
      <c r="AB626" s="788"/>
      <c r="AC626" s="626"/>
      <c r="AD626" s="626"/>
      <c r="AE626" s="626"/>
      <c r="AF626" s="626"/>
      <c r="AG626" s="788"/>
      <c r="AH626" s="626"/>
      <c r="AI626" s="626"/>
      <c r="AJ626" s="626"/>
      <c r="AK626" s="626"/>
      <c r="AL626" s="788"/>
      <c r="AM626" s="626"/>
      <c r="AN626" s="261"/>
      <c r="AO626" s="626"/>
      <c r="AP626" s="330"/>
      <c r="AQ626" s="1439"/>
      <c r="AR626" s="330"/>
      <c r="AS626" s="330"/>
      <c r="AT626" s="330"/>
      <c r="AU626" s="626"/>
      <c r="AV626" s="1951"/>
      <c r="AW626" s="573"/>
      <c r="AX626" s="573"/>
      <c r="AY626" s="573"/>
      <c r="AZ626" s="573"/>
      <c r="BA626" s="1439"/>
      <c r="BB626" s="626"/>
      <c r="BC626" s="261"/>
      <c r="BD626" s="626"/>
      <c r="BE626" s="626"/>
      <c r="BF626" s="1439"/>
      <c r="BG626" s="678"/>
      <c r="BH626" s="330"/>
      <c r="BI626" s="330"/>
      <c r="BJ626" s="2136"/>
      <c r="BK626" s="1439"/>
      <c r="BL626" s="330"/>
      <c r="BM626" s="330"/>
      <c r="BN626" s="330"/>
      <c r="BO626" s="2136"/>
      <c r="BP626" s="1439"/>
      <c r="BQ626" s="330"/>
      <c r="BR626" s="330"/>
      <c r="BS626" s="330"/>
      <c r="BT626" s="2136"/>
      <c r="BU626" s="3406"/>
      <c r="BV626" s="330"/>
      <c r="BW626" s="330"/>
      <c r="BX626" s="330"/>
      <c r="BY626" s="2136"/>
      <c r="BZ626" s="1439"/>
      <c r="CA626" s="1439"/>
      <c r="CB626" s="1439"/>
      <c r="CC626" s="1439"/>
      <c r="CD626" s="1439"/>
      <c r="CE626" s="1439"/>
      <c r="CF626" s="1439"/>
      <c r="CG626" s="1439"/>
      <c r="CH626" s="626"/>
      <c r="CI626" s="626"/>
      <c r="CJ626" s="626"/>
      <c r="CK626" s="626"/>
      <c r="CL626" s="626"/>
      <c r="CM626" s="626"/>
      <c r="CN626" s="626"/>
      <c r="CO626" s="626"/>
      <c r="CP626" s="994"/>
      <c r="CQ626" s="626"/>
      <c r="CR626" s="626"/>
      <c r="CS626" s="626"/>
      <c r="CT626" s="626"/>
      <c r="CU626" s="626"/>
      <c r="CV626" s="626"/>
      <c r="CW626" s="626"/>
      <c r="CX626" s="626"/>
      <c r="CY626" s="626"/>
      <c r="CZ626" s="626"/>
      <c r="DA626" s="626"/>
      <c r="DB626" s="626"/>
      <c r="DC626" s="626"/>
      <c r="DD626" s="626"/>
      <c r="DE626" s="626"/>
      <c r="DF626" s="626"/>
      <c r="DG626" s="1893"/>
      <c r="DH626" s="632"/>
      <c r="DI626" s="595"/>
      <c r="DJ626" s="595"/>
      <c r="DK626" s="595"/>
      <c r="DL626" s="595"/>
      <c r="DM626" s="595"/>
      <c r="DN626" s="514"/>
      <c r="DO626" s="77"/>
      <c r="DY626" s="330"/>
      <c r="DZ626" s="330"/>
    </row>
    <row r="627" spans="1:130" ht="12" hidden="1" customHeight="1" outlineLevel="1">
      <c r="A627" s="708" t="s">
        <v>460</v>
      </c>
      <c r="B627" s="228"/>
      <c r="C627" s="228"/>
      <c r="D627" s="625"/>
      <c r="E627" s="626"/>
      <c r="F627" s="626"/>
      <c r="G627" s="626"/>
      <c r="H627" s="788"/>
      <c r="I627" s="626"/>
      <c r="J627" s="626"/>
      <c r="K627" s="626"/>
      <c r="L627" s="626"/>
      <c r="M627" s="788"/>
      <c r="N627" s="626"/>
      <c r="O627" s="626"/>
      <c r="P627" s="626"/>
      <c r="Q627" s="626"/>
      <c r="R627" s="788"/>
      <c r="S627" s="626"/>
      <c r="T627" s="626"/>
      <c r="U627" s="626"/>
      <c r="V627" s="626"/>
      <c r="W627" s="788"/>
      <c r="X627" s="626"/>
      <c r="Y627" s="626"/>
      <c r="Z627" s="626"/>
      <c r="AA627" s="626"/>
      <c r="AB627" s="788"/>
      <c r="AC627" s="626"/>
      <c r="AD627" s="626"/>
      <c r="AE627" s="626"/>
      <c r="AF627" s="626"/>
      <c r="AG627" s="788"/>
      <c r="AH627" s="626"/>
      <c r="AI627" s="626"/>
      <c r="AJ627" s="626"/>
      <c r="AK627" s="626"/>
      <c r="AL627" s="788"/>
      <c r="AM627" s="626"/>
      <c r="AN627" s="261"/>
      <c r="AO627" s="626"/>
      <c r="AP627" s="330"/>
      <c r="AQ627" s="1439"/>
      <c r="AR627" s="330"/>
      <c r="AS627" s="330"/>
      <c r="AT627" s="330"/>
      <c r="AU627" s="626"/>
      <c r="AV627" s="1951"/>
      <c r="AW627" s="626"/>
      <c r="AX627" s="261"/>
      <c r="AY627" s="626"/>
      <c r="AZ627" s="626"/>
      <c r="BA627" s="1439"/>
      <c r="BB627" s="626"/>
      <c r="BC627" s="261"/>
      <c r="BD627" s="626"/>
      <c r="BE627" s="626"/>
      <c r="BF627" s="1439"/>
      <c r="BG627" s="678"/>
      <c r="BH627" s="330"/>
      <c r="BI627" s="330"/>
      <c r="BJ627" s="2136"/>
      <c r="BK627" s="1439"/>
      <c r="BL627" s="330"/>
      <c r="BM627" s="330"/>
      <c r="BN627" s="330"/>
      <c r="BO627" s="2136"/>
      <c r="BP627" s="1439"/>
      <c r="BQ627" s="330"/>
      <c r="BR627" s="330"/>
      <c r="BS627" s="330"/>
      <c r="BT627" s="2136"/>
      <c r="BU627" s="3406"/>
      <c r="BV627" s="330"/>
      <c r="BW627" s="330"/>
      <c r="BX627" s="330"/>
      <c r="BY627" s="2136"/>
      <c r="BZ627" s="1439"/>
      <c r="CA627" s="1439"/>
      <c r="CB627" s="1439"/>
      <c r="CC627" s="1439"/>
      <c r="CD627" s="1439"/>
      <c r="CE627" s="1439"/>
      <c r="CF627" s="1439"/>
      <c r="CG627" s="1439"/>
      <c r="CH627" s="626"/>
      <c r="CI627" s="626"/>
      <c r="CJ627" s="626"/>
      <c r="CK627" s="626"/>
      <c r="CL627" s="626"/>
      <c r="CM627" s="626"/>
      <c r="CN627" s="626"/>
      <c r="CO627" s="626"/>
      <c r="CP627" s="994"/>
      <c r="CQ627" s="626"/>
      <c r="CR627" s="626"/>
      <c r="CS627" s="626"/>
      <c r="CT627" s="626"/>
      <c r="CU627" s="626"/>
      <c r="CV627" s="626"/>
      <c r="CW627" s="626"/>
      <c r="CX627" s="626"/>
      <c r="CY627" s="626"/>
      <c r="CZ627" s="626"/>
      <c r="DA627" s="626"/>
      <c r="DB627" s="626"/>
      <c r="DC627" s="626"/>
      <c r="DD627" s="626"/>
      <c r="DE627" s="626"/>
      <c r="DF627" s="626"/>
      <c r="DG627" s="1893"/>
      <c r="DH627" s="632"/>
      <c r="DI627" s="595"/>
      <c r="DJ627" s="595"/>
      <c r="DK627" s="595"/>
      <c r="DL627" s="595"/>
      <c r="DM627" s="595"/>
      <c r="DN627" s="514"/>
      <c r="DO627" s="77"/>
      <c r="DY627" s="330"/>
      <c r="DZ627" s="330"/>
    </row>
    <row r="628" spans="1:130" ht="12" hidden="1" customHeight="1" outlineLevel="1">
      <c r="A628" s="552"/>
      <c r="B628" s="228"/>
      <c r="C628" s="228"/>
      <c r="D628" s="625"/>
      <c r="E628" s="626"/>
      <c r="F628" s="626"/>
      <c r="G628" s="626"/>
      <c r="H628" s="788"/>
      <c r="I628" s="626"/>
      <c r="J628" s="626"/>
      <c r="K628" s="626"/>
      <c r="L628" s="626"/>
      <c r="M628" s="788"/>
      <c r="N628" s="626"/>
      <c r="O628" s="626"/>
      <c r="P628" s="626"/>
      <c r="Q628" s="626"/>
      <c r="R628" s="788"/>
      <c r="S628" s="626"/>
      <c r="T628" s="626"/>
      <c r="U628" s="626"/>
      <c r="V628" s="626"/>
      <c r="W628" s="788"/>
      <c r="X628" s="626"/>
      <c r="Y628" s="626"/>
      <c r="Z628" s="626"/>
      <c r="AA628" s="626"/>
      <c r="AB628" s="788"/>
      <c r="AC628" s="626"/>
      <c r="AD628" s="626"/>
      <c r="AE628" s="626"/>
      <c r="AF628" s="626"/>
      <c r="AG628" s="788"/>
      <c r="AH628" s="626"/>
      <c r="AI628" s="626"/>
      <c r="AJ628" s="626"/>
      <c r="AK628" s="626"/>
      <c r="AL628" s="788"/>
      <c r="AM628" s="626"/>
      <c r="AN628" s="261"/>
      <c r="AO628" s="626"/>
      <c r="AP628" s="330"/>
      <c r="AQ628" s="1439"/>
      <c r="AR628" s="330"/>
      <c r="AS628" s="330"/>
      <c r="AT628" s="330"/>
      <c r="AU628" s="626"/>
      <c r="AV628" s="1951"/>
      <c r="AW628" s="626"/>
      <c r="AX628" s="261"/>
      <c r="AY628" s="626"/>
      <c r="AZ628" s="626"/>
      <c r="BA628" s="1439"/>
      <c r="BB628" s="626"/>
      <c r="BC628" s="261"/>
      <c r="BD628" s="626"/>
      <c r="BE628" s="626"/>
      <c r="BF628" s="1439"/>
      <c r="BG628" s="678"/>
      <c r="BH628" s="330"/>
      <c r="BI628" s="330"/>
      <c r="BJ628" s="2136"/>
      <c r="BK628" s="1439"/>
      <c r="BL628" s="330"/>
      <c r="BM628" s="330"/>
      <c r="BN628" s="330"/>
      <c r="BO628" s="2136"/>
      <c r="BP628" s="1439"/>
      <c r="BQ628" s="330"/>
      <c r="BR628" s="330"/>
      <c r="BS628" s="330"/>
      <c r="BT628" s="2136"/>
      <c r="BU628" s="3406"/>
      <c r="BV628" s="330"/>
      <c r="BW628" s="330"/>
      <c r="BX628" s="330"/>
      <c r="BY628" s="2136"/>
      <c r="BZ628" s="1439"/>
      <c r="CA628" s="1439"/>
      <c r="CB628" s="1439"/>
      <c r="CC628" s="1439"/>
      <c r="CD628" s="1439"/>
      <c r="CE628" s="1439"/>
      <c r="CF628" s="1439"/>
      <c r="CG628" s="1439"/>
      <c r="CH628" s="626"/>
      <c r="CI628" s="626"/>
      <c r="CJ628" s="626"/>
      <c r="CK628" s="626"/>
      <c r="CL628" s="626"/>
      <c r="CM628" s="626"/>
      <c r="CN628" s="626"/>
      <c r="CO628" s="626"/>
      <c r="CP628" s="994"/>
      <c r="CQ628" s="626"/>
      <c r="CR628" s="626"/>
      <c r="CS628" s="626"/>
      <c r="CT628" s="626"/>
      <c r="CU628" s="626"/>
      <c r="CV628" s="626"/>
      <c r="CW628" s="626"/>
      <c r="CX628" s="626"/>
      <c r="CY628" s="626"/>
      <c r="CZ628" s="626"/>
      <c r="DA628" s="626"/>
      <c r="DB628" s="626"/>
      <c r="DC628" s="626"/>
      <c r="DD628" s="626"/>
      <c r="DE628" s="626"/>
      <c r="DF628" s="626"/>
      <c r="DG628" s="1893"/>
      <c r="DH628" s="632"/>
      <c r="DI628" s="595"/>
      <c r="DJ628" s="595"/>
      <c r="DK628" s="595"/>
      <c r="DL628" s="595"/>
      <c r="DM628" s="595"/>
      <c r="DN628" s="514"/>
      <c r="DO628" s="77"/>
      <c r="DY628" s="330"/>
      <c r="DZ628" s="330"/>
    </row>
    <row r="629" spans="1:130" ht="12" hidden="1" customHeight="1" outlineLevel="1">
      <c r="A629" s="552" t="s">
        <v>183</v>
      </c>
      <c r="B629" s="228"/>
      <c r="C629" s="228"/>
      <c r="D629" s="625"/>
      <c r="E629" s="626"/>
      <c r="F629" s="626"/>
      <c r="G629" s="626"/>
      <c r="H629" s="788"/>
      <c r="I629" s="626"/>
      <c r="J629" s="626"/>
      <c r="K629" s="626"/>
      <c r="L629" s="626"/>
      <c r="M629" s="788"/>
      <c r="N629" s="626"/>
      <c r="O629" s="626"/>
      <c r="P629" s="626"/>
      <c r="Q629" s="626"/>
      <c r="R629" s="788"/>
      <c r="S629" s="626"/>
      <c r="T629" s="626"/>
      <c r="U629" s="626"/>
      <c r="V629" s="626"/>
      <c r="W629" s="788"/>
      <c r="X629" s="626"/>
      <c r="Y629" s="626"/>
      <c r="Z629" s="626"/>
      <c r="AA629" s="626"/>
      <c r="AB629" s="788"/>
      <c r="AC629" s="626"/>
      <c r="AD629" s="626"/>
      <c r="AE629" s="626"/>
      <c r="AF629" s="626"/>
      <c r="AG629" s="788"/>
      <c r="AH629" s="626"/>
      <c r="AI629" s="626"/>
      <c r="AJ629" s="626"/>
      <c r="AK629" s="626"/>
      <c r="AL629" s="788"/>
      <c r="AM629" s="1981">
        <v>842</v>
      </c>
      <c r="AN629" s="1981">
        <f t="shared" ref="AN629:AP630" si="1336">+AM629</f>
        <v>842</v>
      </c>
      <c r="AO629" s="1981">
        <f t="shared" si="1336"/>
        <v>842</v>
      </c>
      <c r="AP629" s="1981">
        <f t="shared" si="1336"/>
        <v>842</v>
      </c>
      <c r="AQ629" s="1984">
        <f>+AVERAGE(AM629:AP629)</f>
        <v>842</v>
      </c>
      <c r="AR629" s="1981">
        <v>838</v>
      </c>
      <c r="AS629" s="1981">
        <f>+AR629</f>
        <v>838</v>
      </c>
      <c r="AT629" s="1981">
        <f>+AS629</f>
        <v>838</v>
      </c>
      <c r="AU629" s="1981">
        <v>838</v>
      </c>
      <c r="AV629" s="1984">
        <f>+AVERAGE(AR629:AU629)</f>
        <v>838</v>
      </c>
      <c r="AW629" s="1981">
        <f>+AU629</f>
        <v>838</v>
      </c>
      <c r="AX629" s="1981">
        <f>+AW629</f>
        <v>838</v>
      </c>
      <c r="AY629" s="1981">
        <f>+AX629</f>
        <v>838</v>
      </c>
      <c r="AZ629" s="1981">
        <v>838</v>
      </c>
      <c r="BA629" s="1984">
        <f>+AVERAGE(AW629:AZ629)</f>
        <v>838</v>
      </c>
      <c r="BB629" s="1981">
        <v>788</v>
      </c>
      <c r="BC629" s="1981">
        <v>788</v>
      </c>
      <c r="BD629" s="1981">
        <v>788</v>
      </c>
      <c r="BE629" s="1981">
        <v>788</v>
      </c>
      <c r="BF629" s="1984">
        <f>+AVERAGE(BB629:BE629)</f>
        <v>788</v>
      </c>
      <c r="BG629" s="3128">
        <v>838</v>
      </c>
      <c r="BH629" s="1981">
        <v>838</v>
      </c>
      <c r="BI629" s="1981">
        <v>838</v>
      </c>
      <c r="BJ629" s="1981">
        <v>838</v>
      </c>
      <c r="BK629" s="1984">
        <f>+AVERAGE(BG629:BJ629)</f>
        <v>838</v>
      </c>
      <c r="BL629" s="1981">
        <v>838</v>
      </c>
      <c r="BM629" s="1981">
        <v>838</v>
      </c>
      <c r="BN629" s="1981"/>
      <c r="BO629" s="2741"/>
      <c r="BP629" s="1984"/>
      <c r="BQ629" s="2741"/>
      <c r="BR629" s="2741"/>
      <c r="BS629" s="2741"/>
      <c r="BT629" s="2741"/>
      <c r="BU629" s="3396"/>
      <c r="BV629" s="2741"/>
      <c r="BW629" s="2741"/>
      <c r="BX629" s="2741"/>
      <c r="BY629" s="2741"/>
      <c r="BZ629" s="2742"/>
      <c r="CA629" s="2742"/>
      <c r="CB629" s="2742"/>
      <c r="CC629" s="2742"/>
      <c r="CD629" s="2742"/>
      <c r="CE629" s="2742"/>
      <c r="CF629" s="2742"/>
      <c r="CG629" s="2742"/>
      <c r="CH629" s="626"/>
      <c r="CI629" s="626"/>
      <c r="CJ629" s="626"/>
      <c r="CK629" s="626"/>
      <c r="CL629" s="626"/>
      <c r="CM629" s="626"/>
      <c r="CN629" s="626"/>
      <c r="CO629" s="626"/>
      <c r="CP629" s="994"/>
      <c r="CQ629" s="626"/>
      <c r="CR629" s="626"/>
      <c r="CS629" s="626"/>
      <c r="CT629" s="626"/>
      <c r="CU629" s="626"/>
      <c r="CV629" s="626"/>
      <c r="CW629" s="626"/>
      <c r="CX629" s="626"/>
      <c r="CY629" s="626"/>
      <c r="CZ629" s="626"/>
      <c r="DA629" s="626"/>
      <c r="DB629" s="626"/>
      <c r="DC629" s="626"/>
      <c r="DD629" s="626"/>
      <c r="DE629" s="626"/>
      <c r="DF629" s="626"/>
      <c r="DG629" s="1893"/>
      <c r="DH629" s="632"/>
      <c r="DI629" s="595"/>
      <c r="DJ629" s="595"/>
      <c r="DK629" s="595"/>
      <c r="DL629" s="595"/>
      <c r="DM629" s="595"/>
      <c r="DN629" s="514"/>
      <c r="DO629" s="77"/>
      <c r="DY629" s="1982"/>
      <c r="DZ629" s="1982"/>
    </row>
    <row r="630" spans="1:130" ht="12" hidden="1" customHeight="1" outlineLevel="1">
      <c r="A630" s="552" t="s">
        <v>184</v>
      </c>
      <c r="B630" s="228"/>
      <c r="C630" s="228"/>
      <c r="D630" s="625"/>
      <c r="E630" s="626"/>
      <c r="F630" s="626"/>
      <c r="G630" s="626"/>
      <c r="H630" s="788"/>
      <c r="I630" s="626"/>
      <c r="J630" s="626"/>
      <c r="K630" s="626"/>
      <c r="L630" s="626"/>
      <c r="M630" s="788"/>
      <c r="N630" s="626"/>
      <c r="O630" s="626"/>
      <c r="P630" s="626"/>
      <c r="Q630" s="626"/>
      <c r="R630" s="788"/>
      <c r="S630" s="626"/>
      <c r="T630" s="626"/>
      <c r="U630" s="626"/>
      <c r="V630" s="626"/>
      <c r="W630" s="788"/>
      <c r="X630" s="626"/>
      <c r="Y630" s="626"/>
      <c r="Z630" s="626"/>
      <c r="AA630" s="626"/>
      <c r="AB630" s="788"/>
      <c r="AC630" s="626"/>
      <c r="AD630" s="626"/>
      <c r="AE630" s="626"/>
      <c r="AF630" s="626"/>
      <c r="AG630" s="788"/>
      <c r="AH630" s="626"/>
      <c r="AI630" s="626"/>
      <c r="AJ630" s="626"/>
      <c r="AK630" s="626"/>
      <c r="AL630" s="788"/>
      <c r="AM630" s="1981">
        <v>20</v>
      </c>
      <c r="AN630" s="1981">
        <f t="shared" si="1336"/>
        <v>20</v>
      </c>
      <c r="AO630" s="1981">
        <f t="shared" si="1336"/>
        <v>20</v>
      </c>
      <c r="AP630" s="1981">
        <f t="shared" si="1336"/>
        <v>20</v>
      </c>
      <c r="AQ630" s="1984">
        <f>+AVERAGE(AM630:AP630)</f>
        <v>20</v>
      </c>
      <c r="AR630" s="1981">
        <v>20</v>
      </c>
      <c r="AS630" s="1981">
        <f>+AR630</f>
        <v>20</v>
      </c>
      <c r="AT630" s="1981">
        <f>+AS630</f>
        <v>20</v>
      </c>
      <c r="AU630" s="1981">
        <v>17</v>
      </c>
      <c r="AV630" s="1984">
        <f>+AVERAGE(AR630:AU630)</f>
        <v>19.25</v>
      </c>
      <c r="AW630" s="1981">
        <f>+AU630</f>
        <v>17</v>
      </c>
      <c r="AX630" s="1981">
        <f>+AW630</f>
        <v>17</v>
      </c>
      <c r="AY630" s="1981">
        <f>+AX630</f>
        <v>17</v>
      </c>
      <c r="AZ630" s="1981">
        <v>20</v>
      </c>
      <c r="BA630" s="1984">
        <f>+AVERAGE(AW630:AZ630)</f>
        <v>17.75</v>
      </c>
      <c r="BB630" s="1981">
        <v>19</v>
      </c>
      <c r="BC630" s="1981">
        <v>19</v>
      </c>
      <c r="BD630" s="1981">
        <v>19</v>
      </c>
      <c r="BE630" s="1981">
        <v>19</v>
      </c>
      <c r="BF630" s="1984">
        <f>+AVERAGE(BB630:BE630)</f>
        <v>19</v>
      </c>
      <c r="BG630" s="3128">
        <v>19</v>
      </c>
      <c r="BH630" s="1981">
        <v>19</v>
      </c>
      <c r="BI630" s="1981">
        <v>19</v>
      </c>
      <c r="BJ630" s="1981">
        <v>19</v>
      </c>
      <c r="BK630" s="1984">
        <f>+AVERAGE(BG630:BJ630)</f>
        <v>19</v>
      </c>
      <c r="BL630" s="1981">
        <v>19</v>
      </c>
      <c r="BM630" s="1981">
        <v>19</v>
      </c>
      <c r="BN630" s="1981"/>
      <c r="BO630" s="2741"/>
      <c r="BP630" s="1984"/>
      <c r="BQ630" s="2741"/>
      <c r="BR630" s="2741"/>
      <c r="BS630" s="2741"/>
      <c r="BT630" s="2741"/>
      <c r="BU630" s="3396"/>
      <c r="BV630" s="2741"/>
      <c r="BW630" s="2741"/>
      <c r="BX630" s="2741"/>
      <c r="BY630" s="2741"/>
      <c r="BZ630" s="2742"/>
      <c r="CA630" s="2742"/>
      <c r="CB630" s="2742"/>
      <c r="CC630" s="2742"/>
      <c r="CD630" s="2742"/>
      <c r="CE630" s="2742"/>
      <c r="CF630" s="2742"/>
      <c r="CG630" s="2742"/>
      <c r="CH630" s="626"/>
      <c r="CI630" s="626"/>
      <c r="CJ630" s="626"/>
      <c r="CK630" s="626"/>
      <c r="CL630" s="626"/>
      <c r="CM630" s="626"/>
      <c r="CN630" s="626"/>
      <c r="CO630" s="626"/>
      <c r="CP630" s="994"/>
      <c r="CQ630" s="626"/>
      <c r="CR630" s="626"/>
      <c r="CS630" s="626"/>
      <c r="CT630" s="626"/>
      <c r="CU630" s="626"/>
      <c r="CV630" s="626"/>
      <c r="CW630" s="626"/>
      <c r="CX630" s="626"/>
      <c r="CY630" s="626"/>
      <c r="CZ630" s="626"/>
      <c r="DA630" s="626"/>
      <c r="DB630" s="626"/>
      <c r="DC630" s="626"/>
      <c r="DD630" s="626"/>
      <c r="DE630" s="626"/>
      <c r="DF630" s="626"/>
      <c r="DG630" s="1893"/>
      <c r="DH630" s="632"/>
      <c r="DI630" s="595"/>
      <c r="DJ630" s="595"/>
      <c r="DK630" s="595"/>
      <c r="DL630" s="595"/>
      <c r="DM630" s="595"/>
      <c r="DN630" s="514"/>
      <c r="DO630" s="77"/>
      <c r="DY630" s="1982"/>
      <c r="DZ630" s="1982"/>
    </row>
    <row r="631" spans="1:130" ht="12" hidden="1" customHeight="1" outlineLevel="1">
      <c r="A631" s="552" t="s">
        <v>182</v>
      </c>
      <c r="B631" s="228"/>
      <c r="C631" s="228"/>
      <c r="D631" s="625"/>
      <c r="E631" s="626"/>
      <c r="F631" s="626"/>
      <c r="G631" s="626"/>
      <c r="H631" s="788"/>
      <c r="I631" s="626"/>
      <c r="J631" s="626"/>
      <c r="K631" s="626"/>
      <c r="L631" s="626"/>
      <c r="M631" s="788"/>
      <c r="N631" s="626"/>
      <c r="O631" s="626"/>
      <c r="P631" s="626"/>
      <c r="Q631" s="626"/>
      <c r="R631" s="788"/>
      <c r="S631" s="626"/>
      <c r="T631" s="626"/>
      <c r="U631" s="626"/>
      <c r="V631" s="626"/>
      <c r="W631" s="788"/>
      <c r="X631" s="626"/>
      <c r="Y631" s="626"/>
      <c r="Z631" s="626"/>
      <c r="AA631" s="626"/>
      <c r="AB631" s="788"/>
      <c r="AC631" s="626"/>
      <c r="AD631" s="626"/>
      <c r="AE631" s="626"/>
      <c r="AF631" s="626"/>
      <c r="AG631" s="788"/>
      <c r="AH631" s="626"/>
      <c r="AI631" s="626"/>
      <c r="AJ631" s="626"/>
      <c r="AK631" s="626"/>
      <c r="AL631" s="788"/>
      <c r="AM631" s="792">
        <f t="shared" ref="AM631:BK631" si="1337">+AM629+(AM630*6)</f>
        <v>962</v>
      </c>
      <c r="AN631" s="792">
        <f t="shared" si="1337"/>
        <v>962</v>
      </c>
      <c r="AO631" s="792">
        <f t="shared" si="1337"/>
        <v>962</v>
      </c>
      <c r="AP631" s="792">
        <f t="shared" si="1337"/>
        <v>962</v>
      </c>
      <c r="AQ631" s="1984">
        <f t="shared" si="1337"/>
        <v>962</v>
      </c>
      <c r="AR631" s="792">
        <f t="shared" si="1337"/>
        <v>958</v>
      </c>
      <c r="AS631" s="792">
        <f t="shared" si="1337"/>
        <v>958</v>
      </c>
      <c r="AT631" s="792">
        <f t="shared" si="1337"/>
        <v>958</v>
      </c>
      <c r="AU631" s="792">
        <f t="shared" si="1337"/>
        <v>940</v>
      </c>
      <c r="AV631" s="1984">
        <f t="shared" si="1337"/>
        <v>953.5</v>
      </c>
      <c r="AW631" s="792">
        <f t="shared" si="1337"/>
        <v>940</v>
      </c>
      <c r="AX631" s="792">
        <f t="shared" si="1337"/>
        <v>940</v>
      </c>
      <c r="AY631" s="792">
        <f t="shared" si="1337"/>
        <v>940</v>
      </c>
      <c r="AZ631" s="792">
        <f t="shared" si="1337"/>
        <v>958</v>
      </c>
      <c r="BA631" s="1984">
        <f t="shared" si="1337"/>
        <v>944.5</v>
      </c>
      <c r="BB631" s="792">
        <f t="shared" si="1337"/>
        <v>902</v>
      </c>
      <c r="BC631" s="792">
        <f t="shared" si="1337"/>
        <v>902</v>
      </c>
      <c r="BD631" s="792">
        <f t="shared" si="1337"/>
        <v>902</v>
      </c>
      <c r="BE631" s="792">
        <f t="shared" si="1337"/>
        <v>902</v>
      </c>
      <c r="BF631" s="1984">
        <f t="shared" si="1337"/>
        <v>902</v>
      </c>
      <c r="BG631" s="793">
        <f>+BG629+(BG630*6)</f>
        <v>952</v>
      </c>
      <c r="BH631" s="792">
        <f>+BH629+(BH630*6)</f>
        <v>952</v>
      </c>
      <c r="BI631" s="792">
        <f>+BI629+(BI630*6)</f>
        <v>952</v>
      </c>
      <c r="BJ631" s="1894">
        <f>+BJ629+(BJ630*6)</f>
        <v>952</v>
      </c>
      <c r="BK631" s="1984">
        <f t="shared" si="1337"/>
        <v>952</v>
      </c>
      <c r="BL631" s="792">
        <f t="shared" ref="BL631:BM631" si="1338">+BL629+(BL630*6)</f>
        <v>952</v>
      </c>
      <c r="BM631" s="792">
        <f t="shared" si="1338"/>
        <v>952</v>
      </c>
      <c r="BN631" s="792"/>
      <c r="BO631" s="1894"/>
      <c r="BP631" s="1984"/>
      <c r="BQ631" s="792"/>
      <c r="BR631" s="792"/>
      <c r="BS631" s="792"/>
      <c r="BT631" s="1894"/>
      <c r="BU631" s="3396"/>
      <c r="BV631" s="792"/>
      <c r="BW631" s="792"/>
      <c r="BX631" s="792"/>
      <c r="BY631" s="1894"/>
      <c r="BZ631" s="1984"/>
      <c r="CA631" s="1984"/>
      <c r="CB631" s="1984"/>
      <c r="CC631" s="1984"/>
      <c r="CD631" s="1984"/>
      <c r="CE631" s="1984"/>
      <c r="CF631" s="1984"/>
      <c r="CG631" s="1984"/>
      <c r="CH631" s="626"/>
      <c r="CI631" s="626"/>
      <c r="CJ631" s="626"/>
      <c r="CK631" s="626"/>
      <c r="CL631" s="626"/>
      <c r="CM631" s="626"/>
      <c r="CN631" s="626"/>
      <c r="CO631" s="626"/>
      <c r="CP631" s="994"/>
      <c r="CQ631" s="626"/>
      <c r="CR631" s="626"/>
      <c r="CS631" s="626"/>
      <c r="CT631" s="626"/>
      <c r="CU631" s="626"/>
      <c r="CV631" s="626"/>
      <c r="CW631" s="626"/>
      <c r="CX631" s="626"/>
      <c r="CY631" s="626"/>
      <c r="CZ631" s="626"/>
      <c r="DA631" s="626"/>
      <c r="DB631" s="626"/>
      <c r="DC631" s="626"/>
      <c r="DD631" s="626"/>
      <c r="DE631" s="626"/>
      <c r="DF631" s="626"/>
      <c r="DG631" s="1893"/>
      <c r="DH631" s="632"/>
      <c r="DI631" s="595"/>
      <c r="DJ631" s="595"/>
      <c r="DK631" s="595"/>
      <c r="DL631" s="595"/>
      <c r="DM631" s="595"/>
      <c r="DN631" s="514"/>
      <c r="DO631" s="77"/>
      <c r="DY631" s="1982"/>
      <c r="DZ631" s="1982"/>
    </row>
    <row r="632" spans="1:130" ht="12" hidden="1" customHeight="1" outlineLevel="1">
      <c r="A632" s="552" t="s">
        <v>1156</v>
      </c>
      <c r="B632" s="228"/>
      <c r="C632" s="228"/>
      <c r="D632" s="625"/>
      <c r="E632" s="626"/>
      <c r="F632" s="626"/>
      <c r="G632" s="626"/>
      <c r="H632" s="788"/>
      <c r="I632" s="626"/>
      <c r="J632" s="626"/>
      <c r="K632" s="626"/>
      <c r="L632" s="626"/>
      <c r="M632" s="788"/>
      <c r="N632" s="626"/>
      <c r="O632" s="626"/>
      <c r="P632" s="626"/>
      <c r="Q632" s="626"/>
      <c r="R632" s="788"/>
      <c r="S632" s="626"/>
      <c r="T632" s="626"/>
      <c r="U632" s="626"/>
      <c r="V632" s="626"/>
      <c r="W632" s="788"/>
      <c r="X632" s="626"/>
      <c r="Y632" s="626"/>
      <c r="Z632" s="626"/>
      <c r="AA632" s="626"/>
      <c r="AB632" s="788"/>
      <c r="AC632" s="626"/>
      <c r="AD632" s="626"/>
      <c r="AE632" s="626"/>
      <c r="AF632" s="626"/>
      <c r="AG632" s="788"/>
      <c r="AH632" s="626"/>
      <c r="AI632" s="626"/>
      <c r="AJ632" s="626"/>
      <c r="AK632" s="626"/>
      <c r="AL632" s="788"/>
      <c r="AM632" s="626">
        <f t="shared" ref="AM632:BM632" si="1339">+AM639*1000000/AM631/AM5</f>
        <v>157.05382259182258</v>
      </c>
      <c r="AN632" s="626">
        <f t="shared" si="1339"/>
        <v>136.85767597267599</v>
      </c>
      <c r="AO632" s="626">
        <f t="shared" si="1339"/>
        <v>153.29896083792826</v>
      </c>
      <c r="AP632" s="626">
        <f t="shared" si="1339"/>
        <v>128.95536710205187</v>
      </c>
      <c r="AQ632" s="1950">
        <f t="shared" si="1339"/>
        <v>143.98983758152252</v>
      </c>
      <c r="AR632" s="626">
        <f t="shared" si="1339"/>
        <v>158.20509761637112</v>
      </c>
      <c r="AS632" s="626">
        <f t="shared" si="1339"/>
        <v>160.81075569524421</v>
      </c>
      <c r="AT632" s="626">
        <f t="shared" si="1339"/>
        <v>149.46358741036579</v>
      </c>
      <c r="AU632" s="626">
        <f t="shared" si="1339"/>
        <v>139.85005608233118</v>
      </c>
      <c r="AV632" s="1950">
        <f t="shared" si="1339"/>
        <v>152.09572913711636</v>
      </c>
      <c r="AW632" s="626">
        <f t="shared" si="1339"/>
        <v>163.15934621749409</v>
      </c>
      <c r="AX632" s="626">
        <f t="shared" si="1339"/>
        <v>161.17826619125557</v>
      </c>
      <c r="AY632" s="626">
        <f t="shared" si="1339"/>
        <v>148.41462037465308</v>
      </c>
      <c r="AZ632" s="626">
        <f t="shared" si="1339"/>
        <v>139.74993192339113</v>
      </c>
      <c r="BA632" s="1950">
        <f t="shared" si="1339"/>
        <v>152.99061168843414</v>
      </c>
      <c r="BB632" s="626">
        <f t="shared" si="1339"/>
        <v>162.70386474501109</v>
      </c>
      <c r="BC632" s="626">
        <f t="shared" si="1339"/>
        <v>150.91353999658878</v>
      </c>
      <c r="BD632" s="626">
        <f t="shared" si="1339"/>
        <v>146.37230417911888</v>
      </c>
      <c r="BE632" s="626">
        <f t="shared" si="1339"/>
        <v>146.3162361419069</v>
      </c>
      <c r="BF632" s="1950">
        <f t="shared" si="1339"/>
        <v>151.51733061993136</v>
      </c>
      <c r="BG632" s="625">
        <f t="shared" si="1339"/>
        <v>156.14430870681605</v>
      </c>
      <c r="BH632" s="626">
        <f t="shared" si="1339"/>
        <v>148.35414269553974</v>
      </c>
      <c r="BI632" s="626">
        <f t="shared" si="1339"/>
        <v>138.76232782243332</v>
      </c>
      <c r="BJ632" s="1893">
        <f t="shared" si="1339"/>
        <v>130.15026603032518</v>
      </c>
      <c r="BK632" s="1950">
        <f t="shared" si="1339"/>
        <v>143.26896822838722</v>
      </c>
      <c r="BL632" s="626">
        <f t="shared" si="1339"/>
        <v>145.08705651491366</v>
      </c>
      <c r="BM632" s="626">
        <f t="shared" si="1339"/>
        <v>134.13136993258843</v>
      </c>
      <c r="BN632" s="626"/>
      <c r="BO632" s="1893"/>
      <c r="BP632" s="1950"/>
      <c r="BQ632" s="626"/>
      <c r="BR632" s="626"/>
      <c r="BS632" s="626"/>
      <c r="BT632" s="1893"/>
      <c r="BU632" s="3406"/>
      <c r="BV632" s="626"/>
      <c r="BW632" s="626"/>
      <c r="BX632" s="626"/>
      <c r="BY632" s="1893"/>
      <c r="BZ632" s="1950"/>
      <c r="CA632" s="1950"/>
      <c r="CB632" s="1950"/>
      <c r="CC632" s="1950"/>
      <c r="CD632" s="1950"/>
      <c r="CE632" s="1950"/>
      <c r="CF632" s="1950"/>
      <c r="CG632" s="1950"/>
      <c r="CH632" s="626"/>
      <c r="CI632" s="626"/>
      <c r="CJ632" s="626"/>
      <c r="CK632" s="626"/>
      <c r="CL632" s="626"/>
      <c r="CM632" s="626"/>
      <c r="CN632" s="626"/>
      <c r="CO632" s="626"/>
      <c r="CP632" s="994"/>
      <c r="CQ632" s="626"/>
      <c r="CR632" s="626"/>
      <c r="CS632" s="626"/>
      <c r="CT632" s="626"/>
      <c r="CU632" s="626"/>
      <c r="CV632" s="626"/>
      <c r="CW632" s="626"/>
      <c r="CX632" s="626"/>
      <c r="CY632" s="626"/>
      <c r="CZ632" s="626"/>
      <c r="DA632" s="626"/>
      <c r="DB632" s="626"/>
      <c r="DC632" s="626"/>
      <c r="DD632" s="626"/>
      <c r="DE632" s="626"/>
      <c r="DF632" s="626"/>
      <c r="DG632" s="1893"/>
      <c r="DH632" s="632"/>
      <c r="DI632" s="595"/>
      <c r="DJ632" s="595"/>
      <c r="DK632" s="595"/>
      <c r="DL632" s="595"/>
      <c r="DM632" s="595"/>
      <c r="DN632" s="514"/>
      <c r="DO632" s="77"/>
      <c r="DY632" s="1634"/>
      <c r="DZ632" s="1634"/>
    </row>
    <row r="633" spans="1:130" ht="12" hidden="1" customHeight="1" outlineLevel="1">
      <c r="A633" s="567" t="s">
        <v>1153</v>
      </c>
      <c r="B633" s="228"/>
      <c r="C633" s="228"/>
      <c r="D633" s="625"/>
      <c r="E633" s="626"/>
      <c r="F633" s="626"/>
      <c r="G633" s="626"/>
      <c r="H633" s="788"/>
      <c r="I633" s="626"/>
      <c r="J633" s="626"/>
      <c r="K633" s="626"/>
      <c r="L633" s="626"/>
      <c r="M633" s="788"/>
      <c r="N633" s="626"/>
      <c r="O633" s="626"/>
      <c r="P633" s="626"/>
      <c r="Q633" s="626"/>
      <c r="R633" s="788"/>
      <c r="S633" s="626"/>
      <c r="T633" s="626"/>
      <c r="U633" s="626"/>
      <c r="V633" s="626"/>
      <c r="W633" s="788"/>
      <c r="X633" s="626"/>
      <c r="Y633" s="626"/>
      <c r="Z633" s="626"/>
      <c r="AA633" s="626"/>
      <c r="AB633" s="788"/>
      <c r="AC633" s="626"/>
      <c r="AD633" s="626"/>
      <c r="AE633" s="626"/>
      <c r="AF633" s="626"/>
      <c r="AG633" s="788"/>
      <c r="AH633" s="626"/>
      <c r="AI633" s="626"/>
      <c r="AJ633" s="626"/>
      <c r="AK633" s="626"/>
      <c r="AL633" s="788"/>
      <c r="AM633" s="626"/>
      <c r="AN633" s="261"/>
      <c r="AO633" s="626"/>
      <c r="AP633" s="330"/>
      <c r="AQ633" s="1439"/>
      <c r="AR633" s="573">
        <f t="shared" ref="AR633:BF633" si="1340">+AR632/AM632-1</f>
        <v>7.3304489222185687E-3</v>
      </c>
      <c r="AS633" s="573">
        <f t="shared" si="1340"/>
        <v>0.17502182140920253</v>
      </c>
      <c r="AT633" s="573">
        <f t="shared" si="1340"/>
        <v>-2.5018913413361821E-2</v>
      </c>
      <c r="AU633" s="573">
        <f t="shared" si="1340"/>
        <v>8.4484184141459862E-2</v>
      </c>
      <c r="AV633" s="1975">
        <f t="shared" si="1340"/>
        <v>5.6294886442972425E-2</v>
      </c>
      <c r="AW633" s="573">
        <f t="shared" si="1340"/>
        <v>3.1315353776630195E-2</v>
      </c>
      <c r="AX633" s="573">
        <f t="shared" si="1340"/>
        <v>2.2853601702352844E-3</v>
      </c>
      <c r="AY633" s="573">
        <f t="shared" si="1340"/>
        <v>-7.018211284014475E-3</v>
      </c>
      <c r="AZ633" s="573">
        <f t="shared" si="1340"/>
        <v>-7.1593935494096428E-4</v>
      </c>
      <c r="BA633" s="1975">
        <f t="shared" si="1340"/>
        <v>5.8836796824914828E-3</v>
      </c>
      <c r="BB633" s="573">
        <f t="shared" si="1340"/>
        <v>-2.7916358029275168E-3</v>
      </c>
      <c r="BC633" s="573">
        <f t="shared" si="1340"/>
        <v>-6.3685547916780383E-2</v>
      </c>
      <c r="BD633" s="573">
        <f t="shared" si="1340"/>
        <v>-1.3760882791591822E-2</v>
      </c>
      <c r="BE633" s="573">
        <f t="shared" si="1340"/>
        <v>4.6986099586190377E-2</v>
      </c>
      <c r="BF633" s="1975">
        <f t="shared" si="1340"/>
        <v>-9.6298789333761903E-3</v>
      </c>
      <c r="BG633" s="2730">
        <f t="shared" ref="BG633:BM633" si="1341">+BG632/BB632-1</f>
        <v>-4.0315920267014915E-2</v>
      </c>
      <c r="BH633" s="573">
        <f t="shared" si="1341"/>
        <v>-1.6959361639167003E-2</v>
      </c>
      <c r="BI633" s="573">
        <f t="shared" si="1341"/>
        <v>-5.1990548344262422E-2</v>
      </c>
      <c r="BJ633" s="2135">
        <f t="shared" si="1341"/>
        <v>-0.11048650879662403</v>
      </c>
      <c r="BK633" s="1975">
        <f t="shared" si="1341"/>
        <v>-5.4438408846011588E-2</v>
      </c>
      <c r="BL633" s="573">
        <f t="shared" si="1341"/>
        <v>-7.0814314549651702E-2</v>
      </c>
      <c r="BM633" s="573">
        <f t="shared" si="1341"/>
        <v>-9.5870411870735861E-2</v>
      </c>
      <c r="BN633" s="573"/>
      <c r="BO633" s="2135"/>
      <c r="BP633" s="1975"/>
      <c r="BQ633" s="573"/>
      <c r="BR633" s="573"/>
      <c r="BS633" s="573"/>
      <c r="BT633" s="2135"/>
      <c r="BU633" s="3407"/>
      <c r="BV633" s="573"/>
      <c r="BW633" s="573"/>
      <c r="BX633" s="573"/>
      <c r="BY633" s="2135"/>
      <c r="BZ633" s="1621"/>
      <c r="CA633" s="1621"/>
      <c r="CB633" s="1621"/>
      <c r="CC633" s="1621"/>
      <c r="CD633" s="1621"/>
      <c r="CE633" s="1621"/>
      <c r="CF633" s="1621"/>
      <c r="CG633" s="1621"/>
      <c r="CH633" s="626"/>
      <c r="CI633" s="626"/>
      <c r="CJ633" s="626"/>
      <c r="CK633" s="626"/>
      <c r="CL633" s="626"/>
      <c r="CM633" s="626"/>
      <c r="CN633" s="626"/>
      <c r="CO633" s="626"/>
      <c r="CP633" s="994"/>
      <c r="CQ633" s="626"/>
      <c r="CR633" s="626"/>
      <c r="CS633" s="626"/>
      <c r="CT633" s="626"/>
      <c r="CU633" s="626"/>
      <c r="CV633" s="626"/>
      <c r="CW633" s="626"/>
      <c r="CX633" s="626"/>
      <c r="CY633" s="626"/>
      <c r="CZ633" s="626"/>
      <c r="DA633" s="626"/>
      <c r="DB633" s="626"/>
      <c r="DC633" s="626"/>
      <c r="DD633" s="626"/>
      <c r="DE633" s="626"/>
      <c r="DF633" s="626"/>
      <c r="DG633" s="1893"/>
      <c r="DH633" s="632"/>
      <c r="DI633" s="595"/>
      <c r="DJ633" s="595"/>
      <c r="DK633" s="595"/>
      <c r="DL633" s="595"/>
      <c r="DM633" s="595"/>
      <c r="DN633" s="514"/>
      <c r="DO633" s="77"/>
      <c r="DY633" s="769"/>
      <c r="DZ633" s="769"/>
    </row>
    <row r="634" spans="1:130" ht="12" hidden="1" customHeight="1" outlineLevel="1">
      <c r="A634" s="552"/>
      <c r="B634" s="228"/>
      <c r="C634" s="228"/>
      <c r="D634" s="625"/>
      <c r="E634" s="626"/>
      <c r="F634" s="626"/>
      <c r="G634" s="626"/>
      <c r="H634" s="788"/>
      <c r="I634" s="626"/>
      <c r="J634" s="626"/>
      <c r="K634" s="626"/>
      <c r="L634" s="626"/>
      <c r="M634" s="788"/>
      <c r="N634" s="626"/>
      <c r="O634" s="626"/>
      <c r="P634" s="626"/>
      <c r="Q634" s="626"/>
      <c r="R634" s="788"/>
      <c r="S634" s="626"/>
      <c r="T634" s="626"/>
      <c r="U634" s="626"/>
      <c r="V634" s="626"/>
      <c r="W634" s="788"/>
      <c r="X634" s="626"/>
      <c r="Y634" s="626"/>
      <c r="Z634" s="626"/>
      <c r="AA634" s="626"/>
      <c r="AB634" s="788"/>
      <c r="AC634" s="626"/>
      <c r="AD634" s="626"/>
      <c r="AE634" s="626"/>
      <c r="AF634" s="626"/>
      <c r="AG634" s="788"/>
      <c r="AH634" s="626"/>
      <c r="AI634" s="626"/>
      <c r="AJ634" s="626"/>
      <c r="AK634" s="626"/>
      <c r="AL634" s="788"/>
      <c r="AM634" s="626"/>
      <c r="AN634" s="261"/>
      <c r="AO634" s="626"/>
      <c r="AP634" s="330"/>
      <c r="AQ634" s="1439"/>
      <c r="AR634" s="330"/>
      <c r="AS634" s="330"/>
      <c r="AT634" s="330"/>
      <c r="AU634" s="626"/>
      <c r="AV634" s="1951"/>
      <c r="AW634" s="626"/>
      <c r="AX634" s="261"/>
      <c r="AY634" s="626"/>
      <c r="AZ634" s="626"/>
      <c r="BA634" s="1439"/>
      <c r="BB634" s="626"/>
      <c r="BC634" s="261"/>
      <c r="BD634" s="626"/>
      <c r="BE634" s="626"/>
      <c r="BF634" s="1439"/>
      <c r="BG634" s="678"/>
      <c r="BH634" s="330"/>
      <c r="BI634" s="330"/>
      <c r="BJ634" s="2136"/>
      <c r="BK634" s="1439"/>
      <c r="BL634" s="330"/>
      <c r="BM634" s="330"/>
      <c r="BN634" s="330"/>
      <c r="BO634" s="2136"/>
      <c r="BP634" s="1439"/>
      <c r="BQ634" s="330"/>
      <c r="BR634" s="330"/>
      <c r="BS634" s="330"/>
      <c r="BT634" s="2136"/>
      <c r="BU634" s="3406"/>
      <c r="BV634" s="330"/>
      <c r="BW634" s="330"/>
      <c r="BX634" s="330"/>
      <c r="BY634" s="2136"/>
      <c r="BZ634" s="1439"/>
      <c r="CA634" s="1439"/>
      <c r="CB634" s="1439"/>
      <c r="CC634" s="1439"/>
      <c r="CD634" s="1439"/>
      <c r="CE634" s="1439"/>
      <c r="CF634" s="1439"/>
      <c r="CG634" s="1439"/>
      <c r="CH634" s="626"/>
      <c r="CI634" s="626"/>
      <c r="CJ634" s="626"/>
      <c r="CK634" s="626"/>
      <c r="CL634" s="626"/>
      <c r="CM634" s="626"/>
      <c r="CN634" s="626"/>
      <c r="CO634" s="626"/>
      <c r="CP634" s="994"/>
      <c r="CQ634" s="626"/>
      <c r="CR634" s="626"/>
      <c r="CS634" s="626"/>
      <c r="CT634" s="626"/>
      <c r="CU634" s="626"/>
      <c r="CV634" s="626"/>
      <c r="CW634" s="626"/>
      <c r="CX634" s="626"/>
      <c r="CY634" s="626"/>
      <c r="CZ634" s="626"/>
      <c r="DA634" s="626"/>
      <c r="DB634" s="626"/>
      <c r="DC634" s="626"/>
      <c r="DD634" s="626"/>
      <c r="DE634" s="626"/>
      <c r="DF634" s="626"/>
      <c r="DG634" s="1893"/>
      <c r="DH634" s="632"/>
      <c r="DI634" s="595"/>
      <c r="DJ634" s="595"/>
      <c r="DK634" s="595"/>
      <c r="DL634" s="595"/>
      <c r="DM634" s="595"/>
      <c r="DN634" s="514"/>
      <c r="DO634" s="77"/>
      <c r="DY634" s="330"/>
      <c r="DZ634" s="330"/>
    </row>
    <row r="635" spans="1:130" ht="12" hidden="1" customHeight="1" outlineLevel="1">
      <c r="A635" s="552" t="s">
        <v>1350</v>
      </c>
      <c r="B635" s="228"/>
      <c r="C635" s="228"/>
      <c r="D635" s="625"/>
      <c r="E635" s="626"/>
      <c r="F635" s="626"/>
      <c r="G635" s="626"/>
      <c r="H635" s="788"/>
      <c r="I635" s="626"/>
      <c r="J635" s="626"/>
      <c r="K635" s="626"/>
      <c r="L635" s="626"/>
      <c r="M635" s="788"/>
      <c r="N635" s="626"/>
      <c r="O635" s="626"/>
      <c r="P635" s="626"/>
      <c r="Q635" s="626"/>
      <c r="R635" s="788"/>
      <c r="S635" s="626"/>
      <c r="T635" s="626"/>
      <c r="U635" s="626"/>
      <c r="V635" s="626"/>
      <c r="W635" s="788"/>
      <c r="X635" s="626"/>
      <c r="Y635" s="626"/>
      <c r="Z635" s="626"/>
      <c r="AA635" s="626"/>
      <c r="AB635" s="788"/>
      <c r="AC635" s="626"/>
      <c r="AD635" s="626"/>
      <c r="AE635" s="626"/>
      <c r="AF635" s="626"/>
      <c r="AG635" s="788"/>
      <c r="AH635" s="626"/>
      <c r="AI635" s="626"/>
      <c r="AJ635" s="626"/>
      <c r="AK635" s="626"/>
      <c r="AL635" s="788"/>
      <c r="AM635" s="330">
        <v>150.48099999999999</v>
      </c>
      <c r="AN635" s="330">
        <v>141.92099999999999</v>
      </c>
      <c r="AO635" s="330">
        <v>171.23599999999999</v>
      </c>
      <c r="AP635" s="330">
        <v>139.624</v>
      </c>
      <c r="AQ635" s="1950">
        <f>+SUM(AM635:AP635)</f>
        <v>603.26199999999994</v>
      </c>
      <c r="AR635" s="330">
        <v>164.63200000000001</v>
      </c>
      <c r="AS635" s="330">
        <v>184.25700000000001</v>
      </c>
      <c r="AT635" s="330">
        <v>178.20400000000001</v>
      </c>
      <c r="AU635" s="330">
        <v>167.578</v>
      </c>
      <c r="AV635" s="1950">
        <f>+SUM(AR635:AU635)</f>
        <v>694.67100000000005</v>
      </c>
      <c r="AW635" s="330">
        <v>170.24199999999999</v>
      </c>
      <c r="AX635" s="330">
        <v>173.58199999999999</v>
      </c>
      <c r="AY635" s="330">
        <v>161.24600000000001</v>
      </c>
      <c r="AZ635" s="330">
        <v>146.417</v>
      </c>
      <c r="BA635" s="1950">
        <f>+SUM(AW635:AZ635)</f>
        <v>651.48699999999997</v>
      </c>
      <c r="BB635" s="330">
        <v>173.578</v>
      </c>
      <c r="BC635" s="330">
        <v>159.36500000000001</v>
      </c>
      <c r="BD635" s="330">
        <v>153.30199999999999</v>
      </c>
      <c r="BE635" s="330">
        <v>158.11199999999999</v>
      </c>
      <c r="BF635" s="1950">
        <f>+SUM(BB635:BE635)</f>
        <v>644.35699999999997</v>
      </c>
      <c r="BG635" s="3118">
        <v>175.8</v>
      </c>
      <c r="BH635" s="330">
        <v>157.14099999999999</v>
      </c>
      <c r="BI635" s="330">
        <v>168.03700000000001</v>
      </c>
      <c r="BJ635" s="330">
        <v>147.55699999999999</v>
      </c>
      <c r="BK635" s="1950">
        <f>+SUM(BG635:BJ635)</f>
        <v>648.53500000000008</v>
      </c>
      <c r="BL635" s="3117">
        <v>152.80199999999999</v>
      </c>
      <c r="BM635" s="3117">
        <v>146.46</v>
      </c>
      <c r="BN635" s="3117"/>
      <c r="BO635" s="1893"/>
      <c r="BP635" s="1950"/>
      <c r="BQ635" s="626"/>
      <c r="BR635" s="626"/>
      <c r="BS635" s="626"/>
      <c r="BT635" s="1893"/>
      <c r="BU635" s="3406"/>
      <c r="BV635" s="626"/>
      <c r="BW635" s="626"/>
      <c r="BX635" s="626"/>
      <c r="BY635" s="1893"/>
      <c r="BZ635" s="1950"/>
      <c r="CA635" s="1950"/>
      <c r="CB635" s="1950"/>
      <c r="CC635" s="1950"/>
      <c r="CD635" s="1950"/>
      <c r="CE635" s="1950"/>
      <c r="CF635" s="1950"/>
      <c r="CG635" s="1950"/>
      <c r="CH635" s="626"/>
      <c r="CI635" s="626"/>
      <c r="CJ635" s="626"/>
      <c r="CK635" s="626"/>
      <c r="CL635" s="626"/>
      <c r="CM635" s="626"/>
      <c r="CN635" s="626"/>
      <c r="CO635" s="626"/>
      <c r="CP635" s="994"/>
      <c r="CQ635" s="626"/>
      <c r="CR635" s="626"/>
      <c r="CS635" s="626"/>
      <c r="CT635" s="626"/>
      <c r="CU635" s="626"/>
      <c r="CV635" s="626"/>
      <c r="CW635" s="626"/>
      <c r="CX635" s="626"/>
      <c r="CY635" s="626"/>
      <c r="CZ635" s="626"/>
      <c r="DA635" s="626"/>
      <c r="DB635" s="626"/>
      <c r="DC635" s="626"/>
      <c r="DD635" s="626"/>
      <c r="DE635" s="626"/>
      <c r="DF635" s="626"/>
      <c r="DG635" s="1893"/>
      <c r="DH635" s="632"/>
      <c r="DI635" s="595"/>
      <c r="DJ635" s="595"/>
      <c r="DK635" s="595"/>
      <c r="DL635" s="595"/>
      <c r="DM635" s="595"/>
      <c r="DN635" s="514"/>
      <c r="DO635" s="77"/>
      <c r="DY635" s="1634"/>
      <c r="DZ635" s="1634"/>
    </row>
    <row r="636" spans="1:130" ht="12" hidden="1" customHeight="1" outlineLevel="1">
      <c r="A636" s="567" t="s">
        <v>1153</v>
      </c>
      <c r="B636" s="228"/>
      <c r="C636" s="228"/>
      <c r="D636" s="625"/>
      <c r="E636" s="626"/>
      <c r="F636" s="626"/>
      <c r="G636" s="626"/>
      <c r="H636" s="788"/>
      <c r="I636" s="626"/>
      <c r="J636" s="626"/>
      <c r="K636" s="626"/>
      <c r="L636" s="626"/>
      <c r="M636" s="788"/>
      <c r="N636" s="626"/>
      <c r="O636" s="626"/>
      <c r="P636" s="626"/>
      <c r="Q636" s="626"/>
      <c r="R636" s="788"/>
      <c r="S636" s="626"/>
      <c r="T636" s="626"/>
      <c r="U636" s="626"/>
      <c r="V636" s="626"/>
      <c r="W636" s="788"/>
      <c r="X636" s="626"/>
      <c r="Y636" s="626"/>
      <c r="Z636" s="626"/>
      <c r="AA636" s="626"/>
      <c r="AB636" s="788"/>
      <c r="AC636" s="626"/>
      <c r="AD636" s="626"/>
      <c r="AE636" s="626"/>
      <c r="AF636" s="626"/>
      <c r="AG636" s="788"/>
      <c r="AH636" s="626"/>
      <c r="AI636" s="626"/>
      <c r="AJ636" s="626"/>
      <c r="AK636" s="626"/>
      <c r="AL636" s="788"/>
      <c r="AM636" s="626"/>
      <c r="AN636" s="261"/>
      <c r="AO636" s="626"/>
      <c r="AP636" s="330"/>
      <c r="AQ636" s="1439"/>
      <c r="AR636" s="573">
        <f t="shared" ref="AR636:AX636" si="1342">+AR635/AM635-1</f>
        <v>9.4038450036881827E-2</v>
      </c>
      <c r="AS636" s="573">
        <f t="shared" si="1342"/>
        <v>0.29830680448982183</v>
      </c>
      <c r="AT636" s="573">
        <f t="shared" si="1342"/>
        <v>4.069237777102952E-2</v>
      </c>
      <c r="AU636" s="573">
        <f t="shared" si="1342"/>
        <v>0.20020913310032662</v>
      </c>
      <c r="AV636" s="1621">
        <f t="shared" si="1342"/>
        <v>0.15152454489094302</v>
      </c>
      <c r="AW636" s="261">
        <f t="shared" si="1342"/>
        <v>3.4075999805627033E-2</v>
      </c>
      <c r="AX636" s="261">
        <f t="shared" si="1342"/>
        <v>-5.7935383730333245E-2</v>
      </c>
      <c r="AY636" s="261">
        <f t="shared" ref="AY636:BM636" si="1343">+AY635/AT635-1</f>
        <v>-9.5160602455612642E-2</v>
      </c>
      <c r="AZ636" s="261">
        <f t="shared" si="1343"/>
        <v>-0.12627552542696541</v>
      </c>
      <c r="BA636" s="1621">
        <f t="shared" si="1343"/>
        <v>-6.216467939499426E-2</v>
      </c>
      <c r="BB636" s="261">
        <f t="shared" si="1343"/>
        <v>1.9595634449783406E-2</v>
      </c>
      <c r="BC636" s="261">
        <f t="shared" si="1343"/>
        <v>-8.1903653604636362E-2</v>
      </c>
      <c r="BD636" s="261">
        <f t="shared" si="1343"/>
        <v>-4.9266338389789666E-2</v>
      </c>
      <c r="BE636" s="261">
        <f t="shared" si="1343"/>
        <v>7.9874604724861076E-2</v>
      </c>
      <c r="BF636" s="1621">
        <f>+BF635/BA635-1</f>
        <v>-1.0944193821212034E-2</v>
      </c>
      <c r="BG636" s="261">
        <f t="shared" si="1343"/>
        <v>1.2801161437509423E-2</v>
      </c>
      <c r="BH636" s="261">
        <f t="shared" si="1343"/>
        <v>-1.3955385435948986E-2</v>
      </c>
      <c r="BI636" s="261">
        <f t="shared" si="1343"/>
        <v>9.6117467482485619E-2</v>
      </c>
      <c r="BJ636" s="261">
        <f t="shared" si="1343"/>
        <v>-6.6756476421777067E-2</v>
      </c>
      <c r="BK636" s="1621">
        <f>+BK635/BF635-1</f>
        <v>6.4839832577283651E-3</v>
      </c>
      <c r="BL636" s="261">
        <f t="shared" si="1343"/>
        <v>-0.1308191126279864</v>
      </c>
      <c r="BM636" s="261">
        <f t="shared" si="1343"/>
        <v>-6.7970803291311555E-2</v>
      </c>
      <c r="BN636" s="261"/>
      <c r="BO636" s="2889"/>
      <c r="BP636" s="1621"/>
      <c r="BQ636" s="2278"/>
      <c r="BR636" s="2278"/>
      <c r="BS636" s="2278"/>
      <c r="BT636" s="2889"/>
      <c r="BU636" s="3371"/>
      <c r="BV636" s="2278"/>
      <c r="BW636" s="2278"/>
      <c r="BX636" s="2278"/>
      <c r="BY636" s="2889"/>
      <c r="BZ636" s="2279"/>
      <c r="CA636" s="2279"/>
      <c r="CB636" s="2279"/>
      <c r="CC636" s="2279"/>
      <c r="CD636" s="2279"/>
      <c r="CE636" s="2279"/>
      <c r="CF636" s="2279"/>
      <c r="CG636" s="2279"/>
      <c r="CH636" s="626"/>
      <c r="CI636" s="626"/>
      <c r="CJ636" s="626"/>
      <c r="CK636" s="626"/>
      <c r="CL636" s="626"/>
      <c r="CM636" s="626"/>
      <c r="CN636" s="626"/>
      <c r="CO636" s="626"/>
      <c r="CP636" s="994"/>
      <c r="CQ636" s="626"/>
      <c r="CR636" s="626"/>
      <c r="CS636" s="626"/>
      <c r="CT636" s="626"/>
      <c r="CU636" s="626"/>
      <c r="CV636" s="626"/>
      <c r="CW636" s="626"/>
      <c r="CX636" s="626"/>
      <c r="CY636" s="626"/>
      <c r="CZ636" s="626"/>
      <c r="DA636" s="626"/>
      <c r="DB636" s="626"/>
      <c r="DC636" s="626"/>
      <c r="DD636" s="626"/>
      <c r="DE636" s="626"/>
      <c r="DF636" s="626"/>
      <c r="DG636" s="1893"/>
      <c r="DH636" s="632"/>
      <c r="DI636" s="595"/>
      <c r="DJ636" s="595"/>
      <c r="DK636" s="595"/>
      <c r="DL636" s="595"/>
      <c r="DM636" s="595"/>
      <c r="DN636" s="514"/>
      <c r="DO636" s="77"/>
      <c r="DY636" s="573"/>
      <c r="DZ636" s="573"/>
    </row>
    <row r="637" spans="1:130" ht="12" hidden="1" customHeight="1" outlineLevel="1">
      <c r="A637" s="552" t="s">
        <v>1150</v>
      </c>
      <c r="B637" s="228"/>
      <c r="C637" s="228"/>
      <c r="D637" s="625"/>
      <c r="E637" s="626"/>
      <c r="F637" s="626"/>
      <c r="G637" s="626"/>
      <c r="H637" s="788"/>
      <c r="I637" s="626"/>
      <c r="J637" s="626"/>
      <c r="K637" s="626"/>
      <c r="L637" s="626"/>
      <c r="M637" s="788"/>
      <c r="N637" s="626"/>
      <c r="O637" s="626"/>
      <c r="P637" s="626"/>
      <c r="Q637" s="626"/>
      <c r="R637" s="788"/>
      <c r="S637" s="626"/>
      <c r="T637" s="626"/>
      <c r="U637" s="626"/>
      <c r="V637" s="626"/>
      <c r="W637" s="788"/>
      <c r="X637" s="626"/>
      <c r="Y637" s="626"/>
      <c r="Z637" s="626"/>
      <c r="AA637" s="626"/>
      <c r="AB637" s="788"/>
      <c r="AC637" s="626"/>
      <c r="AD637" s="626"/>
      <c r="AE637" s="626"/>
      <c r="AF637" s="626"/>
      <c r="AG637" s="788"/>
      <c r="AH637" s="626"/>
      <c r="AI637" s="626"/>
      <c r="AJ637" s="626"/>
      <c r="AK637" s="626"/>
      <c r="AL637" s="788"/>
      <c r="AM637" s="626">
        <f t="shared" ref="AM637:BL637" si="1344">+AM639*1000/AM635</f>
        <v>90.361706527734398</v>
      </c>
      <c r="AN637" s="626">
        <f t="shared" si="1344"/>
        <v>84.418758816524701</v>
      </c>
      <c r="AO637" s="626">
        <f t="shared" si="1344"/>
        <v>79.23317077016516</v>
      </c>
      <c r="AP637" s="626">
        <f t="shared" si="1344"/>
        <v>81.741432776600007</v>
      </c>
      <c r="AQ637" s="1950">
        <f t="shared" si="1344"/>
        <v>83.809607881815865</v>
      </c>
      <c r="AR637" s="626">
        <f t="shared" si="1344"/>
        <v>83.774746100393614</v>
      </c>
      <c r="AS637" s="626">
        <f t="shared" si="1344"/>
        <v>76.084816641972893</v>
      </c>
      <c r="AT637" s="626">
        <f t="shared" si="1344"/>
        <v>73.921588404300692</v>
      </c>
      <c r="AU637" s="626">
        <f t="shared" si="1344"/>
        <v>72.170767344162115</v>
      </c>
      <c r="AV637" s="1950">
        <f t="shared" si="1344"/>
        <v>76.408140904111434</v>
      </c>
      <c r="AW637" s="626">
        <f t="shared" si="1344"/>
        <v>81.080348503894456</v>
      </c>
      <c r="AX637" s="626">
        <f t="shared" si="1344"/>
        <v>79.427526414029117</v>
      </c>
      <c r="AY637" s="626">
        <f t="shared" si="1344"/>
        <v>79.598231087902946</v>
      </c>
      <c r="AZ637" s="626">
        <f t="shared" si="1344"/>
        <v>84.122745309629352</v>
      </c>
      <c r="BA637" s="1950">
        <f t="shared" si="1344"/>
        <v>80.956896991037425</v>
      </c>
      <c r="BB637" s="626">
        <f>+BB639*1000/BB635</f>
        <v>76.09431921095991</v>
      </c>
      <c r="BC637" s="626">
        <f t="shared" si="1344"/>
        <v>77.729019483575442</v>
      </c>
      <c r="BD637" s="626">
        <f t="shared" si="1344"/>
        <v>79.232882088948628</v>
      </c>
      <c r="BE637" s="626">
        <f t="shared" si="1344"/>
        <v>76.793074149969641</v>
      </c>
      <c r="BF637" s="1950">
        <f t="shared" si="1344"/>
        <v>77.416790319651994</v>
      </c>
      <c r="BG637" s="625">
        <f t="shared" si="1344"/>
        <v>76.100366154721272</v>
      </c>
      <c r="BH637" s="626">
        <f t="shared" si="1344"/>
        <v>81.787796246682916</v>
      </c>
      <c r="BI637" s="626">
        <f t="shared" si="1344"/>
        <v>72.325498074828744</v>
      </c>
      <c r="BJ637" s="1893">
        <f t="shared" si="1344"/>
        <v>77.252051071789211</v>
      </c>
      <c r="BK637" s="1950">
        <f t="shared" si="1344"/>
        <v>76.762396909958596</v>
      </c>
      <c r="BL637" s="626">
        <f t="shared" si="1344"/>
        <v>82.257967042316196</v>
      </c>
      <c r="BM637" s="626">
        <f t="shared" ref="BM637" si="1345">+BM639*1000/BM635</f>
        <v>79.339538713641943</v>
      </c>
      <c r="BN637" s="626"/>
      <c r="BO637" s="1893"/>
      <c r="BP637" s="1950"/>
      <c r="BQ637" s="626"/>
      <c r="BR637" s="626"/>
      <c r="BS637" s="626"/>
      <c r="BT637" s="1893"/>
      <c r="BU637" s="3406"/>
      <c r="BV637" s="626"/>
      <c r="BW637" s="626"/>
      <c r="BX637" s="626"/>
      <c r="BY637" s="1893"/>
      <c r="BZ637" s="1950"/>
      <c r="CA637" s="1950"/>
      <c r="CB637" s="1950"/>
      <c r="CC637" s="1950"/>
      <c r="CD637" s="1950"/>
      <c r="CE637" s="1950"/>
      <c r="CF637" s="1950"/>
      <c r="CG637" s="1950"/>
      <c r="CH637" s="626"/>
      <c r="CI637" s="626"/>
      <c r="CJ637" s="626"/>
      <c r="CK637" s="626"/>
      <c r="CL637" s="626"/>
      <c r="CM637" s="626"/>
      <c r="CN637" s="626"/>
      <c r="CO637" s="626"/>
      <c r="CP637" s="994"/>
      <c r="CQ637" s="626"/>
      <c r="CR637" s="626"/>
      <c r="CS637" s="626"/>
      <c r="CT637" s="626"/>
      <c r="CU637" s="626"/>
      <c r="CV637" s="626"/>
      <c r="CW637" s="626"/>
      <c r="CX637" s="626"/>
      <c r="CY637" s="626"/>
      <c r="CZ637" s="626"/>
      <c r="DA637" s="626"/>
      <c r="DB637" s="626"/>
      <c r="DC637" s="626"/>
      <c r="DD637" s="626"/>
      <c r="DE637" s="626"/>
      <c r="DF637" s="626"/>
      <c r="DG637" s="1893"/>
      <c r="DH637" s="632"/>
      <c r="DI637" s="595"/>
      <c r="DJ637" s="595"/>
      <c r="DK637" s="595"/>
      <c r="DL637" s="595"/>
      <c r="DM637" s="595"/>
      <c r="DN637" s="514"/>
      <c r="DO637" s="77"/>
      <c r="DY637" s="1634"/>
      <c r="DZ637" s="1634"/>
    </row>
    <row r="638" spans="1:130" s="2252" customFormat="1" ht="12" hidden="1" customHeight="1" outlineLevel="1">
      <c r="A638" s="552"/>
      <c r="B638" s="228"/>
      <c r="C638" s="228"/>
      <c r="D638" s="625"/>
      <c r="E638" s="626"/>
      <c r="F638" s="626"/>
      <c r="G638" s="626"/>
      <c r="H638" s="788"/>
      <c r="I638" s="626"/>
      <c r="J638" s="626"/>
      <c r="K638" s="626"/>
      <c r="L638" s="626"/>
      <c r="M638" s="788"/>
      <c r="N638" s="626"/>
      <c r="O638" s="626"/>
      <c r="P638" s="626"/>
      <c r="Q638" s="626"/>
      <c r="R638" s="788"/>
      <c r="S638" s="626"/>
      <c r="T638" s="626"/>
      <c r="U638" s="626"/>
      <c r="V638" s="626"/>
      <c r="W638" s="788"/>
      <c r="X638" s="626"/>
      <c r="Y638" s="626"/>
      <c r="Z638" s="626"/>
      <c r="AA638" s="626"/>
      <c r="AB638" s="788"/>
      <c r="AC638" s="626"/>
      <c r="AD638" s="626"/>
      <c r="AE638" s="626"/>
      <c r="AF638" s="626"/>
      <c r="AG638" s="788"/>
      <c r="AH638" s="626"/>
      <c r="AI638" s="626"/>
      <c r="AJ638" s="626"/>
      <c r="AK638" s="626"/>
      <c r="AL638" s="788"/>
      <c r="AM638" s="626"/>
      <c r="AN638" s="261"/>
      <c r="AO638" s="626"/>
      <c r="AP638" s="330"/>
      <c r="AQ638" s="1439"/>
      <c r="AR638" s="330"/>
      <c r="AS638" s="330"/>
      <c r="AT638" s="330"/>
      <c r="AU638" s="626"/>
      <c r="AV638" s="1951"/>
      <c r="AW638" s="626"/>
      <c r="AX638" s="261"/>
      <c r="AY638" s="626"/>
      <c r="AZ638" s="626"/>
      <c r="BA638" s="1439"/>
      <c r="BB638" s="626"/>
      <c r="BC638" s="261"/>
      <c r="BD638" s="626"/>
      <c r="BE638" s="626"/>
      <c r="BF638" s="1439"/>
      <c r="BG638" s="678"/>
      <c r="BH638" s="330"/>
      <c r="BI638" s="330"/>
      <c r="BJ638" s="2136"/>
      <c r="BK638" s="1439"/>
      <c r="BL638" s="330"/>
      <c r="BM638" s="330"/>
      <c r="BN638" s="330"/>
      <c r="BO638" s="2136"/>
      <c r="BP638" s="1439"/>
      <c r="BQ638" s="330"/>
      <c r="BR638" s="330"/>
      <c r="BS638" s="330"/>
      <c r="BT638" s="2136"/>
      <c r="BU638" s="3406"/>
      <c r="BV638" s="330"/>
      <c r="BW638" s="330"/>
      <c r="BX638" s="330"/>
      <c r="BY638" s="2136"/>
      <c r="BZ638" s="1439"/>
      <c r="CA638" s="1439"/>
      <c r="CB638" s="1439"/>
      <c r="CC638" s="1439"/>
      <c r="CD638" s="1439"/>
      <c r="CE638" s="1439"/>
      <c r="CF638" s="1439"/>
      <c r="CG638" s="1439"/>
      <c r="CH638" s="626"/>
      <c r="CI638" s="626"/>
      <c r="CJ638" s="626"/>
      <c r="CK638" s="626"/>
      <c r="CL638" s="626"/>
      <c r="CM638" s="626"/>
      <c r="CN638" s="626"/>
      <c r="CO638" s="626"/>
      <c r="CP638" s="994"/>
      <c r="CQ638" s="626"/>
      <c r="CR638" s="626"/>
      <c r="CS638" s="626"/>
      <c r="CT638" s="626"/>
      <c r="CU638" s="626"/>
      <c r="CV638" s="626"/>
      <c r="CW638" s="626"/>
      <c r="CX638" s="626"/>
      <c r="CY638" s="626"/>
      <c r="CZ638" s="626"/>
      <c r="DA638" s="626"/>
      <c r="DB638" s="626"/>
      <c r="DC638" s="626"/>
      <c r="DD638" s="626"/>
      <c r="DE638" s="626"/>
      <c r="DF638" s="626"/>
      <c r="DG638" s="1893"/>
      <c r="DH638" s="632"/>
      <c r="DI638" s="595"/>
      <c r="DJ638" s="595"/>
      <c r="DK638" s="595"/>
      <c r="DL638" s="595"/>
      <c r="DM638" s="595"/>
      <c r="DN638" s="514"/>
      <c r="DO638" s="77"/>
      <c r="DP638"/>
      <c r="DQ638"/>
      <c r="DR638"/>
      <c r="DS638"/>
      <c r="DT638"/>
      <c r="DU638"/>
      <c r="DY638" s="330"/>
      <c r="DZ638" s="330"/>
    </row>
    <row r="639" spans="1:130" ht="12" hidden="1" customHeight="1" outlineLevel="1">
      <c r="A639" s="552" t="s">
        <v>1661</v>
      </c>
      <c r="B639" s="228"/>
      <c r="C639" s="228"/>
      <c r="D639" s="625"/>
      <c r="E639" s="626"/>
      <c r="F639" s="626"/>
      <c r="G639" s="626"/>
      <c r="H639" s="788"/>
      <c r="I639" s="626"/>
      <c r="J639" s="626"/>
      <c r="K639" s="626"/>
      <c r="L639" s="626"/>
      <c r="M639" s="788"/>
      <c r="N639" s="626"/>
      <c r="O639" s="626"/>
      <c r="P639" s="626"/>
      <c r="Q639" s="626"/>
      <c r="R639" s="788"/>
      <c r="S639" s="626"/>
      <c r="T639" s="626"/>
      <c r="U639" s="626"/>
      <c r="V639" s="626"/>
      <c r="W639" s="788"/>
      <c r="X639" s="626"/>
      <c r="Y639" s="626"/>
      <c r="Z639" s="626"/>
      <c r="AA639" s="626"/>
      <c r="AB639" s="788"/>
      <c r="AC639" s="626"/>
      <c r="AD639" s="626"/>
      <c r="AE639" s="626"/>
      <c r="AF639" s="626"/>
      <c r="AG639" s="788"/>
      <c r="AH639" s="626"/>
      <c r="AI639" s="626"/>
      <c r="AJ639" s="626"/>
      <c r="AK639" s="626"/>
      <c r="AL639" s="788"/>
      <c r="AM639" s="330">
        <v>13.597719959999999</v>
      </c>
      <c r="AN639" s="330">
        <v>11.980794670000002</v>
      </c>
      <c r="AO639" s="330">
        <v>13.567571230000002</v>
      </c>
      <c r="AP639" s="330">
        <v>11.413065809999999</v>
      </c>
      <c r="AQ639" s="1950">
        <f>+SUM(AM639:AP639)</f>
        <v>50.559151669999999</v>
      </c>
      <c r="AR639" s="330">
        <v>13.792004000000002</v>
      </c>
      <c r="AS639" s="330">
        <v>14.019160060000001</v>
      </c>
      <c r="AT639" s="330">
        <v>13.17312274</v>
      </c>
      <c r="AU639" s="330">
        <v>12.094232850000001</v>
      </c>
      <c r="AV639" s="1950">
        <f>+SUM(AR639:AU639)</f>
        <v>53.078519650000004</v>
      </c>
      <c r="AW639" s="330">
        <v>13.803280689999999</v>
      </c>
      <c r="AX639" s="330">
        <v>13.787188890000001</v>
      </c>
      <c r="AY639" s="330">
        <v>12.834896369999999</v>
      </c>
      <c r="AZ639" s="330">
        <v>12.317</v>
      </c>
      <c r="BA639" s="1950">
        <f>+SUM(AW639:AZ639)</f>
        <v>52.74236595</v>
      </c>
      <c r="BB639" s="330">
        <v>13.208299740000001</v>
      </c>
      <c r="BC639" s="330">
        <v>12.38728519</v>
      </c>
      <c r="BD639" s="330">
        <v>12.146559290000001</v>
      </c>
      <c r="BE639" s="330">
        <v>12.141906540000001</v>
      </c>
      <c r="BF639" s="1950">
        <f>+SUM(BB639:BE639)</f>
        <v>49.884050760000001</v>
      </c>
      <c r="BG639" s="3118">
        <v>13.37844437</v>
      </c>
      <c r="BH639" s="3117">
        <v>12.852216090000001</v>
      </c>
      <c r="BI639" s="3117">
        <v>12.153359719999999</v>
      </c>
      <c r="BJ639" s="3117">
        <v>11.3990809</v>
      </c>
      <c r="BK639" s="1950">
        <f>+SUM(BG639:BJ639)</f>
        <v>49.783101080000002</v>
      </c>
      <c r="BL639" s="3117">
        <v>12.569181879999999</v>
      </c>
      <c r="BM639" s="3117">
        <v>11.62006884</v>
      </c>
      <c r="BN639" s="3117"/>
      <c r="BO639" s="1893"/>
      <c r="BP639" s="1950"/>
      <c r="BQ639" s="626"/>
      <c r="BR639" s="626"/>
      <c r="BS639" s="626"/>
      <c r="BT639" s="1893"/>
      <c r="BU639" s="3406"/>
      <c r="BV639" s="626"/>
      <c r="BW639" s="626"/>
      <c r="BX639" s="626"/>
      <c r="BY639" s="1893"/>
      <c r="BZ639" s="1950"/>
      <c r="CA639" s="1950"/>
      <c r="CB639" s="1950"/>
      <c r="CC639" s="1950"/>
      <c r="CD639" s="1950"/>
      <c r="CE639" s="1950"/>
      <c r="CF639" s="1950"/>
      <c r="CG639" s="1950"/>
      <c r="CH639" s="626"/>
      <c r="CI639" s="626"/>
      <c r="CJ639" s="626"/>
      <c r="CK639" s="626"/>
      <c r="CL639" s="626"/>
      <c r="CM639" s="626"/>
      <c r="CN639" s="626"/>
      <c r="CO639" s="626"/>
      <c r="CP639" s="994"/>
      <c r="CQ639" s="626"/>
      <c r="CR639" s="626"/>
      <c r="CS639" s="626"/>
      <c r="CT639" s="626"/>
      <c r="CU639" s="626"/>
      <c r="CV639" s="626"/>
      <c r="CW639" s="626"/>
      <c r="CX639" s="626"/>
      <c r="CY639" s="626"/>
      <c r="CZ639" s="626"/>
      <c r="DA639" s="626"/>
      <c r="DB639" s="626"/>
      <c r="DC639" s="626"/>
      <c r="DD639" s="626"/>
      <c r="DE639" s="626"/>
      <c r="DF639" s="626"/>
      <c r="DG639" s="1893"/>
      <c r="DH639" s="632"/>
      <c r="DI639" s="595"/>
      <c r="DJ639" s="595"/>
      <c r="DK639" s="595"/>
      <c r="DL639" s="595"/>
      <c r="DM639" s="595"/>
      <c r="DN639" s="514"/>
      <c r="DO639" s="77"/>
      <c r="DY639" s="1634"/>
      <c r="DZ639" s="1634"/>
    </row>
    <row r="640" spans="1:130" ht="12" hidden="1" customHeight="1" outlineLevel="1">
      <c r="A640" s="552" t="s">
        <v>1662</v>
      </c>
      <c r="B640" s="228"/>
      <c r="C640" s="228"/>
      <c r="D640" s="625"/>
      <c r="E640" s="626"/>
      <c r="F640" s="626"/>
      <c r="G640" s="626"/>
      <c r="H640" s="788"/>
      <c r="I640" s="626"/>
      <c r="J640" s="626"/>
      <c r="K640" s="626"/>
      <c r="L640" s="626"/>
      <c r="M640" s="788"/>
      <c r="N640" s="626"/>
      <c r="O640" s="626"/>
      <c r="P640" s="626"/>
      <c r="Q640" s="626"/>
      <c r="R640" s="788"/>
      <c r="S640" s="626"/>
      <c r="T640" s="626"/>
      <c r="U640" s="626"/>
      <c r="V640" s="626"/>
      <c r="W640" s="788"/>
      <c r="X640" s="626"/>
      <c r="Y640" s="626"/>
      <c r="Z640" s="626"/>
      <c r="AA640" s="626"/>
      <c r="AB640" s="788"/>
      <c r="AC640" s="626"/>
      <c r="AD640" s="626"/>
      <c r="AE640" s="626"/>
      <c r="AF640" s="626"/>
      <c r="AG640" s="788"/>
      <c r="AH640" s="626"/>
      <c r="AI640" s="626"/>
      <c r="AJ640" s="626"/>
      <c r="AK640" s="626"/>
      <c r="AL640" s="788"/>
      <c r="AM640" s="626">
        <f>+AM642-AM639</f>
        <v>-0.15671995999999844</v>
      </c>
      <c r="AN640" s="626">
        <f>+AN642-AN639</f>
        <v>-0.64979467000000213</v>
      </c>
      <c r="AO640" s="626">
        <f>+AO642-AO639</f>
        <v>-1.0705712300000023</v>
      </c>
      <c r="AP640" s="626">
        <f>+AP642-AP639</f>
        <v>-0.71706580999999936</v>
      </c>
      <c r="AQ640" s="1950">
        <f>+SUM(AM640:AP640)</f>
        <v>-2.5941516700000022</v>
      </c>
      <c r="AR640" s="626">
        <f>+AR642-AR639</f>
        <v>-0.91400400000000204</v>
      </c>
      <c r="AS640" s="626">
        <f>+AS642-AS639</f>
        <v>-0.88616006000000169</v>
      </c>
      <c r="AT640" s="626">
        <f>+AT642-AT639</f>
        <v>-0.69812274000000052</v>
      </c>
      <c r="AU640" s="626">
        <f>+AP640</f>
        <v>-0.71706580999999936</v>
      </c>
      <c r="AV640" s="1950">
        <f>+SUM(AR640:AU640)</f>
        <v>-3.2153526100000036</v>
      </c>
      <c r="AW640" s="626">
        <f>+AR640</f>
        <v>-0.91400400000000204</v>
      </c>
      <c r="AX640" s="626">
        <f>+AS640</f>
        <v>-0.88616006000000169</v>
      </c>
      <c r="AY640" s="626">
        <f>+AT640</f>
        <v>-0.69812274000000052</v>
      </c>
      <c r="AZ640" s="626">
        <f>+AU640</f>
        <v>-0.71706580999999936</v>
      </c>
      <c r="BA640" s="1950">
        <f>+SUM(AW640:AZ640)</f>
        <v>-3.2153526100000036</v>
      </c>
      <c r="BB640" s="626">
        <f>+AW640</f>
        <v>-0.91400400000000204</v>
      </c>
      <c r="BC640" s="626">
        <f>+AX640</f>
        <v>-0.88616006000000169</v>
      </c>
      <c r="BD640" s="626">
        <f>+AY640</f>
        <v>-0.69812274000000052</v>
      </c>
      <c r="BE640" s="626">
        <f>+AZ640</f>
        <v>-0.71706580999999936</v>
      </c>
      <c r="BF640" s="1950">
        <f>+SUM(BB640:BE640)</f>
        <v>-3.2153526100000036</v>
      </c>
      <c r="BG640" s="625">
        <f>+BB640</f>
        <v>-0.91400400000000204</v>
      </c>
      <c r="BH640" s="626">
        <f>+BC640</f>
        <v>-0.88616006000000169</v>
      </c>
      <c r="BI640" s="626">
        <f>+BD640</f>
        <v>-0.69812274000000052</v>
      </c>
      <c r="BJ640" s="1893">
        <f>+BE640</f>
        <v>-0.71706580999999936</v>
      </c>
      <c r="BK640" s="1950">
        <f>+SUM(BG640:BJ640)</f>
        <v>-3.2153526100000036</v>
      </c>
      <c r="BL640" s="626">
        <f>+BG640</f>
        <v>-0.91400400000000204</v>
      </c>
      <c r="BM640" s="626">
        <f>+BH640</f>
        <v>-0.88616006000000169</v>
      </c>
      <c r="BN640" s="626"/>
      <c r="BO640" s="1893"/>
      <c r="BP640" s="1950"/>
      <c r="BQ640" s="626"/>
      <c r="BR640" s="626"/>
      <c r="BS640" s="626"/>
      <c r="BT640" s="1893"/>
      <c r="BU640" s="3406"/>
      <c r="BV640" s="626"/>
      <c r="BW640" s="626"/>
      <c r="BX640" s="626"/>
      <c r="BY640" s="1893"/>
      <c r="BZ640" s="1950"/>
      <c r="CA640" s="1950"/>
      <c r="CB640" s="1950"/>
      <c r="CC640" s="1950"/>
      <c r="CD640" s="1950"/>
      <c r="CE640" s="1950"/>
      <c r="CF640" s="1950"/>
      <c r="CG640" s="1950"/>
      <c r="CH640" s="626"/>
      <c r="CI640" s="626"/>
      <c r="CJ640" s="626"/>
      <c r="CK640" s="626"/>
      <c r="CL640" s="626"/>
      <c r="CM640" s="626"/>
      <c r="CN640" s="626"/>
      <c r="CO640" s="626"/>
      <c r="CP640" s="994"/>
      <c r="CQ640" s="626"/>
      <c r="CR640" s="626"/>
      <c r="CS640" s="626"/>
      <c r="CT640" s="626"/>
      <c r="CU640" s="626"/>
      <c r="CV640" s="626"/>
      <c r="CW640" s="626"/>
      <c r="CX640" s="626"/>
      <c r="CY640" s="626"/>
      <c r="CZ640" s="626"/>
      <c r="DA640" s="626"/>
      <c r="DB640" s="626"/>
      <c r="DC640" s="626"/>
      <c r="DD640" s="626"/>
      <c r="DE640" s="626"/>
      <c r="DF640" s="626"/>
      <c r="DG640" s="1893"/>
      <c r="DH640" s="632"/>
      <c r="DI640" s="595"/>
      <c r="DJ640" s="595"/>
      <c r="DK640" s="595"/>
      <c r="DL640" s="595"/>
      <c r="DM640" s="595"/>
      <c r="DN640" s="514"/>
      <c r="DO640" s="77"/>
      <c r="DY640" s="1634"/>
      <c r="DZ640" s="1634"/>
    </row>
    <row r="641" spans="1:130" ht="4.5" hidden="1" customHeight="1" outlineLevel="1">
      <c r="A641" s="962"/>
      <c r="B641" s="293"/>
      <c r="C641" s="293"/>
      <c r="D641" s="294" t="s">
        <v>343</v>
      </c>
      <c r="E641" s="295" t="s">
        <v>343</v>
      </c>
      <c r="F641" s="295" t="s">
        <v>343</v>
      </c>
      <c r="G641" s="295" t="s">
        <v>343</v>
      </c>
      <c r="H641" s="296" t="s">
        <v>343</v>
      </c>
      <c r="I641" s="295" t="s">
        <v>343</v>
      </c>
      <c r="J641" s="295" t="s">
        <v>343</v>
      </c>
      <c r="K641" s="295" t="s">
        <v>343</v>
      </c>
      <c r="L641" s="295" t="s">
        <v>343</v>
      </c>
      <c r="M641" s="296" t="s">
        <v>343</v>
      </c>
      <c r="N641" s="295" t="s">
        <v>343</v>
      </c>
      <c r="O641" s="295" t="s">
        <v>343</v>
      </c>
      <c r="P641" s="295" t="s">
        <v>343</v>
      </c>
      <c r="Q641" s="295" t="s">
        <v>343</v>
      </c>
      <c r="R641" s="296" t="s">
        <v>343</v>
      </c>
      <c r="S641" s="295" t="s">
        <v>343</v>
      </c>
      <c r="T641" s="295" t="s">
        <v>343</v>
      </c>
      <c r="U641" s="295" t="s">
        <v>343</v>
      </c>
      <c r="V641" s="295" t="s">
        <v>343</v>
      </c>
      <c r="W641" s="296" t="s">
        <v>343</v>
      </c>
      <c r="X641" s="295" t="s">
        <v>343</v>
      </c>
      <c r="Y641" s="295" t="s">
        <v>343</v>
      </c>
      <c r="Z641" s="295" t="s">
        <v>343</v>
      </c>
      <c r="AA641" s="295" t="s">
        <v>343</v>
      </c>
      <c r="AB641" s="296" t="s">
        <v>343</v>
      </c>
      <c r="AC641" s="295" t="s">
        <v>343</v>
      </c>
      <c r="AD641" s="295" t="s">
        <v>343</v>
      </c>
      <c r="AE641" s="295" t="s">
        <v>343</v>
      </c>
      <c r="AF641" s="295" t="s">
        <v>343</v>
      </c>
      <c r="AG641" s="296" t="s">
        <v>343</v>
      </c>
      <c r="AH641" s="295" t="s">
        <v>343</v>
      </c>
      <c r="AI641" s="295" t="s">
        <v>343</v>
      </c>
      <c r="AJ641" s="295" t="s">
        <v>343</v>
      </c>
      <c r="AK641" s="295" t="s">
        <v>343</v>
      </c>
      <c r="AL641" s="296" t="s">
        <v>343</v>
      </c>
      <c r="AM641" s="295" t="s">
        <v>343</v>
      </c>
      <c r="AN641" s="295" t="s">
        <v>343</v>
      </c>
      <c r="AO641" s="295" t="s">
        <v>343</v>
      </c>
      <c r="AP641" s="295" t="s">
        <v>343</v>
      </c>
      <c r="AQ641" s="296" t="s">
        <v>343</v>
      </c>
      <c r="AR641" s="295" t="s">
        <v>343</v>
      </c>
      <c r="AS641" s="295" t="s">
        <v>343</v>
      </c>
      <c r="AT641" s="295" t="s">
        <v>343</v>
      </c>
      <c r="AU641" s="295" t="s">
        <v>343</v>
      </c>
      <c r="AV641" s="296" t="s">
        <v>343</v>
      </c>
      <c r="AW641" s="295" t="s">
        <v>343</v>
      </c>
      <c r="AX641" s="295" t="s">
        <v>343</v>
      </c>
      <c r="AY641" s="295" t="s">
        <v>343</v>
      </c>
      <c r="AZ641" s="295" t="s">
        <v>343</v>
      </c>
      <c r="BA641" s="296" t="s">
        <v>343</v>
      </c>
      <c r="BB641" s="295" t="s">
        <v>343</v>
      </c>
      <c r="BC641" s="295" t="s">
        <v>343</v>
      </c>
      <c r="BD641" s="295" t="s">
        <v>343</v>
      </c>
      <c r="BE641" s="295" t="s">
        <v>343</v>
      </c>
      <c r="BF641" s="296" t="s">
        <v>343</v>
      </c>
      <c r="BG641" s="294" t="s">
        <v>343</v>
      </c>
      <c r="BH641" s="295" t="s">
        <v>343</v>
      </c>
      <c r="BI641" s="295" t="s">
        <v>343</v>
      </c>
      <c r="BJ641" s="297" t="s">
        <v>343</v>
      </c>
      <c r="BK641" s="296" t="s">
        <v>343</v>
      </c>
      <c r="BL641" s="295" t="s">
        <v>343</v>
      </c>
      <c r="BM641" s="295" t="s">
        <v>343</v>
      </c>
      <c r="BN641" s="295"/>
      <c r="BO641" s="297"/>
      <c r="BP641" s="296"/>
      <c r="BQ641" s="295"/>
      <c r="BR641" s="295"/>
      <c r="BS641" s="295"/>
      <c r="BT641" s="297"/>
      <c r="BU641" s="3314"/>
      <c r="BV641" s="295"/>
      <c r="BW641" s="295"/>
      <c r="BX641" s="295"/>
      <c r="BY641" s="297"/>
      <c r="BZ641" s="297"/>
      <c r="CA641" s="297"/>
      <c r="CB641" s="297"/>
      <c r="CC641" s="297"/>
      <c r="CD641" s="297"/>
      <c r="CE641" s="297"/>
      <c r="CF641" s="297"/>
      <c r="CG641" s="297"/>
      <c r="CH641" s="295"/>
      <c r="CI641" s="295"/>
      <c r="CJ641" s="295"/>
      <c r="CK641" s="295"/>
      <c r="CL641" s="295"/>
      <c r="CM641" s="295"/>
      <c r="CN641" s="295"/>
      <c r="CO641" s="295"/>
      <c r="CP641" s="1784"/>
      <c r="CQ641" s="295" t="str">
        <f>H641</f>
        <v xml:space="preserve">                </v>
      </c>
      <c r="CR641" s="295" t="str">
        <f>M641</f>
        <v xml:space="preserve">                </v>
      </c>
      <c r="CS641" s="295" t="str">
        <f>R641</f>
        <v xml:space="preserve">                </v>
      </c>
      <c r="CT641" s="295" t="str">
        <f>W641</f>
        <v xml:space="preserve">                </v>
      </c>
      <c r="CU641" s="295" t="str">
        <f>AB641</f>
        <v xml:space="preserve">                </v>
      </c>
      <c r="CV641" s="295" t="str">
        <f>AG641</f>
        <v xml:space="preserve">                </v>
      </c>
      <c r="CW641" s="295" t="str">
        <f>AL641</f>
        <v xml:space="preserve">                </v>
      </c>
      <c r="CX641" s="295" t="str">
        <f>AQ641</f>
        <v xml:space="preserve">                </v>
      </c>
      <c r="CY641" s="295" t="str">
        <f>AV641</f>
        <v xml:space="preserve">                </v>
      </c>
      <c r="CZ641" s="295" t="str">
        <f>BA641</f>
        <v xml:space="preserve">                </v>
      </c>
      <c r="DA641" s="295" t="str">
        <f>BF641</f>
        <v xml:space="preserve">                </v>
      </c>
      <c r="DB641" s="295" t="str">
        <f>BK641</f>
        <v xml:space="preserve">                </v>
      </c>
      <c r="DC641" s="295">
        <f>BP641</f>
        <v>0</v>
      </c>
      <c r="DD641" s="295">
        <f>BU641</f>
        <v>0</v>
      </c>
      <c r="DE641" s="295">
        <f>BZ641</f>
        <v>0</v>
      </c>
      <c r="DF641" s="295">
        <f>CA641</f>
        <v>0</v>
      </c>
      <c r="DG641" s="297">
        <f>CB641</f>
        <v>0</v>
      </c>
      <c r="DH641" s="298"/>
      <c r="DI641" s="299"/>
      <c r="DJ641" s="299"/>
      <c r="DK641" s="299"/>
      <c r="DL641" s="299"/>
      <c r="DM641" s="299"/>
      <c r="DN641" s="299"/>
      <c r="DO641" s="300"/>
      <c r="DY641" s="295"/>
      <c r="DZ641" s="295"/>
    </row>
    <row r="642" spans="1:130" ht="12" hidden="1" customHeight="1" outlineLevel="1">
      <c r="A642" s="228" t="s">
        <v>741</v>
      </c>
      <c r="B642" s="228"/>
      <c r="C642" s="228"/>
      <c r="D642" s="625"/>
      <c r="E642" s="626"/>
      <c r="F642" s="626"/>
      <c r="G642" s="626"/>
      <c r="H642" s="788"/>
      <c r="I642" s="626"/>
      <c r="J642" s="626"/>
      <c r="K642" s="626"/>
      <c r="L642" s="626"/>
      <c r="M642" s="788"/>
      <c r="N642" s="626"/>
      <c r="O642" s="626"/>
      <c r="P642" s="626"/>
      <c r="Q642" s="626"/>
      <c r="R642" s="788"/>
      <c r="S642" s="626"/>
      <c r="T642" s="626"/>
      <c r="U642" s="626"/>
      <c r="V642" s="626"/>
      <c r="W642" s="788"/>
      <c r="X642" s="626"/>
      <c r="Y642" s="626"/>
      <c r="Z642" s="626"/>
      <c r="AA642" s="626"/>
      <c r="AB642" s="788"/>
      <c r="AC642" s="626"/>
      <c r="AD642" s="626"/>
      <c r="AE642" s="626"/>
      <c r="AF642" s="626"/>
      <c r="AG642" s="788"/>
      <c r="AH642" s="626"/>
      <c r="AI642" s="626"/>
      <c r="AJ642" s="626"/>
      <c r="AK642" s="626"/>
      <c r="AL642" s="788"/>
      <c r="AM642" s="554">
        <v>13.441000000000001</v>
      </c>
      <c r="AN642" s="554">
        <v>11.331</v>
      </c>
      <c r="AO642" s="554">
        <v>12.497</v>
      </c>
      <c r="AP642" s="554">
        <v>10.696</v>
      </c>
      <c r="AQ642" s="556">
        <f>+SUM(AM642:AP642)</f>
        <v>47.964999999999996</v>
      </c>
      <c r="AR642" s="554">
        <v>12.878</v>
      </c>
      <c r="AS642" s="554">
        <v>13.132999999999999</v>
      </c>
      <c r="AT642" s="554">
        <v>12.475</v>
      </c>
      <c r="AU642" s="1978">
        <f>+AU639+AU640</f>
        <v>11.377167040000002</v>
      </c>
      <c r="AV642" s="556">
        <f>+SUM(AR642:AU642)</f>
        <v>49.86316704</v>
      </c>
      <c r="AW642" s="557">
        <f>+AW639+AW640</f>
        <v>12.889276689999997</v>
      </c>
      <c r="AX642" s="557">
        <f>+AX639+AX640</f>
        <v>12.90102883</v>
      </c>
      <c r="AY642" s="557">
        <f>+AY639+AY640</f>
        <v>12.136773629999999</v>
      </c>
      <c r="AZ642" s="557">
        <f>+AZ639+AZ640</f>
        <v>11.599934190000001</v>
      </c>
      <c r="BA642" s="556">
        <f>+SUM(AW642:AZ642)</f>
        <v>49.527013339999996</v>
      </c>
      <c r="BB642" s="557">
        <f>+BB639+BB640</f>
        <v>12.294295739999999</v>
      </c>
      <c r="BC642" s="557">
        <f>+BC639+BC640</f>
        <v>11.501125129999998</v>
      </c>
      <c r="BD642" s="557">
        <f>+BD639+BD640</f>
        <v>11.44843655</v>
      </c>
      <c r="BE642" s="557">
        <f>+BE639+BE640</f>
        <v>11.424840730000001</v>
      </c>
      <c r="BF642" s="556">
        <f>+SUM(BB642:BE642)</f>
        <v>46.668698149999997</v>
      </c>
      <c r="BG642" s="557">
        <f t="shared" ref="BG642:BM642" si="1346">+BG639+BG640</f>
        <v>12.464440369999998</v>
      </c>
      <c r="BH642" s="557">
        <f t="shared" si="1346"/>
        <v>11.966056029999999</v>
      </c>
      <c r="BI642" s="557">
        <f t="shared" si="1346"/>
        <v>11.455236979999999</v>
      </c>
      <c r="BJ642" s="1848">
        <f t="shared" si="1346"/>
        <v>10.68201509</v>
      </c>
      <c r="BK642" s="556">
        <f t="shared" si="1346"/>
        <v>46.567748469999998</v>
      </c>
      <c r="BL642" s="557">
        <f t="shared" si="1346"/>
        <v>11.655177879999997</v>
      </c>
      <c r="BM642" s="557">
        <f t="shared" si="1346"/>
        <v>10.733908779999998</v>
      </c>
      <c r="BN642" s="557"/>
      <c r="BO642" s="1848"/>
      <c r="BP642" s="556"/>
      <c r="BQ642" s="557"/>
      <c r="BR642" s="557"/>
      <c r="BS642" s="557"/>
      <c r="BT642" s="1848"/>
      <c r="BU642" s="3372"/>
      <c r="BV642" s="557"/>
      <c r="BW642" s="557"/>
      <c r="BX642" s="557"/>
      <c r="BY642" s="1848"/>
      <c r="BZ642" s="556"/>
      <c r="CA642" s="556"/>
      <c r="CB642" s="556"/>
      <c r="CC642" s="556"/>
      <c r="CD642" s="556"/>
      <c r="CE642" s="556"/>
      <c r="CF642" s="556"/>
      <c r="CG642" s="556"/>
      <c r="CH642" s="626"/>
      <c r="CI642" s="626"/>
      <c r="CJ642" s="626"/>
      <c r="CK642" s="626"/>
      <c r="CL642" s="626"/>
      <c r="CM642" s="626"/>
      <c r="CN642" s="626"/>
      <c r="CO642" s="626"/>
      <c r="CP642" s="994"/>
      <c r="CQ642" s="626"/>
      <c r="CR642" s="626"/>
      <c r="CS642" s="626"/>
      <c r="CT642" s="626"/>
      <c r="CU642" s="626"/>
      <c r="CV642" s="626"/>
      <c r="CW642" s="626"/>
      <c r="CX642" s="626"/>
      <c r="CY642" s="626"/>
      <c r="CZ642" s="626"/>
      <c r="DA642" s="626"/>
      <c r="DB642" s="626"/>
      <c r="DC642" s="626"/>
      <c r="DD642" s="626"/>
      <c r="DE642" s="626"/>
      <c r="DF642" s="626"/>
      <c r="DG642" s="1893"/>
      <c r="DH642" s="632"/>
      <c r="DI642" s="595"/>
      <c r="DJ642" s="595"/>
      <c r="DK642" s="595"/>
      <c r="DL642" s="595"/>
      <c r="DM642" s="595"/>
      <c r="DN642" s="514"/>
      <c r="DO642" s="77"/>
      <c r="DY642" s="557"/>
      <c r="DZ642" s="557"/>
    </row>
    <row r="643" spans="1:130" ht="12" hidden="1" customHeight="1" outlineLevel="1">
      <c r="A643" s="567" t="s">
        <v>8</v>
      </c>
      <c r="B643" s="753"/>
      <c r="C643" s="753"/>
      <c r="D643" s="560"/>
      <c r="E643" s="561"/>
      <c r="F643" s="561"/>
      <c r="G643" s="561"/>
      <c r="H643" s="562"/>
      <c r="I643" s="561"/>
      <c r="J643" s="561"/>
      <c r="K643" s="561"/>
      <c r="L643" s="561"/>
      <c r="M643" s="562"/>
      <c r="N643" s="561"/>
      <c r="O643" s="561"/>
      <c r="P643" s="561"/>
      <c r="Q643" s="561"/>
      <c r="R643" s="562"/>
      <c r="S643" s="561"/>
      <c r="T643" s="561"/>
      <c r="U643" s="561"/>
      <c r="V643" s="561"/>
      <c r="W643" s="562"/>
      <c r="X643" s="561"/>
      <c r="Y643" s="561"/>
      <c r="Z643" s="561"/>
      <c r="AA643" s="561"/>
      <c r="AB643" s="562"/>
      <c r="AC643" s="561"/>
      <c r="AD643" s="561"/>
      <c r="AE643" s="561"/>
      <c r="AF643" s="561"/>
      <c r="AG643" s="562"/>
      <c r="AH643" s="561"/>
      <c r="AI643" s="561"/>
      <c r="AJ643" s="561"/>
      <c r="AK643" s="561"/>
      <c r="AL643" s="562"/>
      <c r="AM643" s="561"/>
      <c r="AN643" s="261"/>
      <c r="AO643" s="561"/>
      <c r="AP643" s="561"/>
      <c r="AQ643" s="562"/>
      <c r="AR643" s="561">
        <f t="shared" ref="AR643:BM643" si="1347">AR639/AM639-1</f>
        <v>1.4287986557417254E-2</v>
      </c>
      <c r="AS643" s="561">
        <f t="shared" si="1347"/>
        <v>0.17013607579003764</v>
      </c>
      <c r="AT643" s="561">
        <f t="shared" si="1347"/>
        <v>-2.9072888825364407E-2</v>
      </c>
      <c r="AU643" s="561">
        <f t="shared" si="1347"/>
        <v>5.9683090533235283E-2</v>
      </c>
      <c r="AV643" s="562">
        <f t="shared" si="1347"/>
        <v>4.9830107839703208E-2</v>
      </c>
      <c r="AW643" s="561">
        <f t="shared" si="1347"/>
        <v>8.1762519790440358E-4</v>
      </c>
      <c r="AX643" s="561">
        <f t="shared" si="1347"/>
        <v>-1.6546723841314059E-2</v>
      </c>
      <c r="AY643" s="561">
        <f t="shared" si="1347"/>
        <v>-2.5675489151329445E-2</v>
      </c>
      <c r="AZ643" s="561">
        <f t="shared" si="1347"/>
        <v>1.8419287338262258E-2</v>
      </c>
      <c r="BA643" s="562">
        <f>+BA639/AV639-1</f>
        <v>-6.3331400765620494E-3</v>
      </c>
      <c r="BB643" s="561">
        <f t="shared" si="1347"/>
        <v>-4.3104314355575046E-2</v>
      </c>
      <c r="BC643" s="561">
        <f t="shared" si="1347"/>
        <v>-0.10153655768184666</v>
      </c>
      <c r="BD643" s="561">
        <f t="shared" si="1347"/>
        <v>-5.3630123700016963E-2</v>
      </c>
      <c r="BE643" s="561">
        <f t="shared" si="1347"/>
        <v>-1.4215593082731126E-2</v>
      </c>
      <c r="BF643" s="562">
        <f>+BF639/BA639-1</f>
        <v>-5.4193912967607338E-2</v>
      </c>
      <c r="BG643" s="561">
        <f t="shared" si="1347"/>
        <v>1.2881645128383523E-2</v>
      </c>
      <c r="BH643" s="561">
        <f t="shared" si="1347"/>
        <v>3.7532913214537889E-2</v>
      </c>
      <c r="BI643" s="561">
        <f t="shared" si="1347"/>
        <v>5.5986471869418075E-4</v>
      </c>
      <c r="BJ643" s="561">
        <f t="shared" si="1347"/>
        <v>-6.1178665603532245E-2</v>
      </c>
      <c r="BK643" s="562">
        <f>+BK639/BF639-1</f>
        <v>-2.0236864982293712E-3</v>
      </c>
      <c r="BL643" s="860">
        <f t="shared" si="1347"/>
        <v>-6.0490029155759184E-2</v>
      </c>
      <c r="BM643" s="860">
        <f t="shared" si="1347"/>
        <v>-9.5870411870735972E-2</v>
      </c>
      <c r="BN643" s="860"/>
      <c r="BO643" s="866"/>
      <c r="BP643" s="562"/>
      <c r="BQ643" s="866"/>
      <c r="BR643" s="866"/>
      <c r="BS643" s="866"/>
      <c r="BT643" s="866"/>
      <c r="BU643" s="3371"/>
      <c r="BV643" s="866"/>
      <c r="BW643" s="866"/>
      <c r="BX643" s="866"/>
      <c r="BY643" s="866"/>
      <c r="BZ643" s="458"/>
      <c r="CA643" s="458"/>
      <c r="CB643" s="458"/>
      <c r="CC643" s="458"/>
      <c r="CD643" s="458"/>
      <c r="CE643" s="458"/>
      <c r="CF643" s="458"/>
      <c r="CG643" s="458"/>
      <c r="CH643" s="561"/>
      <c r="CI643" s="561"/>
      <c r="CJ643" s="561"/>
      <c r="CK643" s="561"/>
      <c r="CL643" s="561"/>
      <c r="CM643" s="561"/>
      <c r="CN643" s="561"/>
      <c r="CO643" s="561"/>
      <c r="CP643" s="2280"/>
      <c r="CQ643" s="561"/>
      <c r="CR643" s="561"/>
      <c r="CS643" s="561"/>
      <c r="CT643" s="561"/>
      <c r="CU643" s="561"/>
      <c r="CV643" s="561"/>
      <c r="CW643" s="561"/>
      <c r="CX643" s="561"/>
      <c r="CY643" s="561"/>
      <c r="CZ643" s="561"/>
      <c r="DA643" s="561"/>
      <c r="DB643" s="561"/>
      <c r="DC643" s="561"/>
      <c r="DD643" s="561"/>
      <c r="DE643" s="561"/>
      <c r="DF643" s="561"/>
      <c r="DG643" s="1846"/>
      <c r="DH643" s="561"/>
      <c r="DI643" s="561"/>
      <c r="DJ643" s="561"/>
      <c r="DK643" s="561"/>
      <c r="DL643" s="561"/>
      <c r="DM643" s="561"/>
      <c r="DN643" s="561"/>
      <c r="DO643" s="215"/>
      <c r="DY643" s="561"/>
      <c r="DZ643" s="561"/>
    </row>
    <row r="644" spans="1:130" ht="12" hidden="1" customHeight="1" outlineLevel="1">
      <c r="A644" s="567" t="s">
        <v>1153</v>
      </c>
      <c r="B644" s="228"/>
      <c r="C644" s="228"/>
      <c r="D644" s="625"/>
      <c r="E644" s="626"/>
      <c r="F644" s="626"/>
      <c r="G644" s="626"/>
      <c r="H644" s="788"/>
      <c r="I644" s="626"/>
      <c r="J644" s="626"/>
      <c r="K644" s="626"/>
      <c r="L644" s="626"/>
      <c r="M644" s="788"/>
      <c r="N644" s="626"/>
      <c r="O644" s="626"/>
      <c r="P644" s="626"/>
      <c r="Q644" s="626"/>
      <c r="R644" s="788"/>
      <c r="S644" s="626"/>
      <c r="T644" s="626"/>
      <c r="U644" s="626"/>
      <c r="V644" s="626"/>
      <c r="W644" s="788"/>
      <c r="X644" s="626"/>
      <c r="Y644" s="626"/>
      <c r="Z644" s="626"/>
      <c r="AA644" s="626"/>
      <c r="AB644" s="788"/>
      <c r="AC644" s="626"/>
      <c r="AD644" s="626"/>
      <c r="AE644" s="626"/>
      <c r="AF644" s="626"/>
      <c r="AG644" s="788"/>
      <c r="AH644" s="626"/>
      <c r="AI644" s="626"/>
      <c r="AJ644" s="626"/>
      <c r="AK644" s="626"/>
      <c r="AL644" s="788"/>
      <c r="AM644" s="626"/>
      <c r="AN644" s="261"/>
      <c r="AO644" s="626"/>
      <c r="AP644" s="330"/>
      <c r="AQ644" s="1439"/>
      <c r="AR644" s="573">
        <f t="shared" ref="AR644:BG644" si="1348">+AR642/AM642-1</f>
        <v>-4.1886764377650487E-2</v>
      </c>
      <c r="AS644" s="573">
        <f t="shared" si="1348"/>
        <v>0.15903274203512474</v>
      </c>
      <c r="AT644" s="573">
        <f t="shared" si="1348"/>
        <v>-1.7604225014004049E-3</v>
      </c>
      <c r="AU644" s="573">
        <f t="shared" si="1348"/>
        <v>6.3684278234854341E-2</v>
      </c>
      <c r="AV644" s="1621">
        <f t="shared" si="1348"/>
        <v>3.9574002710309752E-2</v>
      </c>
      <c r="AW644" s="573">
        <f t="shared" si="1348"/>
        <v>8.7565538127010178E-4</v>
      </c>
      <c r="AX644" s="573">
        <f t="shared" si="1348"/>
        <v>-1.7663227746897103E-2</v>
      </c>
      <c r="AY644" s="573">
        <f t="shared" si="1348"/>
        <v>-2.7112334268537208E-2</v>
      </c>
      <c r="AZ644" s="573">
        <f t="shared" si="1348"/>
        <v>1.9580195071127182E-2</v>
      </c>
      <c r="BA644" s="1621">
        <f t="shared" si="1348"/>
        <v>-6.7415232516286894E-3</v>
      </c>
      <c r="BB644" s="573">
        <f t="shared" si="1348"/>
        <v>-4.6160926195463525E-2</v>
      </c>
      <c r="BC644" s="573">
        <f t="shared" si="1348"/>
        <v>-0.10851101245077999</v>
      </c>
      <c r="BD644" s="573">
        <f t="shared" si="1348"/>
        <v>-5.6714996998753375E-2</v>
      </c>
      <c r="BE644" s="573">
        <f t="shared" si="1348"/>
        <v>-1.5094349427511644E-2</v>
      </c>
      <c r="BF644" s="1621">
        <f t="shared" si="1348"/>
        <v>-5.7712246251915844E-2</v>
      </c>
      <c r="BG644" s="573">
        <f t="shared" si="1348"/>
        <v>1.3839314882138964E-2</v>
      </c>
      <c r="BH644" s="573">
        <f>+BH642/BC642-1</f>
        <v>4.0424818854222888E-2</v>
      </c>
      <c r="BI644" s="573">
        <f>+BI642/BD642-1</f>
        <v>5.940051264028412E-4</v>
      </c>
      <c r="BJ644" s="573">
        <f>+BJ642/BE642-1</f>
        <v>-6.5018467876707176E-2</v>
      </c>
      <c r="BK644" s="1621">
        <f>+BK642/BF642-1</f>
        <v>-2.1631132643883388E-3</v>
      </c>
      <c r="BL644" s="573"/>
      <c r="BM644" s="573"/>
      <c r="BN644" s="573"/>
      <c r="BO644" s="2135"/>
      <c r="BP644" s="1621"/>
      <c r="BQ644" s="573"/>
      <c r="BR644" s="573"/>
      <c r="BS644" s="573"/>
      <c r="BT644" s="2135"/>
      <c r="BU644" s="3371"/>
      <c r="BV644" s="573"/>
      <c r="BW644" s="573"/>
      <c r="BX644" s="573"/>
      <c r="BY644" s="2135"/>
      <c r="BZ644" s="1621"/>
      <c r="CA644" s="1621"/>
      <c r="CB644" s="1621"/>
      <c r="CC644" s="1621"/>
      <c r="CD644" s="1621"/>
      <c r="CE644" s="1621"/>
      <c r="CF644" s="1621"/>
      <c r="CG644" s="1621"/>
      <c r="CH644" s="626"/>
      <c r="CI644" s="626"/>
      <c r="CJ644" s="626"/>
      <c r="CK644" s="626"/>
      <c r="CL644" s="626"/>
      <c r="CM644" s="626"/>
      <c r="CN644" s="626"/>
      <c r="CO644" s="626"/>
      <c r="CP644" s="994"/>
      <c r="CQ644" s="626"/>
      <c r="CR644" s="626"/>
      <c r="CS644" s="626"/>
      <c r="CT644" s="626"/>
      <c r="CU644" s="626"/>
      <c r="CV644" s="626"/>
      <c r="CW644" s="626"/>
      <c r="CX644" s="626"/>
      <c r="CY644" s="626"/>
      <c r="CZ644" s="626"/>
      <c r="DA644" s="626"/>
      <c r="DB644" s="626"/>
      <c r="DC644" s="626"/>
      <c r="DD644" s="626"/>
      <c r="DE644" s="626"/>
      <c r="DF644" s="626"/>
      <c r="DG644" s="1893"/>
      <c r="DH644" s="632"/>
      <c r="DI644" s="595"/>
      <c r="DJ644" s="595"/>
      <c r="DK644" s="595"/>
      <c r="DL644" s="595"/>
      <c r="DM644" s="595"/>
      <c r="DN644" s="514"/>
      <c r="DO644" s="77"/>
      <c r="DY644" s="573"/>
      <c r="DZ644" s="573"/>
    </row>
    <row r="645" spans="1:130" ht="12" hidden="1" customHeight="1" outlineLevel="1">
      <c r="A645" s="567"/>
      <c r="B645" s="228"/>
      <c r="C645" s="228"/>
      <c r="D645" s="625"/>
      <c r="E645" s="626"/>
      <c r="F645" s="626"/>
      <c r="G645" s="626"/>
      <c r="H645" s="788"/>
      <c r="I645" s="626"/>
      <c r="J645" s="626"/>
      <c r="K645" s="626"/>
      <c r="L645" s="626"/>
      <c r="M645" s="788"/>
      <c r="N645" s="626"/>
      <c r="O645" s="626"/>
      <c r="P645" s="626"/>
      <c r="Q645" s="626"/>
      <c r="R645" s="788"/>
      <c r="S645" s="626"/>
      <c r="T645" s="626"/>
      <c r="U645" s="626"/>
      <c r="V645" s="626"/>
      <c r="W645" s="788"/>
      <c r="X645" s="626"/>
      <c r="Y645" s="626"/>
      <c r="Z645" s="626"/>
      <c r="AA645" s="626"/>
      <c r="AB645" s="788"/>
      <c r="AC645" s="626"/>
      <c r="AD645" s="626"/>
      <c r="AE645" s="626"/>
      <c r="AF645" s="626"/>
      <c r="AG645" s="788"/>
      <c r="AH645" s="626"/>
      <c r="AI645" s="626"/>
      <c r="AJ645" s="626"/>
      <c r="AK645" s="626"/>
      <c r="AL645" s="788"/>
      <c r="AM645" s="626"/>
      <c r="AN645" s="261"/>
      <c r="AO645" s="626"/>
      <c r="AP645" s="330"/>
      <c r="AQ645" s="1439"/>
      <c r="AR645" s="330"/>
      <c r="AS645" s="330"/>
      <c r="AT645" s="330"/>
      <c r="AU645" s="626"/>
      <c r="AV645" s="1951"/>
      <c r="AW645" s="626"/>
      <c r="AX645" s="261"/>
      <c r="AY645" s="626"/>
      <c r="AZ645" s="626"/>
      <c r="BA645" s="1439"/>
      <c r="BB645" s="626"/>
      <c r="BC645" s="261"/>
      <c r="BD645" s="626"/>
      <c r="BE645" s="626"/>
      <c r="BF645" s="1439"/>
      <c r="BG645" s="678"/>
      <c r="BH645" s="330"/>
      <c r="BI645" s="330"/>
      <c r="BJ645" s="2136"/>
      <c r="BK645" s="1439"/>
      <c r="BL645" s="330"/>
      <c r="BM645" s="330"/>
      <c r="BN645" s="330"/>
      <c r="BO645" s="2136"/>
      <c r="BP645" s="1439"/>
      <c r="BQ645" s="330"/>
      <c r="BR645" s="330"/>
      <c r="BS645" s="330"/>
      <c r="BT645" s="2136"/>
      <c r="BU645" s="3406"/>
      <c r="BV645" s="330"/>
      <c r="BW645" s="330"/>
      <c r="BX645" s="330"/>
      <c r="BY645" s="2136"/>
      <c r="BZ645" s="1439"/>
      <c r="CA645" s="1439"/>
      <c r="CB645" s="1439"/>
      <c r="CC645" s="1439"/>
      <c r="CD645" s="1439"/>
      <c r="CE645" s="1439"/>
      <c r="CF645" s="1439"/>
      <c r="CG645" s="1439"/>
      <c r="CH645" s="626"/>
      <c r="CI645" s="626"/>
      <c r="CJ645" s="626"/>
      <c r="CK645" s="626"/>
      <c r="CL645" s="626"/>
      <c r="CM645" s="626"/>
      <c r="CN645" s="626"/>
      <c r="CO645" s="626"/>
      <c r="CP645" s="994"/>
      <c r="CQ645" s="626"/>
      <c r="CR645" s="626"/>
      <c r="CS645" s="626"/>
      <c r="CT645" s="626"/>
      <c r="CU645" s="626"/>
      <c r="CV645" s="626"/>
      <c r="CW645" s="626"/>
      <c r="CX645" s="626"/>
      <c r="CY645" s="626"/>
      <c r="CZ645" s="626"/>
      <c r="DA645" s="626"/>
      <c r="DB645" s="626"/>
      <c r="DC645" s="626"/>
      <c r="DD645" s="626"/>
      <c r="DE645" s="626"/>
      <c r="DF645" s="626"/>
      <c r="DG645" s="1893"/>
      <c r="DH645" s="632"/>
      <c r="DI645" s="595"/>
      <c r="DJ645" s="595"/>
      <c r="DK645" s="595"/>
      <c r="DL645" s="595"/>
      <c r="DM645" s="595"/>
      <c r="DN645" s="514"/>
      <c r="DO645" s="77"/>
      <c r="DY645" s="330"/>
      <c r="DZ645" s="330"/>
    </row>
    <row r="646" spans="1:130" ht="12" hidden="1" customHeight="1" outlineLevel="1">
      <c r="A646" s="552" t="s">
        <v>1663</v>
      </c>
      <c r="B646" s="228"/>
      <c r="C646" s="228"/>
      <c r="D646" s="625"/>
      <c r="E646" s="626"/>
      <c r="F646" s="626"/>
      <c r="G646" s="626"/>
      <c r="H646" s="788"/>
      <c r="I646" s="626"/>
      <c r="J646" s="626"/>
      <c r="K646" s="626"/>
      <c r="L646" s="626"/>
      <c r="M646" s="788"/>
      <c r="N646" s="626"/>
      <c r="O646" s="626"/>
      <c r="P646" s="626"/>
      <c r="Q646" s="626"/>
      <c r="R646" s="788"/>
      <c r="S646" s="626"/>
      <c r="T646" s="626"/>
      <c r="U646" s="626"/>
      <c r="V646" s="626"/>
      <c r="W646" s="788"/>
      <c r="X646" s="626"/>
      <c r="Y646" s="626"/>
      <c r="Z646" s="626"/>
      <c r="AA646" s="626"/>
      <c r="AB646" s="788"/>
      <c r="AC646" s="626"/>
      <c r="AD646" s="626"/>
      <c r="AE646" s="626"/>
      <c r="AF646" s="626"/>
      <c r="AG646" s="788"/>
      <c r="AH646" s="626"/>
      <c r="AI646" s="626"/>
      <c r="AJ646" s="626"/>
      <c r="AK646" s="626"/>
      <c r="AL646" s="788"/>
      <c r="AM646" s="626">
        <f>+AM647*AM639</f>
        <v>2.9235097913999999</v>
      </c>
      <c r="AN646" s="626">
        <f>+AN647*AN639</f>
        <v>2.5758708540500002</v>
      </c>
      <c r="AO646" s="626">
        <f>+AO647*AO639</f>
        <v>2.9170278144500004</v>
      </c>
      <c r="AP646" s="626">
        <f>+AP647*AP639</f>
        <v>2.4538091491499996</v>
      </c>
      <c r="AQ646" s="1950">
        <f>+SUM(AM646:AP646)</f>
        <v>10.870217609049998</v>
      </c>
      <c r="AR646" s="626">
        <f>+AR647*AR639</f>
        <v>2.9652808600000005</v>
      </c>
      <c r="AS646" s="626">
        <f>+AS647*AS639</f>
        <v>3.0141194129</v>
      </c>
      <c r="AT646" s="626">
        <f>+AT647*AT639</f>
        <v>2.8322213890999999</v>
      </c>
      <c r="AU646" s="626">
        <f>+AU647*AU639</f>
        <v>2.6002600627500003</v>
      </c>
      <c r="AV646" s="1950">
        <f>+SUM(AR646:AU646)</f>
        <v>11.41188172475</v>
      </c>
      <c r="AW646" s="626">
        <f>+AW647*AW639</f>
        <v>2.96770534835</v>
      </c>
      <c r="AX646" s="626">
        <f>+AX647*AX639</f>
        <v>2.9642456113500004</v>
      </c>
      <c r="AY646" s="626">
        <f>+AY647*AY639</f>
        <v>2.7595027195499999</v>
      </c>
      <c r="AZ646" s="626">
        <f>+AZ647*AZ639</f>
        <v>2.648155</v>
      </c>
      <c r="BA646" s="1950">
        <f>+SUM(AW646:AZ646)</f>
        <v>11.339608679249999</v>
      </c>
      <c r="BB646" s="626">
        <f>+BB647*BB639</f>
        <v>2.8397844441000002</v>
      </c>
      <c r="BC646" s="626">
        <f>+BC647*BC639</f>
        <v>2.6632663158500001</v>
      </c>
      <c r="BD646" s="626">
        <f>+BD647*BD639</f>
        <v>2.61151024735</v>
      </c>
      <c r="BE646" s="626">
        <f>+BE647*BE639</f>
        <v>2.6105099061000003</v>
      </c>
      <c r="BF646" s="1950">
        <f>+SUM(BB646:BE646)</f>
        <v>10.725070913400002</v>
      </c>
      <c r="BG646" s="625">
        <f>+BG647*BG639</f>
        <v>2.8763655395500001</v>
      </c>
      <c r="BH646" s="626">
        <f>+BH647*BH639</f>
        <v>2.7632264593500002</v>
      </c>
      <c r="BI646" s="626">
        <f>+BI647*BI639</f>
        <v>2.6129723397999998</v>
      </c>
      <c r="BJ646" s="1893">
        <f>+BJ647*BJ639</f>
        <v>2.4508023935000001</v>
      </c>
      <c r="BK646" s="1950">
        <f>+SUM(BG646:BJ646)</f>
        <v>10.703366732200001</v>
      </c>
      <c r="BL646" s="626">
        <f>+BL647*BL639</f>
        <v>2.7023741041999996</v>
      </c>
      <c r="BM646" s="626">
        <f>+BM647*BM639</f>
        <v>2.4983148005999998</v>
      </c>
      <c r="BN646" s="626"/>
      <c r="BO646" s="1893"/>
      <c r="BP646" s="1950"/>
      <c r="BQ646" s="626"/>
      <c r="BR646" s="626"/>
      <c r="BS646" s="626"/>
      <c r="BT646" s="1893"/>
      <c r="BU646" s="3406"/>
      <c r="BV646" s="626"/>
      <c r="BW646" s="626"/>
      <c r="BX646" s="626"/>
      <c r="BY646" s="1893"/>
      <c r="BZ646" s="1950"/>
      <c r="CA646" s="1950"/>
      <c r="CB646" s="1950"/>
      <c r="CC646" s="1950"/>
      <c r="CD646" s="1950"/>
      <c r="CE646" s="1950"/>
      <c r="CF646" s="1950"/>
      <c r="CG646" s="1950"/>
      <c r="CH646" s="626"/>
      <c r="CI646" s="626"/>
      <c r="CJ646" s="626"/>
      <c r="CK646" s="626"/>
      <c r="CL646" s="626"/>
      <c r="CM646" s="626"/>
      <c r="CN646" s="626"/>
      <c r="CO646" s="626"/>
      <c r="CP646" s="994"/>
      <c r="CQ646" s="626"/>
      <c r="CR646" s="626"/>
      <c r="CS646" s="626"/>
      <c r="CT646" s="626"/>
      <c r="CU646" s="626"/>
      <c r="CV646" s="626"/>
      <c r="CW646" s="626"/>
      <c r="CX646" s="626"/>
      <c r="CY646" s="626"/>
      <c r="CZ646" s="626"/>
      <c r="DA646" s="626"/>
      <c r="DB646" s="626"/>
      <c r="DC646" s="626"/>
      <c r="DD646" s="626"/>
      <c r="DE646" s="626"/>
      <c r="DF646" s="626"/>
      <c r="DG646" s="1893"/>
      <c r="DH646" s="632"/>
      <c r="DI646" s="595"/>
      <c r="DJ646" s="595"/>
      <c r="DK646" s="595"/>
      <c r="DL646" s="595"/>
      <c r="DM646" s="595"/>
      <c r="DN646" s="514"/>
      <c r="DO646" s="77"/>
      <c r="DY646" s="1634"/>
      <c r="DZ646" s="1634"/>
    </row>
    <row r="647" spans="1:130" ht="12" hidden="1" customHeight="1" outlineLevel="1">
      <c r="A647" s="567" t="s">
        <v>1664</v>
      </c>
      <c r="B647" s="228"/>
      <c r="C647" s="228"/>
      <c r="D647" s="625"/>
      <c r="E647" s="626"/>
      <c r="F647" s="626"/>
      <c r="G647" s="626"/>
      <c r="H647" s="788"/>
      <c r="I647" s="626"/>
      <c r="J647" s="626"/>
      <c r="K647" s="626"/>
      <c r="L647" s="626"/>
      <c r="M647" s="788"/>
      <c r="N647" s="626"/>
      <c r="O647" s="626"/>
      <c r="P647" s="626"/>
      <c r="Q647" s="626"/>
      <c r="R647" s="788"/>
      <c r="S647" s="626"/>
      <c r="T647" s="626"/>
      <c r="U647" s="626"/>
      <c r="V647" s="626"/>
      <c r="W647" s="788"/>
      <c r="X647" s="626"/>
      <c r="Y647" s="626"/>
      <c r="Z647" s="626"/>
      <c r="AA647" s="626"/>
      <c r="AB647" s="788"/>
      <c r="AC647" s="626"/>
      <c r="AD647" s="626"/>
      <c r="AE647" s="626"/>
      <c r="AF647" s="626"/>
      <c r="AG647" s="788"/>
      <c r="AH647" s="626"/>
      <c r="AI647" s="626"/>
      <c r="AJ647" s="626"/>
      <c r="AK647" s="626"/>
      <c r="AL647" s="788"/>
      <c r="AM647" s="866">
        <v>0.215</v>
      </c>
      <c r="AN647" s="866">
        <v>0.215</v>
      </c>
      <c r="AO647" s="866">
        <v>0.215</v>
      </c>
      <c r="AP647" s="866">
        <v>0.215</v>
      </c>
      <c r="AQ647" s="1975">
        <f>+AQ646/AQ639</f>
        <v>0.21499999999999997</v>
      </c>
      <c r="AR647" s="866">
        <v>0.215</v>
      </c>
      <c r="AS647" s="866">
        <v>0.215</v>
      </c>
      <c r="AT647" s="866">
        <v>0.215</v>
      </c>
      <c r="AU647" s="866">
        <v>0.215</v>
      </c>
      <c r="AV647" s="1975">
        <f>+AV646/AV639</f>
        <v>0.21499999999999997</v>
      </c>
      <c r="AW647" s="866">
        <v>0.215</v>
      </c>
      <c r="AX647" s="866">
        <v>0.215</v>
      </c>
      <c r="AY647" s="866">
        <v>0.215</v>
      </c>
      <c r="AZ647" s="866">
        <v>0.215</v>
      </c>
      <c r="BA647" s="1975">
        <f>+BA646/BA639</f>
        <v>0.21499999999999997</v>
      </c>
      <c r="BB647" s="866">
        <v>0.215</v>
      </c>
      <c r="BC647" s="866">
        <v>0.215</v>
      </c>
      <c r="BD647" s="866">
        <v>0.215</v>
      </c>
      <c r="BE647" s="866">
        <v>0.215</v>
      </c>
      <c r="BF647" s="1975">
        <f>+BF646/BF639</f>
        <v>0.21500000000000002</v>
      </c>
      <c r="BG647" s="864">
        <v>0.215</v>
      </c>
      <c r="BH647" s="866">
        <v>0.215</v>
      </c>
      <c r="BI647" s="866">
        <v>0.215</v>
      </c>
      <c r="BJ647" s="2885">
        <v>0.215</v>
      </c>
      <c r="BK647" s="1975">
        <f>+BK646/BK639</f>
        <v>0.21500000000000002</v>
      </c>
      <c r="BL647" s="866">
        <v>0.215</v>
      </c>
      <c r="BM647" s="866">
        <v>0.215</v>
      </c>
      <c r="BN647" s="866"/>
      <c r="BO647" s="2885"/>
      <c r="BP647" s="1975"/>
      <c r="BQ647" s="866"/>
      <c r="BR647" s="866"/>
      <c r="BS647" s="866"/>
      <c r="BT647" s="2885"/>
      <c r="BU647" s="3407"/>
      <c r="BV647" s="866"/>
      <c r="BW647" s="866"/>
      <c r="BX647" s="866"/>
      <c r="BY647" s="2885"/>
      <c r="BZ647" s="1974"/>
      <c r="CA647" s="1974"/>
      <c r="CB647" s="1974"/>
      <c r="CC647" s="1974"/>
      <c r="CD647" s="1974"/>
      <c r="CE647" s="1974"/>
      <c r="CF647" s="1974"/>
      <c r="CG647" s="1974"/>
      <c r="CH647" s="626"/>
      <c r="CI647" s="626"/>
      <c r="CJ647" s="626"/>
      <c r="CK647" s="626"/>
      <c r="CL647" s="626"/>
      <c r="CM647" s="626"/>
      <c r="CN647" s="626"/>
      <c r="CO647" s="626"/>
      <c r="CP647" s="994"/>
      <c r="CQ647" s="626"/>
      <c r="CR647" s="626"/>
      <c r="CS647" s="626"/>
      <c r="CT647" s="626"/>
      <c r="CU647" s="626"/>
      <c r="CV647" s="626"/>
      <c r="CW647" s="626"/>
      <c r="CX647" s="626"/>
      <c r="CY647" s="626"/>
      <c r="CZ647" s="626"/>
      <c r="DA647" s="626"/>
      <c r="DB647" s="626"/>
      <c r="DC647" s="626"/>
      <c r="DD647" s="626"/>
      <c r="DE647" s="626"/>
      <c r="DF647" s="626"/>
      <c r="DG647" s="1893"/>
      <c r="DH647" s="632"/>
      <c r="DI647" s="595"/>
      <c r="DJ647" s="595"/>
      <c r="DK647" s="595"/>
      <c r="DL647" s="595"/>
      <c r="DM647" s="595"/>
      <c r="DN647" s="514"/>
      <c r="DO647" s="77"/>
      <c r="DY647" s="769"/>
      <c r="DZ647" s="769"/>
    </row>
    <row r="648" spans="1:130" ht="2.25" hidden="1" customHeight="1" outlineLevel="1">
      <c r="A648" s="552"/>
      <c r="B648" s="228"/>
      <c r="C648" s="228"/>
      <c r="D648" s="625"/>
      <c r="E648" s="626"/>
      <c r="F648" s="626"/>
      <c r="G648" s="626"/>
      <c r="H648" s="788"/>
      <c r="I648" s="626"/>
      <c r="J648" s="626"/>
      <c r="K648" s="626"/>
      <c r="L648" s="626"/>
      <c r="M648" s="788"/>
      <c r="N648" s="626"/>
      <c r="O648" s="626"/>
      <c r="P648" s="626"/>
      <c r="Q648" s="626"/>
      <c r="R648" s="788"/>
      <c r="S648" s="626"/>
      <c r="T648" s="626"/>
      <c r="U648" s="626"/>
      <c r="V648" s="626"/>
      <c r="W648" s="788"/>
      <c r="X648" s="626"/>
      <c r="Y648" s="626"/>
      <c r="Z648" s="626"/>
      <c r="AA648" s="626"/>
      <c r="AB648" s="788"/>
      <c r="AC648" s="626"/>
      <c r="AD648" s="626"/>
      <c r="AE648" s="626"/>
      <c r="AF648" s="626"/>
      <c r="AG648" s="788"/>
      <c r="AH648" s="626"/>
      <c r="AI648" s="626"/>
      <c r="AJ648" s="626"/>
      <c r="AK648" s="626"/>
      <c r="AL648" s="788"/>
      <c r="AM648" s="626"/>
      <c r="AN648" s="261"/>
      <c r="AO648" s="626"/>
      <c r="AP648" s="330"/>
      <c r="AQ648" s="1439"/>
      <c r="AR648" s="330"/>
      <c r="AS648" s="330"/>
      <c r="AT648" s="330"/>
      <c r="AU648" s="626"/>
      <c r="AV648" s="1439"/>
      <c r="AW648" s="626"/>
      <c r="AX648" s="261"/>
      <c r="AY648" s="626"/>
      <c r="AZ648" s="626"/>
      <c r="BA648" s="1439"/>
      <c r="BB648" s="626"/>
      <c r="BC648" s="261"/>
      <c r="BD648" s="626"/>
      <c r="BE648" s="626"/>
      <c r="BF648" s="1439"/>
      <c r="BG648" s="678"/>
      <c r="BH648" s="330"/>
      <c r="BI648" s="330"/>
      <c r="BJ648" s="2136"/>
      <c r="BK648" s="1439"/>
      <c r="BL648" s="330"/>
      <c r="BM648" s="330"/>
      <c r="BN648" s="330"/>
      <c r="BO648" s="2136"/>
      <c r="BP648" s="1439"/>
      <c r="BQ648" s="330"/>
      <c r="BR648" s="330"/>
      <c r="BS648" s="330"/>
      <c r="BT648" s="2136"/>
      <c r="BU648" s="3406"/>
      <c r="BV648" s="330"/>
      <c r="BW648" s="330"/>
      <c r="BX648" s="330"/>
      <c r="BY648" s="2136"/>
      <c r="BZ648" s="1439"/>
      <c r="CA648" s="1439"/>
      <c r="CB648" s="1439"/>
      <c r="CC648" s="1439"/>
      <c r="CD648" s="1439"/>
      <c r="CE648" s="1439"/>
      <c r="CF648" s="1439"/>
      <c r="CG648" s="1439"/>
      <c r="CH648" s="626"/>
      <c r="CI648" s="626"/>
      <c r="CJ648" s="626"/>
      <c r="CK648" s="626"/>
      <c r="CL648" s="626"/>
      <c r="CM648" s="626"/>
      <c r="CN648" s="626"/>
      <c r="CO648" s="626"/>
      <c r="CP648" s="994"/>
      <c r="CQ648" s="626"/>
      <c r="CR648" s="626"/>
      <c r="CS648" s="626"/>
      <c r="CT648" s="626"/>
      <c r="CU648" s="626"/>
      <c r="CV648" s="626"/>
      <c r="CW648" s="626"/>
      <c r="CX648" s="626"/>
      <c r="CY648" s="626"/>
      <c r="CZ648" s="626"/>
      <c r="DA648" s="626"/>
      <c r="DB648" s="626"/>
      <c r="DC648" s="626"/>
      <c r="DD648" s="626"/>
      <c r="DE648" s="626"/>
      <c r="DF648" s="626"/>
      <c r="DG648" s="1893"/>
      <c r="DH648" s="632"/>
      <c r="DI648" s="595"/>
      <c r="DJ648" s="595"/>
      <c r="DK648" s="595"/>
      <c r="DL648" s="595"/>
      <c r="DM648" s="595"/>
      <c r="DN648" s="514"/>
      <c r="DO648" s="77"/>
      <c r="DY648" s="330"/>
      <c r="DZ648" s="330"/>
    </row>
    <row r="649" spans="1:130" ht="12" hidden="1" customHeight="1" outlineLevel="1">
      <c r="A649" s="552" t="s">
        <v>1665</v>
      </c>
      <c r="B649" s="228"/>
      <c r="C649" s="228"/>
      <c r="D649" s="625"/>
      <c r="E649" s="626"/>
      <c r="F649" s="626"/>
      <c r="G649" s="626"/>
      <c r="H649" s="788"/>
      <c r="I649" s="626"/>
      <c r="J649" s="626"/>
      <c r="K649" s="626"/>
      <c r="L649" s="626"/>
      <c r="M649" s="788"/>
      <c r="N649" s="626"/>
      <c r="O649" s="626"/>
      <c r="P649" s="626"/>
      <c r="Q649" s="626"/>
      <c r="R649" s="788"/>
      <c r="S649" s="626"/>
      <c r="T649" s="626"/>
      <c r="U649" s="626"/>
      <c r="V649" s="626"/>
      <c r="W649" s="788"/>
      <c r="X649" s="626"/>
      <c r="Y649" s="626"/>
      <c r="Z649" s="626"/>
      <c r="AA649" s="626"/>
      <c r="AB649" s="788"/>
      <c r="AC649" s="626"/>
      <c r="AD649" s="626"/>
      <c r="AE649" s="626"/>
      <c r="AF649" s="626"/>
      <c r="AG649" s="788"/>
      <c r="AH649" s="626"/>
      <c r="AI649" s="626"/>
      <c r="AJ649" s="626"/>
      <c r="AK649" s="626"/>
      <c r="AL649" s="788"/>
      <c r="AM649" s="1976">
        <f>+AM653-AM646</f>
        <v>6.1344902085999999</v>
      </c>
      <c r="AN649" s="1976">
        <f>+AN653-AN646</f>
        <v>5.4971291459499998</v>
      </c>
      <c r="AO649" s="1976">
        <f>+AO653-AO646</f>
        <v>5.8729721855499992</v>
      </c>
      <c r="AP649" s="1976">
        <f>+AP653-AP646</f>
        <v>5.2451908508500003</v>
      </c>
      <c r="AQ649" s="1950">
        <f>+SUM(AM649:AP649)</f>
        <v>22.749782390950003</v>
      </c>
      <c r="AR649" s="1976">
        <f>+AR653-AR646</f>
        <v>5.6407191399999999</v>
      </c>
      <c r="AS649" s="1976">
        <f>+AS653-AS646</f>
        <v>5.7708805871000006</v>
      </c>
      <c r="AT649" s="1976">
        <f>+AT653-AT646</f>
        <v>6.1187786109000006</v>
      </c>
      <c r="AU649" s="626">
        <f>+AP649*(1+AU651)</f>
        <v>5.9008397072062504</v>
      </c>
      <c r="AV649" s="1950">
        <f>+SUM(AR649:AU649)</f>
        <v>23.431218045206251</v>
      </c>
      <c r="AW649" s="626">
        <f>+AR649*(1+AW651)</f>
        <v>5.7535335227999997</v>
      </c>
      <c r="AX649" s="626">
        <f>+AS649*(1+AX651)</f>
        <v>5.8285893929710006</v>
      </c>
      <c r="AY649" s="626">
        <f>+AT649*(1+AY651)</f>
        <v>6.1799663970090011</v>
      </c>
      <c r="AZ649" s="626">
        <f>+AU649*(1+AZ651)</f>
        <v>5.9008397072062504</v>
      </c>
      <c r="BA649" s="1950">
        <f>+SUM(AW649:AZ649)</f>
        <v>23.662929019986251</v>
      </c>
      <c r="BB649" s="626">
        <f>+AW649*(1+BB651)</f>
        <v>5.5809275171159998</v>
      </c>
      <c r="BC649" s="626">
        <f>+AX649*(1+BC651)</f>
        <v>5.5954458172521608</v>
      </c>
      <c r="BD649" s="626">
        <f>+AY649*(1+BD651)</f>
        <v>5.9945674050987305</v>
      </c>
      <c r="BE649" s="626">
        <f>+AZ649*(1+BE651)</f>
        <v>5.7238145159900631</v>
      </c>
      <c r="BF649" s="1950">
        <f>+SUM(BB649:BE649)</f>
        <v>22.894755255456957</v>
      </c>
      <c r="BG649" s="625">
        <f>+BB649*(1+BG651)</f>
        <v>5.6367367922871594</v>
      </c>
      <c r="BH649" s="626">
        <f>+BC649*(1+BH651)</f>
        <v>5.7073547335972039</v>
      </c>
      <c r="BI649" s="626">
        <f>+BD649*(1+BI651)</f>
        <v>5.9945674050987305</v>
      </c>
      <c r="BJ649" s="1893">
        <f>+BE649*(1+BJ651)</f>
        <v>5.4948619353504604</v>
      </c>
      <c r="BK649" s="1950">
        <f>+SUM(BG649:BJ649)</f>
        <v>22.833520866333554</v>
      </c>
      <c r="BL649" s="626">
        <f>+BG649*(1+BL651)</f>
        <v>5.4676346885185447</v>
      </c>
      <c r="BM649" s="626">
        <f>+BH649*(1+BM651)</f>
        <v>5.5932076389252599</v>
      </c>
      <c r="BN649" s="626"/>
      <c r="BO649" s="1893"/>
      <c r="BP649" s="1950"/>
      <c r="BQ649" s="626"/>
      <c r="BR649" s="626"/>
      <c r="BS649" s="626"/>
      <c r="BT649" s="1893"/>
      <c r="BU649" s="3406"/>
      <c r="BV649" s="626"/>
      <c r="BW649" s="626"/>
      <c r="BX649" s="626"/>
      <c r="BY649" s="1893"/>
      <c r="BZ649" s="2503"/>
      <c r="CA649" s="2503"/>
      <c r="CB649" s="2503"/>
      <c r="CC649" s="2503"/>
      <c r="CD649" s="2503"/>
      <c r="CE649" s="2503"/>
      <c r="CF649" s="2503"/>
      <c r="CG649" s="2503"/>
      <c r="CH649" s="626"/>
      <c r="CI649" s="626"/>
      <c r="CJ649" s="626"/>
      <c r="CK649" s="626"/>
      <c r="CL649" s="626"/>
      <c r="CM649" s="626"/>
      <c r="CN649" s="626"/>
      <c r="CO649" s="626"/>
      <c r="CP649" s="994"/>
      <c r="CQ649" s="626"/>
      <c r="CR649" s="626"/>
      <c r="CS649" s="626"/>
      <c r="CT649" s="626"/>
      <c r="CU649" s="626"/>
      <c r="CV649" s="626"/>
      <c r="CW649" s="626"/>
      <c r="CX649" s="626"/>
      <c r="CY649" s="626"/>
      <c r="CZ649" s="626"/>
      <c r="DA649" s="626"/>
      <c r="DB649" s="626"/>
      <c r="DC649" s="626"/>
      <c r="DD649" s="626"/>
      <c r="DE649" s="626"/>
      <c r="DF649" s="626"/>
      <c r="DG649" s="1893"/>
      <c r="DH649" s="632"/>
      <c r="DI649" s="595"/>
      <c r="DJ649" s="595"/>
      <c r="DK649" s="595"/>
      <c r="DL649" s="595"/>
      <c r="DM649" s="595"/>
      <c r="DN649" s="514"/>
      <c r="DO649" s="77"/>
      <c r="DY649" s="1634"/>
      <c r="DZ649" s="1634"/>
    </row>
    <row r="650" spans="1:130" ht="12" hidden="1" customHeight="1" outlineLevel="1">
      <c r="A650" s="567" t="s">
        <v>1664</v>
      </c>
      <c r="B650" s="228"/>
      <c r="C650" s="228"/>
      <c r="D650" s="625"/>
      <c r="E650" s="626"/>
      <c r="F650" s="626"/>
      <c r="G650" s="626"/>
      <c r="H650" s="788"/>
      <c r="I650" s="626"/>
      <c r="J650" s="626"/>
      <c r="K650" s="626"/>
      <c r="L650" s="626"/>
      <c r="M650" s="788"/>
      <c r="N650" s="626"/>
      <c r="O650" s="626"/>
      <c r="P650" s="626"/>
      <c r="Q650" s="626"/>
      <c r="R650" s="788"/>
      <c r="S650" s="626"/>
      <c r="T650" s="626"/>
      <c r="U650" s="626"/>
      <c r="V650" s="626"/>
      <c r="W650" s="788"/>
      <c r="X650" s="626"/>
      <c r="Y650" s="626"/>
      <c r="Z650" s="626"/>
      <c r="AA650" s="626"/>
      <c r="AB650" s="788"/>
      <c r="AC650" s="626"/>
      <c r="AD650" s="626"/>
      <c r="AE650" s="626"/>
      <c r="AF650" s="626"/>
      <c r="AG650" s="788"/>
      <c r="AH650" s="626"/>
      <c r="AI650" s="626"/>
      <c r="AJ650" s="626"/>
      <c r="AK650" s="626"/>
      <c r="AL650" s="788"/>
      <c r="AM650" s="860">
        <f t="shared" ref="AM650:BF650" si="1349">+AM649/AM642</f>
        <v>0.4564013249460605</v>
      </c>
      <c r="AN650" s="860">
        <f t="shared" si="1349"/>
        <v>0.48514068890212692</v>
      </c>
      <c r="AO650" s="860">
        <f t="shared" si="1349"/>
        <v>0.46995056297911492</v>
      </c>
      <c r="AP650" s="860">
        <f t="shared" si="1349"/>
        <v>0.49038807506077042</v>
      </c>
      <c r="AQ650" s="1975">
        <f t="shared" si="1349"/>
        <v>0.47429964330136565</v>
      </c>
      <c r="AR650" s="860">
        <f t="shared" si="1349"/>
        <v>0.43801204690169282</v>
      </c>
      <c r="AS650" s="860">
        <f t="shared" si="1349"/>
        <v>0.43941830405086429</v>
      </c>
      <c r="AT650" s="860">
        <f t="shared" si="1349"/>
        <v>0.4904832553827656</v>
      </c>
      <c r="AU650" s="860">
        <f t="shared" si="1349"/>
        <v>0.51865633039050907</v>
      </c>
      <c r="AV650" s="1975">
        <f t="shared" si="1349"/>
        <v>0.46991034537396786</v>
      </c>
      <c r="AW650" s="860">
        <f t="shared" si="1349"/>
        <v>0.44638141155459987</v>
      </c>
      <c r="AX650" s="860">
        <f t="shared" si="1349"/>
        <v>0.45179260272771599</v>
      </c>
      <c r="AY650" s="860">
        <f t="shared" si="1349"/>
        <v>0.50919351265917956</v>
      </c>
      <c r="AZ650" s="860">
        <f t="shared" si="1349"/>
        <v>0.50869596417997009</v>
      </c>
      <c r="BA650" s="1975">
        <f t="shared" si="1349"/>
        <v>0.47777823503189365</v>
      </c>
      <c r="BB650" s="860">
        <f t="shared" si="1349"/>
        <v>0.45394446620949758</v>
      </c>
      <c r="BC650" s="860">
        <f t="shared" si="1349"/>
        <v>0.48651290669438718</v>
      </c>
      <c r="BD650" s="860">
        <f t="shared" si="1349"/>
        <v>0.52361450220019168</v>
      </c>
      <c r="BE650" s="860">
        <f t="shared" si="1349"/>
        <v>0.5009973137708732</v>
      </c>
      <c r="BF650" s="1975">
        <f t="shared" si="1349"/>
        <v>0.49058054248416949</v>
      </c>
      <c r="BG650" s="861">
        <f t="shared" ref="BG650:BM650" si="1350">+BG649/BG642</f>
        <v>0.45222542087440387</v>
      </c>
      <c r="BH650" s="860">
        <f t="shared" si="1350"/>
        <v>0.47696205995428592</v>
      </c>
      <c r="BI650" s="860">
        <f t="shared" si="1350"/>
        <v>0.52330365714518212</v>
      </c>
      <c r="BJ650" s="1295">
        <f t="shared" si="1350"/>
        <v>0.51440312422835754</v>
      </c>
      <c r="BK650" s="1975">
        <f t="shared" si="1350"/>
        <v>0.49032907143972027</v>
      </c>
      <c r="BL650" s="860">
        <f t="shared" si="1350"/>
        <v>0.46911636568849574</v>
      </c>
      <c r="BM650" s="860">
        <f t="shared" si="1350"/>
        <v>0.52107836516617578</v>
      </c>
      <c r="BN650" s="860"/>
      <c r="BO650" s="1295"/>
      <c r="BP650" s="1975"/>
      <c r="BQ650" s="860"/>
      <c r="BR650" s="860"/>
      <c r="BS650" s="860"/>
      <c r="BT650" s="1295"/>
      <c r="BU650" s="3407"/>
      <c r="BV650" s="860"/>
      <c r="BW650" s="860"/>
      <c r="BX650" s="860"/>
      <c r="BY650" s="1295"/>
      <c r="BZ650" s="1975"/>
      <c r="CA650" s="1975"/>
      <c r="CB650" s="1975"/>
      <c r="CC650" s="1975"/>
      <c r="CD650" s="1975"/>
      <c r="CE650" s="1975"/>
      <c r="CF650" s="1975"/>
      <c r="CG650" s="1975"/>
      <c r="CH650" s="626"/>
      <c r="CI650" s="626"/>
      <c r="CJ650" s="626"/>
      <c r="CK650" s="626"/>
      <c r="CL650" s="626"/>
      <c r="CM650" s="626"/>
      <c r="CN650" s="626"/>
      <c r="CO650" s="626"/>
      <c r="CP650" s="994"/>
      <c r="CQ650" s="626"/>
      <c r="CR650" s="626"/>
      <c r="CS650" s="626"/>
      <c r="CT650" s="626"/>
      <c r="CU650" s="626"/>
      <c r="CV650" s="626"/>
      <c r="CW650" s="626"/>
      <c r="CX650" s="626"/>
      <c r="CY650" s="626"/>
      <c r="CZ650" s="626"/>
      <c r="DA650" s="626"/>
      <c r="DB650" s="626"/>
      <c r="DC650" s="626"/>
      <c r="DD650" s="626"/>
      <c r="DE650" s="626"/>
      <c r="DF650" s="626"/>
      <c r="DG650" s="1893"/>
      <c r="DH650" s="632"/>
      <c r="DI650" s="595"/>
      <c r="DJ650" s="595"/>
      <c r="DK650" s="595"/>
      <c r="DL650" s="595"/>
      <c r="DM650" s="595"/>
      <c r="DN650" s="514"/>
      <c r="DO650" s="77"/>
      <c r="DY650" s="769"/>
      <c r="DZ650" s="769"/>
    </row>
    <row r="651" spans="1:130" ht="12" hidden="1" customHeight="1" outlineLevel="1">
      <c r="A651" s="567" t="s">
        <v>1153</v>
      </c>
      <c r="B651" s="228"/>
      <c r="C651" s="228"/>
      <c r="D651" s="625"/>
      <c r="E651" s="626"/>
      <c r="F651" s="626"/>
      <c r="G651" s="626"/>
      <c r="H651" s="788"/>
      <c r="I651" s="626"/>
      <c r="J651" s="626"/>
      <c r="K651" s="626"/>
      <c r="L651" s="626"/>
      <c r="M651" s="788"/>
      <c r="N651" s="626"/>
      <c r="O651" s="626"/>
      <c r="P651" s="626"/>
      <c r="Q651" s="626"/>
      <c r="R651" s="788"/>
      <c r="S651" s="626"/>
      <c r="T651" s="626"/>
      <c r="U651" s="626"/>
      <c r="V651" s="626"/>
      <c r="W651" s="788"/>
      <c r="X651" s="626"/>
      <c r="Y651" s="626"/>
      <c r="Z651" s="626"/>
      <c r="AA651" s="626"/>
      <c r="AB651" s="788"/>
      <c r="AC651" s="626"/>
      <c r="AD651" s="626"/>
      <c r="AE651" s="626"/>
      <c r="AF651" s="626"/>
      <c r="AG651" s="788"/>
      <c r="AH651" s="626"/>
      <c r="AI651" s="626"/>
      <c r="AJ651" s="626"/>
      <c r="AK651" s="626"/>
      <c r="AL651" s="788"/>
      <c r="AM651" s="626"/>
      <c r="AN651" s="261"/>
      <c r="AO651" s="626"/>
      <c r="AP651" s="330"/>
      <c r="AQ651" s="1439"/>
      <c r="AR651" s="573">
        <f>+AR649/AM649-1</f>
        <v>-8.0490970204464274E-2</v>
      </c>
      <c r="AS651" s="573">
        <f>+AS649/AN649-1</f>
        <v>4.9798983047667056E-2</v>
      </c>
      <c r="AT651" s="573">
        <f>+AT649/AO649-1</f>
        <v>4.1853837815678752E-2</v>
      </c>
      <c r="AU651" s="548">
        <v>0.125</v>
      </c>
      <c r="AV651" s="1975">
        <f>+AV649/AQ649-1</f>
        <v>2.9953502083928774E-2</v>
      </c>
      <c r="AW651" s="548">
        <v>0.02</v>
      </c>
      <c r="AX651" s="548">
        <v>0.01</v>
      </c>
      <c r="AY651" s="548">
        <v>0.01</v>
      </c>
      <c r="AZ651" s="548">
        <v>0</v>
      </c>
      <c r="BA651" s="1975">
        <f>+BA649/AV649-1</f>
        <v>9.8889854694261814E-3</v>
      </c>
      <c r="BB651" s="548">
        <v>-0.03</v>
      </c>
      <c r="BC651" s="548">
        <v>-0.04</v>
      </c>
      <c r="BD651" s="548">
        <v>-0.03</v>
      </c>
      <c r="BE651" s="548">
        <v>-0.03</v>
      </c>
      <c r="BF651" s="1975">
        <f>+BF649/BA649-1</f>
        <v>-3.2463173256382483E-2</v>
      </c>
      <c r="BG651" s="2886">
        <v>0.01</v>
      </c>
      <c r="BH651" s="2887">
        <v>0.02</v>
      </c>
      <c r="BI651" s="2887">
        <v>0</v>
      </c>
      <c r="BJ651" s="2888">
        <v>-0.04</v>
      </c>
      <c r="BK651" s="1975">
        <f>+BK649/BF649-1</f>
        <v>-2.6746033508616707E-3</v>
      </c>
      <c r="BL651" s="2887">
        <v>-0.03</v>
      </c>
      <c r="BM651" s="2887">
        <v>-0.02</v>
      </c>
      <c r="BN651" s="548"/>
      <c r="BO651" s="2888"/>
      <c r="BP651" s="1975"/>
      <c r="BQ651" s="548"/>
      <c r="BR651" s="548"/>
      <c r="BS651" s="548"/>
      <c r="BT651" s="2888"/>
      <c r="BU651" s="3407"/>
      <c r="BV651" s="548"/>
      <c r="BW651" s="548"/>
      <c r="BX651" s="548"/>
      <c r="BY651" s="2888"/>
      <c r="BZ651" s="458"/>
      <c r="CA651" s="458"/>
      <c r="CB651" s="458"/>
      <c r="CC651" s="458"/>
      <c r="CD651" s="458"/>
      <c r="CE651" s="458"/>
      <c r="CF651" s="458"/>
      <c r="CG651" s="458"/>
      <c r="CH651" s="626"/>
      <c r="CI651" s="626"/>
      <c r="CJ651" s="626"/>
      <c r="CK651" s="626"/>
      <c r="CL651" s="626"/>
      <c r="CM651" s="626"/>
      <c r="CN651" s="626"/>
      <c r="CO651" s="626"/>
      <c r="CP651" s="994"/>
      <c r="CQ651" s="626"/>
      <c r="CR651" s="626"/>
      <c r="CS651" s="626"/>
      <c r="CT651" s="626"/>
      <c r="CU651" s="626"/>
      <c r="CV651" s="626"/>
      <c r="CW651" s="626"/>
      <c r="CX651" s="626"/>
      <c r="CY651" s="626"/>
      <c r="CZ651" s="626"/>
      <c r="DA651" s="626"/>
      <c r="DB651" s="626"/>
      <c r="DC651" s="626"/>
      <c r="DD651" s="626"/>
      <c r="DE651" s="626"/>
      <c r="DF651" s="626"/>
      <c r="DG651" s="1893"/>
      <c r="DH651" s="632"/>
      <c r="DI651" s="595"/>
      <c r="DJ651" s="595"/>
      <c r="DK651" s="595"/>
      <c r="DL651" s="595"/>
      <c r="DM651" s="595"/>
      <c r="DN651" s="514"/>
      <c r="DO651" s="77"/>
      <c r="DY651" s="769"/>
      <c r="DZ651" s="769"/>
    </row>
    <row r="652" spans="1:130" ht="2.25" hidden="1" customHeight="1" outlineLevel="1">
      <c r="A652" s="552"/>
      <c r="B652" s="228"/>
      <c r="C652" s="228"/>
      <c r="D652" s="625"/>
      <c r="E652" s="626"/>
      <c r="F652" s="626"/>
      <c r="G652" s="626"/>
      <c r="H652" s="788"/>
      <c r="I652" s="626"/>
      <c r="J652" s="626"/>
      <c r="K652" s="626"/>
      <c r="L652" s="626"/>
      <c r="M652" s="788"/>
      <c r="N652" s="626"/>
      <c r="O652" s="626"/>
      <c r="P652" s="626"/>
      <c r="Q652" s="626"/>
      <c r="R652" s="788"/>
      <c r="S652" s="626"/>
      <c r="T652" s="626"/>
      <c r="U652" s="626"/>
      <c r="V652" s="626"/>
      <c r="W652" s="788"/>
      <c r="X652" s="626"/>
      <c r="Y652" s="626"/>
      <c r="Z652" s="626"/>
      <c r="AA652" s="626"/>
      <c r="AB652" s="788"/>
      <c r="AC652" s="626"/>
      <c r="AD652" s="626"/>
      <c r="AE652" s="626"/>
      <c r="AF652" s="626"/>
      <c r="AG652" s="788"/>
      <c r="AH652" s="626"/>
      <c r="AI652" s="626"/>
      <c r="AJ652" s="626"/>
      <c r="AK652" s="626"/>
      <c r="AL652" s="788"/>
      <c r="AM652" s="626"/>
      <c r="AN652" s="261"/>
      <c r="AO652" s="626"/>
      <c r="AP652" s="330"/>
      <c r="AQ652" s="1439"/>
      <c r="AR652" s="626"/>
      <c r="AS652" s="626"/>
      <c r="AT652" s="626"/>
      <c r="AU652" s="626"/>
      <c r="AV652" s="1439"/>
      <c r="AW652" s="626"/>
      <c r="AX652" s="261"/>
      <c r="AY652" s="626"/>
      <c r="AZ652" s="626"/>
      <c r="BA652" s="1439"/>
      <c r="BB652" s="626"/>
      <c r="BC652" s="261"/>
      <c r="BD652" s="626"/>
      <c r="BE652" s="626"/>
      <c r="BF652" s="1439"/>
      <c r="BG652" s="678"/>
      <c r="BH652" s="330"/>
      <c r="BI652" s="330"/>
      <c r="BJ652" s="2136"/>
      <c r="BK652" s="1439"/>
      <c r="BL652" s="330"/>
      <c r="BM652" s="330"/>
      <c r="BN652" s="330"/>
      <c r="BO652" s="2136"/>
      <c r="BP652" s="1439"/>
      <c r="BQ652" s="330"/>
      <c r="BR652" s="330"/>
      <c r="BS652" s="330"/>
      <c r="BT652" s="2136"/>
      <c r="BU652" s="3406"/>
      <c r="BV652" s="330"/>
      <c r="BW652" s="330"/>
      <c r="BX652" s="330"/>
      <c r="BY652" s="2136"/>
      <c r="BZ652" s="1439"/>
      <c r="CA652" s="1439"/>
      <c r="CB652" s="1439"/>
      <c r="CC652" s="1439"/>
      <c r="CD652" s="1439"/>
      <c r="CE652" s="1439"/>
      <c r="CF652" s="1439"/>
      <c r="CG652" s="1439"/>
      <c r="CH652" s="626"/>
      <c r="CI652" s="626"/>
      <c r="CJ652" s="626"/>
      <c r="CK652" s="626"/>
      <c r="CL652" s="626"/>
      <c r="CM652" s="626"/>
      <c r="CN652" s="626"/>
      <c r="CO652" s="626"/>
      <c r="CP652" s="994"/>
      <c r="CQ652" s="626"/>
      <c r="CR652" s="626"/>
      <c r="CS652" s="626"/>
      <c r="CT652" s="626"/>
      <c r="CU652" s="626"/>
      <c r="CV652" s="626"/>
      <c r="CW652" s="626"/>
      <c r="CX652" s="626"/>
      <c r="CY652" s="626"/>
      <c r="CZ652" s="626"/>
      <c r="DA652" s="626"/>
      <c r="DB652" s="626"/>
      <c r="DC652" s="626"/>
      <c r="DD652" s="626"/>
      <c r="DE652" s="626"/>
      <c r="DF652" s="626"/>
      <c r="DG652" s="1893"/>
      <c r="DH652" s="632"/>
      <c r="DI652" s="595"/>
      <c r="DJ652" s="595"/>
      <c r="DK652" s="595"/>
      <c r="DL652" s="595"/>
      <c r="DM652" s="595"/>
      <c r="DN652" s="514"/>
      <c r="DO652" s="77"/>
      <c r="DY652" s="330"/>
      <c r="DZ652" s="330"/>
    </row>
    <row r="653" spans="1:130" ht="12" hidden="1" customHeight="1" outlineLevel="1">
      <c r="A653" s="552" t="s">
        <v>1145</v>
      </c>
      <c r="B653" s="228"/>
      <c r="C653" s="228"/>
      <c r="D653" s="625"/>
      <c r="E653" s="626"/>
      <c r="F653" s="626"/>
      <c r="G653" s="626"/>
      <c r="H653" s="788"/>
      <c r="I653" s="626"/>
      <c r="J653" s="626"/>
      <c r="K653" s="626"/>
      <c r="L653" s="626"/>
      <c r="M653" s="788"/>
      <c r="N653" s="626"/>
      <c r="O653" s="626"/>
      <c r="P653" s="626"/>
      <c r="Q653" s="626"/>
      <c r="R653" s="788"/>
      <c r="S653" s="626"/>
      <c r="T653" s="626"/>
      <c r="U653" s="626"/>
      <c r="V653" s="626"/>
      <c r="W653" s="788"/>
      <c r="X653" s="626"/>
      <c r="Y653" s="626"/>
      <c r="Z653" s="626"/>
      <c r="AA653" s="626"/>
      <c r="AB653" s="788"/>
      <c r="AC653" s="626"/>
      <c r="AD653" s="626"/>
      <c r="AE653" s="626"/>
      <c r="AF653" s="626"/>
      <c r="AG653" s="788"/>
      <c r="AH653" s="626"/>
      <c r="AI653" s="626"/>
      <c r="AJ653" s="626"/>
      <c r="AK653" s="626"/>
      <c r="AL653" s="788"/>
      <c r="AM653" s="626">
        <f>+AM642-AM657</f>
        <v>9.0579999999999998</v>
      </c>
      <c r="AN653" s="626">
        <f>+AN642-AN657</f>
        <v>8.0730000000000004</v>
      </c>
      <c r="AO653" s="626">
        <f>+AO642-AO657</f>
        <v>8.7899999999999991</v>
      </c>
      <c r="AP653" s="626">
        <f>+AP642-AP657</f>
        <v>7.6989999999999998</v>
      </c>
      <c r="AQ653" s="1950">
        <f>+SUM(AM653:AP653)</f>
        <v>33.619999999999997</v>
      </c>
      <c r="AR653" s="626">
        <f>+AR642-AR657</f>
        <v>8.6059999999999999</v>
      </c>
      <c r="AS653" s="626">
        <f>+AS642-AS657</f>
        <v>8.7850000000000001</v>
      </c>
      <c r="AT653" s="626">
        <f>+AT642-AT657</f>
        <v>8.9510000000000005</v>
      </c>
      <c r="AU653" s="626">
        <f>+AU649+AU646</f>
        <v>8.5010997699562516</v>
      </c>
      <c r="AV653" s="1950">
        <f>+SUM(AR653:AU653)</f>
        <v>34.843099769956254</v>
      </c>
      <c r="AW653" s="626">
        <f>+AW649+AW646</f>
        <v>8.7212388711499997</v>
      </c>
      <c r="AX653" s="626">
        <f>+AX649+AX646</f>
        <v>8.7928350043210006</v>
      </c>
      <c r="AY653" s="626">
        <f>+AY649+AY646</f>
        <v>8.9394691165590014</v>
      </c>
      <c r="AZ653" s="626">
        <f>+AZ649+AZ646</f>
        <v>8.5489947072062513</v>
      </c>
      <c r="BA653" s="1950">
        <f>+SUM(AW653:AZ653)</f>
        <v>35.002537699236257</v>
      </c>
      <c r="BB653" s="626">
        <f>+BB649+BB646</f>
        <v>8.420711961216</v>
      </c>
      <c r="BC653" s="626">
        <f>+BC649+BC646</f>
        <v>8.2587121331021613</v>
      </c>
      <c r="BD653" s="626">
        <f>+BD649+BD646</f>
        <v>8.6060776524487306</v>
      </c>
      <c r="BE653" s="626">
        <f>+BE649+BE646</f>
        <v>8.334324422090063</v>
      </c>
      <c r="BF653" s="1950">
        <f>+SUM(BB653:BE653)</f>
        <v>33.619826168856953</v>
      </c>
      <c r="BG653" s="625">
        <f>+BG649+BG646</f>
        <v>8.5131023318371604</v>
      </c>
      <c r="BH653" s="626">
        <f>+BH649+BH646</f>
        <v>8.4705811929472041</v>
      </c>
      <c r="BI653" s="626">
        <f>+BI649+BI646</f>
        <v>8.6075397448987303</v>
      </c>
      <c r="BJ653" s="1893">
        <f>+BJ649+BJ646</f>
        <v>7.9456643288504605</v>
      </c>
      <c r="BK653" s="1950">
        <f>+SUM(BG653:BJ653)</f>
        <v>33.536887598533554</v>
      </c>
      <c r="BL653" s="626">
        <f>+BL649+BL646</f>
        <v>8.1700087927185443</v>
      </c>
      <c r="BM653" s="626">
        <f>+BM649+BM646</f>
        <v>8.0915224395252601</v>
      </c>
      <c r="BN653" s="626"/>
      <c r="BO653" s="1893"/>
      <c r="BP653" s="1950"/>
      <c r="BQ653" s="626"/>
      <c r="BR653" s="626"/>
      <c r="BS653" s="626"/>
      <c r="BT653" s="1893"/>
      <c r="BU653" s="3406"/>
      <c r="BV653" s="626"/>
      <c r="BW653" s="626"/>
      <c r="BX653" s="626"/>
      <c r="BY653" s="1893"/>
      <c r="BZ653" s="1950"/>
      <c r="CA653" s="1950"/>
      <c r="CB653" s="1950"/>
      <c r="CC653" s="1950"/>
      <c r="CD653" s="1950"/>
      <c r="CE653" s="1950"/>
      <c r="CF653" s="1950"/>
      <c r="CG653" s="1950"/>
      <c r="CH653" s="626"/>
      <c r="CI653" s="626"/>
      <c r="CJ653" s="626"/>
      <c r="CK653" s="626"/>
      <c r="CL653" s="626"/>
      <c r="CM653" s="626"/>
      <c r="CN653" s="626"/>
      <c r="CO653" s="626"/>
      <c r="CP653" s="994"/>
      <c r="CQ653" s="626"/>
      <c r="CR653" s="626"/>
      <c r="CS653" s="626"/>
      <c r="CT653" s="626"/>
      <c r="CU653" s="626"/>
      <c r="CV653" s="626"/>
      <c r="CW653" s="626"/>
      <c r="CX653" s="626"/>
      <c r="CY653" s="626"/>
      <c r="CZ653" s="626"/>
      <c r="DA653" s="626"/>
      <c r="DB653" s="626"/>
      <c r="DC653" s="626"/>
      <c r="DD653" s="626"/>
      <c r="DE653" s="626"/>
      <c r="DF653" s="626"/>
      <c r="DG653" s="1893"/>
      <c r="DH653" s="632"/>
      <c r="DI653" s="595"/>
      <c r="DJ653" s="595"/>
      <c r="DK653" s="595"/>
      <c r="DL653" s="595"/>
      <c r="DM653" s="595"/>
      <c r="DN653" s="514"/>
      <c r="DO653" s="77"/>
      <c r="DY653" s="1634"/>
      <c r="DZ653" s="1634"/>
    </row>
    <row r="654" spans="1:130" ht="12" hidden="1" customHeight="1" outlineLevel="1">
      <c r="A654" s="567" t="s">
        <v>1664</v>
      </c>
      <c r="B654" s="228"/>
      <c r="C654" s="228"/>
      <c r="D654" s="625"/>
      <c r="E654" s="626"/>
      <c r="F654" s="626"/>
      <c r="G654" s="626"/>
      <c r="H654" s="788"/>
      <c r="I654" s="626"/>
      <c r="J654" s="626"/>
      <c r="K654" s="626"/>
      <c r="L654" s="626"/>
      <c r="M654" s="788"/>
      <c r="N654" s="626"/>
      <c r="O654" s="626"/>
      <c r="P654" s="626"/>
      <c r="Q654" s="626"/>
      <c r="R654" s="788"/>
      <c r="S654" s="626"/>
      <c r="T654" s="626"/>
      <c r="U654" s="626"/>
      <c r="V654" s="626"/>
      <c r="W654" s="788"/>
      <c r="X654" s="626"/>
      <c r="Y654" s="626"/>
      <c r="Z654" s="626"/>
      <c r="AA654" s="626"/>
      <c r="AB654" s="788"/>
      <c r="AC654" s="626"/>
      <c r="AD654" s="626"/>
      <c r="AE654" s="626"/>
      <c r="AF654" s="626"/>
      <c r="AG654" s="788"/>
      <c r="AH654" s="626"/>
      <c r="AI654" s="626"/>
      <c r="AJ654" s="626"/>
      <c r="AK654" s="626"/>
      <c r="AL654" s="788"/>
      <c r="AM654" s="860">
        <f t="shared" ref="AM654:BF654" si="1351">+AM653/AM642</f>
        <v>0.67390819135480984</v>
      </c>
      <c r="AN654" s="860">
        <f t="shared" si="1351"/>
        <v>0.71247021445591741</v>
      </c>
      <c r="AO654" s="860">
        <f t="shared" si="1351"/>
        <v>0.70336880851404326</v>
      </c>
      <c r="AP654" s="860">
        <f t="shared" si="1351"/>
        <v>0.71980179506357522</v>
      </c>
      <c r="AQ654" s="1975">
        <f t="shared" si="1351"/>
        <v>0.70092775982487232</v>
      </c>
      <c r="AR654" s="860">
        <f t="shared" si="1351"/>
        <v>0.66827147072526794</v>
      </c>
      <c r="AS654" s="860">
        <f t="shared" si="1351"/>
        <v>0.66892560724891503</v>
      </c>
      <c r="AT654" s="860">
        <f t="shared" si="1351"/>
        <v>0.7175150300601203</v>
      </c>
      <c r="AU654" s="860">
        <f t="shared" si="1351"/>
        <v>0.74720708064388675</v>
      </c>
      <c r="AV654" s="1975">
        <f t="shared" si="1351"/>
        <v>0.69877430252284778</v>
      </c>
      <c r="AW654" s="860">
        <f t="shared" si="1351"/>
        <v>0.67662748507185644</v>
      </c>
      <c r="AX654" s="860">
        <f t="shared" si="1351"/>
        <v>0.68156075923760262</v>
      </c>
      <c r="AY654" s="860">
        <f t="shared" si="1351"/>
        <v>0.73656058760642817</v>
      </c>
      <c r="AZ654" s="860">
        <f t="shared" si="1351"/>
        <v>0.73698648347299378</v>
      </c>
      <c r="BA654" s="1975">
        <f t="shared" si="1351"/>
        <v>0.70673629073786304</v>
      </c>
      <c r="BB654" s="860">
        <f t="shared" si="1351"/>
        <v>0.68492837160398423</v>
      </c>
      <c r="BC654" s="860">
        <f t="shared" si="1351"/>
        <v>0.71807862619977969</v>
      </c>
      <c r="BD654" s="860">
        <f t="shared" si="1351"/>
        <v>0.75172514734762896</v>
      </c>
      <c r="BE654" s="860">
        <f t="shared" si="1351"/>
        <v>0.72949151931766687</v>
      </c>
      <c r="BF654" s="1975">
        <f t="shared" si="1351"/>
        <v>0.72039348646062362</v>
      </c>
      <c r="BG654" s="861">
        <f t="shared" ref="BG654:BM654" si="1352">+BG653/BG642</f>
        <v>0.68299113952415347</v>
      </c>
      <c r="BH654" s="860">
        <f t="shared" si="1352"/>
        <v>0.70788413255885485</v>
      </c>
      <c r="BI654" s="860">
        <f t="shared" si="1352"/>
        <v>0.75140651912543244</v>
      </c>
      <c r="BJ654" s="1295">
        <f t="shared" si="1352"/>
        <v>0.74383571469476928</v>
      </c>
      <c r="BK654" s="1975">
        <f t="shared" si="1352"/>
        <v>0.72017412695266503</v>
      </c>
      <c r="BL654" s="860">
        <f t="shared" si="1352"/>
        <v>0.70097675701184126</v>
      </c>
      <c r="BM654" s="860">
        <f t="shared" si="1352"/>
        <v>0.75382813524573866</v>
      </c>
      <c r="BN654" s="860"/>
      <c r="BO654" s="1295"/>
      <c r="BP654" s="1975"/>
      <c r="BQ654" s="860"/>
      <c r="BR654" s="860"/>
      <c r="BS654" s="860"/>
      <c r="BT654" s="1295"/>
      <c r="BU654" s="3407"/>
      <c r="BV654" s="860"/>
      <c r="BW654" s="860"/>
      <c r="BX654" s="860"/>
      <c r="BY654" s="1295"/>
      <c r="BZ654" s="1975"/>
      <c r="CA654" s="1975"/>
      <c r="CB654" s="1975"/>
      <c r="CC654" s="1975"/>
      <c r="CD654" s="1975"/>
      <c r="CE654" s="1975"/>
      <c r="CF654" s="1975"/>
      <c r="CG654" s="1975"/>
      <c r="CH654" s="626"/>
      <c r="CI654" s="626"/>
      <c r="CJ654" s="626"/>
      <c r="CK654" s="626"/>
      <c r="CL654" s="626"/>
      <c r="CM654" s="626"/>
      <c r="CN654" s="626"/>
      <c r="CO654" s="626"/>
      <c r="CP654" s="994"/>
      <c r="CQ654" s="626"/>
      <c r="CR654" s="626"/>
      <c r="CS654" s="626"/>
      <c r="CT654" s="626"/>
      <c r="CU654" s="626"/>
      <c r="CV654" s="626"/>
      <c r="CW654" s="626"/>
      <c r="CX654" s="626"/>
      <c r="CY654" s="626"/>
      <c r="CZ654" s="626"/>
      <c r="DA654" s="626"/>
      <c r="DB654" s="626"/>
      <c r="DC654" s="626"/>
      <c r="DD654" s="626"/>
      <c r="DE654" s="626"/>
      <c r="DF654" s="626"/>
      <c r="DG654" s="1893"/>
      <c r="DH654" s="632"/>
      <c r="DI654" s="595"/>
      <c r="DJ654" s="595"/>
      <c r="DK654" s="595"/>
      <c r="DL654" s="595"/>
      <c r="DM654" s="595"/>
      <c r="DN654" s="514"/>
      <c r="DO654" s="77"/>
      <c r="DY654" s="769"/>
      <c r="DZ654" s="769"/>
    </row>
    <row r="655" spans="1:130" ht="12" hidden="1" customHeight="1" outlineLevel="1">
      <c r="A655" s="567" t="s">
        <v>1153</v>
      </c>
      <c r="B655" s="228"/>
      <c r="C655" s="228"/>
      <c r="D655" s="625"/>
      <c r="E655" s="626"/>
      <c r="F655" s="626"/>
      <c r="G655" s="626"/>
      <c r="H655" s="788"/>
      <c r="I655" s="626"/>
      <c r="J655" s="626"/>
      <c r="K655" s="626"/>
      <c r="L655" s="626"/>
      <c r="M655" s="788"/>
      <c r="N655" s="626"/>
      <c r="O655" s="626"/>
      <c r="P655" s="626"/>
      <c r="Q655" s="626"/>
      <c r="R655" s="788"/>
      <c r="S655" s="626"/>
      <c r="T655" s="626"/>
      <c r="U655" s="626"/>
      <c r="V655" s="626"/>
      <c r="W655" s="788"/>
      <c r="X655" s="626"/>
      <c r="Y655" s="626"/>
      <c r="Z655" s="626"/>
      <c r="AA655" s="626"/>
      <c r="AB655" s="788"/>
      <c r="AC655" s="626"/>
      <c r="AD655" s="626"/>
      <c r="AE655" s="626"/>
      <c r="AF655" s="626"/>
      <c r="AG655" s="788"/>
      <c r="AH655" s="626"/>
      <c r="AI655" s="626"/>
      <c r="AJ655" s="626"/>
      <c r="AK655" s="626"/>
      <c r="AL655" s="788"/>
      <c r="AM655" s="626"/>
      <c r="AN655" s="261"/>
      <c r="AO655" s="626"/>
      <c r="AP655" s="330"/>
      <c r="AQ655" s="1439"/>
      <c r="AR655" s="573">
        <f t="shared" ref="AR655:BF655" si="1353">+AR653/AM653-1</f>
        <v>-4.9900640317950939E-2</v>
      </c>
      <c r="AS655" s="573">
        <f t="shared" si="1353"/>
        <v>8.8195218630001238E-2</v>
      </c>
      <c r="AT655" s="573">
        <f t="shared" si="1353"/>
        <v>1.8316268486917142E-2</v>
      </c>
      <c r="AU655" s="573">
        <f t="shared" si="1353"/>
        <v>0.10418233146593736</v>
      </c>
      <c r="AV655" s="1975">
        <f t="shared" si="1353"/>
        <v>3.6380124032012295E-2</v>
      </c>
      <c r="AW655" s="573">
        <f t="shared" si="1353"/>
        <v>1.3390526510574041E-2</v>
      </c>
      <c r="AX655" s="573">
        <f t="shared" si="1353"/>
        <v>8.9186161878207493E-4</v>
      </c>
      <c r="AY655" s="573">
        <f t="shared" si="1353"/>
        <v>-1.2882229293932346E-3</v>
      </c>
      <c r="AZ655" s="573">
        <f t="shared" si="1353"/>
        <v>5.6339695505356335E-3</v>
      </c>
      <c r="BA655" s="1975">
        <f t="shared" si="1353"/>
        <v>4.5758824654711372E-3</v>
      </c>
      <c r="BB655" s="573">
        <f t="shared" si="1353"/>
        <v>-3.4459199475449287E-2</v>
      </c>
      <c r="BC655" s="573">
        <f t="shared" si="1353"/>
        <v>-6.0745239840888532E-2</v>
      </c>
      <c r="BD655" s="573">
        <f t="shared" si="1353"/>
        <v>-3.7294324725918426E-2</v>
      </c>
      <c r="BE655" s="573">
        <f t="shared" si="1353"/>
        <v>-2.5110588141461276E-2</v>
      </c>
      <c r="BF655" s="1975">
        <f t="shared" si="1353"/>
        <v>-3.9503179519737364E-2</v>
      </c>
      <c r="BG655" s="2730">
        <f t="shared" ref="BG655:BM655" si="1354">+BG653/BB653-1</f>
        <v>1.0971800371119445E-2</v>
      </c>
      <c r="BH655" s="573">
        <f t="shared" si="1354"/>
        <v>2.5654007117627886E-2</v>
      </c>
      <c r="BI655" s="573">
        <f t="shared" si="1354"/>
        <v>1.6989068760997483E-4</v>
      </c>
      <c r="BJ655" s="2135">
        <f t="shared" si="1354"/>
        <v>-4.6633665016622361E-2</v>
      </c>
      <c r="BK655" s="1975">
        <f t="shared" si="1354"/>
        <v>-2.4669541688537855E-3</v>
      </c>
      <c r="BL655" s="573">
        <f t="shared" si="1354"/>
        <v>-4.0301822501947471E-2</v>
      </c>
      <c r="BM655" s="573">
        <f t="shared" si="1354"/>
        <v>-4.4750028928068897E-2</v>
      </c>
      <c r="BN655" s="573"/>
      <c r="BO655" s="2135"/>
      <c r="BP655" s="1975"/>
      <c r="BQ655" s="573"/>
      <c r="BR655" s="573"/>
      <c r="BS655" s="573"/>
      <c r="BT655" s="2135"/>
      <c r="BU655" s="3407"/>
      <c r="BV655" s="573"/>
      <c r="BW655" s="573"/>
      <c r="BX655" s="573"/>
      <c r="BY655" s="2135"/>
      <c r="BZ655" s="1621"/>
      <c r="CA655" s="1621"/>
      <c r="CB655" s="1621"/>
      <c r="CC655" s="1621"/>
      <c r="CD655" s="1621"/>
      <c r="CE655" s="1621"/>
      <c r="CF655" s="1621"/>
      <c r="CG655" s="1621"/>
      <c r="CH655" s="626"/>
      <c r="CI655" s="626"/>
      <c r="CJ655" s="626"/>
      <c r="CK655" s="626"/>
      <c r="CL655" s="626"/>
      <c r="CM655" s="626"/>
      <c r="CN655" s="626"/>
      <c r="CO655" s="626"/>
      <c r="CP655" s="994"/>
      <c r="CQ655" s="626"/>
      <c r="CR655" s="626"/>
      <c r="CS655" s="626"/>
      <c r="CT655" s="626"/>
      <c r="CU655" s="626"/>
      <c r="CV655" s="626"/>
      <c r="CW655" s="626"/>
      <c r="CX655" s="626"/>
      <c r="CY655" s="626"/>
      <c r="CZ655" s="626"/>
      <c r="DA655" s="626"/>
      <c r="DB655" s="626"/>
      <c r="DC655" s="626"/>
      <c r="DD655" s="626"/>
      <c r="DE655" s="626"/>
      <c r="DF655" s="626"/>
      <c r="DG655" s="1893"/>
      <c r="DH655" s="632"/>
      <c r="DI655" s="595"/>
      <c r="DJ655" s="595"/>
      <c r="DK655" s="595"/>
      <c r="DL655" s="595"/>
      <c r="DM655" s="595"/>
      <c r="DN655" s="514"/>
      <c r="DO655" s="77"/>
      <c r="DY655" s="769"/>
      <c r="DZ655" s="769"/>
    </row>
    <row r="656" spans="1:130" ht="12" hidden="1" customHeight="1" outlineLevel="1">
      <c r="A656" s="552"/>
      <c r="B656" s="228"/>
      <c r="C656" s="228"/>
      <c r="D656" s="625"/>
      <c r="E656" s="626"/>
      <c r="F656" s="626"/>
      <c r="G656" s="626"/>
      <c r="H656" s="788"/>
      <c r="I656" s="626"/>
      <c r="J656" s="626"/>
      <c r="K656" s="626"/>
      <c r="L656" s="626"/>
      <c r="M656" s="788"/>
      <c r="N656" s="626"/>
      <c r="O656" s="626"/>
      <c r="P656" s="626"/>
      <c r="Q656" s="626"/>
      <c r="R656" s="788"/>
      <c r="S656" s="626"/>
      <c r="T656" s="626"/>
      <c r="U656" s="626"/>
      <c r="V656" s="626"/>
      <c r="W656" s="788"/>
      <c r="X656" s="626"/>
      <c r="Y656" s="626"/>
      <c r="Z656" s="626"/>
      <c r="AA656" s="626"/>
      <c r="AB656" s="788"/>
      <c r="AC656" s="626"/>
      <c r="AD656" s="626"/>
      <c r="AE656" s="626"/>
      <c r="AF656" s="626"/>
      <c r="AG656" s="788"/>
      <c r="AH656" s="626"/>
      <c r="AI656" s="626"/>
      <c r="AJ656" s="626"/>
      <c r="AK656" s="626"/>
      <c r="AL656" s="788"/>
      <c r="AM656" s="626"/>
      <c r="AN656" s="261"/>
      <c r="AO656" s="626"/>
      <c r="AP656" s="330"/>
      <c r="AQ656" s="1439"/>
      <c r="AR656" s="330"/>
      <c r="AS656" s="330"/>
      <c r="AT656" s="330"/>
      <c r="AU656" s="626"/>
      <c r="AV656" s="1439"/>
      <c r="AW656" s="626"/>
      <c r="AX656" s="261"/>
      <c r="AY656" s="626"/>
      <c r="AZ656" s="626"/>
      <c r="BA656" s="1439"/>
      <c r="BB656" s="626"/>
      <c r="BC656" s="261"/>
      <c r="BD656" s="626"/>
      <c r="BE656" s="626"/>
      <c r="BF656" s="1439"/>
      <c r="BG656" s="678"/>
      <c r="BH656" s="330"/>
      <c r="BI656" s="330"/>
      <c r="BJ656" s="2136"/>
      <c r="BK656" s="1439"/>
      <c r="BL656" s="330"/>
      <c r="BM656" s="330"/>
      <c r="BN656" s="330"/>
      <c r="BO656" s="2136"/>
      <c r="BP656" s="1439"/>
      <c r="BQ656" s="330"/>
      <c r="BR656" s="330"/>
      <c r="BS656" s="330"/>
      <c r="BT656" s="2136"/>
      <c r="BU656" s="3406"/>
      <c r="BV656" s="330"/>
      <c r="BW656" s="330"/>
      <c r="BX656" s="330"/>
      <c r="BY656" s="2136"/>
      <c r="BZ656" s="1439"/>
      <c r="CA656" s="1439"/>
      <c r="CB656" s="1439"/>
      <c r="CC656" s="1439"/>
      <c r="CD656" s="1439"/>
      <c r="CE656" s="1439"/>
      <c r="CF656" s="1439"/>
      <c r="CG656" s="1439"/>
      <c r="CH656" s="626"/>
      <c r="CI656" s="626"/>
      <c r="CJ656" s="626"/>
      <c r="CK656" s="626"/>
      <c r="CL656" s="626"/>
      <c r="CM656" s="626"/>
      <c r="CN656" s="626"/>
      <c r="CO656" s="626"/>
      <c r="CP656" s="994"/>
      <c r="CQ656" s="626"/>
      <c r="CR656" s="626"/>
      <c r="CS656" s="626"/>
      <c r="CT656" s="626"/>
      <c r="CU656" s="626"/>
      <c r="CV656" s="626"/>
      <c r="CW656" s="626"/>
      <c r="CX656" s="626"/>
      <c r="CY656" s="626"/>
      <c r="CZ656" s="626"/>
      <c r="DA656" s="626"/>
      <c r="DB656" s="626"/>
      <c r="DC656" s="626"/>
      <c r="DD656" s="626"/>
      <c r="DE656" s="626"/>
      <c r="DF656" s="626"/>
      <c r="DG656" s="1893"/>
      <c r="DH656" s="632"/>
      <c r="DI656" s="595"/>
      <c r="DJ656" s="595"/>
      <c r="DK656" s="595"/>
      <c r="DL656" s="595"/>
      <c r="DM656" s="595"/>
      <c r="DN656" s="514"/>
      <c r="DO656" s="77"/>
      <c r="DY656" s="330"/>
      <c r="DZ656" s="330"/>
    </row>
    <row r="657" spans="1:130" ht="12" hidden="1" customHeight="1" outlineLevel="1">
      <c r="A657" s="228" t="s">
        <v>401</v>
      </c>
      <c r="B657" s="228"/>
      <c r="C657" s="228"/>
      <c r="D657" s="625"/>
      <c r="E657" s="626"/>
      <c r="F657" s="626"/>
      <c r="G657" s="626"/>
      <c r="H657" s="788"/>
      <c r="I657" s="626"/>
      <c r="J657" s="626"/>
      <c r="K657" s="626"/>
      <c r="L657" s="626"/>
      <c r="M657" s="788"/>
      <c r="N657" s="626"/>
      <c r="O657" s="626"/>
      <c r="P657" s="626"/>
      <c r="Q657" s="626"/>
      <c r="R657" s="788"/>
      <c r="S657" s="626"/>
      <c r="T657" s="626"/>
      <c r="U657" s="626"/>
      <c r="V657" s="626"/>
      <c r="W657" s="788"/>
      <c r="X657" s="626"/>
      <c r="Y657" s="626"/>
      <c r="Z657" s="626"/>
      <c r="AA657" s="626"/>
      <c r="AB657" s="788"/>
      <c r="AC657" s="626"/>
      <c r="AD657" s="626"/>
      <c r="AE657" s="626"/>
      <c r="AF657" s="626"/>
      <c r="AG657" s="788"/>
      <c r="AH657" s="626"/>
      <c r="AI657" s="626"/>
      <c r="AJ657" s="626"/>
      <c r="AK657" s="626"/>
      <c r="AL657" s="788"/>
      <c r="AM657" s="827">
        <v>4.383</v>
      </c>
      <c r="AN657" s="827">
        <v>3.258</v>
      </c>
      <c r="AO657" s="827">
        <v>3.7069999999999999</v>
      </c>
      <c r="AP657" s="827">
        <v>2.9969999999999999</v>
      </c>
      <c r="AQ657" s="556">
        <f>+SUM(AM657:AP657)</f>
        <v>14.344999999999999</v>
      </c>
      <c r="AR657" s="827">
        <v>4.2720000000000002</v>
      </c>
      <c r="AS657" s="827">
        <v>4.3479999999999999</v>
      </c>
      <c r="AT657" s="827">
        <v>3.524</v>
      </c>
      <c r="AU657" s="826">
        <f>+AU642-AU653</f>
        <v>2.87606727004375</v>
      </c>
      <c r="AV657" s="556">
        <f>+SUM(AR657:AU657)</f>
        <v>15.020067270043752</v>
      </c>
      <c r="AW657" s="826">
        <f>+AW642-AW653</f>
        <v>4.1680378188499976</v>
      </c>
      <c r="AX657" s="826">
        <f>+AX642-AX653</f>
        <v>4.1081938256789989</v>
      </c>
      <c r="AY657" s="826">
        <f>+AY642-AY653</f>
        <v>3.1973045134409972</v>
      </c>
      <c r="AZ657" s="826">
        <f>+AZ642-AZ653</f>
        <v>3.0509394827937495</v>
      </c>
      <c r="BA657" s="556">
        <f>+SUM(AW657:AZ657)</f>
        <v>14.524475640763743</v>
      </c>
      <c r="BB657" s="826">
        <f>+BB642-BB653</f>
        <v>3.8735837787839991</v>
      </c>
      <c r="BC657" s="826">
        <f>+BC642-BC653</f>
        <v>3.242412996897837</v>
      </c>
      <c r="BD657" s="826">
        <f>+BD642-BD653</f>
        <v>2.8423588975512697</v>
      </c>
      <c r="BE657" s="826">
        <f>+BE642-BE653</f>
        <v>3.0905163079099385</v>
      </c>
      <c r="BF657" s="556">
        <f>+SUM(BB657:BE657)</f>
        <v>13.048871981143044</v>
      </c>
      <c r="BG657" s="2731">
        <f>+BG642-BG653</f>
        <v>3.951338038162838</v>
      </c>
      <c r="BH657" s="826">
        <f>+BH642-BH653</f>
        <v>3.4954748370527948</v>
      </c>
      <c r="BI657" s="826">
        <f>+BI642-BI653</f>
        <v>2.8476972351012684</v>
      </c>
      <c r="BJ657" s="1900">
        <f>+BJ642-BJ653</f>
        <v>2.7363507611495397</v>
      </c>
      <c r="BK657" s="556">
        <f>+SUM(BG657:BJ657)</f>
        <v>13.030860871466441</v>
      </c>
      <c r="BL657" s="826">
        <f>+BL642-BL653</f>
        <v>3.4851690872814522</v>
      </c>
      <c r="BM657" s="826">
        <f>+BM642-BM653</f>
        <v>2.6423863404747383</v>
      </c>
      <c r="BN657" s="826"/>
      <c r="BO657" s="1900"/>
      <c r="BP657" s="556"/>
      <c r="BQ657" s="826"/>
      <c r="BR657" s="826"/>
      <c r="BS657" s="826"/>
      <c r="BT657" s="1900"/>
      <c r="BU657" s="3372"/>
      <c r="BV657" s="826"/>
      <c r="BW657" s="826"/>
      <c r="BX657" s="826"/>
      <c r="BY657" s="1900"/>
      <c r="BZ657" s="556"/>
      <c r="CA657" s="556"/>
      <c r="CB657" s="556"/>
      <c r="CC657" s="556"/>
      <c r="CD657" s="556"/>
      <c r="CE657" s="556"/>
      <c r="CF657" s="556"/>
      <c r="CG657" s="556"/>
      <c r="CH657" s="626"/>
      <c r="CI657" s="626"/>
      <c r="CJ657" s="626"/>
      <c r="CK657" s="626"/>
      <c r="CL657" s="626"/>
      <c r="CM657" s="626"/>
      <c r="CN657" s="626"/>
      <c r="CO657" s="626"/>
      <c r="CP657" s="994"/>
      <c r="CQ657" s="626"/>
      <c r="CR657" s="626"/>
      <c r="CS657" s="626"/>
      <c r="CT657" s="626"/>
      <c r="CU657" s="626"/>
      <c r="CV657" s="626"/>
      <c r="CW657" s="626"/>
      <c r="CX657" s="626"/>
      <c r="CY657" s="626"/>
      <c r="CZ657" s="626"/>
      <c r="DA657" s="626"/>
      <c r="DB657" s="626"/>
      <c r="DC657" s="626"/>
      <c r="DD657" s="626"/>
      <c r="DE657" s="626"/>
      <c r="DF657" s="626"/>
      <c r="DG657" s="1893"/>
      <c r="DH657" s="632"/>
      <c r="DI657" s="595"/>
      <c r="DJ657" s="595"/>
      <c r="DK657" s="595"/>
      <c r="DL657" s="595"/>
      <c r="DM657" s="595"/>
      <c r="DN657" s="514"/>
      <c r="DO657" s="77"/>
      <c r="DY657" s="557"/>
      <c r="DZ657" s="557"/>
    </row>
    <row r="658" spans="1:130" ht="12" hidden="1" customHeight="1" outlineLevel="1">
      <c r="A658" s="212" t="s">
        <v>56</v>
      </c>
      <c r="B658" s="228"/>
      <c r="C658" s="228"/>
      <c r="D658" s="625"/>
      <c r="E658" s="626"/>
      <c r="F658" s="626"/>
      <c r="G658" s="626"/>
      <c r="H658" s="788"/>
      <c r="I658" s="626"/>
      <c r="J658" s="626"/>
      <c r="K658" s="626"/>
      <c r="L658" s="626"/>
      <c r="M658" s="788"/>
      <c r="N658" s="626"/>
      <c r="O658" s="626"/>
      <c r="P658" s="626"/>
      <c r="Q658" s="626"/>
      <c r="R658" s="788"/>
      <c r="S658" s="626"/>
      <c r="T658" s="626"/>
      <c r="U658" s="626"/>
      <c r="V658" s="626"/>
      <c r="W658" s="788"/>
      <c r="X658" s="626"/>
      <c r="Y658" s="626"/>
      <c r="Z658" s="626"/>
      <c r="AA658" s="626"/>
      <c r="AB658" s="788"/>
      <c r="AC658" s="626"/>
      <c r="AD658" s="626"/>
      <c r="AE658" s="626"/>
      <c r="AF658" s="626"/>
      <c r="AG658" s="788"/>
      <c r="AH658" s="626"/>
      <c r="AI658" s="626"/>
      <c r="AJ658" s="626"/>
      <c r="AK658" s="626"/>
      <c r="AL658" s="788"/>
      <c r="AM658" s="573">
        <f t="shared" ref="AM658:BF658" si="1355">+AM657/AM642</f>
        <v>0.32609180864519005</v>
      </c>
      <c r="AN658" s="573">
        <f t="shared" si="1355"/>
        <v>0.28752978554408259</v>
      </c>
      <c r="AO658" s="573">
        <f t="shared" si="1355"/>
        <v>0.29663119148595662</v>
      </c>
      <c r="AP658" s="573">
        <f t="shared" si="1355"/>
        <v>0.28019820493642483</v>
      </c>
      <c r="AQ658" s="1621">
        <f t="shared" si="1355"/>
        <v>0.29907224017512768</v>
      </c>
      <c r="AR658" s="573">
        <f t="shared" si="1355"/>
        <v>0.33172852927473212</v>
      </c>
      <c r="AS658" s="573">
        <f t="shared" si="1355"/>
        <v>0.33107439275108508</v>
      </c>
      <c r="AT658" s="573">
        <f t="shared" si="1355"/>
        <v>0.28248496993987976</v>
      </c>
      <c r="AU658" s="573">
        <f t="shared" si="1355"/>
        <v>0.25279291935611325</v>
      </c>
      <c r="AV658" s="1621">
        <f t="shared" si="1355"/>
        <v>0.30122569747715228</v>
      </c>
      <c r="AW658" s="573">
        <f t="shared" si="1355"/>
        <v>0.32337251492814362</v>
      </c>
      <c r="AX658" s="573">
        <f t="shared" si="1355"/>
        <v>0.31843924076239732</v>
      </c>
      <c r="AY658" s="573">
        <f t="shared" si="1355"/>
        <v>0.26343941239357183</v>
      </c>
      <c r="AZ658" s="573">
        <f t="shared" si="1355"/>
        <v>0.26301351652700622</v>
      </c>
      <c r="BA658" s="1621">
        <f t="shared" si="1355"/>
        <v>0.29326370926213707</v>
      </c>
      <c r="BB658" s="573">
        <f t="shared" si="1355"/>
        <v>0.31507162839601577</v>
      </c>
      <c r="BC658" s="573">
        <f t="shared" si="1355"/>
        <v>0.28192137380022031</v>
      </c>
      <c r="BD658" s="573">
        <f t="shared" si="1355"/>
        <v>0.24827485265237109</v>
      </c>
      <c r="BE658" s="573">
        <f t="shared" si="1355"/>
        <v>0.27050848068233319</v>
      </c>
      <c r="BF658" s="1621">
        <f t="shared" si="1355"/>
        <v>0.27960651353937638</v>
      </c>
      <c r="BG658" s="2730">
        <f t="shared" ref="BG658:BM658" si="1356">+BG657/BG642</f>
        <v>0.31700886047584648</v>
      </c>
      <c r="BH658" s="573">
        <f t="shared" si="1356"/>
        <v>0.29211586744114509</v>
      </c>
      <c r="BI658" s="573">
        <f t="shared" si="1356"/>
        <v>0.24859348087456754</v>
      </c>
      <c r="BJ658" s="2135">
        <f t="shared" si="1356"/>
        <v>0.25616428530523072</v>
      </c>
      <c r="BK658" s="1621">
        <f t="shared" si="1356"/>
        <v>0.27982587304733486</v>
      </c>
      <c r="BL658" s="573">
        <f t="shared" si="1356"/>
        <v>0.2990232429881588</v>
      </c>
      <c r="BM658" s="573">
        <f t="shared" si="1356"/>
        <v>0.24617186475426137</v>
      </c>
      <c r="BN658" s="573"/>
      <c r="BO658" s="2135"/>
      <c r="BP658" s="1621"/>
      <c r="BQ658" s="573"/>
      <c r="BR658" s="573"/>
      <c r="BS658" s="573"/>
      <c r="BT658" s="2135"/>
      <c r="BU658" s="3371"/>
      <c r="BV658" s="573"/>
      <c r="BW658" s="573"/>
      <c r="BX658" s="573"/>
      <c r="BY658" s="2135"/>
      <c r="BZ658" s="562"/>
      <c r="CA658" s="562"/>
      <c r="CB658" s="562"/>
      <c r="CC658" s="562"/>
      <c r="CD658" s="562"/>
      <c r="CE658" s="562"/>
      <c r="CF658" s="562"/>
      <c r="CG658" s="562"/>
      <c r="CH658" s="626"/>
      <c r="CI658" s="626"/>
      <c r="CJ658" s="626"/>
      <c r="CK658" s="626"/>
      <c r="CL658" s="626"/>
      <c r="CM658" s="626"/>
      <c r="CN658" s="626"/>
      <c r="CO658" s="626"/>
      <c r="CP658" s="994"/>
      <c r="CQ658" s="626"/>
      <c r="CR658" s="626"/>
      <c r="CS658" s="626"/>
      <c r="CT658" s="626"/>
      <c r="CU658" s="626"/>
      <c r="CV658" s="626"/>
      <c r="CW658" s="626"/>
      <c r="CX658" s="626"/>
      <c r="CY658" s="626"/>
      <c r="CZ658" s="626"/>
      <c r="DA658" s="626"/>
      <c r="DB658" s="626"/>
      <c r="DC658" s="626"/>
      <c r="DD658" s="626"/>
      <c r="DE658" s="626"/>
      <c r="DF658" s="626"/>
      <c r="DG658" s="1893"/>
      <c r="DH658" s="632"/>
      <c r="DI658" s="595"/>
      <c r="DJ658" s="595"/>
      <c r="DK658" s="595"/>
      <c r="DL658" s="595"/>
      <c r="DM658" s="595"/>
      <c r="DN658" s="514"/>
      <c r="DO658" s="77"/>
      <c r="DY658" s="573"/>
      <c r="DZ658" s="573"/>
    </row>
    <row r="659" spans="1:130" ht="12" hidden="1" customHeight="1" outlineLevel="1">
      <c r="A659" s="567" t="s">
        <v>1153</v>
      </c>
      <c r="B659" s="228"/>
      <c r="C659" s="228"/>
      <c r="D659" s="625"/>
      <c r="E659" s="626"/>
      <c r="F659" s="626"/>
      <c r="G659" s="626"/>
      <c r="H659" s="788"/>
      <c r="I659" s="626"/>
      <c r="J659" s="626"/>
      <c r="K659" s="626"/>
      <c r="L659" s="626"/>
      <c r="M659" s="788"/>
      <c r="N659" s="626"/>
      <c r="O659" s="626"/>
      <c r="P659" s="626"/>
      <c r="Q659" s="626"/>
      <c r="R659" s="788"/>
      <c r="S659" s="626"/>
      <c r="T659" s="626"/>
      <c r="U659" s="626"/>
      <c r="V659" s="626"/>
      <c r="W659" s="788"/>
      <c r="X659" s="626"/>
      <c r="Y659" s="626"/>
      <c r="Z659" s="626"/>
      <c r="AA659" s="626"/>
      <c r="AB659" s="788"/>
      <c r="AC659" s="626"/>
      <c r="AD659" s="626"/>
      <c r="AE659" s="626"/>
      <c r="AF659" s="626"/>
      <c r="AG659" s="788"/>
      <c r="AH659" s="626"/>
      <c r="AI659" s="626"/>
      <c r="AJ659" s="626"/>
      <c r="AK659" s="626"/>
      <c r="AL659" s="788"/>
      <c r="AM659" s="626"/>
      <c r="AN659" s="261"/>
      <c r="AO659" s="626"/>
      <c r="AP659" s="330"/>
      <c r="AQ659" s="1439"/>
      <c r="AR659" s="573">
        <f t="shared" ref="AR659:BF659" si="1357">+AR657/AM657-1</f>
        <v>-2.532511978097185E-2</v>
      </c>
      <c r="AS659" s="573">
        <f t="shared" si="1357"/>
        <v>0.33456108041743393</v>
      </c>
      <c r="AT659" s="573">
        <f t="shared" si="1357"/>
        <v>-4.9366064202859383E-2</v>
      </c>
      <c r="AU659" s="573">
        <f t="shared" si="1357"/>
        <v>-4.0351261246663328E-2</v>
      </c>
      <c r="AV659" s="1621">
        <f t="shared" si="1357"/>
        <v>4.7059412341843965E-2</v>
      </c>
      <c r="AW659" s="573">
        <f t="shared" si="1357"/>
        <v>-2.4335716561330156E-2</v>
      </c>
      <c r="AX659" s="573">
        <f t="shared" si="1357"/>
        <v>-5.5153213965271619E-2</v>
      </c>
      <c r="AY659" s="573">
        <f t="shared" si="1357"/>
        <v>-9.2705870192679618E-2</v>
      </c>
      <c r="AZ659" s="573">
        <f t="shared" si="1357"/>
        <v>6.0802546091816456E-2</v>
      </c>
      <c r="BA659" s="1621">
        <f t="shared" si="1357"/>
        <v>-3.2995300245320713E-2</v>
      </c>
      <c r="BB659" s="573">
        <f t="shared" si="1357"/>
        <v>-7.0645721767285008E-2</v>
      </c>
      <c r="BC659" s="573">
        <f t="shared" si="1357"/>
        <v>-0.210744883400935</v>
      </c>
      <c r="BD659" s="573">
        <f t="shared" si="1357"/>
        <v>-0.11101401646217568</v>
      </c>
      <c r="BE659" s="573">
        <f t="shared" si="1357"/>
        <v>1.2972012502833641E-2</v>
      </c>
      <c r="BF659" s="1621">
        <f t="shared" si="1357"/>
        <v>-0.10159428099967582</v>
      </c>
      <c r="BG659" s="2730">
        <f t="shared" ref="BG659:BM659" si="1358">+BG657/BB657-1</f>
        <v>2.007295151448818E-2</v>
      </c>
      <c r="BH659" s="573">
        <f t="shared" si="1358"/>
        <v>7.8047380268051469E-2</v>
      </c>
      <c r="BI659" s="573">
        <f t="shared" si="1358"/>
        <v>1.8781363446389587E-3</v>
      </c>
      <c r="BJ659" s="2135">
        <f t="shared" si="1358"/>
        <v>-0.11459753370462389</v>
      </c>
      <c r="BK659" s="1621">
        <f t="shared" si="1358"/>
        <v>-1.3802809700816931E-3</v>
      </c>
      <c r="BL659" s="573">
        <f t="shared" si="1358"/>
        <v>-0.11797749177089634</v>
      </c>
      <c r="BM659" s="573">
        <f t="shared" si="1358"/>
        <v>-0.24405511020566717</v>
      </c>
      <c r="BN659" s="573"/>
      <c r="BO659" s="2135"/>
      <c r="BP659" s="1621"/>
      <c r="BQ659" s="573"/>
      <c r="BR659" s="573"/>
      <c r="BS659" s="573"/>
      <c r="BT659" s="2135"/>
      <c r="BU659" s="3371"/>
      <c r="BV659" s="573"/>
      <c r="BW659" s="573"/>
      <c r="BX659" s="573"/>
      <c r="BY659" s="2135"/>
      <c r="BZ659" s="1621"/>
      <c r="CA659" s="1621"/>
      <c r="CB659" s="1621"/>
      <c r="CC659" s="1621"/>
      <c r="CD659" s="1621"/>
      <c r="CE659" s="1621"/>
      <c r="CF659" s="1621"/>
      <c r="CG659" s="1621"/>
      <c r="CH659" s="626"/>
      <c r="CI659" s="626"/>
      <c r="CJ659" s="626"/>
      <c r="CK659" s="626"/>
      <c r="CL659" s="626"/>
      <c r="CM659" s="626"/>
      <c r="CN659" s="626"/>
      <c r="CO659" s="626"/>
      <c r="CP659" s="994"/>
      <c r="CQ659" s="626"/>
      <c r="CR659" s="626"/>
      <c r="CS659" s="626"/>
      <c r="CT659" s="626"/>
      <c r="CU659" s="626"/>
      <c r="CV659" s="626"/>
      <c r="CW659" s="626"/>
      <c r="CX659" s="626"/>
      <c r="CY659" s="626"/>
      <c r="CZ659" s="626"/>
      <c r="DA659" s="626"/>
      <c r="DB659" s="626"/>
      <c r="DC659" s="626"/>
      <c r="DD659" s="626"/>
      <c r="DE659" s="626"/>
      <c r="DF659" s="626"/>
      <c r="DG659" s="1893"/>
      <c r="DH659" s="632"/>
      <c r="DI659" s="595"/>
      <c r="DJ659" s="595"/>
      <c r="DK659" s="595"/>
      <c r="DL659" s="595"/>
      <c r="DM659" s="595"/>
      <c r="DN659" s="514"/>
      <c r="DO659" s="77"/>
      <c r="DY659" s="573"/>
      <c r="DZ659" s="573"/>
    </row>
    <row r="660" spans="1:130" ht="12" hidden="1" customHeight="1" outlineLevel="1">
      <c r="A660" s="552"/>
      <c r="B660" s="228"/>
      <c r="C660" s="228"/>
      <c r="D660" s="625"/>
      <c r="E660" s="626"/>
      <c r="F660" s="626"/>
      <c r="G660" s="626"/>
      <c r="H660" s="788"/>
      <c r="I660" s="626"/>
      <c r="J660" s="626"/>
      <c r="K660" s="626"/>
      <c r="L660" s="626"/>
      <c r="M660" s="788"/>
      <c r="N660" s="626"/>
      <c r="O660" s="626"/>
      <c r="P660" s="626"/>
      <c r="Q660" s="626"/>
      <c r="R660" s="788"/>
      <c r="S660" s="626"/>
      <c r="T660" s="626"/>
      <c r="U660" s="626"/>
      <c r="V660" s="626"/>
      <c r="W660" s="788"/>
      <c r="X660" s="626"/>
      <c r="Y660" s="626"/>
      <c r="Z660" s="626"/>
      <c r="AA660" s="626"/>
      <c r="AB660" s="788"/>
      <c r="AC660" s="626"/>
      <c r="AD660" s="626"/>
      <c r="AE660" s="626"/>
      <c r="AF660" s="626"/>
      <c r="AG660" s="788"/>
      <c r="AH660" s="626"/>
      <c r="AI660" s="626"/>
      <c r="AJ660" s="626"/>
      <c r="AK660" s="626"/>
      <c r="AL660" s="788"/>
      <c r="AM660" s="626"/>
      <c r="AN660" s="261"/>
      <c r="AO660" s="626"/>
      <c r="AP660" s="330"/>
      <c r="AQ660" s="1439"/>
      <c r="AR660" s="573"/>
      <c r="AS660" s="573"/>
      <c r="AT660" s="573"/>
      <c r="AU660" s="573"/>
      <c r="AV660" s="1951"/>
      <c r="AW660" s="573"/>
      <c r="AX660" s="573"/>
      <c r="AY660" s="573"/>
      <c r="AZ660" s="573"/>
      <c r="BA660" s="1439"/>
      <c r="BB660" s="626"/>
      <c r="BC660" s="261"/>
      <c r="BD660" s="626"/>
      <c r="BE660" s="626"/>
      <c r="BF660" s="1439"/>
      <c r="BG660" s="678"/>
      <c r="BH660" s="330"/>
      <c r="BI660" s="330"/>
      <c r="BJ660" s="2136"/>
      <c r="BK660" s="1439"/>
      <c r="BL660" s="330"/>
      <c r="BM660" s="330"/>
      <c r="BN660" s="330"/>
      <c r="BO660" s="2136"/>
      <c r="BP660" s="1439"/>
      <c r="BQ660" s="330"/>
      <c r="BR660" s="330"/>
      <c r="BS660" s="330"/>
      <c r="BT660" s="2136"/>
      <c r="BU660" s="3406"/>
      <c r="BV660" s="330"/>
      <c r="BW660" s="330"/>
      <c r="BX660" s="330"/>
      <c r="BY660" s="2136"/>
      <c r="BZ660" s="1439"/>
      <c r="CA660" s="1439"/>
      <c r="CB660" s="1439"/>
      <c r="CC660" s="1439"/>
      <c r="CD660" s="1439"/>
      <c r="CE660" s="1439"/>
      <c r="CF660" s="1439"/>
      <c r="CG660" s="1439"/>
      <c r="CH660" s="626"/>
      <c r="CI660" s="626"/>
      <c r="CJ660" s="626"/>
      <c r="CK660" s="626"/>
      <c r="CL660" s="626"/>
      <c r="CM660" s="626"/>
      <c r="CN660" s="626"/>
      <c r="CO660" s="626"/>
      <c r="CP660" s="994"/>
      <c r="CQ660" s="626"/>
      <c r="CR660" s="626"/>
      <c r="CS660" s="626"/>
      <c r="CT660" s="626"/>
      <c r="CU660" s="626"/>
      <c r="CV660" s="626"/>
      <c r="CW660" s="626"/>
      <c r="CX660" s="626"/>
      <c r="CY660" s="626"/>
      <c r="CZ660" s="626"/>
      <c r="DA660" s="626"/>
      <c r="DB660" s="626"/>
      <c r="DC660" s="626"/>
      <c r="DD660" s="626"/>
      <c r="DE660" s="626"/>
      <c r="DF660" s="626"/>
      <c r="DG660" s="1893"/>
      <c r="DH660" s="632"/>
      <c r="DI660" s="595"/>
      <c r="DJ660" s="595"/>
      <c r="DK660" s="595"/>
      <c r="DL660" s="595"/>
      <c r="DM660" s="595"/>
      <c r="DN660" s="514"/>
      <c r="DO660" s="77"/>
      <c r="DY660" s="330"/>
      <c r="DZ660" s="330"/>
    </row>
    <row r="661" spans="1:130" ht="12" hidden="1" customHeight="1" outlineLevel="1">
      <c r="A661" s="708" t="s">
        <v>459</v>
      </c>
      <c r="B661" s="228"/>
      <c r="C661" s="228"/>
      <c r="D661" s="625"/>
      <c r="E661" s="626"/>
      <c r="F661" s="626"/>
      <c r="G661" s="626"/>
      <c r="H661" s="788"/>
      <c r="I661" s="626"/>
      <c r="J661" s="626"/>
      <c r="K661" s="626"/>
      <c r="L661" s="626"/>
      <c r="M661" s="788"/>
      <c r="N661" s="626"/>
      <c r="O661" s="626"/>
      <c r="P661" s="626"/>
      <c r="Q661" s="626"/>
      <c r="R661" s="788"/>
      <c r="S661" s="626"/>
      <c r="T661" s="626"/>
      <c r="U661" s="626"/>
      <c r="V661" s="626"/>
      <c r="W661" s="788"/>
      <c r="X661" s="626"/>
      <c r="Y661" s="626"/>
      <c r="Z661" s="626"/>
      <c r="AA661" s="626"/>
      <c r="AB661" s="788"/>
      <c r="AC661" s="626"/>
      <c r="AD661" s="626"/>
      <c r="AE661" s="626"/>
      <c r="AF661" s="626"/>
      <c r="AG661" s="788"/>
      <c r="AH661" s="626"/>
      <c r="AI661" s="626"/>
      <c r="AJ661" s="626"/>
      <c r="AK661" s="626"/>
      <c r="AL661" s="788"/>
      <c r="AM661" s="626"/>
      <c r="AN661" s="261"/>
      <c r="AO661" s="626"/>
      <c r="AP661" s="330"/>
      <c r="AQ661" s="1439"/>
      <c r="AR661" s="330"/>
      <c r="AS661" s="330"/>
      <c r="AT661" s="330"/>
      <c r="AU661" s="626"/>
      <c r="AV661" s="1951"/>
      <c r="AW661" s="626"/>
      <c r="AX661" s="261"/>
      <c r="AY661" s="626"/>
      <c r="AZ661" s="626"/>
      <c r="BA661" s="1439"/>
      <c r="BB661" s="626"/>
      <c r="BC661" s="261"/>
      <c r="BD661" s="626"/>
      <c r="BE661" s="626"/>
      <c r="BF661" s="1439"/>
      <c r="BG661" s="678"/>
      <c r="BH661" s="330"/>
      <c r="BI661" s="330"/>
      <c r="BJ661" s="2136"/>
      <c r="BK661" s="1439"/>
      <c r="BL661" s="330"/>
      <c r="BM661" s="330"/>
      <c r="BN661" s="330"/>
      <c r="BO661" s="2136"/>
      <c r="BP661" s="1439"/>
      <c r="BQ661" s="330"/>
      <c r="BR661" s="330"/>
      <c r="BS661" s="330"/>
      <c r="BT661" s="2136"/>
      <c r="BU661" s="3406"/>
      <c r="BV661" s="330"/>
      <c r="BW661" s="330"/>
      <c r="BX661" s="330"/>
      <c r="BY661" s="2136"/>
      <c r="BZ661" s="1439"/>
      <c r="CA661" s="1439"/>
      <c r="CB661" s="1439"/>
      <c r="CC661" s="1439"/>
      <c r="CD661" s="1439"/>
      <c r="CE661" s="1439"/>
      <c r="CF661" s="1439"/>
      <c r="CG661" s="1439"/>
      <c r="CH661" s="626"/>
      <c r="CI661" s="626"/>
      <c r="CJ661" s="626"/>
      <c r="CK661" s="626"/>
      <c r="CL661" s="626"/>
      <c r="CM661" s="626"/>
      <c r="CN661" s="626"/>
      <c r="CO661" s="626"/>
      <c r="CP661" s="994"/>
      <c r="CQ661" s="626"/>
      <c r="CR661" s="626"/>
      <c r="CS661" s="626"/>
      <c r="CT661" s="626"/>
      <c r="CU661" s="626"/>
      <c r="CV661" s="626"/>
      <c r="CW661" s="626"/>
      <c r="CX661" s="626"/>
      <c r="CY661" s="626"/>
      <c r="CZ661" s="626"/>
      <c r="DA661" s="626"/>
      <c r="DB661" s="626"/>
      <c r="DC661" s="626"/>
      <c r="DD661" s="626"/>
      <c r="DE661" s="626"/>
      <c r="DF661" s="626"/>
      <c r="DG661" s="1893"/>
      <c r="DH661" s="632"/>
      <c r="DI661" s="595"/>
      <c r="DJ661" s="595"/>
      <c r="DK661" s="595"/>
      <c r="DL661" s="595"/>
      <c r="DM661" s="595"/>
      <c r="DN661" s="514"/>
      <c r="DO661" s="77"/>
      <c r="DY661" s="330"/>
      <c r="DZ661" s="330"/>
    </row>
    <row r="662" spans="1:130" ht="12" hidden="1" customHeight="1" outlineLevel="1">
      <c r="A662" s="552"/>
      <c r="B662" s="228"/>
      <c r="C662" s="228"/>
      <c r="D662" s="625"/>
      <c r="E662" s="626"/>
      <c r="F662" s="626"/>
      <c r="G662" s="626"/>
      <c r="H662" s="788"/>
      <c r="I662" s="626"/>
      <c r="J662" s="626"/>
      <c r="K662" s="626"/>
      <c r="L662" s="626"/>
      <c r="M662" s="788"/>
      <c r="N662" s="626"/>
      <c r="O662" s="626"/>
      <c r="P662" s="626"/>
      <c r="Q662" s="626"/>
      <c r="R662" s="788"/>
      <c r="S662" s="626"/>
      <c r="T662" s="626"/>
      <c r="U662" s="626"/>
      <c r="V662" s="626"/>
      <c r="W662" s="788"/>
      <c r="X662" s="626"/>
      <c r="Y662" s="626"/>
      <c r="Z662" s="626"/>
      <c r="AA662" s="626"/>
      <c r="AB662" s="788"/>
      <c r="AC662" s="626"/>
      <c r="AD662" s="626"/>
      <c r="AE662" s="626"/>
      <c r="AF662" s="626"/>
      <c r="AG662" s="788"/>
      <c r="AH662" s="626"/>
      <c r="AI662" s="626"/>
      <c r="AJ662" s="626"/>
      <c r="AK662" s="626"/>
      <c r="AL662" s="788"/>
      <c r="AM662" s="626"/>
      <c r="AN662" s="261"/>
      <c r="AO662" s="626"/>
      <c r="AP662" s="330"/>
      <c r="AQ662" s="1439"/>
      <c r="AR662" s="330"/>
      <c r="AS662" s="330"/>
      <c r="AT662" s="330"/>
      <c r="AU662" s="626"/>
      <c r="AV662" s="1951"/>
      <c r="AW662" s="1985"/>
      <c r="AX662" s="261"/>
      <c r="AY662" s="626"/>
      <c r="AZ662" s="626"/>
      <c r="BA662" s="1439"/>
      <c r="BB662" s="626"/>
      <c r="BC662" s="261"/>
      <c r="BD662" s="626"/>
      <c r="BE662" s="626"/>
      <c r="BF662" s="1439"/>
      <c r="BG662" s="678"/>
      <c r="BH662" s="330"/>
      <c r="BI662" s="330"/>
      <c r="BJ662" s="2136"/>
      <c r="BK662" s="1439"/>
      <c r="BL662" s="330"/>
      <c r="BM662" s="330"/>
      <c r="BN662" s="330"/>
      <c r="BO662" s="2136"/>
      <c r="BP662" s="1439"/>
      <c r="BQ662" s="330"/>
      <c r="BR662" s="330"/>
      <c r="BS662" s="330"/>
      <c r="BT662" s="2136"/>
      <c r="BU662" s="3406"/>
      <c r="BV662" s="330"/>
      <c r="BW662" s="330"/>
      <c r="BX662" s="330"/>
      <c r="BY662" s="2136"/>
      <c r="BZ662" s="1439"/>
      <c r="CA662" s="1439"/>
      <c r="CB662" s="1439"/>
      <c r="CC662" s="1439"/>
      <c r="CD662" s="1439"/>
      <c r="CE662" s="1439"/>
      <c r="CF662" s="1439"/>
      <c r="CG662" s="1439"/>
      <c r="CH662" s="626"/>
      <c r="CI662" s="626"/>
      <c r="CJ662" s="626"/>
      <c r="CK662" s="626"/>
      <c r="CL662" s="626"/>
      <c r="CM662" s="626"/>
      <c r="CN662" s="626"/>
      <c r="CO662" s="626"/>
      <c r="CP662" s="994"/>
      <c r="CQ662" s="626"/>
      <c r="CR662" s="626"/>
      <c r="CS662" s="626"/>
      <c r="CT662" s="626"/>
      <c r="CU662" s="626"/>
      <c r="CV662" s="626"/>
      <c r="CW662" s="626"/>
      <c r="CX662" s="626"/>
      <c r="CY662" s="626"/>
      <c r="CZ662" s="626"/>
      <c r="DA662" s="626"/>
      <c r="DB662" s="626"/>
      <c r="DC662" s="626"/>
      <c r="DD662" s="626"/>
      <c r="DE662" s="626"/>
      <c r="DF662" s="626"/>
      <c r="DG662" s="1893"/>
      <c r="DH662" s="632"/>
      <c r="DI662" s="595"/>
      <c r="DJ662" s="595"/>
      <c r="DK662" s="595"/>
      <c r="DL662" s="595"/>
      <c r="DM662" s="595"/>
      <c r="DN662" s="514"/>
      <c r="DO662" s="77"/>
      <c r="DY662" s="330"/>
      <c r="DZ662" s="330"/>
    </row>
    <row r="663" spans="1:130" s="2252" customFormat="1" ht="12" hidden="1" customHeight="1" outlineLevel="1">
      <c r="A663" s="552" t="s">
        <v>183</v>
      </c>
      <c r="B663" s="228"/>
      <c r="C663" s="228"/>
      <c r="D663" s="625"/>
      <c r="E663" s="626"/>
      <c r="F663" s="626"/>
      <c r="G663" s="626"/>
      <c r="H663" s="788"/>
      <c r="I663" s="626"/>
      <c r="J663" s="626"/>
      <c r="K663" s="626"/>
      <c r="L663" s="626"/>
      <c r="M663" s="788"/>
      <c r="N663" s="626"/>
      <c r="O663" s="626"/>
      <c r="P663" s="626"/>
      <c r="Q663" s="626"/>
      <c r="R663" s="788"/>
      <c r="S663" s="626"/>
      <c r="T663" s="626"/>
      <c r="U663" s="626"/>
      <c r="V663" s="626"/>
      <c r="W663" s="788"/>
      <c r="X663" s="626"/>
      <c r="Y663" s="626"/>
      <c r="Z663" s="626"/>
      <c r="AA663" s="626"/>
      <c r="AB663" s="788"/>
      <c r="AC663" s="626"/>
      <c r="AD663" s="626"/>
      <c r="AE663" s="626"/>
      <c r="AF663" s="626"/>
      <c r="AG663" s="788"/>
      <c r="AH663" s="626"/>
      <c r="AI663" s="626"/>
      <c r="AJ663" s="626"/>
      <c r="AK663" s="626"/>
      <c r="AL663" s="788"/>
      <c r="AM663" s="626"/>
      <c r="AN663" s="261"/>
      <c r="AO663" s="626"/>
      <c r="AP663" s="1981">
        <v>1411</v>
      </c>
      <c r="AQ663" s="1439"/>
      <c r="AR663" s="1981">
        <v>1411</v>
      </c>
      <c r="AS663" s="1982">
        <f>+AR663</f>
        <v>1411</v>
      </c>
      <c r="AT663" s="1982">
        <f>+AS663</f>
        <v>1411</v>
      </c>
      <c r="AU663" s="1981">
        <v>1829</v>
      </c>
      <c r="AV663" s="1984">
        <f>+AVERAGE(AR663:AU663)</f>
        <v>1515.5</v>
      </c>
      <c r="AW663" s="792">
        <f>+AT663+425</f>
        <v>1836</v>
      </c>
      <c r="AX663" s="792">
        <f>+AW663</f>
        <v>1836</v>
      </c>
      <c r="AY663" s="792">
        <f>+AX663</f>
        <v>1836</v>
      </c>
      <c r="AZ663" s="1981">
        <v>1854</v>
      </c>
      <c r="BA663" s="1984">
        <f>+AVERAGE(AW663:AZ663)</f>
        <v>1840.5</v>
      </c>
      <c r="BB663" s="1981">
        <v>1411</v>
      </c>
      <c r="BC663" s="1981">
        <v>1411</v>
      </c>
      <c r="BD663" s="1981">
        <v>1411</v>
      </c>
      <c r="BE663" s="1981">
        <v>1411</v>
      </c>
      <c r="BF663" s="1984">
        <f>+AVERAGE(BB663:BE663)</f>
        <v>1411</v>
      </c>
      <c r="BG663" s="1981">
        <v>1411</v>
      </c>
      <c r="BH663" s="1981">
        <v>1411</v>
      </c>
      <c r="BI663" s="1981">
        <v>1411</v>
      </c>
      <c r="BJ663" s="1981">
        <v>1411</v>
      </c>
      <c r="BK663" s="1984">
        <f>+AVERAGE(BG663:BJ663)</f>
        <v>1411</v>
      </c>
      <c r="BL663" s="1981">
        <v>1411</v>
      </c>
      <c r="BM663" s="1981">
        <v>1411</v>
      </c>
      <c r="BN663" s="1981"/>
      <c r="BO663" s="3183"/>
      <c r="BP663" s="1984"/>
      <c r="BQ663" s="3183"/>
      <c r="BR663" s="3183"/>
      <c r="BS663" s="3183"/>
      <c r="BT663" s="3183"/>
      <c r="BU663" s="3396"/>
      <c r="BV663" s="3183"/>
      <c r="BW663" s="3183"/>
      <c r="BX663" s="3183"/>
      <c r="BY663" s="3183"/>
      <c r="BZ663" s="2742"/>
      <c r="CA663" s="2742"/>
      <c r="CB663" s="2742"/>
      <c r="CC663" s="2742"/>
      <c r="CD663" s="2742"/>
      <c r="CE663" s="2742"/>
      <c r="CF663" s="2742"/>
      <c r="CG663" s="2742"/>
      <c r="CH663" s="626"/>
      <c r="CI663" s="626"/>
      <c r="CJ663" s="626"/>
      <c r="CK663" s="626"/>
      <c r="CL663" s="626"/>
      <c r="CM663" s="626"/>
      <c r="CN663" s="626"/>
      <c r="CO663" s="626"/>
      <c r="CP663" s="994"/>
      <c r="CQ663" s="626"/>
      <c r="CR663" s="626"/>
      <c r="CS663" s="626"/>
      <c r="CT663" s="626"/>
      <c r="CU663" s="626"/>
      <c r="CV663" s="626"/>
      <c r="CW663" s="626"/>
      <c r="CX663" s="626"/>
      <c r="CY663" s="626"/>
      <c r="CZ663" s="626"/>
      <c r="DA663" s="626"/>
      <c r="DB663" s="626"/>
      <c r="DC663" s="626"/>
      <c r="DD663" s="626"/>
      <c r="DE663" s="626"/>
      <c r="DF663" s="626"/>
      <c r="DG663" s="1893"/>
      <c r="DH663" s="632"/>
      <c r="DI663" s="595"/>
      <c r="DJ663" s="595"/>
      <c r="DK663" s="595"/>
      <c r="DL663" s="595"/>
      <c r="DM663" s="595"/>
      <c r="DN663" s="514"/>
      <c r="DO663" s="77"/>
      <c r="DP663"/>
      <c r="DQ663"/>
      <c r="DR663"/>
      <c r="DS663"/>
      <c r="DT663"/>
      <c r="DU663"/>
      <c r="DY663" s="1982"/>
      <c r="DZ663" s="1982"/>
    </row>
    <row r="664" spans="1:130" s="2252" customFormat="1" ht="12" hidden="1" customHeight="1" outlineLevel="1">
      <c r="A664" s="552" t="s">
        <v>184</v>
      </c>
      <c r="B664" s="228"/>
      <c r="C664" s="228"/>
      <c r="D664" s="625"/>
      <c r="E664" s="626"/>
      <c r="F664" s="626"/>
      <c r="G664" s="626"/>
      <c r="H664" s="788"/>
      <c r="I664" s="626"/>
      <c r="J664" s="626"/>
      <c r="K664" s="626"/>
      <c r="L664" s="626"/>
      <c r="M664" s="788"/>
      <c r="N664" s="626"/>
      <c r="O664" s="626"/>
      <c r="P664" s="626"/>
      <c r="Q664" s="626"/>
      <c r="R664" s="788"/>
      <c r="S664" s="626"/>
      <c r="T664" s="626"/>
      <c r="U664" s="626"/>
      <c r="V664" s="626"/>
      <c r="W664" s="788"/>
      <c r="X664" s="626"/>
      <c r="Y664" s="626"/>
      <c r="Z664" s="626"/>
      <c r="AA664" s="626"/>
      <c r="AB664" s="788"/>
      <c r="AC664" s="626"/>
      <c r="AD664" s="626"/>
      <c r="AE664" s="626"/>
      <c r="AF664" s="626"/>
      <c r="AG664" s="788"/>
      <c r="AH664" s="626"/>
      <c r="AI664" s="626"/>
      <c r="AJ664" s="626"/>
      <c r="AK664" s="626"/>
      <c r="AL664" s="788"/>
      <c r="AM664" s="626"/>
      <c r="AN664" s="261"/>
      <c r="AO664" s="626"/>
      <c r="AP664" s="1981">
        <v>35</v>
      </c>
      <c r="AQ664" s="1439"/>
      <c r="AR664" s="1981">
        <v>35</v>
      </c>
      <c r="AS664" s="1982">
        <f>+AR664</f>
        <v>35</v>
      </c>
      <c r="AT664" s="1982">
        <f>+AS664</f>
        <v>35</v>
      </c>
      <c r="AU664" s="1981">
        <v>45</v>
      </c>
      <c r="AV664" s="1984">
        <f>+AVERAGE(AR664:AU664)</f>
        <v>37.5</v>
      </c>
      <c r="AW664" s="792">
        <f>+AT664+10</f>
        <v>45</v>
      </c>
      <c r="AX664" s="792">
        <f>+AW664</f>
        <v>45</v>
      </c>
      <c r="AY664" s="792">
        <f>+AX664</f>
        <v>45</v>
      </c>
      <c r="AZ664" s="1981">
        <v>50</v>
      </c>
      <c r="BA664" s="1984">
        <f>+AVERAGE(AW664:AZ664)</f>
        <v>46.25</v>
      </c>
      <c r="BB664" s="1981">
        <v>35</v>
      </c>
      <c r="BC664" s="1981">
        <v>35</v>
      </c>
      <c r="BD664" s="1981">
        <v>35</v>
      </c>
      <c r="BE664" s="1981">
        <v>35</v>
      </c>
      <c r="BF664" s="1984">
        <f>+AVERAGE(BB664:BE664)</f>
        <v>35</v>
      </c>
      <c r="BG664" s="1981">
        <v>35</v>
      </c>
      <c r="BH664" s="1981">
        <v>35</v>
      </c>
      <c r="BI664" s="1981">
        <v>35</v>
      </c>
      <c r="BJ664" s="1981">
        <v>35</v>
      </c>
      <c r="BK664" s="1984">
        <f>+AVERAGE(BG664:BJ664)</f>
        <v>35</v>
      </c>
      <c r="BL664" s="1981">
        <v>35</v>
      </c>
      <c r="BM664" s="1981">
        <v>35</v>
      </c>
      <c r="BN664" s="1981"/>
      <c r="BO664" s="3183"/>
      <c r="BP664" s="1984"/>
      <c r="BQ664" s="3183"/>
      <c r="BR664" s="3183"/>
      <c r="BS664" s="3183"/>
      <c r="BT664" s="3183"/>
      <c r="BU664" s="3396"/>
      <c r="BV664" s="3183"/>
      <c r="BW664" s="3183"/>
      <c r="BX664" s="3183"/>
      <c r="BY664" s="3183"/>
      <c r="BZ664" s="2742"/>
      <c r="CA664" s="2742"/>
      <c r="CB664" s="2742"/>
      <c r="CC664" s="2742"/>
      <c r="CD664" s="2742"/>
      <c r="CE664" s="2742"/>
      <c r="CF664" s="2742"/>
      <c r="CG664" s="2742"/>
      <c r="CH664" s="626"/>
      <c r="CI664" s="626"/>
      <c r="CJ664" s="626"/>
      <c r="CK664" s="626"/>
      <c r="CL664" s="626"/>
      <c r="CM664" s="626"/>
      <c r="CN664" s="626"/>
      <c r="CO664" s="626"/>
      <c r="CP664" s="994"/>
      <c r="CQ664" s="626"/>
      <c r="CR664" s="626"/>
      <c r="CS664" s="626"/>
      <c r="CT664" s="626"/>
      <c r="CU664" s="626"/>
      <c r="CV664" s="626"/>
      <c r="CW664" s="626"/>
      <c r="CX664" s="626"/>
      <c r="CY664" s="626"/>
      <c r="CZ664" s="626"/>
      <c r="DA664" s="626"/>
      <c r="DB664" s="626"/>
      <c r="DC664" s="626"/>
      <c r="DD664" s="626"/>
      <c r="DE664" s="626"/>
      <c r="DF664" s="626"/>
      <c r="DG664" s="1893"/>
      <c r="DH664" s="632"/>
      <c r="DI664" s="595"/>
      <c r="DJ664" s="595"/>
      <c r="DK664" s="595"/>
      <c r="DL664" s="595"/>
      <c r="DM664" s="595"/>
      <c r="DN664" s="514"/>
      <c r="DO664" s="77"/>
      <c r="DP664"/>
      <c r="DQ664"/>
      <c r="DR664"/>
      <c r="DS664"/>
      <c r="DT664"/>
      <c r="DU664"/>
      <c r="DY664" s="1982"/>
      <c r="DZ664" s="1982"/>
    </row>
    <row r="665" spans="1:130" ht="12" hidden="1" customHeight="1" outlineLevel="1">
      <c r="A665" s="552" t="s">
        <v>182</v>
      </c>
      <c r="B665" s="228"/>
      <c r="C665" s="228"/>
      <c r="D665" s="625"/>
      <c r="E665" s="626"/>
      <c r="F665" s="626"/>
      <c r="G665" s="626"/>
      <c r="H665" s="788"/>
      <c r="I665" s="626"/>
      <c r="J665" s="626"/>
      <c r="K665" s="626"/>
      <c r="L665" s="626"/>
      <c r="M665" s="788"/>
      <c r="N665" s="626"/>
      <c r="O665" s="626"/>
      <c r="P665" s="626"/>
      <c r="Q665" s="626"/>
      <c r="R665" s="788"/>
      <c r="S665" s="626"/>
      <c r="T665" s="626"/>
      <c r="U665" s="626"/>
      <c r="V665" s="626"/>
      <c r="W665" s="788"/>
      <c r="X665" s="626"/>
      <c r="Y665" s="626"/>
      <c r="Z665" s="626"/>
      <c r="AA665" s="626"/>
      <c r="AB665" s="788"/>
      <c r="AC665" s="626"/>
      <c r="AD665" s="626"/>
      <c r="AE665" s="626"/>
      <c r="AF665" s="626"/>
      <c r="AG665" s="788"/>
      <c r="AH665" s="626"/>
      <c r="AI665" s="626"/>
      <c r="AJ665" s="626"/>
      <c r="AK665" s="626"/>
      <c r="AL665" s="788"/>
      <c r="AM665" s="626"/>
      <c r="AN665" s="261"/>
      <c r="AO665" s="626"/>
      <c r="AP665" s="1982">
        <f>+AP663+(AP664*6)</f>
        <v>1621</v>
      </c>
      <c r="AQ665" s="1439"/>
      <c r="AR665" s="1982">
        <f t="shared" ref="AR665:BK665" si="1359">+AR663+(AR664*6)</f>
        <v>1621</v>
      </c>
      <c r="AS665" s="1982">
        <f t="shared" si="1359"/>
        <v>1621</v>
      </c>
      <c r="AT665" s="1982">
        <f t="shared" si="1359"/>
        <v>1621</v>
      </c>
      <c r="AU665" s="1982">
        <f t="shared" si="1359"/>
        <v>2099</v>
      </c>
      <c r="AV665" s="1984">
        <f t="shared" si="1359"/>
        <v>1740.5</v>
      </c>
      <c r="AW665" s="1982">
        <f t="shared" si="1359"/>
        <v>2106</v>
      </c>
      <c r="AX665" s="1982">
        <f t="shared" si="1359"/>
        <v>2106</v>
      </c>
      <c r="AY665" s="1982">
        <f t="shared" si="1359"/>
        <v>2106</v>
      </c>
      <c r="AZ665" s="1982">
        <f t="shared" si="1359"/>
        <v>2154</v>
      </c>
      <c r="BA665" s="1984">
        <f t="shared" si="1359"/>
        <v>2118</v>
      </c>
      <c r="BB665" s="1982">
        <f t="shared" si="1359"/>
        <v>1621</v>
      </c>
      <c r="BC665" s="1982">
        <f t="shared" si="1359"/>
        <v>1621</v>
      </c>
      <c r="BD665" s="1982">
        <f t="shared" si="1359"/>
        <v>1621</v>
      </c>
      <c r="BE665" s="1982">
        <f t="shared" si="1359"/>
        <v>1621</v>
      </c>
      <c r="BF665" s="1984">
        <f t="shared" si="1359"/>
        <v>1621</v>
      </c>
      <c r="BG665" s="2890">
        <f>+BG663+(BG664*6)</f>
        <v>1621</v>
      </c>
      <c r="BH665" s="1982">
        <f>+BH663+(BH664*6)</f>
        <v>1621</v>
      </c>
      <c r="BI665" s="1982">
        <f>+BI663+(BI664*6)</f>
        <v>1621</v>
      </c>
      <c r="BJ665" s="2891">
        <f>+BJ663+(BJ664*6)</f>
        <v>1621</v>
      </c>
      <c r="BK665" s="1984">
        <f t="shared" si="1359"/>
        <v>1621</v>
      </c>
      <c r="BL665" s="1982">
        <f t="shared" ref="BL665:BM665" si="1360">+BL663+(BL664*6)</f>
        <v>1621</v>
      </c>
      <c r="BM665" s="1982">
        <f t="shared" si="1360"/>
        <v>1621</v>
      </c>
      <c r="BN665" s="1982"/>
      <c r="BO665" s="2891"/>
      <c r="BP665" s="1984"/>
      <c r="BQ665" s="1982"/>
      <c r="BR665" s="1982"/>
      <c r="BS665" s="1982"/>
      <c r="BT665" s="2891"/>
      <c r="BU665" s="3396"/>
      <c r="BV665" s="1982"/>
      <c r="BW665" s="1982"/>
      <c r="BX665" s="1982"/>
      <c r="BY665" s="2891"/>
      <c r="BZ665" s="1984"/>
      <c r="CA665" s="1984"/>
      <c r="CB665" s="1984"/>
      <c r="CC665" s="1984"/>
      <c r="CD665" s="1984"/>
      <c r="CE665" s="1984"/>
      <c r="CF665" s="1984"/>
      <c r="CG665" s="1984"/>
      <c r="CH665" s="626"/>
      <c r="CI665" s="626"/>
      <c r="CJ665" s="626"/>
      <c r="CK665" s="626"/>
      <c r="CL665" s="626"/>
      <c r="CM665" s="626"/>
      <c r="CN665" s="626"/>
      <c r="CO665" s="626"/>
      <c r="CP665" s="994"/>
      <c r="CQ665" s="626"/>
      <c r="CR665" s="626"/>
      <c r="CS665" s="626"/>
      <c r="CT665" s="626"/>
      <c r="CU665" s="626"/>
      <c r="CV665" s="626"/>
      <c r="CW665" s="626"/>
      <c r="CX665" s="626"/>
      <c r="CY665" s="626"/>
      <c r="CZ665" s="626"/>
      <c r="DA665" s="626"/>
      <c r="DB665" s="626"/>
      <c r="DC665" s="626"/>
      <c r="DD665" s="626"/>
      <c r="DE665" s="626"/>
      <c r="DF665" s="626"/>
      <c r="DG665" s="1893"/>
      <c r="DH665" s="632"/>
      <c r="DI665" s="595"/>
      <c r="DJ665" s="595"/>
      <c r="DK665" s="595"/>
      <c r="DL665" s="595"/>
      <c r="DM665" s="595"/>
      <c r="DN665" s="514"/>
      <c r="DO665" s="77"/>
      <c r="DY665" s="1982"/>
      <c r="DZ665" s="1982"/>
    </row>
    <row r="666" spans="1:130" ht="12" hidden="1" customHeight="1" outlineLevel="1">
      <c r="A666" s="552" t="s">
        <v>1156</v>
      </c>
      <c r="B666" s="228"/>
      <c r="C666" s="228"/>
      <c r="D666" s="625"/>
      <c r="E666" s="626"/>
      <c r="F666" s="626"/>
      <c r="G666" s="626"/>
      <c r="H666" s="788"/>
      <c r="I666" s="626"/>
      <c r="J666" s="626"/>
      <c r="K666" s="626"/>
      <c r="L666" s="626"/>
      <c r="M666" s="788"/>
      <c r="N666" s="626"/>
      <c r="O666" s="626"/>
      <c r="P666" s="626"/>
      <c r="Q666" s="626"/>
      <c r="R666" s="788"/>
      <c r="S666" s="626"/>
      <c r="T666" s="626"/>
      <c r="U666" s="626"/>
      <c r="V666" s="626"/>
      <c r="W666" s="788"/>
      <c r="X666" s="626"/>
      <c r="Y666" s="626"/>
      <c r="Z666" s="626"/>
      <c r="AA666" s="626"/>
      <c r="AB666" s="788"/>
      <c r="AC666" s="626"/>
      <c r="AD666" s="626"/>
      <c r="AE666" s="626"/>
      <c r="AF666" s="626"/>
      <c r="AG666" s="788"/>
      <c r="AH666" s="626"/>
      <c r="AI666" s="626"/>
      <c r="AJ666" s="626"/>
      <c r="AK666" s="626"/>
      <c r="AL666" s="788"/>
      <c r="AM666" s="626"/>
      <c r="AN666" s="261"/>
      <c r="AO666" s="626"/>
      <c r="AP666" s="1634">
        <f>+AP669*1000000/AP665/12</f>
        <v>308.75643121529924</v>
      </c>
      <c r="AQ666" s="1439"/>
      <c r="AR666" s="2513">
        <f t="shared" ref="AR666:BM666" si="1361">+AR669*1000000/AR665/AR5</f>
        <v>330.80150192189052</v>
      </c>
      <c r="AS666" s="2513">
        <f t="shared" si="1361"/>
        <v>298.64307088962858</v>
      </c>
      <c r="AT666" s="2513">
        <f t="shared" si="1361"/>
        <v>303.24491591341899</v>
      </c>
      <c r="AU666" s="2513">
        <f t="shared" si="1361"/>
        <v>233.68474615241212</v>
      </c>
      <c r="AV666" s="1950">
        <f t="shared" si="1361"/>
        <v>287.58759595807373</v>
      </c>
      <c r="AW666" s="2513">
        <f t="shared" si="1361"/>
        <v>276.37201176532659</v>
      </c>
      <c r="AX666" s="2513">
        <f t="shared" si="1361"/>
        <v>260.62296014526788</v>
      </c>
      <c r="AY666" s="2513">
        <f t="shared" si="1361"/>
        <v>243.45200730831166</v>
      </c>
      <c r="AZ666" s="2513">
        <f t="shared" si="1361"/>
        <v>220.72012489402931</v>
      </c>
      <c r="BA666" s="1950">
        <f t="shared" si="1361"/>
        <v>249.96426967803691</v>
      </c>
      <c r="BB666" s="2513">
        <f t="shared" si="1361"/>
        <v>312.9687832613613</v>
      </c>
      <c r="BC666" s="2513">
        <f t="shared" si="1361"/>
        <v>301.70741083715791</v>
      </c>
      <c r="BD666" s="2513">
        <f t="shared" si="1361"/>
        <v>294.28874875948821</v>
      </c>
      <c r="BE666" s="2513">
        <f t="shared" si="1361"/>
        <v>296.67994266824019</v>
      </c>
      <c r="BF666" s="1950">
        <f t="shared" si="1361"/>
        <v>301.34708079741074</v>
      </c>
      <c r="BG666" s="2513">
        <f t="shared" si="1361"/>
        <v>323.34655658372748</v>
      </c>
      <c r="BH666" s="2513">
        <f t="shared" si="1361"/>
        <v>314.87909322016668</v>
      </c>
      <c r="BI666" s="2513">
        <f t="shared" si="1361"/>
        <v>301.07493442051339</v>
      </c>
      <c r="BJ666" s="2513">
        <f t="shared" si="1361"/>
        <v>299.83206159643805</v>
      </c>
      <c r="BK666" s="1950">
        <f t="shared" si="1361"/>
        <v>309.69488002501413</v>
      </c>
      <c r="BL666" s="2513">
        <f t="shared" si="1361"/>
        <v>323.65659001701567</v>
      </c>
      <c r="BM666" s="2513">
        <f t="shared" si="1361"/>
        <v>299.93225562839382</v>
      </c>
      <c r="BN666" s="2513"/>
      <c r="BO666" s="2134"/>
      <c r="BP666" s="1950"/>
      <c r="BQ666" s="1634"/>
      <c r="BR666" s="1634"/>
      <c r="BS666" s="1634"/>
      <c r="BT666" s="2134"/>
      <c r="BU666" s="3406"/>
      <c r="BV666" s="1634"/>
      <c r="BW666" s="1634"/>
      <c r="BX666" s="1634"/>
      <c r="BY666" s="2134"/>
      <c r="BZ666" s="1950"/>
      <c r="CA666" s="1950"/>
      <c r="CB666" s="1950"/>
      <c r="CC666" s="1950"/>
      <c r="CD666" s="1950"/>
      <c r="CE666" s="1950"/>
      <c r="CF666" s="1950"/>
      <c r="CG666" s="1950"/>
      <c r="CH666" s="626"/>
      <c r="CI666" s="626"/>
      <c r="CJ666" s="626"/>
      <c r="CK666" s="626"/>
      <c r="CL666" s="626"/>
      <c r="CM666" s="626"/>
      <c r="CN666" s="626"/>
      <c r="CO666" s="626"/>
      <c r="CP666" s="994"/>
      <c r="CQ666" s="626"/>
      <c r="CR666" s="626"/>
      <c r="CS666" s="626"/>
      <c r="CT666" s="626"/>
      <c r="CU666" s="626"/>
      <c r="CV666" s="626"/>
      <c r="CW666" s="626"/>
      <c r="CX666" s="626"/>
      <c r="CY666" s="626"/>
      <c r="CZ666" s="626"/>
      <c r="DA666" s="626"/>
      <c r="DB666" s="626"/>
      <c r="DC666" s="626"/>
      <c r="DD666" s="626"/>
      <c r="DE666" s="626"/>
      <c r="DF666" s="626"/>
      <c r="DG666" s="1893"/>
      <c r="DH666" s="632"/>
      <c r="DI666" s="595"/>
      <c r="DJ666" s="595"/>
      <c r="DK666" s="595"/>
      <c r="DL666" s="595"/>
      <c r="DM666" s="595"/>
      <c r="DN666" s="514"/>
      <c r="DO666" s="77"/>
      <c r="DY666" s="1634"/>
      <c r="DZ666" s="1634"/>
    </row>
    <row r="667" spans="1:130" ht="12" hidden="1" customHeight="1" outlineLevel="1">
      <c r="A667" s="567" t="s">
        <v>1153</v>
      </c>
      <c r="B667" s="228"/>
      <c r="C667" s="228"/>
      <c r="D667" s="625"/>
      <c r="E667" s="626"/>
      <c r="F667" s="626"/>
      <c r="G667" s="626"/>
      <c r="H667" s="788"/>
      <c r="I667" s="626"/>
      <c r="J667" s="626"/>
      <c r="K667" s="626"/>
      <c r="L667" s="626"/>
      <c r="M667" s="788"/>
      <c r="N667" s="626"/>
      <c r="O667" s="626"/>
      <c r="P667" s="626"/>
      <c r="Q667" s="626"/>
      <c r="R667" s="788"/>
      <c r="S667" s="626"/>
      <c r="T667" s="626"/>
      <c r="U667" s="626"/>
      <c r="V667" s="626"/>
      <c r="W667" s="788"/>
      <c r="X667" s="626"/>
      <c r="Y667" s="626"/>
      <c r="Z667" s="626"/>
      <c r="AA667" s="626"/>
      <c r="AB667" s="788"/>
      <c r="AC667" s="626"/>
      <c r="AD667" s="626"/>
      <c r="AE667" s="626"/>
      <c r="AF667" s="626"/>
      <c r="AG667" s="788"/>
      <c r="AH667" s="626"/>
      <c r="AI667" s="626"/>
      <c r="AJ667" s="626"/>
      <c r="AK667" s="626"/>
      <c r="AL667" s="788"/>
      <c r="AM667" s="626"/>
      <c r="AN667" s="261"/>
      <c r="AO667" s="626"/>
      <c r="AP667" s="1634"/>
      <c r="AQ667" s="1439"/>
      <c r="AR667" s="330"/>
      <c r="AS667" s="330"/>
      <c r="AT667" s="573"/>
      <c r="AU667" s="573">
        <f>+AU666/AP666-1</f>
        <v>-0.24314209348578331</v>
      </c>
      <c r="AV667" s="1951"/>
      <c r="AW667" s="573">
        <f t="shared" ref="AW667:BM667" si="1362">+AW666/AR666-1</f>
        <v>-0.16453821956774528</v>
      </c>
      <c r="AX667" s="573">
        <f t="shared" si="1362"/>
        <v>-0.12730953586534755</v>
      </c>
      <c r="AY667" s="573">
        <f t="shared" si="1362"/>
        <v>-0.19717695323927242</v>
      </c>
      <c r="AZ667" s="573">
        <f t="shared" si="1362"/>
        <v>-5.5479107951389883E-2</v>
      </c>
      <c r="BA667" s="1621">
        <f t="shared" si="1362"/>
        <v>-0.13082388395333222</v>
      </c>
      <c r="BB667" s="573">
        <f t="shared" si="1362"/>
        <v>0.13241851539985094</v>
      </c>
      <c r="BC667" s="573">
        <f t="shared" si="1362"/>
        <v>0.15763941392189729</v>
      </c>
      <c r="BD667" s="573">
        <f t="shared" si="1362"/>
        <v>0.20881627559059734</v>
      </c>
      <c r="BE667" s="573">
        <f t="shared" si="1362"/>
        <v>0.34414540953472272</v>
      </c>
      <c r="BF667" s="1621">
        <f>+BF666/BA666-1</f>
        <v>0.20556062346653281</v>
      </c>
      <c r="BG667" s="573">
        <f t="shared" si="1362"/>
        <v>3.315913240362911E-2</v>
      </c>
      <c r="BH667" s="573">
        <f t="shared" si="1362"/>
        <v>4.3657139035666592E-2</v>
      </c>
      <c r="BI667" s="573">
        <f t="shared" si="1362"/>
        <v>2.3059616412896888E-2</v>
      </c>
      <c r="BJ667" s="573">
        <f t="shared" si="1362"/>
        <v>1.0624644523821836E-2</v>
      </c>
      <c r="BK667" s="562">
        <f>+BK666/BF666-1</f>
        <v>2.7701609736898059E-2</v>
      </c>
      <c r="BL667" s="573">
        <f t="shared" si="1362"/>
        <v>9.5882707570416059E-4</v>
      </c>
      <c r="BM667" s="573">
        <f t="shared" si="1362"/>
        <v>-4.7468497952393052E-2</v>
      </c>
      <c r="BN667" s="573"/>
      <c r="BO667" s="548"/>
      <c r="BP667" s="562"/>
      <c r="BQ667" s="548"/>
      <c r="BR667" s="548"/>
      <c r="BS667" s="548"/>
      <c r="BT667" s="548"/>
      <c r="BU667" s="3371"/>
      <c r="BV667" s="548"/>
      <c r="BW667" s="548"/>
      <c r="BX667" s="548"/>
      <c r="BY667" s="548"/>
      <c r="BZ667" s="458"/>
      <c r="CA667" s="458"/>
      <c r="CB667" s="458"/>
      <c r="CC667" s="458"/>
      <c r="CD667" s="458"/>
      <c r="CE667" s="458"/>
      <c r="CF667" s="458"/>
      <c r="CG667" s="458"/>
      <c r="CH667" s="626"/>
      <c r="CI667" s="626"/>
      <c r="CJ667" s="626"/>
      <c r="CK667" s="626"/>
      <c r="CL667" s="626"/>
      <c r="CM667" s="626"/>
      <c r="CN667" s="626"/>
      <c r="CO667" s="626"/>
      <c r="CP667" s="994"/>
      <c r="CQ667" s="626"/>
      <c r="CR667" s="626"/>
      <c r="CS667" s="626"/>
      <c r="CT667" s="626"/>
      <c r="CU667" s="626"/>
      <c r="CV667" s="626"/>
      <c r="CW667" s="626"/>
      <c r="CX667" s="626"/>
      <c r="CY667" s="626"/>
      <c r="CZ667" s="626"/>
      <c r="DA667" s="626"/>
      <c r="DB667" s="626"/>
      <c r="DC667" s="626"/>
      <c r="DD667" s="626"/>
      <c r="DE667" s="626"/>
      <c r="DF667" s="626"/>
      <c r="DG667" s="1893"/>
      <c r="DH667" s="632"/>
      <c r="DI667" s="595"/>
      <c r="DJ667" s="595"/>
      <c r="DK667" s="595"/>
      <c r="DL667" s="595"/>
      <c r="DM667" s="595"/>
      <c r="DN667" s="514"/>
      <c r="DO667" s="77"/>
      <c r="DY667" s="561"/>
      <c r="DZ667" s="561"/>
    </row>
    <row r="668" spans="1:130" ht="12" hidden="1" customHeight="1" outlineLevel="1">
      <c r="A668" s="552"/>
      <c r="B668" s="228"/>
      <c r="C668" s="228"/>
      <c r="D668" s="625"/>
      <c r="E668" s="626"/>
      <c r="F668" s="626"/>
      <c r="G668" s="626"/>
      <c r="H668" s="788"/>
      <c r="I668" s="626"/>
      <c r="J668" s="626"/>
      <c r="K668" s="626"/>
      <c r="L668" s="626"/>
      <c r="M668" s="788"/>
      <c r="N668" s="626"/>
      <c r="O668" s="626"/>
      <c r="P668" s="626"/>
      <c r="Q668" s="626"/>
      <c r="R668" s="788"/>
      <c r="S668" s="626"/>
      <c r="T668" s="626"/>
      <c r="U668" s="626"/>
      <c r="V668" s="626"/>
      <c r="W668" s="788"/>
      <c r="X668" s="626"/>
      <c r="Y668" s="626"/>
      <c r="Z668" s="626"/>
      <c r="AA668" s="626"/>
      <c r="AB668" s="788"/>
      <c r="AC668" s="626"/>
      <c r="AD668" s="626"/>
      <c r="AE668" s="626"/>
      <c r="AF668" s="626"/>
      <c r="AG668" s="788"/>
      <c r="AH668" s="626"/>
      <c r="AI668" s="626"/>
      <c r="AJ668" s="626"/>
      <c r="AK668" s="626"/>
      <c r="AL668" s="788"/>
      <c r="AM668" s="626"/>
      <c r="AN668" s="261"/>
      <c r="AO668" s="626"/>
      <c r="AP668" s="330"/>
      <c r="AQ668" s="1439"/>
      <c r="AR668" s="330"/>
      <c r="AS668" s="330"/>
      <c r="AT668" s="330"/>
      <c r="AU668" s="626"/>
      <c r="AV668" s="1951"/>
      <c r="AW668" s="626"/>
      <c r="AX668" s="261"/>
      <c r="AY668" s="626"/>
      <c r="AZ668" s="626"/>
      <c r="BA668" s="1951"/>
      <c r="BB668" s="626"/>
      <c r="BC668" s="261"/>
      <c r="BD668" s="626"/>
      <c r="BE668" s="626"/>
      <c r="BF668" s="1951"/>
      <c r="BG668" s="2892"/>
      <c r="BH668" s="1977"/>
      <c r="BI668" s="1977"/>
      <c r="BJ668" s="2893"/>
      <c r="BK668" s="1439"/>
      <c r="BL668" s="1977"/>
      <c r="BM668" s="1977"/>
      <c r="BN668" s="1977"/>
      <c r="BO668" s="2893"/>
      <c r="BP668" s="1439"/>
      <c r="BQ668" s="1977"/>
      <c r="BR668" s="1977"/>
      <c r="BS668" s="1977"/>
      <c r="BT668" s="2893"/>
      <c r="BU668" s="3406"/>
      <c r="BV668" s="1977"/>
      <c r="BW668" s="1977"/>
      <c r="BX668" s="1977"/>
      <c r="BY668" s="2893"/>
      <c r="BZ668" s="1439"/>
      <c r="CA668" s="1439"/>
      <c r="CB668" s="1439"/>
      <c r="CC668" s="1439"/>
      <c r="CD668" s="1439"/>
      <c r="CE668" s="1439"/>
      <c r="CF668" s="1439"/>
      <c r="CG668" s="1439"/>
      <c r="CH668" s="626"/>
      <c r="CI668" s="626"/>
      <c r="CJ668" s="626"/>
      <c r="CK668" s="626"/>
      <c r="CL668" s="626"/>
      <c r="CM668" s="626"/>
      <c r="CN668" s="626"/>
      <c r="CO668" s="626"/>
      <c r="CP668" s="994"/>
      <c r="CQ668" s="626"/>
      <c r="CR668" s="626"/>
      <c r="CS668" s="626"/>
      <c r="CT668" s="626"/>
      <c r="CU668" s="626"/>
      <c r="CV668" s="626"/>
      <c r="CW668" s="626"/>
      <c r="CX668" s="626"/>
      <c r="CY668" s="626"/>
      <c r="CZ668" s="626"/>
      <c r="DA668" s="626"/>
      <c r="DB668" s="626"/>
      <c r="DC668" s="626"/>
      <c r="DD668" s="626"/>
      <c r="DE668" s="626"/>
      <c r="DF668" s="626"/>
      <c r="DG668" s="1893"/>
      <c r="DH668" s="632"/>
      <c r="DI668" s="595"/>
      <c r="DJ668" s="595"/>
      <c r="DK668" s="595"/>
      <c r="DL668" s="595"/>
      <c r="DM668" s="595"/>
      <c r="DN668" s="514"/>
      <c r="DO668" s="77"/>
      <c r="DY668" s="330"/>
      <c r="DZ668" s="330"/>
    </row>
    <row r="669" spans="1:130" ht="12" hidden="1" customHeight="1" outlineLevel="1">
      <c r="A669" s="552" t="s">
        <v>1661</v>
      </c>
      <c r="B669" s="228"/>
      <c r="C669" s="228"/>
      <c r="D669" s="625"/>
      <c r="E669" s="626"/>
      <c r="F669" s="626"/>
      <c r="G669" s="626"/>
      <c r="H669" s="788"/>
      <c r="I669" s="626"/>
      <c r="J669" s="626"/>
      <c r="K669" s="626"/>
      <c r="L669" s="626"/>
      <c r="M669" s="788"/>
      <c r="N669" s="626"/>
      <c r="O669" s="626"/>
      <c r="P669" s="626"/>
      <c r="Q669" s="626"/>
      <c r="R669" s="788"/>
      <c r="S669" s="626"/>
      <c r="T669" s="626"/>
      <c r="U669" s="626"/>
      <c r="V669" s="626"/>
      <c r="W669" s="788"/>
      <c r="X669" s="626"/>
      <c r="Y669" s="626"/>
      <c r="Z669" s="626"/>
      <c r="AA669" s="626"/>
      <c r="AB669" s="788"/>
      <c r="AC669" s="626"/>
      <c r="AD669" s="626"/>
      <c r="AE669" s="626"/>
      <c r="AF669" s="626"/>
      <c r="AG669" s="788"/>
      <c r="AH669" s="626"/>
      <c r="AI669" s="626"/>
      <c r="AJ669" s="626"/>
      <c r="AK669" s="626"/>
      <c r="AL669" s="788"/>
      <c r="AM669" s="330"/>
      <c r="AN669" s="330"/>
      <c r="AO669" s="330"/>
      <c r="AP669" s="330">
        <v>6.0059301000000005</v>
      </c>
      <c r="AQ669" s="1950">
        <f>+SUM(AM669:AP669)</f>
        <v>6.0059301000000005</v>
      </c>
      <c r="AR669" s="330">
        <v>48.796860349999996</v>
      </c>
      <c r="AS669" s="330">
        <v>44.05313803</v>
      </c>
      <c r="AT669" s="330">
        <v>45.223520800000003</v>
      </c>
      <c r="AU669" s="330">
        <v>45.126393960000001</v>
      </c>
      <c r="AV669" s="1950">
        <f>+SUM(AR669:AU669)</f>
        <v>183.19991314000001</v>
      </c>
      <c r="AW669" s="330">
        <v>52.383551109999999</v>
      </c>
      <c r="AX669" s="330">
        <v>49.947347819999997</v>
      </c>
      <c r="AY669" s="330">
        <v>47.169313320000001</v>
      </c>
      <c r="AZ669" s="330">
        <v>43.739665710000004</v>
      </c>
      <c r="BA669" s="1950">
        <f>+SUM(AW669:AZ669)</f>
        <v>193.23987796</v>
      </c>
      <c r="BB669" s="330">
        <v>45.659015789999998</v>
      </c>
      <c r="BC669" s="330">
        <v>44.505161880000003</v>
      </c>
      <c r="BD669" s="330">
        <v>43.887869680000001</v>
      </c>
      <c r="BE669" s="330">
        <v>44.244473209999995</v>
      </c>
      <c r="BF669" s="1950">
        <f>+SUM(BB669:BE669)</f>
        <v>178.29652056</v>
      </c>
      <c r="BG669" s="330">
        <v>47.173029139999997</v>
      </c>
      <c r="BH669" s="330">
        <v>46.448129920000007</v>
      </c>
      <c r="BI669" s="330">
        <v>44.899907120000002</v>
      </c>
      <c r="BJ669" s="330">
        <v>44.714555009999998</v>
      </c>
      <c r="BK669" s="1950">
        <f>+SUM(BG669:BJ669)</f>
        <v>183.23562118999999</v>
      </c>
      <c r="BL669" s="3117">
        <v>47.742907250000002</v>
      </c>
      <c r="BM669" s="3117">
        <v>44.243306959999998</v>
      </c>
      <c r="BN669" s="3117"/>
      <c r="BO669" s="1893"/>
      <c r="BP669" s="1950"/>
      <c r="BQ669" s="626"/>
      <c r="BR669" s="626"/>
      <c r="BS669" s="626"/>
      <c r="BT669" s="1893"/>
      <c r="BU669" s="3406"/>
      <c r="BV669" s="626"/>
      <c r="BW669" s="626"/>
      <c r="BX669" s="626"/>
      <c r="BY669" s="1893"/>
      <c r="BZ669" s="1950"/>
      <c r="CA669" s="1950"/>
      <c r="CB669" s="1950"/>
      <c r="CC669" s="1950"/>
      <c r="CD669" s="1950"/>
      <c r="CE669" s="1950"/>
      <c r="CF669" s="1950"/>
      <c r="CG669" s="1950"/>
      <c r="CH669" s="626"/>
      <c r="CI669" s="626"/>
      <c r="CJ669" s="626"/>
      <c r="CK669" s="626"/>
      <c r="CL669" s="626"/>
      <c r="CM669" s="626"/>
      <c r="CN669" s="626"/>
      <c r="CO669" s="626"/>
      <c r="CP669" s="994"/>
      <c r="CQ669" s="626"/>
      <c r="CR669" s="626"/>
      <c r="CS669" s="626"/>
      <c r="CT669" s="626"/>
      <c r="CU669" s="626"/>
      <c r="CV669" s="626"/>
      <c r="CW669" s="626"/>
      <c r="CX669" s="626"/>
      <c r="CY669" s="626"/>
      <c r="CZ669" s="626"/>
      <c r="DA669" s="626"/>
      <c r="DB669" s="626"/>
      <c r="DC669" s="626"/>
      <c r="DD669" s="626"/>
      <c r="DE669" s="626"/>
      <c r="DF669" s="626"/>
      <c r="DG669" s="1893"/>
      <c r="DH669" s="632"/>
      <c r="DI669" s="595"/>
      <c r="DJ669" s="595"/>
      <c r="DK669" s="595"/>
      <c r="DL669" s="595"/>
      <c r="DM669" s="595"/>
      <c r="DN669" s="514"/>
      <c r="DO669" s="77"/>
      <c r="DY669" s="1634"/>
      <c r="DZ669" s="1634"/>
    </row>
    <row r="670" spans="1:130" ht="12" hidden="1" customHeight="1" outlineLevel="1">
      <c r="A670" s="552" t="s">
        <v>1662</v>
      </c>
      <c r="B670" s="228"/>
      <c r="C670" s="228"/>
      <c r="D670" s="625"/>
      <c r="E670" s="626"/>
      <c r="F670" s="626"/>
      <c r="G670" s="626"/>
      <c r="H670" s="788"/>
      <c r="I670" s="626"/>
      <c r="J670" s="626"/>
      <c r="K670" s="626"/>
      <c r="L670" s="626"/>
      <c r="M670" s="788"/>
      <c r="N670" s="626"/>
      <c r="O670" s="626"/>
      <c r="P670" s="626"/>
      <c r="Q670" s="626"/>
      <c r="R670" s="788"/>
      <c r="S670" s="626"/>
      <c r="T670" s="626"/>
      <c r="U670" s="626"/>
      <c r="V670" s="626"/>
      <c r="W670" s="788"/>
      <c r="X670" s="626"/>
      <c r="Y670" s="626"/>
      <c r="Z670" s="626"/>
      <c r="AA670" s="626"/>
      <c r="AB670" s="788"/>
      <c r="AC670" s="626"/>
      <c r="AD670" s="626"/>
      <c r="AE670" s="626"/>
      <c r="AF670" s="626"/>
      <c r="AG670" s="788"/>
      <c r="AH670" s="626"/>
      <c r="AI670" s="626"/>
      <c r="AJ670" s="626"/>
      <c r="AK670" s="626"/>
      <c r="AL670" s="788"/>
      <c r="AM670" s="626"/>
      <c r="AN670" s="626"/>
      <c r="AO670" s="626"/>
      <c r="AP670" s="626">
        <f>+AP672-AP669</f>
        <v>1.406989999999908E-2</v>
      </c>
      <c r="AQ670" s="1950">
        <f>+SUM(AM670:AP670)</f>
        <v>1.406989999999908E-2</v>
      </c>
      <c r="AR670" s="1976">
        <f>+AR672-AR669</f>
        <v>1.4671396500000071</v>
      </c>
      <c r="AS670" s="1976">
        <f>+AS672-AS669</f>
        <v>1.2228619700000039</v>
      </c>
      <c r="AT670" s="1976">
        <f>+AT672-AT669</f>
        <v>1.1464791999999946</v>
      </c>
      <c r="AU670" s="330">
        <f>+AT670</f>
        <v>1.1464791999999946</v>
      </c>
      <c r="AV670" s="1950">
        <f>+SUM(AR670:AU670)</f>
        <v>4.9829600200000002</v>
      </c>
      <c r="AW670" s="330">
        <v>2</v>
      </c>
      <c r="AX670" s="330">
        <v>1.8</v>
      </c>
      <c r="AY670" s="330">
        <v>3.5</v>
      </c>
      <c r="AZ670" s="330">
        <v>3.5</v>
      </c>
      <c r="BA670" s="1950">
        <f>+SUM(AW670:AZ670)</f>
        <v>10.8</v>
      </c>
      <c r="BB670" s="330">
        <f>+AZ670*1.03</f>
        <v>3.605</v>
      </c>
      <c r="BC670" s="330">
        <f>+BB670*1.03</f>
        <v>3.7131500000000002</v>
      </c>
      <c r="BD670" s="330">
        <f>+BC670*1.03</f>
        <v>3.8245445000000005</v>
      </c>
      <c r="BE670" s="330">
        <f>+BD670*1.03</f>
        <v>3.9392808350000004</v>
      </c>
      <c r="BF670" s="1950">
        <f>+SUM(BB670:BE670)</f>
        <v>15.081975335000001</v>
      </c>
      <c r="BG670" s="678">
        <f>+BB670</f>
        <v>3.605</v>
      </c>
      <c r="BH670" s="330">
        <f>+BC670</f>
        <v>3.7131500000000002</v>
      </c>
      <c r="BI670" s="330">
        <f>+BD670</f>
        <v>3.8245445000000005</v>
      </c>
      <c r="BJ670" s="2136">
        <f>+BE670</f>
        <v>3.9392808350000004</v>
      </c>
      <c r="BK670" s="1950">
        <f>+SUM(BG670:BJ670)</f>
        <v>15.081975335000001</v>
      </c>
      <c r="BL670" s="330">
        <f>+BG670</f>
        <v>3.605</v>
      </c>
      <c r="BM670" s="330">
        <f>+BH670</f>
        <v>3.7131500000000002</v>
      </c>
      <c r="BN670" s="330"/>
      <c r="BO670" s="2136"/>
      <c r="BP670" s="1950"/>
      <c r="BQ670" s="330"/>
      <c r="BR670" s="330"/>
      <c r="BS670" s="330"/>
      <c r="BT670" s="2136"/>
      <c r="BU670" s="3406"/>
      <c r="BV670" s="330"/>
      <c r="BW670" s="330"/>
      <c r="BX670" s="330"/>
      <c r="BY670" s="2136"/>
      <c r="BZ670" s="2057"/>
      <c r="CA670" s="2057"/>
      <c r="CB670" s="2057"/>
      <c r="CC670" s="2057"/>
      <c r="CD670" s="2057"/>
      <c r="CE670" s="2057"/>
      <c r="CF670" s="2057"/>
      <c r="CG670" s="2057"/>
      <c r="CH670" s="626"/>
      <c r="CI670" s="626"/>
      <c r="CJ670" s="626"/>
      <c r="CK670" s="626"/>
      <c r="CL670" s="626"/>
      <c r="CM670" s="626"/>
      <c r="CN670" s="626"/>
      <c r="CO670" s="626"/>
      <c r="CP670" s="994"/>
      <c r="CQ670" s="626"/>
      <c r="CR670" s="626"/>
      <c r="CS670" s="626"/>
      <c r="CT670" s="626"/>
      <c r="CU670" s="626"/>
      <c r="CV670" s="626"/>
      <c r="CW670" s="626"/>
      <c r="CX670" s="626"/>
      <c r="CY670" s="626"/>
      <c r="CZ670" s="626"/>
      <c r="DA670" s="626"/>
      <c r="DB670" s="626"/>
      <c r="DC670" s="626"/>
      <c r="DD670" s="626"/>
      <c r="DE670" s="626"/>
      <c r="DF670" s="626"/>
      <c r="DG670" s="1893"/>
      <c r="DH670" s="632"/>
      <c r="DI670" s="595"/>
      <c r="DJ670" s="595"/>
      <c r="DK670" s="595"/>
      <c r="DL670" s="595"/>
      <c r="DM670" s="595"/>
      <c r="DN670" s="514"/>
      <c r="DO670" s="77"/>
      <c r="DY670" s="1634"/>
      <c r="DZ670" s="1634"/>
    </row>
    <row r="671" spans="1:130" ht="4.5" hidden="1" customHeight="1" outlineLevel="1">
      <c r="A671" s="962"/>
      <c r="B671" s="293"/>
      <c r="C671" s="293"/>
      <c r="D671" s="294" t="s">
        <v>343</v>
      </c>
      <c r="E671" s="295" t="s">
        <v>343</v>
      </c>
      <c r="F671" s="295" t="s">
        <v>343</v>
      </c>
      <c r="G671" s="295" t="s">
        <v>343</v>
      </c>
      <c r="H671" s="296" t="s">
        <v>343</v>
      </c>
      <c r="I671" s="295" t="s">
        <v>343</v>
      </c>
      <c r="J671" s="295" t="s">
        <v>343</v>
      </c>
      <c r="K671" s="295" t="s">
        <v>343</v>
      </c>
      <c r="L671" s="295" t="s">
        <v>343</v>
      </c>
      <c r="M671" s="296" t="s">
        <v>343</v>
      </c>
      <c r="N671" s="295" t="s">
        <v>343</v>
      </c>
      <c r="O671" s="295" t="s">
        <v>343</v>
      </c>
      <c r="P671" s="295" t="s">
        <v>343</v>
      </c>
      <c r="Q671" s="295" t="s">
        <v>343</v>
      </c>
      <c r="R671" s="296" t="s">
        <v>343</v>
      </c>
      <c r="S671" s="295" t="s">
        <v>343</v>
      </c>
      <c r="T671" s="295" t="s">
        <v>343</v>
      </c>
      <c r="U671" s="295" t="s">
        <v>343</v>
      </c>
      <c r="V671" s="295" t="s">
        <v>343</v>
      </c>
      <c r="W671" s="296" t="s">
        <v>343</v>
      </c>
      <c r="X671" s="295" t="s">
        <v>343</v>
      </c>
      <c r="Y671" s="295" t="s">
        <v>343</v>
      </c>
      <c r="Z671" s="295" t="s">
        <v>343</v>
      </c>
      <c r="AA671" s="295" t="s">
        <v>343</v>
      </c>
      <c r="AB671" s="296" t="s">
        <v>343</v>
      </c>
      <c r="AC671" s="295" t="s">
        <v>343</v>
      </c>
      <c r="AD671" s="295" t="s">
        <v>343</v>
      </c>
      <c r="AE671" s="295" t="s">
        <v>343</v>
      </c>
      <c r="AF671" s="295" t="s">
        <v>343</v>
      </c>
      <c r="AG671" s="296" t="s">
        <v>343</v>
      </c>
      <c r="AH671" s="295" t="s">
        <v>343</v>
      </c>
      <c r="AI671" s="295" t="s">
        <v>343</v>
      </c>
      <c r="AJ671" s="295" t="s">
        <v>343</v>
      </c>
      <c r="AK671" s="295" t="s">
        <v>343</v>
      </c>
      <c r="AL671" s="296" t="s">
        <v>343</v>
      </c>
      <c r="AM671" s="295" t="s">
        <v>343</v>
      </c>
      <c r="AN671" s="295" t="s">
        <v>343</v>
      </c>
      <c r="AO671" s="295" t="s">
        <v>343</v>
      </c>
      <c r="AP671" s="295" t="s">
        <v>343</v>
      </c>
      <c r="AQ671" s="296" t="s">
        <v>343</v>
      </c>
      <c r="AR671" s="295" t="s">
        <v>343</v>
      </c>
      <c r="AS671" s="295" t="s">
        <v>343</v>
      </c>
      <c r="AT671" s="295" t="s">
        <v>343</v>
      </c>
      <c r="AU671" s="295" t="s">
        <v>343</v>
      </c>
      <c r="AV671" s="296" t="s">
        <v>343</v>
      </c>
      <c r="AW671" s="295" t="s">
        <v>343</v>
      </c>
      <c r="AX671" s="295" t="s">
        <v>343</v>
      </c>
      <c r="AY671" s="295" t="s">
        <v>343</v>
      </c>
      <c r="AZ671" s="295" t="s">
        <v>343</v>
      </c>
      <c r="BA671" s="296" t="s">
        <v>343</v>
      </c>
      <c r="BB671" s="295" t="s">
        <v>343</v>
      </c>
      <c r="BC671" s="295" t="s">
        <v>343</v>
      </c>
      <c r="BD671" s="295" t="s">
        <v>343</v>
      </c>
      <c r="BE671" s="295" t="s">
        <v>343</v>
      </c>
      <c r="BF671" s="296" t="s">
        <v>343</v>
      </c>
      <c r="BG671" s="294" t="s">
        <v>343</v>
      </c>
      <c r="BH671" s="295" t="s">
        <v>343</v>
      </c>
      <c r="BI671" s="295" t="s">
        <v>343</v>
      </c>
      <c r="BJ671" s="297" t="s">
        <v>343</v>
      </c>
      <c r="BK671" s="296" t="s">
        <v>343</v>
      </c>
      <c r="BL671" s="295" t="s">
        <v>343</v>
      </c>
      <c r="BM671" s="295" t="s">
        <v>343</v>
      </c>
      <c r="BN671" s="295"/>
      <c r="BO671" s="297"/>
      <c r="BP671" s="2105"/>
      <c r="BQ671" s="295"/>
      <c r="BR671" s="295"/>
      <c r="BS671" s="295"/>
      <c r="BT671" s="297"/>
      <c r="BU671" s="3408"/>
      <c r="BV671" s="295"/>
      <c r="BW671" s="295"/>
      <c r="BX671" s="295"/>
      <c r="BY671" s="297"/>
      <c r="BZ671" s="2156"/>
      <c r="CA671" s="2156"/>
      <c r="CB671" s="2156"/>
      <c r="CC671" s="2156"/>
      <c r="CD671" s="2156"/>
      <c r="CE671" s="2156"/>
      <c r="CF671" s="2156"/>
      <c r="CG671" s="2156"/>
      <c r="CH671" s="295"/>
      <c r="CI671" s="295"/>
      <c r="CJ671" s="295"/>
      <c r="CK671" s="295"/>
      <c r="CL671" s="295"/>
      <c r="CM671" s="295"/>
      <c r="CN671" s="295"/>
      <c r="CO671" s="295"/>
      <c r="CP671" s="1784"/>
      <c r="CQ671" s="295" t="str">
        <f>H671</f>
        <v xml:space="preserve">                </v>
      </c>
      <c r="CR671" s="295" t="str">
        <f>M671</f>
        <v xml:space="preserve">                </v>
      </c>
      <c r="CS671" s="295" t="str">
        <f>R671</f>
        <v xml:space="preserve">                </v>
      </c>
      <c r="CT671" s="295" t="str">
        <f>W671</f>
        <v xml:space="preserve">                </v>
      </c>
      <c r="CU671" s="295" t="str">
        <f>AB671</f>
        <v xml:space="preserve">                </v>
      </c>
      <c r="CV671" s="295" t="str">
        <f>AG671</f>
        <v xml:space="preserve">                </v>
      </c>
      <c r="CW671" s="295" t="str">
        <f>AL671</f>
        <v xml:space="preserve">                </v>
      </c>
      <c r="CX671" s="295" t="str">
        <f>AQ671</f>
        <v xml:space="preserve">                </v>
      </c>
      <c r="CY671" s="295" t="str">
        <f>AV671</f>
        <v xml:space="preserve">                </v>
      </c>
      <c r="CZ671" s="295" t="str">
        <f>BA671</f>
        <v xml:space="preserve">                </v>
      </c>
      <c r="DA671" s="295" t="str">
        <f>BF671</f>
        <v xml:space="preserve">                </v>
      </c>
      <c r="DB671" s="295" t="str">
        <f>BK671</f>
        <v xml:space="preserve">                </v>
      </c>
      <c r="DC671" s="295">
        <f>BP671</f>
        <v>0</v>
      </c>
      <c r="DD671" s="295">
        <f>BU671</f>
        <v>0</v>
      </c>
      <c r="DE671" s="295">
        <f>BZ671</f>
        <v>0</v>
      </c>
      <c r="DF671" s="295">
        <f>CA671</f>
        <v>0</v>
      </c>
      <c r="DG671" s="297">
        <f>CB671</f>
        <v>0</v>
      </c>
      <c r="DH671" s="298"/>
      <c r="DI671" s="299"/>
      <c r="DJ671" s="299"/>
      <c r="DK671" s="299"/>
      <c r="DL671" s="299"/>
      <c r="DM671" s="299"/>
      <c r="DN671" s="299"/>
      <c r="DO671" s="300"/>
      <c r="DY671" s="2155"/>
      <c r="DZ671" s="2155"/>
    </row>
    <row r="672" spans="1:130" ht="12" hidden="1" customHeight="1" outlineLevel="1">
      <c r="A672" s="228" t="s">
        <v>741</v>
      </c>
      <c r="B672" s="228"/>
      <c r="C672" s="228"/>
      <c r="D672" s="625"/>
      <c r="E672" s="626"/>
      <c r="F672" s="626"/>
      <c r="G672" s="626"/>
      <c r="H672" s="788"/>
      <c r="I672" s="626"/>
      <c r="J672" s="626"/>
      <c r="K672" s="626"/>
      <c r="L672" s="626"/>
      <c r="M672" s="788"/>
      <c r="N672" s="626"/>
      <c r="O672" s="626"/>
      <c r="P672" s="626"/>
      <c r="Q672" s="626"/>
      <c r="R672" s="788"/>
      <c r="S672" s="626"/>
      <c r="T672" s="626"/>
      <c r="U672" s="626"/>
      <c r="V672" s="626"/>
      <c r="W672" s="788"/>
      <c r="X672" s="626"/>
      <c r="Y672" s="626"/>
      <c r="Z672" s="626"/>
      <c r="AA672" s="626"/>
      <c r="AB672" s="788"/>
      <c r="AC672" s="626"/>
      <c r="AD672" s="626"/>
      <c r="AE672" s="626"/>
      <c r="AF672" s="626"/>
      <c r="AG672" s="788"/>
      <c r="AH672" s="626"/>
      <c r="AI672" s="626"/>
      <c r="AJ672" s="626"/>
      <c r="AK672" s="626"/>
      <c r="AL672" s="788"/>
      <c r="AM672" s="826"/>
      <c r="AN672" s="554"/>
      <c r="AO672" s="554"/>
      <c r="AP672" s="554">
        <v>6.02</v>
      </c>
      <c r="AQ672" s="556">
        <f>+SUM(AM672:AP672)</f>
        <v>6.02</v>
      </c>
      <c r="AR672" s="554">
        <v>50.264000000000003</v>
      </c>
      <c r="AS672" s="554">
        <v>45.276000000000003</v>
      </c>
      <c r="AT672" s="554">
        <v>46.37</v>
      </c>
      <c r="AU672" s="1978">
        <f>+AU670+AU669</f>
        <v>46.272873159999996</v>
      </c>
      <c r="AV672" s="556">
        <f>+SUM(AR672:AU672)</f>
        <v>188.18287315999999</v>
      </c>
      <c r="AW672" s="557">
        <f>+AW669+AW670</f>
        <v>54.383551109999999</v>
      </c>
      <c r="AX672" s="557">
        <f>+AX669+AX670</f>
        <v>51.747347819999995</v>
      </c>
      <c r="AY672" s="557">
        <f>+AY669+AY670</f>
        <v>50.669313320000001</v>
      </c>
      <c r="AZ672" s="557">
        <f>+AZ669+AZ670</f>
        <v>47.239665710000004</v>
      </c>
      <c r="BA672" s="556">
        <f>+SUM(AW672:AZ672)</f>
        <v>204.03987796000001</v>
      </c>
      <c r="BB672" s="557">
        <f>+BB669+BB670</f>
        <v>49.264015789999995</v>
      </c>
      <c r="BC672" s="557">
        <f>+BC669+BC670</f>
        <v>48.218311880000002</v>
      </c>
      <c r="BD672" s="557">
        <f>+BD669+BD670</f>
        <v>47.712414180000003</v>
      </c>
      <c r="BE672" s="557">
        <f>+BE669+BE670</f>
        <v>48.183754044999993</v>
      </c>
      <c r="BF672" s="556">
        <f>+SUM(BB672:BE672)</f>
        <v>193.37849589499999</v>
      </c>
      <c r="BG672" s="661">
        <f>+BG669+BG670</f>
        <v>50.778029139999994</v>
      </c>
      <c r="BH672" s="557">
        <f>+BH669+BH670</f>
        <v>50.161279920000005</v>
      </c>
      <c r="BI672" s="557">
        <f>+BI669+BI670</f>
        <v>48.724451620000004</v>
      </c>
      <c r="BJ672" s="1848">
        <f>+BJ669+BJ670</f>
        <v>48.653835844999996</v>
      </c>
      <c r="BK672" s="556">
        <f>+SUM(BG672:BJ672)</f>
        <v>198.317596525</v>
      </c>
      <c r="BL672" s="557">
        <f>+BL669+BL670</f>
        <v>51.347907249999999</v>
      </c>
      <c r="BM672" s="557">
        <f>+BM669+BM670</f>
        <v>47.956456959999997</v>
      </c>
      <c r="BN672" s="557"/>
      <c r="BO672" s="1848"/>
      <c r="BP672" s="556"/>
      <c r="BQ672" s="557"/>
      <c r="BR672" s="557"/>
      <c r="BS672" s="557"/>
      <c r="BT672" s="1848"/>
      <c r="BU672" s="3372"/>
      <c r="BV672" s="557"/>
      <c r="BW672" s="557"/>
      <c r="BX672" s="557"/>
      <c r="BY672" s="1848"/>
      <c r="BZ672" s="556"/>
      <c r="CA672" s="556"/>
      <c r="CB672" s="556"/>
      <c r="CC672" s="556"/>
      <c r="CD672" s="556"/>
      <c r="CE672" s="556"/>
      <c r="CF672" s="556"/>
      <c r="CG672" s="556"/>
      <c r="CH672" s="626"/>
      <c r="CI672" s="626"/>
      <c r="CJ672" s="626"/>
      <c r="CK672" s="626"/>
      <c r="CL672" s="626"/>
      <c r="CM672" s="626"/>
      <c r="CN672" s="626"/>
      <c r="CO672" s="626"/>
      <c r="CP672" s="994"/>
      <c r="CQ672" s="626"/>
      <c r="CR672" s="626"/>
      <c r="CS672" s="626"/>
      <c r="CT672" s="626"/>
      <c r="CU672" s="626"/>
      <c r="CV672" s="626"/>
      <c r="CW672" s="626"/>
      <c r="CX672" s="626"/>
      <c r="CY672" s="626"/>
      <c r="CZ672" s="626"/>
      <c r="DA672" s="626"/>
      <c r="DB672" s="626"/>
      <c r="DC672" s="626"/>
      <c r="DD672" s="626"/>
      <c r="DE672" s="626"/>
      <c r="DF672" s="626"/>
      <c r="DG672" s="1893"/>
      <c r="DH672" s="632"/>
      <c r="DI672" s="595"/>
      <c r="DJ672" s="595"/>
      <c r="DK672" s="595"/>
      <c r="DL672" s="595"/>
      <c r="DM672" s="595"/>
      <c r="DN672" s="514"/>
      <c r="DO672" s="77"/>
      <c r="DY672" s="557"/>
      <c r="DZ672" s="557"/>
    </row>
    <row r="673" spans="1:132" ht="12" hidden="1" customHeight="1" outlineLevel="1">
      <c r="A673" s="567" t="s">
        <v>8</v>
      </c>
      <c r="B673" s="746"/>
      <c r="C673" s="746"/>
      <c r="D673" s="591"/>
      <c r="E673" s="592"/>
      <c r="F673" s="592"/>
      <c r="G673" s="592"/>
      <c r="H673" s="779"/>
      <c r="I673" s="592"/>
      <c r="J673" s="592"/>
      <c r="K673" s="592"/>
      <c r="L673" s="592"/>
      <c r="M673" s="779"/>
      <c r="N673" s="592"/>
      <c r="O673" s="592"/>
      <c r="P673" s="592"/>
      <c r="Q673" s="592"/>
      <c r="R673" s="779"/>
      <c r="S673" s="592"/>
      <c r="T673" s="592"/>
      <c r="U673" s="592"/>
      <c r="V673" s="592"/>
      <c r="W673" s="779"/>
      <c r="X673" s="592"/>
      <c r="Y673" s="592"/>
      <c r="Z673" s="592"/>
      <c r="AA673" s="592"/>
      <c r="AB673" s="779"/>
      <c r="AC673" s="592"/>
      <c r="AD673" s="592"/>
      <c r="AE673" s="592"/>
      <c r="AF673" s="592"/>
      <c r="AG673" s="779"/>
      <c r="AH673" s="592"/>
      <c r="AI673" s="592"/>
      <c r="AJ673" s="592"/>
      <c r="AK673" s="592"/>
      <c r="AL673" s="779"/>
      <c r="AM673" s="592"/>
      <c r="AN673" s="261"/>
      <c r="AO673" s="592"/>
      <c r="AP673" s="592"/>
      <c r="AQ673" s="779"/>
      <c r="AR673" s="592"/>
      <c r="AS673" s="592"/>
      <c r="AT673" s="592"/>
      <c r="AU673" s="592"/>
      <c r="AV673" s="779"/>
      <c r="AW673" s="561">
        <f>AW669/AR669-1</f>
        <v>7.3502490411762711E-2</v>
      </c>
      <c r="AX673" s="561">
        <f>AX669/AS669-1</f>
        <v>0.13379772823416269</v>
      </c>
      <c r="AY673" s="561">
        <f>AY669/AT669-1</f>
        <v>4.3026117506534289E-2</v>
      </c>
      <c r="AZ673" s="561">
        <f>AZ669/AU669-1</f>
        <v>-3.0729870665694992E-2</v>
      </c>
      <c r="BA673" s="562">
        <f>+BA669/AV669-1</f>
        <v>5.4803327402931368E-2</v>
      </c>
      <c r="BB673" s="561">
        <f>BB669/AW669-1</f>
        <v>-0.12837112371170056</v>
      </c>
      <c r="BC673" s="561">
        <f>BC669/AX669-1</f>
        <v>-0.1089584568056049</v>
      </c>
      <c r="BD673" s="561">
        <f>BD669/AY669-1</f>
        <v>-6.9567339633258007E-2</v>
      </c>
      <c r="BE673" s="561">
        <f>BE669/AZ669-1</f>
        <v>1.1541183312806513E-2</v>
      </c>
      <c r="BF673" s="562">
        <f>+BF669/BA669-1</f>
        <v>-7.7330608763338304E-2</v>
      </c>
      <c r="BG673" s="560">
        <f>BG669/BB669-1</f>
        <v>3.315913240362911E-2</v>
      </c>
      <c r="BH673" s="561">
        <f>BH669/BC669-1</f>
        <v>4.365713903566637E-2</v>
      </c>
      <c r="BI673" s="561">
        <f>BI669/BD669-1</f>
        <v>2.3059616412896666E-2</v>
      </c>
      <c r="BJ673" s="1846">
        <f>BJ669/BE669-1</f>
        <v>1.0624644523821614E-2</v>
      </c>
      <c r="BK673" s="562">
        <f>+BK669/BF669-1</f>
        <v>2.7701609736898281E-2</v>
      </c>
      <c r="BL673" s="561">
        <f>BL669/BG669-1</f>
        <v>1.2080591820989861E-2</v>
      </c>
      <c r="BM673" s="561">
        <f>BM669/BH669-1</f>
        <v>-4.7468497952393052E-2</v>
      </c>
      <c r="BN673" s="561"/>
      <c r="BO673" s="1846"/>
      <c r="BP673" s="562"/>
      <c r="BQ673" s="561"/>
      <c r="BR673" s="561"/>
      <c r="BS673" s="561"/>
      <c r="BT673" s="1846"/>
      <c r="BU673" s="3371"/>
      <c r="BV673" s="561"/>
      <c r="BW673" s="561"/>
      <c r="BX673" s="561"/>
      <c r="BY673" s="1846"/>
      <c r="BZ673" s="862"/>
      <c r="CA673" s="862"/>
      <c r="CB673" s="862"/>
      <c r="CC673" s="862"/>
      <c r="CD673" s="862"/>
      <c r="CE673" s="862"/>
      <c r="CF673" s="862"/>
      <c r="CG673" s="862"/>
      <c r="CH673" s="592"/>
      <c r="CI673" s="592"/>
      <c r="CJ673" s="592"/>
      <c r="CK673" s="592"/>
      <c r="CL673" s="592"/>
      <c r="CM673" s="592"/>
      <c r="CN673" s="592"/>
      <c r="CO673" s="592"/>
      <c r="CP673" s="1884"/>
      <c r="CQ673" s="592"/>
      <c r="CR673" s="592"/>
      <c r="CS673" s="592"/>
      <c r="CT673" s="592"/>
      <c r="CU673" s="592"/>
      <c r="CV673" s="592"/>
      <c r="CW673" s="592"/>
      <c r="CX673" s="592"/>
      <c r="CY673" s="592"/>
      <c r="CZ673" s="592"/>
      <c r="DA673" s="592"/>
      <c r="DB673" s="592"/>
      <c r="DC673" s="592"/>
      <c r="DD673" s="592"/>
      <c r="DE673" s="592"/>
      <c r="DF673" s="592"/>
      <c r="DG673" s="1850"/>
      <c r="DH673" s="592"/>
      <c r="DI673" s="592"/>
      <c r="DJ673" s="592"/>
      <c r="DK673" s="592"/>
      <c r="DL673" s="592"/>
      <c r="DM673" s="592"/>
      <c r="DN673" s="592"/>
      <c r="DO673" s="1438"/>
      <c r="DY673" s="561"/>
      <c r="DZ673" s="561"/>
    </row>
    <row r="674" spans="1:132" ht="12" hidden="1" customHeight="1" outlineLevel="1">
      <c r="A674" s="567" t="s">
        <v>1153</v>
      </c>
      <c r="B674" s="228"/>
      <c r="C674" s="228"/>
      <c r="D674" s="625"/>
      <c r="E674" s="626"/>
      <c r="F674" s="626"/>
      <c r="G674" s="626"/>
      <c r="H674" s="788"/>
      <c r="I674" s="626"/>
      <c r="J674" s="626"/>
      <c r="K674" s="626"/>
      <c r="L674" s="626"/>
      <c r="M674" s="788"/>
      <c r="N674" s="626"/>
      <c r="O674" s="626"/>
      <c r="P674" s="626"/>
      <c r="Q674" s="626"/>
      <c r="R674" s="788"/>
      <c r="S674" s="626"/>
      <c r="T674" s="626"/>
      <c r="U674" s="626"/>
      <c r="V674" s="626"/>
      <c r="W674" s="788"/>
      <c r="X674" s="626"/>
      <c r="Y674" s="626"/>
      <c r="Z674" s="626"/>
      <c r="AA674" s="626"/>
      <c r="AB674" s="788"/>
      <c r="AC674" s="626"/>
      <c r="AD674" s="626"/>
      <c r="AE674" s="626"/>
      <c r="AF674" s="626"/>
      <c r="AG674" s="788"/>
      <c r="AH674" s="626"/>
      <c r="AI674" s="626"/>
      <c r="AJ674" s="626"/>
      <c r="AK674" s="626"/>
      <c r="AL674" s="788"/>
      <c r="AM674" s="626"/>
      <c r="AN674" s="261"/>
      <c r="AO674" s="626"/>
      <c r="AP674" s="330"/>
      <c r="AQ674" s="1439"/>
      <c r="AR674" s="573"/>
      <c r="AS674" s="573"/>
      <c r="AT674" s="573"/>
      <c r="AU674" s="573"/>
      <c r="AV674" s="1621"/>
      <c r="AW674" s="573">
        <f t="shared" ref="AW674:BF674" si="1363">+AW672/AR672-1</f>
        <v>8.1958282468565846E-2</v>
      </c>
      <c r="AX674" s="573">
        <f t="shared" si="1363"/>
        <v>0.14293108534322796</v>
      </c>
      <c r="AY674" s="573">
        <f t="shared" si="1363"/>
        <v>9.2717561354324074E-2</v>
      </c>
      <c r="AZ674" s="573">
        <f t="shared" si="1363"/>
        <v>2.089328982570593E-2</v>
      </c>
      <c r="BA674" s="1621">
        <f t="shared" si="1363"/>
        <v>8.4263804318248647E-2</v>
      </c>
      <c r="BB674" s="573">
        <f t="shared" si="1363"/>
        <v>-9.4137569458178083E-2</v>
      </c>
      <c r="BC674" s="573">
        <f t="shared" si="1363"/>
        <v>-6.8197426315944387E-2</v>
      </c>
      <c r="BD674" s="573">
        <f t="shared" si="1363"/>
        <v>-5.8356803087616815E-2</v>
      </c>
      <c r="BE674" s="573">
        <f t="shared" si="1363"/>
        <v>1.9985076541304547E-2</v>
      </c>
      <c r="BF674" s="1621">
        <f t="shared" si="1363"/>
        <v>-5.2251462663049031E-2</v>
      </c>
      <c r="BG674" s="2730">
        <f t="shared" ref="BG674:BM674" si="1364">+BG672/BB672-1</f>
        <v>3.0732641781657799E-2</v>
      </c>
      <c r="BH674" s="573">
        <f t="shared" si="1364"/>
        <v>4.0295231505313334E-2</v>
      </c>
      <c r="BI674" s="573">
        <f t="shared" si="1364"/>
        <v>2.1211197492166045E-2</v>
      </c>
      <c r="BJ674" s="2135">
        <f t="shared" si="1364"/>
        <v>9.7560227366464414E-3</v>
      </c>
      <c r="BK674" s="1621">
        <f t="shared" si="1364"/>
        <v>2.5541105835686251E-2</v>
      </c>
      <c r="BL674" s="573">
        <f t="shared" si="1364"/>
        <v>1.1222926916458098E-2</v>
      </c>
      <c r="BM674" s="573">
        <f t="shared" si="1364"/>
        <v>-4.3954679057559565E-2</v>
      </c>
      <c r="BN674" s="573"/>
      <c r="BO674" s="2135"/>
      <c r="BP674" s="1621"/>
      <c r="BQ674" s="573"/>
      <c r="BR674" s="573"/>
      <c r="BS674" s="573"/>
      <c r="BT674" s="2135"/>
      <c r="BU674" s="3371"/>
      <c r="BV674" s="573"/>
      <c r="BW674" s="573"/>
      <c r="BX674" s="573"/>
      <c r="BY674" s="2135"/>
      <c r="BZ674" s="1621"/>
      <c r="CA674" s="1621"/>
      <c r="CB674" s="1621"/>
      <c r="CC674" s="1621"/>
      <c r="CD674" s="1621"/>
      <c r="CE674" s="1621"/>
      <c r="CF674" s="1621"/>
      <c r="CG674" s="1621"/>
      <c r="CH674" s="626"/>
      <c r="CI674" s="626"/>
      <c r="CJ674" s="626"/>
      <c r="CK674" s="626"/>
      <c r="CL674" s="626"/>
      <c r="CM674" s="626"/>
      <c r="CN674" s="626"/>
      <c r="CO674" s="626"/>
      <c r="CP674" s="994"/>
      <c r="CQ674" s="626"/>
      <c r="CR674" s="626"/>
      <c r="CS674" s="626"/>
      <c r="CT674" s="626"/>
      <c r="CU674" s="626"/>
      <c r="CV674" s="626"/>
      <c r="CW674" s="626"/>
      <c r="CX674" s="626"/>
      <c r="CY674" s="626"/>
      <c r="CZ674" s="626"/>
      <c r="DA674" s="626"/>
      <c r="DB674" s="626"/>
      <c r="DC674" s="626"/>
      <c r="DD674" s="626"/>
      <c r="DE674" s="626"/>
      <c r="DF674" s="626"/>
      <c r="DG674" s="1893"/>
      <c r="DH674" s="632"/>
      <c r="DI674" s="595"/>
      <c r="DJ674" s="595"/>
      <c r="DK674" s="595"/>
      <c r="DL674" s="595"/>
      <c r="DM674" s="595"/>
      <c r="DN674" s="514"/>
      <c r="DO674" s="77"/>
      <c r="DY674" s="573"/>
      <c r="DZ674" s="573"/>
    </row>
    <row r="675" spans="1:132" ht="12" hidden="1" customHeight="1" outlineLevel="1">
      <c r="A675" s="567"/>
      <c r="B675" s="228"/>
      <c r="C675" s="228"/>
      <c r="D675" s="625"/>
      <c r="E675" s="626"/>
      <c r="F675" s="626"/>
      <c r="G675" s="626"/>
      <c r="H675" s="788"/>
      <c r="I675" s="626"/>
      <c r="J675" s="626"/>
      <c r="K675" s="626"/>
      <c r="L675" s="626"/>
      <c r="M675" s="788"/>
      <c r="N675" s="626"/>
      <c r="O675" s="626"/>
      <c r="P675" s="626"/>
      <c r="Q675" s="626"/>
      <c r="R675" s="788"/>
      <c r="S675" s="626"/>
      <c r="T675" s="626"/>
      <c r="U675" s="626"/>
      <c r="V675" s="626"/>
      <c r="W675" s="788"/>
      <c r="X675" s="626"/>
      <c r="Y675" s="626"/>
      <c r="Z675" s="626"/>
      <c r="AA675" s="626"/>
      <c r="AB675" s="788"/>
      <c r="AC675" s="626"/>
      <c r="AD675" s="626"/>
      <c r="AE675" s="626"/>
      <c r="AF675" s="626"/>
      <c r="AG675" s="788"/>
      <c r="AH675" s="626"/>
      <c r="AI675" s="626"/>
      <c r="AJ675" s="626"/>
      <c r="AK675" s="626"/>
      <c r="AL675" s="788"/>
      <c r="AM675" s="626"/>
      <c r="AN675" s="261"/>
      <c r="AO675" s="626"/>
      <c r="AP675" s="330"/>
      <c r="AQ675" s="1439"/>
      <c r="AR675" s="330"/>
      <c r="AS675" s="330"/>
      <c r="AT675" s="330"/>
      <c r="AU675" s="626"/>
      <c r="AV675" s="1951"/>
      <c r="AW675" s="626"/>
      <c r="AX675" s="261"/>
      <c r="AY675" s="626"/>
      <c r="AZ675" s="626"/>
      <c r="BA675" s="1439"/>
      <c r="BB675" s="626"/>
      <c r="BC675" s="261"/>
      <c r="BD675" s="626"/>
      <c r="BE675" s="626"/>
      <c r="BF675" s="1439"/>
      <c r="BG675" s="678"/>
      <c r="BH675" s="330"/>
      <c r="BI675" s="330"/>
      <c r="BJ675" s="2136"/>
      <c r="BK675" s="1439"/>
      <c r="BL675" s="330"/>
      <c r="BM675" s="330"/>
      <c r="BN675" s="330"/>
      <c r="BO675" s="2136"/>
      <c r="BP675" s="1439"/>
      <c r="BQ675" s="330"/>
      <c r="BR675" s="330"/>
      <c r="BS675" s="330"/>
      <c r="BT675" s="2136"/>
      <c r="BU675" s="3406"/>
      <c r="BV675" s="330"/>
      <c r="BW675" s="330"/>
      <c r="BX675" s="330"/>
      <c r="BY675" s="2136"/>
      <c r="BZ675" s="1439"/>
      <c r="CA675" s="1439"/>
      <c r="CB675" s="1439"/>
      <c r="CC675" s="1439"/>
      <c r="CD675" s="1439"/>
      <c r="CE675" s="1439"/>
      <c r="CF675" s="1439"/>
      <c r="CG675" s="1439"/>
      <c r="CH675" s="626"/>
      <c r="CI675" s="626"/>
      <c r="CJ675" s="626"/>
      <c r="CK675" s="626"/>
      <c r="CL675" s="626"/>
      <c r="CM675" s="626"/>
      <c r="CN675" s="626"/>
      <c r="CO675" s="626"/>
      <c r="CP675" s="994"/>
      <c r="CQ675" s="626"/>
      <c r="CR675" s="626"/>
      <c r="CS675" s="626"/>
      <c r="CT675" s="626"/>
      <c r="CU675" s="626"/>
      <c r="CV675" s="626"/>
      <c r="CW675" s="626"/>
      <c r="CX675" s="626"/>
      <c r="CY675" s="626"/>
      <c r="CZ675" s="626"/>
      <c r="DA675" s="626"/>
      <c r="DB675" s="626"/>
      <c r="DC675" s="626"/>
      <c r="DD675" s="626"/>
      <c r="DE675" s="626"/>
      <c r="DF675" s="626"/>
      <c r="DG675" s="1893"/>
      <c r="DH675" s="632"/>
      <c r="DI675" s="595"/>
      <c r="DJ675" s="595"/>
      <c r="DK675" s="595"/>
      <c r="DL675" s="595"/>
      <c r="DM675" s="595"/>
      <c r="DN675" s="514"/>
      <c r="DO675" s="77"/>
      <c r="DY675" s="330"/>
      <c r="DZ675" s="330"/>
    </row>
    <row r="676" spans="1:132" ht="12" hidden="1" customHeight="1" outlineLevel="1">
      <c r="A676" s="552" t="s">
        <v>1663</v>
      </c>
      <c r="B676" s="228"/>
      <c r="C676" s="228"/>
      <c r="D676" s="625"/>
      <c r="E676" s="626"/>
      <c r="F676" s="626"/>
      <c r="G676" s="626"/>
      <c r="H676" s="788"/>
      <c r="I676" s="626"/>
      <c r="J676" s="626"/>
      <c r="K676" s="626"/>
      <c r="L676" s="626"/>
      <c r="M676" s="788"/>
      <c r="N676" s="626"/>
      <c r="O676" s="626"/>
      <c r="P676" s="626"/>
      <c r="Q676" s="626"/>
      <c r="R676" s="788"/>
      <c r="S676" s="626"/>
      <c r="T676" s="626"/>
      <c r="U676" s="626"/>
      <c r="V676" s="626"/>
      <c r="W676" s="788"/>
      <c r="X676" s="626"/>
      <c r="Y676" s="626"/>
      <c r="Z676" s="626"/>
      <c r="AA676" s="626"/>
      <c r="AB676" s="788"/>
      <c r="AC676" s="626"/>
      <c r="AD676" s="626"/>
      <c r="AE676" s="626"/>
      <c r="AF676" s="626"/>
      <c r="AG676" s="788"/>
      <c r="AH676" s="626"/>
      <c r="AI676" s="626"/>
      <c r="AJ676" s="626"/>
      <c r="AK676" s="626"/>
      <c r="AL676" s="788"/>
      <c r="AM676" s="626"/>
      <c r="AN676" s="626"/>
      <c r="AO676" s="626"/>
      <c r="AP676" s="626">
        <f>+AP677*AP669</f>
        <v>1.6216011270000001</v>
      </c>
      <c r="AQ676" s="1950">
        <f>+SUM(AM676:AP676)</f>
        <v>1.6216011270000001</v>
      </c>
      <c r="AR676" s="626">
        <f>+AR677*AR669</f>
        <v>13.1751522945</v>
      </c>
      <c r="AS676" s="626">
        <f>+AS677*AS669</f>
        <v>11.894347268100001</v>
      </c>
      <c r="AT676" s="626">
        <f>+AT677*AT669</f>
        <v>12.210350616000001</v>
      </c>
      <c r="AU676" s="626">
        <f>+AU677*AU669</f>
        <v>12.184126369200001</v>
      </c>
      <c r="AV676" s="1950">
        <f>+SUM(AR676:AU676)</f>
        <v>49.463976547800002</v>
      </c>
      <c r="AW676" s="626">
        <f>+AW677*AW669</f>
        <v>14.143558799700001</v>
      </c>
      <c r="AX676" s="626">
        <f>+AX677*AX669</f>
        <v>13.4857839114</v>
      </c>
      <c r="AY676" s="626">
        <f>+AY677*AY669</f>
        <v>12.735714596400001</v>
      </c>
      <c r="AZ676" s="626">
        <f>+AZ677*AZ669</f>
        <v>11.809709741700003</v>
      </c>
      <c r="BA676" s="1950">
        <f>+SUM(AW676:AZ676)</f>
        <v>52.174767049200007</v>
      </c>
      <c r="BB676" s="626">
        <f>+BB677*BB669</f>
        <v>12.3279342633</v>
      </c>
      <c r="BC676" s="626">
        <f>+BC677*BC669</f>
        <v>12.016393707600001</v>
      </c>
      <c r="BD676" s="626">
        <f>+BD677*BD669</f>
        <v>11.849724813600002</v>
      </c>
      <c r="BE676" s="626">
        <f>+BE677*BE669</f>
        <v>11.946007766699999</v>
      </c>
      <c r="BF676" s="1950">
        <f>+SUM(BB676:BE676)</f>
        <v>48.140060551200001</v>
      </c>
      <c r="BG676" s="625">
        <f>+BG677*BG669</f>
        <v>12.736717867799999</v>
      </c>
      <c r="BH676" s="626">
        <f>+BH677*BH669</f>
        <v>12.540995078400003</v>
      </c>
      <c r="BI676" s="626">
        <f>+BI677*BI669</f>
        <v>12.122974922400001</v>
      </c>
      <c r="BJ676" s="1893">
        <f>+BJ677*BJ669</f>
        <v>12.0729298527</v>
      </c>
      <c r="BK676" s="1950">
        <f>+SUM(BG676:BJ676)</f>
        <v>49.473617721300002</v>
      </c>
      <c r="BL676" s="626">
        <f>+BL677*BL669</f>
        <v>12.890584957500002</v>
      </c>
      <c r="BM676" s="626">
        <f>+BM677*BM669</f>
        <v>11.945692879200001</v>
      </c>
      <c r="BN676" s="626"/>
      <c r="BO676" s="1893"/>
      <c r="BP676" s="1950"/>
      <c r="BQ676" s="626"/>
      <c r="BR676" s="626"/>
      <c r="BS676" s="626"/>
      <c r="BT676" s="1893"/>
      <c r="BU676" s="3406"/>
      <c r="BV676" s="626"/>
      <c r="BW676" s="626"/>
      <c r="BX676" s="626"/>
      <c r="BY676" s="1893"/>
      <c r="BZ676" s="1950"/>
      <c r="CA676" s="1950"/>
      <c r="CB676" s="1950"/>
      <c r="CC676" s="1950"/>
      <c r="CD676" s="1950"/>
      <c r="CE676" s="1950"/>
      <c r="CF676" s="1950"/>
      <c r="CG676" s="1950"/>
      <c r="CH676" s="626"/>
      <c r="CI676" s="626"/>
      <c r="CJ676" s="626"/>
      <c r="CK676" s="626"/>
      <c r="CL676" s="626"/>
      <c r="CM676" s="626"/>
      <c r="CN676" s="626"/>
      <c r="CO676" s="626"/>
      <c r="CP676" s="994"/>
      <c r="CQ676" s="626"/>
      <c r="CR676" s="626"/>
      <c r="CS676" s="626"/>
      <c r="CT676" s="626"/>
      <c r="CU676" s="626"/>
      <c r="CV676" s="626"/>
      <c r="CW676" s="626"/>
      <c r="CX676" s="626"/>
      <c r="CY676" s="626"/>
      <c r="CZ676" s="626"/>
      <c r="DA676" s="626"/>
      <c r="DB676" s="626"/>
      <c r="DC676" s="626"/>
      <c r="DD676" s="626"/>
      <c r="DE676" s="626"/>
      <c r="DF676" s="626"/>
      <c r="DG676" s="1893"/>
      <c r="DH676" s="632"/>
      <c r="DI676" s="595"/>
      <c r="DJ676" s="595"/>
      <c r="DK676" s="595"/>
      <c r="DL676" s="595"/>
      <c r="DM676" s="595"/>
      <c r="DN676" s="514"/>
      <c r="DO676" s="77"/>
      <c r="DY676" s="1634"/>
      <c r="DZ676" s="1634"/>
    </row>
    <row r="677" spans="1:132" ht="12" hidden="1" customHeight="1" outlineLevel="1">
      <c r="A677" s="567" t="s">
        <v>1664</v>
      </c>
      <c r="B677" s="228"/>
      <c r="C677" s="228"/>
      <c r="D677" s="625"/>
      <c r="E677" s="626"/>
      <c r="F677" s="626"/>
      <c r="G677" s="626"/>
      <c r="H677" s="788"/>
      <c r="I677" s="626"/>
      <c r="J677" s="626"/>
      <c r="K677" s="626"/>
      <c r="L677" s="626"/>
      <c r="M677" s="788"/>
      <c r="N677" s="626"/>
      <c r="O677" s="626"/>
      <c r="P677" s="626"/>
      <c r="Q677" s="626"/>
      <c r="R677" s="788"/>
      <c r="S677" s="626"/>
      <c r="T677" s="626"/>
      <c r="U677" s="626"/>
      <c r="V677" s="626"/>
      <c r="W677" s="788"/>
      <c r="X677" s="626"/>
      <c r="Y677" s="626"/>
      <c r="Z677" s="626"/>
      <c r="AA677" s="626"/>
      <c r="AB677" s="788"/>
      <c r="AC677" s="626"/>
      <c r="AD677" s="626"/>
      <c r="AE677" s="626"/>
      <c r="AF677" s="626"/>
      <c r="AG677" s="788"/>
      <c r="AH677" s="626"/>
      <c r="AI677" s="626"/>
      <c r="AJ677" s="626"/>
      <c r="AK677" s="626"/>
      <c r="AL677" s="788"/>
      <c r="AM677" s="866"/>
      <c r="AN677" s="866"/>
      <c r="AO677" s="866"/>
      <c r="AP677" s="866">
        <v>0.27</v>
      </c>
      <c r="AQ677" s="1621">
        <f>+AQ676/AQ669</f>
        <v>0.27</v>
      </c>
      <c r="AR677" s="866">
        <v>0.27</v>
      </c>
      <c r="AS677" s="866">
        <v>0.27</v>
      </c>
      <c r="AT677" s="866">
        <v>0.27</v>
      </c>
      <c r="AU677" s="866">
        <v>0.27</v>
      </c>
      <c r="AV677" s="1621">
        <f>+AV676/AV669</f>
        <v>0.27</v>
      </c>
      <c r="AW677" s="866">
        <v>0.27</v>
      </c>
      <c r="AX677" s="866">
        <v>0.27</v>
      </c>
      <c r="AY677" s="866">
        <v>0.27</v>
      </c>
      <c r="AZ677" s="866">
        <v>0.27</v>
      </c>
      <c r="BA677" s="1621">
        <f>+BA676/BA669</f>
        <v>0.27</v>
      </c>
      <c r="BB677" s="866">
        <v>0.27</v>
      </c>
      <c r="BC677" s="866">
        <v>0.27</v>
      </c>
      <c r="BD677" s="866">
        <v>0.27</v>
      </c>
      <c r="BE677" s="866">
        <v>0.27</v>
      </c>
      <c r="BF677" s="1621">
        <f>+BF676/BF669</f>
        <v>0.27</v>
      </c>
      <c r="BG677" s="607">
        <v>0.27</v>
      </c>
      <c r="BH677" s="548">
        <v>0.27</v>
      </c>
      <c r="BI677" s="548">
        <v>0.27</v>
      </c>
      <c r="BJ677" s="2812">
        <v>0.27</v>
      </c>
      <c r="BK677" s="1621">
        <f>+BK676/BK669</f>
        <v>0.27</v>
      </c>
      <c r="BL677" s="548">
        <v>0.27</v>
      </c>
      <c r="BM677" s="548">
        <v>0.27</v>
      </c>
      <c r="BN677" s="548"/>
      <c r="BO677" s="2812"/>
      <c r="BP677" s="1621"/>
      <c r="BQ677" s="548"/>
      <c r="BR677" s="548"/>
      <c r="BS677" s="548"/>
      <c r="BT677" s="2812"/>
      <c r="BU677" s="3371"/>
      <c r="BV677" s="548"/>
      <c r="BW677" s="548"/>
      <c r="BX677" s="548"/>
      <c r="BY677" s="2812"/>
      <c r="BZ677" s="550"/>
      <c r="CA677" s="550"/>
      <c r="CB677" s="550"/>
      <c r="CC677" s="550"/>
      <c r="CD677" s="550"/>
      <c r="CE677" s="550"/>
      <c r="CF677" s="550"/>
      <c r="CG677" s="550"/>
      <c r="CH677" s="626"/>
      <c r="CI677" s="626"/>
      <c r="CJ677" s="626"/>
      <c r="CK677" s="626"/>
      <c r="CL677" s="626"/>
      <c r="CM677" s="626"/>
      <c r="CN677" s="626"/>
      <c r="CO677" s="626"/>
      <c r="CP677" s="994"/>
      <c r="CQ677" s="626"/>
      <c r="CR677" s="626"/>
      <c r="CS677" s="626"/>
      <c r="CT677" s="626"/>
      <c r="CU677" s="626"/>
      <c r="CV677" s="626"/>
      <c r="CW677" s="626"/>
      <c r="CX677" s="626"/>
      <c r="CY677" s="626"/>
      <c r="CZ677" s="626"/>
      <c r="DA677" s="626"/>
      <c r="DB677" s="626"/>
      <c r="DC677" s="626"/>
      <c r="DD677" s="626"/>
      <c r="DE677" s="626"/>
      <c r="DF677" s="626"/>
      <c r="DG677" s="1893"/>
      <c r="DH677" s="632"/>
      <c r="DI677" s="595"/>
      <c r="DJ677" s="595"/>
      <c r="DK677" s="595"/>
      <c r="DL677" s="595"/>
      <c r="DM677" s="595"/>
      <c r="DN677" s="514"/>
      <c r="DO677" s="77"/>
      <c r="DY677" s="573"/>
      <c r="DZ677" s="573"/>
    </row>
    <row r="678" spans="1:132" ht="2.25" hidden="1" customHeight="1" outlineLevel="1">
      <c r="A678" s="552"/>
      <c r="B678" s="228"/>
      <c r="C678" s="228"/>
      <c r="D678" s="625"/>
      <c r="E678" s="626"/>
      <c r="F678" s="626"/>
      <c r="G678" s="626"/>
      <c r="H678" s="788"/>
      <c r="I678" s="626"/>
      <c r="J678" s="626"/>
      <c r="K678" s="626"/>
      <c r="L678" s="626"/>
      <c r="M678" s="788"/>
      <c r="N678" s="626"/>
      <c r="O678" s="626"/>
      <c r="P678" s="626"/>
      <c r="Q678" s="626"/>
      <c r="R678" s="788"/>
      <c r="S678" s="626"/>
      <c r="T678" s="626"/>
      <c r="U678" s="626"/>
      <c r="V678" s="626"/>
      <c r="W678" s="788"/>
      <c r="X678" s="626"/>
      <c r="Y678" s="626"/>
      <c r="Z678" s="626"/>
      <c r="AA678" s="626"/>
      <c r="AB678" s="788"/>
      <c r="AC678" s="626"/>
      <c r="AD678" s="626"/>
      <c r="AE678" s="626"/>
      <c r="AF678" s="626"/>
      <c r="AG678" s="788"/>
      <c r="AH678" s="626"/>
      <c r="AI678" s="626"/>
      <c r="AJ678" s="626"/>
      <c r="AK678" s="626"/>
      <c r="AL678" s="788"/>
      <c r="AM678" s="626"/>
      <c r="AN678" s="261"/>
      <c r="AO678" s="626"/>
      <c r="AP678" s="330"/>
      <c r="AQ678" s="1439"/>
      <c r="AR678" s="330"/>
      <c r="AS678" s="330"/>
      <c r="AT678" s="330"/>
      <c r="AU678" s="626"/>
      <c r="AV678" s="1439"/>
      <c r="AW678" s="626"/>
      <c r="AX678" s="261"/>
      <c r="AY678" s="626"/>
      <c r="AZ678" s="626"/>
      <c r="BA678" s="1439"/>
      <c r="BB678" s="626"/>
      <c r="BC678" s="261"/>
      <c r="BD678" s="626"/>
      <c r="BE678" s="626"/>
      <c r="BF678" s="1439"/>
      <c r="BG678" s="678"/>
      <c r="BH678" s="330"/>
      <c r="BI678" s="330"/>
      <c r="BJ678" s="2136"/>
      <c r="BK678" s="1439"/>
      <c r="BL678" s="330"/>
      <c r="BM678" s="330"/>
      <c r="BN678" s="330"/>
      <c r="BO678" s="2136"/>
      <c r="BP678" s="1439"/>
      <c r="BQ678" s="330"/>
      <c r="BR678" s="330"/>
      <c r="BS678" s="330"/>
      <c r="BT678" s="2136"/>
      <c r="BU678" s="3406"/>
      <c r="BV678" s="330"/>
      <c r="BW678" s="330"/>
      <c r="BX678" s="330"/>
      <c r="BY678" s="2136"/>
      <c r="BZ678" s="1439"/>
      <c r="CA678" s="1439"/>
      <c r="CB678" s="1439"/>
      <c r="CC678" s="1439"/>
      <c r="CD678" s="1439"/>
      <c r="CE678" s="1439"/>
      <c r="CF678" s="1439"/>
      <c r="CG678" s="1439"/>
      <c r="CH678" s="626"/>
      <c r="CI678" s="626"/>
      <c r="CJ678" s="626"/>
      <c r="CK678" s="626"/>
      <c r="CL678" s="626"/>
      <c r="CM678" s="626"/>
      <c r="CN678" s="626"/>
      <c r="CO678" s="626"/>
      <c r="CP678" s="994"/>
      <c r="CQ678" s="626"/>
      <c r="CR678" s="626"/>
      <c r="CS678" s="626"/>
      <c r="CT678" s="626"/>
      <c r="CU678" s="626"/>
      <c r="CV678" s="626"/>
      <c r="CW678" s="626"/>
      <c r="CX678" s="626"/>
      <c r="CY678" s="626"/>
      <c r="CZ678" s="626"/>
      <c r="DA678" s="626"/>
      <c r="DB678" s="626"/>
      <c r="DC678" s="626"/>
      <c r="DD678" s="626"/>
      <c r="DE678" s="626"/>
      <c r="DF678" s="626"/>
      <c r="DG678" s="1893"/>
      <c r="DH678" s="632"/>
      <c r="DI678" s="595"/>
      <c r="DJ678" s="595"/>
      <c r="DK678" s="595"/>
      <c r="DL678" s="595"/>
      <c r="DM678" s="595"/>
      <c r="DN678" s="514"/>
      <c r="DO678" s="77"/>
      <c r="DY678" s="330"/>
      <c r="DZ678" s="330"/>
    </row>
    <row r="679" spans="1:132" ht="12" hidden="1" customHeight="1" outlineLevel="1">
      <c r="A679" s="552" t="s">
        <v>1665</v>
      </c>
      <c r="B679" s="228"/>
      <c r="C679" s="228"/>
      <c r="D679" s="625"/>
      <c r="E679" s="626"/>
      <c r="F679" s="626"/>
      <c r="G679" s="626"/>
      <c r="H679" s="788"/>
      <c r="I679" s="626"/>
      <c r="J679" s="626"/>
      <c r="K679" s="626"/>
      <c r="L679" s="626"/>
      <c r="M679" s="788"/>
      <c r="N679" s="626"/>
      <c r="O679" s="626"/>
      <c r="P679" s="626"/>
      <c r="Q679" s="626"/>
      <c r="R679" s="788"/>
      <c r="S679" s="626"/>
      <c r="T679" s="626"/>
      <c r="U679" s="626"/>
      <c r="V679" s="626"/>
      <c r="W679" s="788"/>
      <c r="X679" s="626"/>
      <c r="Y679" s="626"/>
      <c r="Z679" s="626"/>
      <c r="AA679" s="626"/>
      <c r="AB679" s="788"/>
      <c r="AC679" s="626"/>
      <c r="AD679" s="626"/>
      <c r="AE679" s="626"/>
      <c r="AF679" s="626"/>
      <c r="AG679" s="788"/>
      <c r="AH679" s="626"/>
      <c r="AI679" s="626"/>
      <c r="AJ679" s="626"/>
      <c r="AK679" s="626"/>
      <c r="AL679" s="788"/>
      <c r="AM679" s="1976"/>
      <c r="AN679" s="1976"/>
      <c r="AO679" s="1976"/>
      <c r="AP679" s="1976">
        <f>+AP683-AP676</f>
        <v>1.0803988729999994</v>
      </c>
      <c r="AQ679" s="1950">
        <f>+SUM(AM679:AP679)</f>
        <v>1.0803988729999994</v>
      </c>
      <c r="AR679" s="1976">
        <f>+AR683-AR676</f>
        <v>10.302847705500001</v>
      </c>
      <c r="AS679" s="1976">
        <f>+AS683-AS676</f>
        <v>10.368652731900001</v>
      </c>
      <c r="AT679" s="1976">
        <f>+AT683-AT676</f>
        <v>10.864649383999994</v>
      </c>
      <c r="AU679" s="2275">
        <f>AU672-(AU727-AU555-AU589-AU623-AU657)-AU676</f>
        <v>11.79065532667375</v>
      </c>
      <c r="AV679" s="1950">
        <f>+SUM(AR679:AU679)</f>
        <v>43.326805148073745</v>
      </c>
      <c r="AW679" s="3117">
        <v>15</v>
      </c>
      <c r="AX679" s="3117">
        <v>17</v>
      </c>
      <c r="AY679" s="3079">
        <v>17.5</v>
      </c>
      <c r="AZ679" s="3079">
        <v>14.9</v>
      </c>
      <c r="BA679" s="1950">
        <f>+SUM(AW679:AZ679)</f>
        <v>64.400000000000006</v>
      </c>
      <c r="BB679" s="330">
        <v>14.5</v>
      </c>
      <c r="BC679" s="330">
        <v>14.4</v>
      </c>
      <c r="BD679" s="330">
        <v>15.5</v>
      </c>
      <c r="BE679" s="330">
        <v>15</v>
      </c>
      <c r="BF679" s="1950">
        <f>+SUM(BB679:BE679)</f>
        <v>59.4</v>
      </c>
      <c r="BG679" s="2894">
        <f>+BB679*(1+BG681)</f>
        <v>14.935</v>
      </c>
      <c r="BH679" s="2694">
        <f>+BC679*(1+BH681)</f>
        <v>14.544</v>
      </c>
      <c r="BI679" s="2694">
        <f>+BD679*(1+BI681)</f>
        <v>15.2675</v>
      </c>
      <c r="BJ679" s="2695">
        <f>+BE679*(1+BJ681)</f>
        <v>15.15</v>
      </c>
      <c r="BK679" s="1950">
        <f>+SUM(BG679:BJ679)</f>
        <v>59.896499999999996</v>
      </c>
      <c r="BL679" s="2694">
        <f>+BG679*(1+BL681)</f>
        <v>15.009675</v>
      </c>
      <c r="BM679" s="2694">
        <f>+BH679*(1+BM681)</f>
        <v>14.616719999999999</v>
      </c>
      <c r="BN679" s="2694"/>
      <c r="BO679" s="2695"/>
      <c r="BP679" s="1950"/>
      <c r="BQ679" s="2694"/>
      <c r="BR679" s="2694"/>
      <c r="BS679" s="2694"/>
      <c r="BT679" s="2695"/>
      <c r="BU679" s="3406"/>
      <c r="BV679" s="2694"/>
      <c r="BW679" s="2694"/>
      <c r="BX679" s="2694"/>
      <c r="BY679" s="2695"/>
      <c r="BZ679" s="2503"/>
      <c r="CA679" s="2503"/>
      <c r="CB679" s="2503"/>
      <c r="CC679" s="2503"/>
      <c r="CD679" s="2503"/>
      <c r="CE679" s="2503"/>
      <c r="CF679" s="2503"/>
      <c r="CG679" s="2503"/>
      <c r="CH679" s="626"/>
      <c r="CI679" s="626"/>
      <c r="CJ679" s="626"/>
      <c r="CK679" s="626"/>
      <c r="CL679" s="626"/>
      <c r="CM679" s="626"/>
      <c r="CN679" s="626"/>
      <c r="CO679" s="626"/>
      <c r="CP679" s="994"/>
      <c r="CQ679" s="626"/>
      <c r="CR679" s="626"/>
      <c r="CS679" s="626"/>
      <c r="CT679" s="626"/>
      <c r="CU679" s="626"/>
      <c r="CV679" s="626"/>
      <c r="CW679" s="626"/>
      <c r="CX679" s="626"/>
      <c r="CY679" s="626"/>
      <c r="CZ679" s="626"/>
      <c r="DA679" s="626"/>
      <c r="DB679" s="626"/>
      <c r="DC679" s="626"/>
      <c r="DD679" s="626"/>
      <c r="DE679" s="626"/>
      <c r="DF679" s="626"/>
      <c r="DG679" s="1893"/>
      <c r="DH679" s="632"/>
      <c r="DI679" s="595"/>
      <c r="DJ679" s="595"/>
      <c r="DK679" s="595"/>
      <c r="DL679" s="595"/>
      <c r="DM679" s="595"/>
      <c r="DN679" s="514"/>
      <c r="DO679" s="77"/>
      <c r="DY679" s="1634"/>
      <c r="DZ679" s="1634"/>
    </row>
    <row r="680" spans="1:132" ht="12" hidden="1" customHeight="1" outlineLevel="1">
      <c r="A680" s="567" t="s">
        <v>1664</v>
      </c>
      <c r="B680" s="228"/>
      <c r="C680" s="228"/>
      <c r="D680" s="625"/>
      <c r="E680" s="626"/>
      <c r="F680" s="626"/>
      <c r="G680" s="626"/>
      <c r="H680" s="788"/>
      <c r="I680" s="626"/>
      <c r="J680" s="626"/>
      <c r="K680" s="626"/>
      <c r="L680" s="626"/>
      <c r="M680" s="788"/>
      <c r="N680" s="626"/>
      <c r="O680" s="626"/>
      <c r="P680" s="626"/>
      <c r="Q680" s="626"/>
      <c r="R680" s="788"/>
      <c r="S680" s="626"/>
      <c r="T680" s="626"/>
      <c r="U680" s="626"/>
      <c r="V680" s="626"/>
      <c r="W680" s="788"/>
      <c r="X680" s="626"/>
      <c r="Y680" s="626"/>
      <c r="Z680" s="626"/>
      <c r="AA680" s="626"/>
      <c r="AB680" s="788"/>
      <c r="AC680" s="626"/>
      <c r="AD680" s="626"/>
      <c r="AE680" s="626"/>
      <c r="AF680" s="626"/>
      <c r="AG680" s="788"/>
      <c r="AH680" s="626"/>
      <c r="AI680" s="626"/>
      <c r="AJ680" s="626"/>
      <c r="AK680" s="626"/>
      <c r="AL680" s="788"/>
      <c r="AM680" s="860"/>
      <c r="AN680" s="860"/>
      <c r="AO680" s="860"/>
      <c r="AP680" s="860">
        <f t="shared" ref="AP680:BF680" si="1365">+AP679/AP672</f>
        <v>0.17946825132890357</v>
      </c>
      <c r="AQ680" s="1975">
        <f t="shared" si="1365"/>
        <v>0.17946825132890357</v>
      </c>
      <c r="AR680" s="860">
        <f t="shared" si="1365"/>
        <v>0.20497468775863442</v>
      </c>
      <c r="AS680" s="860">
        <f t="shared" si="1365"/>
        <v>0.22900991103233501</v>
      </c>
      <c r="AT680" s="860">
        <f t="shared" si="1365"/>
        <v>0.23430341565667448</v>
      </c>
      <c r="AU680" s="860">
        <f t="shared" si="1365"/>
        <v>0.25480707208097109</v>
      </c>
      <c r="AV680" s="1975">
        <f t="shared" si="1365"/>
        <v>0.23023777042258095</v>
      </c>
      <c r="AW680" s="860">
        <f t="shared" si="1365"/>
        <v>0.27581869322324953</v>
      </c>
      <c r="AX680" s="860">
        <f t="shared" si="1365"/>
        <v>0.32851925202299193</v>
      </c>
      <c r="AY680" s="860">
        <f t="shared" si="1365"/>
        <v>0.34537669554508182</v>
      </c>
      <c r="AZ680" s="860">
        <f t="shared" si="1365"/>
        <v>0.31541290091826096</v>
      </c>
      <c r="BA680" s="1975">
        <f t="shared" si="1365"/>
        <v>0.31562457615576983</v>
      </c>
      <c r="BB680" s="860">
        <f t="shared" si="1365"/>
        <v>0.29433248117266408</v>
      </c>
      <c r="BC680" s="860">
        <f t="shared" si="1365"/>
        <v>0.29864172839225495</v>
      </c>
      <c r="BD680" s="860">
        <f t="shared" si="1365"/>
        <v>0.32486304175522646</v>
      </c>
      <c r="BE680" s="860">
        <f t="shared" si="1365"/>
        <v>0.31130824688319492</v>
      </c>
      <c r="BF680" s="1975">
        <f t="shared" si="1365"/>
        <v>0.3071696246528508</v>
      </c>
      <c r="BG680" s="861">
        <f t="shared" ref="BG680:BL680" si="1366">+BG679/BG672</f>
        <v>0.29412327049603965</v>
      </c>
      <c r="BH680" s="860">
        <f t="shared" si="1366"/>
        <v>0.28994475466326974</v>
      </c>
      <c r="BI680" s="860">
        <f t="shared" si="1366"/>
        <v>0.31334370100397652</v>
      </c>
      <c r="BJ680" s="1295">
        <f t="shared" si="1366"/>
        <v>0.31138346518585786</v>
      </c>
      <c r="BK680" s="1975">
        <f t="shared" si="1366"/>
        <v>0.30202312376476093</v>
      </c>
      <c r="BL680" s="860">
        <f t="shared" si="1366"/>
        <v>0.29231327631176246</v>
      </c>
      <c r="BM680" s="860">
        <f t="shared" ref="BM680" si="1367">+BM679/BM672</f>
        <v>0.30479149058471228</v>
      </c>
      <c r="BN680" s="860"/>
      <c r="BO680" s="1295"/>
      <c r="BP680" s="1975"/>
      <c r="BQ680" s="860"/>
      <c r="BR680" s="860"/>
      <c r="BS680" s="860"/>
      <c r="BT680" s="1295"/>
      <c r="BU680" s="3407"/>
      <c r="BV680" s="860"/>
      <c r="BW680" s="860"/>
      <c r="BX680" s="860"/>
      <c r="BY680" s="1295"/>
      <c r="BZ680" s="1975"/>
      <c r="CA680" s="1975"/>
      <c r="CB680" s="1975"/>
      <c r="CC680" s="1975"/>
      <c r="CD680" s="1975"/>
      <c r="CE680" s="1975"/>
      <c r="CF680" s="1975"/>
      <c r="CG680" s="1975"/>
      <c r="CH680" s="626"/>
      <c r="CI680" s="626"/>
      <c r="CJ680" s="626"/>
      <c r="CK680" s="626"/>
      <c r="CL680" s="626"/>
      <c r="CM680" s="626"/>
      <c r="CN680" s="626"/>
      <c r="CO680" s="626"/>
      <c r="CP680" s="994"/>
      <c r="CQ680" s="626"/>
      <c r="CR680" s="626"/>
      <c r="CS680" s="626"/>
      <c r="CT680" s="626"/>
      <c r="CU680" s="626"/>
      <c r="CV680" s="626"/>
      <c r="CW680" s="626"/>
      <c r="CX680" s="626"/>
      <c r="CY680" s="626"/>
      <c r="CZ680" s="626"/>
      <c r="DA680" s="626"/>
      <c r="DB680" s="626"/>
      <c r="DC680" s="626"/>
      <c r="DD680" s="626"/>
      <c r="DE680" s="626"/>
      <c r="DF680" s="626"/>
      <c r="DG680" s="1893"/>
      <c r="DH680" s="632"/>
      <c r="DI680" s="595"/>
      <c r="DJ680" s="595"/>
      <c r="DK680" s="595"/>
      <c r="DL680" s="595"/>
      <c r="DM680" s="595"/>
      <c r="DN680" s="514"/>
      <c r="DO680" s="77"/>
      <c r="DY680" s="769"/>
      <c r="DZ680" s="769"/>
    </row>
    <row r="681" spans="1:132" ht="12" hidden="1" customHeight="1" outlineLevel="1">
      <c r="A681" s="567" t="s">
        <v>1153</v>
      </c>
      <c r="B681" s="228"/>
      <c r="C681" s="228"/>
      <c r="D681" s="625"/>
      <c r="E681" s="626"/>
      <c r="F681" s="626"/>
      <c r="G681" s="626"/>
      <c r="H681" s="788"/>
      <c r="I681" s="626"/>
      <c r="J681" s="626"/>
      <c r="K681" s="626"/>
      <c r="L681" s="626"/>
      <c r="M681" s="788"/>
      <c r="N681" s="626"/>
      <c r="O681" s="626"/>
      <c r="P681" s="626"/>
      <c r="Q681" s="626"/>
      <c r="R681" s="788"/>
      <c r="S681" s="626"/>
      <c r="T681" s="626"/>
      <c r="U681" s="626"/>
      <c r="V681" s="626"/>
      <c r="W681" s="788"/>
      <c r="X681" s="626"/>
      <c r="Y681" s="626"/>
      <c r="Z681" s="626"/>
      <c r="AA681" s="626"/>
      <c r="AB681" s="788"/>
      <c r="AC681" s="626"/>
      <c r="AD681" s="626"/>
      <c r="AE681" s="626"/>
      <c r="AF681" s="626"/>
      <c r="AG681" s="788"/>
      <c r="AH681" s="626"/>
      <c r="AI681" s="626"/>
      <c r="AJ681" s="626"/>
      <c r="AK681" s="626"/>
      <c r="AL681" s="788"/>
      <c r="AM681" s="626"/>
      <c r="AN681" s="261"/>
      <c r="AO681" s="626"/>
      <c r="AP681" s="330"/>
      <c r="AQ681" s="1439"/>
      <c r="AR681" s="573"/>
      <c r="AS681" s="573"/>
      <c r="AT681" s="573"/>
      <c r="AU681" s="573">
        <f t="shared" ref="AU681:BF681" si="1368">+AU679/AP679-1</f>
        <v>9.9132428969812132</v>
      </c>
      <c r="AV681" s="1975">
        <f t="shared" si="1368"/>
        <v>39.102601206687645</v>
      </c>
      <c r="AW681" s="573">
        <f t="shared" si="1368"/>
        <v>0.45590815556678588</v>
      </c>
      <c r="AX681" s="573">
        <f t="shared" si="1368"/>
        <v>0.63955727321237421</v>
      </c>
      <c r="AY681" s="573">
        <f t="shared" si="1368"/>
        <v>0.61072846269403458</v>
      </c>
      <c r="AZ681" s="573">
        <f t="shared" si="1368"/>
        <v>0.26371262556475927</v>
      </c>
      <c r="BA681" s="1975">
        <f t="shared" si="1368"/>
        <v>0.48637776960259327</v>
      </c>
      <c r="BB681" s="573">
        <f t="shared" si="1368"/>
        <v>-3.3333333333333326E-2</v>
      </c>
      <c r="BC681" s="573">
        <f t="shared" si="1368"/>
        <v>-0.15294117647058825</v>
      </c>
      <c r="BD681" s="573">
        <f t="shared" si="1368"/>
        <v>-0.11428571428571432</v>
      </c>
      <c r="BE681" s="573">
        <f t="shared" si="1368"/>
        <v>6.7114093959730337E-3</v>
      </c>
      <c r="BF681" s="1975">
        <f t="shared" si="1368"/>
        <v>-7.7639751552795122E-2</v>
      </c>
      <c r="BG681" s="2886">
        <v>0.03</v>
      </c>
      <c r="BH681" s="2887">
        <v>0.01</v>
      </c>
      <c r="BI681" s="2887">
        <v>-1.4999999999999999E-2</v>
      </c>
      <c r="BJ681" s="2888">
        <v>0.01</v>
      </c>
      <c r="BK681" s="562">
        <f>+BK679/BF679-1</f>
        <v>8.358585858585732E-3</v>
      </c>
      <c r="BL681" s="2887">
        <v>5.0000000000000001E-3</v>
      </c>
      <c r="BM681" s="2887">
        <v>5.0000000000000001E-3</v>
      </c>
      <c r="BN681" s="2887"/>
      <c r="BO681" s="2887"/>
      <c r="BP681" s="562"/>
      <c r="BQ681" s="2887"/>
      <c r="BR681" s="2887"/>
      <c r="BS681" s="2887"/>
      <c r="BT681" s="2887"/>
      <c r="BU681" s="3371"/>
      <c r="BV681" s="2887"/>
      <c r="BW681" s="2887"/>
      <c r="BX681" s="2887"/>
      <c r="BY681" s="2887"/>
      <c r="BZ681" s="458"/>
      <c r="CA681" s="458"/>
      <c r="CB681" s="458"/>
      <c r="CC681" s="458"/>
      <c r="CD681" s="458"/>
      <c r="CE681" s="458"/>
      <c r="CF681" s="458"/>
      <c r="CG681" s="458"/>
      <c r="CH681" s="626"/>
      <c r="CI681" s="626"/>
      <c r="CJ681" s="626"/>
      <c r="CK681" s="626"/>
      <c r="CL681" s="626"/>
      <c r="CM681" s="626"/>
      <c r="CN681" s="626"/>
      <c r="CO681" s="626"/>
      <c r="CP681" s="994"/>
      <c r="CQ681" s="626"/>
      <c r="CR681" s="626"/>
      <c r="CS681" s="626"/>
      <c r="CT681" s="626"/>
      <c r="CU681" s="626"/>
      <c r="CV681" s="626"/>
      <c r="CW681" s="626"/>
      <c r="CX681" s="626"/>
      <c r="CY681" s="626"/>
      <c r="CZ681" s="626"/>
      <c r="DA681" s="626"/>
      <c r="DB681" s="626"/>
      <c r="DC681" s="626"/>
      <c r="DD681" s="626"/>
      <c r="DE681" s="626"/>
      <c r="DF681" s="626"/>
      <c r="DG681" s="1893"/>
      <c r="DH681" s="632"/>
      <c r="DI681" s="595"/>
      <c r="DJ681" s="595"/>
      <c r="DK681" s="595"/>
      <c r="DL681" s="595"/>
      <c r="DM681" s="595"/>
      <c r="DN681" s="514"/>
      <c r="DO681" s="77"/>
      <c r="DY681" s="561"/>
      <c r="DZ681" s="561"/>
    </row>
    <row r="682" spans="1:132" ht="2.25" hidden="1" customHeight="1" outlineLevel="1">
      <c r="A682" s="552"/>
      <c r="B682" s="228"/>
      <c r="C682" s="228"/>
      <c r="D682" s="625"/>
      <c r="E682" s="626"/>
      <c r="F682" s="626"/>
      <c r="G682" s="626"/>
      <c r="H682" s="788"/>
      <c r="I682" s="626"/>
      <c r="J682" s="626"/>
      <c r="K682" s="626"/>
      <c r="L682" s="626"/>
      <c r="M682" s="788"/>
      <c r="N682" s="626"/>
      <c r="O682" s="626"/>
      <c r="P682" s="626"/>
      <c r="Q682" s="626"/>
      <c r="R682" s="788"/>
      <c r="S682" s="626"/>
      <c r="T682" s="626"/>
      <c r="U682" s="626"/>
      <c r="V682" s="626"/>
      <c r="W682" s="788"/>
      <c r="X682" s="626"/>
      <c r="Y682" s="626"/>
      <c r="Z682" s="626"/>
      <c r="AA682" s="626"/>
      <c r="AB682" s="788"/>
      <c r="AC682" s="626"/>
      <c r="AD682" s="626"/>
      <c r="AE682" s="626"/>
      <c r="AF682" s="626"/>
      <c r="AG682" s="788"/>
      <c r="AH682" s="626"/>
      <c r="AI682" s="626"/>
      <c r="AJ682" s="626"/>
      <c r="AK682" s="626"/>
      <c r="AL682" s="788"/>
      <c r="AM682" s="626"/>
      <c r="AN682" s="261"/>
      <c r="AO682" s="626"/>
      <c r="AP682" s="330"/>
      <c r="AQ682" s="1439"/>
      <c r="AR682" s="626"/>
      <c r="AS682" s="626"/>
      <c r="AT682" s="626"/>
      <c r="AU682" s="626"/>
      <c r="AV682" s="1439"/>
      <c r="AW682" s="626"/>
      <c r="AX682" s="261"/>
      <c r="AY682" s="626"/>
      <c r="AZ682" s="626"/>
      <c r="BA682" s="1439"/>
      <c r="BB682" s="626"/>
      <c r="BC682" s="261"/>
      <c r="BD682" s="626"/>
      <c r="BE682" s="626"/>
      <c r="BF682" s="1439"/>
      <c r="BG682" s="678"/>
      <c r="BH682" s="330"/>
      <c r="BI682" s="330"/>
      <c r="BJ682" s="2136"/>
      <c r="BK682" s="1439"/>
      <c r="BL682" s="330"/>
      <c r="BM682" s="330"/>
      <c r="BN682" s="330"/>
      <c r="BO682" s="2136"/>
      <c r="BP682" s="1439"/>
      <c r="BQ682" s="330"/>
      <c r="BR682" s="330"/>
      <c r="BS682" s="330"/>
      <c r="BT682" s="2136"/>
      <c r="BU682" s="3406"/>
      <c r="BV682" s="330"/>
      <c r="BW682" s="330"/>
      <c r="BX682" s="330"/>
      <c r="BY682" s="2136"/>
      <c r="BZ682" s="1439"/>
      <c r="CA682" s="1439"/>
      <c r="CB682" s="1439"/>
      <c r="CC682" s="1439"/>
      <c r="CD682" s="1439"/>
      <c r="CE682" s="1439"/>
      <c r="CF682" s="1439"/>
      <c r="CG682" s="1439"/>
      <c r="CH682" s="626"/>
      <c r="CI682" s="626"/>
      <c r="CJ682" s="626"/>
      <c r="CK682" s="626"/>
      <c r="CL682" s="626"/>
      <c r="CM682" s="626"/>
      <c r="CN682" s="626"/>
      <c r="CO682" s="626"/>
      <c r="CP682" s="994"/>
      <c r="CQ682" s="626"/>
      <c r="CR682" s="626"/>
      <c r="CS682" s="626"/>
      <c r="CT682" s="626"/>
      <c r="CU682" s="626"/>
      <c r="CV682" s="626"/>
      <c r="CW682" s="626"/>
      <c r="CX682" s="626"/>
      <c r="CY682" s="626"/>
      <c r="CZ682" s="626"/>
      <c r="DA682" s="626"/>
      <c r="DB682" s="626"/>
      <c r="DC682" s="626"/>
      <c r="DD682" s="626"/>
      <c r="DE682" s="626"/>
      <c r="DF682" s="626"/>
      <c r="DG682" s="1893"/>
      <c r="DH682" s="632"/>
      <c r="DI682" s="595"/>
      <c r="DJ682" s="595"/>
      <c r="DK682" s="595"/>
      <c r="DL682" s="595"/>
      <c r="DM682" s="595"/>
      <c r="DN682" s="514"/>
      <c r="DO682" s="77"/>
      <c r="DY682" s="330"/>
      <c r="DZ682" s="330"/>
    </row>
    <row r="683" spans="1:132" ht="12" hidden="1" customHeight="1" outlineLevel="1">
      <c r="A683" s="552" t="s">
        <v>1145</v>
      </c>
      <c r="B683" s="228"/>
      <c r="C683" s="228"/>
      <c r="D683" s="625"/>
      <c r="E683" s="626"/>
      <c r="F683" s="626"/>
      <c r="G683" s="626"/>
      <c r="H683" s="788"/>
      <c r="I683" s="626"/>
      <c r="J683" s="626"/>
      <c r="K683" s="626"/>
      <c r="L683" s="626"/>
      <c r="M683" s="788"/>
      <c r="N683" s="626"/>
      <c r="O683" s="626"/>
      <c r="P683" s="626"/>
      <c r="Q683" s="626"/>
      <c r="R683" s="788"/>
      <c r="S683" s="626"/>
      <c r="T683" s="626"/>
      <c r="U683" s="626"/>
      <c r="V683" s="626"/>
      <c r="W683" s="788"/>
      <c r="X683" s="626"/>
      <c r="Y683" s="626"/>
      <c r="Z683" s="626"/>
      <c r="AA683" s="626"/>
      <c r="AB683" s="788"/>
      <c r="AC683" s="626"/>
      <c r="AD683" s="626"/>
      <c r="AE683" s="626"/>
      <c r="AF683" s="626"/>
      <c r="AG683" s="788"/>
      <c r="AH683" s="626"/>
      <c r="AI683" s="626"/>
      <c r="AJ683" s="626"/>
      <c r="AK683" s="626"/>
      <c r="AL683" s="788"/>
      <c r="AM683" s="626"/>
      <c r="AN683" s="626"/>
      <c r="AO683" s="626"/>
      <c r="AP683" s="1976">
        <f>+AP672-AP687</f>
        <v>2.7019999999999995</v>
      </c>
      <c r="AQ683" s="1950">
        <f>+SUM(AM683:AP683)</f>
        <v>2.7019999999999995</v>
      </c>
      <c r="AR683" s="1976">
        <f>+AR672-AR687</f>
        <v>23.478000000000002</v>
      </c>
      <c r="AS683" s="1976">
        <f>+AS672-AS687</f>
        <v>22.263000000000002</v>
      </c>
      <c r="AT683" s="1976">
        <f>+AT672-AT687</f>
        <v>23.074999999999996</v>
      </c>
      <c r="AU683" s="626">
        <f>+AU676+AU679</f>
        <v>23.974781695873752</v>
      </c>
      <c r="AV683" s="1950">
        <f>+SUM(AR683:AU683)</f>
        <v>92.790781695873761</v>
      </c>
      <c r="AW683" s="626">
        <f>+AW676+AW679</f>
        <v>29.143558799700003</v>
      </c>
      <c r="AX683" s="626">
        <f>+AX676+AX679</f>
        <v>30.485783911399999</v>
      </c>
      <c r="AY683" s="626">
        <f>+AY676+AY679</f>
        <v>30.235714596400001</v>
      </c>
      <c r="AZ683" s="626">
        <f>+AZ676+AZ679</f>
        <v>26.709709741700003</v>
      </c>
      <c r="BA683" s="1950">
        <f>+SUM(AW683:AZ683)</f>
        <v>116.57476704920001</v>
      </c>
      <c r="BB683" s="626">
        <f>+BB676+BB679</f>
        <v>26.827934263300001</v>
      </c>
      <c r="BC683" s="626">
        <f>+BC676+BC679</f>
        <v>26.416393707600001</v>
      </c>
      <c r="BD683" s="626">
        <f>+BD676+BD679</f>
        <v>27.349724813600002</v>
      </c>
      <c r="BE683" s="626">
        <f>+BE676+BE679</f>
        <v>26.946007766699999</v>
      </c>
      <c r="BF683" s="1950">
        <f>+SUM(BB683:BE683)</f>
        <v>107.54006055120001</v>
      </c>
      <c r="BG683" s="625">
        <f>+BG676+BG679</f>
        <v>27.671717867799998</v>
      </c>
      <c r="BH683" s="626">
        <f>+BH676+BH679</f>
        <v>27.084995078400006</v>
      </c>
      <c r="BI683" s="626">
        <f>+BI676+BI679</f>
        <v>27.390474922400003</v>
      </c>
      <c r="BJ683" s="1893">
        <f>+BJ676+BJ679</f>
        <v>27.222929852699998</v>
      </c>
      <c r="BK683" s="1950">
        <f>+SUM(BG683:BJ683)</f>
        <v>109.37011772130001</v>
      </c>
      <c r="BL683" s="626">
        <f>+BL676+BL679</f>
        <v>27.900259957500001</v>
      </c>
      <c r="BM683" s="626">
        <f>+BM676+BM679</f>
        <v>26.5624128792</v>
      </c>
      <c r="BN683" s="626"/>
      <c r="BO683" s="1893"/>
      <c r="BP683" s="1950"/>
      <c r="BQ683" s="626"/>
      <c r="BR683" s="626"/>
      <c r="BS683" s="626"/>
      <c r="BT683" s="1893"/>
      <c r="BU683" s="3406"/>
      <c r="BV683" s="626"/>
      <c r="BW683" s="626"/>
      <c r="BX683" s="626"/>
      <c r="BY683" s="1893"/>
      <c r="BZ683" s="1950"/>
      <c r="CA683" s="1950"/>
      <c r="CB683" s="1950"/>
      <c r="CC683" s="1950"/>
      <c r="CD683" s="1950"/>
      <c r="CE683" s="1950"/>
      <c r="CF683" s="1950"/>
      <c r="CG683" s="1950"/>
      <c r="CH683" s="626"/>
      <c r="CI683" s="626"/>
      <c r="CJ683" s="626"/>
      <c r="CK683" s="626"/>
      <c r="CL683" s="626"/>
      <c r="CM683" s="626"/>
      <c r="CN683" s="626"/>
      <c r="CO683" s="626"/>
      <c r="CP683" s="994"/>
      <c r="CQ683" s="626"/>
      <c r="CR683" s="626"/>
      <c r="CS683" s="626"/>
      <c r="CT683" s="626"/>
      <c r="CU683" s="626"/>
      <c r="CV683" s="626"/>
      <c r="CW683" s="626"/>
      <c r="CX683" s="626"/>
      <c r="CY683" s="626"/>
      <c r="CZ683" s="626"/>
      <c r="DA683" s="626"/>
      <c r="DB683" s="626"/>
      <c r="DC683" s="626"/>
      <c r="DD683" s="626"/>
      <c r="DE683" s="626"/>
      <c r="DF683" s="626"/>
      <c r="DG683" s="1893"/>
      <c r="DH683" s="632"/>
      <c r="DI683" s="595"/>
      <c r="DJ683" s="595"/>
      <c r="DK683" s="595"/>
      <c r="DL683" s="595"/>
      <c r="DM683" s="595"/>
      <c r="DN683" s="514"/>
      <c r="DO683" s="77"/>
      <c r="DY683" s="1634"/>
      <c r="DZ683" s="1634"/>
    </row>
    <row r="684" spans="1:132" ht="12" hidden="1" customHeight="1" outlineLevel="1">
      <c r="A684" s="567" t="s">
        <v>1664</v>
      </c>
      <c r="B684" s="228"/>
      <c r="C684" s="228"/>
      <c r="D684" s="625"/>
      <c r="E684" s="626"/>
      <c r="F684" s="626"/>
      <c r="G684" s="626"/>
      <c r="H684" s="788"/>
      <c r="I684" s="626"/>
      <c r="J684" s="626"/>
      <c r="K684" s="626"/>
      <c r="L684" s="626"/>
      <c r="M684" s="788"/>
      <c r="N684" s="626"/>
      <c r="O684" s="626"/>
      <c r="P684" s="626"/>
      <c r="Q684" s="626"/>
      <c r="R684" s="788"/>
      <c r="S684" s="626"/>
      <c r="T684" s="626"/>
      <c r="U684" s="626"/>
      <c r="V684" s="626"/>
      <c r="W684" s="788"/>
      <c r="X684" s="626"/>
      <c r="Y684" s="626"/>
      <c r="Z684" s="626"/>
      <c r="AA684" s="626"/>
      <c r="AB684" s="788"/>
      <c r="AC684" s="626"/>
      <c r="AD684" s="626"/>
      <c r="AE684" s="626"/>
      <c r="AF684" s="626"/>
      <c r="AG684" s="788"/>
      <c r="AH684" s="626"/>
      <c r="AI684" s="626"/>
      <c r="AJ684" s="626"/>
      <c r="AK684" s="626"/>
      <c r="AL684" s="788"/>
      <c r="AM684" s="860"/>
      <c r="AN684" s="860"/>
      <c r="AO684" s="860"/>
      <c r="AP684" s="860">
        <f t="shared" ref="AP684:BF684" si="1369">+AP683/AP672</f>
        <v>0.44883720930232551</v>
      </c>
      <c r="AQ684" s="1975">
        <f t="shared" si="1369"/>
        <v>0.44883720930232551</v>
      </c>
      <c r="AR684" s="860">
        <f t="shared" si="1369"/>
        <v>0.46709374502626133</v>
      </c>
      <c r="AS684" s="860">
        <f t="shared" si="1369"/>
        <v>0.49171746620726214</v>
      </c>
      <c r="AT684" s="860">
        <f t="shared" si="1369"/>
        <v>0.4976277765796851</v>
      </c>
      <c r="AU684" s="860">
        <f t="shared" si="1369"/>
        <v>0.51811742082612777</v>
      </c>
      <c r="AV684" s="1975">
        <f t="shared" si="1369"/>
        <v>0.49308834612690622</v>
      </c>
      <c r="AW684" s="860">
        <f t="shared" si="1369"/>
        <v>0.53588922026721253</v>
      </c>
      <c r="AX684" s="860">
        <f t="shared" si="1369"/>
        <v>0.58912746634751112</v>
      </c>
      <c r="AY684" s="860">
        <f t="shared" si="1369"/>
        <v>0.59672635398564744</v>
      </c>
      <c r="AZ684" s="860">
        <f t="shared" si="1369"/>
        <v>0.56540852565868005</v>
      </c>
      <c r="BA684" s="1975">
        <f t="shared" si="1369"/>
        <v>0.57133325217952413</v>
      </c>
      <c r="BB684" s="860">
        <f t="shared" si="1369"/>
        <v>0.54457465216925638</v>
      </c>
      <c r="BC684" s="860">
        <f t="shared" si="1369"/>
        <v>0.54784982463388554</v>
      </c>
      <c r="BD684" s="860">
        <f t="shared" si="1369"/>
        <v>0.57322030929770906</v>
      </c>
      <c r="BE684" s="860">
        <f t="shared" si="1369"/>
        <v>0.55923429589015539</v>
      </c>
      <c r="BF684" s="1975">
        <f t="shared" si="1369"/>
        <v>0.55611178509523496</v>
      </c>
      <c r="BG684" s="861">
        <f t="shared" ref="BG684:BM684" si="1370">+BG683/BG672</f>
        <v>0.54495454700509083</v>
      </c>
      <c r="BH684" s="860">
        <f t="shared" si="1370"/>
        <v>0.53995821321937276</v>
      </c>
      <c r="BI684" s="860">
        <f t="shared" si="1370"/>
        <v>0.56215050168275249</v>
      </c>
      <c r="BJ684" s="1295">
        <f t="shared" si="1370"/>
        <v>0.55952278746173334</v>
      </c>
      <c r="BK684" s="1975">
        <f t="shared" si="1370"/>
        <v>0.55148972979567534</v>
      </c>
      <c r="BL684" s="860">
        <f t="shared" si="1370"/>
        <v>0.5433572944202123</v>
      </c>
      <c r="BM684" s="860">
        <f t="shared" si="1370"/>
        <v>0.55388605754081133</v>
      </c>
      <c r="BN684" s="860"/>
      <c r="BO684" s="1295"/>
      <c r="BP684" s="1975"/>
      <c r="BQ684" s="860"/>
      <c r="BR684" s="860"/>
      <c r="BS684" s="860"/>
      <c r="BT684" s="1295"/>
      <c r="BU684" s="3407"/>
      <c r="BV684" s="860"/>
      <c r="BW684" s="860"/>
      <c r="BX684" s="860"/>
      <c r="BY684" s="1295"/>
      <c r="BZ684" s="1975"/>
      <c r="CA684" s="1975"/>
      <c r="CB684" s="1975"/>
      <c r="CC684" s="1975"/>
      <c r="CD684" s="1975"/>
      <c r="CE684" s="1975"/>
      <c r="CF684" s="1975"/>
      <c r="CG684" s="1975"/>
      <c r="CH684" s="626"/>
      <c r="CI684" s="626"/>
      <c r="CJ684" s="626"/>
      <c r="CK684" s="626"/>
      <c r="CL684" s="626"/>
      <c r="CM684" s="626"/>
      <c r="CN684" s="626"/>
      <c r="CO684" s="626"/>
      <c r="CP684" s="994"/>
      <c r="CQ684" s="626"/>
      <c r="CR684" s="626"/>
      <c r="CS684" s="626"/>
      <c r="CT684" s="626"/>
      <c r="CU684" s="626"/>
      <c r="CV684" s="626"/>
      <c r="CW684" s="626"/>
      <c r="CX684" s="626"/>
      <c r="CY684" s="626"/>
      <c r="CZ684" s="626"/>
      <c r="DA684" s="626"/>
      <c r="DB684" s="626"/>
      <c r="DC684" s="626"/>
      <c r="DD684" s="626"/>
      <c r="DE684" s="626"/>
      <c r="DF684" s="626"/>
      <c r="DG684" s="1893"/>
      <c r="DH684" s="632"/>
      <c r="DI684" s="595"/>
      <c r="DJ684" s="595"/>
      <c r="DK684" s="595"/>
      <c r="DL684" s="595"/>
      <c r="DM684" s="595"/>
      <c r="DN684" s="514"/>
      <c r="DO684" s="77"/>
      <c r="DY684" s="769"/>
      <c r="DZ684" s="769"/>
    </row>
    <row r="685" spans="1:132" ht="12" hidden="1" customHeight="1" outlineLevel="1">
      <c r="A685" s="567" t="s">
        <v>1153</v>
      </c>
      <c r="B685" s="228"/>
      <c r="C685" s="228"/>
      <c r="D685" s="625"/>
      <c r="E685" s="626"/>
      <c r="F685" s="626"/>
      <c r="G685" s="626"/>
      <c r="H685" s="788"/>
      <c r="I685" s="626"/>
      <c r="J685" s="626"/>
      <c r="K685" s="626"/>
      <c r="L685" s="626"/>
      <c r="M685" s="788"/>
      <c r="N685" s="626"/>
      <c r="O685" s="626"/>
      <c r="P685" s="626"/>
      <c r="Q685" s="626"/>
      <c r="R685" s="788"/>
      <c r="S685" s="626"/>
      <c r="T685" s="626"/>
      <c r="U685" s="626"/>
      <c r="V685" s="626"/>
      <c r="W685" s="788"/>
      <c r="X685" s="626"/>
      <c r="Y685" s="626"/>
      <c r="Z685" s="626"/>
      <c r="AA685" s="626"/>
      <c r="AB685" s="788"/>
      <c r="AC685" s="626"/>
      <c r="AD685" s="626"/>
      <c r="AE685" s="626"/>
      <c r="AF685" s="626"/>
      <c r="AG685" s="788"/>
      <c r="AH685" s="626"/>
      <c r="AI685" s="626"/>
      <c r="AJ685" s="626"/>
      <c r="AK685" s="626"/>
      <c r="AL685" s="788"/>
      <c r="AM685" s="626"/>
      <c r="AN685" s="261"/>
      <c r="AO685" s="626"/>
      <c r="AP685" s="330"/>
      <c r="AQ685" s="1439"/>
      <c r="AR685" s="573"/>
      <c r="AS685" s="573"/>
      <c r="AT685" s="573"/>
      <c r="AU685" s="573">
        <f t="shared" ref="AU685:BF685" si="1371">+AU683/AP683-1</f>
        <v>7.8729762012856241</v>
      </c>
      <c r="AV685" s="1975">
        <f t="shared" si="1371"/>
        <v>33.341518022159057</v>
      </c>
      <c r="AW685" s="573">
        <f t="shared" si="1371"/>
        <v>0.24131351902632248</v>
      </c>
      <c r="AX685" s="573">
        <f t="shared" si="1371"/>
        <v>0.36934752330773013</v>
      </c>
      <c r="AY685" s="573">
        <f t="shared" si="1371"/>
        <v>0.31032349280173377</v>
      </c>
      <c r="AZ685" s="573">
        <f t="shared" si="1371"/>
        <v>0.11407520120598025</v>
      </c>
      <c r="BA685" s="1975">
        <f t="shared" si="1371"/>
        <v>0.25631840705124564</v>
      </c>
      <c r="BB685" s="573">
        <f t="shared" si="1371"/>
        <v>-7.9455791666178999E-2</v>
      </c>
      <c r="BC685" s="573">
        <f t="shared" si="1371"/>
        <v>-0.13348484708894992</v>
      </c>
      <c r="BD685" s="573">
        <f t="shared" si="1371"/>
        <v>-9.5449696536810791E-2</v>
      </c>
      <c r="BE685" s="573">
        <f t="shared" si="1371"/>
        <v>8.8468960271432806E-3</v>
      </c>
      <c r="BF685" s="1975">
        <f t="shared" si="1371"/>
        <v>-7.7501390109464441E-2</v>
      </c>
      <c r="BG685" s="2730">
        <f t="shared" ref="BG685:BM685" si="1372">+BG683/BB683-1</f>
        <v>3.1451680036888696E-2</v>
      </c>
      <c r="BH685" s="573">
        <f t="shared" si="1372"/>
        <v>2.5310092596312561E-2</v>
      </c>
      <c r="BI685" s="573">
        <f t="shared" si="1372"/>
        <v>1.4899641249677131E-3</v>
      </c>
      <c r="BJ685" s="2135">
        <f t="shared" si="1372"/>
        <v>1.027692444823769E-2</v>
      </c>
      <c r="BK685" s="1975">
        <f t="shared" si="1372"/>
        <v>1.7017445970552547E-2</v>
      </c>
      <c r="BL685" s="573">
        <f t="shared" si="1372"/>
        <v>8.2590495751599935E-3</v>
      </c>
      <c r="BM685" s="573">
        <f t="shared" si="1372"/>
        <v>-1.9294158912982806E-2</v>
      </c>
      <c r="BN685" s="573"/>
      <c r="BO685" s="2135"/>
      <c r="BP685" s="1975"/>
      <c r="BQ685" s="573"/>
      <c r="BR685" s="573"/>
      <c r="BS685" s="573"/>
      <c r="BT685" s="2135"/>
      <c r="BU685" s="3407"/>
      <c r="BV685" s="573"/>
      <c r="BW685" s="573"/>
      <c r="BX685" s="573"/>
      <c r="BY685" s="2135"/>
      <c r="BZ685" s="1621"/>
      <c r="CA685" s="1621"/>
      <c r="CB685" s="1621"/>
      <c r="CC685" s="1621"/>
      <c r="CD685" s="1621"/>
      <c r="CE685" s="1621"/>
      <c r="CF685" s="1621"/>
      <c r="CG685" s="1621"/>
      <c r="CH685" s="626"/>
      <c r="CI685" s="626"/>
      <c r="CJ685" s="626"/>
      <c r="CK685" s="626"/>
      <c r="CL685" s="626"/>
      <c r="CM685" s="626"/>
      <c r="CN685" s="626"/>
      <c r="CO685" s="626"/>
      <c r="CP685" s="994"/>
      <c r="CQ685" s="626"/>
      <c r="CR685" s="626"/>
      <c r="CS685" s="626"/>
      <c r="CT685" s="626"/>
      <c r="CU685" s="626"/>
      <c r="CV685" s="626"/>
      <c r="CW685" s="626"/>
      <c r="CX685" s="626"/>
      <c r="CY685" s="626"/>
      <c r="CZ685" s="626"/>
      <c r="DA685" s="626"/>
      <c r="DB685" s="626"/>
      <c r="DC685" s="626"/>
      <c r="DD685" s="626"/>
      <c r="DE685" s="626"/>
      <c r="DF685" s="626"/>
      <c r="DG685" s="1893"/>
      <c r="DH685" s="632"/>
      <c r="DI685" s="595"/>
      <c r="DJ685" s="595"/>
      <c r="DK685" s="595"/>
      <c r="DL685" s="595"/>
      <c r="DM685" s="595"/>
      <c r="DN685" s="514"/>
      <c r="DO685" s="77"/>
      <c r="DY685" s="769"/>
      <c r="DZ685" s="769"/>
    </row>
    <row r="686" spans="1:132" ht="12" hidden="1" customHeight="1" outlineLevel="1">
      <c r="A686" s="552"/>
      <c r="B686" s="228"/>
      <c r="C686" s="228"/>
      <c r="D686" s="625"/>
      <c r="E686" s="626"/>
      <c r="F686" s="626"/>
      <c r="G686" s="626"/>
      <c r="H686" s="788"/>
      <c r="I686" s="626"/>
      <c r="J686" s="626"/>
      <c r="K686" s="626"/>
      <c r="L686" s="626"/>
      <c r="M686" s="788"/>
      <c r="N686" s="626"/>
      <c r="O686" s="626"/>
      <c r="P686" s="626"/>
      <c r="Q686" s="626"/>
      <c r="R686" s="788"/>
      <c r="S686" s="626"/>
      <c r="T686" s="626"/>
      <c r="U686" s="626"/>
      <c r="V686" s="626"/>
      <c r="W686" s="788"/>
      <c r="X686" s="626"/>
      <c r="Y686" s="626"/>
      <c r="Z686" s="626"/>
      <c r="AA686" s="626"/>
      <c r="AB686" s="788"/>
      <c r="AC686" s="626"/>
      <c r="AD686" s="626"/>
      <c r="AE686" s="626"/>
      <c r="AF686" s="626"/>
      <c r="AG686" s="788"/>
      <c r="AH686" s="626"/>
      <c r="AI686" s="626"/>
      <c r="AJ686" s="626"/>
      <c r="AK686" s="626"/>
      <c r="AL686" s="788"/>
      <c r="AM686" s="626"/>
      <c r="AN686" s="261"/>
      <c r="AO686" s="626"/>
      <c r="AP686" s="330"/>
      <c r="AQ686" s="1439"/>
      <c r="AR686" s="330"/>
      <c r="AS686" s="330"/>
      <c r="AT686" s="330"/>
      <c r="AU686" s="626"/>
      <c r="AV686" s="1439"/>
      <c r="AW686" s="626"/>
      <c r="AX686" s="626"/>
      <c r="AY686" s="626"/>
      <c r="AZ686" s="626"/>
      <c r="BA686" s="1439"/>
      <c r="BB686" s="626"/>
      <c r="BC686" s="626"/>
      <c r="BD686" s="626"/>
      <c r="BE686" s="626"/>
      <c r="BF686" s="1439"/>
      <c r="BG686" s="678"/>
      <c r="BH686" s="330"/>
      <c r="BI686" s="3209"/>
      <c r="BJ686" s="2136"/>
      <c r="BK686" s="1439"/>
      <c r="BL686" s="330"/>
      <c r="BM686" s="330"/>
      <c r="BN686" s="330"/>
      <c r="BO686" s="2136"/>
      <c r="BP686" s="1439"/>
      <c r="BQ686" s="330"/>
      <c r="BR686" s="330"/>
      <c r="BS686" s="330"/>
      <c r="BT686" s="2136"/>
      <c r="BU686" s="3406"/>
      <c r="BV686" s="330"/>
      <c r="BW686" s="330"/>
      <c r="BX686" s="330"/>
      <c r="BY686" s="2136"/>
      <c r="BZ686" s="1439"/>
      <c r="CA686" s="1439"/>
      <c r="CB686" s="1439"/>
      <c r="CC686" s="1439"/>
      <c r="CD686" s="1439"/>
      <c r="CE686" s="1439"/>
      <c r="CF686" s="1439"/>
      <c r="CG686" s="1439"/>
      <c r="CH686" s="626"/>
      <c r="CI686" s="626"/>
      <c r="CJ686" s="626"/>
      <c r="CK686" s="626"/>
      <c r="CL686" s="626"/>
      <c r="CM686" s="626"/>
      <c r="CN686" s="626"/>
      <c r="CO686" s="626"/>
      <c r="CP686" s="994"/>
      <c r="CQ686" s="626"/>
      <c r="CR686" s="626"/>
      <c r="CS686" s="626"/>
      <c r="CT686" s="626"/>
      <c r="CU686" s="626"/>
      <c r="CV686" s="626"/>
      <c r="CW686" s="626"/>
      <c r="CX686" s="626"/>
      <c r="CY686" s="626"/>
      <c r="CZ686" s="626"/>
      <c r="DA686" s="626"/>
      <c r="DB686" s="626"/>
      <c r="DC686" s="626"/>
      <c r="DD686" s="626"/>
      <c r="DE686" s="626"/>
      <c r="DF686" s="626"/>
      <c r="DG686" s="1893"/>
      <c r="DH686" s="632"/>
      <c r="DI686" s="595"/>
      <c r="DJ686" s="595"/>
      <c r="DK686" s="595"/>
      <c r="DL686" s="595"/>
      <c r="DM686" s="595"/>
      <c r="DN686" s="514"/>
      <c r="DO686" s="77"/>
      <c r="DY686" s="330"/>
      <c r="DZ686" s="330"/>
    </row>
    <row r="687" spans="1:132" ht="12" hidden="1" customHeight="1" outlineLevel="1">
      <c r="A687" s="228" t="s">
        <v>401</v>
      </c>
      <c r="B687" s="228"/>
      <c r="C687" s="228"/>
      <c r="D687" s="625"/>
      <c r="E687" s="626"/>
      <c r="F687" s="626"/>
      <c r="G687" s="626"/>
      <c r="H687" s="788"/>
      <c r="I687" s="626"/>
      <c r="J687" s="626"/>
      <c r="K687" s="626"/>
      <c r="L687" s="626"/>
      <c r="M687" s="788"/>
      <c r="N687" s="626"/>
      <c r="O687" s="626"/>
      <c r="P687" s="626"/>
      <c r="Q687" s="626"/>
      <c r="R687" s="788"/>
      <c r="S687" s="626"/>
      <c r="T687" s="626"/>
      <c r="U687" s="626"/>
      <c r="V687" s="626"/>
      <c r="W687" s="788"/>
      <c r="X687" s="626"/>
      <c r="Y687" s="626"/>
      <c r="Z687" s="626"/>
      <c r="AA687" s="626"/>
      <c r="AB687" s="788"/>
      <c r="AC687" s="626"/>
      <c r="AD687" s="626"/>
      <c r="AE687" s="626"/>
      <c r="AF687" s="626"/>
      <c r="AG687" s="788"/>
      <c r="AH687" s="626"/>
      <c r="AI687" s="626"/>
      <c r="AJ687" s="626"/>
      <c r="AK687" s="626"/>
      <c r="AL687" s="788"/>
      <c r="AM687" s="827"/>
      <c r="AN687" s="827"/>
      <c r="AO687" s="827"/>
      <c r="AP687" s="827">
        <v>3.3180000000000001</v>
      </c>
      <c r="AQ687" s="556">
        <f>+SUM(AM687:AP687)</f>
        <v>3.3180000000000001</v>
      </c>
      <c r="AR687" s="827">
        <v>26.786000000000001</v>
      </c>
      <c r="AS687" s="827">
        <v>23.013000000000002</v>
      </c>
      <c r="AT687" s="827">
        <v>23.295000000000002</v>
      </c>
      <c r="AU687" s="826">
        <f>+AU672-AU683</f>
        <v>22.298091464126244</v>
      </c>
      <c r="AV687" s="556">
        <f>+SUM(AR687:AU687)</f>
        <v>95.392091464126253</v>
      </c>
      <c r="AW687" s="826">
        <f>+AW672-AW683</f>
        <v>25.239992310299996</v>
      </c>
      <c r="AX687" s="826">
        <f>+AX672-AX683</f>
        <v>21.261563908599996</v>
      </c>
      <c r="AY687" s="826">
        <f>+AY672-AY683</f>
        <v>20.433598723599999</v>
      </c>
      <c r="AZ687" s="826">
        <f>+AZ672-AZ683</f>
        <v>20.529955968300001</v>
      </c>
      <c r="BA687" s="556">
        <f>+SUM(AW687:AZ687)</f>
        <v>87.465110910799993</v>
      </c>
      <c r="BB687" s="826">
        <f>+BB672-BB683</f>
        <v>22.436081526699994</v>
      </c>
      <c r="BC687" s="826">
        <f>+BC672-BC683</f>
        <v>21.801918172400001</v>
      </c>
      <c r="BD687" s="826">
        <f>+BD672-BD683</f>
        <v>20.362689366400001</v>
      </c>
      <c r="BE687" s="826">
        <f>+BE672-BE683</f>
        <v>21.237746278299994</v>
      </c>
      <c r="BF687" s="556">
        <f>+SUM(BB687:BE687)</f>
        <v>85.838435343799986</v>
      </c>
      <c r="BG687" s="2731">
        <f>+BG672-BG683</f>
        <v>23.106311272199996</v>
      </c>
      <c r="BH687" s="826">
        <f>+BH672-BH683</f>
        <v>23.0762848416</v>
      </c>
      <c r="BI687" s="826">
        <f>+BI672-BI683</f>
        <v>21.333976697600001</v>
      </c>
      <c r="BJ687" s="1900">
        <f>+BJ672-BJ683</f>
        <v>21.430905992299998</v>
      </c>
      <c r="BK687" s="556">
        <f>+SUM(BG687:BJ687)</f>
        <v>88.947478803699994</v>
      </c>
      <c r="BL687" s="826">
        <f>+BL672-BL683</f>
        <v>23.447647292499997</v>
      </c>
      <c r="BM687" s="826">
        <f>+BM672-BM683</f>
        <v>21.394044080799997</v>
      </c>
      <c r="BN687" s="826"/>
      <c r="BO687" s="1900"/>
      <c r="BP687" s="556"/>
      <c r="BQ687" s="826"/>
      <c r="BR687" s="826"/>
      <c r="BS687" s="826"/>
      <c r="BT687" s="1900"/>
      <c r="BU687" s="3372"/>
      <c r="BV687" s="826"/>
      <c r="BW687" s="826"/>
      <c r="BX687" s="826"/>
      <c r="BY687" s="1900"/>
      <c r="BZ687" s="556"/>
      <c r="CA687" s="556"/>
      <c r="CB687" s="556"/>
      <c r="CC687" s="556"/>
      <c r="CD687" s="556"/>
      <c r="CE687" s="556"/>
      <c r="CF687" s="556"/>
      <c r="CG687" s="556"/>
      <c r="CH687" s="626"/>
      <c r="CI687" s="626"/>
      <c r="CJ687" s="626"/>
      <c r="CK687" s="626"/>
      <c r="CL687" s="626"/>
      <c r="CM687" s="626"/>
      <c r="CN687" s="626"/>
      <c r="CO687" s="626"/>
      <c r="CP687" s="994"/>
      <c r="CQ687" s="626"/>
      <c r="CR687" s="626"/>
      <c r="CS687" s="626"/>
      <c r="CT687" s="626"/>
      <c r="CU687" s="626"/>
      <c r="CV687" s="626"/>
      <c r="CW687" s="626"/>
      <c r="CX687" s="626"/>
      <c r="CY687" s="626"/>
      <c r="CZ687" s="626"/>
      <c r="DA687" s="626"/>
      <c r="DB687" s="626"/>
      <c r="DC687" s="626"/>
      <c r="DD687" s="626"/>
      <c r="DE687" s="626"/>
      <c r="DF687" s="626"/>
      <c r="DG687" s="1893"/>
      <c r="DH687" s="632"/>
      <c r="DI687" s="595"/>
      <c r="DJ687" s="595"/>
      <c r="DK687" s="595"/>
      <c r="DL687" s="595"/>
      <c r="DM687" s="595"/>
      <c r="DN687" s="514"/>
      <c r="DO687" s="77"/>
      <c r="DY687" s="557"/>
      <c r="DZ687" s="557"/>
    </row>
    <row r="688" spans="1:132" ht="12" hidden="1" customHeight="1" outlineLevel="1">
      <c r="A688" s="567" t="s">
        <v>1157</v>
      </c>
      <c r="B688" s="228"/>
      <c r="C688" s="228"/>
      <c r="D688" s="625"/>
      <c r="E688" s="626"/>
      <c r="F688" s="626"/>
      <c r="G688" s="626"/>
      <c r="H688" s="788"/>
      <c r="I688" s="626"/>
      <c r="J688" s="626"/>
      <c r="K688" s="626"/>
      <c r="L688" s="626"/>
      <c r="M688" s="788"/>
      <c r="N688" s="626"/>
      <c r="O688" s="626"/>
      <c r="P688" s="626"/>
      <c r="Q688" s="626"/>
      <c r="R688" s="788"/>
      <c r="S688" s="626"/>
      <c r="T688" s="626"/>
      <c r="U688" s="626"/>
      <c r="V688" s="626"/>
      <c r="W688" s="788"/>
      <c r="X688" s="626"/>
      <c r="Y688" s="626"/>
      <c r="Z688" s="626"/>
      <c r="AA688" s="626"/>
      <c r="AB688" s="788"/>
      <c r="AC688" s="626"/>
      <c r="AD688" s="626"/>
      <c r="AE688" s="626"/>
      <c r="AF688" s="626"/>
      <c r="AG688" s="788"/>
      <c r="AH688" s="626"/>
      <c r="AI688" s="626"/>
      <c r="AJ688" s="626"/>
      <c r="AK688" s="626"/>
      <c r="AL688" s="788"/>
      <c r="AM688" s="827"/>
      <c r="AN688" s="827"/>
      <c r="AO688" s="827"/>
      <c r="AP688" s="573">
        <f t="shared" ref="AP688:BK688" si="1373">+AP687/AP672</f>
        <v>0.55116279069767449</v>
      </c>
      <c r="AQ688" s="562">
        <f t="shared" si="1373"/>
        <v>0.55116279069767449</v>
      </c>
      <c r="AR688" s="573">
        <f t="shared" si="1373"/>
        <v>0.53290625497373867</v>
      </c>
      <c r="AS688" s="573">
        <f t="shared" si="1373"/>
        <v>0.50828253379273791</v>
      </c>
      <c r="AT688" s="573">
        <f t="shared" si="1373"/>
        <v>0.50237222342031496</v>
      </c>
      <c r="AU688" s="573">
        <f t="shared" si="1373"/>
        <v>0.48188257917387223</v>
      </c>
      <c r="AV688" s="562">
        <f t="shared" si="1373"/>
        <v>0.50691165387309389</v>
      </c>
      <c r="AW688" s="573">
        <f t="shared" si="1373"/>
        <v>0.46411077973278742</v>
      </c>
      <c r="AX688" s="573">
        <f t="shared" si="1373"/>
        <v>0.41087253365248888</v>
      </c>
      <c r="AY688" s="573">
        <f t="shared" si="1373"/>
        <v>0.40327364601435256</v>
      </c>
      <c r="AZ688" s="573">
        <f t="shared" si="1373"/>
        <v>0.43459147434132001</v>
      </c>
      <c r="BA688" s="562">
        <f t="shared" si="1373"/>
        <v>0.42866674782047587</v>
      </c>
      <c r="BB688" s="573">
        <f t="shared" si="1373"/>
        <v>0.45542534783074362</v>
      </c>
      <c r="BC688" s="573">
        <f t="shared" si="1373"/>
        <v>0.45215017536611446</v>
      </c>
      <c r="BD688" s="573">
        <f t="shared" si="1373"/>
        <v>0.42677969070229094</v>
      </c>
      <c r="BE688" s="573">
        <f t="shared" si="1373"/>
        <v>0.44076570410984456</v>
      </c>
      <c r="BF688" s="562">
        <f t="shared" si="1373"/>
        <v>0.4438882149047651</v>
      </c>
      <c r="BG688" s="2730">
        <f>+BG687/BG672</f>
        <v>0.45504545299490917</v>
      </c>
      <c r="BH688" s="573">
        <f>+BH687/BH672</f>
        <v>0.46004178678062724</v>
      </c>
      <c r="BI688" s="573">
        <f>+BI687/BI672</f>
        <v>0.43784949831724757</v>
      </c>
      <c r="BJ688" s="2135">
        <f>+BJ687/BJ672</f>
        <v>0.4404772125382666</v>
      </c>
      <c r="BK688" s="562">
        <f t="shared" si="1373"/>
        <v>0.44851027020432471</v>
      </c>
      <c r="BL688" s="573">
        <f t="shared" ref="BL688:BM688" si="1374">+BL687/BL672</f>
        <v>0.45664270557978776</v>
      </c>
      <c r="BM688" s="573">
        <f t="shared" si="1374"/>
        <v>0.44611394245918867</v>
      </c>
      <c r="BN688" s="573"/>
      <c r="BO688" s="2135"/>
      <c r="BP688" s="562"/>
      <c r="BQ688" s="573"/>
      <c r="BR688" s="573"/>
      <c r="BS688" s="573"/>
      <c r="BT688" s="2135"/>
      <c r="BU688" s="3371"/>
      <c r="BV688" s="573"/>
      <c r="BW688" s="573"/>
      <c r="BX688" s="573"/>
      <c r="BY688" s="2135"/>
      <c r="BZ688" s="562"/>
      <c r="CA688" s="562"/>
      <c r="CB688" s="562"/>
      <c r="CC688" s="562"/>
      <c r="CD688" s="562"/>
      <c r="CE688" s="562"/>
      <c r="CF688" s="562"/>
      <c r="CG688" s="562"/>
      <c r="CH688" s="626"/>
      <c r="CI688" s="626"/>
      <c r="CJ688" s="626"/>
      <c r="CK688" s="626"/>
      <c r="CL688" s="626"/>
      <c r="CM688" s="626"/>
      <c r="CN688" s="626"/>
      <c r="CO688" s="626"/>
      <c r="CP688" s="994"/>
      <c r="CQ688" s="626"/>
      <c r="CR688" s="626"/>
      <c r="CS688" s="626"/>
      <c r="CT688" s="626"/>
      <c r="CU688" s="626"/>
      <c r="CV688" s="626"/>
      <c r="CW688" s="626"/>
      <c r="CX688" s="626"/>
      <c r="CY688" s="626"/>
      <c r="CZ688" s="626"/>
      <c r="DA688" s="626"/>
      <c r="DB688" s="626"/>
      <c r="DC688" s="626"/>
      <c r="DD688" s="626"/>
      <c r="DE688" s="626"/>
      <c r="DF688" s="626"/>
      <c r="DG688" s="1893"/>
      <c r="DH688" s="632"/>
      <c r="DI688" s="595"/>
      <c r="DJ688" s="595"/>
      <c r="DK688" s="595"/>
      <c r="DL688" s="595"/>
      <c r="DM688" s="595"/>
      <c r="DN688" s="514"/>
      <c r="DO688" s="77"/>
      <c r="DY688" s="561"/>
      <c r="DZ688" s="561"/>
    </row>
    <row r="689" spans="1:130" ht="12" hidden="1" customHeight="1" outlineLevel="1">
      <c r="A689" s="567" t="s">
        <v>1153</v>
      </c>
      <c r="B689" s="228"/>
      <c r="C689" s="228"/>
      <c r="D689" s="625"/>
      <c r="E689" s="626"/>
      <c r="F689" s="626"/>
      <c r="G689" s="626"/>
      <c r="H689" s="788"/>
      <c r="I689" s="626"/>
      <c r="J689" s="626"/>
      <c r="K689" s="626"/>
      <c r="L689" s="626"/>
      <c r="M689" s="788"/>
      <c r="N689" s="626"/>
      <c r="O689" s="626"/>
      <c r="P689" s="626"/>
      <c r="Q689" s="626"/>
      <c r="R689" s="788"/>
      <c r="S689" s="626"/>
      <c r="T689" s="626"/>
      <c r="U689" s="626"/>
      <c r="V689" s="626"/>
      <c r="W689" s="788"/>
      <c r="X689" s="626"/>
      <c r="Y689" s="626"/>
      <c r="Z689" s="626"/>
      <c r="AA689" s="626"/>
      <c r="AB689" s="788"/>
      <c r="AC689" s="626"/>
      <c r="AD689" s="626"/>
      <c r="AE689" s="626"/>
      <c r="AF689" s="626"/>
      <c r="AG689" s="788"/>
      <c r="AH689" s="626"/>
      <c r="AI689" s="626"/>
      <c r="AJ689" s="626"/>
      <c r="AK689" s="626"/>
      <c r="AL689" s="788"/>
      <c r="AM689" s="626"/>
      <c r="AN689" s="261"/>
      <c r="AO689" s="626"/>
      <c r="AP689" s="330"/>
      <c r="AQ689" s="1439"/>
      <c r="AR689" s="573"/>
      <c r="AS689" s="573"/>
      <c r="AT689" s="573"/>
      <c r="AU689" s="573"/>
      <c r="AV689" s="1621"/>
      <c r="AW689" s="573">
        <f t="shared" ref="AW689:BF689" si="1375">+AW687/AR687-1</f>
        <v>-5.7717004767416036E-2</v>
      </c>
      <c r="AX689" s="573">
        <f t="shared" si="1375"/>
        <v>-7.6106378629470561E-2</v>
      </c>
      <c r="AY689" s="573">
        <f t="shared" si="1375"/>
        <v>-0.12283328080704026</v>
      </c>
      <c r="AZ689" s="573">
        <f t="shared" si="1375"/>
        <v>-7.9295373717112372E-2</v>
      </c>
      <c r="BA689" s="1621">
        <f t="shared" si="1375"/>
        <v>-8.3098928136063899E-2</v>
      </c>
      <c r="BB689" s="573">
        <f t="shared" si="1375"/>
        <v>-0.11109000149955572</v>
      </c>
      <c r="BC689" s="573">
        <f t="shared" si="1375"/>
        <v>2.5414605723403039E-2</v>
      </c>
      <c r="BD689" s="573">
        <f t="shared" si="1375"/>
        <v>-3.4702334209050223E-3</v>
      </c>
      <c r="BE689" s="573">
        <f t="shared" si="1375"/>
        <v>3.44759779851882E-2</v>
      </c>
      <c r="BF689" s="1621">
        <f t="shared" si="1375"/>
        <v>-1.8597993532060486E-2</v>
      </c>
      <c r="BG689" s="2730">
        <f t="shared" ref="BG689:BM689" si="1376">+BG687/BB687-1</f>
        <v>2.9872852115570891E-2</v>
      </c>
      <c r="BH689" s="573">
        <f t="shared" si="1376"/>
        <v>5.8452043490984096E-2</v>
      </c>
      <c r="BI689" s="573">
        <f t="shared" si="1376"/>
        <v>4.7699363955465479E-2</v>
      </c>
      <c r="BJ689" s="2135">
        <f t="shared" si="1376"/>
        <v>9.0951135524850457E-3</v>
      </c>
      <c r="BK689" s="1621">
        <f t="shared" si="1376"/>
        <v>3.6219712619966371E-2</v>
      </c>
      <c r="BL689" s="573">
        <f t="shared" si="1376"/>
        <v>1.4772415046216292E-2</v>
      </c>
      <c r="BM689" s="573">
        <f t="shared" si="1376"/>
        <v>-7.2899115795598046E-2</v>
      </c>
      <c r="BN689" s="573"/>
      <c r="BO689" s="2135"/>
      <c r="BP689" s="1621"/>
      <c r="BQ689" s="573"/>
      <c r="BR689" s="573"/>
      <c r="BS689" s="573"/>
      <c r="BT689" s="2135"/>
      <c r="BU689" s="3371"/>
      <c r="BV689" s="573"/>
      <c r="BW689" s="573"/>
      <c r="BX689" s="573"/>
      <c r="BY689" s="2135"/>
      <c r="BZ689" s="1621"/>
      <c r="CA689" s="1621"/>
      <c r="CB689" s="1621"/>
      <c r="CC689" s="1621"/>
      <c r="CD689" s="1621"/>
      <c r="CE689" s="1621"/>
      <c r="CF689" s="1621"/>
      <c r="CG689" s="1621"/>
      <c r="CH689" s="626"/>
      <c r="CI689" s="626"/>
      <c r="CJ689" s="626"/>
      <c r="CK689" s="626"/>
      <c r="CL689" s="626"/>
      <c r="CM689" s="626"/>
      <c r="CN689" s="626"/>
      <c r="CO689" s="626"/>
      <c r="CP689" s="994"/>
      <c r="CQ689" s="626"/>
      <c r="CR689" s="626"/>
      <c r="CS689" s="626"/>
      <c r="CT689" s="626"/>
      <c r="CU689" s="626"/>
      <c r="CV689" s="626"/>
      <c r="CW689" s="626"/>
      <c r="CX689" s="626"/>
      <c r="CY689" s="626"/>
      <c r="CZ689" s="626"/>
      <c r="DA689" s="626"/>
      <c r="DB689" s="626"/>
      <c r="DC689" s="626"/>
      <c r="DD689" s="626"/>
      <c r="DE689" s="626"/>
      <c r="DF689" s="626"/>
      <c r="DG689" s="1893"/>
      <c r="DH689" s="632"/>
      <c r="DI689" s="595"/>
      <c r="DJ689" s="595"/>
      <c r="DK689" s="595"/>
      <c r="DL689" s="595"/>
      <c r="DM689" s="595"/>
      <c r="DN689" s="514"/>
      <c r="DO689" s="77"/>
      <c r="DY689" s="573"/>
      <c r="DZ689" s="573"/>
    </row>
    <row r="690" spans="1:130" ht="12" hidden="1" customHeight="1" outlineLevel="1">
      <c r="A690" s="552"/>
      <c r="B690" s="228"/>
      <c r="C690" s="228"/>
      <c r="D690" s="625"/>
      <c r="E690" s="626"/>
      <c r="F690" s="626"/>
      <c r="G690" s="626"/>
      <c r="H690" s="788"/>
      <c r="I690" s="626"/>
      <c r="J690" s="626"/>
      <c r="K690" s="626"/>
      <c r="L690" s="626"/>
      <c r="M690" s="788"/>
      <c r="N690" s="626"/>
      <c r="O690" s="626"/>
      <c r="P690" s="626"/>
      <c r="Q690" s="626"/>
      <c r="R690" s="788"/>
      <c r="S690" s="626"/>
      <c r="T690" s="626"/>
      <c r="U690" s="626"/>
      <c r="V690" s="626"/>
      <c r="W690" s="788"/>
      <c r="X690" s="626"/>
      <c r="Y690" s="626"/>
      <c r="Z690" s="626"/>
      <c r="AA690" s="626"/>
      <c r="AB690" s="788"/>
      <c r="AC690" s="626"/>
      <c r="AD690" s="626"/>
      <c r="AE690" s="626"/>
      <c r="AF690" s="626"/>
      <c r="AG690" s="788"/>
      <c r="AH690" s="626"/>
      <c r="AI690" s="626"/>
      <c r="AJ690" s="626"/>
      <c r="AK690" s="626"/>
      <c r="AL690" s="788"/>
      <c r="AM690" s="626"/>
      <c r="AN690" s="261"/>
      <c r="AO690" s="626"/>
      <c r="AP690" s="330"/>
      <c r="AQ690" s="1439"/>
      <c r="AR690" s="330"/>
      <c r="AS690" s="1977"/>
      <c r="AT690" s="330"/>
      <c r="AU690" s="626"/>
      <c r="AV690" s="1951"/>
      <c r="AW690" s="573"/>
      <c r="AX690" s="573"/>
      <c r="AY690" s="573"/>
      <c r="AZ690" s="573"/>
      <c r="BA690" s="1439"/>
      <c r="BB690" s="626"/>
      <c r="BC690" s="261"/>
      <c r="BD690" s="626"/>
      <c r="BE690" s="626"/>
      <c r="BF690" s="1439"/>
      <c r="BG690" s="678"/>
      <c r="BH690" s="330"/>
      <c r="BI690" s="330"/>
      <c r="BJ690" s="2136"/>
      <c r="BK690" s="1439"/>
      <c r="BL690" s="330"/>
      <c r="BM690" s="330"/>
      <c r="BN690" s="330"/>
      <c r="BO690" s="2136"/>
      <c r="BP690" s="1439"/>
      <c r="BQ690" s="330"/>
      <c r="BR690" s="330"/>
      <c r="BS690" s="330"/>
      <c r="BT690" s="2136"/>
      <c r="BU690" s="3406"/>
      <c r="BV690" s="330"/>
      <c r="BW690" s="330"/>
      <c r="BX690" s="330"/>
      <c r="BY690" s="2136"/>
      <c r="BZ690" s="1439"/>
      <c r="CA690" s="1439"/>
      <c r="CB690" s="1439"/>
      <c r="CC690" s="1439"/>
      <c r="CD690" s="1439"/>
      <c r="CE690" s="1439"/>
      <c r="CF690" s="1439"/>
      <c r="CG690" s="1439"/>
      <c r="CH690" s="626"/>
      <c r="CI690" s="626"/>
      <c r="CJ690" s="626"/>
      <c r="CK690" s="626"/>
      <c r="CL690" s="626"/>
      <c r="CM690" s="626"/>
      <c r="CN690" s="626"/>
      <c r="CO690" s="626"/>
      <c r="CP690" s="994"/>
      <c r="CQ690" s="626"/>
      <c r="CR690" s="626"/>
      <c r="CS690" s="626"/>
      <c r="CT690" s="626"/>
      <c r="CU690" s="626"/>
      <c r="CV690" s="626"/>
      <c r="CW690" s="626"/>
      <c r="CX690" s="626"/>
      <c r="CY690" s="626"/>
      <c r="CZ690" s="626"/>
      <c r="DA690" s="626"/>
      <c r="DB690" s="626"/>
      <c r="DC690" s="626"/>
      <c r="DD690" s="626"/>
      <c r="DE690" s="626"/>
      <c r="DF690" s="626"/>
      <c r="DG690" s="1893"/>
      <c r="DH690" s="632"/>
      <c r="DI690" s="595"/>
      <c r="DJ690" s="595"/>
      <c r="DK690" s="595"/>
      <c r="DL690" s="595"/>
      <c r="DM690" s="595"/>
      <c r="DN690" s="514"/>
      <c r="DO690" s="77"/>
      <c r="DY690" s="330"/>
      <c r="DZ690" s="330"/>
    </row>
    <row r="691" spans="1:130" ht="12" hidden="1" customHeight="1" outlineLevel="1">
      <c r="A691" s="708" t="s">
        <v>1158</v>
      </c>
      <c r="B691" s="228"/>
      <c r="C691" s="228"/>
      <c r="D691" s="625"/>
      <c r="E691" s="626"/>
      <c r="F691" s="626"/>
      <c r="G691" s="626"/>
      <c r="H691" s="788"/>
      <c r="I691" s="626"/>
      <c r="J691" s="626"/>
      <c r="K691" s="626"/>
      <c r="L691" s="626"/>
      <c r="M691" s="788"/>
      <c r="N691" s="626"/>
      <c r="O691" s="626"/>
      <c r="P691" s="626"/>
      <c r="Q691" s="626"/>
      <c r="R691" s="788"/>
      <c r="S691" s="626"/>
      <c r="T691" s="626"/>
      <c r="U691" s="626"/>
      <c r="V691" s="626"/>
      <c r="W691" s="788"/>
      <c r="X691" s="626"/>
      <c r="Y691" s="626"/>
      <c r="Z691" s="626"/>
      <c r="AA691" s="626"/>
      <c r="AB691" s="788"/>
      <c r="AC691" s="626"/>
      <c r="AD691" s="626"/>
      <c r="AE691" s="626"/>
      <c r="AF691" s="626"/>
      <c r="AG691" s="788"/>
      <c r="AH691" s="626"/>
      <c r="AI691" s="626"/>
      <c r="AJ691" s="626"/>
      <c r="AK691" s="626"/>
      <c r="AL691" s="788"/>
      <c r="AM691" s="626"/>
      <c r="AN691" s="261"/>
      <c r="AO691" s="626"/>
      <c r="AP691" s="330"/>
      <c r="AQ691" s="1439"/>
      <c r="AR691" s="330"/>
      <c r="AS691" s="1977"/>
      <c r="AT691" s="330"/>
      <c r="AU691" s="626"/>
      <c r="AV691" s="1951"/>
      <c r="AW691" s="626"/>
      <c r="AX691" s="261"/>
      <c r="AY691" s="626"/>
      <c r="AZ691" s="626"/>
      <c r="BA691" s="1439"/>
      <c r="BB691" s="626"/>
      <c r="BC691" s="261"/>
      <c r="BD691" s="626"/>
      <c r="BE691" s="626"/>
      <c r="BF691" s="1439"/>
      <c r="BG691" s="678"/>
      <c r="BH691" s="330"/>
      <c r="BI691" s="330"/>
      <c r="BJ691" s="2136"/>
      <c r="BK691" s="1439"/>
      <c r="BL691" s="330"/>
      <c r="BM691" s="330"/>
      <c r="BN691" s="330"/>
      <c r="BO691" s="2136"/>
      <c r="BP691" s="1439"/>
      <c r="BQ691" s="330"/>
      <c r="BR691" s="330"/>
      <c r="BS691" s="330"/>
      <c r="BT691" s="2136"/>
      <c r="BU691" s="3406"/>
      <c r="BV691" s="330"/>
      <c r="BW691" s="330"/>
      <c r="BX691" s="330"/>
      <c r="BY691" s="2136"/>
      <c r="BZ691" s="1439"/>
      <c r="CA691" s="1439"/>
      <c r="CB691" s="1439"/>
      <c r="CC691" s="1439"/>
      <c r="CD691" s="1439"/>
      <c r="CE691" s="1439"/>
      <c r="CF691" s="1439"/>
      <c r="CG691" s="1439"/>
      <c r="CH691" s="626"/>
      <c r="CI691" s="626"/>
      <c r="CJ691" s="626"/>
      <c r="CK691" s="626"/>
      <c r="CL691" s="626"/>
      <c r="CM691" s="626"/>
      <c r="CN691" s="626"/>
      <c r="CO691" s="626"/>
      <c r="CP691" s="994"/>
      <c r="CQ691" s="626"/>
      <c r="CR691" s="626"/>
      <c r="CS691" s="626"/>
      <c r="CT691" s="626"/>
      <c r="CU691" s="626"/>
      <c r="CV691" s="626"/>
      <c r="CW691" s="626"/>
      <c r="CX691" s="626"/>
      <c r="CY691" s="626"/>
      <c r="CZ691" s="626"/>
      <c r="DA691" s="626"/>
      <c r="DB691" s="626"/>
      <c r="DC691" s="626"/>
      <c r="DD691" s="626"/>
      <c r="DE691" s="626"/>
      <c r="DF691" s="626"/>
      <c r="DG691" s="1893"/>
      <c r="DH691" s="632"/>
      <c r="DI691" s="595"/>
      <c r="DJ691" s="595"/>
      <c r="DK691" s="595"/>
      <c r="DL691" s="595"/>
      <c r="DM691" s="595"/>
      <c r="DN691" s="514"/>
      <c r="DO691" s="77"/>
      <c r="DY691" s="330"/>
      <c r="DZ691" s="330"/>
    </row>
    <row r="692" spans="1:130" ht="12" hidden="1" customHeight="1" outlineLevel="1">
      <c r="A692" s="708"/>
      <c r="B692" s="228"/>
      <c r="C692" s="228"/>
      <c r="D692" s="625"/>
      <c r="E692" s="626"/>
      <c r="F692" s="626"/>
      <c r="G692" s="626"/>
      <c r="H692" s="788"/>
      <c r="I692" s="626"/>
      <c r="J692" s="626"/>
      <c r="K692" s="626"/>
      <c r="L692" s="626"/>
      <c r="M692" s="788"/>
      <c r="N692" s="626"/>
      <c r="O692" s="626"/>
      <c r="P692" s="626"/>
      <c r="Q692" s="626"/>
      <c r="R692" s="788"/>
      <c r="S692" s="626"/>
      <c r="T692" s="626"/>
      <c r="U692" s="626"/>
      <c r="V692" s="626"/>
      <c r="W692" s="788"/>
      <c r="X692" s="626"/>
      <c r="Y692" s="626"/>
      <c r="Z692" s="626"/>
      <c r="AA692" s="626"/>
      <c r="AB692" s="788"/>
      <c r="AC692" s="626"/>
      <c r="AD692" s="626"/>
      <c r="AE692" s="626"/>
      <c r="AF692" s="626"/>
      <c r="AG692" s="788"/>
      <c r="AH692" s="626"/>
      <c r="AI692" s="626"/>
      <c r="AJ692" s="626"/>
      <c r="AK692" s="626"/>
      <c r="AL692" s="788"/>
      <c r="AM692" s="626"/>
      <c r="AN692" s="261"/>
      <c r="AO692" s="626"/>
      <c r="AP692" s="330"/>
      <c r="AQ692" s="1439"/>
      <c r="AR692" s="330"/>
      <c r="AS692" s="1977"/>
      <c r="AT692" s="330"/>
      <c r="AU692" s="626"/>
      <c r="AV692" s="1951"/>
      <c r="AW692" s="626"/>
      <c r="AX692" s="261"/>
      <c r="AY692" s="626"/>
      <c r="AZ692" s="626"/>
      <c r="BA692" s="1439"/>
      <c r="BB692" s="626"/>
      <c r="BC692" s="261"/>
      <c r="BD692" s="626"/>
      <c r="BE692" s="626"/>
      <c r="BF692" s="1439"/>
      <c r="BG692" s="678"/>
      <c r="BH692" s="330"/>
      <c r="BI692" s="330"/>
      <c r="BJ692" s="2136"/>
      <c r="BK692" s="1439"/>
      <c r="BL692" s="330"/>
      <c r="BM692" s="330"/>
      <c r="BN692" s="330"/>
      <c r="BO692" s="2136"/>
      <c r="BP692" s="1439"/>
      <c r="BQ692" s="330"/>
      <c r="BR692" s="330"/>
      <c r="BS692" s="330"/>
      <c r="BT692" s="2136"/>
      <c r="BU692" s="3406"/>
      <c r="BV692" s="330"/>
      <c r="BW692" s="330"/>
      <c r="BX692" s="330"/>
      <c r="BY692" s="2136"/>
      <c r="BZ692" s="1439"/>
      <c r="CA692" s="1439"/>
      <c r="CB692" s="1439"/>
      <c r="CC692" s="1439"/>
      <c r="CD692" s="1439"/>
      <c r="CE692" s="1439"/>
      <c r="CF692" s="1439"/>
      <c r="CG692" s="1439"/>
      <c r="CH692" s="626"/>
      <c r="CI692" s="626"/>
      <c r="CJ692" s="626"/>
      <c r="CK692" s="626"/>
      <c r="CL692" s="626"/>
      <c r="CM692" s="626"/>
      <c r="CN692" s="626"/>
      <c r="CO692" s="626"/>
      <c r="CP692" s="994"/>
      <c r="CQ692" s="626"/>
      <c r="CR692" s="626"/>
      <c r="CS692" s="626"/>
      <c r="CT692" s="626"/>
      <c r="CU692" s="626"/>
      <c r="CV692" s="626"/>
      <c r="CW692" s="626"/>
      <c r="CX692" s="626"/>
      <c r="CY692" s="626"/>
      <c r="CZ692" s="626"/>
      <c r="DA692" s="626"/>
      <c r="DB692" s="626"/>
      <c r="DC692" s="626"/>
      <c r="DD692" s="626"/>
      <c r="DE692" s="626"/>
      <c r="DF692" s="626"/>
      <c r="DG692" s="1893"/>
      <c r="DH692" s="632"/>
      <c r="DI692" s="595"/>
      <c r="DJ692" s="595"/>
      <c r="DK692" s="595"/>
      <c r="DL692" s="595"/>
      <c r="DM692" s="595"/>
      <c r="DN692" s="514"/>
      <c r="DO692" s="77"/>
      <c r="DY692" s="330"/>
      <c r="DZ692" s="330"/>
    </row>
    <row r="693" spans="1:130" ht="12" hidden="1" customHeight="1" outlineLevel="1">
      <c r="A693" s="552" t="s">
        <v>183</v>
      </c>
      <c r="B693" s="228"/>
      <c r="C693" s="228"/>
      <c r="D693" s="625"/>
      <c r="E693" s="626"/>
      <c r="F693" s="626"/>
      <c r="G693" s="626"/>
      <c r="H693" s="788"/>
      <c r="I693" s="626"/>
      <c r="J693" s="626"/>
      <c r="K693" s="626"/>
      <c r="L693" s="626"/>
      <c r="M693" s="788"/>
      <c r="N693" s="626"/>
      <c r="O693" s="626"/>
      <c r="P693" s="626"/>
      <c r="Q693" s="626"/>
      <c r="R693" s="788"/>
      <c r="S693" s="626"/>
      <c r="T693" s="626"/>
      <c r="U693" s="626"/>
      <c r="V693" s="626"/>
      <c r="W693" s="788"/>
      <c r="X693" s="626"/>
      <c r="Y693" s="626"/>
      <c r="Z693" s="626"/>
      <c r="AA693" s="626"/>
      <c r="AB693" s="788"/>
      <c r="AC693" s="626"/>
      <c r="AD693" s="626"/>
      <c r="AE693" s="626"/>
      <c r="AF693" s="626"/>
      <c r="AG693" s="788"/>
      <c r="AH693" s="626"/>
      <c r="AI693" s="626"/>
      <c r="AJ693" s="626"/>
      <c r="AK693" s="626"/>
      <c r="AL693" s="788"/>
      <c r="AM693" s="792">
        <f t="shared" ref="AM693:AP695" si="1377">+AM663+AM629+AM595+AM561+AM527</f>
        <v>4221</v>
      </c>
      <c r="AN693" s="792">
        <f t="shared" si="1377"/>
        <v>4219</v>
      </c>
      <c r="AO693" s="792">
        <f t="shared" si="1377"/>
        <v>4219</v>
      </c>
      <c r="AP693" s="792">
        <f t="shared" si="1377"/>
        <v>5635</v>
      </c>
      <c r="AQ693" s="1984">
        <f>+AVERAGE(AM693:AP693)</f>
        <v>4573.5</v>
      </c>
      <c r="AR693" s="792">
        <f t="shared" ref="AR693:AU695" si="1378">+AR663+AR629+AR595+AR561+AR527</f>
        <v>5639</v>
      </c>
      <c r="AS693" s="792">
        <f t="shared" si="1378"/>
        <v>5652</v>
      </c>
      <c r="AT693" s="792">
        <f t="shared" si="1378"/>
        <v>5653</v>
      </c>
      <c r="AU693" s="792">
        <f t="shared" si="1378"/>
        <v>6071</v>
      </c>
      <c r="AV693" s="1984">
        <f>+AVERAGE(AR693:AU693)</f>
        <v>5753.75</v>
      </c>
      <c r="AW693" s="792">
        <f t="shared" ref="AW693:AZ695" si="1379">+AW663+AW629+AW595+AW561+AW527</f>
        <v>6078</v>
      </c>
      <c r="AX693" s="792">
        <f t="shared" si="1379"/>
        <v>6078</v>
      </c>
      <c r="AY693" s="792">
        <f t="shared" si="1379"/>
        <v>6078</v>
      </c>
      <c r="AZ693" s="792">
        <f t="shared" si="1379"/>
        <v>6114</v>
      </c>
      <c r="BA693" s="1984">
        <f>+AVERAGE(AW693:AZ693)</f>
        <v>6087</v>
      </c>
      <c r="BB693" s="792">
        <f t="shared" ref="BB693:BJ695" si="1380">+BB663+BB629+BB595+BB561+BB527</f>
        <v>5571</v>
      </c>
      <c r="BC693" s="792">
        <f t="shared" si="1380"/>
        <v>5573</v>
      </c>
      <c r="BD693" s="792">
        <f t="shared" si="1380"/>
        <v>5551</v>
      </c>
      <c r="BE693" s="792">
        <f t="shared" si="1380"/>
        <v>5575</v>
      </c>
      <c r="BF693" s="1984">
        <f>+AVERAGE(BB693:BE693)</f>
        <v>5567.5</v>
      </c>
      <c r="BG693" s="793">
        <f t="shared" si="1380"/>
        <v>5623</v>
      </c>
      <c r="BH693" s="792">
        <f t="shared" si="1380"/>
        <v>5607</v>
      </c>
      <c r="BI693" s="792">
        <f t="shared" si="1380"/>
        <v>5616</v>
      </c>
      <c r="BJ693" s="1894">
        <f t="shared" si="1380"/>
        <v>5608</v>
      </c>
      <c r="BK693" s="1984">
        <f>+AVERAGE(BG693:BJ693)</f>
        <v>5613.5</v>
      </c>
      <c r="BL693" s="792">
        <f t="shared" ref="BL693:BM695" si="1381">+BL663+BL629+BL595+BL561+BL527</f>
        <v>5614</v>
      </c>
      <c r="BM693" s="792">
        <f t="shared" si="1381"/>
        <v>5621</v>
      </c>
      <c r="BN693" s="792"/>
      <c r="BO693" s="1894"/>
      <c r="BP693" s="1984"/>
      <c r="BQ693" s="792"/>
      <c r="BR693" s="792"/>
      <c r="BS693" s="792"/>
      <c r="BT693" s="1894"/>
      <c r="BU693" s="3396"/>
      <c r="BV693" s="792"/>
      <c r="BW693" s="792"/>
      <c r="BX693" s="792"/>
      <c r="BY693" s="1894"/>
      <c r="BZ693" s="1984"/>
      <c r="CA693" s="1984"/>
      <c r="CB693" s="1984"/>
      <c r="CC693" s="1984"/>
      <c r="CD693" s="1984"/>
      <c r="CE693" s="1984"/>
      <c r="CF693" s="1984"/>
      <c r="CG693" s="1984"/>
      <c r="CH693" s="626"/>
      <c r="CI693" s="626"/>
      <c r="CJ693" s="626"/>
      <c r="CK693" s="626"/>
      <c r="CL693" s="626"/>
      <c r="CM693" s="626"/>
      <c r="CN693" s="626"/>
      <c r="CO693" s="626"/>
      <c r="CP693" s="994"/>
      <c r="CQ693" s="626"/>
      <c r="CR693" s="626"/>
      <c r="CS693" s="626"/>
      <c r="CT693" s="626"/>
      <c r="CU693" s="626"/>
      <c r="CV693" s="626"/>
      <c r="CW693" s="626"/>
      <c r="CX693" s="626"/>
      <c r="CY693" s="626"/>
      <c r="CZ693" s="626"/>
      <c r="DA693" s="626"/>
      <c r="DB693" s="626"/>
      <c r="DC693" s="626"/>
      <c r="DD693" s="626"/>
      <c r="DE693" s="626"/>
      <c r="DF693" s="626"/>
      <c r="DG693" s="1893"/>
      <c r="DH693" s="632"/>
      <c r="DI693" s="595"/>
      <c r="DJ693" s="595"/>
      <c r="DK693" s="595"/>
      <c r="DL693" s="595"/>
      <c r="DM693" s="595"/>
      <c r="DN693" s="514"/>
      <c r="DO693" s="77"/>
      <c r="DY693" s="1982"/>
      <c r="DZ693" s="1982"/>
    </row>
    <row r="694" spans="1:130" ht="12" hidden="1" customHeight="1" outlineLevel="1">
      <c r="A694" s="552" t="s">
        <v>184</v>
      </c>
      <c r="B694" s="228"/>
      <c r="C694" s="228"/>
      <c r="D694" s="625"/>
      <c r="E694" s="626"/>
      <c r="F694" s="626"/>
      <c r="G694" s="626"/>
      <c r="H694" s="788"/>
      <c r="I694" s="626"/>
      <c r="J694" s="626"/>
      <c r="K694" s="626"/>
      <c r="L694" s="626"/>
      <c r="M694" s="788"/>
      <c r="N694" s="626"/>
      <c r="O694" s="626"/>
      <c r="P694" s="626"/>
      <c r="Q694" s="626"/>
      <c r="R694" s="788"/>
      <c r="S694" s="626"/>
      <c r="T694" s="626"/>
      <c r="U694" s="626"/>
      <c r="V694" s="626"/>
      <c r="W694" s="788"/>
      <c r="X694" s="626"/>
      <c r="Y694" s="626"/>
      <c r="Z694" s="626"/>
      <c r="AA694" s="626"/>
      <c r="AB694" s="788"/>
      <c r="AC694" s="626"/>
      <c r="AD694" s="626"/>
      <c r="AE694" s="626"/>
      <c r="AF694" s="626"/>
      <c r="AG694" s="788"/>
      <c r="AH694" s="626"/>
      <c r="AI694" s="626"/>
      <c r="AJ694" s="626"/>
      <c r="AK694" s="626"/>
      <c r="AL694" s="788"/>
      <c r="AM694" s="792">
        <f t="shared" si="1377"/>
        <v>68</v>
      </c>
      <c r="AN694" s="792">
        <f t="shared" si="1377"/>
        <v>68</v>
      </c>
      <c r="AO694" s="792">
        <f t="shared" si="1377"/>
        <v>68</v>
      </c>
      <c r="AP694" s="792">
        <f t="shared" si="1377"/>
        <v>103</v>
      </c>
      <c r="AQ694" s="1984">
        <f>+AVERAGE(AM694:AP694)</f>
        <v>76.75</v>
      </c>
      <c r="AR694" s="792">
        <f t="shared" si="1378"/>
        <v>103</v>
      </c>
      <c r="AS694" s="792">
        <f t="shared" si="1378"/>
        <v>103</v>
      </c>
      <c r="AT694" s="792">
        <f t="shared" si="1378"/>
        <v>103</v>
      </c>
      <c r="AU694" s="792">
        <f>+AU664+AU630+AU596+AU562+AU528</f>
        <v>110</v>
      </c>
      <c r="AV694" s="1984">
        <f>+AVERAGE(AR694:AU694)</f>
        <v>104.75</v>
      </c>
      <c r="AW694" s="792">
        <f t="shared" si="1379"/>
        <v>110</v>
      </c>
      <c r="AX694" s="792">
        <f t="shared" si="1379"/>
        <v>110</v>
      </c>
      <c r="AY694" s="792">
        <f t="shared" si="1379"/>
        <v>110</v>
      </c>
      <c r="AZ694" s="792">
        <f t="shared" si="1379"/>
        <v>119</v>
      </c>
      <c r="BA694" s="1984">
        <f>+AVERAGE(AW694:AZ694)</f>
        <v>112.25</v>
      </c>
      <c r="BB694" s="792">
        <f t="shared" si="1380"/>
        <v>103</v>
      </c>
      <c r="BC694" s="792">
        <f t="shared" si="1380"/>
        <v>103</v>
      </c>
      <c r="BD694" s="792">
        <f t="shared" si="1380"/>
        <v>104</v>
      </c>
      <c r="BE694" s="792">
        <f t="shared" si="1380"/>
        <v>104</v>
      </c>
      <c r="BF694" s="1984">
        <f>+AVERAGE(BB694:BE694)</f>
        <v>103.5</v>
      </c>
      <c r="BG694" s="793">
        <f t="shared" si="1380"/>
        <v>104</v>
      </c>
      <c r="BH694" s="792">
        <f t="shared" si="1380"/>
        <v>103</v>
      </c>
      <c r="BI694" s="792">
        <f t="shared" si="1380"/>
        <v>105</v>
      </c>
      <c r="BJ694" s="1894">
        <f t="shared" si="1380"/>
        <v>105</v>
      </c>
      <c r="BK694" s="1984">
        <f>+AVERAGE(BG694:BJ694)</f>
        <v>104.25</v>
      </c>
      <c r="BL694" s="792">
        <f t="shared" si="1381"/>
        <v>105</v>
      </c>
      <c r="BM694" s="792">
        <f t="shared" si="1381"/>
        <v>105</v>
      </c>
      <c r="BN694" s="792"/>
      <c r="BO694" s="1894"/>
      <c r="BP694" s="1984"/>
      <c r="BQ694" s="792"/>
      <c r="BR694" s="792"/>
      <c r="BS694" s="792"/>
      <c r="BT694" s="1894"/>
      <c r="BU694" s="3396"/>
      <c r="BV694" s="792"/>
      <c r="BW694" s="792"/>
      <c r="BX694" s="792"/>
      <c r="BY694" s="1894"/>
      <c r="BZ694" s="1984"/>
      <c r="CA694" s="1984"/>
      <c r="CB694" s="1984"/>
      <c r="CC694" s="1984"/>
      <c r="CD694" s="1984"/>
      <c r="CE694" s="1984"/>
      <c r="CF694" s="1984"/>
      <c r="CG694" s="1984"/>
      <c r="CH694" s="626"/>
      <c r="CI694" s="626"/>
      <c r="CJ694" s="626"/>
      <c r="CK694" s="626"/>
      <c r="CL694" s="626"/>
      <c r="CM694" s="626"/>
      <c r="CN694" s="626"/>
      <c r="CO694" s="626"/>
      <c r="CP694" s="994"/>
      <c r="CQ694" s="626"/>
      <c r="CR694" s="626"/>
      <c r="CS694" s="626"/>
      <c r="CT694" s="626"/>
      <c r="CU694" s="626"/>
      <c r="CV694" s="626"/>
      <c r="CW694" s="626"/>
      <c r="CX694" s="626"/>
      <c r="CY694" s="626"/>
      <c r="CZ694" s="626"/>
      <c r="DA694" s="626"/>
      <c r="DB694" s="626"/>
      <c r="DC694" s="626"/>
      <c r="DD694" s="626"/>
      <c r="DE694" s="626"/>
      <c r="DF694" s="626"/>
      <c r="DG694" s="1893"/>
      <c r="DH694" s="632"/>
      <c r="DI694" s="595"/>
      <c r="DJ694" s="595"/>
      <c r="DK694" s="595"/>
      <c r="DL694" s="595"/>
      <c r="DM694" s="595"/>
      <c r="DN694" s="514"/>
      <c r="DO694" s="77"/>
      <c r="DY694" s="1982"/>
      <c r="DZ694" s="1982"/>
    </row>
    <row r="695" spans="1:130" ht="12" hidden="1" customHeight="1" outlineLevel="1">
      <c r="A695" s="552" t="s">
        <v>182</v>
      </c>
      <c r="B695" s="228"/>
      <c r="C695" s="228"/>
      <c r="D695" s="625"/>
      <c r="E695" s="626"/>
      <c r="F695" s="626"/>
      <c r="G695" s="626"/>
      <c r="H695" s="788"/>
      <c r="I695" s="626"/>
      <c r="J695" s="626"/>
      <c r="K695" s="626"/>
      <c r="L695" s="626"/>
      <c r="M695" s="788"/>
      <c r="N695" s="626"/>
      <c r="O695" s="626"/>
      <c r="P695" s="626"/>
      <c r="Q695" s="626"/>
      <c r="R695" s="788"/>
      <c r="S695" s="626"/>
      <c r="T695" s="626"/>
      <c r="U695" s="626"/>
      <c r="V695" s="626"/>
      <c r="W695" s="788"/>
      <c r="X695" s="626"/>
      <c r="Y695" s="626"/>
      <c r="Z695" s="626"/>
      <c r="AA695" s="626"/>
      <c r="AB695" s="788"/>
      <c r="AC695" s="626"/>
      <c r="AD695" s="626"/>
      <c r="AE695" s="626"/>
      <c r="AF695" s="626"/>
      <c r="AG695" s="788"/>
      <c r="AH695" s="626"/>
      <c r="AI695" s="626"/>
      <c r="AJ695" s="626"/>
      <c r="AK695" s="626"/>
      <c r="AL695" s="788"/>
      <c r="AM695" s="792">
        <f t="shared" si="1377"/>
        <v>4629</v>
      </c>
      <c r="AN695" s="792">
        <f t="shared" si="1377"/>
        <v>4627</v>
      </c>
      <c r="AO695" s="792">
        <f t="shared" si="1377"/>
        <v>4627</v>
      </c>
      <c r="AP695" s="792">
        <f t="shared" si="1377"/>
        <v>6253</v>
      </c>
      <c r="AQ695" s="1984">
        <f>+AVERAGE(AM695:AP695)</f>
        <v>5034</v>
      </c>
      <c r="AR695" s="792">
        <f t="shared" si="1378"/>
        <v>6257</v>
      </c>
      <c r="AS695" s="792">
        <f t="shared" si="1378"/>
        <v>6270</v>
      </c>
      <c r="AT695" s="792">
        <f t="shared" si="1378"/>
        <v>6271</v>
      </c>
      <c r="AU695" s="792">
        <f t="shared" si="1378"/>
        <v>6731</v>
      </c>
      <c r="AV695" s="1984">
        <f>+AVERAGE(AR695:AU695)</f>
        <v>6382.25</v>
      </c>
      <c r="AW695" s="792">
        <f t="shared" si="1379"/>
        <v>6738</v>
      </c>
      <c r="AX695" s="792">
        <f t="shared" si="1379"/>
        <v>6738</v>
      </c>
      <c r="AY695" s="792">
        <f t="shared" si="1379"/>
        <v>6738</v>
      </c>
      <c r="AZ695" s="792">
        <f t="shared" si="1379"/>
        <v>6828</v>
      </c>
      <c r="BA695" s="1984">
        <f>+AVERAGE(AW695:AZ695)</f>
        <v>6760.5</v>
      </c>
      <c r="BB695" s="792">
        <f t="shared" si="1380"/>
        <v>6189</v>
      </c>
      <c r="BC695" s="792">
        <f t="shared" si="1380"/>
        <v>6191</v>
      </c>
      <c r="BD695" s="792">
        <f t="shared" si="1380"/>
        <v>6175</v>
      </c>
      <c r="BE695" s="792">
        <f t="shared" si="1380"/>
        <v>6199</v>
      </c>
      <c r="BF695" s="1984">
        <f>+AVERAGE(BB695:BE695)</f>
        <v>6188.5</v>
      </c>
      <c r="BG695" s="793">
        <f t="shared" si="1380"/>
        <v>6247</v>
      </c>
      <c r="BH695" s="792">
        <f t="shared" si="1380"/>
        <v>6225</v>
      </c>
      <c r="BI695" s="792">
        <f t="shared" si="1380"/>
        <v>6246</v>
      </c>
      <c r="BJ695" s="1894">
        <f t="shared" si="1380"/>
        <v>6238</v>
      </c>
      <c r="BK695" s="1984">
        <f>+AVERAGE(BG695:BJ695)</f>
        <v>6239</v>
      </c>
      <c r="BL695" s="792">
        <f t="shared" si="1381"/>
        <v>6244</v>
      </c>
      <c r="BM695" s="792">
        <f t="shared" si="1381"/>
        <v>6251</v>
      </c>
      <c r="BN695" s="792"/>
      <c r="BO695" s="1894"/>
      <c r="BP695" s="1984"/>
      <c r="BQ695" s="792"/>
      <c r="BR695" s="792"/>
      <c r="BS695" s="792"/>
      <c r="BT695" s="1894"/>
      <c r="BU695" s="3396"/>
      <c r="BV695" s="792"/>
      <c r="BW695" s="792"/>
      <c r="BX695" s="792"/>
      <c r="BY695" s="1894"/>
      <c r="BZ695" s="1984"/>
      <c r="CA695" s="1984"/>
      <c r="CB695" s="1984"/>
      <c r="CC695" s="1984"/>
      <c r="CD695" s="1984"/>
      <c r="CE695" s="1984"/>
      <c r="CF695" s="1984"/>
      <c r="CG695" s="1984"/>
      <c r="CH695" s="626"/>
      <c r="CI695" s="626"/>
      <c r="CJ695" s="626"/>
      <c r="CK695" s="626"/>
      <c r="CL695" s="626"/>
      <c r="CM695" s="626"/>
      <c r="CN695" s="626"/>
      <c r="CO695" s="626"/>
      <c r="CP695" s="994"/>
      <c r="CQ695" s="626"/>
      <c r="CR695" s="626"/>
      <c r="CS695" s="626"/>
      <c r="CT695" s="626"/>
      <c r="CU695" s="626"/>
      <c r="CV695" s="626"/>
      <c r="CW695" s="626"/>
      <c r="CX695" s="626"/>
      <c r="CY695" s="626"/>
      <c r="CZ695" s="626"/>
      <c r="DA695" s="626"/>
      <c r="DB695" s="626"/>
      <c r="DC695" s="626"/>
      <c r="DD695" s="626"/>
      <c r="DE695" s="626"/>
      <c r="DF695" s="626"/>
      <c r="DG695" s="1893"/>
      <c r="DH695" s="632"/>
      <c r="DI695" s="595"/>
      <c r="DJ695" s="595"/>
      <c r="DK695" s="595"/>
      <c r="DL695" s="595"/>
      <c r="DM695" s="595"/>
      <c r="DN695" s="514"/>
      <c r="DO695" s="77"/>
      <c r="DY695" s="1982"/>
      <c r="DZ695" s="1982"/>
    </row>
    <row r="696" spans="1:130" ht="12" hidden="1" customHeight="1" outlineLevel="1">
      <c r="A696" s="552" t="s">
        <v>1156</v>
      </c>
      <c r="B696" s="228"/>
      <c r="C696" s="228"/>
      <c r="D696" s="625"/>
      <c r="E696" s="626"/>
      <c r="F696" s="626"/>
      <c r="G696" s="626"/>
      <c r="H696" s="788"/>
      <c r="I696" s="626"/>
      <c r="J696" s="626"/>
      <c r="K696" s="626"/>
      <c r="L696" s="626"/>
      <c r="M696" s="788"/>
      <c r="N696" s="626"/>
      <c r="O696" s="626"/>
      <c r="P696" s="626"/>
      <c r="Q696" s="626"/>
      <c r="R696" s="788"/>
      <c r="S696" s="626"/>
      <c r="T696" s="626"/>
      <c r="U696" s="626"/>
      <c r="V696" s="626"/>
      <c r="W696" s="788"/>
      <c r="X696" s="626"/>
      <c r="Y696" s="626"/>
      <c r="Z696" s="626"/>
      <c r="AA696" s="626"/>
      <c r="AB696" s="788"/>
      <c r="AC696" s="626"/>
      <c r="AD696" s="626"/>
      <c r="AE696" s="626"/>
      <c r="AF696" s="626"/>
      <c r="AG696" s="788"/>
      <c r="AH696" s="626"/>
      <c r="AI696" s="626"/>
      <c r="AJ696" s="626"/>
      <c r="AK696" s="626"/>
      <c r="AL696" s="788"/>
      <c r="AM696" s="626">
        <f t="shared" ref="AM696:BM696" si="1382">+AM710*1000000/AM695/AM5</f>
        <v>181.21320342766614</v>
      </c>
      <c r="AN696" s="626">
        <f t="shared" si="1382"/>
        <v>182.62240471005114</v>
      </c>
      <c r="AO696" s="626">
        <f t="shared" si="1382"/>
        <v>181.90053910882253</v>
      </c>
      <c r="AP696" s="626">
        <f t="shared" si="1382"/>
        <v>136.20585400746771</v>
      </c>
      <c r="AQ696" s="1950">
        <f t="shared" si="1382"/>
        <v>167.72401505379855</v>
      </c>
      <c r="AR696" s="626">
        <f t="shared" si="1382"/>
        <v>227.90821014529661</v>
      </c>
      <c r="AS696" s="626">
        <f t="shared" si="1382"/>
        <v>218.18753167884748</v>
      </c>
      <c r="AT696" s="626">
        <f t="shared" si="1382"/>
        <v>211.75800421886805</v>
      </c>
      <c r="AU696" s="626">
        <f t="shared" si="1382"/>
        <v>188.58235419506116</v>
      </c>
      <c r="AV696" s="1950">
        <f t="shared" si="1382"/>
        <v>211.14279801798321</v>
      </c>
      <c r="AW696" s="626">
        <f t="shared" si="1382"/>
        <v>207.63002539494079</v>
      </c>
      <c r="AX696" s="626">
        <f t="shared" si="1382"/>
        <v>206.49979287557204</v>
      </c>
      <c r="AY696" s="626">
        <f t="shared" si="1382"/>
        <v>195.81187812149133</v>
      </c>
      <c r="AZ696" s="626">
        <f t="shared" si="1382"/>
        <v>176.51422531265123</v>
      </c>
      <c r="BA696" s="1950">
        <f t="shared" si="1382"/>
        <v>196.46475852377782</v>
      </c>
      <c r="BB696" s="626">
        <f t="shared" si="1382"/>
        <v>204.42541426545307</v>
      </c>
      <c r="BC696" s="626">
        <f t="shared" si="1382"/>
        <v>209.849107442388</v>
      </c>
      <c r="BD696" s="626">
        <f t="shared" si="1382"/>
        <v>201.27266326350994</v>
      </c>
      <c r="BE696" s="626">
        <f t="shared" si="1382"/>
        <v>195.52417290306292</v>
      </c>
      <c r="BF696" s="1950">
        <f t="shared" si="1382"/>
        <v>202.73751246512259</v>
      </c>
      <c r="BG696" s="625">
        <f t="shared" si="1382"/>
        <v>208.1763691016132</v>
      </c>
      <c r="BH696" s="626">
        <f t="shared" si="1382"/>
        <v>213.48338408579374</v>
      </c>
      <c r="BI696" s="626">
        <f t="shared" si="1382"/>
        <v>203.26748249314346</v>
      </c>
      <c r="BJ696" s="1893">
        <f t="shared" si="1382"/>
        <v>194.59100603593683</v>
      </c>
      <c r="BK696" s="1950">
        <f t="shared" si="1382"/>
        <v>204.83393237852047</v>
      </c>
      <c r="BL696" s="626">
        <f t="shared" si="1382"/>
        <v>206.34314436364406</v>
      </c>
      <c r="BM696" s="626">
        <f t="shared" si="1382"/>
        <v>200.68173707591399</v>
      </c>
      <c r="BN696" s="626"/>
      <c r="BO696" s="1893"/>
      <c r="BP696" s="1950"/>
      <c r="BQ696" s="626"/>
      <c r="BR696" s="626"/>
      <c r="BS696" s="626"/>
      <c r="BT696" s="1893"/>
      <c r="BU696" s="3406"/>
      <c r="BV696" s="626"/>
      <c r="BW696" s="626"/>
      <c r="BX696" s="626"/>
      <c r="BY696" s="1893"/>
      <c r="BZ696" s="1950"/>
      <c r="CA696" s="1950"/>
      <c r="CB696" s="1950"/>
      <c r="CC696" s="1950"/>
      <c r="CD696" s="1950"/>
      <c r="CE696" s="1950"/>
      <c r="CF696" s="1950"/>
      <c r="CG696" s="1950"/>
      <c r="CH696" s="626"/>
      <c r="CI696" s="626"/>
      <c r="CJ696" s="626"/>
      <c r="CK696" s="626"/>
      <c r="CL696" s="626"/>
      <c r="CM696" s="626"/>
      <c r="CN696" s="626"/>
      <c r="CO696" s="626"/>
      <c r="CP696" s="994"/>
      <c r="CQ696" s="626"/>
      <c r="CR696" s="626"/>
      <c r="CS696" s="626"/>
      <c r="CT696" s="626"/>
      <c r="CU696" s="626"/>
      <c r="CV696" s="626"/>
      <c r="CW696" s="626"/>
      <c r="CX696" s="626"/>
      <c r="CY696" s="626"/>
      <c r="CZ696" s="626"/>
      <c r="DA696" s="626"/>
      <c r="DB696" s="626"/>
      <c r="DC696" s="626"/>
      <c r="DD696" s="626"/>
      <c r="DE696" s="626"/>
      <c r="DF696" s="626"/>
      <c r="DG696" s="1893"/>
      <c r="DH696" s="632"/>
      <c r="DI696" s="595"/>
      <c r="DJ696" s="595"/>
      <c r="DK696" s="595"/>
      <c r="DL696" s="595"/>
      <c r="DM696" s="595"/>
      <c r="DN696" s="514"/>
      <c r="DO696" s="77"/>
      <c r="DY696" s="1634"/>
      <c r="DZ696" s="1634"/>
    </row>
    <row r="697" spans="1:130" ht="12" hidden="1" customHeight="1" outlineLevel="1">
      <c r="A697" s="567" t="s">
        <v>1153</v>
      </c>
      <c r="B697" s="228"/>
      <c r="C697" s="228"/>
      <c r="D697" s="625"/>
      <c r="E697" s="626"/>
      <c r="F697" s="626"/>
      <c r="G697" s="626"/>
      <c r="H697" s="788"/>
      <c r="I697" s="626"/>
      <c r="J697" s="626"/>
      <c r="K697" s="626"/>
      <c r="L697" s="626"/>
      <c r="M697" s="788"/>
      <c r="N697" s="626"/>
      <c r="O697" s="626"/>
      <c r="P697" s="626"/>
      <c r="Q697" s="626"/>
      <c r="R697" s="788"/>
      <c r="S697" s="626"/>
      <c r="T697" s="626"/>
      <c r="U697" s="626"/>
      <c r="V697" s="626"/>
      <c r="W697" s="788"/>
      <c r="X697" s="626"/>
      <c r="Y697" s="626"/>
      <c r="Z697" s="626"/>
      <c r="AA697" s="626"/>
      <c r="AB697" s="788"/>
      <c r="AC697" s="626"/>
      <c r="AD697" s="626"/>
      <c r="AE697" s="626"/>
      <c r="AF697" s="626"/>
      <c r="AG697" s="788"/>
      <c r="AH697" s="626"/>
      <c r="AI697" s="626"/>
      <c r="AJ697" s="626"/>
      <c r="AK697" s="626"/>
      <c r="AL697" s="788"/>
      <c r="AM697" s="626"/>
      <c r="AN697" s="261"/>
      <c r="AO697" s="626"/>
      <c r="AP697" s="330"/>
      <c r="AQ697" s="1439"/>
      <c r="AR697" s="330"/>
      <c r="AS697" s="1977"/>
      <c r="AT697" s="330"/>
      <c r="AU697" s="626"/>
      <c r="AV697" s="1951"/>
      <c r="AW697" s="626"/>
      <c r="AX697" s="261"/>
      <c r="AY697" s="626"/>
      <c r="AZ697" s="626"/>
      <c r="BA697" s="1439"/>
      <c r="BB697" s="626"/>
      <c r="BC697" s="261"/>
      <c r="BD697" s="626"/>
      <c r="BE697" s="626"/>
      <c r="BF697" s="1439"/>
      <c r="BG697" s="678"/>
      <c r="BH697" s="330"/>
      <c r="BI697" s="330"/>
      <c r="BJ697" s="2136"/>
      <c r="BK697" s="1439"/>
      <c r="BL697" s="330"/>
      <c r="BM697" s="330"/>
      <c r="BN697" s="330"/>
      <c r="BO697" s="2136"/>
      <c r="BP697" s="1439"/>
      <c r="BQ697" s="330"/>
      <c r="BR697" s="330"/>
      <c r="BS697" s="330"/>
      <c r="BT697" s="2136"/>
      <c r="BU697" s="3406"/>
      <c r="BV697" s="330"/>
      <c r="BW697" s="330"/>
      <c r="BX697" s="330"/>
      <c r="BY697" s="2136"/>
      <c r="BZ697" s="1439"/>
      <c r="CA697" s="1439"/>
      <c r="CB697" s="1439"/>
      <c r="CC697" s="1439"/>
      <c r="CD697" s="1439"/>
      <c r="CE697" s="1439"/>
      <c r="CF697" s="1439"/>
      <c r="CG697" s="1439"/>
      <c r="CH697" s="626"/>
      <c r="CI697" s="626"/>
      <c r="CJ697" s="626"/>
      <c r="CK697" s="626"/>
      <c r="CL697" s="626"/>
      <c r="CM697" s="626"/>
      <c r="CN697" s="626"/>
      <c r="CO697" s="626"/>
      <c r="CP697" s="994"/>
      <c r="CQ697" s="626"/>
      <c r="CR697" s="626"/>
      <c r="CS697" s="626"/>
      <c r="CT697" s="626"/>
      <c r="CU697" s="626"/>
      <c r="CV697" s="626"/>
      <c r="CW697" s="626"/>
      <c r="CX697" s="626"/>
      <c r="CY697" s="626"/>
      <c r="CZ697" s="626"/>
      <c r="DA697" s="626"/>
      <c r="DB697" s="626"/>
      <c r="DC697" s="626"/>
      <c r="DD697" s="626"/>
      <c r="DE697" s="626"/>
      <c r="DF697" s="626"/>
      <c r="DG697" s="1893"/>
      <c r="DH697" s="632"/>
      <c r="DI697" s="595"/>
      <c r="DJ697" s="595"/>
      <c r="DK697" s="595"/>
      <c r="DL697" s="595"/>
      <c r="DM697" s="595"/>
      <c r="DN697" s="514"/>
      <c r="DO697" s="77"/>
      <c r="DY697" s="330"/>
      <c r="DZ697" s="330"/>
    </row>
    <row r="698" spans="1:130" ht="12" hidden="1" customHeight="1" outlineLevel="1">
      <c r="A698" s="708"/>
      <c r="B698" s="228"/>
      <c r="C698" s="228"/>
      <c r="D698" s="625"/>
      <c r="E698" s="626"/>
      <c r="F698" s="626"/>
      <c r="G698" s="626"/>
      <c r="H698" s="788"/>
      <c r="I698" s="626"/>
      <c r="J698" s="626"/>
      <c r="K698" s="626"/>
      <c r="L698" s="626"/>
      <c r="M698" s="788"/>
      <c r="N698" s="626"/>
      <c r="O698" s="626"/>
      <c r="P698" s="626"/>
      <c r="Q698" s="626"/>
      <c r="R698" s="788"/>
      <c r="S698" s="626"/>
      <c r="T698" s="626"/>
      <c r="U698" s="626"/>
      <c r="V698" s="626"/>
      <c r="W698" s="788"/>
      <c r="X698" s="626"/>
      <c r="Y698" s="626"/>
      <c r="Z698" s="626"/>
      <c r="AA698" s="626"/>
      <c r="AB698" s="788"/>
      <c r="AC698" s="626"/>
      <c r="AD698" s="626"/>
      <c r="AE698" s="626"/>
      <c r="AF698" s="626"/>
      <c r="AG698" s="788"/>
      <c r="AH698" s="626"/>
      <c r="AI698" s="626"/>
      <c r="AJ698" s="626"/>
      <c r="AK698" s="626"/>
      <c r="AL698" s="788"/>
      <c r="AM698" s="626"/>
      <c r="AN698" s="261"/>
      <c r="AO698" s="626"/>
      <c r="AP698" s="330"/>
      <c r="AQ698" s="1439"/>
      <c r="AR698" s="330"/>
      <c r="AS698" s="1977"/>
      <c r="AT698" s="330"/>
      <c r="AU698" s="626"/>
      <c r="AV698" s="1951"/>
      <c r="AW698" s="626"/>
      <c r="AX698" s="261"/>
      <c r="AY698" s="626"/>
      <c r="AZ698" s="626"/>
      <c r="BA698" s="1439"/>
      <c r="BB698" s="626"/>
      <c r="BC698" s="261"/>
      <c r="BD698" s="626"/>
      <c r="BE698" s="626"/>
      <c r="BF698" s="1439"/>
      <c r="BG698" s="678"/>
      <c r="BH698" s="330"/>
      <c r="BI698" s="330"/>
      <c r="BJ698" s="2136"/>
      <c r="BK698" s="1439"/>
      <c r="BL698" s="330"/>
      <c r="BM698" s="330"/>
      <c r="BN698" s="330"/>
      <c r="BO698" s="2136"/>
      <c r="BP698" s="1439"/>
      <c r="BQ698" s="330"/>
      <c r="BR698" s="330"/>
      <c r="BS698" s="330"/>
      <c r="BT698" s="2136"/>
      <c r="BU698" s="3406"/>
      <c r="BV698" s="330"/>
      <c r="BW698" s="330"/>
      <c r="BX698" s="330"/>
      <c r="BY698" s="2136"/>
      <c r="BZ698" s="1439"/>
      <c r="CA698" s="1439"/>
      <c r="CB698" s="1439"/>
      <c r="CC698" s="1439"/>
      <c r="CD698" s="1439"/>
      <c r="CE698" s="1439"/>
      <c r="CF698" s="1439"/>
      <c r="CG698" s="1439"/>
      <c r="CH698" s="626"/>
      <c r="CI698" s="626"/>
      <c r="CJ698" s="626"/>
      <c r="CK698" s="626"/>
      <c r="CL698" s="626"/>
      <c r="CM698" s="626"/>
      <c r="CN698" s="626"/>
      <c r="CO698" s="626"/>
      <c r="CP698" s="994"/>
      <c r="CQ698" s="626"/>
      <c r="CR698" s="626"/>
      <c r="CS698" s="626"/>
      <c r="CT698" s="626"/>
      <c r="CU698" s="626"/>
      <c r="CV698" s="626"/>
      <c r="CW698" s="626"/>
      <c r="CX698" s="626"/>
      <c r="CY698" s="626"/>
      <c r="CZ698" s="626"/>
      <c r="DA698" s="626"/>
      <c r="DB698" s="626"/>
      <c r="DC698" s="626"/>
      <c r="DD698" s="626"/>
      <c r="DE698" s="626"/>
      <c r="DF698" s="626"/>
      <c r="DG698" s="1893"/>
      <c r="DH698" s="632"/>
      <c r="DI698" s="595"/>
      <c r="DJ698" s="595"/>
      <c r="DK698" s="595"/>
      <c r="DL698" s="595"/>
      <c r="DM698" s="595"/>
      <c r="DN698" s="514"/>
      <c r="DO698" s="77"/>
      <c r="DY698" s="330"/>
      <c r="DZ698" s="330"/>
    </row>
    <row r="699" spans="1:130" ht="12" hidden="1" customHeight="1" outlineLevel="1">
      <c r="A699" s="552" t="s">
        <v>1196</v>
      </c>
      <c r="B699" s="228"/>
      <c r="C699" s="228"/>
      <c r="D699" s="625"/>
      <c r="E699" s="626"/>
      <c r="F699" s="626"/>
      <c r="G699" s="626"/>
      <c r="H699" s="788"/>
      <c r="I699" s="626"/>
      <c r="J699" s="626"/>
      <c r="K699" s="626"/>
      <c r="L699" s="626"/>
      <c r="M699" s="788"/>
      <c r="N699" s="626"/>
      <c r="O699" s="626"/>
      <c r="P699" s="626"/>
      <c r="Q699" s="626"/>
      <c r="R699" s="788"/>
      <c r="S699" s="626"/>
      <c r="T699" s="626"/>
      <c r="U699" s="626"/>
      <c r="V699" s="626"/>
      <c r="W699" s="788"/>
      <c r="X699" s="626"/>
      <c r="Y699" s="626"/>
      <c r="Z699" s="626"/>
      <c r="AA699" s="626"/>
      <c r="AB699" s="788"/>
      <c r="AC699" s="626"/>
      <c r="AD699" s="626"/>
      <c r="AE699" s="626"/>
      <c r="AF699" s="626"/>
      <c r="AG699" s="788"/>
      <c r="AH699" s="626"/>
      <c r="AI699" s="626"/>
      <c r="AJ699" s="626"/>
      <c r="AK699" s="626"/>
      <c r="AL699" s="788"/>
      <c r="AM699" s="626"/>
      <c r="AN699" s="626"/>
      <c r="AO699" s="330"/>
      <c r="AP699" s="330"/>
      <c r="AQ699" s="1950"/>
      <c r="AR699" s="626"/>
      <c r="AS699" s="626"/>
      <c r="AT699" s="330"/>
      <c r="AU699" s="330">
        <f>116.78-(AU669+AU639+AU605+AU571+AU537)</f>
        <v>-0.60501138000000765</v>
      </c>
      <c r="AV699" s="1950">
        <f>+SUM(AR699:AU699)</f>
        <v>-0.60501138000000765</v>
      </c>
      <c r="AW699" s="330">
        <f>125.911-(AW669+AW639+AW605+AW571+AW537)</f>
        <v>-1.9254912799999744</v>
      </c>
      <c r="AX699" s="330">
        <f>126.617-(AX669+AX639+AX605+AX571+AX537)</f>
        <v>-0.70187074999999766</v>
      </c>
      <c r="AY699" s="330">
        <f>121.383-(AY669+AY639+AY605+AY571+AY537)</f>
        <v>-1.121749830000013</v>
      </c>
      <c r="AZ699" s="330">
        <f>110.882-(AZ669+AZ639+AZ605+AZ571+AZ537)</f>
        <v>-2.450809140000004</v>
      </c>
      <c r="BA699" s="1950">
        <f>+SUM(AW699:AZ699)</f>
        <v>-6.1999209999999891</v>
      </c>
      <c r="BB699" s="330">
        <f>113.867-(BB669+BB639+BB605+BB571+BB537)</f>
        <v>-2.8455245799999886</v>
      </c>
      <c r="BC699" s="330">
        <f>118.225-(BC669+BC639+BC605+BC571+BC537)</f>
        <v>-5.8800520000005463E-2</v>
      </c>
      <c r="BD699" s="330">
        <f>114.343-(BD669+BD639+BD605+BD571+BD537)</f>
        <v>-0.88152709999998535</v>
      </c>
      <c r="BE699" s="330">
        <f>111.509-(BE669+BE639+BE605+BE571+BE537)</f>
        <v>-2.0898273099999898</v>
      </c>
      <c r="BF699" s="1950">
        <f>+SUM(BB699:BE699)</f>
        <v>-5.8756795099999692</v>
      </c>
      <c r="BG699" s="330">
        <f>117.043-(BG669+BG639+BG605+BG571+BG537)</f>
        <v>-3.3601614199999688</v>
      </c>
      <c r="BH699" s="330">
        <f>120.933-(BH669+BH639+BH605+BH571+BH537)</f>
        <v>-1.6342142499999852</v>
      </c>
      <c r="BI699" s="330">
        <f>116.804-(BI669+BI639+BI605+BI571+BI537)</f>
        <v>-2.2370762200000058</v>
      </c>
      <c r="BJ699" s="330">
        <f>111.675-(BJ669+BJ639+BJ605+BJ571+BJ537)</f>
        <v>-2.9477230399999996</v>
      </c>
      <c r="BK699" s="1950">
        <f>+SUM(BG699:BJ699)</f>
        <v>-10.179174929999959</v>
      </c>
      <c r="BL699" s="330">
        <f>117.245-(BL669+BL639+BL605+BL571+BL537)</f>
        <v>-4.1040195600000118</v>
      </c>
      <c r="BM699" s="330">
        <f>114.156-(BM669+BM639+BM605+BM571+BM537)</f>
        <v>-1.4450083099999915</v>
      </c>
      <c r="BN699" s="3117"/>
      <c r="BO699" s="3117"/>
      <c r="BP699" s="1950"/>
      <c r="BQ699" s="3117"/>
      <c r="BR699" s="3117"/>
      <c r="BS699" s="3117"/>
      <c r="BT699" s="3117"/>
      <c r="BU699" s="3406"/>
      <c r="BV699" s="3117"/>
      <c r="BW699" s="3117"/>
      <c r="BX699" s="3117"/>
      <c r="BY699" s="3117"/>
      <c r="BZ699" s="3185"/>
      <c r="CA699" s="3185"/>
      <c r="CB699" s="3185"/>
      <c r="CC699" s="3185"/>
      <c r="CD699" s="3185"/>
      <c r="CE699" s="3185"/>
      <c r="CF699" s="3185"/>
      <c r="CG699" s="3185"/>
      <c r="CH699" s="626"/>
      <c r="CI699" s="626"/>
      <c r="CJ699" s="626"/>
      <c r="CK699" s="626"/>
      <c r="CL699" s="626"/>
      <c r="CM699" s="626"/>
      <c r="CN699" s="626"/>
      <c r="CO699" s="626"/>
      <c r="CP699" s="994"/>
      <c r="CQ699" s="626"/>
      <c r="CR699" s="626"/>
      <c r="CS699" s="626"/>
      <c r="CT699" s="626"/>
      <c r="CU699" s="626"/>
      <c r="CV699" s="626"/>
      <c r="CW699" s="626"/>
      <c r="CX699" s="626"/>
      <c r="CY699" s="626"/>
      <c r="CZ699" s="626"/>
      <c r="DA699" s="626"/>
      <c r="DB699" s="626"/>
      <c r="DC699" s="626"/>
      <c r="DD699" s="626"/>
      <c r="DE699" s="626"/>
      <c r="DF699" s="626"/>
      <c r="DG699" s="1893"/>
      <c r="DH699" s="632"/>
      <c r="DI699" s="595"/>
      <c r="DJ699" s="595"/>
      <c r="DK699" s="595"/>
      <c r="DL699" s="595"/>
      <c r="DM699" s="595"/>
      <c r="DN699" s="514"/>
      <c r="DO699" s="77"/>
      <c r="DY699" s="1634"/>
      <c r="DZ699" s="1634"/>
    </row>
    <row r="700" spans="1:130" ht="12" hidden="1" customHeight="1" outlineLevel="1">
      <c r="A700" s="2045" t="s">
        <v>1197</v>
      </c>
      <c r="B700" s="746"/>
      <c r="C700" s="746"/>
      <c r="D700" s="591"/>
      <c r="E700" s="592"/>
      <c r="F700" s="592"/>
      <c r="G700" s="592"/>
      <c r="H700" s="779"/>
      <c r="I700" s="592"/>
      <c r="J700" s="592"/>
      <c r="K700" s="592"/>
      <c r="L700" s="592"/>
      <c r="M700" s="779"/>
      <c r="N700" s="592"/>
      <c r="O700" s="592"/>
      <c r="P700" s="592"/>
      <c r="Q700" s="592"/>
      <c r="R700" s="779"/>
      <c r="S700" s="592"/>
      <c r="T700" s="592"/>
      <c r="U700" s="592"/>
      <c r="V700" s="592"/>
      <c r="W700" s="779"/>
      <c r="X700" s="592"/>
      <c r="Y700" s="592"/>
      <c r="Z700" s="592"/>
      <c r="AA700" s="592"/>
      <c r="AB700" s="779"/>
      <c r="AC700" s="592"/>
      <c r="AD700" s="592"/>
      <c r="AE700" s="592"/>
      <c r="AF700" s="592"/>
      <c r="AG700" s="779"/>
      <c r="AH700" s="592"/>
      <c r="AI700" s="592"/>
      <c r="AJ700" s="592"/>
      <c r="AK700" s="592"/>
      <c r="AL700" s="779"/>
      <c r="AM700" s="592"/>
      <c r="AN700" s="592"/>
      <c r="AO700" s="592"/>
      <c r="AP700" s="592"/>
      <c r="AQ700" s="779"/>
      <c r="AR700" s="592"/>
      <c r="AS700" s="592"/>
      <c r="AT700" s="592"/>
      <c r="AU700" s="592">
        <f>+AU699/(AU669+AU639+AU605+AU571+AU537)</f>
        <v>-5.1540769378252077E-3</v>
      </c>
      <c r="AV700" s="779"/>
      <c r="AW700" s="592">
        <f>+AW699/(AW669+AW639+AW605+AW571+AW537)</f>
        <v>-1.5062141183009907E-2</v>
      </c>
      <c r="AX700" s="592">
        <f>+AX699/(AX669+AX639+AX605+AX571+AX537)</f>
        <v>-5.5127000880974874E-3</v>
      </c>
      <c r="AY700" s="592">
        <f>+AY699/(AY669+AY639+AY605+AY571+AY537)</f>
        <v>-9.156786423029856E-3</v>
      </c>
      <c r="AZ700" s="592">
        <f>+AZ699/(AZ669+AZ639+AZ605+AZ571+AZ537)</f>
        <v>-2.1624886549600299E-2</v>
      </c>
      <c r="BA700" s="779"/>
      <c r="BB700" s="592">
        <f>+BB699/(BB669+BB639+BB605+BB571+BB537)</f>
        <v>-2.4380627445425008E-2</v>
      </c>
      <c r="BC700" s="592">
        <f>+BC699/(BC669+BC639+BC605+BC571+BC537)</f>
        <v>-4.971138883051292E-4</v>
      </c>
      <c r="BD700" s="592">
        <f>+BD699/(BD669+BD639+BD605+BD571+BD537)</f>
        <v>-7.65051610266045E-3</v>
      </c>
      <c r="BE700" s="592"/>
      <c r="BF700" s="779"/>
      <c r="BG700" s="591"/>
      <c r="BH700" s="592"/>
      <c r="BI700" s="592"/>
      <c r="BJ700" s="1850"/>
      <c r="BK700" s="779"/>
      <c r="BL700" s="592"/>
      <c r="BM700" s="592"/>
      <c r="BN700" s="592"/>
      <c r="BO700" s="592"/>
      <c r="BP700" s="779"/>
      <c r="BQ700" s="592"/>
      <c r="BR700" s="592"/>
      <c r="BS700" s="592"/>
      <c r="BT700" s="592"/>
      <c r="BU700" s="3378"/>
      <c r="BV700" s="592"/>
      <c r="BW700" s="592"/>
      <c r="BX700" s="592"/>
      <c r="BY700" s="592"/>
      <c r="BZ700" s="779"/>
      <c r="CA700" s="779"/>
      <c r="CB700" s="779"/>
      <c r="CC700" s="779"/>
      <c r="CD700" s="779"/>
      <c r="CE700" s="779"/>
      <c r="CF700" s="779"/>
      <c r="CG700" s="779"/>
      <c r="CH700" s="592"/>
      <c r="CI700" s="592"/>
      <c r="CJ700" s="592"/>
      <c r="CK700" s="592"/>
      <c r="CL700" s="592"/>
      <c r="CM700" s="592"/>
      <c r="CN700" s="592"/>
      <c r="CO700" s="592"/>
      <c r="CP700" s="1884"/>
      <c r="CQ700" s="592"/>
      <c r="CR700" s="592"/>
      <c r="CS700" s="592"/>
      <c r="CT700" s="592"/>
      <c r="CU700" s="592"/>
      <c r="CV700" s="592"/>
      <c r="CW700" s="592"/>
      <c r="CX700" s="592"/>
      <c r="CY700" s="592"/>
      <c r="CZ700" s="592"/>
      <c r="DA700" s="592"/>
      <c r="DB700" s="592"/>
      <c r="DC700" s="592"/>
      <c r="DD700" s="592"/>
      <c r="DE700" s="592"/>
      <c r="DF700" s="592"/>
      <c r="DG700" s="1850"/>
      <c r="DH700" s="592"/>
      <c r="DI700" s="592"/>
      <c r="DJ700" s="592"/>
      <c r="DK700" s="592"/>
      <c r="DL700" s="592"/>
      <c r="DM700" s="592"/>
      <c r="DN700" s="592"/>
      <c r="DO700" s="1438"/>
      <c r="DY700" s="592"/>
      <c r="DZ700" s="592"/>
    </row>
    <row r="701" spans="1:130" ht="12" hidden="1" customHeight="1" outlineLevel="1">
      <c r="A701" s="708"/>
      <c r="B701" s="228"/>
      <c r="C701" s="228"/>
      <c r="D701" s="625"/>
      <c r="E701" s="626"/>
      <c r="F701" s="626"/>
      <c r="G701" s="626"/>
      <c r="H701" s="788"/>
      <c r="I701" s="626"/>
      <c r="J701" s="626"/>
      <c r="K701" s="626"/>
      <c r="L701" s="626"/>
      <c r="M701" s="788"/>
      <c r="N701" s="626"/>
      <c r="O701" s="626"/>
      <c r="P701" s="626"/>
      <c r="Q701" s="626"/>
      <c r="R701" s="788"/>
      <c r="S701" s="626"/>
      <c r="T701" s="626"/>
      <c r="U701" s="626"/>
      <c r="V701" s="626"/>
      <c r="W701" s="788"/>
      <c r="X701" s="626"/>
      <c r="Y701" s="626"/>
      <c r="Z701" s="626"/>
      <c r="AA701" s="626"/>
      <c r="AB701" s="788"/>
      <c r="AC701" s="626"/>
      <c r="AD701" s="626"/>
      <c r="AE701" s="626"/>
      <c r="AF701" s="626"/>
      <c r="AG701" s="788"/>
      <c r="AH701" s="626"/>
      <c r="AI701" s="626"/>
      <c r="AJ701" s="626"/>
      <c r="AK701" s="626"/>
      <c r="AL701" s="788"/>
      <c r="AM701" s="626"/>
      <c r="AN701" s="261"/>
      <c r="AO701" s="626"/>
      <c r="AP701" s="330"/>
      <c r="AQ701" s="1439"/>
      <c r="AR701" s="330"/>
      <c r="AS701" s="1977"/>
      <c r="AT701" s="330"/>
      <c r="AU701" s="626"/>
      <c r="AV701" s="1951"/>
      <c r="AW701" s="626"/>
      <c r="AX701" s="261"/>
      <c r="AY701" s="626"/>
      <c r="AZ701" s="626"/>
      <c r="BA701" s="1951"/>
      <c r="BB701" s="626"/>
      <c r="BC701" s="261"/>
      <c r="BD701" s="626"/>
      <c r="BE701" s="626"/>
      <c r="BF701" s="1951"/>
      <c r="BG701" s="678"/>
      <c r="BH701" s="330"/>
      <c r="BI701" s="330"/>
      <c r="BJ701" s="2136"/>
      <c r="BK701" s="1951"/>
      <c r="BL701" s="330"/>
      <c r="BM701" s="330"/>
      <c r="BN701" s="330"/>
      <c r="BO701" s="330"/>
      <c r="BP701" s="1951"/>
      <c r="BQ701" s="330"/>
      <c r="BR701" s="330"/>
      <c r="BS701" s="330"/>
      <c r="BT701" s="330"/>
      <c r="BU701" s="3409"/>
      <c r="BV701" s="330"/>
      <c r="BW701" s="330"/>
      <c r="BX701" s="330"/>
      <c r="BY701" s="330"/>
      <c r="BZ701" s="1439"/>
      <c r="CA701" s="1439"/>
      <c r="CB701" s="1439"/>
      <c r="CC701" s="1439"/>
      <c r="CD701" s="1439"/>
      <c r="CE701" s="1439"/>
      <c r="CF701" s="1439"/>
      <c r="CG701" s="1439"/>
      <c r="CH701" s="626"/>
      <c r="CI701" s="626"/>
      <c r="CJ701" s="626"/>
      <c r="CK701" s="626"/>
      <c r="CL701" s="626"/>
      <c r="CM701" s="626"/>
      <c r="CN701" s="626"/>
      <c r="CO701" s="626"/>
      <c r="CP701" s="994"/>
      <c r="CQ701" s="626"/>
      <c r="CR701" s="626"/>
      <c r="CS701" s="626"/>
      <c r="CT701" s="626"/>
      <c r="CU701" s="626"/>
      <c r="CV701" s="626"/>
      <c r="CW701" s="626"/>
      <c r="CX701" s="626"/>
      <c r="CY701" s="626"/>
      <c r="CZ701" s="626"/>
      <c r="DA701" s="626"/>
      <c r="DB701" s="626"/>
      <c r="DC701" s="626"/>
      <c r="DD701" s="626"/>
      <c r="DE701" s="626"/>
      <c r="DF701" s="626"/>
      <c r="DG701" s="1893"/>
      <c r="DH701" s="632"/>
      <c r="DI701" s="595"/>
      <c r="DJ701" s="595"/>
      <c r="DK701" s="595"/>
      <c r="DL701" s="595"/>
      <c r="DM701" s="595"/>
      <c r="DN701" s="514"/>
      <c r="DO701" s="77"/>
      <c r="DY701" s="1977"/>
      <c r="DZ701" s="1977"/>
    </row>
    <row r="702" spans="1:130" ht="12" hidden="1" customHeight="1" outlineLevel="1">
      <c r="A702" s="552" t="s">
        <v>1198</v>
      </c>
      <c r="B702" s="228"/>
      <c r="C702" s="228"/>
      <c r="D702" s="625"/>
      <c r="E702" s="626"/>
      <c r="F702" s="626"/>
      <c r="G702" s="626"/>
      <c r="H702" s="788"/>
      <c r="I702" s="626"/>
      <c r="J702" s="626"/>
      <c r="K702" s="626"/>
      <c r="L702" s="626"/>
      <c r="M702" s="788"/>
      <c r="N702" s="626"/>
      <c r="O702" s="626"/>
      <c r="P702" s="626"/>
      <c r="Q702" s="626"/>
      <c r="R702" s="788"/>
      <c r="S702" s="626"/>
      <c r="T702" s="626"/>
      <c r="U702" s="626"/>
      <c r="V702" s="626"/>
      <c r="W702" s="788"/>
      <c r="X702" s="626"/>
      <c r="Y702" s="626"/>
      <c r="Z702" s="626"/>
      <c r="AA702" s="626"/>
      <c r="AB702" s="788"/>
      <c r="AC702" s="626"/>
      <c r="AD702" s="626"/>
      <c r="AE702" s="626"/>
      <c r="AF702" s="626"/>
      <c r="AG702" s="788"/>
      <c r="AH702" s="626"/>
      <c r="AI702" s="626"/>
      <c r="AJ702" s="626"/>
      <c r="AK702" s="626"/>
      <c r="AL702" s="788"/>
      <c r="AM702" s="626"/>
      <c r="AN702" s="626"/>
      <c r="AO702" s="330"/>
      <c r="AP702" s="330"/>
      <c r="AQ702" s="1950"/>
      <c r="AR702" s="626"/>
      <c r="AS702" s="626"/>
      <c r="AT702" s="330"/>
      <c r="AU702" s="330">
        <f>124.344-(AU670+AU640+AU606+AU572+AU538+AU710)</f>
        <v>1.3975495699999954</v>
      </c>
      <c r="AV702" s="1950">
        <f>+SUM(AR702:AU702)</f>
        <v>1.3975495699999954</v>
      </c>
      <c r="AW702" s="330">
        <f>133.913-(AW670+AW640+AW606+AW572+AW538+AW710)</f>
        <v>2.6341117000000054</v>
      </c>
      <c r="AX702" s="330">
        <f>135.78-(AX670+AX640+AX606+AX572+AX538+AX710)</f>
        <v>0.25312192000001232</v>
      </c>
      <c r="AY702" s="330">
        <f>130.722-(AY670+AY640+AY606+AY572+AY538+AY710)</f>
        <v>-0.8255519100000015</v>
      </c>
      <c r="AZ702" s="330">
        <f>119.914-(AZ670+AZ640+AZ606+AZ572+AZ538+AZ710)</f>
        <v>0.81202876999999773</v>
      </c>
      <c r="BA702" s="1950">
        <f>+SUM(AW702:AZ702)</f>
        <v>2.8737104800000139</v>
      </c>
      <c r="BB702" s="330">
        <f>122.273-(BB670+BB640+BB606+BB572+BB538+BB710)</f>
        <v>1.7331116999999949</v>
      </c>
      <c r="BC702" s="330">
        <f>127.754-(BC670+BC640+BC606+BC572+BC538+BC710)</f>
        <v>-0.99402807999997833</v>
      </c>
      <c r="BD702" s="330">
        <f>123.578-(BD670+BD640+BD606+BD572+BD538+BD710)</f>
        <v>-0.95409641000000533</v>
      </c>
      <c r="BE702" s="330">
        <f>120.247-(BE670+BE640+BE606+BE572+BE538+BE710)</f>
        <v>7.874793499999555E-2</v>
      </c>
      <c r="BF702" s="1950">
        <f>+SUM(BB702:BE702)</f>
        <v>-0.13626485499999319</v>
      </c>
      <c r="BG702" s="330">
        <f>125.909-(BG670+BG640+BG606+BG572+BG538+BG710)</f>
        <v>2.3931117000000057</v>
      </c>
      <c r="BH702" s="330">
        <f>130.622-(BH670+BH640+BH606+BH572+BH538+BH710)</f>
        <v>-0.60146107999997867</v>
      </c>
      <c r="BI702" s="330">
        <f>125.807-(BI670+BI640+BI606+BI572+BI538+BI710)</f>
        <v>-0.65469840999999462</v>
      </c>
      <c r="BJ702" s="330">
        <f>120.508-(BJ670+BJ640+BJ606+BJ572+BJ538+BJ710)</f>
        <v>0.77113693500000124</v>
      </c>
      <c r="BK702" s="1950">
        <f>+SUM(BG702:BJ702)</f>
        <v>1.9080891450000337</v>
      </c>
      <c r="BL702" s="330">
        <f>126.19-(BL670+BL640+BL606+BL572+BL538+BL710)</f>
        <v>2.7240056999999922</v>
      </c>
      <c r="BM702" s="330">
        <f>122.888-(BM670+BM640+BM606+BM572+BM538+BM710)</f>
        <v>-1.5584610800000007</v>
      </c>
      <c r="BN702" s="3117"/>
      <c r="BO702" s="3117"/>
      <c r="BP702" s="1950"/>
      <c r="BQ702" s="3117"/>
      <c r="BR702" s="3117"/>
      <c r="BS702" s="3117"/>
      <c r="BT702" s="3117"/>
      <c r="BU702" s="3406"/>
      <c r="BV702" s="3117"/>
      <c r="BW702" s="3117"/>
      <c r="BX702" s="3117"/>
      <c r="BY702" s="3117"/>
      <c r="BZ702" s="3185"/>
      <c r="CA702" s="3185"/>
      <c r="CB702" s="3185"/>
      <c r="CC702" s="3185"/>
      <c r="CD702" s="3185"/>
      <c r="CE702" s="3185"/>
      <c r="CF702" s="3185"/>
      <c r="CG702" s="3185"/>
      <c r="CH702" s="626"/>
      <c r="CI702" s="626"/>
      <c r="CJ702" s="626"/>
      <c r="CK702" s="626"/>
      <c r="CL702" s="626"/>
      <c r="CM702" s="626"/>
      <c r="CN702" s="626"/>
      <c r="CO702" s="626"/>
      <c r="CP702" s="994"/>
      <c r="CQ702" s="626"/>
      <c r="CR702" s="626"/>
      <c r="CS702" s="626"/>
      <c r="CT702" s="626"/>
      <c r="CU702" s="626"/>
      <c r="CV702" s="626"/>
      <c r="CW702" s="626"/>
      <c r="CX702" s="626"/>
      <c r="CY702" s="626"/>
      <c r="CZ702" s="626"/>
      <c r="DA702" s="626"/>
      <c r="DB702" s="626"/>
      <c r="DC702" s="626"/>
      <c r="DD702" s="626"/>
      <c r="DE702" s="626"/>
      <c r="DF702" s="626"/>
      <c r="DG702" s="1893"/>
      <c r="DH702" s="632"/>
      <c r="DI702" s="595"/>
      <c r="DJ702" s="595"/>
      <c r="DK702" s="595"/>
      <c r="DL702" s="595"/>
      <c r="DM702" s="595"/>
      <c r="DN702" s="514"/>
      <c r="DO702" s="77"/>
      <c r="DY702" s="1634"/>
      <c r="DZ702" s="1634"/>
    </row>
    <row r="703" spans="1:130" ht="12" hidden="1" customHeight="1" outlineLevel="1">
      <c r="A703" s="2045" t="s">
        <v>1199</v>
      </c>
      <c r="B703" s="746"/>
      <c r="C703" s="746"/>
      <c r="D703" s="591"/>
      <c r="E703" s="592"/>
      <c r="F703" s="592"/>
      <c r="G703" s="592"/>
      <c r="H703" s="779"/>
      <c r="I703" s="592"/>
      <c r="J703" s="592"/>
      <c r="K703" s="592"/>
      <c r="L703" s="592"/>
      <c r="M703" s="779"/>
      <c r="N703" s="592"/>
      <c r="O703" s="592"/>
      <c r="P703" s="592"/>
      <c r="Q703" s="592"/>
      <c r="R703" s="779"/>
      <c r="S703" s="592"/>
      <c r="T703" s="592"/>
      <c r="U703" s="592"/>
      <c r="V703" s="592"/>
      <c r="W703" s="779"/>
      <c r="X703" s="592"/>
      <c r="Y703" s="592"/>
      <c r="Z703" s="592"/>
      <c r="AA703" s="592"/>
      <c r="AB703" s="779"/>
      <c r="AC703" s="592"/>
      <c r="AD703" s="592"/>
      <c r="AE703" s="592"/>
      <c r="AF703" s="592"/>
      <c r="AG703" s="779"/>
      <c r="AH703" s="592"/>
      <c r="AI703" s="592"/>
      <c r="AJ703" s="592"/>
      <c r="AK703" s="592"/>
      <c r="AL703" s="779"/>
      <c r="AM703" s="592"/>
      <c r="AN703" s="592"/>
      <c r="AO703" s="592"/>
      <c r="AP703" s="592"/>
      <c r="AQ703" s="779"/>
      <c r="AR703" s="592"/>
      <c r="AS703" s="592"/>
      <c r="AT703" s="592"/>
      <c r="AU703" s="592">
        <f>+AU702/(AU669+AU639+AU605+AU571+AU537)</f>
        <v>1.1905690118100623E-2</v>
      </c>
      <c r="AV703" s="779"/>
      <c r="AW703" s="592">
        <f>+AW702/(AW669+AW639+AW605+AW571+AW537)</f>
        <v>2.060531913560203E-2</v>
      </c>
      <c r="AX703" s="592">
        <f>+AX702/(AX669+AX639+AX605+AX571+AX537)</f>
        <v>1.9880942904138372E-3</v>
      </c>
      <c r="AY703" s="592">
        <f>+AY702/(AY669+AY639+AY605+AY571+AY537)</f>
        <v>-6.7389379689001523E-3</v>
      </c>
      <c r="AZ703" s="592">
        <f>+AZ702/(AZ669+AZ639+AZ605+AZ571+AZ537)</f>
        <v>7.1649928750720246E-3</v>
      </c>
      <c r="BA703" s="779"/>
      <c r="BB703" s="592">
        <f>+BB702/(BB669+BB639+BB605+BB571+BB537)</f>
        <v>1.4849406318959733E-2</v>
      </c>
      <c r="BC703" s="592">
        <f>+BC702/(BC669+BC639+BC605+BC571+BC537)</f>
        <v>-8.403754999670502E-3</v>
      </c>
      <c r="BD703" s="592">
        <f>+BD702/(BD669+BD639+BD605+BD571+BD537)</f>
        <v>-8.2803239380793738E-3</v>
      </c>
      <c r="BE703" s="592"/>
      <c r="BF703" s="779"/>
      <c r="BG703" s="591"/>
      <c r="BH703" s="592"/>
      <c r="BI703" s="592"/>
      <c r="BJ703" s="1850"/>
      <c r="BK703" s="779"/>
      <c r="BL703" s="592"/>
      <c r="BM703" s="592"/>
      <c r="BN703" s="592"/>
      <c r="BO703" s="592"/>
      <c r="BP703" s="779"/>
      <c r="BQ703" s="592"/>
      <c r="BR703" s="592"/>
      <c r="BS703" s="592"/>
      <c r="BT703" s="592"/>
      <c r="BU703" s="3378"/>
      <c r="BV703" s="592"/>
      <c r="BW703" s="592"/>
      <c r="BX703" s="592"/>
      <c r="BY703" s="592"/>
      <c r="BZ703" s="779"/>
      <c r="CA703" s="779"/>
      <c r="CB703" s="779"/>
      <c r="CC703" s="779"/>
      <c r="CD703" s="779"/>
      <c r="CE703" s="779"/>
      <c r="CF703" s="779"/>
      <c r="CG703" s="779"/>
      <c r="CH703" s="592"/>
      <c r="CI703" s="592"/>
      <c r="CJ703" s="592"/>
      <c r="CK703" s="592"/>
      <c r="CL703" s="592"/>
      <c r="CM703" s="592"/>
      <c r="CN703" s="592"/>
      <c r="CO703" s="592"/>
      <c r="CP703" s="1884"/>
      <c r="CQ703" s="592"/>
      <c r="CR703" s="592"/>
      <c r="CS703" s="592"/>
      <c r="CT703" s="592"/>
      <c r="CU703" s="592"/>
      <c r="CV703" s="592"/>
      <c r="CW703" s="592"/>
      <c r="CX703" s="592"/>
      <c r="CY703" s="592"/>
      <c r="CZ703" s="592"/>
      <c r="DA703" s="592"/>
      <c r="DB703" s="592"/>
      <c r="DC703" s="592"/>
      <c r="DD703" s="592"/>
      <c r="DE703" s="592"/>
      <c r="DF703" s="592"/>
      <c r="DG703" s="1850"/>
      <c r="DH703" s="592"/>
      <c r="DI703" s="592"/>
      <c r="DJ703" s="592"/>
      <c r="DK703" s="592"/>
      <c r="DL703" s="592"/>
      <c r="DM703" s="592"/>
      <c r="DN703" s="592"/>
      <c r="DO703" s="1438"/>
      <c r="DY703" s="592"/>
      <c r="DZ703" s="592"/>
    </row>
    <row r="704" spans="1:130" ht="12" hidden="1" customHeight="1" outlineLevel="1">
      <c r="A704" s="2045"/>
      <c r="B704" s="746"/>
      <c r="C704" s="746"/>
      <c r="D704" s="591"/>
      <c r="E704" s="592"/>
      <c r="F704" s="592"/>
      <c r="G704" s="592"/>
      <c r="H704" s="779"/>
      <c r="I704" s="592"/>
      <c r="J704" s="592"/>
      <c r="K704" s="592"/>
      <c r="L704" s="592"/>
      <c r="M704" s="779"/>
      <c r="N704" s="592"/>
      <c r="O704" s="592"/>
      <c r="P704" s="592"/>
      <c r="Q704" s="592"/>
      <c r="R704" s="779"/>
      <c r="S704" s="592"/>
      <c r="T704" s="592"/>
      <c r="U704" s="592"/>
      <c r="V704" s="592"/>
      <c r="W704" s="779"/>
      <c r="X704" s="592"/>
      <c r="Y704" s="592"/>
      <c r="Z704" s="592"/>
      <c r="AA704" s="592"/>
      <c r="AB704" s="779"/>
      <c r="AC704" s="592"/>
      <c r="AD704" s="592"/>
      <c r="AE704" s="592"/>
      <c r="AF704" s="592"/>
      <c r="AG704" s="779"/>
      <c r="AH704" s="592"/>
      <c r="AI704" s="592"/>
      <c r="AJ704" s="592"/>
      <c r="AK704" s="592"/>
      <c r="AL704" s="779"/>
      <c r="AM704" s="592"/>
      <c r="AN704" s="592"/>
      <c r="AO704" s="592"/>
      <c r="AP704" s="592"/>
      <c r="AQ704" s="779"/>
      <c r="AR704" s="592"/>
      <c r="AS704" s="592"/>
      <c r="AT704" s="592"/>
      <c r="AU704" s="592"/>
      <c r="AV704" s="779"/>
      <c r="AW704" s="592"/>
      <c r="AX704" s="592"/>
      <c r="AY704" s="592"/>
      <c r="AZ704" s="592"/>
      <c r="BA704" s="779"/>
      <c r="BB704" s="592"/>
      <c r="BC704" s="592"/>
      <c r="BD704" s="592"/>
      <c r="BE704" s="592"/>
      <c r="BF704" s="779"/>
      <c r="BG704" s="591"/>
      <c r="BH704" s="592"/>
      <c r="BI704" s="592"/>
      <c r="BJ704" s="1850"/>
      <c r="BK704" s="779"/>
      <c r="BL704" s="592"/>
      <c r="BM704" s="592"/>
      <c r="BN704" s="592"/>
      <c r="BO704" s="592"/>
      <c r="BP704" s="779"/>
      <c r="BQ704" s="592"/>
      <c r="BR704" s="592"/>
      <c r="BS704" s="592"/>
      <c r="BT704" s="592"/>
      <c r="BU704" s="3378"/>
      <c r="BV704" s="592"/>
      <c r="BW704" s="592"/>
      <c r="BX704" s="592"/>
      <c r="BY704" s="592"/>
      <c r="BZ704" s="779"/>
      <c r="CA704" s="779"/>
      <c r="CB704" s="779"/>
      <c r="CC704" s="779"/>
      <c r="CD704" s="779"/>
      <c r="CE704" s="779"/>
      <c r="CF704" s="779"/>
      <c r="CG704" s="779"/>
      <c r="CH704" s="592"/>
      <c r="CI704" s="592"/>
      <c r="CJ704" s="592"/>
      <c r="CK704" s="592"/>
      <c r="CL704" s="592"/>
      <c r="CM704" s="592"/>
      <c r="CN704" s="592"/>
      <c r="CO704" s="592"/>
      <c r="CP704" s="1884"/>
      <c r="CQ704" s="592"/>
      <c r="CR704" s="592"/>
      <c r="CS704" s="592"/>
      <c r="CT704" s="592"/>
      <c r="CU704" s="592"/>
      <c r="CV704" s="592"/>
      <c r="CW704" s="592"/>
      <c r="CX704" s="592"/>
      <c r="CY704" s="592"/>
      <c r="CZ704" s="592"/>
      <c r="DA704" s="592"/>
      <c r="DB704" s="592"/>
      <c r="DC704" s="592"/>
      <c r="DD704" s="592"/>
      <c r="DE704" s="592"/>
      <c r="DF704" s="592"/>
      <c r="DG704" s="1850"/>
      <c r="DH704" s="592"/>
      <c r="DI704" s="592"/>
      <c r="DJ704" s="592"/>
      <c r="DK704" s="592"/>
      <c r="DL704" s="592"/>
      <c r="DM704" s="592"/>
      <c r="DN704" s="592"/>
      <c r="DO704" s="1438"/>
      <c r="DY704" s="592"/>
      <c r="DZ704" s="592"/>
    </row>
    <row r="705" spans="1:130" ht="12" hidden="1" customHeight="1" outlineLevel="1">
      <c r="A705" s="552" t="s">
        <v>402</v>
      </c>
      <c r="B705" s="228"/>
      <c r="C705" s="228"/>
      <c r="D705" s="625"/>
      <c r="E705" s="626"/>
      <c r="F705" s="626"/>
      <c r="G705" s="626"/>
      <c r="H705" s="788"/>
      <c r="I705" s="626"/>
      <c r="J705" s="626"/>
      <c r="K705" s="626"/>
      <c r="L705" s="626"/>
      <c r="M705" s="788"/>
      <c r="N705" s="626"/>
      <c r="O705" s="626"/>
      <c r="P705" s="626"/>
      <c r="Q705" s="626"/>
      <c r="R705" s="788"/>
      <c r="S705" s="626"/>
      <c r="T705" s="626"/>
      <c r="U705" s="626"/>
      <c r="V705" s="626"/>
      <c r="W705" s="788"/>
      <c r="X705" s="626"/>
      <c r="Y705" s="626"/>
      <c r="Z705" s="626"/>
      <c r="AA705" s="626"/>
      <c r="AB705" s="788"/>
      <c r="AC705" s="626"/>
      <c r="AD705" s="626"/>
      <c r="AE705" s="626"/>
      <c r="AF705" s="626"/>
      <c r="AG705" s="788"/>
      <c r="AH705" s="626"/>
      <c r="AI705" s="626"/>
      <c r="AJ705" s="626"/>
      <c r="AK705" s="626"/>
      <c r="AL705" s="788"/>
      <c r="AM705" s="626"/>
      <c r="AN705" s="626"/>
      <c r="AO705" s="330"/>
      <c r="AP705" s="330"/>
      <c r="AQ705" s="1950"/>
      <c r="AR705" s="626"/>
      <c r="AS705" s="626"/>
      <c r="AT705" s="330"/>
      <c r="AU705" s="330">
        <f>+AU713-43.035-AU716-(AU679+AU649+AU615+AU581+AU547)</f>
        <v>0.79253819000000192</v>
      </c>
      <c r="AV705" s="1950">
        <f>+SUM(AR705:AU705)</f>
        <v>0.79253819000000192</v>
      </c>
      <c r="AW705" s="330">
        <f>+AW713-50.712-AW716-(AW679+AW649+AW615+AW581+AW547)</f>
        <v>0.81180162419501301</v>
      </c>
      <c r="AX705" s="330">
        <f>+AX713-48.323-AX716-(AX679+AX649+AX615+AX581+AX547)</f>
        <v>-0.44838310985400653</v>
      </c>
      <c r="AY705" s="330">
        <f>+AY713-45.274-AY716-(AY679+AY649+AY615+AY581+AY547)</f>
        <v>-0.2879780614089924</v>
      </c>
      <c r="AZ705" s="330">
        <f>+AZ713-40.96-AZ716-(AZ679+AZ649+AZ615+AZ581+AZ547)</f>
        <v>-2.5346683963048449</v>
      </c>
      <c r="BA705" s="1950">
        <f>+SUM(AW705:AZ705)</f>
        <v>-2.4592279433728308</v>
      </c>
      <c r="BB705" s="330">
        <f>+BB713-44.761-BB716-(BB679+BB649+BB615+BB581+BB547)</f>
        <v>-1.007449459866649</v>
      </c>
      <c r="BC705" s="330">
        <f>+BC713-45.282-BC716-(BC679+BC649+BC615+BC581+BC547)</f>
        <v>0.10586148708986087</v>
      </c>
      <c r="BD705" s="330">
        <f>+BD713-42.875-BD716-(BD679+BD649+BD615+BD581+BD547)</f>
        <v>-0.63489251416373094</v>
      </c>
      <c r="BE705" s="330">
        <f>+BE713-42.163-BE716-(BE679+BE649+BE615+BE581+BE547)</f>
        <v>-2.9324359789546648</v>
      </c>
      <c r="BF705" s="1950">
        <f>+SUM(BB705:BE705)</f>
        <v>-4.4689164658951839</v>
      </c>
      <c r="BG705" s="330">
        <f>+BG713-46.363-BG716-(BG679+BG649+BG615+BG581+BG547)</f>
        <v>-1.1831622907581689</v>
      </c>
      <c r="BH705" s="330">
        <f>+BH713-49.164-BH716-(BH679+BH649+BH615+BH581+BH547)</f>
        <v>-2.0690148666391011</v>
      </c>
      <c r="BI705" s="330">
        <f>+BI713-45.63-BI716-(BI679+BI649+BI615+BI581+BI547)</f>
        <v>-1.7401184070430062</v>
      </c>
      <c r="BJ705" s="330">
        <f>+BJ713-42.963-BJ716-(BJ679+BJ649+BJ615+BJ581+BJ547)</f>
        <v>-3.037421099635651</v>
      </c>
      <c r="BK705" s="1950">
        <f>+SUM(BG705:BJ705)</f>
        <v>-8.0297166640759272</v>
      </c>
      <c r="BL705" s="330">
        <f>+BL713-47.112-BL716-(BL679+BL649+BL615+BL581+BL547)</f>
        <v>6.7161165158177383</v>
      </c>
      <c r="BM705" s="330">
        <f>+BM713-44.691-BM716-(BM679+BM649+BM615+BM581+BM547)</f>
        <v>4.2589228797646115</v>
      </c>
      <c r="BN705" s="3117"/>
      <c r="BO705" s="3117"/>
      <c r="BP705" s="1950"/>
      <c r="BQ705" s="3117"/>
      <c r="BR705" s="3117"/>
      <c r="BS705" s="3117"/>
      <c r="BT705" s="3117"/>
      <c r="BU705" s="3406"/>
      <c r="BV705" s="3117"/>
      <c r="BW705" s="3117"/>
      <c r="BX705" s="3117"/>
      <c r="BY705" s="3117"/>
      <c r="BZ705" s="3185"/>
      <c r="CA705" s="3185"/>
      <c r="CB705" s="3185"/>
      <c r="CC705" s="3185"/>
      <c r="CD705" s="3185"/>
      <c r="CE705" s="3185"/>
      <c r="CF705" s="3185"/>
      <c r="CG705" s="3185"/>
      <c r="CH705" s="626"/>
      <c r="CI705" s="626"/>
      <c r="CJ705" s="626"/>
      <c r="CK705" s="626"/>
      <c r="CL705" s="626"/>
      <c r="CM705" s="626"/>
      <c r="CN705" s="626"/>
      <c r="CO705" s="626"/>
      <c r="CP705" s="994"/>
      <c r="CQ705" s="626"/>
      <c r="CR705" s="626"/>
      <c r="CS705" s="626"/>
      <c r="CT705" s="626"/>
      <c r="CU705" s="626"/>
      <c r="CV705" s="626"/>
      <c r="CW705" s="626"/>
      <c r="CX705" s="626"/>
      <c r="CY705" s="626"/>
      <c r="CZ705" s="626"/>
      <c r="DA705" s="626"/>
      <c r="DB705" s="626"/>
      <c r="DC705" s="626"/>
      <c r="DD705" s="626"/>
      <c r="DE705" s="626"/>
      <c r="DF705" s="626"/>
      <c r="DG705" s="1893"/>
      <c r="DH705" s="632"/>
      <c r="DI705" s="595"/>
      <c r="DJ705" s="595"/>
      <c r="DK705" s="595"/>
      <c r="DL705" s="595"/>
      <c r="DM705" s="595"/>
      <c r="DN705" s="514"/>
      <c r="DO705" s="77"/>
      <c r="DY705" s="1634"/>
      <c r="DZ705" s="1634"/>
    </row>
    <row r="706" spans="1:130" ht="12" hidden="1" customHeight="1" outlineLevel="1">
      <c r="A706" s="2045" t="s">
        <v>403</v>
      </c>
      <c r="B706" s="746"/>
      <c r="C706" s="746"/>
      <c r="D706" s="591"/>
      <c r="E706" s="592"/>
      <c r="F706" s="592"/>
      <c r="G706" s="592"/>
      <c r="H706" s="779"/>
      <c r="I706" s="592"/>
      <c r="J706" s="592"/>
      <c r="K706" s="592"/>
      <c r="L706" s="592"/>
      <c r="M706" s="779"/>
      <c r="N706" s="592"/>
      <c r="O706" s="592"/>
      <c r="P706" s="592"/>
      <c r="Q706" s="592"/>
      <c r="R706" s="779"/>
      <c r="S706" s="592"/>
      <c r="T706" s="592"/>
      <c r="U706" s="592"/>
      <c r="V706" s="592"/>
      <c r="W706" s="779"/>
      <c r="X706" s="592"/>
      <c r="Y706" s="592"/>
      <c r="Z706" s="592"/>
      <c r="AA706" s="592"/>
      <c r="AB706" s="779"/>
      <c r="AC706" s="592"/>
      <c r="AD706" s="592"/>
      <c r="AE706" s="592"/>
      <c r="AF706" s="592"/>
      <c r="AG706" s="779"/>
      <c r="AH706" s="592"/>
      <c r="AI706" s="592"/>
      <c r="AJ706" s="592"/>
      <c r="AK706" s="592"/>
      <c r="AL706" s="779"/>
      <c r="AM706" s="592"/>
      <c r="AN706" s="592"/>
      <c r="AO706" s="592"/>
      <c r="AP706" s="592"/>
      <c r="AQ706" s="779"/>
      <c r="AR706" s="592"/>
      <c r="AS706" s="592"/>
      <c r="AT706" s="592"/>
      <c r="AU706" s="592">
        <f>+AU705/AU713</f>
        <v>6.3737549861674226E-3</v>
      </c>
      <c r="AV706" s="779"/>
      <c r="AW706" s="592">
        <f>+AW705/AW713</f>
        <v>6.0621569541046269E-3</v>
      </c>
      <c r="AX706" s="592">
        <f>+AX705/AX713</f>
        <v>-3.3022765492267381E-3</v>
      </c>
      <c r="AY706" s="592">
        <f>+AY705/AY713</f>
        <v>-2.202980840325212E-3</v>
      </c>
      <c r="AZ706" s="592">
        <f>+AZ705/AZ713</f>
        <v>-2.1137385095191929E-2</v>
      </c>
      <c r="BA706" s="779"/>
      <c r="BB706" s="592">
        <f>+BB705/BB713</f>
        <v>-8.2393452345705838E-3</v>
      </c>
      <c r="BC706" s="592">
        <f>+BC705/BC713</f>
        <v>8.2863540155189545E-4</v>
      </c>
      <c r="BD706" s="592">
        <f>+BD705/BD713</f>
        <v>-5.1375852834948848E-3</v>
      </c>
      <c r="BE706" s="592"/>
      <c r="BF706" s="779"/>
      <c r="BG706" s="591"/>
      <c r="BH706" s="592"/>
      <c r="BI706" s="592"/>
      <c r="BJ706" s="1850"/>
      <c r="BK706" s="779"/>
      <c r="BL706" s="592"/>
      <c r="BM706" s="592"/>
      <c r="BN706" s="592"/>
      <c r="BO706" s="592"/>
      <c r="BP706" s="779"/>
      <c r="BQ706" s="592"/>
      <c r="BR706" s="592"/>
      <c r="BS706" s="592"/>
      <c r="BT706" s="592"/>
      <c r="BU706" s="3378"/>
      <c r="BV706" s="592"/>
      <c r="BW706" s="592"/>
      <c r="BX706" s="592"/>
      <c r="BY706" s="592"/>
      <c r="BZ706" s="779"/>
      <c r="CA706" s="779"/>
      <c r="CB706" s="779"/>
      <c r="CC706" s="779"/>
      <c r="CD706" s="779"/>
      <c r="CE706" s="779"/>
      <c r="CF706" s="779"/>
      <c r="CG706" s="779"/>
      <c r="CH706" s="592"/>
      <c r="CI706" s="592"/>
      <c r="CJ706" s="592"/>
      <c r="CK706" s="592"/>
      <c r="CL706" s="592"/>
      <c r="CM706" s="592"/>
      <c r="CN706" s="592"/>
      <c r="CO706" s="592"/>
      <c r="CP706" s="1884"/>
      <c r="CQ706" s="592"/>
      <c r="CR706" s="592"/>
      <c r="CS706" s="592"/>
      <c r="CT706" s="592"/>
      <c r="CU706" s="592"/>
      <c r="CV706" s="592"/>
      <c r="CW706" s="592"/>
      <c r="CX706" s="592"/>
      <c r="CY706" s="592"/>
      <c r="CZ706" s="592"/>
      <c r="DA706" s="592"/>
      <c r="DB706" s="592"/>
      <c r="DC706" s="592"/>
      <c r="DD706" s="592"/>
      <c r="DE706" s="592"/>
      <c r="DF706" s="592"/>
      <c r="DG706" s="1850"/>
      <c r="DH706" s="592"/>
      <c r="DI706" s="592"/>
      <c r="DJ706" s="592"/>
      <c r="DK706" s="592"/>
      <c r="DL706" s="592"/>
      <c r="DM706" s="592"/>
      <c r="DN706" s="592"/>
      <c r="DO706" s="1438"/>
      <c r="DY706" s="592"/>
      <c r="DZ706" s="592"/>
    </row>
    <row r="707" spans="1:130" ht="12" hidden="1" customHeight="1" outlineLevel="1">
      <c r="A707" s="2045"/>
      <c r="B707" s="746"/>
      <c r="C707" s="746"/>
      <c r="D707" s="591"/>
      <c r="E707" s="592"/>
      <c r="F707" s="592"/>
      <c r="G707" s="592"/>
      <c r="H707" s="779"/>
      <c r="I707" s="592"/>
      <c r="J707" s="592"/>
      <c r="K707" s="592"/>
      <c r="L707" s="592"/>
      <c r="M707" s="779"/>
      <c r="N707" s="592"/>
      <c r="O707" s="592"/>
      <c r="P707" s="592"/>
      <c r="Q707" s="592"/>
      <c r="R707" s="779"/>
      <c r="S707" s="592"/>
      <c r="T707" s="592"/>
      <c r="U707" s="592"/>
      <c r="V707" s="592"/>
      <c r="W707" s="779"/>
      <c r="X707" s="592"/>
      <c r="Y707" s="592"/>
      <c r="Z707" s="592"/>
      <c r="AA707" s="592"/>
      <c r="AB707" s="779"/>
      <c r="AC707" s="592"/>
      <c r="AD707" s="592"/>
      <c r="AE707" s="592"/>
      <c r="AF707" s="592"/>
      <c r="AG707" s="779"/>
      <c r="AH707" s="592"/>
      <c r="AI707" s="592"/>
      <c r="AJ707" s="592"/>
      <c r="AK707" s="592"/>
      <c r="AL707" s="779"/>
      <c r="AM707" s="592"/>
      <c r="AN707" s="592"/>
      <c r="AO707" s="592"/>
      <c r="AP707" s="592"/>
      <c r="AQ707" s="779"/>
      <c r="AR707" s="592"/>
      <c r="AS707" s="592"/>
      <c r="AT707" s="592"/>
      <c r="AU707" s="592"/>
      <c r="AV707" s="779"/>
      <c r="AW707" s="592"/>
      <c r="AX707" s="592"/>
      <c r="AY707" s="592"/>
      <c r="AZ707" s="592"/>
      <c r="BA707" s="779"/>
      <c r="BB707" s="592"/>
      <c r="BC707" s="592"/>
      <c r="BD707" s="592"/>
      <c r="BE707" s="592"/>
      <c r="BF707" s="779"/>
      <c r="BG707" s="591"/>
      <c r="BH707" s="592"/>
      <c r="BI707" s="592"/>
      <c r="BJ707" s="1850"/>
      <c r="BK707" s="779"/>
      <c r="BL707" s="592"/>
      <c r="BM707" s="592"/>
      <c r="BN707" s="592"/>
      <c r="BO707" s="592"/>
      <c r="BP707" s="779"/>
      <c r="BQ707" s="592"/>
      <c r="BR707" s="592"/>
      <c r="BS707" s="592"/>
      <c r="BT707" s="592"/>
      <c r="BU707" s="3378"/>
      <c r="BV707" s="592"/>
      <c r="BW707" s="592"/>
      <c r="BX707" s="592"/>
      <c r="BY707" s="592"/>
      <c r="BZ707" s="779"/>
      <c r="CA707" s="779"/>
      <c r="CB707" s="779"/>
      <c r="CC707" s="779"/>
      <c r="CD707" s="779"/>
      <c r="CE707" s="779"/>
      <c r="CF707" s="779"/>
      <c r="CG707" s="779"/>
      <c r="CH707" s="592"/>
      <c r="CI707" s="592"/>
      <c r="CJ707" s="592"/>
      <c r="CK707" s="592"/>
      <c r="CL707" s="592"/>
      <c r="CM707" s="592"/>
      <c r="CN707" s="592"/>
      <c r="CO707" s="592"/>
      <c r="CP707" s="1884"/>
      <c r="CQ707" s="592"/>
      <c r="CR707" s="592"/>
      <c r="CS707" s="592"/>
      <c r="CT707" s="592"/>
      <c r="CU707" s="592"/>
      <c r="CV707" s="592"/>
      <c r="CW707" s="592"/>
      <c r="CX707" s="592"/>
      <c r="CY707" s="592"/>
      <c r="CZ707" s="592"/>
      <c r="DA707" s="592"/>
      <c r="DB707" s="592"/>
      <c r="DC707" s="592"/>
      <c r="DD707" s="592"/>
      <c r="DE707" s="592"/>
      <c r="DF707" s="592"/>
      <c r="DG707" s="1850"/>
      <c r="DH707" s="592"/>
      <c r="DI707" s="592"/>
      <c r="DJ707" s="592"/>
      <c r="DK707" s="592"/>
      <c r="DL707" s="592"/>
      <c r="DM707" s="592"/>
      <c r="DN707" s="592"/>
      <c r="DO707" s="1438"/>
      <c r="DY707" s="592"/>
      <c r="DZ707" s="592"/>
    </row>
    <row r="708" spans="1:130" s="1403" customFormat="1" ht="12" hidden="1" customHeight="1" outlineLevel="1">
      <c r="A708" s="3087" t="s">
        <v>303</v>
      </c>
      <c r="B708" s="2048"/>
      <c r="C708" s="2048"/>
      <c r="D708" s="2119"/>
      <c r="E708" s="776"/>
      <c r="F708" s="776"/>
      <c r="G708" s="776"/>
      <c r="H708" s="777"/>
      <c r="I708" s="776"/>
      <c r="J708" s="776"/>
      <c r="K708" s="776"/>
      <c r="L708" s="776"/>
      <c r="M708" s="777"/>
      <c r="N708" s="776"/>
      <c r="O708" s="776"/>
      <c r="P708" s="776"/>
      <c r="Q708" s="776"/>
      <c r="R708" s="777"/>
      <c r="S708" s="776"/>
      <c r="T708" s="776"/>
      <c r="U708" s="776"/>
      <c r="V708" s="776"/>
      <c r="W708" s="777"/>
      <c r="X708" s="776"/>
      <c r="Y708" s="776"/>
      <c r="Z708" s="776"/>
      <c r="AA708" s="776"/>
      <c r="AB708" s="777"/>
      <c r="AC708" s="776"/>
      <c r="AD708" s="776"/>
      <c r="AE708" s="776"/>
      <c r="AF708" s="776"/>
      <c r="AG708" s="777"/>
      <c r="AH708" s="776"/>
      <c r="AI708" s="776"/>
      <c r="AJ708" s="776"/>
      <c r="AK708" s="776"/>
      <c r="AL708" s="777"/>
      <c r="AM708" s="776"/>
      <c r="AN708" s="776"/>
      <c r="AO708" s="776"/>
      <c r="AP708" s="776"/>
      <c r="AQ708" s="777"/>
      <c r="AR708" s="776"/>
      <c r="AS708" s="776"/>
      <c r="AT708" s="776"/>
      <c r="AU708" s="776"/>
      <c r="AV708" s="777"/>
      <c r="AW708" s="2513">
        <f>AW672-(AW727-AW555-AW589-AW623-AW657)-AW676-AW679</f>
        <v>0.10318120419498378</v>
      </c>
      <c r="AX708" s="2513">
        <f>AX672-(AX727-AX555-AX589-AX623-AX657)-AX676-AX679</f>
        <v>3.6572014599300928E-4</v>
      </c>
      <c r="AY708" s="2513">
        <f>AY672-(AY727-AY555-AY589-AY623-AY657)-AY676-AY679</f>
        <v>1.6593236785910079</v>
      </c>
      <c r="AZ708" s="2513">
        <f>AZ672-(AZ727-AZ555-AZ589-AZ623-AZ657)-AZ676-AZ679</f>
        <v>-0.89588802630484565</v>
      </c>
      <c r="BA708" s="777">
        <f>+SUM(AW708:AZ708)</f>
        <v>0.86698257662713907</v>
      </c>
      <c r="BB708" s="2513">
        <f>BB672-(BB727-BB555-BB589-BB623-BB657)-BB676-BB679</f>
        <v>0.10496342013333937</v>
      </c>
      <c r="BC708" s="2513">
        <f>BC672-(BC727-BC555-BC589-BC623-BC657)-BC676-BC679</f>
        <v>1.1586900870898447</v>
      </c>
      <c r="BD708" s="2513">
        <f>BD672-(BD727-BD555-BD589-BD623-BD657)-BD676-BD679</f>
        <v>1.2007309958362704</v>
      </c>
      <c r="BE708" s="2513">
        <f>BE672-(BE727-BE555-BE589-BE623-BE657)-BE676-BE679</f>
        <v>-0.92135660395465635</v>
      </c>
      <c r="BF708" s="777">
        <f>+SUM(BB708:BE708)</f>
        <v>1.5430278991047981</v>
      </c>
      <c r="BG708" s="2513">
        <f>BG672-(BG727-BG555-BG589-BG623-BG657)-BG676-BG679</f>
        <v>-0.21611257075817925</v>
      </c>
      <c r="BH708" s="2513">
        <f>BH672-(BH727-BH555-BH589-BH623-BH657)-BH676-BH679</f>
        <v>0.16666046336088591</v>
      </c>
      <c r="BI708" s="2513">
        <f>BI672-(BI727-BI555-BI589-BI623-BI657)-BI676-BI679</f>
        <v>1.1516562229569747</v>
      </c>
      <c r="BJ708" s="2513">
        <f>BJ672-(BJ727-BJ555-BJ589-BJ623-BJ657)-BJ676-BJ679</f>
        <v>-0.86083499463563307</v>
      </c>
      <c r="BK708" s="777">
        <f>+SUM(BG708:BJ708)</f>
        <v>0.24136912092404827</v>
      </c>
      <c r="BL708" s="2513">
        <f>BL672-(BL727-BL555-BL589-BL623-BL657)-BL676-BL679</f>
        <v>8.0961303758177241</v>
      </c>
      <c r="BM708" s="2513">
        <f>BM672-(BM727-BM555-BM589-BM623-BM657)-BM676-BM679</f>
        <v>7.2623922697645984</v>
      </c>
      <c r="BN708" s="3117"/>
      <c r="BO708" s="3117"/>
      <c r="BP708" s="1950"/>
      <c r="BQ708" s="3117"/>
      <c r="BR708" s="3117"/>
      <c r="BS708" s="3117"/>
      <c r="BT708" s="3117"/>
      <c r="BU708" s="3406"/>
      <c r="BV708" s="3117"/>
      <c r="BW708" s="3117"/>
      <c r="BX708" s="3117"/>
      <c r="BY708" s="3117"/>
      <c r="BZ708" s="3185"/>
      <c r="CA708" s="3185"/>
      <c r="CB708" s="3185"/>
      <c r="CC708" s="3185"/>
      <c r="CD708" s="3185"/>
      <c r="CE708" s="3185"/>
      <c r="CF708" s="3185"/>
      <c r="CG708" s="3185"/>
      <c r="CH708" s="776"/>
      <c r="CI708" s="776"/>
      <c r="CJ708" s="776"/>
      <c r="CK708" s="776"/>
      <c r="CL708" s="776"/>
      <c r="CM708" s="776"/>
      <c r="CN708" s="776"/>
      <c r="CO708" s="776"/>
      <c r="CP708" s="2052"/>
      <c r="CQ708" s="776"/>
      <c r="CR708" s="776"/>
      <c r="CS708" s="776"/>
      <c r="CT708" s="776"/>
      <c r="CU708" s="776"/>
      <c r="CV708" s="776"/>
      <c r="CW708" s="776"/>
      <c r="CX708" s="776"/>
      <c r="CY708" s="776"/>
      <c r="CZ708" s="776"/>
      <c r="DA708" s="776"/>
      <c r="DB708" s="776"/>
      <c r="DC708" s="776"/>
      <c r="DD708" s="776"/>
      <c r="DE708" s="776"/>
      <c r="DF708" s="776"/>
      <c r="DG708" s="2121"/>
      <c r="DH708" s="776"/>
      <c r="DI708" s="776"/>
      <c r="DJ708" s="776"/>
      <c r="DK708" s="776"/>
      <c r="DL708" s="776"/>
      <c r="DM708" s="776"/>
      <c r="DN708" s="776"/>
      <c r="DO708" s="2122"/>
      <c r="DP708"/>
      <c r="DQ708"/>
      <c r="DR708"/>
      <c r="DS708"/>
      <c r="DT708"/>
      <c r="DU708"/>
      <c r="DY708" s="1634"/>
      <c r="DZ708" s="1634"/>
    </row>
    <row r="709" spans="1:130" ht="12" hidden="1" customHeight="1" outlineLevel="1">
      <c r="A709" s="708"/>
      <c r="B709" s="228"/>
      <c r="C709" s="228"/>
      <c r="D709" s="625"/>
      <c r="E709" s="626"/>
      <c r="F709" s="626"/>
      <c r="G709" s="626"/>
      <c r="H709" s="788"/>
      <c r="I709" s="626"/>
      <c r="J709" s="626"/>
      <c r="K709" s="626"/>
      <c r="L709" s="626"/>
      <c r="M709" s="788"/>
      <c r="N709" s="626"/>
      <c r="O709" s="626"/>
      <c r="P709" s="626"/>
      <c r="Q709" s="626"/>
      <c r="R709" s="788"/>
      <c r="S709" s="626"/>
      <c r="T709" s="626"/>
      <c r="U709" s="626"/>
      <c r="V709" s="626"/>
      <c r="W709" s="788"/>
      <c r="X709" s="626"/>
      <c r="Y709" s="626"/>
      <c r="Z709" s="626"/>
      <c r="AA709" s="626"/>
      <c r="AB709" s="788"/>
      <c r="AC709" s="626"/>
      <c r="AD709" s="626"/>
      <c r="AE709" s="626"/>
      <c r="AF709" s="626"/>
      <c r="AG709" s="788"/>
      <c r="AH709" s="626"/>
      <c r="AI709" s="626"/>
      <c r="AJ709" s="626"/>
      <c r="AK709" s="626"/>
      <c r="AL709" s="788"/>
      <c r="AM709" s="626"/>
      <c r="AN709" s="261"/>
      <c r="AO709" s="626"/>
      <c r="AP709" s="330"/>
      <c r="AQ709" s="1439"/>
      <c r="AR709" s="330"/>
      <c r="AS709" s="1977"/>
      <c r="AT709" s="330"/>
      <c r="AU709" s="626"/>
      <c r="AV709" s="1951"/>
      <c r="AW709" s="626"/>
      <c r="AX709" s="261"/>
      <c r="AY709" s="626"/>
      <c r="AZ709" s="626"/>
      <c r="BA709" s="1439"/>
      <c r="BB709" s="626"/>
      <c r="BC709" s="261"/>
      <c r="BD709" s="626"/>
      <c r="BE709" s="626"/>
      <c r="BF709" s="1439"/>
      <c r="BG709" s="678"/>
      <c r="BH709" s="330"/>
      <c r="BI709" s="330"/>
      <c r="BJ709" s="2136"/>
      <c r="BK709" s="1439"/>
      <c r="BL709" s="330"/>
      <c r="BM709" s="330"/>
      <c r="BN709" s="330"/>
      <c r="BO709" s="2136"/>
      <c r="BP709" s="1439"/>
      <c r="BQ709" s="330"/>
      <c r="BR709" s="330"/>
      <c r="BS709" s="330"/>
      <c r="BT709" s="2136"/>
      <c r="BU709" s="3406"/>
      <c r="BV709" s="330"/>
      <c r="BW709" s="330"/>
      <c r="BX709" s="330"/>
      <c r="BY709" s="2136"/>
      <c r="BZ709" s="1439"/>
      <c r="CA709" s="1439"/>
      <c r="CB709" s="1439"/>
      <c r="CC709" s="1439"/>
      <c r="CD709" s="1439"/>
      <c r="CE709" s="1439"/>
      <c r="CF709" s="1439"/>
      <c r="CG709" s="1439"/>
      <c r="CH709" s="626"/>
      <c r="CI709" s="626"/>
      <c r="CJ709" s="626"/>
      <c r="CK709" s="626"/>
      <c r="CL709" s="626"/>
      <c r="CM709" s="626"/>
      <c r="CN709" s="626"/>
      <c r="CO709" s="626"/>
      <c r="CP709" s="994"/>
      <c r="CQ709" s="626"/>
      <c r="CR709" s="626"/>
      <c r="CS709" s="626"/>
      <c r="CT709" s="626"/>
      <c r="CU709" s="626"/>
      <c r="CV709" s="626"/>
      <c r="CW709" s="626"/>
      <c r="CX709" s="626"/>
      <c r="CY709" s="626"/>
      <c r="CZ709" s="626"/>
      <c r="DA709" s="626"/>
      <c r="DB709" s="626"/>
      <c r="DC709" s="626"/>
      <c r="DD709" s="626"/>
      <c r="DE709" s="626"/>
      <c r="DF709" s="626"/>
      <c r="DG709" s="1893"/>
      <c r="DH709" s="632"/>
      <c r="DI709" s="595"/>
      <c r="DJ709" s="595"/>
      <c r="DK709" s="595"/>
      <c r="DL709" s="595"/>
      <c r="DM709" s="595"/>
      <c r="DN709" s="514"/>
      <c r="DO709" s="77"/>
      <c r="DY709" s="330"/>
      <c r="DZ709" s="330"/>
    </row>
    <row r="710" spans="1:130" ht="12" hidden="1" customHeight="1" outlineLevel="1">
      <c r="A710" s="552" t="s">
        <v>1661</v>
      </c>
      <c r="B710" s="228"/>
      <c r="C710" s="228"/>
      <c r="D710" s="625"/>
      <c r="E710" s="626"/>
      <c r="F710" s="626"/>
      <c r="G710" s="626"/>
      <c r="H710" s="788"/>
      <c r="I710" s="626"/>
      <c r="J710" s="626"/>
      <c r="K710" s="626"/>
      <c r="L710" s="626"/>
      <c r="M710" s="788"/>
      <c r="N710" s="626"/>
      <c r="O710" s="626"/>
      <c r="P710" s="626"/>
      <c r="Q710" s="626"/>
      <c r="R710" s="788"/>
      <c r="S710" s="626"/>
      <c r="T710" s="626"/>
      <c r="U710" s="626"/>
      <c r="V710" s="626"/>
      <c r="W710" s="788"/>
      <c r="X710" s="626"/>
      <c r="Y710" s="626"/>
      <c r="Z710" s="626"/>
      <c r="AA710" s="626"/>
      <c r="AB710" s="788"/>
      <c r="AC710" s="626"/>
      <c r="AD710" s="626"/>
      <c r="AE710" s="626"/>
      <c r="AF710" s="626"/>
      <c r="AG710" s="788"/>
      <c r="AH710" s="626"/>
      <c r="AI710" s="626"/>
      <c r="AJ710" s="626"/>
      <c r="AK710" s="626"/>
      <c r="AL710" s="788"/>
      <c r="AM710" s="626">
        <f t="shared" ref="AM710:AT710" si="1383">+AM669+AM639+AM605+AM571+AM537+AM699</f>
        <v>75.495232679999987</v>
      </c>
      <c r="AN710" s="626">
        <f t="shared" si="1383"/>
        <v>76.894441860000001</v>
      </c>
      <c r="AO710" s="626">
        <f t="shared" si="1383"/>
        <v>77.43214909000001</v>
      </c>
      <c r="AP710" s="626">
        <f t="shared" si="1383"/>
        <v>78.355958869999995</v>
      </c>
      <c r="AQ710" s="1950">
        <f t="shared" si="1383"/>
        <v>308.17778249999998</v>
      </c>
      <c r="AR710" s="626">
        <f t="shared" si="1383"/>
        <v>129.76797205</v>
      </c>
      <c r="AS710" s="626">
        <f t="shared" si="1383"/>
        <v>124.49125995</v>
      </c>
      <c r="AT710" s="626">
        <f t="shared" si="1383"/>
        <v>122.16996888999999</v>
      </c>
      <c r="AU710" s="626">
        <f t="shared" ref="AU710:BK710" si="1384">+AU669+AU639+AU605+AU571+AU537+AU699</f>
        <v>116.78</v>
      </c>
      <c r="AV710" s="1950">
        <f t="shared" si="1384"/>
        <v>493.20920088999998</v>
      </c>
      <c r="AW710" s="626">
        <f t="shared" si="1384"/>
        <v>125.911</v>
      </c>
      <c r="AX710" s="626">
        <f t="shared" si="1384"/>
        <v>126.617</v>
      </c>
      <c r="AY710" s="626">
        <f t="shared" si="1384"/>
        <v>121.383</v>
      </c>
      <c r="AZ710" s="626">
        <f t="shared" si="1384"/>
        <v>110.88200000000001</v>
      </c>
      <c r="BA710" s="1950">
        <f t="shared" si="1384"/>
        <v>484.79300000000001</v>
      </c>
      <c r="BB710" s="626">
        <f t="shared" si="1384"/>
        <v>113.867</v>
      </c>
      <c r="BC710" s="626">
        <f t="shared" si="1384"/>
        <v>118.22499999999999</v>
      </c>
      <c r="BD710" s="626">
        <f t="shared" si="1384"/>
        <v>114.343</v>
      </c>
      <c r="BE710" s="626">
        <f t="shared" si="1384"/>
        <v>111.509</v>
      </c>
      <c r="BF710" s="1950">
        <f t="shared" si="1384"/>
        <v>457.94400000000007</v>
      </c>
      <c r="BG710" s="625">
        <f t="shared" si="1384"/>
        <v>117.04300000000001</v>
      </c>
      <c r="BH710" s="626">
        <f t="shared" si="1384"/>
        <v>120.93300000000001</v>
      </c>
      <c r="BI710" s="626">
        <f t="shared" si="1384"/>
        <v>116.804</v>
      </c>
      <c r="BJ710" s="1893">
        <f t="shared" si="1384"/>
        <v>111.675</v>
      </c>
      <c r="BK710" s="1950">
        <f t="shared" si="1384"/>
        <v>466.45500000000004</v>
      </c>
      <c r="BL710" s="626">
        <f t="shared" ref="BL710:BM710" si="1385">+BL669+BL639+BL605+BL571+BL537+BL699</f>
        <v>117.245</v>
      </c>
      <c r="BM710" s="626">
        <f t="shared" si="1385"/>
        <v>114.15600000000001</v>
      </c>
      <c r="BN710" s="626"/>
      <c r="BO710" s="1893"/>
      <c r="BP710" s="1950"/>
      <c r="BQ710" s="626"/>
      <c r="BR710" s="626"/>
      <c r="BS710" s="626"/>
      <c r="BT710" s="1893"/>
      <c r="BU710" s="3406"/>
      <c r="BV710" s="626"/>
      <c r="BW710" s="626"/>
      <c r="BX710" s="626"/>
      <c r="BY710" s="1893"/>
      <c r="BZ710" s="1950"/>
      <c r="CA710" s="1950"/>
      <c r="CB710" s="1950"/>
      <c r="CC710" s="1950"/>
      <c r="CD710" s="1950"/>
      <c r="CE710" s="1950"/>
      <c r="CF710" s="1950"/>
      <c r="CG710" s="1950"/>
      <c r="CH710" s="626"/>
      <c r="CI710" s="626"/>
      <c r="CJ710" s="626"/>
      <c r="CK710" s="626"/>
      <c r="CL710" s="626"/>
      <c r="CM710" s="626"/>
      <c r="CN710" s="626"/>
      <c r="CO710" s="626"/>
      <c r="CP710" s="994"/>
      <c r="CQ710" s="626"/>
      <c r="CR710" s="626"/>
      <c r="CS710" s="626"/>
      <c r="CT710" s="626"/>
      <c r="CU710" s="626"/>
      <c r="CV710" s="626"/>
      <c r="CW710" s="626"/>
      <c r="CX710" s="626"/>
      <c r="CY710" s="626"/>
      <c r="CZ710" s="626"/>
      <c r="DA710" s="626"/>
      <c r="DB710" s="626"/>
      <c r="DC710" s="626"/>
      <c r="DD710" s="626"/>
      <c r="DE710" s="626"/>
      <c r="DF710" s="626"/>
      <c r="DG710" s="1893"/>
      <c r="DH710" s="632"/>
      <c r="DI710" s="595"/>
      <c r="DJ710" s="595"/>
      <c r="DK710" s="595"/>
      <c r="DL710" s="595"/>
      <c r="DM710" s="595"/>
      <c r="DN710" s="514"/>
      <c r="DO710" s="77"/>
      <c r="DY710" s="1634"/>
      <c r="DZ710" s="1634"/>
    </row>
    <row r="711" spans="1:130" ht="12" hidden="1" customHeight="1" outlineLevel="1">
      <c r="A711" s="552" t="s">
        <v>1662</v>
      </c>
      <c r="B711" s="228"/>
      <c r="C711" s="228"/>
      <c r="D711" s="625"/>
      <c r="E711" s="626"/>
      <c r="F711" s="626"/>
      <c r="G711" s="626"/>
      <c r="H711" s="788"/>
      <c r="I711" s="626"/>
      <c r="J711" s="626"/>
      <c r="K711" s="626"/>
      <c r="L711" s="626"/>
      <c r="M711" s="788"/>
      <c r="N711" s="626"/>
      <c r="O711" s="626"/>
      <c r="P711" s="626"/>
      <c r="Q711" s="626"/>
      <c r="R711" s="788"/>
      <c r="S711" s="626"/>
      <c r="T711" s="626"/>
      <c r="U711" s="626"/>
      <c r="V711" s="626"/>
      <c r="W711" s="788"/>
      <c r="X711" s="626"/>
      <c r="Y711" s="626"/>
      <c r="Z711" s="626"/>
      <c r="AA711" s="626"/>
      <c r="AB711" s="788"/>
      <c r="AC711" s="626"/>
      <c r="AD711" s="626"/>
      <c r="AE711" s="626"/>
      <c r="AF711" s="626"/>
      <c r="AG711" s="788"/>
      <c r="AH711" s="626"/>
      <c r="AI711" s="626"/>
      <c r="AJ711" s="626"/>
      <c r="AK711" s="626"/>
      <c r="AL711" s="788"/>
      <c r="AM711" s="626">
        <f t="shared" ref="AM711:AT711" si="1386">+AM670+AM640+AM606+AM572+AM538+AM702</f>
        <v>4.9057673200000078</v>
      </c>
      <c r="AN711" s="626">
        <f t="shared" si="1386"/>
        <v>7.5995581399999992</v>
      </c>
      <c r="AO711" s="626">
        <f t="shared" si="1386"/>
        <v>6.4408509099999947</v>
      </c>
      <c r="AP711" s="626">
        <f t="shared" si="1386"/>
        <v>5.1340411300000017</v>
      </c>
      <c r="AQ711" s="1950">
        <f t="shared" si="1386"/>
        <v>24.080217500000003</v>
      </c>
      <c r="AR711" s="626">
        <f t="shared" si="1386"/>
        <v>5.0350279500000035</v>
      </c>
      <c r="AS711" s="626">
        <f t="shared" si="1386"/>
        <v>8.6327400499999989</v>
      </c>
      <c r="AT711" s="626">
        <f t="shared" si="1386"/>
        <v>8.1110311099999972</v>
      </c>
      <c r="AU711" s="626">
        <f>+AU670+AU640+AU606+AU572+AU538+AU702</f>
        <v>7.563999999999993</v>
      </c>
      <c r="AV711" s="1950">
        <f t="shared" ref="AV711:BK711" si="1387">+AV670+AV640+AV606+AV572+AV538+AV702</f>
        <v>29.342799109999991</v>
      </c>
      <c r="AW711" s="626">
        <f t="shared" si="1387"/>
        <v>8.0020000000000024</v>
      </c>
      <c r="AX711" s="626">
        <f>+AX670+AX640+AX606+AX572+AX538+AX702</f>
        <v>9.1630000000000074</v>
      </c>
      <c r="AY711" s="626">
        <f>+AY670+AY640+AY606+AY572+AY538+AY702</f>
        <v>9.3390000000000004</v>
      </c>
      <c r="AZ711" s="626">
        <f t="shared" si="1387"/>
        <v>9.032</v>
      </c>
      <c r="BA711" s="1950">
        <f t="shared" si="1387"/>
        <v>35.536000000000016</v>
      </c>
      <c r="BB711" s="626">
        <f t="shared" si="1387"/>
        <v>8.4059999999999917</v>
      </c>
      <c r="BC711" s="626">
        <f t="shared" si="1387"/>
        <v>9.5290000000000177</v>
      </c>
      <c r="BD711" s="626">
        <f t="shared" si="1387"/>
        <v>9.2349999999999977</v>
      </c>
      <c r="BE711" s="626">
        <f t="shared" si="1387"/>
        <v>8.7379999999999978</v>
      </c>
      <c r="BF711" s="1950">
        <f t="shared" si="1387"/>
        <v>35.908000000000001</v>
      </c>
      <c r="BG711" s="625">
        <f t="shared" si="1387"/>
        <v>8.8660000000000032</v>
      </c>
      <c r="BH711" s="626">
        <f>+BH670+BH640+BH606+BH572+BH538+BH702</f>
        <v>9.689000000000016</v>
      </c>
      <c r="BI711" s="626">
        <f>+BI670+BI640+BI606+BI572+BI538+BI702</f>
        <v>9.0030000000000072</v>
      </c>
      <c r="BJ711" s="1893">
        <f>+BJ670+BJ640+BJ606+BJ572+BJ538+BJ702</f>
        <v>8.833000000000002</v>
      </c>
      <c r="BK711" s="1950">
        <f t="shared" si="1387"/>
        <v>36.391000000000027</v>
      </c>
      <c r="BL711" s="626">
        <f t="shared" ref="BL711:BM711" si="1388">+BL670+BL640+BL606+BL572+BL538+BL702</f>
        <v>8.9449999999999878</v>
      </c>
      <c r="BM711" s="626">
        <f t="shared" si="1388"/>
        <v>8.731999999999994</v>
      </c>
      <c r="BN711" s="626"/>
      <c r="BO711" s="1893"/>
      <c r="BP711" s="1950"/>
      <c r="BQ711" s="626"/>
      <c r="BR711" s="626"/>
      <c r="BS711" s="626"/>
      <c r="BT711" s="1893"/>
      <c r="BU711" s="3406"/>
      <c r="BV711" s="626"/>
      <c r="BW711" s="626"/>
      <c r="BX711" s="626"/>
      <c r="BY711" s="1893"/>
      <c r="BZ711" s="1950"/>
      <c r="CA711" s="1950"/>
      <c r="CB711" s="1950"/>
      <c r="CC711" s="1950"/>
      <c r="CD711" s="1950"/>
      <c r="CE711" s="1950"/>
      <c r="CF711" s="1950"/>
      <c r="CG711" s="1950"/>
      <c r="CH711" s="626"/>
      <c r="CI711" s="626"/>
      <c r="CJ711" s="626"/>
      <c r="CK711" s="626"/>
      <c r="CL711" s="626"/>
      <c r="CM711" s="626"/>
      <c r="CN711" s="626"/>
      <c r="CO711" s="626"/>
      <c r="CP711" s="994"/>
      <c r="CQ711" s="626"/>
      <c r="CR711" s="626"/>
      <c r="CS711" s="626"/>
      <c r="CT711" s="626"/>
      <c r="CU711" s="626"/>
      <c r="CV711" s="626"/>
      <c r="CW711" s="626"/>
      <c r="CX711" s="626"/>
      <c r="CY711" s="626"/>
      <c r="CZ711" s="626"/>
      <c r="DA711" s="626"/>
      <c r="DB711" s="626"/>
      <c r="DC711" s="626"/>
      <c r="DD711" s="626"/>
      <c r="DE711" s="626"/>
      <c r="DF711" s="626"/>
      <c r="DG711" s="1893"/>
      <c r="DH711" s="632"/>
      <c r="DI711" s="595"/>
      <c r="DJ711" s="595"/>
      <c r="DK711" s="595"/>
      <c r="DL711" s="595"/>
      <c r="DM711" s="595"/>
      <c r="DN711" s="514"/>
      <c r="DO711" s="77"/>
      <c r="DY711" s="1634"/>
      <c r="DZ711" s="1634"/>
    </row>
    <row r="712" spans="1:130" ht="4.5" hidden="1" customHeight="1" outlineLevel="1">
      <c r="A712" s="962"/>
      <c r="B712" s="293"/>
      <c r="C712" s="293"/>
      <c r="D712" s="294" t="s">
        <v>343</v>
      </c>
      <c r="E712" s="295" t="s">
        <v>343</v>
      </c>
      <c r="F712" s="295" t="s">
        <v>343</v>
      </c>
      <c r="G712" s="295" t="s">
        <v>343</v>
      </c>
      <c r="H712" s="296" t="s">
        <v>343</v>
      </c>
      <c r="I712" s="295" t="s">
        <v>343</v>
      </c>
      <c r="J712" s="295" t="s">
        <v>343</v>
      </c>
      <c r="K712" s="295" t="s">
        <v>343</v>
      </c>
      <c r="L712" s="295" t="s">
        <v>343</v>
      </c>
      <c r="M712" s="296" t="s">
        <v>343</v>
      </c>
      <c r="N712" s="295" t="s">
        <v>343</v>
      </c>
      <c r="O712" s="295" t="s">
        <v>343</v>
      </c>
      <c r="P712" s="295" t="s">
        <v>343</v>
      </c>
      <c r="Q712" s="295" t="s">
        <v>343</v>
      </c>
      <c r="R712" s="296" t="s">
        <v>343</v>
      </c>
      <c r="S712" s="295" t="s">
        <v>343</v>
      </c>
      <c r="T712" s="295" t="s">
        <v>343</v>
      </c>
      <c r="U712" s="295" t="s">
        <v>343</v>
      </c>
      <c r="V712" s="295" t="s">
        <v>343</v>
      </c>
      <c r="W712" s="296" t="s">
        <v>343</v>
      </c>
      <c r="X712" s="295" t="s">
        <v>343</v>
      </c>
      <c r="Y712" s="295" t="s">
        <v>343</v>
      </c>
      <c r="Z712" s="295" t="s">
        <v>343</v>
      </c>
      <c r="AA712" s="295" t="s">
        <v>343</v>
      </c>
      <c r="AB712" s="296" t="s">
        <v>343</v>
      </c>
      <c r="AC712" s="295" t="s">
        <v>343</v>
      </c>
      <c r="AD712" s="295" t="s">
        <v>343</v>
      </c>
      <c r="AE712" s="295" t="s">
        <v>343</v>
      </c>
      <c r="AF712" s="295" t="s">
        <v>343</v>
      </c>
      <c r="AG712" s="296" t="s">
        <v>343</v>
      </c>
      <c r="AH712" s="295" t="s">
        <v>343</v>
      </c>
      <c r="AI712" s="295" t="s">
        <v>343</v>
      </c>
      <c r="AJ712" s="295" t="s">
        <v>343</v>
      </c>
      <c r="AK712" s="295" t="s">
        <v>343</v>
      </c>
      <c r="AL712" s="296" t="s">
        <v>343</v>
      </c>
      <c r="AM712" s="295" t="s">
        <v>343</v>
      </c>
      <c r="AN712" s="295" t="s">
        <v>343</v>
      </c>
      <c r="AO712" s="295" t="s">
        <v>343</v>
      </c>
      <c r="AP712" s="295" t="s">
        <v>343</v>
      </c>
      <c r="AQ712" s="296" t="s">
        <v>343</v>
      </c>
      <c r="AR712" s="295" t="s">
        <v>343</v>
      </c>
      <c r="AS712" s="295" t="s">
        <v>343</v>
      </c>
      <c r="AT712" s="295" t="s">
        <v>343</v>
      </c>
      <c r="AU712" s="295" t="s">
        <v>343</v>
      </c>
      <c r="AV712" s="296" t="s">
        <v>343</v>
      </c>
      <c r="AW712" s="295" t="s">
        <v>343</v>
      </c>
      <c r="AX712" s="295" t="s">
        <v>343</v>
      </c>
      <c r="AY712" s="295" t="s">
        <v>343</v>
      </c>
      <c r="AZ712" s="295" t="s">
        <v>343</v>
      </c>
      <c r="BA712" s="296" t="s">
        <v>343</v>
      </c>
      <c r="BB712" s="295" t="s">
        <v>343</v>
      </c>
      <c r="BC712" s="295" t="s">
        <v>343</v>
      </c>
      <c r="BD712" s="295" t="s">
        <v>343</v>
      </c>
      <c r="BE712" s="295" t="s">
        <v>343</v>
      </c>
      <c r="BF712" s="296" t="s">
        <v>343</v>
      </c>
      <c r="BG712" s="294" t="s">
        <v>343</v>
      </c>
      <c r="BH712" s="295" t="s">
        <v>343</v>
      </c>
      <c r="BI712" s="295" t="s">
        <v>343</v>
      </c>
      <c r="BJ712" s="297" t="s">
        <v>343</v>
      </c>
      <c r="BK712" s="296" t="s">
        <v>343</v>
      </c>
      <c r="BL712" s="295" t="s">
        <v>343</v>
      </c>
      <c r="BM712" s="295" t="s">
        <v>343</v>
      </c>
      <c r="BN712" s="295"/>
      <c r="BO712" s="297"/>
      <c r="BP712" s="296"/>
      <c r="BQ712" s="295"/>
      <c r="BR712" s="295"/>
      <c r="BS712" s="295"/>
      <c r="BT712" s="297"/>
      <c r="BU712" s="3314"/>
      <c r="BV712" s="295"/>
      <c r="BW712" s="295"/>
      <c r="BX712" s="295"/>
      <c r="BY712" s="297"/>
      <c r="BZ712" s="297"/>
      <c r="CA712" s="297"/>
      <c r="CB712" s="297"/>
      <c r="CC712" s="297"/>
      <c r="CD712" s="297"/>
      <c r="CE712" s="297"/>
      <c r="CF712" s="297"/>
      <c r="CG712" s="297"/>
      <c r="CH712" s="295"/>
      <c r="CI712" s="295"/>
      <c r="CJ712" s="295"/>
      <c r="CK712" s="295"/>
      <c r="CL712" s="295"/>
      <c r="CM712" s="295"/>
      <c r="CN712" s="295"/>
      <c r="CO712" s="295"/>
      <c r="CP712" s="1784"/>
      <c r="CQ712" s="295" t="str">
        <f>H712</f>
        <v xml:space="preserve">                </v>
      </c>
      <c r="CR712" s="295" t="str">
        <f>M712</f>
        <v xml:space="preserve">                </v>
      </c>
      <c r="CS712" s="295" t="str">
        <f>R712</f>
        <v xml:space="preserve">                </v>
      </c>
      <c r="CT712" s="295" t="str">
        <f>W712</f>
        <v xml:space="preserve">                </v>
      </c>
      <c r="CU712" s="295" t="str">
        <f>AB712</f>
        <v xml:space="preserve">                </v>
      </c>
      <c r="CV712" s="295" t="str">
        <f>AG712</f>
        <v xml:space="preserve">                </v>
      </c>
      <c r="CW712" s="295" t="str">
        <f>AL712</f>
        <v xml:space="preserve">                </v>
      </c>
      <c r="CX712" s="295" t="str">
        <f>AQ712</f>
        <v xml:space="preserve">                </v>
      </c>
      <c r="CY712" s="295" t="str">
        <f>AV712</f>
        <v xml:space="preserve">                </v>
      </c>
      <c r="CZ712" s="295" t="str">
        <f>BA712</f>
        <v xml:space="preserve">                </v>
      </c>
      <c r="DA712" s="295" t="str">
        <f>BF712</f>
        <v xml:space="preserve">                </v>
      </c>
      <c r="DB712" s="295" t="str">
        <f>BK712</f>
        <v xml:space="preserve">                </v>
      </c>
      <c r="DC712" s="295">
        <f>BP712</f>
        <v>0</v>
      </c>
      <c r="DD712" s="295">
        <f>BU712</f>
        <v>0</v>
      </c>
      <c r="DE712" s="295">
        <f>BZ712</f>
        <v>0</v>
      </c>
      <c r="DF712" s="295">
        <f>CA712</f>
        <v>0</v>
      </c>
      <c r="DG712" s="297">
        <f>CB712</f>
        <v>0</v>
      </c>
      <c r="DH712" s="298"/>
      <c r="DI712" s="299"/>
      <c r="DJ712" s="299"/>
      <c r="DK712" s="299"/>
      <c r="DL712" s="299"/>
      <c r="DM712" s="299"/>
      <c r="DN712" s="299"/>
      <c r="DO712" s="300"/>
      <c r="DY712" s="295"/>
      <c r="DZ712" s="295"/>
    </row>
    <row r="713" spans="1:130" ht="12" hidden="1" customHeight="1" outlineLevel="1">
      <c r="A713" s="228" t="s">
        <v>741</v>
      </c>
      <c r="B713" s="228"/>
      <c r="C713" s="228"/>
      <c r="D713" s="625"/>
      <c r="E713" s="626"/>
      <c r="F713" s="626"/>
      <c r="G713" s="626"/>
      <c r="H713" s="788"/>
      <c r="I713" s="626"/>
      <c r="J713" s="626"/>
      <c r="K713" s="626"/>
      <c r="L713" s="626"/>
      <c r="M713" s="788"/>
      <c r="N713" s="626"/>
      <c r="O713" s="626"/>
      <c r="P713" s="626"/>
      <c r="Q713" s="626"/>
      <c r="R713" s="788"/>
      <c r="S713" s="626"/>
      <c r="T713" s="626"/>
      <c r="U713" s="626"/>
      <c r="V713" s="626"/>
      <c r="W713" s="788"/>
      <c r="X713" s="626"/>
      <c r="Y713" s="626"/>
      <c r="Z713" s="626"/>
      <c r="AA713" s="626"/>
      <c r="AB713" s="788"/>
      <c r="AC713" s="626"/>
      <c r="AD713" s="626"/>
      <c r="AE713" s="626"/>
      <c r="AF713" s="626"/>
      <c r="AG713" s="788"/>
      <c r="AH713" s="626"/>
      <c r="AI713" s="626"/>
      <c r="AJ713" s="626"/>
      <c r="AK713" s="626"/>
      <c r="AL713" s="788"/>
      <c r="AM713" s="826">
        <f t="shared" ref="AM713:BG713" si="1389">+AM711+AM710</f>
        <v>80.400999999999996</v>
      </c>
      <c r="AN713" s="826">
        <f t="shared" si="1389"/>
        <v>84.494</v>
      </c>
      <c r="AO713" s="826">
        <f t="shared" si="1389"/>
        <v>83.873000000000005</v>
      </c>
      <c r="AP713" s="826">
        <f t="shared" si="1389"/>
        <v>83.49</v>
      </c>
      <c r="AQ713" s="1986">
        <f t="shared" si="1389"/>
        <v>332.25799999999998</v>
      </c>
      <c r="AR713" s="826">
        <f t="shared" si="1389"/>
        <v>134.803</v>
      </c>
      <c r="AS713" s="826">
        <f t="shared" si="1389"/>
        <v>133.124</v>
      </c>
      <c r="AT713" s="826">
        <f t="shared" si="1389"/>
        <v>130.28099999999998</v>
      </c>
      <c r="AU713" s="826">
        <f t="shared" si="1389"/>
        <v>124.34399999999999</v>
      </c>
      <c r="AV713" s="1986">
        <f t="shared" si="1389"/>
        <v>522.55200000000002</v>
      </c>
      <c r="AW713" s="826">
        <f t="shared" si="1389"/>
        <v>133.91300000000001</v>
      </c>
      <c r="AX713" s="826">
        <f>+AX711+AX710</f>
        <v>135.78</v>
      </c>
      <c r="AY713" s="826">
        <f>+AY711+AY710</f>
        <v>130.72200000000001</v>
      </c>
      <c r="AZ713" s="826">
        <f t="shared" si="1389"/>
        <v>119.914</v>
      </c>
      <c r="BA713" s="1986">
        <f t="shared" si="1389"/>
        <v>520.32900000000006</v>
      </c>
      <c r="BB713" s="826">
        <f t="shared" si="1389"/>
        <v>122.273</v>
      </c>
      <c r="BC713" s="826">
        <f t="shared" si="1389"/>
        <v>127.75400000000002</v>
      </c>
      <c r="BD713" s="826">
        <f t="shared" si="1389"/>
        <v>123.578</v>
      </c>
      <c r="BE713" s="826">
        <f t="shared" si="1389"/>
        <v>120.247</v>
      </c>
      <c r="BF713" s="1986">
        <f t="shared" si="1389"/>
        <v>493.85200000000009</v>
      </c>
      <c r="BG713" s="2731">
        <f t="shared" si="1389"/>
        <v>125.90900000000001</v>
      </c>
      <c r="BH713" s="826">
        <f t="shared" ref="BH713:BM713" si="1390">+BH711+BH710</f>
        <v>130.62200000000001</v>
      </c>
      <c r="BI713" s="826">
        <f t="shared" si="1390"/>
        <v>125.80700000000002</v>
      </c>
      <c r="BJ713" s="1900">
        <f t="shared" si="1390"/>
        <v>120.508</v>
      </c>
      <c r="BK713" s="1986">
        <f t="shared" si="1390"/>
        <v>502.84600000000006</v>
      </c>
      <c r="BL713" s="826">
        <f t="shared" si="1390"/>
        <v>126.19</v>
      </c>
      <c r="BM713" s="826">
        <f t="shared" si="1390"/>
        <v>122.88800000000001</v>
      </c>
      <c r="BN713" s="826"/>
      <c r="BO713" s="1900"/>
      <c r="BP713" s="1986"/>
      <c r="BQ713" s="826"/>
      <c r="BR713" s="826"/>
      <c r="BS713" s="826"/>
      <c r="BT713" s="1900"/>
      <c r="BU713" s="3410"/>
      <c r="BV713" s="826"/>
      <c r="BW713" s="826"/>
      <c r="BX713" s="826"/>
      <c r="BY713" s="1900"/>
      <c r="BZ713" s="1986"/>
      <c r="CA713" s="1986"/>
      <c r="CB713" s="1986"/>
      <c r="CC713" s="1986"/>
      <c r="CD713" s="1986"/>
      <c r="CE713" s="1986"/>
      <c r="CF713" s="1986"/>
      <c r="CG713" s="1986"/>
      <c r="CH713" s="626"/>
      <c r="CI713" s="626"/>
      <c r="CJ713" s="626"/>
      <c r="CK713" s="626"/>
      <c r="CL713" s="626"/>
      <c r="CM713" s="626"/>
      <c r="CN713" s="626"/>
      <c r="CO713" s="626"/>
      <c r="CP713" s="994"/>
      <c r="CQ713" s="626"/>
      <c r="CR713" s="626"/>
      <c r="CS713" s="626"/>
      <c r="CT713" s="626"/>
      <c r="CU713" s="626"/>
      <c r="CV713" s="626"/>
      <c r="CW713" s="626"/>
      <c r="CX713" s="626"/>
      <c r="CY713" s="626"/>
      <c r="CZ713" s="626"/>
      <c r="DA713" s="626"/>
      <c r="DB713" s="626"/>
      <c r="DC713" s="626"/>
      <c r="DD713" s="626"/>
      <c r="DE713" s="626"/>
      <c r="DF713" s="626"/>
      <c r="DG713" s="1893"/>
      <c r="DH713" s="632"/>
      <c r="DI713" s="595"/>
      <c r="DJ713" s="595"/>
      <c r="DK713" s="595"/>
      <c r="DL713" s="595"/>
      <c r="DM713" s="595"/>
      <c r="DN713" s="514"/>
      <c r="DO713" s="77"/>
      <c r="DY713" s="3478"/>
      <c r="DZ713" s="3478"/>
    </row>
    <row r="714" spans="1:130" ht="12" hidden="1" customHeight="1" outlineLevel="1">
      <c r="A714" s="567" t="s">
        <v>1153</v>
      </c>
      <c r="B714" s="228"/>
      <c r="C714" s="228"/>
      <c r="D714" s="625"/>
      <c r="E714" s="626"/>
      <c r="F714" s="626"/>
      <c r="G714" s="626"/>
      <c r="H714" s="788"/>
      <c r="I714" s="626"/>
      <c r="J714" s="626"/>
      <c r="K714" s="626"/>
      <c r="L714" s="626"/>
      <c r="M714" s="788"/>
      <c r="N714" s="626"/>
      <c r="O714" s="626"/>
      <c r="P714" s="626"/>
      <c r="Q714" s="626"/>
      <c r="R714" s="788"/>
      <c r="S714" s="626"/>
      <c r="T714" s="626"/>
      <c r="U714" s="626"/>
      <c r="V714" s="626"/>
      <c r="W714" s="788"/>
      <c r="X714" s="626"/>
      <c r="Y714" s="626"/>
      <c r="Z714" s="626"/>
      <c r="AA714" s="626"/>
      <c r="AB714" s="788"/>
      <c r="AC714" s="626"/>
      <c r="AD714" s="626"/>
      <c r="AE714" s="626"/>
      <c r="AF714" s="626"/>
      <c r="AG714" s="788"/>
      <c r="AH714" s="626"/>
      <c r="AI714" s="626"/>
      <c r="AJ714" s="626"/>
      <c r="AK714" s="626"/>
      <c r="AL714" s="788"/>
      <c r="AM714" s="626"/>
      <c r="AN714" s="261"/>
      <c r="AO714" s="626"/>
      <c r="AP714" s="330"/>
      <c r="AQ714" s="1439"/>
      <c r="AR714" s="561">
        <f t="shared" ref="AR714:BF714" si="1391">+AR713/AM713-1</f>
        <v>0.67663337520677613</v>
      </c>
      <c r="AS714" s="561">
        <f t="shared" si="1391"/>
        <v>0.57554382559708372</v>
      </c>
      <c r="AT714" s="561">
        <f t="shared" si="1391"/>
        <v>0.55331274665267682</v>
      </c>
      <c r="AU714" s="561">
        <f t="shared" si="1391"/>
        <v>0.48932806324110678</v>
      </c>
      <c r="AV714" s="1621">
        <f t="shared" si="1391"/>
        <v>0.572729625772743</v>
      </c>
      <c r="AW714" s="561">
        <f t="shared" si="1391"/>
        <v>-6.6022269534059541E-3</v>
      </c>
      <c r="AX714" s="561">
        <f t="shared" si="1391"/>
        <v>1.9951323578017544E-2</v>
      </c>
      <c r="AY714" s="561">
        <f t="shared" si="1391"/>
        <v>3.3849909042764637E-3</v>
      </c>
      <c r="AZ714" s="561">
        <f t="shared" si="1391"/>
        <v>-3.562697034034612E-2</v>
      </c>
      <c r="BA714" s="1621">
        <f t="shared" si="1391"/>
        <v>-4.2541220778027355E-3</v>
      </c>
      <c r="BB714" s="561">
        <f t="shared" si="1391"/>
        <v>-8.6922106143541011E-2</v>
      </c>
      <c r="BC714" s="561">
        <f t="shared" si="1391"/>
        <v>-5.9110325526587015E-2</v>
      </c>
      <c r="BD714" s="561">
        <f t="shared" si="1391"/>
        <v>-5.4650326647389114E-2</v>
      </c>
      <c r="BE714" s="561">
        <f t="shared" si="1391"/>
        <v>2.7769901762930704E-3</v>
      </c>
      <c r="BF714" s="1621">
        <f t="shared" si="1391"/>
        <v>-5.0885113072690502E-2</v>
      </c>
      <c r="BG714" s="560">
        <f t="shared" ref="BG714:BM714" si="1392">+BG713/BB713-1</f>
        <v>2.9736736646684081E-2</v>
      </c>
      <c r="BH714" s="561">
        <f t="shared" si="1392"/>
        <v>2.2449394930882827E-2</v>
      </c>
      <c r="BI714" s="561">
        <f t="shared" si="1392"/>
        <v>1.8037191085792159E-2</v>
      </c>
      <c r="BJ714" s="1846">
        <f t="shared" si="1392"/>
        <v>2.1705323209726402E-3</v>
      </c>
      <c r="BK714" s="1621">
        <f t="shared" si="1392"/>
        <v>1.8211933939722869E-2</v>
      </c>
      <c r="BL714" s="561">
        <f t="shared" si="1392"/>
        <v>2.2317705644552266E-3</v>
      </c>
      <c r="BM714" s="561">
        <f t="shared" si="1392"/>
        <v>-5.9209015326667891E-2</v>
      </c>
      <c r="BN714" s="561"/>
      <c r="BO714" s="1846"/>
      <c r="BP714" s="1621"/>
      <c r="BQ714" s="561"/>
      <c r="BR714" s="561"/>
      <c r="BS714" s="561"/>
      <c r="BT714" s="1846"/>
      <c r="BU714" s="3371"/>
      <c r="BV714" s="561"/>
      <c r="BW714" s="561"/>
      <c r="BX714" s="561"/>
      <c r="BY714" s="1846"/>
      <c r="BZ714" s="1621"/>
      <c r="CA714" s="1621"/>
      <c r="CB714" s="1621"/>
      <c r="CC714" s="1621"/>
      <c r="CD714" s="1621"/>
      <c r="CE714" s="1621"/>
      <c r="CF714" s="1621"/>
      <c r="CG714" s="1621"/>
      <c r="CH714" s="626"/>
      <c r="CI714" s="626"/>
      <c r="CJ714" s="626"/>
      <c r="CK714" s="626"/>
      <c r="CL714" s="626"/>
      <c r="CM714" s="626"/>
      <c r="CN714" s="626"/>
      <c r="CO714" s="626"/>
      <c r="CP714" s="994"/>
      <c r="CQ714" s="626"/>
      <c r="CR714" s="626"/>
      <c r="CS714" s="626"/>
      <c r="CT714" s="626"/>
      <c r="CU714" s="626"/>
      <c r="CV714" s="626"/>
      <c r="CW714" s="626"/>
      <c r="CX714" s="626"/>
      <c r="CY714" s="626"/>
      <c r="CZ714" s="626"/>
      <c r="DA714" s="626"/>
      <c r="DB714" s="626"/>
      <c r="DC714" s="626"/>
      <c r="DD714" s="626"/>
      <c r="DE714" s="626"/>
      <c r="DF714" s="626"/>
      <c r="DG714" s="1893"/>
      <c r="DH714" s="632"/>
      <c r="DI714" s="595"/>
      <c r="DJ714" s="595"/>
      <c r="DK714" s="595"/>
      <c r="DL714" s="595"/>
      <c r="DM714" s="595"/>
      <c r="DN714" s="514"/>
      <c r="DO714" s="77"/>
      <c r="DY714" s="573"/>
      <c r="DZ714" s="573"/>
    </row>
    <row r="715" spans="1:130" ht="12" hidden="1" customHeight="1" outlineLevel="1">
      <c r="A715" s="567"/>
      <c r="B715" s="228"/>
      <c r="C715" s="228"/>
      <c r="D715" s="625"/>
      <c r="E715" s="626"/>
      <c r="F715" s="626"/>
      <c r="G715" s="626"/>
      <c r="H715" s="788"/>
      <c r="I715" s="626"/>
      <c r="J715" s="626"/>
      <c r="K715" s="626"/>
      <c r="L715" s="626"/>
      <c r="M715" s="788"/>
      <c r="N715" s="626"/>
      <c r="O715" s="626"/>
      <c r="P715" s="626"/>
      <c r="Q715" s="626"/>
      <c r="R715" s="788"/>
      <c r="S715" s="626"/>
      <c r="T715" s="626"/>
      <c r="U715" s="626"/>
      <c r="V715" s="626"/>
      <c r="W715" s="788"/>
      <c r="X715" s="626"/>
      <c r="Y715" s="626"/>
      <c r="Z715" s="626"/>
      <c r="AA715" s="626"/>
      <c r="AB715" s="788"/>
      <c r="AC715" s="626"/>
      <c r="AD715" s="626"/>
      <c r="AE715" s="626"/>
      <c r="AF715" s="626"/>
      <c r="AG715" s="788"/>
      <c r="AH715" s="626"/>
      <c r="AI715" s="626"/>
      <c r="AJ715" s="626"/>
      <c r="AK715" s="626"/>
      <c r="AL715" s="788"/>
      <c r="AM715" s="626"/>
      <c r="AN715" s="261"/>
      <c r="AO715" s="626"/>
      <c r="AP715" s="330"/>
      <c r="AQ715" s="1439"/>
      <c r="AR715" s="626"/>
      <c r="AS715" s="261"/>
      <c r="AT715" s="626"/>
      <c r="AU715" s="330"/>
      <c r="AV715" s="1439"/>
      <c r="AW715" s="626"/>
      <c r="AX715" s="626"/>
      <c r="AY715" s="626"/>
      <c r="AZ715" s="330"/>
      <c r="BA715" s="1439"/>
      <c r="BB715" s="626"/>
      <c r="BC715" s="261"/>
      <c r="BD715" s="626"/>
      <c r="BE715" s="330"/>
      <c r="BF715" s="1439"/>
      <c r="BG715" s="678"/>
      <c r="BH715" s="330"/>
      <c r="BI715" s="330"/>
      <c r="BJ715" s="2136"/>
      <c r="BK715" s="1439"/>
      <c r="BL715" s="330"/>
      <c r="BM715" s="330"/>
      <c r="BN715" s="330"/>
      <c r="BO715" s="2136"/>
      <c r="BP715" s="1439"/>
      <c r="BQ715" s="330"/>
      <c r="BR715" s="330"/>
      <c r="BS715" s="330"/>
      <c r="BT715" s="2136"/>
      <c r="BU715" s="3406"/>
      <c r="BV715" s="330"/>
      <c r="BW715" s="330"/>
      <c r="BX715" s="330"/>
      <c r="BY715" s="2136"/>
      <c r="BZ715" s="1439"/>
      <c r="CA715" s="1439"/>
      <c r="CB715" s="1439"/>
      <c r="CC715" s="1439"/>
      <c r="CD715" s="1439"/>
      <c r="CE715" s="1439"/>
      <c r="CF715" s="1439"/>
      <c r="CG715" s="1439"/>
      <c r="CH715" s="626"/>
      <c r="CI715" s="626"/>
      <c r="CJ715" s="626"/>
      <c r="CK715" s="626"/>
      <c r="CL715" s="626"/>
      <c r="CM715" s="626"/>
      <c r="CN715" s="626"/>
      <c r="CO715" s="626"/>
      <c r="CP715" s="994"/>
      <c r="CQ715" s="626"/>
      <c r="CR715" s="626"/>
      <c r="CS715" s="626"/>
      <c r="CT715" s="626"/>
      <c r="CU715" s="626"/>
      <c r="CV715" s="626"/>
      <c r="CW715" s="626"/>
      <c r="CX715" s="626"/>
      <c r="CY715" s="626"/>
      <c r="CZ715" s="626"/>
      <c r="DA715" s="626"/>
      <c r="DB715" s="626"/>
      <c r="DC715" s="626"/>
      <c r="DD715" s="626"/>
      <c r="DE715" s="626"/>
      <c r="DF715" s="626"/>
      <c r="DG715" s="1893"/>
      <c r="DH715" s="632"/>
      <c r="DI715" s="595"/>
      <c r="DJ715" s="595"/>
      <c r="DK715" s="595"/>
      <c r="DL715" s="595"/>
      <c r="DM715" s="595"/>
      <c r="DN715" s="514"/>
      <c r="DO715" s="77"/>
      <c r="DY715" s="330"/>
      <c r="DZ715" s="330"/>
    </row>
    <row r="716" spans="1:130" ht="12" hidden="1" customHeight="1" outlineLevel="1">
      <c r="A716" s="552" t="s">
        <v>1663</v>
      </c>
      <c r="B716" s="228"/>
      <c r="C716" s="228"/>
      <c r="D716" s="625"/>
      <c r="E716" s="626"/>
      <c r="F716" s="626"/>
      <c r="G716" s="626"/>
      <c r="H716" s="788"/>
      <c r="I716" s="626"/>
      <c r="J716" s="626"/>
      <c r="K716" s="626"/>
      <c r="L716" s="626"/>
      <c r="M716" s="788"/>
      <c r="N716" s="626"/>
      <c r="O716" s="626"/>
      <c r="P716" s="626"/>
      <c r="Q716" s="626"/>
      <c r="R716" s="788"/>
      <c r="S716" s="626"/>
      <c r="T716" s="626"/>
      <c r="U716" s="626"/>
      <c r="V716" s="626"/>
      <c r="W716" s="788"/>
      <c r="X716" s="626"/>
      <c r="Y716" s="626"/>
      <c r="Z716" s="626"/>
      <c r="AA716" s="626"/>
      <c r="AB716" s="788"/>
      <c r="AC716" s="626"/>
      <c r="AD716" s="626"/>
      <c r="AE716" s="626"/>
      <c r="AF716" s="626"/>
      <c r="AG716" s="788"/>
      <c r="AH716" s="626"/>
      <c r="AI716" s="626"/>
      <c r="AJ716" s="626"/>
      <c r="AK716" s="626"/>
      <c r="AL716" s="788"/>
      <c r="AM716" s="626">
        <f t="shared" ref="AM716:BL716" si="1393">+AM676+AM646+AM612+AM578+AM544</f>
        <v>23.441613027999999</v>
      </c>
      <c r="AN716" s="626">
        <f t="shared" si="1393"/>
        <v>22.913524911000003</v>
      </c>
      <c r="AO716" s="626">
        <f t="shared" si="1393"/>
        <v>22.82767403775</v>
      </c>
      <c r="AP716" s="626">
        <f t="shared" si="1393"/>
        <v>23.54982536995</v>
      </c>
      <c r="AQ716" s="1950">
        <f t="shared" si="1393"/>
        <v>92.732637346699988</v>
      </c>
      <c r="AR716" s="626">
        <f t="shared" si="1393"/>
        <v>37.405608623000006</v>
      </c>
      <c r="AS716" s="626">
        <f t="shared" si="1393"/>
        <v>35.621278225800005</v>
      </c>
      <c r="AT716" s="626">
        <f t="shared" si="1393"/>
        <v>35.222310193350005</v>
      </c>
      <c r="AU716" s="626">
        <f t="shared" si="1393"/>
        <v>34.401423379299999</v>
      </c>
      <c r="AV716" s="1950">
        <f t="shared" si="1393"/>
        <v>142.65062042145001</v>
      </c>
      <c r="AW716" s="626">
        <f t="shared" si="1393"/>
        <v>36.898895057449998</v>
      </c>
      <c r="AX716" s="626">
        <f t="shared" si="1393"/>
        <v>36.080286973950003</v>
      </c>
      <c r="AY716" s="626">
        <f t="shared" si="1393"/>
        <v>34.697749852649999</v>
      </c>
      <c r="AZ716" s="626">
        <f t="shared" si="1393"/>
        <v>33.393548565850004</v>
      </c>
      <c r="BA716" s="1950">
        <f>+BA676+BA646+BA612+BA578+BA544</f>
        <v>141.0704804499</v>
      </c>
      <c r="BB716" s="626">
        <f t="shared" si="1393"/>
        <v>34.139816527649998</v>
      </c>
      <c r="BC716" s="626">
        <f t="shared" si="1393"/>
        <v>33.600495130700004</v>
      </c>
      <c r="BD716" s="626">
        <f t="shared" si="1393"/>
        <v>32.696420023600005</v>
      </c>
      <c r="BE716" s="626">
        <f t="shared" si="1393"/>
        <v>32.904177384600004</v>
      </c>
      <c r="BF716" s="1950">
        <f t="shared" si="1393"/>
        <v>133.34090906655001</v>
      </c>
      <c r="BG716" s="625">
        <f t="shared" si="1393"/>
        <v>35.267930995900002</v>
      </c>
      <c r="BH716" s="626">
        <f t="shared" si="1393"/>
        <v>34.940705344950004</v>
      </c>
      <c r="BI716" s="626">
        <f t="shared" si="1393"/>
        <v>33.471387936100001</v>
      </c>
      <c r="BJ716" s="1893">
        <f t="shared" si="1393"/>
        <v>33.020671558850005</v>
      </c>
      <c r="BK716" s="1950">
        <f t="shared" si="1393"/>
        <v>136.70069583580002</v>
      </c>
      <c r="BL716" s="626">
        <f t="shared" si="1393"/>
        <v>26.744394360850002</v>
      </c>
      <c r="BM716" s="626">
        <f t="shared" ref="BM716" si="1394">+BM676+BM646+BM612+BM578+BM544</f>
        <v>25.267357371350002</v>
      </c>
      <c r="BN716" s="626"/>
      <c r="BO716" s="1893"/>
      <c r="BP716" s="1950"/>
      <c r="BQ716" s="626"/>
      <c r="BR716" s="626"/>
      <c r="BS716" s="626"/>
      <c r="BT716" s="1893"/>
      <c r="BU716" s="3406"/>
      <c r="BV716" s="626"/>
      <c r="BW716" s="626"/>
      <c r="BX716" s="626"/>
      <c r="BY716" s="1893"/>
      <c r="BZ716" s="1950"/>
      <c r="CA716" s="1950"/>
      <c r="CB716" s="1950"/>
      <c r="CC716" s="1950"/>
      <c r="CD716" s="1950"/>
      <c r="CE716" s="1950"/>
      <c r="CF716" s="1950"/>
      <c r="CG716" s="1950"/>
      <c r="CH716" s="626"/>
      <c r="CI716" s="626"/>
      <c r="CJ716" s="626"/>
      <c r="CK716" s="626"/>
      <c r="CL716" s="626"/>
      <c r="CM716" s="626"/>
      <c r="CN716" s="626"/>
      <c r="CO716" s="626"/>
      <c r="CP716" s="994"/>
      <c r="CQ716" s="626"/>
      <c r="CR716" s="626"/>
      <c r="CS716" s="626"/>
      <c r="CT716" s="626"/>
      <c r="CU716" s="626"/>
      <c r="CV716" s="626"/>
      <c r="CW716" s="626"/>
      <c r="CX716" s="626"/>
      <c r="CY716" s="626"/>
      <c r="CZ716" s="626"/>
      <c r="DA716" s="626"/>
      <c r="DB716" s="626"/>
      <c r="DC716" s="626"/>
      <c r="DD716" s="626"/>
      <c r="DE716" s="626"/>
      <c r="DF716" s="626"/>
      <c r="DG716" s="1893"/>
      <c r="DH716" s="632"/>
      <c r="DI716" s="595"/>
      <c r="DJ716" s="595"/>
      <c r="DK716" s="595"/>
      <c r="DL716" s="595"/>
      <c r="DM716" s="595"/>
      <c r="DN716" s="514"/>
      <c r="DO716" s="77"/>
      <c r="DY716" s="1634"/>
      <c r="DZ716" s="1634"/>
    </row>
    <row r="717" spans="1:130" ht="12" hidden="1" customHeight="1" outlineLevel="1">
      <c r="A717" s="567" t="s">
        <v>1664</v>
      </c>
      <c r="B717" s="228"/>
      <c r="C717" s="228"/>
      <c r="D717" s="625"/>
      <c r="E717" s="626"/>
      <c r="F717" s="626"/>
      <c r="G717" s="626"/>
      <c r="H717" s="788"/>
      <c r="I717" s="626"/>
      <c r="J717" s="626"/>
      <c r="K717" s="626"/>
      <c r="L717" s="626"/>
      <c r="M717" s="788"/>
      <c r="N717" s="626"/>
      <c r="O717" s="626"/>
      <c r="P717" s="626"/>
      <c r="Q717" s="626"/>
      <c r="R717" s="788"/>
      <c r="S717" s="626"/>
      <c r="T717" s="626"/>
      <c r="U717" s="626"/>
      <c r="V717" s="626"/>
      <c r="W717" s="788"/>
      <c r="X717" s="626"/>
      <c r="Y717" s="626"/>
      <c r="Z717" s="626"/>
      <c r="AA717" s="626"/>
      <c r="AB717" s="788"/>
      <c r="AC717" s="626"/>
      <c r="AD717" s="626"/>
      <c r="AE717" s="626"/>
      <c r="AF717" s="626"/>
      <c r="AG717" s="788"/>
      <c r="AH717" s="626"/>
      <c r="AI717" s="626"/>
      <c r="AJ717" s="626"/>
      <c r="AK717" s="626"/>
      <c r="AL717" s="788"/>
      <c r="AM717" s="561">
        <f t="shared" ref="AM717:BF717" si="1395">+AM716/AM710</f>
        <v>0.31050454705347369</v>
      </c>
      <c r="AN717" s="561">
        <f t="shared" si="1395"/>
        <v>0.2979867511453968</v>
      </c>
      <c r="AO717" s="561">
        <f t="shared" si="1395"/>
        <v>0.29480873650061307</v>
      </c>
      <c r="AP717" s="561">
        <f t="shared" si="1395"/>
        <v>0.30054925891496531</v>
      </c>
      <c r="AQ717" s="1975">
        <f t="shared" si="1395"/>
        <v>0.30090630347987529</v>
      </c>
      <c r="AR717" s="561">
        <f t="shared" si="1395"/>
        <v>0.28824992817632622</v>
      </c>
      <c r="AS717" s="561">
        <f t="shared" si="1395"/>
        <v>0.28613477155028189</v>
      </c>
      <c r="AT717" s="561">
        <f t="shared" si="1395"/>
        <v>0.28830579653387362</v>
      </c>
      <c r="AU717" s="561">
        <f t="shared" si="1395"/>
        <v>0.29458317673659873</v>
      </c>
      <c r="AV717" s="1975">
        <f t="shared" si="1395"/>
        <v>0.28922943887509767</v>
      </c>
      <c r="AW717" s="561">
        <f t="shared" si="1395"/>
        <v>0.29305537290189099</v>
      </c>
      <c r="AX717" s="561">
        <f t="shared" si="1395"/>
        <v>0.28495610363497792</v>
      </c>
      <c r="AY717" s="561">
        <f t="shared" si="1395"/>
        <v>0.28585345437705445</v>
      </c>
      <c r="AZ717" s="561">
        <f t="shared" si="1395"/>
        <v>0.30116293506475356</v>
      </c>
      <c r="BA717" s="1975">
        <f>+BA716/BA710</f>
        <v>0.29099116622950416</v>
      </c>
      <c r="BB717" s="561">
        <f t="shared" si="1395"/>
        <v>0.29982186698209312</v>
      </c>
      <c r="BC717" s="561">
        <f t="shared" si="1395"/>
        <v>0.28420803663100025</v>
      </c>
      <c r="BD717" s="561">
        <f t="shared" si="1395"/>
        <v>0.28595034259727314</v>
      </c>
      <c r="BE717" s="561">
        <f t="shared" si="1395"/>
        <v>0.2950809117165431</v>
      </c>
      <c r="BF717" s="1975">
        <f t="shared" si="1395"/>
        <v>0.29117295797422826</v>
      </c>
      <c r="BG717" s="560">
        <f t="shared" ref="BG717:BM717" si="1396">+BG716/BG710</f>
        <v>0.3013245644412737</v>
      </c>
      <c r="BH717" s="561">
        <f t="shared" si="1396"/>
        <v>0.28892614377341175</v>
      </c>
      <c r="BI717" s="561">
        <f t="shared" si="1396"/>
        <v>0.28656028848412723</v>
      </c>
      <c r="BJ717" s="1846">
        <f t="shared" si="1396"/>
        <v>0.295685440419521</v>
      </c>
      <c r="BK717" s="1975">
        <f t="shared" si="1396"/>
        <v>0.29306298750318899</v>
      </c>
      <c r="BL717" s="561">
        <f t="shared" si="1396"/>
        <v>0.2281069074233443</v>
      </c>
      <c r="BM717" s="561">
        <f t="shared" si="1396"/>
        <v>0.22134059857869934</v>
      </c>
      <c r="BN717" s="561"/>
      <c r="BO717" s="1846"/>
      <c r="BP717" s="1975"/>
      <c r="BQ717" s="561"/>
      <c r="BR717" s="561"/>
      <c r="BS717" s="561"/>
      <c r="BT717" s="1846"/>
      <c r="BU717" s="3407"/>
      <c r="BV717" s="561"/>
      <c r="BW717" s="561"/>
      <c r="BX717" s="561"/>
      <c r="BY717" s="1846"/>
      <c r="BZ717" s="1975"/>
      <c r="CA717" s="1975"/>
      <c r="CB717" s="1975"/>
      <c r="CC717" s="1975"/>
      <c r="CD717" s="1975"/>
      <c r="CE717" s="1975"/>
      <c r="CF717" s="1975"/>
      <c r="CG717" s="1975"/>
      <c r="CH717" s="626"/>
      <c r="CI717" s="626"/>
      <c r="CJ717" s="626"/>
      <c r="CK717" s="626"/>
      <c r="CL717" s="626"/>
      <c r="CM717" s="626"/>
      <c r="CN717" s="626"/>
      <c r="CO717" s="626"/>
      <c r="CP717" s="994"/>
      <c r="CQ717" s="626"/>
      <c r="CR717" s="626"/>
      <c r="CS717" s="626"/>
      <c r="CT717" s="626"/>
      <c r="CU717" s="626"/>
      <c r="CV717" s="626"/>
      <c r="CW717" s="626"/>
      <c r="CX717" s="626"/>
      <c r="CY717" s="626"/>
      <c r="CZ717" s="626"/>
      <c r="DA717" s="626"/>
      <c r="DB717" s="626"/>
      <c r="DC717" s="626"/>
      <c r="DD717" s="626"/>
      <c r="DE717" s="626"/>
      <c r="DF717" s="626"/>
      <c r="DG717" s="1893"/>
      <c r="DH717" s="632"/>
      <c r="DI717" s="595"/>
      <c r="DJ717" s="595"/>
      <c r="DK717" s="595"/>
      <c r="DL717" s="595"/>
      <c r="DM717" s="595"/>
      <c r="DN717" s="514"/>
      <c r="DO717" s="77"/>
      <c r="DY717" s="769"/>
      <c r="DZ717" s="769"/>
    </row>
    <row r="718" spans="1:130" ht="2.25" hidden="1" customHeight="1" outlineLevel="1">
      <c r="A718" s="552"/>
      <c r="B718" s="228"/>
      <c r="C718" s="228"/>
      <c r="D718" s="625"/>
      <c r="E718" s="626"/>
      <c r="F718" s="626"/>
      <c r="G718" s="626"/>
      <c r="H718" s="788"/>
      <c r="I718" s="626"/>
      <c r="J718" s="626"/>
      <c r="K718" s="626"/>
      <c r="L718" s="626"/>
      <c r="M718" s="788"/>
      <c r="N718" s="626"/>
      <c r="O718" s="626"/>
      <c r="P718" s="626"/>
      <c r="Q718" s="626"/>
      <c r="R718" s="788"/>
      <c r="S718" s="626"/>
      <c r="T718" s="626"/>
      <c r="U718" s="626"/>
      <c r="V718" s="626"/>
      <c r="W718" s="788"/>
      <c r="X718" s="626"/>
      <c r="Y718" s="626"/>
      <c r="Z718" s="626"/>
      <c r="AA718" s="626"/>
      <c r="AB718" s="788"/>
      <c r="AC718" s="626"/>
      <c r="AD718" s="626"/>
      <c r="AE718" s="626"/>
      <c r="AF718" s="626"/>
      <c r="AG718" s="788"/>
      <c r="AH718" s="626"/>
      <c r="AI718" s="626"/>
      <c r="AJ718" s="626"/>
      <c r="AK718" s="626"/>
      <c r="AL718" s="788"/>
      <c r="AM718" s="626"/>
      <c r="AN718" s="261"/>
      <c r="AO718" s="626"/>
      <c r="AP718" s="330"/>
      <c r="AQ718" s="1439"/>
      <c r="AR718" s="626"/>
      <c r="AS718" s="261"/>
      <c r="AT718" s="626"/>
      <c r="AU718" s="330"/>
      <c r="AV718" s="1439"/>
      <c r="AW718" s="626"/>
      <c r="AX718" s="261"/>
      <c r="AY718" s="626"/>
      <c r="AZ718" s="330"/>
      <c r="BA718" s="1439"/>
      <c r="BB718" s="626"/>
      <c r="BC718" s="261"/>
      <c r="BD718" s="626"/>
      <c r="BE718" s="330"/>
      <c r="BF718" s="1439"/>
      <c r="BG718" s="678"/>
      <c r="BH718" s="330"/>
      <c r="BI718" s="330"/>
      <c r="BJ718" s="2136"/>
      <c r="BK718" s="1439"/>
      <c r="BL718" s="330"/>
      <c r="BM718" s="330"/>
      <c r="BN718" s="330"/>
      <c r="BO718" s="2136"/>
      <c r="BP718" s="1439"/>
      <c r="BQ718" s="330"/>
      <c r="BR718" s="330"/>
      <c r="BS718" s="330"/>
      <c r="BT718" s="2136"/>
      <c r="BU718" s="3406"/>
      <c r="BV718" s="330"/>
      <c r="BW718" s="330"/>
      <c r="BX718" s="330"/>
      <c r="BY718" s="2136"/>
      <c r="BZ718" s="1439"/>
      <c r="CA718" s="1439"/>
      <c r="CB718" s="1439"/>
      <c r="CC718" s="1439"/>
      <c r="CD718" s="1439"/>
      <c r="CE718" s="1439"/>
      <c r="CF718" s="1439"/>
      <c r="CG718" s="1439"/>
      <c r="CH718" s="626"/>
      <c r="CI718" s="626"/>
      <c r="CJ718" s="626"/>
      <c r="CK718" s="626"/>
      <c r="CL718" s="626"/>
      <c r="CM718" s="626"/>
      <c r="CN718" s="626"/>
      <c r="CO718" s="626"/>
      <c r="CP718" s="994"/>
      <c r="CQ718" s="626"/>
      <c r="CR718" s="626"/>
      <c r="CS718" s="626"/>
      <c r="CT718" s="626"/>
      <c r="CU718" s="626"/>
      <c r="CV718" s="626"/>
      <c r="CW718" s="626"/>
      <c r="CX718" s="626"/>
      <c r="CY718" s="626"/>
      <c r="CZ718" s="626"/>
      <c r="DA718" s="626"/>
      <c r="DB718" s="626"/>
      <c r="DC718" s="626"/>
      <c r="DD718" s="626"/>
      <c r="DE718" s="626"/>
      <c r="DF718" s="626"/>
      <c r="DG718" s="1893"/>
      <c r="DH718" s="632"/>
      <c r="DI718" s="595"/>
      <c r="DJ718" s="595"/>
      <c r="DK718" s="595"/>
      <c r="DL718" s="595"/>
      <c r="DM718" s="595"/>
      <c r="DN718" s="514"/>
      <c r="DO718" s="77"/>
      <c r="DY718" s="330"/>
      <c r="DZ718" s="330"/>
    </row>
    <row r="719" spans="1:130" ht="12" hidden="1" customHeight="1" outlineLevel="1">
      <c r="A719" s="552" t="s">
        <v>1665</v>
      </c>
      <c r="B719" s="228"/>
      <c r="C719" s="228"/>
      <c r="D719" s="625"/>
      <c r="E719" s="626"/>
      <c r="F719" s="626"/>
      <c r="G719" s="626"/>
      <c r="H719" s="788"/>
      <c r="I719" s="626"/>
      <c r="J719" s="626"/>
      <c r="K719" s="626"/>
      <c r="L719" s="626"/>
      <c r="M719" s="788"/>
      <c r="N719" s="626"/>
      <c r="O719" s="626"/>
      <c r="P719" s="626"/>
      <c r="Q719" s="626"/>
      <c r="R719" s="788"/>
      <c r="S719" s="626"/>
      <c r="T719" s="626"/>
      <c r="U719" s="626"/>
      <c r="V719" s="626"/>
      <c r="W719" s="788"/>
      <c r="X719" s="626"/>
      <c r="Y719" s="626"/>
      <c r="Z719" s="626"/>
      <c r="AA719" s="626"/>
      <c r="AB719" s="788"/>
      <c r="AC719" s="626"/>
      <c r="AD719" s="626"/>
      <c r="AE719" s="626"/>
      <c r="AF719" s="626"/>
      <c r="AG719" s="788"/>
      <c r="AH719" s="626"/>
      <c r="AI719" s="626"/>
      <c r="AJ719" s="626"/>
      <c r="AK719" s="626"/>
      <c r="AL719" s="788"/>
      <c r="AM719" s="626">
        <f t="shared" ref="AM719:AT719" si="1397">+AM679+AM649+AM615+AM581+AM547+AM705</f>
        <v>29.614386972000005</v>
      </c>
      <c r="AN719" s="626">
        <f t="shared" si="1397"/>
        <v>33.821475089000003</v>
      </c>
      <c r="AO719" s="626">
        <f t="shared" si="1397"/>
        <v>33.54232596224999</v>
      </c>
      <c r="AP719" s="626">
        <f t="shared" si="1397"/>
        <v>32.165174630049997</v>
      </c>
      <c r="AQ719" s="1950">
        <f t="shared" si="1397"/>
        <v>129.14336265329999</v>
      </c>
      <c r="AR719" s="626">
        <f t="shared" si="1397"/>
        <v>41.445391377</v>
      </c>
      <c r="AS719" s="626">
        <f t="shared" si="1397"/>
        <v>45.486721774199992</v>
      </c>
      <c r="AT719" s="626">
        <f t="shared" si="1397"/>
        <v>44.341689806649995</v>
      </c>
      <c r="AU719" s="626">
        <f>+AU679+AU649+AU615+AU581+AU547+AU705</f>
        <v>46.907576620699999</v>
      </c>
      <c r="AV719" s="1950">
        <f t="shared" ref="AV719:BL719" si="1398">+AV679+AV649+AV615+AV581+AV547+AV705</f>
        <v>178.18137957854998</v>
      </c>
      <c r="AW719" s="626">
        <f t="shared" si="1398"/>
        <v>46.30210494255001</v>
      </c>
      <c r="AX719" s="626">
        <f t="shared" si="1398"/>
        <v>51.376713026049991</v>
      </c>
      <c r="AY719" s="626">
        <f t="shared" si="1398"/>
        <v>50.750250147350009</v>
      </c>
      <c r="AZ719" s="626">
        <f t="shared" si="1398"/>
        <v>45.560451434150004</v>
      </c>
      <c r="BA719" s="1950">
        <f>+BA679+BA649+BA615+BA581+BA547+BA705</f>
        <v>193.9895195501</v>
      </c>
      <c r="BB719" s="626">
        <f t="shared" si="1398"/>
        <v>43.372183472350002</v>
      </c>
      <c r="BC719" s="626">
        <f t="shared" si="1398"/>
        <v>48.871504869300018</v>
      </c>
      <c r="BD719" s="626">
        <f t="shared" si="1398"/>
        <v>48.006579976399998</v>
      </c>
      <c r="BE719" s="626">
        <f t="shared" si="1398"/>
        <v>45.179822615399999</v>
      </c>
      <c r="BF719" s="1950">
        <f t="shared" si="1398"/>
        <v>185.43009093345</v>
      </c>
      <c r="BG719" s="625">
        <f t="shared" si="1398"/>
        <v>44.278069004100004</v>
      </c>
      <c r="BH719" s="626">
        <f t="shared" si="1398"/>
        <v>46.517294655050009</v>
      </c>
      <c r="BI719" s="626">
        <f t="shared" si="1398"/>
        <v>46.70561206390002</v>
      </c>
      <c r="BJ719" s="1893">
        <f t="shared" si="1398"/>
        <v>44.524328441149983</v>
      </c>
      <c r="BK719" s="1950">
        <f t="shared" si="1398"/>
        <v>182.02530416420001</v>
      </c>
      <c r="BL719" s="626">
        <f t="shared" si="1398"/>
        <v>52.333605639150001</v>
      </c>
      <c r="BM719" s="626">
        <f t="shared" ref="BM719" si="1399">+BM679+BM649+BM615+BM581+BM547+BM705</f>
        <v>52.929642628650001</v>
      </c>
      <c r="BN719" s="626"/>
      <c r="BO719" s="1893"/>
      <c r="BP719" s="1950"/>
      <c r="BQ719" s="626"/>
      <c r="BR719" s="626"/>
      <c r="BS719" s="626"/>
      <c r="BT719" s="1893"/>
      <c r="BU719" s="3406"/>
      <c r="BV719" s="626"/>
      <c r="BW719" s="626"/>
      <c r="BX719" s="626"/>
      <c r="BY719" s="1893"/>
      <c r="BZ719" s="1950"/>
      <c r="CA719" s="1950"/>
      <c r="CB719" s="1950"/>
      <c r="CC719" s="1950"/>
      <c r="CD719" s="1950"/>
      <c r="CE719" s="1950"/>
      <c r="CF719" s="1950"/>
      <c r="CG719" s="1950"/>
      <c r="CH719" s="626"/>
      <c r="CI719" s="626"/>
      <c r="CJ719" s="626"/>
      <c r="CK719" s="626"/>
      <c r="CL719" s="626"/>
      <c r="CM719" s="626"/>
      <c r="CN719" s="626"/>
      <c r="CO719" s="626"/>
      <c r="CP719" s="994"/>
      <c r="CQ719" s="626"/>
      <c r="CR719" s="626"/>
      <c r="CS719" s="626"/>
      <c r="CT719" s="626"/>
      <c r="CU719" s="626"/>
      <c r="CV719" s="626"/>
      <c r="CW719" s="626"/>
      <c r="CX719" s="626"/>
      <c r="CY719" s="626"/>
      <c r="CZ719" s="626"/>
      <c r="DA719" s="626"/>
      <c r="DB719" s="626"/>
      <c r="DC719" s="626"/>
      <c r="DD719" s="626"/>
      <c r="DE719" s="626"/>
      <c r="DF719" s="626"/>
      <c r="DG719" s="1893"/>
      <c r="DH719" s="632"/>
      <c r="DI719" s="595"/>
      <c r="DJ719" s="595"/>
      <c r="DK719" s="595"/>
      <c r="DL719" s="595"/>
      <c r="DM719" s="595"/>
      <c r="DN719" s="514"/>
      <c r="DO719" s="77"/>
      <c r="DY719" s="1634"/>
      <c r="DZ719" s="1634"/>
    </row>
    <row r="720" spans="1:130" ht="12" hidden="1" customHeight="1" outlineLevel="1">
      <c r="A720" s="567" t="s">
        <v>1664</v>
      </c>
      <c r="B720" s="228"/>
      <c r="C720" s="228"/>
      <c r="D720" s="625"/>
      <c r="E720" s="626"/>
      <c r="F720" s="626"/>
      <c r="G720" s="626"/>
      <c r="H720" s="788"/>
      <c r="I720" s="626"/>
      <c r="J720" s="626"/>
      <c r="K720" s="626"/>
      <c r="L720" s="626"/>
      <c r="M720" s="788"/>
      <c r="N720" s="626"/>
      <c r="O720" s="626"/>
      <c r="P720" s="626"/>
      <c r="Q720" s="626"/>
      <c r="R720" s="788"/>
      <c r="S720" s="626"/>
      <c r="T720" s="626"/>
      <c r="U720" s="626"/>
      <c r="V720" s="626"/>
      <c r="W720" s="788"/>
      <c r="X720" s="626"/>
      <c r="Y720" s="626"/>
      <c r="Z720" s="626"/>
      <c r="AA720" s="626"/>
      <c r="AB720" s="788"/>
      <c r="AC720" s="626"/>
      <c r="AD720" s="626"/>
      <c r="AE720" s="626"/>
      <c r="AF720" s="626"/>
      <c r="AG720" s="788"/>
      <c r="AH720" s="626"/>
      <c r="AI720" s="626"/>
      <c r="AJ720" s="626"/>
      <c r="AK720" s="626"/>
      <c r="AL720" s="788"/>
      <c r="AM720" s="561">
        <f t="shared" ref="AM720:BF720" si="1400">+AM719/AM713</f>
        <v>0.36833356515466237</v>
      </c>
      <c r="AN720" s="561">
        <f t="shared" si="1400"/>
        <v>0.4002825654957749</v>
      </c>
      <c r="AO720" s="561">
        <f t="shared" si="1400"/>
        <v>0.39991804230503247</v>
      </c>
      <c r="AP720" s="561">
        <f t="shared" si="1400"/>
        <v>0.3852578108761528</v>
      </c>
      <c r="AQ720" s="1975">
        <f t="shared" si="1400"/>
        <v>0.38868398248740438</v>
      </c>
      <c r="AR720" s="561">
        <f t="shared" si="1400"/>
        <v>0.30745155061089147</v>
      </c>
      <c r="AS720" s="561">
        <f t="shared" si="1400"/>
        <v>0.34168686167933654</v>
      </c>
      <c r="AT720" s="561">
        <f t="shared" si="1400"/>
        <v>0.34035423282481714</v>
      </c>
      <c r="AU720" s="561">
        <f t="shared" si="1400"/>
        <v>0.37724037042961461</v>
      </c>
      <c r="AV720" s="1975">
        <f t="shared" si="1400"/>
        <v>0.34098305925257194</v>
      </c>
      <c r="AW720" s="561">
        <f t="shared" si="1400"/>
        <v>0.345762584234167</v>
      </c>
      <c r="AX720" s="561">
        <f t="shared" si="1400"/>
        <v>0.37838203731072317</v>
      </c>
      <c r="AY720" s="561">
        <f t="shared" si="1400"/>
        <v>0.38823036785965642</v>
      </c>
      <c r="AZ720" s="561">
        <f t="shared" si="1400"/>
        <v>0.37994272090122921</v>
      </c>
      <c r="BA720" s="1975">
        <f>+BA719/BA713</f>
        <v>0.37282088745793523</v>
      </c>
      <c r="BB720" s="561">
        <f t="shared" si="1400"/>
        <v>0.35471595096505365</v>
      </c>
      <c r="BC720" s="561">
        <f t="shared" si="1400"/>
        <v>0.3825438332208777</v>
      </c>
      <c r="BD720" s="561">
        <f t="shared" si="1400"/>
        <v>0.38847189610124777</v>
      </c>
      <c r="BE720" s="561">
        <f t="shared" si="1400"/>
        <v>0.37572515418596719</v>
      </c>
      <c r="BF720" s="1975">
        <f t="shared" si="1400"/>
        <v>0.37547704764473966</v>
      </c>
      <c r="BG720" s="560">
        <f t="shared" ref="BG720:BM720" si="1401">+BG719/BG713</f>
        <v>0.35166722795113931</v>
      </c>
      <c r="BH720" s="561">
        <f t="shared" si="1401"/>
        <v>0.35612143938272267</v>
      </c>
      <c r="BI720" s="561">
        <f t="shared" si="1401"/>
        <v>0.37124811865714957</v>
      </c>
      <c r="BJ720" s="1846">
        <f t="shared" si="1401"/>
        <v>0.36947197232673334</v>
      </c>
      <c r="BK720" s="1975">
        <f t="shared" si="1401"/>
        <v>0.36199016033576875</v>
      </c>
      <c r="BL720" s="561">
        <f t="shared" si="1401"/>
        <v>0.41472070401101513</v>
      </c>
      <c r="BM720" s="561">
        <f t="shared" si="1401"/>
        <v>0.43071449310469695</v>
      </c>
      <c r="BN720" s="561"/>
      <c r="BO720" s="1846"/>
      <c r="BP720" s="1975"/>
      <c r="BQ720" s="561"/>
      <c r="BR720" s="561"/>
      <c r="BS720" s="561"/>
      <c r="BT720" s="1846"/>
      <c r="BU720" s="3407"/>
      <c r="BV720" s="561"/>
      <c r="BW720" s="561"/>
      <c r="BX720" s="561"/>
      <c r="BY720" s="1846"/>
      <c r="BZ720" s="1975"/>
      <c r="CA720" s="1975"/>
      <c r="CB720" s="1975"/>
      <c r="CC720" s="1975"/>
      <c r="CD720" s="1975"/>
      <c r="CE720" s="1975"/>
      <c r="CF720" s="1975"/>
      <c r="CG720" s="1975"/>
      <c r="CH720" s="626"/>
      <c r="CI720" s="626"/>
      <c r="CJ720" s="626"/>
      <c r="CK720" s="626"/>
      <c r="CL720" s="626"/>
      <c r="CM720" s="626"/>
      <c r="CN720" s="626"/>
      <c r="CO720" s="626"/>
      <c r="CP720" s="994"/>
      <c r="CQ720" s="626"/>
      <c r="CR720" s="626"/>
      <c r="CS720" s="626"/>
      <c r="CT720" s="626"/>
      <c r="CU720" s="626"/>
      <c r="CV720" s="626"/>
      <c r="CW720" s="626"/>
      <c r="CX720" s="626"/>
      <c r="CY720" s="626"/>
      <c r="CZ720" s="626"/>
      <c r="DA720" s="626"/>
      <c r="DB720" s="626"/>
      <c r="DC720" s="626"/>
      <c r="DD720" s="626"/>
      <c r="DE720" s="626"/>
      <c r="DF720" s="626"/>
      <c r="DG720" s="1893"/>
      <c r="DH720" s="632"/>
      <c r="DI720" s="595"/>
      <c r="DJ720" s="595"/>
      <c r="DK720" s="595"/>
      <c r="DL720" s="595"/>
      <c r="DM720" s="595"/>
      <c r="DN720" s="514"/>
      <c r="DO720" s="77"/>
      <c r="DY720" s="769"/>
      <c r="DZ720" s="769"/>
    </row>
    <row r="721" spans="1:130" ht="12" hidden="1" customHeight="1" outlineLevel="1">
      <c r="A721" s="567" t="s">
        <v>1153</v>
      </c>
      <c r="B721" s="228"/>
      <c r="C721" s="228"/>
      <c r="D721" s="625"/>
      <c r="E721" s="626"/>
      <c r="F721" s="626"/>
      <c r="G721" s="626"/>
      <c r="H721" s="788"/>
      <c r="I721" s="626"/>
      <c r="J721" s="626"/>
      <c r="K721" s="626"/>
      <c r="L721" s="626"/>
      <c r="M721" s="788"/>
      <c r="N721" s="626"/>
      <c r="O721" s="626"/>
      <c r="P721" s="626"/>
      <c r="Q721" s="626"/>
      <c r="R721" s="788"/>
      <c r="S721" s="626"/>
      <c r="T721" s="626"/>
      <c r="U721" s="626"/>
      <c r="V721" s="626"/>
      <c r="W721" s="788"/>
      <c r="X721" s="626"/>
      <c r="Y721" s="626"/>
      <c r="Z721" s="626"/>
      <c r="AA721" s="626"/>
      <c r="AB721" s="788"/>
      <c r="AC721" s="626"/>
      <c r="AD721" s="626"/>
      <c r="AE721" s="626"/>
      <c r="AF721" s="626"/>
      <c r="AG721" s="788"/>
      <c r="AH721" s="626"/>
      <c r="AI721" s="626"/>
      <c r="AJ721" s="626"/>
      <c r="AK721" s="626"/>
      <c r="AL721" s="788"/>
      <c r="AM721" s="626"/>
      <c r="AN721" s="261"/>
      <c r="AO721" s="626"/>
      <c r="AP721" s="330"/>
      <c r="AQ721" s="1439"/>
      <c r="AR721" s="573">
        <f t="shared" ref="AR721:BF721" si="1402">+AR719/AM719-1</f>
        <v>0.39950191831375892</v>
      </c>
      <c r="AS721" s="573">
        <f t="shared" si="1402"/>
        <v>0.3449065025846243</v>
      </c>
      <c r="AT721" s="573">
        <f t="shared" si="1402"/>
        <v>0.32196228301382801</v>
      </c>
      <c r="AU721" s="573">
        <f t="shared" si="1402"/>
        <v>0.45833427488613898</v>
      </c>
      <c r="AV721" s="1975">
        <f t="shared" si="1402"/>
        <v>0.37971767125886369</v>
      </c>
      <c r="AW721" s="573">
        <f t="shared" si="1402"/>
        <v>0.11718344076840426</v>
      </c>
      <c r="AX721" s="573">
        <f t="shared" si="1402"/>
        <v>0.12948814559748723</v>
      </c>
      <c r="AY721" s="573">
        <f t="shared" si="1402"/>
        <v>0.14452675052854902</v>
      </c>
      <c r="AZ721" s="573">
        <f t="shared" si="1402"/>
        <v>-2.8718712063149243E-2</v>
      </c>
      <c r="BA721" s="1975">
        <f t="shared" si="1402"/>
        <v>8.8719371288631832E-2</v>
      </c>
      <c r="BB721" s="573">
        <f t="shared" si="1402"/>
        <v>-6.3278364425015887E-2</v>
      </c>
      <c r="BC721" s="573">
        <f t="shared" si="1402"/>
        <v>-4.8761549916199076E-2</v>
      </c>
      <c r="BD721" s="573">
        <f t="shared" si="1402"/>
        <v>-5.4062199949437617E-2</v>
      </c>
      <c r="BE721" s="573">
        <f t="shared" si="1402"/>
        <v>-8.3543689047975711E-3</v>
      </c>
      <c r="BF721" s="1975">
        <f t="shared" si="1402"/>
        <v>-4.4123149727371858E-2</v>
      </c>
      <c r="BG721" s="2730">
        <f t="shared" ref="BG721:BM721" si="1403">+BG719/BB719-1</f>
        <v>2.0886325271761041E-2</v>
      </c>
      <c r="BH721" s="573">
        <f t="shared" si="1403"/>
        <v>-4.8171428740449329E-2</v>
      </c>
      <c r="BI721" s="573">
        <f t="shared" si="1403"/>
        <v>-2.7099783261784749E-2</v>
      </c>
      <c r="BJ721" s="2135">
        <f t="shared" si="1403"/>
        <v>-1.4508560155935268E-2</v>
      </c>
      <c r="BK721" s="1975">
        <f t="shared" si="1403"/>
        <v>-1.836156554802082E-2</v>
      </c>
      <c r="BL721" s="573">
        <f t="shared" si="1403"/>
        <v>0.18193062200395604</v>
      </c>
      <c r="BM721" s="573">
        <f t="shared" si="1403"/>
        <v>0.13784868662614391</v>
      </c>
      <c r="BN721" s="573"/>
      <c r="BO721" s="2135"/>
      <c r="BP721" s="1975"/>
      <c r="BQ721" s="573"/>
      <c r="BR721" s="573"/>
      <c r="BS721" s="573"/>
      <c r="BT721" s="2135"/>
      <c r="BU721" s="3407"/>
      <c r="BV721" s="573"/>
      <c r="BW721" s="573"/>
      <c r="BX721" s="573"/>
      <c r="BY721" s="2135"/>
      <c r="BZ721" s="1621"/>
      <c r="CA721" s="1621"/>
      <c r="CB721" s="1621"/>
      <c r="CC721" s="1621"/>
      <c r="CD721" s="1621"/>
      <c r="CE721" s="1621"/>
      <c r="CF721" s="1621"/>
      <c r="CG721" s="1621"/>
      <c r="CH721" s="626"/>
      <c r="CI721" s="626"/>
      <c r="CJ721" s="626"/>
      <c r="CK721" s="626"/>
      <c r="CL721" s="626"/>
      <c r="CM721" s="626"/>
      <c r="CN721" s="626"/>
      <c r="CO721" s="626"/>
      <c r="CP721" s="994"/>
      <c r="CQ721" s="626"/>
      <c r="CR721" s="626"/>
      <c r="CS721" s="626"/>
      <c r="CT721" s="626"/>
      <c r="CU721" s="626"/>
      <c r="CV721" s="626"/>
      <c r="CW721" s="626"/>
      <c r="CX721" s="626"/>
      <c r="CY721" s="626"/>
      <c r="CZ721" s="626"/>
      <c r="DA721" s="626"/>
      <c r="DB721" s="626"/>
      <c r="DC721" s="626"/>
      <c r="DD721" s="626"/>
      <c r="DE721" s="626"/>
      <c r="DF721" s="626"/>
      <c r="DG721" s="1893"/>
      <c r="DH721" s="632"/>
      <c r="DI721" s="595"/>
      <c r="DJ721" s="595"/>
      <c r="DK721" s="595"/>
      <c r="DL721" s="595"/>
      <c r="DM721" s="595"/>
      <c r="DN721" s="514"/>
      <c r="DO721" s="77"/>
      <c r="DY721" s="769"/>
      <c r="DZ721" s="769"/>
    </row>
    <row r="722" spans="1:130" ht="2.25" hidden="1" customHeight="1" outlineLevel="1">
      <c r="A722" s="552"/>
      <c r="B722" s="228"/>
      <c r="C722" s="228"/>
      <c r="D722" s="625"/>
      <c r="E722" s="626"/>
      <c r="F722" s="626"/>
      <c r="G722" s="626"/>
      <c r="H722" s="788"/>
      <c r="I722" s="626"/>
      <c r="J722" s="626"/>
      <c r="K722" s="626"/>
      <c r="L722" s="626"/>
      <c r="M722" s="788"/>
      <c r="N722" s="626"/>
      <c r="O722" s="626"/>
      <c r="P722" s="626"/>
      <c r="Q722" s="626"/>
      <c r="R722" s="788"/>
      <c r="S722" s="626"/>
      <c r="T722" s="626"/>
      <c r="U722" s="626"/>
      <c r="V722" s="626"/>
      <c r="W722" s="788"/>
      <c r="X722" s="626"/>
      <c r="Y722" s="626"/>
      <c r="Z722" s="626"/>
      <c r="AA722" s="626"/>
      <c r="AB722" s="788"/>
      <c r="AC722" s="626"/>
      <c r="AD722" s="626"/>
      <c r="AE722" s="626"/>
      <c r="AF722" s="626"/>
      <c r="AG722" s="788"/>
      <c r="AH722" s="626"/>
      <c r="AI722" s="626"/>
      <c r="AJ722" s="626"/>
      <c r="AK722" s="626"/>
      <c r="AL722" s="788"/>
      <c r="AM722" s="626"/>
      <c r="AN722" s="261"/>
      <c r="AO722" s="626"/>
      <c r="AP722" s="330"/>
      <c r="AQ722" s="1439"/>
      <c r="AR722" s="626"/>
      <c r="AS722" s="261"/>
      <c r="AT722" s="626"/>
      <c r="AU722" s="330"/>
      <c r="AV722" s="1439"/>
      <c r="AW722" s="626"/>
      <c r="AX722" s="261"/>
      <c r="AY722" s="626"/>
      <c r="AZ722" s="330"/>
      <c r="BA722" s="1439"/>
      <c r="BB722" s="626"/>
      <c r="BC722" s="261"/>
      <c r="BD722" s="626"/>
      <c r="BE722" s="330"/>
      <c r="BF722" s="1439"/>
      <c r="BG722" s="678"/>
      <c r="BH722" s="330"/>
      <c r="BI722" s="330"/>
      <c r="BJ722" s="2136"/>
      <c r="BK722" s="1439"/>
      <c r="BL722" s="330"/>
      <c r="BM722" s="330"/>
      <c r="BN722" s="330"/>
      <c r="BO722" s="2136"/>
      <c r="BP722" s="1439"/>
      <c r="BQ722" s="330"/>
      <c r="BR722" s="330"/>
      <c r="BS722" s="330"/>
      <c r="BT722" s="2136"/>
      <c r="BU722" s="3406"/>
      <c r="BV722" s="330"/>
      <c r="BW722" s="330"/>
      <c r="BX722" s="330"/>
      <c r="BY722" s="2136"/>
      <c r="BZ722" s="1439"/>
      <c r="CA722" s="1439"/>
      <c r="CB722" s="1439"/>
      <c r="CC722" s="1439"/>
      <c r="CD722" s="1439"/>
      <c r="CE722" s="1439"/>
      <c r="CF722" s="1439"/>
      <c r="CG722" s="1439"/>
      <c r="CH722" s="626"/>
      <c r="CI722" s="626"/>
      <c r="CJ722" s="626"/>
      <c r="CK722" s="626"/>
      <c r="CL722" s="626"/>
      <c r="CM722" s="626"/>
      <c r="CN722" s="626"/>
      <c r="CO722" s="626"/>
      <c r="CP722" s="994"/>
      <c r="CQ722" s="626"/>
      <c r="CR722" s="626"/>
      <c r="CS722" s="626"/>
      <c r="CT722" s="626"/>
      <c r="CU722" s="626"/>
      <c r="CV722" s="626"/>
      <c r="CW722" s="626"/>
      <c r="CX722" s="626"/>
      <c r="CY722" s="626"/>
      <c r="CZ722" s="626"/>
      <c r="DA722" s="626"/>
      <c r="DB722" s="626"/>
      <c r="DC722" s="626"/>
      <c r="DD722" s="626"/>
      <c r="DE722" s="626"/>
      <c r="DF722" s="626"/>
      <c r="DG722" s="1893"/>
      <c r="DH722" s="632"/>
      <c r="DI722" s="595"/>
      <c r="DJ722" s="595"/>
      <c r="DK722" s="595"/>
      <c r="DL722" s="595"/>
      <c r="DM722" s="595"/>
      <c r="DN722" s="514"/>
      <c r="DO722" s="77"/>
      <c r="DY722" s="330"/>
      <c r="DZ722" s="330"/>
    </row>
    <row r="723" spans="1:130" ht="12" hidden="1" customHeight="1" outlineLevel="1">
      <c r="A723" s="2261" t="s">
        <v>1145</v>
      </c>
      <c r="B723" s="649"/>
      <c r="C723" s="649"/>
      <c r="D723" s="625"/>
      <c r="E723" s="626"/>
      <c r="F723" s="626"/>
      <c r="G723" s="626"/>
      <c r="H723" s="788"/>
      <c r="I723" s="626"/>
      <c r="J723" s="626"/>
      <c r="K723" s="626"/>
      <c r="L723" s="626"/>
      <c r="M723" s="788"/>
      <c r="N723" s="626"/>
      <c r="O723" s="626"/>
      <c r="P723" s="626"/>
      <c r="Q723" s="626"/>
      <c r="R723" s="788"/>
      <c r="S723" s="626"/>
      <c r="T723" s="626"/>
      <c r="U723" s="626"/>
      <c r="V723" s="626"/>
      <c r="W723" s="788"/>
      <c r="X723" s="626"/>
      <c r="Y723" s="626"/>
      <c r="Z723" s="626"/>
      <c r="AA723" s="626"/>
      <c r="AB723" s="788"/>
      <c r="AC723" s="626"/>
      <c r="AD723" s="626"/>
      <c r="AE723" s="626"/>
      <c r="AF723" s="626"/>
      <c r="AG723" s="788"/>
      <c r="AH723" s="626"/>
      <c r="AI723" s="626"/>
      <c r="AJ723" s="626"/>
      <c r="AK723" s="626"/>
      <c r="AL723" s="788"/>
      <c r="AM723" s="626">
        <f>+AM719+AM716</f>
        <v>53.056000000000004</v>
      </c>
      <c r="AN723" s="626">
        <f t="shared" ref="AN723:BL723" si="1404">+AN719+AN716</f>
        <v>56.735000000000007</v>
      </c>
      <c r="AO723" s="626">
        <f t="shared" si="1404"/>
        <v>56.36999999999999</v>
      </c>
      <c r="AP723" s="626">
        <f t="shared" si="1404"/>
        <v>55.714999999999996</v>
      </c>
      <c r="AQ723" s="1950">
        <f t="shared" si="1404"/>
        <v>221.87599999999998</v>
      </c>
      <c r="AR723" s="626">
        <f t="shared" si="1404"/>
        <v>78.850999999999999</v>
      </c>
      <c r="AS723" s="626">
        <f t="shared" si="1404"/>
        <v>81.108000000000004</v>
      </c>
      <c r="AT723" s="626">
        <f t="shared" si="1404"/>
        <v>79.563999999999993</v>
      </c>
      <c r="AU723" s="626">
        <f t="shared" si="1404"/>
        <v>81.308999999999997</v>
      </c>
      <c r="AV723" s="1950">
        <f t="shared" si="1404"/>
        <v>320.83199999999999</v>
      </c>
      <c r="AW723" s="626">
        <f t="shared" si="1404"/>
        <v>83.201000000000008</v>
      </c>
      <c r="AX723" s="626">
        <f t="shared" si="1404"/>
        <v>87.456999999999994</v>
      </c>
      <c r="AY723" s="626">
        <f t="shared" si="1404"/>
        <v>85.448000000000008</v>
      </c>
      <c r="AZ723" s="626">
        <f t="shared" si="1404"/>
        <v>78.954000000000008</v>
      </c>
      <c r="BA723" s="1950">
        <f>+BA719+BA716</f>
        <v>335.06</v>
      </c>
      <c r="BB723" s="626">
        <f t="shared" si="1404"/>
        <v>77.512</v>
      </c>
      <c r="BC723" s="626">
        <f t="shared" si="1404"/>
        <v>82.472000000000023</v>
      </c>
      <c r="BD723" s="626">
        <f t="shared" si="1404"/>
        <v>80.703000000000003</v>
      </c>
      <c r="BE723" s="626">
        <f t="shared" si="1404"/>
        <v>78.084000000000003</v>
      </c>
      <c r="BF723" s="1950">
        <f t="shared" si="1404"/>
        <v>318.77100000000002</v>
      </c>
      <c r="BG723" s="625">
        <f t="shared" si="1404"/>
        <v>79.546000000000006</v>
      </c>
      <c r="BH723" s="626">
        <f t="shared" si="1404"/>
        <v>81.458000000000013</v>
      </c>
      <c r="BI723" s="626">
        <f t="shared" si="1404"/>
        <v>80.177000000000021</v>
      </c>
      <c r="BJ723" s="1893">
        <f t="shared" si="1404"/>
        <v>77.544999999999987</v>
      </c>
      <c r="BK723" s="1950">
        <f t="shared" si="1404"/>
        <v>318.726</v>
      </c>
      <c r="BL723" s="626">
        <f t="shared" si="1404"/>
        <v>79.078000000000003</v>
      </c>
      <c r="BM723" s="626">
        <f t="shared" ref="BM723" si="1405">+BM719+BM716</f>
        <v>78.197000000000003</v>
      </c>
      <c r="BN723" s="626"/>
      <c r="BO723" s="1893"/>
      <c r="BP723" s="1950"/>
      <c r="BQ723" s="626"/>
      <c r="BR723" s="626"/>
      <c r="BS723" s="626"/>
      <c r="BT723" s="1893"/>
      <c r="BU723" s="3406"/>
      <c r="BV723" s="626"/>
      <c r="BW723" s="626"/>
      <c r="BX723" s="626"/>
      <c r="BY723" s="1893"/>
      <c r="BZ723" s="1950"/>
      <c r="CA723" s="1950"/>
      <c r="CB723" s="1950"/>
      <c r="CC723" s="1950"/>
      <c r="CD723" s="1950"/>
      <c r="CE723" s="1950"/>
      <c r="CF723" s="1950"/>
      <c r="CG723" s="1950"/>
      <c r="CH723" s="626"/>
      <c r="CI723" s="626"/>
      <c r="CJ723" s="626"/>
      <c r="CK723" s="626"/>
      <c r="CL723" s="626"/>
      <c r="CM723" s="626"/>
      <c r="CN723" s="626"/>
      <c r="CO723" s="626"/>
      <c r="CP723" s="2262"/>
      <c r="CQ723" s="626"/>
      <c r="CR723" s="626"/>
      <c r="CS723" s="626"/>
      <c r="CT723" s="626"/>
      <c r="CU723" s="626"/>
      <c r="CV723" s="626"/>
      <c r="CW723" s="626"/>
      <c r="CX723" s="626"/>
      <c r="CY723" s="626"/>
      <c r="CZ723" s="626"/>
      <c r="DA723" s="626"/>
      <c r="DB723" s="626"/>
      <c r="DC723" s="626"/>
      <c r="DD723" s="626"/>
      <c r="DE723" s="626"/>
      <c r="DF723" s="626"/>
      <c r="DG723" s="1893"/>
      <c r="DH723" s="1634"/>
      <c r="DI723" s="2263"/>
      <c r="DJ723" s="2263"/>
      <c r="DK723" s="2263"/>
      <c r="DL723" s="2263"/>
      <c r="DM723" s="2263"/>
      <c r="DN723" s="1634"/>
      <c r="DO723" s="201"/>
      <c r="DY723" s="1634"/>
      <c r="DZ723" s="1634"/>
    </row>
    <row r="724" spans="1:130" ht="12" hidden="1" customHeight="1" outlineLevel="1">
      <c r="A724" s="567" t="s">
        <v>1664</v>
      </c>
      <c r="B724" s="228"/>
      <c r="C724" s="228"/>
      <c r="D724" s="625"/>
      <c r="E724" s="626"/>
      <c r="F724" s="626"/>
      <c r="G724" s="626"/>
      <c r="H724" s="788"/>
      <c r="I724" s="626"/>
      <c r="J724" s="626"/>
      <c r="K724" s="626"/>
      <c r="L724" s="626"/>
      <c r="M724" s="788"/>
      <c r="N724" s="626"/>
      <c r="O724" s="626"/>
      <c r="P724" s="626"/>
      <c r="Q724" s="626"/>
      <c r="R724" s="788"/>
      <c r="S724" s="626"/>
      <c r="T724" s="626"/>
      <c r="U724" s="626"/>
      <c r="V724" s="626"/>
      <c r="W724" s="788"/>
      <c r="X724" s="626"/>
      <c r="Y724" s="626"/>
      <c r="Z724" s="626"/>
      <c r="AA724" s="626"/>
      <c r="AB724" s="788"/>
      <c r="AC724" s="626"/>
      <c r="AD724" s="626"/>
      <c r="AE724" s="626"/>
      <c r="AF724" s="626"/>
      <c r="AG724" s="788"/>
      <c r="AH724" s="626"/>
      <c r="AI724" s="626"/>
      <c r="AJ724" s="626"/>
      <c r="AK724" s="626"/>
      <c r="AL724" s="788"/>
      <c r="AM724" s="561">
        <f t="shared" ref="AM724:BE724" si="1406">+AM723/AM713</f>
        <v>0.65989228989689197</v>
      </c>
      <c r="AN724" s="561">
        <f t="shared" si="1406"/>
        <v>0.67146779652993116</v>
      </c>
      <c r="AO724" s="561">
        <f t="shared" si="1406"/>
        <v>0.67208756095525357</v>
      </c>
      <c r="AP724" s="561">
        <f t="shared" si="1406"/>
        <v>0.66732542819499341</v>
      </c>
      <c r="AQ724" s="1975">
        <f t="shared" si="1406"/>
        <v>0.66778226558878939</v>
      </c>
      <c r="AR724" s="561">
        <f t="shared" si="1406"/>
        <v>0.58493505337418306</v>
      </c>
      <c r="AS724" s="561">
        <f t="shared" si="1406"/>
        <v>0.60926654848111539</v>
      </c>
      <c r="AT724" s="561">
        <f t="shared" si="1406"/>
        <v>0.61071069457557137</v>
      </c>
      <c r="AU724" s="561">
        <f t="shared" si="1406"/>
        <v>0.65390368654699871</v>
      </c>
      <c r="AV724" s="1975">
        <f t="shared" si="1406"/>
        <v>0.61397143250815223</v>
      </c>
      <c r="AW724" s="561">
        <f t="shared" si="1406"/>
        <v>0.62130637055401639</v>
      </c>
      <c r="AX724" s="561">
        <f t="shared" si="1406"/>
        <v>0.64410811607011331</v>
      </c>
      <c r="AY724" s="561">
        <f t="shared" si="1406"/>
        <v>0.65366196967610657</v>
      </c>
      <c r="AZ724" s="561">
        <f t="shared" si="1406"/>
        <v>0.6584218690061211</v>
      </c>
      <c r="BA724" s="1975">
        <f t="shared" si="1406"/>
        <v>0.64393873875951557</v>
      </c>
      <c r="BB724" s="561">
        <f t="shared" si="1406"/>
        <v>0.63392572358574673</v>
      </c>
      <c r="BC724" s="561">
        <f t="shared" si="1406"/>
        <v>0.64555317250340505</v>
      </c>
      <c r="BD724" s="561">
        <f t="shared" si="1406"/>
        <v>0.65305313243457574</v>
      </c>
      <c r="BE724" s="561">
        <f t="shared" si="1406"/>
        <v>0.64936339368133922</v>
      </c>
      <c r="BF724" s="1975">
        <f t="shared" ref="BF724:BM724" si="1407">+BF723/BF713</f>
        <v>0.64547880741598684</v>
      </c>
      <c r="BG724" s="560">
        <f t="shared" si="1407"/>
        <v>0.63177374135288189</v>
      </c>
      <c r="BH724" s="561">
        <f t="shared" si="1407"/>
        <v>0.62361623616236161</v>
      </c>
      <c r="BI724" s="561">
        <f t="shared" si="1407"/>
        <v>0.63730158099310863</v>
      </c>
      <c r="BJ724" s="1846">
        <f t="shared" si="1407"/>
        <v>0.64348425000829812</v>
      </c>
      <c r="BK724" s="1975">
        <f t="shared" si="1407"/>
        <v>0.6338441590467061</v>
      </c>
      <c r="BL724" s="561">
        <f t="shared" si="1407"/>
        <v>0.62665821380458042</v>
      </c>
      <c r="BM724" s="561">
        <f t="shared" si="1407"/>
        <v>0.63632738753987372</v>
      </c>
      <c r="BN724" s="561"/>
      <c r="BO724" s="1846"/>
      <c r="BP724" s="1975"/>
      <c r="BQ724" s="561"/>
      <c r="BR724" s="561"/>
      <c r="BS724" s="561"/>
      <c r="BT724" s="1846"/>
      <c r="BU724" s="3407"/>
      <c r="BV724" s="561"/>
      <c r="BW724" s="561"/>
      <c r="BX724" s="561"/>
      <c r="BY724" s="1846"/>
      <c r="BZ724" s="1975"/>
      <c r="CA724" s="1975"/>
      <c r="CB724" s="1975"/>
      <c r="CC724" s="1975"/>
      <c r="CD724" s="1975"/>
      <c r="CE724" s="1975"/>
      <c r="CF724" s="1975"/>
      <c r="CG724" s="1975"/>
      <c r="CH724" s="626"/>
      <c r="CI724" s="626"/>
      <c r="CJ724" s="626"/>
      <c r="CK724" s="626"/>
      <c r="CL724" s="626"/>
      <c r="CM724" s="626"/>
      <c r="CN724" s="626"/>
      <c r="CO724" s="626"/>
      <c r="CP724" s="994"/>
      <c r="CQ724" s="626"/>
      <c r="CR724" s="626"/>
      <c r="CS724" s="626"/>
      <c r="CT724" s="626"/>
      <c r="CU724" s="626"/>
      <c r="CV724" s="626"/>
      <c r="CW724" s="626"/>
      <c r="CX724" s="626"/>
      <c r="CY724" s="626"/>
      <c r="CZ724" s="626"/>
      <c r="DA724" s="626"/>
      <c r="DB724" s="626"/>
      <c r="DC724" s="626"/>
      <c r="DD724" s="626"/>
      <c r="DE724" s="626"/>
      <c r="DF724" s="626"/>
      <c r="DG724" s="1893"/>
      <c r="DH724" s="632"/>
      <c r="DI724" s="595"/>
      <c r="DJ724" s="595"/>
      <c r="DK724" s="595"/>
      <c r="DL724" s="595"/>
      <c r="DM724" s="595"/>
      <c r="DN724" s="514"/>
      <c r="DO724" s="77"/>
      <c r="DY724" s="769"/>
      <c r="DZ724" s="769"/>
    </row>
    <row r="725" spans="1:130" ht="12" hidden="1" customHeight="1" outlineLevel="1">
      <c r="A725" s="567" t="s">
        <v>1153</v>
      </c>
      <c r="B725" s="228"/>
      <c r="C725" s="228"/>
      <c r="D725" s="625"/>
      <c r="E725" s="626"/>
      <c r="F725" s="626"/>
      <c r="G725" s="626"/>
      <c r="H725" s="788"/>
      <c r="I725" s="626"/>
      <c r="J725" s="626"/>
      <c r="K725" s="626"/>
      <c r="L725" s="626"/>
      <c r="M725" s="788"/>
      <c r="N725" s="626"/>
      <c r="O725" s="626"/>
      <c r="P725" s="626"/>
      <c r="Q725" s="626"/>
      <c r="R725" s="788"/>
      <c r="S725" s="626"/>
      <c r="T725" s="626"/>
      <c r="U725" s="626"/>
      <c r="V725" s="626"/>
      <c r="W725" s="788"/>
      <c r="X725" s="626"/>
      <c r="Y725" s="626"/>
      <c r="Z725" s="626"/>
      <c r="AA725" s="626"/>
      <c r="AB725" s="788"/>
      <c r="AC725" s="626"/>
      <c r="AD725" s="626"/>
      <c r="AE725" s="626"/>
      <c r="AF725" s="626"/>
      <c r="AG725" s="788"/>
      <c r="AH725" s="626"/>
      <c r="AI725" s="626"/>
      <c r="AJ725" s="626"/>
      <c r="AK725" s="626"/>
      <c r="AL725" s="788"/>
      <c r="AM725" s="626"/>
      <c r="AN725" s="261"/>
      <c r="AO725" s="626"/>
      <c r="AP725" s="330"/>
      <c r="AQ725" s="1439"/>
      <c r="AR725" s="573">
        <f t="shared" ref="AR725:BF725" si="1408">+AR723/AM723-1</f>
        <v>0.48618440892641712</v>
      </c>
      <c r="AS725" s="573">
        <f t="shared" si="1408"/>
        <v>0.42959372521371275</v>
      </c>
      <c r="AT725" s="573">
        <f t="shared" si="1408"/>
        <v>0.41145999645201359</v>
      </c>
      <c r="AU725" s="573">
        <f t="shared" si="1408"/>
        <v>0.45937359777438758</v>
      </c>
      <c r="AV725" s="1975">
        <f t="shared" si="1408"/>
        <v>0.44599686311272979</v>
      </c>
      <c r="AW725" s="573">
        <f t="shared" si="1408"/>
        <v>5.5167340934167086E-2</v>
      </c>
      <c r="AX725" s="573">
        <f t="shared" si="1408"/>
        <v>7.8278344922818821E-2</v>
      </c>
      <c r="AY725" s="573">
        <f t="shared" si="1408"/>
        <v>7.3953044090292241E-2</v>
      </c>
      <c r="AZ725" s="573">
        <f t="shared" si="1408"/>
        <v>-2.8963583367154766E-2</v>
      </c>
      <c r="BA725" s="1975">
        <f t="shared" si="1408"/>
        <v>4.4347197287053719E-2</v>
      </c>
      <c r="BB725" s="573">
        <f t="shared" si="1408"/>
        <v>-6.8376582012235509E-2</v>
      </c>
      <c r="BC725" s="573">
        <f t="shared" si="1408"/>
        <v>-5.6999439724664369E-2</v>
      </c>
      <c r="BD725" s="573">
        <f t="shared" si="1408"/>
        <v>-5.5530849171425922E-2</v>
      </c>
      <c r="BE725" s="573">
        <f t="shared" si="1408"/>
        <v>-1.1019074397750628E-2</v>
      </c>
      <c r="BF725" s="1975">
        <f t="shared" si="1408"/>
        <v>-4.8615173401778788E-2</v>
      </c>
      <c r="BG725" s="2730">
        <f t="shared" ref="BG725:BM725" si="1409">+BG723/BB723-1</f>
        <v>2.6241098152544273E-2</v>
      </c>
      <c r="BH725" s="573">
        <f t="shared" si="1409"/>
        <v>-1.2295081967213184E-2</v>
      </c>
      <c r="BI725" s="573">
        <f t="shared" si="1409"/>
        <v>-6.5177254872802459E-3</v>
      </c>
      <c r="BJ725" s="2135">
        <f t="shared" si="1409"/>
        <v>-6.9028226013013727E-3</v>
      </c>
      <c r="BK725" s="1975">
        <f t="shared" si="1409"/>
        <v>-1.4116717016299241E-4</v>
      </c>
      <c r="BL725" s="573">
        <f t="shared" si="1409"/>
        <v>-5.8833882281950078E-3</v>
      </c>
      <c r="BM725" s="573">
        <f t="shared" si="1409"/>
        <v>-4.0032900390385318E-2</v>
      </c>
      <c r="BN725" s="573"/>
      <c r="BO725" s="2135"/>
      <c r="BP725" s="1975"/>
      <c r="BQ725" s="573"/>
      <c r="BR725" s="573"/>
      <c r="BS725" s="573"/>
      <c r="BT725" s="2135"/>
      <c r="BU725" s="3407"/>
      <c r="BV725" s="573"/>
      <c r="BW725" s="573"/>
      <c r="BX725" s="573"/>
      <c r="BY725" s="2135"/>
      <c r="BZ725" s="1621"/>
      <c r="CA725" s="1621"/>
      <c r="CB725" s="1621"/>
      <c r="CC725" s="1621"/>
      <c r="CD725" s="1621"/>
      <c r="CE725" s="1621"/>
      <c r="CF725" s="1621"/>
      <c r="CG725" s="1621"/>
      <c r="CH725" s="626"/>
      <c r="CI725" s="626"/>
      <c r="CJ725" s="626"/>
      <c r="CK725" s="626"/>
      <c r="CL725" s="626"/>
      <c r="CM725" s="626"/>
      <c r="CN725" s="626"/>
      <c r="CO725" s="626"/>
      <c r="CP725" s="994"/>
      <c r="CQ725" s="626"/>
      <c r="CR725" s="626"/>
      <c r="CS725" s="626"/>
      <c r="CT725" s="626"/>
      <c r="CU725" s="626"/>
      <c r="CV725" s="626"/>
      <c r="CW725" s="626"/>
      <c r="CX725" s="626"/>
      <c r="CY725" s="626"/>
      <c r="CZ725" s="626"/>
      <c r="DA725" s="626"/>
      <c r="DB725" s="626"/>
      <c r="DC725" s="626"/>
      <c r="DD725" s="626"/>
      <c r="DE725" s="626"/>
      <c r="DF725" s="626"/>
      <c r="DG725" s="1893"/>
      <c r="DH725" s="632"/>
      <c r="DI725" s="595"/>
      <c r="DJ725" s="595"/>
      <c r="DK725" s="595"/>
      <c r="DL725" s="595"/>
      <c r="DM725" s="595"/>
      <c r="DN725" s="514"/>
      <c r="DO725" s="77"/>
      <c r="DY725" s="769"/>
      <c r="DZ725" s="769"/>
    </row>
    <row r="726" spans="1:130" ht="3" hidden="1" customHeight="1" outlineLevel="1">
      <c r="A726" s="552"/>
      <c r="B726" s="228"/>
      <c r="C726" s="228"/>
      <c r="D726" s="625"/>
      <c r="E726" s="626"/>
      <c r="F726" s="626"/>
      <c r="G726" s="626"/>
      <c r="H726" s="788"/>
      <c r="I726" s="626"/>
      <c r="J726" s="626"/>
      <c r="K726" s="626"/>
      <c r="L726" s="626"/>
      <c r="M726" s="788"/>
      <c r="N726" s="626"/>
      <c r="O726" s="626"/>
      <c r="P726" s="626"/>
      <c r="Q726" s="626"/>
      <c r="R726" s="788"/>
      <c r="S726" s="626"/>
      <c r="T726" s="626"/>
      <c r="U726" s="626"/>
      <c r="V726" s="626"/>
      <c r="W726" s="788"/>
      <c r="X726" s="626"/>
      <c r="Y726" s="626"/>
      <c r="Z726" s="626"/>
      <c r="AA726" s="626"/>
      <c r="AB726" s="788"/>
      <c r="AC726" s="626"/>
      <c r="AD726" s="626"/>
      <c r="AE726" s="626"/>
      <c r="AF726" s="626"/>
      <c r="AG726" s="788"/>
      <c r="AH726" s="626"/>
      <c r="AI726" s="626"/>
      <c r="AJ726" s="626"/>
      <c r="AK726" s="626"/>
      <c r="AL726" s="788"/>
      <c r="AM726" s="626"/>
      <c r="AN726" s="261"/>
      <c r="AO726" s="626"/>
      <c r="AP726" s="330"/>
      <c r="AQ726" s="1439"/>
      <c r="AR726" s="626"/>
      <c r="AS726" s="261"/>
      <c r="AT726" s="626"/>
      <c r="AU726" s="330"/>
      <c r="AV726" s="1439"/>
      <c r="AW726" s="626"/>
      <c r="AX726" s="261"/>
      <c r="AY726" s="626"/>
      <c r="AZ726" s="330"/>
      <c r="BA726" s="1439"/>
      <c r="BB726" s="626"/>
      <c r="BC726" s="261"/>
      <c r="BD726" s="626"/>
      <c r="BE726" s="330"/>
      <c r="BF726" s="1439"/>
      <c r="BG726" s="678"/>
      <c r="BH726" s="330"/>
      <c r="BI726" s="330"/>
      <c r="BJ726" s="2136"/>
      <c r="BK726" s="1439"/>
      <c r="BL726" s="330"/>
      <c r="BM726" s="330"/>
      <c r="BN726" s="330"/>
      <c r="BO726" s="2136"/>
      <c r="BP726" s="1439"/>
      <c r="BQ726" s="330"/>
      <c r="BR726" s="330"/>
      <c r="BS726" s="330"/>
      <c r="BT726" s="2136"/>
      <c r="BU726" s="3406"/>
      <c r="BV726" s="330"/>
      <c r="BW726" s="330"/>
      <c r="BX726" s="330"/>
      <c r="BY726" s="2136"/>
      <c r="BZ726" s="1439"/>
      <c r="CA726" s="1439"/>
      <c r="CB726" s="1439"/>
      <c r="CC726" s="1439"/>
      <c r="CD726" s="1439"/>
      <c r="CE726" s="1439"/>
      <c r="CF726" s="1439"/>
      <c r="CG726" s="1439"/>
      <c r="CH726" s="626"/>
      <c r="CI726" s="626"/>
      <c r="CJ726" s="626"/>
      <c r="CK726" s="626"/>
      <c r="CL726" s="626"/>
      <c r="CM726" s="626"/>
      <c r="CN726" s="626"/>
      <c r="CO726" s="626"/>
      <c r="CP726" s="994"/>
      <c r="CQ726" s="626"/>
      <c r="CR726" s="626"/>
      <c r="CS726" s="626"/>
      <c r="CT726" s="626"/>
      <c r="CU726" s="626"/>
      <c r="CV726" s="626"/>
      <c r="CW726" s="626"/>
      <c r="CX726" s="626"/>
      <c r="CY726" s="626"/>
      <c r="CZ726" s="626"/>
      <c r="DA726" s="626"/>
      <c r="DB726" s="626"/>
      <c r="DC726" s="626"/>
      <c r="DD726" s="626"/>
      <c r="DE726" s="626"/>
      <c r="DF726" s="626"/>
      <c r="DG726" s="1893"/>
      <c r="DH726" s="632"/>
      <c r="DI726" s="595"/>
      <c r="DJ726" s="595"/>
      <c r="DK726" s="595"/>
      <c r="DL726" s="595"/>
      <c r="DM726" s="595"/>
      <c r="DN726" s="514"/>
      <c r="DO726" s="77"/>
      <c r="DY726" s="330"/>
      <c r="DZ726" s="330"/>
    </row>
    <row r="727" spans="1:130" ht="12" hidden="1" customHeight="1" outlineLevel="1">
      <c r="A727" s="516" t="s">
        <v>401</v>
      </c>
      <c r="B727" s="517"/>
      <c r="C727" s="517"/>
      <c r="D727" s="1995"/>
      <c r="E727" s="1996"/>
      <c r="F727" s="1996"/>
      <c r="G727" s="1996"/>
      <c r="H727" s="1997"/>
      <c r="I727" s="1996"/>
      <c r="J727" s="1996"/>
      <c r="K727" s="1996"/>
      <c r="L727" s="1996"/>
      <c r="M727" s="1997"/>
      <c r="N727" s="1996"/>
      <c r="O727" s="1996"/>
      <c r="P727" s="1996"/>
      <c r="Q727" s="1996"/>
      <c r="R727" s="1997"/>
      <c r="S727" s="1996"/>
      <c r="T727" s="1996"/>
      <c r="U727" s="1996"/>
      <c r="V727" s="1996"/>
      <c r="W727" s="1997"/>
      <c r="X727" s="1996"/>
      <c r="Y727" s="1996"/>
      <c r="Z727" s="1996"/>
      <c r="AA727" s="1996"/>
      <c r="AB727" s="1997"/>
      <c r="AC727" s="1996"/>
      <c r="AD727" s="1996"/>
      <c r="AE727" s="1996"/>
      <c r="AF727" s="1996"/>
      <c r="AG727" s="1997"/>
      <c r="AH727" s="1996"/>
      <c r="AI727" s="1996"/>
      <c r="AJ727" s="1996"/>
      <c r="AK727" s="1996"/>
      <c r="AL727" s="1997"/>
      <c r="AM727" s="1998">
        <f t="shared" ref="AM727:AT727" si="1410">+AM687+AM657+AM623+AM589+AM555</f>
        <v>27.344999999999999</v>
      </c>
      <c r="AN727" s="1998">
        <f t="shared" si="1410"/>
        <v>27.759</v>
      </c>
      <c r="AO727" s="1998">
        <f t="shared" si="1410"/>
        <v>27.503</v>
      </c>
      <c r="AP727" s="1998">
        <f t="shared" si="1410"/>
        <v>27.774999999999999</v>
      </c>
      <c r="AQ727" s="1999">
        <f t="shared" si="1410"/>
        <v>110.38199999999999</v>
      </c>
      <c r="AR727" s="1998">
        <f t="shared" si="1410"/>
        <v>55.951999999999998</v>
      </c>
      <c r="AS727" s="1998">
        <f t="shared" si="1410"/>
        <v>52.015999999999998</v>
      </c>
      <c r="AT727" s="1998">
        <f t="shared" si="1410"/>
        <v>50.716999999999999</v>
      </c>
      <c r="AU727" s="2274">
        <v>43.034999999999997</v>
      </c>
      <c r="AV727" s="1999">
        <f>+AV687+AV657+AV623+AV589+AV555</f>
        <v>201.72000000000003</v>
      </c>
      <c r="AW727" s="2274">
        <v>50.712000000000003</v>
      </c>
      <c r="AX727" s="2274">
        <v>48.323</v>
      </c>
      <c r="AY727" s="2274">
        <v>45.274000000000001</v>
      </c>
      <c r="AZ727" s="2274">
        <v>40.96</v>
      </c>
      <c r="BA727" s="1999">
        <f>+BA687+BA657+BA623+BA589+BA555-BA708</f>
        <v>185.26899999999998</v>
      </c>
      <c r="BB727" s="2682">
        <v>44.761000000000003</v>
      </c>
      <c r="BC727" s="2682">
        <v>45.281999999999996</v>
      </c>
      <c r="BD727" s="2682">
        <v>42.875</v>
      </c>
      <c r="BE727" s="2682">
        <v>42.162999999999997</v>
      </c>
      <c r="BF727" s="1999">
        <f>+BF687+BF657+BF623+BF589+BF555-BF708</f>
        <v>175.08099999999999</v>
      </c>
      <c r="BG727" s="2682">
        <v>46.363</v>
      </c>
      <c r="BH727" s="3203">
        <v>49.164000000000001</v>
      </c>
      <c r="BI727" s="3203">
        <v>45.63</v>
      </c>
      <c r="BJ727" s="3203">
        <v>42.963000000000001</v>
      </c>
      <c r="BK727" s="1999">
        <f>+BK687+BK657+BK623+BK589+BK555-BK708</f>
        <v>184.12</v>
      </c>
      <c r="BL727" s="3203">
        <v>47.112000000000002</v>
      </c>
      <c r="BM727" s="3203">
        <v>44.691000000000003</v>
      </c>
      <c r="BN727" s="1998"/>
      <c r="BO727" s="2895"/>
      <c r="BP727" s="1999"/>
      <c r="BQ727" s="1998"/>
      <c r="BR727" s="1998"/>
      <c r="BS727" s="1998"/>
      <c r="BT727" s="2895"/>
      <c r="BU727" s="3411"/>
      <c r="BV727" s="1998"/>
      <c r="BW727" s="1998"/>
      <c r="BX727" s="1998"/>
      <c r="BY727" s="2895"/>
      <c r="BZ727" s="1999"/>
      <c r="CA727" s="1999"/>
      <c r="CB727" s="1999"/>
      <c r="CC727" s="1999"/>
      <c r="CD727" s="1999"/>
      <c r="CE727" s="1999"/>
      <c r="CF727" s="1999"/>
      <c r="CG727" s="1999"/>
      <c r="CH727" s="626"/>
      <c r="CI727" s="626"/>
      <c r="CJ727" s="626"/>
      <c r="CK727" s="626"/>
      <c r="CL727" s="626"/>
      <c r="CM727" s="626"/>
      <c r="CN727" s="626"/>
      <c r="CO727" s="626"/>
      <c r="CP727" s="994"/>
      <c r="CQ727" s="626"/>
      <c r="CR727" s="626"/>
      <c r="CS727" s="626"/>
      <c r="CT727" s="626"/>
      <c r="CU727" s="626"/>
      <c r="CV727" s="626"/>
      <c r="CW727" s="626"/>
      <c r="CX727" s="626"/>
      <c r="CY727" s="626"/>
      <c r="CZ727" s="626"/>
      <c r="DA727" s="626"/>
      <c r="DB727" s="626"/>
      <c r="DC727" s="626"/>
      <c r="DD727" s="626"/>
      <c r="DE727" s="626"/>
      <c r="DF727" s="626"/>
      <c r="DG727" s="1893"/>
      <c r="DH727" s="632"/>
      <c r="DI727" s="595"/>
      <c r="DJ727" s="595"/>
      <c r="DK727" s="595"/>
      <c r="DL727" s="595"/>
      <c r="DM727" s="595"/>
      <c r="DN727" s="514"/>
      <c r="DO727" s="77"/>
      <c r="DY727" s="3478"/>
      <c r="DZ727" s="3478"/>
    </row>
    <row r="728" spans="1:130" ht="12" hidden="1" customHeight="1" outlineLevel="1">
      <c r="A728" s="567" t="s">
        <v>1157</v>
      </c>
      <c r="B728" s="228"/>
      <c r="C728" s="228"/>
      <c r="D728" s="625"/>
      <c r="E728" s="626"/>
      <c r="F728" s="626"/>
      <c r="G728" s="626"/>
      <c r="H728" s="788"/>
      <c r="I728" s="626"/>
      <c r="J728" s="626"/>
      <c r="K728" s="626"/>
      <c r="L728" s="626"/>
      <c r="M728" s="788"/>
      <c r="N728" s="626"/>
      <c r="O728" s="626"/>
      <c r="P728" s="626"/>
      <c r="Q728" s="626"/>
      <c r="R728" s="788"/>
      <c r="S728" s="626"/>
      <c r="T728" s="626"/>
      <c r="U728" s="626"/>
      <c r="V728" s="626"/>
      <c r="W728" s="788"/>
      <c r="X728" s="626"/>
      <c r="Y728" s="626"/>
      <c r="Z728" s="626"/>
      <c r="AA728" s="626"/>
      <c r="AB728" s="788"/>
      <c r="AC728" s="626"/>
      <c r="AD728" s="626"/>
      <c r="AE728" s="626"/>
      <c r="AF728" s="626"/>
      <c r="AG728" s="788"/>
      <c r="AH728" s="626"/>
      <c r="AI728" s="626"/>
      <c r="AJ728" s="626"/>
      <c r="AK728" s="626"/>
      <c r="AL728" s="788"/>
      <c r="AM728" s="561">
        <f t="shared" ref="AM728:BE728" si="1411">+AM727/AM713</f>
        <v>0.3401077101031082</v>
      </c>
      <c r="AN728" s="561">
        <f t="shared" si="1411"/>
        <v>0.3285322034700689</v>
      </c>
      <c r="AO728" s="561">
        <f t="shared" si="1411"/>
        <v>0.32791243904474621</v>
      </c>
      <c r="AP728" s="561">
        <f t="shared" si="1411"/>
        <v>0.33267457180500659</v>
      </c>
      <c r="AQ728" s="1975">
        <f t="shared" si="1411"/>
        <v>0.33221773441121055</v>
      </c>
      <c r="AR728" s="561">
        <f t="shared" si="1411"/>
        <v>0.41506494662581694</v>
      </c>
      <c r="AS728" s="561">
        <f t="shared" si="1411"/>
        <v>0.39073345151888467</v>
      </c>
      <c r="AT728" s="561">
        <f t="shared" si="1411"/>
        <v>0.3892893054244288</v>
      </c>
      <c r="AU728" s="561">
        <f t="shared" si="1411"/>
        <v>0.34609631345300135</v>
      </c>
      <c r="AV728" s="1975">
        <f t="shared" si="1411"/>
        <v>0.38602856749184772</v>
      </c>
      <c r="AW728" s="561">
        <f t="shared" si="1411"/>
        <v>0.37869362944598356</v>
      </c>
      <c r="AX728" s="561">
        <f t="shared" si="1411"/>
        <v>0.35589188392988658</v>
      </c>
      <c r="AY728" s="561">
        <f t="shared" si="1411"/>
        <v>0.34633803032389343</v>
      </c>
      <c r="AZ728" s="561">
        <f t="shared" si="1411"/>
        <v>0.34157813099387896</v>
      </c>
      <c r="BA728" s="1975">
        <f t="shared" si="1411"/>
        <v>0.35606126124048432</v>
      </c>
      <c r="BB728" s="561">
        <f t="shared" si="1411"/>
        <v>0.36607427641425339</v>
      </c>
      <c r="BC728" s="561">
        <f t="shared" si="1411"/>
        <v>0.35444682749659495</v>
      </c>
      <c r="BD728" s="561">
        <f t="shared" si="1411"/>
        <v>0.34694686756542426</v>
      </c>
      <c r="BE728" s="561">
        <f t="shared" si="1411"/>
        <v>0.35063660631866073</v>
      </c>
      <c r="BF728" s="1975">
        <f t="shared" ref="BF728:BM728" si="1412">+BF727/BF713</f>
        <v>0.35452119258401293</v>
      </c>
      <c r="BG728" s="560">
        <f t="shared" si="1412"/>
        <v>0.36822625864711811</v>
      </c>
      <c r="BH728" s="561">
        <f t="shared" si="1412"/>
        <v>0.37638376383763833</v>
      </c>
      <c r="BI728" s="561">
        <f t="shared" si="1412"/>
        <v>0.36269841900689148</v>
      </c>
      <c r="BJ728" s="1846">
        <f t="shared" si="1412"/>
        <v>0.35651574999170182</v>
      </c>
      <c r="BK728" s="1975">
        <f t="shared" si="1412"/>
        <v>0.36615584095329384</v>
      </c>
      <c r="BL728" s="561">
        <f t="shared" si="1412"/>
        <v>0.37334178619541963</v>
      </c>
      <c r="BM728" s="561">
        <f t="shared" si="1412"/>
        <v>0.36367261246012628</v>
      </c>
      <c r="BN728" s="561"/>
      <c r="BO728" s="1846"/>
      <c r="BP728" s="1975"/>
      <c r="BQ728" s="561"/>
      <c r="BR728" s="561"/>
      <c r="BS728" s="561"/>
      <c r="BT728" s="1846"/>
      <c r="BU728" s="3407"/>
      <c r="BV728" s="561"/>
      <c r="BW728" s="561"/>
      <c r="BX728" s="561"/>
      <c r="BY728" s="1846"/>
      <c r="BZ728" s="1975"/>
      <c r="CA728" s="1975"/>
      <c r="CB728" s="1975"/>
      <c r="CC728" s="1975"/>
      <c r="CD728" s="1975"/>
      <c r="CE728" s="1975"/>
      <c r="CF728" s="1975"/>
      <c r="CG728" s="1975"/>
      <c r="CH728" s="626"/>
      <c r="CI728" s="626"/>
      <c r="CJ728" s="626"/>
      <c r="CK728" s="626"/>
      <c r="CL728" s="626"/>
      <c r="CM728" s="626"/>
      <c r="CN728" s="626"/>
      <c r="CO728" s="626"/>
      <c r="CP728" s="994"/>
      <c r="CQ728" s="626"/>
      <c r="CR728" s="626"/>
      <c r="CS728" s="626"/>
      <c r="CT728" s="626"/>
      <c r="CU728" s="626"/>
      <c r="CV728" s="626"/>
      <c r="CW728" s="626"/>
      <c r="CX728" s="626"/>
      <c r="CY728" s="626"/>
      <c r="CZ728" s="626"/>
      <c r="DA728" s="626"/>
      <c r="DB728" s="626"/>
      <c r="DC728" s="626"/>
      <c r="DD728" s="626"/>
      <c r="DE728" s="626"/>
      <c r="DF728" s="626"/>
      <c r="DG728" s="1893"/>
      <c r="DH728" s="632"/>
      <c r="DI728" s="595"/>
      <c r="DJ728" s="595"/>
      <c r="DK728" s="595"/>
      <c r="DL728" s="595"/>
      <c r="DM728" s="595"/>
      <c r="DN728" s="514"/>
      <c r="DO728" s="77"/>
      <c r="DY728" s="769"/>
      <c r="DZ728" s="769"/>
    </row>
    <row r="729" spans="1:130" ht="12" hidden="1" customHeight="1" outlineLevel="1">
      <c r="A729" s="567" t="s">
        <v>1153</v>
      </c>
      <c r="B729" s="228"/>
      <c r="C729" s="228"/>
      <c r="D729" s="625"/>
      <c r="E729" s="626"/>
      <c r="F729" s="626"/>
      <c r="G729" s="626"/>
      <c r="H729" s="788"/>
      <c r="I729" s="626"/>
      <c r="J729" s="626"/>
      <c r="K729" s="626"/>
      <c r="L729" s="626"/>
      <c r="M729" s="788"/>
      <c r="N729" s="626"/>
      <c r="O729" s="626"/>
      <c r="P729" s="626"/>
      <c r="Q729" s="626"/>
      <c r="R729" s="788"/>
      <c r="S729" s="626"/>
      <c r="T729" s="626"/>
      <c r="U729" s="626"/>
      <c r="V729" s="626"/>
      <c r="W729" s="788"/>
      <c r="X729" s="626"/>
      <c r="Y729" s="626"/>
      <c r="Z729" s="626"/>
      <c r="AA729" s="626"/>
      <c r="AB729" s="788"/>
      <c r="AC729" s="626"/>
      <c r="AD729" s="626"/>
      <c r="AE729" s="626"/>
      <c r="AF729" s="626"/>
      <c r="AG729" s="788"/>
      <c r="AH729" s="626"/>
      <c r="AI729" s="626"/>
      <c r="AJ729" s="626"/>
      <c r="AK729" s="626"/>
      <c r="AL729" s="788"/>
      <c r="AM729" s="626"/>
      <c r="AN729" s="261"/>
      <c r="AO729" s="626"/>
      <c r="AP729" s="330"/>
      <c r="AQ729" s="1439"/>
      <c r="AR729" s="561">
        <f t="shared" ref="AR729:BF729" si="1413">+AR727/AM727-1</f>
        <v>1.0461510330956298</v>
      </c>
      <c r="AS729" s="561">
        <f t="shared" si="1413"/>
        <v>0.87384271767714972</v>
      </c>
      <c r="AT729" s="561">
        <f t="shared" si="1413"/>
        <v>0.84405337599534591</v>
      </c>
      <c r="AU729" s="561">
        <f t="shared" si="1413"/>
        <v>0.54941494149414938</v>
      </c>
      <c r="AV729" s="1975">
        <f t="shared" si="1413"/>
        <v>0.82747187041365478</v>
      </c>
      <c r="AW729" s="561">
        <f t="shared" si="1413"/>
        <v>-9.3651701458392855E-2</v>
      </c>
      <c r="AX729" s="561">
        <f t="shared" si="1413"/>
        <v>-7.0997385419870773E-2</v>
      </c>
      <c r="AY729" s="561">
        <f t="shared" si="1413"/>
        <v>-0.10732101662164562</v>
      </c>
      <c r="AZ729" s="561">
        <f t="shared" si="1413"/>
        <v>-4.8216567909840746E-2</v>
      </c>
      <c r="BA729" s="1975">
        <f t="shared" si="1413"/>
        <v>-8.1553638707119069E-2</v>
      </c>
      <c r="BB729" s="561">
        <f t="shared" si="1413"/>
        <v>-0.11734895093863384</v>
      </c>
      <c r="BC729" s="561">
        <f t="shared" si="1413"/>
        <v>-6.2930695528009561E-2</v>
      </c>
      <c r="BD729" s="561">
        <f t="shared" si="1413"/>
        <v>-5.2988470203648941E-2</v>
      </c>
      <c r="BE729" s="561">
        <f t="shared" si="1413"/>
        <v>2.9370117187499822E-2</v>
      </c>
      <c r="BF729" s="1975">
        <f t="shared" si="1413"/>
        <v>-5.4990311385067048E-2</v>
      </c>
      <c r="BG729" s="560">
        <f t="shared" ref="BG729:BM729" si="1414">+BG727/BB727-1</f>
        <v>3.5790085118741599E-2</v>
      </c>
      <c r="BH729" s="561">
        <f t="shared" si="1414"/>
        <v>8.5729428912150629E-2</v>
      </c>
      <c r="BI729" s="561">
        <f t="shared" si="1414"/>
        <v>6.4256559766763921E-2</v>
      </c>
      <c r="BJ729" s="1846">
        <f t="shared" si="1414"/>
        <v>1.897398192728228E-2</v>
      </c>
      <c r="BK729" s="1975">
        <f t="shared" si="1414"/>
        <v>5.1627532399289633E-2</v>
      </c>
      <c r="BL729" s="561">
        <f t="shared" si="1414"/>
        <v>1.6155123697776386E-2</v>
      </c>
      <c r="BM729" s="561">
        <f t="shared" si="1414"/>
        <v>-9.0981205760312434E-2</v>
      </c>
      <c r="BN729" s="561"/>
      <c r="BO729" s="1846"/>
      <c r="BP729" s="1975"/>
      <c r="BQ729" s="561"/>
      <c r="BR729" s="561"/>
      <c r="BS729" s="561"/>
      <c r="BT729" s="1846"/>
      <c r="BU729" s="3407"/>
      <c r="BV729" s="561"/>
      <c r="BW729" s="561"/>
      <c r="BX729" s="561"/>
      <c r="BY729" s="1846"/>
      <c r="BZ729" s="1975"/>
      <c r="CA729" s="1975"/>
      <c r="CB729" s="1975"/>
      <c r="CC729" s="1975"/>
      <c r="CD729" s="1975"/>
      <c r="CE729" s="1975"/>
      <c r="CF729" s="1975"/>
      <c r="CG729" s="1975"/>
      <c r="CH729" s="626"/>
      <c r="CI729" s="626"/>
      <c r="CJ729" s="626"/>
      <c r="CK729" s="626"/>
      <c r="CL729" s="626"/>
      <c r="CM729" s="626"/>
      <c r="CN729" s="626"/>
      <c r="CO729" s="626"/>
      <c r="CP729" s="994"/>
      <c r="CQ729" s="626"/>
      <c r="CR729" s="626"/>
      <c r="CS729" s="626"/>
      <c r="CT729" s="626"/>
      <c r="CU729" s="626"/>
      <c r="CV729" s="626"/>
      <c r="CW729" s="626"/>
      <c r="CX729" s="626"/>
      <c r="CY729" s="626"/>
      <c r="CZ729" s="626"/>
      <c r="DA729" s="626"/>
      <c r="DB729" s="626"/>
      <c r="DC729" s="626"/>
      <c r="DD729" s="626"/>
      <c r="DE729" s="626"/>
      <c r="DF729" s="626"/>
      <c r="DG729" s="1893"/>
      <c r="DH729" s="632"/>
      <c r="DI729" s="595"/>
      <c r="DJ729" s="595"/>
      <c r="DK729" s="595"/>
      <c r="DL729" s="595"/>
      <c r="DM729" s="595"/>
      <c r="DN729" s="514"/>
      <c r="DO729" s="77"/>
      <c r="DY729" s="769"/>
      <c r="DZ729" s="769"/>
    </row>
    <row r="730" spans="1:130" ht="12" customHeight="1" collapsed="1">
      <c r="A730" s="552"/>
      <c r="B730" s="228"/>
      <c r="C730" s="228"/>
      <c r="D730" s="625"/>
      <c r="E730" s="626"/>
      <c r="F730" s="626"/>
      <c r="G730" s="626"/>
      <c r="H730" s="788"/>
      <c r="I730" s="626"/>
      <c r="J730" s="626"/>
      <c r="K730" s="626"/>
      <c r="L730" s="626"/>
      <c r="M730" s="788"/>
      <c r="N730" s="626"/>
      <c r="O730" s="626"/>
      <c r="P730" s="626"/>
      <c r="Q730" s="626"/>
      <c r="R730" s="788"/>
      <c r="S730" s="626"/>
      <c r="T730" s="626"/>
      <c r="U730" s="626"/>
      <c r="V730" s="626"/>
      <c r="W730" s="788"/>
      <c r="X730" s="626"/>
      <c r="Y730" s="626"/>
      <c r="Z730" s="626"/>
      <c r="AA730" s="626"/>
      <c r="AB730" s="788"/>
      <c r="AC730" s="626"/>
      <c r="AD730" s="626"/>
      <c r="AE730" s="626"/>
      <c r="AF730" s="626"/>
      <c r="AG730" s="788"/>
      <c r="AH730" s="626"/>
      <c r="AI730" s="626"/>
      <c r="AJ730" s="626"/>
      <c r="AK730" s="626"/>
      <c r="AL730" s="788"/>
      <c r="AM730" s="626"/>
      <c r="AN730" s="261"/>
      <c r="AO730" s="626"/>
      <c r="AP730" s="330"/>
      <c r="AQ730" s="1439"/>
      <c r="AR730" s="330"/>
      <c r="AS730" s="1977"/>
      <c r="AT730" s="330"/>
      <c r="AU730" s="626"/>
      <c r="AV730" s="1951"/>
      <c r="AW730" s="626"/>
      <c r="AX730" s="626"/>
      <c r="AY730" s="626"/>
      <c r="AZ730" s="626"/>
      <c r="BA730" s="1439"/>
      <c r="BB730" s="626"/>
      <c r="BC730" s="2697"/>
      <c r="BD730" s="626"/>
      <c r="BE730" s="626"/>
      <c r="BF730" s="1439"/>
      <c r="BG730" s="678"/>
      <c r="BH730" s="330"/>
      <c r="BI730" s="330"/>
      <c r="BJ730" s="2136"/>
      <c r="BK730" s="569"/>
      <c r="BL730" s="330"/>
      <c r="BM730" s="330"/>
      <c r="BN730" s="330"/>
      <c r="BO730" s="2136"/>
      <c r="BP730" s="1439"/>
      <c r="BQ730" s="330"/>
      <c r="BR730" s="330"/>
      <c r="BS730" s="330"/>
      <c r="BT730" s="2136"/>
      <c r="BU730" s="3406"/>
      <c r="BV730" s="330"/>
      <c r="BW730" s="330"/>
      <c r="BX730" s="330"/>
      <c r="BY730" s="2136"/>
      <c r="BZ730" s="1439"/>
      <c r="CA730" s="1439"/>
      <c r="CB730" s="1439"/>
      <c r="CC730" s="1439"/>
      <c r="CD730" s="1439"/>
      <c r="CE730" s="1439"/>
      <c r="CF730" s="1439"/>
      <c r="CG730" s="1439"/>
      <c r="CH730" s="626"/>
      <c r="CI730" s="626"/>
      <c r="CJ730" s="626"/>
      <c r="CK730" s="626"/>
      <c r="CL730" s="626"/>
      <c r="CM730" s="626"/>
      <c r="CN730" s="626"/>
      <c r="CO730" s="626"/>
      <c r="CP730" s="994"/>
      <c r="CQ730" s="626"/>
      <c r="CR730" s="626"/>
      <c r="CS730" s="626"/>
      <c r="CT730" s="626"/>
      <c r="CU730" s="626"/>
      <c r="CV730" s="626"/>
      <c r="CW730" s="626"/>
      <c r="CX730" s="626"/>
      <c r="CY730" s="626"/>
      <c r="CZ730" s="626"/>
      <c r="DA730" s="626"/>
      <c r="DB730" s="626"/>
      <c r="DC730" s="626"/>
      <c r="DD730" s="626"/>
      <c r="DE730" s="626"/>
      <c r="DF730" s="626"/>
      <c r="DG730" s="1893"/>
      <c r="DH730" s="632"/>
      <c r="DI730" s="595"/>
      <c r="DJ730" s="595"/>
      <c r="DK730" s="595"/>
      <c r="DL730" s="595"/>
      <c r="DM730" s="595"/>
      <c r="DN730" s="514"/>
      <c r="DO730" s="77"/>
      <c r="DY730" s="330"/>
      <c r="DZ730" s="330"/>
    </row>
    <row r="731" spans="1:130" ht="12" customHeight="1">
      <c r="A731" s="552"/>
      <c r="B731" s="228"/>
      <c r="C731" s="228"/>
      <c r="D731" s="625"/>
      <c r="E731" s="626"/>
      <c r="F731" s="626"/>
      <c r="G731" s="626"/>
      <c r="H731" s="788"/>
      <c r="I731" s="626"/>
      <c r="J731" s="626"/>
      <c r="K731" s="626"/>
      <c r="L731" s="626"/>
      <c r="M731" s="788"/>
      <c r="N731" s="626"/>
      <c r="O731" s="626"/>
      <c r="P731" s="626"/>
      <c r="Q731" s="626"/>
      <c r="R731" s="788"/>
      <c r="S731" s="626"/>
      <c r="T731" s="626"/>
      <c r="U731" s="626"/>
      <c r="V731" s="626"/>
      <c r="W731" s="788"/>
      <c r="X731" s="626"/>
      <c r="Y731" s="626"/>
      <c r="Z731" s="626"/>
      <c r="AA731" s="626"/>
      <c r="AB731" s="788"/>
      <c r="AC731" s="626"/>
      <c r="AD731" s="626"/>
      <c r="AE731" s="626"/>
      <c r="AF731" s="626"/>
      <c r="AG731" s="788"/>
      <c r="AH731" s="626"/>
      <c r="AI731" s="626"/>
      <c r="AJ731" s="626"/>
      <c r="AK731" s="626"/>
      <c r="AL731" s="788"/>
      <c r="AM731" s="626"/>
      <c r="AN731" s="261"/>
      <c r="AO731" s="626"/>
      <c r="AP731" s="330"/>
      <c r="AQ731" s="1439"/>
      <c r="AR731" s="330"/>
      <c r="AS731" s="330"/>
      <c r="AT731" s="330"/>
      <c r="AU731" s="626"/>
      <c r="AV731" s="1620"/>
      <c r="AW731" s="626"/>
      <c r="AX731" s="261"/>
      <c r="AY731" s="626"/>
      <c r="AZ731" s="626"/>
      <c r="BA731" s="1439"/>
      <c r="BB731" s="626"/>
      <c r="BC731" s="261"/>
      <c r="BD731" s="626"/>
      <c r="BE731" s="626"/>
      <c r="BF731" s="1439"/>
      <c r="BG731" s="678"/>
      <c r="BH731" s="330"/>
      <c r="BI731" s="330"/>
      <c r="BJ731" s="2136"/>
      <c r="BK731" s="1439"/>
      <c r="BL731" s="330"/>
      <c r="BM731" s="330"/>
      <c r="BN731" s="330"/>
      <c r="BO731" s="2136"/>
      <c r="BP731" s="1439"/>
      <c r="BQ731" s="330"/>
      <c r="BR731" s="330"/>
      <c r="BS731" s="330"/>
      <c r="BT731" s="2136"/>
      <c r="BU731" s="3406"/>
      <c r="BV731" s="330"/>
      <c r="BW731" s="330"/>
      <c r="BX731" s="330"/>
      <c r="BY731" s="2136"/>
      <c r="BZ731" s="1439"/>
      <c r="CA731" s="1439"/>
      <c r="CB731" s="1439"/>
      <c r="CC731" s="1439"/>
      <c r="CD731" s="1439"/>
      <c r="CE731" s="1439"/>
      <c r="CF731" s="1439"/>
      <c r="CG731" s="1439"/>
      <c r="CH731" s="626"/>
      <c r="CI731" s="626"/>
      <c r="CJ731" s="626"/>
      <c r="CK731" s="626"/>
      <c r="CL731" s="626"/>
      <c r="CM731" s="626"/>
      <c r="CN731" s="626"/>
      <c r="CO731" s="626"/>
      <c r="CP731" s="994"/>
      <c r="CQ731" s="626"/>
      <c r="CR731" s="626"/>
      <c r="CS731" s="626"/>
      <c r="CT731" s="626"/>
      <c r="CU731" s="626"/>
      <c r="CV731" s="626"/>
      <c r="CW731" s="626"/>
      <c r="CX731" s="626"/>
      <c r="CY731" s="626"/>
      <c r="CZ731" s="626"/>
      <c r="DA731" s="626"/>
      <c r="DB731" s="626"/>
      <c r="DC731" s="626"/>
      <c r="DD731" s="626"/>
      <c r="DE731" s="626"/>
      <c r="DF731" s="626"/>
      <c r="DG731" s="1893"/>
      <c r="DH731" s="632"/>
      <c r="DI731" s="595"/>
      <c r="DJ731" s="595"/>
      <c r="DK731" s="595"/>
      <c r="DL731" s="595"/>
      <c r="DM731" s="595"/>
      <c r="DN731" s="514"/>
      <c r="DO731" s="77"/>
      <c r="DY731" s="330"/>
      <c r="DZ731" s="330"/>
    </row>
    <row r="732" spans="1:130" s="4061" customFormat="1" ht="12" customHeight="1">
      <c r="A732" s="235" t="s">
        <v>1980</v>
      </c>
      <c r="B732" s="236"/>
      <c r="C732" s="236"/>
      <c r="D732" s="237" t="str">
        <f>D$6</f>
        <v>1Q04</v>
      </c>
      <c r="E732" s="109" t="str">
        <f t="shared" ref="E732:BP732" si="1415">E$6</f>
        <v>2Q04</v>
      </c>
      <c r="F732" s="109" t="str">
        <f t="shared" si="1415"/>
        <v>3Q04</v>
      </c>
      <c r="G732" s="109" t="str">
        <f t="shared" si="1415"/>
        <v>4Q04</v>
      </c>
      <c r="H732" s="110">
        <f t="shared" si="1415"/>
        <v>2004</v>
      </c>
      <c r="I732" s="109" t="str">
        <f t="shared" si="1415"/>
        <v>1Q05</v>
      </c>
      <c r="J732" s="109" t="str">
        <f t="shared" si="1415"/>
        <v>2Q05</v>
      </c>
      <c r="K732" s="109" t="str">
        <f t="shared" si="1415"/>
        <v>3Q05</v>
      </c>
      <c r="L732" s="109" t="str">
        <f t="shared" si="1415"/>
        <v>4Q05</v>
      </c>
      <c r="M732" s="110">
        <f t="shared" si="1415"/>
        <v>2005</v>
      </c>
      <c r="N732" s="109" t="str">
        <f t="shared" si="1415"/>
        <v>1Q06</v>
      </c>
      <c r="O732" s="109" t="str">
        <f t="shared" si="1415"/>
        <v>2Q06</v>
      </c>
      <c r="P732" s="109" t="str">
        <f t="shared" si="1415"/>
        <v>3Q06</v>
      </c>
      <c r="Q732" s="109" t="str">
        <f t="shared" si="1415"/>
        <v>4Q06</v>
      </c>
      <c r="R732" s="110">
        <f t="shared" si="1415"/>
        <v>2006</v>
      </c>
      <c r="S732" s="109" t="str">
        <f t="shared" si="1415"/>
        <v>1Q07</v>
      </c>
      <c r="T732" s="109" t="str">
        <f t="shared" si="1415"/>
        <v>2Q07</v>
      </c>
      <c r="U732" s="109" t="str">
        <f t="shared" si="1415"/>
        <v>3Q07</v>
      </c>
      <c r="V732" s="109" t="str">
        <f t="shared" si="1415"/>
        <v>4Q07</v>
      </c>
      <c r="W732" s="110">
        <f t="shared" si="1415"/>
        <v>2007</v>
      </c>
      <c r="X732" s="109" t="str">
        <f t="shared" si="1415"/>
        <v>1Q08</v>
      </c>
      <c r="Y732" s="109" t="str">
        <f t="shared" si="1415"/>
        <v>2Q08</v>
      </c>
      <c r="Z732" s="109" t="str">
        <f t="shared" si="1415"/>
        <v>3Q08</v>
      </c>
      <c r="AA732" s="109" t="str">
        <f t="shared" si="1415"/>
        <v>4Q08</v>
      </c>
      <c r="AB732" s="110">
        <f t="shared" si="1415"/>
        <v>2008</v>
      </c>
      <c r="AC732" s="109" t="str">
        <f t="shared" si="1415"/>
        <v>1Q09</v>
      </c>
      <c r="AD732" s="109" t="str">
        <f t="shared" si="1415"/>
        <v>2Q09</v>
      </c>
      <c r="AE732" s="109" t="str">
        <f t="shared" si="1415"/>
        <v>3Q09</v>
      </c>
      <c r="AF732" s="109" t="str">
        <f t="shared" si="1415"/>
        <v>4Q09</v>
      </c>
      <c r="AG732" s="110">
        <f t="shared" si="1415"/>
        <v>2009</v>
      </c>
      <c r="AH732" s="109" t="str">
        <f t="shared" si="1415"/>
        <v>1Q10</v>
      </c>
      <c r="AI732" s="109" t="str">
        <f t="shared" si="1415"/>
        <v>2Q10</v>
      </c>
      <c r="AJ732" s="109" t="str">
        <f t="shared" si="1415"/>
        <v>3Q10</v>
      </c>
      <c r="AK732" s="109" t="str">
        <f t="shared" si="1415"/>
        <v>4Q10</v>
      </c>
      <c r="AL732" s="110">
        <f t="shared" si="1415"/>
        <v>2010</v>
      </c>
      <c r="AM732" s="109" t="str">
        <f t="shared" si="1415"/>
        <v>1Q11</v>
      </c>
      <c r="AN732" s="109" t="str">
        <f t="shared" si="1415"/>
        <v>2Q11</v>
      </c>
      <c r="AO732" s="109" t="str">
        <f t="shared" si="1415"/>
        <v>3Q11</v>
      </c>
      <c r="AP732" s="109" t="str">
        <f t="shared" si="1415"/>
        <v>4Q11</v>
      </c>
      <c r="AQ732" s="110">
        <f t="shared" si="1415"/>
        <v>2011</v>
      </c>
      <c r="AR732" s="109" t="str">
        <f t="shared" si="1415"/>
        <v>1Q12</v>
      </c>
      <c r="AS732" s="109" t="str">
        <f t="shared" si="1415"/>
        <v>2Q12</v>
      </c>
      <c r="AT732" s="109" t="str">
        <f t="shared" si="1415"/>
        <v>3Q12</v>
      </c>
      <c r="AU732" s="109" t="str">
        <f t="shared" si="1415"/>
        <v>4Q12</v>
      </c>
      <c r="AV732" s="110">
        <f t="shared" si="1415"/>
        <v>2012</v>
      </c>
      <c r="AW732" s="109" t="str">
        <f t="shared" si="1415"/>
        <v>1Q13</v>
      </c>
      <c r="AX732" s="109" t="str">
        <f t="shared" si="1415"/>
        <v>2Q13</v>
      </c>
      <c r="AY732" s="109" t="str">
        <f t="shared" si="1415"/>
        <v>3Q13</v>
      </c>
      <c r="AZ732" s="109" t="str">
        <f t="shared" si="1415"/>
        <v>4Q13</v>
      </c>
      <c r="BA732" s="110">
        <f t="shared" si="1415"/>
        <v>2013</v>
      </c>
      <c r="BB732" s="109" t="str">
        <f t="shared" si="1415"/>
        <v>1Q14</v>
      </c>
      <c r="BC732" s="109" t="str">
        <f t="shared" si="1415"/>
        <v>2Q14</v>
      </c>
      <c r="BD732" s="109" t="str">
        <f t="shared" si="1415"/>
        <v>3Q14</v>
      </c>
      <c r="BE732" s="109" t="str">
        <f t="shared" si="1415"/>
        <v>4Q14</v>
      </c>
      <c r="BF732" s="110">
        <f t="shared" si="1415"/>
        <v>2014</v>
      </c>
      <c r="BG732" s="109" t="str">
        <f t="shared" si="1415"/>
        <v>1Q15</v>
      </c>
      <c r="BH732" s="109" t="str">
        <f t="shared" si="1415"/>
        <v>2Q15</v>
      </c>
      <c r="BI732" s="109" t="str">
        <f t="shared" si="1415"/>
        <v>3Q15</v>
      </c>
      <c r="BJ732" s="109" t="str">
        <f t="shared" si="1415"/>
        <v>4Q15</v>
      </c>
      <c r="BK732" s="110">
        <f t="shared" si="1415"/>
        <v>2015</v>
      </c>
      <c r="BL732" s="109" t="str">
        <f t="shared" si="1415"/>
        <v>1Q16</v>
      </c>
      <c r="BM732" s="109" t="str">
        <f t="shared" si="1415"/>
        <v>2Q16</v>
      </c>
      <c r="BN732" s="109" t="str">
        <f t="shared" si="1415"/>
        <v>3Q16</v>
      </c>
      <c r="BO732" s="109" t="str">
        <f t="shared" si="1415"/>
        <v>4Q16</v>
      </c>
      <c r="BP732" s="110">
        <f t="shared" si="1415"/>
        <v>2016</v>
      </c>
      <c r="BQ732" s="109" t="str">
        <f t="shared" ref="BQ732:CB732" si="1416">BQ$6</f>
        <v>1Q17</v>
      </c>
      <c r="BR732" s="109" t="str">
        <f t="shared" si="1416"/>
        <v>2Q17</v>
      </c>
      <c r="BS732" s="109" t="str">
        <f t="shared" si="1416"/>
        <v>3Q17</v>
      </c>
      <c r="BT732" s="109" t="str">
        <f t="shared" si="1416"/>
        <v>4Q17A</v>
      </c>
      <c r="BU732" s="3347" t="str">
        <f t="shared" si="1416"/>
        <v>2017A</v>
      </c>
      <c r="BV732" s="109" t="str">
        <f t="shared" si="1416"/>
        <v>1Q18E</v>
      </c>
      <c r="BW732" s="109" t="str">
        <f t="shared" si="1416"/>
        <v>2Q18E</v>
      </c>
      <c r="BX732" s="109" t="str">
        <f t="shared" si="1416"/>
        <v>3Q18E</v>
      </c>
      <c r="BY732" s="109" t="str">
        <f t="shared" si="1416"/>
        <v>4Q18E</v>
      </c>
      <c r="BZ732" s="110" t="str">
        <f t="shared" si="1416"/>
        <v>2018E</v>
      </c>
      <c r="CA732" s="110" t="str">
        <f t="shared" si="1416"/>
        <v>2019E</v>
      </c>
      <c r="CB732" s="110" t="str">
        <f t="shared" si="1416"/>
        <v>2020E</v>
      </c>
      <c r="CC732" s="110" t="str">
        <f t="shared" ref="CC732:CG732" si="1417">CC$6</f>
        <v>2021E</v>
      </c>
      <c r="CD732" s="110" t="str">
        <f t="shared" si="1417"/>
        <v>2022E</v>
      </c>
      <c r="CE732" s="110" t="str">
        <f t="shared" si="1417"/>
        <v>2023E</v>
      </c>
      <c r="CF732" s="110" t="str">
        <f t="shared" si="1417"/>
        <v>2024E</v>
      </c>
      <c r="CG732" s="110" t="str">
        <f t="shared" si="1417"/>
        <v>2025E</v>
      </c>
      <c r="CH732" s="247"/>
      <c r="CI732" s="247"/>
      <c r="CJ732" s="247"/>
      <c r="CK732" s="247"/>
      <c r="CL732" s="247"/>
      <c r="CM732" s="247"/>
      <c r="CN732" s="247"/>
      <c r="CO732" s="247"/>
      <c r="CP732" s="235" t="str">
        <f t="shared" ref="CP732" si="1418">A732</f>
        <v>RENT EXPENSE ($ in millions)</v>
      </c>
      <c r="CQ732" s="109">
        <f t="shared" ref="CQ732" si="1419">H732</f>
        <v>2004</v>
      </c>
      <c r="CR732" s="109">
        <f t="shared" ref="CR732" si="1420">M732</f>
        <v>2005</v>
      </c>
      <c r="CS732" s="109">
        <f t="shared" ref="CS732" si="1421">R732</f>
        <v>2006</v>
      </c>
      <c r="CT732" s="109">
        <f t="shared" ref="CT732" si="1422">W732</f>
        <v>2007</v>
      </c>
      <c r="CU732" s="109">
        <f t="shared" ref="CU732" si="1423">AB732</f>
        <v>2008</v>
      </c>
      <c r="CV732" s="109">
        <f t="shared" ref="CV732" si="1424">AG732</f>
        <v>2009</v>
      </c>
      <c r="CW732" s="109">
        <f t="shared" ref="CW732" si="1425">AL732</f>
        <v>2010</v>
      </c>
      <c r="CX732" s="109">
        <f t="shared" ref="CX732" si="1426">AQ732</f>
        <v>2011</v>
      </c>
      <c r="CY732" s="109">
        <f t="shared" ref="CY732" si="1427">AV732</f>
        <v>2012</v>
      </c>
      <c r="CZ732" s="109">
        <f t="shared" ref="CZ732" si="1428">BA732</f>
        <v>2013</v>
      </c>
      <c r="DA732" s="109">
        <f t="shared" ref="DA732" si="1429">BF732</f>
        <v>2014</v>
      </c>
      <c r="DB732" s="109">
        <f t="shared" ref="DB732" si="1430">BK732</f>
        <v>2015</v>
      </c>
      <c r="DC732" s="109">
        <f t="shared" ref="DC732" si="1431">BP732</f>
        <v>2016</v>
      </c>
      <c r="DD732" s="109" t="str">
        <f t="shared" ref="DD732" si="1432">BU732</f>
        <v>2017A</v>
      </c>
      <c r="DE732" s="109" t="str">
        <f t="shared" ref="DE732" si="1433">BZ732</f>
        <v>2018E</v>
      </c>
      <c r="DF732" s="109" t="str">
        <f t="shared" ref="DF732" si="1434">CA732</f>
        <v>2019E</v>
      </c>
      <c r="DG732" s="1772" t="str">
        <f t="shared" ref="DG732" si="1435">CB732</f>
        <v>2020E</v>
      </c>
      <c r="DH732" s="239"/>
      <c r="DI732" s="240"/>
      <c r="DJ732" s="240"/>
      <c r="DK732" s="240"/>
      <c r="DL732" s="240"/>
      <c r="DM732" s="240"/>
      <c r="DN732" s="240"/>
      <c r="DO732" s="226"/>
      <c r="DP732"/>
      <c r="DQ732"/>
      <c r="DR732"/>
      <c r="DS732"/>
      <c r="DT732"/>
      <c r="DU732"/>
      <c r="DY732" s="244"/>
      <c r="DZ732" s="244"/>
    </row>
    <row r="733" spans="1:130" s="4061" customFormat="1" ht="12" customHeight="1">
      <c r="A733" s="646" t="s">
        <v>1981</v>
      </c>
      <c r="B733" s="646"/>
      <c r="C733" s="646"/>
      <c r="D733" s="763"/>
      <c r="E733" s="356"/>
      <c r="F733" s="356"/>
      <c r="G733" s="764"/>
      <c r="H733" s="765"/>
      <c r="I733" s="763"/>
      <c r="J733" s="356"/>
      <c r="K733" s="356"/>
      <c r="L733" s="764"/>
      <c r="M733" s="765"/>
      <c r="N733" s="763"/>
      <c r="O733" s="356"/>
      <c r="P733" s="356"/>
      <c r="Q733" s="764"/>
      <c r="R733" s="765"/>
      <c r="S733" s="763"/>
      <c r="T733" s="356"/>
      <c r="U733" s="356"/>
      <c r="V733" s="764"/>
      <c r="W733" s="765"/>
      <c r="X733" s="763"/>
      <c r="Y733" s="356"/>
      <c r="Z733" s="356"/>
      <c r="AA733" s="764"/>
      <c r="AB733" s="765"/>
      <c r="AC733" s="763"/>
      <c r="AD733" s="356"/>
      <c r="AE733" s="356"/>
      <c r="AF733" s="764"/>
      <c r="AG733" s="765"/>
      <c r="AH733" s="763"/>
      <c r="AI733" s="356"/>
      <c r="AJ733" s="356"/>
      <c r="AK733" s="764"/>
      <c r="AL733" s="765"/>
      <c r="AM733" s="763"/>
      <c r="AN733" s="356"/>
      <c r="AO733" s="356"/>
      <c r="AP733" s="356"/>
      <c r="AQ733" s="765"/>
      <c r="AR733" s="356"/>
      <c r="AS733" s="356"/>
      <c r="AT733" s="356"/>
      <c r="AU733" s="764"/>
      <c r="AV733" s="764"/>
      <c r="AW733" s="356"/>
      <c r="AX733" s="356"/>
      <c r="AY733" s="356"/>
      <c r="AZ733" s="764"/>
      <c r="BA733" s="764"/>
      <c r="BB733" s="356"/>
      <c r="BC733" s="356"/>
      <c r="BD733" s="356"/>
      <c r="BE733" s="764"/>
      <c r="BF733" s="764"/>
      <c r="BG733" s="763"/>
      <c r="BH733" s="356"/>
      <c r="BI733" s="356"/>
      <c r="BJ733" s="764"/>
      <c r="BK733" s="764"/>
      <c r="BL733" s="356"/>
      <c r="BM733" s="356"/>
      <c r="BN733" s="356"/>
      <c r="BO733" s="764"/>
      <c r="BP733" s="764"/>
      <c r="BQ733" s="356"/>
      <c r="BR733" s="356"/>
      <c r="BS733" s="356"/>
      <c r="BT733" s="764"/>
      <c r="BU733" s="3400"/>
      <c r="BV733" s="356"/>
      <c r="BW733" s="356"/>
      <c r="BX733" s="356"/>
      <c r="BY733" s="764"/>
      <c r="BZ733" s="3400"/>
      <c r="CA733" s="764"/>
      <c r="CB733" s="764"/>
      <c r="CC733" s="764"/>
      <c r="CD733" s="764"/>
      <c r="CE733" s="764"/>
      <c r="CF733" s="764"/>
      <c r="CG733" s="764"/>
      <c r="CH733" s="356"/>
      <c r="CI733" s="356"/>
      <c r="CJ733" s="356"/>
      <c r="CK733" s="356"/>
      <c r="CL733" s="356"/>
      <c r="CM733" s="965"/>
      <c r="CN733" s="965"/>
      <c r="CO733" s="356"/>
      <c r="CP733" s="1888"/>
      <c r="CQ733" s="356"/>
      <c r="CR733" s="356"/>
      <c r="CS733" s="356"/>
      <c r="CT733" s="356"/>
      <c r="CU733" s="356"/>
      <c r="CV733" s="356"/>
      <c r="CW733" s="356"/>
      <c r="CX733" s="356"/>
      <c r="CY733" s="356"/>
      <c r="CZ733" s="356"/>
      <c r="DA733" s="356"/>
      <c r="DB733" s="356"/>
      <c r="DC733" s="356"/>
      <c r="DD733" s="356"/>
      <c r="DE733" s="356"/>
      <c r="DF733" s="356"/>
      <c r="DG733" s="764"/>
      <c r="DH733" s="1664"/>
      <c r="DI733" s="1665"/>
      <c r="DJ733" s="1665"/>
      <c r="DK733" s="1665"/>
      <c r="DL733" s="1665"/>
      <c r="DM733" s="1665"/>
      <c r="DN733" s="1666"/>
      <c r="DO733" s="1667"/>
      <c r="DP733"/>
      <c r="DQ733"/>
      <c r="DR733"/>
      <c r="DS733"/>
      <c r="DT733"/>
      <c r="DU733"/>
      <c r="DY733" s="356"/>
      <c r="DZ733" s="356"/>
    </row>
    <row r="734" spans="1:130" s="2273" customFormat="1" ht="12" customHeight="1">
      <c r="A734" s="4126" t="s">
        <v>1982</v>
      </c>
      <c r="B734" s="837"/>
      <c r="C734" s="837"/>
      <c r="D734" s="4127"/>
      <c r="E734" s="4128"/>
      <c r="F734" s="4128"/>
      <c r="G734" s="4128"/>
      <c r="H734" s="4129"/>
      <c r="I734" s="4128"/>
      <c r="J734" s="4128"/>
      <c r="K734" s="4128"/>
      <c r="L734" s="4128"/>
      <c r="M734" s="4129"/>
      <c r="N734" s="4128"/>
      <c r="O734" s="4128"/>
      <c r="P734" s="4128"/>
      <c r="Q734" s="4128"/>
      <c r="R734" s="4129"/>
      <c r="S734" s="4128"/>
      <c r="T734" s="4128"/>
      <c r="U734" s="4128"/>
      <c r="V734" s="4128"/>
      <c r="W734" s="4129"/>
      <c r="X734" s="4128"/>
      <c r="Y734" s="4128"/>
      <c r="Z734" s="4128"/>
      <c r="AA734" s="4128"/>
      <c r="AB734" s="4129"/>
      <c r="AC734" s="4128"/>
      <c r="AD734" s="4128"/>
      <c r="AE734" s="4128"/>
      <c r="AF734" s="4128"/>
      <c r="AG734" s="4129"/>
      <c r="AH734" s="4128"/>
      <c r="AI734" s="4128"/>
      <c r="AJ734" s="4128"/>
      <c r="AK734" s="4128"/>
      <c r="AL734" s="4129"/>
      <c r="AM734" s="4128"/>
      <c r="AN734" s="4128"/>
      <c r="AO734" s="4128"/>
      <c r="AP734" s="4128"/>
      <c r="AQ734" s="4129"/>
      <c r="AR734" s="4128"/>
      <c r="AS734" s="4128"/>
      <c r="AT734" s="4128"/>
      <c r="AU734" s="4128"/>
      <c r="AV734" s="4130"/>
      <c r="AW734" s="4128"/>
      <c r="AX734" s="4128"/>
      <c r="AY734" s="4128"/>
      <c r="AZ734" s="4128"/>
      <c r="BA734" s="4130"/>
      <c r="BB734" s="4128"/>
      <c r="BC734" s="4128"/>
      <c r="BD734" s="4128"/>
      <c r="BE734" s="4128"/>
      <c r="BF734" s="4130"/>
      <c r="BG734" s="4127"/>
      <c r="BH734" s="4128"/>
      <c r="BI734" s="4128"/>
      <c r="BJ734" s="4131"/>
      <c r="BK734" s="4130"/>
      <c r="BL734" s="4128"/>
      <c r="BM734" s="4128"/>
      <c r="BN734" s="4128"/>
      <c r="BO734" s="4131"/>
      <c r="BP734" s="4130"/>
      <c r="BQ734" s="4128"/>
      <c r="BR734" s="4128"/>
      <c r="BS734" s="4128"/>
      <c r="BT734" s="4131"/>
      <c r="BU734" s="4132"/>
      <c r="BV734" s="4128"/>
      <c r="BW734" s="4128"/>
      <c r="BX734" s="4128">
        <f>+$BX$738*0.76</f>
        <v>20.007000000000001</v>
      </c>
      <c r="BY734" s="4138">
        <f>+BX734</f>
        <v>20.007000000000001</v>
      </c>
      <c r="BZ734" s="4132">
        <f>+SUM(BV734:BY734)</f>
        <v>40.014000000000003</v>
      </c>
      <c r="CA734" s="4130">
        <f>BZ734+(98.1+7.2)*0.76*1.02/2</f>
        <v>80.828280000000007</v>
      </c>
      <c r="CB734" s="4130">
        <f>(98.1+7.2)*0.76*1.02/2+(98.1+7.2)*0.76*1.02*1.02/2</f>
        <v>82.444845600000008</v>
      </c>
      <c r="CC734" s="4130"/>
      <c r="CD734" s="4130"/>
      <c r="CE734" s="4130"/>
      <c r="CF734" s="4130"/>
      <c r="CG734" s="4130"/>
      <c r="CH734" s="4133"/>
      <c r="CI734" s="4133"/>
      <c r="CJ734" s="4133"/>
      <c r="CK734" s="4133"/>
      <c r="CL734" s="4133"/>
      <c r="CM734" s="4133"/>
      <c r="CN734" s="4133"/>
      <c r="CO734" s="4133"/>
      <c r="CP734" s="4134"/>
      <c r="CQ734" s="4128"/>
      <c r="CR734" s="4128"/>
      <c r="CS734" s="4128"/>
      <c r="CT734" s="4128"/>
      <c r="CU734" s="4128"/>
      <c r="CV734" s="4128"/>
      <c r="CW734" s="4128"/>
      <c r="CX734" s="4128"/>
      <c r="CY734" s="4128"/>
      <c r="CZ734" s="4128"/>
      <c r="DA734" s="4128"/>
      <c r="DB734" s="4128"/>
      <c r="DC734" s="4128"/>
      <c r="DD734" s="4128"/>
      <c r="DE734" s="4128"/>
      <c r="DF734" s="4128"/>
      <c r="DG734" s="4131"/>
      <c r="DH734" s="4135"/>
      <c r="DI734" s="838"/>
      <c r="DJ734" s="838"/>
      <c r="DK734" s="838"/>
      <c r="DL734" s="838"/>
      <c r="DM734" s="838"/>
      <c r="DN734" s="632"/>
      <c r="DO734" s="3086"/>
      <c r="DP734"/>
      <c r="DQ734"/>
      <c r="DR734"/>
      <c r="DS734"/>
      <c r="DT734"/>
      <c r="DU734"/>
      <c r="DY734" s="4133"/>
      <c r="DZ734" s="4133"/>
    </row>
    <row r="735" spans="1:130" s="4090" customFormat="1" ht="12" customHeight="1">
      <c r="A735" s="4083" t="s">
        <v>1983</v>
      </c>
      <c r="B735" s="675"/>
      <c r="C735" s="675"/>
      <c r="D735" s="4084"/>
      <c r="E735" s="4085"/>
      <c r="F735" s="4085"/>
      <c r="G735" s="4085"/>
      <c r="H735" s="4010"/>
      <c r="I735" s="4085"/>
      <c r="J735" s="4085"/>
      <c r="K735" s="4085"/>
      <c r="L735" s="4085"/>
      <c r="M735" s="4010"/>
      <c r="N735" s="4085"/>
      <c r="O735" s="4085"/>
      <c r="P735" s="4085"/>
      <c r="Q735" s="4085"/>
      <c r="R735" s="4010"/>
      <c r="S735" s="4085"/>
      <c r="T735" s="4085"/>
      <c r="U735" s="4085"/>
      <c r="V735" s="4085"/>
      <c r="W735" s="4010"/>
      <c r="X735" s="4085"/>
      <c r="Y735" s="4085"/>
      <c r="Z735" s="4085"/>
      <c r="AA735" s="4085"/>
      <c r="AB735" s="4010"/>
      <c r="AC735" s="4085"/>
      <c r="AD735" s="4085"/>
      <c r="AE735" s="4085"/>
      <c r="AF735" s="4085"/>
      <c r="AG735" s="4010"/>
      <c r="AH735" s="4085"/>
      <c r="AI735" s="4085"/>
      <c r="AJ735" s="4085"/>
      <c r="AK735" s="4085"/>
      <c r="AL735" s="4010"/>
      <c r="AM735" s="4085"/>
      <c r="AN735" s="4085"/>
      <c r="AO735" s="4085"/>
      <c r="AP735" s="4085"/>
      <c r="AQ735" s="4010"/>
      <c r="AR735" s="4085"/>
      <c r="AS735" s="4085"/>
      <c r="AT735" s="4085"/>
      <c r="AU735" s="4085"/>
      <c r="AV735" s="4011"/>
      <c r="AW735" s="4085"/>
      <c r="AX735" s="4085"/>
      <c r="AY735" s="4085"/>
      <c r="AZ735" s="4085"/>
      <c r="BA735" s="4011"/>
      <c r="BB735" s="4085"/>
      <c r="BC735" s="4085"/>
      <c r="BD735" s="4085"/>
      <c r="BE735" s="4085"/>
      <c r="BF735" s="4011"/>
      <c r="BG735" s="4084"/>
      <c r="BH735" s="4085"/>
      <c r="BI735" s="4085"/>
      <c r="BJ735" s="4086"/>
      <c r="BK735" s="4011"/>
      <c r="BL735" s="4085"/>
      <c r="BM735" s="4085"/>
      <c r="BN735" s="4085"/>
      <c r="BO735" s="4086"/>
      <c r="BP735" s="4011"/>
      <c r="BQ735" s="4085"/>
      <c r="BR735" s="4085"/>
      <c r="BS735" s="4085"/>
      <c r="BT735" s="4086"/>
      <c r="BU735" s="2120"/>
      <c r="BV735" s="4085"/>
      <c r="BW735" s="4085"/>
      <c r="BX735" s="4085">
        <f>+$BX$738*0.12</f>
        <v>3.1589999999999998</v>
      </c>
      <c r="BY735" s="4093">
        <f t="shared" ref="BY735:BY736" si="1436">+BX735</f>
        <v>3.1589999999999998</v>
      </c>
      <c r="BZ735" s="2120">
        <f t="shared" ref="BZ735:BZ738" si="1437">+SUM(BV735:BY735)</f>
        <v>6.3179999999999996</v>
      </c>
      <c r="CA735" s="4011">
        <f>(98.1+7.2)*0.12</f>
        <v>12.635999999999999</v>
      </c>
      <c r="CB735" s="4011">
        <f>+CA735</f>
        <v>12.635999999999999</v>
      </c>
      <c r="CC735" s="4011"/>
      <c r="CD735" s="4011"/>
      <c r="CE735" s="4011"/>
      <c r="CF735" s="4011"/>
      <c r="CG735" s="4011"/>
      <c r="CH735" s="4087"/>
      <c r="CI735" s="4087"/>
      <c r="CJ735" s="4087"/>
      <c r="CK735" s="4087"/>
      <c r="CL735" s="4087"/>
      <c r="CM735" s="4087"/>
      <c r="CN735" s="4087"/>
      <c r="CO735" s="4087"/>
      <c r="CP735" s="4088"/>
      <c r="CQ735" s="4085"/>
      <c r="CR735" s="4085"/>
      <c r="CS735" s="4085"/>
      <c r="CT735" s="4085"/>
      <c r="CU735" s="4085"/>
      <c r="CV735" s="4085"/>
      <c r="CW735" s="4085"/>
      <c r="CX735" s="4085"/>
      <c r="CY735" s="4085"/>
      <c r="CZ735" s="4085"/>
      <c r="DA735" s="4085"/>
      <c r="DB735" s="4085"/>
      <c r="DC735" s="4085"/>
      <c r="DD735" s="4085"/>
      <c r="DE735" s="4085"/>
      <c r="DF735" s="4085"/>
      <c r="DG735" s="4086"/>
      <c r="DH735" s="2514"/>
      <c r="DI735" s="650"/>
      <c r="DJ735" s="650"/>
      <c r="DK735" s="650"/>
      <c r="DL735" s="650"/>
      <c r="DM735" s="650"/>
      <c r="DN735" s="651"/>
      <c r="DO735" s="4089"/>
      <c r="DP735"/>
      <c r="DQ735"/>
      <c r="DR735"/>
      <c r="DS735"/>
      <c r="DT735"/>
      <c r="DU735"/>
      <c r="DY735" s="4087"/>
      <c r="DZ735" s="4087"/>
    </row>
    <row r="736" spans="1:130" s="4090" customFormat="1" ht="12" customHeight="1">
      <c r="A736" s="4083" t="s">
        <v>1984</v>
      </c>
      <c r="B736" s="675"/>
      <c r="C736" s="675"/>
      <c r="D736" s="4084"/>
      <c r="E736" s="4085"/>
      <c r="F736" s="4085"/>
      <c r="G736" s="4085"/>
      <c r="H736" s="4010"/>
      <c r="I736" s="4085"/>
      <c r="J736" s="4085"/>
      <c r="K736" s="4085"/>
      <c r="L736" s="4085"/>
      <c r="M736" s="4010"/>
      <c r="N736" s="4085"/>
      <c r="O736" s="4085"/>
      <c r="P736" s="4085"/>
      <c r="Q736" s="4085"/>
      <c r="R736" s="4010"/>
      <c r="S736" s="4085"/>
      <c r="T736" s="4085"/>
      <c r="U736" s="4085"/>
      <c r="V736" s="4085"/>
      <c r="W736" s="4010"/>
      <c r="X736" s="4085"/>
      <c r="Y736" s="4085"/>
      <c r="Z736" s="4085"/>
      <c r="AA736" s="4085"/>
      <c r="AB736" s="4010"/>
      <c r="AC736" s="4085"/>
      <c r="AD736" s="4085"/>
      <c r="AE736" s="4085"/>
      <c r="AF736" s="4085"/>
      <c r="AG736" s="4010"/>
      <c r="AH736" s="4085"/>
      <c r="AI736" s="4085"/>
      <c r="AJ736" s="4085"/>
      <c r="AK736" s="4085"/>
      <c r="AL736" s="4010"/>
      <c r="AM736" s="4085"/>
      <c r="AN736" s="4085"/>
      <c r="AO736" s="4085"/>
      <c r="AP736" s="4085"/>
      <c r="AQ736" s="4010"/>
      <c r="AR736" s="4085"/>
      <c r="AS736" s="4085"/>
      <c r="AT736" s="4085"/>
      <c r="AU736" s="4085"/>
      <c r="AV736" s="4011"/>
      <c r="AW736" s="4085"/>
      <c r="AX736" s="4085"/>
      <c r="AY736" s="4085"/>
      <c r="AZ736" s="4085"/>
      <c r="BA736" s="4011"/>
      <c r="BB736" s="4085"/>
      <c r="BC736" s="4085"/>
      <c r="BD736" s="4085"/>
      <c r="BE736" s="4085"/>
      <c r="BF736" s="4011"/>
      <c r="BG736" s="4084"/>
      <c r="BH736" s="4085"/>
      <c r="BI736" s="4085"/>
      <c r="BJ736" s="4086"/>
      <c r="BK736" s="4011"/>
      <c r="BL736" s="4085"/>
      <c r="BM736" s="4085"/>
      <c r="BN736" s="4085"/>
      <c r="BO736" s="4086"/>
      <c r="BP736" s="4011"/>
      <c r="BQ736" s="4085"/>
      <c r="BR736" s="4085"/>
      <c r="BS736" s="4085"/>
      <c r="BT736" s="4086"/>
      <c r="BU736" s="2120"/>
      <c r="BV736" s="4085"/>
      <c r="BW736" s="4085"/>
      <c r="BX736" s="4085">
        <f>+$BX$738*0.12</f>
        <v>3.1589999999999998</v>
      </c>
      <c r="BY736" s="4093">
        <f t="shared" si="1436"/>
        <v>3.1589999999999998</v>
      </c>
      <c r="BZ736" s="2120">
        <f t="shared" si="1437"/>
        <v>6.3179999999999996</v>
      </c>
      <c r="CA736" s="4011">
        <f>(98.1+7.2)*0.12</f>
        <v>12.635999999999999</v>
      </c>
      <c r="CB736" s="4094">
        <f>(((98.1+7.2)*0.12)/(AVERAGE('Tables 2'!HK687,'Tables 2'!HF687))*(AVERAGE('Tables 2'!HQ687:HR687)))</f>
        <v>13.02099051653769</v>
      </c>
      <c r="CC736" s="4011"/>
      <c r="CD736" s="4011"/>
      <c r="CE736" s="4011"/>
      <c r="CF736" s="4011"/>
      <c r="CG736" s="4011"/>
      <c r="CH736" s="4087"/>
      <c r="CI736" s="4087"/>
      <c r="CJ736" s="4087"/>
      <c r="CK736" s="4087"/>
      <c r="CL736" s="4087"/>
      <c r="CM736" s="4087"/>
      <c r="CN736" s="4087"/>
      <c r="CO736" s="4087"/>
      <c r="CP736" s="4088"/>
      <c r="CQ736" s="4085"/>
      <c r="CR736" s="4085"/>
      <c r="CS736" s="4085"/>
      <c r="CT736" s="4085"/>
      <c r="CU736" s="4085"/>
      <c r="CV736" s="4085"/>
      <c r="CW736" s="4085"/>
      <c r="CX736" s="4085"/>
      <c r="CY736" s="4085"/>
      <c r="CZ736" s="4085"/>
      <c r="DA736" s="4085"/>
      <c r="DB736" s="4085"/>
      <c r="DC736" s="4085"/>
      <c r="DD736" s="4085"/>
      <c r="DE736" s="4085"/>
      <c r="DF736" s="4085"/>
      <c r="DG736" s="4086"/>
      <c r="DH736" s="2514"/>
      <c r="DI736" s="650"/>
      <c r="DJ736" s="650"/>
      <c r="DK736" s="650"/>
      <c r="DL736" s="650"/>
      <c r="DM736" s="650"/>
      <c r="DN736" s="651"/>
      <c r="DO736" s="4089"/>
      <c r="DP736"/>
      <c r="DQ736"/>
      <c r="DR736"/>
      <c r="DS736"/>
      <c r="DT736"/>
      <c r="DU736"/>
      <c r="DY736" s="4087"/>
      <c r="DZ736" s="4087"/>
    </row>
    <row r="737" spans="1:130" s="4061" customFormat="1" ht="4.5" customHeight="1">
      <c r="A737" s="962"/>
      <c r="B737" s="293"/>
      <c r="C737" s="293"/>
      <c r="D737" s="294" t="s">
        <v>343</v>
      </c>
      <c r="E737" s="295" t="s">
        <v>343</v>
      </c>
      <c r="F737" s="295" t="s">
        <v>343</v>
      </c>
      <c r="G737" s="295" t="s">
        <v>343</v>
      </c>
      <c r="H737" s="296" t="s">
        <v>343</v>
      </c>
      <c r="I737" s="295" t="s">
        <v>343</v>
      </c>
      <c r="J737" s="295" t="s">
        <v>343</v>
      </c>
      <c r="K737" s="295" t="s">
        <v>343</v>
      </c>
      <c r="L737" s="295" t="s">
        <v>343</v>
      </c>
      <c r="M737" s="296" t="s">
        <v>343</v>
      </c>
      <c r="N737" s="295" t="s">
        <v>343</v>
      </c>
      <c r="O737" s="295" t="s">
        <v>343</v>
      </c>
      <c r="P737" s="295" t="s">
        <v>343</v>
      </c>
      <c r="Q737" s="295" t="s">
        <v>343</v>
      </c>
      <c r="R737" s="296" t="s">
        <v>343</v>
      </c>
      <c r="S737" s="295" t="s">
        <v>343</v>
      </c>
      <c r="T737" s="295" t="s">
        <v>343</v>
      </c>
      <c r="U737" s="295" t="s">
        <v>343</v>
      </c>
      <c r="V737" s="295" t="s">
        <v>343</v>
      </c>
      <c r="W737" s="296" t="s">
        <v>343</v>
      </c>
      <c r="X737" s="295" t="s">
        <v>343</v>
      </c>
      <c r="Y737" s="295" t="s">
        <v>343</v>
      </c>
      <c r="Z737" s="295" t="s">
        <v>343</v>
      </c>
      <c r="AA737" s="295" t="s">
        <v>343</v>
      </c>
      <c r="AB737" s="296" t="s">
        <v>343</v>
      </c>
      <c r="AC737" s="295" t="s">
        <v>343</v>
      </c>
      <c r="AD737" s="295" t="s">
        <v>343</v>
      </c>
      <c r="AE737" s="295" t="s">
        <v>343</v>
      </c>
      <c r="AF737" s="295" t="s">
        <v>343</v>
      </c>
      <c r="AG737" s="296" t="s">
        <v>343</v>
      </c>
      <c r="AH737" s="295" t="s">
        <v>343</v>
      </c>
      <c r="AI737" s="295" t="s">
        <v>343</v>
      </c>
      <c r="AJ737" s="295" t="s">
        <v>343</v>
      </c>
      <c r="AK737" s="295" t="s">
        <v>343</v>
      </c>
      <c r="AL737" s="296" t="s">
        <v>343</v>
      </c>
      <c r="AM737" s="295" t="s">
        <v>343</v>
      </c>
      <c r="AN737" s="295" t="s">
        <v>343</v>
      </c>
      <c r="AO737" s="295" t="s">
        <v>343</v>
      </c>
      <c r="AP737" s="295" t="s">
        <v>343</v>
      </c>
      <c r="AQ737" s="296" t="s">
        <v>343</v>
      </c>
      <c r="AR737" s="295" t="s">
        <v>343</v>
      </c>
      <c r="AS737" s="295" t="s">
        <v>343</v>
      </c>
      <c r="AT737" s="295" t="s">
        <v>343</v>
      </c>
      <c r="AU737" s="295" t="s">
        <v>343</v>
      </c>
      <c r="AV737" s="296" t="s">
        <v>343</v>
      </c>
      <c r="AW737" s="295" t="s">
        <v>343</v>
      </c>
      <c r="AX737" s="295" t="s">
        <v>343</v>
      </c>
      <c r="AY737" s="295" t="s">
        <v>343</v>
      </c>
      <c r="AZ737" s="295" t="s">
        <v>343</v>
      </c>
      <c r="BA737" s="296" t="s">
        <v>343</v>
      </c>
      <c r="BB737" s="295" t="s">
        <v>343</v>
      </c>
      <c r="BC737" s="295" t="s">
        <v>343</v>
      </c>
      <c r="BD737" s="295" t="s">
        <v>343</v>
      </c>
      <c r="BE737" s="295" t="s">
        <v>343</v>
      </c>
      <c r="BF737" s="296" t="s">
        <v>343</v>
      </c>
      <c r="BG737" s="295" t="s">
        <v>343</v>
      </c>
      <c r="BH737" s="295" t="s">
        <v>343</v>
      </c>
      <c r="BI737" s="295" t="s">
        <v>343</v>
      </c>
      <c r="BJ737" s="297" t="s">
        <v>343</v>
      </c>
      <c r="BK737" s="296" t="s">
        <v>343</v>
      </c>
      <c r="BL737" s="295" t="s">
        <v>343</v>
      </c>
      <c r="BM737" s="295" t="s">
        <v>343</v>
      </c>
      <c r="BN737" s="295" t="s">
        <v>343</v>
      </c>
      <c r="BO737" s="297" t="s">
        <v>343</v>
      </c>
      <c r="BP737" s="296" t="s">
        <v>343</v>
      </c>
      <c r="BQ737" s="295" t="s">
        <v>343</v>
      </c>
      <c r="BR737" s="295" t="s">
        <v>343</v>
      </c>
      <c r="BS737" s="295" t="s">
        <v>343</v>
      </c>
      <c r="BT737" s="297" t="s">
        <v>343</v>
      </c>
      <c r="BU737" s="3314" t="s">
        <v>343</v>
      </c>
      <c r="BV737" s="295" t="s">
        <v>343</v>
      </c>
      <c r="BW737" s="295" t="s">
        <v>343</v>
      </c>
      <c r="BX737" s="295" t="s">
        <v>343</v>
      </c>
      <c r="BY737" s="295" t="s">
        <v>343</v>
      </c>
      <c r="BZ737" s="296" t="s">
        <v>343</v>
      </c>
      <c r="CA737" s="297" t="s">
        <v>343</v>
      </c>
      <c r="CB737" s="297" t="s">
        <v>343</v>
      </c>
      <c r="CC737" s="297" t="s">
        <v>343</v>
      </c>
      <c r="CD737" s="297" t="s">
        <v>343</v>
      </c>
      <c r="CE737" s="297" t="s">
        <v>343</v>
      </c>
      <c r="CF737" s="297" t="s">
        <v>343</v>
      </c>
      <c r="CG737" s="297" t="s">
        <v>343</v>
      </c>
      <c r="CH737" s="295"/>
      <c r="CI737" s="295"/>
      <c r="CJ737" s="295"/>
      <c r="CK737" s="295"/>
      <c r="CL737" s="295"/>
      <c r="CM737" s="295"/>
      <c r="CN737" s="295"/>
      <c r="CO737" s="295"/>
      <c r="CP737" s="1784"/>
      <c r="CQ737" s="295" t="str">
        <f>H737</f>
        <v xml:space="preserve">                </v>
      </c>
      <c r="CR737" s="295" t="str">
        <f>M737</f>
        <v xml:space="preserve">                </v>
      </c>
      <c r="CS737" s="295" t="str">
        <f>R737</f>
        <v xml:space="preserve">                </v>
      </c>
      <c r="CT737" s="295" t="str">
        <f>W737</f>
        <v xml:space="preserve">                </v>
      </c>
      <c r="CU737" s="295" t="str">
        <f>AB737</f>
        <v xml:space="preserve">                </v>
      </c>
      <c r="CV737" s="295" t="str">
        <f>AG737</f>
        <v xml:space="preserve">                </v>
      </c>
      <c r="CW737" s="295" t="str">
        <f>AL737</f>
        <v xml:space="preserve">                </v>
      </c>
      <c r="CX737" s="295" t="str">
        <f>AQ737</f>
        <v xml:space="preserve">                </v>
      </c>
      <c r="CY737" s="295" t="str">
        <f>AV737</f>
        <v xml:space="preserve">                </v>
      </c>
      <c r="CZ737" s="295" t="str">
        <f>BA737</f>
        <v xml:space="preserve">                </v>
      </c>
      <c r="DA737" s="295" t="str">
        <f>BF737</f>
        <v xml:space="preserve">                </v>
      </c>
      <c r="DB737" s="295" t="str">
        <f>BK737</f>
        <v xml:space="preserve">                </v>
      </c>
      <c r="DC737" s="295" t="str">
        <f>BP737</f>
        <v xml:space="preserve">                </v>
      </c>
      <c r="DD737" s="295" t="str">
        <f>BU737</f>
        <v xml:space="preserve">                </v>
      </c>
      <c r="DE737" s="295" t="str">
        <f>BZ737</f>
        <v xml:space="preserve">                </v>
      </c>
      <c r="DF737" s="295" t="str">
        <f>CA737</f>
        <v xml:space="preserve">                </v>
      </c>
      <c r="DG737" s="297" t="str">
        <f>CB737</f>
        <v xml:space="preserve">                </v>
      </c>
      <c r="DH737" s="298"/>
      <c r="DI737" s="299"/>
      <c r="DJ737" s="299"/>
      <c r="DK737" s="299"/>
      <c r="DL737" s="299"/>
      <c r="DM737" s="299"/>
      <c r="DN737" s="299"/>
      <c r="DO737" s="300"/>
      <c r="DP737"/>
      <c r="DQ737"/>
      <c r="DR737"/>
      <c r="DS737"/>
      <c r="DT737"/>
      <c r="DU737"/>
      <c r="DY737" s="295"/>
      <c r="DZ737" s="295"/>
    </row>
    <row r="738" spans="1:130" s="4136" customFormat="1" ht="12" customHeight="1">
      <c r="A738" s="4126" t="s">
        <v>310</v>
      </c>
      <c r="B738" s="837"/>
      <c r="C738" s="837"/>
      <c r="D738" s="4127"/>
      <c r="E738" s="4128"/>
      <c r="F738" s="4128"/>
      <c r="G738" s="4128"/>
      <c r="H738" s="4129"/>
      <c r="I738" s="4128"/>
      <c r="J738" s="4128"/>
      <c r="K738" s="4128"/>
      <c r="L738" s="4128"/>
      <c r="M738" s="4129"/>
      <c r="N738" s="4128"/>
      <c r="O738" s="4128"/>
      <c r="P738" s="4128"/>
      <c r="Q738" s="4128"/>
      <c r="R738" s="4129"/>
      <c r="S738" s="4128"/>
      <c r="T738" s="4128"/>
      <c r="U738" s="4128"/>
      <c r="V738" s="4128"/>
      <c r="W738" s="4129"/>
      <c r="X738" s="4128"/>
      <c r="Y738" s="4128"/>
      <c r="Z738" s="4128"/>
      <c r="AA738" s="4128"/>
      <c r="AB738" s="4129"/>
      <c r="AC738" s="4128"/>
      <c r="AD738" s="4128"/>
      <c r="AE738" s="4128"/>
      <c r="AF738" s="4128"/>
      <c r="AG738" s="4129"/>
      <c r="AH738" s="4128"/>
      <c r="AI738" s="4128"/>
      <c r="AJ738" s="4128"/>
      <c r="AK738" s="4128"/>
      <c r="AL738" s="4129"/>
      <c r="AM738" s="4128"/>
      <c r="AN738" s="4128"/>
      <c r="AO738" s="4128"/>
      <c r="AP738" s="4128"/>
      <c r="AQ738" s="4129"/>
      <c r="AR738" s="4128"/>
      <c r="AS738" s="4128"/>
      <c r="AT738" s="4128"/>
      <c r="AU738" s="4128"/>
      <c r="AV738" s="4130"/>
      <c r="AW738" s="4128"/>
      <c r="AX738" s="4128"/>
      <c r="AY738" s="4128"/>
      <c r="AZ738" s="4128"/>
      <c r="BA738" s="4130"/>
      <c r="BB738" s="4128"/>
      <c r="BC738" s="4128"/>
      <c r="BD738" s="4128"/>
      <c r="BE738" s="4128"/>
      <c r="BF738" s="4130"/>
      <c r="BG738" s="4127"/>
      <c r="BH738" s="4128"/>
      <c r="BI738" s="4128"/>
      <c r="BJ738" s="4131"/>
      <c r="BK738" s="4130"/>
      <c r="BL738" s="4128"/>
      <c r="BM738" s="4128"/>
      <c r="BN738" s="4128"/>
      <c r="BO738" s="4131"/>
      <c r="BP738" s="4130"/>
      <c r="BQ738" s="4128"/>
      <c r="BR738" s="4128"/>
      <c r="BS738" s="4128"/>
      <c r="BT738" s="4131"/>
      <c r="BU738" s="4132"/>
      <c r="BV738" s="4128"/>
      <c r="BW738" s="4128"/>
      <c r="BX738" s="4137">
        <f>(98.1+7.2)/4</f>
        <v>26.324999999999999</v>
      </c>
      <c r="BY738" s="4131">
        <f>+SUM(BY734:BY737)</f>
        <v>26.324999999999999</v>
      </c>
      <c r="BZ738" s="4132">
        <f t="shared" si="1437"/>
        <v>52.65</v>
      </c>
      <c r="CA738" s="4130">
        <f t="shared" ref="CA738:CB738" si="1438">+SUM(CA734:CA737)</f>
        <v>106.10028</v>
      </c>
      <c r="CB738" s="4130">
        <f t="shared" si="1438"/>
        <v>108.1018361165377</v>
      </c>
      <c r="CC738" s="4130"/>
      <c r="CD738" s="4130"/>
      <c r="CE738" s="4130"/>
      <c r="CF738" s="4130"/>
      <c r="CG738" s="4130"/>
      <c r="CH738" s="4133"/>
      <c r="CI738" s="4133"/>
      <c r="CJ738" s="4133"/>
      <c r="CK738" s="4133"/>
      <c r="CL738" s="4133"/>
      <c r="CM738" s="4133"/>
      <c r="CN738" s="4133"/>
      <c r="CO738" s="4133"/>
      <c r="CP738" s="4134"/>
      <c r="CQ738" s="4128"/>
      <c r="CR738" s="4128"/>
      <c r="CS738" s="4128"/>
      <c r="CT738" s="4128"/>
      <c r="CU738" s="4128"/>
      <c r="CV738" s="4128"/>
      <c r="CW738" s="4128"/>
      <c r="CX738" s="4128"/>
      <c r="CY738" s="4128"/>
      <c r="CZ738" s="4128"/>
      <c r="DA738" s="4128"/>
      <c r="DB738" s="4128"/>
      <c r="DC738" s="4128"/>
      <c r="DD738" s="4128"/>
      <c r="DE738" s="4128"/>
      <c r="DF738" s="4128"/>
      <c r="DG738" s="4131"/>
      <c r="DH738" s="4135"/>
      <c r="DI738" s="838"/>
      <c r="DJ738" s="838"/>
      <c r="DK738" s="838"/>
      <c r="DL738" s="838"/>
      <c r="DM738" s="838"/>
      <c r="DN738" s="632"/>
      <c r="DO738" s="3086"/>
      <c r="DP738"/>
      <c r="DQ738"/>
      <c r="DR738"/>
      <c r="DS738"/>
      <c r="DT738"/>
      <c r="DU738"/>
      <c r="DY738" s="4133"/>
      <c r="DZ738" s="4133"/>
    </row>
    <row r="739" spans="1:130" s="4091" customFormat="1" ht="12" customHeight="1">
      <c r="A739" s="4083"/>
      <c r="B739" s="675"/>
      <c r="C739" s="675"/>
      <c r="D739" s="4084"/>
      <c r="E739" s="4085"/>
      <c r="F739" s="4085"/>
      <c r="G739" s="4085"/>
      <c r="H739" s="4010"/>
      <c r="I739" s="4085"/>
      <c r="J739" s="4085"/>
      <c r="K739" s="4085"/>
      <c r="L739" s="4085"/>
      <c r="M739" s="4010"/>
      <c r="N739" s="4085"/>
      <c r="O739" s="4085"/>
      <c r="P739" s="4085"/>
      <c r="Q739" s="4085"/>
      <c r="R739" s="4010"/>
      <c r="S739" s="4085"/>
      <c r="T739" s="4085"/>
      <c r="U739" s="4085"/>
      <c r="V739" s="4085"/>
      <c r="W739" s="4010"/>
      <c r="X739" s="4085"/>
      <c r="Y739" s="4085"/>
      <c r="Z739" s="4085"/>
      <c r="AA739" s="4085"/>
      <c r="AB739" s="4010"/>
      <c r="AC739" s="4085"/>
      <c r="AD739" s="4085"/>
      <c r="AE739" s="4085"/>
      <c r="AF739" s="4085"/>
      <c r="AG739" s="4010"/>
      <c r="AH739" s="4085"/>
      <c r="AI739" s="4085"/>
      <c r="AJ739" s="4085"/>
      <c r="AK739" s="4085"/>
      <c r="AL739" s="4010"/>
      <c r="AM739" s="4085"/>
      <c r="AN739" s="4085"/>
      <c r="AO739" s="4085"/>
      <c r="AP739" s="4085"/>
      <c r="AQ739" s="4010"/>
      <c r="AR739" s="4085"/>
      <c r="AS739" s="4085"/>
      <c r="AT739" s="4085"/>
      <c r="AU739" s="4085"/>
      <c r="AV739" s="4011"/>
      <c r="AW739" s="4085"/>
      <c r="AX739" s="4085"/>
      <c r="AY739" s="4085"/>
      <c r="AZ739" s="4085"/>
      <c r="BA739" s="4011"/>
      <c r="BB739" s="4085"/>
      <c r="BC739" s="4085"/>
      <c r="BD739" s="4085"/>
      <c r="BE739" s="4085"/>
      <c r="BF739" s="4011"/>
      <c r="BG739" s="4084"/>
      <c r="BH739" s="4085"/>
      <c r="BI739" s="4085"/>
      <c r="BJ739" s="4086"/>
      <c r="BK739" s="4011"/>
      <c r="BL739" s="4085"/>
      <c r="BM739" s="4085"/>
      <c r="BN739" s="4085"/>
      <c r="BO739" s="4086"/>
      <c r="BP739" s="4011"/>
      <c r="BQ739" s="4085"/>
      <c r="BR739" s="4085"/>
      <c r="BS739" s="4085"/>
      <c r="BT739" s="4086"/>
      <c r="BU739" s="2120"/>
      <c r="BV739" s="4085"/>
      <c r="BW739" s="4085"/>
      <c r="BX739" s="4092"/>
      <c r="BY739" s="4086"/>
      <c r="BZ739" s="2120"/>
      <c r="CA739" s="4011"/>
      <c r="CB739" s="4011"/>
      <c r="CC739" s="4011"/>
      <c r="CD739" s="4011"/>
      <c r="CE739" s="4011"/>
      <c r="CF739" s="4011"/>
      <c r="CG739" s="4011"/>
      <c r="CH739" s="4087"/>
      <c r="CI739" s="4087"/>
      <c r="CJ739" s="4087"/>
      <c r="CK739" s="4087"/>
      <c r="CL739" s="4087"/>
      <c r="CM739" s="4087"/>
      <c r="CN739" s="4087"/>
      <c r="CO739" s="4087"/>
      <c r="CP739" s="4088"/>
      <c r="CQ739" s="4085"/>
      <c r="CR739" s="4085"/>
      <c r="CS739" s="4085"/>
      <c r="CT739" s="4085"/>
      <c r="CU739" s="4085"/>
      <c r="CV739" s="4085"/>
      <c r="CW739" s="4085"/>
      <c r="CX739" s="4085"/>
      <c r="CY739" s="4085"/>
      <c r="CZ739" s="4085"/>
      <c r="DA739" s="4085"/>
      <c r="DB739" s="4085"/>
      <c r="DC739" s="4085"/>
      <c r="DD739" s="4085"/>
      <c r="DE739" s="4085"/>
      <c r="DF739" s="4085"/>
      <c r="DG739" s="4086"/>
      <c r="DH739" s="2514"/>
      <c r="DI739" s="650"/>
      <c r="DJ739" s="650"/>
      <c r="DK739" s="650"/>
      <c r="DL739" s="650"/>
      <c r="DM739" s="650"/>
      <c r="DN739" s="651"/>
      <c r="DO739" s="4089"/>
      <c r="DP739"/>
      <c r="DQ739"/>
      <c r="DR739"/>
      <c r="DS739"/>
      <c r="DT739"/>
      <c r="DU739"/>
      <c r="DY739" s="4087"/>
      <c r="DZ739" s="4087"/>
    </row>
    <row r="740" spans="1:130" s="4109" customFormat="1" ht="12" customHeight="1">
      <c r="A740" s="4095" t="s">
        <v>1985</v>
      </c>
      <c r="B740" s="4096"/>
      <c r="C740" s="4096"/>
      <c r="D740" s="4097"/>
      <c r="E740" s="4098"/>
      <c r="F740" s="4098"/>
      <c r="G740" s="4098"/>
      <c r="H740" s="4099"/>
      <c r="I740" s="4098"/>
      <c r="J740" s="4098"/>
      <c r="K740" s="4098"/>
      <c r="L740" s="4098"/>
      <c r="M740" s="4099"/>
      <c r="N740" s="4098"/>
      <c r="O740" s="4098"/>
      <c r="P740" s="4098"/>
      <c r="Q740" s="4098"/>
      <c r="R740" s="4099"/>
      <c r="S740" s="4098"/>
      <c r="T740" s="4098"/>
      <c r="U740" s="4098"/>
      <c r="V740" s="4098"/>
      <c r="W740" s="4099"/>
      <c r="X740" s="4098"/>
      <c r="Y740" s="4098"/>
      <c r="Z740" s="4098"/>
      <c r="AA740" s="4098"/>
      <c r="AB740" s="4099"/>
      <c r="AC740" s="4098"/>
      <c r="AD740" s="4098"/>
      <c r="AE740" s="4098"/>
      <c r="AF740" s="4098"/>
      <c r="AG740" s="4099"/>
      <c r="AH740" s="4098"/>
      <c r="AI740" s="4098"/>
      <c r="AJ740" s="4098"/>
      <c r="AK740" s="4098"/>
      <c r="AL740" s="4099"/>
      <c r="AM740" s="4098"/>
      <c r="AN740" s="4098"/>
      <c r="AO740" s="4098"/>
      <c r="AP740" s="4098"/>
      <c r="AQ740" s="4099"/>
      <c r="AR740" s="4098"/>
      <c r="AS740" s="4098"/>
      <c r="AT740" s="4098"/>
      <c r="AU740" s="4098"/>
      <c r="AV740" s="4100"/>
      <c r="AW740" s="4098"/>
      <c r="AX740" s="4098"/>
      <c r="AY740" s="4098"/>
      <c r="AZ740" s="4098"/>
      <c r="BA740" s="4100"/>
      <c r="BB740" s="4098"/>
      <c r="BC740" s="4098"/>
      <c r="BD740" s="4098"/>
      <c r="BE740" s="4098"/>
      <c r="BF740" s="4100"/>
      <c r="BG740" s="4097"/>
      <c r="BH740" s="4098"/>
      <c r="BI740" s="4098"/>
      <c r="BJ740" s="4101"/>
      <c r="BK740" s="4100"/>
      <c r="BL740" s="4098"/>
      <c r="BM740" s="4098"/>
      <c r="BN740" s="4098"/>
      <c r="BO740" s="4101"/>
      <c r="BP740" s="4100"/>
      <c r="BQ740" s="4098"/>
      <c r="BR740" s="4098"/>
      <c r="BS740" s="4098"/>
      <c r="BT740" s="4101"/>
      <c r="BU740" s="4102"/>
      <c r="BV740" s="4098"/>
      <c r="BW740" s="4098"/>
      <c r="BX740" s="4103"/>
      <c r="BY740" s="4101"/>
      <c r="BZ740" s="4102">
        <f>+'Tables 2'!HP698/BYD!BZ738</f>
        <v>1.8866556043576688</v>
      </c>
      <c r="CA740" s="4102">
        <f>+'Tables 2'!HQ698/BYD!CA738</f>
        <v>1.8972617225892336</v>
      </c>
      <c r="CB740" s="4102">
        <f>+'Tables 2'!HR698/BYD!CB738</f>
        <v>1.9467847988409999</v>
      </c>
      <c r="CC740" s="4100"/>
      <c r="CD740" s="4100"/>
      <c r="CE740" s="4100"/>
      <c r="CF740" s="4100"/>
      <c r="CG740" s="4100"/>
      <c r="CH740" s="4104"/>
      <c r="CI740" s="4104"/>
      <c r="CJ740" s="4104"/>
      <c r="CK740" s="4104"/>
      <c r="CL740" s="4104"/>
      <c r="CM740" s="4104"/>
      <c r="CN740" s="4104"/>
      <c r="CO740" s="4104"/>
      <c r="CP740" s="2535"/>
      <c r="CQ740" s="4098"/>
      <c r="CR740" s="4098"/>
      <c r="CS740" s="4098"/>
      <c r="CT740" s="4098"/>
      <c r="CU740" s="4098"/>
      <c r="CV740" s="4098"/>
      <c r="CW740" s="4098"/>
      <c r="CX740" s="4098"/>
      <c r="CY740" s="4098"/>
      <c r="CZ740" s="4098"/>
      <c r="DA740" s="4098"/>
      <c r="DB740" s="4098"/>
      <c r="DC740" s="4098"/>
      <c r="DD740" s="4098"/>
      <c r="DE740" s="4098"/>
      <c r="DF740" s="4098"/>
      <c r="DG740" s="4101"/>
      <c r="DH740" s="4105"/>
      <c r="DI740" s="4106"/>
      <c r="DJ740" s="4106"/>
      <c r="DK740" s="4106"/>
      <c r="DL740" s="4106"/>
      <c r="DM740" s="4106"/>
      <c r="DN740" s="4107"/>
      <c r="DO740" s="4108"/>
      <c r="DP740"/>
      <c r="DQ740"/>
      <c r="DR740"/>
      <c r="DS740"/>
      <c r="DT740"/>
      <c r="DU740"/>
      <c r="DY740" s="4104"/>
      <c r="DZ740" s="4104"/>
    </row>
    <row r="741" spans="1:130" s="4109" customFormat="1" ht="12" customHeight="1">
      <c r="A741" s="4095"/>
      <c r="B741" s="4096"/>
      <c r="C741" s="4096"/>
      <c r="D741" s="4097"/>
      <c r="E741" s="4098"/>
      <c r="F741" s="4098"/>
      <c r="G741" s="4098"/>
      <c r="H741" s="4099"/>
      <c r="I741" s="4098"/>
      <c r="J741" s="4098"/>
      <c r="K741" s="4098"/>
      <c r="L741" s="4098"/>
      <c r="M741" s="4099"/>
      <c r="N741" s="4098"/>
      <c r="O741" s="4098"/>
      <c r="P741" s="4098"/>
      <c r="Q741" s="4098"/>
      <c r="R741" s="4099"/>
      <c r="S741" s="4098"/>
      <c r="T741" s="4098"/>
      <c r="U741" s="4098"/>
      <c r="V741" s="4098"/>
      <c r="W741" s="4099"/>
      <c r="X741" s="4098"/>
      <c r="Y741" s="4098"/>
      <c r="Z741" s="4098"/>
      <c r="AA741" s="4098"/>
      <c r="AB741" s="4099"/>
      <c r="AC741" s="4098"/>
      <c r="AD741" s="4098"/>
      <c r="AE741" s="4098"/>
      <c r="AF741" s="4098"/>
      <c r="AG741" s="4099"/>
      <c r="AH741" s="4098"/>
      <c r="AI741" s="4098"/>
      <c r="AJ741" s="4098"/>
      <c r="AK741" s="4098"/>
      <c r="AL741" s="4099"/>
      <c r="AM741" s="4098"/>
      <c r="AN741" s="4098"/>
      <c r="AO741" s="4098"/>
      <c r="AP741" s="4098"/>
      <c r="AQ741" s="4099"/>
      <c r="AR741" s="4098"/>
      <c r="AS741" s="4098"/>
      <c r="AT741" s="4098"/>
      <c r="AU741" s="4098"/>
      <c r="AV741" s="4100"/>
      <c r="AW741" s="4098"/>
      <c r="AX741" s="4098"/>
      <c r="AY741" s="4098"/>
      <c r="AZ741" s="4098"/>
      <c r="BA741" s="4100"/>
      <c r="BB741" s="4098"/>
      <c r="BC741" s="4098"/>
      <c r="BD741" s="4098"/>
      <c r="BE741" s="4098"/>
      <c r="BF741" s="4100"/>
      <c r="BG741" s="4097"/>
      <c r="BH741" s="4098"/>
      <c r="BI741" s="4098"/>
      <c r="BJ741" s="4101"/>
      <c r="BK741" s="4100"/>
      <c r="BL741" s="4098"/>
      <c r="BM741" s="4098"/>
      <c r="BN741" s="4098"/>
      <c r="BO741" s="4101"/>
      <c r="BP741" s="4100"/>
      <c r="BQ741" s="4098"/>
      <c r="BR741" s="4098"/>
      <c r="BS741" s="4098"/>
      <c r="BT741" s="4101"/>
      <c r="BU741" s="4102"/>
      <c r="BV741" s="4098"/>
      <c r="BW741" s="4098"/>
      <c r="BX741" s="4103"/>
      <c r="BY741" s="4101"/>
      <c r="BZ741" s="4102"/>
      <c r="CA741" s="4102"/>
      <c r="CB741" s="4102"/>
      <c r="CC741" s="4100"/>
      <c r="CD741" s="4100"/>
      <c r="CE741" s="4100"/>
      <c r="CF741" s="4100"/>
      <c r="CG741" s="4100"/>
      <c r="CH741" s="4104"/>
      <c r="CI741" s="4104"/>
      <c r="CJ741" s="4104"/>
      <c r="CK741" s="4104"/>
      <c r="CL741" s="4104"/>
      <c r="CM741" s="4104"/>
      <c r="CN741" s="4104"/>
      <c r="CO741" s="4104"/>
      <c r="CP741" s="2535"/>
      <c r="CQ741" s="4098"/>
      <c r="CR741" s="4098"/>
      <c r="CS741" s="4098"/>
      <c r="CT741" s="4098"/>
      <c r="CU741" s="4098"/>
      <c r="CV741" s="4098"/>
      <c r="CW741" s="4098"/>
      <c r="CX741" s="4098"/>
      <c r="CY741" s="4098"/>
      <c r="CZ741" s="4098"/>
      <c r="DA741" s="4098"/>
      <c r="DB741" s="4098"/>
      <c r="DC741" s="4098"/>
      <c r="DD741" s="4098"/>
      <c r="DE741" s="4098"/>
      <c r="DF741" s="4098"/>
      <c r="DG741" s="4101"/>
      <c r="DH741" s="4105"/>
      <c r="DI741" s="4106"/>
      <c r="DJ741" s="4106"/>
      <c r="DK741" s="4106"/>
      <c r="DL741" s="4106"/>
      <c r="DM741" s="4106"/>
      <c r="DN741" s="4107"/>
      <c r="DO741" s="4108"/>
      <c r="DP741"/>
      <c r="DQ741"/>
      <c r="DR741"/>
      <c r="DS741"/>
      <c r="DT741"/>
      <c r="DU741"/>
      <c r="DY741" s="4104"/>
      <c r="DZ741" s="4104"/>
    </row>
    <row r="742" spans="1:130" s="4136" customFormat="1" ht="12" customHeight="1">
      <c r="A742" s="4126" t="s">
        <v>1988</v>
      </c>
      <c r="B742" s="837"/>
      <c r="C742" s="837"/>
      <c r="D742" s="4127"/>
      <c r="E742" s="4128"/>
      <c r="F742" s="4128"/>
      <c r="G742" s="4128"/>
      <c r="H742" s="4129"/>
      <c r="I742" s="4128"/>
      <c r="J742" s="4128"/>
      <c r="K742" s="4128"/>
      <c r="L742" s="4128"/>
      <c r="M742" s="4129"/>
      <c r="N742" s="4128"/>
      <c r="O742" s="4128"/>
      <c r="P742" s="4128"/>
      <c r="Q742" s="4128"/>
      <c r="R742" s="4129"/>
      <c r="S742" s="4128"/>
      <c r="T742" s="4128"/>
      <c r="U742" s="4128"/>
      <c r="V742" s="4128"/>
      <c r="W742" s="4129"/>
      <c r="X742" s="4128"/>
      <c r="Y742" s="4128"/>
      <c r="Z742" s="4128"/>
      <c r="AA742" s="4128"/>
      <c r="AB742" s="4129"/>
      <c r="AC742" s="4128"/>
      <c r="AD742" s="4128"/>
      <c r="AE742" s="4128"/>
      <c r="AF742" s="4128"/>
      <c r="AG742" s="4129"/>
      <c r="AH742" s="4128"/>
      <c r="AI742" s="4128"/>
      <c r="AJ742" s="4128"/>
      <c r="AK742" s="4128"/>
      <c r="AL742" s="4129"/>
      <c r="AM742" s="4128"/>
      <c r="AN742" s="4128"/>
      <c r="AO742" s="4128"/>
      <c r="AP742" s="4128"/>
      <c r="AQ742" s="4129"/>
      <c r="AR742" s="4128"/>
      <c r="AS742" s="4128"/>
      <c r="AT742" s="4128"/>
      <c r="AU742" s="4128"/>
      <c r="AV742" s="4130"/>
      <c r="AW742" s="4128"/>
      <c r="AX742" s="4128"/>
      <c r="AY742" s="4128"/>
      <c r="AZ742" s="4128"/>
      <c r="BA742" s="4130"/>
      <c r="BB742" s="4128"/>
      <c r="BC742" s="4128"/>
      <c r="BD742" s="4128"/>
      <c r="BE742" s="4128"/>
      <c r="BF742" s="4130"/>
      <c r="BG742" s="4127"/>
      <c r="BH742" s="4128"/>
      <c r="BI742" s="4128"/>
      <c r="BJ742" s="4131"/>
      <c r="BK742" s="4130"/>
      <c r="BL742" s="4128"/>
      <c r="BM742" s="4128"/>
      <c r="BN742" s="4128"/>
      <c r="BO742" s="4131"/>
      <c r="BP742" s="4130"/>
      <c r="BQ742" s="4128"/>
      <c r="BR742" s="4128"/>
      <c r="BS742" s="4128"/>
      <c r="BT742" s="4131"/>
      <c r="BU742" s="4132"/>
      <c r="BV742" s="4128"/>
      <c r="BW742" s="4128"/>
      <c r="BX742" s="4128">
        <f>+BX$738*BX744</f>
        <v>22.902749999999997</v>
      </c>
      <c r="BY742" s="4131">
        <f t="shared" ref="BY742:CB742" si="1439">+BY$738*BY744</f>
        <v>22.902749999999997</v>
      </c>
      <c r="BZ742" s="4132">
        <f t="shared" si="1439"/>
        <v>45.805499999999995</v>
      </c>
      <c r="CA742" s="4132">
        <f t="shared" si="1439"/>
        <v>92.307243599999993</v>
      </c>
      <c r="CB742" s="4132">
        <f t="shared" si="1439"/>
        <v>94.048597421387797</v>
      </c>
      <c r="CC742" s="4130"/>
      <c r="CD742" s="4130"/>
      <c r="CE742" s="4130"/>
      <c r="CF742" s="4130"/>
      <c r="CG742" s="4130"/>
      <c r="CH742" s="4133"/>
      <c r="CI742" s="4133"/>
      <c r="CJ742" s="4133"/>
      <c r="CK742" s="4133"/>
      <c r="CL742" s="4133"/>
      <c r="CM742" s="4133"/>
      <c r="CN742" s="4133"/>
      <c r="CO742" s="4133"/>
      <c r="CP742" s="4134"/>
      <c r="CQ742" s="4128"/>
      <c r="CR742" s="4128"/>
      <c r="CS742" s="4128"/>
      <c r="CT742" s="4128"/>
      <c r="CU742" s="4128"/>
      <c r="CV742" s="4128"/>
      <c r="CW742" s="4128"/>
      <c r="CX742" s="4128"/>
      <c r="CY742" s="4128"/>
      <c r="CZ742" s="4128"/>
      <c r="DA742" s="4128"/>
      <c r="DB742" s="4128"/>
      <c r="DC742" s="4128"/>
      <c r="DD742" s="4128"/>
      <c r="DE742" s="4128"/>
      <c r="DF742" s="4128"/>
      <c r="DG742" s="4131"/>
      <c r="DH742" s="4135"/>
      <c r="DI742" s="838"/>
      <c r="DJ742" s="838"/>
      <c r="DK742" s="838"/>
      <c r="DL742" s="838"/>
      <c r="DM742" s="838"/>
      <c r="DN742" s="632"/>
      <c r="DO742" s="3086"/>
      <c r="DP742"/>
      <c r="DQ742"/>
      <c r="DR742"/>
      <c r="DS742"/>
      <c r="DT742"/>
      <c r="DU742"/>
      <c r="DY742" s="4133"/>
      <c r="DZ742" s="4133"/>
    </row>
    <row r="743" spans="1:130" s="4091" customFormat="1" ht="12" customHeight="1">
      <c r="A743" s="4083" t="s">
        <v>1989</v>
      </c>
      <c r="B743" s="675"/>
      <c r="C743" s="675"/>
      <c r="D743" s="4084"/>
      <c r="E743" s="4085"/>
      <c r="F743" s="4085"/>
      <c r="G743" s="4085"/>
      <c r="H743" s="4010"/>
      <c r="I743" s="4085"/>
      <c r="J743" s="4085"/>
      <c r="K743" s="4085"/>
      <c r="L743" s="4085"/>
      <c r="M743" s="4010"/>
      <c r="N743" s="4085"/>
      <c r="O743" s="4085"/>
      <c r="P743" s="4085"/>
      <c r="Q743" s="4085"/>
      <c r="R743" s="4010"/>
      <c r="S743" s="4085"/>
      <c r="T743" s="4085"/>
      <c r="U743" s="4085"/>
      <c r="V743" s="4085"/>
      <c r="W743" s="4010"/>
      <c r="X743" s="4085"/>
      <c r="Y743" s="4085"/>
      <c r="Z743" s="4085"/>
      <c r="AA743" s="4085"/>
      <c r="AB743" s="4010"/>
      <c r="AC743" s="4085"/>
      <c r="AD743" s="4085"/>
      <c r="AE743" s="4085"/>
      <c r="AF743" s="4085"/>
      <c r="AG743" s="4010"/>
      <c r="AH743" s="4085"/>
      <c r="AI743" s="4085"/>
      <c r="AJ743" s="4085"/>
      <c r="AK743" s="4085"/>
      <c r="AL743" s="4010"/>
      <c r="AM743" s="4085"/>
      <c r="AN743" s="4085"/>
      <c r="AO743" s="4085"/>
      <c r="AP743" s="4085"/>
      <c r="AQ743" s="4010"/>
      <c r="AR743" s="4085"/>
      <c r="AS743" s="4085"/>
      <c r="AT743" s="4085"/>
      <c r="AU743" s="4085"/>
      <c r="AV743" s="4011"/>
      <c r="AW743" s="4085"/>
      <c r="AX743" s="4085"/>
      <c r="AY743" s="4085"/>
      <c r="AZ743" s="4085"/>
      <c r="BA743" s="4011"/>
      <c r="BB743" s="4085"/>
      <c r="BC743" s="4085"/>
      <c r="BD743" s="4085"/>
      <c r="BE743" s="4085"/>
      <c r="BF743" s="4011"/>
      <c r="BG743" s="4084"/>
      <c r="BH743" s="4085"/>
      <c r="BI743" s="4085"/>
      <c r="BJ743" s="4086"/>
      <c r="BK743" s="4011"/>
      <c r="BL743" s="4085"/>
      <c r="BM743" s="4085"/>
      <c r="BN743" s="4085"/>
      <c r="BO743" s="4086"/>
      <c r="BP743" s="4011"/>
      <c r="BQ743" s="4085"/>
      <c r="BR743" s="4085"/>
      <c r="BS743" s="4085"/>
      <c r="BT743" s="4086"/>
      <c r="BU743" s="2120"/>
      <c r="BV743" s="4085"/>
      <c r="BW743" s="4085"/>
      <c r="BX743" s="4085">
        <f t="shared" ref="BX743:CB743" si="1440">+BX$738*BX745</f>
        <v>3.42225</v>
      </c>
      <c r="BY743" s="4086">
        <f t="shared" si="1440"/>
        <v>3.42225</v>
      </c>
      <c r="BZ743" s="2120">
        <f t="shared" si="1440"/>
        <v>6.8445</v>
      </c>
      <c r="CA743" s="2120">
        <f t="shared" si="1440"/>
        <v>13.7930364</v>
      </c>
      <c r="CB743" s="2120">
        <f t="shared" si="1440"/>
        <v>14.053238695149901</v>
      </c>
      <c r="CC743" s="4011"/>
      <c r="CD743" s="4011"/>
      <c r="CE743" s="4011"/>
      <c r="CF743" s="4011"/>
      <c r="CG743" s="4011"/>
      <c r="CH743" s="4087"/>
      <c r="CI743" s="4087"/>
      <c r="CJ743" s="4087"/>
      <c r="CK743" s="4087"/>
      <c r="CL743" s="4087"/>
      <c r="CM743" s="4087"/>
      <c r="CN743" s="4087"/>
      <c r="CO743" s="4087"/>
      <c r="CP743" s="4088"/>
      <c r="CQ743" s="4085"/>
      <c r="CR743" s="4085"/>
      <c r="CS743" s="4085"/>
      <c r="CT743" s="4085"/>
      <c r="CU743" s="4085"/>
      <c r="CV743" s="4085"/>
      <c r="CW743" s="4085"/>
      <c r="CX743" s="4085"/>
      <c r="CY743" s="4085"/>
      <c r="CZ743" s="4085"/>
      <c r="DA743" s="4085"/>
      <c r="DB743" s="4085"/>
      <c r="DC743" s="4085"/>
      <c r="DD743" s="4085"/>
      <c r="DE743" s="4085"/>
      <c r="DF743" s="4085"/>
      <c r="DG743" s="4086"/>
      <c r="DH743" s="2514"/>
      <c r="DI743" s="650"/>
      <c r="DJ743" s="650"/>
      <c r="DK743" s="650"/>
      <c r="DL743" s="650"/>
      <c r="DM743" s="650"/>
      <c r="DN743" s="651"/>
      <c r="DO743" s="4089"/>
      <c r="DP743"/>
      <c r="DQ743"/>
      <c r="DR743"/>
      <c r="DS743"/>
      <c r="DT743"/>
      <c r="DU743"/>
      <c r="DY743" s="4087"/>
      <c r="DZ743" s="4087"/>
    </row>
    <row r="744" spans="1:130" s="4122" customFormat="1" ht="12" customHeight="1">
      <c r="A744" s="4110" t="s">
        <v>1990</v>
      </c>
      <c r="B744" s="778"/>
      <c r="C744" s="778"/>
      <c r="D744" s="4111"/>
      <c r="E744" s="4112"/>
      <c r="F744" s="4112"/>
      <c r="G744" s="4112"/>
      <c r="H744" s="4113"/>
      <c r="I744" s="4112"/>
      <c r="J744" s="4112"/>
      <c r="K744" s="4112"/>
      <c r="L744" s="4112"/>
      <c r="M744" s="4113"/>
      <c r="N744" s="4112"/>
      <c r="O744" s="4112"/>
      <c r="P744" s="4112"/>
      <c r="Q744" s="4112"/>
      <c r="R744" s="4113"/>
      <c r="S744" s="4112"/>
      <c r="T744" s="4112"/>
      <c r="U744" s="4112"/>
      <c r="V744" s="4112"/>
      <c r="W744" s="4113"/>
      <c r="X744" s="4112"/>
      <c r="Y744" s="4112"/>
      <c r="Z744" s="4112"/>
      <c r="AA744" s="4112"/>
      <c r="AB744" s="4113"/>
      <c r="AC744" s="4112"/>
      <c r="AD744" s="4112"/>
      <c r="AE744" s="4112"/>
      <c r="AF744" s="4112"/>
      <c r="AG744" s="4113"/>
      <c r="AH744" s="4112"/>
      <c r="AI744" s="4112"/>
      <c r="AJ744" s="4112"/>
      <c r="AK744" s="4112"/>
      <c r="AL744" s="4113"/>
      <c r="AM744" s="4112"/>
      <c r="AN744" s="4112"/>
      <c r="AO744" s="4112"/>
      <c r="AP744" s="4112"/>
      <c r="AQ744" s="4113"/>
      <c r="AR744" s="4112"/>
      <c r="AS744" s="4112"/>
      <c r="AT744" s="4112"/>
      <c r="AU744" s="4112"/>
      <c r="AV744" s="4114"/>
      <c r="AW744" s="4112"/>
      <c r="AX744" s="4112"/>
      <c r="AY744" s="4112"/>
      <c r="AZ744" s="4112"/>
      <c r="BA744" s="4114"/>
      <c r="BB744" s="4112"/>
      <c r="BC744" s="4112"/>
      <c r="BD744" s="4112"/>
      <c r="BE744" s="4112"/>
      <c r="BF744" s="4114"/>
      <c r="BG744" s="4111"/>
      <c r="BH744" s="4112"/>
      <c r="BI744" s="4112"/>
      <c r="BJ744" s="4115"/>
      <c r="BK744" s="4114"/>
      <c r="BL744" s="4112"/>
      <c r="BM744" s="4112"/>
      <c r="BN744" s="4112"/>
      <c r="BO744" s="4115"/>
      <c r="BP744" s="4114"/>
      <c r="BQ744" s="4112"/>
      <c r="BR744" s="4112"/>
      <c r="BS744" s="4112"/>
      <c r="BT744" s="4115"/>
      <c r="BU744" s="4116"/>
      <c r="BV744" s="4112"/>
      <c r="BW744" s="4112"/>
      <c r="BX744" s="4117">
        <v>0.87</v>
      </c>
      <c r="BY744" s="4124">
        <f>+BX744</f>
        <v>0.87</v>
      </c>
      <c r="BZ744" s="4125">
        <f t="shared" ref="BZ744:CB744" si="1441">+BY744</f>
        <v>0.87</v>
      </c>
      <c r="CA744" s="4125">
        <f t="shared" si="1441"/>
        <v>0.87</v>
      </c>
      <c r="CB744" s="4125">
        <f t="shared" si="1441"/>
        <v>0.87</v>
      </c>
      <c r="CC744" s="4114"/>
      <c r="CD744" s="4114"/>
      <c r="CE744" s="4114"/>
      <c r="CF744" s="4114"/>
      <c r="CG744" s="4114"/>
      <c r="CH744" s="4118"/>
      <c r="CI744" s="4118"/>
      <c r="CJ744" s="4118"/>
      <c r="CK744" s="4118"/>
      <c r="CL744" s="4118"/>
      <c r="CM744" s="4118"/>
      <c r="CN744" s="4118"/>
      <c r="CO744" s="4118"/>
      <c r="CP744" s="4119"/>
      <c r="CQ744" s="4112"/>
      <c r="CR744" s="4112"/>
      <c r="CS744" s="4112"/>
      <c r="CT744" s="4112"/>
      <c r="CU744" s="4112"/>
      <c r="CV744" s="4112"/>
      <c r="CW744" s="4112"/>
      <c r="CX744" s="4112"/>
      <c r="CY744" s="4112"/>
      <c r="CZ744" s="4112"/>
      <c r="DA744" s="4112"/>
      <c r="DB744" s="4112"/>
      <c r="DC744" s="4112"/>
      <c r="DD744" s="4112"/>
      <c r="DE744" s="4112"/>
      <c r="DF744" s="4112"/>
      <c r="DG744" s="4115"/>
      <c r="DH744" s="4120"/>
      <c r="DI744" s="781"/>
      <c r="DJ744" s="781"/>
      <c r="DK744" s="781"/>
      <c r="DL744" s="781"/>
      <c r="DM744" s="781"/>
      <c r="DN744" s="782"/>
      <c r="DO744" s="4121"/>
      <c r="DP744"/>
      <c r="DQ744"/>
      <c r="DR744"/>
      <c r="DS744"/>
      <c r="DT744"/>
      <c r="DU744"/>
      <c r="DY744" s="4118"/>
      <c r="DZ744" s="4118"/>
    </row>
    <row r="745" spans="1:130" s="4122" customFormat="1" ht="12" customHeight="1">
      <c r="A745" s="4110" t="s">
        <v>1991</v>
      </c>
      <c r="B745" s="778"/>
      <c r="C745" s="778"/>
      <c r="D745" s="4111"/>
      <c r="E745" s="4112"/>
      <c r="F745" s="4112"/>
      <c r="G745" s="4112"/>
      <c r="H745" s="4113"/>
      <c r="I745" s="4112"/>
      <c r="J745" s="4112"/>
      <c r="K745" s="4112"/>
      <c r="L745" s="4112"/>
      <c r="M745" s="4113"/>
      <c r="N745" s="4112"/>
      <c r="O745" s="4112"/>
      <c r="P745" s="4112"/>
      <c r="Q745" s="4112"/>
      <c r="R745" s="4113"/>
      <c r="S745" s="4112"/>
      <c r="T745" s="4112"/>
      <c r="U745" s="4112"/>
      <c r="V745" s="4112"/>
      <c r="W745" s="4113"/>
      <c r="X745" s="4112"/>
      <c r="Y745" s="4112"/>
      <c r="Z745" s="4112"/>
      <c r="AA745" s="4112"/>
      <c r="AB745" s="4113"/>
      <c r="AC745" s="4112"/>
      <c r="AD745" s="4112"/>
      <c r="AE745" s="4112"/>
      <c r="AF745" s="4112"/>
      <c r="AG745" s="4113"/>
      <c r="AH745" s="4112"/>
      <c r="AI745" s="4112"/>
      <c r="AJ745" s="4112"/>
      <c r="AK745" s="4112"/>
      <c r="AL745" s="4113"/>
      <c r="AM745" s="4112"/>
      <c r="AN745" s="4112"/>
      <c r="AO745" s="4112"/>
      <c r="AP745" s="4112"/>
      <c r="AQ745" s="4113"/>
      <c r="AR745" s="4112"/>
      <c r="AS745" s="4112"/>
      <c r="AT745" s="4112"/>
      <c r="AU745" s="4112"/>
      <c r="AV745" s="4114"/>
      <c r="AW745" s="4112"/>
      <c r="AX745" s="4112"/>
      <c r="AY745" s="4112"/>
      <c r="AZ745" s="4112"/>
      <c r="BA745" s="4114"/>
      <c r="BB745" s="4112"/>
      <c r="BC745" s="4112"/>
      <c r="BD745" s="4112"/>
      <c r="BE745" s="4112"/>
      <c r="BF745" s="4114"/>
      <c r="BG745" s="4111"/>
      <c r="BH745" s="4112"/>
      <c r="BI745" s="4112"/>
      <c r="BJ745" s="4115"/>
      <c r="BK745" s="4114"/>
      <c r="BL745" s="4112"/>
      <c r="BM745" s="4112"/>
      <c r="BN745" s="4112"/>
      <c r="BO745" s="4115"/>
      <c r="BP745" s="4114"/>
      <c r="BQ745" s="4112"/>
      <c r="BR745" s="4112"/>
      <c r="BS745" s="4112"/>
      <c r="BT745" s="4115"/>
      <c r="BU745" s="4116"/>
      <c r="BV745" s="4112"/>
      <c r="BW745" s="4112"/>
      <c r="BX745" s="4123">
        <f>1-BX744</f>
        <v>0.13</v>
      </c>
      <c r="BY745" s="4124">
        <f>+BX745</f>
        <v>0.13</v>
      </c>
      <c r="BZ745" s="4125">
        <f t="shared" ref="BZ745:CB745" si="1442">+BY745</f>
        <v>0.13</v>
      </c>
      <c r="CA745" s="4125">
        <f t="shared" si="1442"/>
        <v>0.13</v>
      </c>
      <c r="CB745" s="4125">
        <f t="shared" si="1442"/>
        <v>0.13</v>
      </c>
      <c r="CC745" s="4114"/>
      <c r="CD745" s="4114"/>
      <c r="CE745" s="4114"/>
      <c r="CF745" s="4114"/>
      <c r="CG745" s="4114"/>
      <c r="CH745" s="4118"/>
      <c r="CI745" s="4118"/>
      <c r="CJ745" s="4118"/>
      <c r="CK745" s="4118"/>
      <c r="CL745" s="4118"/>
      <c r="CM745" s="4118"/>
      <c r="CN745" s="4118"/>
      <c r="CO745" s="4118"/>
      <c r="CP745" s="4119"/>
      <c r="CQ745" s="4112"/>
      <c r="CR745" s="4112"/>
      <c r="CS745" s="4112"/>
      <c r="CT745" s="4112"/>
      <c r="CU745" s="4112"/>
      <c r="CV745" s="4112"/>
      <c r="CW745" s="4112"/>
      <c r="CX745" s="4112"/>
      <c r="CY745" s="4112"/>
      <c r="CZ745" s="4112"/>
      <c r="DA745" s="4112"/>
      <c r="DB745" s="4112"/>
      <c r="DC745" s="4112"/>
      <c r="DD745" s="4112"/>
      <c r="DE745" s="4112"/>
      <c r="DF745" s="4112"/>
      <c r="DG745" s="4115"/>
      <c r="DH745" s="4120"/>
      <c r="DI745" s="781"/>
      <c r="DJ745" s="781"/>
      <c r="DK745" s="781"/>
      <c r="DL745" s="781"/>
      <c r="DM745" s="781"/>
      <c r="DN745" s="782"/>
      <c r="DO745" s="4121"/>
      <c r="DP745"/>
      <c r="DQ745"/>
      <c r="DR745"/>
      <c r="DS745"/>
      <c r="DT745"/>
      <c r="DU745"/>
      <c r="DY745" s="4118"/>
      <c r="DZ745" s="4118"/>
    </row>
    <row r="746" spans="1:130" s="4091" customFormat="1" ht="12" customHeight="1">
      <c r="A746" s="4083"/>
      <c r="B746" s="675"/>
      <c r="C746" s="675"/>
      <c r="D746" s="4084"/>
      <c r="E746" s="4085"/>
      <c r="F746" s="4085"/>
      <c r="G746" s="4085"/>
      <c r="H746" s="4010"/>
      <c r="I746" s="4085"/>
      <c r="J746" s="4085"/>
      <c r="K746" s="4085"/>
      <c r="L746" s="4085"/>
      <c r="M746" s="4010"/>
      <c r="N746" s="4085"/>
      <c r="O746" s="4085"/>
      <c r="P746" s="4085"/>
      <c r="Q746" s="4085"/>
      <c r="R746" s="4010"/>
      <c r="S746" s="4085"/>
      <c r="T746" s="4085"/>
      <c r="U746" s="4085"/>
      <c r="V746" s="4085"/>
      <c r="W746" s="4010"/>
      <c r="X746" s="4085"/>
      <c r="Y746" s="4085"/>
      <c r="Z746" s="4085"/>
      <c r="AA746" s="4085"/>
      <c r="AB746" s="4010"/>
      <c r="AC746" s="4085"/>
      <c r="AD746" s="4085"/>
      <c r="AE746" s="4085"/>
      <c r="AF746" s="4085"/>
      <c r="AG746" s="4010"/>
      <c r="AH746" s="4085"/>
      <c r="AI746" s="4085"/>
      <c r="AJ746" s="4085"/>
      <c r="AK746" s="4085"/>
      <c r="AL746" s="4010"/>
      <c r="AM746" s="4085"/>
      <c r="AN746" s="4085"/>
      <c r="AO746" s="4085"/>
      <c r="AP746" s="4085"/>
      <c r="AQ746" s="4010"/>
      <c r="AR746" s="4085"/>
      <c r="AS746" s="4085"/>
      <c r="AT746" s="4085"/>
      <c r="AU746" s="4085"/>
      <c r="AV746" s="4011"/>
      <c r="AW746" s="4085"/>
      <c r="AX746" s="4085"/>
      <c r="AY746" s="4085"/>
      <c r="AZ746" s="4085"/>
      <c r="BA746" s="4011"/>
      <c r="BB746" s="4085"/>
      <c r="BC746" s="4085"/>
      <c r="BD746" s="4085"/>
      <c r="BE746" s="4085"/>
      <c r="BF746" s="4011"/>
      <c r="BG746" s="4084"/>
      <c r="BH746" s="4085"/>
      <c r="BI746" s="4085"/>
      <c r="BJ746" s="4086"/>
      <c r="BK746" s="4011"/>
      <c r="BL746" s="4085"/>
      <c r="BM746" s="4085"/>
      <c r="BN746" s="4085"/>
      <c r="BO746" s="4086"/>
      <c r="BP746" s="4011"/>
      <c r="BQ746" s="4085"/>
      <c r="BR746" s="4085"/>
      <c r="BS746" s="4085"/>
      <c r="BT746" s="4086"/>
      <c r="BU746" s="2120"/>
      <c r="BV746" s="4085"/>
      <c r="BW746" s="4085"/>
      <c r="BX746" s="4092"/>
      <c r="BY746" s="4086"/>
      <c r="BZ746" s="2120"/>
      <c r="CA746" s="4011"/>
      <c r="CB746" s="4011"/>
      <c r="CC746" s="4011"/>
      <c r="CD746" s="4011"/>
      <c r="CE746" s="4011"/>
      <c r="CF746" s="4011"/>
      <c r="CG746" s="4011"/>
      <c r="CH746" s="4087"/>
      <c r="CI746" s="4087"/>
      <c r="CJ746" s="4087"/>
      <c r="CK746" s="4087"/>
      <c r="CL746" s="4087"/>
      <c r="CM746" s="4087"/>
      <c r="CN746" s="4087"/>
      <c r="CO746" s="4087"/>
      <c r="CP746" s="4088"/>
      <c r="CQ746" s="4085"/>
      <c r="CR746" s="4085"/>
      <c r="CS746" s="4085"/>
      <c r="CT746" s="4085"/>
      <c r="CU746" s="4085"/>
      <c r="CV746" s="4085"/>
      <c r="CW746" s="4085"/>
      <c r="CX746" s="4085"/>
      <c r="CY746" s="4085"/>
      <c r="CZ746" s="4085"/>
      <c r="DA746" s="4085"/>
      <c r="DB746" s="4085"/>
      <c r="DC746" s="4085"/>
      <c r="DD746" s="4085"/>
      <c r="DE746" s="4085"/>
      <c r="DF746" s="4085"/>
      <c r="DG746" s="4086"/>
      <c r="DH746" s="2514"/>
      <c r="DI746" s="650"/>
      <c r="DJ746" s="650"/>
      <c r="DK746" s="650"/>
      <c r="DL746" s="650"/>
      <c r="DM746" s="650"/>
      <c r="DN746" s="651"/>
      <c r="DO746" s="4089"/>
      <c r="DP746"/>
      <c r="DQ746"/>
      <c r="DR746"/>
      <c r="DS746"/>
      <c r="DT746"/>
      <c r="DU746"/>
      <c r="DY746" s="4087"/>
      <c r="DZ746" s="4087"/>
    </row>
    <row r="747" spans="1:130" s="4061" customFormat="1" ht="12" customHeight="1">
      <c r="A747" s="976"/>
      <c r="B747" s="242"/>
      <c r="C747" s="242"/>
      <c r="D747" s="243"/>
      <c r="E747" s="244"/>
      <c r="F747" s="244"/>
      <c r="G747" s="244"/>
      <c r="H747" s="245"/>
      <c r="I747" s="244"/>
      <c r="J747" s="244"/>
      <c r="K747" s="244"/>
      <c r="L747" s="244"/>
      <c r="M747" s="245"/>
      <c r="N747" s="244"/>
      <c r="O747" s="244"/>
      <c r="P747" s="244"/>
      <c r="Q747" s="244"/>
      <c r="R747" s="245"/>
      <c r="S747" s="244"/>
      <c r="T747" s="244"/>
      <c r="U747" s="244"/>
      <c r="V747" s="244"/>
      <c r="W747" s="245"/>
      <c r="X747" s="244"/>
      <c r="Y747" s="244"/>
      <c r="Z747" s="244"/>
      <c r="AA747" s="244"/>
      <c r="AB747" s="245"/>
      <c r="AC747" s="244"/>
      <c r="AD747" s="244"/>
      <c r="AE747" s="244"/>
      <c r="AF747" s="244"/>
      <c r="AG747" s="245"/>
      <c r="AH747" s="244"/>
      <c r="AI747" s="244"/>
      <c r="AJ747" s="244"/>
      <c r="AK747" s="244"/>
      <c r="AL747" s="246"/>
      <c r="AM747" s="247"/>
      <c r="AN747" s="247"/>
      <c r="AO747" s="247"/>
      <c r="AP747" s="247"/>
      <c r="AQ747" s="246"/>
      <c r="AR747" s="247"/>
      <c r="AS747" s="247"/>
      <c r="AT747" s="247"/>
      <c r="AU747" s="247"/>
      <c r="AV747" s="246"/>
      <c r="AW747" s="247"/>
      <c r="AX747" s="247"/>
      <c r="AY747" s="247"/>
      <c r="AZ747" s="247"/>
      <c r="BA747" s="246"/>
      <c r="BB747" s="247"/>
      <c r="BC747" s="247"/>
      <c r="BD747" s="247"/>
      <c r="BE747" s="247"/>
      <c r="BF747" s="246"/>
      <c r="BG747" s="4082"/>
      <c r="BH747" s="247"/>
      <c r="BI747" s="247"/>
      <c r="BJ747" s="1832"/>
      <c r="BK747" s="246"/>
      <c r="BL747" s="247"/>
      <c r="BM747" s="247"/>
      <c r="BN747" s="247"/>
      <c r="BO747" s="1832"/>
      <c r="BP747" s="246"/>
      <c r="BQ747" s="247"/>
      <c r="BR747" s="247"/>
      <c r="BS747" s="247"/>
      <c r="BT747" s="1832"/>
      <c r="BU747" s="3348"/>
      <c r="BV747" s="247"/>
      <c r="BW747" s="247"/>
      <c r="BX747" s="247"/>
      <c r="BY747" s="1832"/>
      <c r="BZ747" s="246"/>
      <c r="CA747" s="246"/>
      <c r="CB747" s="246"/>
      <c r="CC747" s="246"/>
      <c r="CD747" s="246"/>
      <c r="CE747" s="246"/>
      <c r="CF747" s="246"/>
      <c r="CG747" s="246"/>
      <c r="CH747" s="247"/>
      <c r="CI747" s="247"/>
      <c r="CJ747" s="247"/>
      <c r="CK747" s="247"/>
      <c r="CL747" s="247"/>
      <c r="CM747" s="247"/>
      <c r="CN747" s="247"/>
      <c r="CO747" s="247"/>
      <c r="CP747" s="976"/>
      <c r="CQ747" s="247"/>
      <c r="CR747" s="247"/>
      <c r="CS747" s="247"/>
      <c r="CT747" s="247"/>
      <c r="CU747" s="247"/>
      <c r="CV747" s="247"/>
      <c r="CW747" s="247"/>
      <c r="CX747" s="247"/>
      <c r="CY747" s="247"/>
      <c r="CZ747" s="247"/>
      <c r="DA747" s="247"/>
      <c r="DB747" s="247"/>
      <c r="DC747" s="247"/>
      <c r="DD747" s="247"/>
      <c r="DE747" s="247"/>
      <c r="DF747" s="247"/>
      <c r="DG747" s="1832"/>
      <c r="DH747" s="239"/>
      <c r="DI747" s="240"/>
      <c r="DJ747" s="240"/>
      <c r="DK747" s="240"/>
      <c r="DL747" s="240"/>
      <c r="DM747" s="240"/>
      <c r="DN747" s="240"/>
      <c r="DO747" s="226"/>
      <c r="DP747"/>
      <c r="DQ747"/>
      <c r="DR747"/>
      <c r="DS747"/>
      <c r="DT747"/>
      <c r="DU747"/>
      <c r="DY747" s="247"/>
      <c r="DZ747" s="247"/>
    </row>
    <row r="748" spans="1:130" ht="12" customHeight="1">
      <c r="A748" s="493" t="s">
        <v>225</v>
      </c>
      <c r="B748" s="517"/>
      <c r="C748" s="517"/>
      <c r="D748" s="518" t="str">
        <f t="shared" ref="D748:CC748" si="1443">D$6</f>
        <v>1Q04</v>
      </c>
      <c r="E748" s="519" t="str">
        <f t="shared" si="1443"/>
        <v>2Q04</v>
      </c>
      <c r="F748" s="519" t="str">
        <f t="shared" si="1443"/>
        <v>3Q04</v>
      </c>
      <c r="G748" s="519" t="str">
        <f t="shared" si="1443"/>
        <v>4Q04</v>
      </c>
      <c r="H748" s="520">
        <f t="shared" si="1443"/>
        <v>2004</v>
      </c>
      <c r="I748" s="519" t="str">
        <f t="shared" si="1443"/>
        <v>1Q05</v>
      </c>
      <c r="J748" s="519" t="str">
        <f t="shared" si="1443"/>
        <v>2Q05</v>
      </c>
      <c r="K748" s="519" t="str">
        <f t="shared" si="1443"/>
        <v>3Q05</v>
      </c>
      <c r="L748" s="519" t="str">
        <f t="shared" si="1443"/>
        <v>4Q05</v>
      </c>
      <c r="M748" s="520">
        <f t="shared" si="1443"/>
        <v>2005</v>
      </c>
      <c r="N748" s="519" t="str">
        <f t="shared" si="1443"/>
        <v>1Q06</v>
      </c>
      <c r="O748" s="519" t="str">
        <f t="shared" si="1443"/>
        <v>2Q06</v>
      </c>
      <c r="P748" s="519" t="str">
        <f t="shared" si="1443"/>
        <v>3Q06</v>
      </c>
      <c r="Q748" s="519" t="str">
        <f t="shared" si="1443"/>
        <v>4Q06</v>
      </c>
      <c r="R748" s="520">
        <f t="shared" si="1443"/>
        <v>2006</v>
      </c>
      <c r="S748" s="519" t="str">
        <f t="shared" si="1443"/>
        <v>1Q07</v>
      </c>
      <c r="T748" s="519" t="str">
        <f t="shared" si="1443"/>
        <v>2Q07</v>
      </c>
      <c r="U748" s="519" t="str">
        <f t="shared" si="1443"/>
        <v>3Q07</v>
      </c>
      <c r="V748" s="519" t="str">
        <f t="shared" si="1443"/>
        <v>4Q07</v>
      </c>
      <c r="W748" s="520">
        <f t="shared" si="1443"/>
        <v>2007</v>
      </c>
      <c r="X748" s="519" t="str">
        <f t="shared" si="1443"/>
        <v>1Q08</v>
      </c>
      <c r="Y748" s="519" t="str">
        <f t="shared" si="1443"/>
        <v>2Q08</v>
      </c>
      <c r="Z748" s="519" t="str">
        <f t="shared" si="1443"/>
        <v>3Q08</v>
      </c>
      <c r="AA748" s="519" t="str">
        <f t="shared" si="1443"/>
        <v>4Q08</v>
      </c>
      <c r="AB748" s="520">
        <f t="shared" si="1443"/>
        <v>2008</v>
      </c>
      <c r="AC748" s="519" t="str">
        <f t="shared" si="1443"/>
        <v>1Q09</v>
      </c>
      <c r="AD748" s="519" t="str">
        <f t="shared" si="1443"/>
        <v>2Q09</v>
      </c>
      <c r="AE748" s="519" t="str">
        <f t="shared" si="1443"/>
        <v>3Q09</v>
      </c>
      <c r="AF748" s="519" t="str">
        <f t="shared" si="1443"/>
        <v>4Q09</v>
      </c>
      <c r="AG748" s="520">
        <f t="shared" si="1443"/>
        <v>2009</v>
      </c>
      <c r="AH748" s="519" t="str">
        <f t="shared" si="1443"/>
        <v>1Q10</v>
      </c>
      <c r="AI748" s="1991" t="str">
        <f t="shared" si="1443"/>
        <v>2Q10</v>
      </c>
      <c r="AJ748" s="1991" t="str">
        <f t="shared" si="1443"/>
        <v>3Q10</v>
      </c>
      <c r="AK748" s="1991" t="str">
        <f t="shared" si="1443"/>
        <v>4Q10</v>
      </c>
      <c r="AL748" s="1992">
        <f t="shared" si="1443"/>
        <v>2010</v>
      </c>
      <c r="AM748" s="1991" t="str">
        <f t="shared" si="1443"/>
        <v>1Q11</v>
      </c>
      <c r="AN748" s="1991" t="str">
        <f t="shared" si="1443"/>
        <v>2Q11</v>
      </c>
      <c r="AO748" s="1991" t="str">
        <f t="shared" si="1443"/>
        <v>3Q11</v>
      </c>
      <c r="AP748" s="1991" t="str">
        <f t="shared" si="1443"/>
        <v>4Q11</v>
      </c>
      <c r="AQ748" s="1992">
        <f t="shared" si="1443"/>
        <v>2011</v>
      </c>
      <c r="AR748" s="1991" t="str">
        <f t="shared" si="1443"/>
        <v>1Q12</v>
      </c>
      <c r="AS748" s="1991" t="str">
        <f t="shared" si="1443"/>
        <v>2Q12</v>
      </c>
      <c r="AT748" s="1991" t="str">
        <f t="shared" si="1443"/>
        <v>3Q12</v>
      </c>
      <c r="AU748" s="1991" t="str">
        <f t="shared" si="1443"/>
        <v>4Q12</v>
      </c>
      <c r="AV748" s="1992">
        <f t="shared" si="1443"/>
        <v>2012</v>
      </c>
      <c r="AW748" s="1991" t="str">
        <f t="shared" si="1443"/>
        <v>1Q13</v>
      </c>
      <c r="AX748" s="1991" t="str">
        <f t="shared" si="1443"/>
        <v>2Q13</v>
      </c>
      <c r="AY748" s="1991" t="str">
        <f t="shared" si="1443"/>
        <v>3Q13</v>
      </c>
      <c r="AZ748" s="1991" t="str">
        <f t="shared" si="1443"/>
        <v>4Q13</v>
      </c>
      <c r="BA748" s="1992">
        <f t="shared" si="1443"/>
        <v>2013</v>
      </c>
      <c r="BB748" s="1991" t="str">
        <f t="shared" si="1443"/>
        <v>1Q14</v>
      </c>
      <c r="BC748" s="1991" t="str">
        <f t="shared" si="1443"/>
        <v>2Q14</v>
      </c>
      <c r="BD748" s="1991" t="str">
        <f t="shared" si="1443"/>
        <v>3Q14</v>
      </c>
      <c r="BE748" s="1991" t="str">
        <f t="shared" si="1443"/>
        <v>4Q14</v>
      </c>
      <c r="BF748" s="1992">
        <f t="shared" si="1443"/>
        <v>2014</v>
      </c>
      <c r="BG748" s="2896" t="str">
        <f t="shared" si="1443"/>
        <v>1Q15</v>
      </c>
      <c r="BH748" s="1991" t="str">
        <f t="shared" si="1443"/>
        <v>2Q15</v>
      </c>
      <c r="BI748" s="1991" t="str">
        <f t="shared" si="1443"/>
        <v>3Q15</v>
      </c>
      <c r="BJ748" s="2897" t="str">
        <f t="shared" si="1443"/>
        <v>4Q15</v>
      </c>
      <c r="BK748" s="1992">
        <f t="shared" si="1443"/>
        <v>2015</v>
      </c>
      <c r="BL748" s="1991" t="str">
        <f t="shared" si="1443"/>
        <v>1Q16</v>
      </c>
      <c r="BM748" s="1991" t="str">
        <f t="shared" si="1443"/>
        <v>2Q16</v>
      </c>
      <c r="BN748" s="1991" t="str">
        <f t="shared" si="1443"/>
        <v>3Q16</v>
      </c>
      <c r="BO748" s="2897" t="str">
        <f t="shared" si="1443"/>
        <v>4Q16</v>
      </c>
      <c r="BP748" s="1992">
        <f t="shared" si="1443"/>
        <v>2016</v>
      </c>
      <c r="BQ748" s="1991" t="str">
        <f t="shared" si="1443"/>
        <v>1Q17</v>
      </c>
      <c r="BR748" s="1991" t="str">
        <f t="shared" si="1443"/>
        <v>2Q17</v>
      </c>
      <c r="BS748" s="1991" t="str">
        <f t="shared" si="1443"/>
        <v>3Q17</v>
      </c>
      <c r="BT748" s="2897" t="str">
        <f t="shared" si="1443"/>
        <v>4Q17A</v>
      </c>
      <c r="BU748" s="3412" t="str">
        <f t="shared" si="1443"/>
        <v>2017A</v>
      </c>
      <c r="BV748" s="1991" t="str">
        <f t="shared" si="1443"/>
        <v>1Q18E</v>
      </c>
      <c r="BW748" s="1991" t="str">
        <f t="shared" si="1443"/>
        <v>2Q18E</v>
      </c>
      <c r="BX748" s="1991" t="str">
        <f t="shared" si="1443"/>
        <v>3Q18E</v>
      </c>
      <c r="BY748" s="2897" t="str">
        <f t="shared" si="1443"/>
        <v>4Q18E</v>
      </c>
      <c r="BZ748" s="1992" t="str">
        <f t="shared" si="1443"/>
        <v>2018E</v>
      </c>
      <c r="CA748" s="1992" t="str">
        <f t="shared" si="1443"/>
        <v>2019E</v>
      </c>
      <c r="CB748" s="1992" t="str">
        <f t="shared" si="1443"/>
        <v>2020E</v>
      </c>
      <c r="CC748" s="1992" t="str">
        <f t="shared" si="1443"/>
        <v>2021E</v>
      </c>
      <c r="CD748" s="1992" t="str">
        <f>CD$6</f>
        <v>2022E</v>
      </c>
      <c r="CE748" s="1992" t="str">
        <f>CE$6</f>
        <v>2023E</v>
      </c>
      <c r="CF748" s="1992" t="str">
        <f>CF$6</f>
        <v>2024E</v>
      </c>
      <c r="CG748" s="1992" t="str">
        <f>CG$6</f>
        <v>2025E</v>
      </c>
      <c r="CH748" s="521"/>
      <c r="CI748" s="521"/>
      <c r="CJ748" s="521"/>
      <c r="CK748" s="521"/>
      <c r="CL748" s="521"/>
      <c r="CM748" s="521"/>
      <c r="CN748" s="521"/>
      <c r="CO748" s="521"/>
      <c r="CP748" s="1305" t="str">
        <f>A748</f>
        <v>Property Statistics (wholly-owned)</v>
      </c>
      <c r="CQ748" s="109"/>
      <c r="CR748" s="109"/>
      <c r="CS748" s="109"/>
      <c r="CT748" s="109"/>
      <c r="CU748" s="109"/>
      <c r="CV748" s="109"/>
      <c r="CW748" s="109"/>
      <c r="CX748" s="109"/>
      <c r="CY748" s="109"/>
      <c r="CZ748" s="109"/>
      <c r="DA748" s="109"/>
      <c r="DB748" s="109"/>
      <c r="DC748" s="109"/>
      <c r="DD748" s="109"/>
      <c r="DE748" s="109"/>
      <c r="DF748" s="109"/>
      <c r="DG748" s="1772"/>
      <c r="DH748" s="223"/>
      <c r="DI748" s="570"/>
      <c r="DJ748" s="570"/>
      <c r="DK748" s="570"/>
      <c r="DL748" s="570"/>
      <c r="DM748" s="570"/>
      <c r="DN748" s="222"/>
      <c r="DO748" s="226"/>
      <c r="DY748" s="244"/>
      <c r="DZ748" s="244"/>
    </row>
    <row r="749" spans="1:130" ht="12" customHeight="1">
      <c r="A749" s="552" t="s">
        <v>167</v>
      </c>
      <c r="B749" s="228"/>
      <c r="C749" s="228"/>
      <c r="D749" s="789">
        <f t="shared" ref="D749:AL749" si="1444">D188+D286+D328+D356</f>
        <v>14889</v>
      </c>
      <c r="E749" s="790">
        <f t="shared" si="1444"/>
        <v>16109</v>
      </c>
      <c r="F749" s="790">
        <f t="shared" si="1444"/>
        <v>24092</v>
      </c>
      <c r="G749" s="790">
        <f t="shared" si="1444"/>
        <v>24103</v>
      </c>
      <c r="H749" s="791">
        <f t="shared" si="1444"/>
        <v>24103</v>
      </c>
      <c r="I749" s="792">
        <f t="shared" si="1444"/>
        <v>24103</v>
      </c>
      <c r="J749" s="792">
        <f t="shared" si="1444"/>
        <v>24103</v>
      </c>
      <c r="K749" s="792">
        <f t="shared" si="1444"/>
        <v>24103</v>
      </c>
      <c r="L749" s="792">
        <f t="shared" si="1444"/>
        <v>26751</v>
      </c>
      <c r="M749" s="791">
        <f t="shared" si="1444"/>
        <v>26751</v>
      </c>
      <c r="N749" s="792">
        <f t="shared" si="1444"/>
        <v>27201</v>
      </c>
      <c r="O749" s="792">
        <f t="shared" si="1444"/>
        <v>27201</v>
      </c>
      <c r="P749" s="792">
        <f t="shared" si="1444"/>
        <v>24835</v>
      </c>
      <c r="Q749" s="792">
        <f t="shared" si="1444"/>
        <v>24814</v>
      </c>
      <c r="R749" s="791">
        <f t="shared" si="1444"/>
        <v>24814</v>
      </c>
      <c r="S749" s="792">
        <f t="shared" si="1444"/>
        <v>22873</v>
      </c>
      <c r="T749" s="792">
        <f t="shared" si="1444"/>
        <v>22873</v>
      </c>
      <c r="U749" s="792">
        <f t="shared" si="1444"/>
        <v>22873</v>
      </c>
      <c r="V749" s="792">
        <f t="shared" si="1444"/>
        <v>22631</v>
      </c>
      <c r="W749" s="791">
        <f t="shared" si="1444"/>
        <v>22631</v>
      </c>
      <c r="X749" s="792">
        <f t="shared" si="1444"/>
        <v>22631</v>
      </c>
      <c r="Y749" s="792">
        <f t="shared" si="1444"/>
        <v>22631</v>
      </c>
      <c r="Z749" s="792">
        <f t="shared" si="1444"/>
        <v>22631</v>
      </c>
      <c r="AA749" s="792">
        <f t="shared" si="1444"/>
        <v>22230</v>
      </c>
      <c r="AB749" s="791">
        <f t="shared" si="1444"/>
        <v>22230</v>
      </c>
      <c r="AC749" s="792">
        <f t="shared" si="1444"/>
        <v>22066</v>
      </c>
      <c r="AD749" s="792">
        <f t="shared" si="1444"/>
        <v>21902</v>
      </c>
      <c r="AE749" s="792">
        <f t="shared" si="1444"/>
        <v>21738</v>
      </c>
      <c r="AF749" s="792">
        <f t="shared" si="1444"/>
        <v>21417</v>
      </c>
      <c r="AG749" s="791">
        <f t="shared" si="1444"/>
        <v>21417</v>
      </c>
      <c r="AH749" s="792">
        <f t="shared" si="1444"/>
        <v>21417</v>
      </c>
      <c r="AI749" s="792">
        <f t="shared" si="1444"/>
        <v>21417</v>
      </c>
      <c r="AJ749" s="792">
        <f t="shared" si="1444"/>
        <v>21417</v>
      </c>
      <c r="AK749" s="792">
        <f t="shared" si="1444"/>
        <v>21062</v>
      </c>
      <c r="AL749" s="791">
        <f t="shared" si="1444"/>
        <v>21062</v>
      </c>
      <c r="AM749" s="792">
        <f t="shared" ref="AM749:CG749" si="1445">AM188+AM286+AM328+AM356+AM693</f>
        <v>29504</v>
      </c>
      <c r="AN749" s="792">
        <f t="shared" si="1445"/>
        <v>29500</v>
      </c>
      <c r="AO749" s="792">
        <f t="shared" si="1445"/>
        <v>29500</v>
      </c>
      <c r="AP749" s="792">
        <f t="shared" si="1445"/>
        <v>33768</v>
      </c>
      <c r="AQ749" s="791">
        <f t="shared" si="1445"/>
        <v>31292.25</v>
      </c>
      <c r="AR749" s="792">
        <f t="shared" si="1445"/>
        <v>33776</v>
      </c>
      <c r="AS749" s="792">
        <f t="shared" si="1445"/>
        <v>33802</v>
      </c>
      <c r="AT749" s="792">
        <f t="shared" si="1445"/>
        <v>33804</v>
      </c>
      <c r="AU749" s="792">
        <f t="shared" si="1445"/>
        <v>34343</v>
      </c>
      <c r="AV749" s="791">
        <f t="shared" si="1445"/>
        <v>33708.5</v>
      </c>
      <c r="AW749" s="792">
        <f t="shared" si="1445"/>
        <v>34357</v>
      </c>
      <c r="AX749" s="792">
        <f t="shared" si="1445"/>
        <v>34357</v>
      </c>
      <c r="AY749" s="792">
        <f t="shared" si="1445"/>
        <v>34357</v>
      </c>
      <c r="AZ749" s="792">
        <f t="shared" si="1445"/>
        <v>34314</v>
      </c>
      <c r="BA749" s="791">
        <f t="shared" si="1445"/>
        <v>34260</v>
      </c>
      <c r="BB749" s="792">
        <f t="shared" si="1445"/>
        <v>33215</v>
      </c>
      <c r="BC749" s="792">
        <f t="shared" si="1445"/>
        <v>33208</v>
      </c>
      <c r="BD749" s="792">
        <f t="shared" si="1445"/>
        <v>33008</v>
      </c>
      <c r="BE749" s="792">
        <f t="shared" si="1445"/>
        <v>33016</v>
      </c>
      <c r="BF749" s="791">
        <f t="shared" si="1445"/>
        <v>33001</v>
      </c>
      <c r="BG749" s="793">
        <f t="shared" si="1445"/>
        <v>33038</v>
      </c>
      <c r="BH749" s="792">
        <f t="shared" si="1445"/>
        <v>32986</v>
      </c>
      <c r="BI749" s="792">
        <f t="shared" si="1445"/>
        <v>32991</v>
      </c>
      <c r="BJ749" s="1894">
        <f t="shared" si="1445"/>
        <v>32969</v>
      </c>
      <c r="BK749" s="791">
        <f t="shared" si="1445"/>
        <v>32980</v>
      </c>
      <c r="BL749" s="792">
        <f t="shared" si="1445"/>
        <v>32967</v>
      </c>
      <c r="BM749" s="792">
        <f t="shared" si="1445"/>
        <v>32963</v>
      </c>
      <c r="BN749" s="792">
        <f t="shared" si="1445"/>
        <v>26945</v>
      </c>
      <c r="BO749" s="1894">
        <f t="shared" si="1445"/>
        <v>28674</v>
      </c>
      <c r="BP749" s="791">
        <f t="shared" si="1445"/>
        <v>28908.5</v>
      </c>
      <c r="BQ749" s="792">
        <f t="shared" si="1445"/>
        <v>31742</v>
      </c>
      <c r="BR749" s="792">
        <f t="shared" si="1445"/>
        <v>32019</v>
      </c>
      <c r="BS749" s="792">
        <f t="shared" si="1445"/>
        <v>32019</v>
      </c>
      <c r="BT749" s="1894">
        <f t="shared" si="1445"/>
        <v>32019</v>
      </c>
      <c r="BU749" s="3396">
        <f t="shared" si="1445"/>
        <v>31938.5</v>
      </c>
      <c r="BV749" s="792">
        <f t="shared" ref="BV749:BZ749" si="1446">BV188+BV286+BV328+BV356+BV693</f>
        <v>31938.5</v>
      </c>
      <c r="BW749" s="792">
        <f t="shared" si="1446"/>
        <v>31938.5</v>
      </c>
      <c r="BX749" s="792">
        <f t="shared" si="1446"/>
        <v>39777.5</v>
      </c>
      <c r="BY749" s="1894">
        <f t="shared" si="1446"/>
        <v>39777.5</v>
      </c>
      <c r="BZ749" s="3396">
        <f t="shared" si="1446"/>
        <v>39777.5</v>
      </c>
      <c r="CA749" s="791">
        <f t="shared" si="1445"/>
        <v>39777.5</v>
      </c>
      <c r="CB749" s="791">
        <f t="shared" si="1445"/>
        <v>39777.5</v>
      </c>
      <c r="CC749" s="791">
        <f t="shared" si="1445"/>
        <v>26546</v>
      </c>
      <c r="CD749" s="791">
        <f t="shared" si="1445"/>
        <v>26546</v>
      </c>
      <c r="CE749" s="791">
        <f t="shared" si="1445"/>
        <v>26546</v>
      </c>
      <c r="CF749" s="791">
        <f t="shared" si="1445"/>
        <v>26546</v>
      </c>
      <c r="CG749" s="791">
        <f t="shared" si="1445"/>
        <v>26546</v>
      </c>
      <c r="CH749" s="626"/>
      <c r="CI749" s="626"/>
      <c r="CJ749" s="626"/>
      <c r="CK749" s="626"/>
      <c r="CL749" s="626"/>
      <c r="CM749" s="626"/>
      <c r="CN749" s="626"/>
      <c r="CO749" s="626"/>
      <c r="CP749" s="994" t="str">
        <f>A749</f>
        <v>Total Slots</v>
      </c>
      <c r="CQ749" s="792">
        <f>H749</f>
        <v>24103</v>
      </c>
      <c r="CR749" s="792">
        <f>M749</f>
        <v>26751</v>
      </c>
      <c r="CS749" s="792">
        <f>R749</f>
        <v>24814</v>
      </c>
      <c r="CT749" s="792">
        <f>W749</f>
        <v>22631</v>
      </c>
      <c r="CU749" s="792">
        <f>AB749</f>
        <v>22230</v>
      </c>
      <c r="CV749" s="792">
        <f>AG749</f>
        <v>21417</v>
      </c>
      <c r="CW749" s="792">
        <f>AL749</f>
        <v>21062</v>
      </c>
      <c r="CX749" s="792">
        <f>AQ749</f>
        <v>31292.25</v>
      </c>
      <c r="CY749" s="792">
        <f>AV749</f>
        <v>33708.5</v>
      </c>
      <c r="CZ749" s="792">
        <f>BA749</f>
        <v>34260</v>
      </c>
      <c r="DA749" s="792">
        <f>BF749</f>
        <v>33001</v>
      </c>
      <c r="DB749" s="792">
        <f>BK749</f>
        <v>32980</v>
      </c>
      <c r="DC749" s="792">
        <f>BP749</f>
        <v>28908.5</v>
      </c>
      <c r="DD749" s="792">
        <f>BU749</f>
        <v>31938.5</v>
      </c>
      <c r="DE749" s="792">
        <f t="shared" ref="DE749:DG751" si="1447">BZ749</f>
        <v>39777.5</v>
      </c>
      <c r="DF749" s="792">
        <f t="shared" si="1447"/>
        <v>39777.5</v>
      </c>
      <c r="DG749" s="1894">
        <f t="shared" si="1447"/>
        <v>39777.5</v>
      </c>
      <c r="DH749" s="632"/>
      <c r="DI749" s="595"/>
      <c r="DJ749" s="595"/>
      <c r="DK749" s="595"/>
      <c r="DL749" s="595"/>
      <c r="DM749" s="595"/>
      <c r="DN749" s="514"/>
      <c r="DO749" s="226"/>
      <c r="DY749" s="792"/>
      <c r="DZ749" s="792"/>
    </row>
    <row r="750" spans="1:130" ht="12" customHeight="1">
      <c r="A750" s="552" t="s">
        <v>168</v>
      </c>
      <c r="B750" s="228"/>
      <c r="C750" s="228"/>
      <c r="D750" s="793">
        <f t="shared" ref="D750:AL750" si="1448">D189+D287+D329+D357</f>
        <v>357</v>
      </c>
      <c r="E750" s="792">
        <f t="shared" si="1448"/>
        <v>387</v>
      </c>
      <c r="F750" s="792">
        <f t="shared" si="1448"/>
        <v>599</v>
      </c>
      <c r="G750" s="792">
        <f t="shared" si="1448"/>
        <v>590</v>
      </c>
      <c r="H750" s="791">
        <f t="shared" si="1448"/>
        <v>590</v>
      </c>
      <c r="I750" s="792">
        <f t="shared" si="1448"/>
        <v>590</v>
      </c>
      <c r="J750" s="792">
        <f t="shared" si="1448"/>
        <v>590</v>
      </c>
      <c r="K750" s="792">
        <f t="shared" si="1448"/>
        <v>590</v>
      </c>
      <c r="L750" s="792">
        <f t="shared" si="1448"/>
        <v>626</v>
      </c>
      <c r="M750" s="791">
        <f t="shared" si="1448"/>
        <v>626</v>
      </c>
      <c r="N750" s="792">
        <f t="shared" si="1448"/>
        <v>626</v>
      </c>
      <c r="O750" s="792">
        <f t="shared" si="1448"/>
        <v>626</v>
      </c>
      <c r="P750" s="792">
        <f t="shared" si="1448"/>
        <v>573</v>
      </c>
      <c r="Q750" s="792">
        <f t="shared" si="1448"/>
        <v>549</v>
      </c>
      <c r="R750" s="791">
        <f t="shared" si="1448"/>
        <v>549</v>
      </c>
      <c r="S750" s="792">
        <f t="shared" si="1448"/>
        <v>456</v>
      </c>
      <c r="T750" s="792">
        <f t="shared" si="1448"/>
        <v>456</v>
      </c>
      <c r="U750" s="792">
        <f t="shared" si="1448"/>
        <v>456</v>
      </c>
      <c r="V750" s="792">
        <f t="shared" si="1448"/>
        <v>458</v>
      </c>
      <c r="W750" s="791">
        <f t="shared" si="1448"/>
        <v>458</v>
      </c>
      <c r="X750" s="792">
        <f t="shared" si="1448"/>
        <v>458</v>
      </c>
      <c r="Y750" s="792">
        <f t="shared" si="1448"/>
        <v>458</v>
      </c>
      <c r="Z750" s="792">
        <f t="shared" si="1448"/>
        <v>458</v>
      </c>
      <c r="AA750" s="792">
        <f t="shared" si="1448"/>
        <v>441</v>
      </c>
      <c r="AB750" s="791">
        <f t="shared" si="1448"/>
        <v>441</v>
      </c>
      <c r="AC750" s="792">
        <f t="shared" si="1448"/>
        <v>441</v>
      </c>
      <c r="AD750" s="792">
        <f t="shared" si="1448"/>
        <v>441</v>
      </c>
      <c r="AE750" s="792">
        <f t="shared" si="1448"/>
        <v>441</v>
      </c>
      <c r="AF750" s="792">
        <f t="shared" si="1448"/>
        <v>425</v>
      </c>
      <c r="AG750" s="791">
        <f t="shared" si="1448"/>
        <v>425</v>
      </c>
      <c r="AH750" s="792">
        <f t="shared" si="1448"/>
        <v>425</v>
      </c>
      <c r="AI750" s="792">
        <f t="shared" si="1448"/>
        <v>425</v>
      </c>
      <c r="AJ750" s="792">
        <f t="shared" si="1448"/>
        <v>425</v>
      </c>
      <c r="AK750" s="792">
        <f t="shared" si="1448"/>
        <v>416</v>
      </c>
      <c r="AL750" s="791">
        <f t="shared" si="1448"/>
        <v>416</v>
      </c>
      <c r="AM750" s="792">
        <f t="shared" ref="AM750:CG750" si="1449">AM189+AM287+AM329+AM357+AM694</f>
        <v>552</v>
      </c>
      <c r="AN750" s="792">
        <f t="shared" si="1449"/>
        <v>552</v>
      </c>
      <c r="AO750" s="792">
        <f t="shared" si="1449"/>
        <v>552</v>
      </c>
      <c r="AP750" s="792">
        <f t="shared" si="1449"/>
        <v>615</v>
      </c>
      <c r="AQ750" s="791">
        <f t="shared" si="1449"/>
        <v>553.75</v>
      </c>
      <c r="AR750" s="792">
        <f t="shared" si="1449"/>
        <v>615</v>
      </c>
      <c r="AS750" s="792">
        <f t="shared" si="1449"/>
        <v>615</v>
      </c>
      <c r="AT750" s="792">
        <f t="shared" si="1449"/>
        <v>615</v>
      </c>
      <c r="AU750" s="792">
        <f t="shared" si="1449"/>
        <v>629</v>
      </c>
      <c r="AV750" s="791">
        <f t="shared" si="1449"/>
        <v>618.5</v>
      </c>
      <c r="AW750" s="792">
        <f t="shared" si="1449"/>
        <v>629</v>
      </c>
      <c r="AX750" s="792">
        <f t="shared" si="1449"/>
        <v>629</v>
      </c>
      <c r="AY750" s="792">
        <f t="shared" si="1449"/>
        <v>629</v>
      </c>
      <c r="AZ750" s="792">
        <f t="shared" si="1449"/>
        <v>649</v>
      </c>
      <c r="BA750" s="791">
        <f t="shared" si="1449"/>
        <v>635.5</v>
      </c>
      <c r="BB750" s="792">
        <f t="shared" si="1449"/>
        <v>629</v>
      </c>
      <c r="BC750" s="792">
        <f t="shared" si="1449"/>
        <v>629</v>
      </c>
      <c r="BD750" s="792">
        <f t="shared" si="1449"/>
        <v>634</v>
      </c>
      <c r="BE750" s="792">
        <f t="shared" si="1449"/>
        <v>638</v>
      </c>
      <c r="BF750" s="791">
        <f t="shared" si="1449"/>
        <v>637</v>
      </c>
      <c r="BG750" s="793">
        <f t="shared" si="1449"/>
        <v>638</v>
      </c>
      <c r="BH750" s="792">
        <f t="shared" si="1449"/>
        <v>636</v>
      </c>
      <c r="BI750" s="792">
        <f t="shared" si="1449"/>
        <v>640</v>
      </c>
      <c r="BJ750" s="1894">
        <f t="shared" si="1449"/>
        <v>640</v>
      </c>
      <c r="BK750" s="791">
        <f t="shared" si="1449"/>
        <v>638.5</v>
      </c>
      <c r="BL750" s="792">
        <f t="shared" si="1449"/>
        <v>640</v>
      </c>
      <c r="BM750" s="792">
        <f t="shared" si="1449"/>
        <v>640</v>
      </c>
      <c r="BN750" s="792">
        <f t="shared" si="1449"/>
        <v>536</v>
      </c>
      <c r="BO750" s="1894">
        <f t="shared" si="1449"/>
        <v>565</v>
      </c>
      <c r="BP750" s="791">
        <f t="shared" si="1449"/>
        <v>564.5</v>
      </c>
      <c r="BQ750" s="792">
        <f t="shared" si="1449"/>
        <v>609</v>
      </c>
      <c r="BR750" s="792">
        <f t="shared" si="1449"/>
        <v>611</v>
      </c>
      <c r="BS750" s="792">
        <f t="shared" si="1449"/>
        <v>611</v>
      </c>
      <c r="BT750" s="1894">
        <f t="shared" si="1449"/>
        <v>611</v>
      </c>
      <c r="BU750" s="3396">
        <f t="shared" si="1449"/>
        <v>610.75</v>
      </c>
      <c r="BV750" s="792">
        <f t="shared" ref="BV750:BZ750" si="1450">BV189+BV287+BV329+BV357+BV694</f>
        <v>610.75</v>
      </c>
      <c r="BW750" s="792">
        <f t="shared" si="1450"/>
        <v>610.75</v>
      </c>
      <c r="BX750" s="792">
        <f t="shared" si="1450"/>
        <v>850.75</v>
      </c>
      <c r="BY750" s="1894">
        <f t="shared" si="1450"/>
        <v>850.75</v>
      </c>
      <c r="BZ750" s="3396">
        <f t="shared" si="1450"/>
        <v>850.75</v>
      </c>
      <c r="CA750" s="791">
        <f t="shared" si="1449"/>
        <v>850.75</v>
      </c>
      <c r="CB750" s="791">
        <f t="shared" si="1449"/>
        <v>850.75</v>
      </c>
      <c r="CC750" s="791">
        <f t="shared" si="1449"/>
        <v>850.75</v>
      </c>
      <c r="CD750" s="791">
        <f t="shared" si="1449"/>
        <v>850.75</v>
      </c>
      <c r="CE750" s="791">
        <f t="shared" si="1449"/>
        <v>850.75</v>
      </c>
      <c r="CF750" s="791">
        <f t="shared" si="1449"/>
        <v>850.75</v>
      </c>
      <c r="CG750" s="791">
        <f t="shared" si="1449"/>
        <v>850.75</v>
      </c>
      <c r="CH750" s="626"/>
      <c r="CI750" s="626"/>
      <c r="CJ750" s="626"/>
      <c r="CK750" s="626"/>
      <c r="CL750" s="626"/>
      <c r="CM750" s="626"/>
      <c r="CN750" s="626"/>
      <c r="CO750" s="626"/>
      <c r="CP750" s="994" t="str">
        <f>A750</f>
        <v>Total Tables</v>
      </c>
      <c r="CQ750" s="792">
        <f>H750</f>
        <v>590</v>
      </c>
      <c r="CR750" s="792">
        <f>M750</f>
        <v>626</v>
      </c>
      <c r="CS750" s="792">
        <f>R750</f>
        <v>549</v>
      </c>
      <c r="CT750" s="792">
        <f>W750</f>
        <v>458</v>
      </c>
      <c r="CU750" s="792">
        <f>AB750</f>
        <v>441</v>
      </c>
      <c r="CV750" s="792">
        <f>AG750</f>
        <v>425</v>
      </c>
      <c r="CW750" s="792">
        <f>AL750</f>
        <v>416</v>
      </c>
      <c r="CX750" s="792">
        <f>AQ750</f>
        <v>553.75</v>
      </c>
      <c r="CY750" s="792">
        <f>AV750</f>
        <v>618.5</v>
      </c>
      <c r="CZ750" s="792">
        <f>BA750</f>
        <v>635.5</v>
      </c>
      <c r="DA750" s="792">
        <f>BF750</f>
        <v>637</v>
      </c>
      <c r="DB750" s="792">
        <f>BK750</f>
        <v>638.5</v>
      </c>
      <c r="DC750" s="792">
        <f>BP750</f>
        <v>564.5</v>
      </c>
      <c r="DD750" s="792">
        <f>BU750</f>
        <v>610.75</v>
      </c>
      <c r="DE750" s="792">
        <f t="shared" si="1447"/>
        <v>850.75</v>
      </c>
      <c r="DF750" s="792">
        <f t="shared" si="1447"/>
        <v>850.75</v>
      </c>
      <c r="DG750" s="1894">
        <f t="shared" si="1447"/>
        <v>850.75</v>
      </c>
      <c r="DH750" s="632"/>
      <c r="DI750" s="595"/>
      <c r="DJ750" s="595"/>
      <c r="DK750" s="595"/>
      <c r="DL750" s="595"/>
      <c r="DM750" s="595"/>
      <c r="DN750" s="514"/>
      <c r="DO750" s="226"/>
      <c r="DY750" s="792"/>
      <c r="DZ750" s="792"/>
    </row>
    <row r="751" spans="1:130" ht="12" customHeight="1">
      <c r="A751" s="552" t="s">
        <v>199</v>
      </c>
      <c r="B751" s="228"/>
      <c r="C751" s="228"/>
      <c r="D751" s="793">
        <f>D749+(D750*6)</f>
        <v>17031</v>
      </c>
      <c r="E751" s="792">
        <f t="shared" ref="E751:AQ751" si="1451">E749+(E750*6)</f>
        <v>18431</v>
      </c>
      <c r="F751" s="792">
        <f t="shared" si="1451"/>
        <v>27686</v>
      </c>
      <c r="G751" s="792">
        <f t="shared" si="1451"/>
        <v>27643</v>
      </c>
      <c r="H751" s="791">
        <f t="shared" si="1451"/>
        <v>27643</v>
      </c>
      <c r="I751" s="792">
        <f t="shared" si="1451"/>
        <v>27643</v>
      </c>
      <c r="J751" s="792">
        <f t="shared" si="1451"/>
        <v>27643</v>
      </c>
      <c r="K751" s="792">
        <f t="shared" si="1451"/>
        <v>27643</v>
      </c>
      <c r="L751" s="792">
        <f t="shared" si="1451"/>
        <v>30507</v>
      </c>
      <c r="M751" s="791">
        <f t="shared" si="1451"/>
        <v>30507</v>
      </c>
      <c r="N751" s="792">
        <f t="shared" si="1451"/>
        <v>30957</v>
      </c>
      <c r="O751" s="792">
        <f t="shared" si="1451"/>
        <v>30957</v>
      </c>
      <c r="P751" s="792">
        <f t="shared" si="1451"/>
        <v>28273</v>
      </c>
      <c r="Q751" s="792">
        <f t="shared" si="1451"/>
        <v>28108</v>
      </c>
      <c r="R751" s="791">
        <f t="shared" si="1451"/>
        <v>28108</v>
      </c>
      <c r="S751" s="792">
        <f t="shared" si="1451"/>
        <v>25609</v>
      </c>
      <c r="T751" s="792">
        <f t="shared" si="1451"/>
        <v>25609</v>
      </c>
      <c r="U751" s="792">
        <f t="shared" si="1451"/>
        <v>25609</v>
      </c>
      <c r="V751" s="792">
        <f t="shared" si="1451"/>
        <v>25379</v>
      </c>
      <c r="W751" s="791">
        <f t="shared" si="1451"/>
        <v>25379</v>
      </c>
      <c r="X751" s="792">
        <f t="shared" si="1451"/>
        <v>25379</v>
      </c>
      <c r="Y751" s="792">
        <f t="shared" si="1451"/>
        <v>25379</v>
      </c>
      <c r="Z751" s="792">
        <f t="shared" si="1451"/>
        <v>25379</v>
      </c>
      <c r="AA751" s="792">
        <f t="shared" si="1451"/>
        <v>24876</v>
      </c>
      <c r="AB751" s="791">
        <f t="shared" si="1451"/>
        <v>24876</v>
      </c>
      <c r="AC751" s="792">
        <f t="shared" si="1451"/>
        <v>24712</v>
      </c>
      <c r="AD751" s="792">
        <f t="shared" si="1451"/>
        <v>24548</v>
      </c>
      <c r="AE751" s="792">
        <f t="shared" si="1451"/>
        <v>24384</v>
      </c>
      <c r="AF751" s="792">
        <f t="shared" si="1451"/>
        <v>23967</v>
      </c>
      <c r="AG751" s="791">
        <f t="shared" si="1451"/>
        <v>23967</v>
      </c>
      <c r="AH751" s="792">
        <f t="shared" si="1451"/>
        <v>23967</v>
      </c>
      <c r="AI751" s="792">
        <f t="shared" si="1451"/>
        <v>23967</v>
      </c>
      <c r="AJ751" s="792">
        <f t="shared" si="1451"/>
        <v>23967</v>
      </c>
      <c r="AK751" s="792">
        <f t="shared" si="1451"/>
        <v>23558</v>
      </c>
      <c r="AL751" s="791">
        <f t="shared" si="1451"/>
        <v>23558</v>
      </c>
      <c r="AM751" s="792">
        <f t="shared" si="1451"/>
        <v>32816</v>
      </c>
      <c r="AN751" s="792">
        <f t="shared" si="1451"/>
        <v>32812</v>
      </c>
      <c r="AO751" s="792">
        <f t="shared" si="1451"/>
        <v>32812</v>
      </c>
      <c r="AP751" s="792">
        <f t="shared" si="1451"/>
        <v>37458</v>
      </c>
      <c r="AQ751" s="791">
        <f t="shared" si="1451"/>
        <v>34614.75</v>
      </c>
      <c r="AR751" s="792">
        <f t="shared" ref="AR751:CB751" si="1452">AR749+(AR750*6)</f>
        <v>37466</v>
      </c>
      <c r="AS751" s="792">
        <f t="shared" si="1452"/>
        <v>37492</v>
      </c>
      <c r="AT751" s="792">
        <f t="shared" si="1452"/>
        <v>37494</v>
      </c>
      <c r="AU751" s="792">
        <f t="shared" si="1452"/>
        <v>38117</v>
      </c>
      <c r="AV751" s="791">
        <f t="shared" si="1452"/>
        <v>37419.5</v>
      </c>
      <c r="AW751" s="792">
        <f t="shared" si="1452"/>
        <v>38131</v>
      </c>
      <c r="AX751" s="792">
        <f t="shared" si="1452"/>
        <v>38131</v>
      </c>
      <c r="AY751" s="792">
        <f t="shared" si="1452"/>
        <v>38131</v>
      </c>
      <c r="AZ751" s="792">
        <f t="shared" si="1452"/>
        <v>38208</v>
      </c>
      <c r="BA751" s="791">
        <f t="shared" si="1452"/>
        <v>38073</v>
      </c>
      <c r="BB751" s="792">
        <f t="shared" si="1452"/>
        <v>36989</v>
      </c>
      <c r="BC751" s="792">
        <f t="shared" si="1452"/>
        <v>36982</v>
      </c>
      <c r="BD751" s="792">
        <f t="shared" si="1452"/>
        <v>36812</v>
      </c>
      <c r="BE751" s="792">
        <f t="shared" si="1452"/>
        <v>36844</v>
      </c>
      <c r="BF751" s="791">
        <f t="shared" si="1452"/>
        <v>36823</v>
      </c>
      <c r="BG751" s="793">
        <f t="shared" ref="BG751:BP751" si="1453">BG749+(BG750*6)</f>
        <v>36866</v>
      </c>
      <c r="BH751" s="792">
        <f t="shared" si="1453"/>
        <v>36802</v>
      </c>
      <c r="BI751" s="792">
        <f t="shared" si="1453"/>
        <v>36831</v>
      </c>
      <c r="BJ751" s="1894">
        <f t="shared" si="1453"/>
        <v>36809</v>
      </c>
      <c r="BK751" s="791">
        <f t="shared" si="1453"/>
        <v>36811</v>
      </c>
      <c r="BL751" s="792">
        <f t="shared" si="1453"/>
        <v>36807</v>
      </c>
      <c r="BM751" s="792">
        <f t="shared" si="1453"/>
        <v>36803</v>
      </c>
      <c r="BN751" s="792">
        <f t="shared" si="1453"/>
        <v>30161</v>
      </c>
      <c r="BO751" s="1894">
        <f t="shared" si="1453"/>
        <v>32064</v>
      </c>
      <c r="BP751" s="791">
        <f t="shared" si="1453"/>
        <v>32295.5</v>
      </c>
      <c r="BQ751" s="792">
        <f t="shared" ref="BQ751:BZ751" si="1454">BQ749+(BQ750*6)</f>
        <v>35396</v>
      </c>
      <c r="BR751" s="792">
        <f t="shared" si="1454"/>
        <v>35685</v>
      </c>
      <c r="BS751" s="792">
        <f t="shared" si="1454"/>
        <v>35685</v>
      </c>
      <c r="BT751" s="1894">
        <f t="shared" si="1454"/>
        <v>35685</v>
      </c>
      <c r="BU751" s="3396">
        <f t="shared" si="1454"/>
        <v>35603</v>
      </c>
      <c r="BV751" s="792">
        <f t="shared" si="1454"/>
        <v>35603</v>
      </c>
      <c r="BW751" s="792">
        <f t="shared" si="1454"/>
        <v>35603</v>
      </c>
      <c r="BX751" s="792">
        <f t="shared" si="1454"/>
        <v>44882</v>
      </c>
      <c r="BY751" s="1894">
        <f t="shared" si="1454"/>
        <v>44882</v>
      </c>
      <c r="BZ751" s="3396">
        <f t="shared" si="1454"/>
        <v>44882</v>
      </c>
      <c r="CA751" s="791">
        <f t="shared" si="1452"/>
        <v>44882</v>
      </c>
      <c r="CB751" s="791">
        <f t="shared" si="1452"/>
        <v>44882</v>
      </c>
      <c r="CC751" s="791">
        <f>CC749+(CC750*6)</f>
        <v>31650.5</v>
      </c>
      <c r="CD751" s="791">
        <f>CD749+(CD750*6)</f>
        <v>31650.5</v>
      </c>
      <c r="CE751" s="791">
        <f>CE749+(CE750*6)</f>
        <v>31650.5</v>
      </c>
      <c r="CF751" s="791">
        <f>CF749+(CF750*6)</f>
        <v>31650.5</v>
      </c>
      <c r="CG751" s="791">
        <f>CG749+(CG750*6)</f>
        <v>31650.5</v>
      </c>
      <c r="CH751" s="626"/>
      <c r="CI751" s="626"/>
      <c r="CJ751" s="626"/>
      <c r="CK751" s="626"/>
      <c r="CL751" s="626"/>
      <c r="CM751" s="626"/>
      <c r="CN751" s="626"/>
      <c r="CO751" s="626"/>
      <c r="CP751" s="994" t="str">
        <f>A751</f>
        <v>Total Positions</v>
      </c>
      <c r="CQ751" s="792">
        <f>H751</f>
        <v>27643</v>
      </c>
      <c r="CR751" s="792">
        <f>M751</f>
        <v>30507</v>
      </c>
      <c r="CS751" s="792">
        <f>R751</f>
        <v>28108</v>
      </c>
      <c r="CT751" s="792">
        <f>W751</f>
        <v>25379</v>
      </c>
      <c r="CU751" s="792">
        <f>AB751</f>
        <v>24876</v>
      </c>
      <c r="CV751" s="792">
        <f>AG751</f>
        <v>23967</v>
      </c>
      <c r="CW751" s="792">
        <f>AL751</f>
        <v>23558</v>
      </c>
      <c r="CX751" s="792">
        <f>AQ751</f>
        <v>34614.75</v>
      </c>
      <c r="CY751" s="792">
        <f>AV751</f>
        <v>37419.5</v>
      </c>
      <c r="CZ751" s="792">
        <f>BA751</f>
        <v>38073</v>
      </c>
      <c r="DA751" s="792">
        <f>BF751</f>
        <v>36823</v>
      </c>
      <c r="DB751" s="792">
        <f>BK751</f>
        <v>36811</v>
      </c>
      <c r="DC751" s="792">
        <f>BP751</f>
        <v>32295.5</v>
      </c>
      <c r="DD751" s="792">
        <f>BU751</f>
        <v>35603</v>
      </c>
      <c r="DE751" s="792">
        <f t="shared" si="1447"/>
        <v>44882</v>
      </c>
      <c r="DF751" s="792">
        <f t="shared" si="1447"/>
        <v>44882</v>
      </c>
      <c r="DG751" s="1894">
        <f t="shared" si="1447"/>
        <v>44882</v>
      </c>
      <c r="DH751" s="632"/>
      <c r="DI751" s="595"/>
      <c r="DJ751" s="595"/>
      <c r="DK751" s="595"/>
      <c r="DL751" s="595"/>
      <c r="DM751" s="595"/>
      <c r="DN751" s="514"/>
      <c r="DO751" s="226"/>
      <c r="DY751" s="792"/>
      <c r="DZ751" s="792"/>
    </row>
    <row r="752" spans="1:130" ht="6" customHeight="1">
      <c r="A752" s="552"/>
      <c r="B752" s="228"/>
      <c r="C752" s="228"/>
      <c r="D752" s="625"/>
      <c r="E752" s="626"/>
      <c r="F752" s="626"/>
      <c r="G752" s="626"/>
      <c r="H752" s="788"/>
      <c r="I752" s="626"/>
      <c r="J752" s="626"/>
      <c r="K752" s="626"/>
      <c r="L752" s="626"/>
      <c r="M752" s="788"/>
      <c r="N752" s="626"/>
      <c r="O752" s="626"/>
      <c r="P752" s="626"/>
      <c r="Q752" s="626"/>
      <c r="R752" s="788"/>
      <c r="S752" s="626"/>
      <c r="T752" s="626"/>
      <c r="U752" s="626"/>
      <c r="V752" s="626"/>
      <c r="W752" s="788"/>
      <c r="X752" s="626"/>
      <c r="Y752" s="626"/>
      <c r="Z752" s="626"/>
      <c r="AA752" s="626"/>
      <c r="AB752" s="788"/>
      <c r="AC752" s="626"/>
      <c r="AD752" s="626"/>
      <c r="AE752" s="626"/>
      <c r="AF752" s="626"/>
      <c r="AG752" s="788"/>
      <c r="AH752" s="626"/>
      <c r="AI752" s="626"/>
      <c r="AJ752" s="626"/>
      <c r="AK752" s="626"/>
      <c r="AL752" s="788"/>
      <c r="AM752" s="626"/>
      <c r="AN752" s="626"/>
      <c r="AO752" s="626"/>
      <c r="AP752" s="626"/>
      <c r="AQ752" s="788"/>
      <c r="AR752" s="626"/>
      <c r="AS752" s="626"/>
      <c r="AT752" s="626"/>
      <c r="AU752" s="626"/>
      <c r="AV752" s="788"/>
      <c r="AW752" s="626"/>
      <c r="AX752" s="626"/>
      <c r="AY752" s="626"/>
      <c r="AZ752" s="626"/>
      <c r="BA752" s="788"/>
      <c r="BB752" s="626"/>
      <c r="BC752" s="626"/>
      <c r="BD752" s="626"/>
      <c r="BE752" s="626"/>
      <c r="BF752" s="788"/>
      <c r="BG752" s="625"/>
      <c r="BH752" s="626"/>
      <c r="BI752" s="626"/>
      <c r="BJ752" s="1893"/>
      <c r="BK752" s="788"/>
      <c r="BL752" s="626"/>
      <c r="BM752" s="626"/>
      <c r="BN752" s="626"/>
      <c r="BO752" s="1893"/>
      <c r="BP752" s="788"/>
      <c r="BQ752" s="626"/>
      <c r="BR752" s="626"/>
      <c r="BS752" s="626"/>
      <c r="BT752" s="1893"/>
      <c r="BU752" s="3406"/>
      <c r="BV752" s="626"/>
      <c r="BW752" s="626"/>
      <c r="BX752" s="626"/>
      <c r="BY752" s="1893"/>
      <c r="BZ752" s="3406"/>
      <c r="CA752" s="788"/>
      <c r="CB752" s="788"/>
      <c r="CC752" s="788"/>
      <c r="CD752" s="788"/>
      <c r="CE752" s="788"/>
      <c r="CF752" s="788"/>
      <c r="CG752" s="788"/>
      <c r="CH752" s="626"/>
      <c r="CI752" s="626"/>
      <c r="CJ752" s="626"/>
      <c r="CK752" s="626"/>
      <c r="CL752" s="626"/>
      <c r="CM752" s="626"/>
      <c r="CN752" s="626"/>
      <c r="CO752" s="626"/>
      <c r="CP752" s="994"/>
      <c r="CQ752" s="626"/>
      <c r="CR752" s="626"/>
      <c r="CS752" s="626"/>
      <c r="CT752" s="626"/>
      <c r="CU752" s="626"/>
      <c r="CV752" s="626"/>
      <c r="CW752" s="626"/>
      <c r="CX752" s="626"/>
      <c r="CY752" s="626"/>
      <c r="CZ752" s="626"/>
      <c r="DA752" s="626"/>
      <c r="DB752" s="626"/>
      <c r="DC752" s="626"/>
      <c r="DD752" s="626"/>
      <c r="DE752" s="626"/>
      <c r="DF752" s="626"/>
      <c r="DG752" s="1893"/>
      <c r="DH752" s="632"/>
      <c r="DI752" s="595"/>
      <c r="DJ752" s="595"/>
      <c r="DK752" s="595"/>
      <c r="DL752" s="595"/>
      <c r="DM752" s="595"/>
      <c r="DN752" s="514"/>
      <c r="DO752" s="226"/>
      <c r="DY752" s="626"/>
      <c r="DZ752" s="626"/>
    </row>
    <row r="753" spans="1:130" ht="12" customHeight="1">
      <c r="A753" s="552" t="s">
        <v>224</v>
      </c>
      <c r="B753" s="228"/>
      <c r="C753" s="228"/>
      <c r="D753" s="793">
        <f t="shared" ref="D753:AI753" si="1455">D193+D291+D333+D362</f>
        <v>5300</v>
      </c>
      <c r="E753" s="792">
        <f t="shared" si="1455"/>
        <v>5810</v>
      </c>
      <c r="F753" s="792">
        <f t="shared" si="1455"/>
        <v>9022</v>
      </c>
      <c r="G753" s="792">
        <f t="shared" si="1455"/>
        <v>9026</v>
      </c>
      <c r="H753" s="791">
        <f t="shared" si="1455"/>
        <v>9026</v>
      </c>
      <c r="I753" s="792">
        <f t="shared" si="1455"/>
        <v>9232</v>
      </c>
      <c r="J753" s="792">
        <f t="shared" si="1455"/>
        <v>9232</v>
      </c>
      <c r="K753" s="792">
        <f t="shared" si="1455"/>
        <v>9232</v>
      </c>
      <c r="L753" s="792">
        <f t="shared" si="1455"/>
        <v>9875</v>
      </c>
      <c r="M753" s="791">
        <f t="shared" si="1455"/>
        <v>9875</v>
      </c>
      <c r="N753" s="792">
        <f t="shared" si="1455"/>
        <v>9875</v>
      </c>
      <c r="O753" s="792">
        <f t="shared" si="1455"/>
        <v>10396.25</v>
      </c>
      <c r="P753" s="792">
        <f t="shared" si="1455"/>
        <v>9228</v>
      </c>
      <c r="Q753" s="792">
        <f t="shared" si="1455"/>
        <v>9003</v>
      </c>
      <c r="R753" s="791">
        <f t="shared" si="1455"/>
        <v>9003</v>
      </c>
      <c r="S753" s="792">
        <f t="shared" si="1455"/>
        <v>7253</v>
      </c>
      <c r="T753" s="792">
        <f t="shared" si="1455"/>
        <v>7253</v>
      </c>
      <c r="U753" s="792">
        <f t="shared" si="1455"/>
        <v>7253</v>
      </c>
      <c r="V753" s="792">
        <f t="shared" si="1455"/>
        <v>7253</v>
      </c>
      <c r="W753" s="791">
        <f t="shared" si="1455"/>
        <v>7253</v>
      </c>
      <c r="X753" s="792">
        <f t="shared" si="1455"/>
        <v>7253</v>
      </c>
      <c r="Y753" s="792">
        <f t="shared" si="1455"/>
        <v>7253</v>
      </c>
      <c r="Z753" s="792">
        <f t="shared" si="1455"/>
        <v>7253</v>
      </c>
      <c r="AA753" s="792">
        <f t="shared" si="1455"/>
        <v>7250</v>
      </c>
      <c r="AB753" s="791">
        <f t="shared" si="1455"/>
        <v>7250</v>
      </c>
      <c r="AC753" s="792">
        <f t="shared" si="1455"/>
        <v>7550</v>
      </c>
      <c r="AD753" s="792">
        <f t="shared" si="1455"/>
        <v>7550</v>
      </c>
      <c r="AE753" s="792">
        <f t="shared" si="1455"/>
        <v>7550</v>
      </c>
      <c r="AF753" s="792">
        <f t="shared" si="1455"/>
        <v>7549</v>
      </c>
      <c r="AG753" s="791">
        <f t="shared" si="1455"/>
        <v>7549</v>
      </c>
      <c r="AH753" s="792">
        <f t="shared" si="1455"/>
        <v>7549</v>
      </c>
      <c r="AI753" s="792">
        <f t="shared" si="1455"/>
        <v>7549</v>
      </c>
      <c r="AJ753" s="792">
        <f t="shared" ref="AJ753:BO753" si="1456">AJ193+AJ291+AJ333+AJ362</f>
        <v>7549</v>
      </c>
      <c r="AK753" s="792">
        <f t="shared" si="1456"/>
        <v>7549</v>
      </c>
      <c r="AL753" s="791">
        <f t="shared" si="1456"/>
        <v>7549</v>
      </c>
      <c r="AM753" s="792">
        <f t="shared" si="1456"/>
        <v>7549</v>
      </c>
      <c r="AN753" s="792">
        <f t="shared" si="1456"/>
        <v>7549</v>
      </c>
      <c r="AO753" s="792">
        <f t="shared" si="1456"/>
        <v>7549</v>
      </c>
      <c r="AP753" s="792">
        <f t="shared" si="1456"/>
        <v>8649</v>
      </c>
      <c r="AQ753" s="791">
        <f t="shared" si="1456"/>
        <v>8649</v>
      </c>
      <c r="AR753" s="792">
        <f t="shared" si="1456"/>
        <v>8649</v>
      </c>
      <c r="AS753" s="792">
        <f t="shared" si="1456"/>
        <v>8649</v>
      </c>
      <c r="AT753" s="792">
        <f t="shared" si="1456"/>
        <v>8649</v>
      </c>
      <c r="AU753" s="792">
        <f t="shared" si="1456"/>
        <v>8649</v>
      </c>
      <c r="AV753" s="791">
        <f t="shared" si="1456"/>
        <v>8649</v>
      </c>
      <c r="AW753" s="792">
        <f t="shared" si="1456"/>
        <v>8649</v>
      </c>
      <c r="AX753" s="792">
        <f t="shared" si="1456"/>
        <v>8649</v>
      </c>
      <c r="AY753" s="792">
        <f t="shared" si="1456"/>
        <v>8649</v>
      </c>
      <c r="AZ753" s="792">
        <f t="shared" si="1456"/>
        <v>8651</v>
      </c>
      <c r="BA753" s="791">
        <f t="shared" si="1456"/>
        <v>8651</v>
      </c>
      <c r="BB753" s="792">
        <f t="shared" si="1456"/>
        <v>8651</v>
      </c>
      <c r="BC753" s="792">
        <f t="shared" si="1456"/>
        <v>8651</v>
      </c>
      <c r="BD753" s="792">
        <f t="shared" si="1456"/>
        <v>8651</v>
      </c>
      <c r="BE753" s="792">
        <f t="shared" si="1456"/>
        <v>8651</v>
      </c>
      <c r="BF753" s="791">
        <f t="shared" si="1456"/>
        <v>8651</v>
      </c>
      <c r="BG753" s="793">
        <f t="shared" si="1456"/>
        <v>8651</v>
      </c>
      <c r="BH753" s="792">
        <f t="shared" si="1456"/>
        <v>8651</v>
      </c>
      <c r="BI753" s="792">
        <f t="shared" si="1456"/>
        <v>8651</v>
      </c>
      <c r="BJ753" s="1894">
        <f t="shared" si="1456"/>
        <v>8651</v>
      </c>
      <c r="BK753" s="791">
        <f t="shared" si="1456"/>
        <v>8651</v>
      </c>
      <c r="BL753" s="792">
        <f t="shared" si="1456"/>
        <v>8651</v>
      </c>
      <c r="BM753" s="792">
        <f t="shared" si="1456"/>
        <v>8651</v>
      </c>
      <c r="BN753" s="792">
        <f t="shared" si="1456"/>
        <v>8651</v>
      </c>
      <c r="BO753" s="1894">
        <f t="shared" si="1456"/>
        <v>8853</v>
      </c>
      <c r="BP753" s="791">
        <f t="shared" ref="BP753:CG753" si="1457">BP193+BP291+BP333+BP362</f>
        <v>8853</v>
      </c>
      <c r="BQ753" s="792">
        <f t="shared" si="1457"/>
        <v>9353</v>
      </c>
      <c r="BR753" s="792">
        <f t="shared" si="1457"/>
        <v>9353</v>
      </c>
      <c r="BS753" s="792">
        <f t="shared" si="1457"/>
        <v>9353</v>
      </c>
      <c r="BT753" s="1894">
        <f t="shared" si="1457"/>
        <v>9353</v>
      </c>
      <c r="BU753" s="3396">
        <f t="shared" si="1457"/>
        <v>9353</v>
      </c>
      <c r="BV753" s="792">
        <f t="shared" ref="BV753:BZ753" si="1458">BV193+BV291+BV333+BV362</f>
        <v>9353</v>
      </c>
      <c r="BW753" s="792">
        <f t="shared" si="1458"/>
        <v>9353</v>
      </c>
      <c r="BX753" s="792">
        <f t="shared" si="1458"/>
        <v>11096</v>
      </c>
      <c r="BY753" s="1894">
        <f t="shared" si="1458"/>
        <v>11096</v>
      </c>
      <c r="BZ753" s="3396">
        <f t="shared" si="1458"/>
        <v>9353</v>
      </c>
      <c r="CA753" s="791">
        <f t="shared" si="1457"/>
        <v>9353</v>
      </c>
      <c r="CB753" s="791">
        <f t="shared" si="1457"/>
        <v>9353</v>
      </c>
      <c r="CC753" s="791">
        <f t="shared" si="1457"/>
        <v>9353</v>
      </c>
      <c r="CD753" s="791">
        <f t="shared" si="1457"/>
        <v>9353</v>
      </c>
      <c r="CE753" s="791">
        <f t="shared" si="1457"/>
        <v>9353</v>
      </c>
      <c r="CF753" s="791">
        <f t="shared" si="1457"/>
        <v>9353</v>
      </c>
      <c r="CG753" s="791">
        <f t="shared" si="1457"/>
        <v>9353</v>
      </c>
      <c r="CH753" s="626"/>
      <c r="CI753" s="626"/>
      <c r="CJ753" s="626"/>
      <c r="CK753" s="626"/>
      <c r="CL753" s="626"/>
      <c r="CM753" s="626"/>
      <c r="CN753" s="626"/>
      <c r="CO753" s="626"/>
      <c r="CP753" s="994" t="str">
        <f>A753</f>
        <v>Total Hotel Rooms</v>
      </c>
      <c r="CQ753" s="792">
        <f>H753</f>
        <v>9026</v>
      </c>
      <c r="CR753" s="792">
        <f>M753</f>
        <v>9875</v>
      </c>
      <c r="CS753" s="792">
        <f>R753</f>
        <v>9003</v>
      </c>
      <c r="CT753" s="792">
        <f>W753</f>
        <v>7253</v>
      </c>
      <c r="CU753" s="792">
        <f>AB753</f>
        <v>7250</v>
      </c>
      <c r="CV753" s="792">
        <f>AG753</f>
        <v>7549</v>
      </c>
      <c r="CW753" s="792">
        <f>AL753</f>
        <v>7549</v>
      </c>
      <c r="CX753" s="792">
        <f>AQ753</f>
        <v>8649</v>
      </c>
      <c r="CY753" s="792">
        <f>AV753</f>
        <v>8649</v>
      </c>
      <c r="CZ753" s="792">
        <f>BA753</f>
        <v>8651</v>
      </c>
      <c r="DA753" s="792">
        <f>BF753</f>
        <v>8651</v>
      </c>
      <c r="DB753" s="792">
        <f>BK753</f>
        <v>8651</v>
      </c>
      <c r="DC753" s="792">
        <f>BP753</f>
        <v>8853</v>
      </c>
      <c r="DD753" s="792">
        <f>BU753</f>
        <v>9353</v>
      </c>
      <c r="DE753" s="792">
        <f>BZ753</f>
        <v>9353</v>
      </c>
      <c r="DF753" s="792">
        <f>CA753</f>
        <v>9353</v>
      </c>
      <c r="DG753" s="1894">
        <f>CB753</f>
        <v>9353</v>
      </c>
      <c r="DH753" s="632"/>
      <c r="DI753" s="595"/>
      <c r="DJ753" s="595"/>
      <c r="DK753" s="595"/>
      <c r="DL753" s="595"/>
      <c r="DM753" s="595"/>
      <c r="DN753" s="514"/>
      <c r="DO753" s="226"/>
      <c r="DY753" s="792"/>
      <c r="DZ753" s="792"/>
    </row>
    <row r="754" spans="1:130" ht="12" customHeight="1">
      <c r="A754" s="552"/>
      <c r="B754" s="228"/>
      <c r="C754" s="228"/>
      <c r="D754" s="793"/>
      <c r="E754" s="792"/>
      <c r="F754" s="792"/>
      <c r="G754" s="792"/>
      <c r="H754" s="791"/>
      <c r="I754" s="792"/>
      <c r="J754" s="792"/>
      <c r="K754" s="792"/>
      <c r="L754" s="792"/>
      <c r="M754" s="791"/>
      <c r="N754" s="792"/>
      <c r="O754" s="792"/>
      <c r="P754" s="792"/>
      <c r="Q754" s="792"/>
      <c r="R754" s="791"/>
      <c r="S754" s="792"/>
      <c r="T754" s="792"/>
      <c r="U754" s="792"/>
      <c r="V754" s="792"/>
      <c r="W754" s="791"/>
      <c r="X754" s="792"/>
      <c r="Y754" s="792"/>
      <c r="Z754" s="792"/>
      <c r="AA754" s="792"/>
      <c r="AB754" s="791"/>
      <c r="AC754" s="792"/>
      <c r="AD754" s="792"/>
      <c r="AE754" s="792"/>
      <c r="AF754" s="792"/>
      <c r="AG754" s="791"/>
      <c r="AH754" s="792"/>
      <c r="AI754" s="792"/>
      <c r="AJ754" s="792"/>
      <c r="AK754" s="792"/>
      <c r="AL754" s="791"/>
      <c r="AM754" s="792"/>
      <c r="AN754" s="792"/>
      <c r="AO754" s="792"/>
      <c r="AP754" s="792"/>
      <c r="AQ754" s="791"/>
      <c r="AR754" s="792"/>
      <c r="AS754" s="792"/>
      <c r="AT754" s="792"/>
      <c r="AU754" s="792"/>
      <c r="AV754" s="791"/>
      <c r="AW754" s="792"/>
      <c r="AX754" s="792"/>
      <c r="AY754" s="792"/>
      <c r="AZ754" s="792"/>
      <c r="BA754" s="791"/>
      <c r="BB754" s="792"/>
      <c r="BC754" s="792"/>
      <c r="BD754" s="792"/>
      <c r="BE754" s="792"/>
      <c r="BF754" s="791"/>
      <c r="BG754" s="793"/>
      <c r="BH754" s="792"/>
      <c r="BI754" s="792"/>
      <c r="BJ754" s="1894"/>
      <c r="BK754" s="791"/>
      <c r="BL754" s="792"/>
      <c r="BM754" s="792"/>
      <c r="BN754" s="792"/>
      <c r="BO754" s="1894"/>
      <c r="BP754" s="791"/>
      <c r="BQ754" s="792"/>
      <c r="BR754" s="792"/>
      <c r="BS754" s="792"/>
      <c r="BT754" s="1894"/>
      <c r="BU754" s="3396"/>
      <c r="BV754" s="792"/>
      <c r="BW754" s="792"/>
      <c r="BX754" s="792"/>
      <c r="BY754" s="1894"/>
      <c r="BZ754" s="791"/>
      <c r="CA754" s="791"/>
      <c r="CB754" s="791"/>
      <c r="CC754" s="791"/>
      <c r="CD754" s="791"/>
      <c r="CE754" s="791"/>
      <c r="CF754" s="791"/>
      <c r="CG754" s="791"/>
      <c r="CH754" s="626"/>
      <c r="CI754" s="626"/>
      <c r="CJ754" s="626"/>
      <c r="CK754" s="626"/>
      <c r="CL754" s="626"/>
      <c r="CM754" s="626"/>
      <c r="CN754" s="626"/>
      <c r="CO754" s="626"/>
      <c r="CP754" s="994"/>
      <c r="CQ754" s="792"/>
      <c r="CR754" s="792"/>
      <c r="CS754" s="792"/>
      <c r="CT754" s="792"/>
      <c r="CU754" s="792"/>
      <c r="CV754" s="792"/>
      <c r="CW754" s="792"/>
      <c r="CX754" s="792"/>
      <c r="CY754" s="792"/>
      <c r="CZ754" s="792"/>
      <c r="DA754" s="792"/>
      <c r="DB754" s="792"/>
      <c r="DC754" s="792"/>
      <c r="DD754" s="792"/>
      <c r="DE754" s="792"/>
      <c r="DF754" s="792"/>
      <c r="DG754" s="1894"/>
      <c r="DH754" s="632"/>
      <c r="DI754" s="595"/>
      <c r="DJ754" s="595"/>
      <c r="DK754" s="595"/>
      <c r="DL754" s="595"/>
      <c r="DM754" s="595"/>
      <c r="DN754" s="514"/>
      <c r="DO754" s="226"/>
      <c r="DY754" s="792"/>
      <c r="DZ754" s="792"/>
    </row>
    <row r="755" spans="1:130" ht="12" hidden="1" customHeight="1" outlineLevel="1">
      <c r="A755" s="1300" t="s">
        <v>1631</v>
      </c>
      <c r="B755" s="1301"/>
      <c r="C755" s="1301"/>
      <c r="D755" s="1302" t="str">
        <f t="shared" ref="D755:CC755" si="1459">D$6</f>
        <v>1Q04</v>
      </c>
      <c r="E755" s="1303" t="str">
        <f t="shared" si="1459"/>
        <v>2Q04</v>
      </c>
      <c r="F755" s="1303" t="str">
        <f t="shared" si="1459"/>
        <v>3Q04</v>
      </c>
      <c r="G755" s="1303" t="str">
        <f t="shared" si="1459"/>
        <v>4Q04</v>
      </c>
      <c r="H755" s="1304">
        <f t="shared" si="1459"/>
        <v>2004</v>
      </c>
      <c r="I755" s="1303" t="str">
        <f t="shared" si="1459"/>
        <v>1Q05</v>
      </c>
      <c r="J755" s="1303" t="str">
        <f t="shared" si="1459"/>
        <v>2Q05</v>
      </c>
      <c r="K755" s="1303" t="str">
        <f t="shared" si="1459"/>
        <v>3Q05</v>
      </c>
      <c r="L755" s="1303" t="str">
        <f t="shared" si="1459"/>
        <v>4Q05</v>
      </c>
      <c r="M755" s="1304">
        <f t="shared" si="1459"/>
        <v>2005</v>
      </c>
      <c r="N755" s="1303" t="str">
        <f t="shared" si="1459"/>
        <v>1Q06</v>
      </c>
      <c r="O755" s="1303" t="str">
        <f t="shared" si="1459"/>
        <v>2Q06</v>
      </c>
      <c r="P755" s="1303" t="str">
        <f t="shared" si="1459"/>
        <v>3Q06</v>
      </c>
      <c r="Q755" s="1303" t="str">
        <f t="shared" si="1459"/>
        <v>4Q06</v>
      </c>
      <c r="R755" s="1304">
        <f t="shared" si="1459"/>
        <v>2006</v>
      </c>
      <c r="S755" s="1303" t="str">
        <f t="shared" si="1459"/>
        <v>1Q07</v>
      </c>
      <c r="T755" s="1303" t="str">
        <f t="shared" si="1459"/>
        <v>2Q07</v>
      </c>
      <c r="U755" s="1303" t="str">
        <f t="shared" si="1459"/>
        <v>3Q07</v>
      </c>
      <c r="V755" s="1303" t="str">
        <f t="shared" si="1459"/>
        <v>4Q07</v>
      </c>
      <c r="W755" s="1304">
        <f t="shared" si="1459"/>
        <v>2007</v>
      </c>
      <c r="X755" s="1303" t="str">
        <f t="shared" si="1459"/>
        <v>1Q08</v>
      </c>
      <c r="Y755" s="1303" t="str">
        <f t="shared" si="1459"/>
        <v>2Q08</v>
      </c>
      <c r="Z755" s="1303" t="str">
        <f t="shared" si="1459"/>
        <v>3Q08</v>
      </c>
      <c r="AA755" s="1303" t="str">
        <f t="shared" si="1459"/>
        <v>4Q08</v>
      </c>
      <c r="AB755" s="1304">
        <f t="shared" si="1459"/>
        <v>2008</v>
      </c>
      <c r="AC755" s="1303" t="str">
        <f t="shared" si="1459"/>
        <v>1Q09</v>
      </c>
      <c r="AD755" s="1303" t="str">
        <f t="shared" si="1459"/>
        <v>2Q09</v>
      </c>
      <c r="AE755" s="1303" t="str">
        <f t="shared" si="1459"/>
        <v>3Q09</v>
      </c>
      <c r="AF755" s="1303" t="str">
        <f t="shared" si="1459"/>
        <v>4Q09</v>
      </c>
      <c r="AG755" s="1304">
        <f t="shared" si="1459"/>
        <v>2009</v>
      </c>
      <c r="AH755" s="1303" t="str">
        <f t="shared" si="1459"/>
        <v>1Q10</v>
      </c>
      <c r="AI755" s="109" t="str">
        <f t="shared" si="1459"/>
        <v>2Q10</v>
      </c>
      <c r="AJ755" s="109" t="str">
        <f t="shared" si="1459"/>
        <v>3Q10</v>
      </c>
      <c r="AK755" s="109" t="str">
        <f t="shared" si="1459"/>
        <v>4Q10</v>
      </c>
      <c r="AL755" s="110">
        <f t="shared" si="1459"/>
        <v>2010</v>
      </c>
      <c r="AM755" s="109" t="str">
        <f t="shared" si="1459"/>
        <v>1Q11</v>
      </c>
      <c r="AN755" s="109" t="str">
        <f t="shared" si="1459"/>
        <v>2Q11</v>
      </c>
      <c r="AO755" s="109" t="str">
        <f t="shared" si="1459"/>
        <v>3Q11</v>
      </c>
      <c r="AP755" s="109" t="str">
        <f t="shared" si="1459"/>
        <v>4Q11</v>
      </c>
      <c r="AQ755" s="110">
        <f t="shared" si="1459"/>
        <v>2011</v>
      </c>
      <c r="AR755" s="109" t="str">
        <f t="shared" si="1459"/>
        <v>1Q12</v>
      </c>
      <c r="AS755" s="109" t="str">
        <f t="shared" si="1459"/>
        <v>2Q12</v>
      </c>
      <c r="AT755" s="109" t="str">
        <f t="shared" si="1459"/>
        <v>3Q12</v>
      </c>
      <c r="AU755" s="109" t="str">
        <f t="shared" si="1459"/>
        <v>4Q12</v>
      </c>
      <c r="AV755" s="110">
        <f t="shared" si="1459"/>
        <v>2012</v>
      </c>
      <c r="AW755" s="109" t="str">
        <f t="shared" si="1459"/>
        <v>1Q13</v>
      </c>
      <c r="AX755" s="109" t="str">
        <f t="shared" si="1459"/>
        <v>2Q13</v>
      </c>
      <c r="AY755" s="109" t="str">
        <f t="shared" si="1459"/>
        <v>3Q13</v>
      </c>
      <c r="AZ755" s="109" t="str">
        <f t="shared" si="1459"/>
        <v>4Q13</v>
      </c>
      <c r="BA755" s="110">
        <f t="shared" si="1459"/>
        <v>2013</v>
      </c>
      <c r="BB755" s="109" t="str">
        <f t="shared" si="1459"/>
        <v>1Q14</v>
      </c>
      <c r="BC755" s="109" t="str">
        <f t="shared" si="1459"/>
        <v>2Q14</v>
      </c>
      <c r="BD755" s="109" t="str">
        <f t="shared" si="1459"/>
        <v>3Q14</v>
      </c>
      <c r="BE755" s="109" t="str">
        <f t="shared" si="1459"/>
        <v>4Q14</v>
      </c>
      <c r="BF755" s="110">
        <f t="shared" si="1459"/>
        <v>2014</v>
      </c>
      <c r="BG755" s="237" t="str">
        <f t="shared" si="1459"/>
        <v>1Q15</v>
      </c>
      <c r="BH755" s="109" t="str">
        <f t="shared" si="1459"/>
        <v>2Q15</v>
      </c>
      <c r="BI755" s="109" t="str">
        <f t="shared" si="1459"/>
        <v>3Q15</v>
      </c>
      <c r="BJ755" s="1772" t="str">
        <f t="shared" si="1459"/>
        <v>4Q15</v>
      </c>
      <c r="BK755" s="110">
        <f t="shared" si="1459"/>
        <v>2015</v>
      </c>
      <c r="BL755" s="109" t="str">
        <f t="shared" si="1459"/>
        <v>1Q16</v>
      </c>
      <c r="BM755" s="109" t="str">
        <f t="shared" si="1459"/>
        <v>2Q16</v>
      </c>
      <c r="BN755" s="109" t="str">
        <f t="shared" si="1459"/>
        <v>3Q16</v>
      </c>
      <c r="BO755" s="1772" t="str">
        <f t="shared" si="1459"/>
        <v>4Q16</v>
      </c>
      <c r="BP755" s="110">
        <f t="shared" si="1459"/>
        <v>2016</v>
      </c>
      <c r="BQ755" s="109" t="str">
        <f t="shared" si="1459"/>
        <v>1Q17</v>
      </c>
      <c r="BR755" s="109" t="str">
        <f t="shared" si="1459"/>
        <v>2Q17</v>
      </c>
      <c r="BS755" s="109" t="str">
        <f t="shared" si="1459"/>
        <v>3Q17</v>
      </c>
      <c r="BT755" s="1772" t="str">
        <f t="shared" si="1459"/>
        <v>4Q17A</v>
      </c>
      <c r="BU755" s="3347" t="str">
        <f t="shared" si="1459"/>
        <v>2017A</v>
      </c>
      <c r="BV755" s="109" t="str">
        <f t="shared" si="1459"/>
        <v>1Q18E</v>
      </c>
      <c r="BW755" s="109" t="str">
        <f t="shared" si="1459"/>
        <v>2Q18E</v>
      </c>
      <c r="BX755" s="109" t="str">
        <f t="shared" si="1459"/>
        <v>3Q18E</v>
      </c>
      <c r="BY755" s="1772" t="str">
        <f t="shared" si="1459"/>
        <v>4Q18E</v>
      </c>
      <c r="BZ755" s="110" t="str">
        <f t="shared" si="1459"/>
        <v>2018E</v>
      </c>
      <c r="CA755" s="110" t="str">
        <f t="shared" si="1459"/>
        <v>2019E</v>
      </c>
      <c r="CB755" s="110" t="str">
        <f t="shared" si="1459"/>
        <v>2020E</v>
      </c>
      <c r="CC755" s="110" t="str">
        <f t="shared" si="1459"/>
        <v>2021E</v>
      </c>
      <c r="CD755" s="110" t="str">
        <f>CD$6</f>
        <v>2022E</v>
      </c>
      <c r="CE755" s="110" t="str">
        <f>CE$6</f>
        <v>2023E</v>
      </c>
      <c r="CF755" s="110" t="str">
        <f>CF$6</f>
        <v>2024E</v>
      </c>
      <c r="CG755" s="110" t="str">
        <f>CG$6</f>
        <v>2025E</v>
      </c>
      <c r="CH755" s="521"/>
      <c r="CI755" s="521"/>
      <c r="CJ755" s="521"/>
      <c r="CK755" s="521"/>
      <c r="CL755" s="521"/>
      <c r="CM755" s="521"/>
      <c r="CN755" s="521"/>
      <c r="CO755" s="521"/>
      <c r="CP755" s="1300" t="str">
        <f>A755</f>
        <v>Online Gaming</v>
      </c>
      <c r="CQ755" s="109">
        <f>H755</f>
        <v>2004</v>
      </c>
      <c r="CR755" s="109">
        <f>M755</f>
        <v>2005</v>
      </c>
      <c r="CS755" s="109">
        <f>R755</f>
        <v>2006</v>
      </c>
      <c r="CT755" s="109">
        <f>W755</f>
        <v>2007</v>
      </c>
      <c r="CU755" s="109">
        <f>AB755</f>
        <v>2008</v>
      </c>
      <c r="CV755" s="109">
        <f>AG755</f>
        <v>2009</v>
      </c>
      <c r="CW755" s="109">
        <f>AL755</f>
        <v>2010</v>
      </c>
      <c r="CX755" s="109">
        <f>AQ755</f>
        <v>2011</v>
      </c>
      <c r="CY755" s="109">
        <f>AV755</f>
        <v>2012</v>
      </c>
      <c r="CZ755" s="109">
        <f>BA755</f>
        <v>2013</v>
      </c>
      <c r="DA755" s="109">
        <f>BF755</f>
        <v>2014</v>
      </c>
      <c r="DB755" s="109">
        <f>BK755</f>
        <v>2015</v>
      </c>
      <c r="DC755" s="109">
        <f>BP755</f>
        <v>2016</v>
      </c>
      <c r="DD755" s="109" t="str">
        <f>BU755</f>
        <v>2017A</v>
      </c>
      <c r="DE755" s="109" t="str">
        <f>BZ755</f>
        <v>2018E</v>
      </c>
      <c r="DF755" s="109" t="str">
        <f>CA755</f>
        <v>2019E</v>
      </c>
      <c r="DG755" s="1772" t="str">
        <f>CB755</f>
        <v>2020E</v>
      </c>
      <c r="DH755" s="223"/>
      <c r="DI755" s="595"/>
      <c r="DJ755" s="595"/>
      <c r="DK755" s="595"/>
      <c r="DL755" s="595"/>
      <c r="DM755" s="595"/>
      <c r="DN755" s="514"/>
      <c r="DO755" s="226"/>
      <c r="DY755" s="244"/>
      <c r="DZ755" s="244"/>
    </row>
    <row r="756" spans="1:130" ht="12" hidden="1" customHeight="1" outlineLevel="1">
      <c r="A756" s="228" t="s">
        <v>1811</v>
      </c>
      <c r="B756" s="228"/>
      <c r="C756" s="228"/>
      <c r="D756" s="625"/>
      <c r="E756" s="626"/>
      <c r="F756" s="626"/>
      <c r="G756" s="626"/>
      <c r="H756" s="788"/>
      <c r="I756" s="626"/>
      <c r="J756" s="626"/>
      <c r="K756" s="626"/>
      <c r="L756" s="626"/>
      <c r="M756" s="788"/>
      <c r="N756" s="626"/>
      <c r="O756" s="626"/>
      <c r="P756" s="626"/>
      <c r="Q756" s="626"/>
      <c r="R756" s="788"/>
      <c r="S756" s="626"/>
      <c r="T756" s="626"/>
      <c r="U756" s="626"/>
      <c r="V756" s="626"/>
      <c r="W756" s="788"/>
      <c r="X756" s="626"/>
      <c r="Y756" s="626"/>
      <c r="Z756" s="626"/>
      <c r="AA756" s="626"/>
      <c r="AB756" s="788"/>
      <c r="AC756" s="626"/>
      <c r="AD756" s="626"/>
      <c r="AE756" s="626"/>
      <c r="AF756" s="626"/>
      <c r="AG756" s="788"/>
      <c r="AH756" s="626"/>
      <c r="AI756" s="626"/>
      <c r="AJ756" s="626"/>
      <c r="AK756" s="626"/>
      <c r="AL756" s="788"/>
      <c r="AM756" s="626"/>
      <c r="AN756" s="261"/>
      <c r="AO756" s="626"/>
      <c r="AP756" s="330"/>
      <c r="AQ756" s="1439"/>
      <c r="AR756" s="330"/>
      <c r="AS756" s="330"/>
      <c r="AT756" s="330"/>
      <c r="AU756" s="626"/>
      <c r="AV756" s="1951"/>
      <c r="AW756" s="626"/>
      <c r="AX756" s="261"/>
      <c r="AY756" s="626"/>
      <c r="AZ756" s="626"/>
      <c r="BA756" s="1439"/>
      <c r="BB756" s="626"/>
      <c r="BC756" s="261"/>
      <c r="BD756" s="626"/>
      <c r="BE756" s="626"/>
      <c r="BF756" s="2130"/>
      <c r="BG756" s="2898"/>
      <c r="BH756" s="2899"/>
      <c r="BI756" s="2899"/>
      <c r="BJ756" s="2900"/>
      <c r="BK756" s="1439"/>
      <c r="BL756" s="2899"/>
      <c r="BM756" s="2899"/>
      <c r="BN756" s="2899"/>
      <c r="BO756" s="2900"/>
      <c r="BP756" s="1439"/>
      <c r="BQ756" s="2899"/>
      <c r="BR756" s="2899"/>
      <c r="BS756" s="2899"/>
      <c r="BT756" s="2900"/>
      <c r="BU756" s="3406"/>
      <c r="BV756" s="2899"/>
      <c r="BW756" s="2899"/>
      <c r="BX756" s="2899"/>
      <c r="BY756" s="2900"/>
      <c r="BZ756" s="1439"/>
      <c r="CA756" s="1439"/>
      <c r="CB756" s="1439"/>
      <c r="CC756" s="1439"/>
      <c r="CD756" s="1439"/>
      <c r="CE756" s="1439"/>
      <c r="CF756" s="1439"/>
      <c r="CG756" s="1439"/>
      <c r="CH756" s="626"/>
      <c r="CI756" s="626"/>
      <c r="CJ756" s="626"/>
      <c r="CK756" s="626"/>
      <c r="CL756" s="626"/>
      <c r="CM756" s="626"/>
      <c r="CN756" s="626"/>
      <c r="CO756" s="626"/>
      <c r="CP756" s="994"/>
      <c r="CQ756" s="626"/>
      <c r="CR756" s="626"/>
      <c r="CS756" s="626"/>
      <c r="CT756" s="626"/>
      <c r="CU756" s="626"/>
      <c r="CV756" s="626"/>
      <c r="CW756" s="626"/>
      <c r="CX756" s="626"/>
      <c r="CY756" s="626"/>
      <c r="CZ756" s="626"/>
      <c r="DA756" s="626"/>
      <c r="DB756" s="626"/>
      <c r="DC756" s="626"/>
      <c r="DD756" s="626"/>
      <c r="DE756" s="626"/>
      <c r="DF756" s="626"/>
      <c r="DG756" s="1893"/>
      <c r="DH756" s="632"/>
      <c r="DI756" s="595"/>
      <c r="DJ756" s="595"/>
      <c r="DK756" s="595"/>
      <c r="DL756" s="595"/>
      <c r="DM756" s="595"/>
      <c r="DN756" s="514"/>
      <c r="DO756" s="77"/>
      <c r="DY756" s="330"/>
      <c r="DZ756" s="330"/>
    </row>
    <row r="757" spans="1:130" ht="12" hidden="1" customHeight="1" outlineLevel="1">
      <c r="A757" s="2131" t="s">
        <v>1802</v>
      </c>
      <c r="B757" s="837"/>
      <c r="C757" s="837"/>
      <c r="D757" s="2106"/>
      <c r="E757" s="1759"/>
      <c r="F757" s="1759"/>
      <c r="G757" s="1759"/>
      <c r="H757" s="2107"/>
      <c r="I757" s="1759"/>
      <c r="J757" s="1759"/>
      <c r="K757" s="1759"/>
      <c r="L757" s="1759"/>
      <c r="M757" s="2107"/>
      <c r="N757" s="1759"/>
      <c r="O757" s="1759"/>
      <c r="P757" s="1759"/>
      <c r="Q757" s="1759"/>
      <c r="R757" s="2107"/>
      <c r="S757" s="1759"/>
      <c r="T757" s="1759"/>
      <c r="U757" s="1759"/>
      <c r="V757" s="1759"/>
      <c r="W757" s="2107"/>
      <c r="X757" s="1759"/>
      <c r="Y757" s="1759"/>
      <c r="Z757" s="1759"/>
      <c r="AA757" s="1759"/>
      <c r="AB757" s="2107"/>
      <c r="AC757" s="1759"/>
      <c r="AD757" s="1759"/>
      <c r="AE757" s="1759"/>
      <c r="AF757" s="1759"/>
      <c r="AG757" s="2107"/>
      <c r="AH757" s="1759"/>
      <c r="AI757" s="1759"/>
      <c r="AJ757" s="1759"/>
      <c r="AK757" s="1759"/>
      <c r="AL757" s="2107"/>
      <c r="AM757" s="1759"/>
      <c r="AN757" s="2108"/>
      <c r="AO757" s="1759"/>
      <c r="AP757" s="572"/>
      <c r="AQ757" s="571"/>
      <c r="AR757" s="572"/>
      <c r="AS757" s="572"/>
      <c r="AT757" s="572"/>
      <c r="AU757" s="1759"/>
      <c r="AV757" s="571"/>
      <c r="AW757" s="1759"/>
      <c r="AX757" s="2108"/>
      <c r="AY757" s="1759"/>
      <c r="AZ757" s="1759"/>
      <c r="BA757" s="2107"/>
      <c r="BB757" s="1759"/>
      <c r="BC757" s="2108"/>
      <c r="BD757" s="1759"/>
      <c r="BE757" s="1759"/>
      <c r="BF757" s="2107"/>
      <c r="BG757" s="2106"/>
      <c r="BH757" s="1759"/>
      <c r="BI757" s="1759"/>
      <c r="BJ757" s="1857"/>
      <c r="BK757" s="2107"/>
      <c r="BL757" s="1759"/>
      <c r="BM757" s="1759"/>
      <c r="BN757" s="1759"/>
      <c r="BO757" s="1857"/>
      <c r="BP757" s="2107"/>
      <c r="BQ757" s="1759"/>
      <c r="BR757" s="1759"/>
      <c r="BS757" s="1759"/>
      <c r="BT757" s="1857"/>
      <c r="BU757" s="3373"/>
      <c r="BV757" s="1759"/>
      <c r="BW757" s="1759"/>
      <c r="BX757" s="1759"/>
      <c r="BY757" s="1857"/>
      <c r="BZ757" s="571"/>
      <c r="CA757" s="571"/>
      <c r="CB757" s="571"/>
      <c r="CC757" s="571"/>
      <c r="CD757" s="571"/>
      <c r="CE757" s="571"/>
      <c r="CF757" s="571"/>
      <c r="CG757" s="571"/>
      <c r="CH757" s="1759"/>
      <c r="CI757" s="1759"/>
      <c r="CJ757" s="1759"/>
      <c r="CK757" s="1759"/>
      <c r="CL757" s="1759"/>
      <c r="CM757" s="1759"/>
      <c r="CN757" s="1759"/>
      <c r="CO757" s="1759"/>
      <c r="CP757" s="1864"/>
      <c r="CQ757" s="1759"/>
      <c r="CR757" s="1759"/>
      <c r="CS757" s="1759"/>
      <c r="CT757" s="1759"/>
      <c r="CU757" s="1759"/>
      <c r="CV757" s="1759"/>
      <c r="CW757" s="1759"/>
      <c r="CX757" s="1759"/>
      <c r="CY757" s="1759"/>
      <c r="CZ757" s="1759"/>
      <c r="DA757" s="1759"/>
      <c r="DB757" s="1759"/>
      <c r="DC757" s="1759"/>
      <c r="DD757" s="1759"/>
      <c r="DE757" s="1759"/>
      <c r="DF757" s="1759"/>
      <c r="DG757" s="1857"/>
      <c r="DH757" s="632"/>
      <c r="DI757" s="838"/>
      <c r="DJ757" s="838"/>
      <c r="DK757" s="838"/>
      <c r="DL757" s="838"/>
      <c r="DM757" s="838"/>
      <c r="DN757" s="632"/>
      <c r="DO757" s="858"/>
      <c r="DY757" s="1759"/>
      <c r="DZ757" s="1759"/>
    </row>
    <row r="758" spans="1:130" ht="12" hidden="1" customHeight="1" outlineLevel="1">
      <c r="A758" s="2153" t="s">
        <v>1804</v>
      </c>
      <c r="B758" s="2154"/>
      <c r="C758" s="2154"/>
      <c r="D758" s="2157"/>
      <c r="E758" s="2158"/>
      <c r="F758" s="2158"/>
      <c r="G758" s="2158"/>
      <c r="H758" s="2159"/>
      <c r="I758" s="2158"/>
      <c r="J758" s="2158"/>
      <c r="K758" s="2158"/>
      <c r="L758" s="2158"/>
      <c r="M758" s="2159"/>
      <c r="N758" s="2158"/>
      <c r="O758" s="2158"/>
      <c r="P758" s="2158"/>
      <c r="Q758" s="2158"/>
      <c r="R758" s="2159"/>
      <c r="S758" s="2158"/>
      <c r="T758" s="2158"/>
      <c r="U758" s="2158"/>
      <c r="V758" s="2158"/>
      <c r="W758" s="2159"/>
      <c r="X758" s="2158"/>
      <c r="Y758" s="2158"/>
      <c r="Z758" s="2158"/>
      <c r="AA758" s="2158"/>
      <c r="AB758" s="2159"/>
      <c r="AC758" s="2158"/>
      <c r="AD758" s="2158"/>
      <c r="AE758" s="2158"/>
      <c r="AF758" s="2158"/>
      <c r="AG758" s="2159"/>
      <c r="AH758" s="2158"/>
      <c r="AI758" s="2158"/>
      <c r="AJ758" s="2158"/>
      <c r="AK758" s="2158"/>
      <c r="AL758" s="2159"/>
      <c r="AM758" s="2158"/>
      <c r="AN758" s="2160"/>
      <c r="AO758" s="2158"/>
      <c r="AP758" s="2161"/>
      <c r="AQ758" s="2162"/>
      <c r="AR758" s="2161"/>
      <c r="AS758" s="2161"/>
      <c r="AT758" s="2161"/>
      <c r="AU758" s="2158"/>
      <c r="AV758" s="2162"/>
      <c r="AW758" s="2158"/>
      <c r="AX758" s="2160"/>
      <c r="AY758" s="2158"/>
      <c r="AZ758" s="2158"/>
      <c r="BA758" s="2162"/>
      <c r="BB758" s="2770">
        <v>2.4780666666666664</v>
      </c>
      <c r="BC758" s="2771">
        <v>2.6909999999999998</v>
      </c>
      <c r="BD758" s="2771">
        <v>2.42</v>
      </c>
      <c r="BE758" s="2771">
        <f>+BD758*0.96</f>
        <v>2.3231999999999999</v>
      </c>
      <c r="BF758" s="3106">
        <f>SUM(BB758:BE758)</f>
        <v>9.9122666666666657</v>
      </c>
      <c r="BG758" s="2901">
        <f t="shared" ref="BG758:BJ759" si="1460">+$BK758/4</f>
        <v>2.6313304412500003</v>
      </c>
      <c r="BH758" s="2165">
        <f t="shared" si="1460"/>
        <v>2.6313304412500003</v>
      </c>
      <c r="BI758" s="2165">
        <f t="shared" si="1460"/>
        <v>2.6313304412500003</v>
      </c>
      <c r="BJ758" s="2902">
        <f t="shared" si="1460"/>
        <v>2.6313304412500003</v>
      </c>
      <c r="BK758" s="2162">
        <v>10.525321765000001</v>
      </c>
      <c r="BL758" s="2165">
        <f>+$BP758/4</f>
        <v>3.2891630515625003</v>
      </c>
      <c r="BM758" s="2165">
        <f t="shared" ref="BM758:BO760" si="1461">+$BP758/4</f>
        <v>3.2891630515625003</v>
      </c>
      <c r="BN758" s="2165">
        <f t="shared" si="1461"/>
        <v>3.2891630515625003</v>
      </c>
      <c r="BO758" s="2902">
        <f t="shared" si="1461"/>
        <v>3.2891630515625003</v>
      </c>
      <c r="BP758" s="2162">
        <v>13.156652206250001</v>
      </c>
      <c r="BQ758" s="2165">
        <f>15.8/4</f>
        <v>3.95</v>
      </c>
      <c r="BR758" s="2165">
        <f>15.8/4</f>
        <v>3.95</v>
      </c>
      <c r="BS758" s="2165">
        <f>15.8/4</f>
        <v>3.95</v>
      </c>
      <c r="BT758" s="2165">
        <f>15.8/4</f>
        <v>3.95</v>
      </c>
      <c r="BU758" s="3413">
        <f>+SUM(BQ758:BT758)</f>
        <v>15.8</v>
      </c>
      <c r="BV758" s="2165">
        <f>16.26162/4</f>
        <v>4.0654050000000002</v>
      </c>
      <c r="BW758" s="2165">
        <f t="shared" ref="BW758:BY758" si="1462">16.26162/4</f>
        <v>4.0654050000000002</v>
      </c>
      <c r="BX758" s="2165">
        <f t="shared" si="1462"/>
        <v>4.0654050000000002</v>
      </c>
      <c r="BY758" s="2165">
        <f t="shared" si="1462"/>
        <v>4.0654050000000002</v>
      </c>
      <c r="BZ758" s="3106">
        <f>+SUM(BV758:BY758)</f>
        <v>16.261620000000001</v>
      </c>
      <c r="CA758" s="2162">
        <v>16.749470790732751</v>
      </c>
      <c r="CB758" s="2162">
        <v>17.251954914454736</v>
      </c>
      <c r="CC758" s="3208">
        <f t="shared" ref="CC758:CD772" si="1463">+CB758*0.95</f>
        <v>16.389357168731998</v>
      </c>
      <c r="CD758" s="3208">
        <f t="shared" si="1463"/>
        <v>15.569889310295396</v>
      </c>
      <c r="CE758" s="3208">
        <f t="shared" ref="CE758:CG772" si="1464">+CD758*1.02</f>
        <v>15.881287096501305</v>
      </c>
      <c r="CF758" s="3208">
        <f t="shared" si="1464"/>
        <v>16.198912838431333</v>
      </c>
      <c r="CG758" s="3208">
        <f t="shared" si="1464"/>
        <v>16.522891095199959</v>
      </c>
      <c r="CH758" s="916"/>
      <c r="CI758" s="916"/>
      <c r="CJ758" s="916"/>
      <c r="CK758" s="916"/>
      <c r="CL758" s="916"/>
      <c r="CM758" s="916"/>
      <c r="CN758" s="916"/>
      <c r="CO758" s="916"/>
      <c r="CP758" s="1790" t="str">
        <f t="shared" ref="CP758:CP765" si="1465">A758</f>
        <v>Nevada</v>
      </c>
      <c r="CQ758" s="916"/>
      <c r="CR758" s="916"/>
      <c r="CS758" s="916"/>
      <c r="CT758" s="916"/>
      <c r="CU758" s="916"/>
      <c r="CV758" s="916"/>
      <c r="CW758" s="916"/>
      <c r="CX758" s="916"/>
      <c r="CY758" s="916"/>
      <c r="CZ758" s="916">
        <f t="shared" ref="CZ758:CZ765" si="1466">BA758</f>
        <v>0</v>
      </c>
      <c r="DA758" s="916">
        <f t="shared" ref="DA758:DA765" si="1467">BF758</f>
        <v>9.9122666666666657</v>
      </c>
      <c r="DB758" s="916">
        <f t="shared" ref="DB758:DB765" si="1468">BK758</f>
        <v>10.525321765000001</v>
      </c>
      <c r="DC758" s="916">
        <f t="shared" ref="DC758:DC765" si="1469">BP758</f>
        <v>13.156652206250001</v>
      </c>
      <c r="DD758" s="916">
        <f t="shared" ref="DD758:DD765" si="1470">BU758</f>
        <v>15.8</v>
      </c>
      <c r="DE758" s="916">
        <f t="shared" ref="DE758:DE765" si="1471">BZ758</f>
        <v>16.261620000000001</v>
      </c>
      <c r="DF758" s="916">
        <f t="shared" ref="DF758:DF765" si="1472">CA758</f>
        <v>16.749470790732751</v>
      </c>
      <c r="DG758" s="1858">
        <f t="shared" ref="DG758:DG765" si="1473">CB758</f>
        <v>17.251954914454736</v>
      </c>
      <c r="DH758" s="651"/>
      <c r="DI758" s="650"/>
      <c r="DJ758" s="650"/>
      <c r="DK758" s="650"/>
      <c r="DL758" s="650"/>
      <c r="DM758" s="650"/>
      <c r="DN758" s="651"/>
      <c r="DO758" s="104"/>
      <c r="DY758" s="635"/>
      <c r="DZ758" s="635"/>
    </row>
    <row r="759" spans="1:130" ht="12" hidden="1" customHeight="1" outlineLevel="1">
      <c r="A759" s="1092" t="s">
        <v>1815</v>
      </c>
      <c r="B759" s="675"/>
      <c r="C759" s="675"/>
      <c r="D759" s="2109"/>
      <c r="E759" s="916"/>
      <c r="F759" s="916"/>
      <c r="G759" s="916"/>
      <c r="H759" s="1440"/>
      <c r="I759" s="916"/>
      <c r="J759" s="916"/>
      <c r="K759" s="916"/>
      <c r="L759" s="916"/>
      <c r="M759" s="1440"/>
      <c r="N759" s="916"/>
      <c r="O759" s="916"/>
      <c r="P759" s="916"/>
      <c r="Q759" s="916"/>
      <c r="R759" s="1440"/>
      <c r="S759" s="916"/>
      <c r="T759" s="916"/>
      <c r="U759" s="916"/>
      <c r="V759" s="916"/>
      <c r="W759" s="1440"/>
      <c r="X759" s="916"/>
      <c r="Y759" s="916"/>
      <c r="Z759" s="916"/>
      <c r="AA759" s="916"/>
      <c r="AB759" s="1440"/>
      <c r="AC759" s="916"/>
      <c r="AD759" s="916"/>
      <c r="AE759" s="916"/>
      <c r="AF759" s="916"/>
      <c r="AG759" s="1440"/>
      <c r="AH759" s="916"/>
      <c r="AI759" s="916"/>
      <c r="AJ759" s="916"/>
      <c r="AK759" s="916"/>
      <c r="AL759" s="1440"/>
      <c r="AM759" s="916"/>
      <c r="AN759" s="2110"/>
      <c r="AO759" s="916"/>
      <c r="AP759" s="635"/>
      <c r="AQ759" s="638"/>
      <c r="AR759" s="635"/>
      <c r="AS759" s="635"/>
      <c r="AT759" s="635"/>
      <c r="AU759" s="916"/>
      <c r="AV759" s="638"/>
      <c r="AW759" s="916"/>
      <c r="AX759" s="2110"/>
      <c r="AY759" s="916"/>
      <c r="AZ759" s="916"/>
      <c r="BA759" s="638"/>
      <c r="BB759" s="2772">
        <v>0.518563</v>
      </c>
      <c r="BC759" s="2773">
        <v>0.60404099999999994</v>
      </c>
      <c r="BD759" s="2773">
        <v>0.49096840000000003</v>
      </c>
      <c r="BE759" s="2773">
        <v>0.48497265000000001</v>
      </c>
      <c r="BF759" s="2692">
        <f>SUM(BB759:BE759)</f>
        <v>2.0985450500000002</v>
      </c>
      <c r="BG759" s="2903">
        <f t="shared" si="1460"/>
        <v>0.4373382475</v>
      </c>
      <c r="BH759" s="651">
        <f t="shared" si="1460"/>
        <v>0.4373382475</v>
      </c>
      <c r="BI759" s="651">
        <f t="shared" si="1460"/>
        <v>0.4373382475</v>
      </c>
      <c r="BJ759" s="2904">
        <f t="shared" si="1460"/>
        <v>0.4373382475</v>
      </c>
      <c r="BK759" s="638">
        <v>1.74935299</v>
      </c>
      <c r="BL759" s="651">
        <f>+$BP759/4</f>
        <v>0.56853972175</v>
      </c>
      <c r="BM759" s="651">
        <f t="shared" si="1461"/>
        <v>0.56853972175</v>
      </c>
      <c r="BN759" s="651">
        <f t="shared" si="1461"/>
        <v>0.56853972175</v>
      </c>
      <c r="BO759" s="2904">
        <f t="shared" si="1461"/>
        <v>0.56853972175</v>
      </c>
      <c r="BP759" s="638">
        <v>2.274158887</v>
      </c>
      <c r="BQ759" s="651">
        <f>2.6/4</f>
        <v>0.65</v>
      </c>
      <c r="BR759" s="651">
        <f>2.6/4</f>
        <v>0.65</v>
      </c>
      <c r="BS759" s="651">
        <f>2.6/4</f>
        <v>0.65</v>
      </c>
      <c r="BT759" s="651">
        <f>2.6/4</f>
        <v>0.65</v>
      </c>
      <c r="BU759" s="3382">
        <f>+SUM(BQ759:BT759)</f>
        <v>2.6</v>
      </c>
      <c r="BV759" s="651">
        <f>3.14884/4</f>
        <v>0.78720999999999997</v>
      </c>
      <c r="BW759" s="651">
        <f t="shared" ref="BW759:BY759" si="1474">3.14884/4</f>
        <v>0.78720999999999997</v>
      </c>
      <c r="BX759" s="651">
        <f t="shared" si="1474"/>
        <v>0.78720999999999997</v>
      </c>
      <c r="BY759" s="651">
        <f t="shared" si="1474"/>
        <v>0.78720999999999997</v>
      </c>
      <c r="BZ759" s="2692">
        <f>+SUM(BV759:BY759)</f>
        <v>3.1488399999999999</v>
      </c>
      <c r="CA759" s="638">
        <v>3.49870598</v>
      </c>
      <c r="CB759" s="638">
        <v>3.6036671594</v>
      </c>
      <c r="CC759" s="3208">
        <f t="shared" si="1463"/>
        <v>3.4234838014299998</v>
      </c>
      <c r="CD759" s="3208">
        <f t="shared" si="1463"/>
        <v>3.2523096113584997</v>
      </c>
      <c r="CE759" s="3208">
        <f t="shared" si="1464"/>
        <v>3.3173558035856696</v>
      </c>
      <c r="CF759" s="3208">
        <f t="shared" si="1464"/>
        <v>3.3837029196573831</v>
      </c>
      <c r="CG759" s="3208">
        <f t="shared" si="1464"/>
        <v>3.451376978050531</v>
      </c>
      <c r="CH759" s="916"/>
      <c r="CI759" s="916"/>
      <c r="CJ759" s="916"/>
      <c r="CK759" s="916"/>
      <c r="CL759" s="916"/>
      <c r="CM759" s="916"/>
      <c r="CN759" s="916"/>
      <c r="CO759" s="916"/>
      <c r="CP759" s="1790" t="str">
        <f t="shared" si="1465"/>
        <v>Delaware</v>
      </c>
      <c r="CQ759" s="916"/>
      <c r="CR759" s="916"/>
      <c r="CS759" s="916"/>
      <c r="CT759" s="916"/>
      <c r="CU759" s="916"/>
      <c r="CV759" s="916"/>
      <c r="CW759" s="916"/>
      <c r="CX759" s="916"/>
      <c r="CY759" s="916"/>
      <c r="CZ759" s="916">
        <f t="shared" si="1466"/>
        <v>0</v>
      </c>
      <c r="DA759" s="916">
        <f t="shared" si="1467"/>
        <v>2.0985450500000002</v>
      </c>
      <c r="DB759" s="916">
        <f t="shared" si="1468"/>
        <v>1.74935299</v>
      </c>
      <c r="DC759" s="916">
        <f t="shared" si="1469"/>
        <v>2.274158887</v>
      </c>
      <c r="DD759" s="916">
        <f t="shared" si="1470"/>
        <v>2.6</v>
      </c>
      <c r="DE759" s="916">
        <f t="shared" si="1471"/>
        <v>3.1488399999999999</v>
      </c>
      <c r="DF759" s="916">
        <f t="shared" si="1472"/>
        <v>3.49870598</v>
      </c>
      <c r="DG759" s="1858">
        <f t="shared" si="1473"/>
        <v>3.6036671594</v>
      </c>
      <c r="DH759" s="651"/>
      <c r="DI759" s="650"/>
      <c r="DJ759" s="650"/>
      <c r="DK759" s="650"/>
      <c r="DL759" s="650"/>
      <c r="DM759" s="650"/>
      <c r="DN759" s="651"/>
      <c r="DO759" s="104"/>
      <c r="DY759" s="635"/>
      <c r="DZ759" s="635"/>
    </row>
    <row r="760" spans="1:130" ht="12" hidden="1" customHeight="1" outlineLevel="1">
      <c r="A760" s="2153" t="s">
        <v>1809</v>
      </c>
      <c r="B760" s="2154"/>
      <c r="C760" s="2154"/>
      <c r="D760" s="2157"/>
      <c r="E760" s="2158"/>
      <c r="F760" s="2158"/>
      <c r="G760" s="2158"/>
      <c r="H760" s="2159"/>
      <c r="I760" s="2158"/>
      <c r="J760" s="2158"/>
      <c r="K760" s="2158"/>
      <c r="L760" s="2158"/>
      <c r="M760" s="2159"/>
      <c r="N760" s="2158"/>
      <c r="O760" s="2158"/>
      <c r="P760" s="2158"/>
      <c r="Q760" s="2158"/>
      <c r="R760" s="2159"/>
      <c r="S760" s="2158"/>
      <c r="T760" s="2158"/>
      <c r="U760" s="2158"/>
      <c r="V760" s="2158"/>
      <c r="W760" s="2159"/>
      <c r="X760" s="2158"/>
      <c r="Y760" s="2158"/>
      <c r="Z760" s="2158"/>
      <c r="AA760" s="2158"/>
      <c r="AB760" s="2159"/>
      <c r="AC760" s="2158"/>
      <c r="AD760" s="2158"/>
      <c r="AE760" s="2158"/>
      <c r="AF760" s="2158"/>
      <c r="AG760" s="2159"/>
      <c r="AH760" s="2158"/>
      <c r="AI760" s="2158"/>
      <c r="AJ760" s="2158"/>
      <c r="AK760" s="2158"/>
      <c r="AL760" s="2159"/>
      <c r="AM760" s="2158"/>
      <c r="AN760" s="2160"/>
      <c r="AO760" s="2158"/>
      <c r="AP760" s="2161"/>
      <c r="AQ760" s="2162"/>
      <c r="AR760" s="2161"/>
      <c r="AS760" s="2161"/>
      <c r="AT760" s="2161"/>
      <c r="AU760" s="2158"/>
      <c r="AV760" s="2162"/>
      <c r="AW760" s="2158"/>
      <c r="AX760" s="2160"/>
      <c r="AY760" s="2158"/>
      <c r="AZ760" s="2158"/>
      <c r="BA760" s="2162"/>
      <c r="BB760" s="2770">
        <v>31.646516999999996</v>
      </c>
      <c r="BC760" s="2771">
        <v>31.404248000000003</v>
      </c>
      <c r="BD760" s="2771">
        <v>30.86609</v>
      </c>
      <c r="BE760" s="2771">
        <v>28.959947</v>
      </c>
      <c r="BF760" s="3106">
        <f>SUM(BB760:BE760)</f>
        <v>122.876802</v>
      </c>
      <c r="BG760" s="3131">
        <v>35.137326999999999</v>
      </c>
      <c r="BH760" s="3176">
        <v>36.836891999999999</v>
      </c>
      <c r="BI760" s="3176">
        <v>36.775182999999998</v>
      </c>
      <c r="BJ760" s="3210">
        <v>40.130777999999999</v>
      </c>
      <c r="BK760" s="3106">
        <f>SUM(BG760:BJ760)</f>
        <v>148.88018</v>
      </c>
      <c r="BL760" s="3176">
        <v>44.887152</v>
      </c>
      <c r="BM760" s="3306">
        <f t="shared" si="1461"/>
        <v>43.963934105</v>
      </c>
      <c r="BN760" s="2165">
        <f t="shared" si="1461"/>
        <v>43.963934105</v>
      </c>
      <c r="BO760" s="3165">
        <f t="shared" si="1461"/>
        <v>43.963934105</v>
      </c>
      <c r="BP760" s="2162">
        <v>175.85573642</v>
      </c>
      <c r="BQ760" s="2165">
        <f>202.9/4</f>
        <v>50.725000000000001</v>
      </c>
      <c r="BR760" s="2165">
        <f>202.9/4</f>
        <v>50.725000000000001</v>
      </c>
      <c r="BS760" s="2165">
        <f>202.9/4</f>
        <v>50.725000000000001</v>
      </c>
      <c r="BT760" s="2165">
        <f>202.9/4</f>
        <v>50.725000000000001</v>
      </c>
      <c r="BU760" s="3413">
        <f>+SUM(BQ760:BT760)</f>
        <v>202.9</v>
      </c>
      <c r="BV760" s="2165">
        <f>243.493/4</f>
        <v>60.873249999999999</v>
      </c>
      <c r="BW760" s="2165">
        <f t="shared" ref="BW760:BY760" si="1475">243.493/4</f>
        <v>60.873249999999999</v>
      </c>
      <c r="BX760" s="2165">
        <f t="shared" si="1475"/>
        <v>60.873249999999999</v>
      </c>
      <c r="BY760" s="2165">
        <f t="shared" si="1475"/>
        <v>60.873249999999999</v>
      </c>
      <c r="BZ760" s="3106">
        <f>+SUM(BV760:BY760)</f>
        <v>243.49299999999999</v>
      </c>
      <c r="CA760" s="2162">
        <v>270.54728679999999</v>
      </c>
      <c r="CB760" s="2162">
        <v>278.66370540399998</v>
      </c>
      <c r="CC760" s="3208">
        <f t="shared" si="1463"/>
        <v>264.73052013379998</v>
      </c>
      <c r="CD760" s="3208">
        <f t="shared" si="1463"/>
        <v>251.49399412710997</v>
      </c>
      <c r="CE760" s="3208">
        <f t="shared" si="1464"/>
        <v>256.52387400965216</v>
      </c>
      <c r="CF760" s="3208">
        <f t="shared" si="1464"/>
        <v>261.65435148984523</v>
      </c>
      <c r="CG760" s="3208">
        <f t="shared" si="1464"/>
        <v>266.88743851964216</v>
      </c>
      <c r="CH760" s="916"/>
      <c r="CI760" s="916"/>
      <c r="CJ760" s="916"/>
      <c r="CK760" s="916"/>
      <c r="CL760" s="916"/>
      <c r="CM760" s="916"/>
      <c r="CN760" s="916"/>
      <c r="CO760" s="916"/>
      <c r="CP760" s="1790" t="str">
        <f t="shared" si="1465"/>
        <v>New Jersey</v>
      </c>
      <c r="CQ760" s="916"/>
      <c r="CR760" s="916"/>
      <c r="CS760" s="916"/>
      <c r="CT760" s="916"/>
      <c r="CU760" s="916"/>
      <c r="CV760" s="916"/>
      <c r="CW760" s="916"/>
      <c r="CX760" s="916"/>
      <c r="CY760" s="916"/>
      <c r="CZ760" s="916">
        <f t="shared" si="1466"/>
        <v>0</v>
      </c>
      <c r="DA760" s="916">
        <f t="shared" si="1467"/>
        <v>122.876802</v>
      </c>
      <c r="DB760" s="916">
        <f t="shared" si="1468"/>
        <v>148.88018</v>
      </c>
      <c r="DC760" s="916">
        <f t="shared" si="1469"/>
        <v>175.85573642</v>
      </c>
      <c r="DD760" s="916">
        <f t="shared" si="1470"/>
        <v>202.9</v>
      </c>
      <c r="DE760" s="916">
        <f t="shared" si="1471"/>
        <v>243.49299999999999</v>
      </c>
      <c r="DF760" s="916">
        <f t="shared" si="1472"/>
        <v>270.54728679999999</v>
      </c>
      <c r="DG760" s="1858">
        <f t="shared" si="1473"/>
        <v>278.66370540399998</v>
      </c>
      <c r="DH760" s="651"/>
      <c r="DI760" s="650"/>
      <c r="DJ760" s="650"/>
      <c r="DK760" s="650"/>
      <c r="DL760" s="650"/>
      <c r="DM760" s="650"/>
      <c r="DN760" s="651"/>
      <c r="DO760" s="104"/>
      <c r="DY760" s="635"/>
      <c r="DZ760" s="635"/>
    </row>
    <row r="761" spans="1:130" ht="12" hidden="1" customHeight="1" outlineLevel="1">
      <c r="A761" s="2153" t="s">
        <v>1812</v>
      </c>
      <c r="B761" s="2154"/>
      <c r="C761" s="2154"/>
      <c r="D761" s="2157"/>
      <c r="E761" s="2158"/>
      <c r="F761" s="2158"/>
      <c r="G761" s="2158"/>
      <c r="H761" s="2159"/>
      <c r="I761" s="2158"/>
      <c r="J761" s="2158"/>
      <c r="K761" s="2158"/>
      <c r="L761" s="2158"/>
      <c r="M761" s="2159"/>
      <c r="N761" s="2158"/>
      <c r="O761" s="2158"/>
      <c r="P761" s="2158"/>
      <c r="Q761" s="2158"/>
      <c r="R761" s="2159"/>
      <c r="S761" s="2158"/>
      <c r="T761" s="2158"/>
      <c r="U761" s="2158"/>
      <c r="V761" s="2158"/>
      <c r="W761" s="2159"/>
      <c r="X761" s="2158"/>
      <c r="Y761" s="2158"/>
      <c r="Z761" s="2158"/>
      <c r="AA761" s="2158"/>
      <c r="AB761" s="2159"/>
      <c r="AC761" s="2158"/>
      <c r="AD761" s="2158"/>
      <c r="AE761" s="2158"/>
      <c r="AF761" s="2158"/>
      <c r="AG761" s="2159"/>
      <c r="AH761" s="2158"/>
      <c r="AI761" s="2158"/>
      <c r="AJ761" s="2158"/>
      <c r="AK761" s="2158"/>
      <c r="AL761" s="2159"/>
      <c r="AM761" s="2158"/>
      <c r="AN761" s="2160"/>
      <c r="AO761" s="2158"/>
      <c r="AP761" s="2161"/>
      <c r="AQ761" s="2162"/>
      <c r="AR761" s="2161"/>
      <c r="AS761" s="2161"/>
      <c r="AT761" s="2161"/>
      <c r="AU761" s="2158"/>
      <c r="AV761" s="2162"/>
      <c r="AW761" s="2158"/>
      <c r="AX761" s="2160"/>
      <c r="AY761" s="2158"/>
      <c r="AZ761" s="2158"/>
      <c r="BA761" s="2162"/>
      <c r="BB761" s="2165"/>
      <c r="BC761" s="2166"/>
      <c r="BD761" s="2165"/>
      <c r="BE761" s="2165"/>
      <c r="BF761" s="2162"/>
      <c r="BG761" s="2905"/>
      <c r="BH761" s="2161"/>
      <c r="BI761" s="2161"/>
      <c r="BJ761" s="2906"/>
      <c r="BK761" s="2162"/>
      <c r="BL761" s="2161"/>
      <c r="BM761" s="2161"/>
      <c r="BN761" s="2161"/>
      <c r="BO761" s="2906"/>
      <c r="BP761" s="2162"/>
      <c r="BQ761" s="3469">
        <f>152.35/4</f>
        <v>38.087499999999999</v>
      </c>
      <c r="BR761" s="3469">
        <f>152.35/4</f>
        <v>38.087499999999999</v>
      </c>
      <c r="BS761" s="3469">
        <f>152.35/4</f>
        <v>38.087499999999999</v>
      </c>
      <c r="BT761" s="3469">
        <f>152.35/4</f>
        <v>38.087499999999999</v>
      </c>
      <c r="BU761" s="3413">
        <f>+SUM(BQ761:BT761)</f>
        <v>152.35</v>
      </c>
      <c r="BV761" s="3469">
        <f>203.1792/4</f>
        <v>50.794800000000002</v>
      </c>
      <c r="BW761" s="3469">
        <f t="shared" ref="BW761:BY761" si="1476">203.1792/4</f>
        <v>50.794800000000002</v>
      </c>
      <c r="BX761" s="3469">
        <f t="shared" si="1476"/>
        <v>50.794800000000002</v>
      </c>
      <c r="BY761" s="3469">
        <f t="shared" si="1476"/>
        <v>50.794800000000002</v>
      </c>
      <c r="BZ761" s="3106">
        <f>+SUM(BV761:BY761)</f>
        <v>203.17920000000001</v>
      </c>
      <c r="CA761" s="2162">
        <v>253.9740970375</v>
      </c>
      <c r="CB761" s="2162">
        <v>304.768916445</v>
      </c>
      <c r="CC761" s="3208">
        <f t="shared" si="1463"/>
        <v>289.53047062274999</v>
      </c>
      <c r="CD761" s="3208">
        <f t="shared" si="1463"/>
        <v>275.05394709161249</v>
      </c>
      <c r="CE761" s="3208">
        <f t="shared" si="1464"/>
        <v>280.55502603344473</v>
      </c>
      <c r="CF761" s="3208">
        <f t="shared" si="1464"/>
        <v>286.16612655411365</v>
      </c>
      <c r="CG761" s="3208">
        <f t="shared" si="1464"/>
        <v>291.88944908519591</v>
      </c>
      <c r="CH761" s="2163" t="s">
        <v>1673</v>
      </c>
      <c r="CI761" s="2158"/>
      <c r="CJ761" s="916"/>
      <c r="CK761" s="916"/>
      <c r="CL761" s="916"/>
      <c r="CM761" s="916"/>
      <c r="CN761" s="916"/>
      <c r="CO761" s="916"/>
      <c r="CP761" s="1790" t="str">
        <f t="shared" si="1465"/>
        <v>California</v>
      </c>
      <c r="CQ761" s="916"/>
      <c r="CR761" s="916"/>
      <c r="CS761" s="916"/>
      <c r="CT761" s="916"/>
      <c r="CU761" s="916"/>
      <c r="CV761" s="916"/>
      <c r="CW761" s="916"/>
      <c r="CX761" s="916"/>
      <c r="CY761" s="916"/>
      <c r="CZ761" s="916">
        <f t="shared" si="1466"/>
        <v>0</v>
      </c>
      <c r="DA761" s="916">
        <f t="shared" si="1467"/>
        <v>0</v>
      </c>
      <c r="DB761" s="916">
        <f t="shared" si="1468"/>
        <v>0</v>
      </c>
      <c r="DC761" s="916">
        <f t="shared" si="1469"/>
        <v>0</v>
      </c>
      <c r="DD761" s="916">
        <f t="shared" si="1470"/>
        <v>152.35</v>
      </c>
      <c r="DE761" s="916">
        <f t="shared" si="1471"/>
        <v>203.17920000000001</v>
      </c>
      <c r="DF761" s="916">
        <f t="shared" si="1472"/>
        <v>253.9740970375</v>
      </c>
      <c r="DG761" s="1858">
        <f t="shared" si="1473"/>
        <v>304.768916445</v>
      </c>
      <c r="DH761" s="651"/>
      <c r="DI761" s="650"/>
      <c r="DJ761" s="650"/>
      <c r="DK761" s="650"/>
      <c r="DL761" s="650"/>
      <c r="DM761" s="650"/>
      <c r="DN761" s="651"/>
      <c r="DO761" s="104"/>
      <c r="DY761" s="635"/>
      <c r="DZ761" s="635"/>
    </row>
    <row r="762" spans="1:130" ht="12" hidden="1" customHeight="1" outlineLevel="1">
      <c r="A762" s="1092" t="s">
        <v>380</v>
      </c>
      <c r="B762" s="675"/>
      <c r="C762" s="675"/>
      <c r="D762" s="2109"/>
      <c r="E762" s="916"/>
      <c r="F762" s="916"/>
      <c r="G762" s="916"/>
      <c r="H762" s="1440"/>
      <c r="I762" s="916"/>
      <c r="J762" s="916"/>
      <c r="K762" s="916"/>
      <c r="L762" s="916"/>
      <c r="M762" s="1440"/>
      <c r="N762" s="916"/>
      <c r="O762" s="916"/>
      <c r="P762" s="916"/>
      <c r="Q762" s="916"/>
      <c r="R762" s="1440"/>
      <c r="S762" s="916"/>
      <c r="T762" s="916"/>
      <c r="U762" s="916"/>
      <c r="V762" s="916"/>
      <c r="W762" s="1440"/>
      <c r="X762" s="916"/>
      <c r="Y762" s="916"/>
      <c r="Z762" s="916"/>
      <c r="AA762" s="916"/>
      <c r="AB762" s="1440"/>
      <c r="AC762" s="916"/>
      <c r="AD762" s="916"/>
      <c r="AE762" s="916"/>
      <c r="AF762" s="916"/>
      <c r="AG762" s="1440"/>
      <c r="AH762" s="916"/>
      <c r="AI762" s="916"/>
      <c r="AJ762" s="916"/>
      <c r="AK762" s="916"/>
      <c r="AL762" s="1440"/>
      <c r="AM762" s="916"/>
      <c r="AN762" s="2110"/>
      <c r="AO762" s="916"/>
      <c r="AP762" s="635"/>
      <c r="AQ762" s="638"/>
      <c r="AR762" s="635"/>
      <c r="AS762" s="635"/>
      <c r="AT762" s="635"/>
      <c r="AU762" s="916"/>
      <c r="AV762" s="638"/>
      <c r="AW762" s="916"/>
      <c r="AX762" s="2110"/>
      <c r="AY762" s="916"/>
      <c r="AZ762" s="916"/>
      <c r="BA762" s="638"/>
      <c r="BB762" s="651"/>
      <c r="BC762" s="2167"/>
      <c r="BD762" s="651"/>
      <c r="BE762" s="651"/>
      <c r="BF762" s="638"/>
      <c r="BG762" s="2907"/>
      <c r="BH762" s="635"/>
      <c r="BI762" s="635"/>
      <c r="BJ762" s="2908"/>
      <c r="BK762" s="638"/>
      <c r="BL762" s="635"/>
      <c r="BM762" s="635"/>
      <c r="BN762" s="635"/>
      <c r="BO762" s="2908"/>
      <c r="BP762" s="638"/>
      <c r="BQ762" s="3470">
        <f>36.5/4</f>
        <v>9.125</v>
      </c>
      <c r="BR762" s="3470">
        <f>36.5/4</f>
        <v>9.125</v>
      </c>
      <c r="BS762" s="3470">
        <f>36.5/4</f>
        <v>9.125</v>
      </c>
      <c r="BT762" s="3470">
        <f>36.5/4</f>
        <v>9.125</v>
      </c>
      <c r="BU762" s="3382">
        <f>+SUM(BQ762:BT762)</f>
        <v>36.5</v>
      </c>
      <c r="BV762" s="3470">
        <f>48.693/4</f>
        <v>12.173249999999999</v>
      </c>
      <c r="BW762" s="3470">
        <f t="shared" ref="BW762:BY762" si="1477">48.693/4</f>
        <v>12.173249999999999</v>
      </c>
      <c r="BX762" s="3470">
        <f t="shared" si="1477"/>
        <v>12.173249999999999</v>
      </c>
      <c r="BY762" s="3470">
        <f t="shared" si="1477"/>
        <v>12.173249999999999</v>
      </c>
      <c r="BZ762" s="2692">
        <f>+SUM(BV762:BY762)</f>
        <v>48.692999999999998</v>
      </c>
      <c r="CA762" s="638">
        <v>182.59833690000002</v>
      </c>
      <c r="CB762" s="638">
        <v>243.46444920000002</v>
      </c>
      <c r="CC762" s="3208">
        <f t="shared" si="1463"/>
        <v>231.29122674000001</v>
      </c>
      <c r="CD762" s="3208">
        <f t="shared" si="1463"/>
        <v>219.726665403</v>
      </c>
      <c r="CE762" s="3208">
        <f t="shared" si="1464"/>
        <v>224.12119871106</v>
      </c>
      <c r="CF762" s="3208">
        <f t="shared" si="1464"/>
        <v>228.60362268528121</v>
      </c>
      <c r="CG762" s="3208">
        <f t="shared" si="1464"/>
        <v>233.17569513898684</v>
      </c>
      <c r="CH762" s="916"/>
      <c r="CI762" s="916"/>
      <c r="CJ762" s="916"/>
      <c r="CK762" s="916"/>
      <c r="CL762" s="916"/>
      <c r="CM762" s="916"/>
      <c r="CN762" s="916"/>
      <c r="CO762" s="916"/>
      <c r="CP762" s="1790" t="str">
        <f>A762</f>
        <v>Pennsylvania</v>
      </c>
      <c r="CQ762" s="916"/>
      <c r="CR762" s="916"/>
      <c r="CS762" s="916"/>
      <c r="CT762" s="916"/>
      <c r="CU762" s="916"/>
      <c r="CV762" s="916"/>
      <c r="CW762" s="916"/>
      <c r="CX762" s="916"/>
      <c r="CY762" s="916"/>
      <c r="CZ762" s="916">
        <f>BA762</f>
        <v>0</v>
      </c>
      <c r="DA762" s="916">
        <f>BF762</f>
        <v>0</v>
      </c>
      <c r="DB762" s="916">
        <f>BK762</f>
        <v>0</v>
      </c>
      <c r="DC762" s="916">
        <f>BP762</f>
        <v>0</v>
      </c>
      <c r="DD762" s="916">
        <f>BU762</f>
        <v>36.5</v>
      </c>
      <c r="DE762" s="916">
        <f>BZ762</f>
        <v>48.692999999999998</v>
      </c>
      <c r="DF762" s="916">
        <f>CA762</f>
        <v>182.59833690000002</v>
      </c>
      <c r="DG762" s="1858">
        <f>CB762</f>
        <v>243.46444920000002</v>
      </c>
      <c r="DH762" s="651"/>
      <c r="DI762" s="650"/>
      <c r="DJ762" s="650"/>
      <c r="DK762" s="650"/>
      <c r="DL762" s="650"/>
      <c r="DM762" s="650"/>
      <c r="DN762" s="651"/>
      <c r="DO762" s="104"/>
      <c r="DY762" s="635"/>
      <c r="DZ762" s="635"/>
    </row>
    <row r="763" spans="1:130" ht="12" hidden="1" customHeight="1" outlineLevel="1">
      <c r="A763" s="2153" t="s">
        <v>1805</v>
      </c>
      <c r="B763" s="2154"/>
      <c r="C763" s="2154"/>
      <c r="D763" s="2157"/>
      <c r="E763" s="2158"/>
      <c r="F763" s="2158"/>
      <c r="G763" s="2158"/>
      <c r="H763" s="2159"/>
      <c r="I763" s="2158"/>
      <c r="J763" s="2158"/>
      <c r="K763" s="2158"/>
      <c r="L763" s="2158"/>
      <c r="M763" s="2159"/>
      <c r="N763" s="2158"/>
      <c r="O763" s="2158"/>
      <c r="P763" s="2158"/>
      <c r="Q763" s="2158"/>
      <c r="R763" s="2159"/>
      <c r="S763" s="2158"/>
      <c r="T763" s="2158"/>
      <c r="U763" s="2158"/>
      <c r="V763" s="2158"/>
      <c r="W763" s="2159"/>
      <c r="X763" s="2158"/>
      <c r="Y763" s="2158"/>
      <c r="Z763" s="2158"/>
      <c r="AA763" s="2158"/>
      <c r="AB763" s="2159"/>
      <c r="AC763" s="2158"/>
      <c r="AD763" s="2158"/>
      <c r="AE763" s="2158"/>
      <c r="AF763" s="2158"/>
      <c r="AG763" s="2159"/>
      <c r="AH763" s="2158"/>
      <c r="AI763" s="2158"/>
      <c r="AJ763" s="2158"/>
      <c r="AK763" s="2158"/>
      <c r="AL763" s="2159"/>
      <c r="AM763" s="2158"/>
      <c r="AN763" s="2160"/>
      <c r="AO763" s="2158"/>
      <c r="AP763" s="2161"/>
      <c r="AQ763" s="2162"/>
      <c r="AR763" s="2161"/>
      <c r="AS763" s="2161"/>
      <c r="AT763" s="2161"/>
      <c r="AU763" s="2158"/>
      <c r="AV763" s="2162"/>
      <c r="AW763" s="2158"/>
      <c r="AX763" s="2160"/>
      <c r="AY763" s="2158"/>
      <c r="AZ763" s="2158"/>
      <c r="BA763" s="2162"/>
      <c r="BB763" s="2165"/>
      <c r="BC763" s="2166"/>
      <c r="BD763" s="2165"/>
      <c r="BE763" s="2165"/>
      <c r="BF763" s="2162"/>
      <c r="BG763" s="2905"/>
      <c r="BH763" s="2161"/>
      <c r="BI763" s="2161"/>
      <c r="BJ763" s="2906"/>
      <c r="BK763" s="2162"/>
      <c r="BL763" s="2161"/>
      <c r="BM763" s="2161"/>
      <c r="BN763" s="2161"/>
      <c r="BO763" s="2906"/>
      <c r="BP763" s="2162"/>
      <c r="BQ763" s="2161"/>
      <c r="BR763" s="2161"/>
      <c r="BS763" s="2161"/>
      <c r="BT763" s="2906"/>
      <c r="BU763" s="3413"/>
      <c r="BV763" s="3975">
        <f>171.9168/4</f>
        <v>42.979199999999999</v>
      </c>
      <c r="BW763" s="3975">
        <f t="shared" ref="BW763:BY763" si="1478">171.9168/4</f>
        <v>42.979199999999999</v>
      </c>
      <c r="BX763" s="3975">
        <f t="shared" si="1478"/>
        <v>42.979199999999999</v>
      </c>
      <c r="BY763" s="3975">
        <f t="shared" si="1478"/>
        <v>42.979199999999999</v>
      </c>
      <c r="BZ763" s="3106">
        <f t="shared" ref="BZ763:BZ764" si="1479">+SUM(BV763:BY763)</f>
        <v>171.91679999999999</v>
      </c>
      <c r="CA763" s="2162">
        <v>275.06694782</v>
      </c>
      <c r="CB763" s="2162">
        <v>343.83368477499999</v>
      </c>
      <c r="CC763" s="3208">
        <f t="shared" si="1463"/>
        <v>326.64200053624995</v>
      </c>
      <c r="CD763" s="3208">
        <f t="shared" si="1463"/>
        <v>310.30990050943745</v>
      </c>
      <c r="CE763" s="3208">
        <f t="shared" si="1464"/>
        <v>316.51609851962621</v>
      </c>
      <c r="CF763" s="3208">
        <f t="shared" si="1464"/>
        <v>322.84642049001872</v>
      </c>
      <c r="CG763" s="3208">
        <f t="shared" si="1464"/>
        <v>329.30334889981907</v>
      </c>
      <c r="CH763" s="916"/>
      <c r="CI763" s="916"/>
      <c r="CJ763" s="916"/>
      <c r="CK763" s="916"/>
      <c r="CL763" s="916"/>
      <c r="CM763" s="916"/>
      <c r="CN763" s="916"/>
      <c r="CO763" s="916"/>
      <c r="CP763" s="1790" t="str">
        <f t="shared" si="1465"/>
        <v>Illinois</v>
      </c>
      <c r="CQ763" s="916"/>
      <c r="CR763" s="916"/>
      <c r="CS763" s="916"/>
      <c r="CT763" s="916"/>
      <c r="CU763" s="916"/>
      <c r="CV763" s="916"/>
      <c r="CW763" s="916"/>
      <c r="CX763" s="916"/>
      <c r="CY763" s="916"/>
      <c r="CZ763" s="916">
        <f t="shared" si="1466"/>
        <v>0</v>
      </c>
      <c r="DA763" s="916">
        <f t="shared" si="1467"/>
        <v>0</v>
      </c>
      <c r="DB763" s="916">
        <f t="shared" si="1468"/>
        <v>0</v>
      </c>
      <c r="DC763" s="916">
        <f t="shared" si="1469"/>
        <v>0</v>
      </c>
      <c r="DD763" s="916">
        <f t="shared" si="1470"/>
        <v>0</v>
      </c>
      <c r="DE763" s="916">
        <f t="shared" si="1471"/>
        <v>171.91679999999999</v>
      </c>
      <c r="DF763" s="916">
        <f t="shared" si="1472"/>
        <v>275.06694782</v>
      </c>
      <c r="DG763" s="1858">
        <f t="shared" si="1473"/>
        <v>343.83368477499999</v>
      </c>
      <c r="DH763" s="651"/>
      <c r="DI763" s="650"/>
      <c r="DJ763" s="650"/>
      <c r="DK763" s="650"/>
      <c r="DL763" s="650"/>
      <c r="DM763" s="650"/>
      <c r="DN763" s="651"/>
      <c r="DO763" s="104"/>
      <c r="DY763" s="635"/>
      <c r="DZ763" s="635"/>
    </row>
    <row r="764" spans="1:130" ht="12" hidden="1" customHeight="1" outlineLevel="1">
      <c r="A764" s="1062" t="s">
        <v>378</v>
      </c>
      <c r="B764" s="837"/>
      <c r="C764" s="837"/>
      <c r="D764" s="2106"/>
      <c r="E764" s="1759"/>
      <c r="F764" s="1759"/>
      <c r="G764" s="1759"/>
      <c r="H764" s="2107"/>
      <c r="I764" s="1759"/>
      <c r="J764" s="1759"/>
      <c r="K764" s="1759"/>
      <c r="L764" s="1759"/>
      <c r="M764" s="2107"/>
      <c r="N764" s="1759"/>
      <c r="O764" s="1759"/>
      <c r="P764" s="1759"/>
      <c r="Q764" s="1759"/>
      <c r="R764" s="2107"/>
      <c r="S764" s="1759"/>
      <c r="T764" s="1759"/>
      <c r="U764" s="1759"/>
      <c r="V764" s="1759"/>
      <c r="W764" s="2107"/>
      <c r="X764" s="1759"/>
      <c r="Y764" s="1759"/>
      <c r="Z764" s="1759"/>
      <c r="AA764" s="1759"/>
      <c r="AB764" s="2107"/>
      <c r="AC764" s="1759"/>
      <c r="AD764" s="1759"/>
      <c r="AE764" s="1759"/>
      <c r="AF764" s="1759"/>
      <c r="AG764" s="2107"/>
      <c r="AH764" s="1759"/>
      <c r="AI764" s="1759"/>
      <c r="AJ764" s="1759"/>
      <c r="AK764" s="1759"/>
      <c r="AL764" s="2107"/>
      <c r="AM764" s="1759"/>
      <c r="AN764" s="2108"/>
      <c r="AO764" s="1759"/>
      <c r="AP764" s="572"/>
      <c r="AQ764" s="571"/>
      <c r="AR764" s="572"/>
      <c r="AS764" s="572"/>
      <c r="AT764" s="572"/>
      <c r="AU764" s="1759"/>
      <c r="AV764" s="571"/>
      <c r="AW764" s="1759"/>
      <c r="AX764" s="2108"/>
      <c r="AY764" s="1759"/>
      <c r="AZ764" s="1759"/>
      <c r="BA764" s="571"/>
      <c r="BB764" s="632"/>
      <c r="BC764" s="2164"/>
      <c r="BD764" s="632"/>
      <c r="BE764" s="632"/>
      <c r="BF764" s="571"/>
      <c r="BG764" s="2820"/>
      <c r="BH764" s="572"/>
      <c r="BI764" s="572"/>
      <c r="BJ764" s="2821"/>
      <c r="BK764" s="571"/>
      <c r="BL764" s="572"/>
      <c r="BM764" s="572"/>
      <c r="BN764" s="572"/>
      <c r="BO764" s="2821"/>
      <c r="BP764" s="571"/>
      <c r="BQ764" s="572"/>
      <c r="BR764" s="572"/>
      <c r="BS764" s="572"/>
      <c r="BT764" s="2821"/>
      <c r="BU764" s="3373"/>
      <c r="BV764" s="2498">
        <f>78.3936/4</f>
        <v>19.598400000000002</v>
      </c>
      <c r="BW764" s="2498">
        <f t="shared" ref="BW764:BY764" si="1480">78.3936/4</f>
        <v>19.598400000000002</v>
      </c>
      <c r="BX764" s="2498">
        <f t="shared" si="1480"/>
        <v>19.598400000000002</v>
      </c>
      <c r="BY764" s="2498">
        <f t="shared" si="1480"/>
        <v>19.598400000000002</v>
      </c>
      <c r="BZ764" s="2692">
        <f t="shared" si="1479"/>
        <v>78.393600000000006</v>
      </c>
      <c r="CA764" s="638">
        <v>104.52476400100002</v>
      </c>
      <c r="CB764" s="638">
        <v>391.96786500375003</v>
      </c>
      <c r="CC764" s="3208">
        <f t="shared" si="1463"/>
        <v>372.36947175356249</v>
      </c>
      <c r="CD764" s="3208">
        <f t="shared" si="1463"/>
        <v>353.75099816588437</v>
      </c>
      <c r="CE764" s="3208">
        <f t="shared" si="1464"/>
        <v>360.82601812920205</v>
      </c>
      <c r="CF764" s="3208">
        <f t="shared" si="1464"/>
        <v>368.0425384917861</v>
      </c>
      <c r="CG764" s="3208">
        <f t="shared" si="1464"/>
        <v>375.40338926162184</v>
      </c>
      <c r="CH764" s="1759"/>
      <c r="CI764" s="1759"/>
      <c r="CJ764" s="1759"/>
      <c r="CK764" s="1759"/>
      <c r="CL764" s="1759"/>
      <c r="CM764" s="1759"/>
      <c r="CN764" s="1759"/>
      <c r="CO764" s="1759"/>
      <c r="CP764" s="1864" t="str">
        <f>A764</f>
        <v>New York</v>
      </c>
      <c r="CQ764" s="1759"/>
      <c r="CR764" s="1759"/>
      <c r="CS764" s="1759"/>
      <c r="CT764" s="1759"/>
      <c r="CU764" s="1759"/>
      <c r="CV764" s="1759"/>
      <c r="CW764" s="1759"/>
      <c r="CX764" s="1759"/>
      <c r="CY764" s="1759"/>
      <c r="CZ764" s="1759">
        <f>BA764</f>
        <v>0</v>
      </c>
      <c r="DA764" s="1759">
        <f>BF764</f>
        <v>0</v>
      </c>
      <c r="DB764" s="1759">
        <f>BK764</f>
        <v>0</v>
      </c>
      <c r="DC764" s="1759">
        <f>BP764</f>
        <v>0</v>
      </c>
      <c r="DD764" s="1759">
        <f>BU764</f>
        <v>0</v>
      </c>
      <c r="DE764" s="1759">
        <f>BZ764</f>
        <v>78.393600000000006</v>
      </c>
      <c r="DF764" s="1759">
        <f>CA764</f>
        <v>104.52476400100002</v>
      </c>
      <c r="DG764" s="1857">
        <f>CB764</f>
        <v>391.96786500375003</v>
      </c>
      <c r="DH764" s="632"/>
      <c r="DI764" s="838"/>
      <c r="DJ764" s="838"/>
      <c r="DK764" s="838"/>
      <c r="DL764" s="838"/>
      <c r="DM764" s="838"/>
      <c r="DN764" s="632"/>
      <c r="DO764" s="858"/>
      <c r="DY764" s="572"/>
      <c r="DZ764" s="572"/>
    </row>
    <row r="765" spans="1:130" ht="12" hidden="1" customHeight="1" outlineLevel="1">
      <c r="A765" s="1092" t="s">
        <v>1813</v>
      </c>
      <c r="B765" s="675"/>
      <c r="C765" s="675"/>
      <c r="D765" s="2109"/>
      <c r="E765" s="916"/>
      <c r="F765" s="916"/>
      <c r="G765" s="916"/>
      <c r="H765" s="1440"/>
      <c r="I765" s="916"/>
      <c r="J765" s="916"/>
      <c r="K765" s="916"/>
      <c r="L765" s="916"/>
      <c r="M765" s="1440"/>
      <c r="N765" s="916"/>
      <c r="O765" s="916"/>
      <c r="P765" s="916"/>
      <c r="Q765" s="916"/>
      <c r="R765" s="1440"/>
      <c r="S765" s="916"/>
      <c r="T765" s="916"/>
      <c r="U765" s="916"/>
      <c r="V765" s="916"/>
      <c r="W765" s="1440"/>
      <c r="X765" s="916"/>
      <c r="Y765" s="916"/>
      <c r="Z765" s="916"/>
      <c r="AA765" s="916"/>
      <c r="AB765" s="1440"/>
      <c r="AC765" s="916"/>
      <c r="AD765" s="916"/>
      <c r="AE765" s="916"/>
      <c r="AF765" s="916"/>
      <c r="AG765" s="1440"/>
      <c r="AH765" s="916"/>
      <c r="AI765" s="916"/>
      <c r="AJ765" s="916"/>
      <c r="AK765" s="916"/>
      <c r="AL765" s="1440"/>
      <c r="AM765" s="916"/>
      <c r="AN765" s="2110"/>
      <c r="AO765" s="916"/>
      <c r="AP765" s="635"/>
      <c r="AQ765" s="638"/>
      <c r="AR765" s="635"/>
      <c r="AS765" s="635"/>
      <c r="AT765" s="635"/>
      <c r="AU765" s="916"/>
      <c r="AV765" s="638"/>
      <c r="AW765" s="916"/>
      <c r="AX765" s="2110"/>
      <c r="AY765" s="916"/>
      <c r="AZ765" s="916"/>
      <c r="BA765" s="638"/>
      <c r="BB765" s="651"/>
      <c r="BC765" s="2167"/>
      <c r="BD765" s="651"/>
      <c r="BE765" s="651"/>
      <c r="BF765" s="638"/>
      <c r="BG765" s="2907"/>
      <c r="BH765" s="635"/>
      <c r="BI765" s="635"/>
      <c r="BJ765" s="2908"/>
      <c r="BK765" s="638"/>
      <c r="BL765" s="635"/>
      <c r="BM765" s="635"/>
      <c r="BN765" s="635"/>
      <c r="BO765" s="2908"/>
      <c r="BP765" s="638"/>
      <c r="BQ765" s="635"/>
      <c r="BR765" s="635"/>
      <c r="BS765" s="635"/>
      <c r="BT765" s="2908"/>
      <c r="BU765" s="3382"/>
      <c r="BV765" s="635"/>
      <c r="BW765" s="635"/>
      <c r="BX765" s="635"/>
      <c r="BY765" s="2908"/>
      <c r="BZ765" s="638"/>
      <c r="CA765" s="638">
        <v>74.214844987500001</v>
      </c>
      <c r="CB765" s="638">
        <v>98.953126650000002</v>
      </c>
      <c r="CC765" s="3208">
        <f t="shared" si="1463"/>
        <v>94.005470317499999</v>
      </c>
      <c r="CD765" s="3208">
        <f t="shared" si="1463"/>
        <v>89.305196801625002</v>
      </c>
      <c r="CE765" s="3208">
        <f t="shared" si="1464"/>
        <v>91.091300737657505</v>
      </c>
      <c r="CF765" s="3208">
        <f t="shared" si="1464"/>
        <v>92.913126752410662</v>
      </c>
      <c r="CG765" s="3208">
        <f t="shared" si="1464"/>
        <v>94.771389287458874</v>
      </c>
      <c r="CH765" s="916"/>
      <c r="CI765" s="916"/>
      <c r="CJ765" s="916"/>
      <c r="CK765" s="916"/>
      <c r="CL765" s="916"/>
      <c r="CM765" s="916"/>
      <c r="CN765" s="916"/>
      <c r="CO765" s="916"/>
      <c r="CP765" s="1790" t="str">
        <f t="shared" si="1465"/>
        <v>Colorado</v>
      </c>
      <c r="CQ765" s="916"/>
      <c r="CR765" s="916"/>
      <c r="CS765" s="916"/>
      <c r="CT765" s="916"/>
      <c r="CU765" s="916"/>
      <c r="CV765" s="916"/>
      <c r="CW765" s="916"/>
      <c r="CX765" s="916"/>
      <c r="CY765" s="916"/>
      <c r="CZ765" s="916">
        <f t="shared" si="1466"/>
        <v>0</v>
      </c>
      <c r="DA765" s="916">
        <f t="shared" si="1467"/>
        <v>0</v>
      </c>
      <c r="DB765" s="916">
        <f t="shared" si="1468"/>
        <v>0</v>
      </c>
      <c r="DC765" s="916">
        <f t="shared" si="1469"/>
        <v>0</v>
      </c>
      <c r="DD765" s="916">
        <f t="shared" si="1470"/>
        <v>0</v>
      </c>
      <c r="DE765" s="916">
        <f t="shared" si="1471"/>
        <v>0</v>
      </c>
      <c r="DF765" s="916">
        <f t="shared" si="1472"/>
        <v>74.214844987500001</v>
      </c>
      <c r="DG765" s="1858">
        <f t="shared" si="1473"/>
        <v>98.953126650000002</v>
      </c>
      <c r="DH765" s="651"/>
      <c r="DI765" s="650"/>
      <c r="DJ765" s="650"/>
      <c r="DK765" s="650"/>
      <c r="DL765" s="650"/>
      <c r="DM765" s="650"/>
      <c r="DN765" s="651"/>
      <c r="DO765" s="104"/>
      <c r="DY765" s="635"/>
      <c r="DZ765" s="635"/>
    </row>
    <row r="766" spans="1:130" ht="12" hidden="1" customHeight="1" outlineLevel="1">
      <c r="A766" s="2153" t="s">
        <v>1151</v>
      </c>
      <c r="B766" s="2154"/>
      <c r="C766" s="2154"/>
      <c r="D766" s="2157"/>
      <c r="E766" s="2158"/>
      <c r="F766" s="2158"/>
      <c r="G766" s="2158"/>
      <c r="H766" s="2159"/>
      <c r="I766" s="2158"/>
      <c r="J766" s="2158"/>
      <c r="K766" s="2158"/>
      <c r="L766" s="2158"/>
      <c r="M766" s="2159"/>
      <c r="N766" s="2158"/>
      <c r="O766" s="2158"/>
      <c r="P766" s="2158"/>
      <c r="Q766" s="2158"/>
      <c r="R766" s="2159"/>
      <c r="S766" s="2158"/>
      <c r="T766" s="2158"/>
      <c r="U766" s="2158"/>
      <c r="V766" s="2158"/>
      <c r="W766" s="2159"/>
      <c r="X766" s="2158"/>
      <c r="Y766" s="2158"/>
      <c r="Z766" s="2158"/>
      <c r="AA766" s="2158"/>
      <c r="AB766" s="2159"/>
      <c r="AC766" s="2158"/>
      <c r="AD766" s="2158"/>
      <c r="AE766" s="2158"/>
      <c r="AF766" s="2158"/>
      <c r="AG766" s="2159"/>
      <c r="AH766" s="2158"/>
      <c r="AI766" s="2158"/>
      <c r="AJ766" s="2158"/>
      <c r="AK766" s="2158"/>
      <c r="AL766" s="2159"/>
      <c r="AM766" s="2158"/>
      <c r="AN766" s="2160"/>
      <c r="AO766" s="2158"/>
      <c r="AP766" s="2161"/>
      <c r="AQ766" s="2162"/>
      <c r="AR766" s="2161"/>
      <c r="AS766" s="2161"/>
      <c r="AT766" s="2161"/>
      <c r="AU766" s="2158"/>
      <c r="AV766" s="2162"/>
      <c r="AW766" s="2158"/>
      <c r="AX766" s="2160"/>
      <c r="AY766" s="2158"/>
      <c r="AZ766" s="2158"/>
      <c r="BA766" s="2162"/>
      <c r="BB766" s="2165"/>
      <c r="BC766" s="2166"/>
      <c r="BD766" s="2165"/>
      <c r="BE766" s="2165"/>
      <c r="BF766" s="2162"/>
      <c r="BG766" s="2905"/>
      <c r="BH766" s="2161"/>
      <c r="BI766" s="2161"/>
      <c r="BJ766" s="2906"/>
      <c r="BK766" s="2162"/>
      <c r="BL766" s="2161"/>
      <c r="BM766" s="2161"/>
      <c r="BN766" s="2161"/>
      <c r="BO766" s="2906"/>
      <c r="BP766" s="2162"/>
      <c r="BQ766" s="2161"/>
      <c r="BR766" s="2161"/>
      <c r="BS766" s="2161"/>
      <c r="BT766" s="2906"/>
      <c r="BU766" s="3413"/>
      <c r="BV766" s="2161"/>
      <c r="BW766" s="2161"/>
      <c r="BX766" s="2161"/>
      <c r="BY766" s="2906"/>
      <c r="BZ766" s="2162"/>
      <c r="CA766" s="2162">
        <v>43.980073462500002</v>
      </c>
      <c r="CB766" s="2162">
        <v>58.640097950000005</v>
      </c>
      <c r="CC766" s="3208">
        <f t="shared" si="1463"/>
        <v>55.708093052500004</v>
      </c>
      <c r="CD766" s="3208">
        <f t="shared" si="1463"/>
        <v>52.922688399875</v>
      </c>
      <c r="CE766" s="3208">
        <f t="shared" si="1464"/>
        <v>53.981142167872498</v>
      </c>
      <c r="CF766" s="3208">
        <f t="shared" si="1464"/>
        <v>55.060765011229947</v>
      </c>
      <c r="CG766" s="3208">
        <f t="shared" si="1464"/>
        <v>56.161980311454549</v>
      </c>
      <c r="CH766" s="916"/>
      <c r="CI766" s="916"/>
      <c r="CJ766" s="916"/>
      <c r="CK766" s="916"/>
      <c r="CL766" s="916"/>
      <c r="CM766" s="916"/>
      <c r="CN766" s="916"/>
      <c r="CO766" s="916"/>
      <c r="CP766" s="1790" t="str">
        <f t="shared" ref="CP766:CP772" si="1481">A766</f>
        <v>Iowa</v>
      </c>
      <c r="CQ766" s="916"/>
      <c r="CR766" s="916"/>
      <c r="CS766" s="916"/>
      <c r="CT766" s="916"/>
      <c r="CU766" s="916"/>
      <c r="CV766" s="916"/>
      <c r="CW766" s="916"/>
      <c r="CX766" s="916"/>
      <c r="CY766" s="916"/>
      <c r="CZ766" s="916">
        <f>BA766</f>
        <v>0</v>
      </c>
      <c r="DA766" s="916">
        <f>BF766</f>
        <v>0</v>
      </c>
      <c r="DB766" s="916">
        <f>BK766</f>
        <v>0</v>
      </c>
      <c r="DC766" s="916">
        <f>BP766</f>
        <v>0</v>
      </c>
      <c r="DD766" s="916">
        <f>BU766</f>
        <v>0</v>
      </c>
      <c r="DE766" s="916">
        <f t="shared" ref="DE766:DG768" si="1482">BZ766</f>
        <v>0</v>
      </c>
      <c r="DF766" s="916">
        <f t="shared" si="1482"/>
        <v>43.980073462500002</v>
      </c>
      <c r="DG766" s="1858">
        <f t="shared" si="1482"/>
        <v>58.640097950000005</v>
      </c>
      <c r="DH766" s="651"/>
      <c r="DI766" s="650"/>
      <c r="DJ766" s="650"/>
      <c r="DK766" s="650"/>
      <c r="DL766" s="650"/>
      <c r="DM766" s="650"/>
      <c r="DN766" s="651"/>
      <c r="DO766" s="104"/>
      <c r="DY766" s="635"/>
      <c r="DZ766" s="635"/>
    </row>
    <row r="767" spans="1:130" ht="12" hidden="1" customHeight="1" outlineLevel="1">
      <c r="A767" s="1092" t="s">
        <v>376</v>
      </c>
      <c r="B767" s="675"/>
      <c r="C767" s="675"/>
      <c r="D767" s="2109"/>
      <c r="E767" s="916"/>
      <c r="F767" s="916"/>
      <c r="G767" s="916"/>
      <c r="H767" s="1440"/>
      <c r="I767" s="916"/>
      <c r="J767" s="916"/>
      <c r="K767" s="916"/>
      <c r="L767" s="916"/>
      <c r="M767" s="1440"/>
      <c r="N767" s="916"/>
      <c r="O767" s="916"/>
      <c r="P767" s="916"/>
      <c r="Q767" s="916"/>
      <c r="R767" s="1440"/>
      <c r="S767" s="916"/>
      <c r="T767" s="916"/>
      <c r="U767" s="916"/>
      <c r="V767" s="916"/>
      <c r="W767" s="1440"/>
      <c r="X767" s="916"/>
      <c r="Y767" s="916"/>
      <c r="Z767" s="916"/>
      <c r="AA767" s="916"/>
      <c r="AB767" s="1440"/>
      <c r="AC767" s="916"/>
      <c r="AD767" s="916"/>
      <c r="AE767" s="916"/>
      <c r="AF767" s="916"/>
      <c r="AG767" s="1440"/>
      <c r="AH767" s="916"/>
      <c r="AI767" s="916"/>
      <c r="AJ767" s="916"/>
      <c r="AK767" s="916"/>
      <c r="AL767" s="1440"/>
      <c r="AM767" s="916"/>
      <c r="AN767" s="2110"/>
      <c r="AO767" s="916"/>
      <c r="AP767" s="635"/>
      <c r="AQ767" s="638"/>
      <c r="AR767" s="635"/>
      <c r="AS767" s="635"/>
      <c r="AT767" s="635"/>
      <c r="AU767" s="916"/>
      <c r="AV767" s="638"/>
      <c r="AW767" s="916"/>
      <c r="AX767" s="2110"/>
      <c r="AY767" s="916"/>
      <c r="AZ767" s="916"/>
      <c r="BA767" s="638"/>
      <c r="BB767" s="651"/>
      <c r="BC767" s="2167"/>
      <c r="BD767" s="651"/>
      <c r="BE767" s="651"/>
      <c r="BF767" s="638"/>
      <c r="BG767" s="2907"/>
      <c r="BH767" s="635"/>
      <c r="BI767" s="635"/>
      <c r="BJ767" s="2908"/>
      <c r="BK767" s="638"/>
      <c r="BL767" s="635"/>
      <c r="BM767" s="635"/>
      <c r="BN767" s="635"/>
      <c r="BO767" s="2908"/>
      <c r="BP767" s="638"/>
      <c r="BQ767" s="635"/>
      <c r="BR767" s="635"/>
      <c r="BS767" s="635"/>
      <c r="BT767" s="2908"/>
      <c r="BU767" s="3382"/>
      <c r="BV767" s="635"/>
      <c r="BW767" s="635"/>
      <c r="BX767" s="635"/>
      <c r="BY767" s="2908"/>
      <c r="BZ767" s="638"/>
      <c r="CA767" s="638">
        <v>133.11395664000003</v>
      </c>
      <c r="CB767" s="638">
        <v>177.48527552000002</v>
      </c>
      <c r="CC767" s="3208">
        <f t="shared" si="1463"/>
        <v>168.611011744</v>
      </c>
      <c r="CD767" s="3208">
        <f t="shared" si="1463"/>
        <v>160.18046115679999</v>
      </c>
      <c r="CE767" s="3208">
        <f t="shared" si="1464"/>
        <v>163.38407037993599</v>
      </c>
      <c r="CF767" s="3208">
        <f t="shared" si="1464"/>
        <v>166.65175178753472</v>
      </c>
      <c r="CG767" s="3208">
        <f t="shared" si="1464"/>
        <v>169.98478682328542</v>
      </c>
      <c r="CH767" s="916"/>
      <c r="CI767" s="916"/>
      <c r="CJ767" s="916"/>
      <c r="CK767" s="916"/>
      <c r="CL767" s="916"/>
      <c r="CM767" s="916"/>
      <c r="CN767" s="916"/>
      <c r="CO767" s="916"/>
      <c r="CP767" s="1790" t="str">
        <f t="shared" si="1481"/>
        <v>Massachusetts</v>
      </c>
      <c r="CQ767" s="916"/>
      <c r="CR767" s="916"/>
      <c r="CS767" s="916"/>
      <c r="CT767" s="916"/>
      <c r="CU767" s="916"/>
      <c r="CV767" s="916"/>
      <c r="CW767" s="916"/>
      <c r="CX767" s="916"/>
      <c r="CY767" s="916"/>
      <c r="CZ767" s="916">
        <f>BA767</f>
        <v>0</v>
      </c>
      <c r="DA767" s="916">
        <f>BF767</f>
        <v>0</v>
      </c>
      <c r="DB767" s="916">
        <f>BK767</f>
        <v>0</v>
      </c>
      <c r="DC767" s="916">
        <f>BP767</f>
        <v>0</v>
      </c>
      <c r="DD767" s="916">
        <f>BU767</f>
        <v>0</v>
      </c>
      <c r="DE767" s="916">
        <f t="shared" si="1482"/>
        <v>0</v>
      </c>
      <c r="DF767" s="916">
        <f t="shared" si="1482"/>
        <v>133.11395664000003</v>
      </c>
      <c r="DG767" s="1858">
        <f t="shared" si="1482"/>
        <v>177.48527552000002</v>
      </c>
      <c r="DH767" s="651"/>
      <c r="DI767" s="650"/>
      <c r="DJ767" s="650"/>
      <c r="DK767" s="650"/>
      <c r="DL767" s="650"/>
      <c r="DM767" s="650"/>
      <c r="DN767" s="651"/>
      <c r="DO767" s="104"/>
      <c r="DY767" s="635"/>
      <c r="DZ767" s="635"/>
    </row>
    <row r="768" spans="1:130" ht="12" hidden="1" customHeight="1" outlineLevel="1">
      <c r="A768" s="1092" t="s">
        <v>1814</v>
      </c>
      <c r="B768" s="675"/>
      <c r="C768" s="675"/>
      <c r="D768" s="2109"/>
      <c r="E768" s="916"/>
      <c r="F768" s="916"/>
      <c r="G768" s="916"/>
      <c r="H768" s="1440"/>
      <c r="I768" s="916"/>
      <c r="J768" s="916"/>
      <c r="K768" s="916"/>
      <c r="L768" s="916"/>
      <c r="M768" s="1440"/>
      <c r="N768" s="916"/>
      <c r="O768" s="916"/>
      <c r="P768" s="916"/>
      <c r="Q768" s="916"/>
      <c r="R768" s="1440"/>
      <c r="S768" s="916"/>
      <c r="T768" s="916"/>
      <c r="U768" s="916"/>
      <c r="V768" s="916"/>
      <c r="W768" s="1440"/>
      <c r="X768" s="916"/>
      <c r="Y768" s="916"/>
      <c r="Z768" s="916"/>
      <c r="AA768" s="916"/>
      <c r="AB768" s="1440"/>
      <c r="AC768" s="916"/>
      <c r="AD768" s="916"/>
      <c r="AE768" s="916"/>
      <c r="AF768" s="916"/>
      <c r="AG768" s="1440"/>
      <c r="AH768" s="916"/>
      <c r="AI768" s="916"/>
      <c r="AJ768" s="916"/>
      <c r="AK768" s="916"/>
      <c r="AL768" s="1440"/>
      <c r="AM768" s="916"/>
      <c r="AN768" s="2110"/>
      <c r="AO768" s="916"/>
      <c r="AP768" s="635"/>
      <c r="AQ768" s="638"/>
      <c r="AR768" s="635"/>
      <c r="AS768" s="635"/>
      <c r="AT768" s="635"/>
      <c r="AU768" s="916"/>
      <c r="AV768" s="638"/>
      <c r="AW768" s="916"/>
      <c r="AX768" s="2110"/>
      <c r="AY768" s="916"/>
      <c r="AZ768" s="916"/>
      <c r="BA768" s="638"/>
      <c r="BB768" s="651"/>
      <c r="BC768" s="2167"/>
      <c r="BD768" s="651"/>
      <c r="BE768" s="651"/>
      <c r="BF768" s="638"/>
      <c r="BG768" s="2907"/>
      <c r="BH768" s="635"/>
      <c r="BI768" s="635"/>
      <c r="BJ768" s="2908"/>
      <c r="BK768" s="638"/>
      <c r="BL768" s="635"/>
      <c r="BM768" s="635"/>
      <c r="BN768" s="635"/>
      <c r="BO768" s="2908"/>
      <c r="BP768" s="638"/>
      <c r="BQ768" s="635"/>
      <c r="BR768" s="635"/>
      <c r="BS768" s="635"/>
      <c r="BT768" s="2908"/>
      <c r="BU768" s="3382"/>
      <c r="BV768" s="635"/>
      <c r="BW768" s="635"/>
      <c r="BX768" s="635"/>
      <c r="BY768" s="2908"/>
      <c r="BZ768" s="638"/>
      <c r="CA768" s="638"/>
      <c r="CB768" s="638">
        <v>71.910162476249994</v>
      </c>
      <c r="CC768" s="3208">
        <f t="shared" si="1463"/>
        <v>68.314654352437486</v>
      </c>
      <c r="CD768" s="3208">
        <f t="shared" si="1463"/>
        <v>64.898921634815608</v>
      </c>
      <c r="CE768" s="3208">
        <f t="shared" si="1464"/>
        <v>66.196900067511919</v>
      </c>
      <c r="CF768" s="3208">
        <f t="shared" si="1464"/>
        <v>67.520838068862162</v>
      </c>
      <c r="CG768" s="3208">
        <f t="shared" si="1464"/>
        <v>68.871254830239408</v>
      </c>
      <c r="CH768" s="916"/>
      <c r="CI768" s="916"/>
      <c r="CJ768" s="916"/>
      <c r="CK768" s="916"/>
      <c r="CL768" s="916"/>
      <c r="CM768" s="916"/>
      <c r="CN768" s="916"/>
      <c r="CO768" s="916"/>
      <c r="CP768" s="1790" t="str">
        <f t="shared" si="1481"/>
        <v>Connecticut</v>
      </c>
      <c r="CQ768" s="916"/>
      <c r="CR768" s="916"/>
      <c r="CS768" s="916"/>
      <c r="CT768" s="916"/>
      <c r="CU768" s="916"/>
      <c r="CV768" s="916"/>
      <c r="CW768" s="916"/>
      <c r="CX768" s="916"/>
      <c r="CY768" s="916"/>
      <c r="CZ768" s="916">
        <f>BA768</f>
        <v>0</v>
      </c>
      <c r="DA768" s="916">
        <f>BF768</f>
        <v>0</v>
      </c>
      <c r="DB768" s="916">
        <f>BK768</f>
        <v>0</v>
      </c>
      <c r="DC768" s="916">
        <f>BP768</f>
        <v>0</v>
      </c>
      <c r="DD768" s="916">
        <f>BU768</f>
        <v>0</v>
      </c>
      <c r="DE768" s="916">
        <f t="shared" si="1482"/>
        <v>0</v>
      </c>
      <c r="DF768" s="916">
        <f t="shared" si="1482"/>
        <v>0</v>
      </c>
      <c r="DG768" s="1858">
        <f t="shared" si="1482"/>
        <v>71.910162476249994</v>
      </c>
      <c r="DH768" s="651"/>
      <c r="DI768" s="650"/>
      <c r="DJ768" s="650"/>
      <c r="DK768" s="650"/>
      <c r="DL768" s="650"/>
      <c r="DM768" s="650"/>
      <c r="DN768" s="651"/>
      <c r="DO768" s="104"/>
      <c r="DY768" s="635"/>
      <c r="DZ768" s="635"/>
    </row>
    <row r="769" spans="1:130" ht="12" hidden="1" customHeight="1" outlineLevel="1">
      <c r="A769" s="2473" t="s">
        <v>1810</v>
      </c>
      <c r="B769" s="675"/>
      <c r="C769" s="675"/>
      <c r="D769" s="2109"/>
      <c r="E769" s="916"/>
      <c r="F769" s="916"/>
      <c r="G769" s="916"/>
      <c r="H769" s="1440"/>
      <c r="I769" s="916"/>
      <c r="J769" s="916"/>
      <c r="K769" s="916"/>
      <c r="L769" s="916"/>
      <c r="M769" s="1440"/>
      <c r="N769" s="916"/>
      <c r="O769" s="916"/>
      <c r="P769" s="916"/>
      <c r="Q769" s="916"/>
      <c r="R769" s="1440"/>
      <c r="S769" s="916"/>
      <c r="T769" s="916"/>
      <c r="U769" s="916"/>
      <c r="V769" s="916"/>
      <c r="W769" s="1440"/>
      <c r="X769" s="916"/>
      <c r="Y769" s="916"/>
      <c r="Z769" s="916"/>
      <c r="AA769" s="916"/>
      <c r="AB769" s="1440"/>
      <c r="AC769" s="916"/>
      <c r="AD769" s="916"/>
      <c r="AE769" s="916"/>
      <c r="AF769" s="916"/>
      <c r="AG769" s="1440"/>
      <c r="AH769" s="916"/>
      <c r="AI769" s="916"/>
      <c r="AJ769" s="916"/>
      <c r="AK769" s="916"/>
      <c r="AL769" s="1440"/>
      <c r="AM769" s="916"/>
      <c r="AN769" s="2110"/>
      <c r="AO769" s="916"/>
      <c r="AP769" s="635"/>
      <c r="AQ769" s="638"/>
      <c r="AR769" s="635"/>
      <c r="AS769" s="635"/>
      <c r="AT769" s="635"/>
      <c r="AU769" s="916"/>
      <c r="AV769" s="638"/>
      <c r="AW769" s="916"/>
      <c r="AX769" s="2110"/>
      <c r="AY769" s="916"/>
      <c r="AZ769" s="916"/>
      <c r="BA769" s="638"/>
      <c r="BB769" s="651"/>
      <c r="BC769" s="2167"/>
      <c r="BD769" s="651"/>
      <c r="BE769" s="651"/>
      <c r="BF769" s="638"/>
      <c r="BG769" s="2907"/>
      <c r="BH769" s="635"/>
      <c r="BI769" s="635"/>
      <c r="BJ769" s="2908"/>
      <c r="BK769" s="638"/>
      <c r="BL769" s="635"/>
      <c r="BM769" s="635"/>
      <c r="BN769" s="635"/>
      <c r="BO769" s="2908"/>
      <c r="BP769" s="638"/>
      <c r="BQ769" s="635"/>
      <c r="BR769" s="635"/>
      <c r="BS769" s="635"/>
      <c r="BT769" s="2908"/>
      <c r="BU769" s="3382"/>
      <c r="BV769" s="635"/>
      <c r="BW769" s="635"/>
      <c r="BX769" s="635"/>
      <c r="BY769" s="2908"/>
      <c r="BZ769" s="638"/>
      <c r="CA769" s="638"/>
      <c r="CB769" s="638">
        <v>276.36195720000001</v>
      </c>
      <c r="CC769" s="3208">
        <f t="shared" si="1463"/>
        <v>262.54385933999998</v>
      </c>
      <c r="CD769" s="3208">
        <f t="shared" si="1463"/>
        <v>249.41666637299997</v>
      </c>
      <c r="CE769" s="3208">
        <f t="shared" si="1464"/>
        <v>254.40499970045997</v>
      </c>
      <c r="CF769" s="3208">
        <f t="shared" si="1464"/>
        <v>259.49309969446915</v>
      </c>
      <c r="CG769" s="3208">
        <f t="shared" si="1464"/>
        <v>264.68296168835855</v>
      </c>
      <c r="CH769" s="916"/>
      <c r="CI769" s="916"/>
      <c r="CJ769" s="916"/>
      <c r="CK769" s="916"/>
      <c r="CL769" s="916"/>
      <c r="CM769" s="916"/>
      <c r="CN769" s="916"/>
      <c r="CO769" s="916"/>
      <c r="CP769" s="1790" t="str">
        <f t="shared" si="1481"/>
        <v>Florida</v>
      </c>
      <c r="CQ769" s="916"/>
      <c r="CR769" s="916"/>
      <c r="CS769" s="916"/>
      <c r="CT769" s="916"/>
      <c r="CU769" s="916"/>
      <c r="CV769" s="916"/>
      <c r="CW769" s="916"/>
      <c r="CX769" s="916"/>
      <c r="CY769" s="916"/>
      <c r="CZ769" s="916"/>
      <c r="DA769" s="916"/>
      <c r="DB769" s="916"/>
      <c r="DC769" s="916"/>
      <c r="DD769" s="916"/>
      <c r="DE769" s="916"/>
      <c r="DF769" s="916"/>
      <c r="DG769" s="1858"/>
      <c r="DH769" s="651"/>
      <c r="DI769" s="650"/>
      <c r="DJ769" s="650"/>
      <c r="DK769" s="650"/>
      <c r="DL769" s="650"/>
      <c r="DM769" s="650"/>
      <c r="DN769" s="651"/>
      <c r="DO769" s="104"/>
      <c r="DY769" s="635"/>
      <c r="DZ769" s="635"/>
    </row>
    <row r="770" spans="1:130" ht="12" hidden="1" customHeight="1" outlineLevel="1">
      <c r="A770" s="1092" t="s">
        <v>375</v>
      </c>
      <c r="B770" s="675"/>
      <c r="C770" s="675"/>
      <c r="D770" s="2109"/>
      <c r="E770" s="916"/>
      <c r="F770" s="916"/>
      <c r="G770" s="916"/>
      <c r="H770" s="1440"/>
      <c r="I770" s="916"/>
      <c r="J770" s="916"/>
      <c r="K770" s="916"/>
      <c r="L770" s="916"/>
      <c r="M770" s="1440"/>
      <c r="N770" s="916"/>
      <c r="O770" s="916"/>
      <c r="P770" s="916"/>
      <c r="Q770" s="916"/>
      <c r="R770" s="1440"/>
      <c r="S770" s="916"/>
      <c r="T770" s="916"/>
      <c r="U770" s="916"/>
      <c r="V770" s="916"/>
      <c r="W770" s="1440"/>
      <c r="X770" s="916"/>
      <c r="Y770" s="916"/>
      <c r="Z770" s="916"/>
      <c r="AA770" s="916"/>
      <c r="AB770" s="1440"/>
      <c r="AC770" s="916"/>
      <c r="AD770" s="916"/>
      <c r="AE770" s="916"/>
      <c r="AF770" s="916"/>
      <c r="AG770" s="1440"/>
      <c r="AH770" s="916"/>
      <c r="AI770" s="916"/>
      <c r="AJ770" s="916"/>
      <c r="AK770" s="916"/>
      <c r="AL770" s="1440"/>
      <c r="AM770" s="916"/>
      <c r="AN770" s="2110"/>
      <c r="AO770" s="916"/>
      <c r="AP770" s="635"/>
      <c r="AQ770" s="638"/>
      <c r="AR770" s="635"/>
      <c r="AS770" s="635"/>
      <c r="AT770" s="635"/>
      <c r="AU770" s="916"/>
      <c r="AV770" s="638"/>
      <c r="AW770" s="916"/>
      <c r="AX770" s="2110"/>
      <c r="AY770" s="916"/>
      <c r="AZ770" s="916"/>
      <c r="BA770" s="638"/>
      <c r="BB770" s="651"/>
      <c r="BC770" s="2167"/>
      <c r="BD770" s="651"/>
      <c r="BE770" s="651"/>
      <c r="BF770" s="638"/>
      <c r="BG770" s="2907"/>
      <c r="BH770" s="635"/>
      <c r="BI770" s="635"/>
      <c r="BJ770" s="2908"/>
      <c r="BK770" s="638"/>
      <c r="BL770" s="635"/>
      <c r="BM770" s="635"/>
      <c r="BN770" s="635"/>
      <c r="BO770" s="2908"/>
      <c r="BP770" s="638"/>
      <c r="BQ770" s="635"/>
      <c r="BR770" s="635"/>
      <c r="BS770" s="635"/>
      <c r="BT770" s="2908"/>
      <c r="BU770" s="3382"/>
      <c r="BV770" s="635"/>
      <c r="BW770" s="635"/>
      <c r="BX770" s="635"/>
      <c r="BY770" s="2908"/>
      <c r="BZ770" s="638"/>
      <c r="CA770" s="638"/>
      <c r="CB770" s="638">
        <v>84.18602941875001</v>
      </c>
      <c r="CC770" s="3208">
        <f t="shared" si="1463"/>
        <v>79.976727947812506</v>
      </c>
      <c r="CD770" s="3208">
        <f t="shared" si="1463"/>
        <v>75.977891550421873</v>
      </c>
      <c r="CE770" s="3208">
        <f t="shared" si="1464"/>
        <v>77.497449381430314</v>
      </c>
      <c r="CF770" s="3208">
        <f t="shared" si="1464"/>
        <v>79.047398369058925</v>
      </c>
      <c r="CG770" s="3208">
        <f t="shared" si="1464"/>
        <v>80.628346336440103</v>
      </c>
      <c r="CH770" s="916"/>
      <c r="CI770" s="916"/>
      <c r="CJ770" s="916"/>
      <c r="CK770" s="916"/>
      <c r="CL770" s="916"/>
      <c r="CM770" s="916"/>
      <c r="CN770" s="916"/>
      <c r="CO770" s="916"/>
      <c r="CP770" s="1790" t="str">
        <f t="shared" si="1481"/>
        <v>Maryland</v>
      </c>
      <c r="CQ770" s="916"/>
      <c r="CR770" s="916"/>
      <c r="CS770" s="916"/>
      <c r="CT770" s="916"/>
      <c r="CU770" s="916"/>
      <c r="CV770" s="916"/>
      <c r="CW770" s="916"/>
      <c r="CX770" s="916"/>
      <c r="CY770" s="916"/>
      <c r="CZ770" s="916">
        <f>BA770</f>
        <v>0</v>
      </c>
      <c r="DA770" s="916">
        <f>BF770</f>
        <v>0</v>
      </c>
      <c r="DB770" s="916">
        <f>BK770</f>
        <v>0</v>
      </c>
      <c r="DC770" s="916">
        <f>BP770</f>
        <v>0</v>
      </c>
      <c r="DD770" s="916">
        <f>BU770</f>
        <v>0</v>
      </c>
      <c r="DE770" s="916">
        <f t="shared" ref="DE770:DG772" si="1483">BZ770</f>
        <v>0</v>
      </c>
      <c r="DF770" s="916">
        <f t="shared" si="1483"/>
        <v>0</v>
      </c>
      <c r="DG770" s="1858">
        <f t="shared" si="1483"/>
        <v>84.18602941875001</v>
      </c>
      <c r="DH770" s="651"/>
      <c r="DI770" s="650"/>
      <c r="DJ770" s="650"/>
      <c r="DK770" s="650"/>
      <c r="DL770" s="650"/>
      <c r="DM770" s="650"/>
      <c r="DN770" s="651"/>
      <c r="DO770" s="104"/>
      <c r="DY770" s="635"/>
      <c r="DZ770" s="635"/>
    </row>
    <row r="771" spans="1:130" ht="12" hidden="1" customHeight="1" outlineLevel="1">
      <c r="A771" s="1092" t="s">
        <v>377</v>
      </c>
      <c r="B771" s="675"/>
      <c r="C771" s="675"/>
      <c r="D771" s="2109"/>
      <c r="E771" s="916"/>
      <c r="F771" s="916"/>
      <c r="G771" s="916"/>
      <c r="H771" s="1440"/>
      <c r="I771" s="916"/>
      <c r="J771" s="916"/>
      <c r="K771" s="916"/>
      <c r="L771" s="916"/>
      <c r="M771" s="1440"/>
      <c r="N771" s="916"/>
      <c r="O771" s="916"/>
      <c r="P771" s="916"/>
      <c r="Q771" s="916"/>
      <c r="R771" s="1440"/>
      <c r="S771" s="916"/>
      <c r="T771" s="916"/>
      <c r="U771" s="916"/>
      <c r="V771" s="916"/>
      <c r="W771" s="1440"/>
      <c r="X771" s="916"/>
      <c r="Y771" s="916"/>
      <c r="Z771" s="916"/>
      <c r="AA771" s="916"/>
      <c r="AB771" s="1440"/>
      <c r="AC771" s="916"/>
      <c r="AD771" s="916"/>
      <c r="AE771" s="916"/>
      <c r="AF771" s="916"/>
      <c r="AG771" s="1440"/>
      <c r="AH771" s="916"/>
      <c r="AI771" s="916"/>
      <c r="AJ771" s="916"/>
      <c r="AK771" s="916"/>
      <c r="AL771" s="1440"/>
      <c r="AM771" s="916"/>
      <c r="AN771" s="2110"/>
      <c r="AO771" s="916"/>
      <c r="AP771" s="635"/>
      <c r="AQ771" s="638"/>
      <c r="AR771" s="635"/>
      <c r="AS771" s="635"/>
      <c r="AT771" s="635"/>
      <c r="AU771" s="916"/>
      <c r="AV771" s="638"/>
      <c r="AW771" s="916"/>
      <c r="AX771" s="2110"/>
      <c r="AY771" s="916"/>
      <c r="AZ771" s="916"/>
      <c r="BA771" s="638"/>
      <c r="BB771" s="651"/>
      <c r="BC771" s="2167"/>
      <c r="BD771" s="651"/>
      <c r="BE771" s="651"/>
      <c r="BF771" s="638"/>
      <c r="BG771" s="2907"/>
      <c r="BH771" s="635"/>
      <c r="BI771" s="635"/>
      <c r="BJ771" s="2908"/>
      <c r="BK771" s="638"/>
      <c r="BL771" s="635"/>
      <c r="BM771" s="635"/>
      <c r="BN771" s="635"/>
      <c r="BO771" s="2908"/>
      <c r="BP771" s="638"/>
      <c r="BQ771" s="635"/>
      <c r="BR771" s="635"/>
      <c r="BS771" s="635"/>
      <c r="BT771" s="2908"/>
      <c r="BU771" s="3382"/>
      <c r="BV771" s="635"/>
      <c r="BW771" s="635"/>
      <c r="BX771" s="635"/>
      <c r="BY771" s="2908"/>
      <c r="BZ771" s="638"/>
      <c r="CA771" s="638"/>
      <c r="CB771" s="638">
        <v>141.39381900000001</v>
      </c>
      <c r="CC771" s="3208">
        <f t="shared" si="1463"/>
        <v>134.32412805000001</v>
      </c>
      <c r="CD771" s="3208">
        <f t="shared" si="1463"/>
        <v>127.60792164750001</v>
      </c>
      <c r="CE771" s="3208">
        <f t="shared" si="1464"/>
        <v>130.16008008045</v>
      </c>
      <c r="CF771" s="3208">
        <f t="shared" si="1464"/>
        <v>132.76328168205902</v>
      </c>
      <c r="CG771" s="3208">
        <f t="shared" si="1464"/>
        <v>135.41854731570021</v>
      </c>
      <c r="CH771" s="916"/>
      <c r="CI771" s="916"/>
      <c r="CJ771" s="916"/>
      <c r="CK771" s="916"/>
      <c r="CL771" s="916"/>
      <c r="CM771" s="916"/>
      <c r="CN771" s="916"/>
      <c r="CO771" s="916"/>
      <c r="CP771" s="1790" t="str">
        <f t="shared" si="1481"/>
        <v>Michigan</v>
      </c>
      <c r="CQ771" s="916"/>
      <c r="CR771" s="916"/>
      <c r="CS771" s="916"/>
      <c r="CT771" s="916"/>
      <c r="CU771" s="916"/>
      <c r="CV771" s="916"/>
      <c r="CW771" s="916"/>
      <c r="CX771" s="916"/>
      <c r="CY771" s="916"/>
      <c r="CZ771" s="916">
        <f>BA771</f>
        <v>0</v>
      </c>
      <c r="DA771" s="916">
        <f>BF771</f>
        <v>0</v>
      </c>
      <c r="DB771" s="916">
        <f>BK771</f>
        <v>0</v>
      </c>
      <c r="DC771" s="916">
        <f>BP771</f>
        <v>0</v>
      </c>
      <c r="DD771" s="916">
        <f>BU771</f>
        <v>0</v>
      </c>
      <c r="DE771" s="916">
        <f t="shared" si="1483"/>
        <v>0</v>
      </c>
      <c r="DF771" s="916">
        <f t="shared" si="1483"/>
        <v>0</v>
      </c>
      <c r="DG771" s="1858">
        <f t="shared" si="1483"/>
        <v>141.39381900000001</v>
      </c>
      <c r="DH771" s="651"/>
      <c r="DI771" s="650"/>
      <c r="DJ771" s="650"/>
      <c r="DK771" s="650"/>
      <c r="DL771" s="650"/>
      <c r="DM771" s="650"/>
      <c r="DN771" s="651"/>
      <c r="DO771" s="104"/>
      <c r="DY771" s="635"/>
      <c r="DZ771" s="635"/>
    </row>
    <row r="772" spans="1:130" ht="12" hidden="1" customHeight="1" outlineLevel="1">
      <c r="A772" s="1092" t="s">
        <v>379</v>
      </c>
      <c r="B772" s="675"/>
      <c r="C772" s="675"/>
      <c r="D772" s="2109"/>
      <c r="E772" s="916"/>
      <c r="F772" s="916"/>
      <c r="G772" s="916"/>
      <c r="H772" s="1440"/>
      <c r="I772" s="916"/>
      <c r="J772" s="916"/>
      <c r="K772" s="916"/>
      <c r="L772" s="916"/>
      <c r="M772" s="1440"/>
      <c r="N772" s="916"/>
      <c r="O772" s="916"/>
      <c r="P772" s="916"/>
      <c r="Q772" s="916"/>
      <c r="R772" s="1440"/>
      <c r="S772" s="916"/>
      <c r="T772" s="916"/>
      <c r="U772" s="916"/>
      <c r="V772" s="916"/>
      <c r="W772" s="1440"/>
      <c r="X772" s="916"/>
      <c r="Y772" s="916"/>
      <c r="Z772" s="916"/>
      <c r="AA772" s="916"/>
      <c r="AB772" s="1440"/>
      <c r="AC772" s="916"/>
      <c r="AD772" s="916"/>
      <c r="AE772" s="916"/>
      <c r="AF772" s="916"/>
      <c r="AG772" s="1440"/>
      <c r="AH772" s="916"/>
      <c r="AI772" s="916"/>
      <c r="AJ772" s="916"/>
      <c r="AK772" s="916"/>
      <c r="AL772" s="1440"/>
      <c r="AM772" s="916"/>
      <c r="AN772" s="2110"/>
      <c r="AO772" s="916"/>
      <c r="AP772" s="635"/>
      <c r="AQ772" s="638"/>
      <c r="AR772" s="635"/>
      <c r="AS772" s="635"/>
      <c r="AT772" s="635"/>
      <c r="AU772" s="916"/>
      <c r="AV772" s="638"/>
      <c r="AW772" s="916"/>
      <c r="AX772" s="2110"/>
      <c r="AY772" s="916"/>
      <c r="AZ772" s="916"/>
      <c r="BA772" s="638"/>
      <c r="BB772" s="651"/>
      <c r="BC772" s="2167"/>
      <c r="BD772" s="651"/>
      <c r="BE772" s="651"/>
      <c r="BF772" s="638"/>
      <c r="BG772" s="2907"/>
      <c r="BH772" s="635"/>
      <c r="BI772" s="635"/>
      <c r="BJ772" s="2908"/>
      <c r="BK772" s="638"/>
      <c r="BL772" s="635"/>
      <c r="BM772" s="635"/>
      <c r="BN772" s="635"/>
      <c r="BO772" s="2908"/>
      <c r="BP772" s="638"/>
      <c r="BQ772" s="635"/>
      <c r="BR772" s="635"/>
      <c r="BS772" s="635"/>
      <c r="BT772" s="2908"/>
      <c r="BU772" s="3382"/>
      <c r="BV772" s="635"/>
      <c r="BW772" s="635"/>
      <c r="BX772" s="635"/>
      <c r="BY772" s="2908"/>
      <c r="BZ772" s="638"/>
      <c r="CA772" s="638"/>
      <c r="CB772" s="638">
        <v>165.15456890625001</v>
      </c>
      <c r="CC772" s="3208">
        <f t="shared" si="1463"/>
        <v>156.89684046093751</v>
      </c>
      <c r="CD772" s="3208">
        <f t="shared" si="1463"/>
        <v>149.05199843789063</v>
      </c>
      <c r="CE772" s="3208">
        <f t="shared" si="1464"/>
        <v>152.03303840664844</v>
      </c>
      <c r="CF772" s="3208">
        <f t="shared" si="1464"/>
        <v>155.07369917478141</v>
      </c>
      <c r="CG772" s="3208">
        <f t="shared" si="1464"/>
        <v>158.17517315827703</v>
      </c>
      <c r="CH772" s="916"/>
      <c r="CI772" s="916"/>
      <c r="CJ772" s="916"/>
      <c r="CK772" s="916"/>
      <c r="CL772" s="916"/>
      <c r="CM772" s="916"/>
      <c r="CN772" s="916"/>
      <c r="CO772" s="916"/>
      <c r="CP772" s="1790" t="str">
        <f t="shared" si="1481"/>
        <v>Ohio</v>
      </c>
      <c r="CQ772" s="916"/>
      <c r="CR772" s="916"/>
      <c r="CS772" s="916"/>
      <c r="CT772" s="916"/>
      <c r="CU772" s="916"/>
      <c r="CV772" s="916"/>
      <c r="CW772" s="916"/>
      <c r="CX772" s="916"/>
      <c r="CY772" s="916"/>
      <c r="CZ772" s="916">
        <f>BA772</f>
        <v>0</v>
      </c>
      <c r="DA772" s="916">
        <f>BF772</f>
        <v>0</v>
      </c>
      <c r="DB772" s="916">
        <f>BK772</f>
        <v>0</v>
      </c>
      <c r="DC772" s="916">
        <f>BP772</f>
        <v>0</v>
      </c>
      <c r="DD772" s="916">
        <f>BU772</f>
        <v>0</v>
      </c>
      <c r="DE772" s="916">
        <f t="shared" si="1483"/>
        <v>0</v>
      </c>
      <c r="DF772" s="916">
        <f t="shared" si="1483"/>
        <v>0</v>
      </c>
      <c r="DG772" s="1858">
        <f t="shared" si="1483"/>
        <v>165.15456890625001</v>
      </c>
      <c r="DH772" s="651"/>
      <c r="DI772" s="650"/>
      <c r="DJ772" s="650"/>
      <c r="DK772" s="650"/>
      <c r="DL772" s="650"/>
      <c r="DM772" s="650"/>
      <c r="DN772" s="651"/>
      <c r="DO772" s="104"/>
      <c r="DY772" s="635"/>
      <c r="DZ772" s="635"/>
    </row>
    <row r="773" spans="1:130" ht="3.95" hidden="1" customHeight="1" outlineLevel="1">
      <c r="A773" s="552"/>
      <c r="B773" s="228"/>
      <c r="C773" s="228"/>
      <c r="D773" s="625"/>
      <c r="E773" s="626"/>
      <c r="F773" s="626"/>
      <c r="G773" s="626"/>
      <c r="H773" s="788"/>
      <c r="I773" s="626"/>
      <c r="J773" s="626"/>
      <c r="K773" s="626"/>
      <c r="L773" s="626"/>
      <c r="M773" s="788"/>
      <c r="N773" s="626"/>
      <c r="O773" s="626"/>
      <c r="P773" s="626"/>
      <c r="Q773" s="626"/>
      <c r="R773" s="788"/>
      <c r="S773" s="626"/>
      <c r="T773" s="626"/>
      <c r="U773" s="626"/>
      <c r="V773" s="626"/>
      <c r="W773" s="788"/>
      <c r="X773" s="626"/>
      <c r="Y773" s="626"/>
      <c r="Z773" s="626"/>
      <c r="AA773" s="626"/>
      <c r="AB773" s="788"/>
      <c r="AC773" s="626"/>
      <c r="AD773" s="626"/>
      <c r="AE773" s="626"/>
      <c r="AF773" s="626"/>
      <c r="AG773" s="788"/>
      <c r="AH773" s="626"/>
      <c r="AI773" s="626"/>
      <c r="AJ773" s="626"/>
      <c r="AK773" s="626"/>
      <c r="AL773" s="788"/>
      <c r="AM773" s="626"/>
      <c r="AN773" s="261"/>
      <c r="AO773" s="626"/>
      <c r="AP773" s="330"/>
      <c r="AQ773" s="1439"/>
      <c r="AR773" s="330"/>
      <c r="AS773" s="330"/>
      <c r="AT773" s="330"/>
      <c r="AU773" s="626"/>
      <c r="AV773" s="1951"/>
      <c r="AW773" s="626"/>
      <c r="AX773" s="261"/>
      <c r="AY773" s="626"/>
      <c r="AZ773" s="626"/>
      <c r="BA773" s="2105"/>
      <c r="BB773" s="2718" t="s">
        <v>343</v>
      </c>
      <c r="BC773" s="2155" t="s">
        <v>343</v>
      </c>
      <c r="BD773" s="2155" t="s">
        <v>343</v>
      </c>
      <c r="BE773" s="2156" t="s">
        <v>343</v>
      </c>
      <c r="BF773" s="2105" t="s">
        <v>343</v>
      </c>
      <c r="BG773" s="2718" t="s">
        <v>343</v>
      </c>
      <c r="BH773" s="2155" t="s">
        <v>343</v>
      </c>
      <c r="BI773" s="2155" t="s">
        <v>343</v>
      </c>
      <c r="BJ773" s="2156" t="s">
        <v>343</v>
      </c>
      <c r="BK773" s="2105" t="s">
        <v>343</v>
      </c>
      <c r="BL773" s="2155" t="s">
        <v>343</v>
      </c>
      <c r="BM773" s="2155" t="s">
        <v>343</v>
      </c>
      <c r="BN773" s="2155" t="s">
        <v>343</v>
      </c>
      <c r="BO773" s="2156" t="s">
        <v>343</v>
      </c>
      <c r="BP773" s="2105" t="s">
        <v>343</v>
      </c>
      <c r="BQ773" s="2155" t="s">
        <v>343</v>
      </c>
      <c r="BR773" s="2155" t="s">
        <v>343</v>
      </c>
      <c r="BS773" s="2155" t="s">
        <v>343</v>
      </c>
      <c r="BT773" s="2156" t="s">
        <v>343</v>
      </c>
      <c r="BU773" s="3408" t="s">
        <v>343</v>
      </c>
      <c r="BV773" s="2155" t="s">
        <v>343</v>
      </c>
      <c r="BW773" s="2155" t="s">
        <v>343</v>
      </c>
      <c r="BX773" s="2155" t="s">
        <v>343</v>
      </c>
      <c r="BY773" s="2156" t="s">
        <v>343</v>
      </c>
      <c r="BZ773" s="3408" t="s">
        <v>343</v>
      </c>
      <c r="CA773" s="2105" t="s">
        <v>343</v>
      </c>
      <c r="CB773" s="2105" t="s">
        <v>343</v>
      </c>
      <c r="CC773" s="2105" t="s">
        <v>343</v>
      </c>
      <c r="CD773" s="2105" t="s">
        <v>343</v>
      </c>
      <c r="CE773" s="2105" t="s">
        <v>343</v>
      </c>
      <c r="CF773" s="2105" t="s">
        <v>343</v>
      </c>
      <c r="CG773" s="2105" t="s">
        <v>343</v>
      </c>
      <c r="CH773" s="626"/>
      <c r="CI773" s="626"/>
      <c r="CJ773" s="626"/>
      <c r="CK773" s="626"/>
      <c r="CL773" s="626"/>
      <c r="CM773" s="626"/>
      <c r="CN773" s="626"/>
      <c r="CO773" s="626"/>
      <c r="CP773" s="994"/>
      <c r="CQ773" s="626"/>
      <c r="CR773" s="626"/>
      <c r="CS773" s="626"/>
      <c r="CT773" s="626"/>
      <c r="CU773" s="626"/>
      <c r="CV773" s="626"/>
      <c r="CW773" s="626"/>
      <c r="CX773" s="626"/>
      <c r="CY773" s="626"/>
      <c r="CZ773" s="626"/>
      <c r="DA773" s="626"/>
      <c r="DB773" s="626"/>
      <c r="DC773" s="626"/>
      <c r="DD773" s="626"/>
      <c r="DE773" s="626"/>
      <c r="DF773" s="626"/>
      <c r="DG773" s="1893"/>
      <c r="DH773" s="632"/>
      <c r="DI773" s="595"/>
      <c r="DJ773" s="595"/>
      <c r="DK773" s="595"/>
      <c r="DL773" s="595"/>
      <c r="DM773" s="595"/>
      <c r="DN773" s="514"/>
      <c r="DO773" s="77"/>
      <c r="DY773" s="2155"/>
      <c r="DZ773" s="2155"/>
    </row>
    <row r="774" spans="1:130" ht="12" hidden="1" customHeight="1" outlineLevel="1">
      <c r="A774" s="2501" t="s">
        <v>1396</v>
      </c>
      <c r="B774" s="228"/>
      <c r="C774" s="228"/>
      <c r="D774" s="625"/>
      <c r="E774" s="626"/>
      <c r="F774" s="626"/>
      <c r="G774" s="626"/>
      <c r="H774" s="788"/>
      <c r="I774" s="626"/>
      <c r="J774" s="626"/>
      <c r="K774" s="626"/>
      <c r="L774" s="626"/>
      <c r="M774" s="788"/>
      <c r="N774" s="626"/>
      <c r="O774" s="626"/>
      <c r="P774" s="626"/>
      <c r="Q774" s="626"/>
      <c r="R774" s="788"/>
      <c r="S774" s="626"/>
      <c r="T774" s="626"/>
      <c r="U774" s="626"/>
      <c r="V774" s="626"/>
      <c r="W774" s="788"/>
      <c r="X774" s="626"/>
      <c r="Y774" s="626"/>
      <c r="Z774" s="626"/>
      <c r="AA774" s="626"/>
      <c r="AB774" s="788"/>
      <c r="AC774" s="626"/>
      <c r="AD774" s="626"/>
      <c r="AE774" s="626"/>
      <c r="AF774" s="626"/>
      <c r="AG774" s="788"/>
      <c r="AH774" s="626"/>
      <c r="AI774" s="626"/>
      <c r="AJ774" s="626"/>
      <c r="AK774" s="626"/>
      <c r="AL774" s="788"/>
      <c r="AM774" s="626"/>
      <c r="AN774" s="261"/>
      <c r="AO774" s="626"/>
      <c r="AP774" s="330"/>
      <c r="AQ774" s="1439"/>
      <c r="AR774" s="330"/>
      <c r="AS774" s="330"/>
      <c r="AT774" s="330"/>
      <c r="AU774" s="626"/>
      <c r="AV774" s="1951"/>
      <c r="AW774" s="626"/>
      <c r="AX774" s="261"/>
      <c r="AY774" s="626"/>
      <c r="AZ774" s="626"/>
      <c r="BA774" s="2107"/>
      <c r="BB774" s="2106">
        <f t="shared" ref="BB774:CB774" si="1484">SUM(BB758:BB772)</f>
        <v>34.643146666666659</v>
      </c>
      <c r="BC774" s="1759">
        <f t="shared" si="1484"/>
        <v>34.699289</v>
      </c>
      <c r="BD774" s="1759">
        <f t="shared" si="1484"/>
        <v>33.777058400000001</v>
      </c>
      <c r="BE774" s="1857">
        <f t="shared" si="1484"/>
        <v>31.768119649999999</v>
      </c>
      <c r="BF774" s="2107">
        <f t="shared" si="1484"/>
        <v>134.88761371666666</v>
      </c>
      <c r="BG774" s="2106">
        <f t="shared" si="1484"/>
        <v>38.205995688750001</v>
      </c>
      <c r="BH774" s="1759">
        <f t="shared" si="1484"/>
        <v>39.905560688750001</v>
      </c>
      <c r="BI774" s="1759">
        <f t="shared" si="1484"/>
        <v>39.84385168875</v>
      </c>
      <c r="BJ774" s="1857">
        <f t="shared" si="1484"/>
        <v>43.199446688750001</v>
      </c>
      <c r="BK774" s="2107">
        <f t="shared" si="1484"/>
        <v>161.154854755</v>
      </c>
      <c r="BL774" s="1759">
        <f t="shared" si="1484"/>
        <v>48.744854773312504</v>
      </c>
      <c r="BM774" s="1759">
        <f t="shared" ref="BM774:BU774" si="1485">SUM(BM758:BM772)</f>
        <v>47.821636878312503</v>
      </c>
      <c r="BN774" s="1759">
        <f t="shared" si="1485"/>
        <v>47.821636878312503</v>
      </c>
      <c r="BO774" s="1857">
        <f t="shared" si="1485"/>
        <v>47.821636878312503</v>
      </c>
      <c r="BP774" s="2107">
        <f t="shared" si="1485"/>
        <v>191.28654751325001</v>
      </c>
      <c r="BQ774" s="1759">
        <f t="shared" si="1485"/>
        <v>102.53749999999999</v>
      </c>
      <c r="BR774" s="1759">
        <f t="shared" si="1485"/>
        <v>102.53749999999999</v>
      </c>
      <c r="BS774" s="1759">
        <f t="shared" si="1485"/>
        <v>102.53749999999999</v>
      </c>
      <c r="BT774" s="1857">
        <f t="shared" si="1485"/>
        <v>102.53749999999999</v>
      </c>
      <c r="BU774" s="3373">
        <f t="shared" si="1485"/>
        <v>410.15</v>
      </c>
      <c r="BV774" s="1759">
        <f t="shared" ref="BV774:BZ774" si="1486">SUM(BV758:BV772)</f>
        <v>191.27151499999999</v>
      </c>
      <c r="BW774" s="1759">
        <f t="shared" si="1486"/>
        <v>191.27151499999999</v>
      </c>
      <c r="BX774" s="1759">
        <f t="shared" si="1486"/>
        <v>191.27151499999999</v>
      </c>
      <c r="BY774" s="1857">
        <f t="shared" si="1486"/>
        <v>191.27151499999999</v>
      </c>
      <c r="BZ774" s="3373">
        <f t="shared" si="1486"/>
        <v>765.08605999999997</v>
      </c>
      <c r="CA774" s="2107">
        <f t="shared" si="1484"/>
        <v>1358.2684844192329</v>
      </c>
      <c r="CB774" s="2107">
        <f t="shared" si="1484"/>
        <v>2657.6392800228546</v>
      </c>
      <c r="CC774" s="2107">
        <f>SUM(CC758:CC772)</f>
        <v>2524.7573160217121</v>
      </c>
      <c r="CD774" s="2107">
        <f>SUM(CD758:CD772)</f>
        <v>2398.5194502206264</v>
      </c>
      <c r="CE774" s="2107">
        <f>SUM(CE758:CE772)</f>
        <v>2446.4898392250388</v>
      </c>
      <c r="CF774" s="2107">
        <f>SUM(CF758:CF772)</f>
        <v>2495.4196360095393</v>
      </c>
      <c r="CG774" s="2107">
        <f>SUM(CG758:CG772)</f>
        <v>2545.3280287297307</v>
      </c>
      <c r="CH774" s="626"/>
      <c r="CI774" s="626"/>
      <c r="CJ774" s="626"/>
      <c r="CK774" s="626"/>
      <c r="CL774" s="626"/>
      <c r="CM774" s="965"/>
      <c r="CN774" s="965">
        <f t="shared" ref="CN774" si="1487">SUM(BV774:BY774)</f>
        <v>765.08605999999997</v>
      </c>
      <c r="CO774" s="965">
        <f t="shared" ref="CO774:CO777" si="1488">CM774-CN774</f>
        <v>-765.08605999999997</v>
      </c>
      <c r="CP774" s="994"/>
      <c r="CQ774" s="626"/>
      <c r="CR774" s="626"/>
      <c r="CS774" s="626"/>
      <c r="CT774" s="626"/>
      <c r="CU774" s="626"/>
      <c r="CV774" s="626"/>
      <c r="CW774" s="626"/>
      <c r="CX774" s="626"/>
      <c r="CY774" s="626"/>
      <c r="CZ774" s="626"/>
      <c r="DA774" s="626"/>
      <c r="DB774" s="626"/>
      <c r="DC774" s="626"/>
      <c r="DD774" s="626"/>
      <c r="DE774" s="626"/>
      <c r="DF774" s="626"/>
      <c r="DG774" s="1893"/>
      <c r="DH774" s="632"/>
      <c r="DI774" s="595"/>
      <c r="DJ774" s="595"/>
      <c r="DK774" s="595"/>
      <c r="DL774" s="595"/>
      <c r="DM774" s="595"/>
      <c r="DN774" s="514"/>
      <c r="DO774" s="77"/>
      <c r="DY774" s="1759"/>
      <c r="DZ774" s="1759"/>
    </row>
    <row r="775" spans="1:130" ht="5.0999999999999996" hidden="1" customHeight="1" outlineLevel="1">
      <c r="A775" s="2501"/>
      <c r="B775" s="228"/>
      <c r="C775" s="228"/>
      <c r="D775" s="625"/>
      <c r="E775" s="626"/>
      <c r="F775" s="626"/>
      <c r="G775" s="626"/>
      <c r="H775" s="788"/>
      <c r="I775" s="626"/>
      <c r="J775" s="626"/>
      <c r="K775" s="626"/>
      <c r="L775" s="626"/>
      <c r="M775" s="788"/>
      <c r="N775" s="626"/>
      <c r="O775" s="626"/>
      <c r="P775" s="626"/>
      <c r="Q775" s="626"/>
      <c r="R775" s="788"/>
      <c r="S775" s="626"/>
      <c r="T775" s="626"/>
      <c r="U775" s="626"/>
      <c r="V775" s="626"/>
      <c r="W775" s="788"/>
      <c r="X775" s="626"/>
      <c r="Y775" s="626"/>
      <c r="Z775" s="626"/>
      <c r="AA775" s="626"/>
      <c r="AB775" s="788"/>
      <c r="AC775" s="626"/>
      <c r="AD775" s="626"/>
      <c r="AE775" s="626"/>
      <c r="AF775" s="626"/>
      <c r="AG775" s="788"/>
      <c r="AH775" s="626"/>
      <c r="AI775" s="626"/>
      <c r="AJ775" s="626"/>
      <c r="AK775" s="626"/>
      <c r="AL775" s="788"/>
      <c r="AM775" s="626"/>
      <c r="AN775" s="261"/>
      <c r="AO775" s="626"/>
      <c r="AP775" s="330"/>
      <c r="AQ775" s="1439"/>
      <c r="AR775" s="330"/>
      <c r="AS775" s="330"/>
      <c r="AT775" s="330"/>
      <c r="AU775" s="626"/>
      <c r="AV775" s="1951"/>
      <c r="AW775" s="626"/>
      <c r="AX775" s="261"/>
      <c r="AY775" s="626"/>
      <c r="AZ775" s="626"/>
      <c r="BA775" s="2107"/>
      <c r="BB775" s="1759"/>
      <c r="BC775" s="1759"/>
      <c r="BD775" s="1759"/>
      <c r="BE775" s="1759"/>
      <c r="BF775" s="2107"/>
      <c r="BG775" s="2106"/>
      <c r="BH775" s="1759"/>
      <c r="BI775" s="1759"/>
      <c r="BJ775" s="1857"/>
      <c r="BK775" s="2107"/>
      <c r="BL775" s="1759"/>
      <c r="BM775" s="1759"/>
      <c r="BN775" s="1759"/>
      <c r="BO775" s="1857"/>
      <c r="BP775" s="2107"/>
      <c r="BQ775" s="1759"/>
      <c r="BR775" s="1759"/>
      <c r="BS775" s="1759"/>
      <c r="BT775" s="1857"/>
      <c r="BU775" s="3373"/>
      <c r="BV775" s="1759"/>
      <c r="BW775" s="1759"/>
      <c r="BX775" s="1759"/>
      <c r="BY775" s="1857"/>
      <c r="BZ775" s="3373"/>
      <c r="CA775" s="2107"/>
      <c r="CB775" s="2107"/>
      <c r="CC775" s="2107"/>
      <c r="CD775" s="2107"/>
      <c r="CE775" s="2107"/>
      <c r="CF775" s="2107"/>
      <c r="CG775" s="2107"/>
      <c r="CH775" s="626"/>
      <c r="CI775" s="626"/>
      <c r="CJ775" s="626"/>
      <c r="CK775" s="626"/>
      <c r="CL775" s="626"/>
      <c r="CM775" s="626"/>
      <c r="CN775" s="626"/>
      <c r="CO775" s="965">
        <f t="shared" si="1488"/>
        <v>0</v>
      </c>
      <c r="CP775" s="994"/>
      <c r="CQ775" s="626"/>
      <c r="CR775" s="626"/>
      <c r="CS775" s="626"/>
      <c r="CT775" s="626"/>
      <c r="CU775" s="626"/>
      <c r="CV775" s="626"/>
      <c r="CW775" s="626"/>
      <c r="CX775" s="626"/>
      <c r="CY775" s="626"/>
      <c r="CZ775" s="626"/>
      <c r="DA775" s="626"/>
      <c r="DB775" s="626"/>
      <c r="DC775" s="626"/>
      <c r="DD775" s="626"/>
      <c r="DE775" s="626"/>
      <c r="DF775" s="626"/>
      <c r="DG775" s="1893"/>
      <c r="DH775" s="632"/>
      <c r="DI775" s="595"/>
      <c r="DJ775" s="595"/>
      <c r="DK775" s="595"/>
      <c r="DL775" s="595"/>
      <c r="DM775" s="595"/>
      <c r="DN775" s="514"/>
      <c r="DO775" s="77"/>
      <c r="DY775" s="1759"/>
      <c r="DZ775" s="1759"/>
    </row>
    <row r="776" spans="1:130" ht="12" hidden="1" customHeight="1" outlineLevel="1">
      <c r="A776" s="670" t="s">
        <v>383</v>
      </c>
      <c r="B776" s="837"/>
      <c r="C776" s="837"/>
      <c r="D776" s="2106"/>
      <c r="E776" s="1759"/>
      <c r="F776" s="1759"/>
      <c r="G776" s="1759"/>
      <c r="H776" s="2107"/>
      <c r="I776" s="1759"/>
      <c r="J776" s="1759"/>
      <c r="K776" s="1759"/>
      <c r="L776" s="1759"/>
      <c r="M776" s="2107"/>
      <c r="N776" s="1759"/>
      <c r="O776" s="1759"/>
      <c r="P776" s="1759"/>
      <c r="Q776" s="1759"/>
      <c r="R776" s="2107"/>
      <c r="S776" s="1759"/>
      <c r="T776" s="1759"/>
      <c r="U776" s="1759"/>
      <c r="V776" s="1759"/>
      <c r="W776" s="2107"/>
      <c r="X776" s="1759"/>
      <c r="Y776" s="1759"/>
      <c r="Z776" s="1759"/>
      <c r="AA776" s="1759"/>
      <c r="AB776" s="2107"/>
      <c r="AC776" s="1759"/>
      <c r="AD776" s="1759"/>
      <c r="AE776" s="1759"/>
      <c r="AF776" s="1759"/>
      <c r="AG776" s="2107"/>
      <c r="AH776" s="1759"/>
      <c r="AI776" s="1759"/>
      <c r="AJ776" s="1759"/>
      <c r="AK776" s="1759"/>
      <c r="AL776" s="2107"/>
      <c r="AM776" s="1759"/>
      <c r="AN776" s="2108"/>
      <c r="AO776" s="1759"/>
      <c r="AP776" s="572"/>
      <c r="AQ776" s="571"/>
      <c r="AR776" s="572"/>
      <c r="AS776" s="572"/>
      <c r="AT776" s="572"/>
      <c r="AU776" s="1759"/>
      <c r="AV776" s="571"/>
      <c r="AW776" s="1759"/>
      <c r="AX776" s="2108"/>
      <c r="AY776" s="1759"/>
      <c r="AZ776" s="1759"/>
      <c r="BA776" s="2107"/>
      <c r="BB776" s="1759">
        <f t="shared" ref="BB776:CB776" si="1489">SUM(BB758:BB772)-BB760</f>
        <v>2.9966296666666636</v>
      </c>
      <c r="BC776" s="2070">
        <f t="shared" si="1489"/>
        <v>3.2950409999999977</v>
      </c>
      <c r="BD776" s="1759">
        <f t="shared" si="1489"/>
        <v>2.9109684000000016</v>
      </c>
      <c r="BE776" s="1759">
        <f t="shared" si="1489"/>
        <v>2.8081726499999995</v>
      </c>
      <c r="BF776" s="2107">
        <f t="shared" si="1489"/>
        <v>12.010811716666666</v>
      </c>
      <c r="BG776" s="2106">
        <f t="shared" si="1489"/>
        <v>3.0686686887500016</v>
      </c>
      <c r="BH776" s="1759">
        <f t="shared" si="1489"/>
        <v>3.0686686887500016</v>
      </c>
      <c r="BI776" s="1759">
        <f t="shared" si="1489"/>
        <v>3.0686686887500016</v>
      </c>
      <c r="BJ776" s="1857">
        <f t="shared" si="1489"/>
        <v>3.0686686887500016</v>
      </c>
      <c r="BK776" s="2107">
        <f t="shared" si="1489"/>
        <v>12.274674755000007</v>
      </c>
      <c r="BL776" s="1759">
        <f t="shared" si="1489"/>
        <v>3.8577027733125036</v>
      </c>
      <c r="BM776" s="1759">
        <f t="shared" ref="BM776:BT776" si="1490">SUM(BM758:BM772)-BM760</f>
        <v>3.8577027733125036</v>
      </c>
      <c r="BN776" s="1759">
        <f t="shared" si="1490"/>
        <v>3.8577027733125036</v>
      </c>
      <c r="BO776" s="1857">
        <f t="shared" si="1490"/>
        <v>3.8577027733125036</v>
      </c>
      <c r="BP776" s="2107">
        <f t="shared" si="1490"/>
        <v>15.430811093250014</v>
      </c>
      <c r="BQ776" s="1759">
        <f t="shared" si="1490"/>
        <v>51.812499999999993</v>
      </c>
      <c r="BR776" s="1759">
        <f t="shared" si="1490"/>
        <v>51.812499999999993</v>
      </c>
      <c r="BS776" s="1759">
        <f t="shared" si="1490"/>
        <v>51.812499999999993</v>
      </c>
      <c r="BT776" s="1857">
        <f t="shared" si="1490"/>
        <v>51.812499999999993</v>
      </c>
      <c r="BU776" s="2107">
        <f>SUM(BU758:BU772)-BU760</f>
        <v>207.24999999999997</v>
      </c>
      <c r="BV776" s="1759">
        <f t="shared" ref="BV776:BY776" si="1491">SUM(BV758:BV772)-BV760</f>
        <v>130.39826499999998</v>
      </c>
      <c r="BW776" s="1759">
        <f t="shared" si="1491"/>
        <v>130.39826499999998</v>
      </c>
      <c r="BX776" s="1759">
        <f t="shared" si="1491"/>
        <v>130.39826499999998</v>
      </c>
      <c r="BY776" s="1857">
        <f t="shared" si="1491"/>
        <v>130.39826499999998</v>
      </c>
      <c r="BZ776" s="2107">
        <f>SUM(BZ758:BZ772)-BZ760</f>
        <v>521.59305999999992</v>
      </c>
      <c r="CA776" s="2107">
        <f t="shared" si="1489"/>
        <v>1087.721197619233</v>
      </c>
      <c r="CB776" s="2107">
        <f t="shared" si="1489"/>
        <v>2378.9755746188548</v>
      </c>
      <c r="CC776" s="2107">
        <f>SUM(CC758:CC772)-CC760</f>
        <v>2260.0267958879122</v>
      </c>
      <c r="CD776" s="2107">
        <f>SUM(CD758:CD772)-CD760</f>
        <v>2147.0254560935164</v>
      </c>
      <c r="CE776" s="2107">
        <f>SUM(CE758:CE772)-CE760</f>
        <v>2189.9659652153869</v>
      </c>
      <c r="CF776" s="2107">
        <f>SUM(CF758:CF772)-CF760</f>
        <v>2233.765284519694</v>
      </c>
      <c r="CG776" s="2107">
        <f>SUM(CG758:CG772)-CG760</f>
        <v>2278.4405902100884</v>
      </c>
      <c r="CH776" s="1759"/>
      <c r="CI776" s="1759"/>
      <c r="CJ776" s="1759"/>
      <c r="CK776" s="1759"/>
      <c r="CL776" s="1759"/>
      <c r="CM776" s="965"/>
      <c r="CN776" s="965">
        <f t="shared" ref="CN776:CN777" si="1492">SUM(BV776:BY776)</f>
        <v>521.59305999999992</v>
      </c>
      <c r="CO776" s="965">
        <f t="shared" si="1488"/>
        <v>-521.59305999999992</v>
      </c>
      <c r="CP776" s="1864" t="str">
        <f>A776</f>
        <v>All States ex. NJ</v>
      </c>
      <c r="CQ776" s="1759"/>
      <c r="CR776" s="1759"/>
      <c r="CS776" s="1759"/>
      <c r="CT776" s="1759"/>
      <c r="CU776" s="1759"/>
      <c r="CV776" s="1759"/>
      <c r="CW776" s="1759"/>
      <c r="CX776" s="1759"/>
      <c r="CY776" s="1759"/>
      <c r="CZ776" s="1759">
        <f>BA776</f>
        <v>0</v>
      </c>
      <c r="DA776" s="1759">
        <f>BF776</f>
        <v>12.010811716666666</v>
      </c>
      <c r="DB776" s="1759">
        <f>BK776</f>
        <v>12.274674755000007</v>
      </c>
      <c r="DC776" s="1759">
        <f>BP776</f>
        <v>15.430811093250014</v>
      </c>
      <c r="DD776" s="1759">
        <f>BU776</f>
        <v>207.24999999999997</v>
      </c>
      <c r="DE776" s="1759">
        <f t="shared" ref="DE776:DG777" si="1493">BZ776</f>
        <v>521.59305999999992</v>
      </c>
      <c r="DF776" s="1759">
        <f t="shared" si="1493"/>
        <v>1087.721197619233</v>
      </c>
      <c r="DG776" s="1857">
        <f t="shared" si="1493"/>
        <v>2378.9755746188548</v>
      </c>
      <c r="DH776" s="632"/>
      <c r="DI776" s="838"/>
      <c r="DJ776" s="838"/>
      <c r="DK776" s="838"/>
      <c r="DL776" s="838"/>
      <c r="DM776" s="838"/>
      <c r="DN776" s="632"/>
      <c r="DO776" s="858"/>
      <c r="DY776" s="1759"/>
      <c r="DZ776" s="1759"/>
    </row>
    <row r="777" spans="1:130" ht="12" hidden="1" customHeight="1" outlineLevel="1">
      <c r="A777" s="896" t="s">
        <v>1331</v>
      </c>
      <c r="B777" s="837"/>
      <c r="C777" s="837"/>
      <c r="D777" s="2106"/>
      <c r="E777" s="1759"/>
      <c r="F777" s="1759"/>
      <c r="G777" s="1759"/>
      <c r="H777" s="2107"/>
      <c r="I777" s="1759"/>
      <c r="J777" s="1759"/>
      <c r="K777" s="1759"/>
      <c r="L777" s="1759"/>
      <c r="M777" s="2107"/>
      <c r="N777" s="1759"/>
      <c r="O777" s="1759"/>
      <c r="P777" s="1759"/>
      <c r="Q777" s="1759"/>
      <c r="R777" s="2107"/>
      <c r="S777" s="1759"/>
      <c r="T777" s="1759"/>
      <c r="U777" s="1759"/>
      <c r="V777" s="1759"/>
      <c r="W777" s="2107"/>
      <c r="X777" s="1759"/>
      <c r="Y777" s="1759"/>
      <c r="Z777" s="1759"/>
      <c r="AA777" s="1759"/>
      <c r="AB777" s="2107"/>
      <c r="AC777" s="1759"/>
      <c r="AD777" s="1759"/>
      <c r="AE777" s="1759"/>
      <c r="AF777" s="1759"/>
      <c r="AG777" s="2107"/>
      <c r="AH777" s="1759"/>
      <c r="AI777" s="1759"/>
      <c r="AJ777" s="1759"/>
      <c r="AK777" s="1759"/>
      <c r="AL777" s="2107"/>
      <c r="AM777" s="1759"/>
      <c r="AN777" s="2108"/>
      <c r="AO777" s="1759"/>
      <c r="AP777" s="572"/>
      <c r="AQ777" s="571"/>
      <c r="AR777" s="572"/>
      <c r="AS777" s="572"/>
      <c r="AT777" s="572"/>
      <c r="AU777" s="1759"/>
      <c r="AV777" s="571"/>
      <c r="AW777" s="1759"/>
      <c r="AX777" s="2108"/>
      <c r="AY777" s="1759"/>
      <c r="AZ777" s="1759"/>
      <c r="BA777" s="2107"/>
      <c r="BB777" s="1759">
        <f>+BB761+BB763+BB758+BB766</f>
        <v>2.4780666666666664</v>
      </c>
      <c r="BC777" s="2070">
        <f t="shared" ref="BC777:CB777" si="1494">+BC761+BC763+BC758+BC766</f>
        <v>2.6909999999999998</v>
      </c>
      <c r="BD777" s="1759">
        <f t="shared" si="1494"/>
        <v>2.42</v>
      </c>
      <c r="BE777" s="1759">
        <f t="shared" si="1494"/>
        <v>2.3231999999999999</v>
      </c>
      <c r="BF777" s="2107">
        <f t="shared" si="1494"/>
        <v>9.9122666666666657</v>
      </c>
      <c r="BG777" s="2106">
        <f t="shared" si="1494"/>
        <v>2.6313304412500003</v>
      </c>
      <c r="BH777" s="1759">
        <f t="shared" si="1494"/>
        <v>2.6313304412500003</v>
      </c>
      <c r="BI777" s="1759">
        <f t="shared" si="1494"/>
        <v>2.6313304412500003</v>
      </c>
      <c r="BJ777" s="1857">
        <f t="shared" si="1494"/>
        <v>2.6313304412500003</v>
      </c>
      <c r="BK777" s="2107">
        <f t="shared" si="1494"/>
        <v>10.525321765000001</v>
      </c>
      <c r="BL777" s="1759">
        <f t="shared" si="1494"/>
        <v>3.2891630515625003</v>
      </c>
      <c r="BM777" s="1759">
        <f t="shared" ref="BM777:BT777" si="1495">+BM761+BM763+BM758+BM766</f>
        <v>3.2891630515625003</v>
      </c>
      <c r="BN777" s="1759">
        <f t="shared" si="1495"/>
        <v>3.2891630515625003</v>
      </c>
      <c r="BO777" s="1857">
        <f t="shared" si="1495"/>
        <v>3.2891630515625003</v>
      </c>
      <c r="BP777" s="2107">
        <f t="shared" si="1495"/>
        <v>13.156652206250001</v>
      </c>
      <c r="BQ777" s="1759">
        <f>+BQ761+BQ763+BQ758+BQ766</f>
        <v>42.037500000000001</v>
      </c>
      <c r="BR777" s="1759">
        <f t="shared" si="1495"/>
        <v>42.037500000000001</v>
      </c>
      <c r="BS777" s="1759">
        <f t="shared" si="1495"/>
        <v>42.037500000000001</v>
      </c>
      <c r="BT777" s="1857">
        <f t="shared" si="1495"/>
        <v>42.037500000000001</v>
      </c>
      <c r="BU777" s="2107">
        <f>+BU761+BU763+BU758+BU766</f>
        <v>168.15</v>
      </c>
      <c r="BV777" s="1759">
        <f>+BV761+BV763+BV758+BV766</f>
        <v>97.839404999999999</v>
      </c>
      <c r="BW777" s="1759">
        <f t="shared" ref="BW777:BY777" si="1496">+BW761+BW763+BW758+BW766</f>
        <v>97.839404999999999</v>
      </c>
      <c r="BX777" s="1759">
        <f t="shared" si="1496"/>
        <v>97.839404999999999</v>
      </c>
      <c r="BY777" s="1857">
        <f t="shared" si="1496"/>
        <v>97.839404999999999</v>
      </c>
      <c r="BZ777" s="2107">
        <f>+BZ761+BZ763+BZ758+BZ766</f>
        <v>391.35762</v>
      </c>
      <c r="CA777" s="2107">
        <f t="shared" si="1494"/>
        <v>589.77058911073277</v>
      </c>
      <c r="CB777" s="2107">
        <f t="shared" si="1494"/>
        <v>724.49465408445474</v>
      </c>
      <c r="CC777" s="2107">
        <f>+CC761+CC763+CC758+CC766</f>
        <v>688.26992138023195</v>
      </c>
      <c r="CD777" s="2107">
        <f>+CD761+CD763+CD758+CD766</f>
        <v>653.85642531122028</v>
      </c>
      <c r="CE777" s="2107">
        <f>+CE761+CE763+CE758+CE766</f>
        <v>666.9335538174447</v>
      </c>
      <c r="CF777" s="2107">
        <f>+CF761+CF763+CF758+CF766</f>
        <v>680.27222489379358</v>
      </c>
      <c r="CG777" s="2107">
        <f>+CG761+CG763+CG758+CG766</f>
        <v>693.87766939166943</v>
      </c>
      <c r="CH777" s="1759"/>
      <c r="CI777" s="1759"/>
      <c r="CJ777" s="1759"/>
      <c r="CK777" s="1759"/>
      <c r="CL777" s="1759"/>
      <c r="CM777" s="965"/>
      <c r="CN777" s="965">
        <f t="shared" si="1492"/>
        <v>391.35762</v>
      </c>
      <c r="CO777" s="965">
        <f t="shared" si="1488"/>
        <v>-391.35762</v>
      </c>
      <c r="CP777" s="1864" t="str">
        <f>A777</f>
        <v>Markets ex. NJ where BYD is currently licensed</v>
      </c>
      <c r="CQ777" s="1759"/>
      <c r="CR777" s="1759"/>
      <c r="CS777" s="1759"/>
      <c r="CT777" s="1759"/>
      <c r="CU777" s="1759"/>
      <c r="CV777" s="1759"/>
      <c r="CW777" s="1759"/>
      <c r="CX777" s="1759"/>
      <c r="CY777" s="1759"/>
      <c r="CZ777" s="1759">
        <f>BA777</f>
        <v>0</v>
      </c>
      <c r="DA777" s="1759">
        <f>BF777</f>
        <v>9.9122666666666657</v>
      </c>
      <c r="DB777" s="1759">
        <f>BK777</f>
        <v>10.525321765000001</v>
      </c>
      <c r="DC777" s="1759">
        <f>BP777</f>
        <v>13.156652206250001</v>
      </c>
      <c r="DD777" s="1759">
        <f>BU777</f>
        <v>168.15</v>
      </c>
      <c r="DE777" s="1759">
        <f t="shared" si="1493"/>
        <v>391.35762</v>
      </c>
      <c r="DF777" s="1759">
        <f t="shared" si="1493"/>
        <v>589.77058911073277</v>
      </c>
      <c r="DG777" s="1857">
        <f t="shared" si="1493"/>
        <v>724.49465408445474</v>
      </c>
      <c r="DH777" s="632"/>
      <c r="DI777" s="838"/>
      <c r="DJ777" s="838"/>
      <c r="DK777" s="838"/>
      <c r="DL777" s="838"/>
      <c r="DM777" s="838"/>
      <c r="DN777" s="632"/>
      <c r="DO777" s="858"/>
      <c r="DY777" s="1759"/>
      <c r="DZ777" s="1759"/>
    </row>
    <row r="778" spans="1:130" ht="12" hidden="1" customHeight="1" outlineLevel="1">
      <c r="A778" s="670"/>
      <c r="B778" s="837"/>
      <c r="C778" s="837"/>
      <c r="D778" s="2106"/>
      <c r="E778" s="1759"/>
      <c r="F778" s="1759"/>
      <c r="G778" s="1759"/>
      <c r="H778" s="2107"/>
      <c r="I778" s="1759"/>
      <c r="J778" s="1759"/>
      <c r="K778" s="1759"/>
      <c r="L778" s="1759"/>
      <c r="M778" s="2107"/>
      <c r="N778" s="1759"/>
      <c r="O778" s="1759"/>
      <c r="P778" s="1759"/>
      <c r="Q778" s="1759"/>
      <c r="R778" s="2107"/>
      <c r="S778" s="1759"/>
      <c r="T778" s="1759"/>
      <c r="U778" s="1759"/>
      <c r="V778" s="1759"/>
      <c r="W778" s="2107"/>
      <c r="X778" s="1759"/>
      <c r="Y778" s="1759"/>
      <c r="Z778" s="1759"/>
      <c r="AA778" s="1759"/>
      <c r="AB778" s="2107"/>
      <c r="AC778" s="1759"/>
      <c r="AD778" s="1759"/>
      <c r="AE778" s="1759"/>
      <c r="AF778" s="1759"/>
      <c r="AG778" s="2107"/>
      <c r="AH778" s="1759"/>
      <c r="AI778" s="1759"/>
      <c r="AJ778" s="1759"/>
      <c r="AK778" s="1759"/>
      <c r="AL778" s="2107"/>
      <c r="AM778" s="1759"/>
      <c r="AN778" s="2108"/>
      <c r="AO778" s="1759"/>
      <c r="AP778" s="572"/>
      <c r="AQ778" s="571"/>
      <c r="AR778" s="572"/>
      <c r="AS778" s="572"/>
      <c r="AT778" s="572"/>
      <c r="AU778" s="1759"/>
      <c r="AV778" s="571"/>
      <c r="AW778" s="1759"/>
      <c r="AX778" s="2108"/>
      <c r="AY778" s="1759"/>
      <c r="AZ778" s="1759"/>
      <c r="BA778" s="2107"/>
      <c r="BB778" s="1759"/>
      <c r="BC778" s="2108"/>
      <c r="BD778" s="1759"/>
      <c r="BE778" s="1759"/>
      <c r="BF778" s="2107"/>
      <c r="BG778" s="2106"/>
      <c r="BH778" s="1759"/>
      <c r="BI778" s="1759"/>
      <c r="BJ778" s="1857"/>
      <c r="BK778" s="2107"/>
      <c r="BL778" s="1759"/>
      <c r="BM778" s="1759"/>
      <c r="BN778" s="1759"/>
      <c r="BO778" s="1857"/>
      <c r="BP778" s="2107"/>
      <c r="BQ778" s="1759"/>
      <c r="BR778" s="1759"/>
      <c r="BS778" s="1759"/>
      <c r="BT778" s="1857"/>
      <c r="BU778" s="2107"/>
      <c r="BV778" s="1759"/>
      <c r="BW778" s="1759"/>
      <c r="BX778" s="1759"/>
      <c r="BY778" s="1857"/>
      <c r="BZ778" s="2107"/>
      <c r="CA778" s="571"/>
      <c r="CB778" s="571"/>
      <c r="CC778" s="571"/>
      <c r="CD778" s="571"/>
      <c r="CE778" s="571"/>
      <c r="CF778" s="571"/>
      <c r="CG778" s="571"/>
      <c r="CH778" s="1759"/>
      <c r="CI778" s="1759"/>
      <c r="CJ778" s="1759"/>
      <c r="CK778" s="1759"/>
      <c r="CL778" s="1759"/>
      <c r="CM778" s="1759"/>
      <c r="CN778" s="1759"/>
      <c r="CO778" s="1759"/>
      <c r="CP778" s="1864"/>
      <c r="CQ778" s="1759"/>
      <c r="CR778" s="1759"/>
      <c r="CS778" s="1759"/>
      <c r="CT778" s="1759"/>
      <c r="CU778" s="1759"/>
      <c r="CV778" s="1759"/>
      <c r="CW778" s="1759"/>
      <c r="CX778" s="1759"/>
      <c r="CY778" s="1759"/>
      <c r="CZ778" s="1759"/>
      <c r="DA778" s="1759"/>
      <c r="DB778" s="1759"/>
      <c r="DC778" s="1759"/>
      <c r="DD778" s="1759"/>
      <c r="DE778" s="1759"/>
      <c r="DF778" s="1759"/>
      <c r="DG778" s="1857"/>
      <c r="DH778" s="632"/>
      <c r="DI778" s="838"/>
      <c r="DJ778" s="838"/>
      <c r="DK778" s="838"/>
      <c r="DL778" s="838"/>
      <c r="DM778" s="838"/>
      <c r="DN778" s="632"/>
      <c r="DO778" s="858"/>
      <c r="DY778" s="1759"/>
      <c r="DZ778" s="1759"/>
    </row>
    <row r="779" spans="1:130" ht="12" hidden="1" customHeight="1" outlineLevel="1">
      <c r="A779" s="708" t="s">
        <v>1809</v>
      </c>
      <c r="B779" s="228"/>
      <c r="C779" s="228"/>
      <c r="D779" s="625"/>
      <c r="E779" s="626"/>
      <c r="F779" s="626"/>
      <c r="G779" s="626"/>
      <c r="H779" s="788"/>
      <c r="I779" s="626"/>
      <c r="J779" s="626"/>
      <c r="K779" s="626"/>
      <c r="L779" s="626"/>
      <c r="M779" s="788"/>
      <c r="N779" s="626"/>
      <c r="O779" s="626"/>
      <c r="P779" s="626"/>
      <c r="Q779" s="626"/>
      <c r="R779" s="788"/>
      <c r="S779" s="626"/>
      <c r="T779" s="626"/>
      <c r="U779" s="626"/>
      <c r="V779" s="626"/>
      <c r="W779" s="788"/>
      <c r="X779" s="626"/>
      <c r="Y779" s="626"/>
      <c r="Z779" s="626"/>
      <c r="AA779" s="626"/>
      <c r="AB779" s="788"/>
      <c r="AC779" s="626"/>
      <c r="AD779" s="626"/>
      <c r="AE779" s="626"/>
      <c r="AF779" s="626"/>
      <c r="AG779" s="788"/>
      <c r="AH779" s="626"/>
      <c r="AI779" s="626"/>
      <c r="AJ779" s="626"/>
      <c r="AK779" s="626"/>
      <c r="AL779" s="788"/>
      <c r="AM779" s="626"/>
      <c r="AN779" s="261"/>
      <c r="AO779" s="626"/>
      <c r="AP779" s="330"/>
      <c r="AQ779" s="1439"/>
      <c r="AR779" s="330"/>
      <c r="AS779" s="330"/>
      <c r="AT779" s="330"/>
      <c r="AU779" s="626"/>
      <c r="AV779" s="1951"/>
      <c r="AW779" s="626"/>
      <c r="AX779" s="261"/>
      <c r="AY779" s="626"/>
      <c r="AZ779" s="626"/>
      <c r="BA779" s="1439"/>
      <c r="BB779" s="626"/>
      <c r="BC779" s="261"/>
      <c r="BD779" s="626"/>
      <c r="BE779" s="626"/>
      <c r="BF779" s="1439"/>
      <c r="BG779" s="678"/>
      <c r="BH779" s="330"/>
      <c r="BI779" s="330"/>
      <c r="BJ779" s="2136"/>
      <c r="BK779" s="1439"/>
      <c r="BL779" s="330"/>
      <c r="BM779" s="330"/>
      <c r="BN779" s="330"/>
      <c r="BO779" s="2136"/>
      <c r="BP779" s="1439"/>
      <c r="BQ779" s="330"/>
      <c r="BR779" s="330"/>
      <c r="BS779" s="330"/>
      <c r="BT779" s="2136"/>
      <c r="BU779" s="1439"/>
      <c r="BV779" s="330"/>
      <c r="BW779" s="330"/>
      <c r="BX779" s="330"/>
      <c r="BY779" s="2136"/>
      <c r="BZ779" s="1439"/>
      <c r="CA779" s="1439"/>
      <c r="CB779" s="1439"/>
      <c r="CC779" s="1439"/>
      <c r="CD779" s="1439"/>
      <c r="CE779" s="1439"/>
      <c r="CF779" s="1439"/>
      <c r="CG779" s="1439"/>
      <c r="CH779" s="626"/>
      <c r="CI779" s="626"/>
      <c r="CJ779" s="626"/>
      <c r="CK779" s="626"/>
      <c r="CL779" s="626"/>
      <c r="CM779" s="626"/>
      <c r="CN779" s="626"/>
      <c r="CO779" s="626"/>
      <c r="CP779" s="994"/>
      <c r="CQ779" s="626"/>
      <c r="CR779" s="626"/>
      <c r="CS779" s="626"/>
      <c r="CT779" s="626"/>
      <c r="CU779" s="626"/>
      <c r="CV779" s="626"/>
      <c r="CW779" s="626"/>
      <c r="CX779" s="626"/>
      <c r="CY779" s="626"/>
      <c r="CZ779" s="626"/>
      <c r="DA779" s="626"/>
      <c r="DB779" s="626"/>
      <c r="DC779" s="626"/>
      <c r="DD779" s="626"/>
      <c r="DE779" s="626"/>
      <c r="DF779" s="626"/>
      <c r="DG779" s="1893"/>
      <c r="DH779" s="632"/>
      <c r="DI779" s="595"/>
      <c r="DJ779" s="595"/>
      <c r="DK779" s="595"/>
      <c r="DL779" s="595"/>
      <c r="DM779" s="595"/>
      <c r="DN779" s="514"/>
      <c r="DO779" s="77"/>
      <c r="DY779" s="330"/>
      <c r="DZ779" s="330"/>
    </row>
    <row r="780" spans="1:130" ht="12" hidden="1" customHeight="1" outlineLevel="1">
      <c r="A780" s="2502" t="s">
        <v>1397</v>
      </c>
      <c r="B780" s="837"/>
      <c r="C780" s="837"/>
      <c r="D780" s="2106"/>
      <c r="E780" s="1759"/>
      <c r="F780" s="1759"/>
      <c r="G780" s="1759"/>
      <c r="H780" s="2107"/>
      <c r="I780" s="1759"/>
      <c r="J780" s="1759"/>
      <c r="K780" s="1759"/>
      <c r="L780" s="1759"/>
      <c r="M780" s="2107"/>
      <c r="N780" s="1759"/>
      <c r="O780" s="1759"/>
      <c r="P780" s="1759"/>
      <c r="Q780" s="1759"/>
      <c r="R780" s="2107"/>
      <c r="S780" s="1759"/>
      <c r="T780" s="1759"/>
      <c r="U780" s="1759"/>
      <c r="V780" s="1759"/>
      <c r="W780" s="2107"/>
      <c r="X780" s="1759"/>
      <c r="Y780" s="1759"/>
      <c r="Z780" s="1759"/>
      <c r="AA780" s="1759"/>
      <c r="AB780" s="2107"/>
      <c r="AC780" s="1759"/>
      <c r="AD780" s="1759"/>
      <c r="AE780" s="1759"/>
      <c r="AF780" s="1759"/>
      <c r="AG780" s="2107"/>
      <c r="AH780" s="1759"/>
      <c r="AI780" s="1759"/>
      <c r="AJ780" s="1759"/>
      <c r="AK780" s="1759"/>
      <c r="AL780" s="2107"/>
      <c r="AM780" s="1759"/>
      <c r="AN780" s="2108"/>
      <c r="AO780" s="1759"/>
      <c r="AP780" s="572"/>
      <c r="AQ780" s="571"/>
      <c r="AR780" s="572"/>
      <c r="AS780" s="572"/>
      <c r="AT780" s="572"/>
      <c r="AU780" s="1759"/>
      <c r="AV780" s="571"/>
      <c r="AW780" s="1759"/>
      <c r="AX780" s="2108"/>
      <c r="AY780" s="1759"/>
      <c r="AZ780" s="1759"/>
      <c r="BA780" s="2107"/>
      <c r="BB780" s="2498">
        <f t="shared" ref="BB780:CB780" si="1497">+BB760</f>
        <v>31.646516999999996</v>
      </c>
      <c r="BC780" s="2498">
        <f t="shared" si="1497"/>
        <v>31.404248000000003</v>
      </c>
      <c r="BD780" s="2498">
        <f t="shared" si="1497"/>
        <v>30.86609</v>
      </c>
      <c r="BE780" s="2498">
        <f t="shared" si="1497"/>
        <v>28.959947</v>
      </c>
      <c r="BF780" s="2499">
        <f t="shared" si="1497"/>
        <v>122.876802</v>
      </c>
      <c r="BG780" s="2909">
        <f t="shared" si="1497"/>
        <v>35.137326999999999</v>
      </c>
      <c r="BH780" s="2498">
        <f t="shared" si="1497"/>
        <v>36.836891999999999</v>
      </c>
      <c r="BI780" s="2498">
        <f t="shared" si="1497"/>
        <v>36.775182999999998</v>
      </c>
      <c r="BJ780" s="2910">
        <f t="shared" si="1497"/>
        <v>40.130777999999999</v>
      </c>
      <c r="BK780" s="2499">
        <f t="shared" si="1497"/>
        <v>148.88018</v>
      </c>
      <c r="BL780" s="2498">
        <f t="shared" si="1497"/>
        <v>44.887152</v>
      </c>
      <c r="BM780" s="2498">
        <f t="shared" ref="BM780:BY780" si="1498">+BM760</f>
        <v>43.963934105</v>
      </c>
      <c r="BN780" s="2498">
        <f t="shared" si="1498"/>
        <v>43.963934105</v>
      </c>
      <c r="BO780" s="2910">
        <f t="shared" si="1498"/>
        <v>43.963934105</v>
      </c>
      <c r="BP780" s="2499">
        <f t="shared" si="1498"/>
        <v>175.85573642</v>
      </c>
      <c r="BQ780" s="2498">
        <f t="shared" si="1498"/>
        <v>50.725000000000001</v>
      </c>
      <c r="BR780" s="2498">
        <f t="shared" si="1498"/>
        <v>50.725000000000001</v>
      </c>
      <c r="BS780" s="2498">
        <f t="shared" si="1498"/>
        <v>50.725000000000001</v>
      </c>
      <c r="BT780" s="2910">
        <f t="shared" si="1498"/>
        <v>50.725000000000001</v>
      </c>
      <c r="BU780" s="2499">
        <f>+BU760</f>
        <v>202.9</v>
      </c>
      <c r="BV780" s="2498">
        <f t="shared" si="1498"/>
        <v>60.873249999999999</v>
      </c>
      <c r="BW780" s="2498">
        <f t="shared" si="1498"/>
        <v>60.873249999999999</v>
      </c>
      <c r="BX780" s="2498">
        <f t="shared" si="1498"/>
        <v>60.873249999999999</v>
      </c>
      <c r="BY780" s="2910">
        <f t="shared" si="1498"/>
        <v>60.873249999999999</v>
      </c>
      <c r="BZ780" s="2499">
        <f>+BZ760</f>
        <v>243.49299999999999</v>
      </c>
      <c r="CA780" s="2499">
        <f t="shared" si="1497"/>
        <v>270.54728679999999</v>
      </c>
      <c r="CB780" s="2499">
        <f t="shared" si="1497"/>
        <v>278.66370540399998</v>
      </c>
      <c r="CC780" s="2499">
        <f>+CC760</f>
        <v>264.73052013379998</v>
      </c>
      <c r="CD780" s="2499">
        <f>+CD760</f>
        <v>251.49399412710997</v>
      </c>
      <c r="CE780" s="2499">
        <f>+CE760</f>
        <v>256.52387400965216</v>
      </c>
      <c r="CF780" s="2499">
        <f>+CF760</f>
        <v>261.65435148984523</v>
      </c>
      <c r="CG780" s="2499">
        <f>+CG760</f>
        <v>266.88743851964216</v>
      </c>
      <c r="CH780" s="1759"/>
      <c r="CI780" s="1759"/>
      <c r="CJ780" s="1759"/>
      <c r="CK780" s="1759"/>
      <c r="CL780" s="1759"/>
      <c r="CM780" s="965"/>
      <c r="CN780" s="965">
        <f t="shared" ref="CN780" si="1499">SUM(BV780:BY780)</f>
        <v>243.49299999999999</v>
      </c>
      <c r="CO780" s="965">
        <f t="shared" ref="CO780" si="1500">CM780-CN780</f>
        <v>-243.49299999999999</v>
      </c>
      <c r="CP780" s="1864" t="str">
        <f>A780</f>
        <v>Addressable Market</v>
      </c>
      <c r="CQ780" s="1759"/>
      <c r="CR780" s="1759"/>
      <c r="CS780" s="1759"/>
      <c r="CT780" s="1759"/>
      <c r="CU780" s="1759"/>
      <c r="CV780" s="1759"/>
      <c r="CW780" s="1759"/>
      <c r="CX780" s="1759"/>
      <c r="CY780" s="1759"/>
      <c r="CZ780" s="1759">
        <f>BA780</f>
        <v>0</v>
      </c>
      <c r="DA780" s="1759">
        <f>BF780</f>
        <v>122.876802</v>
      </c>
      <c r="DB780" s="1759">
        <f>BK780</f>
        <v>148.88018</v>
      </c>
      <c r="DC780" s="1759">
        <f>BP780</f>
        <v>175.85573642</v>
      </c>
      <c r="DD780" s="1759">
        <f>BU780</f>
        <v>202.9</v>
      </c>
      <c r="DE780" s="1759">
        <f>BZ780</f>
        <v>243.49299999999999</v>
      </c>
      <c r="DF780" s="1759">
        <f>CA780</f>
        <v>270.54728679999999</v>
      </c>
      <c r="DG780" s="1857">
        <f>CB780</f>
        <v>278.66370540399998</v>
      </c>
      <c r="DH780" s="632"/>
      <c r="DI780" s="838"/>
      <c r="DJ780" s="838"/>
      <c r="DK780" s="838"/>
      <c r="DL780" s="838"/>
      <c r="DM780" s="838"/>
      <c r="DN780" s="632"/>
      <c r="DO780" s="858"/>
      <c r="DY780" s="2498"/>
      <c r="DZ780" s="2498"/>
    </row>
    <row r="781" spans="1:130" ht="12" hidden="1" customHeight="1" outlineLevel="1">
      <c r="A781" s="708"/>
      <c r="B781" s="228"/>
      <c r="C781" s="228"/>
      <c r="D781" s="625"/>
      <c r="E781" s="626"/>
      <c r="F781" s="626"/>
      <c r="G781" s="626"/>
      <c r="H781" s="788"/>
      <c r="I781" s="626"/>
      <c r="J781" s="626"/>
      <c r="K781" s="626"/>
      <c r="L781" s="626"/>
      <c r="M781" s="788"/>
      <c r="N781" s="626"/>
      <c r="O781" s="626"/>
      <c r="P781" s="626"/>
      <c r="Q781" s="626"/>
      <c r="R781" s="788"/>
      <c r="S781" s="626"/>
      <c r="T781" s="626"/>
      <c r="U781" s="626"/>
      <c r="V781" s="626"/>
      <c r="W781" s="788"/>
      <c r="X781" s="626"/>
      <c r="Y781" s="626"/>
      <c r="Z781" s="626"/>
      <c r="AA781" s="626"/>
      <c r="AB781" s="788"/>
      <c r="AC781" s="626"/>
      <c r="AD781" s="626"/>
      <c r="AE781" s="626"/>
      <c r="AF781" s="626"/>
      <c r="AG781" s="788"/>
      <c r="AH781" s="626"/>
      <c r="AI781" s="626"/>
      <c r="AJ781" s="626"/>
      <c r="AK781" s="626"/>
      <c r="AL781" s="788"/>
      <c r="AM781" s="626"/>
      <c r="AN781" s="261"/>
      <c r="AO781" s="626"/>
      <c r="AP781" s="330"/>
      <c r="AQ781" s="1439"/>
      <c r="AR781" s="330"/>
      <c r="AS781" s="330"/>
      <c r="AT781" s="330"/>
      <c r="AU781" s="626"/>
      <c r="AV781" s="1951"/>
      <c r="AW781" s="626"/>
      <c r="AX781" s="261"/>
      <c r="AY781" s="626"/>
      <c r="AZ781" s="626"/>
      <c r="BA781" s="1439"/>
      <c r="BB781" s="626"/>
      <c r="BC781" s="261"/>
      <c r="BD781" s="626"/>
      <c r="BE781" s="626"/>
      <c r="BF781" s="1439"/>
      <c r="BG781" s="678"/>
      <c r="BH781" s="330"/>
      <c r="BI781" s="330"/>
      <c r="BJ781" s="2136"/>
      <c r="BK781" s="1439"/>
      <c r="BL781" s="330"/>
      <c r="BM781" s="330"/>
      <c r="BN781" s="330"/>
      <c r="BO781" s="2136"/>
      <c r="BP781" s="1439"/>
      <c r="BQ781" s="330"/>
      <c r="BR781" s="330"/>
      <c r="BS781" s="330"/>
      <c r="BT781" s="2136"/>
      <c r="BU781" s="1439"/>
      <c r="BV781" s="330"/>
      <c r="BW781" s="330"/>
      <c r="BX781" s="330"/>
      <c r="BY781" s="2136"/>
      <c r="BZ781" s="1439"/>
      <c r="CA781" s="1439"/>
      <c r="CB781" s="1439"/>
      <c r="CC781" s="1439"/>
      <c r="CD781" s="1439"/>
      <c r="CE781" s="1439"/>
      <c r="CF781" s="1439"/>
      <c r="CG781" s="1439"/>
      <c r="CH781" s="626"/>
      <c r="CI781" s="626"/>
      <c r="CJ781" s="626"/>
      <c r="CK781" s="626"/>
      <c r="CL781" s="626"/>
      <c r="CM781" s="626"/>
      <c r="CN781" s="626"/>
      <c r="CO781" s="626"/>
      <c r="CP781" s="994"/>
      <c r="CQ781" s="626"/>
      <c r="CR781" s="626"/>
      <c r="CS781" s="626"/>
      <c r="CT781" s="626"/>
      <c r="CU781" s="626"/>
      <c r="CV781" s="626"/>
      <c r="CW781" s="626"/>
      <c r="CX781" s="626"/>
      <c r="CY781" s="626"/>
      <c r="CZ781" s="626"/>
      <c r="DA781" s="626"/>
      <c r="DB781" s="626"/>
      <c r="DC781" s="626"/>
      <c r="DD781" s="626"/>
      <c r="DE781" s="626"/>
      <c r="DF781" s="626"/>
      <c r="DG781" s="1893"/>
      <c r="DH781" s="632"/>
      <c r="DI781" s="595"/>
      <c r="DJ781" s="595"/>
      <c r="DK781" s="595"/>
      <c r="DL781" s="595"/>
      <c r="DM781" s="595"/>
      <c r="DN781" s="514"/>
      <c r="DO781" s="77"/>
      <c r="DY781" s="330"/>
      <c r="DZ781" s="330"/>
    </row>
    <row r="782" spans="1:130" ht="12" hidden="1" customHeight="1" outlineLevel="1">
      <c r="A782" s="2113" t="s">
        <v>29</v>
      </c>
      <c r="B782" s="2113"/>
      <c r="C782" s="2113"/>
      <c r="D782" s="2114"/>
      <c r="E782" s="806"/>
      <c r="F782" s="806"/>
      <c r="G782" s="806"/>
      <c r="H782" s="805"/>
      <c r="I782" s="806"/>
      <c r="J782" s="806"/>
      <c r="K782" s="806"/>
      <c r="L782" s="806"/>
      <c r="M782" s="805"/>
      <c r="N782" s="806"/>
      <c r="O782" s="806"/>
      <c r="P782" s="806"/>
      <c r="Q782" s="806"/>
      <c r="R782" s="805"/>
      <c r="S782" s="806"/>
      <c r="T782" s="806"/>
      <c r="U782" s="806"/>
      <c r="V782" s="806"/>
      <c r="W782" s="805"/>
      <c r="X782" s="806"/>
      <c r="Y782" s="806"/>
      <c r="Z782" s="806"/>
      <c r="AA782" s="806"/>
      <c r="AB782" s="805"/>
      <c r="AC782" s="806"/>
      <c r="AD782" s="806"/>
      <c r="AE782" s="806"/>
      <c r="AF782" s="806"/>
      <c r="AG782" s="805"/>
      <c r="AH782" s="806"/>
      <c r="AI782" s="806"/>
      <c r="AJ782" s="806"/>
      <c r="AK782" s="806"/>
      <c r="AL782" s="805"/>
      <c r="AM782" s="806"/>
      <c r="AN782" s="1724"/>
      <c r="AO782" s="806"/>
      <c r="AP782" s="800"/>
      <c r="AQ782" s="2077"/>
      <c r="AR782" s="800"/>
      <c r="AS782" s="800"/>
      <c r="AT782" s="800"/>
      <c r="AU782" s="806"/>
      <c r="AV782" s="2077"/>
      <c r="AW782" s="806"/>
      <c r="AX782" s="1724"/>
      <c r="AY782" s="806"/>
      <c r="AZ782" s="806"/>
      <c r="BA782" s="2077"/>
      <c r="BB782" s="2719">
        <f>+BB787/BB780</f>
        <v>0.28439148611520193</v>
      </c>
      <c r="BC782" s="2719">
        <f>+BC787/BC780</f>
        <v>0.29613828040079165</v>
      </c>
      <c r="BD782" s="800">
        <v>0.26</v>
      </c>
      <c r="BE782" s="800">
        <v>0.27</v>
      </c>
      <c r="BF782" s="805">
        <f>+BF787/BF780</f>
        <v>0.27787481879614673</v>
      </c>
      <c r="BG782" s="3107">
        <v>0.26</v>
      </c>
      <c r="BH782" s="3180">
        <v>0.25</v>
      </c>
      <c r="BI782" s="3180">
        <v>0.25</v>
      </c>
      <c r="BJ782" s="3181">
        <v>0.25</v>
      </c>
      <c r="BK782" s="805">
        <f>+BK787/BK780</f>
        <v>0.25236010777257251</v>
      </c>
      <c r="BL782" s="3107">
        <v>0.2</v>
      </c>
      <c r="BM782" s="2911">
        <f t="shared" ref="BM782:BO783" si="1501">+BL782</f>
        <v>0.2</v>
      </c>
      <c r="BN782" s="2911">
        <f t="shared" si="1501"/>
        <v>0.2</v>
      </c>
      <c r="BO782" s="2911">
        <f t="shared" si="1501"/>
        <v>0.2</v>
      </c>
      <c r="BP782" s="805">
        <f>+BP787/BP780</f>
        <v>0.20104997188467605</v>
      </c>
      <c r="BQ782" s="2911">
        <f>+BP782</f>
        <v>0.20104997188467605</v>
      </c>
      <c r="BR782" s="2911">
        <f t="shared" ref="BR782:BR783" si="1502">+BQ782</f>
        <v>0.20104997188467605</v>
      </c>
      <c r="BS782" s="2911">
        <f>+BR782</f>
        <v>0.20104997188467605</v>
      </c>
      <c r="BT782" s="2911">
        <f>+BS782</f>
        <v>0.20104997188467605</v>
      </c>
      <c r="BU782" s="805">
        <f>+BU787/BU780</f>
        <v>0.20104997188467608</v>
      </c>
      <c r="BV782" s="2911">
        <f t="shared" ref="BV782:BY783" si="1503">BU782</f>
        <v>0.20104997188467608</v>
      </c>
      <c r="BW782" s="2911">
        <f t="shared" si="1503"/>
        <v>0.20104997188467608</v>
      </c>
      <c r="BX782" s="2911">
        <f t="shared" si="1503"/>
        <v>0.20104997188467608</v>
      </c>
      <c r="BY782" s="2911">
        <f t="shared" si="1503"/>
        <v>0.20104997188467608</v>
      </c>
      <c r="BZ782" s="805">
        <f>+BZ787/BZ780</f>
        <v>0.20104997188467608</v>
      </c>
      <c r="CA782" s="2115">
        <f t="shared" ref="CA782:CB783" si="1504">+BZ782</f>
        <v>0.20104997188467608</v>
      </c>
      <c r="CB782" s="2115">
        <f t="shared" si="1504"/>
        <v>0.20104997188467608</v>
      </c>
      <c r="CC782" s="2115">
        <f t="shared" ref="CC782:CG783" si="1505">+CB782</f>
        <v>0.20104997188467608</v>
      </c>
      <c r="CD782" s="2115">
        <f t="shared" si="1505"/>
        <v>0.20104997188467608</v>
      </c>
      <c r="CE782" s="2115">
        <f t="shared" si="1505"/>
        <v>0.20104997188467608</v>
      </c>
      <c r="CF782" s="2115">
        <f t="shared" si="1505"/>
        <v>0.20104997188467608</v>
      </c>
      <c r="CG782" s="2115">
        <f t="shared" si="1505"/>
        <v>0.20104997188467608</v>
      </c>
      <c r="CH782" s="806"/>
      <c r="CI782" s="806"/>
      <c r="CJ782" s="806"/>
      <c r="CK782" s="806"/>
      <c r="CL782" s="806"/>
      <c r="CM782" s="806"/>
      <c r="CN782" s="806"/>
      <c r="CO782" s="806"/>
      <c r="CP782" s="2111" t="str">
        <f>A782</f>
        <v>Borgata Share</v>
      </c>
      <c r="CQ782" s="806"/>
      <c r="CR782" s="806"/>
      <c r="CS782" s="806"/>
      <c r="CT782" s="806"/>
      <c r="CU782" s="806"/>
      <c r="CV782" s="806"/>
      <c r="CW782" s="806"/>
      <c r="CX782" s="806"/>
      <c r="CY782" s="806"/>
      <c r="CZ782" s="806">
        <f>BA782</f>
        <v>0</v>
      </c>
      <c r="DA782" s="806">
        <f>BF782</f>
        <v>0.27787481879614673</v>
      </c>
      <c r="DB782" s="806">
        <f>BK782</f>
        <v>0.25236010777257251</v>
      </c>
      <c r="DC782" s="806">
        <f>BP782</f>
        <v>0.20104997188467605</v>
      </c>
      <c r="DD782" s="806">
        <f>BU782</f>
        <v>0.20104997188467608</v>
      </c>
      <c r="DE782" s="806">
        <f t="shared" ref="DE782:DG783" si="1506">BZ782</f>
        <v>0.20104997188467608</v>
      </c>
      <c r="DF782" s="806">
        <f t="shared" si="1506"/>
        <v>0.20104997188467608</v>
      </c>
      <c r="DG782" s="2112">
        <f t="shared" si="1506"/>
        <v>0.20104997188467608</v>
      </c>
      <c r="DH782" s="782"/>
      <c r="DI782" s="781"/>
      <c r="DJ782" s="781"/>
      <c r="DK782" s="781"/>
      <c r="DL782" s="781"/>
      <c r="DM782" s="781"/>
      <c r="DN782" s="782"/>
      <c r="DO782" s="855"/>
      <c r="DY782" s="806"/>
      <c r="DZ782" s="806"/>
    </row>
    <row r="783" spans="1:130" ht="12" hidden="1" customHeight="1" outlineLevel="1">
      <c r="A783" s="2113" t="s">
        <v>1633</v>
      </c>
      <c r="B783" s="2113"/>
      <c r="C783" s="2113"/>
      <c r="D783" s="2114"/>
      <c r="E783" s="806"/>
      <c r="F783" s="806"/>
      <c r="G783" s="806"/>
      <c r="H783" s="805"/>
      <c r="I783" s="806"/>
      <c r="J783" s="806"/>
      <c r="K783" s="806"/>
      <c r="L783" s="806"/>
      <c r="M783" s="805"/>
      <c r="N783" s="806"/>
      <c r="O783" s="806"/>
      <c r="P783" s="806"/>
      <c r="Q783" s="806"/>
      <c r="R783" s="805"/>
      <c r="S783" s="806"/>
      <c r="T783" s="806"/>
      <c r="U783" s="806"/>
      <c r="V783" s="806"/>
      <c r="W783" s="805"/>
      <c r="X783" s="806"/>
      <c r="Y783" s="806"/>
      <c r="Z783" s="806"/>
      <c r="AA783" s="806"/>
      <c r="AB783" s="805"/>
      <c r="AC783" s="806"/>
      <c r="AD783" s="806"/>
      <c r="AE783" s="806"/>
      <c r="AF783" s="806"/>
      <c r="AG783" s="805"/>
      <c r="AH783" s="806"/>
      <c r="AI783" s="806"/>
      <c r="AJ783" s="806"/>
      <c r="AK783" s="806"/>
      <c r="AL783" s="805"/>
      <c r="AM783" s="806"/>
      <c r="AN783" s="1724"/>
      <c r="AO783" s="806"/>
      <c r="AP783" s="800"/>
      <c r="AQ783" s="2077"/>
      <c r="AR783" s="800"/>
      <c r="AS783" s="800"/>
      <c r="AT783" s="800"/>
      <c r="AU783" s="806"/>
      <c r="AV783" s="2077"/>
      <c r="AW783" s="806"/>
      <c r="AX783" s="1724"/>
      <c r="AY783" s="806"/>
      <c r="AZ783" s="806"/>
      <c r="BA783" s="2077"/>
      <c r="BB783" s="2719">
        <f>+BB788/BB780</f>
        <v>0.10647923750977083</v>
      </c>
      <c r="BC783" s="2719">
        <f>+BC788/BC780</f>
        <v>7.3320271830740774E-2</v>
      </c>
      <c r="BD783" s="3179">
        <f>+BD785-BD782</f>
        <v>6.7708951797911532E-2</v>
      </c>
      <c r="BE783" s="3179">
        <f>+BE785-BE782</f>
        <v>8.2400921175719011E-2</v>
      </c>
      <c r="BF783" s="805">
        <f>+BF788/BF780</f>
        <v>8.2590869430342079E-2</v>
      </c>
      <c r="BG783" s="3179">
        <f>+BG785-BG782</f>
        <v>7.3346244579162223E-2</v>
      </c>
      <c r="BH783" s="3179">
        <f>+BH785-BH782</f>
        <v>6.2147425466839046E-2</v>
      </c>
      <c r="BI783" s="3179">
        <f>+BI785-BI782</f>
        <v>4.6144032784282807E-2</v>
      </c>
      <c r="BJ783" s="3179">
        <f>+BJ785-BJ782</f>
        <v>3.8185267676594747E-2</v>
      </c>
      <c r="BK783" s="805">
        <f>+BK788/BK780</f>
        <v>5.4378418470477412E-2</v>
      </c>
      <c r="BL783" s="3179">
        <f>+BL785-BL782</f>
        <v>9.0344885324869839E-2</v>
      </c>
      <c r="BM783" s="2911">
        <f t="shared" si="1501"/>
        <v>9.0344885324869839E-2</v>
      </c>
      <c r="BN783" s="2911">
        <f t="shared" si="1501"/>
        <v>9.0344885324869839E-2</v>
      </c>
      <c r="BO783" s="2911">
        <f t="shared" si="1501"/>
        <v>9.0344885324869839E-2</v>
      </c>
      <c r="BP783" s="805">
        <f>+BP788/BP780</f>
        <v>9.0819183272446813E-2</v>
      </c>
      <c r="BQ783" s="2911">
        <f>+BP783</f>
        <v>9.0819183272446813E-2</v>
      </c>
      <c r="BR783" s="2911">
        <f t="shared" si="1502"/>
        <v>9.0819183272446813E-2</v>
      </c>
      <c r="BS783" s="2911">
        <f>+BR783</f>
        <v>9.0819183272446813E-2</v>
      </c>
      <c r="BT783" s="2911">
        <f>+BS783</f>
        <v>9.0819183272446813E-2</v>
      </c>
      <c r="BU783" s="805">
        <f>+BU788/BU780</f>
        <v>9.0819183272446813E-2</v>
      </c>
      <c r="BV783" s="2911">
        <f t="shared" si="1503"/>
        <v>9.0819183272446813E-2</v>
      </c>
      <c r="BW783" s="2911">
        <f t="shared" si="1503"/>
        <v>9.0819183272446813E-2</v>
      </c>
      <c r="BX783" s="2911">
        <f t="shared" si="1503"/>
        <v>9.0819183272446813E-2</v>
      </c>
      <c r="BY783" s="2911">
        <f t="shared" si="1503"/>
        <v>9.0819183272446813E-2</v>
      </c>
      <c r="BZ783" s="805">
        <f>+BZ788/BZ780</f>
        <v>9.0819183272446813E-2</v>
      </c>
      <c r="CA783" s="2115">
        <f t="shared" si="1504"/>
        <v>9.0819183272446813E-2</v>
      </c>
      <c r="CB783" s="2115">
        <f t="shared" si="1504"/>
        <v>9.0819183272446813E-2</v>
      </c>
      <c r="CC783" s="2115">
        <f t="shared" si="1505"/>
        <v>9.0819183272446813E-2</v>
      </c>
      <c r="CD783" s="2115">
        <f t="shared" si="1505"/>
        <v>9.0819183272446813E-2</v>
      </c>
      <c r="CE783" s="2115">
        <f t="shared" si="1505"/>
        <v>9.0819183272446813E-2</v>
      </c>
      <c r="CF783" s="2115">
        <f t="shared" si="1505"/>
        <v>9.0819183272446813E-2</v>
      </c>
      <c r="CG783" s="2115">
        <f t="shared" si="1505"/>
        <v>9.0819183272446813E-2</v>
      </c>
      <c r="CH783" s="806"/>
      <c r="CI783" s="806"/>
      <c r="CJ783" s="806"/>
      <c r="CK783" s="806"/>
      <c r="CL783" s="806"/>
      <c r="CM783" s="806"/>
      <c r="CN783" s="806"/>
      <c r="CO783" s="806"/>
      <c r="CP783" s="2111" t="str">
        <f>A783</f>
        <v>PartyPoker JV</v>
      </c>
      <c r="CQ783" s="806"/>
      <c r="CR783" s="806"/>
      <c r="CS783" s="806"/>
      <c r="CT783" s="806"/>
      <c r="CU783" s="806"/>
      <c r="CV783" s="806"/>
      <c r="CW783" s="806"/>
      <c r="CX783" s="806"/>
      <c r="CY783" s="806"/>
      <c r="CZ783" s="806">
        <f>BA783</f>
        <v>0</v>
      </c>
      <c r="DA783" s="806">
        <f>BF783</f>
        <v>8.2590869430342079E-2</v>
      </c>
      <c r="DB783" s="806">
        <f>BK783</f>
        <v>5.4378418470477412E-2</v>
      </c>
      <c r="DC783" s="806">
        <f>BP783</f>
        <v>9.0819183272446813E-2</v>
      </c>
      <c r="DD783" s="806">
        <f>BU783</f>
        <v>9.0819183272446813E-2</v>
      </c>
      <c r="DE783" s="806">
        <f t="shared" si="1506"/>
        <v>9.0819183272446813E-2</v>
      </c>
      <c r="DF783" s="806">
        <f t="shared" si="1506"/>
        <v>9.0819183272446813E-2</v>
      </c>
      <c r="DG783" s="2112">
        <f t="shared" si="1506"/>
        <v>9.0819183272446813E-2</v>
      </c>
      <c r="DH783" s="782"/>
      <c r="DI783" s="781"/>
      <c r="DJ783" s="781"/>
      <c r="DK783" s="781"/>
      <c r="DL783" s="781"/>
      <c r="DM783" s="781"/>
      <c r="DN783" s="782"/>
      <c r="DO783" s="855"/>
      <c r="DY783" s="806"/>
      <c r="DZ783" s="806"/>
    </row>
    <row r="784" spans="1:130" ht="3.95" hidden="1" customHeight="1" outlineLevel="1">
      <c r="A784" s="552"/>
      <c r="B784" s="228"/>
      <c r="C784" s="228"/>
      <c r="D784" s="625"/>
      <c r="E784" s="626"/>
      <c r="F784" s="626"/>
      <c r="G784" s="626"/>
      <c r="H784" s="788"/>
      <c r="I784" s="626"/>
      <c r="J784" s="626"/>
      <c r="K784" s="626"/>
      <c r="L784" s="626"/>
      <c r="M784" s="788"/>
      <c r="N784" s="626"/>
      <c r="O784" s="626"/>
      <c r="P784" s="626"/>
      <c r="Q784" s="626"/>
      <c r="R784" s="788"/>
      <c r="S784" s="626"/>
      <c r="T784" s="626"/>
      <c r="U784" s="626"/>
      <c r="V784" s="626"/>
      <c r="W784" s="788"/>
      <c r="X784" s="626"/>
      <c r="Y784" s="626"/>
      <c r="Z784" s="626"/>
      <c r="AA784" s="626"/>
      <c r="AB784" s="788"/>
      <c r="AC784" s="626"/>
      <c r="AD784" s="626"/>
      <c r="AE784" s="626"/>
      <c r="AF784" s="626"/>
      <c r="AG784" s="788"/>
      <c r="AH784" s="626"/>
      <c r="AI784" s="626"/>
      <c r="AJ784" s="626"/>
      <c r="AK784" s="626"/>
      <c r="AL784" s="788"/>
      <c r="AM784" s="626"/>
      <c r="AN784" s="261"/>
      <c r="AO784" s="626"/>
      <c r="AP784" s="330"/>
      <c r="AQ784" s="1439"/>
      <c r="AR784" s="330"/>
      <c r="AS784" s="330"/>
      <c r="AT784" s="330"/>
      <c r="AU784" s="626"/>
      <c r="AV784" s="1951"/>
      <c r="AW784" s="626"/>
      <c r="AX784" s="261"/>
      <c r="AY784" s="626"/>
      <c r="AZ784" s="626"/>
      <c r="BA784" s="2105"/>
      <c r="BB784" s="2718" t="s">
        <v>343</v>
      </c>
      <c r="BC784" s="2155" t="s">
        <v>343</v>
      </c>
      <c r="BD784" s="2155" t="s">
        <v>343</v>
      </c>
      <c r="BE784" s="2156" t="s">
        <v>343</v>
      </c>
      <c r="BF784" s="2105" t="s">
        <v>343</v>
      </c>
      <c r="BG784" s="2718" t="s">
        <v>343</v>
      </c>
      <c r="BH784" s="2155" t="s">
        <v>343</v>
      </c>
      <c r="BI784" s="2155" t="s">
        <v>343</v>
      </c>
      <c r="BJ784" s="2156" t="s">
        <v>343</v>
      </c>
      <c r="BK784" s="2105" t="s">
        <v>343</v>
      </c>
      <c r="BL784" s="2718" t="s">
        <v>343</v>
      </c>
      <c r="BM784" s="2155" t="s">
        <v>343</v>
      </c>
      <c r="BN784" s="2155" t="s">
        <v>343</v>
      </c>
      <c r="BO784" s="2156" t="s">
        <v>343</v>
      </c>
      <c r="BP784" s="2105" t="s">
        <v>343</v>
      </c>
      <c r="BQ784" s="2155" t="s">
        <v>343</v>
      </c>
      <c r="BR784" s="2155" t="s">
        <v>343</v>
      </c>
      <c r="BS784" s="2155" t="s">
        <v>343</v>
      </c>
      <c r="BT784" s="2156" t="s">
        <v>343</v>
      </c>
      <c r="BU784" s="2105" t="s">
        <v>343</v>
      </c>
      <c r="BV784" s="2155" t="s">
        <v>343</v>
      </c>
      <c r="BW784" s="2155" t="s">
        <v>343</v>
      </c>
      <c r="BX784" s="2155" t="s">
        <v>343</v>
      </c>
      <c r="BY784" s="2156" t="s">
        <v>343</v>
      </c>
      <c r="BZ784" s="2105" t="s">
        <v>343</v>
      </c>
      <c r="CA784" s="2105" t="s">
        <v>343</v>
      </c>
      <c r="CB784" s="2105" t="s">
        <v>343</v>
      </c>
      <c r="CC784" s="2105" t="s">
        <v>343</v>
      </c>
      <c r="CD784" s="2105" t="s">
        <v>343</v>
      </c>
      <c r="CE784" s="2105" t="s">
        <v>343</v>
      </c>
      <c r="CF784" s="2105" t="s">
        <v>343</v>
      </c>
      <c r="CG784" s="2105" t="s">
        <v>343</v>
      </c>
      <c r="CH784" s="626"/>
      <c r="CI784" s="626"/>
      <c r="CJ784" s="626"/>
      <c r="CK784" s="626"/>
      <c r="CL784" s="626"/>
      <c r="CM784" s="626"/>
      <c r="CN784" s="626"/>
      <c r="CO784" s="626"/>
      <c r="CP784" s="994"/>
      <c r="CQ784" s="626"/>
      <c r="CR784" s="626"/>
      <c r="CS784" s="626"/>
      <c r="CT784" s="626"/>
      <c r="CU784" s="626"/>
      <c r="CV784" s="626"/>
      <c r="CW784" s="626"/>
      <c r="CX784" s="626"/>
      <c r="CY784" s="626"/>
      <c r="CZ784" s="626"/>
      <c r="DA784" s="626"/>
      <c r="DB784" s="626"/>
      <c r="DC784" s="626"/>
      <c r="DD784" s="626"/>
      <c r="DE784" s="626"/>
      <c r="DF784" s="626"/>
      <c r="DG784" s="1893"/>
      <c r="DH784" s="632"/>
      <c r="DI784" s="595"/>
      <c r="DJ784" s="595"/>
      <c r="DK784" s="595"/>
      <c r="DL784" s="595"/>
      <c r="DM784" s="595"/>
      <c r="DN784" s="514"/>
      <c r="DO784" s="77"/>
      <c r="DY784" s="2155"/>
      <c r="DZ784" s="2155"/>
    </row>
    <row r="785" spans="1:130" ht="12" hidden="1" customHeight="1" outlineLevel="1">
      <c r="A785" s="745" t="s">
        <v>1632</v>
      </c>
      <c r="B785" s="746"/>
      <c r="C785" s="746"/>
      <c r="D785" s="591"/>
      <c r="E785" s="592"/>
      <c r="F785" s="592"/>
      <c r="G785" s="592"/>
      <c r="H785" s="779"/>
      <c r="I785" s="592"/>
      <c r="J785" s="592"/>
      <c r="K785" s="592"/>
      <c r="L785" s="592"/>
      <c r="M785" s="779"/>
      <c r="N785" s="592"/>
      <c r="O785" s="592"/>
      <c r="P785" s="592"/>
      <c r="Q785" s="592"/>
      <c r="R785" s="779"/>
      <c r="S785" s="592"/>
      <c r="T785" s="592"/>
      <c r="U785" s="592"/>
      <c r="V785" s="592"/>
      <c r="W785" s="779"/>
      <c r="X785" s="592"/>
      <c r="Y785" s="592"/>
      <c r="Z785" s="592"/>
      <c r="AA785" s="592"/>
      <c r="AB785" s="779"/>
      <c r="AC785" s="592"/>
      <c r="AD785" s="592"/>
      <c r="AE785" s="592"/>
      <c r="AF785" s="592"/>
      <c r="AG785" s="779"/>
      <c r="AH785" s="592"/>
      <c r="AI785" s="592"/>
      <c r="AJ785" s="592"/>
      <c r="AK785" s="592"/>
      <c r="AL785" s="779"/>
      <c r="AM785" s="592"/>
      <c r="AN785" s="592"/>
      <c r="AO785" s="592"/>
      <c r="AP785" s="592"/>
      <c r="AQ785" s="2116"/>
      <c r="AR785" s="592"/>
      <c r="AS785" s="592"/>
      <c r="AT785" s="592"/>
      <c r="AU785" s="592"/>
      <c r="AV785" s="2116"/>
      <c r="AW785" s="592"/>
      <c r="AX785" s="592"/>
      <c r="AY785" s="592"/>
      <c r="AZ785" s="592"/>
      <c r="BA785" s="2116"/>
      <c r="BB785" s="2720">
        <f t="shared" ref="BB785:CB785" si="1507">+SUM(BB782:BB784)</f>
        <v>0.39087072362497277</v>
      </c>
      <c r="BC785" s="595">
        <f t="shared" si="1507"/>
        <v>0.36945855223153246</v>
      </c>
      <c r="BD785" s="3178">
        <f>+BD790/BD760</f>
        <v>0.32770895179791154</v>
      </c>
      <c r="BE785" s="3178">
        <f>+BE790/BE760</f>
        <v>0.35240092117571903</v>
      </c>
      <c r="BF785" s="2116">
        <f t="shared" si="1507"/>
        <v>0.36046568822648883</v>
      </c>
      <c r="BG785" s="3178">
        <f>+BG790/BG760</f>
        <v>0.33334624457916223</v>
      </c>
      <c r="BH785" s="3178">
        <f>+BH790/BH760</f>
        <v>0.31214742546683905</v>
      </c>
      <c r="BI785" s="3178">
        <f>+BI790/BI760</f>
        <v>0.29614403278428281</v>
      </c>
      <c r="BJ785" s="3178">
        <f>+BJ790/BJ760</f>
        <v>0.28818526767659475</v>
      </c>
      <c r="BK785" s="2116">
        <f t="shared" si="1507"/>
        <v>0.30673852624304992</v>
      </c>
      <c r="BL785" s="3178">
        <f>+BL790/BL760</f>
        <v>0.29034488532486985</v>
      </c>
      <c r="BM785" s="595">
        <f t="shared" si="1507"/>
        <v>0.29034488532486985</v>
      </c>
      <c r="BN785" s="595">
        <f t="shared" si="1507"/>
        <v>0.29034488532486985</v>
      </c>
      <c r="BO785" s="2168">
        <f t="shared" si="1507"/>
        <v>0.29034488532486985</v>
      </c>
      <c r="BP785" s="2116">
        <f t="shared" si="1507"/>
        <v>0.29186915515712286</v>
      </c>
      <c r="BQ785" s="595">
        <f t="shared" ref="BQ785:BZ785" si="1508">+SUM(BQ782:BQ784)</f>
        <v>0.29186915515712286</v>
      </c>
      <c r="BR785" s="595">
        <f t="shared" si="1508"/>
        <v>0.29186915515712286</v>
      </c>
      <c r="BS785" s="595">
        <f t="shared" si="1508"/>
        <v>0.29186915515712286</v>
      </c>
      <c r="BT785" s="2168">
        <f t="shared" si="1508"/>
        <v>0.29186915515712286</v>
      </c>
      <c r="BU785" s="2116">
        <f t="shared" si="1508"/>
        <v>0.29186915515712286</v>
      </c>
      <c r="BV785" s="595">
        <f t="shared" si="1508"/>
        <v>0.29186915515712286</v>
      </c>
      <c r="BW785" s="595">
        <f t="shared" si="1508"/>
        <v>0.29186915515712286</v>
      </c>
      <c r="BX785" s="595">
        <f t="shared" si="1508"/>
        <v>0.29186915515712286</v>
      </c>
      <c r="BY785" s="2168">
        <f t="shared" si="1508"/>
        <v>0.29186915515712286</v>
      </c>
      <c r="BZ785" s="2116">
        <f t="shared" si="1508"/>
        <v>0.29186915515712286</v>
      </c>
      <c r="CA785" s="2116">
        <f t="shared" si="1507"/>
        <v>0.29186915515712286</v>
      </c>
      <c r="CB785" s="2116">
        <f t="shared" si="1507"/>
        <v>0.29186915515712286</v>
      </c>
      <c r="CC785" s="2116">
        <f>+SUM(CC782:CC784)</f>
        <v>0.29186915515712286</v>
      </c>
      <c r="CD785" s="2116">
        <f>+SUM(CD782:CD784)</f>
        <v>0.29186915515712286</v>
      </c>
      <c r="CE785" s="2116">
        <f>+SUM(CE782:CE784)</f>
        <v>0.29186915515712286</v>
      </c>
      <c r="CF785" s="2116">
        <f>+SUM(CF782:CF784)</f>
        <v>0.29186915515712286</v>
      </c>
      <c r="CG785" s="2116">
        <f>+SUM(CG782:CG784)</f>
        <v>0.29186915515712286</v>
      </c>
      <c r="CH785" s="592"/>
      <c r="CI785" s="592"/>
      <c r="CJ785" s="592"/>
      <c r="CK785" s="592"/>
      <c r="CL785" s="592"/>
      <c r="CM785" s="592"/>
      <c r="CN785" s="592"/>
      <c r="CO785" s="592"/>
      <c r="CP785" s="1884" t="str">
        <f>A785</f>
        <v>Market Share</v>
      </c>
      <c r="CQ785" s="592"/>
      <c r="CR785" s="592"/>
      <c r="CS785" s="592"/>
      <c r="CT785" s="592"/>
      <c r="CU785" s="592"/>
      <c r="CV785" s="592"/>
      <c r="CW785" s="592"/>
      <c r="CX785" s="592"/>
      <c r="CY785" s="592"/>
      <c r="CZ785" s="592">
        <f>BA785</f>
        <v>0</v>
      </c>
      <c r="DA785" s="592">
        <f>BF785</f>
        <v>0.36046568822648883</v>
      </c>
      <c r="DB785" s="592">
        <f>BK785</f>
        <v>0.30673852624304992</v>
      </c>
      <c r="DC785" s="592">
        <f>BP785</f>
        <v>0.29186915515712286</v>
      </c>
      <c r="DD785" s="592">
        <f>BU785</f>
        <v>0.29186915515712286</v>
      </c>
      <c r="DE785" s="592">
        <f>BZ785</f>
        <v>0.29186915515712286</v>
      </c>
      <c r="DF785" s="592">
        <f>CA785</f>
        <v>0.29186915515712286</v>
      </c>
      <c r="DG785" s="1850">
        <f>CB785</f>
        <v>0.29186915515712286</v>
      </c>
      <c r="DH785" s="595"/>
      <c r="DI785" s="595"/>
      <c r="DJ785" s="595"/>
      <c r="DK785" s="595"/>
      <c r="DL785" s="595"/>
      <c r="DM785" s="595"/>
      <c r="DN785" s="595"/>
      <c r="DO785" s="1438"/>
      <c r="DY785" s="595"/>
      <c r="DZ785" s="595"/>
    </row>
    <row r="786" spans="1:130" ht="12" hidden="1" customHeight="1" outlineLevel="1">
      <c r="A786" s="745"/>
      <c r="B786" s="746"/>
      <c r="C786" s="746"/>
      <c r="D786" s="591"/>
      <c r="E786" s="592"/>
      <c r="F786" s="592"/>
      <c r="G786" s="592"/>
      <c r="H786" s="779"/>
      <c r="I786" s="592"/>
      <c r="J786" s="592"/>
      <c r="K786" s="592"/>
      <c r="L786" s="592"/>
      <c r="M786" s="779"/>
      <c r="N786" s="592"/>
      <c r="O786" s="592"/>
      <c r="P786" s="592"/>
      <c r="Q786" s="592"/>
      <c r="R786" s="779"/>
      <c r="S786" s="592"/>
      <c r="T786" s="592"/>
      <c r="U786" s="592"/>
      <c r="V786" s="592"/>
      <c r="W786" s="779"/>
      <c r="X786" s="592"/>
      <c r="Y786" s="592"/>
      <c r="Z786" s="592"/>
      <c r="AA786" s="592"/>
      <c r="AB786" s="779"/>
      <c r="AC786" s="592"/>
      <c r="AD786" s="592"/>
      <c r="AE786" s="592"/>
      <c r="AF786" s="592"/>
      <c r="AG786" s="779"/>
      <c r="AH786" s="592"/>
      <c r="AI786" s="592"/>
      <c r="AJ786" s="592"/>
      <c r="AK786" s="592"/>
      <c r="AL786" s="779"/>
      <c r="AM786" s="592"/>
      <c r="AN786" s="592"/>
      <c r="AO786" s="592"/>
      <c r="AP786" s="592"/>
      <c r="AQ786" s="2116"/>
      <c r="AR786" s="592"/>
      <c r="AS786" s="592"/>
      <c r="AT786" s="592"/>
      <c r="AU786" s="592"/>
      <c r="AV786" s="2116"/>
      <c r="AW786" s="592"/>
      <c r="AX786" s="592"/>
      <c r="AY786" s="592"/>
      <c r="AZ786" s="592"/>
      <c r="BA786" s="2116"/>
      <c r="BB786" s="592"/>
      <c r="BC786" s="592"/>
      <c r="BD786" s="592"/>
      <c r="BE786" s="592"/>
      <c r="BF786" s="2116"/>
      <c r="BG786" s="2720"/>
      <c r="BH786" s="595"/>
      <c r="BI786" s="595"/>
      <c r="BJ786" s="2168"/>
      <c r="BK786" s="2116"/>
      <c r="BL786" s="595"/>
      <c r="BM786" s="595"/>
      <c r="BN786" s="595"/>
      <c r="BO786" s="2168"/>
      <c r="BP786" s="2116"/>
      <c r="BQ786" s="595"/>
      <c r="BR786" s="595"/>
      <c r="BS786" s="595"/>
      <c r="BT786" s="2168"/>
      <c r="BU786" s="2116"/>
      <c r="BV786" s="595"/>
      <c r="BW786" s="595"/>
      <c r="BX786" s="595"/>
      <c r="BY786" s="2168"/>
      <c r="BZ786" s="2116"/>
      <c r="CA786" s="2116"/>
      <c r="CB786" s="2116"/>
      <c r="CC786" s="2116"/>
      <c r="CD786" s="2116"/>
      <c r="CE786" s="2116"/>
      <c r="CF786" s="2116"/>
      <c r="CG786" s="2116"/>
      <c r="CH786" s="592"/>
      <c r="CI786" s="592"/>
      <c r="CJ786" s="592"/>
      <c r="CK786" s="592"/>
      <c r="CL786" s="592"/>
      <c r="CM786" s="592"/>
      <c r="CN786" s="592"/>
      <c r="CO786" s="592"/>
      <c r="CP786" s="1884"/>
      <c r="CQ786" s="592"/>
      <c r="CR786" s="592"/>
      <c r="CS786" s="592"/>
      <c r="CT786" s="592"/>
      <c r="CU786" s="592"/>
      <c r="CV786" s="592"/>
      <c r="CW786" s="592"/>
      <c r="CX786" s="592"/>
      <c r="CY786" s="592"/>
      <c r="CZ786" s="592"/>
      <c r="DA786" s="592"/>
      <c r="DB786" s="592"/>
      <c r="DC786" s="592"/>
      <c r="DD786" s="592"/>
      <c r="DE786" s="592"/>
      <c r="DF786" s="592"/>
      <c r="DG786" s="1850"/>
      <c r="DH786" s="595"/>
      <c r="DI786" s="595"/>
      <c r="DJ786" s="595"/>
      <c r="DK786" s="595"/>
      <c r="DL786" s="595"/>
      <c r="DM786" s="595"/>
      <c r="DN786" s="595"/>
      <c r="DO786" s="1438"/>
      <c r="DY786" s="595"/>
      <c r="DZ786" s="595"/>
    </row>
    <row r="787" spans="1:130" ht="12" hidden="1" customHeight="1" outlineLevel="1">
      <c r="A787" s="670" t="s">
        <v>773</v>
      </c>
      <c r="B787" s="837"/>
      <c r="C787" s="837"/>
      <c r="D787" s="2106"/>
      <c r="E787" s="1759"/>
      <c r="F787" s="1759"/>
      <c r="G787" s="1759"/>
      <c r="H787" s="2107"/>
      <c r="I787" s="1759"/>
      <c r="J787" s="1759"/>
      <c r="K787" s="1759"/>
      <c r="L787" s="1759"/>
      <c r="M787" s="2107"/>
      <c r="N787" s="1759"/>
      <c r="O787" s="1759"/>
      <c r="P787" s="1759"/>
      <c r="Q787" s="1759"/>
      <c r="R787" s="2107"/>
      <c r="S787" s="1759"/>
      <c r="T787" s="1759"/>
      <c r="U787" s="1759"/>
      <c r="V787" s="1759"/>
      <c r="W787" s="2107"/>
      <c r="X787" s="1759"/>
      <c r="Y787" s="1759"/>
      <c r="Z787" s="1759"/>
      <c r="AA787" s="1759"/>
      <c r="AB787" s="2107"/>
      <c r="AC787" s="1759"/>
      <c r="AD787" s="1759"/>
      <c r="AE787" s="1759"/>
      <c r="AF787" s="1759"/>
      <c r="AG787" s="2107"/>
      <c r="AH787" s="1759"/>
      <c r="AI787" s="1759"/>
      <c r="AJ787" s="1759"/>
      <c r="AK787" s="1759"/>
      <c r="AL787" s="2107"/>
      <c r="AM787" s="572"/>
      <c r="AN787" s="572"/>
      <c r="AO787" s="572"/>
      <c r="AP787" s="572"/>
      <c r="AQ787" s="2117"/>
      <c r="AR787" s="572"/>
      <c r="AS787" s="572"/>
      <c r="AT787" s="572"/>
      <c r="AU787" s="572"/>
      <c r="AV787" s="2117"/>
      <c r="AW787" s="1759"/>
      <c r="AX787" s="1759"/>
      <c r="AY787" s="1759"/>
      <c r="AZ787" s="1759"/>
      <c r="BA787" s="2117"/>
      <c r="BB787" s="2721">
        <v>9</v>
      </c>
      <c r="BC787" s="2746">
        <v>9.3000000000000007</v>
      </c>
      <c r="BD787" s="632">
        <f>+BD782*BD$780</f>
        <v>8.0251833999999995</v>
      </c>
      <c r="BE787" s="2169">
        <f>+BE782*BE$780</f>
        <v>7.8191856900000003</v>
      </c>
      <c r="BF787" s="2117">
        <f>+SUM(BB787:BE787)</f>
        <v>34.144369089999998</v>
      </c>
      <c r="BG787" s="2723">
        <f>+BG782*BG$780</f>
        <v>9.1357050199999996</v>
      </c>
      <c r="BH787" s="632">
        <f>+BH782*BH$780</f>
        <v>9.2092229999999997</v>
      </c>
      <c r="BI787" s="632">
        <f>+BI782*BI$780</f>
        <v>9.1937957499999996</v>
      </c>
      <c r="BJ787" s="2169">
        <f>+BJ782*BJ$780</f>
        <v>10.0326945</v>
      </c>
      <c r="BK787" s="2117">
        <f>+SUM(BG787:BJ787)</f>
        <v>37.571418269999995</v>
      </c>
      <c r="BL787" s="632">
        <f t="shared" ref="BL787:BO788" si="1509">+BL782*BL$780</f>
        <v>8.9774304000000011</v>
      </c>
      <c r="BM787" s="632">
        <f t="shared" si="1509"/>
        <v>8.792786821</v>
      </c>
      <c r="BN787" s="632">
        <f t="shared" si="1509"/>
        <v>8.792786821</v>
      </c>
      <c r="BO787" s="2169">
        <f t="shared" si="1509"/>
        <v>8.792786821</v>
      </c>
      <c r="BP787" s="2117">
        <f>+SUM(BL787:BO787)</f>
        <v>35.355790863000003</v>
      </c>
      <c r="BQ787" s="632">
        <f t="shared" ref="BQ787:BT788" si="1510">+BQ782*BQ$780</f>
        <v>10.198259823850194</v>
      </c>
      <c r="BR787" s="632">
        <f t="shared" si="1510"/>
        <v>10.198259823850194</v>
      </c>
      <c r="BS787" s="632">
        <f>+BS782*BS$780</f>
        <v>10.198259823850194</v>
      </c>
      <c r="BT787" s="2169">
        <f t="shared" si="1510"/>
        <v>10.198259823850194</v>
      </c>
      <c r="BU787" s="2117">
        <f>+SUM(BQ787:BT787)</f>
        <v>40.793039295400774</v>
      </c>
      <c r="BV787" s="632">
        <f t="shared" ref="BV787:BY787" si="1511">+BV782*BV$780</f>
        <v>12.238565201028857</v>
      </c>
      <c r="BW787" s="632">
        <f t="shared" si="1511"/>
        <v>12.238565201028857</v>
      </c>
      <c r="BX787" s="632">
        <f t="shared" si="1511"/>
        <v>12.238565201028857</v>
      </c>
      <c r="BY787" s="2169">
        <f t="shared" si="1511"/>
        <v>12.238565201028857</v>
      </c>
      <c r="BZ787" s="2117">
        <f>+SUM(BV787:BY787)</f>
        <v>48.954260804115428</v>
      </c>
      <c r="CA787" s="2117">
        <f t="shared" ref="CA787:CB788" si="1512">+CA782*CA$780</f>
        <v>54.393524404615391</v>
      </c>
      <c r="CB787" s="2117">
        <f t="shared" si="1512"/>
        <v>56.025330136753851</v>
      </c>
      <c r="CC787" s="2117">
        <f t="shared" ref="CC787:CG788" si="1513">+CC782*CC$780</f>
        <v>53.224063629916159</v>
      </c>
      <c r="CD787" s="2117">
        <f t="shared" si="1513"/>
        <v>50.562860448420352</v>
      </c>
      <c r="CE787" s="2117">
        <f t="shared" si="1513"/>
        <v>51.574117657388754</v>
      </c>
      <c r="CF787" s="2117">
        <f t="shared" si="1513"/>
        <v>52.605600010536534</v>
      </c>
      <c r="CG787" s="2117">
        <f t="shared" si="1513"/>
        <v>53.657712010747268</v>
      </c>
      <c r="CH787" s="1759"/>
      <c r="CI787" s="1759"/>
      <c r="CJ787" s="1759"/>
      <c r="CK787" s="1759"/>
      <c r="CL787" s="1759"/>
      <c r="CM787" s="965"/>
      <c r="CN787" s="965">
        <f t="shared" ref="CN787:CN788" si="1514">SUM(BV787:BY787)</f>
        <v>48.954260804115428</v>
      </c>
      <c r="CO787" s="965">
        <f t="shared" ref="CO787:CO796" si="1515">CM787-CN787</f>
        <v>-48.954260804115428</v>
      </c>
      <c r="CP787" s="1864" t="str">
        <f>A787</f>
        <v>Borgata</v>
      </c>
      <c r="CQ787" s="1759"/>
      <c r="CR787" s="1759"/>
      <c r="CS787" s="1759"/>
      <c r="CT787" s="1759"/>
      <c r="CU787" s="1759"/>
      <c r="CV787" s="1759"/>
      <c r="CW787" s="1759"/>
      <c r="CX787" s="1759"/>
      <c r="CY787" s="1759"/>
      <c r="CZ787" s="1759">
        <f>BA787</f>
        <v>0</v>
      </c>
      <c r="DA787" s="1759">
        <f>BF787</f>
        <v>34.144369089999998</v>
      </c>
      <c r="DB787" s="1759">
        <f>BK787</f>
        <v>37.571418269999995</v>
      </c>
      <c r="DC787" s="1759">
        <f>BP787</f>
        <v>35.355790863000003</v>
      </c>
      <c r="DD787" s="1759">
        <f>BU787</f>
        <v>40.793039295400774</v>
      </c>
      <c r="DE787" s="1759">
        <f t="shared" ref="DE787:DG788" si="1516">BZ787</f>
        <v>48.954260804115428</v>
      </c>
      <c r="DF787" s="1759">
        <f t="shared" si="1516"/>
        <v>54.393524404615391</v>
      </c>
      <c r="DG787" s="1857">
        <f t="shared" si="1516"/>
        <v>56.025330136753851</v>
      </c>
      <c r="DH787" s="632"/>
      <c r="DI787" s="838"/>
      <c r="DJ787" s="838"/>
      <c r="DK787" s="838"/>
      <c r="DL787" s="838"/>
      <c r="DM787" s="838"/>
      <c r="DN787" s="632"/>
      <c r="DO787" s="858"/>
      <c r="DY787" s="632"/>
      <c r="DZ787" s="632"/>
    </row>
    <row r="788" spans="1:130" ht="12" hidden="1" customHeight="1" outlineLevel="1">
      <c r="A788" s="429" t="s">
        <v>1633</v>
      </c>
      <c r="B788" s="2048"/>
      <c r="C788" s="2048"/>
      <c r="D788" s="2119"/>
      <c r="E788" s="776"/>
      <c r="F788" s="776"/>
      <c r="G788" s="776"/>
      <c r="H788" s="777"/>
      <c r="I788" s="776"/>
      <c r="J788" s="776"/>
      <c r="K788" s="776"/>
      <c r="L788" s="776"/>
      <c r="M788" s="777"/>
      <c r="N788" s="776"/>
      <c r="O788" s="776"/>
      <c r="P788" s="776"/>
      <c r="Q788" s="776"/>
      <c r="R788" s="777"/>
      <c r="S788" s="776"/>
      <c r="T788" s="776"/>
      <c r="U788" s="776"/>
      <c r="V788" s="776"/>
      <c r="W788" s="777"/>
      <c r="X788" s="776"/>
      <c r="Y788" s="776"/>
      <c r="Z788" s="776"/>
      <c r="AA788" s="776"/>
      <c r="AB788" s="777"/>
      <c r="AC788" s="776"/>
      <c r="AD788" s="776"/>
      <c r="AE788" s="776"/>
      <c r="AF788" s="776"/>
      <c r="AG788" s="777"/>
      <c r="AH788" s="776"/>
      <c r="AI788" s="776"/>
      <c r="AJ788" s="776"/>
      <c r="AK788" s="776"/>
      <c r="AL788" s="777"/>
      <c r="AM788" s="776"/>
      <c r="AN788" s="776"/>
      <c r="AO788" s="776"/>
      <c r="AP788" s="776"/>
      <c r="AQ788" s="2120"/>
      <c r="AR788" s="776"/>
      <c r="AS788" s="776"/>
      <c r="AT788" s="776"/>
      <c r="AU788" s="776"/>
      <c r="AV788" s="2120"/>
      <c r="AW788" s="776"/>
      <c r="AX788" s="776"/>
      <c r="AY788" s="776"/>
      <c r="AZ788" s="776"/>
      <c r="BA788" s="2120"/>
      <c r="BB788" s="2722">
        <v>3.3696969999999995</v>
      </c>
      <c r="BC788" s="2747">
        <f>+BC790-BC787</f>
        <v>2.3025679999999973</v>
      </c>
      <c r="BD788" s="2747">
        <f>+BD790-BD787</f>
        <v>2.0899105999999996</v>
      </c>
      <c r="BE788" s="2747">
        <f>+BE790-BE787</f>
        <v>2.3863263100000003</v>
      </c>
      <c r="BF788" s="2120">
        <f>+SUM(BB788:BE788)</f>
        <v>10.148501909999997</v>
      </c>
      <c r="BG788" s="2747">
        <f>+BG790-BG787</f>
        <v>2.577190980000001</v>
      </c>
      <c r="BH788" s="2747">
        <f>+BH790-BH787</f>
        <v>2.2893179999999997</v>
      </c>
      <c r="BI788" s="2747">
        <f>+BI790-BI787</f>
        <v>1.6969552500000002</v>
      </c>
      <c r="BJ788" s="2747">
        <f>+BJ790-BJ787</f>
        <v>1.5324045000000002</v>
      </c>
      <c r="BK788" s="2120">
        <f>+SUM(BG788:BJ788)</f>
        <v>8.0958687300000012</v>
      </c>
      <c r="BL788" s="2747">
        <f>+BL790-BL787</f>
        <v>4.0553246000000005</v>
      </c>
      <c r="BM788" s="650">
        <f t="shared" si="1509"/>
        <v>3.9719165851463591</v>
      </c>
      <c r="BN788" s="650">
        <f t="shared" si="1509"/>
        <v>3.9719165851463591</v>
      </c>
      <c r="BO788" s="2170">
        <f t="shared" si="1509"/>
        <v>3.9719165851463591</v>
      </c>
      <c r="BP788" s="2120">
        <f>+SUM(BL788:BO788)</f>
        <v>15.971074355439079</v>
      </c>
      <c r="BQ788" s="650">
        <f t="shared" si="1510"/>
        <v>4.6068030714948645</v>
      </c>
      <c r="BR788" s="650">
        <f t="shared" si="1510"/>
        <v>4.6068030714948645</v>
      </c>
      <c r="BS788" s="650">
        <f>+BS783*BS$780</f>
        <v>4.6068030714948645</v>
      </c>
      <c r="BT788" s="2170">
        <f t="shared" si="1510"/>
        <v>4.6068030714948645</v>
      </c>
      <c r="BU788" s="2120">
        <f>+SUM(BQ788:BT788)</f>
        <v>18.427212285979458</v>
      </c>
      <c r="BV788" s="650">
        <f t="shared" ref="BV788:BY788" si="1517">+BV783*BV$780</f>
        <v>5.528458848139473</v>
      </c>
      <c r="BW788" s="650">
        <f t="shared" si="1517"/>
        <v>5.528458848139473</v>
      </c>
      <c r="BX788" s="650">
        <f t="shared" si="1517"/>
        <v>5.528458848139473</v>
      </c>
      <c r="BY788" s="2170">
        <f t="shared" si="1517"/>
        <v>5.528458848139473</v>
      </c>
      <c r="BZ788" s="2120">
        <f>+SUM(BV788:BY788)</f>
        <v>22.113835392557892</v>
      </c>
      <c r="CA788" s="2120">
        <f t="shared" si="1512"/>
        <v>24.57088362375243</v>
      </c>
      <c r="CB788" s="2120">
        <f t="shared" si="1512"/>
        <v>25.308010132465</v>
      </c>
      <c r="CC788" s="2120">
        <f t="shared" si="1513"/>
        <v>24.042609625841752</v>
      </c>
      <c r="CD788" s="2120">
        <f t="shared" si="1513"/>
        <v>22.840479144549661</v>
      </c>
      <c r="CE788" s="2120">
        <f t="shared" si="1513"/>
        <v>23.297288727440655</v>
      </c>
      <c r="CF788" s="2120">
        <f t="shared" si="1513"/>
        <v>23.763234501989469</v>
      </c>
      <c r="CG788" s="2120">
        <f t="shared" si="1513"/>
        <v>24.238499192029263</v>
      </c>
      <c r="CH788" s="776"/>
      <c r="CI788" s="776"/>
      <c r="CJ788" s="776"/>
      <c r="CK788" s="776"/>
      <c r="CL788" s="776"/>
      <c r="CM788" s="965"/>
      <c r="CN788" s="965">
        <f t="shared" si="1514"/>
        <v>22.113835392557892</v>
      </c>
      <c r="CO788" s="965">
        <f t="shared" si="1515"/>
        <v>-22.113835392557892</v>
      </c>
      <c r="CP788" s="2052" t="str">
        <f>A788</f>
        <v>PartyPoker JV</v>
      </c>
      <c r="CQ788" s="776"/>
      <c r="CR788" s="776"/>
      <c r="CS788" s="776"/>
      <c r="CT788" s="776"/>
      <c r="CU788" s="776"/>
      <c r="CV788" s="776"/>
      <c r="CW788" s="776"/>
      <c r="CX788" s="776"/>
      <c r="CY788" s="776"/>
      <c r="CZ788" s="776">
        <f>BA788</f>
        <v>0</v>
      </c>
      <c r="DA788" s="776">
        <f>BF788</f>
        <v>10.148501909999997</v>
      </c>
      <c r="DB788" s="776">
        <f>BK788</f>
        <v>8.0958687300000012</v>
      </c>
      <c r="DC788" s="776">
        <f>BP788</f>
        <v>15.971074355439079</v>
      </c>
      <c r="DD788" s="776">
        <f>BU788</f>
        <v>18.427212285979458</v>
      </c>
      <c r="DE788" s="776">
        <f t="shared" si="1516"/>
        <v>22.113835392557892</v>
      </c>
      <c r="DF788" s="776">
        <f t="shared" si="1516"/>
        <v>24.57088362375243</v>
      </c>
      <c r="DG788" s="2121">
        <f t="shared" si="1516"/>
        <v>25.308010132465</v>
      </c>
      <c r="DH788" s="650"/>
      <c r="DI788" s="650"/>
      <c r="DJ788" s="650"/>
      <c r="DK788" s="650"/>
      <c r="DL788" s="650"/>
      <c r="DM788" s="650"/>
      <c r="DN788" s="650"/>
      <c r="DO788" s="2122"/>
      <c r="DY788" s="650"/>
      <c r="DZ788" s="650"/>
    </row>
    <row r="789" spans="1:130" ht="3.95" hidden="1" customHeight="1" outlineLevel="1">
      <c r="A789" s="552"/>
      <c r="B789" s="228"/>
      <c r="C789" s="228"/>
      <c r="D789" s="625"/>
      <c r="E789" s="626"/>
      <c r="F789" s="626"/>
      <c r="G789" s="626"/>
      <c r="H789" s="788"/>
      <c r="I789" s="626"/>
      <c r="J789" s="626"/>
      <c r="K789" s="626"/>
      <c r="L789" s="626"/>
      <c r="M789" s="788"/>
      <c r="N789" s="626"/>
      <c r="O789" s="626"/>
      <c r="P789" s="626"/>
      <c r="Q789" s="626"/>
      <c r="R789" s="788"/>
      <c r="S789" s="626"/>
      <c r="T789" s="626"/>
      <c r="U789" s="626"/>
      <c r="V789" s="626"/>
      <c r="W789" s="788"/>
      <c r="X789" s="626"/>
      <c r="Y789" s="626"/>
      <c r="Z789" s="626"/>
      <c r="AA789" s="626"/>
      <c r="AB789" s="788"/>
      <c r="AC789" s="626"/>
      <c r="AD789" s="626"/>
      <c r="AE789" s="626"/>
      <c r="AF789" s="626"/>
      <c r="AG789" s="788"/>
      <c r="AH789" s="626"/>
      <c r="AI789" s="626"/>
      <c r="AJ789" s="626"/>
      <c r="AK789" s="626"/>
      <c r="AL789" s="788"/>
      <c r="AM789" s="626"/>
      <c r="AN789" s="261"/>
      <c r="AO789" s="626"/>
      <c r="AP789" s="330"/>
      <c r="AQ789" s="1439"/>
      <c r="AR789" s="330"/>
      <c r="AS789" s="330"/>
      <c r="AT789" s="330"/>
      <c r="AU789" s="626"/>
      <c r="AV789" s="1951"/>
      <c r="AW789" s="626"/>
      <c r="AX789" s="261"/>
      <c r="AY789" s="626"/>
      <c r="AZ789" s="626"/>
      <c r="BA789" s="2105"/>
      <c r="BB789" s="2718" t="s">
        <v>343</v>
      </c>
      <c r="BC789" s="2155" t="s">
        <v>343</v>
      </c>
      <c r="BD789" s="2155" t="s">
        <v>343</v>
      </c>
      <c r="BE789" s="2156" t="s">
        <v>343</v>
      </c>
      <c r="BF789" s="2105" t="s">
        <v>343</v>
      </c>
      <c r="BG789" s="2718" t="s">
        <v>343</v>
      </c>
      <c r="BH789" s="2155" t="s">
        <v>343</v>
      </c>
      <c r="BI789" s="2155" t="s">
        <v>343</v>
      </c>
      <c r="BJ789" s="2156" t="s">
        <v>343</v>
      </c>
      <c r="BK789" s="2105" t="s">
        <v>343</v>
      </c>
      <c r="BL789" s="2155" t="s">
        <v>343</v>
      </c>
      <c r="BM789" s="2155" t="s">
        <v>343</v>
      </c>
      <c r="BN789" s="2155" t="s">
        <v>343</v>
      </c>
      <c r="BO789" s="2156" t="s">
        <v>343</v>
      </c>
      <c r="BP789" s="2105" t="s">
        <v>343</v>
      </c>
      <c r="BQ789" s="2155" t="s">
        <v>343</v>
      </c>
      <c r="BR789" s="2155" t="s">
        <v>343</v>
      </c>
      <c r="BS789" s="2155" t="s">
        <v>343</v>
      </c>
      <c r="BT789" s="2156" t="s">
        <v>343</v>
      </c>
      <c r="BU789" s="2105" t="s">
        <v>343</v>
      </c>
      <c r="BV789" s="2155" t="s">
        <v>343</v>
      </c>
      <c r="BW789" s="2155" t="s">
        <v>343</v>
      </c>
      <c r="BX789" s="2155" t="s">
        <v>343</v>
      </c>
      <c r="BY789" s="2156" t="s">
        <v>343</v>
      </c>
      <c r="BZ789" s="2105" t="s">
        <v>343</v>
      </c>
      <c r="CA789" s="2105" t="s">
        <v>343</v>
      </c>
      <c r="CB789" s="2105" t="s">
        <v>343</v>
      </c>
      <c r="CC789" s="2105" t="s">
        <v>343</v>
      </c>
      <c r="CD789" s="2105" t="s">
        <v>343</v>
      </c>
      <c r="CE789" s="2105" t="s">
        <v>343</v>
      </c>
      <c r="CF789" s="2105" t="s">
        <v>343</v>
      </c>
      <c r="CG789" s="2105" t="s">
        <v>343</v>
      </c>
      <c r="CH789" s="626"/>
      <c r="CI789" s="626"/>
      <c r="CJ789" s="626"/>
      <c r="CK789" s="626"/>
      <c r="CL789" s="626"/>
      <c r="CM789" s="626"/>
      <c r="CN789" s="626"/>
      <c r="CO789" s="965">
        <f t="shared" si="1515"/>
        <v>0</v>
      </c>
      <c r="CP789" s="994"/>
      <c r="CQ789" s="626"/>
      <c r="CR789" s="626"/>
      <c r="CS789" s="626"/>
      <c r="CT789" s="626"/>
      <c r="CU789" s="626"/>
      <c r="CV789" s="626"/>
      <c r="CW789" s="626"/>
      <c r="CX789" s="626"/>
      <c r="CY789" s="626"/>
      <c r="CZ789" s="626"/>
      <c r="DA789" s="626"/>
      <c r="DB789" s="626"/>
      <c r="DC789" s="626"/>
      <c r="DD789" s="626"/>
      <c r="DE789" s="626"/>
      <c r="DF789" s="626"/>
      <c r="DG789" s="1893"/>
      <c r="DH789" s="632"/>
      <c r="DI789" s="595"/>
      <c r="DJ789" s="595"/>
      <c r="DK789" s="595"/>
      <c r="DL789" s="595"/>
      <c r="DM789" s="595"/>
      <c r="DN789" s="514"/>
      <c r="DO789" s="77"/>
      <c r="DY789" s="2155"/>
      <c r="DZ789" s="2155"/>
    </row>
    <row r="790" spans="1:130" ht="12" hidden="1" customHeight="1" outlineLevel="1">
      <c r="A790" s="670" t="s">
        <v>1661</v>
      </c>
      <c r="B790" s="837"/>
      <c r="C790" s="837"/>
      <c r="D790" s="2106"/>
      <c r="E790" s="1759"/>
      <c r="F790" s="1759"/>
      <c r="G790" s="1759"/>
      <c r="H790" s="2107"/>
      <c r="I790" s="1759"/>
      <c r="J790" s="1759"/>
      <c r="K790" s="1759"/>
      <c r="L790" s="1759"/>
      <c r="M790" s="2107"/>
      <c r="N790" s="1759"/>
      <c r="O790" s="1759"/>
      <c r="P790" s="1759"/>
      <c r="Q790" s="1759"/>
      <c r="R790" s="2107"/>
      <c r="S790" s="1759"/>
      <c r="T790" s="1759"/>
      <c r="U790" s="1759"/>
      <c r="V790" s="1759"/>
      <c r="W790" s="2107"/>
      <c r="X790" s="1759"/>
      <c r="Y790" s="1759"/>
      <c r="Z790" s="1759"/>
      <c r="AA790" s="1759"/>
      <c r="AB790" s="2107"/>
      <c r="AC790" s="1759"/>
      <c r="AD790" s="1759"/>
      <c r="AE790" s="1759"/>
      <c r="AF790" s="1759"/>
      <c r="AG790" s="2107"/>
      <c r="AH790" s="1759"/>
      <c r="AI790" s="1759"/>
      <c r="AJ790" s="1759"/>
      <c r="AK790" s="1759"/>
      <c r="AL790" s="2107"/>
      <c r="AM790" s="572"/>
      <c r="AN790" s="572"/>
      <c r="AO790" s="572"/>
      <c r="AP790" s="572"/>
      <c r="AQ790" s="2117"/>
      <c r="AR790" s="572"/>
      <c r="AS790" s="572"/>
      <c r="AT790" s="572"/>
      <c r="AU790" s="572"/>
      <c r="AV790" s="2117"/>
      <c r="AW790" s="1759"/>
      <c r="AX790" s="1759"/>
      <c r="AY790" s="1759"/>
      <c r="AZ790" s="1759"/>
      <c r="BA790" s="2117"/>
      <c r="BB790" s="2723">
        <f>+SUM(BB787:BB789)</f>
        <v>12.369696999999999</v>
      </c>
      <c r="BC790" s="2746">
        <v>11.602567999999998</v>
      </c>
      <c r="BD790" s="2746">
        <v>10.115093999999999</v>
      </c>
      <c r="BE790" s="2746">
        <v>10.205512000000001</v>
      </c>
      <c r="BF790" s="2117">
        <f>+SUM(BB790:BE790)</f>
        <v>44.292870999999991</v>
      </c>
      <c r="BG790" s="2746">
        <v>11.712896000000001</v>
      </c>
      <c r="BH790" s="3177">
        <v>11.498540999999999</v>
      </c>
      <c r="BI790" s="3177">
        <v>10.890751</v>
      </c>
      <c r="BJ790" s="3177">
        <v>11.565099</v>
      </c>
      <c r="BK790" s="2117">
        <f>+SUM(BG790:BJ790)</f>
        <v>45.667287000000002</v>
      </c>
      <c r="BL790" s="3177">
        <v>13.032755000000002</v>
      </c>
      <c r="BM790" s="632">
        <f>+SUM(BM787:BM789)</f>
        <v>12.76470340614636</v>
      </c>
      <c r="BN790" s="632">
        <f>+SUM(BN787:BN789)</f>
        <v>12.76470340614636</v>
      </c>
      <c r="BO790" s="2169">
        <f>+SUM(BO787:BO789)</f>
        <v>12.76470340614636</v>
      </c>
      <c r="BP790" s="2117">
        <f>+SUM(BL790:BO790)</f>
        <v>51.326865218439082</v>
      </c>
      <c r="BQ790" s="632">
        <f>+SUM(BQ787:BQ789)</f>
        <v>14.805062895345058</v>
      </c>
      <c r="BR790" s="632">
        <f>+SUM(BR787:BR789)</f>
        <v>14.805062895345058</v>
      </c>
      <c r="BS790" s="632">
        <f>+SUM(BS787:BS789)</f>
        <v>14.805062895345058</v>
      </c>
      <c r="BT790" s="2169">
        <f>+SUM(BT787:BT789)</f>
        <v>14.805062895345058</v>
      </c>
      <c r="BU790" s="2117">
        <f>+SUM(BQ790:BT790)</f>
        <v>59.220251581380232</v>
      </c>
      <c r="BV790" s="632">
        <f>+SUM(BV787:BV789)</f>
        <v>17.767024049168331</v>
      </c>
      <c r="BW790" s="632">
        <f>+SUM(BW787:BW789)</f>
        <v>17.767024049168331</v>
      </c>
      <c r="BX790" s="632">
        <f>+SUM(BX787:BX789)</f>
        <v>17.767024049168331</v>
      </c>
      <c r="BY790" s="2169">
        <f>+SUM(BY787:BY789)</f>
        <v>17.767024049168331</v>
      </c>
      <c r="BZ790" s="2117">
        <f>+SUM(BV790:BY790)</f>
        <v>71.068096196673324</v>
      </c>
      <c r="CA790" s="2117">
        <f t="shared" ref="CA790:CG790" si="1518">+SUM(CA787:CA789)</f>
        <v>78.964408028367814</v>
      </c>
      <c r="CB790" s="2117">
        <f t="shared" si="1518"/>
        <v>81.333340269218851</v>
      </c>
      <c r="CC790" s="2117">
        <f t="shared" si="1518"/>
        <v>77.266673255757908</v>
      </c>
      <c r="CD790" s="2117">
        <f t="shared" si="1518"/>
        <v>73.403339592970013</v>
      </c>
      <c r="CE790" s="2117">
        <f t="shared" si="1518"/>
        <v>74.871406384829413</v>
      </c>
      <c r="CF790" s="2117">
        <f t="shared" si="1518"/>
        <v>76.368834512526007</v>
      </c>
      <c r="CG790" s="2117">
        <f t="shared" si="1518"/>
        <v>77.896211202776527</v>
      </c>
      <c r="CH790" s="1759"/>
      <c r="CI790" s="1759"/>
      <c r="CJ790" s="1759"/>
      <c r="CK790" s="1759"/>
      <c r="CL790" s="1759"/>
      <c r="CM790" s="965"/>
      <c r="CN790" s="965">
        <f t="shared" ref="CN790:CN791" si="1519">SUM(BV790:BY790)</f>
        <v>71.068096196673324</v>
      </c>
      <c r="CO790" s="965">
        <f t="shared" si="1515"/>
        <v>-71.068096196673324</v>
      </c>
      <c r="CP790" s="1864" t="str">
        <f>A790</f>
        <v>Gaming revenue</v>
      </c>
      <c r="CQ790" s="1759"/>
      <c r="CR790" s="1759"/>
      <c r="CS790" s="1759"/>
      <c r="CT790" s="1759"/>
      <c r="CU790" s="1759"/>
      <c r="CV790" s="1759"/>
      <c r="CW790" s="1759"/>
      <c r="CX790" s="1759"/>
      <c r="CY790" s="1759"/>
      <c r="CZ790" s="1759">
        <f>BA790</f>
        <v>0</v>
      </c>
      <c r="DA790" s="1759">
        <f>BF790</f>
        <v>44.292870999999991</v>
      </c>
      <c r="DB790" s="1759">
        <f>BK790</f>
        <v>45.667287000000002</v>
      </c>
      <c r="DC790" s="1759">
        <f>BP790</f>
        <v>51.326865218439082</v>
      </c>
      <c r="DD790" s="1759">
        <f>BU790</f>
        <v>59.220251581380232</v>
      </c>
      <c r="DE790" s="1759">
        <f t="shared" ref="DE790:DG791" si="1520">BZ790</f>
        <v>71.068096196673324</v>
      </c>
      <c r="DF790" s="1759">
        <f t="shared" si="1520"/>
        <v>78.964408028367814</v>
      </c>
      <c r="DG790" s="1857">
        <f t="shared" si="1520"/>
        <v>81.333340269218851</v>
      </c>
      <c r="DH790" s="632"/>
      <c r="DI790" s="838"/>
      <c r="DJ790" s="838"/>
      <c r="DK790" s="838"/>
      <c r="DL790" s="838"/>
      <c r="DM790" s="838"/>
      <c r="DN790" s="632"/>
      <c r="DO790" s="858"/>
      <c r="DY790" s="632"/>
      <c r="DZ790" s="632"/>
    </row>
    <row r="791" spans="1:130" ht="12" hidden="1" customHeight="1" outlineLevel="1">
      <c r="A791" s="567" t="s">
        <v>1153</v>
      </c>
      <c r="B791" s="228"/>
      <c r="C791" s="228"/>
      <c r="D791" s="625"/>
      <c r="E791" s="626"/>
      <c r="F791" s="626"/>
      <c r="G791" s="626"/>
      <c r="H791" s="788"/>
      <c r="I791" s="626"/>
      <c r="J791" s="626"/>
      <c r="K791" s="626"/>
      <c r="L791" s="626"/>
      <c r="M791" s="788"/>
      <c r="N791" s="626"/>
      <c r="O791" s="626"/>
      <c r="P791" s="626"/>
      <c r="Q791" s="626"/>
      <c r="R791" s="788"/>
      <c r="S791" s="626"/>
      <c r="T791" s="626"/>
      <c r="U791" s="626"/>
      <c r="V791" s="626"/>
      <c r="W791" s="788"/>
      <c r="X791" s="626"/>
      <c r="Y791" s="626"/>
      <c r="Z791" s="626"/>
      <c r="AA791" s="626"/>
      <c r="AB791" s="788"/>
      <c r="AC791" s="626"/>
      <c r="AD791" s="626"/>
      <c r="AE791" s="626"/>
      <c r="AF791" s="626"/>
      <c r="AG791" s="788"/>
      <c r="AH791" s="626"/>
      <c r="AI791" s="626"/>
      <c r="AJ791" s="626"/>
      <c r="AK791" s="626"/>
      <c r="AL791" s="788"/>
      <c r="AM791" s="626"/>
      <c r="AN791" s="261"/>
      <c r="AO791" s="626"/>
      <c r="AP791" s="330"/>
      <c r="AQ791" s="1439"/>
      <c r="AR791" s="573"/>
      <c r="AS791" s="573"/>
      <c r="AT791" s="573"/>
      <c r="AU791" s="573"/>
      <c r="AV791" s="1621"/>
      <c r="AW791" s="573"/>
      <c r="AX791" s="573"/>
      <c r="AY791" s="573"/>
      <c r="AZ791" s="573"/>
      <c r="BA791" s="1621"/>
      <c r="BB791" s="573"/>
      <c r="BC791" s="573"/>
      <c r="BD791" s="573"/>
      <c r="BE791" s="573"/>
      <c r="BF791" s="1621"/>
      <c r="BG791" s="2730"/>
      <c r="BH791" s="573"/>
      <c r="BI791" s="573"/>
      <c r="BJ791" s="2135"/>
      <c r="BK791" s="1621">
        <f>+BK790/BF790-1</f>
        <v>3.1030185421938583E-2</v>
      </c>
      <c r="BL791" s="573"/>
      <c r="BM791" s="573"/>
      <c r="BN791" s="573"/>
      <c r="BO791" s="2135"/>
      <c r="BP791" s="1621">
        <f>+BP790/BK790-1</f>
        <v>0.12393068627963566</v>
      </c>
      <c r="BQ791" s="573"/>
      <c r="BR791" s="573"/>
      <c r="BS791" s="573"/>
      <c r="BT791" s="2135"/>
      <c r="BU791" s="1621">
        <f>+BU790/BP790-1</f>
        <v>0.15378664427192534</v>
      </c>
      <c r="BV791" s="573"/>
      <c r="BW791" s="573"/>
      <c r="BX791" s="573"/>
      <c r="BY791" s="2135"/>
      <c r="BZ791" s="1621">
        <f>+BZ790/BU790-1</f>
        <v>0.2000640709709216</v>
      </c>
      <c r="CA791" s="1621">
        <f t="shared" ref="CA791:CG791" si="1521">+CA790/BZ790-1</f>
        <v>0.11110909471730168</v>
      </c>
      <c r="CB791" s="1621">
        <f t="shared" si="1521"/>
        <v>3.0000000000000027E-2</v>
      </c>
      <c r="CC791" s="1621">
        <f t="shared" si="1521"/>
        <v>-5.0000000000000044E-2</v>
      </c>
      <c r="CD791" s="1621">
        <f t="shared" si="1521"/>
        <v>-5.0000000000000044E-2</v>
      </c>
      <c r="CE791" s="1621">
        <f t="shared" si="1521"/>
        <v>2.0000000000000018E-2</v>
      </c>
      <c r="CF791" s="1621">
        <f t="shared" si="1521"/>
        <v>2.0000000000000018E-2</v>
      </c>
      <c r="CG791" s="1621">
        <f t="shared" si="1521"/>
        <v>2.0000000000000018E-2</v>
      </c>
      <c r="CH791" s="626"/>
      <c r="CI791" s="626"/>
      <c r="CJ791" s="626"/>
      <c r="CK791" s="626"/>
      <c r="CL791" s="626"/>
      <c r="CM791" s="965"/>
      <c r="CN791" s="965">
        <f t="shared" si="1519"/>
        <v>0</v>
      </c>
      <c r="CO791" s="965"/>
      <c r="CP791" s="994" t="str">
        <f>A791</f>
        <v>% growth</v>
      </c>
      <c r="CQ791" s="626"/>
      <c r="CR791" s="626"/>
      <c r="CS791" s="626"/>
      <c r="CT791" s="626"/>
      <c r="CU791" s="626"/>
      <c r="CV791" s="626"/>
      <c r="CW791" s="626"/>
      <c r="CX791" s="626"/>
      <c r="CY791" s="626"/>
      <c r="CZ791" s="626">
        <f>BA791</f>
        <v>0</v>
      </c>
      <c r="DA791" s="626">
        <f>BF791</f>
        <v>0</v>
      </c>
      <c r="DB791" s="626">
        <f>BK791</f>
        <v>3.1030185421938583E-2</v>
      </c>
      <c r="DC791" s="626">
        <f>BP791</f>
        <v>0.12393068627963566</v>
      </c>
      <c r="DD791" s="626">
        <f>BU791</f>
        <v>0.15378664427192534</v>
      </c>
      <c r="DE791" s="626">
        <f t="shared" si="1520"/>
        <v>0.2000640709709216</v>
      </c>
      <c r="DF791" s="626">
        <f t="shared" si="1520"/>
        <v>0.11110909471730168</v>
      </c>
      <c r="DG791" s="1893">
        <f t="shared" si="1520"/>
        <v>3.0000000000000027E-2</v>
      </c>
      <c r="DH791" s="632"/>
      <c r="DI791" s="595"/>
      <c r="DJ791" s="595"/>
      <c r="DK791" s="595"/>
      <c r="DL791" s="595"/>
      <c r="DM791" s="595"/>
      <c r="DN791" s="514"/>
      <c r="DO791" s="77"/>
      <c r="DY791" s="573"/>
      <c r="DZ791" s="573"/>
    </row>
    <row r="792" spans="1:130" ht="12" hidden="1" customHeight="1" outlineLevel="1">
      <c r="A792" s="567"/>
      <c r="B792" s="228"/>
      <c r="C792" s="228"/>
      <c r="D792" s="625"/>
      <c r="E792" s="626"/>
      <c r="F792" s="626"/>
      <c r="G792" s="626"/>
      <c r="H792" s="788"/>
      <c r="I792" s="626"/>
      <c r="J792" s="626"/>
      <c r="K792" s="626"/>
      <c r="L792" s="626"/>
      <c r="M792" s="788"/>
      <c r="N792" s="626"/>
      <c r="O792" s="626"/>
      <c r="P792" s="626"/>
      <c r="Q792" s="626"/>
      <c r="R792" s="788"/>
      <c r="S792" s="626"/>
      <c r="T792" s="626"/>
      <c r="U792" s="626"/>
      <c r="V792" s="626"/>
      <c r="W792" s="788"/>
      <c r="X792" s="626"/>
      <c r="Y792" s="626"/>
      <c r="Z792" s="626"/>
      <c r="AA792" s="626"/>
      <c r="AB792" s="788"/>
      <c r="AC792" s="626"/>
      <c r="AD792" s="626"/>
      <c r="AE792" s="626"/>
      <c r="AF792" s="626"/>
      <c r="AG792" s="788"/>
      <c r="AH792" s="626"/>
      <c r="AI792" s="626"/>
      <c r="AJ792" s="626"/>
      <c r="AK792" s="626"/>
      <c r="AL792" s="788"/>
      <c r="AM792" s="626"/>
      <c r="AN792" s="261"/>
      <c r="AO792" s="626"/>
      <c r="AP792" s="330"/>
      <c r="AQ792" s="1439"/>
      <c r="AR792" s="330"/>
      <c r="AS792" s="330"/>
      <c r="AT792" s="330"/>
      <c r="AU792" s="626"/>
      <c r="AV792" s="1951"/>
      <c r="AW792" s="626"/>
      <c r="AX792" s="261"/>
      <c r="AY792" s="626"/>
      <c r="AZ792" s="626"/>
      <c r="BA792" s="1439"/>
      <c r="BB792" s="626"/>
      <c r="BC792" s="261"/>
      <c r="BD792" s="626"/>
      <c r="BE792" s="626"/>
      <c r="BF792" s="1439"/>
      <c r="BG792" s="678"/>
      <c r="BH792" s="330"/>
      <c r="BI792" s="330"/>
      <c r="BJ792" s="2136"/>
      <c r="BK792" s="1439"/>
      <c r="BL792" s="330"/>
      <c r="BM792" s="330"/>
      <c r="BN792" s="330"/>
      <c r="BO792" s="2136"/>
      <c r="BP792" s="1439"/>
      <c r="BQ792" s="330"/>
      <c r="BR792" s="330"/>
      <c r="BS792" s="330"/>
      <c r="BT792" s="2136"/>
      <c r="BU792" s="1439"/>
      <c r="BV792" s="330"/>
      <c r="BW792" s="330"/>
      <c r="BX792" s="330"/>
      <c r="BY792" s="2136"/>
      <c r="BZ792" s="1439"/>
      <c r="CA792" s="1439"/>
      <c r="CB792" s="1439"/>
      <c r="CC792" s="1439"/>
      <c r="CD792" s="1439"/>
      <c r="CE792" s="1439"/>
      <c r="CF792" s="1439"/>
      <c r="CG792" s="1439"/>
      <c r="CH792" s="626"/>
      <c r="CI792" s="626"/>
      <c r="CJ792" s="626"/>
      <c r="CK792" s="626"/>
      <c r="CL792" s="626"/>
      <c r="CM792" s="626"/>
      <c r="CN792" s="626"/>
      <c r="CO792" s="626"/>
      <c r="CP792" s="994"/>
      <c r="CQ792" s="626"/>
      <c r="CR792" s="626"/>
      <c r="CS792" s="626"/>
      <c r="CT792" s="626"/>
      <c r="CU792" s="626"/>
      <c r="CV792" s="626"/>
      <c r="CW792" s="626"/>
      <c r="CX792" s="626"/>
      <c r="CY792" s="626"/>
      <c r="CZ792" s="626"/>
      <c r="DA792" s="626"/>
      <c r="DB792" s="626"/>
      <c r="DC792" s="626"/>
      <c r="DD792" s="626"/>
      <c r="DE792" s="626"/>
      <c r="DF792" s="626"/>
      <c r="DG792" s="1893"/>
      <c r="DH792" s="632"/>
      <c r="DI792" s="595"/>
      <c r="DJ792" s="595"/>
      <c r="DK792" s="595"/>
      <c r="DL792" s="595"/>
      <c r="DM792" s="595"/>
      <c r="DN792" s="514"/>
      <c r="DO792" s="77"/>
      <c r="DY792" s="330"/>
      <c r="DZ792" s="330"/>
    </row>
    <row r="793" spans="1:130" ht="12" hidden="1" customHeight="1" outlineLevel="1">
      <c r="A793" s="670" t="s">
        <v>773</v>
      </c>
      <c r="B793" s="837"/>
      <c r="C793" s="837"/>
      <c r="D793" s="2106"/>
      <c r="E793" s="1759"/>
      <c r="F793" s="1759"/>
      <c r="G793" s="1759"/>
      <c r="H793" s="2107"/>
      <c r="I793" s="1759"/>
      <c r="J793" s="1759"/>
      <c r="K793" s="1759"/>
      <c r="L793" s="1759"/>
      <c r="M793" s="2107"/>
      <c r="N793" s="1759"/>
      <c r="O793" s="1759"/>
      <c r="P793" s="1759"/>
      <c r="Q793" s="1759"/>
      <c r="R793" s="2107"/>
      <c r="S793" s="1759"/>
      <c r="T793" s="1759"/>
      <c r="U793" s="1759"/>
      <c r="V793" s="1759"/>
      <c r="W793" s="2107"/>
      <c r="X793" s="1759"/>
      <c r="Y793" s="1759"/>
      <c r="Z793" s="1759"/>
      <c r="AA793" s="1759"/>
      <c r="AB793" s="2107"/>
      <c r="AC793" s="1759"/>
      <c r="AD793" s="1759"/>
      <c r="AE793" s="1759"/>
      <c r="AF793" s="1759"/>
      <c r="AG793" s="2107"/>
      <c r="AH793" s="1759"/>
      <c r="AI793" s="1759"/>
      <c r="AJ793" s="1759"/>
      <c r="AK793" s="1759"/>
      <c r="AL793" s="2107"/>
      <c r="AM793" s="572"/>
      <c r="AN793" s="572"/>
      <c r="AO793" s="572"/>
      <c r="AP793" s="572"/>
      <c r="AQ793" s="2117"/>
      <c r="AR793" s="572"/>
      <c r="AS793" s="572"/>
      <c r="AT793" s="572"/>
      <c r="AU793" s="572"/>
      <c r="AV793" s="2117"/>
      <c r="AW793" s="1759"/>
      <c r="AX793" s="1759"/>
      <c r="AY793" s="1759"/>
      <c r="AZ793" s="1759"/>
      <c r="BA793" s="2117"/>
      <c r="BB793" s="2723">
        <f t="shared" ref="BB793:BE794" si="1522">+BB787*BB$797</f>
        <v>1.575</v>
      </c>
      <c r="BC793" s="632">
        <f t="shared" si="1522"/>
        <v>1.6274999999999999</v>
      </c>
      <c r="BD793" s="632">
        <f t="shared" si="1522"/>
        <v>1.4044070949999998</v>
      </c>
      <c r="BE793" s="2169">
        <f t="shared" si="1522"/>
        <v>1.36835749575</v>
      </c>
      <c r="BF793" s="2117">
        <f>+SUM(BB793:BE793)</f>
        <v>5.9752645907499993</v>
      </c>
      <c r="BG793" s="2723">
        <f t="shared" ref="BG793:BJ794" si="1523">+BG787*BG$797</f>
        <v>1.5987483784999998</v>
      </c>
      <c r="BH793" s="632">
        <f t="shared" si="1523"/>
        <v>1.611614025</v>
      </c>
      <c r="BI793" s="632">
        <f t="shared" si="1523"/>
        <v>1.6089142562499998</v>
      </c>
      <c r="BJ793" s="2169">
        <f t="shared" si="1523"/>
        <v>1.7557215374999999</v>
      </c>
      <c r="BK793" s="2117">
        <f>+SUM(BG793:BJ793)</f>
        <v>6.5749981972499985</v>
      </c>
      <c r="BL793" s="632">
        <f t="shared" ref="BL793:BO794" si="1524">+BL787*BL$797</f>
        <v>1.5710503200000001</v>
      </c>
      <c r="BM793" s="632">
        <f t="shared" si="1524"/>
        <v>1.5387376936749999</v>
      </c>
      <c r="BN793" s="632">
        <f t="shared" si="1524"/>
        <v>1.5387376936749999</v>
      </c>
      <c r="BO793" s="2169">
        <f t="shared" si="1524"/>
        <v>1.5387376936749999</v>
      </c>
      <c r="BP793" s="2117">
        <f>+SUM(BL793:BO793)</f>
        <v>6.1872634010249996</v>
      </c>
      <c r="BQ793" s="632">
        <f t="shared" ref="BQ793:BT794" si="1525">+BQ787*BQ$797</f>
        <v>1.7846954691737837</v>
      </c>
      <c r="BR793" s="632">
        <f t="shared" si="1525"/>
        <v>1.7846954691737837</v>
      </c>
      <c r="BS793" s="632">
        <f>+BS787*BS$797</f>
        <v>1.7846954691737837</v>
      </c>
      <c r="BT793" s="2169">
        <f t="shared" si="1525"/>
        <v>1.7846954691737837</v>
      </c>
      <c r="BU793" s="2117">
        <f>+SUM(BQ793:BT793)</f>
        <v>7.138781876695135</v>
      </c>
      <c r="BV793" s="632">
        <f t="shared" ref="BV793:BY793" si="1526">+BV787*BV$797</f>
        <v>2.1417489101800498</v>
      </c>
      <c r="BW793" s="632">
        <f t="shared" si="1526"/>
        <v>2.1417489101800498</v>
      </c>
      <c r="BX793" s="632">
        <f t="shared" si="1526"/>
        <v>2.1417489101800498</v>
      </c>
      <c r="BY793" s="2169">
        <f t="shared" si="1526"/>
        <v>2.1417489101800498</v>
      </c>
      <c r="BZ793" s="2117">
        <f>+SUM(BV793:BY793)</f>
        <v>8.566995640720199</v>
      </c>
      <c r="CA793" s="2117">
        <f t="shared" ref="CA793:CB794" si="1527">+CA787*CA$797</f>
        <v>9.5188667708076924</v>
      </c>
      <c r="CB793" s="2117">
        <f t="shared" si="1527"/>
        <v>9.8044327739319233</v>
      </c>
      <c r="CC793" s="2117">
        <f t="shared" ref="CC793:CG794" si="1528">+CC787*CC$797</f>
        <v>9.3142111352353272</v>
      </c>
      <c r="CD793" s="2117">
        <f t="shared" si="1528"/>
        <v>8.8485005784735602</v>
      </c>
      <c r="CE793" s="2117">
        <f t="shared" si="1528"/>
        <v>9.0254705900430316</v>
      </c>
      <c r="CF793" s="2117">
        <f t="shared" si="1528"/>
        <v>9.2059800018438924</v>
      </c>
      <c r="CG793" s="2117">
        <f t="shared" si="1528"/>
        <v>9.3900996018807721</v>
      </c>
      <c r="CH793" s="1759"/>
      <c r="CI793" s="1759"/>
      <c r="CJ793" s="1759"/>
      <c r="CK793" s="1759"/>
      <c r="CL793" s="1759"/>
      <c r="CM793" s="965"/>
      <c r="CN793" s="965">
        <f t="shared" ref="CN793:CN794" si="1529">SUM(BV793:BY793)</f>
        <v>8.566995640720199</v>
      </c>
      <c r="CO793" s="965">
        <f t="shared" si="1515"/>
        <v>-8.566995640720199</v>
      </c>
      <c r="CP793" s="1864" t="str">
        <f>A793</f>
        <v>Borgata</v>
      </c>
      <c r="CQ793" s="1759"/>
      <c r="CR793" s="1759"/>
      <c r="CS793" s="1759"/>
      <c r="CT793" s="1759"/>
      <c r="CU793" s="1759"/>
      <c r="CV793" s="1759"/>
      <c r="CW793" s="1759"/>
      <c r="CX793" s="1759"/>
      <c r="CY793" s="1759"/>
      <c r="CZ793" s="1759">
        <f>BA793</f>
        <v>0</v>
      </c>
      <c r="DA793" s="1759">
        <f>BF793</f>
        <v>5.9752645907499993</v>
      </c>
      <c r="DB793" s="1759">
        <f>BK793</f>
        <v>6.5749981972499985</v>
      </c>
      <c r="DC793" s="1759">
        <f>BP793</f>
        <v>6.1872634010249996</v>
      </c>
      <c r="DD793" s="1759">
        <f>BU793</f>
        <v>7.138781876695135</v>
      </c>
      <c r="DE793" s="1759">
        <f t="shared" ref="DE793:DG794" si="1530">BZ793</f>
        <v>8.566995640720199</v>
      </c>
      <c r="DF793" s="1759">
        <f t="shared" si="1530"/>
        <v>9.5188667708076924</v>
      </c>
      <c r="DG793" s="1857">
        <f t="shared" si="1530"/>
        <v>9.8044327739319233</v>
      </c>
      <c r="DH793" s="632"/>
      <c r="DI793" s="838"/>
      <c r="DJ793" s="838"/>
      <c r="DK793" s="838"/>
      <c r="DL793" s="838"/>
      <c r="DM793" s="838"/>
      <c r="DN793" s="632"/>
      <c r="DO793" s="858"/>
      <c r="DY793" s="632"/>
      <c r="DZ793" s="632"/>
    </row>
    <row r="794" spans="1:130" ht="12" hidden="1" customHeight="1" outlineLevel="1">
      <c r="A794" s="429" t="s">
        <v>1633</v>
      </c>
      <c r="B794" s="2048"/>
      <c r="C794" s="2048"/>
      <c r="D794" s="2119"/>
      <c r="E794" s="776"/>
      <c r="F794" s="776"/>
      <c r="G794" s="776"/>
      <c r="H794" s="777"/>
      <c r="I794" s="776"/>
      <c r="J794" s="776"/>
      <c r="K794" s="776"/>
      <c r="L794" s="776"/>
      <c r="M794" s="777"/>
      <c r="N794" s="776"/>
      <c r="O794" s="776"/>
      <c r="P794" s="776"/>
      <c r="Q794" s="776"/>
      <c r="R794" s="777"/>
      <c r="S794" s="776"/>
      <c r="T794" s="776"/>
      <c r="U794" s="776"/>
      <c r="V794" s="776"/>
      <c r="W794" s="777"/>
      <c r="X794" s="776"/>
      <c r="Y794" s="776"/>
      <c r="Z794" s="776"/>
      <c r="AA794" s="776"/>
      <c r="AB794" s="777"/>
      <c r="AC794" s="776"/>
      <c r="AD794" s="776"/>
      <c r="AE794" s="776"/>
      <c r="AF794" s="776"/>
      <c r="AG794" s="777"/>
      <c r="AH794" s="776"/>
      <c r="AI794" s="776"/>
      <c r="AJ794" s="776"/>
      <c r="AK794" s="776"/>
      <c r="AL794" s="777"/>
      <c r="AM794" s="776"/>
      <c r="AN794" s="776"/>
      <c r="AO794" s="776"/>
      <c r="AP794" s="776"/>
      <c r="AQ794" s="2120"/>
      <c r="AR794" s="776"/>
      <c r="AS794" s="776"/>
      <c r="AT794" s="776"/>
      <c r="AU794" s="776"/>
      <c r="AV794" s="2120"/>
      <c r="AW794" s="776"/>
      <c r="AX794" s="776"/>
      <c r="AY794" s="776"/>
      <c r="AZ794" s="776"/>
      <c r="BA794" s="2120"/>
      <c r="BB794" s="2724">
        <f t="shared" si="1522"/>
        <v>0.58969697499999985</v>
      </c>
      <c r="BC794" s="650">
        <f t="shared" si="1522"/>
        <v>0.40294939999999951</v>
      </c>
      <c r="BD794" s="650">
        <f t="shared" si="1522"/>
        <v>0.3657343549999999</v>
      </c>
      <c r="BE794" s="2170">
        <f t="shared" si="1522"/>
        <v>0.41760710425000003</v>
      </c>
      <c r="BF794" s="2120">
        <f>+SUM(BB794:BE794)</f>
        <v>1.7759878342499993</v>
      </c>
      <c r="BG794" s="2724">
        <f t="shared" si="1523"/>
        <v>0.45100842150000015</v>
      </c>
      <c r="BH794" s="650">
        <f t="shared" si="1523"/>
        <v>0.40063064999999992</v>
      </c>
      <c r="BI794" s="650">
        <f t="shared" si="1523"/>
        <v>0.29696716875000001</v>
      </c>
      <c r="BJ794" s="2170">
        <f t="shared" si="1523"/>
        <v>0.26817078750000001</v>
      </c>
      <c r="BK794" s="2120">
        <f>+SUM(BG794:BJ794)</f>
        <v>1.4167770277500003</v>
      </c>
      <c r="BL794" s="650">
        <f t="shared" si="1524"/>
        <v>0.709681805</v>
      </c>
      <c r="BM794" s="650">
        <f t="shared" si="1524"/>
        <v>0.69508540240061278</v>
      </c>
      <c r="BN794" s="650">
        <f t="shared" si="1524"/>
        <v>0.69508540240061278</v>
      </c>
      <c r="BO794" s="2170">
        <f t="shared" si="1524"/>
        <v>0.69508540240061278</v>
      </c>
      <c r="BP794" s="2120">
        <f>+SUM(BL794:BO794)</f>
        <v>2.7949380122018388</v>
      </c>
      <c r="BQ794" s="650">
        <f t="shared" si="1525"/>
        <v>0.80619053751160119</v>
      </c>
      <c r="BR794" s="650">
        <f t="shared" si="1525"/>
        <v>0.80619053751160119</v>
      </c>
      <c r="BS794" s="650">
        <f>+BS788*BS$797</f>
        <v>0.80619053751160119</v>
      </c>
      <c r="BT794" s="2170">
        <f t="shared" si="1525"/>
        <v>0.80619053751160119</v>
      </c>
      <c r="BU794" s="2120">
        <f>+SUM(BQ794:BT794)</f>
        <v>3.2247621500464048</v>
      </c>
      <c r="BV794" s="650">
        <f t="shared" ref="BV794:BY794" si="1531">+BV788*BV$797</f>
        <v>0.96748029842440775</v>
      </c>
      <c r="BW794" s="650">
        <f t="shared" si="1531"/>
        <v>0.96748029842440775</v>
      </c>
      <c r="BX794" s="650">
        <f t="shared" si="1531"/>
        <v>0.96748029842440775</v>
      </c>
      <c r="BY794" s="2170">
        <f t="shared" si="1531"/>
        <v>0.96748029842440775</v>
      </c>
      <c r="BZ794" s="2120">
        <f>+SUM(BV794:BY794)</f>
        <v>3.869921193697631</v>
      </c>
      <c r="CA794" s="2120">
        <f t="shared" si="1527"/>
        <v>4.2999046341566745</v>
      </c>
      <c r="CB794" s="2120">
        <f t="shared" si="1527"/>
        <v>4.4289017731813747</v>
      </c>
      <c r="CC794" s="2120">
        <f t="shared" si="1528"/>
        <v>4.207456684522306</v>
      </c>
      <c r="CD794" s="2120">
        <f t="shared" si="1528"/>
        <v>3.9970838502961903</v>
      </c>
      <c r="CE794" s="2120">
        <f t="shared" si="1528"/>
        <v>4.0770255273021148</v>
      </c>
      <c r="CF794" s="2120">
        <f t="shared" si="1528"/>
        <v>4.158566037848157</v>
      </c>
      <c r="CG794" s="2120">
        <f t="shared" si="1528"/>
        <v>4.2417373586051204</v>
      </c>
      <c r="CH794" s="776"/>
      <c r="CI794" s="776"/>
      <c r="CJ794" s="776"/>
      <c r="CK794" s="776"/>
      <c r="CL794" s="776"/>
      <c r="CM794" s="965"/>
      <c r="CN794" s="965">
        <f t="shared" si="1529"/>
        <v>3.869921193697631</v>
      </c>
      <c r="CO794" s="965">
        <f t="shared" si="1515"/>
        <v>-3.869921193697631</v>
      </c>
      <c r="CP794" s="2052" t="str">
        <f>A794</f>
        <v>PartyPoker JV</v>
      </c>
      <c r="CQ794" s="776"/>
      <c r="CR794" s="776"/>
      <c r="CS794" s="776"/>
      <c r="CT794" s="776"/>
      <c r="CU794" s="776"/>
      <c r="CV794" s="776"/>
      <c r="CW794" s="776"/>
      <c r="CX794" s="776"/>
      <c r="CY794" s="776"/>
      <c r="CZ794" s="776">
        <f>BA794</f>
        <v>0</v>
      </c>
      <c r="DA794" s="776">
        <f>BF794</f>
        <v>1.7759878342499993</v>
      </c>
      <c r="DB794" s="776">
        <f>BK794</f>
        <v>1.4167770277500003</v>
      </c>
      <c r="DC794" s="776">
        <f>BP794</f>
        <v>2.7949380122018388</v>
      </c>
      <c r="DD794" s="776">
        <f>BU794</f>
        <v>3.2247621500464048</v>
      </c>
      <c r="DE794" s="776">
        <f t="shared" si="1530"/>
        <v>3.869921193697631</v>
      </c>
      <c r="DF794" s="776">
        <f t="shared" si="1530"/>
        <v>4.2999046341566745</v>
      </c>
      <c r="DG794" s="2121">
        <f t="shared" si="1530"/>
        <v>4.4289017731813747</v>
      </c>
      <c r="DH794" s="650"/>
      <c r="DI794" s="650"/>
      <c r="DJ794" s="650"/>
      <c r="DK794" s="650"/>
      <c r="DL794" s="650"/>
      <c r="DM794" s="650"/>
      <c r="DN794" s="650"/>
      <c r="DO794" s="2122"/>
      <c r="DY794" s="650"/>
      <c r="DZ794" s="650"/>
    </row>
    <row r="795" spans="1:130" ht="3.95" hidden="1" customHeight="1" outlineLevel="1">
      <c r="A795" s="552"/>
      <c r="B795" s="228"/>
      <c r="C795" s="228"/>
      <c r="D795" s="625"/>
      <c r="E795" s="626"/>
      <c r="F795" s="626"/>
      <c r="G795" s="626"/>
      <c r="H795" s="788"/>
      <c r="I795" s="626"/>
      <c r="J795" s="626"/>
      <c r="K795" s="626"/>
      <c r="L795" s="626"/>
      <c r="M795" s="788"/>
      <c r="N795" s="626"/>
      <c r="O795" s="626"/>
      <c r="P795" s="626"/>
      <c r="Q795" s="626"/>
      <c r="R795" s="788"/>
      <c r="S795" s="626"/>
      <c r="T795" s="626"/>
      <c r="U795" s="626"/>
      <c r="V795" s="626"/>
      <c r="W795" s="788"/>
      <c r="X795" s="626"/>
      <c r="Y795" s="626"/>
      <c r="Z795" s="626"/>
      <c r="AA795" s="626"/>
      <c r="AB795" s="788"/>
      <c r="AC795" s="626"/>
      <c r="AD795" s="626"/>
      <c r="AE795" s="626"/>
      <c r="AF795" s="626"/>
      <c r="AG795" s="788"/>
      <c r="AH795" s="626"/>
      <c r="AI795" s="626"/>
      <c r="AJ795" s="626"/>
      <c r="AK795" s="626"/>
      <c r="AL795" s="788"/>
      <c r="AM795" s="626"/>
      <c r="AN795" s="261"/>
      <c r="AO795" s="626"/>
      <c r="AP795" s="330"/>
      <c r="AQ795" s="1439"/>
      <c r="AR795" s="330"/>
      <c r="AS795" s="330"/>
      <c r="AT795" s="330"/>
      <c r="AU795" s="626"/>
      <c r="AV795" s="1951"/>
      <c r="AW795" s="626"/>
      <c r="AX795" s="261"/>
      <c r="AY795" s="626"/>
      <c r="AZ795" s="626"/>
      <c r="BA795" s="2105"/>
      <c r="BB795" s="2718" t="s">
        <v>343</v>
      </c>
      <c r="BC795" s="2155" t="s">
        <v>343</v>
      </c>
      <c r="BD795" s="2155" t="s">
        <v>343</v>
      </c>
      <c r="BE795" s="2156" t="s">
        <v>343</v>
      </c>
      <c r="BF795" s="2105" t="s">
        <v>343</v>
      </c>
      <c r="BG795" s="2718" t="s">
        <v>343</v>
      </c>
      <c r="BH795" s="2155" t="s">
        <v>343</v>
      </c>
      <c r="BI795" s="2155" t="s">
        <v>343</v>
      </c>
      <c r="BJ795" s="2156" t="s">
        <v>343</v>
      </c>
      <c r="BK795" s="2105" t="s">
        <v>343</v>
      </c>
      <c r="BL795" s="2155" t="s">
        <v>343</v>
      </c>
      <c r="BM795" s="2155" t="s">
        <v>343</v>
      </c>
      <c r="BN795" s="2155" t="s">
        <v>343</v>
      </c>
      <c r="BO795" s="2156" t="s">
        <v>343</v>
      </c>
      <c r="BP795" s="2105" t="s">
        <v>343</v>
      </c>
      <c r="BQ795" s="2155" t="s">
        <v>343</v>
      </c>
      <c r="BR795" s="2155" t="s">
        <v>343</v>
      </c>
      <c r="BS795" s="2155" t="s">
        <v>343</v>
      </c>
      <c r="BT795" s="2156" t="s">
        <v>343</v>
      </c>
      <c r="BU795" s="2105" t="s">
        <v>343</v>
      </c>
      <c r="BV795" s="2155" t="s">
        <v>343</v>
      </c>
      <c r="BW795" s="2155" t="s">
        <v>343</v>
      </c>
      <c r="BX795" s="2155" t="s">
        <v>343</v>
      </c>
      <c r="BY795" s="2156" t="s">
        <v>343</v>
      </c>
      <c r="BZ795" s="2105" t="s">
        <v>343</v>
      </c>
      <c r="CA795" s="2105" t="s">
        <v>343</v>
      </c>
      <c r="CB795" s="2105" t="s">
        <v>343</v>
      </c>
      <c r="CC795" s="2105" t="s">
        <v>343</v>
      </c>
      <c r="CD795" s="2105" t="s">
        <v>343</v>
      </c>
      <c r="CE795" s="2105" t="s">
        <v>343</v>
      </c>
      <c r="CF795" s="2105" t="s">
        <v>343</v>
      </c>
      <c r="CG795" s="2105" t="s">
        <v>343</v>
      </c>
      <c r="CH795" s="626"/>
      <c r="CI795" s="626"/>
      <c r="CJ795" s="626"/>
      <c r="CK795" s="626"/>
      <c r="CL795" s="626"/>
      <c r="CM795" s="626"/>
      <c r="CN795" s="626"/>
      <c r="CO795" s="965">
        <f t="shared" si="1515"/>
        <v>0</v>
      </c>
      <c r="CP795" s="994"/>
      <c r="CQ795" s="626"/>
      <c r="CR795" s="626"/>
      <c r="CS795" s="626"/>
      <c r="CT795" s="626"/>
      <c r="CU795" s="626"/>
      <c r="CV795" s="626"/>
      <c r="CW795" s="626"/>
      <c r="CX795" s="626"/>
      <c r="CY795" s="626"/>
      <c r="CZ795" s="626"/>
      <c r="DA795" s="626"/>
      <c r="DB795" s="626"/>
      <c r="DC795" s="626"/>
      <c r="DD795" s="626"/>
      <c r="DE795" s="626"/>
      <c r="DF795" s="626"/>
      <c r="DG795" s="1893"/>
      <c r="DH795" s="632"/>
      <c r="DI795" s="595"/>
      <c r="DJ795" s="595"/>
      <c r="DK795" s="595"/>
      <c r="DL795" s="595"/>
      <c r="DM795" s="595"/>
      <c r="DN795" s="514"/>
      <c r="DO795" s="77"/>
      <c r="DY795" s="2155"/>
      <c r="DZ795" s="2155"/>
    </row>
    <row r="796" spans="1:130" ht="12" hidden="1" customHeight="1" outlineLevel="1">
      <c r="A796" s="670" t="s">
        <v>1663</v>
      </c>
      <c r="B796" s="837"/>
      <c r="C796" s="837"/>
      <c r="D796" s="2106"/>
      <c r="E796" s="1759"/>
      <c r="F796" s="1759"/>
      <c r="G796" s="1759"/>
      <c r="H796" s="2107"/>
      <c r="I796" s="1759"/>
      <c r="J796" s="1759"/>
      <c r="K796" s="1759"/>
      <c r="L796" s="1759"/>
      <c r="M796" s="2107"/>
      <c r="N796" s="1759"/>
      <c r="O796" s="1759"/>
      <c r="P796" s="1759"/>
      <c r="Q796" s="1759"/>
      <c r="R796" s="2107"/>
      <c r="S796" s="1759"/>
      <c r="T796" s="1759"/>
      <c r="U796" s="1759"/>
      <c r="V796" s="1759"/>
      <c r="W796" s="2107"/>
      <c r="X796" s="1759"/>
      <c r="Y796" s="1759"/>
      <c r="Z796" s="1759"/>
      <c r="AA796" s="1759"/>
      <c r="AB796" s="2107"/>
      <c r="AC796" s="1759"/>
      <c r="AD796" s="1759"/>
      <c r="AE796" s="1759"/>
      <c r="AF796" s="1759"/>
      <c r="AG796" s="2107"/>
      <c r="AH796" s="1759"/>
      <c r="AI796" s="1759"/>
      <c r="AJ796" s="1759"/>
      <c r="AK796" s="1759"/>
      <c r="AL796" s="2107"/>
      <c r="AM796" s="1759"/>
      <c r="AN796" s="1759"/>
      <c r="AO796" s="1759"/>
      <c r="AP796" s="1759"/>
      <c r="AQ796" s="2117"/>
      <c r="AR796" s="1759"/>
      <c r="AS796" s="1759"/>
      <c r="AT796" s="1759"/>
      <c r="AU796" s="1759"/>
      <c r="AV796" s="2117"/>
      <c r="AW796" s="1759"/>
      <c r="AX796" s="1759"/>
      <c r="AY796" s="1759"/>
      <c r="AZ796" s="1759"/>
      <c r="BA796" s="2117"/>
      <c r="BB796" s="2723">
        <f t="shared" ref="BB796:BL796" si="1532">+SUM(BB793:BB795)</f>
        <v>2.164696975</v>
      </c>
      <c r="BC796" s="632">
        <f t="shared" si="1532"/>
        <v>2.0304493999999993</v>
      </c>
      <c r="BD796" s="632">
        <f t="shared" si="1532"/>
        <v>1.7701414499999997</v>
      </c>
      <c r="BE796" s="2169">
        <f t="shared" si="1532"/>
        <v>1.7859646</v>
      </c>
      <c r="BF796" s="2117">
        <f t="shared" si="1532"/>
        <v>7.7512524249999988</v>
      </c>
      <c r="BG796" s="2723">
        <f t="shared" si="1532"/>
        <v>2.0497567999999999</v>
      </c>
      <c r="BH796" s="632">
        <f t="shared" si="1532"/>
        <v>2.0122446749999998</v>
      </c>
      <c r="BI796" s="632">
        <f t="shared" si="1532"/>
        <v>1.9058814249999998</v>
      </c>
      <c r="BJ796" s="2169">
        <f t="shared" si="1532"/>
        <v>2.0238923249999998</v>
      </c>
      <c r="BK796" s="2117">
        <f t="shared" si="1532"/>
        <v>7.9917752249999987</v>
      </c>
      <c r="BL796" s="632">
        <f t="shared" si="1532"/>
        <v>2.2807321250000001</v>
      </c>
      <c r="BM796" s="632">
        <f t="shared" ref="BM796:CB796" si="1533">+SUM(BM793:BM795)</f>
        <v>2.2338230960756125</v>
      </c>
      <c r="BN796" s="632">
        <f t="shared" si="1533"/>
        <v>2.2338230960756125</v>
      </c>
      <c r="BO796" s="2169">
        <f t="shared" si="1533"/>
        <v>2.2338230960756125</v>
      </c>
      <c r="BP796" s="2117">
        <f t="shared" si="1533"/>
        <v>8.9822014132268393</v>
      </c>
      <c r="BQ796" s="632">
        <f t="shared" ref="BQ796:BZ796" si="1534">+SUM(BQ793:BQ795)</f>
        <v>2.5908860066853849</v>
      </c>
      <c r="BR796" s="632">
        <f t="shared" si="1534"/>
        <v>2.5908860066853849</v>
      </c>
      <c r="BS796" s="632">
        <f t="shared" si="1534"/>
        <v>2.5908860066853849</v>
      </c>
      <c r="BT796" s="2169">
        <f t="shared" si="1534"/>
        <v>2.5908860066853849</v>
      </c>
      <c r="BU796" s="2117">
        <f t="shared" si="1534"/>
        <v>10.36354402674154</v>
      </c>
      <c r="BV796" s="632">
        <f t="shared" si="1534"/>
        <v>3.1092292086044573</v>
      </c>
      <c r="BW796" s="632">
        <f t="shared" si="1534"/>
        <v>3.1092292086044573</v>
      </c>
      <c r="BX796" s="632">
        <f t="shared" si="1534"/>
        <v>3.1092292086044573</v>
      </c>
      <c r="BY796" s="2169">
        <f t="shared" si="1534"/>
        <v>3.1092292086044573</v>
      </c>
      <c r="BZ796" s="2117">
        <f t="shared" si="1534"/>
        <v>12.436916834417829</v>
      </c>
      <c r="CA796" s="2117">
        <f t="shared" si="1533"/>
        <v>13.818771404964366</v>
      </c>
      <c r="CB796" s="2117">
        <f t="shared" si="1533"/>
        <v>14.233334547113298</v>
      </c>
      <c r="CC796" s="2117">
        <f>+SUM(CC793:CC795)</f>
        <v>13.521667819757633</v>
      </c>
      <c r="CD796" s="2117">
        <f>+SUM(CD793:CD795)</f>
        <v>12.845584428769751</v>
      </c>
      <c r="CE796" s="2117">
        <f>+SUM(CE793:CE795)</f>
        <v>13.102496117345147</v>
      </c>
      <c r="CF796" s="2117">
        <f>+SUM(CF793:CF795)</f>
        <v>13.364546039692049</v>
      </c>
      <c r="CG796" s="2117">
        <f>+SUM(CG793:CG795)</f>
        <v>13.631836960485892</v>
      </c>
      <c r="CH796" s="1759"/>
      <c r="CI796" s="1759"/>
      <c r="CJ796" s="1759"/>
      <c r="CK796" s="1759"/>
      <c r="CL796" s="1759"/>
      <c r="CM796" s="965"/>
      <c r="CN796" s="965">
        <f t="shared" ref="CN796" si="1535">SUM(BV796:BY796)</f>
        <v>12.436916834417829</v>
      </c>
      <c r="CO796" s="965">
        <f t="shared" si="1515"/>
        <v>-12.436916834417829</v>
      </c>
      <c r="CP796" s="1864" t="str">
        <f>A796</f>
        <v>Gaming taxes</v>
      </c>
      <c r="CQ796" s="1759"/>
      <c r="CR796" s="1759"/>
      <c r="CS796" s="1759"/>
      <c r="CT796" s="1759"/>
      <c r="CU796" s="1759"/>
      <c r="CV796" s="1759"/>
      <c r="CW796" s="1759"/>
      <c r="CX796" s="1759"/>
      <c r="CY796" s="1759"/>
      <c r="CZ796" s="1759">
        <f>BA796</f>
        <v>0</v>
      </c>
      <c r="DA796" s="1759">
        <f>BF796</f>
        <v>7.7512524249999988</v>
      </c>
      <c r="DB796" s="1759">
        <f>BK796</f>
        <v>7.9917752249999987</v>
      </c>
      <c r="DC796" s="1759">
        <f>BP796</f>
        <v>8.9822014132268393</v>
      </c>
      <c r="DD796" s="1759">
        <f>BU796</f>
        <v>10.36354402674154</v>
      </c>
      <c r="DE796" s="1759">
        <f t="shared" ref="DE796:DG797" si="1536">BZ796</f>
        <v>12.436916834417829</v>
      </c>
      <c r="DF796" s="1759">
        <f t="shared" si="1536"/>
        <v>13.818771404964366</v>
      </c>
      <c r="DG796" s="1857">
        <f t="shared" si="1536"/>
        <v>14.233334547113298</v>
      </c>
      <c r="DH796" s="632"/>
      <c r="DI796" s="838"/>
      <c r="DJ796" s="838"/>
      <c r="DK796" s="838"/>
      <c r="DL796" s="838"/>
      <c r="DM796" s="838"/>
      <c r="DN796" s="632"/>
      <c r="DO796" s="858"/>
      <c r="DY796" s="632"/>
      <c r="DZ796" s="632"/>
    </row>
    <row r="797" spans="1:130" ht="12" hidden="1" customHeight="1" outlineLevel="1">
      <c r="A797" s="567" t="s">
        <v>1664</v>
      </c>
      <c r="B797" s="545"/>
      <c r="C797" s="545"/>
      <c r="D797" s="2196"/>
      <c r="E797" s="2197"/>
      <c r="F797" s="2197"/>
      <c r="G797" s="2197"/>
      <c r="H797" s="2198"/>
      <c r="I797" s="2197"/>
      <c r="J797" s="2197"/>
      <c r="K797" s="2197"/>
      <c r="L797" s="2197"/>
      <c r="M797" s="2198"/>
      <c r="N797" s="2197"/>
      <c r="O797" s="2197"/>
      <c r="P797" s="2197"/>
      <c r="Q797" s="2197"/>
      <c r="R797" s="2198"/>
      <c r="S797" s="2197"/>
      <c r="T797" s="2197"/>
      <c r="U797" s="2197"/>
      <c r="V797" s="2197"/>
      <c r="W797" s="2198"/>
      <c r="X797" s="2197"/>
      <c r="Y797" s="2197"/>
      <c r="Z797" s="2197"/>
      <c r="AA797" s="2197"/>
      <c r="AB797" s="2198"/>
      <c r="AC797" s="2197"/>
      <c r="AD797" s="2197"/>
      <c r="AE797" s="2197"/>
      <c r="AF797" s="2197"/>
      <c r="AG797" s="2198"/>
      <c r="AH797" s="2197"/>
      <c r="AI797" s="2197"/>
      <c r="AJ797" s="2197"/>
      <c r="AK797" s="2197"/>
      <c r="AL797" s="2198"/>
      <c r="AM797" s="860"/>
      <c r="AN797" s="860"/>
      <c r="AO797" s="860"/>
      <c r="AP797" s="860"/>
      <c r="AQ797" s="1975"/>
      <c r="AR797" s="860"/>
      <c r="AS797" s="860"/>
      <c r="AT797" s="860"/>
      <c r="AU797" s="860"/>
      <c r="AV797" s="1975"/>
      <c r="AW797" s="860"/>
      <c r="AX797" s="860"/>
      <c r="AY797" s="860"/>
      <c r="AZ797" s="860"/>
      <c r="BA797" s="1975"/>
      <c r="BB797" s="866">
        <v>0.17499999999999999</v>
      </c>
      <c r="BC797" s="866">
        <v>0.17499999999999999</v>
      </c>
      <c r="BD797" s="866">
        <v>0.17499999999999999</v>
      </c>
      <c r="BE797" s="866">
        <v>0.17499999999999999</v>
      </c>
      <c r="BF797" s="862">
        <f>+BF796/BF790</f>
        <v>0.17500000000000002</v>
      </c>
      <c r="BG797" s="864">
        <v>0.17499999999999999</v>
      </c>
      <c r="BH797" s="866">
        <v>0.17499999999999999</v>
      </c>
      <c r="BI797" s="866">
        <v>0.17499999999999999</v>
      </c>
      <c r="BJ797" s="2885">
        <v>0.17499999999999999</v>
      </c>
      <c r="BK797" s="862">
        <f>+BK796/BK790</f>
        <v>0.17499999999999996</v>
      </c>
      <c r="BL797" s="866">
        <v>0.17499999999999999</v>
      </c>
      <c r="BM797" s="866">
        <v>0.17499999999999999</v>
      </c>
      <c r="BN797" s="866">
        <v>0.17499999999999999</v>
      </c>
      <c r="BO797" s="2885">
        <v>0.17499999999999999</v>
      </c>
      <c r="BP797" s="862">
        <f>+BP796/BP790</f>
        <v>0.17499999999999999</v>
      </c>
      <c r="BQ797" s="866">
        <v>0.17499999999999999</v>
      </c>
      <c r="BR797" s="866">
        <v>0.17499999999999999</v>
      </c>
      <c r="BS797" s="866">
        <v>0.17499999999999999</v>
      </c>
      <c r="BT797" s="2885">
        <v>0.17499999999999999</v>
      </c>
      <c r="BU797" s="862">
        <f>+BU796/BU790</f>
        <v>0.17499999999999999</v>
      </c>
      <c r="BV797" s="866">
        <v>0.17499999999999999</v>
      </c>
      <c r="BW797" s="866">
        <v>0.17499999999999999</v>
      </c>
      <c r="BX797" s="866">
        <v>0.17499999999999999</v>
      </c>
      <c r="BY797" s="2885">
        <v>0.17499999999999999</v>
      </c>
      <c r="BZ797" s="862">
        <f>+BZ796/BZ790</f>
        <v>0.17499999999999996</v>
      </c>
      <c r="CA797" s="1974">
        <v>0.17499999999999999</v>
      </c>
      <c r="CB797" s="1974">
        <v>0.17499999999999999</v>
      </c>
      <c r="CC797" s="1974">
        <v>0.17499999999999999</v>
      </c>
      <c r="CD797" s="1974">
        <v>0.17499999999999999</v>
      </c>
      <c r="CE797" s="1974">
        <v>0.17499999999999999</v>
      </c>
      <c r="CF797" s="1974">
        <v>0.17499999999999999</v>
      </c>
      <c r="CG797" s="1974">
        <v>0.17499999999999999</v>
      </c>
      <c r="CH797" s="2197"/>
      <c r="CI797" s="2197"/>
      <c r="CJ797" s="2197"/>
      <c r="CK797" s="2197"/>
      <c r="CL797" s="2197"/>
      <c r="CM797" s="2197"/>
      <c r="CN797" s="2197"/>
      <c r="CO797" s="2197"/>
      <c r="CP797" s="1880" t="str">
        <f>A797</f>
        <v>% of revenue</v>
      </c>
      <c r="CQ797" s="2197"/>
      <c r="CR797" s="2197"/>
      <c r="CS797" s="2197"/>
      <c r="CT797" s="2197"/>
      <c r="CU797" s="2197"/>
      <c r="CV797" s="2197"/>
      <c r="CW797" s="2197"/>
      <c r="CX797" s="2197"/>
      <c r="CY797" s="2197"/>
      <c r="CZ797" s="2197">
        <f>BA797</f>
        <v>0</v>
      </c>
      <c r="DA797" s="2197">
        <f>BF797</f>
        <v>0.17500000000000002</v>
      </c>
      <c r="DB797" s="2197">
        <f>BK797</f>
        <v>0.17499999999999996</v>
      </c>
      <c r="DC797" s="2197">
        <f>BP797</f>
        <v>0.17499999999999999</v>
      </c>
      <c r="DD797" s="2197">
        <f>BU797</f>
        <v>0.17499999999999999</v>
      </c>
      <c r="DE797" s="2197">
        <f t="shared" si="1536"/>
        <v>0.17499999999999996</v>
      </c>
      <c r="DF797" s="2197">
        <f t="shared" si="1536"/>
        <v>0.17499999999999999</v>
      </c>
      <c r="DG797" s="2199">
        <f t="shared" si="1536"/>
        <v>0.17499999999999999</v>
      </c>
      <c r="DH797" s="2200"/>
      <c r="DI797" s="573"/>
      <c r="DJ797" s="573"/>
      <c r="DK797" s="573"/>
      <c r="DL797" s="573"/>
      <c r="DM797" s="573"/>
      <c r="DN797" s="551"/>
      <c r="DO797" s="2201"/>
      <c r="DY797" s="860"/>
      <c r="DZ797" s="860"/>
    </row>
    <row r="798" spans="1:130" ht="12" hidden="1" customHeight="1" outlineLevel="1">
      <c r="A798" s="567"/>
      <c r="B798" s="228"/>
      <c r="C798" s="228"/>
      <c r="D798" s="625"/>
      <c r="E798" s="626"/>
      <c r="F798" s="626"/>
      <c r="G798" s="626"/>
      <c r="H798" s="788"/>
      <c r="I798" s="626"/>
      <c r="J798" s="626"/>
      <c r="K798" s="626"/>
      <c r="L798" s="626"/>
      <c r="M798" s="788"/>
      <c r="N798" s="626"/>
      <c r="O798" s="626"/>
      <c r="P798" s="626"/>
      <c r="Q798" s="626"/>
      <c r="R798" s="788"/>
      <c r="S798" s="626"/>
      <c r="T798" s="626"/>
      <c r="U798" s="626"/>
      <c r="V798" s="626"/>
      <c r="W798" s="788"/>
      <c r="X798" s="626"/>
      <c r="Y798" s="626"/>
      <c r="Z798" s="626"/>
      <c r="AA798" s="626"/>
      <c r="AB798" s="788"/>
      <c r="AC798" s="626"/>
      <c r="AD798" s="626"/>
      <c r="AE798" s="626"/>
      <c r="AF798" s="626"/>
      <c r="AG798" s="788"/>
      <c r="AH798" s="626"/>
      <c r="AI798" s="626"/>
      <c r="AJ798" s="626"/>
      <c r="AK798" s="626"/>
      <c r="AL798" s="788"/>
      <c r="AM798" s="860"/>
      <c r="AN798" s="860"/>
      <c r="AO798" s="860"/>
      <c r="AP798" s="860"/>
      <c r="AQ798" s="1975"/>
      <c r="AR798" s="860"/>
      <c r="AS798" s="860"/>
      <c r="AT798" s="860"/>
      <c r="AU798" s="860"/>
      <c r="AV798" s="1975"/>
      <c r="AW798" s="860"/>
      <c r="AX798" s="860"/>
      <c r="AY798" s="860"/>
      <c r="AZ798" s="860"/>
      <c r="BA798" s="1975"/>
      <c r="BB798" s="860"/>
      <c r="BC798" s="860"/>
      <c r="BD798" s="860"/>
      <c r="BE798" s="860"/>
      <c r="BF798" s="1974"/>
      <c r="BG798" s="864"/>
      <c r="BH798" s="866"/>
      <c r="BI798" s="866"/>
      <c r="BJ798" s="2885"/>
      <c r="BK798" s="1974"/>
      <c r="BL798" s="866"/>
      <c r="BM798" s="866"/>
      <c r="BN798" s="866"/>
      <c r="BO798" s="2885"/>
      <c r="BP798" s="1974"/>
      <c r="BQ798" s="866"/>
      <c r="BR798" s="866"/>
      <c r="BS798" s="866"/>
      <c r="BT798" s="2885"/>
      <c r="BU798" s="1974"/>
      <c r="BV798" s="866"/>
      <c r="BW798" s="866"/>
      <c r="BX798" s="866"/>
      <c r="BY798" s="2885"/>
      <c r="BZ798" s="1974"/>
      <c r="CA798" s="1974"/>
      <c r="CB798" s="1974"/>
      <c r="CC798" s="1974"/>
      <c r="CD798" s="1974"/>
      <c r="CE798" s="1974"/>
      <c r="CF798" s="1974"/>
      <c r="CG798" s="1974"/>
      <c r="CH798" s="626"/>
      <c r="CI798" s="626"/>
      <c r="CJ798" s="626"/>
      <c r="CK798" s="626"/>
      <c r="CL798" s="626"/>
      <c r="CM798" s="626"/>
      <c r="CN798" s="626"/>
      <c r="CO798" s="626"/>
      <c r="CP798" s="994"/>
      <c r="CQ798" s="626"/>
      <c r="CR798" s="626"/>
      <c r="CS798" s="626"/>
      <c r="CT798" s="626"/>
      <c r="CU798" s="626"/>
      <c r="CV798" s="626"/>
      <c r="CW798" s="626"/>
      <c r="CX798" s="626"/>
      <c r="CY798" s="626"/>
      <c r="CZ798" s="626"/>
      <c r="DA798" s="626"/>
      <c r="DB798" s="626"/>
      <c r="DC798" s="626"/>
      <c r="DD798" s="626"/>
      <c r="DE798" s="626"/>
      <c r="DF798" s="626"/>
      <c r="DG798" s="1893"/>
      <c r="DH798" s="632"/>
      <c r="DI798" s="595"/>
      <c r="DJ798" s="595"/>
      <c r="DK798" s="595"/>
      <c r="DL798" s="595"/>
      <c r="DM798" s="595"/>
      <c r="DN798" s="514"/>
      <c r="DO798" s="77"/>
      <c r="DY798" s="866"/>
      <c r="DZ798" s="866"/>
    </row>
    <row r="799" spans="1:130" ht="12" hidden="1" customHeight="1" outlineLevel="1">
      <c r="A799" s="670" t="s">
        <v>773</v>
      </c>
      <c r="B799" s="837"/>
      <c r="C799" s="837"/>
      <c r="D799" s="2106"/>
      <c r="E799" s="1759"/>
      <c r="F799" s="1759"/>
      <c r="G799" s="1759"/>
      <c r="H799" s="2107"/>
      <c r="I799" s="1759"/>
      <c r="J799" s="1759"/>
      <c r="K799" s="1759"/>
      <c r="L799" s="1759"/>
      <c r="M799" s="2107"/>
      <c r="N799" s="1759"/>
      <c r="O799" s="1759"/>
      <c r="P799" s="1759"/>
      <c r="Q799" s="1759"/>
      <c r="R799" s="2107"/>
      <c r="S799" s="1759"/>
      <c r="T799" s="1759"/>
      <c r="U799" s="1759"/>
      <c r="V799" s="1759"/>
      <c r="W799" s="2107"/>
      <c r="X799" s="1759"/>
      <c r="Y799" s="1759"/>
      <c r="Z799" s="1759"/>
      <c r="AA799" s="1759"/>
      <c r="AB799" s="2107"/>
      <c r="AC799" s="1759"/>
      <c r="AD799" s="1759"/>
      <c r="AE799" s="1759"/>
      <c r="AF799" s="1759"/>
      <c r="AG799" s="2107"/>
      <c r="AH799" s="1759"/>
      <c r="AI799" s="1759"/>
      <c r="AJ799" s="1759"/>
      <c r="AK799" s="1759"/>
      <c r="AL799" s="2107"/>
      <c r="AM799" s="572"/>
      <c r="AN799" s="572"/>
      <c r="AO799" s="572"/>
      <c r="AP799" s="572"/>
      <c r="AQ799" s="2117"/>
      <c r="AR799" s="572"/>
      <c r="AS799" s="572"/>
      <c r="AT799" s="572"/>
      <c r="AU799" s="572"/>
      <c r="AV799" s="2117"/>
      <c r="AW799" s="1759"/>
      <c r="AX799" s="1759"/>
      <c r="AY799" s="1759"/>
      <c r="AZ799" s="1759"/>
      <c r="BA799" s="2117"/>
      <c r="BB799" s="2750">
        <f t="shared" ref="BB799:BE800" si="1537">+BB787-BB793-BB808</f>
        <v>10.625</v>
      </c>
      <c r="BC799" s="2751">
        <f t="shared" si="1537"/>
        <v>9.4725000000000019</v>
      </c>
      <c r="BD799" s="2751">
        <f t="shared" si="1537"/>
        <v>6.4207763049999995</v>
      </c>
      <c r="BE799" s="2752">
        <f t="shared" si="1537"/>
        <v>4.6508281942500007</v>
      </c>
      <c r="BF799" s="2755">
        <f t="shared" ref="BF799:BJ800" si="1538">+BF787-BF793-BF808</f>
        <v>31.169104499249997</v>
      </c>
      <c r="BG799" s="2750">
        <f t="shared" si="1538"/>
        <v>6.4369566415000001</v>
      </c>
      <c r="BH799" s="2751">
        <f t="shared" si="1538"/>
        <v>5.9976089750000003</v>
      </c>
      <c r="BI799" s="2751">
        <f t="shared" si="1538"/>
        <v>4.1848814937499998</v>
      </c>
      <c r="BJ799" s="2752">
        <f t="shared" si="1538"/>
        <v>6.6717418425000004</v>
      </c>
      <c r="BK799" s="2755">
        <f t="shared" ref="BK799:BP800" si="1539">+BK787-BK793-BK808</f>
        <v>23.291188952749998</v>
      </c>
      <c r="BL799" s="2751">
        <f>+BL787-BL793-BL808</f>
        <v>6.0597655200000009</v>
      </c>
      <c r="BM799" s="2751">
        <f t="shared" si="1539"/>
        <v>5.9351311041750003</v>
      </c>
      <c r="BN799" s="2751">
        <f t="shared" si="1539"/>
        <v>5.9351311041750003</v>
      </c>
      <c r="BO799" s="2752">
        <f t="shared" si="1539"/>
        <v>5.9351311041750003</v>
      </c>
      <c r="BP799" s="2755">
        <f t="shared" si="1539"/>
        <v>23.865158832525005</v>
      </c>
      <c r="BQ799" s="2751">
        <f t="shared" ref="BQ799:CB800" si="1540">+BQ787-BQ793-BQ808</f>
        <v>5.8639993987138617</v>
      </c>
      <c r="BR799" s="2751">
        <f t="shared" si="1540"/>
        <v>5.8639993987138617</v>
      </c>
      <c r="BS799" s="2751">
        <f t="shared" si="1540"/>
        <v>5.8639993987138617</v>
      </c>
      <c r="BT799" s="2752">
        <f t="shared" si="1540"/>
        <v>5.8639993987138617</v>
      </c>
      <c r="BU799" s="2755">
        <f t="shared" si="1540"/>
        <v>23.455997594855447</v>
      </c>
      <c r="BV799" s="2751">
        <f t="shared" ref="BV799:BZ799" si="1541">+BV787-BV793-BV808</f>
        <v>7.037174990591593</v>
      </c>
      <c r="BW799" s="2751">
        <f t="shared" si="1541"/>
        <v>7.037174990591593</v>
      </c>
      <c r="BX799" s="2751">
        <f t="shared" si="1541"/>
        <v>7.037174990591593</v>
      </c>
      <c r="BY799" s="2752">
        <f t="shared" si="1541"/>
        <v>7.037174990591593</v>
      </c>
      <c r="BZ799" s="2755">
        <f t="shared" si="1541"/>
        <v>28.148699962366372</v>
      </c>
      <c r="CA799" s="2755">
        <f t="shared" si="1540"/>
        <v>31.276276532653853</v>
      </c>
      <c r="CB799" s="2755">
        <f t="shared" si="1540"/>
        <v>32.21456482863347</v>
      </c>
      <c r="CC799" s="2755">
        <f t="shared" ref="CC799:CG800" si="1542">+CC787-CC793-CC808</f>
        <v>30.603836587201794</v>
      </c>
      <c r="CD799" s="2755">
        <f t="shared" si="1542"/>
        <v>29.073644757841702</v>
      </c>
      <c r="CE799" s="2755">
        <f t="shared" si="1542"/>
        <v>29.655117652998538</v>
      </c>
      <c r="CF799" s="2755">
        <f t="shared" si="1542"/>
        <v>30.24822000605851</v>
      </c>
      <c r="CG799" s="2755">
        <f t="shared" si="1542"/>
        <v>30.853184406179679</v>
      </c>
      <c r="CH799" s="1759"/>
      <c r="CI799" s="1759"/>
      <c r="CJ799" s="1759"/>
      <c r="CK799" s="1759"/>
      <c r="CL799" s="1759"/>
      <c r="CM799" s="965"/>
      <c r="CN799" s="965">
        <f t="shared" ref="CN799:CN802" si="1543">SUM(BV799:BY799)</f>
        <v>28.148699962366372</v>
      </c>
      <c r="CO799" s="965">
        <f t="shared" ref="CO799:CO805" si="1544">CM799-CN799</f>
        <v>-28.148699962366372</v>
      </c>
      <c r="CP799" s="1864" t="str">
        <f>A799</f>
        <v>Borgata</v>
      </c>
      <c r="CQ799" s="1759"/>
      <c r="CR799" s="1759"/>
      <c r="CS799" s="1759"/>
      <c r="CT799" s="1759"/>
      <c r="CU799" s="1759"/>
      <c r="CV799" s="1759"/>
      <c r="CW799" s="1759"/>
      <c r="CX799" s="1759"/>
      <c r="CY799" s="1759"/>
      <c r="CZ799" s="1759">
        <f>BA799</f>
        <v>0</v>
      </c>
      <c r="DA799" s="1759">
        <f>BF799</f>
        <v>31.169104499249997</v>
      </c>
      <c r="DB799" s="1759">
        <f>BK799</f>
        <v>23.291188952749998</v>
      </c>
      <c r="DC799" s="1759">
        <f>BP799</f>
        <v>23.865158832525005</v>
      </c>
      <c r="DD799" s="1759">
        <f>BU799</f>
        <v>23.455997594855447</v>
      </c>
      <c r="DE799" s="1759">
        <f t="shared" ref="DE799:DG800" si="1545">BZ799</f>
        <v>28.148699962366372</v>
      </c>
      <c r="DF799" s="1759">
        <f t="shared" si="1545"/>
        <v>31.276276532653853</v>
      </c>
      <c r="DG799" s="1857">
        <f t="shared" si="1545"/>
        <v>32.21456482863347</v>
      </c>
      <c r="DH799" s="632"/>
      <c r="DI799" s="838"/>
      <c r="DJ799" s="838"/>
      <c r="DK799" s="838"/>
      <c r="DL799" s="838"/>
      <c r="DM799" s="838"/>
      <c r="DN799" s="632"/>
      <c r="DO799" s="858"/>
      <c r="DY799" s="2751"/>
      <c r="DZ799" s="2751"/>
    </row>
    <row r="800" spans="1:130" ht="12" hidden="1" customHeight="1" outlineLevel="1">
      <c r="A800" s="429" t="s">
        <v>1633</v>
      </c>
      <c r="B800" s="2048"/>
      <c r="C800" s="2048"/>
      <c r="D800" s="2119"/>
      <c r="E800" s="776"/>
      <c r="F800" s="776"/>
      <c r="G800" s="776"/>
      <c r="H800" s="777"/>
      <c r="I800" s="776"/>
      <c r="J800" s="776"/>
      <c r="K800" s="776"/>
      <c r="L800" s="776"/>
      <c r="M800" s="777"/>
      <c r="N800" s="776"/>
      <c r="O800" s="776"/>
      <c r="P800" s="776"/>
      <c r="Q800" s="776"/>
      <c r="R800" s="777"/>
      <c r="S800" s="776"/>
      <c r="T800" s="776"/>
      <c r="U800" s="776"/>
      <c r="V800" s="776"/>
      <c r="W800" s="777"/>
      <c r="X800" s="776"/>
      <c r="Y800" s="776"/>
      <c r="Z800" s="776"/>
      <c r="AA800" s="776"/>
      <c r="AB800" s="777"/>
      <c r="AC800" s="776"/>
      <c r="AD800" s="776"/>
      <c r="AE800" s="776"/>
      <c r="AF800" s="776"/>
      <c r="AG800" s="777"/>
      <c r="AH800" s="776"/>
      <c r="AI800" s="776"/>
      <c r="AJ800" s="776"/>
      <c r="AK800" s="776"/>
      <c r="AL800" s="777"/>
      <c r="AM800" s="776"/>
      <c r="AN800" s="776"/>
      <c r="AO800" s="776"/>
      <c r="AP800" s="776"/>
      <c r="AQ800" s="2120"/>
      <c r="AR800" s="776"/>
      <c r="AS800" s="776"/>
      <c r="AT800" s="776"/>
      <c r="AU800" s="776"/>
      <c r="AV800" s="2120"/>
      <c r="AW800" s="776"/>
      <c r="AX800" s="776"/>
      <c r="AY800" s="776"/>
      <c r="AZ800" s="776"/>
      <c r="BA800" s="2120"/>
      <c r="BB800" s="2753">
        <f t="shared" si="1537"/>
        <v>3.9781145138888885</v>
      </c>
      <c r="BC800" s="2747">
        <f t="shared" si="1537"/>
        <v>2.3452769225806422</v>
      </c>
      <c r="BD800" s="2747">
        <f t="shared" si="1537"/>
        <v>1.6720924359246832</v>
      </c>
      <c r="BE800" s="2754">
        <f t="shared" si="1537"/>
        <v>1.4193797312452068</v>
      </c>
      <c r="BF800" s="2756">
        <f t="shared" si="1538"/>
        <v>9.4148636036394215</v>
      </c>
      <c r="BG800" s="2753">
        <f t="shared" si="1538"/>
        <v>1.8158715237420067</v>
      </c>
      <c r="BH800" s="2747">
        <f t="shared" si="1538"/>
        <v>1.4909438270122299</v>
      </c>
      <c r="BI800" s="2747">
        <f t="shared" si="1538"/>
        <v>0.77242923538375396</v>
      </c>
      <c r="BJ800" s="2754">
        <f t="shared" si="1538"/>
        <v>1.0190489925000001</v>
      </c>
      <c r="BK800" s="2756">
        <f t="shared" si="1539"/>
        <v>5.0982935786379908</v>
      </c>
      <c r="BL800" s="2747">
        <f>+BL788-BL794-BL809</f>
        <v>2.7373441050000009</v>
      </c>
      <c r="BM800" s="2747">
        <f t="shared" si="1539"/>
        <v>2.6810436949737921</v>
      </c>
      <c r="BN800" s="2747">
        <f t="shared" si="1539"/>
        <v>2.6810436949737921</v>
      </c>
      <c r="BO800" s="2754">
        <f t="shared" si="1539"/>
        <v>2.6810436949737921</v>
      </c>
      <c r="BP800" s="2756">
        <f t="shared" si="1539"/>
        <v>10.780475189921377</v>
      </c>
      <c r="BQ800" s="2747">
        <f t="shared" si="1540"/>
        <v>2.6489117661095469</v>
      </c>
      <c r="BR800" s="2747">
        <f t="shared" si="1540"/>
        <v>2.6489117661095469</v>
      </c>
      <c r="BS800" s="2747">
        <f t="shared" si="1540"/>
        <v>2.6489117661095469</v>
      </c>
      <c r="BT800" s="2754">
        <f t="shared" si="1540"/>
        <v>2.6489117661095469</v>
      </c>
      <c r="BU800" s="2756">
        <f t="shared" si="1540"/>
        <v>10.595647064438188</v>
      </c>
      <c r="BV800" s="2747">
        <f t="shared" ref="BV800:BZ800" si="1546">+BV788-BV794-BV809</f>
        <v>3.178863837680197</v>
      </c>
      <c r="BW800" s="2747">
        <f t="shared" si="1546"/>
        <v>3.178863837680197</v>
      </c>
      <c r="BX800" s="2747">
        <f t="shared" si="1546"/>
        <v>3.178863837680197</v>
      </c>
      <c r="BY800" s="2754">
        <f t="shared" si="1546"/>
        <v>3.178863837680197</v>
      </c>
      <c r="BZ800" s="2756">
        <f t="shared" si="1546"/>
        <v>12.715455350720788</v>
      </c>
      <c r="CA800" s="2756">
        <f t="shared" si="1540"/>
        <v>14.128258083657647</v>
      </c>
      <c r="CB800" s="2756">
        <f t="shared" si="1540"/>
        <v>14.552105826167377</v>
      </c>
      <c r="CC800" s="2756">
        <f t="shared" si="1542"/>
        <v>13.824500534859009</v>
      </c>
      <c r="CD800" s="2756">
        <f t="shared" si="1542"/>
        <v>13.133275508116057</v>
      </c>
      <c r="CE800" s="2756">
        <f t="shared" si="1542"/>
        <v>13.395941018278375</v>
      </c>
      <c r="CF800" s="2756">
        <f t="shared" si="1542"/>
        <v>13.663859838643944</v>
      </c>
      <c r="CG800" s="2756">
        <f t="shared" si="1542"/>
        <v>13.937137035416825</v>
      </c>
      <c r="CH800" s="776"/>
      <c r="CI800" s="776"/>
      <c r="CJ800" s="776"/>
      <c r="CK800" s="776"/>
      <c r="CL800" s="776"/>
      <c r="CM800" s="965"/>
      <c r="CN800" s="965">
        <f t="shared" si="1543"/>
        <v>12.715455350720788</v>
      </c>
      <c r="CO800" s="965">
        <f t="shared" si="1544"/>
        <v>-12.715455350720788</v>
      </c>
      <c r="CP800" s="2052" t="str">
        <f>A800</f>
        <v>PartyPoker JV</v>
      </c>
      <c r="CQ800" s="776"/>
      <c r="CR800" s="776"/>
      <c r="CS800" s="776"/>
      <c r="CT800" s="776"/>
      <c r="CU800" s="776"/>
      <c r="CV800" s="776"/>
      <c r="CW800" s="776"/>
      <c r="CX800" s="776"/>
      <c r="CY800" s="776"/>
      <c r="CZ800" s="776">
        <f>BA800</f>
        <v>0</v>
      </c>
      <c r="DA800" s="776">
        <f>BF800</f>
        <v>9.4148636036394215</v>
      </c>
      <c r="DB800" s="776">
        <f>BK800</f>
        <v>5.0982935786379908</v>
      </c>
      <c r="DC800" s="776">
        <f>BP800</f>
        <v>10.780475189921377</v>
      </c>
      <c r="DD800" s="776">
        <f>BU800</f>
        <v>10.595647064438188</v>
      </c>
      <c r="DE800" s="776">
        <f t="shared" si="1545"/>
        <v>12.715455350720788</v>
      </c>
      <c r="DF800" s="776">
        <f t="shared" si="1545"/>
        <v>14.128258083657647</v>
      </c>
      <c r="DG800" s="2121">
        <f t="shared" si="1545"/>
        <v>14.552105826167377</v>
      </c>
      <c r="DH800" s="650"/>
      <c r="DI800" s="650"/>
      <c r="DJ800" s="650"/>
      <c r="DK800" s="650"/>
      <c r="DL800" s="650"/>
      <c r="DM800" s="650"/>
      <c r="DN800" s="650"/>
      <c r="DO800" s="2122"/>
      <c r="DY800" s="2747"/>
      <c r="DZ800" s="2747"/>
    </row>
    <row r="801" spans="1:130" ht="3.95" hidden="1" customHeight="1" outlineLevel="1">
      <c r="A801" s="552"/>
      <c r="B801" s="228"/>
      <c r="C801" s="228"/>
      <c r="D801" s="625"/>
      <c r="E801" s="626"/>
      <c r="F801" s="626"/>
      <c r="G801" s="626"/>
      <c r="H801" s="788"/>
      <c r="I801" s="626"/>
      <c r="J801" s="626"/>
      <c r="K801" s="626"/>
      <c r="L801" s="626"/>
      <c r="M801" s="788"/>
      <c r="N801" s="626"/>
      <c r="O801" s="626"/>
      <c r="P801" s="626"/>
      <c r="Q801" s="626"/>
      <c r="R801" s="788"/>
      <c r="S801" s="626"/>
      <c r="T801" s="626"/>
      <c r="U801" s="626"/>
      <c r="V801" s="626"/>
      <c r="W801" s="788"/>
      <c r="X801" s="626"/>
      <c r="Y801" s="626"/>
      <c r="Z801" s="626"/>
      <c r="AA801" s="626"/>
      <c r="AB801" s="788"/>
      <c r="AC801" s="626"/>
      <c r="AD801" s="626"/>
      <c r="AE801" s="626"/>
      <c r="AF801" s="626"/>
      <c r="AG801" s="788"/>
      <c r="AH801" s="626"/>
      <c r="AI801" s="626"/>
      <c r="AJ801" s="626"/>
      <c r="AK801" s="626"/>
      <c r="AL801" s="788"/>
      <c r="AM801" s="626"/>
      <c r="AN801" s="261"/>
      <c r="AO801" s="626"/>
      <c r="AP801" s="330"/>
      <c r="AQ801" s="1439"/>
      <c r="AR801" s="330"/>
      <c r="AS801" s="330"/>
      <c r="AT801" s="330"/>
      <c r="AU801" s="626"/>
      <c r="AV801" s="1951"/>
      <c r="AW801" s="626"/>
      <c r="AX801" s="261"/>
      <c r="AY801" s="626"/>
      <c r="AZ801" s="626"/>
      <c r="BA801" s="2105"/>
      <c r="BB801" s="2718" t="s">
        <v>343</v>
      </c>
      <c r="BC801" s="2155" t="s">
        <v>343</v>
      </c>
      <c r="BD801" s="2155" t="s">
        <v>343</v>
      </c>
      <c r="BE801" s="2156" t="s">
        <v>343</v>
      </c>
      <c r="BF801" s="2105" t="s">
        <v>343</v>
      </c>
      <c r="BG801" s="2718" t="s">
        <v>343</v>
      </c>
      <c r="BH801" s="2155" t="s">
        <v>343</v>
      </c>
      <c r="BI801" s="2155" t="s">
        <v>343</v>
      </c>
      <c r="BJ801" s="2156" t="s">
        <v>343</v>
      </c>
      <c r="BK801" s="2105" t="s">
        <v>343</v>
      </c>
      <c r="BL801" s="2155" t="s">
        <v>343</v>
      </c>
      <c r="BM801" s="2155" t="s">
        <v>343</v>
      </c>
      <c r="BN801" s="2155" t="s">
        <v>343</v>
      </c>
      <c r="BO801" s="2156" t="s">
        <v>343</v>
      </c>
      <c r="BP801" s="2105" t="s">
        <v>343</v>
      </c>
      <c r="BQ801" s="2155" t="s">
        <v>343</v>
      </c>
      <c r="BR801" s="2155" t="s">
        <v>343</v>
      </c>
      <c r="BS801" s="2155" t="s">
        <v>343</v>
      </c>
      <c r="BT801" s="2156" t="s">
        <v>343</v>
      </c>
      <c r="BU801" s="2105" t="s">
        <v>343</v>
      </c>
      <c r="BV801" s="2155" t="s">
        <v>343</v>
      </c>
      <c r="BW801" s="2155" t="s">
        <v>343</v>
      </c>
      <c r="BX801" s="2155" t="s">
        <v>343</v>
      </c>
      <c r="BY801" s="2156" t="s">
        <v>343</v>
      </c>
      <c r="BZ801" s="2105" t="s">
        <v>343</v>
      </c>
      <c r="CA801" s="2105" t="s">
        <v>343</v>
      </c>
      <c r="CB801" s="2105" t="s">
        <v>343</v>
      </c>
      <c r="CC801" s="2105" t="s">
        <v>343</v>
      </c>
      <c r="CD801" s="2105" t="s">
        <v>343</v>
      </c>
      <c r="CE801" s="2105" t="s">
        <v>343</v>
      </c>
      <c r="CF801" s="2105" t="s">
        <v>343</v>
      </c>
      <c r="CG801" s="2105" t="s">
        <v>343</v>
      </c>
      <c r="CH801" s="626"/>
      <c r="CI801" s="626"/>
      <c r="CJ801" s="626"/>
      <c r="CK801" s="626"/>
      <c r="CL801" s="626"/>
      <c r="CM801" s="965"/>
      <c r="CN801" s="965">
        <f t="shared" si="1543"/>
        <v>0</v>
      </c>
      <c r="CO801" s="965">
        <f t="shared" si="1544"/>
        <v>0</v>
      </c>
      <c r="CP801" s="994"/>
      <c r="CQ801" s="626"/>
      <c r="CR801" s="626"/>
      <c r="CS801" s="626"/>
      <c r="CT801" s="626"/>
      <c r="CU801" s="626"/>
      <c r="CV801" s="626"/>
      <c r="CW801" s="626"/>
      <c r="CX801" s="626"/>
      <c r="CY801" s="626"/>
      <c r="CZ801" s="626"/>
      <c r="DA801" s="626"/>
      <c r="DB801" s="626"/>
      <c r="DC801" s="626"/>
      <c r="DD801" s="626"/>
      <c r="DE801" s="626"/>
      <c r="DF801" s="626"/>
      <c r="DG801" s="1893"/>
      <c r="DH801" s="632"/>
      <c r="DI801" s="595"/>
      <c r="DJ801" s="595"/>
      <c r="DK801" s="595"/>
      <c r="DL801" s="595"/>
      <c r="DM801" s="595"/>
      <c r="DN801" s="514"/>
      <c r="DO801" s="77"/>
      <c r="DY801" s="2155"/>
      <c r="DZ801" s="2155"/>
    </row>
    <row r="802" spans="1:130" ht="12" hidden="1" customHeight="1" outlineLevel="1">
      <c r="A802" s="552" t="s">
        <v>1665</v>
      </c>
      <c r="B802" s="228"/>
      <c r="C802" s="228"/>
      <c r="D802" s="625"/>
      <c r="E802" s="626"/>
      <c r="F802" s="626"/>
      <c r="G802" s="626"/>
      <c r="H802" s="788"/>
      <c r="I802" s="626"/>
      <c r="J802" s="626"/>
      <c r="K802" s="626"/>
      <c r="L802" s="626"/>
      <c r="M802" s="788"/>
      <c r="N802" s="626"/>
      <c r="O802" s="626"/>
      <c r="P802" s="626"/>
      <c r="Q802" s="626"/>
      <c r="R802" s="788"/>
      <c r="S802" s="626"/>
      <c r="T802" s="626"/>
      <c r="U802" s="626"/>
      <c r="V802" s="626"/>
      <c r="W802" s="788"/>
      <c r="X802" s="626"/>
      <c r="Y802" s="626"/>
      <c r="Z802" s="626"/>
      <c r="AA802" s="626"/>
      <c r="AB802" s="788"/>
      <c r="AC802" s="626"/>
      <c r="AD802" s="626"/>
      <c r="AE802" s="626"/>
      <c r="AF802" s="626"/>
      <c r="AG802" s="788"/>
      <c r="AH802" s="626"/>
      <c r="AI802" s="626"/>
      <c r="AJ802" s="626"/>
      <c r="AK802" s="626"/>
      <c r="AL802" s="788"/>
      <c r="AM802" s="1976"/>
      <c r="AN802" s="1976"/>
      <c r="AO802" s="1976"/>
      <c r="AP802" s="1976"/>
      <c r="AQ802" s="1950"/>
      <c r="AR802" s="1976"/>
      <c r="AS802" s="1976"/>
      <c r="AT802" s="1976"/>
      <c r="AU802" s="330"/>
      <c r="AV802" s="1950"/>
      <c r="AW802" s="330"/>
      <c r="AX802" s="330"/>
      <c r="AY802" s="330"/>
      <c r="AZ802" s="330"/>
      <c r="BA802" s="1950"/>
      <c r="BB802" s="2725">
        <f t="shared" ref="BB802:BL802" si="1547">+SUM(BB799:BB801)</f>
        <v>14.603114513888888</v>
      </c>
      <c r="BC802" s="1634">
        <f t="shared" si="1547"/>
        <v>11.817776922580645</v>
      </c>
      <c r="BD802" s="1634">
        <f t="shared" si="1547"/>
        <v>8.0928687409246827</v>
      </c>
      <c r="BE802" s="2134">
        <f t="shared" si="1547"/>
        <v>6.0702079254952075</v>
      </c>
      <c r="BF802" s="1950">
        <f t="shared" si="1547"/>
        <v>40.583968102889415</v>
      </c>
      <c r="BG802" s="2725">
        <f t="shared" si="1547"/>
        <v>8.2528281652420077</v>
      </c>
      <c r="BH802" s="1634">
        <f t="shared" si="1547"/>
        <v>7.4885528020122303</v>
      </c>
      <c r="BI802" s="1634">
        <f t="shared" si="1547"/>
        <v>4.9573107291337539</v>
      </c>
      <c r="BJ802" s="2134">
        <f t="shared" si="1547"/>
        <v>7.6907908350000005</v>
      </c>
      <c r="BK802" s="1950">
        <f t="shared" si="1547"/>
        <v>28.389482531387991</v>
      </c>
      <c r="BL802" s="1634">
        <f t="shared" si="1547"/>
        <v>8.7971096250000009</v>
      </c>
      <c r="BM802" s="1634">
        <f t="shared" ref="BM802:CB802" si="1548">+SUM(BM799:BM801)</f>
        <v>8.6161747991487925</v>
      </c>
      <c r="BN802" s="1634">
        <f t="shared" si="1548"/>
        <v>8.6161747991487925</v>
      </c>
      <c r="BO802" s="2134">
        <f t="shared" si="1548"/>
        <v>8.6161747991487925</v>
      </c>
      <c r="BP802" s="1950">
        <f t="shared" si="1548"/>
        <v>34.64563402244638</v>
      </c>
      <c r="BQ802" s="1634">
        <f t="shared" ref="BQ802:BZ802" si="1549">+SUM(BQ799:BQ801)</f>
        <v>8.512911164823409</v>
      </c>
      <c r="BR802" s="1634">
        <f t="shared" si="1549"/>
        <v>8.512911164823409</v>
      </c>
      <c r="BS802" s="1634">
        <f t="shared" si="1549"/>
        <v>8.512911164823409</v>
      </c>
      <c r="BT802" s="2134">
        <f t="shared" si="1549"/>
        <v>8.512911164823409</v>
      </c>
      <c r="BU802" s="1950">
        <f t="shared" si="1549"/>
        <v>34.051644659293636</v>
      </c>
      <c r="BV802" s="1634">
        <f t="shared" si="1549"/>
        <v>10.21603882827179</v>
      </c>
      <c r="BW802" s="1634">
        <f t="shared" si="1549"/>
        <v>10.21603882827179</v>
      </c>
      <c r="BX802" s="1634">
        <f t="shared" si="1549"/>
        <v>10.21603882827179</v>
      </c>
      <c r="BY802" s="2134">
        <f t="shared" si="1549"/>
        <v>10.21603882827179</v>
      </c>
      <c r="BZ802" s="1950">
        <f t="shared" si="1549"/>
        <v>40.86415531308716</v>
      </c>
      <c r="CA802" s="1950">
        <f t="shared" si="1548"/>
        <v>45.404534616311501</v>
      </c>
      <c r="CB802" s="1950">
        <f t="shared" si="1548"/>
        <v>46.766670654800848</v>
      </c>
      <c r="CC802" s="1950">
        <f>+SUM(CC799:CC801)</f>
        <v>44.428337122060803</v>
      </c>
      <c r="CD802" s="1950">
        <f>+SUM(CD799:CD801)</f>
        <v>42.206920265957763</v>
      </c>
      <c r="CE802" s="1950">
        <f>+SUM(CE799:CE801)</f>
        <v>43.051058671276913</v>
      </c>
      <c r="CF802" s="1950">
        <f>+SUM(CF799:CF801)</f>
        <v>43.912079844702454</v>
      </c>
      <c r="CG802" s="1950">
        <f>+SUM(CG799:CG801)</f>
        <v>44.790321441596504</v>
      </c>
      <c r="CH802" s="626"/>
      <c r="CI802" s="626"/>
      <c r="CJ802" s="626"/>
      <c r="CK802" s="626"/>
      <c r="CL802" s="626"/>
      <c r="CM802" s="965"/>
      <c r="CN802" s="965">
        <f t="shared" si="1543"/>
        <v>40.86415531308716</v>
      </c>
      <c r="CO802" s="965">
        <f t="shared" si="1544"/>
        <v>-40.86415531308716</v>
      </c>
      <c r="CP802" s="994" t="str">
        <f>A802</f>
        <v>Other OpEx</v>
      </c>
      <c r="CQ802" s="626"/>
      <c r="CR802" s="626"/>
      <c r="CS802" s="626"/>
      <c r="CT802" s="626"/>
      <c r="CU802" s="626"/>
      <c r="CV802" s="626"/>
      <c r="CW802" s="626"/>
      <c r="CX802" s="626"/>
      <c r="CY802" s="626"/>
      <c r="CZ802" s="626">
        <f>BA802</f>
        <v>0</v>
      </c>
      <c r="DA802" s="626">
        <f>BF802</f>
        <v>40.583968102889415</v>
      </c>
      <c r="DB802" s="626">
        <f>BK802</f>
        <v>28.389482531387991</v>
      </c>
      <c r="DC802" s="626">
        <f>BP802</f>
        <v>34.64563402244638</v>
      </c>
      <c r="DD802" s="626">
        <f>BU802</f>
        <v>34.051644659293636</v>
      </c>
      <c r="DE802" s="626">
        <f t="shared" ref="DE802:DG803" si="1550">BZ802</f>
        <v>40.86415531308716</v>
      </c>
      <c r="DF802" s="626">
        <f t="shared" si="1550"/>
        <v>45.404534616311501</v>
      </c>
      <c r="DG802" s="1893">
        <f t="shared" si="1550"/>
        <v>46.766670654800848</v>
      </c>
      <c r="DH802" s="632"/>
      <c r="DI802" s="595"/>
      <c r="DJ802" s="595"/>
      <c r="DK802" s="595"/>
      <c r="DL802" s="595"/>
      <c r="DM802" s="595"/>
      <c r="DN802" s="514"/>
      <c r="DO802" s="77"/>
      <c r="DY802" s="1634"/>
      <c r="DZ802" s="1634"/>
    </row>
    <row r="803" spans="1:130" ht="12" hidden="1" customHeight="1" outlineLevel="1">
      <c r="A803" s="567" t="s">
        <v>1664</v>
      </c>
      <c r="B803" s="228"/>
      <c r="C803" s="228"/>
      <c r="D803" s="625"/>
      <c r="E803" s="626"/>
      <c r="F803" s="626"/>
      <c r="G803" s="626"/>
      <c r="H803" s="788"/>
      <c r="I803" s="626"/>
      <c r="J803" s="626"/>
      <c r="K803" s="626"/>
      <c r="L803" s="626"/>
      <c r="M803" s="788"/>
      <c r="N803" s="626"/>
      <c r="O803" s="626"/>
      <c r="P803" s="626"/>
      <c r="Q803" s="626"/>
      <c r="R803" s="788"/>
      <c r="S803" s="626"/>
      <c r="T803" s="626"/>
      <c r="U803" s="626"/>
      <c r="V803" s="626"/>
      <c r="W803" s="788"/>
      <c r="X803" s="626"/>
      <c r="Y803" s="626"/>
      <c r="Z803" s="626"/>
      <c r="AA803" s="626"/>
      <c r="AB803" s="788"/>
      <c r="AC803" s="626"/>
      <c r="AD803" s="626"/>
      <c r="AE803" s="626"/>
      <c r="AF803" s="626"/>
      <c r="AG803" s="788"/>
      <c r="AH803" s="626"/>
      <c r="AI803" s="626"/>
      <c r="AJ803" s="626"/>
      <c r="AK803" s="626"/>
      <c r="AL803" s="788"/>
      <c r="AM803" s="860"/>
      <c r="AN803" s="860"/>
      <c r="AO803" s="860"/>
      <c r="AP803" s="860"/>
      <c r="AQ803" s="1975"/>
      <c r="AR803" s="860"/>
      <c r="AS803" s="860"/>
      <c r="AT803" s="860"/>
      <c r="AU803" s="860"/>
      <c r="AV803" s="1975"/>
      <c r="AW803" s="860"/>
      <c r="AX803" s="860"/>
      <c r="AY803" s="860"/>
      <c r="AZ803" s="860"/>
      <c r="BA803" s="1975"/>
      <c r="BB803" s="2726">
        <f t="shared" ref="BB803:CG803" si="1551">+BB802/BB790</f>
        <v>1.1805555555555556</v>
      </c>
      <c r="BC803" s="769">
        <f t="shared" si="1551"/>
        <v>1.0185483870967744</v>
      </c>
      <c r="BD803" s="769">
        <f t="shared" si="1551"/>
        <v>0.80007845116661136</v>
      </c>
      <c r="BE803" s="2171">
        <f t="shared" si="1551"/>
        <v>0.59479700043419748</v>
      </c>
      <c r="BF803" s="1975">
        <f t="shared" si="1551"/>
        <v>0.91626411173232425</v>
      </c>
      <c r="BG803" s="2726">
        <f t="shared" si="1551"/>
        <v>0.70459331024897742</v>
      </c>
      <c r="BH803" s="769">
        <f t="shared" si="1551"/>
        <v>0.65126112973917571</v>
      </c>
      <c r="BI803" s="769">
        <f t="shared" si="1551"/>
        <v>0.45518538888032184</v>
      </c>
      <c r="BJ803" s="2171">
        <f t="shared" si="1551"/>
        <v>0.66500000000000004</v>
      </c>
      <c r="BK803" s="1975">
        <f t="shared" si="1551"/>
        <v>0.62165905610701133</v>
      </c>
      <c r="BL803" s="769">
        <f t="shared" si="1551"/>
        <v>0.67499999999999993</v>
      </c>
      <c r="BM803" s="769">
        <f t="shared" si="1551"/>
        <v>0.67499999999999993</v>
      </c>
      <c r="BN803" s="769">
        <f t="shared" si="1551"/>
        <v>0.67499999999999993</v>
      </c>
      <c r="BO803" s="2171">
        <f t="shared" si="1551"/>
        <v>0.67499999999999993</v>
      </c>
      <c r="BP803" s="1975">
        <f t="shared" si="1551"/>
        <v>0.67500000000000004</v>
      </c>
      <c r="BQ803" s="769">
        <f t="shared" si="1551"/>
        <v>0.57500000000000007</v>
      </c>
      <c r="BR803" s="769">
        <f t="shared" si="1551"/>
        <v>0.57500000000000007</v>
      </c>
      <c r="BS803" s="769">
        <f t="shared" si="1551"/>
        <v>0.57500000000000007</v>
      </c>
      <c r="BT803" s="2171">
        <f t="shared" si="1551"/>
        <v>0.57500000000000007</v>
      </c>
      <c r="BU803" s="1975">
        <f>+BU802/BU790</f>
        <v>0.57500000000000007</v>
      </c>
      <c r="BV803" s="769">
        <f t="shared" ref="BV803:BY803" si="1552">+BV802/BV790</f>
        <v>0.57499999999999996</v>
      </c>
      <c r="BW803" s="769">
        <f t="shared" si="1552"/>
        <v>0.57499999999999996</v>
      </c>
      <c r="BX803" s="769">
        <f t="shared" si="1552"/>
        <v>0.57499999999999996</v>
      </c>
      <c r="BY803" s="2171">
        <f t="shared" si="1552"/>
        <v>0.57499999999999996</v>
      </c>
      <c r="BZ803" s="1975">
        <f>+BZ802/BZ790</f>
        <v>0.57499999999999996</v>
      </c>
      <c r="CA803" s="1975">
        <f t="shared" si="1551"/>
        <v>0.57500000000000007</v>
      </c>
      <c r="CB803" s="1975">
        <f t="shared" si="1551"/>
        <v>0.57500000000000007</v>
      </c>
      <c r="CC803" s="1975">
        <f t="shared" si="1551"/>
        <v>0.57500000000000007</v>
      </c>
      <c r="CD803" s="1975">
        <f t="shared" si="1551"/>
        <v>0.57500000000000007</v>
      </c>
      <c r="CE803" s="1975">
        <f t="shared" si="1551"/>
        <v>0.57499999999999996</v>
      </c>
      <c r="CF803" s="1975">
        <f t="shared" si="1551"/>
        <v>0.57499999999999996</v>
      </c>
      <c r="CG803" s="1975">
        <f t="shared" si="1551"/>
        <v>0.57499999999999996</v>
      </c>
      <c r="CH803" s="626"/>
      <c r="CI803" s="626"/>
      <c r="CJ803" s="626"/>
      <c r="CK803" s="626"/>
      <c r="CL803" s="626"/>
      <c r="CM803" s="626"/>
      <c r="CN803" s="626"/>
      <c r="CO803" s="965"/>
      <c r="CP803" s="994" t="str">
        <f>A803</f>
        <v>% of revenue</v>
      </c>
      <c r="CQ803" s="626"/>
      <c r="CR803" s="626"/>
      <c r="CS803" s="626"/>
      <c r="CT803" s="626"/>
      <c r="CU803" s="626"/>
      <c r="CV803" s="626"/>
      <c r="CW803" s="626"/>
      <c r="CX803" s="626"/>
      <c r="CY803" s="626"/>
      <c r="CZ803" s="626">
        <f>BA803</f>
        <v>0</v>
      </c>
      <c r="DA803" s="626">
        <f>BF803</f>
        <v>0.91626411173232425</v>
      </c>
      <c r="DB803" s="626">
        <f>BK803</f>
        <v>0.62165905610701133</v>
      </c>
      <c r="DC803" s="626">
        <f>BP803</f>
        <v>0.67500000000000004</v>
      </c>
      <c r="DD803" s="626">
        <f>BU803</f>
        <v>0.57500000000000007</v>
      </c>
      <c r="DE803" s="626">
        <f t="shared" si="1550"/>
        <v>0.57499999999999996</v>
      </c>
      <c r="DF803" s="626">
        <f t="shared" si="1550"/>
        <v>0.57500000000000007</v>
      </c>
      <c r="DG803" s="1893">
        <f t="shared" si="1550"/>
        <v>0.57500000000000007</v>
      </c>
      <c r="DH803" s="632"/>
      <c r="DI803" s="595"/>
      <c r="DJ803" s="595"/>
      <c r="DK803" s="595"/>
      <c r="DL803" s="595"/>
      <c r="DM803" s="595"/>
      <c r="DN803" s="514"/>
      <c r="DO803" s="77"/>
      <c r="DY803" s="769"/>
      <c r="DZ803" s="769"/>
    </row>
    <row r="804" spans="1:130" ht="12" hidden="1" customHeight="1" outlineLevel="1">
      <c r="A804" s="567"/>
      <c r="B804" s="228"/>
      <c r="C804" s="228"/>
      <c r="D804" s="625"/>
      <c r="E804" s="626"/>
      <c r="F804" s="626"/>
      <c r="G804" s="626"/>
      <c r="H804" s="788"/>
      <c r="I804" s="626"/>
      <c r="J804" s="626"/>
      <c r="K804" s="626"/>
      <c r="L804" s="626"/>
      <c r="M804" s="788"/>
      <c r="N804" s="626"/>
      <c r="O804" s="626"/>
      <c r="P804" s="626"/>
      <c r="Q804" s="626"/>
      <c r="R804" s="788"/>
      <c r="S804" s="626"/>
      <c r="T804" s="626"/>
      <c r="U804" s="626"/>
      <c r="V804" s="626"/>
      <c r="W804" s="788"/>
      <c r="X804" s="626"/>
      <c r="Y804" s="626"/>
      <c r="Z804" s="626"/>
      <c r="AA804" s="626"/>
      <c r="AB804" s="788"/>
      <c r="AC804" s="626"/>
      <c r="AD804" s="626"/>
      <c r="AE804" s="626"/>
      <c r="AF804" s="626"/>
      <c r="AG804" s="788"/>
      <c r="AH804" s="626"/>
      <c r="AI804" s="626"/>
      <c r="AJ804" s="626"/>
      <c r="AK804" s="626"/>
      <c r="AL804" s="788"/>
      <c r="AM804" s="860"/>
      <c r="AN804" s="860"/>
      <c r="AO804" s="860"/>
      <c r="AP804" s="860"/>
      <c r="AQ804" s="1975"/>
      <c r="AR804" s="860"/>
      <c r="AS804" s="860"/>
      <c r="AT804" s="860"/>
      <c r="AU804" s="860"/>
      <c r="AV804" s="1975"/>
      <c r="AW804" s="860"/>
      <c r="AX804" s="860"/>
      <c r="AY804" s="860"/>
      <c r="AZ804" s="860"/>
      <c r="BA804" s="1975"/>
      <c r="BB804" s="860"/>
      <c r="BC804" s="860"/>
      <c r="BD804" s="860"/>
      <c r="BE804" s="860"/>
      <c r="BF804" s="1975"/>
      <c r="BG804" s="2726"/>
      <c r="BH804" s="769"/>
      <c r="BI804" s="769"/>
      <c r="BJ804" s="2171"/>
      <c r="BK804" s="1975"/>
      <c r="BL804" s="769"/>
      <c r="BM804" s="769"/>
      <c r="BN804" s="769"/>
      <c r="BO804" s="2171"/>
      <c r="BP804" s="1975"/>
      <c r="BQ804" s="769"/>
      <c r="BR804" s="769"/>
      <c r="BS804" s="769"/>
      <c r="BT804" s="2171"/>
      <c r="BU804" s="1975"/>
      <c r="BV804" s="769"/>
      <c r="BW804" s="769"/>
      <c r="BX804" s="769"/>
      <c r="BY804" s="2171"/>
      <c r="BZ804" s="1975"/>
      <c r="CA804" s="1975"/>
      <c r="CB804" s="1975"/>
      <c r="CC804" s="1975"/>
      <c r="CD804" s="1975"/>
      <c r="CE804" s="1975"/>
      <c r="CF804" s="1975"/>
      <c r="CG804" s="1975"/>
      <c r="CH804" s="626"/>
      <c r="CI804" s="626"/>
      <c r="CJ804" s="626"/>
      <c r="CK804" s="626"/>
      <c r="CL804" s="626"/>
      <c r="CM804" s="626"/>
      <c r="CN804" s="626"/>
      <c r="CO804" s="626"/>
      <c r="CP804" s="994"/>
      <c r="CQ804" s="626"/>
      <c r="CR804" s="626"/>
      <c r="CS804" s="626"/>
      <c r="CT804" s="626"/>
      <c r="CU804" s="626"/>
      <c r="CV804" s="626"/>
      <c r="CW804" s="626"/>
      <c r="CX804" s="626"/>
      <c r="CY804" s="626"/>
      <c r="CZ804" s="626"/>
      <c r="DA804" s="626"/>
      <c r="DB804" s="626"/>
      <c r="DC804" s="626"/>
      <c r="DD804" s="626"/>
      <c r="DE804" s="626"/>
      <c r="DF804" s="626"/>
      <c r="DG804" s="1893"/>
      <c r="DH804" s="632"/>
      <c r="DI804" s="595"/>
      <c r="DJ804" s="595"/>
      <c r="DK804" s="595"/>
      <c r="DL804" s="595"/>
      <c r="DM804" s="595"/>
      <c r="DN804" s="514"/>
      <c r="DO804" s="77"/>
      <c r="DY804" s="769"/>
      <c r="DZ804" s="769"/>
    </row>
    <row r="805" spans="1:130" ht="12" hidden="1" customHeight="1" outlineLevel="1">
      <c r="A805" s="552" t="s">
        <v>1145</v>
      </c>
      <c r="B805" s="228"/>
      <c r="C805" s="228"/>
      <c r="D805" s="625"/>
      <c r="E805" s="626"/>
      <c r="F805" s="626"/>
      <c r="G805" s="626"/>
      <c r="H805" s="788"/>
      <c r="I805" s="626"/>
      <c r="J805" s="626"/>
      <c r="K805" s="626"/>
      <c r="L805" s="626"/>
      <c r="M805" s="788"/>
      <c r="N805" s="626"/>
      <c r="O805" s="626"/>
      <c r="P805" s="626"/>
      <c r="Q805" s="626"/>
      <c r="R805" s="788"/>
      <c r="S805" s="626"/>
      <c r="T805" s="626"/>
      <c r="U805" s="626"/>
      <c r="V805" s="626"/>
      <c r="W805" s="788"/>
      <c r="X805" s="626"/>
      <c r="Y805" s="626"/>
      <c r="Z805" s="626"/>
      <c r="AA805" s="626"/>
      <c r="AB805" s="788"/>
      <c r="AC805" s="626"/>
      <c r="AD805" s="626"/>
      <c r="AE805" s="626"/>
      <c r="AF805" s="626"/>
      <c r="AG805" s="788"/>
      <c r="AH805" s="626"/>
      <c r="AI805" s="626"/>
      <c r="AJ805" s="626"/>
      <c r="AK805" s="626"/>
      <c r="AL805" s="788"/>
      <c r="AM805" s="626"/>
      <c r="AN805" s="626"/>
      <c r="AO805" s="626"/>
      <c r="AP805" s="626"/>
      <c r="AQ805" s="1950"/>
      <c r="AR805" s="626"/>
      <c r="AS805" s="626"/>
      <c r="AT805" s="626"/>
      <c r="AU805" s="626"/>
      <c r="AV805" s="1950"/>
      <c r="AW805" s="626"/>
      <c r="AX805" s="626"/>
      <c r="AY805" s="626"/>
      <c r="AZ805" s="626"/>
      <c r="BA805" s="1950"/>
      <c r="BB805" s="2725">
        <f t="shared" ref="BB805:CB805" si="1553">+BB802+BB796</f>
        <v>16.767811488888889</v>
      </c>
      <c r="BC805" s="1634">
        <f t="shared" si="1553"/>
        <v>13.848226322580643</v>
      </c>
      <c r="BD805" s="1634">
        <f t="shared" si="1553"/>
        <v>9.8630101909246832</v>
      </c>
      <c r="BE805" s="2134">
        <f t="shared" si="1553"/>
        <v>7.8561725254952073</v>
      </c>
      <c r="BF805" s="1950">
        <f t="shared" si="1553"/>
        <v>48.335220527889412</v>
      </c>
      <c r="BG805" s="2725">
        <f t="shared" si="1553"/>
        <v>10.302584965242009</v>
      </c>
      <c r="BH805" s="1634">
        <f t="shared" si="1553"/>
        <v>9.500797477012231</v>
      </c>
      <c r="BI805" s="1634">
        <f t="shared" si="1553"/>
        <v>6.8631921541337535</v>
      </c>
      <c r="BJ805" s="2134">
        <f t="shared" si="1553"/>
        <v>9.7146831599999999</v>
      </c>
      <c r="BK805" s="1950">
        <f t="shared" si="1553"/>
        <v>36.381257756387988</v>
      </c>
      <c r="BL805" s="1634">
        <f t="shared" si="1553"/>
        <v>11.077841750000001</v>
      </c>
      <c r="BM805" s="1634">
        <f t="shared" si="1553"/>
        <v>10.849997895224405</v>
      </c>
      <c r="BN805" s="1634">
        <f t="shared" si="1553"/>
        <v>10.849997895224405</v>
      </c>
      <c r="BO805" s="2134">
        <f t="shared" si="1553"/>
        <v>10.849997895224405</v>
      </c>
      <c r="BP805" s="1950">
        <f t="shared" si="1553"/>
        <v>43.627835435673219</v>
      </c>
      <c r="BQ805" s="1634">
        <f t="shared" ref="BQ805:BZ805" si="1554">+BQ802+BQ796</f>
        <v>11.103797171508795</v>
      </c>
      <c r="BR805" s="1634">
        <f t="shared" si="1554"/>
        <v>11.103797171508795</v>
      </c>
      <c r="BS805" s="1634">
        <f t="shared" si="1554"/>
        <v>11.103797171508795</v>
      </c>
      <c r="BT805" s="2134">
        <f t="shared" si="1554"/>
        <v>11.103797171508795</v>
      </c>
      <c r="BU805" s="1950">
        <f t="shared" si="1554"/>
        <v>44.415188686035179</v>
      </c>
      <c r="BV805" s="1634">
        <f t="shared" si="1554"/>
        <v>13.325268036876247</v>
      </c>
      <c r="BW805" s="1634">
        <f t="shared" si="1554"/>
        <v>13.325268036876247</v>
      </c>
      <c r="BX805" s="1634">
        <f t="shared" si="1554"/>
        <v>13.325268036876247</v>
      </c>
      <c r="BY805" s="2134">
        <f t="shared" si="1554"/>
        <v>13.325268036876247</v>
      </c>
      <c r="BZ805" s="1950">
        <f t="shared" si="1554"/>
        <v>53.301072147504989</v>
      </c>
      <c r="CA805" s="1950">
        <f t="shared" si="1553"/>
        <v>59.223306021275867</v>
      </c>
      <c r="CB805" s="1950">
        <f t="shared" si="1553"/>
        <v>61.000005201914149</v>
      </c>
      <c r="CC805" s="1950">
        <f>+CC802+CC796</f>
        <v>57.950004941818435</v>
      </c>
      <c r="CD805" s="1950">
        <f>+CD802+CD796</f>
        <v>55.052504694727517</v>
      </c>
      <c r="CE805" s="1950">
        <f>+CE802+CE796</f>
        <v>56.15355478862206</v>
      </c>
      <c r="CF805" s="1950">
        <f>+CF802+CF796</f>
        <v>57.276625884394505</v>
      </c>
      <c r="CG805" s="1950">
        <f>+CG802+CG796</f>
        <v>58.422158402082395</v>
      </c>
      <c r="CH805" s="626"/>
      <c r="CI805" s="626"/>
      <c r="CJ805" s="626"/>
      <c r="CK805" s="626"/>
      <c r="CL805" s="626"/>
      <c r="CM805" s="965"/>
      <c r="CN805" s="965">
        <f t="shared" ref="CN805" si="1555">SUM(BV805:BY805)</f>
        <v>53.301072147504989</v>
      </c>
      <c r="CO805" s="965">
        <f t="shared" si="1544"/>
        <v>-53.301072147504989</v>
      </c>
      <c r="CP805" s="994" t="str">
        <f>A805</f>
        <v>Total OpEx</v>
      </c>
      <c r="CQ805" s="626"/>
      <c r="CR805" s="626"/>
      <c r="CS805" s="626"/>
      <c r="CT805" s="626"/>
      <c r="CU805" s="626"/>
      <c r="CV805" s="626"/>
      <c r="CW805" s="626"/>
      <c r="CX805" s="626"/>
      <c r="CY805" s="626"/>
      <c r="CZ805" s="626">
        <f>BA805</f>
        <v>0</v>
      </c>
      <c r="DA805" s="626">
        <f>BF805</f>
        <v>48.335220527889412</v>
      </c>
      <c r="DB805" s="626">
        <f>BK805</f>
        <v>36.381257756387988</v>
      </c>
      <c r="DC805" s="626">
        <f>BP805</f>
        <v>43.627835435673219</v>
      </c>
      <c r="DD805" s="626">
        <f>BU805</f>
        <v>44.415188686035179</v>
      </c>
      <c r="DE805" s="626">
        <f t="shared" ref="DE805:DG806" si="1556">BZ805</f>
        <v>53.301072147504989</v>
      </c>
      <c r="DF805" s="626">
        <f t="shared" si="1556"/>
        <v>59.223306021275867</v>
      </c>
      <c r="DG805" s="1893">
        <f t="shared" si="1556"/>
        <v>61.000005201914149</v>
      </c>
      <c r="DH805" s="632"/>
      <c r="DI805" s="595"/>
      <c r="DJ805" s="595"/>
      <c r="DK805" s="595"/>
      <c r="DL805" s="595"/>
      <c r="DM805" s="595"/>
      <c r="DN805" s="514"/>
      <c r="DO805" s="77"/>
      <c r="DY805" s="1634"/>
      <c r="DZ805" s="1634"/>
    </row>
    <row r="806" spans="1:130" ht="12" hidden="1" customHeight="1" outlineLevel="1">
      <c r="A806" s="567" t="s">
        <v>1664</v>
      </c>
      <c r="B806" s="228"/>
      <c r="C806" s="228"/>
      <c r="D806" s="625"/>
      <c r="E806" s="626"/>
      <c r="F806" s="626"/>
      <c r="G806" s="626"/>
      <c r="H806" s="788"/>
      <c r="I806" s="626"/>
      <c r="J806" s="626"/>
      <c r="K806" s="626"/>
      <c r="L806" s="626"/>
      <c r="M806" s="788"/>
      <c r="N806" s="626"/>
      <c r="O806" s="626"/>
      <c r="P806" s="626"/>
      <c r="Q806" s="626"/>
      <c r="R806" s="788"/>
      <c r="S806" s="626"/>
      <c r="T806" s="626"/>
      <c r="U806" s="626"/>
      <c r="V806" s="626"/>
      <c r="W806" s="788"/>
      <c r="X806" s="626"/>
      <c r="Y806" s="626"/>
      <c r="Z806" s="626"/>
      <c r="AA806" s="626"/>
      <c r="AB806" s="788"/>
      <c r="AC806" s="626"/>
      <c r="AD806" s="626"/>
      <c r="AE806" s="626"/>
      <c r="AF806" s="626"/>
      <c r="AG806" s="788"/>
      <c r="AH806" s="626"/>
      <c r="AI806" s="626"/>
      <c r="AJ806" s="626"/>
      <c r="AK806" s="626"/>
      <c r="AL806" s="788"/>
      <c r="AM806" s="860"/>
      <c r="AN806" s="860"/>
      <c r="AO806" s="860"/>
      <c r="AP806" s="860"/>
      <c r="AQ806" s="1975"/>
      <c r="AR806" s="860"/>
      <c r="AS806" s="860"/>
      <c r="AT806" s="860"/>
      <c r="AU806" s="860"/>
      <c r="AV806" s="1975"/>
      <c r="AW806" s="860"/>
      <c r="AX806" s="860"/>
      <c r="AY806" s="860"/>
      <c r="AZ806" s="860"/>
      <c r="BA806" s="1975"/>
      <c r="BB806" s="2726">
        <f>+BB805/BB790</f>
        <v>1.3555555555555556</v>
      </c>
      <c r="BC806" s="769">
        <f>+BC805/BC790</f>
        <v>1.1935483870967742</v>
      </c>
      <c r="BD806" s="769">
        <f>+BD805/BD790</f>
        <v>0.9750784511666114</v>
      </c>
      <c r="BE806" s="2171">
        <f>+BE805/BE790</f>
        <v>0.76979700043419741</v>
      </c>
      <c r="BF806" s="1975">
        <f>+BF805/BF790</f>
        <v>1.0912641117323243</v>
      </c>
      <c r="BG806" s="2726">
        <f t="shared" ref="BG806:BP806" si="1557">+BG805/BG790</f>
        <v>0.87959331024897758</v>
      </c>
      <c r="BH806" s="769">
        <f t="shared" si="1557"/>
        <v>0.82626112973917576</v>
      </c>
      <c r="BI806" s="769">
        <f t="shared" si="1557"/>
        <v>0.63018538888032183</v>
      </c>
      <c r="BJ806" s="2171">
        <f t="shared" si="1557"/>
        <v>0.84</v>
      </c>
      <c r="BK806" s="1975">
        <f t="shared" si="1557"/>
        <v>0.79665905610701127</v>
      </c>
      <c r="BL806" s="769">
        <f t="shared" si="1557"/>
        <v>0.85</v>
      </c>
      <c r="BM806" s="769">
        <f t="shared" si="1557"/>
        <v>0.84999999999999987</v>
      </c>
      <c r="BN806" s="769">
        <f t="shared" si="1557"/>
        <v>0.84999999999999987</v>
      </c>
      <c r="BO806" s="2171">
        <f t="shared" si="1557"/>
        <v>0.84999999999999987</v>
      </c>
      <c r="BP806" s="1975">
        <f t="shared" si="1557"/>
        <v>0.85</v>
      </c>
      <c r="BQ806" s="769">
        <f t="shared" ref="BQ806:CG806" si="1558">+BQ805/BQ790</f>
        <v>0.75000000000000011</v>
      </c>
      <c r="BR806" s="769">
        <f t="shared" si="1558"/>
        <v>0.75000000000000011</v>
      </c>
      <c r="BS806" s="769">
        <f t="shared" si="1558"/>
        <v>0.75000000000000011</v>
      </c>
      <c r="BT806" s="2171">
        <f t="shared" si="1558"/>
        <v>0.75000000000000011</v>
      </c>
      <c r="BU806" s="1975">
        <f t="shared" si="1558"/>
        <v>0.75000000000000011</v>
      </c>
      <c r="BV806" s="769">
        <f t="shared" ref="BV806:BZ806" si="1559">+BV805/BV790</f>
        <v>0.75</v>
      </c>
      <c r="BW806" s="769">
        <f t="shared" si="1559"/>
        <v>0.75</v>
      </c>
      <c r="BX806" s="769">
        <f t="shared" si="1559"/>
        <v>0.75</v>
      </c>
      <c r="BY806" s="2171">
        <f t="shared" si="1559"/>
        <v>0.75</v>
      </c>
      <c r="BZ806" s="1975">
        <f t="shared" si="1559"/>
        <v>0.75</v>
      </c>
      <c r="CA806" s="1975">
        <f t="shared" si="1558"/>
        <v>0.75000000000000011</v>
      </c>
      <c r="CB806" s="1975">
        <f t="shared" si="1558"/>
        <v>0.75000000000000011</v>
      </c>
      <c r="CC806" s="1975">
        <f t="shared" si="1558"/>
        <v>0.75</v>
      </c>
      <c r="CD806" s="1975">
        <f t="shared" si="1558"/>
        <v>0.75000000000000011</v>
      </c>
      <c r="CE806" s="1975">
        <f t="shared" si="1558"/>
        <v>0.75</v>
      </c>
      <c r="CF806" s="1975">
        <f t="shared" si="1558"/>
        <v>0.75</v>
      </c>
      <c r="CG806" s="1975">
        <f t="shared" si="1558"/>
        <v>0.75</v>
      </c>
      <c r="CH806" s="626"/>
      <c r="CI806" s="626"/>
      <c r="CJ806" s="626"/>
      <c r="CK806" s="626"/>
      <c r="CL806" s="626"/>
      <c r="CM806" s="626"/>
      <c r="CN806" s="626"/>
      <c r="CO806" s="626"/>
      <c r="CP806" s="994" t="str">
        <f>A806</f>
        <v>% of revenue</v>
      </c>
      <c r="CQ806" s="626"/>
      <c r="CR806" s="626"/>
      <c r="CS806" s="626"/>
      <c r="CT806" s="626"/>
      <c r="CU806" s="626"/>
      <c r="CV806" s="626"/>
      <c r="CW806" s="626"/>
      <c r="CX806" s="626"/>
      <c r="CY806" s="626"/>
      <c r="CZ806" s="626">
        <f>BA806</f>
        <v>0</v>
      </c>
      <c r="DA806" s="626">
        <f>BF806</f>
        <v>1.0912641117323243</v>
      </c>
      <c r="DB806" s="626">
        <f>BK806</f>
        <v>0.79665905610701127</v>
      </c>
      <c r="DC806" s="626">
        <f>BP806</f>
        <v>0.85</v>
      </c>
      <c r="DD806" s="626">
        <f>BU806</f>
        <v>0.75000000000000011</v>
      </c>
      <c r="DE806" s="626">
        <f t="shared" si="1556"/>
        <v>0.75</v>
      </c>
      <c r="DF806" s="626">
        <f t="shared" si="1556"/>
        <v>0.75000000000000011</v>
      </c>
      <c r="DG806" s="1893">
        <f t="shared" si="1556"/>
        <v>0.75000000000000011</v>
      </c>
      <c r="DH806" s="632"/>
      <c r="DI806" s="595"/>
      <c r="DJ806" s="595"/>
      <c r="DK806" s="595"/>
      <c r="DL806" s="595"/>
      <c r="DM806" s="595"/>
      <c r="DN806" s="514"/>
      <c r="DO806" s="77"/>
      <c r="DY806" s="769"/>
      <c r="DZ806" s="769"/>
    </row>
    <row r="807" spans="1:130" ht="12" hidden="1" customHeight="1" outlineLevel="1">
      <c r="A807" s="552"/>
      <c r="B807" s="228"/>
      <c r="C807" s="228"/>
      <c r="D807" s="625"/>
      <c r="E807" s="626"/>
      <c r="F807" s="626"/>
      <c r="G807" s="626"/>
      <c r="H807" s="788"/>
      <c r="I807" s="626"/>
      <c r="J807" s="626"/>
      <c r="K807" s="626"/>
      <c r="L807" s="626"/>
      <c r="M807" s="788"/>
      <c r="N807" s="626"/>
      <c r="O807" s="626"/>
      <c r="P807" s="626"/>
      <c r="Q807" s="626"/>
      <c r="R807" s="788"/>
      <c r="S807" s="626"/>
      <c r="T807" s="626"/>
      <c r="U807" s="626"/>
      <c r="V807" s="626"/>
      <c r="W807" s="788"/>
      <c r="X807" s="626"/>
      <c r="Y807" s="626"/>
      <c r="Z807" s="626"/>
      <c r="AA807" s="626"/>
      <c r="AB807" s="788"/>
      <c r="AC807" s="626"/>
      <c r="AD807" s="626"/>
      <c r="AE807" s="626"/>
      <c r="AF807" s="626"/>
      <c r="AG807" s="788"/>
      <c r="AH807" s="626"/>
      <c r="AI807" s="626"/>
      <c r="AJ807" s="626"/>
      <c r="AK807" s="626"/>
      <c r="AL807" s="788"/>
      <c r="AM807" s="626"/>
      <c r="AN807" s="261"/>
      <c r="AO807" s="626"/>
      <c r="AP807" s="330"/>
      <c r="AQ807" s="1439"/>
      <c r="AR807" s="330"/>
      <c r="AS807" s="330"/>
      <c r="AT807" s="330"/>
      <c r="AU807" s="626"/>
      <c r="AV807" s="1439"/>
      <c r="AW807" s="626"/>
      <c r="AX807" s="261"/>
      <c r="AY807" s="626"/>
      <c r="AZ807" s="626"/>
      <c r="BA807" s="1439"/>
      <c r="BB807" s="678"/>
      <c r="BC807" s="330"/>
      <c r="BD807" s="330"/>
      <c r="BE807" s="2136"/>
      <c r="BF807" s="1439"/>
      <c r="BG807" s="678"/>
      <c r="BH807" s="330"/>
      <c r="BI807" s="330"/>
      <c r="BJ807" s="2136"/>
      <c r="BK807" s="1439"/>
      <c r="BL807" s="330"/>
      <c r="BM807" s="330"/>
      <c r="BN807" s="330"/>
      <c r="BO807" s="2136"/>
      <c r="BP807" s="1439"/>
      <c r="BQ807" s="330"/>
      <c r="BR807" s="330"/>
      <c r="BS807" s="330"/>
      <c r="BT807" s="2136"/>
      <c r="BU807" s="1439"/>
      <c r="BV807" s="330"/>
      <c r="BW807" s="330"/>
      <c r="BX807" s="330"/>
      <c r="BY807" s="2136"/>
      <c r="BZ807" s="1439"/>
      <c r="CA807" s="1439"/>
      <c r="CB807" s="1439"/>
      <c r="CC807" s="1439"/>
      <c r="CD807" s="1439"/>
      <c r="CE807" s="1439"/>
      <c r="CF807" s="1439"/>
      <c r="CG807" s="1439"/>
      <c r="CH807" s="626"/>
      <c r="CI807" s="626"/>
      <c r="CJ807" s="626"/>
      <c r="CK807" s="626"/>
      <c r="CL807" s="626"/>
      <c r="CM807" s="626"/>
      <c r="CN807" s="626"/>
      <c r="CO807" s="626"/>
      <c r="CP807" s="994"/>
      <c r="CQ807" s="626"/>
      <c r="CR807" s="626"/>
      <c r="CS807" s="626"/>
      <c r="CT807" s="626"/>
      <c r="CU807" s="626"/>
      <c r="CV807" s="626"/>
      <c r="CW807" s="626"/>
      <c r="CX807" s="626"/>
      <c r="CY807" s="626"/>
      <c r="CZ807" s="626"/>
      <c r="DA807" s="626"/>
      <c r="DB807" s="626"/>
      <c r="DC807" s="626"/>
      <c r="DD807" s="626"/>
      <c r="DE807" s="626"/>
      <c r="DF807" s="626"/>
      <c r="DG807" s="1893"/>
      <c r="DH807" s="632"/>
      <c r="DI807" s="595"/>
      <c r="DJ807" s="595"/>
      <c r="DK807" s="595"/>
      <c r="DL807" s="595"/>
      <c r="DM807" s="595"/>
      <c r="DN807" s="514"/>
      <c r="DO807" s="77"/>
      <c r="DY807" s="330"/>
      <c r="DZ807" s="330"/>
    </row>
    <row r="808" spans="1:130" ht="12" hidden="1" customHeight="1" outlineLevel="1">
      <c r="A808" s="670" t="s">
        <v>773</v>
      </c>
      <c r="B808" s="837"/>
      <c r="C808" s="837"/>
      <c r="D808" s="2106"/>
      <c r="E808" s="1759"/>
      <c r="F808" s="1759"/>
      <c r="G808" s="1759"/>
      <c r="H808" s="2107"/>
      <c r="I808" s="1759"/>
      <c r="J808" s="1759"/>
      <c r="K808" s="1759"/>
      <c r="L808" s="1759"/>
      <c r="M808" s="2107"/>
      <c r="N808" s="1759"/>
      <c r="O808" s="1759"/>
      <c r="P808" s="1759"/>
      <c r="Q808" s="1759"/>
      <c r="R808" s="2107"/>
      <c r="S808" s="1759"/>
      <c r="T808" s="1759"/>
      <c r="U808" s="1759"/>
      <c r="V808" s="1759"/>
      <c r="W808" s="2107"/>
      <c r="X808" s="1759"/>
      <c r="Y808" s="1759"/>
      <c r="Z808" s="1759"/>
      <c r="AA808" s="1759"/>
      <c r="AB808" s="2107"/>
      <c r="AC808" s="1759"/>
      <c r="AD808" s="1759"/>
      <c r="AE808" s="1759"/>
      <c r="AF808" s="1759"/>
      <c r="AG808" s="2107"/>
      <c r="AH808" s="1759"/>
      <c r="AI808" s="1759"/>
      <c r="AJ808" s="1759"/>
      <c r="AK808" s="1759"/>
      <c r="AL808" s="2107"/>
      <c r="AM808" s="572"/>
      <c r="AN808" s="572"/>
      <c r="AO808" s="572"/>
      <c r="AP808" s="572"/>
      <c r="AQ808" s="2117"/>
      <c r="AR808" s="572"/>
      <c r="AS808" s="572"/>
      <c r="AT808" s="572"/>
      <c r="AU808" s="572"/>
      <c r="AV808" s="2117"/>
      <c r="AW808" s="1759"/>
      <c r="AX808" s="1759"/>
      <c r="AY808" s="1759"/>
      <c r="AZ808" s="1759"/>
      <c r="BA808" s="2117"/>
      <c r="BB808" s="2727">
        <f>+BB932</f>
        <v>-3.2</v>
      </c>
      <c r="BC808" s="2760">
        <f>+BC932</f>
        <v>-1.8</v>
      </c>
      <c r="BD808" s="2760">
        <f>+BD932</f>
        <v>0.2</v>
      </c>
      <c r="BE808" s="2760">
        <f>+BE932</f>
        <v>1.8</v>
      </c>
      <c r="BF808" s="2117">
        <f>+SUM(BB808:BE808)</f>
        <v>-3</v>
      </c>
      <c r="BG808" s="2760">
        <f>+BG932</f>
        <v>1.1000000000000001</v>
      </c>
      <c r="BH808" s="2760">
        <f>+BH932</f>
        <v>1.6</v>
      </c>
      <c r="BI808" s="2760">
        <f>+BI932</f>
        <v>3.4</v>
      </c>
      <c r="BJ808" s="2760">
        <f>+BJ932</f>
        <v>1.6052311200000002</v>
      </c>
      <c r="BK808" s="2117">
        <f>+SUM(BG808:BJ808)</f>
        <v>7.7052311199999997</v>
      </c>
      <c r="BL808" s="632">
        <f>+BL787*BL$812</f>
        <v>1.3466145600000001</v>
      </c>
      <c r="BM808" s="632">
        <f>+BM787*BM$812</f>
        <v>1.31891802315</v>
      </c>
      <c r="BN808" s="632">
        <f>+BN787*BN$812</f>
        <v>1.31891802315</v>
      </c>
      <c r="BO808" s="2169">
        <f>+BO787*BO$812</f>
        <v>1.31891802315</v>
      </c>
      <c r="BP808" s="2117">
        <f>+SUM(BL808:BO808)</f>
        <v>5.3033686294500004</v>
      </c>
      <c r="BQ808" s="632">
        <f>+BQ787*BQ$812</f>
        <v>2.5495649559625484</v>
      </c>
      <c r="BR808" s="632">
        <f>+BR787*BR$812</f>
        <v>2.5495649559625484</v>
      </c>
      <c r="BS808" s="632">
        <f>+BS787*BS$812</f>
        <v>2.5495649559625484</v>
      </c>
      <c r="BT808" s="2169">
        <f>+BT787*BT$812</f>
        <v>2.5495649559625484</v>
      </c>
      <c r="BU808" s="2117">
        <f>+SUM(BQ808:BT808)</f>
        <v>10.198259823850194</v>
      </c>
      <c r="BV808" s="632">
        <f>+BV787*BV$812</f>
        <v>3.0596413002572143</v>
      </c>
      <c r="BW808" s="632">
        <f>+BW787*BW$812</f>
        <v>3.0596413002572143</v>
      </c>
      <c r="BX808" s="632">
        <f>+BX787*BX$812</f>
        <v>3.0596413002572143</v>
      </c>
      <c r="BY808" s="2169">
        <f>+BY787*BY$812</f>
        <v>3.0596413002572143</v>
      </c>
      <c r="BZ808" s="2117">
        <f>+SUM(BV808:BY808)</f>
        <v>12.238565201028857</v>
      </c>
      <c r="CA808" s="2117">
        <f t="shared" ref="CA808:CG808" si="1560">+CA787*CA$812</f>
        <v>13.598381101153848</v>
      </c>
      <c r="CB808" s="2117">
        <f t="shared" si="1560"/>
        <v>14.006332534188463</v>
      </c>
      <c r="CC808" s="2117">
        <f t="shared" si="1560"/>
        <v>13.30601590747904</v>
      </c>
      <c r="CD808" s="2117">
        <f t="shared" si="1560"/>
        <v>12.640715112105088</v>
      </c>
      <c r="CE808" s="2117">
        <f t="shared" si="1560"/>
        <v>12.893529414347189</v>
      </c>
      <c r="CF808" s="2117">
        <f t="shared" si="1560"/>
        <v>13.151400002634134</v>
      </c>
      <c r="CG808" s="2117">
        <f t="shared" si="1560"/>
        <v>13.414428002686817</v>
      </c>
      <c r="CH808" s="1759"/>
      <c r="CI808" s="1759"/>
      <c r="CJ808" s="1759"/>
      <c r="CK808" s="1759"/>
      <c r="CL808" s="1759"/>
      <c r="CM808" s="965"/>
      <c r="CN808" s="965">
        <f t="shared" ref="CN808:CN809" si="1561">SUM(BV808:BY808)</f>
        <v>12.238565201028857</v>
      </c>
      <c r="CO808" s="965">
        <f t="shared" ref="CO808:CO811" si="1562">CM808-CN808</f>
        <v>-12.238565201028857</v>
      </c>
      <c r="CP808" s="1864" t="str">
        <f>A808</f>
        <v>Borgata</v>
      </c>
      <c r="CQ808" s="1759"/>
      <c r="CR808" s="1759"/>
      <c r="CS808" s="1759"/>
      <c r="CT808" s="1759"/>
      <c r="CU808" s="1759"/>
      <c r="CV808" s="1759"/>
      <c r="CW808" s="1759"/>
      <c r="CX808" s="1759"/>
      <c r="CY808" s="1759"/>
      <c r="CZ808" s="1759">
        <f>BA808</f>
        <v>0</v>
      </c>
      <c r="DA808" s="1759">
        <f>BF808</f>
        <v>-3</v>
      </c>
      <c r="DB808" s="1759">
        <f>BK808</f>
        <v>7.7052311199999997</v>
      </c>
      <c r="DC808" s="1759">
        <f>BP808</f>
        <v>5.3033686294500004</v>
      </c>
      <c r="DD808" s="1759">
        <f>BU808</f>
        <v>10.198259823850194</v>
      </c>
      <c r="DE808" s="1759">
        <f t="shared" ref="DE808:DG809" si="1563">BZ808</f>
        <v>12.238565201028857</v>
      </c>
      <c r="DF808" s="1759">
        <f t="shared" si="1563"/>
        <v>13.598381101153848</v>
      </c>
      <c r="DG808" s="1857">
        <f t="shared" si="1563"/>
        <v>14.006332534188463</v>
      </c>
      <c r="DH808" s="632"/>
      <c r="DI808" s="838"/>
      <c r="DJ808" s="838"/>
      <c r="DK808" s="838"/>
      <c r="DL808" s="838"/>
      <c r="DM808" s="838"/>
      <c r="DN808" s="632"/>
      <c r="DO808" s="858"/>
      <c r="DY808" s="632"/>
      <c r="DZ808" s="632"/>
    </row>
    <row r="809" spans="1:130" ht="12" hidden="1" customHeight="1" outlineLevel="1">
      <c r="A809" s="429" t="s">
        <v>1633</v>
      </c>
      <c r="B809" s="2048"/>
      <c r="C809" s="2048"/>
      <c r="D809" s="2119"/>
      <c r="E809" s="776"/>
      <c r="F809" s="776"/>
      <c r="G809" s="776"/>
      <c r="H809" s="777"/>
      <c r="I809" s="776"/>
      <c r="J809" s="776"/>
      <c r="K809" s="776"/>
      <c r="L809" s="776"/>
      <c r="M809" s="777"/>
      <c r="N809" s="776"/>
      <c r="O809" s="776"/>
      <c r="P809" s="776"/>
      <c r="Q809" s="776"/>
      <c r="R809" s="777"/>
      <c r="S809" s="776"/>
      <c r="T809" s="776"/>
      <c r="U809" s="776"/>
      <c r="V809" s="776"/>
      <c r="W809" s="777"/>
      <c r="X809" s="776"/>
      <c r="Y809" s="776"/>
      <c r="Z809" s="776"/>
      <c r="AA809" s="776"/>
      <c r="AB809" s="777"/>
      <c r="AC809" s="776"/>
      <c r="AD809" s="776"/>
      <c r="AE809" s="776"/>
      <c r="AF809" s="776"/>
      <c r="AG809" s="777"/>
      <c r="AH809" s="776"/>
      <c r="AI809" s="776"/>
      <c r="AJ809" s="776"/>
      <c r="AK809" s="776"/>
      <c r="AL809" s="777"/>
      <c r="AM809" s="776"/>
      <c r="AN809" s="776"/>
      <c r="AO809" s="776"/>
      <c r="AP809" s="776"/>
      <c r="AQ809" s="2120"/>
      <c r="AR809" s="776"/>
      <c r="AS809" s="776"/>
      <c r="AT809" s="776"/>
      <c r="AU809" s="776"/>
      <c r="AV809" s="2120"/>
      <c r="AW809" s="776"/>
      <c r="AX809" s="776"/>
      <c r="AY809" s="776"/>
      <c r="AZ809" s="776"/>
      <c r="BA809" s="2120"/>
      <c r="BB809" s="2724">
        <f>+BB788*BB$813</f>
        <v>-1.1981144888888888</v>
      </c>
      <c r="BC809" s="650">
        <f>+BC788*BC$813</f>
        <v>-0.44565832258064464</v>
      </c>
      <c r="BD809" s="650">
        <f>+BD788*BD$813</f>
        <v>5.2083809075316581E-2</v>
      </c>
      <c r="BE809" s="2170">
        <f>+BE788*BE$813</f>
        <v>0.54933947450479348</v>
      </c>
      <c r="BF809" s="2120">
        <f>+SUM(BB809:BE809)</f>
        <v>-1.0423495278894235</v>
      </c>
      <c r="BG809" s="650">
        <f>+BG788*BG$813</f>
        <v>0.31031103475799415</v>
      </c>
      <c r="BH809" s="650">
        <f>+BH788*BH$813</f>
        <v>0.39774352298776999</v>
      </c>
      <c r="BI809" s="650">
        <f>+BI788*BI$813</f>
        <v>0.62755884586624633</v>
      </c>
      <c r="BJ809" s="2170">
        <f>+BJ788*BJ$813</f>
        <v>0.24518472000000008</v>
      </c>
      <c r="BK809" s="2120">
        <f>+SUM(BG809:BJ809)</f>
        <v>1.5807981236120106</v>
      </c>
      <c r="BL809" s="2724">
        <f>+BL788*BL$813</f>
        <v>0.60829869000000003</v>
      </c>
      <c r="BM809" s="650">
        <f>+BM788*BM$813</f>
        <v>0.59578748777195389</v>
      </c>
      <c r="BN809" s="650">
        <f>+BN788*BN$813</f>
        <v>0.59578748777195389</v>
      </c>
      <c r="BO809" s="2170">
        <f>+BO788*BO$813</f>
        <v>0.59578748777195389</v>
      </c>
      <c r="BP809" s="2120">
        <f>+SUM(BL809:BO809)</f>
        <v>2.3956611533158618</v>
      </c>
      <c r="BQ809" s="650">
        <f>+BQ788*BQ$813</f>
        <v>1.1517007678737161</v>
      </c>
      <c r="BR809" s="650">
        <f>+BR788*BR$813</f>
        <v>1.1517007678737161</v>
      </c>
      <c r="BS809" s="650">
        <f>+BS788*BS$813</f>
        <v>1.1517007678737161</v>
      </c>
      <c r="BT809" s="2170">
        <f>+BT788*BT$813</f>
        <v>1.1517007678737161</v>
      </c>
      <c r="BU809" s="2120">
        <f>+SUM(BQ809:BT809)</f>
        <v>4.6068030714948645</v>
      </c>
      <c r="BV809" s="650">
        <f>+BV788*BV$813</f>
        <v>1.3821147120348682</v>
      </c>
      <c r="BW809" s="650">
        <f>+BW788*BW$813</f>
        <v>1.3821147120348682</v>
      </c>
      <c r="BX809" s="650">
        <f>+BX788*BX$813</f>
        <v>1.3821147120348682</v>
      </c>
      <c r="BY809" s="2170">
        <f>+BY788*BY$813</f>
        <v>1.3821147120348682</v>
      </c>
      <c r="BZ809" s="2120">
        <f>+SUM(BV809:BY809)</f>
        <v>5.528458848139473</v>
      </c>
      <c r="CA809" s="2120">
        <f t="shared" ref="CA809:CG809" si="1564">+CA788*CA$813</f>
        <v>6.1427209059381074</v>
      </c>
      <c r="CB809" s="2120">
        <f t="shared" si="1564"/>
        <v>6.32700253311625</v>
      </c>
      <c r="CC809" s="2120">
        <f t="shared" si="1564"/>
        <v>6.0106524064604381</v>
      </c>
      <c r="CD809" s="2120">
        <f t="shared" si="1564"/>
        <v>5.7101197861374153</v>
      </c>
      <c r="CE809" s="2120">
        <f t="shared" si="1564"/>
        <v>5.8243221818601638</v>
      </c>
      <c r="CF809" s="2120">
        <f t="shared" si="1564"/>
        <v>5.9408086254973673</v>
      </c>
      <c r="CG809" s="2120">
        <f t="shared" si="1564"/>
        <v>6.0596247980073157</v>
      </c>
      <c r="CH809" s="776"/>
      <c r="CI809" s="776"/>
      <c r="CJ809" s="776"/>
      <c r="CK809" s="776"/>
      <c r="CL809" s="776"/>
      <c r="CM809" s="965"/>
      <c r="CN809" s="965">
        <f t="shared" si="1561"/>
        <v>5.528458848139473</v>
      </c>
      <c r="CO809" s="965">
        <f t="shared" si="1562"/>
        <v>-5.528458848139473</v>
      </c>
      <c r="CP809" s="2052" t="str">
        <f>A809</f>
        <v>PartyPoker JV</v>
      </c>
      <c r="CQ809" s="776"/>
      <c r="CR809" s="776"/>
      <c r="CS809" s="776"/>
      <c r="CT809" s="776"/>
      <c r="CU809" s="776"/>
      <c r="CV809" s="776"/>
      <c r="CW809" s="776"/>
      <c r="CX809" s="776"/>
      <c r="CY809" s="776"/>
      <c r="CZ809" s="776">
        <f>BA809</f>
        <v>0</v>
      </c>
      <c r="DA809" s="776">
        <f>BF809</f>
        <v>-1.0423495278894235</v>
      </c>
      <c r="DB809" s="776">
        <f>BK809</f>
        <v>1.5807981236120106</v>
      </c>
      <c r="DC809" s="776">
        <f>BP809</f>
        <v>2.3956611533158618</v>
      </c>
      <c r="DD809" s="776">
        <f>BU809</f>
        <v>4.6068030714948645</v>
      </c>
      <c r="DE809" s="776">
        <f t="shared" si="1563"/>
        <v>5.528458848139473</v>
      </c>
      <c r="DF809" s="776">
        <f t="shared" si="1563"/>
        <v>6.1427209059381074</v>
      </c>
      <c r="DG809" s="2121">
        <f t="shared" si="1563"/>
        <v>6.32700253311625</v>
      </c>
      <c r="DH809" s="650"/>
      <c r="DI809" s="650"/>
      <c r="DJ809" s="650"/>
      <c r="DK809" s="650"/>
      <c r="DL809" s="650"/>
      <c r="DM809" s="650"/>
      <c r="DN809" s="650"/>
      <c r="DO809" s="2122"/>
      <c r="DY809" s="650"/>
      <c r="DZ809" s="650"/>
    </row>
    <row r="810" spans="1:130" ht="3.95" hidden="1" customHeight="1" outlineLevel="1">
      <c r="A810" s="552"/>
      <c r="B810" s="228"/>
      <c r="C810" s="228"/>
      <c r="D810" s="625"/>
      <c r="E810" s="626"/>
      <c r="F810" s="626"/>
      <c r="G810" s="626"/>
      <c r="H810" s="788"/>
      <c r="I810" s="626"/>
      <c r="J810" s="626"/>
      <c r="K810" s="626"/>
      <c r="L810" s="626"/>
      <c r="M810" s="788"/>
      <c r="N810" s="626"/>
      <c r="O810" s="626"/>
      <c r="P810" s="626"/>
      <c r="Q810" s="626"/>
      <c r="R810" s="788"/>
      <c r="S810" s="626"/>
      <c r="T810" s="626"/>
      <c r="U810" s="626"/>
      <c r="V810" s="626"/>
      <c r="W810" s="788"/>
      <c r="X810" s="626"/>
      <c r="Y810" s="626"/>
      <c r="Z810" s="626"/>
      <c r="AA810" s="626"/>
      <c r="AB810" s="788"/>
      <c r="AC810" s="626"/>
      <c r="AD810" s="626"/>
      <c r="AE810" s="626"/>
      <c r="AF810" s="626"/>
      <c r="AG810" s="788"/>
      <c r="AH810" s="626"/>
      <c r="AI810" s="626"/>
      <c r="AJ810" s="626"/>
      <c r="AK810" s="626"/>
      <c r="AL810" s="788"/>
      <c r="AM810" s="626"/>
      <c r="AN810" s="261"/>
      <c r="AO810" s="626"/>
      <c r="AP810" s="330"/>
      <c r="AQ810" s="1439"/>
      <c r="AR810" s="330"/>
      <c r="AS810" s="330"/>
      <c r="AT810" s="330"/>
      <c r="AU810" s="626"/>
      <c r="AV810" s="1951"/>
      <c r="AW810" s="626"/>
      <c r="AX810" s="261"/>
      <c r="AY810" s="626"/>
      <c r="AZ810" s="626"/>
      <c r="BA810" s="2105"/>
      <c r="BB810" s="2718" t="s">
        <v>343</v>
      </c>
      <c r="BC810" s="2155" t="s">
        <v>343</v>
      </c>
      <c r="BD810" s="2155" t="s">
        <v>343</v>
      </c>
      <c r="BE810" s="2156" t="s">
        <v>343</v>
      </c>
      <c r="BF810" s="2105" t="s">
        <v>343</v>
      </c>
      <c r="BG810" s="2155" t="s">
        <v>343</v>
      </c>
      <c r="BH810" s="2155" t="s">
        <v>343</v>
      </c>
      <c r="BI810" s="2155" t="s">
        <v>343</v>
      </c>
      <c r="BJ810" s="2156" t="s">
        <v>343</v>
      </c>
      <c r="BK810" s="2105" t="s">
        <v>343</v>
      </c>
      <c r="BL810" s="2718" t="s">
        <v>343</v>
      </c>
      <c r="BM810" s="2155" t="s">
        <v>343</v>
      </c>
      <c r="BN810" s="2155" t="s">
        <v>343</v>
      </c>
      <c r="BO810" s="2156" t="s">
        <v>343</v>
      </c>
      <c r="BP810" s="2105" t="s">
        <v>343</v>
      </c>
      <c r="BQ810" s="2155" t="s">
        <v>343</v>
      </c>
      <c r="BR810" s="2155" t="s">
        <v>343</v>
      </c>
      <c r="BS810" s="2155" t="s">
        <v>343</v>
      </c>
      <c r="BT810" s="2156" t="s">
        <v>343</v>
      </c>
      <c r="BU810" s="2105" t="s">
        <v>343</v>
      </c>
      <c r="BV810" s="2155" t="s">
        <v>343</v>
      </c>
      <c r="BW810" s="2155" t="s">
        <v>343</v>
      </c>
      <c r="BX810" s="2155" t="s">
        <v>343</v>
      </c>
      <c r="BY810" s="2156" t="s">
        <v>343</v>
      </c>
      <c r="BZ810" s="2105" t="s">
        <v>343</v>
      </c>
      <c r="CA810" s="2105" t="s">
        <v>343</v>
      </c>
      <c r="CB810" s="2105" t="s">
        <v>343</v>
      </c>
      <c r="CC810" s="2105" t="s">
        <v>343</v>
      </c>
      <c r="CD810" s="2105" t="s">
        <v>343</v>
      </c>
      <c r="CE810" s="2105" t="s">
        <v>343</v>
      </c>
      <c r="CF810" s="2105" t="s">
        <v>343</v>
      </c>
      <c r="CG810" s="2105" t="s">
        <v>343</v>
      </c>
      <c r="CH810" s="626"/>
      <c r="CI810" s="626"/>
      <c r="CJ810" s="626"/>
      <c r="CK810" s="626"/>
      <c r="CL810" s="626"/>
      <c r="CM810" s="626"/>
      <c r="CN810" s="626"/>
      <c r="CO810" s="965">
        <f t="shared" si="1562"/>
        <v>0</v>
      </c>
      <c r="CP810" s="994"/>
      <c r="CQ810" s="626"/>
      <c r="CR810" s="626"/>
      <c r="CS810" s="626"/>
      <c r="CT810" s="626"/>
      <c r="CU810" s="626"/>
      <c r="CV810" s="626"/>
      <c r="CW810" s="626"/>
      <c r="CX810" s="626"/>
      <c r="CY810" s="626"/>
      <c r="CZ810" s="626"/>
      <c r="DA810" s="626"/>
      <c r="DB810" s="626"/>
      <c r="DC810" s="626"/>
      <c r="DD810" s="626"/>
      <c r="DE810" s="626"/>
      <c r="DF810" s="626"/>
      <c r="DG810" s="1893"/>
      <c r="DH810" s="632"/>
      <c r="DI810" s="595"/>
      <c r="DJ810" s="595"/>
      <c r="DK810" s="595"/>
      <c r="DL810" s="595"/>
      <c r="DM810" s="595"/>
      <c r="DN810" s="514"/>
      <c r="DO810" s="77"/>
      <c r="DY810" s="2155"/>
      <c r="DZ810" s="2155"/>
    </row>
    <row r="811" spans="1:130" ht="12" hidden="1" customHeight="1" outlineLevel="1">
      <c r="A811" s="670" t="s">
        <v>401</v>
      </c>
      <c r="B811" s="670"/>
      <c r="C811" s="670"/>
      <c r="D811" s="2106"/>
      <c r="E811" s="1759"/>
      <c r="F811" s="1759"/>
      <c r="G811" s="1759"/>
      <c r="H811" s="2107"/>
      <c r="I811" s="1759"/>
      <c r="J811" s="1759"/>
      <c r="K811" s="1759"/>
      <c r="L811" s="1759"/>
      <c r="M811" s="2107"/>
      <c r="N811" s="1759"/>
      <c r="O811" s="1759"/>
      <c r="P811" s="1759"/>
      <c r="Q811" s="1759"/>
      <c r="R811" s="2107"/>
      <c r="S811" s="1759"/>
      <c r="T811" s="1759"/>
      <c r="U811" s="1759"/>
      <c r="V811" s="1759"/>
      <c r="W811" s="2107"/>
      <c r="X811" s="1759"/>
      <c r="Y811" s="1759"/>
      <c r="Z811" s="1759"/>
      <c r="AA811" s="1759"/>
      <c r="AB811" s="2107"/>
      <c r="AC811" s="1759"/>
      <c r="AD811" s="1759"/>
      <c r="AE811" s="1759"/>
      <c r="AF811" s="1759"/>
      <c r="AG811" s="2107"/>
      <c r="AH811" s="1759"/>
      <c r="AI811" s="1759"/>
      <c r="AJ811" s="1759"/>
      <c r="AK811" s="1759"/>
      <c r="AL811" s="2107"/>
      <c r="AM811" s="572"/>
      <c r="AN811" s="572"/>
      <c r="AO811" s="572"/>
      <c r="AP811" s="572"/>
      <c r="AQ811" s="1297"/>
      <c r="AR811" s="572"/>
      <c r="AS811" s="572"/>
      <c r="AT811" s="572"/>
      <c r="AU811" s="1759"/>
      <c r="AV811" s="1297"/>
      <c r="AW811" s="1759"/>
      <c r="AX811" s="1759"/>
      <c r="AY811" s="1759"/>
      <c r="AZ811" s="1759"/>
      <c r="BA811" s="1297"/>
      <c r="BB811" s="2728">
        <f t="shared" ref="BB811:BK811" si="1565">+SUM(BB808:BB810)</f>
        <v>-4.398114488888889</v>
      </c>
      <c r="BC811" s="589">
        <f t="shared" si="1565"/>
        <v>-2.2456583225806446</v>
      </c>
      <c r="BD811" s="589">
        <f t="shared" si="1565"/>
        <v>0.25208380907531658</v>
      </c>
      <c r="BE811" s="1870">
        <f t="shared" si="1565"/>
        <v>2.3493394745047933</v>
      </c>
      <c r="BF811" s="1297">
        <f t="shared" si="1565"/>
        <v>-4.0423495278894235</v>
      </c>
      <c r="BG811" s="589">
        <f>+SUM(BG808:BG810)</f>
        <v>1.4103110347579944</v>
      </c>
      <c r="BH811" s="589">
        <f>+SUM(BH808:BH810)</f>
        <v>1.99774352298777</v>
      </c>
      <c r="BI811" s="589">
        <f>+SUM(BI808:BI810)</f>
        <v>4.0275588458662464</v>
      </c>
      <c r="BJ811" s="1870">
        <f>+SUM(BJ808:BJ810)</f>
        <v>1.8504158400000004</v>
      </c>
      <c r="BK811" s="1297">
        <f t="shared" si="1565"/>
        <v>9.2860292436120098</v>
      </c>
      <c r="BL811" s="2728">
        <f>+SUM(BL808:BL810)</f>
        <v>1.9549132500000002</v>
      </c>
      <c r="BM811" s="589">
        <f t="shared" ref="BM811:CB811" si="1566">+SUM(BM808:BM810)</f>
        <v>1.9147055109219537</v>
      </c>
      <c r="BN811" s="589">
        <f t="shared" si="1566"/>
        <v>1.9147055109219537</v>
      </c>
      <c r="BO811" s="1870">
        <f t="shared" si="1566"/>
        <v>1.9147055109219537</v>
      </c>
      <c r="BP811" s="1297">
        <f t="shared" si="1566"/>
        <v>7.6990297827658623</v>
      </c>
      <c r="BQ811" s="589">
        <f t="shared" ref="BQ811:BZ811" si="1567">+SUM(BQ808:BQ810)</f>
        <v>3.7012657238362645</v>
      </c>
      <c r="BR811" s="589">
        <f t="shared" si="1567"/>
        <v>3.7012657238362645</v>
      </c>
      <c r="BS811" s="589">
        <f t="shared" si="1567"/>
        <v>3.7012657238362645</v>
      </c>
      <c r="BT811" s="1870">
        <f t="shared" si="1567"/>
        <v>3.7012657238362645</v>
      </c>
      <c r="BU811" s="1297">
        <f t="shared" si="1567"/>
        <v>14.805062895345058</v>
      </c>
      <c r="BV811" s="589">
        <f t="shared" si="1567"/>
        <v>4.4417560122920827</v>
      </c>
      <c r="BW811" s="589">
        <f t="shared" si="1567"/>
        <v>4.4417560122920827</v>
      </c>
      <c r="BX811" s="589">
        <f t="shared" si="1567"/>
        <v>4.4417560122920827</v>
      </c>
      <c r="BY811" s="1870">
        <f t="shared" si="1567"/>
        <v>4.4417560122920827</v>
      </c>
      <c r="BZ811" s="1297">
        <f t="shared" si="1567"/>
        <v>17.767024049168331</v>
      </c>
      <c r="CA811" s="1297">
        <f t="shared" si="1566"/>
        <v>19.741102007091953</v>
      </c>
      <c r="CB811" s="1297">
        <f t="shared" si="1566"/>
        <v>20.333335067304713</v>
      </c>
      <c r="CC811" s="1297">
        <f>+SUM(CC808:CC810)</f>
        <v>19.316668313939477</v>
      </c>
      <c r="CD811" s="1297">
        <f>+SUM(CD808:CD810)</f>
        <v>18.350834898242503</v>
      </c>
      <c r="CE811" s="1297">
        <f>+SUM(CE808:CE810)</f>
        <v>18.717851596207353</v>
      </c>
      <c r="CF811" s="1297">
        <f>+SUM(CF808:CF810)</f>
        <v>19.092208628131502</v>
      </c>
      <c r="CG811" s="1297">
        <f>+SUM(CG808:CG810)</f>
        <v>19.474052800694132</v>
      </c>
      <c r="CH811" s="1759"/>
      <c r="CI811" s="1759"/>
      <c r="CJ811" s="1759"/>
      <c r="CK811" s="1759"/>
      <c r="CL811" s="1759"/>
      <c r="CM811" s="965"/>
      <c r="CN811" s="965">
        <f t="shared" ref="CN811" si="1568">SUM(BV811:BY811)</f>
        <v>17.767024049168331</v>
      </c>
      <c r="CO811" s="965">
        <f t="shared" si="1562"/>
        <v>-17.767024049168331</v>
      </c>
      <c r="CP811" s="1864" t="str">
        <f>A811</f>
        <v>EBITDA</v>
      </c>
      <c r="CQ811" s="1759"/>
      <c r="CR811" s="1759"/>
      <c r="CS811" s="1759"/>
      <c r="CT811" s="1759"/>
      <c r="CU811" s="1759"/>
      <c r="CV811" s="1759"/>
      <c r="CW811" s="1759"/>
      <c r="CX811" s="1759"/>
      <c r="CY811" s="1759"/>
      <c r="CZ811" s="1759">
        <f>BA811</f>
        <v>0</v>
      </c>
      <c r="DA811" s="1759">
        <f>BF811</f>
        <v>-4.0423495278894235</v>
      </c>
      <c r="DB811" s="1759">
        <f>BK811</f>
        <v>9.2860292436120098</v>
      </c>
      <c r="DC811" s="1759">
        <f>BP811</f>
        <v>7.6990297827658623</v>
      </c>
      <c r="DD811" s="1759">
        <f>BU811</f>
        <v>14.805062895345058</v>
      </c>
      <c r="DE811" s="1759">
        <f t="shared" ref="DE811:DG814" si="1569">BZ811</f>
        <v>17.767024049168331</v>
      </c>
      <c r="DF811" s="1759">
        <f t="shared" si="1569"/>
        <v>19.741102007091953</v>
      </c>
      <c r="DG811" s="1857">
        <f t="shared" si="1569"/>
        <v>20.333335067304713</v>
      </c>
      <c r="DH811" s="632"/>
      <c r="DI811" s="838"/>
      <c r="DJ811" s="838"/>
      <c r="DK811" s="838"/>
      <c r="DL811" s="838"/>
      <c r="DM811" s="838"/>
      <c r="DN811" s="632"/>
      <c r="DO811" s="858"/>
      <c r="DY811" s="589"/>
      <c r="DZ811" s="589"/>
    </row>
    <row r="812" spans="1:130" ht="12" hidden="1" customHeight="1" outlineLevel="1">
      <c r="A812" s="212" t="s">
        <v>1338</v>
      </c>
      <c r="B812" s="228"/>
      <c r="C812" s="228"/>
      <c r="D812" s="625"/>
      <c r="E812" s="626"/>
      <c r="F812" s="626"/>
      <c r="G812" s="626"/>
      <c r="H812" s="788"/>
      <c r="I812" s="626"/>
      <c r="J812" s="626"/>
      <c r="K812" s="626"/>
      <c r="L812" s="626"/>
      <c r="M812" s="788"/>
      <c r="N812" s="626"/>
      <c r="O812" s="626"/>
      <c r="P812" s="626"/>
      <c r="Q812" s="626"/>
      <c r="R812" s="788"/>
      <c r="S812" s="626"/>
      <c r="T812" s="626"/>
      <c r="U812" s="626"/>
      <c r="V812" s="626"/>
      <c r="W812" s="788"/>
      <c r="X812" s="626"/>
      <c r="Y812" s="626"/>
      <c r="Z812" s="626"/>
      <c r="AA812" s="626"/>
      <c r="AB812" s="788"/>
      <c r="AC812" s="626"/>
      <c r="AD812" s="626"/>
      <c r="AE812" s="626"/>
      <c r="AF812" s="626"/>
      <c r="AG812" s="788"/>
      <c r="AH812" s="626"/>
      <c r="AI812" s="626"/>
      <c r="AJ812" s="626"/>
      <c r="AK812" s="626"/>
      <c r="AL812" s="788"/>
      <c r="AM812" s="573"/>
      <c r="AN812" s="573"/>
      <c r="AO812" s="573"/>
      <c r="AP812" s="573"/>
      <c r="AQ812" s="1621"/>
      <c r="AR812" s="573"/>
      <c r="AS812" s="573"/>
      <c r="AT812" s="573"/>
      <c r="AU812" s="573"/>
      <c r="AV812" s="1621"/>
      <c r="AW812" s="573"/>
      <c r="AX812" s="573"/>
      <c r="AY812" s="573"/>
      <c r="AZ812" s="573"/>
      <c r="BA812" s="1621"/>
      <c r="BB812" s="560">
        <f t="shared" ref="BB812:BH812" si="1570">+BB808/BB787</f>
        <v>-0.35555555555555557</v>
      </c>
      <c r="BC812" s="561">
        <f t="shared" si="1570"/>
        <v>-0.19354838709677419</v>
      </c>
      <c r="BD812" s="561">
        <f t="shared" si="1570"/>
        <v>2.4921548833388658E-2</v>
      </c>
      <c r="BE812" s="561">
        <f t="shared" si="1570"/>
        <v>0.23020299956580262</v>
      </c>
      <c r="BF812" s="562">
        <f t="shared" si="1570"/>
        <v>-8.7862217986585153E-2</v>
      </c>
      <c r="BG812" s="561">
        <f t="shared" si="1570"/>
        <v>0.12040668975102264</v>
      </c>
      <c r="BH812" s="561">
        <f t="shared" si="1570"/>
        <v>0.17373887026082441</v>
      </c>
      <c r="BI812" s="561">
        <f>+BI808/BI787</f>
        <v>0.36981461111967817</v>
      </c>
      <c r="BJ812" s="561">
        <f>+BJ808/BJ787</f>
        <v>0.16000000000000003</v>
      </c>
      <c r="BK812" s="562">
        <f>+BK808/BK787</f>
        <v>0.20508225334023306</v>
      </c>
      <c r="BL812" s="548">
        <v>0.15</v>
      </c>
      <c r="BM812" s="548">
        <v>0.15</v>
      </c>
      <c r="BN812" s="548">
        <v>0.15</v>
      </c>
      <c r="BO812" s="2812">
        <v>0.15</v>
      </c>
      <c r="BP812" s="562">
        <f>+BP808/BP787</f>
        <v>0.15</v>
      </c>
      <c r="BQ812" s="548">
        <v>0.25</v>
      </c>
      <c r="BR812" s="548">
        <v>0.25</v>
      </c>
      <c r="BS812" s="548">
        <v>0.25</v>
      </c>
      <c r="BT812" s="2812">
        <v>0.25</v>
      </c>
      <c r="BU812" s="562">
        <f>+BU808/BU787</f>
        <v>0.25</v>
      </c>
      <c r="BV812" s="3976">
        <f>BU812</f>
        <v>0.25</v>
      </c>
      <c r="BW812" s="3976">
        <f>BV812</f>
        <v>0.25</v>
      </c>
      <c r="BX812" s="3976">
        <f>BW812</f>
        <v>0.25</v>
      </c>
      <c r="BY812" s="3977">
        <f>BX812</f>
        <v>0.25</v>
      </c>
      <c r="BZ812" s="562">
        <f>+BZ808/BZ787</f>
        <v>0.25</v>
      </c>
      <c r="CA812" s="2133">
        <f t="shared" ref="CA812:CG812" si="1571">+BZ812</f>
        <v>0.25</v>
      </c>
      <c r="CB812" s="2133">
        <f t="shared" si="1571"/>
        <v>0.25</v>
      </c>
      <c r="CC812" s="2133">
        <f t="shared" si="1571"/>
        <v>0.25</v>
      </c>
      <c r="CD812" s="2133">
        <f t="shared" si="1571"/>
        <v>0.25</v>
      </c>
      <c r="CE812" s="2133">
        <f t="shared" si="1571"/>
        <v>0.25</v>
      </c>
      <c r="CF812" s="2133">
        <f t="shared" si="1571"/>
        <v>0.25</v>
      </c>
      <c r="CG812" s="2133">
        <f t="shared" si="1571"/>
        <v>0.25</v>
      </c>
      <c r="CH812" s="626"/>
      <c r="CI812" s="626"/>
      <c r="CJ812" s="626"/>
      <c r="CK812" s="626"/>
      <c r="CL812" s="626"/>
      <c r="CM812" s="626"/>
      <c r="CN812" s="626"/>
      <c r="CO812" s="626"/>
      <c r="CP812" s="994" t="str">
        <f>A812</f>
        <v>% Margin - Borgata</v>
      </c>
      <c r="CQ812" s="626"/>
      <c r="CR812" s="626"/>
      <c r="CS812" s="626"/>
      <c r="CT812" s="626"/>
      <c r="CU812" s="626"/>
      <c r="CV812" s="626"/>
      <c r="CW812" s="626"/>
      <c r="CX812" s="626"/>
      <c r="CY812" s="626"/>
      <c r="CZ812" s="626">
        <f>BA812</f>
        <v>0</v>
      </c>
      <c r="DA812" s="626">
        <f>BF812</f>
        <v>-8.7862217986585153E-2</v>
      </c>
      <c r="DB812" s="626">
        <f>BK812</f>
        <v>0.20508225334023306</v>
      </c>
      <c r="DC812" s="626">
        <f>BP812</f>
        <v>0.15</v>
      </c>
      <c r="DD812" s="626">
        <f>BU812</f>
        <v>0.25</v>
      </c>
      <c r="DE812" s="626">
        <f t="shared" si="1569"/>
        <v>0.25</v>
      </c>
      <c r="DF812" s="626">
        <f t="shared" si="1569"/>
        <v>0.25</v>
      </c>
      <c r="DG812" s="1893">
        <f t="shared" si="1569"/>
        <v>0.25</v>
      </c>
      <c r="DH812" s="632"/>
      <c r="DI812" s="595"/>
      <c r="DJ812" s="595"/>
      <c r="DK812" s="595"/>
      <c r="DL812" s="595"/>
      <c r="DM812" s="595"/>
      <c r="DN812" s="514"/>
      <c r="DO812" s="77"/>
      <c r="DY812" s="561"/>
      <c r="DZ812" s="561"/>
    </row>
    <row r="813" spans="1:130" ht="12" hidden="1" customHeight="1" outlineLevel="1">
      <c r="A813" s="212" t="s">
        <v>1339</v>
      </c>
      <c r="B813" s="228"/>
      <c r="C813" s="228"/>
      <c r="D813" s="625"/>
      <c r="E813" s="626"/>
      <c r="F813" s="626"/>
      <c r="G813" s="626"/>
      <c r="H813" s="788"/>
      <c r="I813" s="626"/>
      <c r="J813" s="626"/>
      <c r="K813" s="626"/>
      <c r="L813" s="626"/>
      <c r="M813" s="788"/>
      <c r="N813" s="626"/>
      <c r="O813" s="626"/>
      <c r="P813" s="626"/>
      <c r="Q813" s="626"/>
      <c r="R813" s="788"/>
      <c r="S813" s="626"/>
      <c r="T813" s="626"/>
      <c r="U813" s="626"/>
      <c r="V813" s="626"/>
      <c r="W813" s="788"/>
      <c r="X813" s="626"/>
      <c r="Y813" s="626"/>
      <c r="Z813" s="626"/>
      <c r="AA813" s="626"/>
      <c r="AB813" s="788"/>
      <c r="AC813" s="626"/>
      <c r="AD813" s="626"/>
      <c r="AE813" s="626"/>
      <c r="AF813" s="626"/>
      <c r="AG813" s="788"/>
      <c r="AH813" s="626"/>
      <c r="AI813" s="626"/>
      <c r="AJ813" s="626"/>
      <c r="AK813" s="626"/>
      <c r="AL813" s="788"/>
      <c r="AM813" s="573"/>
      <c r="AN813" s="573"/>
      <c r="AO813" s="573"/>
      <c r="AP813" s="573"/>
      <c r="AQ813" s="1621"/>
      <c r="AR813" s="573"/>
      <c r="AS813" s="573"/>
      <c r="AT813" s="573"/>
      <c r="AU813" s="573"/>
      <c r="AV813" s="1621"/>
      <c r="AW813" s="573"/>
      <c r="AX813" s="573"/>
      <c r="AY813" s="573"/>
      <c r="AZ813" s="573"/>
      <c r="BA813" s="1621"/>
      <c r="BB813" s="2729">
        <f>+BB812</f>
        <v>-0.35555555555555557</v>
      </c>
      <c r="BC813" s="2172">
        <f>+BC812</f>
        <v>-0.19354838709677419</v>
      </c>
      <c r="BD813" s="2172">
        <f>+BD812</f>
        <v>2.4921548833388658E-2</v>
      </c>
      <c r="BE813" s="2173">
        <f>+BE812</f>
        <v>0.23020299956580262</v>
      </c>
      <c r="BF813" s="562">
        <f>+BF809/BF788</f>
        <v>-0.10270969421233757</v>
      </c>
      <c r="BG813" s="2172">
        <f>+BG812</f>
        <v>0.12040668975102264</v>
      </c>
      <c r="BH813" s="2172">
        <f>+BH812</f>
        <v>0.17373887026082441</v>
      </c>
      <c r="BI813" s="2172">
        <f>+BI812</f>
        <v>0.36981461111967817</v>
      </c>
      <c r="BJ813" s="2173">
        <f>+BJ812</f>
        <v>0.16000000000000003</v>
      </c>
      <c r="BK813" s="562">
        <f>+BK809/BK788</f>
        <v>0.1952598512070996</v>
      </c>
      <c r="BL813" s="2729">
        <f>+BL812</f>
        <v>0.15</v>
      </c>
      <c r="BM813" s="2172">
        <f>+BM812</f>
        <v>0.15</v>
      </c>
      <c r="BN813" s="2172">
        <f>+BN812</f>
        <v>0.15</v>
      </c>
      <c r="BO813" s="2173">
        <f>+BO812</f>
        <v>0.15</v>
      </c>
      <c r="BP813" s="562">
        <f>+BP809/BP788</f>
        <v>0.15</v>
      </c>
      <c r="BQ813" s="2172">
        <f>+BQ812</f>
        <v>0.25</v>
      </c>
      <c r="BR813" s="2172">
        <f>+BR812</f>
        <v>0.25</v>
      </c>
      <c r="BS813" s="2172">
        <f>+BS812</f>
        <v>0.25</v>
      </c>
      <c r="BT813" s="2173">
        <f>+BT812</f>
        <v>0.25</v>
      </c>
      <c r="BU813" s="562">
        <f>+BU809/BU788</f>
        <v>0.25</v>
      </c>
      <c r="BV813" s="2172">
        <f>+BV812</f>
        <v>0.25</v>
      </c>
      <c r="BW813" s="2172">
        <f>+BW812</f>
        <v>0.25</v>
      </c>
      <c r="BX813" s="2172">
        <f>+BX812</f>
        <v>0.25</v>
      </c>
      <c r="BY813" s="2173">
        <f>+BY812</f>
        <v>0.25</v>
      </c>
      <c r="BZ813" s="562">
        <f>+BZ809/BZ788</f>
        <v>0.25</v>
      </c>
      <c r="CA813" s="2137">
        <f t="shared" ref="CA813:CG813" si="1572">+CA812</f>
        <v>0.25</v>
      </c>
      <c r="CB813" s="2137">
        <f t="shared" si="1572"/>
        <v>0.25</v>
      </c>
      <c r="CC813" s="2137">
        <f t="shared" si="1572"/>
        <v>0.25</v>
      </c>
      <c r="CD813" s="2137">
        <f t="shared" si="1572"/>
        <v>0.25</v>
      </c>
      <c r="CE813" s="2137">
        <f t="shared" si="1572"/>
        <v>0.25</v>
      </c>
      <c r="CF813" s="2137">
        <f t="shared" si="1572"/>
        <v>0.25</v>
      </c>
      <c r="CG813" s="2137">
        <f t="shared" si="1572"/>
        <v>0.25</v>
      </c>
      <c r="CH813" s="626"/>
      <c r="CI813" s="626"/>
      <c r="CJ813" s="626"/>
      <c r="CK813" s="626"/>
      <c r="CL813" s="626"/>
      <c r="CM813" s="626"/>
      <c r="CN813" s="626"/>
      <c r="CO813" s="626"/>
      <c r="CP813" s="994" t="str">
        <f>A813</f>
        <v>% Margin - PartyPoker JV</v>
      </c>
      <c r="CQ813" s="626"/>
      <c r="CR813" s="626"/>
      <c r="CS813" s="626"/>
      <c r="CT813" s="626"/>
      <c r="CU813" s="626"/>
      <c r="CV813" s="626"/>
      <c r="CW813" s="626"/>
      <c r="CX813" s="626"/>
      <c r="CY813" s="626"/>
      <c r="CZ813" s="626">
        <f>BA813</f>
        <v>0</v>
      </c>
      <c r="DA813" s="626">
        <f>BF813</f>
        <v>-0.10270969421233757</v>
      </c>
      <c r="DB813" s="626">
        <f>BK813</f>
        <v>0.1952598512070996</v>
      </c>
      <c r="DC813" s="626">
        <f>BP813</f>
        <v>0.15</v>
      </c>
      <c r="DD813" s="626">
        <f>BU813</f>
        <v>0.25</v>
      </c>
      <c r="DE813" s="626">
        <f t="shared" si="1569"/>
        <v>0.25</v>
      </c>
      <c r="DF813" s="626">
        <f t="shared" si="1569"/>
        <v>0.25</v>
      </c>
      <c r="DG813" s="1893">
        <f t="shared" si="1569"/>
        <v>0.25</v>
      </c>
      <c r="DH813" s="632"/>
      <c r="DI813" s="595"/>
      <c r="DJ813" s="595"/>
      <c r="DK813" s="595"/>
      <c r="DL813" s="595"/>
      <c r="DM813" s="595"/>
      <c r="DN813" s="514"/>
      <c r="DO813" s="77"/>
      <c r="DY813" s="561"/>
      <c r="DZ813" s="561"/>
    </row>
    <row r="814" spans="1:130" ht="12" hidden="1" customHeight="1" outlineLevel="1">
      <c r="A814" s="567" t="s">
        <v>1153</v>
      </c>
      <c r="B814" s="228"/>
      <c r="C814" s="228"/>
      <c r="D814" s="625"/>
      <c r="E814" s="626"/>
      <c r="F814" s="626"/>
      <c r="G814" s="626"/>
      <c r="H814" s="788"/>
      <c r="I814" s="626"/>
      <c r="J814" s="626"/>
      <c r="K814" s="626"/>
      <c r="L814" s="626"/>
      <c r="M814" s="788"/>
      <c r="N814" s="626"/>
      <c r="O814" s="626"/>
      <c r="P814" s="626"/>
      <c r="Q814" s="626"/>
      <c r="R814" s="788"/>
      <c r="S814" s="626"/>
      <c r="T814" s="626"/>
      <c r="U814" s="626"/>
      <c r="V814" s="626"/>
      <c r="W814" s="788"/>
      <c r="X814" s="626"/>
      <c r="Y814" s="626"/>
      <c r="Z814" s="626"/>
      <c r="AA814" s="626"/>
      <c r="AB814" s="788"/>
      <c r="AC814" s="626"/>
      <c r="AD814" s="626"/>
      <c r="AE814" s="626"/>
      <c r="AF814" s="626"/>
      <c r="AG814" s="788"/>
      <c r="AH814" s="626"/>
      <c r="AI814" s="626"/>
      <c r="AJ814" s="626"/>
      <c r="AK814" s="626"/>
      <c r="AL814" s="788"/>
      <c r="AM814" s="626"/>
      <c r="AN814" s="261"/>
      <c r="AO814" s="626"/>
      <c r="AP814" s="330"/>
      <c r="AQ814" s="1439"/>
      <c r="AR814" s="573"/>
      <c r="AS814" s="573"/>
      <c r="AT814" s="573"/>
      <c r="AU814" s="573"/>
      <c r="AV814" s="1975"/>
      <c r="AW814" s="573"/>
      <c r="AX814" s="573"/>
      <c r="AY814" s="573"/>
      <c r="AZ814" s="573"/>
      <c r="BA814" s="1975"/>
      <c r="BB814" s="573"/>
      <c r="BC814" s="573"/>
      <c r="BD814" s="573"/>
      <c r="BE814" s="573"/>
      <c r="BF814" s="1975"/>
      <c r="BG814" s="2726"/>
      <c r="BH814" s="769"/>
      <c r="BI814" s="769"/>
      <c r="BJ814" s="2171"/>
      <c r="BK814" s="1621"/>
      <c r="BL814" s="769"/>
      <c r="BM814" s="769"/>
      <c r="BN814" s="769"/>
      <c r="BO814" s="2171"/>
      <c r="BP814" s="1621"/>
      <c r="BQ814" s="769"/>
      <c r="BR814" s="769"/>
      <c r="BS814" s="769"/>
      <c r="BT814" s="2171"/>
      <c r="BU814" s="3371">
        <f>+BU811/BP811-1</f>
        <v>0.92297774045320891</v>
      </c>
      <c r="BV814" s="769"/>
      <c r="BW814" s="769"/>
      <c r="BX814" s="769"/>
      <c r="BY814" s="2171"/>
      <c r="BZ814" s="3371">
        <f>+BZ811/BU811-1</f>
        <v>0.2000640709709216</v>
      </c>
      <c r="CA814" s="1621">
        <f t="shared" ref="CA814:CG814" si="1573">+CA811/BZ811-1</f>
        <v>0.11110909471730168</v>
      </c>
      <c r="CB814" s="1621">
        <f t="shared" si="1573"/>
        <v>3.0000000000000027E-2</v>
      </c>
      <c r="CC814" s="1621">
        <f t="shared" si="1573"/>
        <v>-5.0000000000000044E-2</v>
      </c>
      <c r="CD814" s="1621">
        <f t="shared" si="1573"/>
        <v>-5.0000000000000044E-2</v>
      </c>
      <c r="CE814" s="1621">
        <f t="shared" si="1573"/>
        <v>2.0000000000000018E-2</v>
      </c>
      <c r="CF814" s="1621">
        <f t="shared" si="1573"/>
        <v>2.0000000000000018E-2</v>
      </c>
      <c r="CG814" s="1621">
        <f t="shared" si="1573"/>
        <v>2.0000000000000018E-2</v>
      </c>
      <c r="CH814" s="626"/>
      <c r="CI814" s="626"/>
      <c r="CJ814" s="626"/>
      <c r="CK814" s="626"/>
      <c r="CL814" s="626"/>
      <c r="CM814" s="626"/>
      <c r="CN814" s="626"/>
      <c r="CO814" s="626"/>
      <c r="CP814" s="994" t="str">
        <f>A814</f>
        <v>% growth</v>
      </c>
      <c r="CQ814" s="626"/>
      <c r="CR814" s="626"/>
      <c r="CS814" s="626"/>
      <c r="CT814" s="626"/>
      <c r="CU814" s="626"/>
      <c r="CV814" s="626"/>
      <c r="CW814" s="626"/>
      <c r="CX814" s="626"/>
      <c r="CY814" s="626"/>
      <c r="CZ814" s="626">
        <f>BA814</f>
        <v>0</v>
      </c>
      <c r="DA814" s="626">
        <f>BF814</f>
        <v>0</v>
      </c>
      <c r="DB814" s="626">
        <f>BK814</f>
        <v>0</v>
      </c>
      <c r="DC814" s="626">
        <f>BP814</f>
        <v>0</v>
      </c>
      <c r="DD814" s="626">
        <f>BU814</f>
        <v>0.92297774045320891</v>
      </c>
      <c r="DE814" s="626">
        <f t="shared" si="1569"/>
        <v>0.2000640709709216</v>
      </c>
      <c r="DF814" s="626">
        <f t="shared" si="1569"/>
        <v>0.11110909471730168</v>
      </c>
      <c r="DG814" s="1893">
        <f t="shared" si="1569"/>
        <v>3.0000000000000027E-2</v>
      </c>
      <c r="DH814" s="632"/>
      <c r="DI814" s="595"/>
      <c r="DJ814" s="595"/>
      <c r="DK814" s="595"/>
      <c r="DL814" s="595"/>
      <c r="DM814" s="595"/>
      <c r="DN814" s="514"/>
      <c r="DO814" s="77"/>
      <c r="DY814" s="573"/>
      <c r="DZ814" s="573"/>
    </row>
    <row r="815" spans="1:130" ht="12" hidden="1" customHeight="1" outlineLevel="1">
      <c r="A815" s="567"/>
      <c r="B815" s="228"/>
      <c r="C815" s="228"/>
      <c r="D815" s="625"/>
      <c r="E815" s="626"/>
      <c r="F815" s="626"/>
      <c r="G815" s="626"/>
      <c r="H815" s="788"/>
      <c r="I815" s="626"/>
      <c r="J815" s="626"/>
      <c r="K815" s="626"/>
      <c r="L815" s="626"/>
      <c r="M815" s="788"/>
      <c r="N815" s="626"/>
      <c r="O815" s="626"/>
      <c r="P815" s="626"/>
      <c r="Q815" s="626"/>
      <c r="R815" s="788"/>
      <c r="S815" s="626"/>
      <c r="T815" s="626"/>
      <c r="U815" s="626"/>
      <c r="V815" s="626"/>
      <c r="W815" s="788"/>
      <c r="X815" s="626"/>
      <c r="Y815" s="626"/>
      <c r="Z815" s="626"/>
      <c r="AA815" s="626"/>
      <c r="AB815" s="788"/>
      <c r="AC815" s="626"/>
      <c r="AD815" s="626"/>
      <c r="AE815" s="626"/>
      <c r="AF815" s="626"/>
      <c r="AG815" s="788"/>
      <c r="AH815" s="626"/>
      <c r="AI815" s="626"/>
      <c r="AJ815" s="626"/>
      <c r="AK815" s="626"/>
      <c r="AL815" s="788"/>
      <c r="AM815" s="626"/>
      <c r="AN815" s="261"/>
      <c r="AO815" s="626"/>
      <c r="AP815" s="330"/>
      <c r="AQ815" s="1439"/>
      <c r="AR815" s="573"/>
      <c r="AS815" s="573"/>
      <c r="AT815" s="573"/>
      <c r="AU815" s="573"/>
      <c r="AV815" s="1975"/>
      <c r="AW815" s="573"/>
      <c r="AX815" s="573"/>
      <c r="AY815" s="573"/>
      <c r="AZ815" s="573"/>
      <c r="BA815" s="1975"/>
      <c r="BB815" s="573"/>
      <c r="BC815" s="573"/>
      <c r="BD815" s="573"/>
      <c r="BE815" s="573"/>
      <c r="BF815" s="1975"/>
      <c r="BG815" s="2726"/>
      <c r="BH815" s="769"/>
      <c r="BI815" s="769"/>
      <c r="BJ815" s="2171"/>
      <c r="BK815" s="1621"/>
      <c r="BL815" s="769"/>
      <c r="BM815" s="769"/>
      <c r="BN815" s="769"/>
      <c r="BO815" s="2171"/>
      <c r="BP815" s="1621"/>
      <c r="BQ815" s="769"/>
      <c r="BR815" s="769"/>
      <c r="BS815" s="769"/>
      <c r="BT815" s="2171"/>
      <c r="BU815" s="3371"/>
      <c r="BV815" s="769"/>
      <c r="BW815" s="769"/>
      <c r="BX815" s="769"/>
      <c r="BY815" s="2171"/>
      <c r="BZ815" s="1621"/>
      <c r="CA815" s="1621"/>
      <c r="CB815" s="1621"/>
      <c r="CC815" s="1621"/>
      <c r="CD815" s="1621"/>
      <c r="CE815" s="1621"/>
      <c r="CF815" s="1621"/>
      <c r="CG815" s="1621"/>
      <c r="CH815" s="626"/>
      <c r="CI815" s="626"/>
      <c r="CJ815" s="626"/>
      <c r="CK815" s="626"/>
      <c r="CL815" s="626"/>
      <c r="CM815" s="626"/>
      <c r="CN815" s="626"/>
      <c r="CO815" s="626"/>
      <c r="CP815" s="994"/>
      <c r="CQ815" s="626"/>
      <c r="CR815" s="626"/>
      <c r="CS815" s="626"/>
      <c r="CT815" s="626"/>
      <c r="CU815" s="626"/>
      <c r="CV815" s="626"/>
      <c r="CW815" s="626"/>
      <c r="CX815" s="626"/>
      <c r="CY815" s="626"/>
      <c r="CZ815" s="626"/>
      <c r="DA815" s="626"/>
      <c r="DB815" s="626"/>
      <c r="DC815" s="626"/>
      <c r="DD815" s="626"/>
      <c r="DE815" s="626"/>
      <c r="DF815" s="626"/>
      <c r="DG815" s="1893"/>
      <c r="DH815" s="632"/>
      <c r="DI815" s="595"/>
      <c r="DJ815" s="595"/>
      <c r="DK815" s="595"/>
      <c r="DL815" s="595"/>
      <c r="DM815" s="595"/>
      <c r="DN815" s="514"/>
      <c r="DO815" s="77"/>
      <c r="DY815" s="573"/>
      <c r="DZ815" s="573"/>
    </row>
    <row r="816" spans="1:130" ht="12" hidden="1" customHeight="1" outlineLevel="1">
      <c r="A816" s="745" t="s">
        <v>382</v>
      </c>
      <c r="B816" s="746"/>
      <c r="C816" s="746"/>
      <c r="D816" s="591"/>
      <c r="E816" s="592"/>
      <c r="F816" s="592"/>
      <c r="G816" s="592"/>
      <c r="H816" s="779"/>
      <c r="I816" s="592"/>
      <c r="J816" s="592"/>
      <c r="K816" s="592"/>
      <c r="L816" s="592"/>
      <c r="M816" s="779"/>
      <c r="N816" s="592"/>
      <c r="O816" s="592"/>
      <c r="P816" s="592"/>
      <c r="Q816" s="592"/>
      <c r="R816" s="779"/>
      <c r="S816" s="592"/>
      <c r="T816" s="592"/>
      <c r="U816" s="592"/>
      <c r="V816" s="592"/>
      <c r="W816" s="779"/>
      <c r="X816" s="592"/>
      <c r="Y816" s="592"/>
      <c r="Z816" s="592"/>
      <c r="AA816" s="592"/>
      <c r="AB816" s="779"/>
      <c r="AC816" s="592"/>
      <c r="AD816" s="592"/>
      <c r="AE816" s="592"/>
      <c r="AF816" s="592"/>
      <c r="AG816" s="779"/>
      <c r="AH816" s="592"/>
      <c r="AI816" s="592"/>
      <c r="AJ816" s="592"/>
      <c r="AK816" s="592"/>
      <c r="AL816" s="779"/>
      <c r="AM816" s="592"/>
      <c r="AN816" s="592"/>
      <c r="AO816" s="592"/>
      <c r="AP816" s="592"/>
      <c r="AQ816" s="2116"/>
      <c r="AR816" s="592"/>
      <c r="AS816" s="592"/>
      <c r="AT816" s="592"/>
      <c r="AU816" s="592"/>
      <c r="AV816" s="2116"/>
      <c r="AW816" s="592"/>
      <c r="AX816" s="592"/>
      <c r="AY816" s="592"/>
      <c r="AZ816" s="592"/>
      <c r="BA816" s="2116"/>
      <c r="BB816" s="592"/>
      <c r="BC816" s="592"/>
      <c r="BD816" s="592"/>
      <c r="BE816" s="592"/>
      <c r="BF816" s="2116"/>
      <c r="BG816" s="2720"/>
      <c r="BH816" s="595"/>
      <c r="BI816" s="595"/>
      <c r="BJ816" s="2168"/>
      <c r="BK816" s="2116"/>
      <c r="BL816" s="595"/>
      <c r="BM816" s="595"/>
      <c r="BN816" s="595"/>
      <c r="BO816" s="2168"/>
      <c r="BP816" s="2116"/>
      <c r="BQ816" s="595"/>
      <c r="BR816" s="595"/>
      <c r="BS816" s="595"/>
      <c r="BT816" s="2168"/>
      <c r="BU816" s="3378"/>
      <c r="BV816" s="595"/>
      <c r="BW816" s="595"/>
      <c r="BX816" s="595"/>
      <c r="BY816" s="2168"/>
      <c r="BZ816" s="2116"/>
      <c r="CA816" s="2116"/>
      <c r="CB816" s="2116"/>
      <c r="CC816" s="2116"/>
      <c r="CD816" s="2116"/>
      <c r="CE816" s="2116"/>
      <c r="CF816" s="2116"/>
      <c r="CG816" s="2116"/>
      <c r="CH816" s="592"/>
      <c r="CI816" s="592"/>
      <c r="CJ816" s="592"/>
      <c r="CK816" s="592"/>
      <c r="CL816" s="592"/>
      <c r="CM816" s="592"/>
      <c r="CN816" s="592"/>
      <c r="CO816" s="592"/>
      <c r="CP816" s="1884" t="str">
        <f>A816</f>
        <v>BYD Ownership</v>
      </c>
      <c r="CQ816" s="592"/>
      <c r="CR816" s="592"/>
      <c r="CS816" s="592"/>
      <c r="CT816" s="592"/>
      <c r="CU816" s="592"/>
      <c r="CV816" s="592"/>
      <c r="CW816" s="592"/>
      <c r="CX816" s="592"/>
      <c r="CY816" s="592"/>
      <c r="CZ816" s="592">
        <f>BA816</f>
        <v>0</v>
      </c>
      <c r="DA816" s="592">
        <f>BF816</f>
        <v>0</v>
      </c>
      <c r="DB816" s="592">
        <f>BK816</f>
        <v>0</v>
      </c>
      <c r="DC816" s="592">
        <f>BP816</f>
        <v>0</v>
      </c>
      <c r="DD816" s="592">
        <f>BU816</f>
        <v>0</v>
      </c>
      <c r="DE816" s="592">
        <f t="shared" ref="DE816:DG818" si="1574">BZ816</f>
        <v>0</v>
      </c>
      <c r="DF816" s="592">
        <f t="shared" si="1574"/>
        <v>0</v>
      </c>
      <c r="DG816" s="1850">
        <f t="shared" si="1574"/>
        <v>0</v>
      </c>
      <c r="DH816" s="595"/>
      <c r="DI816" s="595"/>
      <c r="DJ816" s="595"/>
      <c r="DK816" s="595"/>
      <c r="DL816" s="595"/>
      <c r="DM816" s="595"/>
      <c r="DN816" s="595"/>
      <c r="DO816" s="1438"/>
      <c r="DY816" s="595"/>
      <c r="DZ816" s="595"/>
    </row>
    <row r="817" spans="1:130" ht="12" hidden="1" customHeight="1" outlineLevel="1">
      <c r="A817" s="2045" t="s">
        <v>773</v>
      </c>
      <c r="B817" s="746"/>
      <c r="C817" s="746"/>
      <c r="D817" s="591"/>
      <c r="E817" s="592"/>
      <c r="F817" s="592"/>
      <c r="G817" s="592"/>
      <c r="H817" s="779"/>
      <c r="I817" s="592"/>
      <c r="J817" s="592"/>
      <c r="K817" s="592"/>
      <c r="L817" s="592"/>
      <c r="M817" s="779"/>
      <c r="N817" s="592"/>
      <c r="O817" s="592"/>
      <c r="P817" s="592"/>
      <c r="Q817" s="592"/>
      <c r="R817" s="779"/>
      <c r="S817" s="592"/>
      <c r="T817" s="592"/>
      <c r="U817" s="592"/>
      <c r="V817" s="592"/>
      <c r="W817" s="779"/>
      <c r="X817" s="592"/>
      <c r="Y817" s="592"/>
      <c r="Z817" s="592"/>
      <c r="AA817" s="592"/>
      <c r="AB817" s="779"/>
      <c r="AC817" s="592"/>
      <c r="AD817" s="592"/>
      <c r="AE817" s="592"/>
      <c r="AF817" s="592"/>
      <c r="AG817" s="779"/>
      <c r="AH817" s="592"/>
      <c r="AI817" s="592"/>
      <c r="AJ817" s="592"/>
      <c r="AK817" s="592"/>
      <c r="AL817" s="779"/>
      <c r="AM817" s="592"/>
      <c r="AN817" s="592"/>
      <c r="AO817" s="592"/>
      <c r="AP817" s="592"/>
      <c r="AQ817" s="2116"/>
      <c r="AR817" s="592"/>
      <c r="AS817" s="592"/>
      <c r="AT817" s="592"/>
      <c r="AU817" s="592"/>
      <c r="AV817" s="2116"/>
      <c r="AW817" s="592"/>
      <c r="AX817" s="592"/>
      <c r="AY817" s="592"/>
      <c r="AZ817" s="592"/>
      <c r="BA817" s="2116"/>
      <c r="BB817" s="592">
        <f>+BF817</f>
        <v>0.5</v>
      </c>
      <c r="BC817" s="592">
        <f t="shared" ref="BC817:BE818" si="1575">+BB817</f>
        <v>0.5</v>
      </c>
      <c r="BD817" s="592">
        <f t="shared" si="1575"/>
        <v>0.5</v>
      </c>
      <c r="BE817" s="592">
        <f t="shared" si="1575"/>
        <v>0.5</v>
      </c>
      <c r="BF817" s="2077">
        <v>0.5</v>
      </c>
      <c r="BG817" s="591">
        <f>+BK817</f>
        <v>0.5</v>
      </c>
      <c r="BH817" s="592">
        <f t="shared" ref="BH817:BJ818" si="1576">+BG817</f>
        <v>0.5</v>
      </c>
      <c r="BI817" s="592">
        <f t="shared" si="1576"/>
        <v>0.5</v>
      </c>
      <c r="BJ817" s="1850">
        <f t="shared" si="1576"/>
        <v>0.5</v>
      </c>
      <c r="BK817" s="2077">
        <v>0.5</v>
      </c>
      <c r="BL817" s="592">
        <f>+BJ817</f>
        <v>0.5</v>
      </c>
      <c r="BM817" s="592">
        <f t="shared" ref="BM817:BO818" si="1577">+BL817</f>
        <v>0.5</v>
      </c>
      <c r="BN817" s="592">
        <f t="shared" si="1577"/>
        <v>0.5</v>
      </c>
      <c r="BO817" s="1850">
        <f t="shared" si="1577"/>
        <v>0.5</v>
      </c>
      <c r="BP817" s="2077">
        <v>0.5</v>
      </c>
      <c r="BQ817" s="592">
        <f t="shared" ref="BQ817:BR818" si="1578">+BP817</f>
        <v>0.5</v>
      </c>
      <c r="BR817" s="592">
        <f t="shared" si="1578"/>
        <v>0.5</v>
      </c>
      <c r="BS817" s="592">
        <f>+BR817</f>
        <v>0.5</v>
      </c>
      <c r="BT817" s="1850">
        <f>+BS817</f>
        <v>0.5</v>
      </c>
      <c r="BU817" s="3414">
        <v>0.5</v>
      </c>
      <c r="BV817" s="592">
        <f t="shared" ref="BV817:BV818" si="1579">+BU817</f>
        <v>0.5</v>
      </c>
      <c r="BW817" s="592">
        <f t="shared" ref="BW817:BW818" si="1580">+BV817</f>
        <v>0.5</v>
      </c>
      <c r="BX817" s="592">
        <f t="shared" ref="BX817:BX818" si="1581">+BW817</f>
        <v>0.5</v>
      </c>
      <c r="BY817" s="1850">
        <f t="shared" ref="BY817:BY818" si="1582">+BX817</f>
        <v>0.5</v>
      </c>
      <c r="BZ817" s="3414">
        <v>0.5</v>
      </c>
      <c r="CA817" s="2115">
        <f t="shared" ref="CA817:CB818" si="1583">+BZ817</f>
        <v>0.5</v>
      </c>
      <c r="CB817" s="2115">
        <f t="shared" si="1583"/>
        <v>0.5</v>
      </c>
      <c r="CC817" s="2115">
        <f t="shared" ref="CC817:CG818" si="1584">+CB817</f>
        <v>0.5</v>
      </c>
      <c r="CD817" s="2115">
        <f t="shared" si="1584"/>
        <v>0.5</v>
      </c>
      <c r="CE817" s="2115">
        <f t="shared" si="1584"/>
        <v>0.5</v>
      </c>
      <c r="CF817" s="2115">
        <f t="shared" si="1584"/>
        <v>0.5</v>
      </c>
      <c r="CG817" s="2115">
        <f t="shared" si="1584"/>
        <v>0.5</v>
      </c>
      <c r="CH817" s="592"/>
      <c r="CI817" s="592"/>
      <c r="CJ817" s="592"/>
      <c r="CK817" s="592"/>
      <c r="CL817" s="592"/>
      <c r="CM817" s="592"/>
      <c r="CN817" s="592"/>
      <c r="CO817" s="592"/>
      <c r="CP817" s="1884" t="str">
        <f>A817</f>
        <v>Borgata</v>
      </c>
      <c r="CQ817" s="592"/>
      <c r="CR817" s="592"/>
      <c r="CS817" s="592"/>
      <c r="CT817" s="592"/>
      <c r="CU817" s="592"/>
      <c r="CV817" s="592"/>
      <c r="CW817" s="592"/>
      <c r="CX817" s="592"/>
      <c r="CY817" s="592"/>
      <c r="CZ817" s="592">
        <f>BA817</f>
        <v>0</v>
      </c>
      <c r="DA817" s="592">
        <f>BF817</f>
        <v>0.5</v>
      </c>
      <c r="DB817" s="592">
        <f>BK817</f>
        <v>0.5</v>
      </c>
      <c r="DC817" s="592">
        <f>BP817</f>
        <v>0.5</v>
      </c>
      <c r="DD817" s="592">
        <f>BU817</f>
        <v>0.5</v>
      </c>
      <c r="DE817" s="592">
        <f t="shared" si="1574"/>
        <v>0.5</v>
      </c>
      <c r="DF817" s="592">
        <f t="shared" si="1574"/>
        <v>0.5</v>
      </c>
      <c r="DG817" s="1850">
        <f t="shared" si="1574"/>
        <v>0.5</v>
      </c>
      <c r="DH817" s="595"/>
      <c r="DI817" s="595"/>
      <c r="DJ817" s="595"/>
      <c r="DK817" s="595"/>
      <c r="DL817" s="595"/>
      <c r="DM817" s="595"/>
      <c r="DN817" s="595"/>
      <c r="DO817" s="1438"/>
      <c r="DY817" s="800"/>
      <c r="DZ817" s="800"/>
    </row>
    <row r="818" spans="1:130" ht="12" hidden="1" customHeight="1" outlineLevel="1">
      <c r="A818" s="2045" t="s">
        <v>381</v>
      </c>
      <c r="B818" s="746"/>
      <c r="C818" s="746"/>
      <c r="D818" s="591"/>
      <c r="E818" s="592"/>
      <c r="F818" s="592"/>
      <c r="G818" s="592"/>
      <c r="H818" s="779"/>
      <c r="I818" s="592"/>
      <c r="J818" s="592"/>
      <c r="K818" s="592"/>
      <c r="L818" s="592"/>
      <c r="M818" s="779"/>
      <c r="N818" s="592"/>
      <c r="O818" s="592"/>
      <c r="P818" s="592"/>
      <c r="Q818" s="592"/>
      <c r="R818" s="779"/>
      <c r="S818" s="592"/>
      <c r="T818" s="592"/>
      <c r="U818" s="592"/>
      <c r="V818" s="592"/>
      <c r="W818" s="779"/>
      <c r="X818" s="592"/>
      <c r="Y818" s="592"/>
      <c r="Z818" s="592"/>
      <c r="AA818" s="592"/>
      <c r="AB818" s="779"/>
      <c r="AC818" s="592"/>
      <c r="AD818" s="592"/>
      <c r="AE818" s="592"/>
      <c r="AF818" s="592"/>
      <c r="AG818" s="779"/>
      <c r="AH818" s="592"/>
      <c r="AI818" s="592"/>
      <c r="AJ818" s="592"/>
      <c r="AK818" s="592"/>
      <c r="AL818" s="779"/>
      <c r="AM818" s="592"/>
      <c r="AN818" s="592"/>
      <c r="AO818" s="592"/>
      <c r="AP818" s="592"/>
      <c r="AQ818" s="2116"/>
      <c r="AR818" s="592"/>
      <c r="AS818" s="592"/>
      <c r="AT818" s="592"/>
      <c r="AU818" s="592"/>
      <c r="AV818" s="2116"/>
      <c r="AW818" s="592"/>
      <c r="AX818" s="592"/>
      <c r="AY818" s="592"/>
      <c r="AZ818" s="592"/>
      <c r="BA818" s="2116"/>
      <c r="BB818" s="592">
        <f>+BF818</f>
        <v>0.1</v>
      </c>
      <c r="BC818" s="592">
        <f t="shared" si="1575"/>
        <v>0.1</v>
      </c>
      <c r="BD818" s="592">
        <f t="shared" si="1575"/>
        <v>0.1</v>
      </c>
      <c r="BE818" s="592">
        <f t="shared" si="1575"/>
        <v>0.1</v>
      </c>
      <c r="BF818" s="2077">
        <v>0.1</v>
      </c>
      <c r="BG818" s="591">
        <f>+BK818</f>
        <v>0.1</v>
      </c>
      <c r="BH818" s="592">
        <f t="shared" si="1576"/>
        <v>0.1</v>
      </c>
      <c r="BI818" s="592">
        <f t="shared" si="1576"/>
        <v>0.1</v>
      </c>
      <c r="BJ818" s="1850">
        <f t="shared" si="1576"/>
        <v>0.1</v>
      </c>
      <c r="BK818" s="2077">
        <v>0.1</v>
      </c>
      <c r="BL818" s="592">
        <f>+BJ818</f>
        <v>0.1</v>
      </c>
      <c r="BM818" s="592">
        <f t="shared" si="1577"/>
        <v>0.1</v>
      </c>
      <c r="BN818" s="592">
        <f t="shared" si="1577"/>
        <v>0.1</v>
      </c>
      <c r="BO818" s="1850">
        <f t="shared" si="1577"/>
        <v>0.1</v>
      </c>
      <c r="BP818" s="2077">
        <v>0.1</v>
      </c>
      <c r="BQ818" s="592">
        <f t="shared" si="1578"/>
        <v>0.1</v>
      </c>
      <c r="BR818" s="592">
        <f t="shared" si="1578"/>
        <v>0.1</v>
      </c>
      <c r="BS818" s="592">
        <f>+BR818</f>
        <v>0.1</v>
      </c>
      <c r="BT818" s="1850">
        <f>+BS818</f>
        <v>0.1</v>
      </c>
      <c r="BU818" s="3414">
        <v>0.1</v>
      </c>
      <c r="BV818" s="592">
        <f t="shared" si="1579"/>
        <v>0.1</v>
      </c>
      <c r="BW818" s="592">
        <f t="shared" si="1580"/>
        <v>0.1</v>
      </c>
      <c r="BX818" s="592">
        <f t="shared" si="1581"/>
        <v>0.1</v>
      </c>
      <c r="BY818" s="1850">
        <f t="shared" si="1582"/>
        <v>0.1</v>
      </c>
      <c r="BZ818" s="3414">
        <v>0.1</v>
      </c>
      <c r="CA818" s="2115">
        <f t="shared" si="1583"/>
        <v>0.1</v>
      </c>
      <c r="CB818" s="2115">
        <f t="shared" si="1583"/>
        <v>0.1</v>
      </c>
      <c r="CC818" s="2115">
        <f t="shared" si="1584"/>
        <v>0.1</v>
      </c>
      <c r="CD818" s="2115">
        <f t="shared" si="1584"/>
        <v>0.1</v>
      </c>
      <c r="CE818" s="2115">
        <f t="shared" si="1584"/>
        <v>0.1</v>
      </c>
      <c r="CF818" s="2115">
        <f t="shared" si="1584"/>
        <v>0.1</v>
      </c>
      <c r="CG818" s="2115">
        <f t="shared" si="1584"/>
        <v>0.1</v>
      </c>
      <c r="CH818" s="592"/>
      <c r="CI818" s="592"/>
      <c r="CJ818" s="592"/>
      <c r="CK818" s="592"/>
      <c r="CL818" s="592"/>
      <c r="CM818" s="592"/>
      <c r="CN818" s="592"/>
      <c r="CO818" s="592"/>
      <c r="CP818" s="1884" t="str">
        <f>A818</f>
        <v>Party Poker JV</v>
      </c>
      <c r="CQ818" s="592"/>
      <c r="CR818" s="592"/>
      <c r="CS818" s="592"/>
      <c r="CT818" s="592"/>
      <c r="CU818" s="592"/>
      <c r="CV818" s="592"/>
      <c r="CW818" s="592"/>
      <c r="CX818" s="592"/>
      <c r="CY818" s="592"/>
      <c r="CZ818" s="592">
        <f>BA818</f>
        <v>0</v>
      </c>
      <c r="DA818" s="592">
        <f>BF818</f>
        <v>0.1</v>
      </c>
      <c r="DB818" s="592">
        <f>BK818</f>
        <v>0.1</v>
      </c>
      <c r="DC818" s="592">
        <f>BP818</f>
        <v>0.1</v>
      </c>
      <c r="DD818" s="592">
        <f>BU818</f>
        <v>0.1</v>
      </c>
      <c r="DE818" s="592">
        <f t="shared" si="1574"/>
        <v>0.1</v>
      </c>
      <c r="DF818" s="592">
        <f t="shared" si="1574"/>
        <v>0.1</v>
      </c>
      <c r="DG818" s="1850">
        <f t="shared" si="1574"/>
        <v>0.1</v>
      </c>
      <c r="DH818" s="595"/>
      <c r="DI818" s="595"/>
      <c r="DJ818" s="595"/>
      <c r="DK818" s="595"/>
      <c r="DL818" s="595"/>
      <c r="DM818" s="595"/>
      <c r="DN818" s="595"/>
      <c r="DO818" s="1438"/>
      <c r="DY818" s="800"/>
      <c r="DZ818" s="800"/>
    </row>
    <row r="819" spans="1:130" ht="12" hidden="1" customHeight="1" outlineLevel="1">
      <c r="A819" s="2045"/>
      <c r="B819" s="746"/>
      <c r="C819" s="746"/>
      <c r="D819" s="591"/>
      <c r="E819" s="592"/>
      <c r="F819" s="592"/>
      <c r="G819" s="592"/>
      <c r="H819" s="779"/>
      <c r="I819" s="592"/>
      <c r="J819" s="592"/>
      <c r="K819" s="592"/>
      <c r="L819" s="592"/>
      <c r="M819" s="779"/>
      <c r="N819" s="592"/>
      <c r="O819" s="592"/>
      <c r="P819" s="592"/>
      <c r="Q819" s="592"/>
      <c r="R819" s="779"/>
      <c r="S819" s="592"/>
      <c r="T819" s="592"/>
      <c r="U819" s="592"/>
      <c r="V819" s="592"/>
      <c r="W819" s="779"/>
      <c r="X819" s="592"/>
      <c r="Y819" s="592"/>
      <c r="Z819" s="592"/>
      <c r="AA819" s="592"/>
      <c r="AB819" s="779"/>
      <c r="AC819" s="592"/>
      <c r="AD819" s="592"/>
      <c r="AE819" s="592"/>
      <c r="AF819" s="592"/>
      <c r="AG819" s="779"/>
      <c r="AH819" s="592"/>
      <c r="AI819" s="592"/>
      <c r="AJ819" s="592"/>
      <c r="AK819" s="592"/>
      <c r="AL819" s="779"/>
      <c r="AM819" s="592"/>
      <c r="AN819" s="592"/>
      <c r="AO819" s="592"/>
      <c r="AP819" s="592"/>
      <c r="AQ819" s="2116"/>
      <c r="AR819" s="592"/>
      <c r="AS819" s="592"/>
      <c r="AT819" s="592"/>
      <c r="AU819" s="592"/>
      <c r="AV819" s="2116"/>
      <c r="AW819" s="592"/>
      <c r="AX819" s="592"/>
      <c r="AY819" s="592"/>
      <c r="AZ819" s="592"/>
      <c r="BA819" s="2116"/>
      <c r="BB819" s="592"/>
      <c r="BC819" s="592"/>
      <c r="BD819" s="592"/>
      <c r="BE819" s="592"/>
      <c r="BF819" s="2077"/>
      <c r="BG819" s="799"/>
      <c r="BH819" s="800"/>
      <c r="BI819" s="800"/>
      <c r="BJ819" s="2912"/>
      <c r="BK819" s="2115"/>
      <c r="BL819" s="800"/>
      <c r="BM819" s="800"/>
      <c r="BN819" s="800"/>
      <c r="BO819" s="2912"/>
      <c r="BP819" s="2115"/>
      <c r="BQ819" s="800"/>
      <c r="BR819" s="800"/>
      <c r="BS819" s="800"/>
      <c r="BT819" s="2912"/>
      <c r="BU819" s="3414"/>
      <c r="BV819" s="800"/>
      <c r="BW819" s="800"/>
      <c r="BX819" s="800"/>
      <c r="BY819" s="2912"/>
      <c r="BZ819" s="3414"/>
      <c r="CA819" s="2116"/>
      <c r="CB819" s="2116"/>
      <c r="CC819" s="2116"/>
      <c r="CD819" s="2116"/>
      <c r="CE819" s="2116"/>
      <c r="CF819" s="2116"/>
      <c r="CG819" s="2116"/>
      <c r="CH819" s="592"/>
      <c r="CI819" s="592"/>
      <c r="CJ819" s="592"/>
      <c r="CK819" s="592"/>
      <c r="CL819" s="592"/>
      <c r="CM819" s="592"/>
      <c r="CN819" s="592"/>
      <c r="CO819" s="592"/>
      <c r="CP819" s="1884"/>
      <c r="CQ819" s="592"/>
      <c r="CR819" s="592"/>
      <c r="CS819" s="592"/>
      <c r="CT819" s="592"/>
      <c r="CU819" s="592"/>
      <c r="CV819" s="592"/>
      <c r="CW819" s="592"/>
      <c r="CX819" s="592"/>
      <c r="CY819" s="592"/>
      <c r="CZ819" s="592"/>
      <c r="DA819" s="592"/>
      <c r="DB819" s="592"/>
      <c r="DC819" s="592"/>
      <c r="DD819" s="592"/>
      <c r="DE819" s="592"/>
      <c r="DF819" s="592"/>
      <c r="DG819" s="1850"/>
      <c r="DH819" s="595"/>
      <c r="DI819" s="595"/>
      <c r="DJ819" s="595"/>
      <c r="DK819" s="595"/>
      <c r="DL819" s="595"/>
      <c r="DM819" s="595"/>
      <c r="DN819" s="595"/>
      <c r="DO819" s="1438"/>
      <c r="DY819" s="2911"/>
      <c r="DZ819" s="2911"/>
    </row>
    <row r="820" spans="1:130" ht="12" hidden="1" customHeight="1" outlineLevel="1">
      <c r="A820" s="670" t="s">
        <v>773</v>
      </c>
      <c r="B820" s="837"/>
      <c r="C820" s="837"/>
      <c r="D820" s="2106"/>
      <c r="E820" s="1759"/>
      <c r="F820" s="1759"/>
      <c r="G820" s="1759"/>
      <c r="H820" s="2107"/>
      <c r="I820" s="1759"/>
      <c r="J820" s="1759"/>
      <c r="K820" s="1759"/>
      <c r="L820" s="1759"/>
      <c r="M820" s="2107"/>
      <c r="N820" s="1759"/>
      <c r="O820" s="1759"/>
      <c r="P820" s="1759"/>
      <c r="Q820" s="1759"/>
      <c r="R820" s="2107"/>
      <c r="S820" s="1759"/>
      <c r="T820" s="1759"/>
      <c r="U820" s="1759"/>
      <c r="V820" s="1759"/>
      <c r="W820" s="2107"/>
      <c r="X820" s="1759"/>
      <c r="Y820" s="1759"/>
      <c r="Z820" s="1759"/>
      <c r="AA820" s="1759"/>
      <c r="AB820" s="2107"/>
      <c r="AC820" s="1759"/>
      <c r="AD820" s="1759"/>
      <c r="AE820" s="1759"/>
      <c r="AF820" s="1759"/>
      <c r="AG820" s="2107"/>
      <c r="AH820" s="1759"/>
      <c r="AI820" s="1759"/>
      <c r="AJ820" s="1759"/>
      <c r="AK820" s="1759"/>
      <c r="AL820" s="2107"/>
      <c r="AM820" s="572"/>
      <c r="AN820" s="572"/>
      <c r="AO820" s="572"/>
      <c r="AP820" s="572"/>
      <c r="AQ820" s="2117"/>
      <c r="AR820" s="572"/>
      <c r="AS820" s="572"/>
      <c r="AT820" s="572"/>
      <c r="AU820" s="572"/>
      <c r="AV820" s="2117"/>
      <c r="AW820" s="1759"/>
      <c r="AX820" s="1759"/>
      <c r="AY820" s="1759"/>
      <c r="AZ820" s="1759"/>
      <c r="BA820" s="2117"/>
      <c r="BB820" s="2723">
        <f t="shared" ref="BB820:BE821" si="1585">+BB817*BB808</f>
        <v>-1.6</v>
      </c>
      <c r="BC820" s="632">
        <f t="shared" si="1585"/>
        <v>-0.9</v>
      </c>
      <c r="BD820" s="632">
        <f t="shared" si="1585"/>
        <v>0.1</v>
      </c>
      <c r="BE820" s="2169">
        <f t="shared" si="1585"/>
        <v>0.9</v>
      </c>
      <c r="BF820" s="2117">
        <f>+SUM(BB820:BE820)</f>
        <v>-1.5</v>
      </c>
      <c r="BG820" s="2723">
        <f t="shared" ref="BG820:BJ821" si="1586">+BG817*BG808</f>
        <v>0.55000000000000004</v>
      </c>
      <c r="BH820" s="632">
        <f t="shared" si="1586"/>
        <v>0.8</v>
      </c>
      <c r="BI820" s="632">
        <f t="shared" si="1586"/>
        <v>1.7</v>
      </c>
      <c r="BJ820" s="2169">
        <f t="shared" si="1586"/>
        <v>0.80261556000000012</v>
      </c>
      <c r="BK820" s="2117">
        <f>+SUM(BG820:BJ820)</f>
        <v>3.8526155599999998</v>
      </c>
      <c r="BL820" s="632">
        <f t="shared" ref="BL820:BO821" si="1587">+BL817*BL808</f>
        <v>0.67330728000000006</v>
      </c>
      <c r="BM820" s="632">
        <f t="shared" si="1587"/>
        <v>0.65945901157499998</v>
      </c>
      <c r="BN820" s="632">
        <f t="shared" si="1587"/>
        <v>0.65945901157499998</v>
      </c>
      <c r="BO820" s="2169">
        <f t="shared" si="1587"/>
        <v>0.65945901157499998</v>
      </c>
      <c r="BP820" s="2117">
        <f>+SUM(BL820:BO820)</f>
        <v>2.6516843147250002</v>
      </c>
      <c r="BQ820" s="632">
        <f t="shared" ref="BQ820:BT821" si="1588">+BQ817*BQ808</f>
        <v>1.2747824779812742</v>
      </c>
      <c r="BR820" s="632">
        <f t="shared" si="1588"/>
        <v>1.2747824779812742</v>
      </c>
      <c r="BS820" s="632">
        <f t="shared" si="1588"/>
        <v>1.2747824779812742</v>
      </c>
      <c r="BT820" s="2169">
        <f t="shared" si="1588"/>
        <v>1.2747824779812742</v>
      </c>
      <c r="BU820" s="3373">
        <f>+SUM(BQ820:BT820)</f>
        <v>5.0991299119250968</v>
      </c>
      <c r="BV820" s="632">
        <f t="shared" ref="BV820:BY820" si="1589">+BV817*BV808</f>
        <v>1.5298206501286071</v>
      </c>
      <c r="BW820" s="632">
        <f t="shared" si="1589"/>
        <v>1.5298206501286071</v>
      </c>
      <c r="BX820" s="632">
        <f t="shared" si="1589"/>
        <v>1.5298206501286071</v>
      </c>
      <c r="BY820" s="2169">
        <f t="shared" si="1589"/>
        <v>1.5298206501286071</v>
      </c>
      <c r="BZ820" s="3373">
        <f>+SUM(BV820:BY820)</f>
        <v>6.1192826005144285</v>
      </c>
      <c r="CA820" s="2117">
        <f t="shared" ref="CA820:CB821" si="1590">+CA817*CA808</f>
        <v>6.7991905505769239</v>
      </c>
      <c r="CB820" s="2117">
        <f t="shared" si="1590"/>
        <v>7.0031662670942314</v>
      </c>
      <c r="CC820" s="2117">
        <f t="shared" ref="CC820:CG821" si="1591">+CC817*CC808</f>
        <v>6.6530079537395199</v>
      </c>
      <c r="CD820" s="2117">
        <f t="shared" si="1591"/>
        <v>6.320357556052544</v>
      </c>
      <c r="CE820" s="2117">
        <f t="shared" si="1591"/>
        <v>6.4467647071735943</v>
      </c>
      <c r="CF820" s="2117">
        <f t="shared" si="1591"/>
        <v>6.5757000013170668</v>
      </c>
      <c r="CG820" s="2117">
        <f t="shared" si="1591"/>
        <v>6.7072140013434085</v>
      </c>
      <c r="CH820" s="1759"/>
      <c r="CI820" s="1759"/>
      <c r="CJ820" s="1759"/>
      <c r="CK820" s="1759"/>
      <c r="CL820" s="1759"/>
      <c r="CM820" s="965"/>
      <c r="CN820" s="965">
        <f t="shared" ref="CN820:CN821" si="1592">SUM(BV820:BY820)</f>
        <v>6.1192826005144285</v>
      </c>
      <c r="CO820" s="965">
        <f t="shared" ref="CO820:CO823" si="1593">CM820-CN820</f>
        <v>-6.1192826005144285</v>
      </c>
      <c r="CP820" s="1864" t="str">
        <f>A820</f>
        <v>Borgata</v>
      </c>
      <c r="CQ820" s="1759"/>
      <c r="CR820" s="1759"/>
      <c r="CS820" s="1759"/>
      <c r="CT820" s="1759"/>
      <c r="CU820" s="1759"/>
      <c r="CV820" s="1759"/>
      <c r="CW820" s="1759"/>
      <c r="CX820" s="1759"/>
      <c r="CY820" s="1759"/>
      <c r="CZ820" s="1759">
        <f>BA820</f>
        <v>0</v>
      </c>
      <c r="DA820" s="1759">
        <f>BF820</f>
        <v>-1.5</v>
      </c>
      <c r="DB820" s="1759">
        <f>BK820</f>
        <v>3.8526155599999998</v>
      </c>
      <c r="DC820" s="1759">
        <f>BP820</f>
        <v>2.6516843147250002</v>
      </c>
      <c r="DD820" s="1759">
        <f>BU820</f>
        <v>5.0991299119250968</v>
      </c>
      <c r="DE820" s="1759">
        <f t="shared" ref="DE820:DG821" si="1594">BZ820</f>
        <v>6.1192826005144285</v>
      </c>
      <c r="DF820" s="1759">
        <f t="shared" si="1594"/>
        <v>6.7991905505769239</v>
      </c>
      <c r="DG820" s="1857">
        <f t="shared" si="1594"/>
        <v>7.0031662670942314</v>
      </c>
      <c r="DH820" s="632"/>
      <c r="DI820" s="838"/>
      <c r="DJ820" s="838"/>
      <c r="DK820" s="838"/>
      <c r="DL820" s="838"/>
      <c r="DM820" s="838"/>
      <c r="DN820" s="632"/>
      <c r="DO820" s="858"/>
      <c r="DY820" s="632"/>
      <c r="DZ820" s="632"/>
    </row>
    <row r="821" spans="1:130" ht="12" hidden="1" customHeight="1" outlineLevel="1">
      <c r="A821" s="429" t="s">
        <v>1633</v>
      </c>
      <c r="B821" s="2048"/>
      <c r="C821" s="2048"/>
      <c r="D821" s="2119"/>
      <c r="E821" s="776"/>
      <c r="F821" s="776"/>
      <c r="G821" s="776"/>
      <c r="H821" s="777"/>
      <c r="I821" s="776"/>
      <c r="J821" s="776"/>
      <c r="K821" s="776"/>
      <c r="L821" s="776"/>
      <c r="M821" s="777"/>
      <c r="N821" s="776"/>
      <c r="O821" s="776"/>
      <c r="P821" s="776"/>
      <c r="Q821" s="776"/>
      <c r="R821" s="777"/>
      <c r="S821" s="776"/>
      <c r="T821" s="776"/>
      <c r="U821" s="776"/>
      <c r="V821" s="776"/>
      <c r="W821" s="777"/>
      <c r="X821" s="776"/>
      <c r="Y821" s="776"/>
      <c r="Z821" s="776"/>
      <c r="AA821" s="776"/>
      <c r="AB821" s="777"/>
      <c r="AC821" s="776"/>
      <c r="AD821" s="776"/>
      <c r="AE821" s="776"/>
      <c r="AF821" s="776"/>
      <c r="AG821" s="777"/>
      <c r="AH821" s="776"/>
      <c r="AI821" s="776"/>
      <c r="AJ821" s="776"/>
      <c r="AK821" s="776"/>
      <c r="AL821" s="777"/>
      <c r="AM821" s="776"/>
      <c r="AN821" s="776"/>
      <c r="AO821" s="776"/>
      <c r="AP821" s="776"/>
      <c r="AQ821" s="2120"/>
      <c r="AR821" s="776"/>
      <c r="AS821" s="776"/>
      <c r="AT821" s="776"/>
      <c r="AU821" s="776"/>
      <c r="AV821" s="2120"/>
      <c r="AW821" s="776"/>
      <c r="AX821" s="776"/>
      <c r="AY821" s="776"/>
      <c r="AZ821" s="776"/>
      <c r="BA821" s="2120"/>
      <c r="BB821" s="2724">
        <f t="shared" si="1585"/>
        <v>-0.11981144888888889</v>
      </c>
      <c r="BC821" s="650">
        <f t="shared" si="1585"/>
        <v>-4.4565832258064465E-2</v>
      </c>
      <c r="BD821" s="650">
        <f t="shared" si="1585"/>
        <v>5.2083809075316586E-3</v>
      </c>
      <c r="BE821" s="2170">
        <f t="shared" si="1585"/>
        <v>5.4933947450479352E-2</v>
      </c>
      <c r="BF821" s="2120">
        <f>+SUM(BB821:BE821)</f>
        <v>-0.10423495278894235</v>
      </c>
      <c r="BG821" s="2724">
        <f t="shared" si="1586"/>
        <v>3.1031103475799418E-2</v>
      </c>
      <c r="BH821" s="650">
        <f t="shared" si="1586"/>
        <v>3.9774352298777002E-2</v>
      </c>
      <c r="BI821" s="650">
        <f t="shared" si="1586"/>
        <v>6.2755884586624636E-2</v>
      </c>
      <c r="BJ821" s="2170">
        <f t="shared" si="1586"/>
        <v>2.451847200000001E-2</v>
      </c>
      <c r="BK821" s="2120">
        <f>+SUM(BG821:BJ821)</f>
        <v>0.15807981236120106</v>
      </c>
      <c r="BL821" s="650">
        <f t="shared" si="1587"/>
        <v>6.0829869000000009E-2</v>
      </c>
      <c r="BM821" s="650">
        <f t="shared" si="1587"/>
        <v>5.9578748777195392E-2</v>
      </c>
      <c r="BN821" s="650">
        <f t="shared" si="1587"/>
        <v>5.9578748777195392E-2</v>
      </c>
      <c r="BO821" s="2170">
        <f t="shared" si="1587"/>
        <v>5.9578748777195392E-2</v>
      </c>
      <c r="BP821" s="2120">
        <f>+SUM(BL821:BO821)</f>
        <v>0.23956611533158617</v>
      </c>
      <c r="BQ821" s="650">
        <f t="shared" si="1588"/>
        <v>0.11517007678737162</v>
      </c>
      <c r="BR821" s="650">
        <f t="shared" si="1588"/>
        <v>0.11517007678737162</v>
      </c>
      <c r="BS821" s="650">
        <f t="shared" si="1588"/>
        <v>0.11517007678737162</v>
      </c>
      <c r="BT821" s="2170">
        <f t="shared" si="1588"/>
        <v>0.11517007678737162</v>
      </c>
      <c r="BU821" s="3404">
        <f>+SUM(BQ821:BT821)</f>
        <v>0.46068030714948649</v>
      </c>
      <c r="BV821" s="650">
        <f t="shared" ref="BV821:BY821" si="1595">+BV818*BV809</f>
        <v>0.13821147120348684</v>
      </c>
      <c r="BW821" s="650">
        <f t="shared" si="1595"/>
        <v>0.13821147120348684</v>
      </c>
      <c r="BX821" s="650">
        <f t="shared" si="1595"/>
        <v>0.13821147120348684</v>
      </c>
      <c r="BY821" s="2170">
        <f t="shared" si="1595"/>
        <v>0.13821147120348684</v>
      </c>
      <c r="BZ821" s="3404">
        <f>+SUM(BV821:BY821)</f>
        <v>0.55284588481394736</v>
      </c>
      <c r="CA821" s="2120">
        <f t="shared" si="1590"/>
        <v>0.61427209059381083</v>
      </c>
      <c r="CB821" s="2120">
        <f t="shared" si="1590"/>
        <v>0.63270025331162505</v>
      </c>
      <c r="CC821" s="2120">
        <f t="shared" si="1591"/>
        <v>0.60106524064604383</v>
      </c>
      <c r="CD821" s="2120">
        <f t="shared" si="1591"/>
        <v>0.57101197861374153</v>
      </c>
      <c r="CE821" s="2120">
        <f t="shared" si="1591"/>
        <v>0.58243221818601643</v>
      </c>
      <c r="CF821" s="2120">
        <f t="shared" si="1591"/>
        <v>0.5940808625497368</v>
      </c>
      <c r="CG821" s="2120">
        <f t="shared" si="1591"/>
        <v>0.60596247980073159</v>
      </c>
      <c r="CH821" s="776"/>
      <c r="CI821" s="776"/>
      <c r="CJ821" s="776"/>
      <c r="CK821" s="776"/>
      <c r="CL821" s="776"/>
      <c r="CM821" s="965"/>
      <c r="CN821" s="965">
        <f t="shared" si="1592"/>
        <v>0.55284588481394736</v>
      </c>
      <c r="CO821" s="965">
        <f t="shared" si="1593"/>
        <v>-0.55284588481394736</v>
      </c>
      <c r="CP821" s="2052" t="str">
        <f>A821</f>
        <v>PartyPoker JV</v>
      </c>
      <c r="CQ821" s="776"/>
      <c r="CR821" s="776"/>
      <c r="CS821" s="776"/>
      <c r="CT821" s="776"/>
      <c r="CU821" s="776"/>
      <c r="CV821" s="776"/>
      <c r="CW821" s="776"/>
      <c r="CX821" s="776"/>
      <c r="CY821" s="776"/>
      <c r="CZ821" s="776">
        <f>BA821</f>
        <v>0</v>
      </c>
      <c r="DA821" s="776">
        <f>BF821</f>
        <v>-0.10423495278894235</v>
      </c>
      <c r="DB821" s="776">
        <f>BK821</f>
        <v>0.15807981236120106</v>
      </c>
      <c r="DC821" s="776">
        <f>BP821</f>
        <v>0.23956611533158617</v>
      </c>
      <c r="DD821" s="776">
        <f>BU821</f>
        <v>0.46068030714948649</v>
      </c>
      <c r="DE821" s="776">
        <f t="shared" si="1594"/>
        <v>0.55284588481394736</v>
      </c>
      <c r="DF821" s="776">
        <f t="shared" si="1594"/>
        <v>0.61427209059381083</v>
      </c>
      <c r="DG821" s="2121">
        <f t="shared" si="1594"/>
        <v>0.63270025331162505</v>
      </c>
      <c r="DH821" s="650"/>
      <c r="DI821" s="650"/>
      <c r="DJ821" s="650"/>
      <c r="DK821" s="650"/>
      <c r="DL821" s="650"/>
      <c r="DM821" s="650"/>
      <c r="DN821" s="650"/>
      <c r="DO821" s="2122"/>
      <c r="DY821" s="650"/>
      <c r="DZ821" s="650"/>
    </row>
    <row r="822" spans="1:130" ht="3.95" hidden="1" customHeight="1" outlineLevel="1">
      <c r="A822" s="552"/>
      <c r="B822" s="228"/>
      <c r="C822" s="228"/>
      <c r="D822" s="625"/>
      <c r="E822" s="626"/>
      <c r="F822" s="626"/>
      <c r="G822" s="626"/>
      <c r="H822" s="788"/>
      <c r="I822" s="626"/>
      <c r="J822" s="626"/>
      <c r="K822" s="626"/>
      <c r="L822" s="626"/>
      <c r="M822" s="788"/>
      <c r="N822" s="626"/>
      <c r="O822" s="626"/>
      <c r="P822" s="626"/>
      <c r="Q822" s="626"/>
      <c r="R822" s="788"/>
      <c r="S822" s="626"/>
      <c r="T822" s="626"/>
      <c r="U822" s="626"/>
      <c r="V822" s="626"/>
      <c r="W822" s="788"/>
      <c r="X822" s="626"/>
      <c r="Y822" s="626"/>
      <c r="Z822" s="626"/>
      <c r="AA822" s="626"/>
      <c r="AB822" s="788"/>
      <c r="AC822" s="626"/>
      <c r="AD822" s="626"/>
      <c r="AE822" s="626"/>
      <c r="AF822" s="626"/>
      <c r="AG822" s="788"/>
      <c r="AH822" s="626"/>
      <c r="AI822" s="626"/>
      <c r="AJ822" s="626"/>
      <c r="AK822" s="626"/>
      <c r="AL822" s="788"/>
      <c r="AM822" s="626"/>
      <c r="AN822" s="261"/>
      <c r="AO822" s="626"/>
      <c r="AP822" s="330"/>
      <c r="AQ822" s="1439"/>
      <c r="AR822" s="330"/>
      <c r="AS822" s="330"/>
      <c r="AT822" s="330"/>
      <c r="AU822" s="626"/>
      <c r="AV822" s="1951"/>
      <c r="AW822" s="626"/>
      <c r="AX822" s="261"/>
      <c r="AY822" s="626"/>
      <c r="AZ822" s="626"/>
      <c r="BA822" s="2105"/>
      <c r="BB822" s="2718" t="s">
        <v>343</v>
      </c>
      <c r="BC822" s="2155" t="s">
        <v>343</v>
      </c>
      <c r="BD822" s="2155" t="s">
        <v>343</v>
      </c>
      <c r="BE822" s="2156" t="s">
        <v>343</v>
      </c>
      <c r="BF822" s="2105" t="s">
        <v>343</v>
      </c>
      <c r="BG822" s="2718" t="s">
        <v>343</v>
      </c>
      <c r="BH822" s="2155" t="s">
        <v>343</v>
      </c>
      <c r="BI822" s="2155" t="s">
        <v>343</v>
      </c>
      <c r="BJ822" s="2156" t="s">
        <v>343</v>
      </c>
      <c r="BK822" s="2105" t="s">
        <v>343</v>
      </c>
      <c r="BL822" s="2155" t="s">
        <v>343</v>
      </c>
      <c r="BM822" s="2155" t="s">
        <v>343</v>
      </c>
      <c r="BN822" s="2155" t="s">
        <v>343</v>
      </c>
      <c r="BO822" s="2156" t="s">
        <v>343</v>
      </c>
      <c r="BP822" s="2105" t="s">
        <v>343</v>
      </c>
      <c r="BQ822" s="2155" t="s">
        <v>343</v>
      </c>
      <c r="BR822" s="2155" t="s">
        <v>343</v>
      </c>
      <c r="BS822" s="2155" t="s">
        <v>343</v>
      </c>
      <c r="BT822" s="2156" t="s">
        <v>343</v>
      </c>
      <c r="BU822" s="3408" t="s">
        <v>343</v>
      </c>
      <c r="BV822" s="2155" t="s">
        <v>343</v>
      </c>
      <c r="BW822" s="2155" t="s">
        <v>343</v>
      </c>
      <c r="BX822" s="2155" t="s">
        <v>343</v>
      </c>
      <c r="BY822" s="2156" t="s">
        <v>343</v>
      </c>
      <c r="BZ822" s="3408" t="s">
        <v>343</v>
      </c>
      <c r="CA822" s="2105" t="s">
        <v>343</v>
      </c>
      <c r="CB822" s="2105" t="s">
        <v>343</v>
      </c>
      <c r="CC822" s="2105" t="s">
        <v>343</v>
      </c>
      <c r="CD822" s="2105" t="s">
        <v>343</v>
      </c>
      <c r="CE822" s="2105" t="s">
        <v>343</v>
      </c>
      <c r="CF822" s="2105" t="s">
        <v>343</v>
      </c>
      <c r="CG822" s="2105" t="s">
        <v>343</v>
      </c>
      <c r="CH822" s="626"/>
      <c r="CI822" s="626"/>
      <c r="CJ822" s="626"/>
      <c r="CK822" s="626"/>
      <c r="CL822" s="626"/>
      <c r="CM822" s="626"/>
      <c r="CN822" s="626"/>
      <c r="CO822" s="965">
        <f t="shared" si="1593"/>
        <v>0</v>
      </c>
      <c r="CP822" s="994"/>
      <c r="CQ822" s="626"/>
      <c r="CR822" s="626"/>
      <c r="CS822" s="626"/>
      <c r="CT822" s="626"/>
      <c r="CU822" s="626"/>
      <c r="CV822" s="626"/>
      <c r="CW822" s="626"/>
      <c r="CX822" s="626"/>
      <c r="CY822" s="626"/>
      <c r="CZ822" s="626"/>
      <c r="DA822" s="626"/>
      <c r="DB822" s="626"/>
      <c r="DC822" s="626"/>
      <c r="DD822" s="626"/>
      <c r="DE822" s="626"/>
      <c r="DF822" s="626"/>
      <c r="DG822" s="1893"/>
      <c r="DH822" s="632"/>
      <c r="DI822" s="595"/>
      <c r="DJ822" s="595"/>
      <c r="DK822" s="595"/>
      <c r="DL822" s="595"/>
      <c r="DM822" s="595"/>
      <c r="DN822" s="514"/>
      <c r="DO822" s="77"/>
      <c r="DY822" s="2155"/>
      <c r="DZ822" s="2155"/>
    </row>
    <row r="823" spans="1:130" ht="12" hidden="1" customHeight="1" outlineLevel="1">
      <c r="A823" s="228" t="s">
        <v>384</v>
      </c>
      <c r="B823" s="228"/>
      <c r="C823" s="228"/>
      <c r="D823" s="625"/>
      <c r="E823" s="626"/>
      <c r="F823" s="626"/>
      <c r="G823" s="626"/>
      <c r="H823" s="788"/>
      <c r="I823" s="626"/>
      <c r="J823" s="626"/>
      <c r="K823" s="626"/>
      <c r="L823" s="626"/>
      <c r="M823" s="788"/>
      <c r="N823" s="626"/>
      <c r="O823" s="626"/>
      <c r="P823" s="626"/>
      <c r="Q823" s="626"/>
      <c r="R823" s="788"/>
      <c r="S823" s="626"/>
      <c r="T823" s="626"/>
      <c r="U823" s="626"/>
      <c r="V823" s="626"/>
      <c r="W823" s="788"/>
      <c r="X823" s="626"/>
      <c r="Y823" s="626"/>
      <c r="Z823" s="626"/>
      <c r="AA823" s="626"/>
      <c r="AB823" s="788"/>
      <c r="AC823" s="626"/>
      <c r="AD823" s="626"/>
      <c r="AE823" s="626"/>
      <c r="AF823" s="626"/>
      <c r="AG823" s="788"/>
      <c r="AH823" s="626"/>
      <c r="AI823" s="626"/>
      <c r="AJ823" s="626"/>
      <c r="AK823" s="626"/>
      <c r="AL823" s="788"/>
      <c r="AM823" s="827"/>
      <c r="AN823" s="827"/>
      <c r="AO823" s="827"/>
      <c r="AP823" s="827"/>
      <c r="AQ823" s="556"/>
      <c r="AR823" s="827"/>
      <c r="AS823" s="827"/>
      <c r="AT823" s="827"/>
      <c r="AU823" s="826"/>
      <c r="AV823" s="556"/>
      <c r="AW823" s="826"/>
      <c r="AX823" s="826"/>
      <c r="AY823" s="826"/>
      <c r="AZ823" s="826"/>
      <c r="BA823" s="556"/>
      <c r="BB823" s="661">
        <f t="shared" ref="BB823:BL823" si="1596">+SUM(BB820:BB822)</f>
        <v>-1.7198114488888889</v>
      </c>
      <c r="BC823" s="557">
        <f t="shared" si="1596"/>
        <v>-0.94456583225806445</v>
      </c>
      <c r="BD823" s="557">
        <f t="shared" si="1596"/>
        <v>0.10520838090753167</v>
      </c>
      <c r="BE823" s="1848">
        <f t="shared" si="1596"/>
        <v>0.95493394745047933</v>
      </c>
      <c r="BF823" s="556">
        <f t="shared" si="1596"/>
        <v>-1.6042349527889423</v>
      </c>
      <c r="BG823" s="661">
        <f t="shared" si="1596"/>
        <v>0.58103110347579945</v>
      </c>
      <c r="BH823" s="557">
        <f t="shared" si="1596"/>
        <v>0.83977435229877706</v>
      </c>
      <c r="BI823" s="557">
        <f t="shared" si="1596"/>
        <v>1.7627558845866247</v>
      </c>
      <c r="BJ823" s="1848">
        <f t="shared" si="1596"/>
        <v>0.82713403200000013</v>
      </c>
      <c r="BK823" s="556">
        <f t="shared" si="1596"/>
        <v>4.0106953723612007</v>
      </c>
      <c r="BL823" s="557">
        <f t="shared" si="1596"/>
        <v>0.73413714900000004</v>
      </c>
      <c r="BM823" s="557">
        <f t="shared" ref="BM823:CB823" si="1597">+SUM(BM820:BM822)</f>
        <v>0.71903776035219535</v>
      </c>
      <c r="BN823" s="557">
        <f t="shared" si="1597"/>
        <v>0.71903776035219535</v>
      </c>
      <c r="BO823" s="1848">
        <f>+SUM(BO820:BO822)</f>
        <v>0.71903776035219535</v>
      </c>
      <c r="BP823" s="556">
        <f t="shared" si="1597"/>
        <v>2.8912504300565862</v>
      </c>
      <c r="BQ823" s="557">
        <f t="shared" ref="BQ823:BZ823" si="1598">+SUM(BQ820:BQ822)</f>
        <v>1.3899525547686458</v>
      </c>
      <c r="BR823" s="557">
        <f t="shared" si="1598"/>
        <v>1.3899525547686458</v>
      </c>
      <c r="BS823" s="557">
        <f t="shared" si="1598"/>
        <v>1.3899525547686458</v>
      </c>
      <c r="BT823" s="1848">
        <f t="shared" si="1598"/>
        <v>1.3899525547686458</v>
      </c>
      <c r="BU823" s="3372">
        <f t="shared" si="1598"/>
        <v>5.5598102190745831</v>
      </c>
      <c r="BV823" s="557">
        <f t="shared" si="1598"/>
        <v>1.6680321213320939</v>
      </c>
      <c r="BW823" s="557">
        <f t="shared" si="1598"/>
        <v>1.6680321213320939</v>
      </c>
      <c r="BX823" s="557">
        <f t="shared" si="1598"/>
        <v>1.6680321213320939</v>
      </c>
      <c r="BY823" s="1848">
        <f t="shared" si="1598"/>
        <v>1.6680321213320939</v>
      </c>
      <c r="BZ823" s="3372">
        <f t="shared" si="1598"/>
        <v>6.6721284853283755</v>
      </c>
      <c r="CA823" s="556">
        <f t="shared" si="1597"/>
        <v>7.4134626411707352</v>
      </c>
      <c r="CB823" s="556">
        <f t="shared" si="1597"/>
        <v>7.6358665204058562</v>
      </c>
      <c r="CC823" s="556">
        <f>+SUM(CC820:CC822)</f>
        <v>7.2540731943855636</v>
      </c>
      <c r="CD823" s="556">
        <f>+SUM(CD820:CD822)</f>
        <v>6.8913695346662855</v>
      </c>
      <c r="CE823" s="556">
        <f>+SUM(CE820:CE822)</f>
        <v>7.0291969253596109</v>
      </c>
      <c r="CF823" s="556">
        <f>+SUM(CF820:CF822)</f>
        <v>7.1697808638668032</v>
      </c>
      <c r="CG823" s="556">
        <f>+SUM(CG820:CG822)</f>
        <v>7.31317648114414</v>
      </c>
      <c r="CH823" s="626"/>
      <c r="CI823" s="626"/>
      <c r="CJ823" s="626"/>
      <c r="CK823" s="626"/>
      <c r="CL823" s="626"/>
      <c r="CM823" s="965"/>
      <c r="CN823" s="965">
        <f t="shared" ref="CN823" si="1599">SUM(BV823:BY823)</f>
        <v>6.6721284853283755</v>
      </c>
      <c r="CO823" s="965">
        <f t="shared" si="1593"/>
        <v>-6.6721284853283755</v>
      </c>
      <c r="CP823" s="994" t="str">
        <f>A823</f>
        <v>EBITDA to BYD Share</v>
      </c>
      <c r="CQ823" s="626"/>
      <c r="CR823" s="626"/>
      <c r="CS823" s="626"/>
      <c r="CT823" s="626"/>
      <c r="CU823" s="626"/>
      <c r="CV823" s="626"/>
      <c r="CW823" s="626"/>
      <c r="CX823" s="626"/>
      <c r="CY823" s="626"/>
      <c r="CZ823" s="626">
        <f>BA823</f>
        <v>0</v>
      </c>
      <c r="DA823" s="626">
        <f>BF823</f>
        <v>-1.6042349527889423</v>
      </c>
      <c r="DB823" s="626">
        <f>BK823</f>
        <v>4.0106953723612007</v>
      </c>
      <c r="DC823" s="626">
        <f>BP823</f>
        <v>2.8912504300565862</v>
      </c>
      <c r="DD823" s="626">
        <f>BU823</f>
        <v>5.5598102190745831</v>
      </c>
      <c r="DE823" s="626">
        <f>BZ823</f>
        <v>6.6721284853283755</v>
      </c>
      <c r="DF823" s="626">
        <f>CA823</f>
        <v>7.4134626411707352</v>
      </c>
      <c r="DG823" s="1893">
        <f>CB823</f>
        <v>7.6358665204058562</v>
      </c>
      <c r="DH823" s="632"/>
      <c r="DI823" s="595"/>
      <c r="DJ823" s="595"/>
      <c r="DK823" s="595"/>
      <c r="DL823" s="595"/>
      <c r="DM823" s="595"/>
      <c r="DN823" s="514"/>
      <c r="DO823" s="77"/>
      <c r="DY823" s="557"/>
      <c r="DZ823" s="557"/>
    </row>
    <row r="824" spans="1:130" ht="12" hidden="1" customHeight="1" outlineLevel="1">
      <c r="A824" s="552"/>
      <c r="B824" s="228"/>
      <c r="C824" s="228"/>
      <c r="D824" s="625"/>
      <c r="E824" s="626"/>
      <c r="F824" s="626"/>
      <c r="G824" s="626"/>
      <c r="H824" s="788"/>
      <c r="I824" s="626"/>
      <c r="J824" s="626"/>
      <c r="K824" s="626"/>
      <c r="L824" s="626"/>
      <c r="M824" s="788"/>
      <c r="N824" s="626"/>
      <c r="O824" s="626"/>
      <c r="P824" s="626"/>
      <c r="Q824" s="626"/>
      <c r="R824" s="788"/>
      <c r="S824" s="626"/>
      <c r="T824" s="626"/>
      <c r="U824" s="626"/>
      <c r="V824" s="626"/>
      <c r="W824" s="788"/>
      <c r="X824" s="626"/>
      <c r="Y824" s="626"/>
      <c r="Z824" s="626"/>
      <c r="AA824" s="626"/>
      <c r="AB824" s="788"/>
      <c r="AC824" s="626"/>
      <c r="AD824" s="626"/>
      <c r="AE824" s="626"/>
      <c r="AF824" s="626"/>
      <c r="AG824" s="788"/>
      <c r="AH824" s="626"/>
      <c r="AI824" s="626"/>
      <c r="AJ824" s="626"/>
      <c r="AK824" s="626"/>
      <c r="AL824" s="788"/>
      <c r="AM824" s="626"/>
      <c r="AN824" s="261"/>
      <c r="AO824" s="626"/>
      <c r="AP824" s="330"/>
      <c r="AQ824" s="1439"/>
      <c r="AR824" s="330"/>
      <c r="AS824" s="330"/>
      <c r="AT824" s="330"/>
      <c r="AU824" s="626"/>
      <c r="AV824" s="1951"/>
      <c r="AW824" s="626"/>
      <c r="AX824" s="261"/>
      <c r="AY824" s="626"/>
      <c r="AZ824" s="626"/>
      <c r="BA824" s="1439"/>
      <c r="BB824" s="626"/>
      <c r="BC824" s="261"/>
      <c r="BD824" s="626"/>
      <c r="BE824" s="626"/>
      <c r="BF824" s="1439"/>
      <c r="BG824" s="678"/>
      <c r="BH824" s="330"/>
      <c r="BI824" s="330"/>
      <c r="BJ824" s="2136"/>
      <c r="BK824" s="1439"/>
      <c r="BL824" s="330"/>
      <c r="BM824" s="330"/>
      <c r="BN824" s="330"/>
      <c r="BO824" s="2136"/>
      <c r="BP824" s="1439"/>
      <c r="BQ824" s="330"/>
      <c r="BR824" s="330"/>
      <c r="BS824" s="330"/>
      <c r="BT824" s="2136"/>
      <c r="BU824" s="3406"/>
      <c r="BV824" s="330"/>
      <c r="BW824" s="330"/>
      <c r="BX824" s="330"/>
      <c r="BY824" s="2136"/>
      <c r="BZ824" s="3406"/>
      <c r="CA824" s="1439"/>
      <c r="CB824" s="1439"/>
      <c r="CC824" s="1439"/>
      <c r="CD824" s="1439"/>
      <c r="CE824" s="1439"/>
      <c r="CF824" s="1439"/>
      <c r="CG824" s="1439"/>
      <c r="CH824" s="626"/>
      <c r="CI824" s="626"/>
      <c r="CJ824" s="626"/>
      <c r="CK824" s="626"/>
      <c r="CL824" s="626"/>
      <c r="CM824" s="626"/>
      <c r="CN824" s="626"/>
      <c r="CO824" s="626"/>
      <c r="CP824" s="994"/>
      <c r="CQ824" s="626"/>
      <c r="CR824" s="626"/>
      <c r="CS824" s="626"/>
      <c r="CT824" s="626"/>
      <c r="CU824" s="626"/>
      <c r="CV824" s="626"/>
      <c r="CW824" s="626"/>
      <c r="CX824" s="626"/>
      <c r="CY824" s="626"/>
      <c r="CZ824" s="626"/>
      <c r="DA824" s="626"/>
      <c r="DB824" s="626"/>
      <c r="DC824" s="626"/>
      <c r="DD824" s="626"/>
      <c r="DE824" s="626"/>
      <c r="DF824" s="626"/>
      <c r="DG824" s="1893"/>
      <c r="DH824" s="632"/>
      <c r="DI824" s="595"/>
      <c r="DJ824" s="595"/>
      <c r="DK824" s="595"/>
      <c r="DL824" s="595"/>
      <c r="DM824" s="595"/>
      <c r="DN824" s="514"/>
      <c r="DO824" s="77"/>
      <c r="DY824" s="330"/>
      <c r="DZ824" s="330"/>
    </row>
    <row r="825" spans="1:130" ht="12" hidden="1" customHeight="1" outlineLevel="1">
      <c r="A825" s="708" t="s">
        <v>1332</v>
      </c>
      <c r="B825" s="228"/>
      <c r="C825" s="228"/>
      <c r="D825" s="625"/>
      <c r="E825" s="626"/>
      <c r="F825" s="626"/>
      <c r="G825" s="626"/>
      <c r="H825" s="788"/>
      <c r="I825" s="626"/>
      <c r="J825" s="626"/>
      <c r="K825" s="626"/>
      <c r="L825" s="626"/>
      <c r="M825" s="788"/>
      <c r="N825" s="626"/>
      <c r="O825" s="626"/>
      <c r="P825" s="626"/>
      <c r="Q825" s="626"/>
      <c r="R825" s="788"/>
      <c r="S825" s="626"/>
      <c r="T825" s="626"/>
      <c r="U825" s="626"/>
      <c r="V825" s="626"/>
      <c r="W825" s="788"/>
      <c r="X825" s="626"/>
      <c r="Y825" s="626"/>
      <c r="Z825" s="626"/>
      <c r="AA825" s="626"/>
      <c r="AB825" s="788"/>
      <c r="AC825" s="626"/>
      <c r="AD825" s="626"/>
      <c r="AE825" s="626"/>
      <c r="AF825" s="626"/>
      <c r="AG825" s="788"/>
      <c r="AH825" s="626"/>
      <c r="AI825" s="626"/>
      <c r="AJ825" s="626"/>
      <c r="AK825" s="626"/>
      <c r="AL825" s="788"/>
      <c r="AM825" s="626"/>
      <c r="AN825" s="261"/>
      <c r="AO825" s="626"/>
      <c r="AP825" s="330"/>
      <c r="AQ825" s="1439"/>
      <c r="AR825" s="330"/>
      <c r="AS825" s="330"/>
      <c r="AT825" s="330"/>
      <c r="AU825" s="626"/>
      <c r="AV825" s="1951"/>
      <c r="AW825" s="626"/>
      <c r="AX825" s="261"/>
      <c r="AY825" s="626"/>
      <c r="AZ825" s="626"/>
      <c r="BA825" s="1439"/>
      <c r="BB825" s="626"/>
      <c r="BC825" s="261"/>
      <c r="BD825" s="626"/>
      <c r="BE825" s="626"/>
      <c r="BF825" s="1439"/>
      <c r="BG825" s="678"/>
      <c r="BH825" s="330"/>
      <c r="BI825" s="330"/>
      <c r="BJ825" s="2136"/>
      <c r="BK825" s="1439"/>
      <c r="BL825" s="330"/>
      <c r="BM825" s="330"/>
      <c r="BN825" s="330"/>
      <c r="BO825" s="2136"/>
      <c r="BP825" s="1439"/>
      <c r="BQ825" s="330"/>
      <c r="BR825" s="330"/>
      <c r="BS825" s="330"/>
      <c r="BT825" s="2136"/>
      <c r="BU825" s="3406"/>
      <c r="BV825" s="330"/>
      <c r="BW825" s="330"/>
      <c r="BX825" s="330"/>
      <c r="BY825" s="2136"/>
      <c r="BZ825" s="3406"/>
      <c r="CA825" s="1439"/>
      <c r="CB825" s="1439"/>
      <c r="CC825" s="1439"/>
      <c r="CD825" s="1439"/>
      <c r="CE825" s="1439"/>
      <c r="CF825" s="1439"/>
      <c r="CG825" s="1439"/>
      <c r="CH825" s="626"/>
      <c r="CI825" s="626"/>
      <c r="CJ825" s="626"/>
      <c r="CK825" s="626"/>
      <c r="CL825" s="626"/>
      <c r="CM825" s="626"/>
      <c r="CN825" s="626"/>
      <c r="CO825" s="626"/>
      <c r="CP825" s="994"/>
      <c r="CQ825" s="626"/>
      <c r="CR825" s="626"/>
      <c r="CS825" s="626"/>
      <c r="CT825" s="626"/>
      <c r="CU825" s="626"/>
      <c r="CV825" s="626"/>
      <c r="CW825" s="626"/>
      <c r="CX825" s="626"/>
      <c r="CY825" s="626"/>
      <c r="CZ825" s="626"/>
      <c r="DA825" s="626"/>
      <c r="DB825" s="626"/>
      <c r="DC825" s="626"/>
      <c r="DD825" s="626"/>
      <c r="DE825" s="626"/>
      <c r="DF825" s="626"/>
      <c r="DG825" s="1893"/>
      <c r="DH825" s="632"/>
      <c r="DI825" s="595"/>
      <c r="DJ825" s="595"/>
      <c r="DK825" s="595"/>
      <c r="DL825" s="595"/>
      <c r="DM825" s="595"/>
      <c r="DN825" s="514"/>
      <c r="DO825" s="77"/>
      <c r="DY825" s="330"/>
      <c r="DZ825" s="330"/>
    </row>
    <row r="826" spans="1:130" ht="12" hidden="1" customHeight="1" outlineLevel="1">
      <c r="A826" s="2113" t="s">
        <v>1632</v>
      </c>
      <c r="B826" s="778"/>
      <c r="C826" s="778"/>
      <c r="D826" s="2114"/>
      <c r="E826" s="806"/>
      <c r="F826" s="806"/>
      <c r="G826" s="806"/>
      <c r="H826" s="805"/>
      <c r="I826" s="806"/>
      <c r="J826" s="806"/>
      <c r="K826" s="806"/>
      <c r="L826" s="806"/>
      <c r="M826" s="805"/>
      <c r="N826" s="806"/>
      <c r="O826" s="806"/>
      <c r="P826" s="806"/>
      <c r="Q826" s="806"/>
      <c r="R826" s="805"/>
      <c r="S826" s="806"/>
      <c r="T826" s="806"/>
      <c r="U826" s="806"/>
      <c r="V826" s="806"/>
      <c r="W826" s="805"/>
      <c r="X826" s="806"/>
      <c r="Y826" s="806"/>
      <c r="Z826" s="806"/>
      <c r="AA826" s="806"/>
      <c r="AB826" s="805"/>
      <c r="AC826" s="806"/>
      <c r="AD826" s="806"/>
      <c r="AE826" s="806"/>
      <c r="AF826" s="806"/>
      <c r="AG826" s="805"/>
      <c r="AH826" s="806"/>
      <c r="AI826" s="806"/>
      <c r="AJ826" s="806"/>
      <c r="AK826" s="806"/>
      <c r="AL826" s="805"/>
      <c r="AM826" s="806"/>
      <c r="AN826" s="806"/>
      <c r="AO826" s="806"/>
      <c r="AP826" s="806"/>
      <c r="AQ826" s="2118"/>
      <c r="AR826" s="806"/>
      <c r="AS826" s="806"/>
      <c r="AT826" s="806"/>
      <c r="AU826" s="806"/>
      <c r="AV826" s="2118"/>
      <c r="AW826" s="806"/>
      <c r="AX826" s="806"/>
      <c r="AY826" s="806"/>
      <c r="AZ826" s="806"/>
      <c r="BA826" s="2077"/>
      <c r="BB826" s="800">
        <v>0</v>
      </c>
      <c r="BC826" s="800">
        <v>0</v>
      </c>
      <c r="BD826" s="800">
        <v>0</v>
      </c>
      <c r="BE826" s="800">
        <v>0</v>
      </c>
      <c r="BF826" s="805">
        <f>+BF828/BF777</f>
        <v>0</v>
      </c>
      <c r="BG826" s="799">
        <v>0.15</v>
      </c>
      <c r="BH826" s="800">
        <v>0.15</v>
      </c>
      <c r="BI826" s="800">
        <v>0.15</v>
      </c>
      <c r="BJ826" s="2912">
        <v>0.15</v>
      </c>
      <c r="BK826" s="805">
        <f>+BK828/BK777</f>
        <v>0</v>
      </c>
      <c r="BL826" s="800">
        <v>0.15</v>
      </c>
      <c r="BM826" s="800">
        <v>0.15</v>
      </c>
      <c r="BN826" s="800">
        <v>0.15</v>
      </c>
      <c r="BO826" s="2912">
        <v>0.15</v>
      </c>
      <c r="BP826" s="2912">
        <v>0.15</v>
      </c>
      <c r="BQ826" s="800">
        <v>0.15</v>
      </c>
      <c r="BR826" s="800">
        <v>0.15</v>
      </c>
      <c r="BS826" s="800">
        <v>0.15</v>
      </c>
      <c r="BT826" s="2912">
        <v>0.15</v>
      </c>
      <c r="BU826" s="3415">
        <f>+AVERAGE(BQ826:BT826)</f>
        <v>0.15</v>
      </c>
      <c r="BV826" s="3978">
        <f>BT826</f>
        <v>0.15</v>
      </c>
      <c r="BW826" s="3978">
        <f>BV826</f>
        <v>0.15</v>
      </c>
      <c r="BX826" s="3978">
        <f>BW826</f>
        <v>0.15</v>
      </c>
      <c r="BY826" s="3979">
        <f>BX826</f>
        <v>0.15</v>
      </c>
      <c r="BZ826" s="3415">
        <f>+AVERAGE(BV826:BY826)</f>
        <v>0.15</v>
      </c>
      <c r="CA826" s="2115">
        <f t="shared" ref="CA826:CG826" si="1600">+BZ826</f>
        <v>0.15</v>
      </c>
      <c r="CB826" s="2115">
        <f t="shared" si="1600"/>
        <v>0.15</v>
      </c>
      <c r="CC826" s="2115">
        <f t="shared" si="1600"/>
        <v>0.15</v>
      </c>
      <c r="CD826" s="2115">
        <f t="shared" si="1600"/>
        <v>0.15</v>
      </c>
      <c r="CE826" s="2115">
        <f t="shared" si="1600"/>
        <v>0.15</v>
      </c>
      <c r="CF826" s="2115">
        <f t="shared" si="1600"/>
        <v>0.15</v>
      </c>
      <c r="CG826" s="2115">
        <f t="shared" si="1600"/>
        <v>0.15</v>
      </c>
      <c r="CH826" s="806"/>
      <c r="CI826" s="806"/>
      <c r="CJ826" s="806"/>
      <c r="CK826" s="806"/>
      <c r="CL826" s="806"/>
      <c r="CM826" s="806"/>
      <c r="CN826" s="806"/>
      <c r="CO826" s="806"/>
      <c r="CP826" s="2111" t="str">
        <f>A826</f>
        <v>Market Share</v>
      </c>
      <c r="CQ826" s="806"/>
      <c r="CR826" s="806"/>
      <c r="CS826" s="806"/>
      <c r="CT826" s="806"/>
      <c r="CU826" s="806"/>
      <c r="CV826" s="806"/>
      <c r="CW826" s="806"/>
      <c r="CX826" s="806"/>
      <c r="CY826" s="806"/>
      <c r="CZ826" s="806">
        <f>BA826</f>
        <v>0</v>
      </c>
      <c r="DA826" s="806">
        <f>BF826</f>
        <v>0</v>
      </c>
      <c r="DB826" s="806">
        <f>BK826</f>
        <v>0</v>
      </c>
      <c r="DC826" s="806">
        <f>BP826</f>
        <v>0.15</v>
      </c>
      <c r="DD826" s="806">
        <f>BU826</f>
        <v>0.15</v>
      </c>
      <c r="DE826" s="806">
        <f>BZ826</f>
        <v>0.15</v>
      </c>
      <c r="DF826" s="806">
        <f>CA826</f>
        <v>0.15</v>
      </c>
      <c r="DG826" s="2112">
        <f>CB826</f>
        <v>0.15</v>
      </c>
      <c r="DH826" s="782"/>
      <c r="DI826" s="781"/>
      <c r="DJ826" s="781"/>
      <c r="DK826" s="781"/>
      <c r="DL826" s="781"/>
      <c r="DM826" s="781"/>
      <c r="DN826" s="782"/>
      <c r="DO826" s="855"/>
      <c r="DY826" s="800"/>
      <c r="DZ826" s="800"/>
    </row>
    <row r="827" spans="1:130" ht="12" hidden="1" customHeight="1" outlineLevel="1">
      <c r="A827" s="567"/>
      <c r="B827" s="228"/>
      <c r="C827" s="228"/>
      <c r="D827" s="625"/>
      <c r="E827" s="626"/>
      <c r="F827" s="626"/>
      <c r="G827" s="626"/>
      <c r="H827" s="788"/>
      <c r="I827" s="626"/>
      <c r="J827" s="626"/>
      <c r="K827" s="626"/>
      <c r="L827" s="626"/>
      <c r="M827" s="788"/>
      <c r="N827" s="626"/>
      <c r="O827" s="626"/>
      <c r="P827" s="626"/>
      <c r="Q827" s="626"/>
      <c r="R827" s="788"/>
      <c r="S827" s="626"/>
      <c r="T827" s="626"/>
      <c r="U827" s="626"/>
      <c r="V827" s="626"/>
      <c r="W827" s="788"/>
      <c r="X827" s="626"/>
      <c r="Y827" s="626"/>
      <c r="Z827" s="626"/>
      <c r="AA827" s="626"/>
      <c r="AB827" s="788"/>
      <c r="AC827" s="626"/>
      <c r="AD827" s="626"/>
      <c r="AE827" s="626"/>
      <c r="AF827" s="626"/>
      <c r="AG827" s="788"/>
      <c r="AH827" s="626"/>
      <c r="AI827" s="626"/>
      <c r="AJ827" s="626"/>
      <c r="AK827" s="626"/>
      <c r="AL827" s="788"/>
      <c r="AM827" s="626"/>
      <c r="AN827" s="261"/>
      <c r="AO827" s="626"/>
      <c r="AP827" s="330"/>
      <c r="AQ827" s="1439"/>
      <c r="AR827" s="330"/>
      <c r="AS827" s="330"/>
      <c r="AT827" s="330"/>
      <c r="AU827" s="626"/>
      <c r="AV827" s="1951"/>
      <c r="AW827" s="626"/>
      <c r="AX827" s="261"/>
      <c r="AY827" s="626"/>
      <c r="AZ827" s="626"/>
      <c r="BA827" s="1439"/>
      <c r="BB827" s="626"/>
      <c r="BC827" s="261"/>
      <c r="BD827" s="626"/>
      <c r="BE827" s="626"/>
      <c r="BF827" s="1439"/>
      <c r="BG827" s="678"/>
      <c r="BH827" s="330"/>
      <c r="BI827" s="330"/>
      <c r="BJ827" s="2136"/>
      <c r="BK827" s="1439"/>
      <c r="BL827" s="330"/>
      <c r="BM827" s="330"/>
      <c r="BN827" s="330"/>
      <c r="BO827" s="2136"/>
      <c r="BP827" s="1439"/>
      <c r="BQ827" s="330"/>
      <c r="BR827" s="330"/>
      <c r="BS827" s="330"/>
      <c r="BT827" s="2136"/>
      <c r="BU827" s="3406"/>
      <c r="BV827" s="330"/>
      <c r="BW827" s="330"/>
      <c r="BX827" s="330"/>
      <c r="BY827" s="2136"/>
      <c r="BZ827" s="3406"/>
      <c r="CA827" s="1439"/>
      <c r="CB827" s="1439"/>
      <c r="CC827" s="1439"/>
      <c r="CD827" s="1439"/>
      <c r="CE827" s="1439"/>
      <c r="CF827" s="1439"/>
      <c r="CG827" s="1439"/>
      <c r="CH827" s="626"/>
      <c r="CI827" s="626"/>
      <c r="CJ827" s="626"/>
      <c r="CK827" s="626"/>
      <c r="CL827" s="626"/>
      <c r="CM827" s="626"/>
      <c r="CN827" s="626"/>
      <c r="CO827" s="626"/>
      <c r="CP827" s="994"/>
      <c r="CQ827" s="626"/>
      <c r="CR827" s="626"/>
      <c r="CS827" s="626"/>
      <c r="CT827" s="626"/>
      <c r="CU827" s="626"/>
      <c r="CV827" s="626"/>
      <c r="CW827" s="626"/>
      <c r="CX827" s="626"/>
      <c r="CY827" s="626"/>
      <c r="CZ827" s="626"/>
      <c r="DA827" s="626"/>
      <c r="DB827" s="626"/>
      <c r="DC827" s="626"/>
      <c r="DD827" s="626"/>
      <c r="DE827" s="626"/>
      <c r="DF827" s="626"/>
      <c r="DG827" s="1893"/>
      <c r="DH827" s="632"/>
      <c r="DI827" s="595"/>
      <c r="DJ827" s="595"/>
      <c r="DK827" s="595"/>
      <c r="DL827" s="595"/>
      <c r="DM827" s="595"/>
      <c r="DN827" s="514"/>
      <c r="DO827" s="77"/>
      <c r="DY827" s="330"/>
      <c r="DZ827" s="330"/>
    </row>
    <row r="828" spans="1:130" ht="12" hidden="1" customHeight="1" outlineLevel="1">
      <c r="A828" s="552" t="s">
        <v>1661</v>
      </c>
      <c r="B828" s="228"/>
      <c r="C828" s="228"/>
      <c r="D828" s="625"/>
      <c r="E828" s="626"/>
      <c r="F828" s="626"/>
      <c r="G828" s="626"/>
      <c r="H828" s="788"/>
      <c r="I828" s="626"/>
      <c r="J828" s="626"/>
      <c r="K828" s="626"/>
      <c r="L828" s="626"/>
      <c r="M828" s="788"/>
      <c r="N828" s="626"/>
      <c r="O828" s="626"/>
      <c r="P828" s="626"/>
      <c r="Q828" s="626"/>
      <c r="R828" s="788"/>
      <c r="S828" s="626"/>
      <c r="T828" s="626"/>
      <c r="U828" s="626"/>
      <c r="V828" s="626"/>
      <c r="W828" s="788"/>
      <c r="X828" s="626"/>
      <c r="Y828" s="626"/>
      <c r="Z828" s="626"/>
      <c r="AA828" s="626"/>
      <c r="AB828" s="788"/>
      <c r="AC828" s="626"/>
      <c r="AD828" s="626"/>
      <c r="AE828" s="626"/>
      <c r="AF828" s="626"/>
      <c r="AG828" s="788"/>
      <c r="AH828" s="626"/>
      <c r="AI828" s="626"/>
      <c r="AJ828" s="626"/>
      <c r="AK828" s="626"/>
      <c r="AL828" s="788"/>
      <c r="AM828" s="330"/>
      <c r="AN828" s="330"/>
      <c r="AO828" s="330"/>
      <c r="AP828" s="330"/>
      <c r="AQ828" s="1950"/>
      <c r="AR828" s="330"/>
      <c r="AS828" s="330"/>
      <c r="AT828" s="330"/>
      <c r="AU828" s="330"/>
      <c r="AV828" s="1950"/>
      <c r="AW828" s="626"/>
      <c r="AX828" s="626"/>
      <c r="AY828" s="626"/>
      <c r="AZ828" s="626"/>
      <c r="BA828" s="1950"/>
      <c r="BB828" s="2725">
        <f>+BB826*BB$777</f>
        <v>0</v>
      </c>
      <c r="BC828" s="1634">
        <f>+BC826*BC$777</f>
        <v>0</v>
      </c>
      <c r="BD828" s="1634">
        <f>+BD826*BD$777</f>
        <v>0</v>
      </c>
      <c r="BE828" s="2134">
        <f>+BE826*BE$777</f>
        <v>0</v>
      </c>
      <c r="BF828" s="1950">
        <f>+SUM(BB828:BE828)</f>
        <v>0</v>
      </c>
      <c r="BG828" s="3118">
        <v>0</v>
      </c>
      <c r="BH828" s="3125">
        <f>+BG828</f>
        <v>0</v>
      </c>
      <c r="BI828" s="3125">
        <f>+BH828</f>
        <v>0</v>
      </c>
      <c r="BJ828" s="3125">
        <f>+BI828</f>
        <v>0</v>
      </c>
      <c r="BK828" s="1950">
        <f>+SUM(BG828:BJ828)</f>
        <v>0</v>
      </c>
      <c r="BL828" s="3117">
        <v>0</v>
      </c>
      <c r="BM828" s="3253">
        <f>+BL828</f>
        <v>0</v>
      </c>
      <c r="BN828" s="3253">
        <f>+BM828</f>
        <v>0</v>
      </c>
      <c r="BO828" s="3253">
        <f>+BN828</f>
        <v>0</v>
      </c>
      <c r="BP828" s="1950">
        <f>+SUM(BL828:BO828)</f>
        <v>0</v>
      </c>
      <c r="BQ828" s="3253">
        <f>+BQ826*BQ777</f>
        <v>6.305625</v>
      </c>
      <c r="BR828" s="3253">
        <f>+BR826*BR777</f>
        <v>6.305625</v>
      </c>
      <c r="BS828" s="3253">
        <f>+BS826*BS777</f>
        <v>6.305625</v>
      </c>
      <c r="BT828" s="3253">
        <f>+BT826*BT777</f>
        <v>6.305625</v>
      </c>
      <c r="BU828" s="3406">
        <f>+SUM(BQ828:BT828)</f>
        <v>25.2225</v>
      </c>
      <c r="BV828" s="3253">
        <f>+BV826*BV777</f>
        <v>14.67591075</v>
      </c>
      <c r="BW828" s="3253">
        <f>+BW826*BW777</f>
        <v>14.67591075</v>
      </c>
      <c r="BX828" s="3253">
        <f>+BX826*BX777</f>
        <v>14.67591075</v>
      </c>
      <c r="BY828" s="3253">
        <f>+BY826*BY777</f>
        <v>14.67591075</v>
      </c>
      <c r="BZ828" s="3406">
        <f>+SUM(BV828:BY828)</f>
        <v>58.703643</v>
      </c>
      <c r="CA828" s="1950">
        <f t="shared" ref="CA828:CG828" si="1601">+CA826*CA$777</f>
        <v>88.465588366609907</v>
      </c>
      <c r="CB828" s="1950">
        <f t="shared" si="1601"/>
        <v>108.67419811266821</v>
      </c>
      <c r="CC828" s="1950">
        <f t="shared" si="1601"/>
        <v>103.24048820703479</v>
      </c>
      <c r="CD828" s="1950">
        <f t="shared" si="1601"/>
        <v>98.078463796683039</v>
      </c>
      <c r="CE828" s="1950">
        <f t="shared" si="1601"/>
        <v>100.04003307261671</v>
      </c>
      <c r="CF828" s="1950">
        <f t="shared" si="1601"/>
        <v>102.04083373406904</v>
      </c>
      <c r="CG828" s="1950">
        <f t="shared" si="1601"/>
        <v>104.08165040875041</v>
      </c>
      <c r="CH828" s="626"/>
      <c r="CI828" s="626"/>
      <c r="CJ828" s="626"/>
      <c r="CK828" s="626"/>
      <c r="CL828" s="626"/>
      <c r="CM828" s="965"/>
      <c r="CN828" s="965">
        <f t="shared" ref="CN828:CN829" si="1602">SUM(BV828:BY828)</f>
        <v>58.703643</v>
      </c>
      <c r="CO828" s="965">
        <f t="shared" ref="CO828" si="1603">CM828-CN828</f>
        <v>-58.703643</v>
      </c>
      <c r="CP828" s="994" t="str">
        <f>A828</f>
        <v>Gaming revenue</v>
      </c>
      <c r="CQ828" s="626"/>
      <c r="CR828" s="626"/>
      <c r="CS828" s="626"/>
      <c r="CT828" s="626"/>
      <c r="CU828" s="626"/>
      <c r="CV828" s="626"/>
      <c r="CW828" s="626"/>
      <c r="CX828" s="626"/>
      <c r="CY828" s="626"/>
      <c r="CZ828" s="626">
        <f>BA828</f>
        <v>0</v>
      </c>
      <c r="DA828" s="626">
        <f>BF828</f>
        <v>0</v>
      </c>
      <c r="DB828" s="626">
        <f>BK828</f>
        <v>0</v>
      </c>
      <c r="DC828" s="626">
        <f>BP828</f>
        <v>0</v>
      </c>
      <c r="DD828" s="626">
        <f>BU828</f>
        <v>25.2225</v>
      </c>
      <c r="DE828" s="626">
        <f t="shared" ref="DE828:DG829" si="1604">BZ828</f>
        <v>58.703643</v>
      </c>
      <c r="DF828" s="626">
        <f t="shared" si="1604"/>
        <v>88.465588366609907</v>
      </c>
      <c r="DG828" s="1893">
        <f t="shared" si="1604"/>
        <v>108.67419811266821</v>
      </c>
      <c r="DH828" s="632"/>
      <c r="DI828" s="595"/>
      <c r="DJ828" s="595"/>
      <c r="DK828" s="595"/>
      <c r="DL828" s="595"/>
      <c r="DM828" s="595"/>
      <c r="DN828" s="514"/>
      <c r="DO828" s="77"/>
      <c r="DY828" s="1634"/>
      <c r="DZ828" s="1634"/>
    </row>
    <row r="829" spans="1:130" ht="12" hidden="1" customHeight="1" outlineLevel="1">
      <c r="A829" s="567" t="s">
        <v>1153</v>
      </c>
      <c r="B829" s="228"/>
      <c r="C829" s="228"/>
      <c r="D829" s="625"/>
      <c r="E829" s="626"/>
      <c r="F829" s="626"/>
      <c r="G829" s="626"/>
      <c r="H829" s="788"/>
      <c r="I829" s="626"/>
      <c r="J829" s="626"/>
      <c r="K829" s="626"/>
      <c r="L829" s="626"/>
      <c r="M829" s="788"/>
      <c r="N829" s="626"/>
      <c r="O829" s="626"/>
      <c r="P829" s="626"/>
      <c r="Q829" s="626"/>
      <c r="R829" s="788"/>
      <c r="S829" s="626"/>
      <c r="T829" s="626"/>
      <c r="U829" s="626"/>
      <c r="V829" s="626"/>
      <c r="W829" s="788"/>
      <c r="X829" s="626"/>
      <c r="Y829" s="626"/>
      <c r="Z829" s="626"/>
      <c r="AA829" s="626"/>
      <c r="AB829" s="788"/>
      <c r="AC829" s="626"/>
      <c r="AD829" s="626"/>
      <c r="AE829" s="626"/>
      <c r="AF829" s="626"/>
      <c r="AG829" s="788"/>
      <c r="AH829" s="626"/>
      <c r="AI829" s="626"/>
      <c r="AJ829" s="626"/>
      <c r="AK829" s="626"/>
      <c r="AL829" s="788"/>
      <c r="AM829" s="626"/>
      <c r="AN829" s="261"/>
      <c r="AO829" s="626"/>
      <c r="AP829" s="330"/>
      <c r="AQ829" s="1439"/>
      <c r="AR829" s="573"/>
      <c r="AS829" s="573"/>
      <c r="AT829" s="573"/>
      <c r="AU829" s="573"/>
      <c r="AV829" s="1621"/>
      <c r="AW829" s="573"/>
      <c r="AX829" s="573"/>
      <c r="AY829" s="573"/>
      <c r="AZ829" s="573"/>
      <c r="BA829" s="1621"/>
      <c r="BB829" s="2730"/>
      <c r="BC829" s="573"/>
      <c r="BD829" s="573"/>
      <c r="BE829" s="2135"/>
      <c r="BF829" s="1621"/>
      <c r="BG829" s="2730"/>
      <c r="BH829" s="573"/>
      <c r="BI829" s="573"/>
      <c r="BJ829" s="2135"/>
      <c r="BK829" s="1621"/>
      <c r="BL829" s="573"/>
      <c r="BM829" s="573"/>
      <c r="BN829" s="573"/>
      <c r="BO829" s="2135"/>
      <c r="BP829" s="1621"/>
      <c r="BQ829" s="573"/>
      <c r="BR829" s="573"/>
      <c r="BS829" s="573"/>
      <c r="BT829" s="2135"/>
      <c r="BU829" s="3371"/>
      <c r="BV829" s="573"/>
      <c r="BW829" s="573"/>
      <c r="BX829" s="573"/>
      <c r="BY829" s="2135"/>
      <c r="BZ829" s="3371"/>
      <c r="CA829" s="1621">
        <f t="shared" ref="CA829:CG829" si="1605">+CA828/BZ828-1</f>
        <v>0.50698634438428125</v>
      </c>
      <c r="CB829" s="1621">
        <f t="shared" si="1605"/>
        <v>0.228434695559949</v>
      </c>
      <c r="CC829" s="1621">
        <f t="shared" si="1605"/>
        <v>-5.0000000000000044E-2</v>
      </c>
      <c r="CD829" s="1621">
        <f t="shared" si="1605"/>
        <v>-5.0000000000000044E-2</v>
      </c>
      <c r="CE829" s="1621">
        <f t="shared" si="1605"/>
        <v>2.0000000000000018E-2</v>
      </c>
      <c r="CF829" s="1621">
        <f t="shared" si="1605"/>
        <v>2.0000000000000018E-2</v>
      </c>
      <c r="CG829" s="1621">
        <f t="shared" si="1605"/>
        <v>1.9999999999999796E-2</v>
      </c>
      <c r="CH829" s="626"/>
      <c r="CI829" s="626"/>
      <c r="CJ829" s="626"/>
      <c r="CK829" s="626"/>
      <c r="CL829" s="626"/>
      <c r="CM829" s="965"/>
      <c r="CN829" s="965">
        <f t="shared" si="1602"/>
        <v>0</v>
      </c>
      <c r="CO829" s="626"/>
      <c r="CP829" s="994" t="str">
        <f>A829</f>
        <v>% growth</v>
      </c>
      <c r="CQ829" s="626"/>
      <c r="CR829" s="626"/>
      <c r="CS829" s="626"/>
      <c r="CT829" s="626"/>
      <c r="CU829" s="626"/>
      <c r="CV829" s="626"/>
      <c r="CW829" s="626"/>
      <c r="CX829" s="626"/>
      <c r="CY829" s="626"/>
      <c r="CZ829" s="626">
        <f>BA829</f>
        <v>0</v>
      </c>
      <c r="DA829" s="626">
        <f>BF829</f>
        <v>0</v>
      </c>
      <c r="DB829" s="626">
        <f>BK829</f>
        <v>0</v>
      </c>
      <c r="DC829" s="626">
        <f>BP829</f>
        <v>0</v>
      </c>
      <c r="DD829" s="626">
        <f>BU829</f>
        <v>0</v>
      </c>
      <c r="DE829" s="626">
        <f t="shared" si="1604"/>
        <v>0</v>
      </c>
      <c r="DF829" s="626">
        <f t="shared" si="1604"/>
        <v>0.50698634438428125</v>
      </c>
      <c r="DG829" s="1893">
        <f t="shared" si="1604"/>
        <v>0.228434695559949</v>
      </c>
      <c r="DH829" s="632"/>
      <c r="DI829" s="595"/>
      <c r="DJ829" s="595"/>
      <c r="DK829" s="595"/>
      <c r="DL829" s="595"/>
      <c r="DM829" s="595"/>
      <c r="DN829" s="514"/>
      <c r="DO829" s="77"/>
      <c r="DY829" s="573"/>
      <c r="DZ829" s="573"/>
    </row>
    <row r="830" spans="1:130" ht="12" hidden="1" customHeight="1" outlineLevel="1">
      <c r="A830" s="567"/>
      <c r="B830" s="228"/>
      <c r="C830" s="228"/>
      <c r="D830" s="625"/>
      <c r="E830" s="626"/>
      <c r="F830" s="626"/>
      <c r="G830" s="626"/>
      <c r="H830" s="788"/>
      <c r="I830" s="626"/>
      <c r="J830" s="626"/>
      <c r="K830" s="626"/>
      <c r="L830" s="626"/>
      <c r="M830" s="788"/>
      <c r="N830" s="626"/>
      <c r="O830" s="626"/>
      <c r="P830" s="626"/>
      <c r="Q830" s="626"/>
      <c r="R830" s="788"/>
      <c r="S830" s="626"/>
      <c r="T830" s="626"/>
      <c r="U830" s="626"/>
      <c r="V830" s="626"/>
      <c r="W830" s="788"/>
      <c r="X830" s="626"/>
      <c r="Y830" s="626"/>
      <c r="Z830" s="626"/>
      <c r="AA830" s="626"/>
      <c r="AB830" s="788"/>
      <c r="AC830" s="626"/>
      <c r="AD830" s="626"/>
      <c r="AE830" s="626"/>
      <c r="AF830" s="626"/>
      <c r="AG830" s="788"/>
      <c r="AH830" s="626"/>
      <c r="AI830" s="626"/>
      <c r="AJ830" s="626"/>
      <c r="AK830" s="626"/>
      <c r="AL830" s="788"/>
      <c r="AM830" s="626"/>
      <c r="AN830" s="261"/>
      <c r="AO830" s="626"/>
      <c r="AP830" s="330"/>
      <c r="AQ830" s="1439"/>
      <c r="AR830" s="330"/>
      <c r="AS830" s="330"/>
      <c r="AT830" s="330"/>
      <c r="AU830" s="626"/>
      <c r="AV830" s="1951"/>
      <c r="AW830" s="626"/>
      <c r="AX830" s="261"/>
      <c r="AY830" s="626"/>
      <c r="AZ830" s="626"/>
      <c r="BA830" s="1439"/>
      <c r="BB830" s="625"/>
      <c r="BC830" s="261"/>
      <c r="BD830" s="626"/>
      <c r="BE830" s="1893"/>
      <c r="BF830" s="1439"/>
      <c r="BG830" s="678"/>
      <c r="BH830" s="330"/>
      <c r="BI830" s="330"/>
      <c r="BJ830" s="2136"/>
      <c r="BK830" s="1439"/>
      <c r="BL830" s="330"/>
      <c r="BM830" s="330"/>
      <c r="BN830" s="330"/>
      <c r="BO830" s="2136"/>
      <c r="BP830" s="1439"/>
      <c r="BQ830" s="330"/>
      <c r="BR830" s="330"/>
      <c r="BS830" s="330"/>
      <c r="BT830" s="2136"/>
      <c r="BU830" s="3406"/>
      <c r="BV830" s="330"/>
      <c r="BW830" s="330"/>
      <c r="BX830" s="330"/>
      <c r="BY830" s="2136"/>
      <c r="BZ830" s="3406"/>
      <c r="CA830" s="1439"/>
      <c r="CB830" s="1439"/>
      <c r="CC830" s="1439"/>
      <c r="CD830" s="1439"/>
      <c r="CE830" s="1439"/>
      <c r="CF830" s="1439"/>
      <c r="CG830" s="1439"/>
      <c r="CH830" s="626"/>
      <c r="CI830" s="626"/>
      <c r="CJ830" s="626"/>
      <c r="CK830" s="626"/>
      <c r="CL830" s="626"/>
      <c r="CM830" s="626"/>
      <c r="CN830" s="626"/>
      <c r="CO830" s="626"/>
      <c r="CP830" s="994"/>
      <c r="CQ830" s="626"/>
      <c r="CR830" s="626"/>
      <c r="CS830" s="626"/>
      <c r="CT830" s="626"/>
      <c r="CU830" s="626"/>
      <c r="CV830" s="626"/>
      <c r="CW830" s="626"/>
      <c r="CX830" s="626"/>
      <c r="CY830" s="626"/>
      <c r="CZ830" s="626"/>
      <c r="DA830" s="626"/>
      <c r="DB830" s="626"/>
      <c r="DC830" s="626"/>
      <c r="DD830" s="626"/>
      <c r="DE830" s="626"/>
      <c r="DF830" s="626"/>
      <c r="DG830" s="1893"/>
      <c r="DH830" s="632"/>
      <c r="DI830" s="595"/>
      <c r="DJ830" s="595"/>
      <c r="DK830" s="595"/>
      <c r="DL830" s="595"/>
      <c r="DM830" s="595"/>
      <c r="DN830" s="514"/>
      <c r="DO830" s="77"/>
      <c r="DY830" s="330"/>
      <c r="DZ830" s="330"/>
    </row>
    <row r="831" spans="1:130" ht="12" hidden="1" customHeight="1" outlineLevel="1">
      <c r="A831" s="552" t="s">
        <v>1663</v>
      </c>
      <c r="B831" s="228"/>
      <c r="C831" s="228"/>
      <c r="D831" s="625"/>
      <c r="E831" s="626"/>
      <c r="F831" s="626"/>
      <c r="G831" s="626"/>
      <c r="H831" s="788"/>
      <c r="I831" s="626"/>
      <c r="J831" s="626"/>
      <c r="K831" s="626"/>
      <c r="L831" s="626"/>
      <c r="M831" s="788"/>
      <c r="N831" s="626"/>
      <c r="O831" s="626"/>
      <c r="P831" s="626"/>
      <c r="Q831" s="626"/>
      <c r="R831" s="788"/>
      <c r="S831" s="626"/>
      <c r="T831" s="626"/>
      <c r="U831" s="626"/>
      <c r="V831" s="626"/>
      <c r="W831" s="788"/>
      <c r="X831" s="626"/>
      <c r="Y831" s="626"/>
      <c r="Z831" s="626"/>
      <c r="AA831" s="626"/>
      <c r="AB831" s="788"/>
      <c r="AC831" s="626"/>
      <c r="AD831" s="626"/>
      <c r="AE831" s="626"/>
      <c r="AF831" s="626"/>
      <c r="AG831" s="788"/>
      <c r="AH831" s="626"/>
      <c r="AI831" s="626"/>
      <c r="AJ831" s="626"/>
      <c r="AK831" s="626"/>
      <c r="AL831" s="788"/>
      <c r="AM831" s="626"/>
      <c r="AN831" s="626"/>
      <c r="AO831" s="626"/>
      <c r="AP831" s="626"/>
      <c r="AQ831" s="1950"/>
      <c r="AR831" s="626"/>
      <c r="AS831" s="626"/>
      <c r="AT831" s="626"/>
      <c r="AU831" s="626"/>
      <c r="AV831" s="1950"/>
      <c r="AW831" s="626"/>
      <c r="AX831" s="626"/>
      <c r="AY831" s="626"/>
      <c r="AZ831" s="626"/>
      <c r="BA831" s="1950"/>
      <c r="BB831" s="2725">
        <f>+BB828*BB832</f>
        <v>0</v>
      </c>
      <c r="BC831" s="1634">
        <f>+BC828*BC832</f>
        <v>0</v>
      </c>
      <c r="BD831" s="1634">
        <f>+BD828*BD832</f>
        <v>0</v>
      </c>
      <c r="BE831" s="2134">
        <f>+BE828*BE832</f>
        <v>0</v>
      </c>
      <c r="BF831" s="1950">
        <f>+SUM(BB831:BE831)</f>
        <v>0</v>
      </c>
      <c r="BG831" s="2725">
        <f>+BG828*BG832</f>
        <v>0</v>
      </c>
      <c r="BH831" s="1634">
        <f>+BH828*BH832</f>
        <v>0</v>
      </c>
      <c r="BI831" s="1634">
        <f>+BI828*BI832</f>
        <v>0</v>
      </c>
      <c r="BJ831" s="2134">
        <f>+BJ828*BJ832</f>
        <v>0</v>
      </c>
      <c r="BK831" s="1950">
        <f>+SUM(BG831:BJ831)</f>
        <v>0</v>
      </c>
      <c r="BL831" s="1634">
        <f>+BL828*BL832</f>
        <v>0</v>
      </c>
      <c r="BM831" s="1634">
        <f>+BM828*BM832</f>
        <v>0</v>
      </c>
      <c r="BN831" s="1634">
        <f>+BN828*BN832</f>
        <v>0</v>
      </c>
      <c r="BO831" s="2134">
        <f>+BO828*BO832</f>
        <v>0</v>
      </c>
      <c r="BP831" s="1950">
        <f>+SUM(BL831:BO831)</f>
        <v>0</v>
      </c>
      <c r="BQ831" s="1634">
        <f>+BQ828*BQ832</f>
        <v>0.94584374999999998</v>
      </c>
      <c r="BR831" s="1634">
        <f>+BR828*BR832</f>
        <v>0.94584374999999998</v>
      </c>
      <c r="BS831" s="1634">
        <f>+BS828*BS832</f>
        <v>0.94584374999999998</v>
      </c>
      <c r="BT831" s="2134">
        <f>+BT828*BT832</f>
        <v>0.94584374999999998</v>
      </c>
      <c r="BU831" s="3406">
        <f>+SUM(BQ831:BT831)</f>
        <v>3.7833749999999999</v>
      </c>
      <c r="BV831" s="1634">
        <f>+BV828*BV832</f>
        <v>2.2013866124999999</v>
      </c>
      <c r="BW831" s="1634">
        <f>+BW828*BW832</f>
        <v>2.2013866124999999</v>
      </c>
      <c r="BX831" s="1634">
        <f>+BX828*BX832</f>
        <v>2.2013866124999999</v>
      </c>
      <c r="BY831" s="2134">
        <f>+BY828*BY832</f>
        <v>2.2013866124999999</v>
      </c>
      <c r="BZ831" s="3406">
        <f>+SUM(BV831:BY831)</f>
        <v>8.8055464499999996</v>
      </c>
      <c r="CA831" s="1950">
        <f t="shared" ref="CA831:CG831" si="1606">+CA828*CA832</f>
        <v>13.269838254991486</v>
      </c>
      <c r="CB831" s="1950">
        <f t="shared" si="1606"/>
        <v>16.301129716900231</v>
      </c>
      <c r="CC831" s="1950">
        <f t="shared" si="1606"/>
        <v>15.486073231055217</v>
      </c>
      <c r="CD831" s="1950">
        <f t="shared" si="1606"/>
        <v>14.711769569502454</v>
      </c>
      <c r="CE831" s="1950">
        <f t="shared" si="1606"/>
        <v>15.006004960892506</v>
      </c>
      <c r="CF831" s="1950">
        <f t="shared" si="1606"/>
        <v>15.306125060110356</v>
      </c>
      <c r="CG831" s="1950">
        <f t="shared" si="1606"/>
        <v>15.612247561312561</v>
      </c>
      <c r="CH831" s="626"/>
      <c r="CI831" s="626"/>
      <c r="CJ831" s="626"/>
      <c r="CK831" s="626"/>
      <c r="CL831" s="626"/>
      <c r="CM831" s="965"/>
      <c r="CN831" s="965">
        <f t="shared" ref="CN831:CN832" si="1607">SUM(BV831:BY831)</f>
        <v>8.8055464499999996</v>
      </c>
      <c r="CO831" s="965">
        <f t="shared" ref="CO831" si="1608">CM831-CN831</f>
        <v>-8.8055464499999996</v>
      </c>
      <c r="CP831" s="994" t="str">
        <f>A831</f>
        <v>Gaming taxes</v>
      </c>
      <c r="CQ831" s="626"/>
      <c r="CR831" s="626"/>
      <c r="CS831" s="626"/>
      <c r="CT831" s="626"/>
      <c r="CU831" s="626"/>
      <c r="CV831" s="626"/>
      <c r="CW831" s="626"/>
      <c r="CX831" s="626"/>
      <c r="CY831" s="626"/>
      <c r="CZ831" s="626">
        <f>BA831</f>
        <v>0</v>
      </c>
      <c r="DA831" s="626">
        <f>BF831</f>
        <v>0</v>
      </c>
      <c r="DB831" s="626">
        <f>BK831</f>
        <v>0</v>
      </c>
      <c r="DC831" s="626">
        <f>BP831</f>
        <v>0</v>
      </c>
      <c r="DD831" s="626">
        <f>BU831</f>
        <v>3.7833749999999999</v>
      </c>
      <c r="DE831" s="626">
        <f t="shared" ref="DE831:DG832" si="1609">BZ831</f>
        <v>8.8055464499999996</v>
      </c>
      <c r="DF831" s="626">
        <f t="shared" si="1609"/>
        <v>13.269838254991486</v>
      </c>
      <c r="DG831" s="1893">
        <f t="shared" si="1609"/>
        <v>16.301129716900231</v>
      </c>
      <c r="DH831" s="632"/>
      <c r="DI831" s="595"/>
      <c r="DJ831" s="595"/>
      <c r="DK831" s="595"/>
      <c r="DL831" s="595"/>
      <c r="DM831" s="595"/>
      <c r="DN831" s="514"/>
      <c r="DO831" s="77"/>
      <c r="DY831" s="1634"/>
      <c r="DZ831" s="1634"/>
    </row>
    <row r="832" spans="1:130" ht="12" hidden="1" customHeight="1" outlineLevel="1">
      <c r="A832" s="567" t="s">
        <v>1664</v>
      </c>
      <c r="B832" s="228"/>
      <c r="C832" s="228"/>
      <c r="D832" s="625"/>
      <c r="E832" s="626"/>
      <c r="F832" s="626"/>
      <c r="G832" s="626"/>
      <c r="H832" s="788"/>
      <c r="I832" s="626"/>
      <c r="J832" s="626"/>
      <c r="K832" s="626"/>
      <c r="L832" s="626"/>
      <c r="M832" s="788"/>
      <c r="N832" s="626"/>
      <c r="O832" s="626"/>
      <c r="P832" s="626"/>
      <c r="Q832" s="626"/>
      <c r="R832" s="788"/>
      <c r="S832" s="626"/>
      <c r="T832" s="626"/>
      <c r="U832" s="626"/>
      <c r="V832" s="626"/>
      <c r="W832" s="788"/>
      <c r="X832" s="626"/>
      <c r="Y832" s="626"/>
      <c r="Z832" s="626"/>
      <c r="AA832" s="626"/>
      <c r="AB832" s="788"/>
      <c r="AC832" s="626"/>
      <c r="AD832" s="626"/>
      <c r="AE832" s="626"/>
      <c r="AF832" s="626"/>
      <c r="AG832" s="788"/>
      <c r="AH832" s="626"/>
      <c r="AI832" s="626"/>
      <c r="AJ832" s="626"/>
      <c r="AK832" s="626"/>
      <c r="AL832" s="788"/>
      <c r="AM832" s="860"/>
      <c r="AN832" s="860"/>
      <c r="AO832" s="860"/>
      <c r="AP832" s="860"/>
      <c r="AQ832" s="1975"/>
      <c r="AR832" s="860"/>
      <c r="AS832" s="860"/>
      <c r="AT832" s="860"/>
      <c r="AU832" s="860"/>
      <c r="AV832" s="1975"/>
      <c r="AW832" s="860"/>
      <c r="AX832" s="860"/>
      <c r="AY832" s="860"/>
      <c r="AZ832" s="860"/>
      <c r="BA832" s="1974"/>
      <c r="BB832" s="864">
        <v>0.15</v>
      </c>
      <c r="BC832" s="866">
        <v>0.15</v>
      </c>
      <c r="BD832" s="866">
        <v>0.15</v>
      </c>
      <c r="BE832" s="866">
        <v>0.15</v>
      </c>
      <c r="BF832" s="862"/>
      <c r="BG832" s="864">
        <v>0.15</v>
      </c>
      <c r="BH832" s="866">
        <v>0.15</v>
      </c>
      <c r="BI832" s="866">
        <v>0.15</v>
      </c>
      <c r="BJ832" s="2885">
        <v>0.15</v>
      </c>
      <c r="BK832" s="1974"/>
      <c r="BL832" s="866">
        <v>0.15</v>
      </c>
      <c r="BM832" s="866">
        <v>0.15</v>
      </c>
      <c r="BN832" s="866">
        <v>0.15</v>
      </c>
      <c r="BO832" s="2885">
        <v>0.15</v>
      </c>
      <c r="BP832" s="1974"/>
      <c r="BQ832" s="866">
        <v>0.15</v>
      </c>
      <c r="BR832" s="866">
        <v>0.15</v>
      </c>
      <c r="BS832" s="866">
        <v>0.15</v>
      </c>
      <c r="BT832" s="2885">
        <v>0.15</v>
      </c>
      <c r="BU832" s="3407"/>
      <c r="BV832" s="866">
        <v>0.15</v>
      </c>
      <c r="BW832" s="866">
        <v>0.15</v>
      </c>
      <c r="BX832" s="866">
        <v>0.15</v>
      </c>
      <c r="BY832" s="2885">
        <v>0.15</v>
      </c>
      <c r="BZ832" s="3407"/>
      <c r="CA832" s="1974">
        <v>0.15</v>
      </c>
      <c r="CB832" s="1974">
        <v>0.15</v>
      </c>
      <c r="CC832" s="1974">
        <v>0.15</v>
      </c>
      <c r="CD832" s="1974">
        <v>0.15</v>
      </c>
      <c r="CE832" s="1974">
        <v>0.15</v>
      </c>
      <c r="CF832" s="1974">
        <v>0.15</v>
      </c>
      <c r="CG832" s="1974">
        <v>0.15</v>
      </c>
      <c r="CH832" s="626"/>
      <c r="CI832" s="626"/>
      <c r="CJ832" s="626"/>
      <c r="CK832" s="626"/>
      <c r="CL832" s="626"/>
      <c r="CM832" s="965"/>
      <c r="CN832" s="965">
        <f t="shared" si="1607"/>
        <v>0.6</v>
      </c>
      <c r="CO832" s="626"/>
      <c r="CP832" s="994" t="str">
        <f>A832</f>
        <v>% of revenue</v>
      </c>
      <c r="CQ832" s="626"/>
      <c r="CR832" s="626"/>
      <c r="CS832" s="626"/>
      <c r="CT832" s="626"/>
      <c r="CU832" s="626"/>
      <c r="CV832" s="626"/>
      <c r="CW832" s="626"/>
      <c r="CX832" s="626"/>
      <c r="CY832" s="626"/>
      <c r="CZ832" s="626">
        <f>BA832</f>
        <v>0</v>
      </c>
      <c r="DA832" s="626">
        <f>BF832</f>
        <v>0</v>
      </c>
      <c r="DB832" s="626">
        <f>BK832</f>
        <v>0</v>
      </c>
      <c r="DC832" s="626">
        <f>BP832</f>
        <v>0</v>
      </c>
      <c r="DD832" s="626">
        <f>BU832</f>
        <v>0</v>
      </c>
      <c r="DE832" s="626">
        <f t="shared" si="1609"/>
        <v>0</v>
      </c>
      <c r="DF832" s="626">
        <f t="shared" si="1609"/>
        <v>0.15</v>
      </c>
      <c r="DG832" s="1893">
        <f t="shared" si="1609"/>
        <v>0.15</v>
      </c>
      <c r="DH832" s="632"/>
      <c r="DI832" s="595"/>
      <c r="DJ832" s="595"/>
      <c r="DK832" s="595"/>
      <c r="DL832" s="595"/>
      <c r="DM832" s="595"/>
      <c r="DN832" s="514"/>
      <c r="DO832" s="77"/>
      <c r="DY832" s="866"/>
      <c r="DZ832" s="866"/>
    </row>
    <row r="833" spans="1:130" ht="3" hidden="1" customHeight="1" outlineLevel="1">
      <c r="A833" s="552"/>
      <c r="B833" s="228"/>
      <c r="C833" s="228"/>
      <c r="D833" s="625"/>
      <c r="E833" s="626"/>
      <c r="F833" s="626"/>
      <c r="G833" s="626"/>
      <c r="H833" s="788"/>
      <c r="I833" s="626"/>
      <c r="J833" s="626"/>
      <c r="K833" s="626"/>
      <c r="L833" s="626"/>
      <c r="M833" s="788"/>
      <c r="N833" s="626"/>
      <c r="O833" s="626"/>
      <c r="P833" s="626"/>
      <c r="Q833" s="626"/>
      <c r="R833" s="788"/>
      <c r="S833" s="626"/>
      <c r="T833" s="626"/>
      <c r="U833" s="626"/>
      <c r="V833" s="626"/>
      <c r="W833" s="788"/>
      <c r="X833" s="626"/>
      <c r="Y833" s="626"/>
      <c r="Z833" s="626"/>
      <c r="AA833" s="626"/>
      <c r="AB833" s="788"/>
      <c r="AC833" s="626"/>
      <c r="AD833" s="626"/>
      <c r="AE833" s="626"/>
      <c r="AF833" s="626"/>
      <c r="AG833" s="788"/>
      <c r="AH833" s="626"/>
      <c r="AI833" s="626"/>
      <c r="AJ833" s="626"/>
      <c r="AK833" s="626"/>
      <c r="AL833" s="788"/>
      <c r="AM833" s="626"/>
      <c r="AN833" s="261"/>
      <c r="AO833" s="626"/>
      <c r="AP833" s="330"/>
      <c r="AQ833" s="1439"/>
      <c r="AR833" s="330"/>
      <c r="AS833" s="330"/>
      <c r="AT833" s="330"/>
      <c r="AU833" s="626"/>
      <c r="AV833" s="1439"/>
      <c r="AW833" s="626"/>
      <c r="AX833" s="261"/>
      <c r="AY833" s="626"/>
      <c r="AZ833" s="626"/>
      <c r="BA833" s="1439"/>
      <c r="BB833" s="625"/>
      <c r="BC833" s="261"/>
      <c r="BD833" s="626"/>
      <c r="BE833" s="1893"/>
      <c r="BF833" s="1439"/>
      <c r="BG833" s="678"/>
      <c r="BH833" s="330"/>
      <c r="BI833" s="330"/>
      <c r="BJ833" s="2136"/>
      <c r="BK833" s="1439"/>
      <c r="BL833" s="330"/>
      <c r="BM833" s="330"/>
      <c r="BN833" s="330"/>
      <c r="BO833" s="2136"/>
      <c r="BP833" s="1439"/>
      <c r="BQ833" s="330"/>
      <c r="BR833" s="330"/>
      <c r="BS833" s="330"/>
      <c r="BT833" s="2136"/>
      <c r="BU833" s="3406"/>
      <c r="BV833" s="330"/>
      <c r="BW833" s="330"/>
      <c r="BX833" s="330"/>
      <c r="BY833" s="2136"/>
      <c r="BZ833" s="3406"/>
      <c r="CA833" s="1439"/>
      <c r="CB833" s="1439"/>
      <c r="CC833" s="1439"/>
      <c r="CD833" s="1439"/>
      <c r="CE833" s="1439"/>
      <c r="CF833" s="1439"/>
      <c r="CG833" s="1439"/>
      <c r="CH833" s="626"/>
      <c r="CI833" s="626"/>
      <c r="CJ833" s="626"/>
      <c r="CK833" s="626"/>
      <c r="CL833" s="626"/>
      <c r="CM833" s="626"/>
      <c r="CN833" s="626"/>
      <c r="CO833" s="626"/>
      <c r="CP833" s="994"/>
      <c r="CQ833" s="626"/>
      <c r="CR833" s="626"/>
      <c r="CS833" s="626"/>
      <c r="CT833" s="626"/>
      <c r="CU833" s="626"/>
      <c r="CV833" s="626"/>
      <c r="CW833" s="626"/>
      <c r="CX833" s="626"/>
      <c r="CY833" s="626"/>
      <c r="CZ833" s="626"/>
      <c r="DA833" s="626"/>
      <c r="DB833" s="626"/>
      <c r="DC833" s="626"/>
      <c r="DD833" s="626"/>
      <c r="DE833" s="626"/>
      <c r="DF833" s="626"/>
      <c r="DG833" s="1893"/>
      <c r="DH833" s="632"/>
      <c r="DI833" s="595"/>
      <c r="DJ833" s="595"/>
      <c r="DK833" s="595"/>
      <c r="DL833" s="595"/>
      <c r="DM833" s="595"/>
      <c r="DN833" s="514"/>
      <c r="DO833" s="77"/>
      <c r="DY833" s="330"/>
      <c r="DZ833" s="330"/>
    </row>
    <row r="834" spans="1:130" ht="12" hidden="1" customHeight="1" outlineLevel="1">
      <c r="A834" s="552" t="s">
        <v>1665</v>
      </c>
      <c r="B834" s="228"/>
      <c r="C834" s="228"/>
      <c r="D834" s="625"/>
      <c r="E834" s="626"/>
      <c r="F834" s="626"/>
      <c r="G834" s="626"/>
      <c r="H834" s="788"/>
      <c r="I834" s="626"/>
      <c r="J834" s="626"/>
      <c r="K834" s="626"/>
      <c r="L834" s="626"/>
      <c r="M834" s="788"/>
      <c r="N834" s="626"/>
      <c r="O834" s="626"/>
      <c r="P834" s="626"/>
      <c r="Q834" s="626"/>
      <c r="R834" s="788"/>
      <c r="S834" s="626"/>
      <c r="T834" s="626"/>
      <c r="U834" s="626"/>
      <c r="V834" s="626"/>
      <c r="W834" s="788"/>
      <c r="X834" s="626"/>
      <c r="Y834" s="626"/>
      <c r="Z834" s="626"/>
      <c r="AA834" s="626"/>
      <c r="AB834" s="788"/>
      <c r="AC834" s="626"/>
      <c r="AD834" s="626"/>
      <c r="AE834" s="626"/>
      <c r="AF834" s="626"/>
      <c r="AG834" s="788"/>
      <c r="AH834" s="626"/>
      <c r="AI834" s="626"/>
      <c r="AJ834" s="626"/>
      <c r="AK834" s="626"/>
      <c r="AL834" s="788"/>
      <c r="AM834" s="1976"/>
      <c r="AN834" s="1976"/>
      <c r="AO834" s="1976"/>
      <c r="AP834" s="1976"/>
      <c r="AQ834" s="1950"/>
      <c r="AR834" s="1976"/>
      <c r="AS834" s="1976"/>
      <c r="AT834" s="1976"/>
      <c r="AU834" s="330"/>
      <c r="AV834" s="1950"/>
      <c r="AW834" s="330"/>
      <c r="AX834" s="330"/>
      <c r="AY834" s="330"/>
      <c r="AZ834" s="330"/>
      <c r="BA834" s="1950"/>
      <c r="BB834" s="2725">
        <f>+BB828-BB831-BB840</f>
        <v>0</v>
      </c>
      <c r="BC834" s="1634">
        <f>+BC828-BC831-BC840</f>
        <v>0</v>
      </c>
      <c r="BD834" s="1634">
        <f>+BD828-BD831-BD840</f>
        <v>0</v>
      </c>
      <c r="BE834" s="2134">
        <f>+BE828-BE831-BE840</f>
        <v>0</v>
      </c>
      <c r="BF834" s="1950">
        <f>+SUM(BB834:BE834)</f>
        <v>0</v>
      </c>
      <c r="BG834" s="2725">
        <f>+BG828-BG831-BG840</f>
        <v>0</v>
      </c>
      <c r="BH834" s="1634">
        <f>+BH828-BH831-BH840</f>
        <v>0</v>
      </c>
      <c r="BI834" s="1634">
        <f>+BI828-BI831-BI840</f>
        <v>0</v>
      </c>
      <c r="BJ834" s="2134">
        <f>+BJ828-BJ831-BJ840</f>
        <v>0</v>
      </c>
      <c r="BK834" s="1950">
        <f>+SUM(BG834:BJ834)</f>
        <v>0</v>
      </c>
      <c r="BL834" s="1634">
        <f>+BL828-BL831</f>
        <v>0</v>
      </c>
      <c r="BM834" s="1634">
        <f>+BM828-BM831</f>
        <v>0</v>
      </c>
      <c r="BN834" s="1634">
        <f>+BN828-BN831</f>
        <v>0</v>
      </c>
      <c r="BO834" s="2134">
        <f t="shared" ref="BO834:CB834" si="1610">+BO828-BO831</f>
        <v>0</v>
      </c>
      <c r="BP834" s="1950">
        <f t="shared" si="1610"/>
        <v>0</v>
      </c>
      <c r="BQ834" s="1634">
        <f t="shared" si="1610"/>
        <v>5.3597812500000002</v>
      </c>
      <c r="BR834" s="1634">
        <f t="shared" si="1610"/>
        <v>5.3597812500000002</v>
      </c>
      <c r="BS834" s="1634">
        <f t="shared" si="1610"/>
        <v>5.3597812500000002</v>
      </c>
      <c r="BT834" s="2134">
        <f t="shared" si="1610"/>
        <v>5.3597812500000002</v>
      </c>
      <c r="BU834" s="3406">
        <f>+BU828-BU831</f>
        <v>21.439125000000001</v>
      </c>
      <c r="BV834" s="1634">
        <f t="shared" si="1610"/>
        <v>12.4745241375</v>
      </c>
      <c r="BW834" s="1634">
        <f t="shared" si="1610"/>
        <v>12.4745241375</v>
      </c>
      <c r="BX834" s="1634">
        <f t="shared" si="1610"/>
        <v>12.4745241375</v>
      </c>
      <c r="BY834" s="2134">
        <f t="shared" si="1610"/>
        <v>12.4745241375</v>
      </c>
      <c r="BZ834" s="3406">
        <f>+BZ828-BZ831</f>
        <v>49.898096549999998</v>
      </c>
      <c r="CA834" s="1950">
        <f t="shared" si="1610"/>
        <v>75.195750111618423</v>
      </c>
      <c r="CB834" s="1950">
        <f t="shared" si="1610"/>
        <v>92.373068395767973</v>
      </c>
      <c r="CC834" s="1950">
        <f>+CC828-CC831</f>
        <v>87.754414975979572</v>
      </c>
      <c r="CD834" s="1950">
        <f>+CD828-CD831</f>
        <v>83.366694227180588</v>
      </c>
      <c r="CE834" s="1950">
        <f>+CE828-CE831</f>
        <v>85.034028111724197</v>
      </c>
      <c r="CF834" s="1950">
        <f>+CF828-CF831</f>
        <v>86.734708673958679</v>
      </c>
      <c r="CG834" s="1950">
        <f>+CG828-CG831</f>
        <v>88.469402847437848</v>
      </c>
      <c r="CH834" s="626"/>
      <c r="CI834" s="626"/>
      <c r="CJ834" s="626"/>
      <c r="CK834" s="626"/>
      <c r="CL834" s="626"/>
      <c r="CM834" s="965"/>
      <c r="CN834" s="965">
        <f t="shared" ref="CN834:CN835" si="1611">SUM(BV834:BY834)</f>
        <v>49.898096549999998</v>
      </c>
      <c r="CO834" s="965">
        <f t="shared" ref="CO834" si="1612">CM834-CN834</f>
        <v>-49.898096549999998</v>
      </c>
      <c r="CP834" s="994" t="str">
        <f>A834</f>
        <v>Other OpEx</v>
      </c>
      <c r="CQ834" s="626"/>
      <c r="CR834" s="626"/>
      <c r="CS834" s="626"/>
      <c r="CT834" s="626"/>
      <c r="CU834" s="626"/>
      <c r="CV834" s="626"/>
      <c r="CW834" s="626"/>
      <c r="CX834" s="626"/>
      <c r="CY834" s="626"/>
      <c r="CZ834" s="626">
        <f>BA834</f>
        <v>0</v>
      </c>
      <c r="DA834" s="626">
        <f>BF834</f>
        <v>0</v>
      </c>
      <c r="DB834" s="626">
        <f>BK834</f>
        <v>0</v>
      </c>
      <c r="DC834" s="626">
        <f>BP834</f>
        <v>0</v>
      </c>
      <c r="DD834" s="626">
        <f>BU834</f>
        <v>21.439125000000001</v>
      </c>
      <c r="DE834" s="626">
        <f t="shared" ref="DE834:DG835" si="1613">BZ834</f>
        <v>49.898096549999998</v>
      </c>
      <c r="DF834" s="626">
        <f t="shared" si="1613"/>
        <v>75.195750111618423</v>
      </c>
      <c r="DG834" s="1893">
        <f t="shared" si="1613"/>
        <v>92.373068395767973</v>
      </c>
      <c r="DH834" s="632"/>
      <c r="DI834" s="595"/>
      <c r="DJ834" s="595"/>
      <c r="DK834" s="595"/>
      <c r="DL834" s="595"/>
      <c r="DM834" s="595"/>
      <c r="DN834" s="514"/>
      <c r="DO834" s="77"/>
      <c r="DY834" s="1634"/>
      <c r="DZ834" s="1634"/>
    </row>
    <row r="835" spans="1:130" ht="12" hidden="1" customHeight="1" outlineLevel="1">
      <c r="A835" s="567" t="s">
        <v>1664</v>
      </c>
      <c r="B835" s="228"/>
      <c r="C835" s="228"/>
      <c r="D835" s="625"/>
      <c r="E835" s="626"/>
      <c r="F835" s="626"/>
      <c r="G835" s="626"/>
      <c r="H835" s="788"/>
      <c r="I835" s="626"/>
      <c r="J835" s="626"/>
      <c r="K835" s="626"/>
      <c r="L835" s="626"/>
      <c r="M835" s="788"/>
      <c r="N835" s="626"/>
      <c r="O835" s="626"/>
      <c r="P835" s="626"/>
      <c r="Q835" s="626"/>
      <c r="R835" s="788"/>
      <c r="S835" s="626"/>
      <c r="T835" s="626"/>
      <c r="U835" s="626"/>
      <c r="V835" s="626"/>
      <c r="W835" s="788"/>
      <c r="X835" s="626"/>
      <c r="Y835" s="626"/>
      <c r="Z835" s="626"/>
      <c r="AA835" s="626"/>
      <c r="AB835" s="788"/>
      <c r="AC835" s="626"/>
      <c r="AD835" s="626"/>
      <c r="AE835" s="626"/>
      <c r="AF835" s="626"/>
      <c r="AG835" s="788"/>
      <c r="AH835" s="626"/>
      <c r="AI835" s="626"/>
      <c r="AJ835" s="626"/>
      <c r="AK835" s="626"/>
      <c r="AL835" s="788"/>
      <c r="AM835" s="860"/>
      <c r="AN835" s="860"/>
      <c r="AO835" s="860"/>
      <c r="AP835" s="860"/>
      <c r="AQ835" s="1975"/>
      <c r="AR835" s="860"/>
      <c r="AS835" s="860"/>
      <c r="AT835" s="860"/>
      <c r="AU835" s="860"/>
      <c r="AV835" s="1975"/>
      <c r="AW835" s="860"/>
      <c r="AX835" s="860"/>
      <c r="AY835" s="860"/>
      <c r="AZ835" s="860"/>
      <c r="BA835" s="1975"/>
      <c r="BB835" s="2726"/>
      <c r="BC835" s="769"/>
      <c r="BD835" s="769"/>
      <c r="BE835" s="2171"/>
      <c r="BF835" s="1975"/>
      <c r="BG835" s="2726"/>
      <c r="BH835" s="769"/>
      <c r="BI835" s="769"/>
      <c r="BJ835" s="2171"/>
      <c r="BK835" s="1975"/>
      <c r="BL835" s="769"/>
      <c r="BM835" s="769"/>
      <c r="BN835" s="769"/>
      <c r="BO835" s="2171"/>
      <c r="BP835" s="1975"/>
      <c r="BQ835" s="769"/>
      <c r="BR835" s="769"/>
      <c r="BS835" s="769"/>
      <c r="BT835" s="2171"/>
      <c r="BU835" s="3407"/>
      <c r="BV835" s="769"/>
      <c r="BW835" s="769"/>
      <c r="BX835" s="769"/>
      <c r="BY835" s="2171"/>
      <c r="BZ835" s="3407"/>
      <c r="CA835" s="1975">
        <f t="shared" ref="CA835:CG835" si="1614">+CA834/CA828</f>
        <v>0.85</v>
      </c>
      <c r="CB835" s="1975">
        <f t="shared" si="1614"/>
        <v>0.85</v>
      </c>
      <c r="CC835" s="1975">
        <f t="shared" si="1614"/>
        <v>0.85</v>
      </c>
      <c r="CD835" s="1975">
        <f t="shared" si="1614"/>
        <v>0.85000000000000009</v>
      </c>
      <c r="CE835" s="1975">
        <f t="shared" si="1614"/>
        <v>0.85</v>
      </c>
      <c r="CF835" s="1975">
        <f t="shared" si="1614"/>
        <v>0.85</v>
      </c>
      <c r="CG835" s="1975">
        <f t="shared" si="1614"/>
        <v>0.85000000000000009</v>
      </c>
      <c r="CH835" s="626"/>
      <c r="CI835" s="626"/>
      <c r="CJ835" s="626"/>
      <c r="CK835" s="626"/>
      <c r="CL835" s="626"/>
      <c r="CM835" s="965"/>
      <c r="CN835" s="965">
        <f t="shared" si="1611"/>
        <v>0</v>
      </c>
      <c r="CO835" s="626"/>
      <c r="CP835" s="994" t="str">
        <f>A835</f>
        <v>% of revenue</v>
      </c>
      <c r="CQ835" s="626"/>
      <c r="CR835" s="626"/>
      <c r="CS835" s="626"/>
      <c r="CT835" s="626"/>
      <c r="CU835" s="626"/>
      <c r="CV835" s="626"/>
      <c r="CW835" s="626"/>
      <c r="CX835" s="626"/>
      <c r="CY835" s="626"/>
      <c r="CZ835" s="626">
        <f>BA835</f>
        <v>0</v>
      </c>
      <c r="DA835" s="626">
        <f>BF835</f>
        <v>0</v>
      </c>
      <c r="DB835" s="626">
        <f>BK835</f>
        <v>0</v>
      </c>
      <c r="DC835" s="626">
        <f>BP835</f>
        <v>0</v>
      </c>
      <c r="DD835" s="626">
        <f>BU835</f>
        <v>0</v>
      </c>
      <c r="DE835" s="626">
        <f t="shared" si="1613"/>
        <v>0</v>
      </c>
      <c r="DF835" s="626">
        <f t="shared" si="1613"/>
        <v>0.85</v>
      </c>
      <c r="DG835" s="1893">
        <f t="shared" si="1613"/>
        <v>0.85</v>
      </c>
      <c r="DH835" s="632"/>
      <c r="DI835" s="595"/>
      <c r="DJ835" s="595"/>
      <c r="DK835" s="595"/>
      <c r="DL835" s="595"/>
      <c r="DM835" s="595"/>
      <c r="DN835" s="514"/>
      <c r="DO835" s="77"/>
      <c r="DY835" s="769"/>
      <c r="DZ835" s="769"/>
    </row>
    <row r="836" spans="1:130" ht="3.95" hidden="1" customHeight="1" outlineLevel="1">
      <c r="A836" s="552"/>
      <c r="B836" s="228"/>
      <c r="C836" s="228"/>
      <c r="D836" s="625"/>
      <c r="E836" s="626"/>
      <c r="F836" s="626"/>
      <c r="G836" s="626"/>
      <c r="H836" s="788"/>
      <c r="I836" s="626"/>
      <c r="J836" s="626"/>
      <c r="K836" s="626"/>
      <c r="L836" s="626"/>
      <c r="M836" s="788"/>
      <c r="N836" s="626"/>
      <c r="O836" s="626"/>
      <c r="P836" s="626"/>
      <c r="Q836" s="626"/>
      <c r="R836" s="788"/>
      <c r="S836" s="626"/>
      <c r="T836" s="626"/>
      <c r="U836" s="626"/>
      <c r="V836" s="626"/>
      <c r="W836" s="788"/>
      <c r="X836" s="626"/>
      <c r="Y836" s="626"/>
      <c r="Z836" s="626"/>
      <c r="AA836" s="626"/>
      <c r="AB836" s="788"/>
      <c r="AC836" s="626"/>
      <c r="AD836" s="626"/>
      <c r="AE836" s="626"/>
      <c r="AF836" s="626"/>
      <c r="AG836" s="788"/>
      <c r="AH836" s="626"/>
      <c r="AI836" s="626"/>
      <c r="AJ836" s="626"/>
      <c r="AK836" s="626"/>
      <c r="AL836" s="788"/>
      <c r="AM836" s="626"/>
      <c r="AN836" s="261"/>
      <c r="AO836" s="626"/>
      <c r="AP836" s="330"/>
      <c r="AQ836" s="1439"/>
      <c r="AR836" s="330"/>
      <c r="AS836" s="330"/>
      <c r="AT836" s="330"/>
      <c r="AU836" s="626"/>
      <c r="AV836" s="1951"/>
      <c r="AW836" s="626"/>
      <c r="AX836" s="261"/>
      <c r="AY836" s="626"/>
      <c r="AZ836" s="626"/>
      <c r="BA836" s="2105"/>
      <c r="BB836" s="2718" t="s">
        <v>343</v>
      </c>
      <c r="BC836" s="2155" t="s">
        <v>343</v>
      </c>
      <c r="BD836" s="2155" t="s">
        <v>343</v>
      </c>
      <c r="BE836" s="2156" t="s">
        <v>343</v>
      </c>
      <c r="BF836" s="2105" t="s">
        <v>343</v>
      </c>
      <c r="BG836" s="2718" t="s">
        <v>343</v>
      </c>
      <c r="BH836" s="2155" t="s">
        <v>343</v>
      </c>
      <c r="BI836" s="2155" t="s">
        <v>343</v>
      </c>
      <c r="BJ836" s="2156" t="s">
        <v>343</v>
      </c>
      <c r="BK836" s="2105" t="s">
        <v>343</v>
      </c>
      <c r="BL836" s="2155" t="s">
        <v>343</v>
      </c>
      <c r="BM836" s="2155" t="s">
        <v>343</v>
      </c>
      <c r="BN836" s="2155" t="s">
        <v>343</v>
      </c>
      <c r="BO836" s="2156" t="s">
        <v>343</v>
      </c>
      <c r="BP836" s="2105" t="s">
        <v>343</v>
      </c>
      <c r="BQ836" s="2155" t="s">
        <v>343</v>
      </c>
      <c r="BR836" s="2155" t="s">
        <v>343</v>
      </c>
      <c r="BS836" s="2155" t="s">
        <v>343</v>
      </c>
      <c r="BT836" s="2156" t="s">
        <v>343</v>
      </c>
      <c r="BU836" s="3408" t="s">
        <v>343</v>
      </c>
      <c r="BV836" s="2155" t="s">
        <v>343</v>
      </c>
      <c r="BW836" s="2155" t="s">
        <v>343</v>
      </c>
      <c r="BX836" s="2155" t="s">
        <v>343</v>
      </c>
      <c r="BY836" s="2156" t="s">
        <v>343</v>
      </c>
      <c r="BZ836" s="3408" t="s">
        <v>343</v>
      </c>
      <c r="CA836" s="2105" t="s">
        <v>343</v>
      </c>
      <c r="CB836" s="2105" t="s">
        <v>343</v>
      </c>
      <c r="CC836" s="2105" t="s">
        <v>343</v>
      </c>
      <c r="CD836" s="2105" t="s">
        <v>343</v>
      </c>
      <c r="CE836" s="2105" t="s">
        <v>343</v>
      </c>
      <c r="CF836" s="2105" t="s">
        <v>343</v>
      </c>
      <c r="CG836" s="2105" t="s">
        <v>343</v>
      </c>
      <c r="CH836" s="626"/>
      <c r="CI836" s="626"/>
      <c r="CJ836" s="626"/>
      <c r="CK836" s="626"/>
      <c r="CL836" s="626"/>
      <c r="CM836" s="626"/>
      <c r="CN836" s="626"/>
      <c r="CO836" s="626"/>
      <c r="CP836" s="994"/>
      <c r="CQ836" s="626"/>
      <c r="CR836" s="626"/>
      <c r="CS836" s="626"/>
      <c r="CT836" s="626"/>
      <c r="CU836" s="626"/>
      <c r="CV836" s="626"/>
      <c r="CW836" s="626"/>
      <c r="CX836" s="626"/>
      <c r="CY836" s="626"/>
      <c r="CZ836" s="626"/>
      <c r="DA836" s="626"/>
      <c r="DB836" s="626"/>
      <c r="DC836" s="626"/>
      <c r="DD836" s="626"/>
      <c r="DE836" s="626"/>
      <c r="DF836" s="626"/>
      <c r="DG836" s="1893"/>
      <c r="DH836" s="632"/>
      <c r="DI836" s="595"/>
      <c r="DJ836" s="595"/>
      <c r="DK836" s="595"/>
      <c r="DL836" s="595"/>
      <c r="DM836" s="595"/>
      <c r="DN836" s="514"/>
      <c r="DO836" s="77"/>
      <c r="DY836" s="2155"/>
      <c r="DZ836" s="2155"/>
    </row>
    <row r="837" spans="1:130" ht="12" hidden="1" customHeight="1" outlineLevel="1">
      <c r="A837" s="552" t="s">
        <v>1145</v>
      </c>
      <c r="B837" s="228"/>
      <c r="C837" s="228"/>
      <c r="D837" s="625"/>
      <c r="E837" s="626"/>
      <c r="F837" s="626"/>
      <c r="G837" s="626"/>
      <c r="H837" s="788"/>
      <c r="I837" s="626"/>
      <c r="J837" s="626"/>
      <c r="K837" s="626"/>
      <c r="L837" s="626"/>
      <c r="M837" s="788"/>
      <c r="N837" s="626"/>
      <c r="O837" s="626"/>
      <c r="P837" s="626"/>
      <c r="Q837" s="626"/>
      <c r="R837" s="788"/>
      <c r="S837" s="626"/>
      <c r="T837" s="626"/>
      <c r="U837" s="626"/>
      <c r="V837" s="626"/>
      <c r="W837" s="788"/>
      <c r="X837" s="626"/>
      <c r="Y837" s="626"/>
      <c r="Z837" s="626"/>
      <c r="AA837" s="626"/>
      <c r="AB837" s="788"/>
      <c r="AC837" s="626"/>
      <c r="AD837" s="626"/>
      <c r="AE837" s="626"/>
      <c r="AF837" s="626"/>
      <c r="AG837" s="788"/>
      <c r="AH837" s="626"/>
      <c r="AI837" s="626"/>
      <c r="AJ837" s="626"/>
      <c r="AK837" s="626"/>
      <c r="AL837" s="788"/>
      <c r="AM837" s="626"/>
      <c r="AN837" s="626"/>
      <c r="AO837" s="626"/>
      <c r="AP837" s="626"/>
      <c r="AQ837" s="1950"/>
      <c r="AR837" s="626"/>
      <c r="AS837" s="626"/>
      <c r="AT837" s="626"/>
      <c r="AU837" s="626"/>
      <c r="AV837" s="1950"/>
      <c r="AW837" s="626"/>
      <c r="AX837" s="626"/>
      <c r="AY837" s="626"/>
      <c r="AZ837" s="626"/>
      <c r="BA837" s="1950"/>
      <c r="BB837" s="2725">
        <f t="shared" ref="BB837:CB837" si="1615">+BB834+BB831</f>
        <v>0</v>
      </c>
      <c r="BC837" s="1634">
        <f t="shared" si="1615"/>
        <v>0</v>
      </c>
      <c r="BD837" s="1634">
        <f t="shared" si="1615"/>
        <v>0</v>
      </c>
      <c r="BE837" s="2134">
        <f t="shared" si="1615"/>
        <v>0</v>
      </c>
      <c r="BF837" s="1950">
        <f t="shared" si="1615"/>
        <v>0</v>
      </c>
      <c r="BG837" s="2725">
        <f t="shared" si="1615"/>
        <v>0</v>
      </c>
      <c r="BH837" s="1634">
        <f t="shared" si="1615"/>
        <v>0</v>
      </c>
      <c r="BI837" s="1634">
        <f t="shared" si="1615"/>
        <v>0</v>
      </c>
      <c r="BJ837" s="2134">
        <f t="shared" si="1615"/>
        <v>0</v>
      </c>
      <c r="BK837" s="1950">
        <f t="shared" si="1615"/>
        <v>0</v>
      </c>
      <c r="BL837" s="1634">
        <f t="shared" si="1615"/>
        <v>0</v>
      </c>
      <c r="BM837" s="1634">
        <f t="shared" si="1615"/>
        <v>0</v>
      </c>
      <c r="BN837" s="1634">
        <f t="shared" si="1615"/>
        <v>0</v>
      </c>
      <c r="BO837" s="2134">
        <f t="shared" si="1615"/>
        <v>0</v>
      </c>
      <c r="BP837" s="1950">
        <f t="shared" si="1615"/>
        <v>0</v>
      </c>
      <c r="BQ837" s="1634">
        <f t="shared" ref="BQ837:BZ837" si="1616">+BQ834+BQ831</f>
        <v>6.305625</v>
      </c>
      <c r="BR837" s="1634">
        <f t="shared" si="1616"/>
        <v>6.305625</v>
      </c>
      <c r="BS837" s="1634">
        <f t="shared" si="1616"/>
        <v>6.305625</v>
      </c>
      <c r="BT837" s="2134">
        <f t="shared" si="1616"/>
        <v>6.305625</v>
      </c>
      <c r="BU837" s="3406">
        <f t="shared" si="1616"/>
        <v>25.2225</v>
      </c>
      <c r="BV837" s="1634">
        <f t="shared" si="1616"/>
        <v>14.67591075</v>
      </c>
      <c r="BW837" s="1634">
        <f t="shared" si="1616"/>
        <v>14.67591075</v>
      </c>
      <c r="BX837" s="1634">
        <f t="shared" si="1616"/>
        <v>14.67591075</v>
      </c>
      <c r="BY837" s="2134">
        <f t="shared" si="1616"/>
        <v>14.67591075</v>
      </c>
      <c r="BZ837" s="3406">
        <f t="shared" si="1616"/>
        <v>58.703643</v>
      </c>
      <c r="CA837" s="1950">
        <f t="shared" si="1615"/>
        <v>88.465588366609907</v>
      </c>
      <c r="CB837" s="1950">
        <f t="shared" si="1615"/>
        <v>108.67419811266821</v>
      </c>
      <c r="CC837" s="1950">
        <f>+CC834+CC831</f>
        <v>103.24048820703479</v>
      </c>
      <c r="CD837" s="1950">
        <f>+CD834+CD831</f>
        <v>98.078463796683039</v>
      </c>
      <c r="CE837" s="1950">
        <f>+CE834+CE831</f>
        <v>100.04003307261671</v>
      </c>
      <c r="CF837" s="1950">
        <f>+CF834+CF831</f>
        <v>102.04083373406904</v>
      </c>
      <c r="CG837" s="1950">
        <f>+CG834+CG831</f>
        <v>104.08165040875041</v>
      </c>
      <c r="CH837" s="626"/>
      <c r="CI837" s="626"/>
      <c r="CJ837" s="626"/>
      <c r="CK837" s="626"/>
      <c r="CL837" s="626"/>
      <c r="CM837" s="965"/>
      <c r="CN837" s="965">
        <f t="shared" ref="CN837:CN838" si="1617">SUM(BV837:BY837)</f>
        <v>58.703643</v>
      </c>
      <c r="CO837" s="965">
        <f t="shared" ref="CO837" si="1618">CM837-CN837</f>
        <v>-58.703643</v>
      </c>
      <c r="CP837" s="994" t="str">
        <f>A837</f>
        <v>Total OpEx</v>
      </c>
      <c r="CQ837" s="626"/>
      <c r="CR837" s="626"/>
      <c r="CS837" s="626"/>
      <c r="CT837" s="626"/>
      <c r="CU837" s="626"/>
      <c r="CV837" s="626"/>
      <c r="CW837" s="626"/>
      <c r="CX837" s="626"/>
      <c r="CY837" s="626"/>
      <c r="CZ837" s="626">
        <f>BA837</f>
        <v>0</v>
      </c>
      <c r="DA837" s="626">
        <f>BF837</f>
        <v>0</v>
      </c>
      <c r="DB837" s="626">
        <f>BK837</f>
        <v>0</v>
      </c>
      <c r="DC837" s="626">
        <f>BP837</f>
        <v>0</v>
      </c>
      <c r="DD837" s="626">
        <f>BU837</f>
        <v>25.2225</v>
      </c>
      <c r="DE837" s="626">
        <f t="shared" ref="DE837:DG838" si="1619">BZ837</f>
        <v>58.703643</v>
      </c>
      <c r="DF837" s="626">
        <f t="shared" si="1619"/>
        <v>88.465588366609907</v>
      </c>
      <c r="DG837" s="1893">
        <f t="shared" si="1619"/>
        <v>108.67419811266821</v>
      </c>
      <c r="DH837" s="632"/>
      <c r="DI837" s="595"/>
      <c r="DJ837" s="595"/>
      <c r="DK837" s="595"/>
      <c r="DL837" s="595"/>
      <c r="DM837" s="595"/>
      <c r="DN837" s="514"/>
      <c r="DO837" s="77"/>
      <c r="DY837" s="1634"/>
      <c r="DZ837" s="1634"/>
    </row>
    <row r="838" spans="1:130" ht="12" hidden="1" customHeight="1" outlineLevel="1">
      <c r="A838" s="567" t="s">
        <v>1664</v>
      </c>
      <c r="B838" s="228"/>
      <c r="C838" s="228"/>
      <c r="D838" s="625"/>
      <c r="E838" s="626"/>
      <c r="F838" s="626"/>
      <c r="G838" s="626"/>
      <c r="H838" s="788"/>
      <c r="I838" s="626"/>
      <c r="J838" s="626"/>
      <c r="K838" s="626"/>
      <c r="L838" s="626"/>
      <c r="M838" s="788"/>
      <c r="N838" s="626"/>
      <c r="O838" s="626"/>
      <c r="P838" s="626"/>
      <c r="Q838" s="626"/>
      <c r="R838" s="788"/>
      <c r="S838" s="626"/>
      <c r="T838" s="626"/>
      <c r="U838" s="626"/>
      <c r="V838" s="626"/>
      <c r="W838" s="788"/>
      <c r="X838" s="626"/>
      <c r="Y838" s="626"/>
      <c r="Z838" s="626"/>
      <c r="AA838" s="626"/>
      <c r="AB838" s="788"/>
      <c r="AC838" s="626"/>
      <c r="AD838" s="626"/>
      <c r="AE838" s="626"/>
      <c r="AF838" s="626"/>
      <c r="AG838" s="788"/>
      <c r="AH838" s="626"/>
      <c r="AI838" s="626"/>
      <c r="AJ838" s="626"/>
      <c r="AK838" s="626"/>
      <c r="AL838" s="788"/>
      <c r="AM838" s="860"/>
      <c r="AN838" s="860"/>
      <c r="AO838" s="860"/>
      <c r="AP838" s="860"/>
      <c r="AQ838" s="1975"/>
      <c r="AR838" s="860"/>
      <c r="AS838" s="860"/>
      <c r="AT838" s="860"/>
      <c r="AU838" s="860"/>
      <c r="AV838" s="1975"/>
      <c r="AW838" s="860"/>
      <c r="AX838" s="860"/>
      <c r="AY838" s="860"/>
      <c r="AZ838" s="860"/>
      <c r="BA838" s="1975"/>
      <c r="BB838" s="2726"/>
      <c r="BC838" s="769"/>
      <c r="BD838" s="769"/>
      <c r="BE838" s="2171"/>
      <c r="BF838" s="1975"/>
      <c r="BG838" s="2726"/>
      <c r="BH838" s="769"/>
      <c r="BI838" s="769"/>
      <c r="BJ838" s="2171"/>
      <c r="BK838" s="1975"/>
      <c r="BL838" s="769"/>
      <c r="BM838" s="769"/>
      <c r="BN838" s="769"/>
      <c r="BO838" s="2171"/>
      <c r="BP838" s="1975"/>
      <c r="BQ838" s="769"/>
      <c r="BR838" s="769"/>
      <c r="BS838" s="769"/>
      <c r="BT838" s="2171"/>
      <c r="BU838" s="3407"/>
      <c r="BV838" s="769"/>
      <c r="BW838" s="769"/>
      <c r="BX838" s="769"/>
      <c r="BY838" s="2171"/>
      <c r="BZ838" s="3407"/>
      <c r="CA838" s="1975">
        <f t="shared" ref="CA838:CG838" si="1620">+CA837/CA828</f>
        <v>1</v>
      </c>
      <c r="CB838" s="1975">
        <f t="shared" si="1620"/>
        <v>1</v>
      </c>
      <c r="CC838" s="1975">
        <f t="shared" si="1620"/>
        <v>1</v>
      </c>
      <c r="CD838" s="1975">
        <f t="shared" si="1620"/>
        <v>1</v>
      </c>
      <c r="CE838" s="1975">
        <f t="shared" si="1620"/>
        <v>1</v>
      </c>
      <c r="CF838" s="1975">
        <f t="shared" si="1620"/>
        <v>1</v>
      </c>
      <c r="CG838" s="1975">
        <f t="shared" si="1620"/>
        <v>1</v>
      </c>
      <c r="CH838" s="626"/>
      <c r="CI838" s="626"/>
      <c r="CJ838" s="626"/>
      <c r="CK838" s="626"/>
      <c r="CL838" s="626"/>
      <c r="CM838" s="965"/>
      <c r="CN838" s="965">
        <f t="shared" si="1617"/>
        <v>0</v>
      </c>
      <c r="CO838" s="626"/>
      <c r="CP838" s="994" t="str">
        <f>A838</f>
        <v>% of revenue</v>
      </c>
      <c r="CQ838" s="626"/>
      <c r="CR838" s="626"/>
      <c r="CS838" s="626"/>
      <c r="CT838" s="626"/>
      <c r="CU838" s="626"/>
      <c r="CV838" s="626"/>
      <c r="CW838" s="626"/>
      <c r="CX838" s="626"/>
      <c r="CY838" s="626"/>
      <c r="CZ838" s="626">
        <f>BA838</f>
        <v>0</v>
      </c>
      <c r="DA838" s="626">
        <f>BF838</f>
        <v>0</v>
      </c>
      <c r="DB838" s="626">
        <f>BK838</f>
        <v>0</v>
      </c>
      <c r="DC838" s="626">
        <f>BP838</f>
        <v>0</v>
      </c>
      <c r="DD838" s="626">
        <f>BU838</f>
        <v>0</v>
      </c>
      <c r="DE838" s="626">
        <f t="shared" si="1619"/>
        <v>0</v>
      </c>
      <c r="DF838" s="626">
        <f t="shared" si="1619"/>
        <v>1</v>
      </c>
      <c r="DG838" s="1893">
        <f t="shared" si="1619"/>
        <v>1</v>
      </c>
      <c r="DH838" s="632"/>
      <c r="DI838" s="595"/>
      <c r="DJ838" s="595"/>
      <c r="DK838" s="595"/>
      <c r="DL838" s="595"/>
      <c r="DM838" s="595"/>
      <c r="DN838" s="514"/>
      <c r="DO838" s="77"/>
      <c r="DY838" s="769"/>
      <c r="DZ838" s="769"/>
    </row>
    <row r="839" spans="1:130" ht="12" hidden="1" customHeight="1" outlineLevel="1">
      <c r="A839" s="552"/>
      <c r="B839" s="228"/>
      <c r="C839" s="228"/>
      <c r="D839" s="625"/>
      <c r="E839" s="626"/>
      <c r="F839" s="626"/>
      <c r="G839" s="626"/>
      <c r="H839" s="788"/>
      <c r="I839" s="626"/>
      <c r="J839" s="626"/>
      <c r="K839" s="626"/>
      <c r="L839" s="626"/>
      <c r="M839" s="788"/>
      <c r="N839" s="626"/>
      <c r="O839" s="626"/>
      <c r="P839" s="626"/>
      <c r="Q839" s="626"/>
      <c r="R839" s="788"/>
      <c r="S839" s="626"/>
      <c r="T839" s="626"/>
      <c r="U839" s="626"/>
      <c r="V839" s="626"/>
      <c r="W839" s="788"/>
      <c r="X839" s="626"/>
      <c r="Y839" s="626"/>
      <c r="Z839" s="626"/>
      <c r="AA839" s="626"/>
      <c r="AB839" s="788"/>
      <c r="AC839" s="626"/>
      <c r="AD839" s="626"/>
      <c r="AE839" s="626"/>
      <c r="AF839" s="626"/>
      <c r="AG839" s="788"/>
      <c r="AH839" s="626"/>
      <c r="AI839" s="626"/>
      <c r="AJ839" s="626"/>
      <c r="AK839" s="626"/>
      <c r="AL839" s="788"/>
      <c r="AM839" s="626"/>
      <c r="AN839" s="261"/>
      <c r="AO839" s="626"/>
      <c r="AP839" s="330"/>
      <c r="AQ839" s="1439"/>
      <c r="AR839" s="330"/>
      <c r="AS839" s="330"/>
      <c r="AT839" s="330"/>
      <c r="AU839" s="626"/>
      <c r="AV839" s="1439"/>
      <c r="AW839" s="626"/>
      <c r="AX839" s="261"/>
      <c r="AY839" s="626"/>
      <c r="AZ839" s="626"/>
      <c r="BA839" s="1439"/>
      <c r="BB839" s="625"/>
      <c r="BC839" s="261"/>
      <c r="BD839" s="626"/>
      <c r="BE839" s="1893"/>
      <c r="BF839" s="1439"/>
      <c r="BG839" s="678"/>
      <c r="BH839" s="330"/>
      <c r="BI839" s="330"/>
      <c r="BJ839" s="2136"/>
      <c r="BK839" s="1439"/>
      <c r="BL839" s="330"/>
      <c r="BM839" s="330"/>
      <c r="BN839" s="330"/>
      <c r="BO839" s="2136"/>
      <c r="BP839" s="1439"/>
      <c r="BQ839" s="330"/>
      <c r="BR839" s="330"/>
      <c r="BS839" s="330"/>
      <c r="BT839" s="2136"/>
      <c r="BU839" s="3406"/>
      <c r="BV839" s="330"/>
      <c r="BW839" s="330"/>
      <c r="BX839" s="330"/>
      <c r="BY839" s="2136"/>
      <c r="BZ839" s="3406"/>
      <c r="CA839" s="1439"/>
      <c r="CB839" s="1439"/>
      <c r="CC839" s="1439"/>
      <c r="CD839" s="1439"/>
      <c r="CE839" s="1439"/>
      <c r="CF839" s="1439"/>
      <c r="CG839" s="1439"/>
      <c r="CH839" s="626"/>
      <c r="CI839" s="626"/>
      <c r="CJ839" s="626"/>
      <c r="CK839" s="626"/>
      <c r="CL839" s="626"/>
      <c r="CM839" s="626"/>
      <c r="CN839" s="626"/>
      <c r="CO839" s="626"/>
      <c r="CP839" s="994"/>
      <c r="CQ839" s="626"/>
      <c r="CR839" s="626"/>
      <c r="CS839" s="626"/>
      <c r="CT839" s="626"/>
      <c r="CU839" s="626"/>
      <c r="CV839" s="626"/>
      <c r="CW839" s="626"/>
      <c r="CX839" s="626"/>
      <c r="CY839" s="626"/>
      <c r="CZ839" s="626"/>
      <c r="DA839" s="626"/>
      <c r="DB839" s="626"/>
      <c r="DC839" s="626"/>
      <c r="DD839" s="626"/>
      <c r="DE839" s="626"/>
      <c r="DF839" s="626"/>
      <c r="DG839" s="1893"/>
      <c r="DH839" s="632"/>
      <c r="DI839" s="595"/>
      <c r="DJ839" s="595"/>
      <c r="DK839" s="595"/>
      <c r="DL839" s="595"/>
      <c r="DM839" s="595"/>
      <c r="DN839" s="514"/>
      <c r="DO839" s="77"/>
      <c r="DY839" s="330"/>
      <c r="DZ839" s="330"/>
    </row>
    <row r="840" spans="1:130" ht="12" hidden="1" customHeight="1" outlineLevel="1">
      <c r="A840" s="228" t="s">
        <v>401</v>
      </c>
      <c r="B840" s="228"/>
      <c r="C840" s="228"/>
      <c r="D840" s="625"/>
      <c r="E840" s="626"/>
      <c r="F840" s="626"/>
      <c r="G840" s="626"/>
      <c r="H840" s="788"/>
      <c r="I840" s="626"/>
      <c r="J840" s="626"/>
      <c r="K840" s="626"/>
      <c r="L840" s="626"/>
      <c r="M840" s="788"/>
      <c r="N840" s="626"/>
      <c r="O840" s="626"/>
      <c r="P840" s="626"/>
      <c r="Q840" s="626"/>
      <c r="R840" s="788"/>
      <c r="S840" s="626"/>
      <c r="T840" s="626"/>
      <c r="U840" s="626"/>
      <c r="V840" s="626"/>
      <c r="W840" s="788"/>
      <c r="X840" s="626"/>
      <c r="Y840" s="626"/>
      <c r="Z840" s="626"/>
      <c r="AA840" s="626"/>
      <c r="AB840" s="788"/>
      <c r="AC840" s="626"/>
      <c r="AD840" s="626"/>
      <c r="AE840" s="626"/>
      <c r="AF840" s="626"/>
      <c r="AG840" s="788"/>
      <c r="AH840" s="626"/>
      <c r="AI840" s="626"/>
      <c r="AJ840" s="626"/>
      <c r="AK840" s="626"/>
      <c r="AL840" s="788"/>
      <c r="AM840" s="827"/>
      <c r="AN840" s="827"/>
      <c r="AO840" s="827"/>
      <c r="AP840" s="827"/>
      <c r="AQ840" s="556"/>
      <c r="AR840" s="827"/>
      <c r="AS840" s="827"/>
      <c r="AT840" s="827"/>
      <c r="AU840" s="826"/>
      <c r="AV840" s="556"/>
      <c r="AW840" s="826"/>
      <c r="AX840" s="826"/>
      <c r="AY840" s="826"/>
      <c r="AZ840" s="826"/>
      <c r="BA840" s="556"/>
      <c r="BB840" s="2731">
        <f t="shared" ref="BB840:CB840" si="1621">+BB828*BB841</f>
        <v>0</v>
      </c>
      <c r="BC840" s="826">
        <f t="shared" si="1621"/>
        <v>0</v>
      </c>
      <c r="BD840" s="826">
        <f t="shared" si="1621"/>
        <v>0</v>
      </c>
      <c r="BE840" s="1900">
        <f t="shared" si="1621"/>
        <v>0</v>
      </c>
      <c r="BF840" s="556">
        <f>+SUM(BB840:BE840)</f>
        <v>0</v>
      </c>
      <c r="BG840" s="2731">
        <f t="shared" si="1621"/>
        <v>0</v>
      </c>
      <c r="BH840" s="826">
        <f t="shared" si="1621"/>
        <v>0</v>
      </c>
      <c r="BI840" s="826">
        <f t="shared" si="1621"/>
        <v>0</v>
      </c>
      <c r="BJ840" s="1900">
        <f t="shared" si="1621"/>
        <v>0</v>
      </c>
      <c r="BK840" s="556">
        <f>+SUM(BG840:BJ840)</f>
        <v>0</v>
      </c>
      <c r="BL840" s="826">
        <f>+BL828*BL841</f>
        <v>0</v>
      </c>
      <c r="BM840" s="826">
        <f>+BM828*BM841</f>
        <v>0</v>
      </c>
      <c r="BN840" s="826">
        <f>+BN828*BN841</f>
        <v>0</v>
      </c>
      <c r="BO840" s="1900">
        <f>+BO828*BO841</f>
        <v>0</v>
      </c>
      <c r="BP840" s="556">
        <f>+SUM(BL840:BO840)</f>
        <v>0</v>
      </c>
      <c r="BQ840" s="826">
        <f>+BQ828*BQ841</f>
        <v>0.63056250000000003</v>
      </c>
      <c r="BR840" s="826">
        <f>+BR828*BR841</f>
        <v>0.63056250000000003</v>
      </c>
      <c r="BS840" s="826">
        <f>+BS828*BS841</f>
        <v>0.63056250000000003</v>
      </c>
      <c r="BT840" s="1900">
        <f>+BT828*BT841</f>
        <v>0.63056250000000003</v>
      </c>
      <c r="BU840" s="3372">
        <f>+SUM(BQ840:BT840)</f>
        <v>2.5222500000000001</v>
      </c>
      <c r="BV840" s="826">
        <f>+BV828*BV841</f>
        <v>2.2013866124999999</v>
      </c>
      <c r="BW840" s="826">
        <f>+BW828*BW841</f>
        <v>2.2013866124999999</v>
      </c>
      <c r="BX840" s="826">
        <f>+BX828*BX841</f>
        <v>2.2013866124999999</v>
      </c>
      <c r="BY840" s="1900">
        <f>+BY828*BY841</f>
        <v>2.2013866124999999</v>
      </c>
      <c r="BZ840" s="3372">
        <f>+SUM(BV840:BY840)</f>
        <v>8.8055464499999996</v>
      </c>
      <c r="CA840" s="556">
        <f t="shared" si="1621"/>
        <v>17.693117673321982</v>
      </c>
      <c r="CB840" s="556">
        <f t="shared" si="1621"/>
        <v>27.168549528167052</v>
      </c>
      <c r="CC840" s="556">
        <f>+CC828*CC841</f>
        <v>24.556689958077449</v>
      </c>
      <c r="CD840" s="556">
        <f>+CD828*CD841</f>
        <v>23.328855460173575</v>
      </c>
      <c r="CE840" s="556">
        <f>+CE828*CE841</f>
        <v>23.795432569377049</v>
      </c>
      <c r="CF840" s="556">
        <f>+CF828*CF841</f>
        <v>24.271341220764587</v>
      </c>
      <c r="CG840" s="556">
        <f>+CG828*CG841</f>
        <v>24.756768045179875</v>
      </c>
      <c r="CH840" s="626"/>
      <c r="CI840" s="626"/>
      <c r="CJ840" s="626"/>
      <c r="CK840" s="626"/>
      <c r="CL840" s="626"/>
      <c r="CM840" s="965"/>
      <c r="CN840" s="965">
        <f t="shared" ref="CN840" si="1622">SUM(BV840:BY840)</f>
        <v>8.8055464499999996</v>
      </c>
      <c r="CO840" s="965">
        <f t="shared" ref="CO840" si="1623">CM840-CN840</f>
        <v>-8.8055464499999996</v>
      </c>
      <c r="CP840" s="994" t="str">
        <f>A840</f>
        <v>EBITDA</v>
      </c>
      <c r="CQ840" s="626"/>
      <c r="CR840" s="626"/>
      <c r="CS840" s="626"/>
      <c r="CT840" s="626"/>
      <c r="CU840" s="626"/>
      <c r="CV840" s="626"/>
      <c r="CW840" s="626"/>
      <c r="CX840" s="626"/>
      <c r="CY840" s="626"/>
      <c r="CZ840" s="626">
        <f>BA840</f>
        <v>0</v>
      </c>
      <c r="DA840" s="626">
        <f>BF840</f>
        <v>0</v>
      </c>
      <c r="DB840" s="626">
        <f>BK840</f>
        <v>0</v>
      </c>
      <c r="DC840" s="626">
        <f>BP840</f>
        <v>0</v>
      </c>
      <c r="DD840" s="626">
        <f>BU840</f>
        <v>2.5222500000000001</v>
      </c>
      <c r="DE840" s="626">
        <f t="shared" ref="DE840:DG842" si="1624">BZ840</f>
        <v>8.8055464499999996</v>
      </c>
      <c r="DF840" s="626">
        <f t="shared" si="1624"/>
        <v>17.693117673321982</v>
      </c>
      <c r="DG840" s="1893">
        <f t="shared" si="1624"/>
        <v>27.168549528167052</v>
      </c>
      <c r="DH840" s="632"/>
      <c r="DI840" s="595"/>
      <c r="DJ840" s="595"/>
      <c r="DK840" s="595"/>
      <c r="DL840" s="595"/>
      <c r="DM840" s="595"/>
      <c r="DN840" s="514"/>
      <c r="DO840" s="77"/>
      <c r="DY840" s="557"/>
      <c r="DZ840" s="557"/>
    </row>
    <row r="841" spans="1:130" ht="12" hidden="1" customHeight="1" outlineLevel="1">
      <c r="A841" s="212" t="s">
        <v>56</v>
      </c>
      <c r="B841" s="228"/>
      <c r="C841" s="228"/>
      <c r="D841" s="625"/>
      <c r="E841" s="626"/>
      <c r="F841" s="626"/>
      <c r="G841" s="626"/>
      <c r="H841" s="788"/>
      <c r="I841" s="626"/>
      <c r="J841" s="626"/>
      <c r="K841" s="626"/>
      <c r="L841" s="626"/>
      <c r="M841" s="788"/>
      <c r="N841" s="626"/>
      <c r="O841" s="626"/>
      <c r="P841" s="626"/>
      <c r="Q841" s="626"/>
      <c r="R841" s="788"/>
      <c r="S841" s="626"/>
      <c r="T841" s="626"/>
      <c r="U841" s="626"/>
      <c r="V841" s="626"/>
      <c r="W841" s="788"/>
      <c r="X841" s="626"/>
      <c r="Y841" s="626"/>
      <c r="Z841" s="626"/>
      <c r="AA841" s="626"/>
      <c r="AB841" s="788"/>
      <c r="AC841" s="626"/>
      <c r="AD841" s="626"/>
      <c r="AE841" s="626"/>
      <c r="AF841" s="626"/>
      <c r="AG841" s="788"/>
      <c r="AH841" s="626"/>
      <c r="AI841" s="626"/>
      <c r="AJ841" s="626"/>
      <c r="AK841" s="626"/>
      <c r="AL841" s="788"/>
      <c r="AM841" s="573"/>
      <c r="AN841" s="573"/>
      <c r="AO841" s="573"/>
      <c r="AP841" s="573"/>
      <c r="AQ841" s="1621"/>
      <c r="AR841" s="573"/>
      <c r="AS841" s="573"/>
      <c r="AT841" s="573"/>
      <c r="AU841" s="573"/>
      <c r="AV841" s="1621"/>
      <c r="AW841" s="573"/>
      <c r="AX841" s="573"/>
      <c r="AY841" s="573"/>
      <c r="AZ841" s="573"/>
      <c r="BA841" s="550"/>
      <c r="BB841" s="607">
        <v>-0.1</v>
      </c>
      <c r="BC841" s="548">
        <v>-0.1</v>
      </c>
      <c r="BD841" s="548">
        <v>-0.1</v>
      </c>
      <c r="BE841" s="548">
        <v>-0.1</v>
      </c>
      <c r="BF841" s="562"/>
      <c r="BG841" s="607">
        <v>0.1</v>
      </c>
      <c r="BH841" s="548">
        <v>0.1</v>
      </c>
      <c r="BI841" s="548">
        <v>0.1</v>
      </c>
      <c r="BJ841" s="2812">
        <v>0.1</v>
      </c>
      <c r="BK841" s="550"/>
      <c r="BL841" s="548">
        <v>0.25</v>
      </c>
      <c r="BM841" s="548">
        <v>0.25</v>
      </c>
      <c r="BN841" s="548">
        <v>0.25</v>
      </c>
      <c r="BO841" s="2812">
        <v>0.25</v>
      </c>
      <c r="BP841" s="550"/>
      <c r="BQ841" s="548">
        <v>0.1</v>
      </c>
      <c r="BR841" s="548">
        <v>0.1</v>
      </c>
      <c r="BS841" s="548">
        <v>0.1</v>
      </c>
      <c r="BT841" s="2812">
        <v>0.1</v>
      </c>
      <c r="BU841" s="3371"/>
      <c r="BV841" s="548">
        <v>0.15</v>
      </c>
      <c r="BW841" s="548">
        <v>0.15</v>
      </c>
      <c r="BX841" s="548">
        <v>0.15</v>
      </c>
      <c r="BY841" s="2812">
        <v>0.15</v>
      </c>
      <c r="BZ841" s="3371"/>
      <c r="CA841" s="550">
        <v>0.2</v>
      </c>
      <c r="CB841" s="550">
        <v>0.25</v>
      </c>
      <c r="CC841" s="550">
        <v>0.23785910338618643</v>
      </c>
      <c r="CD841" s="550">
        <v>0.23785910338618643</v>
      </c>
      <c r="CE841" s="550">
        <v>0.23785910338618643</v>
      </c>
      <c r="CF841" s="550">
        <v>0.23785910338618643</v>
      </c>
      <c r="CG841" s="550">
        <v>0.23785910338618643</v>
      </c>
      <c r="CH841" s="626"/>
      <c r="CI841" s="626"/>
      <c r="CJ841" s="626"/>
      <c r="CK841" s="626"/>
      <c r="CL841" s="626"/>
      <c r="CM841" s="626"/>
      <c r="CN841" s="626"/>
      <c r="CO841" s="626"/>
      <c r="CP841" s="994" t="str">
        <f>A841</f>
        <v>% Margin</v>
      </c>
      <c r="CQ841" s="626"/>
      <c r="CR841" s="626"/>
      <c r="CS841" s="626"/>
      <c r="CT841" s="626"/>
      <c r="CU841" s="626"/>
      <c r="CV841" s="626"/>
      <c r="CW841" s="626"/>
      <c r="CX841" s="626"/>
      <c r="CY841" s="626"/>
      <c r="CZ841" s="626">
        <f>BA841</f>
        <v>0</v>
      </c>
      <c r="DA841" s="626">
        <f>BF841</f>
        <v>0</v>
      </c>
      <c r="DB841" s="626">
        <f>BK841</f>
        <v>0</v>
      </c>
      <c r="DC841" s="626">
        <f>BP841</f>
        <v>0</v>
      </c>
      <c r="DD841" s="626">
        <f>BU841</f>
        <v>0</v>
      </c>
      <c r="DE841" s="626">
        <f t="shared" si="1624"/>
        <v>0</v>
      </c>
      <c r="DF841" s="626">
        <f t="shared" si="1624"/>
        <v>0.2</v>
      </c>
      <c r="DG841" s="1893">
        <f t="shared" si="1624"/>
        <v>0.25</v>
      </c>
      <c r="DH841" s="632"/>
      <c r="DI841" s="595"/>
      <c r="DJ841" s="595"/>
      <c r="DK841" s="595"/>
      <c r="DL841" s="595"/>
      <c r="DM841" s="595"/>
      <c r="DN841" s="514"/>
      <c r="DO841" s="77"/>
      <c r="DY841" s="548"/>
      <c r="DZ841" s="548"/>
    </row>
    <row r="842" spans="1:130" ht="12" hidden="1" customHeight="1" outlineLevel="1">
      <c r="A842" s="567" t="s">
        <v>1153</v>
      </c>
      <c r="B842" s="228"/>
      <c r="C842" s="228"/>
      <c r="D842" s="625"/>
      <c r="E842" s="626"/>
      <c r="F842" s="626"/>
      <c r="G842" s="626"/>
      <c r="H842" s="788"/>
      <c r="I842" s="626"/>
      <c r="J842" s="626"/>
      <c r="K842" s="626"/>
      <c r="L842" s="626"/>
      <c r="M842" s="788"/>
      <c r="N842" s="626"/>
      <c r="O842" s="626"/>
      <c r="P842" s="626"/>
      <c r="Q842" s="626"/>
      <c r="R842" s="788"/>
      <c r="S842" s="626"/>
      <c r="T842" s="626"/>
      <c r="U842" s="626"/>
      <c r="V842" s="626"/>
      <c r="W842" s="788"/>
      <c r="X842" s="626"/>
      <c r="Y842" s="626"/>
      <c r="Z842" s="626"/>
      <c r="AA842" s="626"/>
      <c r="AB842" s="788"/>
      <c r="AC842" s="626"/>
      <c r="AD842" s="626"/>
      <c r="AE842" s="626"/>
      <c r="AF842" s="626"/>
      <c r="AG842" s="788"/>
      <c r="AH842" s="626"/>
      <c r="AI842" s="626"/>
      <c r="AJ842" s="626"/>
      <c r="AK842" s="626"/>
      <c r="AL842" s="788"/>
      <c r="AM842" s="626"/>
      <c r="AN842" s="261"/>
      <c r="AO842" s="626"/>
      <c r="AP842" s="330"/>
      <c r="AQ842" s="1439"/>
      <c r="AR842" s="573"/>
      <c r="AS842" s="573"/>
      <c r="AT842" s="573"/>
      <c r="AU842" s="573"/>
      <c r="AV842" s="1975"/>
      <c r="AW842" s="573"/>
      <c r="AX842" s="573"/>
      <c r="AY842" s="573"/>
      <c r="AZ842" s="573"/>
      <c r="BA842" s="1975"/>
      <c r="BB842" s="2730"/>
      <c r="BC842" s="573"/>
      <c r="BD842" s="573"/>
      <c r="BE842" s="2135"/>
      <c r="BF842" s="1975"/>
      <c r="BG842" s="2726"/>
      <c r="BH842" s="769"/>
      <c r="BI842" s="769"/>
      <c r="BJ842" s="2171"/>
      <c r="BK842" s="1621"/>
      <c r="BL842" s="769"/>
      <c r="BM842" s="769"/>
      <c r="BN842" s="769"/>
      <c r="BO842" s="2171"/>
      <c r="BP842" s="1621"/>
      <c r="BQ842" s="769"/>
      <c r="BR842" s="769"/>
      <c r="BS842" s="769"/>
      <c r="BT842" s="2171"/>
      <c r="BU842" s="3371"/>
      <c r="BV842" s="769"/>
      <c r="BW842" s="769"/>
      <c r="BX842" s="769"/>
      <c r="BY842" s="2171"/>
      <c r="BZ842" s="3371"/>
      <c r="CA842" s="1621">
        <f t="shared" ref="CA842:CG842" si="1625">+CA840/BZ840-1</f>
        <v>1.0093151258457085</v>
      </c>
      <c r="CB842" s="1621">
        <f t="shared" si="1625"/>
        <v>0.5355433694499363</v>
      </c>
      <c r="CC842" s="1621">
        <f t="shared" si="1625"/>
        <v>-9.6135407132491579E-2</v>
      </c>
      <c r="CD842" s="1621">
        <f t="shared" si="1625"/>
        <v>-5.0000000000000044E-2</v>
      </c>
      <c r="CE842" s="1621">
        <f t="shared" si="1625"/>
        <v>2.0000000000000018E-2</v>
      </c>
      <c r="CF842" s="1621">
        <f t="shared" si="1625"/>
        <v>1.9999999999999796E-2</v>
      </c>
      <c r="CG842" s="1621">
        <f t="shared" si="1625"/>
        <v>1.9999999999999796E-2</v>
      </c>
      <c r="CH842" s="626"/>
      <c r="CI842" s="626"/>
      <c r="CJ842" s="626"/>
      <c r="CK842" s="626"/>
      <c r="CL842" s="626"/>
      <c r="CM842" s="626"/>
      <c r="CN842" s="626"/>
      <c r="CO842" s="626"/>
      <c r="CP842" s="994" t="str">
        <f>A842</f>
        <v>% growth</v>
      </c>
      <c r="CQ842" s="626"/>
      <c r="CR842" s="626"/>
      <c r="CS842" s="626"/>
      <c r="CT842" s="626"/>
      <c r="CU842" s="626"/>
      <c r="CV842" s="626"/>
      <c r="CW842" s="626"/>
      <c r="CX842" s="626"/>
      <c r="CY842" s="626"/>
      <c r="CZ842" s="626">
        <f>BA842</f>
        <v>0</v>
      </c>
      <c r="DA842" s="626">
        <f>BF842</f>
        <v>0</v>
      </c>
      <c r="DB842" s="626">
        <f>BK842</f>
        <v>0</v>
      </c>
      <c r="DC842" s="626">
        <f>BP842</f>
        <v>0</v>
      </c>
      <c r="DD842" s="626">
        <f>BU842</f>
        <v>0</v>
      </c>
      <c r="DE842" s="626">
        <f t="shared" si="1624"/>
        <v>0</v>
      </c>
      <c r="DF842" s="626">
        <f t="shared" si="1624"/>
        <v>1.0093151258457085</v>
      </c>
      <c r="DG842" s="1893">
        <f t="shared" si="1624"/>
        <v>0.5355433694499363</v>
      </c>
      <c r="DH842" s="632"/>
      <c r="DI842" s="595"/>
      <c r="DJ842" s="595"/>
      <c r="DK842" s="595"/>
      <c r="DL842" s="595"/>
      <c r="DM842" s="595"/>
      <c r="DN842" s="514"/>
      <c r="DO842" s="77"/>
      <c r="DY842" s="573"/>
      <c r="DZ842" s="573"/>
    </row>
    <row r="843" spans="1:130" ht="12" hidden="1" customHeight="1" outlineLevel="1">
      <c r="A843" s="552"/>
      <c r="B843" s="228"/>
      <c r="C843" s="228"/>
      <c r="D843" s="625"/>
      <c r="E843" s="626"/>
      <c r="F843" s="626"/>
      <c r="G843" s="626"/>
      <c r="H843" s="788"/>
      <c r="I843" s="626"/>
      <c r="J843" s="626"/>
      <c r="K843" s="626"/>
      <c r="L843" s="626"/>
      <c r="M843" s="788"/>
      <c r="N843" s="626"/>
      <c r="O843" s="626"/>
      <c r="P843" s="626"/>
      <c r="Q843" s="626"/>
      <c r="R843" s="788"/>
      <c r="S843" s="626"/>
      <c r="T843" s="626"/>
      <c r="U843" s="626"/>
      <c r="V843" s="626"/>
      <c r="W843" s="788"/>
      <c r="X843" s="626"/>
      <c r="Y843" s="626"/>
      <c r="Z843" s="626"/>
      <c r="AA843" s="626"/>
      <c r="AB843" s="788"/>
      <c r="AC843" s="626"/>
      <c r="AD843" s="626"/>
      <c r="AE843" s="626"/>
      <c r="AF843" s="626"/>
      <c r="AG843" s="788"/>
      <c r="AH843" s="626"/>
      <c r="AI843" s="626"/>
      <c r="AJ843" s="626"/>
      <c r="AK843" s="626"/>
      <c r="AL843" s="788"/>
      <c r="AM843" s="626"/>
      <c r="AN843" s="261"/>
      <c r="AO843" s="626"/>
      <c r="AP843" s="330"/>
      <c r="AQ843" s="1439"/>
      <c r="AR843" s="330"/>
      <c r="AS843" s="330"/>
      <c r="AT843" s="330"/>
      <c r="AU843" s="626"/>
      <c r="AV843" s="1951"/>
      <c r="AW843" s="626"/>
      <c r="AX843" s="261"/>
      <c r="AY843" s="626"/>
      <c r="AZ843" s="626"/>
      <c r="BA843" s="1439"/>
      <c r="BB843" s="625"/>
      <c r="BC843" s="261"/>
      <c r="BD843" s="626"/>
      <c r="BE843" s="1893"/>
      <c r="BF843" s="1439"/>
      <c r="BG843" s="678"/>
      <c r="BH843" s="330"/>
      <c r="BI843" s="330"/>
      <c r="BJ843" s="2136"/>
      <c r="BK843" s="1439"/>
      <c r="BL843" s="330"/>
      <c r="BM843" s="330"/>
      <c r="BN843" s="330"/>
      <c r="BO843" s="2136"/>
      <c r="BP843" s="1439"/>
      <c r="BQ843" s="330"/>
      <c r="BR843" s="330"/>
      <c r="BS843" s="330"/>
      <c r="BT843" s="2136"/>
      <c r="BU843" s="3406"/>
      <c r="BV843" s="330"/>
      <c r="BW843" s="330"/>
      <c r="BX843" s="330"/>
      <c r="BY843" s="2136"/>
      <c r="BZ843" s="3406"/>
      <c r="CA843" s="1439"/>
      <c r="CB843" s="1439"/>
      <c r="CC843" s="1439"/>
      <c r="CD843" s="1439"/>
      <c r="CE843" s="1439"/>
      <c r="CF843" s="1439"/>
      <c r="CG843" s="1439"/>
      <c r="CH843" s="626"/>
      <c r="CI843" s="626"/>
      <c r="CJ843" s="626"/>
      <c r="CK843" s="626"/>
      <c r="CL843" s="626"/>
      <c r="CM843" s="626"/>
      <c r="CN843" s="626"/>
      <c r="CO843" s="626"/>
      <c r="CP843" s="994"/>
      <c r="CQ843" s="626"/>
      <c r="CR843" s="626"/>
      <c r="CS843" s="626"/>
      <c r="CT843" s="626"/>
      <c r="CU843" s="626"/>
      <c r="CV843" s="626"/>
      <c r="CW843" s="626"/>
      <c r="CX843" s="626"/>
      <c r="CY843" s="626"/>
      <c r="CZ843" s="626"/>
      <c r="DA843" s="626"/>
      <c r="DB843" s="626"/>
      <c r="DC843" s="626"/>
      <c r="DD843" s="626"/>
      <c r="DE843" s="626"/>
      <c r="DF843" s="626"/>
      <c r="DG843" s="1893"/>
      <c r="DH843" s="632"/>
      <c r="DI843" s="595"/>
      <c r="DJ843" s="595"/>
      <c r="DK843" s="595"/>
      <c r="DL843" s="595"/>
      <c r="DM843" s="595"/>
      <c r="DN843" s="514"/>
      <c r="DO843" s="77"/>
      <c r="DY843" s="330"/>
      <c r="DZ843" s="330"/>
    </row>
    <row r="844" spans="1:130" ht="12" hidden="1" customHeight="1" outlineLevel="1">
      <c r="A844" s="708" t="s">
        <v>1333</v>
      </c>
      <c r="B844" s="228"/>
      <c r="C844" s="228"/>
      <c r="D844" s="625"/>
      <c r="E844" s="626"/>
      <c r="F844" s="626"/>
      <c r="G844" s="626"/>
      <c r="H844" s="788"/>
      <c r="I844" s="626"/>
      <c r="J844" s="626"/>
      <c r="K844" s="626"/>
      <c r="L844" s="626"/>
      <c r="M844" s="788"/>
      <c r="N844" s="626"/>
      <c r="O844" s="626"/>
      <c r="P844" s="626"/>
      <c r="Q844" s="626"/>
      <c r="R844" s="788"/>
      <c r="S844" s="626"/>
      <c r="T844" s="626"/>
      <c r="U844" s="626"/>
      <c r="V844" s="626"/>
      <c r="W844" s="788"/>
      <c r="X844" s="626"/>
      <c r="Y844" s="626"/>
      <c r="Z844" s="626"/>
      <c r="AA844" s="626"/>
      <c r="AB844" s="788"/>
      <c r="AC844" s="626"/>
      <c r="AD844" s="626"/>
      <c r="AE844" s="626"/>
      <c r="AF844" s="626"/>
      <c r="AG844" s="788"/>
      <c r="AH844" s="626"/>
      <c r="AI844" s="626"/>
      <c r="AJ844" s="626"/>
      <c r="AK844" s="626"/>
      <c r="AL844" s="788"/>
      <c r="AM844" s="626"/>
      <c r="AN844" s="261"/>
      <c r="AO844" s="626"/>
      <c r="AP844" s="330"/>
      <c r="AQ844" s="1439"/>
      <c r="AR844" s="330"/>
      <c r="AS844" s="330"/>
      <c r="AT844" s="330"/>
      <c r="AU844" s="626"/>
      <c r="AV844" s="1951"/>
      <c r="AW844" s="626"/>
      <c r="AX844" s="261"/>
      <c r="AY844" s="626"/>
      <c r="AZ844" s="626"/>
      <c r="BA844" s="1439"/>
      <c r="BB844" s="625"/>
      <c r="BC844" s="261"/>
      <c r="BD844" s="626"/>
      <c r="BE844" s="1893"/>
      <c r="BF844" s="1439"/>
      <c r="BG844" s="678"/>
      <c r="BH844" s="330"/>
      <c r="BI844" s="330"/>
      <c r="BJ844" s="2136"/>
      <c r="BK844" s="1439"/>
      <c r="BL844" s="330"/>
      <c r="BM844" s="330"/>
      <c r="BN844" s="330"/>
      <c r="BO844" s="2136"/>
      <c r="BP844" s="1439"/>
      <c r="BQ844" s="330"/>
      <c r="BR844" s="330"/>
      <c r="BS844" s="330"/>
      <c r="BT844" s="2136"/>
      <c r="BU844" s="3406"/>
      <c r="BV844" s="330"/>
      <c r="BW844" s="330"/>
      <c r="BX844" s="330"/>
      <c r="BY844" s="2136"/>
      <c r="BZ844" s="3406"/>
      <c r="CA844" s="1439"/>
      <c r="CB844" s="1439"/>
      <c r="CC844" s="1439"/>
      <c r="CD844" s="1439"/>
      <c r="CE844" s="1439"/>
      <c r="CF844" s="1439"/>
      <c r="CG844" s="1439"/>
      <c r="CH844" s="626"/>
      <c r="CI844" s="626"/>
      <c r="CJ844" s="626"/>
      <c r="CK844" s="626"/>
      <c r="CL844" s="626"/>
      <c r="CM844" s="626"/>
      <c r="CN844" s="626"/>
      <c r="CO844" s="626"/>
      <c r="CP844" s="994"/>
      <c r="CQ844" s="626"/>
      <c r="CR844" s="626"/>
      <c r="CS844" s="626"/>
      <c r="CT844" s="626"/>
      <c r="CU844" s="626"/>
      <c r="CV844" s="626"/>
      <c r="CW844" s="626"/>
      <c r="CX844" s="626"/>
      <c r="CY844" s="626"/>
      <c r="CZ844" s="626"/>
      <c r="DA844" s="626"/>
      <c r="DB844" s="626"/>
      <c r="DC844" s="626"/>
      <c r="DD844" s="626"/>
      <c r="DE844" s="626"/>
      <c r="DF844" s="626"/>
      <c r="DG844" s="1893"/>
      <c r="DH844" s="632"/>
      <c r="DI844" s="595"/>
      <c r="DJ844" s="595"/>
      <c r="DK844" s="595"/>
      <c r="DL844" s="595"/>
      <c r="DM844" s="595"/>
      <c r="DN844" s="514"/>
      <c r="DO844" s="77"/>
      <c r="DY844" s="330"/>
      <c r="DZ844" s="330"/>
    </row>
    <row r="845" spans="1:130" ht="12" hidden="1" customHeight="1" outlineLevel="1">
      <c r="A845" s="2113" t="s">
        <v>1632</v>
      </c>
      <c r="B845" s="778"/>
      <c r="C845" s="778"/>
      <c r="D845" s="2114"/>
      <c r="E845" s="806"/>
      <c r="F845" s="806"/>
      <c r="G845" s="806"/>
      <c r="H845" s="805"/>
      <c r="I845" s="806"/>
      <c r="J845" s="806"/>
      <c r="K845" s="806"/>
      <c r="L845" s="806"/>
      <c r="M845" s="805"/>
      <c r="N845" s="806"/>
      <c r="O845" s="806"/>
      <c r="P845" s="806"/>
      <c r="Q845" s="806"/>
      <c r="R845" s="805"/>
      <c r="S845" s="806"/>
      <c r="T845" s="806"/>
      <c r="U845" s="806"/>
      <c r="V845" s="806"/>
      <c r="W845" s="805"/>
      <c r="X845" s="806"/>
      <c r="Y845" s="806"/>
      <c r="Z845" s="806"/>
      <c r="AA845" s="806"/>
      <c r="AB845" s="805"/>
      <c r="AC845" s="806"/>
      <c r="AD845" s="806"/>
      <c r="AE845" s="806"/>
      <c r="AF845" s="806"/>
      <c r="AG845" s="805"/>
      <c r="AH845" s="806"/>
      <c r="AI845" s="806"/>
      <c r="AJ845" s="806"/>
      <c r="AK845" s="806"/>
      <c r="AL845" s="805"/>
      <c r="AM845" s="806"/>
      <c r="AN845" s="806"/>
      <c r="AO845" s="806"/>
      <c r="AP845" s="806"/>
      <c r="AQ845" s="2118"/>
      <c r="AR845" s="806"/>
      <c r="AS845" s="806"/>
      <c r="AT845" s="806"/>
      <c r="AU845" s="806"/>
      <c r="AV845" s="2118"/>
      <c r="AW845" s="806"/>
      <c r="AX845" s="806"/>
      <c r="AY845" s="806"/>
      <c r="AZ845" s="806"/>
      <c r="BA845" s="2077"/>
      <c r="BB845" s="799">
        <v>0</v>
      </c>
      <c r="BC845" s="800">
        <v>0</v>
      </c>
      <c r="BD845" s="800">
        <v>0</v>
      </c>
      <c r="BE845" s="800">
        <v>0</v>
      </c>
      <c r="BF845" s="805">
        <f>+BF847/BF777</f>
        <v>0</v>
      </c>
      <c r="BG845" s="799">
        <v>0</v>
      </c>
      <c r="BH845" s="800">
        <v>0</v>
      </c>
      <c r="BI845" s="800">
        <v>0</v>
      </c>
      <c r="BJ845" s="2912">
        <v>0</v>
      </c>
      <c r="BK845" s="805">
        <f>+BK847/BK777</f>
        <v>0</v>
      </c>
      <c r="BL845" s="800">
        <v>0</v>
      </c>
      <c r="BM845" s="800">
        <v>0</v>
      </c>
      <c r="BN845" s="800">
        <v>0</v>
      </c>
      <c r="BO845" s="2912">
        <v>0</v>
      </c>
      <c r="BP845" s="805">
        <f>+BP847/BP777</f>
        <v>0</v>
      </c>
      <c r="BQ845" s="800">
        <v>0.05</v>
      </c>
      <c r="BR845" s="800">
        <v>0.05</v>
      </c>
      <c r="BS845" s="800">
        <v>0.05</v>
      </c>
      <c r="BT845" s="2912">
        <v>0.05</v>
      </c>
      <c r="BU845" s="3414">
        <f>+BU847/BU777</f>
        <v>0.05</v>
      </c>
      <c r="BV845" s="3978">
        <f>BU845</f>
        <v>0.05</v>
      </c>
      <c r="BW845" s="3978">
        <f t="shared" ref="BW845:BY845" si="1626">BV845</f>
        <v>0.05</v>
      </c>
      <c r="BX845" s="3978">
        <f t="shared" si="1626"/>
        <v>0.05</v>
      </c>
      <c r="BY845" s="3978">
        <f t="shared" si="1626"/>
        <v>0.05</v>
      </c>
      <c r="BZ845" s="3414">
        <f>+BZ847/BZ777</f>
        <v>0.05</v>
      </c>
      <c r="CA845" s="2115">
        <f t="shared" ref="CA845:CG845" si="1627">+BZ845</f>
        <v>0.05</v>
      </c>
      <c r="CB845" s="2115">
        <f t="shared" si="1627"/>
        <v>0.05</v>
      </c>
      <c r="CC845" s="2115">
        <f t="shared" si="1627"/>
        <v>0.05</v>
      </c>
      <c r="CD845" s="2115">
        <f t="shared" si="1627"/>
        <v>0.05</v>
      </c>
      <c r="CE845" s="2115">
        <f t="shared" si="1627"/>
        <v>0.05</v>
      </c>
      <c r="CF845" s="2115">
        <f t="shared" si="1627"/>
        <v>0.05</v>
      </c>
      <c r="CG845" s="2115">
        <f t="shared" si="1627"/>
        <v>0.05</v>
      </c>
      <c r="CH845" s="806"/>
      <c r="CI845" s="806"/>
      <c r="CJ845" s="806"/>
      <c r="CK845" s="806"/>
      <c r="CL845" s="806"/>
      <c r="CM845" s="806"/>
      <c r="CN845" s="806"/>
      <c r="CO845" s="806"/>
      <c r="CP845" s="2111" t="str">
        <f>A845</f>
        <v>Market Share</v>
      </c>
      <c r="CQ845" s="806"/>
      <c r="CR845" s="806"/>
      <c r="CS845" s="806"/>
      <c r="CT845" s="806"/>
      <c r="CU845" s="806"/>
      <c r="CV845" s="806"/>
      <c r="CW845" s="806"/>
      <c r="CX845" s="806"/>
      <c r="CY845" s="806"/>
      <c r="CZ845" s="806">
        <f>BA845</f>
        <v>0</v>
      </c>
      <c r="DA845" s="806">
        <f>BF845</f>
        <v>0</v>
      </c>
      <c r="DB845" s="806">
        <f>BK845</f>
        <v>0</v>
      </c>
      <c r="DC845" s="806">
        <f>BP845</f>
        <v>0</v>
      </c>
      <c r="DD845" s="806">
        <f>BU845</f>
        <v>0.05</v>
      </c>
      <c r="DE845" s="806">
        <f>BZ845</f>
        <v>0.05</v>
      </c>
      <c r="DF845" s="806">
        <f>CA845</f>
        <v>0.05</v>
      </c>
      <c r="DG845" s="2112">
        <f>CB845</f>
        <v>0.05</v>
      </c>
      <c r="DH845" s="782"/>
      <c r="DI845" s="781"/>
      <c r="DJ845" s="781"/>
      <c r="DK845" s="781"/>
      <c r="DL845" s="781"/>
      <c r="DM845" s="781"/>
      <c r="DN845" s="782"/>
      <c r="DO845" s="855"/>
      <c r="DY845" s="806"/>
      <c r="DZ845" s="806"/>
    </row>
    <row r="846" spans="1:130" ht="12" hidden="1" customHeight="1" outlineLevel="1">
      <c r="A846" s="552"/>
      <c r="B846" s="228"/>
      <c r="C846" s="228"/>
      <c r="D846" s="625"/>
      <c r="E846" s="626"/>
      <c r="F846" s="626"/>
      <c r="G846" s="626"/>
      <c r="H846" s="788"/>
      <c r="I846" s="626"/>
      <c r="J846" s="626"/>
      <c r="K846" s="626"/>
      <c r="L846" s="626"/>
      <c r="M846" s="788"/>
      <c r="N846" s="626"/>
      <c r="O846" s="626"/>
      <c r="P846" s="626"/>
      <c r="Q846" s="626"/>
      <c r="R846" s="788"/>
      <c r="S846" s="626"/>
      <c r="T846" s="626"/>
      <c r="U846" s="626"/>
      <c r="V846" s="626"/>
      <c r="W846" s="788"/>
      <c r="X846" s="626"/>
      <c r="Y846" s="626"/>
      <c r="Z846" s="626"/>
      <c r="AA846" s="626"/>
      <c r="AB846" s="788"/>
      <c r="AC846" s="626"/>
      <c r="AD846" s="626"/>
      <c r="AE846" s="626"/>
      <c r="AF846" s="626"/>
      <c r="AG846" s="788"/>
      <c r="AH846" s="626"/>
      <c r="AI846" s="626"/>
      <c r="AJ846" s="626"/>
      <c r="AK846" s="626"/>
      <c r="AL846" s="788"/>
      <c r="AM846" s="626"/>
      <c r="AN846" s="261"/>
      <c r="AO846" s="626"/>
      <c r="AP846" s="330"/>
      <c r="AQ846" s="1439"/>
      <c r="AR846" s="330"/>
      <c r="AS846" s="330"/>
      <c r="AT846" s="330"/>
      <c r="AU846" s="626"/>
      <c r="AV846" s="1951"/>
      <c r="AW846" s="626"/>
      <c r="AX846" s="261"/>
      <c r="AY846" s="626"/>
      <c r="AZ846" s="626"/>
      <c r="BA846" s="1439"/>
      <c r="BB846" s="625"/>
      <c r="BC846" s="261"/>
      <c r="BD846" s="626"/>
      <c r="BE846" s="1893"/>
      <c r="BF846" s="1439"/>
      <c r="BG846" s="678"/>
      <c r="BH846" s="330"/>
      <c r="BI846" s="330"/>
      <c r="BJ846" s="2136"/>
      <c r="BK846" s="1439"/>
      <c r="BL846" s="330"/>
      <c r="BM846" s="330"/>
      <c r="BN846" s="330"/>
      <c r="BO846" s="2136"/>
      <c r="BP846" s="1439"/>
      <c r="BQ846" s="330"/>
      <c r="BR846" s="330"/>
      <c r="BS846" s="330"/>
      <c r="BT846" s="2136"/>
      <c r="BU846" s="3406"/>
      <c r="BV846" s="330"/>
      <c r="BW846" s="330"/>
      <c r="BX846" s="330"/>
      <c r="BY846" s="2136"/>
      <c r="BZ846" s="3406"/>
      <c r="CA846" s="1439"/>
      <c r="CB846" s="1439"/>
      <c r="CC846" s="1439"/>
      <c r="CD846" s="1439"/>
      <c r="CE846" s="1439"/>
      <c r="CF846" s="1439"/>
      <c r="CG846" s="1439"/>
      <c r="CH846" s="626"/>
      <c r="CI846" s="626"/>
      <c r="CJ846" s="626"/>
      <c r="CK846" s="626"/>
      <c r="CL846" s="626"/>
      <c r="CM846" s="626"/>
      <c r="CN846" s="626"/>
      <c r="CO846" s="626"/>
      <c r="CP846" s="994"/>
      <c r="CQ846" s="626"/>
      <c r="CR846" s="626"/>
      <c r="CS846" s="626"/>
      <c r="CT846" s="626"/>
      <c r="CU846" s="626"/>
      <c r="CV846" s="626"/>
      <c r="CW846" s="626"/>
      <c r="CX846" s="626"/>
      <c r="CY846" s="626"/>
      <c r="CZ846" s="626"/>
      <c r="DA846" s="626"/>
      <c r="DB846" s="626"/>
      <c r="DC846" s="626"/>
      <c r="DD846" s="626"/>
      <c r="DE846" s="626"/>
      <c r="DF846" s="626"/>
      <c r="DG846" s="1893"/>
      <c r="DH846" s="632"/>
      <c r="DI846" s="595"/>
      <c r="DJ846" s="595"/>
      <c r="DK846" s="595"/>
      <c r="DL846" s="595"/>
      <c r="DM846" s="595"/>
      <c r="DN846" s="514"/>
      <c r="DO846" s="77"/>
      <c r="DY846" s="330"/>
      <c r="DZ846" s="330"/>
    </row>
    <row r="847" spans="1:130" ht="12" hidden="1" customHeight="1" outlineLevel="1">
      <c r="A847" s="552" t="s">
        <v>1661</v>
      </c>
      <c r="B847" s="228"/>
      <c r="C847" s="228"/>
      <c r="D847" s="625"/>
      <c r="E847" s="626"/>
      <c r="F847" s="626"/>
      <c r="G847" s="626"/>
      <c r="H847" s="788"/>
      <c r="I847" s="626"/>
      <c r="J847" s="626"/>
      <c r="K847" s="626"/>
      <c r="L847" s="626"/>
      <c r="M847" s="788"/>
      <c r="N847" s="626"/>
      <c r="O847" s="626"/>
      <c r="P847" s="626"/>
      <c r="Q847" s="626"/>
      <c r="R847" s="788"/>
      <c r="S847" s="626"/>
      <c r="T847" s="626"/>
      <c r="U847" s="626"/>
      <c r="V847" s="626"/>
      <c r="W847" s="788"/>
      <c r="X847" s="626"/>
      <c r="Y847" s="626"/>
      <c r="Z847" s="626"/>
      <c r="AA847" s="626"/>
      <c r="AB847" s="788"/>
      <c r="AC847" s="626"/>
      <c r="AD847" s="626"/>
      <c r="AE847" s="626"/>
      <c r="AF847" s="626"/>
      <c r="AG847" s="788"/>
      <c r="AH847" s="626"/>
      <c r="AI847" s="626"/>
      <c r="AJ847" s="626"/>
      <c r="AK847" s="626"/>
      <c r="AL847" s="788"/>
      <c r="AM847" s="330"/>
      <c r="AN847" s="330"/>
      <c r="AO847" s="330"/>
      <c r="AP847" s="330"/>
      <c r="AQ847" s="1950"/>
      <c r="AR847" s="330"/>
      <c r="AS847" s="330"/>
      <c r="AT847" s="330"/>
      <c r="AU847" s="330"/>
      <c r="AV847" s="1950"/>
      <c r="AW847" s="626"/>
      <c r="AX847" s="626"/>
      <c r="AY847" s="626"/>
      <c r="AZ847" s="626"/>
      <c r="BA847" s="1950"/>
      <c r="BB847" s="2725">
        <f>+BB845*BB$777</f>
        <v>0</v>
      </c>
      <c r="BC847" s="1634">
        <f>+BC845*BC$777</f>
        <v>0</v>
      </c>
      <c r="BD847" s="1634">
        <f>+BD845*BD$777</f>
        <v>0</v>
      </c>
      <c r="BE847" s="2134">
        <f>+BE845*BE$777</f>
        <v>0</v>
      </c>
      <c r="BF847" s="1950">
        <f>+SUM(BB847:BE847)</f>
        <v>0</v>
      </c>
      <c r="BG847" s="2725">
        <f>+BG845*BG$777</f>
        <v>0</v>
      </c>
      <c r="BH847" s="1634">
        <f>+BH845*BH$777</f>
        <v>0</v>
      </c>
      <c r="BI847" s="1634">
        <f>+BI845*BI$777</f>
        <v>0</v>
      </c>
      <c r="BJ847" s="2134">
        <f>+BJ845*BJ$777</f>
        <v>0</v>
      </c>
      <c r="BK847" s="1950">
        <f>+SUM(BG847:BJ847)</f>
        <v>0</v>
      </c>
      <c r="BL847" s="1634">
        <f>+BL845*BL$777</f>
        <v>0</v>
      </c>
      <c r="BM847" s="1634">
        <f>+BM845*BM$777</f>
        <v>0</v>
      </c>
      <c r="BN847" s="1634">
        <f>+BN845*BN$777</f>
        <v>0</v>
      </c>
      <c r="BO847" s="2134">
        <f>+BO845*BO$777</f>
        <v>0</v>
      </c>
      <c r="BP847" s="1950">
        <f>+SUM(BL847:BO847)</f>
        <v>0</v>
      </c>
      <c r="BQ847" s="1634">
        <f>+BQ845*BQ$777</f>
        <v>2.1018750000000002</v>
      </c>
      <c r="BR847" s="1634">
        <f>+BR845*BR$777</f>
        <v>2.1018750000000002</v>
      </c>
      <c r="BS847" s="1634">
        <f>+BS845*BS$777</f>
        <v>2.1018750000000002</v>
      </c>
      <c r="BT847" s="2134">
        <f>+BT845*BT$777</f>
        <v>2.1018750000000002</v>
      </c>
      <c r="BU847" s="3406">
        <f>+SUM(BQ847:BT847)</f>
        <v>8.4075000000000006</v>
      </c>
      <c r="BV847" s="1634">
        <f>+BV845*BV$777</f>
        <v>4.89197025</v>
      </c>
      <c r="BW847" s="1634">
        <f>+BW845*BW$777</f>
        <v>4.89197025</v>
      </c>
      <c r="BX847" s="1634">
        <f>+BX845*BX$777</f>
        <v>4.89197025</v>
      </c>
      <c r="BY847" s="2134">
        <f>+BY845*BY$777</f>
        <v>4.89197025</v>
      </c>
      <c r="BZ847" s="3406">
        <f>+SUM(BV847:BY847)</f>
        <v>19.567881</v>
      </c>
      <c r="CA847" s="1950">
        <f t="shared" ref="CA847:CG847" si="1628">+CA845*CA$777</f>
        <v>29.488529455536639</v>
      </c>
      <c r="CB847" s="1950">
        <f t="shared" si="1628"/>
        <v>36.224732704222738</v>
      </c>
      <c r="CC847" s="1950">
        <f t="shared" si="1628"/>
        <v>34.4134960690116</v>
      </c>
      <c r="CD847" s="1950">
        <f t="shared" si="1628"/>
        <v>32.692821265561015</v>
      </c>
      <c r="CE847" s="1950">
        <f t="shared" si="1628"/>
        <v>33.346677690872234</v>
      </c>
      <c r="CF847" s="1950">
        <f t="shared" si="1628"/>
        <v>34.013611244689677</v>
      </c>
      <c r="CG847" s="1950">
        <f t="shared" si="1628"/>
        <v>34.693883469583476</v>
      </c>
      <c r="CH847" s="626"/>
      <c r="CI847" s="626"/>
      <c r="CJ847" s="626"/>
      <c r="CK847" s="626"/>
      <c r="CL847" s="626"/>
      <c r="CM847" s="965"/>
      <c r="CN847" s="965">
        <f t="shared" ref="CN847" si="1629">SUM(BV847:BY847)</f>
        <v>19.567881</v>
      </c>
      <c r="CO847" s="965">
        <f t="shared" ref="CO847" si="1630">CM847-CN847</f>
        <v>-19.567881</v>
      </c>
      <c r="CP847" s="994" t="str">
        <f>A847</f>
        <v>Gaming revenue</v>
      </c>
      <c r="CQ847" s="626"/>
      <c r="CR847" s="626"/>
      <c r="CS847" s="626"/>
      <c r="CT847" s="626"/>
      <c r="CU847" s="626"/>
      <c r="CV847" s="626"/>
      <c r="CW847" s="626"/>
      <c r="CX847" s="626"/>
      <c r="CY847" s="626"/>
      <c r="CZ847" s="626">
        <f>BA847</f>
        <v>0</v>
      </c>
      <c r="DA847" s="626">
        <f>BF847</f>
        <v>0</v>
      </c>
      <c r="DB847" s="626">
        <f>BK847</f>
        <v>0</v>
      </c>
      <c r="DC847" s="626">
        <f>BP847</f>
        <v>0</v>
      </c>
      <c r="DD847" s="626">
        <f>BU847</f>
        <v>8.4075000000000006</v>
      </c>
      <c r="DE847" s="626">
        <f t="shared" ref="DE847:DG848" si="1631">BZ847</f>
        <v>19.567881</v>
      </c>
      <c r="DF847" s="626">
        <f t="shared" si="1631"/>
        <v>29.488529455536639</v>
      </c>
      <c r="DG847" s="1893">
        <f t="shared" si="1631"/>
        <v>36.224732704222738</v>
      </c>
      <c r="DH847" s="632"/>
      <c r="DI847" s="595"/>
      <c r="DJ847" s="595"/>
      <c r="DK847" s="595"/>
      <c r="DL847" s="595"/>
      <c r="DM847" s="595"/>
      <c r="DN847" s="514"/>
      <c r="DO847" s="77"/>
      <c r="DY847" s="1634"/>
      <c r="DZ847" s="1634"/>
    </row>
    <row r="848" spans="1:130" ht="12" hidden="1" customHeight="1" outlineLevel="1">
      <c r="A848" s="567" t="s">
        <v>1153</v>
      </c>
      <c r="B848" s="228"/>
      <c r="C848" s="228"/>
      <c r="D848" s="625"/>
      <c r="E848" s="626"/>
      <c r="F848" s="626"/>
      <c r="G848" s="626"/>
      <c r="H848" s="788"/>
      <c r="I848" s="626"/>
      <c r="J848" s="626"/>
      <c r="K848" s="626"/>
      <c r="L848" s="626"/>
      <c r="M848" s="788"/>
      <c r="N848" s="626"/>
      <c r="O848" s="626"/>
      <c r="P848" s="626"/>
      <c r="Q848" s="626"/>
      <c r="R848" s="788"/>
      <c r="S848" s="626"/>
      <c r="T848" s="626"/>
      <c r="U848" s="626"/>
      <c r="V848" s="626"/>
      <c r="W848" s="788"/>
      <c r="X848" s="626"/>
      <c r="Y848" s="626"/>
      <c r="Z848" s="626"/>
      <c r="AA848" s="626"/>
      <c r="AB848" s="788"/>
      <c r="AC848" s="626"/>
      <c r="AD848" s="626"/>
      <c r="AE848" s="626"/>
      <c r="AF848" s="626"/>
      <c r="AG848" s="788"/>
      <c r="AH848" s="626"/>
      <c r="AI848" s="626"/>
      <c r="AJ848" s="626"/>
      <c r="AK848" s="626"/>
      <c r="AL848" s="788"/>
      <c r="AM848" s="626"/>
      <c r="AN848" s="261"/>
      <c r="AO848" s="626"/>
      <c r="AP848" s="330"/>
      <c r="AQ848" s="1439"/>
      <c r="AR848" s="573"/>
      <c r="AS848" s="573"/>
      <c r="AT848" s="573"/>
      <c r="AU848" s="573"/>
      <c r="AV848" s="1621"/>
      <c r="AW848" s="573"/>
      <c r="AX848" s="573"/>
      <c r="AY848" s="573"/>
      <c r="AZ848" s="573"/>
      <c r="BA848" s="1621"/>
      <c r="BB848" s="2730"/>
      <c r="BC848" s="573"/>
      <c r="BD848" s="573"/>
      <c r="BE848" s="2135"/>
      <c r="BF848" s="1621"/>
      <c r="BG848" s="2730"/>
      <c r="BH848" s="573"/>
      <c r="BI848" s="573"/>
      <c r="BJ848" s="2135"/>
      <c r="BK848" s="1621"/>
      <c r="BL848" s="573"/>
      <c r="BM848" s="573"/>
      <c r="BN848" s="573"/>
      <c r="BO848" s="2135"/>
      <c r="BP848" s="1621"/>
      <c r="BQ848" s="573"/>
      <c r="BR848" s="573"/>
      <c r="BS848" s="573"/>
      <c r="BT848" s="2135"/>
      <c r="BU848" s="3371"/>
      <c r="BV848" s="573"/>
      <c r="BW848" s="573"/>
      <c r="BX848" s="573"/>
      <c r="BY848" s="2135"/>
      <c r="BZ848" s="3371"/>
      <c r="CA848" s="1621">
        <f t="shared" ref="CA848:CG848" si="1632">+CA847/BZ847-1</f>
        <v>0.50698634438428147</v>
      </c>
      <c r="CB848" s="1621">
        <f t="shared" si="1632"/>
        <v>0.228434695559949</v>
      </c>
      <c r="CC848" s="1621">
        <f t="shared" si="1632"/>
        <v>-5.0000000000000044E-2</v>
      </c>
      <c r="CD848" s="1621">
        <f t="shared" si="1632"/>
        <v>-5.0000000000000155E-2</v>
      </c>
      <c r="CE848" s="1621">
        <f t="shared" si="1632"/>
        <v>2.0000000000000018E-2</v>
      </c>
      <c r="CF848" s="1621">
        <f t="shared" si="1632"/>
        <v>2.0000000000000018E-2</v>
      </c>
      <c r="CG848" s="1621">
        <f t="shared" si="1632"/>
        <v>2.000000000000024E-2</v>
      </c>
      <c r="CH848" s="626"/>
      <c r="CI848" s="626"/>
      <c r="CJ848" s="626"/>
      <c r="CK848" s="626"/>
      <c r="CL848" s="626"/>
      <c r="CM848" s="626"/>
      <c r="CN848" s="626"/>
      <c r="CO848" s="626"/>
      <c r="CP848" s="994" t="str">
        <f>A848</f>
        <v>% growth</v>
      </c>
      <c r="CQ848" s="626"/>
      <c r="CR848" s="626"/>
      <c r="CS848" s="626"/>
      <c r="CT848" s="626"/>
      <c r="CU848" s="626"/>
      <c r="CV848" s="626"/>
      <c r="CW848" s="626"/>
      <c r="CX848" s="626"/>
      <c r="CY848" s="626"/>
      <c r="CZ848" s="626">
        <f>BA848</f>
        <v>0</v>
      </c>
      <c r="DA848" s="626">
        <f>BF848</f>
        <v>0</v>
      </c>
      <c r="DB848" s="626">
        <f>BK848</f>
        <v>0</v>
      </c>
      <c r="DC848" s="626">
        <f>BP848</f>
        <v>0</v>
      </c>
      <c r="DD848" s="626">
        <f>BU848</f>
        <v>0</v>
      </c>
      <c r="DE848" s="626">
        <f t="shared" si="1631"/>
        <v>0</v>
      </c>
      <c r="DF848" s="626">
        <f t="shared" si="1631"/>
        <v>0.50698634438428147</v>
      </c>
      <c r="DG848" s="1893">
        <f t="shared" si="1631"/>
        <v>0.228434695559949</v>
      </c>
      <c r="DH848" s="632"/>
      <c r="DI848" s="595"/>
      <c r="DJ848" s="595"/>
      <c r="DK848" s="595"/>
      <c r="DL848" s="595"/>
      <c r="DM848" s="595"/>
      <c r="DN848" s="514"/>
      <c r="DO848" s="77"/>
      <c r="DY848" s="573"/>
      <c r="DZ848" s="573"/>
    </row>
    <row r="849" spans="1:130" ht="12" hidden="1" customHeight="1" outlineLevel="1">
      <c r="A849" s="567"/>
      <c r="B849" s="228"/>
      <c r="C849" s="228"/>
      <c r="D849" s="625"/>
      <c r="E849" s="626"/>
      <c r="F849" s="626"/>
      <c r="G849" s="626"/>
      <c r="H849" s="788"/>
      <c r="I849" s="626"/>
      <c r="J849" s="626"/>
      <c r="K849" s="626"/>
      <c r="L849" s="626"/>
      <c r="M849" s="788"/>
      <c r="N849" s="626"/>
      <c r="O849" s="626"/>
      <c r="P849" s="626"/>
      <c r="Q849" s="626"/>
      <c r="R849" s="788"/>
      <c r="S849" s="626"/>
      <c r="T849" s="626"/>
      <c r="U849" s="626"/>
      <c r="V849" s="626"/>
      <c r="W849" s="788"/>
      <c r="X849" s="626"/>
      <c r="Y849" s="626"/>
      <c r="Z849" s="626"/>
      <c r="AA849" s="626"/>
      <c r="AB849" s="788"/>
      <c r="AC849" s="626"/>
      <c r="AD849" s="626"/>
      <c r="AE849" s="626"/>
      <c r="AF849" s="626"/>
      <c r="AG849" s="788"/>
      <c r="AH849" s="626"/>
      <c r="AI849" s="626"/>
      <c r="AJ849" s="626"/>
      <c r="AK849" s="626"/>
      <c r="AL849" s="788"/>
      <c r="AM849" s="626"/>
      <c r="AN849" s="261"/>
      <c r="AO849" s="626"/>
      <c r="AP849" s="330"/>
      <c r="AQ849" s="1439"/>
      <c r="AR849" s="330"/>
      <c r="AS849" s="330"/>
      <c r="AT849" s="330"/>
      <c r="AU849" s="626"/>
      <c r="AV849" s="1951"/>
      <c r="AW849" s="626"/>
      <c r="AX849" s="261"/>
      <c r="AY849" s="626"/>
      <c r="AZ849" s="626"/>
      <c r="BA849" s="1439"/>
      <c r="BB849" s="625"/>
      <c r="BC849" s="261"/>
      <c r="BD849" s="626"/>
      <c r="BE849" s="1893"/>
      <c r="BF849" s="1439"/>
      <c r="BG849" s="678"/>
      <c r="BH849" s="330"/>
      <c r="BI849" s="330"/>
      <c r="BJ849" s="2136"/>
      <c r="BK849" s="1439"/>
      <c r="BL849" s="330"/>
      <c r="BM849" s="330"/>
      <c r="BN849" s="330"/>
      <c r="BO849" s="2136"/>
      <c r="BP849" s="1439"/>
      <c r="BQ849" s="330"/>
      <c r="BR849" s="330"/>
      <c r="BS849" s="330"/>
      <c r="BT849" s="2136"/>
      <c r="BU849" s="3406"/>
      <c r="BV849" s="330"/>
      <c r="BW849" s="330"/>
      <c r="BX849" s="330"/>
      <c r="BY849" s="2136"/>
      <c r="BZ849" s="3406"/>
      <c r="CA849" s="1439"/>
      <c r="CB849" s="1439"/>
      <c r="CC849" s="1439"/>
      <c r="CD849" s="1439"/>
      <c r="CE849" s="1439"/>
      <c r="CF849" s="1439"/>
      <c r="CG849" s="1439"/>
      <c r="CH849" s="626"/>
      <c r="CI849" s="626"/>
      <c r="CJ849" s="626"/>
      <c r="CK849" s="626"/>
      <c r="CL849" s="626"/>
      <c r="CM849" s="626"/>
      <c r="CN849" s="626"/>
      <c r="CO849" s="626"/>
      <c r="CP849" s="994"/>
      <c r="CQ849" s="626"/>
      <c r="CR849" s="626"/>
      <c r="CS849" s="626"/>
      <c r="CT849" s="626"/>
      <c r="CU849" s="626"/>
      <c r="CV849" s="626"/>
      <c r="CW849" s="626"/>
      <c r="CX849" s="626"/>
      <c r="CY849" s="626"/>
      <c r="CZ849" s="626"/>
      <c r="DA849" s="626"/>
      <c r="DB849" s="626"/>
      <c r="DC849" s="626"/>
      <c r="DD849" s="626"/>
      <c r="DE849" s="626"/>
      <c r="DF849" s="626"/>
      <c r="DG849" s="1893"/>
      <c r="DH849" s="632"/>
      <c r="DI849" s="595"/>
      <c r="DJ849" s="595"/>
      <c r="DK849" s="595"/>
      <c r="DL849" s="595"/>
      <c r="DM849" s="595"/>
      <c r="DN849" s="514"/>
      <c r="DO849" s="77"/>
      <c r="DY849" s="330"/>
      <c r="DZ849" s="330"/>
    </row>
    <row r="850" spans="1:130" ht="12" hidden="1" customHeight="1" outlineLevel="1">
      <c r="A850" s="552" t="s">
        <v>1663</v>
      </c>
      <c r="B850" s="228"/>
      <c r="C850" s="228"/>
      <c r="D850" s="625"/>
      <c r="E850" s="626"/>
      <c r="F850" s="626"/>
      <c r="G850" s="626"/>
      <c r="H850" s="788"/>
      <c r="I850" s="626"/>
      <c r="J850" s="626"/>
      <c r="K850" s="626"/>
      <c r="L850" s="626"/>
      <c r="M850" s="788"/>
      <c r="N850" s="626"/>
      <c r="O850" s="626"/>
      <c r="P850" s="626"/>
      <c r="Q850" s="626"/>
      <c r="R850" s="788"/>
      <c r="S850" s="626"/>
      <c r="T850" s="626"/>
      <c r="U850" s="626"/>
      <c r="V850" s="626"/>
      <c r="W850" s="788"/>
      <c r="X850" s="626"/>
      <c r="Y850" s="626"/>
      <c r="Z850" s="626"/>
      <c r="AA850" s="626"/>
      <c r="AB850" s="788"/>
      <c r="AC850" s="626"/>
      <c r="AD850" s="626"/>
      <c r="AE850" s="626"/>
      <c r="AF850" s="626"/>
      <c r="AG850" s="788"/>
      <c r="AH850" s="626"/>
      <c r="AI850" s="626"/>
      <c r="AJ850" s="626"/>
      <c r="AK850" s="626"/>
      <c r="AL850" s="788"/>
      <c r="AM850" s="626"/>
      <c r="AN850" s="626"/>
      <c r="AO850" s="626"/>
      <c r="AP850" s="626"/>
      <c r="AQ850" s="1950"/>
      <c r="AR850" s="626"/>
      <c r="AS850" s="626"/>
      <c r="AT850" s="626"/>
      <c r="AU850" s="626"/>
      <c r="AV850" s="1950"/>
      <c r="AW850" s="626"/>
      <c r="AX850" s="626"/>
      <c r="AY850" s="626"/>
      <c r="AZ850" s="626"/>
      <c r="BA850" s="1950"/>
      <c r="BB850" s="2725">
        <f>+BB847*BB851</f>
        <v>0</v>
      </c>
      <c r="BC850" s="1634">
        <f>+BC847*BC851</f>
        <v>0</v>
      </c>
      <c r="BD850" s="1634">
        <f>+BD847*BD851</f>
        <v>0</v>
      </c>
      <c r="BE850" s="2134">
        <f>+BE847*BE851</f>
        <v>0</v>
      </c>
      <c r="BF850" s="1950">
        <f>+SUM(BB850:BE850)</f>
        <v>0</v>
      </c>
      <c r="BG850" s="2725">
        <f>+BG847*BG851</f>
        <v>0</v>
      </c>
      <c r="BH850" s="1634">
        <f>+BH847*BH851</f>
        <v>0</v>
      </c>
      <c r="BI850" s="1634">
        <f>+BI847*BI851</f>
        <v>0</v>
      </c>
      <c r="BJ850" s="2134">
        <f>+BJ847*BJ851</f>
        <v>0</v>
      </c>
      <c r="BK850" s="1950">
        <f>+SUM(BG850:BJ850)</f>
        <v>0</v>
      </c>
      <c r="BL850" s="1634">
        <f>+BL847*BL851</f>
        <v>0</v>
      </c>
      <c r="BM850" s="1634">
        <f>+BM847*BM851</f>
        <v>0</v>
      </c>
      <c r="BN850" s="1634">
        <f>+BN847*BN851</f>
        <v>0</v>
      </c>
      <c r="BO850" s="2134">
        <f>+BO847*BO851</f>
        <v>0</v>
      </c>
      <c r="BP850" s="1950">
        <f>+SUM(BL850:BO850)</f>
        <v>0</v>
      </c>
      <c r="BQ850" s="1634">
        <f>+BQ847*BQ851</f>
        <v>0.31528125000000001</v>
      </c>
      <c r="BR850" s="1634">
        <f>+BR847*BR851</f>
        <v>0.31528125000000001</v>
      </c>
      <c r="BS850" s="1634">
        <f>+BS847*BS851</f>
        <v>0.31528125000000001</v>
      </c>
      <c r="BT850" s="2134">
        <f>+BT847*BT851</f>
        <v>0.31528125000000001</v>
      </c>
      <c r="BU850" s="3406">
        <f>+SUM(BQ850:BT850)</f>
        <v>1.2611250000000001</v>
      </c>
      <c r="BV850" s="1634">
        <f>+BV847*BV851</f>
        <v>0.73379553749999993</v>
      </c>
      <c r="BW850" s="1634">
        <f>+BW847*BW851</f>
        <v>0.73379553749999993</v>
      </c>
      <c r="BX850" s="1634">
        <f>+BX847*BX851</f>
        <v>0.73379553749999993</v>
      </c>
      <c r="BY850" s="2134">
        <f>+BY847*BY851</f>
        <v>0.73379553749999993</v>
      </c>
      <c r="BZ850" s="3406">
        <f>+SUM(BV850:BY850)</f>
        <v>2.9351821499999997</v>
      </c>
      <c r="CA850" s="1950">
        <f t="shared" ref="CA850:CG850" si="1633">+CA847*CA851</f>
        <v>4.4232794183304955</v>
      </c>
      <c r="CB850" s="1950">
        <f t="shared" si="1633"/>
        <v>5.4337099056334104</v>
      </c>
      <c r="CC850" s="1950">
        <f t="shared" si="1633"/>
        <v>5.1620244103517399</v>
      </c>
      <c r="CD850" s="1950">
        <f t="shared" si="1633"/>
        <v>4.9039231898341518</v>
      </c>
      <c r="CE850" s="1950">
        <f t="shared" si="1633"/>
        <v>5.0020016536308347</v>
      </c>
      <c r="CF850" s="1950">
        <f t="shared" si="1633"/>
        <v>5.1020416867034513</v>
      </c>
      <c r="CG850" s="1950">
        <f t="shared" si="1633"/>
        <v>5.2040825204375212</v>
      </c>
      <c r="CH850" s="626"/>
      <c r="CI850" s="626"/>
      <c r="CJ850" s="626"/>
      <c r="CK850" s="626"/>
      <c r="CL850" s="626"/>
      <c r="CM850" s="965"/>
      <c r="CN850" s="965">
        <f t="shared" ref="CN850" si="1634">SUM(BV850:BY850)</f>
        <v>2.9351821499999997</v>
      </c>
      <c r="CO850" s="965">
        <f t="shared" ref="CO850" si="1635">CM850-CN850</f>
        <v>-2.9351821499999997</v>
      </c>
      <c r="CP850" s="994" t="str">
        <f>A850</f>
        <v>Gaming taxes</v>
      </c>
      <c r="CQ850" s="626"/>
      <c r="CR850" s="626"/>
      <c r="CS850" s="626"/>
      <c r="CT850" s="626"/>
      <c r="CU850" s="626"/>
      <c r="CV850" s="626"/>
      <c r="CW850" s="626"/>
      <c r="CX850" s="626"/>
      <c r="CY850" s="626"/>
      <c r="CZ850" s="626">
        <f>BA850</f>
        <v>0</v>
      </c>
      <c r="DA850" s="626">
        <f>BF850</f>
        <v>0</v>
      </c>
      <c r="DB850" s="626">
        <f>BK850</f>
        <v>0</v>
      </c>
      <c r="DC850" s="626">
        <f>BP850</f>
        <v>0</v>
      </c>
      <c r="DD850" s="626">
        <f>BU850</f>
        <v>1.2611250000000001</v>
      </c>
      <c r="DE850" s="626">
        <f t="shared" ref="DE850:DG851" si="1636">BZ850</f>
        <v>2.9351821499999997</v>
      </c>
      <c r="DF850" s="626">
        <f t="shared" si="1636"/>
        <v>4.4232794183304955</v>
      </c>
      <c r="DG850" s="1893">
        <f t="shared" si="1636"/>
        <v>5.4337099056334104</v>
      </c>
      <c r="DH850" s="632"/>
      <c r="DI850" s="595"/>
      <c r="DJ850" s="595"/>
      <c r="DK850" s="595"/>
      <c r="DL850" s="595"/>
      <c r="DM850" s="595"/>
      <c r="DN850" s="514"/>
      <c r="DO850" s="77"/>
      <c r="DY850" s="1634"/>
      <c r="DZ850" s="1634"/>
    </row>
    <row r="851" spans="1:130" ht="12" hidden="1" customHeight="1" outlineLevel="1">
      <c r="A851" s="567" t="s">
        <v>1664</v>
      </c>
      <c r="B851" s="228"/>
      <c r="C851" s="228"/>
      <c r="D851" s="625"/>
      <c r="E851" s="626"/>
      <c r="F851" s="626"/>
      <c r="G851" s="626"/>
      <c r="H851" s="788"/>
      <c r="I851" s="626"/>
      <c r="J851" s="626"/>
      <c r="K851" s="626"/>
      <c r="L851" s="626"/>
      <c r="M851" s="788"/>
      <c r="N851" s="626"/>
      <c r="O851" s="626"/>
      <c r="P851" s="626"/>
      <c r="Q851" s="626"/>
      <c r="R851" s="788"/>
      <c r="S851" s="626"/>
      <c r="T851" s="626"/>
      <c r="U851" s="626"/>
      <c r="V851" s="626"/>
      <c r="W851" s="788"/>
      <c r="X851" s="626"/>
      <c r="Y851" s="626"/>
      <c r="Z851" s="626"/>
      <c r="AA851" s="626"/>
      <c r="AB851" s="788"/>
      <c r="AC851" s="626"/>
      <c r="AD851" s="626"/>
      <c r="AE851" s="626"/>
      <c r="AF851" s="626"/>
      <c r="AG851" s="788"/>
      <c r="AH851" s="626"/>
      <c r="AI851" s="626"/>
      <c r="AJ851" s="626"/>
      <c r="AK851" s="626"/>
      <c r="AL851" s="788"/>
      <c r="AM851" s="860"/>
      <c r="AN851" s="860"/>
      <c r="AO851" s="860"/>
      <c r="AP851" s="860"/>
      <c r="AQ851" s="1975"/>
      <c r="AR851" s="860"/>
      <c r="AS851" s="860"/>
      <c r="AT851" s="860"/>
      <c r="AU851" s="860"/>
      <c r="AV851" s="1975"/>
      <c r="AW851" s="860"/>
      <c r="AX851" s="860"/>
      <c r="AY851" s="860"/>
      <c r="AZ851" s="860"/>
      <c r="BA851" s="1974"/>
      <c r="BB851" s="864">
        <v>0.15</v>
      </c>
      <c r="BC851" s="866">
        <v>0.15</v>
      </c>
      <c r="BD851" s="866">
        <v>0.15</v>
      </c>
      <c r="BE851" s="866">
        <v>0.15</v>
      </c>
      <c r="BF851" s="862"/>
      <c r="BG851" s="864">
        <v>0.15</v>
      </c>
      <c r="BH851" s="866">
        <v>0.15</v>
      </c>
      <c r="BI851" s="866">
        <v>0.15</v>
      </c>
      <c r="BJ851" s="2885">
        <v>0.15</v>
      </c>
      <c r="BK851" s="1974"/>
      <c r="BL851" s="866">
        <v>0.15</v>
      </c>
      <c r="BM851" s="866">
        <v>0.15</v>
      </c>
      <c r="BN851" s="866">
        <v>0.15</v>
      </c>
      <c r="BO851" s="2885">
        <v>0.15</v>
      </c>
      <c r="BP851" s="1974">
        <f>BO851</f>
        <v>0.15</v>
      </c>
      <c r="BQ851" s="866">
        <v>0.15</v>
      </c>
      <c r="BR851" s="866">
        <v>0.15</v>
      </c>
      <c r="BS851" s="866">
        <v>0.15</v>
      </c>
      <c r="BT851" s="2885">
        <v>0.15</v>
      </c>
      <c r="BU851" s="3407">
        <f t="shared" ref="BU851:BZ851" si="1637">BT851</f>
        <v>0.15</v>
      </c>
      <c r="BV851" s="3980">
        <f t="shared" si="1637"/>
        <v>0.15</v>
      </c>
      <c r="BW851" s="3980">
        <f t="shared" si="1637"/>
        <v>0.15</v>
      </c>
      <c r="BX851" s="3980">
        <f t="shared" si="1637"/>
        <v>0.15</v>
      </c>
      <c r="BY851" s="3981">
        <f t="shared" si="1637"/>
        <v>0.15</v>
      </c>
      <c r="BZ851" s="3407">
        <f t="shared" si="1637"/>
        <v>0.15</v>
      </c>
      <c r="CA851" s="2202">
        <f t="shared" ref="CA851:CG851" si="1638">+BZ851</f>
        <v>0.15</v>
      </c>
      <c r="CB851" s="2202">
        <f t="shared" si="1638"/>
        <v>0.15</v>
      </c>
      <c r="CC851" s="2202">
        <f t="shared" si="1638"/>
        <v>0.15</v>
      </c>
      <c r="CD851" s="2202">
        <f t="shared" si="1638"/>
        <v>0.15</v>
      </c>
      <c r="CE851" s="2202">
        <f t="shared" si="1638"/>
        <v>0.15</v>
      </c>
      <c r="CF851" s="2202">
        <f t="shared" si="1638"/>
        <v>0.15</v>
      </c>
      <c r="CG851" s="2202">
        <f t="shared" si="1638"/>
        <v>0.15</v>
      </c>
      <c r="CH851" s="626"/>
      <c r="CI851" s="626"/>
      <c r="CJ851" s="626"/>
      <c r="CK851" s="626"/>
      <c r="CL851" s="626"/>
      <c r="CM851" s="626"/>
      <c r="CN851" s="626"/>
      <c r="CO851" s="626"/>
      <c r="CP851" s="994" t="str">
        <f>A851</f>
        <v>% of revenue</v>
      </c>
      <c r="CQ851" s="626"/>
      <c r="CR851" s="626"/>
      <c r="CS851" s="626"/>
      <c r="CT851" s="626"/>
      <c r="CU851" s="626"/>
      <c r="CV851" s="626"/>
      <c r="CW851" s="626"/>
      <c r="CX851" s="626"/>
      <c r="CY851" s="626"/>
      <c r="CZ851" s="626">
        <f>BA851</f>
        <v>0</v>
      </c>
      <c r="DA851" s="626">
        <f>BF851</f>
        <v>0</v>
      </c>
      <c r="DB851" s="626">
        <f>BK851</f>
        <v>0</v>
      </c>
      <c r="DC851" s="626">
        <f>BP851</f>
        <v>0.15</v>
      </c>
      <c r="DD851" s="626">
        <f>BU851</f>
        <v>0.15</v>
      </c>
      <c r="DE851" s="626">
        <f t="shared" si="1636"/>
        <v>0.15</v>
      </c>
      <c r="DF851" s="626">
        <f t="shared" si="1636"/>
        <v>0.15</v>
      </c>
      <c r="DG851" s="1893">
        <f t="shared" si="1636"/>
        <v>0.15</v>
      </c>
      <c r="DH851" s="632"/>
      <c r="DI851" s="595"/>
      <c r="DJ851" s="595"/>
      <c r="DK851" s="595"/>
      <c r="DL851" s="595"/>
      <c r="DM851" s="595"/>
      <c r="DN851" s="514"/>
      <c r="DO851" s="77"/>
      <c r="DY851" s="866"/>
      <c r="DZ851" s="866"/>
    </row>
    <row r="852" spans="1:130" ht="3" hidden="1" customHeight="1" outlineLevel="1">
      <c r="A852" s="552"/>
      <c r="B852" s="228"/>
      <c r="C852" s="228"/>
      <c r="D852" s="625"/>
      <c r="E852" s="626"/>
      <c r="F852" s="626"/>
      <c r="G852" s="626"/>
      <c r="H852" s="788"/>
      <c r="I852" s="626"/>
      <c r="J852" s="626"/>
      <c r="K852" s="626"/>
      <c r="L852" s="626"/>
      <c r="M852" s="788"/>
      <c r="N852" s="626"/>
      <c r="O852" s="626"/>
      <c r="P852" s="626"/>
      <c r="Q852" s="626"/>
      <c r="R852" s="788"/>
      <c r="S852" s="626"/>
      <c r="T852" s="626"/>
      <c r="U852" s="626"/>
      <c r="V852" s="626"/>
      <c r="W852" s="788"/>
      <c r="X852" s="626"/>
      <c r="Y852" s="626"/>
      <c r="Z852" s="626"/>
      <c r="AA852" s="626"/>
      <c r="AB852" s="788"/>
      <c r="AC852" s="626"/>
      <c r="AD852" s="626"/>
      <c r="AE852" s="626"/>
      <c r="AF852" s="626"/>
      <c r="AG852" s="788"/>
      <c r="AH852" s="626"/>
      <c r="AI852" s="626"/>
      <c r="AJ852" s="626"/>
      <c r="AK852" s="626"/>
      <c r="AL852" s="788"/>
      <c r="AM852" s="626"/>
      <c r="AN852" s="261"/>
      <c r="AO852" s="626"/>
      <c r="AP852" s="330"/>
      <c r="AQ852" s="1439"/>
      <c r="AR852" s="330"/>
      <c r="AS852" s="330"/>
      <c r="AT852" s="330"/>
      <c r="AU852" s="626"/>
      <c r="AV852" s="1439"/>
      <c r="AW852" s="626"/>
      <c r="AX852" s="261"/>
      <c r="AY852" s="626"/>
      <c r="AZ852" s="626"/>
      <c r="BA852" s="1439"/>
      <c r="BB852" s="625"/>
      <c r="BC852" s="261"/>
      <c r="BD852" s="626"/>
      <c r="BE852" s="1893"/>
      <c r="BF852" s="1439"/>
      <c r="BG852" s="678"/>
      <c r="BH852" s="330"/>
      <c r="BI852" s="330"/>
      <c r="BJ852" s="2136"/>
      <c r="BK852" s="1439"/>
      <c r="BL852" s="330"/>
      <c r="BM852" s="330"/>
      <c r="BN852" s="330"/>
      <c r="BO852" s="2136"/>
      <c r="BP852" s="1439"/>
      <c r="BQ852" s="330"/>
      <c r="BR852" s="330"/>
      <c r="BS852" s="330"/>
      <c r="BT852" s="2136"/>
      <c r="BU852" s="3406"/>
      <c r="BV852" s="330"/>
      <c r="BW852" s="330"/>
      <c r="BX852" s="330"/>
      <c r="BY852" s="2136"/>
      <c r="BZ852" s="3406"/>
      <c r="CA852" s="1439"/>
      <c r="CB852" s="1439"/>
      <c r="CC852" s="1439"/>
      <c r="CD852" s="1439"/>
      <c r="CE852" s="1439"/>
      <c r="CF852" s="1439"/>
      <c r="CG852" s="1439"/>
      <c r="CH852" s="626"/>
      <c r="CI852" s="626"/>
      <c r="CJ852" s="626"/>
      <c r="CK852" s="626"/>
      <c r="CL852" s="626"/>
      <c r="CM852" s="626"/>
      <c r="CN852" s="626"/>
      <c r="CO852" s="626"/>
      <c r="CP852" s="994"/>
      <c r="CQ852" s="626"/>
      <c r="CR852" s="626"/>
      <c r="CS852" s="626"/>
      <c r="CT852" s="626"/>
      <c r="CU852" s="626"/>
      <c r="CV852" s="626"/>
      <c r="CW852" s="626"/>
      <c r="CX852" s="626"/>
      <c r="CY852" s="626"/>
      <c r="CZ852" s="626"/>
      <c r="DA852" s="626"/>
      <c r="DB852" s="626"/>
      <c r="DC852" s="626"/>
      <c r="DD852" s="626"/>
      <c r="DE852" s="626"/>
      <c r="DF852" s="626"/>
      <c r="DG852" s="1893"/>
      <c r="DH852" s="632"/>
      <c r="DI852" s="595"/>
      <c r="DJ852" s="595"/>
      <c r="DK852" s="595"/>
      <c r="DL852" s="595"/>
      <c r="DM852" s="595"/>
      <c r="DN852" s="514"/>
      <c r="DO852" s="77"/>
      <c r="DY852" s="330"/>
      <c r="DZ852" s="330"/>
    </row>
    <row r="853" spans="1:130" ht="12" hidden="1" customHeight="1" outlineLevel="1">
      <c r="A853" s="552" t="s">
        <v>1665</v>
      </c>
      <c r="B853" s="228"/>
      <c r="C853" s="228"/>
      <c r="D853" s="625"/>
      <c r="E853" s="626"/>
      <c r="F853" s="626"/>
      <c r="G853" s="626"/>
      <c r="H853" s="788"/>
      <c r="I853" s="626"/>
      <c r="J853" s="626"/>
      <c r="K853" s="626"/>
      <c r="L853" s="626"/>
      <c r="M853" s="788"/>
      <c r="N853" s="626"/>
      <c r="O853" s="626"/>
      <c r="P853" s="626"/>
      <c r="Q853" s="626"/>
      <c r="R853" s="788"/>
      <c r="S853" s="626"/>
      <c r="T853" s="626"/>
      <c r="U853" s="626"/>
      <c r="V853" s="626"/>
      <c r="W853" s="788"/>
      <c r="X853" s="626"/>
      <c r="Y853" s="626"/>
      <c r="Z853" s="626"/>
      <c r="AA853" s="626"/>
      <c r="AB853" s="788"/>
      <c r="AC853" s="626"/>
      <c r="AD853" s="626"/>
      <c r="AE853" s="626"/>
      <c r="AF853" s="626"/>
      <c r="AG853" s="788"/>
      <c r="AH853" s="626"/>
      <c r="AI853" s="626"/>
      <c r="AJ853" s="626"/>
      <c r="AK853" s="626"/>
      <c r="AL853" s="788"/>
      <c r="AM853" s="1976"/>
      <c r="AN853" s="1976"/>
      <c r="AO853" s="1976"/>
      <c r="AP853" s="1976"/>
      <c r="AQ853" s="1950"/>
      <c r="AR853" s="1976"/>
      <c r="AS853" s="1976"/>
      <c r="AT853" s="1976"/>
      <c r="AU853" s="330"/>
      <c r="AV853" s="1950"/>
      <c r="AW853" s="330"/>
      <c r="AX853" s="330"/>
      <c r="AY853" s="330"/>
      <c r="AZ853" s="330"/>
      <c r="BA853" s="1950"/>
      <c r="BB853" s="625">
        <f t="shared" ref="BB853:CB853" si="1639">+BB847-BB850-BB859</f>
        <v>0</v>
      </c>
      <c r="BC853" s="626">
        <f t="shared" si="1639"/>
        <v>0</v>
      </c>
      <c r="BD853" s="626">
        <f t="shared" si="1639"/>
        <v>0</v>
      </c>
      <c r="BE853" s="1893">
        <f t="shared" si="1639"/>
        <v>0</v>
      </c>
      <c r="BF853" s="1950">
        <f t="shared" si="1639"/>
        <v>0</v>
      </c>
      <c r="BG853" s="625">
        <f t="shared" si="1639"/>
        <v>0</v>
      </c>
      <c r="BH853" s="626">
        <f t="shared" si="1639"/>
        <v>0</v>
      </c>
      <c r="BI853" s="626">
        <f t="shared" si="1639"/>
        <v>0</v>
      </c>
      <c r="BJ853" s="1893">
        <f t="shared" si="1639"/>
        <v>0</v>
      </c>
      <c r="BK853" s="1950">
        <f t="shared" si="1639"/>
        <v>0</v>
      </c>
      <c r="BL853" s="626">
        <f>+BL847-BL859</f>
        <v>0</v>
      </c>
      <c r="BM853" s="626">
        <f t="shared" ref="BM853:BY853" si="1640">+BM847-BM850-BM859</f>
        <v>0</v>
      </c>
      <c r="BN853" s="626">
        <f t="shared" si="1640"/>
        <v>0</v>
      </c>
      <c r="BO853" s="1893">
        <f t="shared" si="1640"/>
        <v>0</v>
      </c>
      <c r="BP853" s="1950">
        <f t="shared" si="1640"/>
        <v>0</v>
      </c>
      <c r="BQ853" s="626">
        <f t="shared" si="1640"/>
        <v>1.4713125000000002</v>
      </c>
      <c r="BR853" s="626">
        <f t="shared" si="1640"/>
        <v>1.4713125000000002</v>
      </c>
      <c r="BS853" s="626">
        <f t="shared" si="1640"/>
        <v>1.4713125000000002</v>
      </c>
      <c r="BT853" s="1893">
        <f t="shared" si="1640"/>
        <v>1.4713125000000002</v>
      </c>
      <c r="BU853" s="3406">
        <f t="shared" si="1640"/>
        <v>5.885250000000001</v>
      </c>
      <c r="BV853" s="626">
        <f t="shared" si="1640"/>
        <v>3.1797806625000002</v>
      </c>
      <c r="BW853" s="626">
        <f t="shared" si="1640"/>
        <v>3.1797806625000002</v>
      </c>
      <c r="BX853" s="626">
        <f t="shared" si="1640"/>
        <v>3.1797806625000002</v>
      </c>
      <c r="BY853" s="1893">
        <f t="shared" si="1640"/>
        <v>3.1797806625000002</v>
      </c>
      <c r="BZ853" s="3406">
        <f t="shared" ref="BZ853" si="1641">+BZ847-BZ850-BZ859</f>
        <v>12.719122650000001</v>
      </c>
      <c r="CA853" s="1950">
        <f t="shared" si="1639"/>
        <v>17.693117673321986</v>
      </c>
      <c r="CB853" s="1950">
        <f t="shared" si="1639"/>
        <v>19.923602987322507</v>
      </c>
      <c r="CC853" s="1950">
        <f>+CC847-CC850-CC859</f>
        <v>19.345233535850127</v>
      </c>
      <c r="CD853" s="1950">
        <f>+CD847-CD850-CD859</f>
        <v>18.37797185905762</v>
      </c>
      <c r="CE853" s="1950">
        <f>+CE847-CE850-CE859</f>
        <v>18.745531296238774</v>
      </c>
      <c r="CF853" s="1950">
        <f>+CF847-CF850-CF859</f>
        <v>19.120441922163547</v>
      </c>
      <c r="CG853" s="1950">
        <f>+CG847-CG850-CG859</f>
        <v>19.502850760606822</v>
      </c>
      <c r="CH853" s="626"/>
      <c r="CI853" s="626"/>
      <c r="CJ853" s="626"/>
      <c r="CK853" s="626"/>
      <c r="CL853" s="626"/>
      <c r="CM853" s="965"/>
      <c r="CN853" s="965">
        <f t="shared" ref="CN853" si="1642">SUM(BV853:BY853)</f>
        <v>12.719122650000001</v>
      </c>
      <c r="CO853" s="965">
        <f t="shared" ref="CO853" si="1643">CM853-CN853</f>
        <v>-12.719122650000001</v>
      </c>
      <c r="CP853" s="994" t="str">
        <f>A853</f>
        <v>Other OpEx</v>
      </c>
      <c r="CQ853" s="626"/>
      <c r="CR853" s="626"/>
      <c r="CS853" s="626"/>
      <c r="CT853" s="626"/>
      <c r="CU853" s="626"/>
      <c r="CV853" s="626"/>
      <c r="CW853" s="626"/>
      <c r="CX853" s="626"/>
      <c r="CY853" s="626"/>
      <c r="CZ853" s="626">
        <f>BA853</f>
        <v>0</v>
      </c>
      <c r="DA853" s="626">
        <f>BF853</f>
        <v>0</v>
      </c>
      <c r="DB853" s="626">
        <f>BK853</f>
        <v>0</v>
      </c>
      <c r="DC853" s="626">
        <f>BP853</f>
        <v>0</v>
      </c>
      <c r="DD853" s="626">
        <f>BU853</f>
        <v>5.885250000000001</v>
      </c>
      <c r="DE853" s="626">
        <f t="shared" ref="DE853:DG854" si="1644">BZ853</f>
        <v>12.719122650000001</v>
      </c>
      <c r="DF853" s="626">
        <f t="shared" si="1644"/>
        <v>17.693117673321986</v>
      </c>
      <c r="DG853" s="1893">
        <f t="shared" si="1644"/>
        <v>19.923602987322507</v>
      </c>
      <c r="DH853" s="632"/>
      <c r="DI853" s="595"/>
      <c r="DJ853" s="595"/>
      <c r="DK853" s="595"/>
      <c r="DL853" s="595"/>
      <c r="DM853" s="595"/>
      <c r="DN853" s="514"/>
      <c r="DO853" s="77"/>
      <c r="DY853" s="1634"/>
      <c r="DZ853" s="1634"/>
    </row>
    <row r="854" spans="1:130" ht="12" hidden="1" customHeight="1" outlineLevel="1">
      <c r="A854" s="567" t="s">
        <v>1664</v>
      </c>
      <c r="B854" s="228"/>
      <c r="C854" s="228"/>
      <c r="D854" s="625"/>
      <c r="E854" s="626"/>
      <c r="F854" s="626"/>
      <c r="G854" s="626"/>
      <c r="H854" s="788"/>
      <c r="I854" s="626"/>
      <c r="J854" s="626"/>
      <c r="K854" s="626"/>
      <c r="L854" s="626"/>
      <c r="M854" s="788"/>
      <c r="N854" s="626"/>
      <c r="O854" s="626"/>
      <c r="P854" s="626"/>
      <c r="Q854" s="626"/>
      <c r="R854" s="788"/>
      <c r="S854" s="626"/>
      <c r="T854" s="626"/>
      <c r="U854" s="626"/>
      <c r="V854" s="626"/>
      <c r="W854" s="788"/>
      <c r="X854" s="626"/>
      <c r="Y854" s="626"/>
      <c r="Z854" s="626"/>
      <c r="AA854" s="626"/>
      <c r="AB854" s="788"/>
      <c r="AC854" s="626"/>
      <c r="AD854" s="626"/>
      <c r="AE854" s="626"/>
      <c r="AF854" s="626"/>
      <c r="AG854" s="788"/>
      <c r="AH854" s="626"/>
      <c r="AI854" s="626"/>
      <c r="AJ854" s="626"/>
      <c r="AK854" s="626"/>
      <c r="AL854" s="788"/>
      <c r="AM854" s="860"/>
      <c r="AN854" s="860"/>
      <c r="AO854" s="860"/>
      <c r="AP854" s="860"/>
      <c r="AQ854" s="1975"/>
      <c r="AR854" s="860"/>
      <c r="AS854" s="860"/>
      <c r="AT854" s="860"/>
      <c r="AU854" s="860"/>
      <c r="AV854" s="1975"/>
      <c r="AW854" s="860"/>
      <c r="AX854" s="860"/>
      <c r="AY854" s="860"/>
      <c r="AZ854" s="860"/>
      <c r="BA854" s="1975"/>
      <c r="BB854" s="861"/>
      <c r="BC854" s="860"/>
      <c r="BD854" s="860"/>
      <c r="BE854" s="1295"/>
      <c r="BF854" s="1975"/>
      <c r="BG854" s="2726"/>
      <c r="BH854" s="769"/>
      <c r="BI854" s="769"/>
      <c r="BJ854" s="2171"/>
      <c r="BK854" s="1975"/>
      <c r="BL854" s="769"/>
      <c r="BM854" s="769"/>
      <c r="BN854" s="769"/>
      <c r="BO854" s="2171"/>
      <c r="BP854" s="1975"/>
      <c r="BQ854" s="769"/>
      <c r="BR854" s="769"/>
      <c r="BS854" s="769"/>
      <c r="BT854" s="2171"/>
      <c r="BU854" s="3407"/>
      <c r="BV854" s="769"/>
      <c r="BW854" s="769"/>
      <c r="BX854" s="769"/>
      <c r="BY854" s="2171"/>
      <c r="BZ854" s="3407"/>
      <c r="CA854" s="1975">
        <f t="shared" ref="CA854:CG854" si="1645">+CA853/CA847</f>
        <v>0.60000000000000009</v>
      </c>
      <c r="CB854" s="1975">
        <f t="shared" si="1645"/>
        <v>0.55000000000000004</v>
      </c>
      <c r="CC854" s="1975">
        <f t="shared" si="1645"/>
        <v>0.5621408966138135</v>
      </c>
      <c r="CD854" s="1975">
        <f t="shared" si="1645"/>
        <v>0.56214089661381361</v>
      </c>
      <c r="CE854" s="1975">
        <f t="shared" si="1645"/>
        <v>0.56214089661381361</v>
      </c>
      <c r="CF854" s="1975">
        <f t="shared" si="1645"/>
        <v>0.56214089661381361</v>
      </c>
      <c r="CG854" s="1975">
        <f t="shared" si="1645"/>
        <v>0.56214089661381361</v>
      </c>
      <c r="CH854" s="626"/>
      <c r="CI854" s="626"/>
      <c r="CJ854" s="626"/>
      <c r="CK854" s="626"/>
      <c r="CL854" s="626"/>
      <c r="CM854" s="626"/>
      <c r="CN854" s="626"/>
      <c r="CO854" s="626"/>
      <c r="CP854" s="994" t="str">
        <f>A854</f>
        <v>% of revenue</v>
      </c>
      <c r="CQ854" s="626"/>
      <c r="CR854" s="626"/>
      <c r="CS854" s="626"/>
      <c r="CT854" s="626"/>
      <c r="CU854" s="626"/>
      <c r="CV854" s="626"/>
      <c r="CW854" s="626"/>
      <c r="CX854" s="626"/>
      <c r="CY854" s="626"/>
      <c r="CZ854" s="626">
        <f>BA854</f>
        <v>0</v>
      </c>
      <c r="DA854" s="626">
        <f>BF854</f>
        <v>0</v>
      </c>
      <c r="DB854" s="626">
        <f>BK854</f>
        <v>0</v>
      </c>
      <c r="DC854" s="626">
        <f>BP854</f>
        <v>0</v>
      </c>
      <c r="DD854" s="626">
        <f>BU854</f>
        <v>0</v>
      </c>
      <c r="DE854" s="626">
        <f t="shared" si="1644"/>
        <v>0</v>
      </c>
      <c r="DF854" s="626">
        <f t="shared" si="1644"/>
        <v>0.60000000000000009</v>
      </c>
      <c r="DG854" s="1893">
        <f t="shared" si="1644"/>
        <v>0.55000000000000004</v>
      </c>
      <c r="DH854" s="632"/>
      <c r="DI854" s="595"/>
      <c r="DJ854" s="595"/>
      <c r="DK854" s="595"/>
      <c r="DL854" s="595"/>
      <c r="DM854" s="595"/>
      <c r="DN854" s="514"/>
      <c r="DO854" s="77"/>
      <c r="DY854" s="769"/>
      <c r="DZ854" s="769"/>
    </row>
    <row r="855" spans="1:130" ht="3.95" hidden="1" customHeight="1" outlineLevel="1">
      <c r="A855" s="552"/>
      <c r="B855" s="228"/>
      <c r="C855" s="228"/>
      <c r="D855" s="625"/>
      <c r="E855" s="626"/>
      <c r="F855" s="626"/>
      <c r="G855" s="626"/>
      <c r="H855" s="788"/>
      <c r="I855" s="626"/>
      <c r="J855" s="626"/>
      <c r="K855" s="626"/>
      <c r="L855" s="626"/>
      <c r="M855" s="788"/>
      <c r="N855" s="626"/>
      <c r="O855" s="626"/>
      <c r="P855" s="626"/>
      <c r="Q855" s="626"/>
      <c r="R855" s="788"/>
      <c r="S855" s="626"/>
      <c r="T855" s="626"/>
      <c r="U855" s="626"/>
      <c r="V855" s="626"/>
      <c r="W855" s="788"/>
      <c r="X855" s="626"/>
      <c r="Y855" s="626"/>
      <c r="Z855" s="626"/>
      <c r="AA855" s="626"/>
      <c r="AB855" s="788"/>
      <c r="AC855" s="626"/>
      <c r="AD855" s="626"/>
      <c r="AE855" s="626"/>
      <c r="AF855" s="626"/>
      <c r="AG855" s="788"/>
      <c r="AH855" s="626"/>
      <c r="AI855" s="626"/>
      <c r="AJ855" s="626"/>
      <c r="AK855" s="626"/>
      <c r="AL855" s="788"/>
      <c r="AM855" s="626"/>
      <c r="AN855" s="261"/>
      <c r="AO855" s="626"/>
      <c r="AP855" s="330"/>
      <c r="AQ855" s="1439"/>
      <c r="AR855" s="330"/>
      <c r="AS855" s="330"/>
      <c r="AT855" s="330"/>
      <c r="AU855" s="626"/>
      <c r="AV855" s="1951"/>
      <c r="AW855" s="626"/>
      <c r="AX855" s="261"/>
      <c r="AY855" s="626"/>
      <c r="AZ855" s="626"/>
      <c r="BA855" s="2105"/>
      <c r="BB855" s="2718" t="s">
        <v>343</v>
      </c>
      <c r="BC855" s="2155" t="s">
        <v>343</v>
      </c>
      <c r="BD855" s="2155" t="s">
        <v>343</v>
      </c>
      <c r="BE855" s="2156" t="s">
        <v>343</v>
      </c>
      <c r="BF855" s="2105" t="s">
        <v>343</v>
      </c>
      <c r="BG855" s="2718" t="s">
        <v>343</v>
      </c>
      <c r="BH855" s="2155" t="s">
        <v>343</v>
      </c>
      <c r="BI855" s="2155" t="s">
        <v>343</v>
      </c>
      <c r="BJ855" s="2156" t="s">
        <v>343</v>
      </c>
      <c r="BK855" s="2105" t="s">
        <v>343</v>
      </c>
      <c r="BL855" s="2155" t="s">
        <v>343</v>
      </c>
      <c r="BM855" s="2155" t="s">
        <v>343</v>
      </c>
      <c r="BN855" s="2155" t="s">
        <v>343</v>
      </c>
      <c r="BO855" s="2156" t="s">
        <v>343</v>
      </c>
      <c r="BP855" s="2105" t="s">
        <v>343</v>
      </c>
      <c r="BQ855" s="2155" t="s">
        <v>343</v>
      </c>
      <c r="BR855" s="2155" t="s">
        <v>343</v>
      </c>
      <c r="BS855" s="2155" t="s">
        <v>343</v>
      </c>
      <c r="BT855" s="2156" t="s">
        <v>343</v>
      </c>
      <c r="BU855" s="3408" t="s">
        <v>343</v>
      </c>
      <c r="BV855" s="2155" t="s">
        <v>343</v>
      </c>
      <c r="BW855" s="2155" t="s">
        <v>343</v>
      </c>
      <c r="BX855" s="2155" t="s">
        <v>343</v>
      </c>
      <c r="BY855" s="2156" t="s">
        <v>343</v>
      </c>
      <c r="BZ855" s="3408" t="s">
        <v>343</v>
      </c>
      <c r="CA855" s="2105" t="s">
        <v>343</v>
      </c>
      <c r="CB855" s="2105" t="s">
        <v>343</v>
      </c>
      <c r="CC855" s="2105" t="s">
        <v>343</v>
      </c>
      <c r="CD855" s="2105" t="s">
        <v>343</v>
      </c>
      <c r="CE855" s="2105" t="s">
        <v>343</v>
      </c>
      <c r="CF855" s="2105" t="s">
        <v>343</v>
      </c>
      <c r="CG855" s="2105" t="s">
        <v>343</v>
      </c>
      <c r="CH855" s="626"/>
      <c r="CI855" s="626"/>
      <c r="CJ855" s="626"/>
      <c r="CK855" s="626"/>
      <c r="CL855" s="626"/>
      <c r="CM855" s="626"/>
      <c r="CN855" s="626"/>
      <c r="CO855" s="626"/>
      <c r="CP855" s="994"/>
      <c r="CQ855" s="626"/>
      <c r="CR855" s="626"/>
      <c r="CS855" s="626"/>
      <c r="CT855" s="626"/>
      <c r="CU855" s="626"/>
      <c r="CV855" s="626"/>
      <c r="CW855" s="626"/>
      <c r="CX855" s="626"/>
      <c r="CY855" s="626"/>
      <c r="CZ855" s="626"/>
      <c r="DA855" s="626"/>
      <c r="DB855" s="626"/>
      <c r="DC855" s="626"/>
      <c r="DD855" s="626"/>
      <c r="DE855" s="626"/>
      <c r="DF855" s="626"/>
      <c r="DG855" s="1893"/>
      <c r="DH855" s="632"/>
      <c r="DI855" s="595"/>
      <c r="DJ855" s="595"/>
      <c r="DK855" s="595"/>
      <c r="DL855" s="595"/>
      <c r="DM855" s="595"/>
      <c r="DN855" s="514"/>
      <c r="DO855" s="77"/>
      <c r="DY855" s="2155"/>
      <c r="DZ855" s="2155"/>
    </row>
    <row r="856" spans="1:130" ht="12" hidden="1" customHeight="1" outlineLevel="1">
      <c r="A856" s="552" t="s">
        <v>1145</v>
      </c>
      <c r="B856" s="228"/>
      <c r="C856" s="228"/>
      <c r="D856" s="625"/>
      <c r="E856" s="626"/>
      <c r="F856" s="626"/>
      <c r="G856" s="626"/>
      <c r="H856" s="788"/>
      <c r="I856" s="626"/>
      <c r="J856" s="626"/>
      <c r="K856" s="626"/>
      <c r="L856" s="626"/>
      <c r="M856" s="788"/>
      <c r="N856" s="626"/>
      <c r="O856" s="626"/>
      <c r="P856" s="626"/>
      <c r="Q856" s="626"/>
      <c r="R856" s="788"/>
      <c r="S856" s="626"/>
      <c r="T856" s="626"/>
      <c r="U856" s="626"/>
      <c r="V856" s="626"/>
      <c r="W856" s="788"/>
      <c r="X856" s="626"/>
      <c r="Y856" s="626"/>
      <c r="Z856" s="626"/>
      <c r="AA856" s="626"/>
      <c r="AB856" s="788"/>
      <c r="AC856" s="626"/>
      <c r="AD856" s="626"/>
      <c r="AE856" s="626"/>
      <c r="AF856" s="626"/>
      <c r="AG856" s="788"/>
      <c r="AH856" s="626"/>
      <c r="AI856" s="626"/>
      <c r="AJ856" s="626"/>
      <c r="AK856" s="626"/>
      <c r="AL856" s="788"/>
      <c r="AM856" s="626"/>
      <c r="AN856" s="626"/>
      <c r="AO856" s="626"/>
      <c r="AP856" s="626"/>
      <c r="AQ856" s="1950"/>
      <c r="AR856" s="626"/>
      <c r="AS856" s="626"/>
      <c r="AT856" s="626"/>
      <c r="AU856" s="626"/>
      <c r="AV856" s="1950"/>
      <c r="AW856" s="626"/>
      <c r="AX856" s="626"/>
      <c r="AY856" s="626"/>
      <c r="AZ856" s="626"/>
      <c r="BA856" s="1950"/>
      <c r="BB856" s="625">
        <f t="shared" ref="BB856:CB856" si="1646">+BB853+BB850</f>
        <v>0</v>
      </c>
      <c r="BC856" s="626">
        <f t="shared" si="1646"/>
        <v>0</v>
      </c>
      <c r="BD856" s="626">
        <f t="shared" si="1646"/>
        <v>0</v>
      </c>
      <c r="BE856" s="1893">
        <f t="shared" si="1646"/>
        <v>0</v>
      </c>
      <c r="BF856" s="1950">
        <f t="shared" si="1646"/>
        <v>0</v>
      </c>
      <c r="BG856" s="625">
        <f t="shared" si="1646"/>
        <v>0</v>
      </c>
      <c r="BH856" s="626">
        <f t="shared" si="1646"/>
        <v>0</v>
      </c>
      <c r="BI856" s="626">
        <f t="shared" si="1646"/>
        <v>0</v>
      </c>
      <c r="BJ856" s="1893">
        <f t="shared" si="1646"/>
        <v>0</v>
      </c>
      <c r="BK856" s="1950">
        <f t="shared" si="1646"/>
        <v>0</v>
      </c>
      <c r="BL856" s="626">
        <f t="shared" si="1646"/>
        <v>0</v>
      </c>
      <c r="BM856" s="626">
        <f t="shared" si="1646"/>
        <v>0</v>
      </c>
      <c r="BN856" s="626">
        <f t="shared" si="1646"/>
        <v>0</v>
      </c>
      <c r="BO856" s="1893">
        <f t="shared" si="1646"/>
        <v>0</v>
      </c>
      <c r="BP856" s="1950">
        <f t="shared" si="1646"/>
        <v>0</v>
      </c>
      <c r="BQ856" s="626">
        <f t="shared" ref="BQ856:BZ856" si="1647">+BQ853+BQ850</f>
        <v>1.7865937500000002</v>
      </c>
      <c r="BR856" s="626">
        <f t="shared" si="1647"/>
        <v>1.7865937500000002</v>
      </c>
      <c r="BS856" s="626">
        <f t="shared" si="1647"/>
        <v>1.7865937500000002</v>
      </c>
      <c r="BT856" s="1893">
        <f t="shared" si="1647"/>
        <v>1.7865937500000002</v>
      </c>
      <c r="BU856" s="3406">
        <f t="shared" si="1647"/>
        <v>7.1463750000000008</v>
      </c>
      <c r="BV856" s="626">
        <f t="shared" si="1647"/>
        <v>3.9135762000000001</v>
      </c>
      <c r="BW856" s="626">
        <f t="shared" si="1647"/>
        <v>3.9135762000000001</v>
      </c>
      <c r="BX856" s="626">
        <f t="shared" si="1647"/>
        <v>3.9135762000000001</v>
      </c>
      <c r="BY856" s="1893">
        <f t="shared" si="1647"/>
        <v>3.9135762000000001</v>
      </c>
      <c r="BZ856" s="3406">
        <f t="shared" si="1647"/>
        <v>15.6543048</v>
      </c>
      <c r="CA856" s="1950">
        <f t="shared" si="1646"/>
        <v>22.11639709165248</v>
      </c>
      <c r="CB856" s="1950">
        <f t="shared" si="1646"/>
        <v>25.357312892955918</v>
      </c>
      <c r="CC856" s="1950">
        <f>+CC853+CC850</f>
        <v>24.507257946201868</v>
      </c>
      <c r="CD856" s="1950">
        <f>+CD853+CD850</f>
        <v>23.281895048891773</v>
      </c>
      <c r="CE856" s="1950">
        <f>+CE853+CE850</f>
        <v>23.747532949869608</v>
      </c>
      <c r="CF856" s="1950">
        <f>+CF853+CF850</f>
        <v>24.222483608866998</v>
      </c>
      <c r="CG856" s="1950">
        <f>+CG853+CG850</f>
        <v>24.706933281044343</v>
      </c>
      <c r="CH856" s="626"/>
      <c r="CI856" s="626"/>
      <c r="CJ856" s="626"/>
      <c r="CK856" s="626"/>
      <c r="CL856" s="626"/>
      <c r="CM856" s="965"/>
      <c r="CN856" s="965">
        <f t="shared" ref="CN856" si="1648">SUM(BV856:BY856)</f>
        <v>15.6543048</v>
      </c>
      <c r="CO856" s="965">
        <f t="shared" ref="CO856" si="1649">CM856-CN856</f>
        <v>-15.6543048</v>
      </c>
      <c r="CP856" s="994" t="str">
        <f>A856</f>
        <v>Total OpEx</v>
      </c>
      <c r="CQ856" s="626"/>
      <c r="CR856" s="626"/>
      <c r="CS856" s="626"/>
      <c r="CT856" s="626"/>
      <c r="CU856" s="626"/>
      <c r="CV856" s="626"/>
      <c r="CW856" s="626"/>
      <c r="CX856" s="626"/>
      <c r="CY856" s="626"/>
      <c r="CZ856" s="626">
        <f>BA856</f>
        <v>0</v>
      </c>
      <c r="DA856" s="626">
        <f>BF856</f>
        <v>0</v>
      </c>
      <c r="DB856" s="626">
        <f>BK856</f>
        <v>0</v>
      </c>
      <c r="DC856" s="626">
        <f>BP856</f>
        <v>0</v>
      </c>
      <c r="DD856" s="626">
        <f>BU856</f>
        <v>7.1463750000000008</v>
      </c>
      <c r="DE856" s="626">
        <f t="shared" ref="DE856:DG857" si="1650">BZ856</f>
        <v>15.6543048</v>
      </c>
      <c r="DF856" s="626">
        <f t="shared" si="1650"/>
        <v>22.11639709165248</v>
      </c>
      <c r="DG856" s="1893">
        <f t="shared" si="1650"/>
        <v>25.357312892955918</v>
      </c>
      <c r="DH856" s="632"/>
      <c r="DI856" s="595"/>
      <c r="DJ856" s="595"/>
      <c r="DK856" s="595"/>
      <c r="DL856" s="595"/>
      <c r="DM856" s="595"/>
      <c r="DN856" s="514"/>
      <c r="DO856" s="77"/>
      <c r="DY856" s="1634"/>
      <c r="DZ856" s="1634"/>
    </row>
    <row r="857" spans="1:130" ht="12" hidden="1" customHeight="1" outlineLevel="1">
      <c r="A857" s="567" t="s">
        <v>1664</v>
      </c>
      <c r="B857" s="228"/>
      <c r="C857" s="228"/>
      <c r="D857" s="625"/>
      <c r="E857" s="626"/>
      <c r="F857" s="626"/>
      <c r="G857" s="626"/>
      <c r="H857" s="788"/>
      <c r="I857" s="626"/>
      <c r="J857" s="626"/>
      <c r="K857" s="626"/>
      <c r="L857" s="626"/>
      <c r="M857" s="788"/>
      <c r="N857" s="626"/>
      <c r="O857" s="626"/>
      <c r="P857" s="626"/>
      <c r="Q857" s="626"/>
      <c r="R857" s="788"/>
      <c r="S857" s="626"/>
      <c r="T857" s="626"/>
      <c r="U857" s="626"/>
      <c r="V857" s="626"/>
      <c r="W857" s="788"/>
      <c r="X857" s="626"/>
      <c r="Y857" s="626"/>
      <c r="Z857" s="626"/>
      <c r="AA857" s="626"/>
      <c r="AB857" s="788"/>
      <c r="AC857" s="626"/>
      <c r="AD857" s="626"/>
      <c r="AE857" s="626"/>
      <c r="AF857" s="626"/>
      <c r="AG857" s="788"/>
      <c r="AH857" s="626"/>
      <c r="AI857" s="626"/>
      <c r="AJ857" s="626"/>
      <c r="AK857" s="626"/>
      <c r="AL857" s="788"/>
      <c r="AM857" s="860"/>
      <c r="AN857" s="860"/>
      <c r="AO857" s="860"/>
      <c r="AP857" s="860"/>
      <c r="AQ857" s="1975"/>
      <c r="AR857" s="860"/>
      <c r="AS857" s="860"/>
      <c r="AT857" s="860"/>
      <c r="AU857" s="860"/>
      <c r="AV857" s="1975"/>
      <c r="AW857" s="860"/>
      <c r="AX857" s="860"/>
      <c r="AY857" s="860"/>
      <c r="AZ857" s="860"/>
      <c r="BA857" s="1975"/>
      <c r="BB857" s="861"/>
      <c r="BC857" s="860"/>
      <c r="BD857" s="860"/>
      <c r="BE857" s="1295"/>
      <c r="BF857" s="1975"/>
      <c r="BG857" s="2726"/>
      <c r="BH857" s="769"/>
      <c r="BI857" s="769"/>
      <c r="BJ857" s="2171"/>
      <c r="BK857" s="1975"/>
      <c r="BL857" s="769"/>
      <c r="BM857" s="769"/>
      <c r="BN857" s="769"/>
      <c r="BO857" s="2171"/>
      <c r="BP857" s="1975"/>
      <c r="BQ857" s="769"/>
      <c r="BR857" s="769"/>
      <c r="BS857" s="769"/>
      <c r="BT857" s="2171"/>
      <c r="BU857" s="3407"/>
      <c r="BV857" s="769"/>
      <c r="BW857" s="769"/>
      <c r="BX857" s="769"/>
      <c r="BY857" s="2171"/>
      <c r="BZ857" s="3407"/>
      <c r="CA857" s="1975">
        <f t="shared" ref="CA857:CG857" si="1651">+CA856/CA847</f>
        <v>0.75</v>
      </c>
      <c r="CB857" s="1975">
        <f t="shared" si="1651"/>
        <v>0.70000000000000007</v>
      </c>
      <c r="CC857" s="1975">
        <f t="shared" si="1651"/>
        <v>0.71214089661381352</v>
      </c>
      <c r="CD857" s="1975">
        <f t="shared" si="1651"/>
        <v>0.71214089661381352</v>
      </c>
      <c r="CE857" s="1975">
        <f t="shared" si="1651"/>
        <v>0.71214089661381363</v>
      </c>
      <c r="CF857" s="1975">
        <f t="shared" si="1651"/>
        <v>0.71214089661381352</v>
      </c>
      <c r="CG857" s="1975">
        <f t="shared" si="1651"/>
        <v>0.71214089661381363</v>
      </c>
      <c r="CH857" s="626"/>
      <c r="CI857" s="626"/>
      <c r="CJ857" s="626"/>
      <c r="CK857" s="626"/>
      <c r="CL857" s="626"/>
      <c r="CM857" s="626"/>
      <c r="CN857" s="626"/>
      <c r="CO857" s="626"/>
      <c r="CP857" s="994" t="str">
        <f>A857</f>
        <v>% of revenue</v>
      </c>
      <c r="CQ857" s="626"/>
      <c r="CR857" s="626"/>
      <c r="CS857" s="626"/>
      <c r="CT857" s="626"/>
      <c r="CU857" s="626"/>
      <c r="CV857" s="626"/>
      <c r="CW857" s="626"/>
      <c r="CX857" s="626"/>
      <c r="CY857" s="626"/>
      <c r="CZ857" s="626">
        <f>BA857</f>
        <v>0</v>
      </c>
      <c r="DA857" s="626">
        <f>BF857</f>
        <v>0</v>
      </c>
      <c r="DB857" s="626">
        <f>BK857</f>
        <v>0</v>
      </c>
      <c r="DC857" s="626">
        <f>BP857</f>
        <v>0</v>
      </c>
      <c r="DD857" s="626">
        <f>BU857</f>
        <v>0</v>
      </c>
      <c r="DE857" s="626">
        <f t="shared" si="1650"/>
        <v>0</v>
      </c>
      <c r="DF857" s="626">
        <f t="shared" si="1650"/>
        <v>0.75</v>
      </c>
      <c r="DG857" s="1893">
        <f t="shared" si="1650"/>
        <v>0.70000000000000007</v>
      </c>
      <c r="DH857" s="632"/>
      <c r="DI857" s="595"/>
      <c r="DJ857" s="595"/>
      <c r="DK857" s="595"/>
      <c r="DL857" s="595"/>
      <c r="DM857" s="595"/>
      <c r="DN857" s="514"/>
      <c r="DO857" s="77"/>
      <c r="DY857" s="769"/>
      <c r="DZ857" s="769"/>
    </row>
    <row r="858" spans="1:130" ht="12" hidden="1" customHeight="1" outlineLevel="1">
      <c r="A858" s="552"/>
      <c r="B858" s="228"/>
      <c r="C858" s="228"/>
      <c r="D858" s="625"/>
      <c r="E858" s="626"/>
      <c r="F858" s="626"/>
      <c r="G858" s="626"/>
      <c r="H858" s="788"/>
      <c r="I858" s="626"/>
      <c r="J858" s="626"/>
      <c r="K858" s="626"/>
      <c r="L858" s="626"/>
      <c r="M858" s="788"/>
      <c r="N858" s="626"/>
      <c r="O858" s="626"/>
      <c r="P858" s="626"/>
      <c r="Q858" s="626"/>
      <c r="R858" s="788"/>
      <c r="S858" s="626"/>
      <c r="T858" s="626"/>
      <c r="U858" s="626"/>
      <c r="V858" s="626"/>
      <c r="W858" s="788"/>
      <c r="X858" s="626"/>
      <c r="Y858" s="626"/>
      <c r="Z858" s="626"/>
      <c r="AA858" s="626"/>
      <c r="AB858" s="788"/>
      <c r="AC858" s="626"/>
      <c r="AD858" s="626"/>
      <c r="AE858" s="626"/>
      <c r="AF858" s="626"/>
      <c r="AG858" s="788"/>
      <c r="AH858" s="626"/>
      <c r="AI858" s="626"/>
      <c r="AJ858" s="626"/>
      <c r="AK858" s="626"/>
      <c r="AL858" s="788"/>
      <c r="AM858" s="626"/>
      <c r="AN858" s="261"/>
      <c r="AO858" s="626"/>
      <c r="AP858" s="330"/>
      <c r="AQ858" s="1439"/>
      <c r="AR858" s="330"/>
      <c r="AS858" s="330"/>
      <c r="AT858" s="330"/>
      <c r="AU858" s="626"/>
      <c r="AV858" s="1439"/>
      <c r="AW858" s="626"/>
      <c r="AX858" s="261"/>
      <c r="AY858" s="626"/>
      <c r="AZ858" s="626"/>
      <c r="BA858" s="1439"/>
      <c r="BB858" s="625"/>
      <c r="BC858" s="261"/>
      <c r="BD858" s="626"/>
      <c r="BE858" s="1893"/>
      <c r="BF858" s="1439"/>
      <c r="BG858" s="678"/>
      <c r="BH858" s="330"/>
      <c r="BI858" s="330"/>
      <c r="BJ858" s="2136"/>
      <c r="BK858" s="1439"/>
      <c r="BL858" s="330"/>
      <c r="BM858" s="330"/>
      <c r="BN858" s="330"/>
      <c r="BO858" s="2136"/>
      <c r="BP858" s="1439"/>
      <c r="BQ858" s="330"/>
      <c r="BR858" s="330"/>
      <c r="BS858" s="330"/>
      <c r="BT858" s="2136"/>
      <c r="BU858" s="3406"/>
      <c r="BV858" s="330"/>
      <c r="BW858" s="330"/>
      <c r="BX858" s="330"/>
      <c r="BY858" s="2136"/>
      <c r="BZ858" s="3406"/>
      <c r="CA858" s="1439"/>
      <c r="CB858" s="1439"/>
      <c r="CC858" s="1439"/>
      <c r="CD858" s="1439"/>
      <c r="CE858" s="1439"/>
      <c r="CF858" s="1439"/>
      <c r="CG858" s="1439"/>
      <c r="CH858" s="626"/>
      <c r="CI858" s="626"/>
      <c r="CJ858" s="626"/>
      <c r="CK858" s="626"/>
      <c r="CL858" s="626"/>
      <c r="CM858" s="626"/>
      <c r="CN858" s="626"/>
      <c r="CO858" s="626"/>
      <c r="CP858" s="994"/>
      <c r="CQ858" s="626"/>
      <c r="CR858" s="626"/>
      <c r="CS858" s="626"/>
      <c r="CT858" s="626"/>
      <c r="CU858" s="626"/>
      <c r="CV858" s="626"/>
      <c r="CW858" s="626"/>
      <c r="CX858" s="626"/>
      <c r="CY858" s="626"/>
      <c r="CZ858" s="626"/>
      <c r="DA858" s="626"/>
      <c r="DB858" s="626"/>
      <c r="DC858" s="626"/>
      <c r="DD858" s="626"/>
      <c r="DE858" s="626"/>
      <c r="DF858" s="626"/>
      <c r="DG858" s="1893"/>
      <c r="DH858" s="632"/>
      <c r="DI858" s="595"/>
      <c r="DJ858" s="595"/>
      <c r="DK858" s="595"/>
      <c r="DL858" s="595"/>
      <c r="DM858" s="595"/>
      <c r="DN858" s="514"/>
      <c r="DO858" s="77"/>
      <c r="DY858" s="330"/>
      <c r="DZ858" s="330"/>
    </row>
    <row r="859" spans="1:130" ht="12" hidden="1" customHeight="1" outlineLevel="1">
      <c r="A859" s="552" t="s">
        <v>401</v>
      </c>
      <c r="B859" s="552"/>
      <c r="C859" s="552"/>
      <c r="D859" s="625"/>
      <c r="E859" s="626"/>
      <c r="F859" s="626"/>
      <c r="G859" s="626"/>
      <c r="H859" s="788"/>
      <c r="I859" s="626"/>
      <c r="J859" s="626"/>
      <c r="K859" s="626"/>
      <c r="L859" s="626"/>
      <c r="M859" s="788"/>
      <c r="N859" s="626"/>
      <c r="O859" s="626"/>
      <c r="P859" s="626"/>
      <c r="Q859" s="626"/>
      <c r="R859" s="788"/>
      <c r="S859" s="626"/>
      <c r="T859" s="626"/>
      <c r="U859" s="626"/>
      <c r="V859" s="626"/>
      <c r="W859" s="788"/>
      <c r="X859" s="626"/>
      <c r="Y859" s="626"/>
      <c r="Z859" s="626"/>
      <c r="AA859" s="626"/>
      <c r="AB859" s="788"/>
      <c r="AC859" s="626"/>
      <c r="AD859" s="626"/>
      <c r="AE859" s="626"/>
      <c r="AF859" s="626"/>
      <c r="AG859" s="788"/>
      <c r="AH859" s="626"/>
      <c r="AI859" s="626"/>
      <c r="AJ859" s="626"/>
      <c r="AK859" s="626"/>
      <c r="AL859" s="788"/>
      <c r="AM859" s="330"/>
      <c r="AN859" s="330"/>
      <c r="AO859" s="330"/>
      <c r="AP859" s="330"/>
      <c r="AQ859" s="588"/>
      <c r="AR859" s="330"/>
      <c r="AS859" s="330"/>
      <c r="AT859" s="330"/>
      <c r="AU859" s="626"/>
      <c r="AV859" s="588"/>
      <c r="AW859" s="626"/>
      <c r="AX859" s="626"/>
      <c r="AY859" s="626"/>
      <c r="AZ859" s="626"/>
      <c r="BA859" s="588"/>
      <c r="BB859" s="625">
        <f>+BB847*BB860</f>
        <v>0</v>
      </c>
      <c r="BC859" s="626">
        <f>+BC847*BC860</f>
        <v>0</v>
      </c>
      <c r="BD859" s="626">
        <f>+BD847*BD860</f>
        <v>0</v>
      </c>
      <c r="BE859" s="1893">
        <f>+BE847*BE860</f>
        <v>0</v>
      </c>
      <c r="BF859" s="588">
        <f>+SUM(BB859:BE859)</f>
        <v>0</v>
      </c>
      <c r="BG859" s="625">
        <f>+BG847*BG860</f>
        <v>0</v>
      </c>
      <c r="BH859" s="626">
        <f>+BH847*BH860</f>
        <v>0</v>
      </c>
      <c r="BI859" s="626">
        <f>+BI847*BI860</f>
        <v>0</v>
      </c>
      <c r="BJ859" s="1893">
        <f>+BJ847*BJ860</f>
        <v>0</v>
      </c>
      <c r="BK859" s="588">
        <f>+SUM(BG859:BJ859)</f>
        <v>0</v>
      </c>
      <c r="BL859" s="626">
        <f>+BL847*BL860</f>
        <v>0</v>
      </c>
      <c r="BM859" s="626">
        <f>+BM847*BM860</f>
        <v>0</v>
      </c>
      <c r="BN859" s="626">
        <f>+BN847*BN860</f>
        <v>0</v>
      </c>
      <c r="BO859" s="1893">
        <f>+BO847*BO860</f>
        <v>0</v>
      </c>
      <c r="BP859" s="588">
        <f>+SUM(BL859:BO859)</f>
        <v>0</v>
      </c>
      <c r="BQ859" s="626">
        <f>+BQ847*BQ860</f>
        <v>0.31528125000000007</v>
      </c>
      <c r="BR859" s="626">
        <f>+BR847*BR860</f>
        <v>0.31528125000000007</v>
      </c>
      <c r="BS859" s="626">
        <f>+BS847*BS860</f>
        <v>0.31528125000000007</v>
      </c>
      <c r="BT859" s="1893">
        <f>+BT847*BT860</f>
        <v>0.31528125000000007</v>
      </c>
      <c r="BU859" s="3376">
        <f>+SUM(BQ859:BT859)</f>
        <v>1.2611250000000003</v>
      </c>
      <c r="BV859" s="626">
        <f>+BV847*BV860</f>
        <v>0.97839405000000002</v>
      </c>
      <c r="BW859" s="626">
        <f>+BW847*BW860</f>
        <v>0.97839405000000002</v>
      </c>
      <c r="BX859" s="626">
        <f>+BX847*BX860</f>
        <v>0.97839405000000002</v>
      </c>
      <c r="BY859" s="1893">
        <f>+BY847*BY860</f>
        <v>0.97839405000000002</v>
      </c>
      <c r="BZ859" s="3376">
        <f>+SUM(BV859:BY859)</f>
        <v>3.9135762000000001</v>
      </c>
      <c r="CA859" s="588">
        <f t="shared" ref="CA859:CG859" si="1652">+CA847*CA860</f>
        <v>7.3721323638841598</v>
      </c>
      <c r="CB859" s="588">
        <f t="shared" si="1652"/>
        <v>10.867419811266821</v>
      </c>
      <c r="CC859" s="588">
        <f t="shared" si="1652"/>
        <v>9.9062381228097305</v>
      </c>
      <c r="CD859" s="588">
        <f t="shared" si="1652"/>
        <v>9.4109262166692425</v>
      </c>
      <c r="CE859" s="588">
        <f t="shared" si="1652"/>
        <v>9.5991447410026272</v>
      </c>
      <c r="CF859" s="588">
        <f t="shared" si="1652"/>
        <v>9.7911276358226793</v>
      </c>
      <c r="CG859" s="588">
        <f t="shared" si="1652"/>
        <v>9.986950188539133</v>
      </c>
      <c r="CH859" s="626"/>
      <c r="CI859" s="626"/>
      <c r="CJ859" s="626"/>
      <c r="CK859" s="626"/>
      <c r="CL859" s="626"/>
      <c r="CM859" s="965"/>
      <c r="CN859" s="965">
        <f t="shared" ref="CN859" si="1653">SUM(BV859:BY859)</f>
        <v>3.9135762000000001</v>
      </c>
      <c r="CO859" s="965">
        <f t="shared" ref="CO859" si="1654">CM859-CN859</f>
        <v>-3.9135762000000001</v>
      </c>
      <c r="CP859" s="994" t="str">
        <f>A859</f>
        <v>EBITDA</v>
      </c>
      <c r="CQ859" s="626"/>
      <c r="CR859" s="626"/>
      <c r="CS859" s="626"/>
      <c r="CT859" s="626"/>
      <c r="CU859" s="626"/>
      <c r="CV859" s="626"/>
      <c r="CW859" s="626"/>
      <c r="CX859" s="626"/>
      <c r="CY859" s="626"/>
      <c r="CZ859" s="626">
        <f>BA859</f>
        <v>0</v>
      </c>
      <c r="DA859" s="626">
        <f>BF859</f>
        <v>0</v>
      </c>
      <c r="DB859" s="626">
        <f>BK859</f>
        <v>0</v>
      </c>
      <c r="DC859" s="626">
        <f>BP859</f>
        <v>0</v>
      </c>
      <c r="DD859" s="626">
        <f>BU859</f>
        <v>1.2611250000000003</v>
      </c>
      <c r="DE859" s="626">
        <f t="shared" ref="DE859:DG861" si="1655">BZ859</f>
        <v>3.9135762000000001</v>
      </c>
      <c r="DF859" s="626">
        <f t="shared" si="1655"/>
        <v>7.3721323638841598</v>
      </c>
      <c r="DG859" s="1893">
        <f t="shared" si="1655"/>
        <v>10.867419811266821</v>
      </c>
      <c r="DH859" s="632"/>
      <c r="DI859" s="595"/>
      <c r="DJ859" s="595"/>
      <c r="DK859" s="595"/>
      <c r="DL859" s="595"/>
      <c r="DM859" s="595"/>
      <c r="DN859" s="514"/>
      <c r="DO859" s="77"/>
      <c r="DY859" s="581"/>
      <c r="DZ859" s="581"/>
    </row>
    <row r="860" spans="1:130" ht="12" hidden="1" customHeight="1" outlineLevel="1">
      <c r="A860" s="212" t="s">
        <v>56</v>
      </c>
      <c r="B860" s="228"/>
      <c r="C860" s="228"/>
      <c r="D860" s="625"/>
      <c r="E860" s="626"/>
      <c r="F860" s="626"/>
      <c r="G860" s="626"/>
      <c r="H860" s="788"/>
      <c r="I860" s="626"/>
      <c r="J860" s="626"/>
      <c r="K860" s="626"/>
      <c r="L860" s="626"/>
      <c r="M860" s="788"/>
      <c r="N860" s="626"/>
      <c r="O860" s="626"/>
      <c r="P860" s="626"/>
      <c r="Q860" s="626"/>
      <c r="R860" s="788"/>
      <c r="S860" s="626"/>
      <c r="T860" s="626"/>
      <c r="U860" s="626"/>
      <c r="V860" s="626"/>
      <c r="W860" s="788"/>
      <c r="X860" s="626"/>
      <c r="Y860" s="626"/>
      <c r="Z860" s="626"/>
      <c r="AA860" s="626"/>
      <c r="AB860" s="788"/>
      <c r="AC860" s="626"/>
      <c r="AD860" s="626"/>
      <c r="AE860" s="626"/>
      <c r="AF860" s="626"/>
      <c r="AG860" s="788"/>
      <c r="AH860" s="626"/>
      <c r="AI860" s="626"/>
      <c r="AJ860" s="626"/>
      <c r="AK860" s="626"/>
      <c r="AL860" s="788"/>
      <c r="AM860" s="573"/>
      <c r="AN860" s="573"/>
      <c r="AO860" s="573"/>
      <c r="AP860" s="573"/>
      <c r="AQ860" s="1621"/>
      <c r="AR860" s="573"/>
      <c r="AS860" s="573"/>
      <c r="AT860" s="573"/>
      <c r="AU860" s="573"/>
      <c r="AV860" s="1621"/>
      <c r="AW860" s="573"/>
      <c r="AX860" s="573"/>
      <c r="AY860" s="573"/>
      <c r="AZ860" s="573"/>
      <c r="BA860" s="550"/>
      <c r="BB860" s="607">
        <v>-0.1</v>
      </c>
      <c r="BC860" s="548">
        <v>-0.1</v>
      </c>
      <c r="BD860" s="548">
        <v>-0.1</v>
      </c>
      <c r="BE860" s="548">
        <v>-0.1</v>
      </c>
      <c r="BF860" s="562"/>
      <c r="BG860" s="548">
        <v>-0.1</v>
      </c>
      <c r="BH860" s="2913">
        <f>+BH841+0.05</f>
        <v>0.15000000000000002</v>
      </c>
      <c r="BI860" s="2913">
        <f>+BI841+0.05</f>
        <v>0.15000000000000002</v>
      </c>
      <c r="BJ860" s="2914">
        <f>+BJ841+0.05</f>
        <v>0.15000000000000002</v>
      </c>
      <c r="BK860" s="2474"/>
      <c r="BL860" s="2913">
        <f>+BL841+0.05</f>
        <v>0.3</v>
      </c>
      <c r="BM860" s="2913">
        <f>+BM841+0.05</f>
        <v>0.3</v>
      </c>
      <c r="BN860" s="2913">
        <f>+BN841+0.05</f>
        <v>0.3</v>
      </c>
      <c r="BO860" s="2914">
        <f>+BO841+0.05</f>
        <v>0.3</v>
      </c>
      <c r="BP860" s="2474">
        <f>BO860</f>
        <v>0.3</v>
      </c>
      <c r="BQ860" s="2913">
        <f>+BQ841+0.05</f>
        <v>0.15000000000000002</v>
      </c>
      <c r="BR860" s="2913">
        <f>+BR841+0.05</f>
        <v>0.15000000000000002</v>
      </c>
      <c r="BS860" s="2913">
        <f>+BS841+0.05</f>
        <v>0.15000000000000002</v>
      </c>
      <c r="BT860" s="2914">
        <f>+BT841+0.05</f>
        <v>0.15000000000000002</v>
      </c>
      <c r="BU860" s="3371">
        <f>BT860</f>
        <v>0.15000000000000002</v>
      </c>
      <c r="BV860" s="2913">
        <f>BQ860+0.05</f>
        <v>0.2</v>
      </c>
      <c r="BW860" s="2913">
        <f t="shared" ref="BW860:BY860" si="1656">BR860+0.05</f>
        <v>0.2</v>
      </c>
      <c r="BX860" s="2913">
        <f>BS860+0.05</f>
        <v>0.2</v>
      </c>
      <c r="BY860" s="2913">
        <f t="shared" si="1656"/>
        <v>0.2</v>
      </c>
      <c r="BZ860" s="3371">
        <f>BY860</f>
        <v>0.2</v>
      </c>
      <c r="CA860" s="2474">
        <f t="shared" ref="CA860:CG860" si="1657">+CA841+0.05</f>
        <v>0.25</v>
      </c>
      <c r="CB860" s="2474">
        <f t="shared" si="1657"/>
        <v>0.3</v>
      </c>
      <c r="CC860" s="2474">
        <f t="shared" si="1657"/>
        <v>0.28785910338618642</v>
      </c>
      <c r="CD860" s="2474">
        <f t="shared" si="1657"/>
        <v>0.28785910338618642</v>
      </c>
      <c r="CE860" s="2474">
        <f t="shared" si="1657"/>
        <v>0.28785910338618642</v>
      </c>
      <c r="CF860" s="2474">
        <f t="shared" si="1657"/>
        <v>0.28785910338618642</v>
      </c>
      <c r="CG860" s="2474">
        <f t="shared" si="1657"/>
        <v>0.28785910338618642</v>
      </c>
      <c r="CH860" s="626"/>
      <c r="CI860" s="626"/>
      <c r="CJ860" s="626"/>
      <c r="CK860" s="626"/>
      <c r="CL860" s="626"/>
      <c r="CM860" s="626"/>
      <c r="CN860" s="626"/>
      <c r="CO860" s="626"/>
      <c r="CP860" s="994" t="str">
        <f>A860</f>
        <v>% Margin</v>
      </c>
      <c r="CQ860" s="626"/>
      <c r="CR860" s="626"/>
      <c r="CS860" s="626"/>
      <c r="CT860" s="626"/>
      <c r="CU860" s="626"/>
      <c r="CV860" s="626"/>
      <c r="CW860" s="626"/>
      <c r="CX860" s="626"/>
      <c r="CY860" s="626"/>
      <c r="CZ860" s="626">
        <f>BA860</f>
        <v>0</v>
      </c>
      <c r="DA860" s="626">
        <f>BF860</f>
        <v>0</v>
      </c>
      <c r="DB860" s="626">
        <f>BK860</f>
        <v>0</v>
      </c>
      <c r="DC860" s="626">
        <f>BP860</f>
        <v>0.3</v>
      </c>
      <c r="DD860" s="626">
        <f>BU860</f>
        <v>0.15000000000000002</v>
      </c>
      <c r="DE860" s="626">
        <f t="shared" si="1655"/>
        <v>0.2</v>
      </c>
      <c r="DF860" s="626">
        <f t="shared" si="1655"/>
        <v>0.25</v>
      </c>
      <c r="DG860" s="1893">
        <f t="shared" si="1655"/>
        <v>0.3</v>
      </c>
      <c r="DH860" s="632"/>
      <c r="DI860" s="595"/>
      <c r="DJ860" s="595"/>
      <c r="DK860" s="595"/>
      <c r="DL860" s="595"/>
      <c r="DM860" s="595"/>
      <c r="DN860" s="514"/>
      <c r="DO860" s="77"/>
      <c r="DY860" s="2913"/>
      <c r="DZ860" s="2913"/>
    </row>
    <row r="861" spans="1:130" ht="12" hidden="1" customHeight="1" outlineLevel="1">
      <c r="A861" s="567" t="s">
        <v>1153</v>
      </c>
      <c r="B861" s="228"/>
      <c r="C861" s="228"/>
      <c r="D861" s="625"/>
      <c r="E861" s="626"/>
      <c r="F861" s="626"/>
      <c r="G861" s="626"/>
      <c r="H861" s="788"/>
      <c r="I861" s="626"/>
      <c r="J861" s="626"/>
      <c r="K861" s="626"/>
      <c r="L861" s="626"/>
      <c r="M861" s="788"/>
      <c r="N861" s="626"/>
      <c r="O861" s="626"/>
      <c r="P861" s="626"/>
      <c r="Q861" s="626"/>
      <c r="R861" s="788"/>
      <c r="S861" s="626"/>
      <c r="T861" s="626"/>
      <c r="U861" s="626"/>
      <c r="V861" s="626"/>
      <c r="W861" s="788"/>
      <c r="X861" s="626"/>
      <c r="Y861" s="626"/>
      <c r="Z861" s="626"/>
      <c r="AA861" s="626"/>
      <c r="AB861" s="788"/>
      <c r="AC861" s="626"/>
      <c r="AD861" s="626"/>
      <c r="AE861" s="626"/>
      <c r="AF861" s="626"/>
      <c r="AG861" s="788"/>
      <c r="AH861" s="626"/>
      <c r="AI861" s="626"/>
      <c r="AJ861" s="626"/>
      <c r="AK861" s="626"/>
      <c r="AL861" s="788"/>
      <c r="AM861" s="626"/>
      <c r="AN861" s="261"/>
      <c r="AO861" s="626"/>
      <c r="AP861" s="330"/>
      <c r="AQ861" s="1439"/>
      <c r="AR861" s="573"/>
      <c r="AS861" s="573"/>
      <c r="AT861" s="573"/>
      <c r="AU861" s="573"/>
      <c r="AV861" s="1975"/>
      <c r="AW861" s="573"/>
      <c r="AX861" s="573"/>
      <c r="AY861" s="573"/>
      <c r="AZ861" s="573"/>
      <c r="BA861" s="1975"/>
      <c r="BB861" s="2730"/>
      <c r="BC861" s="573"/>
      <c r="BD861" s="573"/>
      <c r="BE861" s="2135"/>
      <c r="BF861" s="1975"/>
      <c r="BG861" s="2726"/>
      <c r="BH861" s="769"/>
      <c r="BI861" s="769"/>
      <c r="BJ861" s="2171"/>
      <c r="BK861" s="1621"/>
      <c r="BL861" s="769"/>
      <c r="BM861" s="769"/>
      <c r="BN861" s="769"/>
      <c r="BO861" s="2171"/>
      <c r="BP861" s="1621"/>
      <c r="BQ861" s="769"/>
      <c r="BR861" s="769"/>
      <c r="BS861" s="769"/>
      <c r="BT861" s="2171"/>
      <c r="BU861" s="3371"/>
      <c r="BV861" s="769"/>
      <c r="BW861" s="769"/>
      <c r="BX861" s="769"/>
      <c r="BY861" s="2171"/>
      <c r="BZ861" s="3371"/>
      <c r="CA861" s="1621">
        <f t="shared" ref="CA861:CG861" si="1658">+CA859/BZ859-1</f>
        <v>0.88373293048035184</v>
      </c>
      <c r="CB861" s="1621">
        <f t="shared" si="1658"/>
        <v>0.47412163467193857</v>
      </c>
      <c r="CC861" s="1621">
        <f t="shared" si="1658"/>
        <v>-8.8446172610409657E-2</v>
      </c>
      <c r="CD861" s="1621">
        <f t="shared" si="1658"/>
        <v>-5.0000000000000155E-2</v>
      </c>
      <c r="CE861" s="1621">
        <f t="shared" si="1658"/>
        <v>2.0000000000000018E-2</v>
      </c>
      <c r="CF861" s="1621">
        <f t="shared" si="1658"/>
        <v>2.0000000000000018E-2</v>
      </c>
      <c r="CG861" s="1621">
        <f t="shared" si="1658"/>
        <v>2.0000000000000018E-2</v>
      </c>
      <c r="CH861" s="626"/>
      <c r="CI861" s="626"/>
      <c r="CJ861" s="626"/>
      <c r="CK861" s="626"/>
      <c r="CL861" s="626"/>
      <c r="CM861" s="626"/>
      <c r="CN861" s="626"/>
      <c r="CO861" s="626"/>
      <c r="CP861" s="994" t="str">
        <f>A861</f>
        <v>% growth</v>
      </c>
      <c r="CQ861" s="626"/>
      <c r="CR861" s="626"/>
      <c r="CS861" s="626"/>
      <c r="CT861" s="626"/>
      <c r="CU861" s="626"/>
      <c r="CV861" s="626"/>
      <c r="CW861" s="626"/>
      <c r="CX861" s="626"/>
      <c r="CY861" s="626"/>
      <c r="CZ861" s="626">
        <f>BA861</f>
        <v>0</v>
      </c>
      <c r="DA861" s="626">
        <f>BF861</f>
        <v>0</v>
      </c>
      <c r="DB861" s="626">
        <f>BK861</f>
        <v>0</v>
      </c>
      <c r="DC861" s="626">
        <f>BP861</f>
        <v>0</v>
      </c>
      <c r="DD861" s="626">
        <f>BU861</f>
        <v>0</v>
      </c>
      <c r="DE861" s="626">
        <f t="shared" si="1655"/>
        <v>0</v>
      </c>
      <c r="DF861" s="626">
        <f t="shared" si="1655"/>
        <v>0.88373293048035184</v>
      </c>
      <c r="DG861" s="1893">
        <f t="shared" si="1655"/>
        <v>0.47412163467193857</v>
      </c>
      <c r="DH861" s="632"/>
      <c r="DI861" s="595"/>
      <c r="DJ861" s="595"/>
      <c r="DK861" s="595"/>
      <c r="DL861" s="595"/>
      <c r="DM861" s="595"/>
      <c r="DN861" s="514"/>
      <c r="DO861" s="77"/>
      <c r="DY861" s="573"/>
      <c r="DZ861" s="573"/>
    </row>
    <row r="862" spans="1:130" ht="12" hidden="1" customHeight="1" outlineLevel="1">
      <c r="A862" s="567"/>
      <c r="B862" s="228"/>
      <c r="C862" s="228"/>
      <c r="D862" s="625"/>
      <c r="E862" s="626"/>
      <c r="F862" s="626"/>
      <c r="G862" s="626"/>
      <c r="H862" s="788"/>
      <c r="I862" s="626"/>
      <c r="J862" s="626"/>
      <c r="K862" s="626"/>
      <c r="L862" s="626"/>
      <c r="M862" s="788"/>
      <c r="N862" s="626"/>
      <c r="O862" s="626"/>
      <c r="P862" s="626"/>
      <c r="Q862" s="626"/>
      <c r="R862" s="788"/>
      <c r="S862" s="626"/>
      <c r="T862" s="626"/>
      <c r="U862" s="626"/>
      <c r="V862" s="626"/>
      <c r="W862" s="788"/>
      <c r="X862" s="626"/>
      <c r="Y862" s="626"/>
      <c r="Z862" s="626"/>
      <c r="AA862" s="626"/>
      <c r="AB862" s="788"/>
      <c r="AC862" s="626"/>
      <c r="AD862" s="626"/>
      <c r="AE862" s="626"/>
      <c r="AF862" s="626"/>
      <c r="AG862" s="788"/>
      <c r="AH862" s="626"/>
      <c r="AI862" s="626"/>
      <c r="AJ862" s="626"/>
      <c r="AK862" s="626"/>
      <c r="AL862" s="788"/>
      <c r="AM862" s="626"/>
      <c r="AN862" s="261"/>
      <c r="AO862" s="626"/>
      <c r="AP862" s="330"/>
      <c r="AQ862" s="1439"/>
      <c r="AR862" s="573"/>
      <c r="AS862" s="573"/>
      <c r="AT862" s="573"/>
      <c r="AU862" s="573"/>
      <c r="AV862" s="1975"/>
      <c r="AW862" s="573"/>
      <c r="AX862" s="573"/>
      <c r="AY862" s="573"/>
      <c r="AZ862" s="573"/>
      <c r="BA862" s="1975"/>
      <c r="BB862" s="2730"/>
      <c r="BC862" s="573"/>
      <c r="BD862" s="573"/>
      <c r="BE862" s="2135"/>
      <c r="BF862" s="1975"/>
      <c r="BG862" s="2726"/>
      <c r="BH862" s="769"/>
      <c r="BI862" s="769"/>
      <c r="BJ862" s="2171"/>
      <c r="BK862" s="1621"/>
      <c r="BL862" s="769"/>
      <c r="BM862" s="769"/>
      <c r="BN862" s="769"/>
      <c r="BO862" s="2171"/>
      <c r="BP862" s="1621"/>
      <c r="BQ862" s="769"/>
      <c r="BR862" s="769"/>
      <c r="BS862" s="769"/>
      <c r="BT862" s="2171"/>
      <c r="BU862" s="3371"/>
      <c r="BV862" s="769"/>
      <c r="BW862" s="769"/>
      <c r="BX862" s="769"/>
      <c r="BY862" s="2171"/>
      <c r="BZ862" s="3371"/>
      <c r="CA862" s="1621"/>
      <c r="CB862" s="1621"/>
      <c r="CC862" s="1621"/>
      <c r="CD862" s="1621"/>
      <c r="CE862" s="1621"/>
      <c r="CF862" s="1621"/>
      <c r="CG862" s="1621"/>
      <c r="CH862" s="626"/>
      <c r="CI862" s="626"/>
      <c r="CJ862" s="626"/>
      <c r="CK862" s="626"/>
      <c r="CL862" s="626"/>
      <c r="CM862" s="626"/>
      <c r="CN862" s="626"/>
      <c r="CO862" s="626"/>
      <c r="CP862" s="994"/>
      <c r="CQ862" s="626"/>
      <c r="CR862" s="626"/>
      <c r="CS862" s="626"/>
      <c r="CT862" s="626"/>
      <c r="CU862" s="626"/>
      <c r="CV862" s="626"/>
      <c r="CW862" s="626"/>
      <c r="CX862" s="626"/>
      <c r="CY862" s="626"/>
      <c r="CZ862" s="626"/>
      <c r="DA862" s="626"/>
      <c r="DB862" s="626"/>
      <c r="DC862" s="626"/>
      <c r="DD862" s="626"/>
      <c r="DE862" s="626"/>
      <c r="DF862" s="626"/>
      <c r="DG862" s="1893"/>
      <c r="DH862" s="632"/>
      <c r="DI862" s="595"/>
      <c r="DJ862" s="595"/>
      <c r="DK862" s="595"/>
      <c r="DL862" s="595"/>
      <c r="DM862" s="595"/>
      <c r="DN862" s="514"/>
      <c r="DO862" s="77"/>
      <c r="DY862" s="573"/>
      <c r="DZ862" s="573"/>
    </row>
    <row r="863" spans="1:130" ht="12" hidden="1" customHeight="1" outlineLevel="1">
      <c r="A863" s="745" t="s">
        <v>382</v>
      </c>
      <c r="B863" s="746"/>
      <c r="C863" s="746"/>
      <c r="D863" s="591"/>
      <c r="E863" s="592"/>
      <c r="F863" s="592"/>
      <c r="G863" s="592"/>
      <c r="H863" s="779"/>
      <c r="I863" s="592"/>
      <c r="J863" s="592"/>
      <c r="K863" s="592"/>
      <c r="L863" s="592"/>
      <c r="M863" s="779"/>
      <c r="N863" s="592"/>
      <c r="O863" s="592"/>
      <c r="P863" s="592"/>
      <c r="Q863" s="592"/>
      <c r="R863" s="779"/>
      <c r="S863" s="592"/>
      <c r="T863" s="592"/>
      <c r="U863" s="592"/>
      <c r="V863" s="592"/>
      <c r="W863" s="779"/>
      <c r="X863" s="592"/>
      <c r="Y863" s="592"/>
      <c r="Z863" s="592"/>
      <c r="AA863" s="592"/>
      <c r="AB863" s="779"/>
      <c r="AC863" s="592"/>
      <c r="AD863" s="592"/>
      <c r="AE863" s="592"/>
      <c r="AF863" s="592"/>
      <c r="AG863" s="779"/>
      <c r="AH863" s="592"/>
      <c r="AI863" s="592"/>
      <c r="AJ863" s="592"/>
      <c r="AK863" s="592"/>
      <c r="AL863" s="779"/>
      <c r="AM863" s="592"/>
      <c r="AN863" s="592"/>
      <c r="AO863" s="592"/>
      <c r="AP863" s="592"/>
      <c r="AQ863" s="2116"/>
      <c r="AR863" s="592"/>
      <c r="AS863" s="592"/>
      <c r="AT863" s="592"/>
      <c r="AU863" s="592"/>
      <c r="AV863" s="2116"/>
      <c r="AW863" s="592"/>
      <c r="AX863" s="592"/>
      <c r="AY863" s="592"/>
      <c r="AZ863" s="592"/>
      <c r="BA863" s="2077"/>
      <c r="BB863" s="596">
        <v>0.1</v>
      </c>
      <c r="BC863" s="570">
        <v>0.1</v>
      </c>
      <c r="BD863" s="570">
        <v>0.1</v>
      </c>
      <c r="BE863" s="570">
        <v>0.1</v>
      </c>
      <c r="BF863" s="2077">
        <v>0.1</v>
      </c>
      <c r="BG863" s="799">
        <v>0.1</v>
      </c>
      <c r="BH863" s="800">
        <v>0.1</v>
      </c>
      <c r="BI863" s="800">
        <v>0.1</v>
      </c>
      <c r="BJ863" s="2912">
        <v>0.1</v>
      </c>
      <c r="BK863" s="2077">
        <v>0.1</v>
      </c>
      <c r="BL863" s="800">
        <v>0.1</v>
      </c>
      <c r="BM863" s="800">
        <v>0.1</v>
      </c>
      <c r="BN863" s="800">
        <v>0.1</v>
      </c>
      <c r="BO863" s="2912">
        <v>0.1</v>
      </c>
      <c r="BP863" s="2077">
        <v>0.1</v>
      </c>
      <c r="BQ863" s="800">
        <v>0.1</v>
      </c>
      <c r="BR863" s="800">
        <v>0.1</v>
      </c>
      <c r="BS863" s="800">
        <v>0.1</v>
      </c>
      <c r="BT863" s="2912">
        <v>0.1</v>
      </c>
      <c r="BU863" s="3414">
        <v>0.1</v>
      </c>
      <c r="BV863" s="800">
        <v>0.1</v>
      </c>
      <c r="BW863" s="800">
        <v>0.1</v>
      </c>
      <c r="BX863" s="800">
        <v>0.1</v>
      </c>
      <c r="BY863" s="2912">
        <v>0.1</v>
      </c>
      <c r="BZ863" s="3414">
        <v>0.1</v>
      </c>
      <c r="CA863" s="2077">
        <v>0.1</v>
      </c>
      <c r="CB863" s="2077">
        <v>0.1</v>
      </c>
      <c r="CC863" s="2077">
        <v>0.1</v>
      </c>
      <c r="CD863" s="2077">
        <v>0.1</v>
      </c>
      <c r="CE863" s="2077">
        <v>0.1</v>
      </c>
      <c r="CF863" s="2077">
        <v>0.1</v>
      </c>
      <c r="CG863" s="2077">
        <v>0.1</v>
      </c>
      <c r="CH863" s="592"/>
      <c r="CI863" s="592"/>
      <c r="CJ863" s="592"/>
      <c r="CK863" s="592"/>
      <c r="CL863" s="592"/>
      <c r="CM863" s="592"/>
      <c r="CN863" s="592"/>
      <c r="CO863" s="592"/>
      <c r="CP863" s="1884" t="str">
        <f>A863</f>
        <v>BYD Ownership</v>
      </c>
      <c r="CQ863" s="592"/>
      <c r="CR863" s="592"/>
      <c r="CS863" s="592"/>
      <c r="CT863" s="592"/>
      <c r="CU863" s="592"/>
      <c r="CV863" s="592"/>
      <c r="CW863" s="592"/>
      <c r="CX863" s="592"/>
      <c r="CY863" s="592"/>
      <c r="CZ863" s="592">
        <f>BA863</f>
        <v>0</v>
      </c>
      <c r="DA863" s="592">
        <f>BF863</f>
        <v>0.1</v>
      </c>
      <c r="DB863" s="592">
        <f>BK863</f>
        <v>0.1</v>
      </c>
      <c r="DC863" s="592">
        <f>BP863</f>
        <v>0.1</v>
      </c>
      <c r="DD863" s="592">
        <f>BU863</f>
        <v>0.1</v>
      </c>
      <c r="DE863" s="592">
        <f>BZ863</f>
        <v>0.1</v>
      </c>
      <c r="DF863" s="592">
        <f>CA863</f>
        <v>0.1</v>
      </c>
      <c r="DG863" s="1850">
        <f>CB863</f>
        <v>0.1</v>
      </c>
      <c r="DH863" s="595"/>
      <c r="DI863" s="595"/>
      <c r="DJ863" s="595"/>
      <c r="DK863" s="595"/>
      <c r="DL863" s="595"/>
      <c r="DM863" s="595"/>
      <c r="DN863" s="595"/>
      <c r="DO863" s="1438"/>
      <c r="DY863" s="800"/>
      <c r="DZ863" s="800"/>
    </row>
    <row r="864" spans="1:130" ht="12" hidden="1" customHeight="1" outlineLevel="1">
      <c r="A864" s="2045"/>
      <c r="B864" s="746"/>
      <c r="C864" s="746"/>
      <c r="D864" s="591"/>
      <c r="E864" s="592"/>
      <c r="F864" s="592"/>
      <c r="G864" s="592"/>
      <c r="H864" s="779"/>
      <c r="I864" s="592"/>
      <c r="J864" s="592"/>
      <c r="K864" s="592"/>
      <c r="L864" s="592"/>
      <c r="M864" s="779"/>
      <c r="N864" s="592"/>
      <c r="O864" s="592"/>
      <c r="P864" s="592"/>
      <c r="Q864" s="592"/>
      <c r="R864" s="779"/>
      <c r="S864" s="592"/>
      <c r="T864" s="592"/>
      <c r="U864" s="592"/>
      <c r="V864" s="592"/>
      <c r="W864" s="779"/>
      <c r="X864" s="592"/>
      <c r="Y864" s="592"/>
      <c r="Z864" s="592"/>
      <c r="AA864" s="592"/>
      <c r="AB864" s="779"/>
      <c r="AC864" s="592"/>
      <c r="AD864" s="592"/>
      <c r="AE864" s="592"/>
      <c r="AF864" s="592"/>
      <c r="AG864" s="779"/>
      <c r="AH864" s="592"/>
      <c r="AI864" s="592"/>
      <c r="AJ864" s="592"/>
      <c r="AK864" s="592"/>
      <c r="AL864" s="779"/>
      <c r="AM864" s="592"/>
      <c r="AN864" s="592"/>
      <c r="AO864" s="592"/>
      <c r="AP864" s="592"/>
      <c r="AQ864" s="2116"/>
      <c r="AR864" s="592"/>
      <c r="AS864" s="592"/>
      <c r="AT864" s="592"/>
      <c r="AU864" s="592"/>
      <c r="AV864" s="2116"/>
      <c r="AW864" s="592"/>
      <c r="AX864" s="592"/>
      <c r="AY864" s="592"/>
      <c r="AZ864" s="592"/>
      <c r="BA864" s="2116"/>
      <c r="BB864" s="591"/>
      <c r="BC864" s="592"/>
      <c r="BD864" s="592"/>
      <c r="BE864" s="1850"/>
      <c r="BF864" s="2077"/>
      <c r="BG864" s="799"/>
      <c r="BH864" s="800"/>
      <c r="BI864" s="800"/>
      <c r="BJ864" s="2912"/>
      <c r="BK864" s="2115"/>
      <c r="BL864" s="800"/>
      <c r="BM864" s="800"/>
      <c r="BN864" s="800"/>
      <c r="BO864" s="2912"/>
      <c r="BP864" s="2115"/>
      <c r="BQ864" s="800"/>
      <c r="BR864" s="800"/>
      <c r="BS864" s="800"/>
      <c r="BT864" s="2912"/>
      <c r="BU864" s="3414"/>
      <c r="BV864" s="800"/>
      <c r="BW864" s="800"/>
      <c r="BX864" s="800"/>
      <c r="BY864" s="2912"/>
      <c r="BZ864" s="3414"/>
      <c r="CA864" s="2115"/>
      <c r="CB864" s="2115"/>
      <c r="CC864" s="2115"/>
      <c r="CD864" s="2115"/>
      <c r="CE864" s="2115"/>
      <c r="CF864" s="2115"/>
      <c r="CG864" s="2115"/>
      <c r="CH864" s="592"/>
      <c r="CI864" s="592"/>
      <c r="CJ864" s="592"/>
      <c r="CK864" s="592"/>
      <c r="CL864" s="592"/>
      <c r="CM864" s="592"/>
      <c r="CN864" s="592"/>
      <c r="CO864" s="592"/>
      <c r="CP864" s="1884"/>
      <c r="CQ864" s="592"/>
      <c r="CR864" s="592"/>
      <c r="CS864" s="592"/>
      <c r="CT864" s="592"/>
      <c r="CU864" s="592"/>
      <c r="CV864" s="592"/>
      <c r="CW864" s="592"/>
      <c r="CX864" s="592"/>
      <c r="CY864" s="592"/>
      <c r="CZ864" s="592"/>
      <c r="DA864" s="592"/>
      <c r="DB864" s="592"/>
      <c r="DC864" s="592"/>
      <c r="DD864" s="592"/>
      <c r="DE864" s="592"/>
      <c r="DF864" s="592"/>
      <c r="DG864" s="1850"/>
      <c r="DH864" s="595"/>
      <c r="DI864" s="595"/>
      <c r="DJ864" s="595"/>
      <c r="DK864" s="595"/>
      <c r="DL864" s="595"/>
      <c r="DM864" s="595"/>
      <c r="DN864" s="595"/>
      <c r="DO864" s="1438"/>
      <c r="DY864" s="2911"/>
      <c r="DZ864" s="2911"/>
    </row>
    <row r="865" spans="1:130" ht="12" hidden="1" customHeight="1" outlineLevel="1">
      <c r="A865" s="228" t="s">
        <v>384</v>
      </c>
      <c r="B865" s="228"/>
      <c r="C865" s="228"/>
      <c r="D865" s="625"/>
      <c r="E865" s="626"/>
      <c r="F865" s="626"/>
      <c r="G865" s="626"/>
      <c r="H865" s="788"/>
      <c r="I865" s="626"/>
      <c r="J865" s="626"/>
      <c r="K865" s="626"/>
      <c r="L865" s="626"/>
      <c r="M865" s="788"/>
      <c r="N865" s="626"/>
      <c r="O865" s="626"/>
      <c r="P865" s="626"/>
      <c r="Q865" s="626"/>
      <c r="R865" s="788"/>
      <c r="S865" s="626"/>
      <c r="T865" s="626"/>
      <c r="U865" s="626"/>
      <c r="V865" s="626"/>
      <c r="W865" s="788"/>
      <c r="X865" s="626"/>
      <c r="Y865" s="626"/>
      <c r="Z865" s="626"/>
      <c r="AA865" s="626"/>
      <c r="AB865" s="788"/>
      <c r="AC865" s="626"/>
      <c r="AD865" s="626"/>
      <c r="AE865" s="626"/>
      <c r="AF865" s="626"/>
      <c r="AG865" s="788"/>
      <c r="AH865" s="626"/>
      <c r="AI865" s="626"/>
      <c r="AJ865" s="626"/>
      <c r="AK865" s="626"/>
      <c r="AL865" s="788"/>
      <c r="AM865" s="827"/>
      <c r="AN865" s="827"/>
      <c r="AO865" s="827"/>
      <c r="AP865" s="827"/>
      <c r="AQ865" s="556"/>
      <c r="AR865" s="827"/>
      <c r="AS865" s="827"/>
      <c r="AT865" s="827"/>
      <c r="AU865" s="826"/>
      <c r="AV865" s="556"/>
      <c r="AW865" s="826"/>
      <c r="AX865" s="826"/>
      <c r="AY865" s="826"/>
      <c r="AZ865" s="826"/>
      <c r="BA865" s="556"/>
      <c r="BB865" s="2731">
        <f t="shared" ref="BB865:CB865" si="1659">+BB863*BB859</f>
        <v>0</v>
      </c>
      <c r="BC865" s="826">
        <f t="shared" si="1659"/>
        <v>0</v>
      </c>
      <c r="BD865" s="826">
        <f t="shared" si="1659"/>
        <v>0</v>
      </c>
      <c r="BE865" s="1900">
        <f t="shared" si="1659"/>
        <v>0</v>
      </c>
      <c r="BF865" s="556">
        <f t="shared" si="1659"/>
        <v>0</v>
      </c>
      <c r="BG865" s="2894">
        <f t="shared" si="1659"/>
        <v>0</v>
      </c>
      <c r="BH865" s="2694">
        <f t="shared" si="1659"/>
        <v>0</v>
      </c>
      <c r="BI865" s="2694">
        <f t="shared" si="1659"/>
        <v>0</v>
      </c>
      <c r="BJ865" s="2695">
        <f t="shared" si="1659"/>
        <v>0</v>
      </c>
      <c r="BK865" s="556">
        <f t="shared" si="1659"/>
        <v>0</v>
      </c>
      <c r="BL865" s="2694">
        <f t="shared" si="1659"/>
        <v>0</v>
      </c>
      <c r="BM865" s="2694">
        <f t="shared" si="1659"/>
        <v>0</v>
      </c>
      <c r="BN865" s="2694">
        <f t="shared" si="1659"/>
        <v>0</v>
      </c>
      <c r="BO865" s="2695">
        <f t="shared" si="1659"/>
        <v>0</v>
      </c>
      <c r="BP865" s="556">
        <f t="shared" si="1659"/>
        <v>0</v>
      </c>
      <c r="BQ865" s="2694">
        <f t="shared" ref="BQ865:BZ865" si="1660">+BQ863*BQ859</f>
        <v>3.1528125000000011E-2</v>
      </c>
      <c r="BR865" s="2694">
        <f t="shared" si="1660"/>
        <v>3.1528125000000011E-2</v>
      </c>
      <c r="BS865" s="2694">
        <f t="shared" si="1660"/>
        <v>3.1528125000000011E-2</v>
      </c>
      <c r="BT865" s="2695">
        <f t="shared" si="1660"/>
        <v>3.1528125000000011E-2</v>
      </c>
      <c r="BU865" s="3372">
        <f t="shared" si="1660"/>
        <v>0.12611250000000004</v>
      </c>
      <c r="BV865" s="2694">
        <f t="shared" si="1660"/>
        <v>9.7839405000000004E-2</v>
      </c>
      <c r="BW865" s="2694">
        <f t="shared" si="1660"/>
        <v>9.7839405000000004E-2</v>
      </c>
      <c r="BX865" s="2694">
        <f t="shared" si="1660"/>
        <v>9.7839405000000004E-2</v>
      </c>
      <c r="BY865" s="2695">
        <f t="shared" si="1660"/>
        <v>9.7839405000000004E-2</v>
      </c>
      <c r="BZ865" s="3372">
        <f t="shared" si="1660"/>
        <v>0.39135762000000002</v>
      </c>
      <c r="CA865" s="556">
        <f t="shared" si="1659"/>
        <v>0.73721323638841607</v>
      </c>
      <c r="CB865" s="556">
        <f t="shared" si="1659"/>
        <v>1.0867419811266821</v>
      </c>
      <c r="CC865" s="556">
        <f>+CC863*CC859</f>
        <v>0.99062381228097307</v>
      </c>
      <c r="CD865" s="556">
        <f>+CD863*CD859</f>
        <v>0.94109262166692431</v>
      </c>
      <c r="CE865" s="556">
        <f>+CE863*CE859</f>
        <v>0.95991447410026276</v>
      </c>
      <c r="CF865" s="556">
        <f>+CF863*CF859</f>
        <v>0.97911276358226795</v>
      </c>
      <c r="CG865" s="556">
        <f>+CG863*CG859</f>
        <v>0.99869501885391332</v>
      </c>
      <c r="CH865" s="626"/>
      <c r="CI865" s="626"/>
      <c r="CJ865" s="626"/>
      <c r="CK865" s="626"/>
      <c r="CL865" s="626"/>
      <c r="CM865" s="965"/>
      <c r="CN865" s="965">
        <f t="shared" ref="CN865" si="1661">SUM(BV865:BY865)</f>
        <v>0.39135762000000002</v>
      </c>
      <c r="CO865" s="965">
        <f t="shared" ref="CO865" si="1662">CM865-CN865</f>
        <v>-0.39135762000000002</v>
      </c>
      <c r="CP865" s="994" t="str">
        <f>A865</f>
        <v>EBITDA to BYD Share</v>
      </c>
      <c r="CQ865" s="626"/>
      <c r="CR865" s="626"/>
      <c r="CS865" s="626"/>
      <c r="CT865" s="626"/>
      <c r="CU865" s="626"/>
      <c r="CV865" s="626"/>
      <c r="CW865" s="626"/>
      <c r="CX865" s="626"/>
      <c r="CY865" s="626"/>
      <c r="CZ865" s="626">
        <f>BA865</f>
        <v>0</v>
      </c>
      <c r="DA865" s="626">
        <f>BF865</f>
        <v>0</v>
      </c>
      <c r="DB865" s="626">
        <f>BK865</f>
        <v>0</v>
      </c>
      <c r="DC865" s="626">
        <f>BP865</f>
        <v>0</v>
      </c>
      <c r="DD865" s="626">
        <f>BU865</f>
        <v>0.12611250000000004</v>
      </c>
      <c r="DE865" s="626">
        <f>BZ865</f>
        <v>0.39135762000000002</v>
      </c>
      <c r="DF865" s="626">
        <f>CA865</f>
        <v>0.73721323638841607</v>
      </c>
      <c r="DG865" s="1893">
        <f>CB865</f>
        <v>1.0867419811266821</v>
      </c>
      <c r="DH865" s="632"/>
      <c r="DI865" s="595"/>
      <c r="DJ865" s="595"/>
      <c r="DK865" s="595"/>
      <c r="DL865" s="595"/>
      <c r="DM865" s="595"/>
      <c r="DN865" s="514"/>
      <c r="DO865" s="77"/>
      <c r="DY865" s="557"/>
      <c r="DZ865" s="557"/>
    </row>
    <row r="866" spans="1:130" ht="12" hidden="1" customHeight="1" outlineLevel="1">
      <c r="A866" s="228"/>
      <c r="B866" s="228"/>
      <c r="C866" s="228"/>
      <c r="D866" s="625"/>
      <c r="E866" s="626"/>
      <c r="F866" s="626"/>
      <c r="G866" s="626"/>
      <c r="H866" s="788"/>
      <c r="I866" s="626"/>
      <c r="J866" s="626"/>
      <c r="K866" s="626"/>
      <c r="L866" s="626"/>
      <c r="M866" s="788"/>
      <c r="N866" s="626"/>
      <c r="O866" s="626"/>
      <c r="P866" s="626"/>
      <c r="Q866" s="626"/>
      <c r="R866" s="788"/>
      <c r="S866" s="626"/>
      <c r="T866" s="626"/>
      <c r="U866" s="626"/>
      <c r="V866" s="626"/>
      <c r="W866" s="788"/>
      <c r="X866" s="626"/>
      <c r="Y866" s="626"/>
      <c r="Z866" s="626"/>
      <c r="AA866" s="626"/>
      <c r="AB866" s="788"/>
      <c r="AC866" s="626"/>
      <c r="AD866" s="626"/>
      <c r="AE866" s="626"/>
      <c r="AF866" s="626"/>
      <c r="AG866" s="788"/>
      <c r="AH866" s="626"/>
      <c r="AI866" s="626"/>
      <c r="AJ866" s="626"/>
      <c r="AK866" s="626"/>
      <c r="AL866" s="788"/>
      <c r="AM866" s="827"/>
      <c r="AN866" s="827"/>
      <c r="AO866" s="827"/>
      <c r="AP866" s="827"/>
      <c r="AQ866" s="556"/>
      <c r="AR866" s="827"/>
      <c r="AS866" s="827"/>
      <c r="AT866" s="827"/>
      <c r="AU866" s="826"/>
      <c r="AV866" s="556"/>
      <c r="AW866" s="826"/>
      <c r="AX866" s="826"/>
      <c r="AY866" s="826"/>
      <c r="AZ866" s="826"/>
      <c r="BA866" s="556"/>
      <c r="BB866" s="2731"/>
      <c r="BC866" s="826"/>
      <c r="BD866" s="826"/>
      <c r="BE866" s="1900"/>
      <c r="BF866" s="556"/>
      <c r="BG866" s="661"/>
      <c r="BH866" s="557"/>
      <c r="BI866" s="557"/>
      <c r="BJ866" s="1848"/>
      <c r="BK866" s="556"/>
      <c r="BL866" s="557"/>
      <c r="BM866" s="557"/>
      <c r="BN866" s="557"/>
      <c r="BO866" s="1848"/>
      <c r="BP866" s="556"/>
      <c r="BQ866" s="557"/>
      <c r="BR866" s="557"/>
      <c r="BS866" s="557"/>
      <c r="BT866" s="1848"/>
      <c r="BU866" s="3372"/>
      <c r="BV866" s="557"/>
      <c r="BW866" s="557"/>
      <c r="BX866" s="557"/>
      <c r="BY866" s="1848"/>
      <c r="BZ866" s="3372"/>
      <c r="CA866" s="556"/>
      <c r="CB866" s="556"/>
      <c r="CC866" s="556"/>
      <c r="CD866" s="556"/>
      <c r="CE866" s="556"/>
      <c r="CF866" s="556"/>
      <c r="CG866" s="556"/>
      <c r="CH866" s="626"/>
      <c r="CI866" s="626"/>
      <c r="CJ866" s="626"/>
      <c r="CK866" s="626"/>
      <c r="CL866" s="626"/>
      <c r="CM866" s="626"/>
      <c r="CN866" s="626"/>
      <c r="CO866" s="626"/>
      <c r="CP866" s="994"/>
      <c r="CQ866" s="626"/>
      <c r="CR866" s="626"/>
      <c r="CS866" s="626"/>
      <c r="CT866" s="626"/>
      <c r="CU866" s="626"/>
      <c r="CV866" s="626"/>
      <c r="CW866" s="626"/>
      <c r="CX866" s="626"/>
      <c r="CY866" s="626"/>
      <c r="CZ866" s="626"/>
      <c r="DA866" s="626"/>
      <c r="DB866" s="626"/>
      <c r="DC866" s="626"/>
      <c r="DD866" s="626"/>
      <c r="DE866" s="626"/>
      <c r="DF866" s="626"/>
      <c r="DG866" s="1893"/>
      <c r="DH866" s="632"/>
      <c r="DI866" s="595"/>
      <c r="DJ866" s="595"/>
      <c r="DK866" s="595"/>
      <c r="DL866" s="595"/>
      <c r="DM866" s="595"/>
      <c r="DN866" s="514"/>
      <c r="DO866" s="77"/>
      <c r="DY866" s="557"/>
      <c r="DZ866" s="557"/>
    </row>
    <row r="867" spans="1:130" ht="12" hidden="1" customHeight="1" outlineLevel="1">
      <c r="A867" s="2501" t="s">
        <v>1772</v>
      </c>
      <c r="B867" s="228"/>
      <c r="C867" s="228"/>
      <c r="D867" s="625"/>
      <c r="E867" s="626"/>
      <c r="F867" s="626"/>
      <c r="G867" s="626"/>
      <c r="H867" s="788"/>
      <c r="I867" s="626"/>
      <c r="J867" s="626"/>
      <c r="K867" s="626"/>
      <c r="L867" s="626"/>
      <c r="M867" s="788"/>
      <c r="N867" s="626"/>
      <c r="O867" s="626"/>
      <c r="P867" s="626"/>
      <c r="Q867" s="626"/>
      <c r="R867" s="788"/>
      <c r="S867" s="626"/>
      <c r="T867" s="626"/>
      <c r="U867" s="626"/>
      <c r="V867" s="626"/>
      <c r="W867" s="788"/>
      <c r="X867" s="626"/>
      <c r="Y867" s="626"/>
      <c r="Z867" s="626"/>
      <c r="AA867" s="626"/>
      <c r="AB867" s="788"/>
      <c r="AC867" s="626"/>
      <c r="AD867" s="626"/>
      <c r="AE867" s="626"/>
      <c r="AF867" s="626"/>
      <c r="AG867" s="788"/>
      <c r="AH867" s="626"/>
      <c r="AI867" s="626"/>
      <c r="AJ867" s="626"/>
      <c r="AK867" s="626"/>
      <c r="AL867" s="788"/>
      <c r="AM867" s="827"/>
      <c r="AN867" s="827"/>
      <c r="AO867" s="827"/>
      <c r="AP867" s="827"/>
      <c r="AQ867" s="556"/>
      <c r="AR867" s="827"/>
      <c r="AS867" s="827"/>
      <c r="AT867" s="827"/>
      <c r="AU867" s="826"/>
      <c r="AV867" s="556"/>
      <c r="AW867" s="826"/>
      <c r="AX867" s="826"/>
      <c r="AY867" s="826"/>
      <c r="AZ867" s="826"/>
      <c r="BA867" s="556"/>
      <c r="BB867" s="625">
        <f t="shared" ref="BB867:CB867" si="1663">+BB808+BB840</f>
        <v>-3.2</v>
      </c>
      <c r="BC867" s="2694">
        <f t="shared" si="1663"/>
        <v>-1.8</v>
      </c>
      <c r="BD867" s="2694">
        <f t="shared" si="1663"/>
        <v>0.2</v>
      </c>
      <c r="BE867" s="2695">
        <f t="shared" si="1663"/>
        <v>1.8</v>
      </c>
      <c r="BF867" s="2696">
        <f t="shared" si="1663"/>
        <v>-3</v>
      </c>
      <c r="BG867" s="625">
        <f t="shared" si="1663"/>
        <v>1.1000000000000001</v>
      </c>
      <c r="BH867" s="2694">
        <f t="shared" si="1663"/>
        <v>1.6</v>
      </c>
      <c r="BI867" s="2694">
        <f t="shared" si="1663"/>
        <v>3.4</v>
      </c>
      <c r="BJ867" s="2695">
        <f t="shared" si="1663"/>
        <v>1.6052311200000002</v>
      </c>
      <c r="BK867" s="2696">
        <f t="shared" si="1663"/>
        <v>7.7052311199999997</v>
      </c>
      <c r="BL867" s="2694">
        <f t="shared" si="1663"/>
        <v>1.3466145600000001</v>
      </c>
      <c r="BM867" s="2694">
        <f t="shared" si="1663"/>
        <v>1.31891802315</v>
      </c>
      <c r="BN867" s="2694">
        <f t="shared" si="1663"/>
        <v>1.31891802315</v>
      </c>
      <c r="BO867" s="2695">
        <f t="shared" si="1663"/>
        <v>1.31891802315</v>
      </c>
      <c r="BP867" s="2696">
        <f t="shared" si="1663"/>
        <v>5.3033686294500004</v>
      </c>
      <c r="BQ867" s="2694">
        <f t="shared" ref="BQ867:BZ867" si="1664">+BQ808+BQ840</f>
        <v>3.1801274559625483</v>
      </c>
      <c r="BR867" s="2694">
        <f t="shared" si="1664"/>
        <v>3.1801274559625483</v>
      </c>
      <c r="BS867" s="2694">
        <f t="shared" si="1664"/>
        <v>3.1801274559625483</v>
      </c>
      <c r="BT867" s="2695">
        <f t="shared" si="1664"/>
        <v>3.1801274559625483</v>
      </c>
      <c r="BU867" s="3376">
        <f t="shared" si="1664"/>
        <v>12.720509823850193</v>
      </c>
      <c r="BV867" s="2694">
        <f t="shared" si="1664"/>
        <v>5.2610279127572142</v>
      </c>
      <c r="BW867" s="2694">
        <f t="shared" si="1664"/>
        <v>5.2610279127572142</v>
      </c>
      <c r="BX867" s="2694">
        <f t="shared" si="1664"/>
        <v>5.2610279127572142</v>
      </c>
      <c r="BY867" s="2695">
        <f t="shared" si="1664"/>
        <v>5.2610279127572142</v>
      </c>
      <c r="BZ867" s="3376">
        <f t="shared" si="1664"/>
        <v>21.044111651028857</v>
      </c>
      <c r="CA867" s="2696">
        <f t="shared" si="1663"/>
        <v>31.29149877447583</v>
      </c>
      <c r="CB867" s="2696">
        <f t="shared" si="1663"/>
        <v>41.174882062355515</v>
      </c>
      <c r="CC867" s="2696">
        <f>+CC808+CC840</f>
        <v>37.862705865556492</v>
      </c>
      <c r="CD867" s="2696">
        <f>+CD808+CD840</f>
        <v>35.969570572278663</v>
      </c>
      <c r="CE867" s="2696">
        <f>+CE808+CE840</f>
        <v>36.688961983724241</v>
      </c>
      <c r="CF867" s="2696">
        <f>+CF808+CF840</f>
        <v>37.422741223398717</v>
      </c>
      <c r="CG867" s="2696">
        <f>+CG808+CG840</f>
        <v>38.171196047866694</v>
      </c>
      <c r="CH867" s="626"/>
      <c r="CI867" s="626"/>
      <c r="CJ867" s="626"/>
      <c r="CK867" s="626"/>
      <c r="CL867" s="626"/>
      <c r="CM867" s="965"/>
      <c r="CN867" s="965">
        <f t="shared" ref="CN867" si="1665">SUM(BV867:BY867)</f>
        <v>21.044111651028857</v>
      </c>
      <c r="CO867" s="965">
        <f t="shared" ref="CO867" si="1666">CM867-CN867</f>
        <v>-21.044111651028857</v>
      </c>
      <c r="CP867" s="994"/>
      <c r="CQ867" s="626"/>
      <c r="CR867" s="626"/>
      <c r="CS867" s="626"/>
      <c r="CT867" s="626"/>
      <c r="CU867" s="626"/>
      <c r="CV867" s="626"/>
      <c r="CW867" s="626"/>
      <c r="CX867" s="626"/>
      <c r="CY867" s="626"/>
      <c r="CZ867" s="626"/>
      <c r="DA867" s="626"/>
      <c r="DB867" s="626"/>
      <c r="DC867" s="626"/>
      <c r="DD867" s="626"/>
      <c r="DE867" s="626"/>
      <c r="DF867" s="626"/>
      <c r="DG867" s="1893"/>
      <c r="DH867" s="632"/>
      <c r="DI867" s="595"/>
      <c r="DJ867" s="595"/>
      <c r="DK867" s="595"/>
      <c r="DL867" s="595"/>
      <c r="DM867" s="595"/>
      <c r="DN867" s="514"/>
      <c r="DO867" s="77"/>
      <c r="DY867" s="2693"/>
      <c r="DZ867" s="2693"/>
    </row>
    <row r="868" spans="1:130" ht="12" hidden="1" customHeight="1" outlineLevel="1">
      <c r="A868" s="2501"/>
      <c r="B868" s="228"/>
      <c r="C868" s="228"/>
      <c r="D868" s="625"/>
      <c r="E868" s="626"/>
      <c r="F868" s="626"/>
      <c r="G868" s="626"/>
      <c r="H868" s="788"/>
      <c r="I868" s="626"/>
      <c r="J868" s="626"/>
      <c r="K868" s="626"/>
      <c r="L868" s="626"/>
      <c r="M868" s="788"/>
      <c r="N868" s="626"/>
      <c r="O868" s="626"/>
      <c r="P868" s="626"/>
      <c r="Q868" s="626"/>
      <c r="R868" s="788"/>
      <c r="S868" s="626"/>
      <c r="T868" s="626"/>
      <c r="U868" s="626"/>
      <c r="V868" s="626"/>
      <c r="W868" s="788"/>
      <c r="X868" s="626"/>
      <c r="Y868" s="626"/>
      <c r="Z868" s="626"/>
      <c r="AA868" s="626"/>
      <c r="AB868" s="788"/>
      <c r="AC868" s="626"/>
      <c r="AD868" s="626"/>
      <c r="AE868" s="626"/>
      <c r="AF868" s="626"/>
      <c r="AG868" s="788"/>
      <c r="AH868" s="626"/>
      <c r="AI868" s="626"/>
      <c r="AJ868" s="626"/>
      <c r="AK868" s="626"/>
      <c r="AL868" s="788"/>
      <c r="AM868" s="827"/>
      <c r="AN868" s="827"/>
      <c r="AO868" s="827"/>
      <c r="AP868" s="827"/>
      <c r="AQ868" s="556"/>
      <c r="AR868" s="827"/>
      <c r="AS868" s="827"/>
      <c r="AT868" s="827"/>
      <c r="AU868" s="826"/>
      <c r="AV868" s="556"/>
      <c r="AW868" s="826"/>
      <c r="AX868" s="826"/>
      <c r="AY868" s="826"/>
      <c r="AZ868" s="826"/>
      <c r="BA868" s="556"/>
      <c r="BB868" s="625"/>
      <c r="BC868" s="2694"/>
      <c r="BD868" s="2694"/>
      <c r="BE868" s="2695"/>
      <c r="BF868" s="2696"/>
      <c r="BG868" s="2915"/>
      <c r="BH868" s="2693"/>
      <c r="BI868" s="2693"/>
      <c r="BJ868" s="2916"/>
      <c r="BK868" s="2696"/>
      <c r="BL868" s="2693"/>
      <c r="BM868" s="2693"/>
      <c r="BN868" s="2693"/>
      <c r="BO868" s="2916"/>
      <c r="BP868" s="2696"/>
      <c r="BQ868" s="2693"/>
      <c r="BR868" s="2693"/>
      <c r="BS868" s="2693"/>
      <c r="BT868" s="2916"/>
      <c r="BU868" s="3376"/>
      <c r="BV868" s="2693"/>
      <c r="BW868" s="2693"/>
      <c r="BX868" s="2693"/>
      <c r="BY868" s="2916"/>
      <c r="BZ868" s="3376"/>
      <c r="CA868" s="2696"/>
      <c r="CB868" s="2696"/>
      <c r="CC868" s="2696"/>
      <c r="CD868" s="2696"/>
      <c r="CE868" s="2696"/>
      <c r="CF868" s="2696"/>
      <c r="CG868" s="2696"/>
      <c r="CH868" s="626"/>
      <c r="CI868" s="626"/>
      <c r="CJ868" s="626"/>
      <c r="CK868" s="626"/>
      <c r="CL868" s="626"/>
      <c r="CM868" s="626"/>
      <c r="CN868" s="626"/>
      <c r="CO868" s="626"/>
      <c r="CP868" s="994"/>
      <c r="CQ868" s="626"/>
      <c r="CR868" s="626"/>
      <c r="CS868" s="626"/>
      <c r="CT868" s="626"/>
      <c r="CU868" s="626"/>
      <c r="CV868" s="626"/>
      <c r="CW868" s="626"/>
      <c r="CX868" s="626"/>
      <c r="CY868" s="626"/>
      <c r="CZ868" s="626"/>
      <c r="DA868" s="626"/>
      <c r="DB868" s="626"/>
      <c r="DC868" s="626"/>
      <c r="DD868" s="626"/>
      <c r="DE868" s="626"/>
      <c r="DF868" s="626"/>
      <c r="DG868" s="1893"/>
      <c r="DH868" s="632"/>
      <c r="DI868" s="595"/>
      <c r="DJ868" s="595"/>
      <c r="DK868" s="595"/>
      <c r="DL868" s="595"/>
      <c r="DM868" s="595"/>
      <c r="DN868" s="514"/>
      <c r="DO868" s="77"/>
      <c r="DY868" s="2693"/>
      <c r="DZ868" s="2693"/>
    </row>
    <row r="869" spans="1:130" ht="12" hidden="1" customHeight="1" outlineLevel="1">
      <c r="A869" s="552" t="s">
        <v>826</v>
      </c>
      <c r="B869" s="228"/>
      <c r="C869" s="228"/>
      <c r="D869" s="625"/>
      <c r="E869" s="626"/>
      <c r="F869" s="626"/>
      <c r="G869" s="626"/>
      <c r="H869" s="788"/>
      <c r="I869" s="626"/>
      <c r="J869" s="626"/>
      <c r="K869" s="626"/>
      <c r="L869" s="626"/>
      <c r="M869" s="788"/>
      <c r="N869" s="626"/>
      <c r="O869" s="626"/>
      <c r="P869" s="626"/>
      <c r="Q869" s="626"/>
      <c r="R869" s="788"/>
      <c r="S869" s="626"/>
      <c r="T869" s="626"/>
      <c r="U869" s="626"/>
      <c r="V869" s="626"/>
      <c r="W869" s="788"/>
      <c r="X869" s="626"/>
      <c r="Y869" s="626"/>
      <c r="Z869" s="626"/>
      <c r="AA869" s="626"/>
      <c r="AB869" s="788"/>
      <c r="AC869" s="626"/>
      <c r="AD869" s="626"/>
      <c r="AE869" s="626"/>
      <c r="AF869" s="626"/>
      <c r="AG869" s="788"/>
      <c r="AH869" s="626"/>
      <c r="AI869" s="626"/>
      <c r="AJ869" s="626"/>
      <c r="AK869" s="626"/>
      <c r="AL869" s="788"/>
      <c r="AM869" s="827"/>
      <c r="AN869" s="827"/>
      <c r="AO869" s="827"/>
      <c r="AP869" s="827"/>
      <c r="AQ869" s="556"/>
      <c r="AR869" s="827"/>
      <c r="AS869" s="827"/>
      <c r="AT869" s="827"/>
      <c r="AU869" s="826"/>
      <c r="AV869" s="556"/>
      <c r="AW869" s="826"/>
      <c r="AX869" s="826"/>
      <c r="AY869" s="826"/>
      <c r="AZ869" s="826"/>
      <c r="BA869" s="588"/>
      <c r="BB869" s="625">
        <f t="shared" ref="BB869:CB869" si="1667">+BB820+BB840</f>
        <v>-1.6</v>
      </c>
      <c r="BC869" s="626">
        <f t="shared" si="1667"/>
        <v>-0.9</v>
      </c>
      <c r="BD869" s="626">
        <f t="shared" si="1667"/>
        <v>0.1</v>
      </c>
      <c r="BE869" s="1893">
        <f t="shared" si="1667"/>
        <v>0.9</v>
      </c>
      <c r="BF869" s="588">
        <f t="shared" si="1667"/>
        <v>-1.5</v>
      </c>
      <c r="BG869" s="625">
        <f t="shared" si="1667"/>
        <v>0.55000000000000004</v>
      </c>
      <c r="BH869" s="626">
        <f t="shared" si="1667"/>
        <v>0.8</v>
      </c>
      <c r="BI869" s="626">
        <f t="shared" si="1667"/>
        <v>1.7</v>
      </c>
      <c r="BJ869" s="1893">
        <f t="shared" si="1667"/>
        <v>0.80261556000000012</v>
      </c>
      <c r="BK869" s="588">
        <f t="shared" si="1667"/>
        <v>3.8526155599999998</v>
      </c>
      <c r="BL869" s="626">
        <f t="shared" si="1667"/>
        <v>0.67330728000000006</v>
      </c>
      <c r="BM869" s="626">
        <f t="shared" ref="BM869:BU869" si="1668">+BM820+BM840</f>
        <v>0.65945901157499998</v>
      </c>
      <c r="BN869" s="626">
        <f t="shared" si="1668"/>
        <v>0.65945901157499998</v>
      </c>
      <c r="BO869" s="1893">
        <f t="shared" si="1668"/>
        <v>0.65945901157499998</v>
      </c>
      <c r="BP869" s="588">
        <f t="shared" si="1668"/>
        <v>2.6516843147250002</v>
      </c>
      <c r="BQ869" s="626">
        <f t="shared" si="1668"/>
        <v>1.9053449779812741</v>
      </c>
      <c r="BR869" s="626">
        <f t="shared" si="1668"/>
        <v>1.9053449779812741</v>
      </c>
      <c r="BS869" s="626">
        <f t="shared" si="1668"/>
        <v>1.9053449779812741</v>
      </c>
      <c r="BT869" s="1893">
        <f t="shared" si="1668"/>
        <v>1.9053449779812741</v>
      </c>
      <c r="BU869" s="3376">
        <f t="shared" si="1668"/>
        <v>7.6213799119250965</v>
      </c>
      <c r="BV869" s="626">
        <f t="shared" ref="BV869:BZ869" si="1669">+BV820+BV840</f>
        <v>3.7312072626286072</v>
      </c>
      <c r="BW869" s="626">
        <f t="shared" si="1669"/>
        <v>3.7312072626286072</v>
      </c>
      <c r="BX869" s="626">
        <f t="shared" si="1669"/>
        <v>3.7312072626286072</v>
      </c>
      <c r="BY869" s="1893">
        <f t="shared" si="1669"/>
        <v>3.7312072626286072</v>
      </c>
      <c r="BZ869" s="3376">
        <f t="shared" si="1669"/>
        <v>14.924829050514429</v>
      </c>
      <c r="CA869" s="588">
        <f t="shared" si="1667"/>
        <v>24.492308223898906</v>
      </c>
      <c r="CB869" s="588">
        <f t="shared" si="1667"/>
        <v>34.171715795261285</v>
      </c>
      <c r="CC869" s="588">
        <f>+CC820+CC840</f>
        <v>31.209697911816967</v>
      </c>
      <c r="CD869" s="588">
        <f>+CD820+CD840</f>
        <v>29.64921301622612</v>
      </c>
      <c r="CE869" s="588">
        <f>+CE820+CE840</f>
        <v>30.242197276550641</v>
      </c>
      <c r="CF869" s="588">
        <f>+CF820+CF840</f>
        <v>30.847041222081653</v>
      </c>
      <c r="CG869" s="588">
        <f>+CG820+CG840</f>
        <v>31.463982046523284</v>
      </c>
      <c r="CH869" s="626"/>
      <c r="CI869" s="626"/>
      <c r="CJ869" s="626"/>
      <c r="CK869" s="626"/>
      <c r="CL869" s="626"/>
      <c r="CM869" s="965"/>
      <c r="CN869" s="965">
        <f t="shared" ref="CN869:CN870" si="1670">SUM(BV869:BY869)</f>
        <v>14.924829050514429</v>
      </c>
      <c r="CO869" s="965">
        <f t="shared" ref="CO869" si="1671">CM869-CN869</f>
        <v>-14.924829050514429</v>
      </c>
      <c r="CP869" s="994"/>
      <c r="CQ869" s="626"/>
      <c r="CR869" s="626"/>
      <c r="CS869" s="626"/>
      <c r="CT869" s="626"/>
      <c r="CU869" s="626"/>
      <c r="CV869" s="626"/>
      <c r="CW869" s="626"/>
      <c r="CX869" s="626"/>
      <c r="CY869" s="626"/>
      <c r="CZ869" s="626"/>
      <c r="DA869" s="626"/>
      <c r="DB869" s="626"/>
      <c r="DC869" s="626"/>
      <c r="DD869" s="626"/>
      <c r="DE869" s="626"/>
      <c r="DF869" s="626"/>
      <c r="DG869" s="1893"/>
      <c r="DH869" s="632"/>
      <c r="DI869" s="595"/>
      <c r="DJ869" s="595"/>
      <c r="DK869" s="595"/>
      <c r="DL869" s="595"/>
      <c r="DM869" s="595"/>
      <c r="DN869" s="514"/>
      <c r="DO869" s="77"/>
      <c r="DY869" s="581"/>
      <c r="DZ869" s="581"/>
    </row>
    <row r="870" spans="1:130" ht="12" hidden="1" customHeight="1" outlineLevel="1">
      <c r="A870" s="552" t="s">
        <v>827</v>
      </c>
      <c r="B870" s="228"/>
      <c r="C870" s="228"/>
      <c r="D870" s="625"/>
      <c r="E870" s="626"/>
      <c r="F870" s="626"/>
      <c r="G870" s="626"/>
      <c r="H870" s="788"/>
      <c r="I870" s="626"/>
      <c r="J870" s="626"/>
      <c r="K870" s="626"/>
      <c r="L870" s="626"/>
      <c r="M870" s="788"/>
      <c r="N870" s="626"/>
      <c r="O870" s="626"/>
      <c r="P870" s="626"/>
      <c r="Q870" s="626"/>
      <c r="R870" s="788"/>
      <c r="S870" s="626"/>
      <c r="T870" s="626"/>
      <c r="U870" s="626"/>
      <c r="V870" s="626"/>
      <c r="W870" s="788"/>
      <c r="X870" s="626"/>
      <c r="Y870" s="626"/>
      <c r="Z870" s="626"/>
      <c r="AA870" s="626"/>
      <c r="AB870" s="788"/>
      <c r="AC870" s="626"/>
      <c r="AD870" s="626"/>
      <c r="AE870" s="626"/>
      <c r="AF870" s="626"/>
      <c r="AG870" s="788"/>
      <c r="AH870" s="626"/>
      <c r="AI870" s="626"/>
      <c r="AJ870" s="626"/>
      <c r="AK870" s="626"/>
      <c r="AL870" s="788"/>
      <c r="AM870" s="827"/>
      <c r="AN870" s="827"/>
      <c r="AO870" s="827"/>
      <c r="AP870" s="827"/>
      <c r="AQ870" s="556"/>
      <c r="AR870" s="827"/>
      <c r="AS870" s="827"/>
      <c r="AT870" s="827"/>
      <c r="AU870" s="826"/>
      <c r="AV870" s="556"/>
      <c r="AW870" s="826"/>
      <c r="AX870" s="826"/>
      <c r="AY870" s="826"/>
      <c r="AZ870" s="826"/>
      <c r="BA870" s="588"/>
      <c r="BB870" s="625">
        <f>+BB865+BB821</f>
        <v>-0.11981144888888889</v>
      </c>
      <c r="BC870" s="626">
        <f t="shared" ref="BC870:CB870" si="1672">+BC865+BC821</f>
        <v>-4.4565832258064465E-2</v>
      </c>
      <c r="BD870" s="626">
        <f t="shared" si="1672"/>
        <v>5.2083809075316586E-3</v>
      </c>
      <c r="BE870" s="1893">
        <f t="shared" si="1672"/>
        <v>5.4933947450479352E-2</v>
      </c>
      <c r="BF870" s="588">
        <f t="shared" si="1672"/>
        <v>-0.10423495278894235</v>
      </c>
      <c r="BG870" s="625">
        <f>+BG865+BG821</f>
        <v>3.1031103475799418E-2</v>
      </c>
      <c r="BH870" s="626">
        <f t="shared" si="1672"/>
        <v>3.9774352298777002E-2</v>
      </c>
      <c r="BI870" s="626">
        <f t="shared" si="1672"/>
        <v>6.2755884586624636E-2</v>
      </c>
      <c r="BJ870" s="1893">
        <f t="shared" si="1672"/>
        <v>2.451847200000001E-2</v>
      </c>
      <c r="BK870" s="588">
        <f t="shared" si="1672"/>
        <v>0.15807981236120106</v>
      </c>
      <c r="BL870" s="626">
        <f t="shared" si="1672"/>
        <v>6.0829869000000009E-2</v>
      </c>
      <c r="BM870" s="626">
        <f t="shared" ref="BM870:BU870" si="1673">+BM865+BM821</f>
        <v>5.9578748777195392E-2</v>
      </c>
      <c r="BN870" s="626">
        <f t="shared" si="1673"/>
        <v>5.9578748777195392E-2</v>
      </c>
      <c r="BO870" s="1893">
        <f t="shared" si="1673"/>
        <v>5.9578748777195392E-2</v>
      </c>
      <c r="BP870" s="588">
        <f t="shared" si="1673"/>
        <v>0.23956611533158617</v>
      </c>
      <c r="BQ870" s="626">
        <f t="shared" si="1673"/>
        <v>0.14669820178737164</v>
      </c>
      <c r="BR870" s="626">
        <f t="shared" si="1673"/>
        <v>0.14669820178737164</v>
      </c>
      <c r="BS870" s="626">
        <f t="shared" si="1673"/>
        <v>0.14669820178737164</v>
      </c>
      <c r="BT870" s="1893">
        <f t="shared" si="1673"/>
        <v>0.14669820178737164</v>
      </c>
      <c r="BU870" s="3376">
        <f t="shared" si="1673"/>
        <v>0.58679280714948656</v>
      </c>
      <c r="BV870" s="626">
        <f t="shared" ref="BV870:BZ870" si="1674">+BV865+BV821</f>
        <v>0.23605087620348686</v>
      </c>
      <c r="BW870" s="626">
        <f t="shared" si="1674"/>
        <v>0.23605087620348686</v>
      </c>
      <c r="BX870" s="626">
        <f t="shared" si="1674"/>
        <v>0.23605087620348686</v>
      </c>
      <c r="BY870" s="1893">
        <f t="shared" si="1674"/>
        <v>0.23605087620348686</v>
      </c>
      <c r="BZ870" s="3376">
        <f t="shared" si="1674"/>
        <v>0.94420350481394744</v>
      </c>
      <c r="CA870" s="588">
        <f t="shared" si="1672"/>
        <v>1.3514853269822269</v>
      </c>
      <c r="CB870" s="588">
        <f t="shared" si="1672"/>
        <v>1.7194422344383071</v>
      </c>
      <c r="CC870" s="588">
        <f>+CC865+CC821</f>
        <v>1.5916890529270169</v>
      </c>
      <c r="CD870" s="588">
        <f>+CD865+CD821</f>
        <v>1.512104600280666</v>
      </c>
      <c r="CE870" s="588">
        <f>+CE865+CE821</f>
        <v>1.5423466922862792</v>
      </c>
      <c r="CF870" s="588">
        <f>+CF865+CF821</f>
        <v>1.5731936261320048</v>
      </c>
      <c r="CG870" s="588">
        <f>+CG865+CG821</f>
        <v>1.6046574986546449</v>
      </c>
      <c r="CH870" s="626"/>
      <c r="CI870" s="626"/>
      <c r="CJ870" s="626"/>
      <c r="CK870" s="626"/>
      <c r="CL870" s="626"/>
      <c r="CM870" s="965"/>
      <c r="CN870" s="965">
        <f t="shared" si="1670"/>
        <v>0.94420350481394744</v>
      </c>
      <c r="CO870" s="626"/>
      <c r="CP870" s="994"/>
      <c r="CQ870" s="626"/>
      <c r="CR870" s="626"/>
      <c r="CS870" s="626"/>
      <c r="CT870" s="626"/>
      <c r="CU870" s="626"/>
      <c r="CV870" s="626"/>
      <c r="CW870" s="626"/>
      <c r="CX870" s="626"/>
      <c r="CY870" s="626"/>
      <c r="CZ870" s="626"/>
      <c r="DA870" s="626"/>
      <c r="DB870" s="626"/>
      <c r="DC870" s="626"/>
      <c r="DD870" s="626"/>
      <c r="DE870" s="626"/>
      <c r="DF870" s="626"/>
      <c r="DG870" s="1893"/>
      <c r="DH870" s="632"/>
      <c r="DI870" s="595"/>
      <c r="DJ870" s="595"/>
      <c r="DK870" s="595"/>
      <c r="DL870" s="595"/>
      <c r="DM870" s="595"/>
      <c r="DN870" s="514"/>
      <c r="DO870" s="77"/>
      <c r="DY870" s="581"/>
      <c r="DZ870" s="581"/>
    </row>
    <row r="871" spans="1:130" ht="12" hidden="1" customHeight="1" outlineLevel="1">
      <c r="A871" s="552"/>
      <c r="B871" s="228"/>
      <c r="C871" s="228"/>
      <c r="D871" s="625"/>
      <c r="E871" s="626"/>
      <c r="F871" s="626"/>
      <c r="G871" s="626"/>
      <c r="H871" s="788"/>
      <c r="I871" s="626"/>
      <c r="J871" s="626"/>
      <c r="K871" s="626"/>
      <c r="L871" s="626"/>
      <c r="M871" s="788"/>
      <c r="N871" s="626"/>
      <c r="O871" s="626"/>
      <c r="P871" s="626"/>
      <c r="Q871" s="626"/>
      <c r="R871" s="788"/>
      <c r="S871" s="626"/>
      <c r="T871" s="626"/>
      <c r="U871" s="626"/>
      <c r="V871" s="626"/>
      <c r="W871" s="788"/>
      <c r="X871" s="626"/>
      <c r="Y871" s="626"/>
      <c r="Z871" s="626"/>
      <c r="AA871" s="626"/>
      <c r="AB871" s="788"/>
      <c r="AC871" s="626"/>
      <c r="AD871" s="626"/>
      <c r="AE871" s="626"/>
      <c r="AF871" s="626"/>
      <c r="AG871" s="788"/>
      <c r="AH871" s="626"/>
      <c r="AI871" s="626"/>
      <c r="AJ871" s="626"/>
      <c r="AK871" s="626"/>
      <c r="AL871" s="788"/>
      <c r="AM871" s="827"/>
      <c r="AN871" s="827"/>
      <c r="AO871" s="827"/>
      <c r="AP871" s="827"/>
      <c r="AQ871" s="556"/>
      <c r="AR871" s="827"/>
      <c r="AS871" s="827"/>
      <c r="AT871" s="827"/>
      <c r="AU871" s="826"/>
      <c r="AV871" s="556"/>
      <c r="AW871" s="826"/>
      <c r="AX871" s="826"/>
      <c r="AY871" s="826"/>
      <c r="AZ871" s="826"/>
      <c r="BA871" s="588"/>
      <c r="BB871" s="625"/>
      <c r="BC871" s="626"/>
      <c r="BD871" s="626"/>
      <c r="BE871" s="1893"/>
      <c r="BF871" s="588"/>
      <c r="BG871" s="580"/>
      <c r="BH871" s="581"/>
      <c r="BI871" s="581"/>
      <c r="BJ871" s="869"/>
      <c r="BK871" s="588"/>
      <c r="BL871" s="581"/>
      <c r="BM871" s="581"/>
      <c r="BN871" s="581"/>
      <c r="BO871" s="869"/>
      <c r="BP871" s="588"/>
      <c r="BQ871" s="581"/>
      <c r="BR871" s="581"/>
      <c r="BS871" s="581"/>
      <c r="BT871" s="869"/>
      <c r="BU871" s="3376"/>
      <c r="BV871" s="581"/>
      <c r="BW871" s="581"/>
      <c r="BX871" s="581"/>
      <c r="BY871" s="869"/>
      <c r="BZ871" s="3376"/>
      <c r="CA871" s="588"/>
      <c r="CB871" s="588"/>
      <c r="CC871" s="588"/>
      <c r="CD871" s="588"/>
      <c r="CE871" s="588"/>
      <c r="CF871" s="588"/>
      <c r="CG871" s="588"/>
      <c r="CH871" s="626"/>
      <c r="CI871" s="626"/>
      <c r="CJ871" s="626"/>
      <c r="CK871" s="626"/>
      <c r="CL871" s="626"/>
      <c r="CM871" s="626"/>
      <c r="CN871" s="626"/>
      <c r="CO871" s="626"/>
      <c r="CP871" s="994"/>
      <c r="CQ871" s="626"/>
      <c r="CR871" s="626"/>
      <c r="CS871" s="626"/>
      <c r="CT871" s="626"/>
      <c r="CU871" s="626"/>
      <c r="CV871" s="626"/>
      <c r="CW871" s="626"/>
      <c r="CX871" s="626"/>
      <c r="CY871" s="626"/>
      <c r="CZ871" s="626"/>
      <c r="DA871" s="626"/>
      <c r="DB871" s="626"/>
      <c r="DC871" s="626"/>
      <c r="DD871" s="626"/>
      <c r="DE871" s="626"/>
      <c r="DF871" s="626"/>
      <c r="DG871" s="1893"/>
      <c r="DH871" s="632"/>
      <c r="DI871" s="595"/>
      <c r="DJ871" s="595"/>
      <c r="DK871" s="595"/>
      <c r="DL871" s="595"/>
      <c r="DM871" s="595"/>
      <c r="DN871" s="514"/>
      <c r="DO871" s="77"/>
      <c r="DY871" s="581"/>
      <c r="DZ871" s="581"/>
    </row>
    <row r="872" spans="1:130" ht="12" hidden="1" customHeight="1" outlineLevel="1">
      <c r="A872" s="228" t="s">
        <v>385</v>
      </c>
      <c r="B872" s="228"/>
      <c r="C872" s="228"/>
      <c r="D872" s="625"/>
      <c r="E872" s="626"/>
      <c r="F872" s="626"/>
      <c r="G872" s="626"/>
      <c r="H872" s="788"/>
      <c r="I872" s="626"/>
      <c r="J872" s="626"/>
      <c r="K872" s="626"/>
      <c r="L872" s="626"/>
      <c r="M872" s="788"/>
      <c r="N872" s="626"/>
      <c r="O872" s="626"/>
      <c r="P872" s="626"/>
      <c r="Q872" s="626"/>
      <c r="R872" s="788"/>
      <c r="S872" s="626"/>
      <c r="T872" s="626"/>
      <c r="U872" s="626"/>
      <c r="V872" s="626"/>
      <c r="W872" s="788"/>
      <c r="X872" s="626"/>
      <c r="Y872" s="626"/>
      <c r="Z872" s="626"/>
      <c r="AA872" s="626"/>
      <c r="AB872" s="788"/>
      <c r="AC872" s="626"/>
      <c r="AD872" s="626"/>
      <c r="AE872" s="626"/>
      <c r="AF872" s="626"/>
      <c r="AG872" s="788"/>
      <c r="AH872" s="626"/>
      <c r="AI872" s="626"/>
      <c r="AJ872" s="626"/>
      <c r="AK872" s="626"/>
      <c r="AL872" s="788"/>
      <c r="AM872" s="827"/>
      <c r="AN872" s="827"/>
      <c r="AO872" s="827"/>
      <c r="AP872" s="827"/>
      <c r="AQ872" s="556"/>
      <c r="AR872" s="827"/>
      <c r="AS872" s="827"/>
      <c r="AT872" s="827"/>
      <c r="AU872" s="826"/>
      <c r="AV872" s="556"/>
      <c r="AW872" s="826"/>
      <c r="AX872" s="826"/>
      <c r="AY872" s="826"/>
      <c r="AZ872" s="826"/>
      <c r="BA872" s="556"/>
      <c r="BB872" s="2731">
        <f t="shared" ref="BB872:CB872" si="1675">+BB865+BB840+BB823</f>
        <v>-1.7198114488888889</v>
      </c>
      <c r="BC872" s="826">
        <f t="shared" si="1675"/>
        <v>-0.94456583225806445</v>
      </c>
      <c r="BD872" s="826">
        <f t="shared" si="1675"/>
        <v>0.10520838090753167</v>
      </c>
      <c r="BE872" s="1900">
        <f t="shared" si="1675"/>
        <v>0.95493394745047933</v>
      </c>
      <c r="BF872" s="556">
        <f>+BF865+BF840+BF823</f>
        <v>-1.6042349527889423</v>
      </c>
      <c r="BG872" s="2731">
        <f t="shared" si="1675"/>
        <v>0.58103110347579945</v>
      </c>
      <c r="BH872" s="826">
        <f t="shared" si="1675"/>
        <v>0.83977435229877706</v>
      </c>
      <c r="BI872" s="826">
        <f t="shared" si="1675"/>
        <v>1.7627558845866247</v>
      </c>
      <c r="BJ872" s="1900">
        <f t="shared" si="1675"/>
        <v>0.82713403200000013</v>
      </c>
      <c r="BK872" s="556">
        <f t="shared" ref="BK872:BP872" si="1676">+BK865+BK840+BK823</f>
        <v>4.0106953723612007</v>
      </c>
      <c r="BL872" s="826">
        <f t="shared" si="1676"/>
        <v>0.73413714900000004</v>
      </c>
      <c r="BM872" s="826">
        <f t="shared" si="1676"/>
        <v>0.71903776035219535</v>
      </c>
      <c r="BN872" s="826">
        <f t="shared" si="1676"/>
        <v>0.71903776035219535</v>
      </c>
      <c r="BO872" s="1900">
        <f t="shared" si="1676"/>
        <v>0.71903776035219535</v>
      </c>
      <c r="BP872" s="556">
        <f t="shared" si="1676"/>
        <v>2.8912504300565862</v>
      </c>
      <c r="BQ872" s="826">
        <f t="shared" ref="BQ872:BZ872" si="1677">+BQ865+BQ840+BQ823</f>
        <v>2.0520431797686456</v>
      </c>
      <c r="BR872" s="826">
        <f t="shared" si="1677"/>
        <v>2.0520431797686456</v>
      </c>
      <c r="BS872" s="826">
        <f t="shared" si="1677"/>
        <v>2.0520431797686456</v>
      </c>
      <c r="BT872" s="1900">
        <f t="shared" si="1677"/>
        <v>2.0520431797686456</v>
      </c>
      <c r="BU872" s="3372">
        <f t="shared" si="1677"/>
        <v>8.2081727190745823</v>
      </c>
      <c r="BV872" s="826">
        <f t="shared" si="1677"/>
        <v>3.967258138832094</v>
      </c>
      <c r="BW872" s="826">
        <f t="shared" si="1677"/>
        <v>3.967258138832094</v>
      </c>
      <c r="BX872" s="826">
        <f t="shared" si="1677"/>
        <v>3.967258138832094</v>
      </c>
      <c r="BY872" s="1900">
        <f t="shared" si="1677"/>
        <v>3.967258138832094</v>
      </c>
      <c r="BZ872" s="3372">
        <f t="shared" si="1677"/>
        <v>15.869032555328376</v>
      </c>
      <c r="CA872" s="556">
        <f t="shared" si="1675"/>
        <v>25.843793550881134</v>
      </c>
      <c r="CB872" s="556">
        <f t="shared" si="1675"/>
        <v>35.891158029699589</v>
      </c>
      <c r="CC872" s="556">
        <f>+CC865+CC840+CC823</f>
        <v>32.801386964743983</v>
      </c>
      <c r="CD872" s="556">
        <f>+CD865+CD840+CD823</f>
        <v>31.161317616506786</v>
      </c>
      <c r="CE872" s="556">
        <f>+CE865+CE840+CE823</f>
        <v>31.784543968836921</v>
      </c>
      <c r="CF872" s="556">
        <f>+CF865+CF840+CF823</f>
        <v>32.42023484821366</v>
      </c>
      <c r="CG872" s="556">
        <f>+CG865+CG840+CG823</f>
        <v>33.06863954517793</v>
      </c>
      <c r="CH872" s="626"/>
      <c r="CI872" s="626"/>
      <c r="CJ872" s="626"/>
      <c r="CK872" s="626"/>
      <c r="CL872" s="626"/>
      <c r="CM872" s="965"/>
      <c r="CN872" s="965">
        <f t="shared" ref="CN872" si="1678">SUM(BV872:BY872)</f>
        <v>15.869032555328376</v>
      </c>
      <c r="CO872" s="965">
        <f t="shared" ref="CO872" si="1679">CM872-CN872</f>
        <v>-15.869032555328376</v>
      </c>
      <c r="CP872" s="994" t="str">
        <f>A872</f>
        <v>Total EBITDA to BYD Share</v>
      </c>
      <c r="CQ872" s="626"/>
      <c r="CR872" s="626"/>
      <c r="CS872" s="626"/>
      <c r="CT872" s="626"/>
      <c r="CU872" s="626"/>
      <c r="CV872" s="626"/>
      <c r="CW872" s="626"/>
      <c r="CX872" s="626"/>
      <c r="CY872" s="626"/>
      <c r="CZ872" s="626">
        <f>BA872</f>
        <v>0</v>
      </c>
      <c r="DA872" s="626">
        <f>BF872</f>
        <v>-1.6042349527889423</v>
      </c>
      <c r="DB872" s="626">
        <f>BK872</f>
        <v>4.0106953723612007</v>
      </c>
      <c r="DC872" s="626">
        <f>BP872</f>
        <v>2.8912504300565862</v>
      </c>
      <c r="DD872" s="626">
        <f>BU872</f>
        <v>8.2081727190745823</v>
      </c>
      <c r="DE872" s="626">
        <f t="shared" ref="DE872:DG873" si="1680">BZ872</f>
        <v>15.869032555328376</v>
      </c>
      <c r="DF872" s="626">
        <f t="shared" si="1680"/>
        <v>25.843793550881134</v>
      </c>
      <c r="DG872" s="1893">
        <f t="shared" si="1680"/>
        <v>35.891158029699589</v>
      </c>
      <c r="DH872" s="632"/>
      <c r="DI872" s="595"/>
      <c r="DJ872" s="595"/>
      <c r="DK872" s="595"/>
      <c r="DL872" s="595"/>
      <c r="DM872" s="595"/>
      <c r="DN872" s="514"/>
      <c r="DO872" s="77"/>
      <c r="DY872" s="557"/>
      <c r="DZ872" s="557"/>
    </row>
    <row r="873" spans="1:130" ht="12" hidden="1" customHeight="1" outlineLevel="1">
      <c r="A873" s="2140" t="s">
        <v>1153</v>
      </c>
      <c r="B873" s="778"/>
      <c r="C873" s="778"/>
      <c r="D873" s="2114"/>
      <c r="E873" s="806"/>
      <c r="F873" s="806"/>
      <c r="G873" s="806"/>
      <c r="H873" s="805"/>
      <c r="I873" s="806"/>
      <c r="J873" s="806"/>
      <c r="K873" s="806"/>
      <c r="L873" s="806"/>
      <c r="M873" s="805"/>
      <c r="N873" s="806"/>
      <c r="O873" s="806"/>
      <c r="P873" s="806"/>
      <c r="Q873" s="806"/>
      <c r="R873" s="805"/>
      <c r="S873" s="806"/>
      <c r="T873" s="806"/>
      <c r="U873" s="806"/>
      <c r="V873" s="806"/>
      <c r="W873" s="805"/>
      <c r="X873" s="806"/>
      <c r="Y873" s="806"/>
      <c r="Z873" s="806"/>
      <c r="AA873" s="806"/>
      <c r="AB873" s="805"/>
      <c r="AC873" s="806"/>
      <c r="AD873" s="806"/>
      <c r="AE873" s="806"/>
      <c r="AF873" s="806"/>
      <c r="AG873" s="805"/>
      <c r="AH873" s="806"/>
      <c r="AI873" s="806"/>
      <c r="AJ873" s="806"/>
      <c r="AK873" s="806"/>
      <c r="AL873" s="805"/>
      <c r="AM873" s="806"/>
      <c r="AN873" s="1724"/>
      <c r="AO873" s="806"/>
      <c r="AP873" s="800"/>
      <c r="AQ873" s="2077"/>
      <c r="AR873" s="769"/>
      <c r="AS873" s="769"/>
      <c r="AT873" s="769"/>
      <c r="AU873" s="769"/>
      <c r="AV873" s="1975"/>
      <c r="AW873" s="769"/>
      <c r="AX873" s="769"/>
      <c r="AY873" s="769"/>
      <c r="AZ873" s="769"/>
      <c r="BA873" s="1975"/>
      <c r="BB873" s="769"/>
      <c r="BC873" s="769"/>
      <c r="BD873" s="769"/>
      <c r="BE873" s="769"/>
      <c r="BF873" s="1975"/>
      <c r="BG873" s="2726"/>
      <c r="BH873" s="769"/>
      <c r="BI873" s="769"/>
      <c r="BJ873" s="2171"/>
      <c r="BK873" s="1975"/>
      <c r="BL873" s="769"/>
      <c r="BM873" s="769"/>
      <c r="BN873" s="769"/>
      <c r="BO873" s="2171"/>
      <c r="BP873" s="1975"/>
      <c r="BQ873" s="769"/>
      <c r="BR873" s="769"/>
      <c r="BS873" s="769"/>
      <c r="BT873" s="2171"/>
      <c r="BU873" s="3407">
        <f>+BU872/BP872-1</f>
        <v>1.8389698221035582</v>
      </c>
      <c r="BV873" s="769"/>
      <c r="BW873" s="769"/>
      <c r="BX873" s="769"/>
      <c r="BY873" s="2171"/>
      <c r="BZ873" s="3407">
        <f>+BZ872/BU872-1</f>
        <v>0.93332098366437699</v>
      </c>
      <c r="CA873" s="1975">
        <f t="shared" ref="CA873:CG873" si="1681">+CA872/BZ872-1</f>
        <v>0.62856768115983952</v>
      </c>
      <c r="CB873" s="1975">
        <f t="shared" si="1681"/>
        <v>0.38877281924719198</v>
      </c>
      <c r="CC873" s="1975">
        <f t="shared" si="1681"/>
        <v>-8.6087249188194215E-2</v>
      </c>
      <c r="CD873" s="1975">
        <f t="shared" si="1681"/>
        <v>-4.9999999999999933E-2</v>
      </c>
      <c r="CE873" s="1975">
        <f t="shared" si="1681"/>
        <v>2.0000000000000018E-2</v>
      </c>
      <c r="CF873" s="1975">
        <f t="shared" si="1681"/>
        <v>2.0000000000000018E-2</v>
      </c>
      <c r="CG873" s="1975">
        <f t="shared" si="1681"/>
        <v>2.0000000000000018E-2</v>
      </c>
      <c r="CH873" s="806"/>
      <c r="CI873" s="806"/>
      <c r="CJ873" s="806"/>
      <c r="CK873" s="806"/>
      <c r="CL873" s="806"/>
      <c r="CM873" s="806"/>
      <c r="CN873" s="806"/>
      <c r="CO873" s="806"/>
      <c r="CP873" s="2111" t="str">
        <f>A873</f>
        <v>% growth</v>
      </c>
      <c r="CQ873" s="806"/>
      <c r="CR873" s="806"/>
      <c r="CS873" s="806"/>
      <c r="CT873" s="806"/>
      <c r="CU873" s="806"/>
      <c r="CV873" s="806"/>
      <c r="CW873" s="806"/>
      <c r="CX873" s="806"/>
      <c r="CY873" s="806"/>
      <c r="CZ873" s="806">
        <f>BA873</f>
        <v>0</v>
      </c>
      <c r="DA873" s="806">
        <f>BF873</f>
        <v>0</v>
      </c>
      <c r="DB873" s="806">
        <f>BK873</f>
        <v>0</v>
      </c>
      <c r="DC873" s="806">
        <f>BP873</f>
        <v>0</v>
      </c>
      <c r="DD873" s="806">
        <f>BU873</f>
        <v>1.8389698221035582</v>
      </c>
      <c r="DE873" s="806">
        <f t="shared" si="1680"/>
        <v>0.93332098366437699</v>
      </c>
      <c r="DF873" s="806">
        <f t="shared" si="1680"/>
        <v>0.62856768115983952</v>
      </c>
      <c r="DG873" s="2112">
        <f t="shared" si="1680"/>
        <v>0.38877281924719198</v>
      </c>
      <c r="DH873" s="782"/>
      <c r="DI873" s="781"/>
      <c r="DJ873" s="781"/>
      <c r="DK873" s="781"/>
      <c r="DL873" s="781"/>
      <c r="DM873" s="781"/>
      <c r="DN873" s="782"/>
      <c r="DO873" s="855"/>
      <c r="DY873" s="769"/>
      <c r="DZ873" s="769"/>
    </row>
    <row r="874" spans="1:130" ht="12" hidden="1" customHeight="1" outlineLevel="1">
      <c r="A874" s="552"/>
      <c r="B874" s="228"/>
      <c r="C874" s="228"/>
      <c r="D874" s="625"/>
      <c r="E874" s="626"/>
      <c r="F874" s="626"/>
      <c r="G874" s="626"/>
      <c r="H874" s="788"/>
      <c r="I874" s="626"/>
      <c r="J874" s="626"/>
      <c r="K874" s="626"/>
      <c r="L874" s="626"/>
      <c r="M874" s="788"/>
      <c r="N874" s="626"/>
      <c r="O874" s="626"/>
      <c r="P874" s="626"/>
      <c r="Q874" s="626"/>
      <c r="R874" s="788"/>
      <c r="S874" s="626"/>
      <c r="T874" s="626"/>
      <c r="U874" s="626"/>
      <c r="V874" s="626"/>
      <c r="W874" s="788"/>
      <c r="X874" s="626"/>
      <c r="Y874" s="626"/>
      <c r="Z874" s="626"/>
      <c r="AA874" s="626"/>
      <c r="AB874" s="788"/>
      <c r="AC874" s="626"/>
      <c r="AD874" s="626"/>
      <c r="AE874" s="626"/>
      <c r="AF874" s="626"/>
      <c r="AG874" s="788"/>
      <c r="AH874" s="626"/>
      <c r="AI874" s="626"/>
      <c r="AJ874" s="626"/>
      <c r="AK874" s="626"/>
      <c r="AL874" s="788"/>
      <c r="AM874" s="626"/>
      <c r="AN874" s="261"/>
      <c r="AO874" s="626"/>
      <c r="AP874" s="330"/>
      <c r="AQ874" s="1439"/>
      <c r="AR874" s="330"/>
      <c r="AS874" s="330"/>
      <c r="AT874" s="330"/>
      <c r="AU874" s="626"/>
      <c r="AV874" s="1951"/>
      <c r="AW874" s="626"/>
      <c r="AX874" s="261"/>
      <c r="AY874" s="626"/>
      <c r="AZ874" s="626"/>
      <c r="BA874" s="1439"/>
      <c r="BB874" s="626"/>
      <c r="BC874" s="261"/>
      <c r="BD874" s="626"/>
      <c r="BE874" s="626"/>
      <c r="BF874" s="1439"/>
      <c r="BG874" s="678"/>
      <c r="BH874" s="330"/>
      <c r="BI874" s="330"/>
      <c r="BJ874" s="2136"/>
      <c r="BK874" s="1439"/>
      <c r="BL874" s="330"/>
      <c r="BM874" s="330"/>
      <c r="BN874" s="330"/>
      <c r="BO874" s="2136"/>
      <c r="BP874" s="1439"/>
      <c r="BQ874" s="330"/>
      <c r="BR874" s="330"/>
      <c r="BS874" s="330"/>
      <c r="BT874" s="2136"/>
      <c r="BU874" s="3406"/>
      <c r="BV874" s="330"/>
      <c r="BW874" s="330"/>
      <c r="BX874" s="330"/>
      <c r="BY874" s="2136"/>
      <c r="BZ874" s="1439"/>
      <c r="CA874" s="1439"/>
      <c r="CB874" s="1439"/>
      <c r="CC874" s="1439"/>
      <c r="CD874" s="1439"/>
      <c r="CE874" s="1439"/>
      <c r="CF874" s="1439"/>
      <c r="CG874" s="1439"/>
      <c r="CH874" s="626"/>
      <c r="CI874" s="626"/>
      <c r="CJ874" s="626"/>
      <c r="CK874" s="626"/>
      <c r="CL874" s="626"/>
      <c r="CM874" s="626"/>
      <c r="CN874" s="626"/>
      <c r="CO874" s="626"/>
      <c r="CP874" s="994"/>
      <c r="CQ874" s="626"/>
      <c r="CR874" s="626"/>
      <c r="CS874" s="626"/>
      <c r="CT874" s="626"/>
      <c r="CU874" s="626"/>
      <c r="CV874" s="626"/>
      <c r="CW874" s="626"/>
      <c r="CX874" s="626"/>
      <c r="CY874" s="626"/>
      <c r="CZ874" s="626"/>
      <c r="DA874" s="626"/>
      <c r="DB874" s="626"/>
      <c r="DC874" s="626"/>
      <c r="DD874" s="626"/>
      <c r="DE874" s="626"/>
      <c r="DF874" s="626"/>
      <c r="DG874" s="1893"/>
      <c r="DH874" s="632"/>
      <c r="DI874" s="595"/>
      <c r="DJ874" s="595"/>
      <c r="DK874" s="595"/>
      <c r="DL874" s="595"/>
      <c r="DM874" s="595"/>
      <c r="DN874" s="514"/>
      <c r="DO874" s="77"/>
      <c r="DY874" s="330"/>
      <c r="DZ874" s="330"/>
    </row>
    <row r="875" spans="1:130" ht="12" hidden="1" customHeight="1" outlineLevel="1">
      <c r="A875" s="217"/>
      <c r="B875" s="228"/>
      <c r="C875" s="228"/>
      <c r="D875" s="596"/>
      <c r="E875" s="570"/>
      <c r="F875" s="570"/>
      <c r="G875" s="570"/>
      <c r="H875" s="569"/>
      <c r="I875" s="570"/>
      <c r="J875" s="570"/>
      <c r="K875" s="570"/>
      <c r="L875" s="570"/>
      <c r="M875" s="569"/>
      <c r="N875" s="570"/>
      <c r="O875" s="570"/>
      <c r="P875" s="570"/>
      <c r="Q875" s="570"/>
      <c r="R875" s="569"/>
      <c r="S875" s="570"/>
      <c r="T875" s="570"/>
      <c r="U875" s="570"/>
      <c r="V875" s="570"/>
      <c r="W875" s="569"/>
      <c r="X875" s="570"/>
      <c r="Y875" s="570"/>
      <c r="Z875" s="570"/>
      <c r="AA875" s="570"/>
      <c r="AB875" s="569"/>
      <c r="AC875" s="570"/>
      <c r="AD875" s="570"/>
      <c r="AE875" s="570"/>
      <c r="AF875" s="570"/>
      <c r="AG875" s="569"/>
      <c r="AH875" s="570"/>
      <c r="AI875" s="570"/>
      <c r="AJ875" s="570"/>
      <c r="AK875" s="570"/>
      <c r="AL875" s="569"/>
      <c r="AM875" s="570"/>
      <c r="AN875" s="570"/>
      <c r="AO875" s="570"/>
      <c r="AP875" s="570"/>
      <c r="AQ875" s="569"/>
      <c r="AR875" s="570"/>
      <c r="AS875" s="570"/>
      <c r="AT875" s="570"/>
      <c r="AU875" s="570"/>
      <c r="AV875" s="569"/>
      <c r="AW875" s="570"/>
      <c r="AX875" s="570"/>
      <c r="AY875" s="570"/>
      <c r="AZ875" s="570"/>
      <c r="BA875" s="569"/>
      <c r="BB875" s="570"/>
      <c r="BC875" s="570"/>
      <c r="BD875" s="570"/>
      <c r="BE875" s="570"/>
      <c r="BF875" s="569"/>
      <c r="BG875" s="2809"/>
      <c r="BH875" s="1540"/>
      <c r="BI875" s="1540"/>
      <c r="BJ875" s="2917"/>
      <c r="BK875" s="569"/>
      <c r="BL875" s="1540"/>
      <c r="BM875" s="1540"/>
      <c r="BN875" s="1540"/>
      <c r="BO875" s="2917"/>
      <c r="BP875" s="569"/>
      <c r="BQ875" s="1540"/>
      <c r="BR875" s="1540"/>
      <c r="BS875" s="1540"/>
      <c r="BT875" s="2917"/>
      <c r="BU875" s="3378"/>
      <c r="BV875" s="1540"/>
      <c r="BW875" s="1540"/>
      <c r="BX875" s="1540"/>
      <c r="BY875" s="2917"/>
      <c r="BZ875" s="569"/>
      <c r="CA875" s="569"/>
      <c r="CB875" s="569"/>
      <c r="CC875" s="569"/>
      <c r="CD875" s="569"/>
      <c r="CE875" s="569"/>
      <c r="CF875" s="569"/>
      <c r="CG875" s="569"/>
      <c r="CH875" s="570"/>
      <c r="CI875" s="570"/>
      <c r="CJ875" s="570"/>
      <c r="CK875" s="570"/>
      <c r="CL875" s="570"/>
      <c r="CM875" s="570"/>
      <c r="CN875" s="570"/>
      <c r="CO875" s="570"/>
      <c r="CP875" s="1840"/>
      <c r="CQ875" s="592"/>
      <c r="CR875" s="592"/>
      <c r="CS875" s="592"/>
      <c r="CT875" s="592"/>
      <c r="CU875" s="592"/>
      <c r="CV875" s="592"/>
      <c r="CW875" s="592"/>
      <c r="CX875" s="592"/>
      <c r="CY875" s="592"/>
      <c r="CZ875" s="592"/>
      <c r="DA875" s="592"/>
      <c r="DB875" s="592"/>
      <c r="DC875" s="592"/>
      <c r="DD875" s="592"/>
      <c r="DE875" s="592"/>
      <c r="DF875" s="592"/>
      <c r="DG875" s="1850"/>
      <c r="DH875" s="595"/>
      <c r="DI875" s="595"/>
      <c r="DJ875" s="595"/>
      <c r="DK875" s="595"/>
      <c r="DL875" s="595"/>
      <c r="DM875" s="595"/>
      <c r="DN875" s="514"/>
      <c r="DO875" s="226"/>
      <c r="DY875" s="570"/>
      <c r="DZ875" s="570"/>
    </row>
    <row r="876" spans="1:130" ht="12" customHeight="1" collapsed="1">
      <c r="A876" s="1305" t="s">
        <v>1616</v>
      </c>
      <c r="B876" s="1301"/>
      <c r="C876" s="1301"/>
      <c r="D876" s="1302" t="str">
        <f t="shared" ref="D876:AH876" si="1682">D$6</f>
        <v>1Q04</v>
      </c>
      <c r="E876" s="1303" t="str">
        <f t="shared" si="1682"/>
        <v>2Q04</v>
      </c>
      <c r="F876" s="1303" t="str">
        <f t="shared" si="1682"/>
        <v>3Q04</v>
      </c>
      <c r="G876" s="1303" t="str">
        <f t="shared" si="1682"/>
        <v>4Q04</v>
      </c>
      <c r="H876" s="1304">
        <f t="shared" si="1682"/>
        <v>2004</v>
      </c>
      <c r="I876" s="1303" t="str">
        <f t="shared" si="1682"/>
        <v>1Q05</v>
      </c>
      <c r="J876" s="1303" t="str">
        <f t="shared" si="1682"/>
        <v>2Q05</v>
      </c>
      <c r="K876" s="1303" t="str">
        <f t="shared" si="1682"/>
        <v>3Q05</v>
      </c>
      <c r="L876" s="1303" t="str">
        <f t="shared" si="1682"/>
        <v>4Q05</v>
      </c>
      <c r="M876" s="1304">
        <f t="shared" si="1682"/>
        <v>2005</v>
      </c>
      <c r="N876" s="1303" t="str">
        <f t="shared" si="1682"/>
        <v>1Q06</v>
      </c>
      <c r="O876" s="1303" t="str">
        <f t="shared" si="1682"/>
        <v>2Q06</v>
      </c>
      <c r="P876" s="1303" t="str">
        <f t="shared" si="1682"/>
        <v>3Q06</v>
      </c>
      <c r="Q876" s="1303" t="str">
        <f t="shared" si="1682"/>
        <v>4Q06</v>
      </c>
      <c r="R876" s="1304">
        <f t="shared" si="1682"/>
        <v>2006</v>
      </c>
      <c r="S876" s="1303" t="str">
        <f t="shared" si="1682"/>
        <v>1Q07</v>
      </c>
      <c r="T876" s="1303" t="str">
        <f t="shared" si="1682"/>
        <v>2Q07</v>
      </c>
      <c r="U876" s="1303" t="str">
        <f t="shared" si="1682"/>
        <v>3Q07</v>
      </c>
      <c r="V876" s="1303" t="str">
        <f t="shared" si="1682"/>
        <v>4Q07</v>
      </c>
      <c r="W876" s="1304">
        <f t="shared" si="1682"/>
        <v>2007</v>
      </c>
      <c r="X876" s="1303" t="str">
        <f t="shared" si="1682"/>
        <v>1Q08</v>
      </c>
      <c r="Y876" s="1303" t="str">
        <f t="shared" si="1682"/>
        <v>2Q08</v>
      </c>
      <c r="Z876" s="1303" t="str">
        <f t="shared" si="1682"/>
        <v>3Q08</v>
      </c>
      <c r="AA876" s="1303" t="str">
        <f t="shared" si="1682"/>
        <v>4Q08</v>
      </c>
      <c r="AB876" s="1304">
        <f t="shared" si="1682"/>
        <v>2008</v>
      </c>
      <c r="AC876" s="1303" t="str">
        <f t="shared" si="1682"/>
        <v>1Q09</v>
      </c>
      <c r="AD876" s="1303" t="str">
        <f t="shared" si="1682"/>
        <v>2Q09</v>
      </c>
      <c r="AE876" s="1303" t="str">
        <f t="shared" si="1682"/>
        <v>3Q09</v>
      </c>
      <c r="AF876" s="1303" t="str">
        <f t="shared" si="1682"/>
        <v>4Q09</v>
      </c>
      <c r="AG876" s="1304">
        <f t="shared" si="1682"/>
        <v>2009</v>
      </c>
      <c r="AH876" s="1303" t="str">
        <f t="shared" si="1682"/>
        <v>1Q10</v>
      </c>
      <c r="AI876" s="109" t="str">
        <f t="shared" ref="AI876:CG876" si="1683">AI$6</f>
        <v>2Q10</v>
      </c>
      <c r="AJ876" s="109" t="str">
        <f t="shared" si="1683"/>
        <v>3Q10</v>
      </c>
      <c r="AK876" s="109" t="str">
        <f t="shared" si="1683"/>
        <v>4Q10</v>
      </c>
      <c r="AL876" s="110">
        <f t="shared" si="1683"/>
        <v>2010</v>
      </c>
      <c r="AM876" s="109" t="str">
        <f t="shared" si="1683"/>
        <v>1Q11</v>
      </c>
      <c r="AN876" s="109" t="str">
        <f t="shared" si="1683"/>
        <v>2Q11</v>
      </c>
      <c r="AO876" s="109" t="str">
        <f t="shared" si="1683"/>
        <v>3Q11</v>
      </c>
      <c r="AP876" s="109" t="str">
        <f t="shared" si="1683"/>
        <v>4Q11</v>
      </c>
      <c r="AQ876" s="110">
        <f t="shared" si="1683"/>
        <v>2011</v>
      </c>
      <c r="AR876" s="109" t="str">
        <f t="shared" si="1683"/>
        <v>1Q12</v>
      </c>
      <c r="AS876" s="109" t="str">
        <f t="shared" si="1683"/>
        <v>2Q12</v>
      </c>
      <c r="AT876" s="109" t="str">
        <f t="shared" si="1683"/>
        <v>3Q12</v>
      </c>
      <c r="AU876" s="109" t="str">
        <f t="shared" si="1683"/>
        <v>4Q12</v>
      </c>
      <c r="AV876" s="110">
        <f t="shared" si="1683"/>
        <v>2012</v>
      </c>
      <c r="AW876" s="109" t="str">
        <f t="shared" si="1683"/>
        <v>1Q13</v>
      </c>
      <c r="AX876" s="109" t="str">
        <f t="shared" si="1683"/>
        <v>2Q13</v>
      </c>
      <c r="AY876" s="109" t="str">
        <f t="shared" si="1683"/>
        <v>3Q13</v>
      </c>
      <c r="AZ876" s="109" t="str">
        <f t="shared" si="1683"/>
        <v>4Q13</v>
      </c>
      <c r="BA876" s="110">
        <f t="shared" si="1683"/>
        <v>2013</v>
      </c>
      <c r="BB876" s="109" t="str">
        <f t="shared" si="1683"/>
        <v>1Q14</v>
      </c>
      <c r="BC876" s="109" t="str">
        <f t="shared" si="1683"/>
        <v>2Q14</v>
      </c>
      <c r="BD876" s="109" t="str">
        <f t="shared" si="1683"/>
        <v>3Q14</v>
      </c>
      <c r="BE876" s="109" t="str">
        <f t="shared" si="1683"/>
        <v>4Q14</v>
      </c>
      <c r="BF876" s="110">
        <f t="shared" si="1683"/>
        <v>2014</v>
      </c>
      <c r="BG876" s="109" t="str">
        <f t="shared" si="1683"/>
        <v>1Q15</v>
      </c>
      <c r="BH876" s="109" t="str">
        <f t="shared" si="1683"/>
        <v>2Q15</v>
      </c>
      <c r="BI876" s="109" t="str">
        <f t="shared" si="1683"/>
        <v>3Q15</v>
      </c>
      <c r="BJ876" s="109" t="str">
        <f t="shared" si="1683"/>
        <v>4Q15</v>
      </c>
      <c r="BK876" s="110">
        <f t="shared" si="1683"/>
        <v>2015</v>
      </c>
      <c r="BL876" s="109" t="str">
        <f t="shared" si="1683"/>
        <v>1Q16</v>
      </c>
      <c r="BM876" s="109" t="str">
        <f t="shared" si="1683"/>
        <v>2Q16</v>
      </c>
      <c r="BN876" s="109" t="str">
        <f t="shared" si="1683"/>
        <v>3Q16</v>
      </c>
      <c r="BO876" s="109" t="str">
        <f t="shared" si="1683"/>
        <v>4Q16</v>
      </c>
      <c r="BP876" s="110">
        <f t="shared" si="1683"/>
        <v>2016</v>
      </c>
      <c r="BQ876" s="109" t="str">
        <f t="shared" si="1683"/>
        <v>1Q17</v>
      </c>
      <c r="BR876" s="109" t="str">
        <f t="shared" si="1683"/>
        <v>2Q17</v>
      </c>
      <c r="BS876" s="109" t="str">
        <f t="shared" si="1683"/>
        <v>3Q17</v>
      </c>
      <c r="BT876" s="109" t="str">
        <f t="shared" si="1683"/>
        <v>4Q17A</v>
      </c>
      <c r="BU876" s="3347" t="str">
        <f t="shared" si="1683"/>
        <v>2017A</v>
      </c>
      <c r="BV876" s="109" t="str">
        <f t="shared" si="1683"/>
        <v>1Q18E</v>
      </c>
      <c r="BW876" s="109" t="str">
        <f t="shared" si="1683"/>
        <v>2Q18E</v>
      </c>
      <c r="BX876" s="109" t="str">
        <f t="shared" si="1683"/>
        <v>3Q18E</v>
      </c>
      <c r="BY876" s="109" t="str">
        <f t="shared" si="1683"/>
        <v>4Q18E</v>
      </c>
      <c r="BZ876" s="110" t="str">
        <f t="shared" si="1683"/>
        <v>2018E</v>
      </c>
      <c r="CA876" s="110" t="str">
        <f t="shared" si="1683"/>
        <v>2019E</v>
      </c>
      <c r="CB876" s="110" t="str">
        <f t="shared" si="1683"/>
        <v>2020E</v>
      </c>
      <c r="CC876" s="110" t="str">
        <f t="shared" si="1683"/>
        <v>2021E</v>
      </c>
      <c r="CD876" s="110" t="str">
        <f t="shared" si="1683"/>
        <v>2022E</v>
      </c>
      <c r="CE876" s="110" t="str">
        <f t="shared" si="1683"/>
        <v>2023E</v>
      </c>
      <c r="CF876" s="110" t="str">
        <f t="shared" si="1683"/>
        <v>2024E</v>
      </c>
      <c r="CG876" s="110" t="str">
        <f t="shared" si="1683"/>
        <v>2025E</v>
      </c>
      <c r="CH876" s="521"/>
      <c r="CI876" s="521"/>
      <c r="CJ876" s="521"/>
      <c r="CK876" s="521"/>
      <c r="CL876" s="521"/>
      <c r="CM876" s="521"/>
      <c r="CN876" s="521"/>
      <c r="CO876" s="521"/>
      <c r="CP876" s="1305" t="str">
        <f>A876</f>
        <v>Borgata (50% JV with MGM)</v>
      </c>
      <c r="CQ876" s="109">
        <f>H876</f>
        <v>2004</v>
      </c>
      <c r="CR876" s="109">
        <f>M876</f>
        <v>2005</v>
      </c>
      <c r="CS876" s="109">
        <f>R876</f>
        <v>2006</v>
      </c>
      <c r="CT876" s="109">
        <f>W876</f>
        <v>2007</v>
      </c>
      <c r="CU876" s="109">
        <f>AB876</f>
        <v>2008</v>
      </c>
      <c r="CV876" s="109">
        <f>AG876</f>
        <v>2009</v>
      </c>
      <c r="CW876" s="109">
        <f>AL876</f>
        <v>2010</v>
      </c>
      <c r="CX876" s="109">
        <f>AQ876</f>
        <v>2011</v>
      </c>
      <c r="CY876" s="109">
        <f>AV876</f>
        <v>2012</v>
      </c>
      <c r="CZ876" s="109">
        <f>BA876</f>
        <v>2013</v>
      </c>
      <c r="DA876" s="109">
        <f>BF876</f>
        <v>2014</v>
      </c>
      <c r="DB876" s="109">
        <f>BK876</f>
        <v>2015</v>
      </c>
      <c r="DC876" s="109">
        <f>BP876</f>
        <v>2016</v>
      </c>
      <c r="DD876" s="109" t="str">
        <f>BU876</f>
        <v>2017A</v>
      </c>
      <c r="DE876" s="109" t="str">
        <f t="shared" ref="DE876:DG878" si="1684">BZ876</f>
        <v>2018E</v>
      </c>
      <c r="DF876" s="109" t="str">
        <f t="shared" si="1684"/>
        <v>2019E</v>
      </c>
      <c r="DG876" s="1772" t="str">
        <f t="shared" si="1684"/>
        <v>2020E</v>
      </c>
      <c r="DH876" s="223"/>
      <c r="DI876" s="570"/>
      <c r="DJ876" s="570"/>
      <c r="DK876" s="570"/>
      <c r="DL876" s="570"/>
      <c r="DM876" s="570"/>
      <c r="DN876" s="222"/>
      <c r="DO876" s="226"/>
      <c r="DY876" s="244"/>
      <c r="DZ876" s="244"/>
    </row>
    <row r="877" spans="1:130" ht="12" customHeight="1">
      <c r="A877" s="217" t="s">
        <v>639</v>
      </c>
      <c r="B877" s="445"/>
      <c r="C877" s="445"/>
      <c r="D877" s="509">
        <v>2002</v>
      </c>
      <c r="E877" s="231">
        <f>+D877</f>
        <v>2002</v>
      </c>
      <c r="F877" s="231">
        <f>+E877</f>
        <v>2002</v>
      </c>
      <c r="G877" s="510">
        <v>2000</v>
      </c>
      <c r="H877" s="511">
        <f t="shared" ref="H877:M877" si="1685">+G877</f>
        <v>2000</v>
      </c>
      <c r="I877" s="231">
        <f t="shared" si="1685"/>
        <v>2000</v>
      </c>
      <c r="J877" s="231">
        <f t="shared" si="1685"/>
        <v>2000</v>
      </c>
      <c r="K877" s="231">
        <f t="shared" si="1685"/>
        <v>2000</v>
      </c>
      <c r="L877" s="231">
        <f t="shared" si="1685"/>
        <v>2000</v>
      </c>
      <c r="M877" s="511">
        <f t="shared" si="1685"/>
        <v>2000</v>
      </c>
      <c r="N877" s="510">
        <v>2000</v>
      </c>
      <c r="O877" s="231">
        <f>+N877</f>
        <v>2000</v>
      </c>
      <c r="P877" s="231">
        <f>+O877</f>
        <v>2000</v>
      </c>
      <c r="Q877" s="510">
        <v>2000</v>
      </c>
      <c r="R877" s="511">
        <f>+Q877</f>
        <v>2000</v>
      </c>
      <c r="S877" s="794">
        <f>Q877</f>
        <v>2000</v>
      </c>
      <c r="T877" s="794">
        <f>S877</f>
        <v>2000</v>
      </c>
      <c r="U877" s="794">
        <f>T877</f>
        <v>2000</v>
      </c>
      <c r="V877" s="510">
        <v>1971</v>
      </c>
      <c r="W877" s="511">
        <f>+V877</f>
        <v>1971</v>
      </c>
      <c r="X877" s="231">
        <f>+W877</f>
        <v>1971</v>
      </c>
      <c r="Y877" s="510">
        <f>+X877+200/3+100/4+100/6+100/12</f>
        <v>2087.666666666667</v>
      </c>
      <c r="Z877" s="510">
        <v>2771</v>
      </c>
      <c r="AA877" s="510">
        <v>2771</v>
      </c>
      <c r="AB877" s="511">
        <f>+AA877</f>
        <v>2771</v>
      </c>
      <c r="AC877" s="510">
        <v>2769</v>
      </c>
      <c r="AD877" s="231">
        <f>+AC877</f>
        <v>2769</v>
      </c>
      <c r="AE877" s="510">
        <v>2769</v>
      </c>
      <c r="AF877" s="510">
        <v>2771</v>
      </c>
      <c r="AG877" s="511">
        <f>+AF877</f>
        <v>2771</v>
      </c>
      <c r="AH877" s="492">
        <f t="shared" ref="AH877:AQ877" si="1686">AG877</f>
        <v>2771</v>
      </c>
      <c r="AI877" s="492">
        <f t="shared" si="1686"/>
        <v>2771</v>
      </c>
      <c r="AJ877" s="492">
        <f t="shared" si="1686"/>
        <v>2771</v>
      </c>
      <c r="AK877" s="601">
        <v>2769</v>
      </c>
      <c r="AL877" s="525">
        <f t="shared" si="1686"/>
        <v>2769</v>
      </c>
      <c r="AM877" s="492">
        <f t="shared" si="1686"/>
        <v>2769</v>
      </c>
      <c r="AN877" s="492">
        <f t="shared" si="1686"/>
        <v>2769</v>
      </c>
      <c r="AO877" s="492">
        <f t="shared" si="1686"/>
        <v>2769</v>
      </c>
      <c r="AP877" s="601">
        <v>2769</v>
      </c>
      <c r="AQ877" s="525">
        <f t="shared" si="1686"/>
        <v>2769</v>
      </c>
      <c r="AR877" s="492">
        <f>AQ877</f>
        <v>2769</v>
      </c>
      <c r="AS877" s="492">
        <f>AR877</f>
        <v>2769</v>
      </c>
      <c r="AT877" s="492">
        <f>AS877</f>
        <v>2769</v>
      </c>
      <c r="AU877" s="601">
        <v>2767</v>
      </c>
      <c r="AV877" s="1558">
        <f>AU877</f>
        <v>2767</v>
      </c>
      <c r="AW877" s="492">
        <f t="shared" ref="AW877:BF877" si="1687">AV877</f>
        <v>2767</v>
      </c>
      <c r="AX877" s="492">
        <f t="shared" si="1687"/>
        <v>2767</v>
      </c>
      <c r="AY877" s="492">
        <f t="shared" si="1687"/>
        <v>2767</v>
      </c>
      <c r="AZ877" s="601">
        <v>2767</v>
      </c>
      <c r="BA877" s="1558">
        <f t="shared" si="1687"/>
        <v>2767</v>
      </c>
      <c r="BB877" s="492">
        <f t="shared" si="1687"/>
        <v>2767</v>
      </c>
      <c r="BC877" s="492">
        <f t="shared" si="1687"/>
        <v>2767</v>
      </c>
      <c r="BD877" s="492">
        <f t="shared" si="1687"/>
        <v>2767</v>
      </c>
      <c r="BE877" s="492">
        <f t="shared" si="1687"/>
        <v>2767</v>
      </c>
      <c r="BF877" s="1558">
        <f t="shared" si="1687"/>
        <v>2767</v>
      </c>
      <c r="BG877" s="2795">
        <f t="shared" ref="BG877:BN877" si="1688">BF877</f>
        <v>2767</v>
      </c>
      <c r="BH877" s="2796">
        <f t="shared" si="1688"/>
        <v>2767</v>
      </c>
      <c r="BI877" s="2796">
        <f t="shared" si="1688"/>
        <v>2767</v>
      </c>
      <c r="BJ877" s="2797">
        <f t="shared" si="1688"/>
        <v>2767</v>
      </c>
      <c r="BK877" s="1558">
        <f t="shared" si="1688"/>
        <v>2767</v>
      </c>
      <c r="BL877" s="2796">
        <f t="shared" si="1688"/>
        <v>2767</v>
      </c>
      <c r="BM877" s="2796">
        <f t="shared" si="1688"/>
        <v>2767</v>
      </c>
      <c r="BN877" s="2796">
        <f t="shared" si="1688"/>
        <v>2767</v>
      </c>
      <c r="BO877" s="2797"/>
      <c r="BP877" s="1558"/>
      <c r="BQ877" s="2796"/>
      <c r="BR877" s="2796"/>
      <c r="BS877" s="2796"/>
      <c r="BT877" s="2797"/>
      <c r="BU877" s="3416"/>
      <c r="BV877" s="2796"/>
      <c r="BW877" s="2796"/>
      <c r="BX877" s="2796"/>
      <c r="BY877" s="2797"/>
      <c r="BZ877" s="525"/>
      <c r="CA877" s="525"/>
      <c r="CB877" s="525"/>
      <c r="CC877" s="525">
        <f t="shared" ref="CC877:CG878" si="1689">CB877</f>
        <v>0</v>
      </c>
      <c r="CD877" s="525">
        <f t="shared" si="1689"/>
        <v>0</v>
      </c>
      <c r="CE877" s="525">
        <f t="shared" si="1689"/>
        <v>0</v>
      </c>
      <c r="CF877" s="525">
        <f t="shared" si="1689"/>
        <v>0</v>
      </c>
      <c r="CG877" s="525">
        <f t="shared" si="1689"/>
        <v>0</v>
      </c>
      <c r="CH877" s="231"/>
      <c r="CI877" s="231"/>
      <c r="CJ877" s="231"/>
      <c r="CK877" s="231"/>
      <c r="CL877" s="231"/>
      <c r="CM877" s="231"/>
      <c r="CN877" s="231"/>
      <c r="CO877" s="231"/>
      <c r="CP877" s="1840" t="str">
        <f>A877</f>
        <v>Number of Rooms</v>
      </c>
      <c r="CQ877" s="492">
        <f>H877</f>
        <v>2000</v>
      </c>
      <c r="CR877" s="492">
        <f>M877</f>
        <v>2000</v>
      </c>
      <c r="CS877" s="492">
        <f>R877</f>
        <v>2000</v>
      </c>
      <c r="CT877" s="492">
        <f>W877</f>
        <v>1971</v>
      </c>
      <c r="CU877" s="492">
        <f>AB877</f>
        <v>2771</v>
      </c>
      <c r="CV877" s="492">
        <f>AG877</f>
        <v>2771</v>
      </c>
      <c r="CW877" s="492">
        <f>AL877</f>
        <v>2769</v>
      </c>
      <c r="CX877" s="492">
        <f>AQ877</f>
        <v>2769</v>
      </c>
      <c r="CY877" s="492">
        <f>AV877</f>
        <v>2767</v>
      </c>
      <c r="CZ877" s="492">
        <f>BA877</f>
        <v>2767</v>
      </c>
      <c r="DA877" s="492">
        <f>BF877</f>
        <v>2767</v>
      </c>
      <c r="DB877" s="492">
        <f>BK877</f>
        <v>2767</v>
      </c>
      <c r="DC877" s="492">
        <f>BP877</f>
        <v>0</v>
      </c>
      <c r="DD877" s="492">
        <f>BU877</f>
        <v>0</v>
      </c>
      <c r="DE877" s="492">
        <f t="shared" si="1684"/>
        <v>0</v>
      </c>
      <c r="DF877" s="492">
        <f t="shared" si="1684"/>
        <v>0</v>
      </c>
      <c r="DG877" s="1866">
        <f t="shared" si="1684"/>
        <v>0</v>
      </c>
      <c r="DH877" s="513"/>
      <c r="DI877" s="570"/>
      <c r="DJ877" s="570"/>
      <c r="DK877" s="570"/>
      <c r="DL877" s="570"/>
      <c r="DM877" s="570"/>
      <c r="DN877" s="222"/>
      <c r="DO877" s="226"/>
      <c r="DY877" s="492"/>
      <c r="DZ877" s="492"/>
    </row>
    <row r="878" spans="1:130" ht="12" customHeight="1">
      <c r="A878" s="633" t="s">
        <v>431</v>
      </c>
      <c r="B878" s="445"/>
      <c r="C878" s="445"/>
      <c r="D878" s="527">
        <f>D877</f>
        <v>2002</v>
      </c>
      <c r="E878" s="231">
        <f>+AVERAGE(D877:E877)</f>
        <v>2002</v>
      </c>
      <c r="F878" s="231">
        <f>+AVERAGE(E877:F877)</f>
        <v>2002</v>
      </c>
      <c r="G878" s="231">
        <f>+AVERAGE(F877:G877)</f>
        <v>2001</v>
      </c>
      <c r="H878" s="525">
        <f>+AVERAGE(D877:G877)</f>
        <v>2001.5</v>
      </c>
      <c r="I878" s="231">
        <f>+AVERAGE(H877:I877)</f>
        <v>2000</v>
      </c>
      <c r="J878" s="231">
        <f>+AVERAGE(I877:J877)</f>
        <v>2000</v>
      </c>
      <c r="K878" s="231">
        <f>+AVERAGE(J877:K877)</f>
        <v>2000</v>
      </c>
      <c r="L878" s="231">
        <f>+AVERAGE(K877:L877)</f>
        <v>2000</v>
      </c>
      <c r="M878" s="525">
        <f>+AVERAGE(I877:L877)</f>
        <v>2000</v>
      </c>
      <c r="N878" s="231">
        <f>N877</f>
        <v>2000</v>
      </c>
      <c r="O878" s="231">
        <f>+AVERAGE(N877:O877)</f>
        <v>2000</v>
      </c>
      <c r="P878" s="231">
        <f>+AVERAGE(O877:P877)</f>
        <v>2000</v>
      </c>
      <c r="Q878" s="231">
        <f>+AVERAGE(P877:Q877)</f>
        <v>2000</v>
      </c>
      <c r="R878" s="525">
        <f>+AVERAGE(N877:Q877)</f>
        <v>2000</v>
      </c>
      <c r="S878" s="231">
        <f>+AVERAGE(R877:S877)</f>
        <v>2000</v>
      </c>
      <c r="T878" s="231">
        <f>+AVERAGE(S877:T877)</f>
        <v>2000</v>
      </c>
      <c r="U878" s="231">
        <f>+AVERAGE(T877:U877)</f>
        <v>2000</v>
      </c>
      <c r="V878" s="231">
        <f>+AVERAGE(U877:V877)</f>
        <v>1985.5</v>
      </c>
      <c r="W878" s="525">
        <f>+AVERAGE(S877:V877)</f>
        <v>1992.75</v>
      </c>
      <c r="X878" s="231">
        <f>+AVERAGE(W877:X877)</f>
        <v>1971</v>
      </c>
      <c r="Y878" s="231">
        <f>+Y877</f>
        <v>2087.666666666667</v>
      </c>
      <c r="Z878" s="231">
        <f>+Z877</f>
        <v>2771</v>
      </c>
      <c r="AA878" s="231">
        <f>+AVERAGE(Z877:AA877)</f>
        <v>2771</v>
      </c>
      <c r="AB878" s="525">
        <f>+AVERAGE(X877:AA877)</f>
        <v>2400.166666666667</v>
      </c>
      <c r="AC878" s="231">
        <f>+AVERAGE(AB877:AC877)</f>
        <v>2770</v>
      </c>
      <c r="AD878" s="231">
        <f>+AVERAGE(AC877:AD877)</f>
        <v>2769</v>
      </c>
      <c r="AE878" s="231">
        <f>+AVERAGE(AD877:AE877)</f>
        <v>2769</v>
      </c>
      <c r="AF878" s="231">
        <f>+AVERAGE(AE877:AF877)</f>
        <v>2770</v>
      </c>
      <c r="AG878" s="525">
        <f>+AVERAGE(AC877:AF877)</f>
        <v>2769.5</v>
      </c>
      <c r="AH878" s="231">
        <f>+AVERAGE(AG877:AH877)</f>
        <v>2771</v>
      </c>
      <c r="AI878" s="231">
        <f>+AVERAGE(AH877:AI877)</f>
        <v>2771</v>
      </c>
      <c r="AJ878" s="231">
        <f>+AVERAGE(AI877:AJ877)</f>
        <v>2771</v>
      </c>
      <c r="AK878" s="231">
        <f>+AVERAGE(AJ877:AK877)</f>
        <v>2770</v>
      </c>
      <c r="AL878" s="525">
        <f>+AVERAGE(AH877:AK877)</f>
        <v>2770.5</v>
      </c>
      <c r="AM878" s="231">
        <f>+AVERAGE(AL877:AM877)</f>
        <v>2769</v>
      </c>
      <c r="AN878" s="231">
        <f>+AVERAGE(AM877:AN877)</f>
        <v>2769</v>
      </c>
      <c r="AO878" s="231">
        <f>+AVERAGE(AN877:AO877)</f>
        <v>2769</v>
      </c>
      <c r="AP878" s="231">
        <f>+AVERAGE(AO877:AP877)</f>
        <v>2769</v>
      </c>
      <c r="AQ878" s="525">
        <f>+AVERAGE(AM877:AP877)</f>
        <v>2769</v>
      </c>
      <c r="AR878" s="231">
        <f t="shared" ref="AR878:BF878" si="1690">+AVERAGE(AQ877:AR877)</f>
        <v>2769</v>
      </c>
      <c r="AS878" s="231">
        <f t="shared" si="1690"/>
        <v>2769</v>
      </c>
      <c r="AT878" s="231">
        <f t="shared" si="1690"/>
        <v>2769</v>
      </c>
      <c r="AU878" s="231">
        <f t="shared" si="1690"/>
        <v>2768</v>
      </c>
      <c r="AV878" s="525">
        <f t="shared" si="1690"/>
        <v>2767</v>
      </c>
      <c r="AW878" s="231">
        <f t="shared" si="1690"/>
        <v>2767</v>
      </c>
      <c r="AX878" s="231">
        <f t="shared" si="1690"/>
        <v>2767</v>
      </c>
      <c r="AY878" s="231">
        <f t="shared" si="1690"/>
        <v>2767</v>
      </c>
      <c r="AZ878" s="231">
        <f t="shared" si="1690"/>
        <v>2767</v>
      </c>
      <c r="BA878" s="525">
        <f>+AVERAGE(AV877,BA877)</f>
        <v>2767</v>
      </c>
      <c r="BB878" s="231">
        <f t="shared" si="1690"/>
        <v>2767</v>
      </c>
      <c r="BC878" s="231">
        <f t="shared" si="1690"/>
        <v>2767</v>
      </c>
      <c r="BD878" s="231">
        <f t="shared" si="1690"/>
        <v>2767</v>
      </c>
      <c r="BE878" s="231">
        <f t="shared" si="1690"/>
        <v>2767</v>
      </c>
      <c r="BF878" s="525">
        <f t="shared" si="1690"/>
        <v>2767</v>
      </c>
      <c r="BG878" s="527">
        <f t="shared" ref="BG878:BN878" si="1691">+AVERAGE(BF877:BG877)</f>
        <v>2767</v>
      </c>
      <c r="BH878" s="231">
        <f t="shared" si="1691"/>
        <v>2767</v>
      </c>
      <c r="BI878" s="231">
        <f t="shared" si="1691"/>
        <v>2767</v>
      </c>
      <c r="BJ878" s="1841">
        <f t="shared" si="1691"/>
        <v>2767</v>
      </c>
      <c r="BK878" s="525">
        <f t="shared" si="1691"/>
        <v>2767</v>
      </c>
      <c r="BL878" s="231">
        <f t="shared" si="1691"/>
        <v>2767</v>
      </c>
      <c r="BM878" s="231">
        <f t="shared" si="1691"/>
        <v>2767</v>
      </c>
      <c r="BN878" s="231">
        <f t="shared" si="1691"/>
        <v>2767</v>
      </c>
      <c r="BO878" s="1841"/>
      <c r="BP878" s="525"/>
      <c r="BQ878" s="231"/>
      <c r="BR878" s="231"/>
      <c r="BS878" s="231"/>
      <c r="BT878" s="1841"/>
      <c r="BU878" s="3367"/>
      <c r="BV878" s="231"/>
      <c r="BW878" s="231"/>
      <c r="BX878" s="231"/>
      <c r="BY878" s="1841"/>
      <c r="BZ878" s="525"/>
      <c r="CA878" s="525"/>
      <c r="CB878" s="525"/>
      <c r="CC878" s="525">
        <f t="shared" si="1689"/>
        <v>0</v>
      </c>
      <c r="CD878" s="525">
        <f t="shared" si="1689"/>
        <v>0</v>
      </c>
      <c r="CE878" s="525">
        <f t="shared" si="1689"/>
        <v>0</v>
      </c>
      <c r="CF878" s="525">
        <f t="shared" si="1689"/>
        <v>0</v>
      </c>
      <c r="CG878" s="525">
        <f t="shared" si="1689"/>
        <v>0</v>
      </c>
      <c r="CH878" s="231"/>
      <c r="CI878" s="231"/>
      <c r="CJ878" s="231"/>
      <c r="CK878" s="231"/>
      <c r="CL878" s="231"/>
      <c r="CM878" s="231"/>
      <c r="CN878" s="231"/>
      <c r="CO878" s="231"/>
      <c r="CP878" s="90" t="str">
        <f>A878</f>
        <v>Average Rooms</v>
      </c>
      <c r="CQ878" s="231">
        <f>H878</f>
        <v>2001.5</v>
      </c>
      <c r="CR878" s="231">
        <f>M878</f>
        <v>2000</v>
      </c>
      <c r="CS878" s="231">
        <f>R878</f>
        <v>2000</v>
      </c>
      <c r="CT878" s="231">
        <f>W878</f>
        <v>1992.75</v>
      </c>
      <c r="CU878" s="231">
        <f>AB878</f>
        <v>2400.166666666667</v>
      </c>
      <c r="CV878" s="231">
        <f>AG878</f>
        <v>2769.5</v>
      </c>
      <c r="CW878" s="231">
        <f>AL878</f>
        <v>2770.5</v>
      </c>
      <c r="CX878" s="231">
        <f>AQ878</f>
        <v>2769</v>
      </c>
      <c r="CY878" s="231">
        <f>AV878</f>
        <v>2767</v>
      </c>
      <c r="CZ878" s="231">
        <f>BA878</f>
        <v>2767</v>
      </c>
      <c r="DA878" s="231">
        <f>BF878</f>
        <v>2767</v>
      </c>
      <c r="DB878" s="231">
        <f>BK878</f>
        <v>2767</v>
      </c>
      <c r="DC878" s="231">
        <f>BP878</f>
        <v>0</v>
      </c>
      <c r="DD878" s="231">
        <f>BU878</f>
        <v>0</v>
      </c>
      <c r="DE878" s="231">
        <f t="shared" si="1684"/>
        <v>0</v>
      </c>
      <c r="DF878" s="231">
        <f t="shared" si="1684"/>
        <v>0</v>
      </c>
      <c r="DG878" s="1841">
        <f t="shared" si="1684"/>
        <v>0</v>
      </c>
      <c r="DH878" s="514"/>
      <c r="DI878" s="570"/>
      <c r="DJ878" s="570"/>
      <c r="DK878" s="570"/>
      <c r="DL878" s="570"/>
      <c r="DM878" s="570"/>
      <c r="DN878" s="222"/>
      <c r="DO878" s="226"/>
      <c r="DY878" s="231"/>
      <c r="DZ878" s="231"/>
    </row>
    <row r="879" spans="1:130" ht="6" customHeight="1">
      <c r="A879" s="552"/>
      <c r="B879" s="445"/>
      <c r="C879" s="445"/>
      <c r="D879" s="509"/>
      <c r="E879" s="510"/>
      <c r="F879" s="510"/>
      <c r="G879" s="510"/>
      <c r="H879" s="512"/>
      <c r="I879" s="510"/>
      <c r="J879" s="510"/>
      <c r="K879" s="510"/>
      <c r="L879" s="510"/>
      <c r="M879" s="512"/>
      <c r="N879" s="510"/>
      <c r="O879" s="510"/>
      <c r="P879" s="510"/>
      <c r="Q879" s="510"/>
      <c r="R879" s="512"/>
      <c r="S879" s="510"/>
      <c r="T879" s="510"/>
      <c r="U879" s="510"/>
      <c r="V879" s="510"/>
      <c r="W879" s="512"/>
      <c r="X879" s="510"/>
      <c r="Y879" s="510"/>
      <c r="Z879" s="510"/>
      <c r="AA879" s="510"/>
      <c r="AB879" s="512"/>
      <c r="AC879" s="510"/>
      <c r="AD879" s="510"/>
      <c r="AE879" s="510"/>
      <c r="AF879" s="510"/>
      <c r="AG879" s="512"/>
      <c r="AH879" s="510"/>
      <c r="AI879" s="510"/>
      <c r="AJ879" s="510"/>
      <c r="AK879" s="510"/>
      <c r="AL879" s="512"/>
      <c r="AM879" s="510"/>
      <c r="AN879" s="510"/>
      <c r="AO879" s="510"/>
      <c r="AP879" s="510"/>
      <c r="AQ879" s="512"/>
      <c r="AR879" s="510"/>
      <c r="AS879" s="510"/>
      <c r="AT879" s="510"/>
      <c r="AU879" s="510"/>
      <c r="AV879" s="512"/>
      <c r="AW879" s="510"/>
      <c r="AX879" s="510"/>
      <c r="AY879" s="510"/>
      <c r="AZ879" s="510"/>
      <c r="BA879" s="512"/>
      <c r="BB879" s="510"/>
      <c r="BC879" s="510"/>
      <c r="BD879" s="510"/>
      <c r="BE879" s="510"/>
      <c r="BF879" s="512"/>
      <c r="BG879" s="509"/>
      <c r="BH879" s="510"/>
      <c r="BI879" s="510"/>
      <c r="BJ879" s="2811"/>
      <c r="BK879" s="512"/>
      <c r="BL879" s="510"/>
      <c r="BM879" s="510"/>
      <c r="BN879" s="510"/>
      <c r="BO879" s="2811"/>
      <c r="BP879" s="512"/>
      <c r="BQ879" s="510"/>
      <c r="BR879" s="510"/>
      <c r="BS879" s="510"/>
      <c r="BT879" s="2811"/>
      <c r="BU879" s="3367"/>
      <c r="BV879" s="510"/>
      <c r="BW879" s="510"/>
      <c r="BX879" s="510"/>
      <c r="BY879" s="2811"/>
      <c r="BZ879" s="525"/>
      <c r="CA879" s="525"/>
      <c r="CB879" s="525"/>
      <c r="CC879" s="525"/>
      <c r="CD879" s="525"/>
      <c r="CE879" s="525"/>
      <c r="CF879" s="525"/>
      <c r="CG879" s="525"/>
      <c r="CH879" s="510"/>
      <c r="CI879" s="510"/>
      <c r="CJ879" s="510"/>
      <c r="CK879" s="510"/>
      <c r="CL879" s="510"/>
      <c r="CM879" s="510"/>
      <c r="CN879" s="510"/>
      <c r="CO879" s="510"/>
      <c r="CP879" s="994"/>
      <c r="CQ879" s="231"/>
      <c r="CR879" s="231"/>
      <c r="CS879" s="231"/>
      <c r="CT879" s="231"/>
      <c r="CU879" s="231"/>
      <c r="CV879" s="231"/>
      <c r="CW879" s="231"/>
      <c r="CX879" s="231"/>
      <c r="CY879" s="231"/>
      <c r="CZ879" s="231"/>
      <c r="DA879" s="231"/>
      <c r="DB879" s="231"/>
      <c r="DC879" s="231"/>
      <c r="DD879" s="231"/>
      <c r="DE879" s="231"/>
      <c r="DF879" s="231"/>
      <c r="DG879" s="1841"/>
      <c r="DH879" s="514"/>
      <c r="DI879" s="570"/>
      <c r="DJ879" s="570"/>
      <c r="DK879" s="570"/>
      <c r="DL879" s="570"/>
      <c r="DM879" s="570"/>
      <c r="DN879" s="222"/>
      <c r="DO879" s="226"/>
      <c r="DY879" s="510"/>
      <c r="DZ879" s="510"/>
    </row>
    <row r="880" spans="1:130" ht="12" customHeight="1">
      <c r="A880" s="552" t="s">
        <v>182</v>
      </c>
      <c r="B880" s="445"/>
      <c r="C880" s="445"/>
      <c r="D880" s="527">
        <f>(D883*D882)+D881</f>
        <v>4562</v>
      </c>
      <c r="E880" s="231">
        <f t="shared" ref="E880:AL880" si="1692">(E883*E882)+E881</f>
        <v>4562</v>
      </c>
      <c r="F880" s="231">
        <f t="shared" si="1692"/>
        <v>4562</v>
      </c>
      <c r="G880" s="231">
        <f t="shared" si="1692"/>
        <v>4555</v>
      </c>
      <c r="H880" s="525">
        <f t="shared" si="1692"/>
        <v>4555</v>
      </c>
      <c r="I880" s="231">
        <f t="shared" si="1692"/>
        <v>4555</v>
      </c>
      <c r="J880" s="231">
        <f t="shared" si="1692"/>
        <v>4555</v>
      </c>
      <c r="K880" s="231">
        <f t="shared" si="1692"/>
        <v>4555</v>
      </c>
      <c r="L880" s="231">
        <f t="shared" si="1692"/>
        <v>4370</v>
      </c>
      <c r="M880" s="525">
        <f t="shared" si="1692"/>
        <v>4370</v>
      </c>
      <c r="N880" s="231">
        <f t="shared" si="1692"/>
        <v>4370</v>
      </c>
      <c r="O880" s="231">
        <f t="shared" si="1692"/>
        <v>4370</v>
      </c>
      <c r="P880" s="231">
        <f t="shared" si="1692"/>
        <v>5522</v>
      </c>
      <c r="Q880" s="231">
        <f t="shared" si="1692"/>
        <v>5136</v>
      </c>
      <c r="R880" s="525">
        <f t="shared" si="1692"/>
        <v>5136</v>
      </c>
      <c r="S880" s="231">
        <f t="shared" si="1692"/>
        <v>5136</v>
      </c>
      <c r="T880" s="231">
        <f t="shared" si="1692"/>
        <v>5136</v>
      </c>
      <c r="U880" s="231">
        <f t="shared" si="1692"/>
        <v>5136</v>
      </c>
      <c r="V880" s="231">
        <f t="shared" si="1692"/>
        <v>5079</v>
      </c>
      <c r="W880" s="525">
        <f t="shared" si="1692"/>
        <v>5079</v>
      </c>
      <c r="X880" s="231">
        <f t="shared" si="1692"/>
        <v>5079</v>
      </c>
      <c r="Y880" s="231">
        <f t="shared" ref="Y880:AP880" si="1693">(Y883*Y882)+Y881</f>
        <v>5079</v>
      </c>
      <c r="Z880" s="231">
        <f t="shared" si="1693"/>
        <v>5079</v>
      </c>
      <c r="AA880" s="231">
        <f t="shared" si="1693"/>
        <v>5042</v>
      </c>
      <c r="AB880" s="525">
        <f t="shared" si="1693"/>
        <v>5042</v>
      </c>
      <c r="AC880" s="231">
        <f t="shared" si="1693"/>
        <v>5023</v>
      </c>
      <c r="AD880" s="231">
        <f t="shared" si="1693"/>
        <v>5023</v>
      </c>
      <c r="AE880" s="231">
        <f t="shared" si="1693"/>
        <v>5023</v>
      </c>
      <c r="AF880" s="231">
        <f t="shared" si="1693"/>
        <v>5020</v>
      </c>
      <c r="AG880" s="525">
        <f t="shared" si="1693"/>
        <v>5020</v>
      </c>
      <c r="AH880" s="231">
        <f t="shared" si="1693"/>
        <v>5016.3333333333339</v>
      </c>
      <c r="AI880" s="231">
        <f t="shared" si="1693"/>
        <v>4642.3333333333339</v>
      </c>
      <c r="AJ880" s="231">
        <f t="shared" si="1693"/>
        <v>4544.6666666666661</v>
      </c>
      <c r="AK880" s="231">
        <f t="shared" si="1693"/>
        <v>5088</v>
      </c>
      <c r="AL880" s="525">
        <f t="shared" si="1692"/>
        <v>5088</v>
      </c>
      <c r="AM880" s="231">
        <f t="shared" si="1693"/>
        <v>5089</v>
      </c>
      <c r="AN880" s="231">
        <f t="shared" si="1693"/>
        <v>5089</v>
      </c>
      <c r="AO880" s="231">
        <f t="shared" si="1693"/>
        <v>5089</v>
      </c>
      <c r="AP880" s="231">
        <f t="shared" si="1693"/>
        <v>4579</v>
      </c>
      <c r="AQ880" s="525">
        <f t="shared" ref="AQ880:AV880" si="1694">(AQ883*AQ882)+AQ881</f>
        <v>4579</v>
      </c>
      <c r="AR880" s="231">
        <f t="shared" si="1694"/>
        <v>4579</v>
      </c>
      <c r="AS880" s="231">
        <f t="shared" si="1694"/>
        <v>4579</v>
      </c>
      <c r="AT880" s="231">
        <f t="shared" si="1694"/>
        <v>4579</v>
      </c>
      <c r="AU880" s="231">
        <f t="shared" si="1694"/>
        <v>4403</v>
      </c>
      <c r="AV880" s="525">
        <f t="shared" si="1694"/>
        <v>4403</v>
      </c>
      <c r="AW880" s="231">
        <f t="shared" ref="AW880:BF880" si="1695">(AW883*AW882)+AW881</f>
        <v>4403</v>
      </c>
      <c r="AX880" s="231">
        <f t="shared" si="1695"/>
        <v>4403</v>
      </c>
      <c r="AY880" s="231">
        <f t="shared" si="1695"/>
        <v>4403</v>
      </c>
      <c r="AZ880" s="231">
        <f t="shared" si="1695"/>
        <v>4298</v>
      </c>
      <c r="BA880" s="525">
        <f t="shared" si="1695"/>
        <v>4298</v>
      </c>
      <c r="BB880" s="231">
        <f t="shared" si="1695"/>
        <v>4298</v>
      </c>
      <c r="BC880" s="231">
        <f t="shared" si="1695"/>
        <v>4298</v>
      </c>
      <c r="BD880" s="231">
        <f t="shared" si="1695"/>
        <v>4298</v>
      </c>
      <c r="BE880" s="231">
        <f t="shared" si="1695"/>
        <v>4298</v>
      </c>
      <c r="BF880" s="525">
        <f t="shared" si="1695"/>
        <v>4298</v>
      </c>
      <c r="BG880" s="527">
        <f t="shared" ref="BG880:BN880" si="1696">(BG883*BG882)+BG881</f>
        <v>4298</v>
      </c>
      <c r="BH880" s="231">
        <f t="shared" si="1696"/>
        <v>4298</v>
      </c>
      <c r="BI880" s="231">
        <f t="shared" si="1696"/>
        <v>4298</v>
      </c>
      <c r="BJ880" s="1841">
        <f t="shared" si="1696"/>
        <v>4298</v>
      </c>
      <c r="BK880" s="525">
        <f t="shared" si="1696"/>
        <v>4298</v>
      </c>
      <c r="BL880" s="231">
        <f t="shared" si="1696"/>
        <v>4298</v>
      </c>
      <c r="BM880" s="231">
        <f t="shared" si="1696"/>
        <v>4298</v>
      </c>
      <c r="BN880" s="231">
        <f t="shared" si="1696"/>
        <v>4298</v>
      </c>
      <c r="BO880" s="1841"/>
      <c r="BP880" s="525"/>
      <c r="BQ880" s="231"/>
      <c r="BR880" s="231"/>
      <c r="BS880" s="231"/>
      <c r="BT880" s="1841"/>
      <c r="BU880" s="3367"/>
      <c r="BV880" s="231"/>
      <c r="BW880" s="231"/>
      <c r="BX880" s="231"/>
      <c r="BY880" s="1841"/>
      <c r="BZ880" s="525"/>
      <c r="CA880" s="525"/>
      <c r="CB880" s="525"/>
      <c r="CC880" s="525">
        <f t="shared" ref="CC880:CG884" si="1697">CB880</f>
        <v>0</v>
      </c>
      <c r="CD880" s="525">
        <f t="shared" si="1697"/>
        <v>0</v>
      </c>
      <c r="CE880" s="525">
        <f t="shared" si="1697"/>
        <v>0</v>
      </c>
      <c r="CF880" s="525">
        <f t="shared" si="1697"/>
        <v>0</v>
      </c>
      <c r="CG880" s="525">
        <f t="shared" si="1697"/>
        <v>0</v>
      </c>
      <c r="CH880" s="231"/>
      <c r="CI880" s="231"/>
      <c r="CJ880" s="231"/>
      <c r="CK880" s="231"/>
      <c r="CL880" s="231"/>
      <c r="CM880" s="231"/>
      <c r="CN880" s="231"/>
      <c r="CO880" s="231"/>
      <c r="CP880" s="994" t="str">
        <f>A880</f>
        <v>Positions</v>
      </c>
      <c r="CQ880" s="231">
        <f>H880</f>
        <v>4555</v>
      </c>
      <c r="CR880" s="231">
        <f>M880</f>
        <v>4370</v>
      </c>
      <c r="CS880" s="231">
        <f>R880</f>
        <v>5136</v>
      </c>
      <c r="CT880" s="231">
        <f>W880</f>
        <v>5079</v>
      </c>
      <c r="CU880" s="231">
        <f>AB880</f>
        <v>5042</v>
      </c>
      <c r="CV880" s="231">
        <f>AG880</f>
        <v>5020</v>
      </c>
      <c r="CW880" s="231">
        <f>AL880</f>
        <v>5088</v>
      </c>
      <c r="CX880" s="231">
        <f>AQ880</f>
        <v>4579</v>
      </c>
      <c r="CY880" s="231">
        <f>AV880</f>
        <v>4403</v>
      </c>
      <c r="CZ880" s="231">
        <f>BA880</f>
        <v>4298</v>
      </c>
      <c r="DA880" s="231">
        <f>BF880</f>
        <v>4298</v>
      </c>
      <c r="DB880" s="231">
        <f>BK880</f>
        <v>4298</v>
      </c>
      <c r="DC880" s="231">
        <f>BP880</f>
        <v>0</v>
      </c>
      <c r="DD880" s="231">
        <f>BU880</f>
        <v>0</v>
      </c>
      <c r="DE880" s="231">
        <f t="shared" ref="DE880:DG884" si="1698">BZ880</f>
        <v>0</v>
      </c>
      <c r="DF880" s="231">
        <f t="shared" si="1698"/>
        <v>0</v>
      </c>
      <c r="DG880" s="1841">
        <f t="shared" si="1698"/>
        <v>0</v>
      </c>
      <c r="DH880" s="231"/>
      <c r="DI880" s="570"/>
      <c r="DJ880" s="570"/>
      <c r="DK880" s="570"/>
      <c r="DL880" s="570"/>
      <c r="DM880" s="570"/>
      <c r="DN880" s="222"/>
      <c r="DO880" s="226"/>
      <c r="DY880" s="231"/>
      <c r="DZ880" s="231"/>
    </row>
    <row r="881" spans="1:130" ht="12" customHeight="1">
      <c r="A881" s="552" t="s">
        <v>183</v>
      </c>
      <c r="B881" s="445"/>
      <c r="C881" s="445"/>
      <c r="D881" s="509">
        <v>3620</v>
      </c>
      <c r="E881" s="510">
        <v>3620</v>
      </c>
      <c r="F881" s="510">
        <v>3620</v>
      </c>
      <c r="G881" s="510">
        <v>3541</v>
      </c>
      <c r="H881" s="511">
        <f>+G881</f>
        <v>3541</v>
      </c>
      <c r="I881" s="510">
        <v>3541</v>
      </c>
      <c r="J881" s="510">
        <v>3541</v>
      </c>
      <c r="K881" s="510">
        <v>3541</v>
      </c>
      <c r="L881" s="510">
        <v>3572</v>
      </c>
      <c r="M881" s="511">
        <f>+L881</f>
        <v>3572</v>
      </c>
      <c r="N881" s="510">
        <v>3572</v>
      </c>
      <c r="O881" s="510">
        <v>3572</v>
      </c>
      <c r="P881" s="510">
        <f>+O881+600</f>
        <v>4172</v>
      </c>
      <c r="Q881" s="510">
        <v>4068</v>
      </c>
      <c r="R881" s="511">
        <f>+Q881</f>
        <v>4068</v>
      </c>
      <c r="S881" s="510">
        <v>4068</v>
      </c>
      <c r="T881" s="510">
        <v>4068</v>
      </c>
      <c r="U881" s="510">
        <v>4068</v>
      </c>
      <c r="V881" s="510">
        <v>3999</v>
      </c>
      <c r="W881" s="511">
        <f>+V881</f>
        <v>3999</v>
      </c>
      <c r="X881" s="510">
        <v>3999</v>
      </c>
      <c r="Y881" s="510">
        <v>3999</v>
      </c>
      <c r="Z881" s="510">
        <v>3999</v>
      </c>
      <c r="AA881" s="510">
        <v>3956</v>
      </c>
      <c r="AB881" s="511">
        <f>+AA881</f>
        <v>3956</v>
      </c>
      <c r="AC881" s="510">
        <v>3931</v>
      </c>
      <c r="AD881" s="231">
        <f t="shared" ref="AD881:AG883" si="1699">+AC881</f>
        <v>3931</v>
      </c>
      <c r="AE881" s="231">
        <f t="shared" si="1699"/>
        <v>3931</v>
      </c>
      <c r="AF881" s="510">
        <v>3928</v>
      </c>
      <c r="AG881" s="511">
        <f t="shared" si="1699"/>
        <v>3928</v>
      </c>
      <c r="AH881" s="601">
        <v>3924.3333333333335</v>
      </c>
      <c r="AI881" s="601">
        <v>3550.3333333333335</v>
      </c>
      <c r="AJ881" s="601">
        <v>3452.6666666666665</v>
      </c>
      <c r="AK881" s="601">
        <v>3474</v>
      </c>
      <c r="AL881" s="525">
        <f t="shared" ref="AL881:AQ881" si="1700">AK881</f>
        <v>3474</v>
      </c>
      <c r="AM881" s="510">
        <v>3475</v>
      </c>
      <c r="AN881" s="231">
        <f t="shared" si="1700"/>
        <v>3475</v>
      </c>
      <c r="AO881" s="231">
        <f t="shared" si="1700"/>
        <v>3475</v>
      </c>
      <c r="AP881" s="510">
        <v>3475</v>
      </c>
      <c r="AQ881" s="525">
        <f t="shared" si="1700"/>
        <v>3475</v>
      </c>
      <c r="AR881" s="231">
        <f t="shared" ref="AR881:AV883" si="1701">AQ881</f>
        <v>3475</v>
      </c>
      <c r="AS881" s="231">
        <f t="shared" si="1701"/>
        <v>3475</v>
      </c>
      <c r="AT881" s="231">
        <f t="shared" si="1701"/>
        <v>3475</v>
      </c>
      <c r="AU881" s="510">
        <v>3305</v>
      </c>
      <c r="AV881" s="525">
        <f t="shared" si="1701"/>
        <v>3305</v>
      </c>
      <c r="AW881" s="231">
        <f t="shared" ref="AW881:BF881" si="1702">AV881</f>
        <v>3305</v>
      </c>
      <c r="AX881" s="231">
        <f t="shared" si="1702"/>
        <v>3305</v>
      </c>
      <c r="AY881" s="231">
        <f t="shared" si="1702"/>
        <v>3305</v>
      </c>
      <c r="AZ881" s="510">
        <v>3200</v>
      </c>
      <c r="BA881" s="525">
        <f>AZ881</f>
        <v>3200</v>
      </c>
      <c r="BB881" s="231">
        <f t="shared" si="1702"/>
        <v>3200</v>
      </c>
      <c r="BC881" s="231">
        <f t="shared" si="1702"/>
        <v>3200</v>
      </c>
      <c r="BD881" s="231">
        <f t="shared" si="1702"/>
        <v>3200</v>
      </c>
      <c r="BE881" s="231">
        <f t="shared" si="1702"/>
        <v>3200</v>
      </c>
      <c r="BF881" s="525">
        <f t="shared" si="1702"/>
        <v>3200</v>
      </c>
      <c r="BG881" s="527">
        <f t="shared" ref="BG881:BK883" si="1703">BF881</f>
        <v>3200</v>
      </c>
      <c r="BH881" s="231">
        <f t="shared" si="1703"/>
        <v>3200</v>
      </c>
      <c r="BI881" s="231">
        <f t="shared" si="1703"/>
        <v>3200</v>
      </c>
      <c r="BJ881" s="1841">
        <f t="shared" si="1703"/>
        <v>3200</v>
      </c>
      <c r="BK881" s="525">
        <f t="shared" si="1703"/>
        <v>3200</v>
      </c>
      <c r="BL881" s="231">
        <f t="shared" ref="BL881:BM883" si="1704">BK881</f>
        <v>3200</v>
      </c>
      <c r="BM881" s="231">
        <f t="shared" si="1704"/>
        <v>3200</v>
      </c>
      <c r="BN881" s="231">
        <f>BM881</f>
        <v>3200</v>
      </c>
      <c r="BO881" s="1841"/>
      <c r="BP881" s="525"/>
      <c r="BQ881" s="231"/>
      <c r="BR881" s="231"/>
      <c r="BS881" s="231"/>
      <c r="BT881" s="1841"/>
      <c r="BU881" s="3367"/>
      <c r="BV881" s="231"/>
      <c r="BW881" s="231"/>
      <c r="BX881" s="231"/>
      <c r="BY881" s="1841"/>
      <c r="BZ881" s="525"/>
      <c r="CA881" s="525"/>
      <c r="CB881" s="525"/>
      <c r="CC881" s="525">
        <f t="shared" si="1697"/>
        <v>0</v>
      </c>
      <c r="CD881" s="525">
        <f t="shared" si="1697"/>
        <v>0</v>
      </c>
      <c r="CE881" s="525">
        <f t="shared" si="1697"/>
        <v>0</v>
      </c>
      <c r="CF881" s="525">
        <f t="shared" si="1697"/>
        <v>0</v>
      </c>
      <c r="CG881" s="525">
        <f t="shared" si="1697"/>
        <v>0</v>
      </c>
      <c r="CH881" s="231"/>
      <c r="CI881" s="231"/>
      <c r="CJ881" s="231"/>
      <c r="CK881" s="231"/>
      <c r="CL881" s="231"/>
      <c r="CM881" s="231"/>
      <c r="CN881" s="231"/>
      <c r="CO881" s="231"/>
      <c r="CP881" s="994" t="str">
        <f>A881</f>
        <v>Slots</v>
      </c>
      <c r="CQ881" s="231">
        <f>H881</f>
        <v>3541</v>
      </c>
      <c r="CR881" s="231">
        <f>M881</f>
        <v>3572</v>
      </c>
      <c r="CS881" s="231">
        <f>R881</f>
        <v>4068</v>
      </c>
      <c r="CT881" s="231">
        <f>W881</f>
        <v>3999</v>
      </c>
      <c r="CU881" s="231">
        <f>AB881</f>
        <v>3956</v>
      </c>
      <c r="CV881" s="231">
        <f>AG881</f>
        <v>3928</v>
      </c>
      <c r="CW881" s="231">
        <f>AL881</f>
        <v>3474</v>
      </c>
      <c r="CX881" s="231">
        <f>AQ881</f>
        <v>3475</v>
      </c>
      <c r="CY881" s="231">
        <f>AV881</f>
        <v>3305</v>
      </c>
      <c r="CZ881" s="231">
        <f>BA881</f>
        <v>3200</v>
      </c>
      <c r="DA881" s="231">
        <f>BF881</f>
        <v>3200</v>
      </c>
      <c r="DB881" s="231">
        <f>BK881</f>
        <v>3200</v>
      </c>
      <c r="DC881" s="231">
        <f>BP881</f>
        <v>0</v>
      </c>
      <c r="DD881" s="231">
        <f>BU881</f>
        <v>0</v>
      </c>
      <c r="DE881" s="231">
        <f t="shared" si="1698"/>
        <v>0</v>
      </c>
      <c r="DF881" s="231">
        <f t="shared" si="1698"/>
        <v>0</v>
      </c>
      <c r="DG881" s="1841">
        <f t="shared" si="1698"/>
        <v>0</v>
      </c>
      <c r="DH881" s="513"/>
      <c r="DI881" s="570"/>
      <c r="DJ881" s="570"/>
      <c r="DK881" s="570"/>
      <c r="DL881" s="570"/>
      <c r="DM881" s="570"/>
      <c r="DN881" s="222"/>
      <c r="DO881" s="226"/>
      <c r="DY881" s="231"/>
      <c r="DZ881" s="231"/>
    </row>
    <row r="882" spans="1:130" ht="12" customHeight="1">
      <c r="A882" s="552" t="s">
        <v>184</v>
      </c>
      <c r="B882" s="445"/>
      <c r="C882" s="445"/>
      <c r="D882" s="509">
        <v>157</v>
      </c>
      <c r="E882" s="510">
        <v>157</v>
      </c>
      <c r="F882" s="510">
        <v>157</v>
      </c>
      <c r="G882" s="510">
        <f>135+34</f>
        <v>169</v>
      </c>
      <c r="H882" s="511">
        <f>+G882</f>
        <v>169</v>
      </c>
      <c r="I882" s="510">
        <v>169</v>
      </c>
      <c r="J882" s="510">
        <v>169</v>
      </c>
      <c r="K882" s="510">
        <v>169</v>
      </c>
      <c r="L882" s="510">
        <v>133</v>
      </c>
      <c r="M882" s="511">
        <f>+L882</f>
        <v>133</v>
      </c>
      <c r="N882" s="510">
        <v>133</v>
      </c>
      <c r="O882" s="510">
        <v>133</v>
      </c>
      <c r="P882" s="510">
        <f>+O882+36+56</f>
        <v>225</v>
      </c>
      <c r="Q882" s="510">
        <v>178</v>
      </c>
      <c r="R882" s="511">
        <f>+Q882</f>
        <v>178</v>
      </c>
      <c r="S882" s="510">
        <v>178</v>
      </c>
      <c r="T882" s="510">
        <v>178</v>
      </c>
      <c r="U882" s="510">
        <v>178</v>
      </c>
      <c r="V882" s="510">
        <v>180</v>
      </c>
      <c r="W882" s="511">
        <f>+V882</f>
        <v>180</v>
      </c>
      <c r="X882" s="510">
        <v>180</v>
      </c>
      <c r="Y882" s="510">
        <v>180</v>
      </c>
      <c r="Z882" s="510">
        <v>180</v>
      </c>
      <c r="AA882" s="510">
        <v>181</v>
      </c>
      <c r="AB882" s="511">
        <f>+AA882</f>
        <v>181</v>
      </c>
      <c r="AC882" s="510">
        <v>182</v>
      </c>
      <c r="AD882" s="231">
        <f t="shared" si="1699"/>
        <v>182</v>
      </c>
      <c r="AE882" s="231">
        <f t="shared" si="1699"/>
        <v>182</v>
      </c>
      <c r="AF882" s="510">
        <v>182</v>
      </c>
      <c r="AG882" s="511">
        <f t="shared" si="1699"/>
        <v>182</v>
      </c>
      <c r="AH882" s="492">
        <f t="shared" ref="AH882:AQ882" si="1705">AG882</f>
        <v>182</v>
      </c>
      <c r="AI882" s="492">
        <f t="shared" si="1705"/>
        <v>182</v>
      </c>
      <c r="AJ882" s="492">
        <f t="shared" si="1705"/>
        <v>182</v>
      </c>
      <c r="AK882" s="601">
        <v>269</v>
      </c>
      <c r="AL882" s="525">
        <f t="shared" si="1705"/>
        <v>269</v>
      </c>
      <c r="AM882" s="231">
        <f t="shared" si="1705"/>
        <v>269</v>
      </c>
      <c r="AN882" s="231">
        <f t="shared" si="1705"/>
        <v>269</v>
      </c>
      <c r="AO882" s="231">
        <f t="shared" si="1705"/>
        <v>269</v>
      </c>
      <c r="AP882" s="510">
        <v>184</v>
      </c>
      <c r="AQ882" s="525">
        <f t="shared" si="1705"/>
        <v>184</v>
      </c>
      <c r="AR882" s="231">
        <f t="shared" si="1701"/>
        <v>184</v>
      </c>
      <c r="AS882" s="231">
        <f t="shared" si="1701"/>
        <v>184</v>
      </c>
      <c r="AT882" s="231">
        <f t="shared" si="1701"/>
        <v>184</v>
      </c>
      <c r="AU882" s="510">
        <v>183</v>
      </c>
      <c r="AV882" s="525">
        <f t="shared" si="1701"/>
        <v>183</v>
      </c>
      <c r="AW882" s="231">
        <f t="shared" ref="AW882:BF882" si="1706">AV882</f>
        <v>183</v>
      </c>
      <c r="AX882" s="231">
        <f t="shared" si="1706"/>
        <v>183</v>
      </c>
      <c r="AY882" s="231">
        <f t="shared" si="1706"/>
        <v>183</v>
      </c>
      <c r="AZ882" s="510">
        <v>183</v>
      </c>
      <c r="BA882" s="525">
        <f>AZ882</f>
        <v>183</v>
      </c>
      <c r="BB882" s="231">
        <f t="shared" si="1706"/>
        <v>183</v>
      </c>
      <c r="BC882" s="231">
        <f t="shared" si="1706"/>
        <v>183</v>
      </c>
      <c r="BD882" s="231">
        <f t="shared" si="1706"/>
        <v>183</v>
      </c>
      <c r="BE882" s="231">
        <f t="shared" si="1706"/>
        <v>183</v>
      </c>
      <c r="BF882" s="525">
        <f t="shared" si="1706"/>
        <v>183</v>
      </c>
      <c r="BG882" s="527">
        <f t="shared" si="1703"/>
        <v>183</v>
      </c>
      <c r="BH882" s="231">
        <f t="shared" si="1703"/>
        <v>183</v>
      </c>
      <c r="BI882" s="231">
        <f t="shared" si="1703"/>
        <v>183</v>
      </c>
      <c r="BJ882" s="1841">
        <f t="shared" si="1703"/>
        <v>183</v>
      </c>
      <c r="BK882" s="525">
        <f t="shared" si="1703"/>
        <v>183</v>
      </c>
      <c r="BL882" s="231">
        <f t="shared" si="1704"/>
        <v>183</v>
      </c>
      <c r="BM882" s="231">
        <f t="shared" si="1704"/>
        <v>183</v>
      </c>
      <c r="BN882" s="231">
        <f>BM882</f>
        <v>183</v>
      </c>
      <c r="BO882" s="1841"/>
      <c r="BP882" s="525"/>
      <c r="BQ882" s="231"/>
      <c r="BR882" s="231"/>
      <c r="BS882" s="231"/>
      <c r="BT882" s="1841"/>
      <c r="BU882" s="3367"/>
      <c r="BV882" s="231"/>
      <c r="BW882" s="231"/>
      <c r="BX882" s="231"/>
      <c r="BY882" s="1841"/>
      <c r="BZ882" s="525"/>
      <c r="CA882" s="525"/>
      <c r="CB882" s="525"/>
      <c r="CC882" s="525">
        <f t="shared" si="1697"/>
        <v>0</v>
      </c>
      <c r="CD882" s="525">
        <f t="shared" si="1697"/>
        <v>0</v>
      </c>
      <c r="CE882" s="525">
        <f t="shared" si="1697"/>
        <v>0</v>
      </c>
      <c r="CF882" s="525">
        <f t="shared" si="1697"/>
        <v>0</v>
      </c>
      <c r="CG882" s="525">
        <f t="shared" si="1697"/>
        <v>0</v>
      </c>
      <c r="CH882" s="231"/>
      <c r="CI882" s="231"/>
      <c r="CJ882" s="231"/>
      <c r="CK882" s="231"/>
      <c r="CL882" s="231"/>
      <c r="CM882" s="231"/>
      <c r="CN882" s="231"/>
      <c r="CO882" s="231"/>
      <c r="CP882" s="994" t="str">
        <f>A882</f>
        <v>Tables</v>
      </c>
      <c r="CQ882" s="231">
        <f>H882</f>
        <v>169</v>
      </c>
      <c r="CR882" s="231">
        <f>M882</f>
        <v>133</v>
      </c>
      <c r="CS882" s="231">
        <f>R882</f>
        <v>178</v>
      </c>
      <c r="CT882" s="231">
        <f>W882</f>
        <v>180</v>
      </c>
      <c r="CU882" s="231">
        <f>AB882</f>
        <v>181</v>
      </c>
      <c r="CV882" s="231">
        <f>AG882</f>
        <v>182</v>
      </c>
      <c r="CW882" s="231">
        <f>AL882</f>
        <v>269</v>
      </c>
      <c r="CX882" s="231">
        <f>AQ882</f>
        <v>184</v>
      </c>
      <c r="CY882" s="231">
        <f>AV882</f>
        <v>183</v>
      </c>
      <c r="CZ882" s="231">
        <f>BA882</f>
        <v>183</v>
      </c>
      <c r="DA882" s="231">
        <f>BF882</f>
        <v>183</v>
      </c>
      <c r="DB882" s="231">
        <f>BK882</f>
        <v>183</v>
      </c>
      <c r="DC882" s="231">
        <f>BP882</f>
        <v>0</v>
      </c>
      <c r="DD882" s="231">
        <f>BU882</f>
        <v>0</v>
      </c>
      <c r="DE882" s="231">
        <f t="shared" si="1698"/>
        <v>0</v>
      </c>
      <c r="DF882" s="231">
        <f t="shared" si="1698"/>
        <v>0</v>
      </c>
      <c r="DG882" s="1841">
        <f t="shared" si="1698"/>
        <v>0</v>
      </c>
      <c r="DH882" s="513"/>
      <c r="DI882" s="570"/>
      <c r="DJ882" s="570"/>
      <c r="DK882" s="570"/>
      <c r="DL882" s="570"/>
      <c r="DM882" s="570"/>
      <c r="DN882" s="222"/>
      <c r="DO882" s="226"/>
      <c r="DY882" s="231"/>
      <c r="DZ882" s="231"/>
    </row>
    <row r="883" spans="1:130" ht="12" customHeight="1">
      <c r="A883" s="633" t="s">
        <v>1088</v>
      </c>
      <c r="B883" s="445"/>
      <c r="C883" s="445"/>
      <c r="D883" s="509">
        <v>6</v>
      </c>
      <c r="E883" s="510">
        <v>6</v>
      </c>
      <c r="F883" s="510">
        <v>6</v>
      </c>
      <c r="G883" s="510">
        <v>6</v>
      </c>
      <c r="H883" s="511">
        <f>+G883</f>
        <v>6</v>
      </c>
      <c r="I883" s="510">
        <v>6</v>
      </c>
      <c r="J883" s="510">
        <v>6</v>
      </c>
      <c r="K883" s="510">
        <v>6</v>
      </c>
      <c r="L883" s="510">
        <v>6</v>
      </c>
      <c r="M883" s="511">
        <f>+L883</f>
        <v>6</v>
      </c>
      <c r="N883" s="510">
        <v>6</v>
      </c>
      <c r="O883" s="510">
        <v>6</v>
      </c>
      <c r="P883" s="510">
        <v>6</v>
      </c>
      <c r="Q883" s="510">
        <v>6</v>
      </c>
      <c r="R883" s="511">
        <f>+Q883</f>
        <v>6</v>
      </c>
      <c r="S883" s="510">
        <v>6</v>
      </c>
      <c r="T883" s="510">
        <v>6</v>
      </c>
      <c r="U883" s="510">
        <v>6</v>
      </c>
      <c r="V883" s="510">
        <v>6</v>
      </c>
      <c r="W883" s="511">
        <f>+V883</f>
        <v>6</v>
      </c>
      <c r="X883" s="510">
        <v>6</v>
      </c>
      <c r="Y883" s="510">
        <v>6</v>
      </c>
      <c r="Z883" s="510">
        <v>6</v>
      </c>
      <c r="AA883" s="510">
        <v>6</v>
      </c>
      <c r="AB883" s="511">
        <f>+AA883</f>
        <v>6</v>
      </c>
      <c r="AC883" s="510">
        <v>6</v>
      </c>
      <c r="AD883" s="231">
        <f t="shared" si="1699"/>
        <v>6</v>
      </c>
      <c r="AE883" s="231">
        <f t="shared" si="1699"/>
        <v>6</v>
      </c>
      <c r="AF883" s="231">
        <f t="shared" si="1699"/>
        <v>6</v>
      </c>
      <c r="AG883" s="511">
        <f t="shared" si="1699"/>
        <v>6</v>
      </c>
      <c r="AH883" s="492">
        <f t="shared" ref="AH883:AQ883" si="1707">AG883</f>
        <v>6</v>
      </c>
      <c r="AI883" s="492">
        <f t="shared" si="1707"/>
        <v>6</v>
      </c>
      <c r="AJ883" s="492">
        <f t="shared" si="1707"/>
        <v>6</v>
      </c>
      <c r="AK883" s="492">
        <f t="shared" si="1707"/>
        <v>6</v>
      </c>
      <c r="AL883" s="525">
        <f t="shared" si="1707"/>
        <v>6</v>
      </c>
      <c r="AM883" s="231">
        <f t="shared" si="1707"/>
        <v>6</v>
      </c>
      <c r="AN883" s="231">
        <f t="shared" si="1707"/>
        <v>6</v>
      </c>
      <c r="AO883" s="231">
        <f t="shared" si="1707"/>
        <v>6</v>
      </c>
      <c r="AP883" s="231">
        <f t="shared" si="1707"/>
        <v>6</v>
      </c>
      <c r="AQ883" s="525">
        <f t="shared" si="1707"/>
        <v>6</v>
      </c>
      <c r="AR883" s="231">
        <f t="shared" si="1701"/>
        <v>6</v>
      </c>
      <c r="AS883" s="231">
        <f t="shared" si="1701"/>
        <v>6</v>
      </c>
      <c r="AT883" s="231">
        <f t="shared" si="1701"/>
        <v>6</v>
      </c>
      <c r="AU883" s="231">
        <f t="shared" si="1701"/>
        <v>6</v>
      </c>
      <c r="AV883" s="525">
        <f t="shared" si="1701"/>
        <v>6</v>
      </c>
      <c r="AW883" s="231">
        <f t="shared" ref="AW883:BF883" si="1708">AV883</f>
        <v>6</v>
      </c>
      <c r="AX883" s="231">
        <f t="shared" si="1708"/>
        <v>6</v>
      </c>
      <c r="AY883" s="231">
        <f t="shared" si="1708"/>
        <v>6</v>
      </c>
      <c r="AZ883" s="231">
        <f t="shared" si="1708"/>
        <v>6</v>
      </c>
      <c r="BA883" s="525">
        <f t="shared" si="1708"/>
        <v>6</v>
      </c>
      <c r="BB883" s="231">
        <f t="shared" si="1708"/>
        <v>6</v>
      </c>
      <c r="BC883" s="231">
        <f t="shared" si="1708"/>
        <v>6</v>
      </c>
      <c r="BD883" s="231">
        <f t="shared" si="1708"/>
        <v>6</v>
      </c>
      <c r="BE883" s="231">
        <f t="shared" si="1708"/>
        <v>6</v>
      </c>
      <c r="BF883" s="525">
        <f t="shared" si="1708"/>
        <v>6</v>
      </c>
      <c r="BG883" s="527">
        <f t="shared" si="1703"/>
        <v>6</v>
      </c>
      <c r="BH883" s="231">
        <f t="shared" si="1703"/>
        <v>6</v>
      </c>
      <c r="BI883" s="231">
        <f t="shared" si="1703"/>
        <v>6</v>
      </c>
      <c r="BJ883" s="1841">
        <f t="shared" si="1703"/>
        <v>6</v>
      </c>
      <c r="BK883" s="525">
        <f t="shared" si="1703"/>
        <v>6</v>
      </c>
      <c r="BL883" s="231">
        <f t="shared" si="1704"/>
        <v>6</v>
      </c>
      <c r="BM883" s="231">
        <f t="shared" si="1704"/>
        <v>6</v>
      </c>
      <c r="BN883" s="231">
        <f>BM883</f>
        <v>6</v>
      </c>
      <c r="BO883" s="1841"/>
      <c r="BP883" s="525"/>
      <c r="BQ883" s="231"/>
      <c r="BR883" s="231"/>
      <c r="BS883" s="231"/>
      <c r="BT883" s="1841"/>
      <c r="BU883" s="3367"/>
      <c r="BV883" s="231"/>
      <c r="BW883" s="231"/>
      <c r="BX883" s="231"/>
      <c r="BY883" s="1841"/>
      <c r="BZ883" s="525"/>
      <c r="CA883" s="525"/>
      <c r="CB883" s="525"/>
      <c r="CC883" s="525">
        <f t="shared" si="1697"/>
        <v>0</v>
      </c>
      <c r="CD883" s="525">
        <f t="shared" si="1697"/>
        <v>0</v>
      </c>
      <c r="CE883" s="525">
        <f t="shared" si="1697"/>
        <v>0</v>
      </c>
      <c r="CF883" s="525">
        <f t="shared" si="1697"/>
        <v>0</v>
      </c>
      <c r="CG883" s="525">
        <f t="shared" si="1697"/>
        <v>0</v>
      </c>
      <c r="CH883" s="231"/>
      <c r="CI883" s="231"/>
      <c r="CJ883" s="231"/>
      <c r="CK883" s="231"/>
      <c r="CL883" s="231"/>
      <c r="CM883" s="231"/>
      <c r="CN883" s="231"/>
      <c r="CO883" s="231"/>
      <c r="CP883" s="90" t="str">
        <f>A883</f>
        <v>Positions/Table</v>
      </c>
      <c r="CQ883" s="231">
        <f>H883</f>
        <v>6</v>
      </c>
      <c r="CR883" s="231">
        <f>M883</f>
        <v>6</v>
      </c>
      <c r="CS883" s="231">
        <f>R883</f>
        <v>6</v>
      </c>
      <c r="CT883" s="231">
        <f>W883</f>
        <v>6</v>
      </c>
      <c r="CU883" s="231">
        <f>AB883</f>
        <v>6</v>
      </c>
      <c r="CV883" s="231">
        <f>AG883</f>
        <v>6</v>
      </c>
      <c r="CW883" s="231">
        <f>AL883</f>
        <v>6</v>
      </c>
      <c r="CX883" s="231">
        <f>AQ883</f>
        <v>6</v>
      </c>
      <c r="CY883" s="231">
        <f>AV883</f>
        <v>6</v>
      </c>
      <c r="CZ883" s="231">
        <f>BA883</f>
        <v>6</v>
      </c>
      <c r="DA883" s="231">
        <f>BF883</f>
        <v>6</v>
      </c>
      <c r="DB883" s="231">
        <f>BK883</f>
        <v>6</v>
      </c>
      <c r="DC883" s="231">
        <f>BP883</f>
        <v>0</v>
      </c>
      <c r="DD883" s="231">
        <f>BU883</f>
        <v>0</v>
      </c>
      <c r="DE883" s="231">
        <f t="shared" si="1698"/>
        <v>0</v>
      </c>
      <c r="DF883" s="231">
        <f t="shared" si="1698"/>
        <v>0</v>
      </c>
      <c r="DG883" s="1841">
        <f t="shared" si="1698"/>
        <v>0</v>
      </c>
      <c r="DH883" s="513"/>
      <c r="DI883" s="570"/>
      <c r="DJ883" s="570"/>
      <c r="DK883" s="570"/>
      <c r="DL883" s="570"/>
      <c r="DM883" s="570"/>
      <c r="DN883" s="222"/>
      <c r="DO883" s="226"/>
      <c r="DY883" s="231"/>
      <c r="DZ883" s="231"/>
    </row>
    <row r="884" spans="1:130" ht="12" customHeight="1">
      <c r="A884" s="633" t="s">
        <v>1573</v>
      </c>
      <c r="B884" s="445"/>
      <c r="C884" s="445"/>
      <c r="D884" s="527">
        <f>D880</f>
        <v>4562</v>
      </c>
      <c r="E884" s="231">
        <f>+AVERAGE(D880:E880)</f>
        <v>4562</v>
      </c>
      <c r="F884" s="231">
        <f>+AVERAGE(E880:F880)</f>
        <v>4562</v>
      </c>
      <c r="G884" s="231">
        <f>+AVERAGE(F880:G880)</f>
        <v>4558.5</v>
      </c>
      <c r="H884" s="511">
        <f>+AVERAGE(D880:G880)</f>
        <v>4560.25</v>
      </c>
      <c r="I884" s="231">
        <f>+AVERAGE(H880:I880)</f>
        <v>4555</v>
      </c>
      <c r="J884" s="231">
        <f>+AVERAGE(I880:J880)</f>
        <v>4555</v>
      </c>
      <c r="K884" s="231">
        <f>+AVERAGE(J880:K880)</f>
        <v>4555</v>
      </c>
      <c r="L884" s="231">
        <f>+AVERAGE(K880:L880)</f>
        <v>4462.5</v>
      </c>
      <c r="M884" s="511">
        <f>+AVERAGE(I880:L880)</f>
        <v>4508.75</v>
      </c>
      <c r="N884" s="231">
        <f>+AVERAGE(M880:N880)</f>
        <v>4370</v>
      </c>
      <c r="O884" s="231">
        <f>+AVERAGE(N880:O880)</f>
        <v>4370</v>
      </c>
      <c r="P884" s="231">
        <f>P880</f>
        <v>5522</v>
      </c>
      <c r="Q884" s="231">
        <f>+AVERAGE(P880:Q880)</f>
        <v>5329</v>
      </c>
      <c r="R884" s="511">
        <f>+AVERAGE(N880:Q880)</f>
        <v>4849.5</v>
      </c>
      <c r="S884" s="231">
        <f>+AVERAGE(R880:S880)</f>
        <v>5136</v>
      </c>
      <c r="T884" s="231">
        <f>+AVERAGE(S880:T880)</f>
        <v>5136</v>
      </c>
      <c r="U884" s="231">
        <f>+AVERAGE(T880:U880)</f>
        <v>5136</v>
      </c>
      <c r="V884" s="231">
        <f>+AVERAGE(U880:V880)</f>
        <v>5107.5</v>
      </c>
      <c r="W884" s="511">
        <f>+AVERAGE(S880:V880)</f>
        <v>5121.75</v>
      </c>
      <c r="X884" s="231">
        <f>+AVERAGE(W880:X880)</f>
        <v>5079</v>
      </c>
      <c r="Y884" s="231">
        <f>+AVERAGE(X880:Y880)</f>
        <v>5079</v>
      </c>
      <c r="Z884" s="231">
        <f>+AVERAGE(Y880:Z880)</f>
        <v>5079</v>
      </c>
      <c r="AA884" s="231">
        <f>+AVERAGE(Z880:AA880)</f>
        <v>5060.5</v>
      </c>
      <c r="AB884" s="511">
        <f>+AVERAGE(X880:AA880)</f>
        <v>5069.75</v>
      </c>
      <c r="AC884" s="231">
        <f>+AVERAGE(AB880:AC880)</f>
        <v>5032.5</v>
      </c>
      <c r="AD884" s="231">
        <f>+AVERAGE(AC880:AD880)</f>
        <v>5023</v>
      </c>
      <c r="AE884" s="231">
        <f>+AVERAGE(AD880:AE880)</f>
        <v>5023</v>
      </c>
      <c r="AF884" s="231">
        <f>+AVERAGE(AE880:AF880)</f>
        <v>5021.5</v>
      </c>
      <c r="AG884" s="511">
        <f>+AVERAGE(AC880:AF880)</f>
        <v>5022.25</v>
      </c>
      <c r="AH884" s="231">
        <f>+AVERAGE(AG880:AH880)</f>
        <v>5018.166666666667</v>
      </c>
      <c r="AI884" s="231">
        <f>+AVERAGE(AH880:AI880)</f>
        <v>4829.3333333333339</v>
      </c>
      <c r="AJ884" s="231">
        <f>+AVERAGE(AI880:AJ880)</f>
        <v>4593.5</v>
      </c>
      <c r="AK884" s="231">
        <f>+AVERAGE(AJ880:AK880)</f>
        <v>4816.333333333333</v>
      </c>
      <c r="AL884" s="511">
        <f>+AVERAGE(AH880:AK880)</f>
        <v>4822.8333333333339</v>
      </c>
      <c r="AM884" s="231">
        <f>+AVERAGE(AL880:AM880)</f>
        <v>5088.5</v>
      </c>
      <c r="AN884" s="231">
        <f>+AVERAGE(AM880:AN880)</f>
        <v>5089</v>
      </c>
      <c r="AO884" s="231">
        <f>+AVERAGE(AN880:AO880)</f>
        <v>5089</v>
      </c>
      <c r="AP884" s="231">
        <f>+AVERAGE(AO880:AP880)</f>
        <v>4834</v>
      </c>
      <c r="AQ884" s="511">
        <f>+AVERAGE(AM880:AP880)</f>
        <v>4961.5</v>
      </c>
      <c r="AR884" s="231">
        <f t="shared" ref="AR884:BF884" si="1709">+AVERAGE(AQ880:AR880)</f>
        <v>4579</v>
      </c>
      <c r="AS884" s="231">
        <f t="shared" si="1709"/>
        <v>4579</v>
      </c>
      <c r="AT884" s="231">
        <f t="shared" si="1709"/>
        <v>4579</v>
      </c>
      <c r="AU884" s="231">
        <f t="shared" si="1709"/>
        <v>4491</v>
      </c>
      <c r="AV884" s="525">
        <f t="shared" si="1709"/>
        <v>4403</v>
      </c>
      <c r="AW884" s="231">
        <f t="shared" si="1709"/>
        <v>4403</v>
      </c>
      <c r="AX884" s="231">
        <f t="shared" si="1709"/>
        <v>4403</v>
      </c>
      <c r="AY884" s="231">
        <f t="shared" si="1709"/>
        <v>4403</v>
      </c>
      <c r="AZ884" s="231">
        <f>+AVERAGE(AY880:AZ880)</f>
        <v>4350.5</v>
      </c>
      <c r="BA884" s="525">
        <f>+AVERAGE(AV880,BA880)</f>
        <v>4350.5</v>
      </c>
      <c r="BB884" s="231">
        <f t="shared" si="1709"/>
        <v>4298</v>
      </c>
      <c r="BC884" s="231">
        <f t="shared" si="1709"/>
        <v>4298</v>
      </c>
      <c r="BD884" s="231">
        <f t="shared" si="1709"/>
        <v>4298</v>
      </c>
      <c r="BE884" s="231">
        <f t="shared" si="1709"/>
        <v>4298</v>
      </c>
      <c r="BF884" s="525">
        <f t="shared" si="1709"/>
        <v>4298</v>
      </c>
      <c r="BG884" s="527">
        <f t="shared" ref="BG884:BN884" si="1710">+AVERAGE(BF880:BG880)</f>
        <v>4298</v>
      </c>
      <c r="BH884" s="231">
        <f t="shared" si="1710"/>
        <v>4298</v>
      </c>
      <c r="BI884" s="231">
        <f t="shared" si="1710"/>
        <v>4298</v>
      </c>
      <c r="BJ884" s="1841">
        <f t="shared" si="1710"/>
        <v>4298</v>
      </c>
      <c r="BK884" s="525">
        <f t="shared" si="1710"/>
        <v>4298</v>
      </c>
      <c r="BL884" s="231">
        <f t="shared" si="1710"/>
        <v>4298</v>
      </c>
      <c r="BM884" s="231">
        <f t="shared" si="1710"/>
        <v>4298</v>
      </c>
      <c r="BN884" s="231">
        <f t="shared" si="1710"/>
        <v>4298</v>
      </c>
      <c r="BO884" s="1841"/>
      <c r="BP884" s="525"/>
      <c r="BQ884" s="231"/>
      <c r="BR884" s="231"/>
      <c r="BS884" s="231"/>
      <c r="BT884" s="1841"/>
      <c r="BU884" s="3367"/>
      <c r="BV884" s="231"/>
      <c r="BW884" s="231"/>
      <c r="BX884" s="231"/>
      <c r="BY884" s="1841"/>
      <c r="BZ884" s="525"/>
      <c r="CA884" s="525"/>
      <c r="CB884" s="525"/>
      <c r="CC884" s="525">
        <f t="shared" si="1697"/>
        <v>0</v>
      </c>
      <c r="CD884" s="525">
        <f t="shared" si="1697"/>
        <v>0</v>
      </c>
      <c r="CE884" s="525">
        <f t="shared" si="1697"/>
        <v>0</v>
      </c>
      <c r="CF884" s="525">
        <f t="shared" si="1697"/>
        <v>0</v>
      </c>
      <c r="CG884" s="525">
        <f t="shared" si="1697"/>
        <v>0</v>
      </c>
      <c r="CH884" s="231"/>
      <c r="CI884" s="231"/>
      <c r="CJ884" s="231"/>
      <c r="CK884" s="231"/>
      <c r="CL884" s="231"/>
      <c r="CM884" s="231"/>
      <c r="CN884" s="231"/>
      <c r="CO884" s="231"/>
      <c r="CP884" s="90" t="str">
        <f>A884</f>
        <v>Average Positions</v>
      </c>
      <c r="CQ884" s="231">
        <f>H884</f>
        <v>4560.25</v>
      </c>
      <c r="CR884" s="231">
        <f>M884</f>
        <v>4508.75</v>
      </c>
      <c r="CS884" s="231">
        <f>R884</f>
        <v>4849.5</v>
      </c>
      <c r="CT884" s="231">
        <f>W884</f>
        <v>5121.75</v>
      </c>
      <c r="CU884" s="231">
        <f>AB884</f>
        <v>5069.75</v>
      </c>
      <c r="CV884" s="231">
        <f>AG884</f>
        <v>5022.25</v>
      </c>
      <c r="CW884" s="231">
        <f>AL884</f>
        <v>4822.8333333333339</v>
      </c>
      <c r="CX884" s="231">
        <f>AQ884</f>
        <v>4961.5</v>
      </c>
      <c r="CY884" s="231">
        <f>AV884</f>
        <v>4403</v>
      </c>
      <c r="CZ884" s="231">
        <f>BA884</f>
        <v>4350.5</v>
      </c>
      <c r="DA884" s="231">
        <f>BF884</f>
        <v>4298</v>
      </c>
      <c r="DB884" s="231">
        <f>BK884</f>
        <v>4298</v>
      </c>
      <c r="DC884" s="231">
        <f>BP884</f>
        <v>0</v>
      </c>
      <c r="DD884" s="231">
        <f>BU884</f>
        <v>0</v>
      </c>
      <c r="DE884" s="231">
        <f t="shared" si="1698"/>
        <v>0</v>
      </c>
      <c r="DF884" s="231">
        <f t="shared" si="1698"/>
        <v>0</v>
      </c>
      <c r="DG884" s="1841">
        <f t="shared" si="1698"/>
        <v>0</v>
      </c>
      <c r="DH884" s="231"/>
      <c r="DI884" s="570"/>
      <c r="DJ884" s="570"/>
      <c r="DK884" s="570"/>
      <c r="DL884" s="570"/>
      <c r="DM884" s="570"/>
      <c r="DN884" s="222"/>
      <c r="DO884" s="226"/>
      <c r="DY884" s="231"/>
      <c r="DZ884" s="231"/>
    </row>
    <row r="885" spans="1:130" ht="6" customHeight="1">
      <c r="A885" s="552"/>
      <c r="B885" s="445"/>
      <c r="C885" s="445"/>
      <c r="D885" s="509"/>
      <c r="E885" s="510"/>
      <c r="F885" s="510"/>
      <c r="G885" s="510"/>
      <c r="H885" s="512"/>
      <c r="I885" s="510"/>
      <c r="J885" s="510"/>
      <c r="K885" s="510"/>
      <c r="L885" s="510"/>
      <c r="M885" s="512"/>
      <c r="N885" s="510"/>
      <c r="O885" s="510"/>
      <c r="P885" s="570"/>
      <c r="Q885" s="510"/>
      <c r="R885" s="512"/>
      <c r="S885" s="510"/>
      <c r="T885" s="510"/>
      <c r="U885" s="570"/>
      <c r="V885" s="510"/>
      <c r="W885" s="512"/>
      <c r="X885" s="570"/>
      <c r="Y885" s="570"/>
      <c r="Z885" s="570"/>
      <c r="AA885" s="510"/>
      <c r="AB885" s="512"/>
      <c r="AC885" s="570"/>
      <c r="AD885" s="510"/>
      <c r="AE885" s="570"/>
      <c r="AF885" s="510"/>
      <c r="AG885" s="512"/>
      <c r="AH885" s="510"/>
      <c r="AI885" s="510"/>
      <c r="AJ885" s="510"/>
      <c r="AK885" s="510"/>
      <c r="AL885" s="512"/>
      <c r="AM885" s="510"/>
      <c r="AN885" s="510"/>
      <c r="AO885" s="510"/>
      <c r="AP885" s="510"/>
      <c r="AQ885" s="512"/>
      <c r="AR885" s="510"/>
      <c r="AS885" s="510"/>
      <c r="AT885" s="510"/>
      <c r="AU885" s="510"/>
      <c r="AV885" s="512"/>
      <c r="AW885" s="510"/>
      <c r="AX885" s="510"/>
      <c r="AY885" s="510"/>
      <c r="AZ885" s="510"/>
      <c r="BA885" s="512"/>
      <c r="BB885" s="510"/>
      <c r="BC885" s="510"/>
      <c r="BD885" s="510"/>
      <c r="BE885" s="510"/>
      <c r="BF885" s="512"/>
      <c r="BG885" s="509"/>
      <c r="BH885" s="510"/>
      <c r="BI885" s="510"/>
      <c r="BJ885" s="2811"/>
      <c r="BK885" s="512"/>
      <c r="BL885" s="510"/>
      <c r="BM885" s="510"/>
      <c r="BN885" s="510"/>
      <c r="BO885" s="2811"/>
      <c r="BP885" s="512"/>
      <c r="BQ885" s="510"/>
      <c r="BR885" s="510"/>
      <c r="BS885" s="510"/>
      <c r="BT885" s="2811"/>
      <c r="BU885" s="3367"/>
      <c r="BV885" s="510"/>
      <c r="BW885" s="510"/>
      <c r="BX885" s="510"/>
      <c r="BY885" s="2811"/>
      <c r="BZ885" s="512"/>
      <c r="CA885" s="512"/>
      <c r="CB885" s="512"/>
      <c r="CC885" s="512"/>
      <c r="CD885" s="512"/>
      <c r="CE885" s="512"/>
      <c r="CF885" s="512"/>
      <c r="CG885" s="512"/>
      <c r="CH885" s="510"/>
      <c r="CI885" s="510"/>
      <c r="CJ885" s="510"/>
      <c r="CK885" s="510"/>
      <c r="CL885" s="510"/>
      <c r="CM885" s="510"/>
      <c r="CN885" s="510"/>
      <c r="CO885" s="510"/>
      <c r="CP885" s="994"/>
      <c r="CQ885" s="231"/>
      <c r="CR885" s="231"/>
      <c r="CS885" s="231"/>
      <c r="CT885" s="231"/>
      <c r="CU885" s="231"/>
      <c r="CV885" s="231"/>
      <c r="CW885" s="231"/>
      <c r="CX885" s="231"/>
      <c r="CY885" s="231"/>
      <c r="CZ885" s="231"/>
      <c r="DA885" s="231"/>
      <c r="DB885" s="231"/>
      <c r="DC885" s="231"/>
      <c r="DD885" s="231"/>
      <c r="DE885" s="231"/>
      <c r="DF885" s="231"/>
      <c r="DG885" s="1841"/>
      <c r="DH885" s="514"/>
      <c r="DI885" s="570"/>
      <c r="DJ885" s="570"/>
      <c r="DK885" s="570"/>
      <c r="DL885" s="570"/>
      <c r="DM885" s="570"/>
      <c r="DN885" s="222"/>
      <c r="DO885" s="226"/>
      <c r="DY885" s="510"/>
      <c r="DZ885" s="510"/>
    </row>
    <row r="886" spans="1:130" ht="12" customHeight="1">
      <c r="A886" s="795" t="s">
        <v>920</v>
      </c>
      <c r="B886" s="796"/>
      <c r="C886" s="796"/>
      <c r="D886" s="799"/>
      <c r="E886" s="800"/>
      <c r="F886" s="800"/>
      <c r="G886" s="800"/>
      <c r="H886" s="801">
        <v>0.92</v>
      </c>
      <c r="I886" s="800"/>
      <c r="J886" s="800"/>
      <c r="K886" s="800"/>
      <c r="L886" s="800"/>
      <c r="M886" s="801">
        <v>0.95</v>
      </c>
      <c r="N886" s="800"/>
      <c r="O886" s="798"/>
      <c r="P886" s="800"/>
      <c r="Q886" s="800"/>
      <c r="R886" s="801">
        <v>0.94</v>
      </c>
      <c r="S886" s="800"/>
      <c r="T886" s="800"/>
      <c r="U886" s="800"/>
      <c r="V886" s="800"/>
      <c r="W886" s="802">
        <v>0.95</v>
      </c>
      <c r="X886" s="800"/>
      <c r="Y886" s="800"/>
      <c r="Z886" s="800"/>
      <c r="AA886" s="800"/>
      <c r="AB886" s="802">
        <v>0.87</v>
      </c>
      <c r="AC886" s="800"/>
      <c r="AD886" s="800"/>
      <c r="AE886" s="800"/>
      <c r="AF886" s="803"/>
      <c r="AG886" s="802">
        <v>0.83</v>
      </c>
      <c r="AH886" s="773"/>
      <c r="AI886" s="804"/>
      <c r="AJ886" s="804"/>
      <c r="AK886" s="804"/>
      <c r="AL886" s="802">
        <v>0.86</v>
      </c>
      <c r="AM886" s="804"/>
      <c r="AN886" s="804"/>
      <c r="AO886" s="804"/>
      <c r="AP886" s="804"/>
      <c r="AQ886" s="802">
        <v>0.86</v>
      </c>
      <c r="AR886" s="804"/>
      <c r="AS886" s="804"/>
      <c r="AT886" s="804"/>
      <c r="AU886" s="804"/>
      <c r="AV886" s="2077">
        <v>0.85</v>
      </c>
      <c r="AW886" s="804"/>
      <c r="AX886" s="804"/>
      <c r="AY886" s="804"/>
      <c r="AZ886" s="804"/>
      <c r="BA886" s="2077">
        <v>0.85</v>
      </c>
      <c r="BB886" s="804"/>
      <c r="BC886" s="804"/>
      <c r="BD886" s="804"/>
      <c r="BE886" s="804"/>
      <c r="BF886" s="805">
        <f>BA886*(1+BF887)</f>
        <v>0.85</v>
      </c>
      <c r="BG886" s="2114"/>
      <c r="BH886" s="806"/>
      <c r="BI886" s="806"/>
      <c r="BJ886" s="2112"/>
      <c r="BK886" s="805">
        <f>BF886*(1+BK887)</f>
        <v>0.86699999999999999</v>
      </c>
      <c r="BL886" s="806"/>
      <c r="BM886" s="806"/>
      <c r="BN886" s="806"/>
      <c r="BO886" s="2112"/>
      <c r="BP886" s="805"/>
      <c r="BQ886" s="806"/>
      <c r="BR886" s="806"/>
      <c r="BS886" s="806"/>
      <c r="BT886" s="2112"/>
      <c r="BU886" s="3414"/>
      <c r="BV886" s="806"/>
      <c r="BW886" s="806"/>
      <c r="BX886" s="806"/>
      <c r="BY886" s="2112"/>
      <c r="BZ886" s="805"/>
      <c r="CA886" s="805"/>
      <c r="CB886" s="805"/>
      <c r="CC886" s="805">
        <f>CB886*(1+CC887)</f>
        <v>0</v>
      </c>
      <c r="CD886" s="805">
        <f>CC886*(1+CD887)</f>
        <v>0</v>
      </c>
      <c r="CE886" s="805">
        <f>CD886*(1+CE887)</f>
        <v>0</v>
      </c>
      <c r="CF886" s="805">
        <f>CE886*(1+CF887)</f>
        <v>0</v>
      </c>
      <c r="CG886" s="805">
        <f>CF886*(1+CG887)</f>
        <v>0</v>
      </c>
      <c r="CH886" s="806"/>
      <c r="CI886" s="806"/>
      <c r="CJ886" s="806"/>
      <c r="CK886" s="806"/>
      <c r="CL886" s="806"/>
      <c r="CM886" s="806"/>
      <c r="CN886" s="806"/>
      <c r="CO886" s="806"/>
      <c r="CP886" s="1895" t="str">
        <f>A886</f>
        <v>Occupancy</v>
      </c>
      <c r="CQ886" s="804">
        <f>H886</f>
        <v>0.92</v>
      </c>
      <c r="CR886" s="804">
        <f>M886</f>
        <v>0.95</v>
      </c>
      <c r="CS886" s="804">
        <f>R886</f>
        <v>0.94</v>
      </c>
      <c r="CT886" s="804">
        <f>W886</f>
        <v>0.95</v>
      </c>
      <c r="CU886" s="804">
        <f>AB886</f>
        <v>0.87</v>
      </c>
      <c r="CV886" s="804">
        <f>AG886</f>
        <v>0.83</v>
      </c>
      <c r="CW886" s="804">
        <f>AL886</f>
        <v>0.86</v>
      </c>
      <c r="CX886" s="804">
        <f>AQ886</f>
        <v>0.86</v>
      </c>
      <c r="CY886" s="804">
        <f>AV886</f>
        <v>0.85</v>
      </c>
      <c r="CZ886" s="804">
        <f>BA886</f>
        <v>0.85</v>
      </c>
      <c r="DA886" s="804">
        <f>BF886</f>
        <v>0.85</v>
      </c>
      <c r="DB886" s="804">
        <f>BK886</f>
        <v>0.86699999999999999</v>
      </c>
      <c r="DC886" s="804">
        <f>BP886</f>
        <v>0</v>
      </c>
      <c r="DD886" s="804">
        <f>BU886</f>
        <v>0</v>
      </c>
      <c r="DE886" s="804">
        <f t="shared" ref="DE886:DG889" si="1711">BZ886</f>
        <v>0</v>
      </c>
      <c r="DF886" s="804">
        <f t="shared" si="1711"/>
        <v>0</v>
      </c>
      <c r="DG886" s="1896">
        <f t="shared" si="1711"/>
        <v>0</v>
      </c>
      <c r="DH886" s="782"/>
      <c r="DI886" s="797"/>
      <c r="DJ886" s="797"/>
      <c r="DK886" s="797"/>
      <c r="DL886" s="797"/>
      <c r="DM886" s="797"/>
      <c r="DN886" s="240"/>
      <c r="DO886" s="807"/>
      <c r="DY886" s="806"/>
      <c r="DZ886" s="806"/>
    </row>
    <row r="887" spans="1:130" ht="12" customHeight="1">
      <c r="A887" s="257" t="s">
        <v>1249</v>
      </c>
      <c r="B887" s="445"/>
      <c r="C887" s="445"/>
      <c r="D887" s="340"/>
      <c r="E887" s="341"/>
      <c r="F887" s="592"/>
      <c r="G887" s="592"/>
      <c r="H887" s="779"/>
      <c r="I887" s="592"/>
      <c r="J887" s="592"/>
      <c r="K887" s="592"/>
      <c r="L887" s="592"/>
      <c r="M887" s="779">
        <f>M886/H886-1</f>
        <v>3.2608695652173836E-2</v>
      </c>
      <c r="N887" s="592"/>
      <c r="O887" s="592"/>
      <c r="P887" s="592"/>
      <c r="Q887" s="592"/>
      <c r="R887" s="779">
        <f>R886/M886-1</f>
        <v>-1.0526315789473717E-2</v>
      </c>
      <c r="S887" s="592"/>
      <c r="T887" s="592"/>
      <c r="U887" s="592"/>
      <c r="V887" s="592"/>
      <c r="W887" s="779">
        <f>W886/R886-1</f>
        <v>1.0638297872340496E-2</v>
      </c>
      <c r="X887" s="592"/>
      <c r="Y887" s="592"/>
      <c r="Z887" s="592"/>
      <c r="AA887" s="592"/>
      <c r="AB887" s="779">
        <f>AB886/W886-1</f>
        <v>-8.4210526315789402E-2</v>
      </c>
      <c r="AC887" s="592"/>
      <c r="AD887" s="592"/>
      <c r="AE887" s="592"/>
      <c r="AF887" s="592"/>
      <c r="AG887" s="779">
        <f>AG886/AB886-1</f>
        <v>-4.5977011494252928E-2</v>
      </c>
      <c r="AH887" s="570"/>
      <c r="AI887" s="570"/>
      <c r="AJ887" s="570"/>
      <c r="AK887" s="570"/>
      <c r="AL887" s="779">
        <f>AL886/AG886-1</f>
        <v>3.6144578313253017E-2</v>
      </c>
      <c r="AM887" s="570"/>
      <c r="AN887" s="570"/>
      <c r="AO887" s="570"/>
      <c r="AP887" s="570"/>
      <c r="AQ887" s="779">
        <f>AQ886/AL886-1</f>
        <v>0</v>
      </c>
      <c r="AR887" s="570"/>
      <c r="AS887" s="570"/>
      <c r="AT887" s="570"/>
      <c r="AU887" s="570"/>
      <c r="AV887" s="779">
        <f>AV886/AQ886-1</f>
        <v>-1.1627906976744207E-2</v>
      </c>
      <c r="AW887" s="570"/>
      <c r="AX887" s="570"/>
      <c r="AY887" s="570"/>
      <c r="AZ887" s="570"/>
      <c r="BA887" s="779">
        <f>BA886/AV886-1</f>
        <v>0</v>
      </c>
      <c r="BB887" s="570"/>
      <c r="BC887" s="570"/>
      <c r="BD887" s="570"/>
      <c r="BE887" s="570"/>
      <c r="BF887" s="569">
        <v>0</v>
      </c>
      <c r="BG887" s="596"/>
      <c r="BH887" s="570"/>
      <c r="BI887" s="570"/>
      <c r="BJ887" s="2807"/>
      <c r="BK887" s="569">
        <v>0.02</v>
      </c>
      <c r="BL887" s="570"/>
      <c r="BM887" s="570"/>
      <c r="BN887" s="570"/>
      <c r="BO887" s="2807"/>
      <c r="BP887" s="569"/>
      <c r="BQ887" s="570"/>
      <c r="BR887" s="570"/>
      <c r="BS887" s="570"/>
      <c r="BT887" s="2807"/>
      <c r="BU887" s="3378"/>
      <c r="BV887" s="570"/>
      <c r="BW887" s="570"/>
      <c r="BX887" s="570"/>
      <c r="BY887" s="2807"/>
      <c r="BZ887" s="569"/>
      <c r="CA887" s="569"/>
      <c r="CB887" s="569"/>
      <c r="CC887" s="569">
        <v>-7.4999999999999997E-2</v>
      </c>
      <c r="CD887" s="569">
        <v>-0.05</v>
      </c>
      <c r="CE887" s="569">
        <v>0.02</v>
      </c>
      <c r="CF887" s="569">
        <v>0.01</v>
      </c>
      <c r="CG887" s="569">
        <v>0.01</v>
      </c>
      <c r="CH887" s="592"/>
      <c r="CI887" s="592"/>
      <c r="CJ887" s="592"/>
      <c r="CK887" s="592"/>
      <c r="CL887" s="592"/>
      <c r="CM887" s="592"/>
      <c r="CN887" s="592"/>
      <c r="CO887" s="592"/>
      <c r="CP887" s="396" t="str">
        <f>A887</f>
        <v>% Growth (y-o-y)</v>
      </c>
      <c r="CQ887" s="592"/>
      <c r="CR887" s="592">
        <f>M887</f>
        <v>3.2608695652173836E-2</v>
      </c>
      <c r="CS887" s="592">
        <f>R887</f>
        <v>-1.0526315789473717E-2</v>
      </c>
      <c r="CT887" s="592">
        <f>W887</f>
        <v>1.0638297872340496E-2</v>
      </c>
      <c r="CU887" s="592">
        <f>AB887</f>
        <v>-8.4210526315789402E-2</v>
      </c>
      <c r="CV887" s="592">
        <f>AG887</f>
        <v>-4.5977011494252928E-2</v>
      </c>
      <c r="CW887" s="592">
        <f>AL887</f>
        <v>3.6144578313253017E-2</v>
      </c>
      <c r="CX887" s="592">
        <f>AQ887</f>
        <v>0</v>
      </c>
      <c r="CY887" s="592">
        <f>AV887</f>
        <v>-1.1627906976744207E-2</v>
      </c>
      <c r="CZ887" s="592">
        <f>BA887</f>
        <v>0</v>
      </c>
      <c r="DA887" s="592">
        <f>BF887</f>
        <v>0</v>
      </c>
      <c r="DB887" s="592">
        <f>BK887</f>
        <v>0.02</v>
      </c>
      <c r="DC887" s="592">
        <f>BP887</f>
        <v>0</v>
      </c>
      <c r="DD887" s="592">
        <f>BU887</f>
        <v>0</v>
      </c>
      <c r="DE887" s="592">
        <f t="shared" si="1711"/>
        <v>0</v>
      </c>
      <c r="DF887" s="592">
        <f t="shared" si="1711"/>
        <v>0</v>
      </c>
      <c r="DG887" s="1850">
        <f t="shared" si="1711"/>
        <v>0</v>
      </c>
      <c r="DH887" s="595"/>
      <c r="DI887" s="570"/>
      <c r="DJ887" s="570"/>
      <c r="DK887" s="570"/>
      <c r="DL887" s="570"/>
      <c r="DM887" s="570"/>
      <c r="DN887" s="222"/>
      <c r="DO887" s="226"/>
      <c r="DY887" s="570"/>
      <c r="DZ887" s="570"/>
    </row>
    <row r="888" spans="1:130" ht="12" customHeight="1">
      <c r="A888" s="410" t="s">
        <v>1327</v>
      </c>
      <c r="B888" s="410"/>
      <c r="C888" s="410"/>
      <c r="D888" s="808">
        <f t="shared" ref="D888:AI888" si="1712">D902*1000000/D5/D878</f>
        <v>102.66656420502574</v>
      </c>
      <c r="E888" s="620">
        <f t="shared" si="1712"/>
        <v>113.41405846900352</v>
      </c>
      <c r="F888" s="620">
        <f t="shared" si="1712"/>
        <v>131.94957216696346</v>
      </c>
      <c r="G888" s="809">
        <f t="shared" si="1712"/>
        <v>116.77313517154467</v>
      </c>
      <c r="H888" s="810">
        <f t="shared" si="1712"/>
        <v>116.25979968575481</v>
      </c>
      <c r="I888" s="808">
        <f t="shared" si="1712"/>
        <v>112.40555555555557</v>
      </c>
      <c r="J888" s="620">
        <f t="shared" si="1712"/>
        <v>126.31868131868133</v>
      </c>
      <c r="K888" s="620">
        <f t="shared" si="1712"/>
        <v>138.79347826086956</v>
      </c>
      <c r="L888" s="620">
        <f t="shared" si="1712"/>
        <v>122.26086956521739</v>
      </c>
      <c r="M888" s="810">
        <f t="shared" si="1712"/>
        <v>125.00958904109586</v>
      </c>
      <c r="N888" s="620">
        <f t="shared" si="1712"/>
        <v>117.95</v>
      </c>
      <c r="O888" s="620">
        <f t="shared" si="1712"/>
        <v>130.45054945054946</v>
      </c>
      <c r="P888" s="620">
        <f t="shared" si="1712"/>
        <v>147.69565217391306</v>
      </c>
      <c r="Q888" s="620">
        <f t="shared" si="1712"/>
        <v>138.57065217391306</v>
      </c>
      <c r="R888" s="810">
        <f t="shared" si="1712"/>
        <v>133.76164383561644</v>
      </c>
      <c r="S888" s="620">
        <f t="shared" si="1712"/>
        <v>132.73888888888888</v>
      </c>
      <c r="T888" s="620">
        <f t="shared" si="1712"/>
        <v>139.35714285714286</v>
      </c>
      <c r="U888" s="620">
        <f t="shared" si="1712"/>
        <v>149.78260869565216</v>
      </c>
      <c r="V888" s="620">
        <f t="shared" si="1712"/>
        <v>131.83624757754586</v>
      </c>
      <c r="W888" s="810">
        <f t="shared" si="1712"/>
        <v>138.7192958034519</v>
      </c>
      <c r="X888" s="620">
        <f t="shared" si="1712"/>
        <v>133.89198320705168</v>
      </c>
      <c r="Y888" s="620">
        <f t="shared" si="1712"/>
        <v>133.83152054715202</v>
      </c>
      <c r="Z888" s="620">
        <f t="shared" si="1712"/>
        <v>134.39270079864434</v>
      </c>
      <c r="AA888" s="809">
        <f t="shared" si="1712"/>
        <v>105.57717352078203</v>
      </c>
      <c r="AB888" s="810">
        <f t="shared" si="1712"/>
        <v>125.92021728909988</v>
      </c>
      <c r="AC888" s="808">
        <f t="shared" si="1712"/>
        <v>104.45647813878861</v>
      </c>
      <c r="AD888" s="620">
        <f t="shared" si="1712"/>
        <v>107.63992237448359</v>
      </c>
      <c r="AE888" s="620">
        <f t="shared" si="1712"/>
        <v>133.04128001004915</v>
      </c>
      <c r="AF888" s="809">
        <f t="shared" si="1712"/>
        <v>102.36619055093392</v>
      </c>
      <c r="AG888" s="810">
        <f t="shared" si="1712"/>
        <v>111.92663726947401</v>
      </c>
      <c r="AH888" s="808">
        <f t="shared" si="1712"/>
        <v>105.86631380568588</v>
      </c>
      <c r="AI888" s="620">
        <f t="shared" si="1712"/>
        <v>109.86631556822823</v>
      </c>
      <c r="AJ888" s="620">
        <f t="shared" ref="AJ888:BM888" si="1713">AJ902*1000000/AJ5/AJ878</f>
        <v>133.72193369212181</v>
      </c>
      <c r="AK888" s="620">
        <f t="shared" si="1713"/>
        <v>105.9645267618898</v>
      </c>
      <c r="AL888" s="810">
        <f t="shared" si="1713"/>
        <v>113.92038922799652</v>
      </c>
      <c r="AM888" s="808">
        <f t="shared" si="1713"/>
        <v>105.4973716945548</v>
      </c>
      <c r="AN888" s="620">
        <f t="shared" si="1713"/>
        <v>118.33128951222126</v>
      </c>
      <c r="AO888" s="620">
        <f t="shared" si="1713"/>
        <v>129.81063639361253</v>
      </c>
      <c r="AP888" s="620">
        <f t="shared" si="1713"/>
        <v>107.40025436902351</v>
      </c>
      <c r="AQ888" s="810">
        <f t="shared" si="1713"/>
        <v>115.30496643365639</v>
      </c>
      <c r="AR888" s="2457">
        <f t="shared" si="1713"/>
        <v>107.7748542537275</v>
      </c>
      <c r="AS888" s="2456">
        <f t="shared" si="1713"/>
        <v>117.7518761484092</v>
      </c>
      <c r="AT888" s="2456">
        <f t="shared" si="1713"/>
        <v>134.32882691915148</v>
      </c>
      <c r="AU888" s="2456">
        <f t="shared" si="1713"/>
        <v>110.11325081678814</v>
      </c>
      <c r="AV888" s="810">
        <f t="shared" si="1713"/>
        <v>117.59298208195339</v>
      </c>
      <c r="AW888" s="2456">
        <f t="shared" si="1713"/>
        <v>107.11159298076537</v>
      </c>
      <c r="AX888" s="2456">
        <f t="shared" si="1713"/>
        <v>113.08712971163278</v>
      </c>
      <c r="AY888" s="2456">
        <f t="shared" si="1713"/>
        <v>133.48706022846906</v>
      </c>
      <c r="AZ888" s="2456">
        <f t="shared" si="1713"/>
        <v>102.06863499945004</v>
      </c>
      <c r="BA888" s="810">
        <f t="shared" si="1713"/>
        <v>113.97834556985214</v>
      </c>
      <c r="BB888" s="2456">
        <f t="shared" si="1713"/>
        <v>102.67437658113481</v>
      </c>
      <c r="BC888" s="2456">
        <f t="shared" si="1713"/>
        <v>117.56295746176482</v>
      </c>
      <c r="BD888" s="2456">
        <f t="shared" si="1713"/>
        <v>139.94123285303499</v>
      </c>
      <c r="BE888" s="2456">
        <f t="shared" si="1713"/>
        <v>108.07891139359847</v>
      </c>
      <c r="BF888" s="810">
        <f t="shared" si="1713"/>
        <v>117.14185285483016</v>
      </c>
      <c r="BG888" s="2456">
        <f t="shared" si="1713"/>
        <v>110.84608280126893</v>
      </c>
      <c r="BH888" s="2456">
        <f t="shared" si="1713"/>
        <v>120.5296329980103</v>
      </c>
      <c r="BI888" s="2456">
        <f t="shared" si="1713"/>
        <v>139.87052371898619</v>
      </c>
      <c r="BJ888" s="2456">
        <f t="shared" si="1713"/>
        <v>112.83213651576814</v>
      </c>
      <c r="BK888" s="810">
        <f t="shared" si="1713"/>
        <v>121.07668163433024</v>
      </c>
      <c r="BL888" s="2456">
        <f t="shared" si="1713"/>
        <v>113.69476205038185</v>
      </c>
      <c r="BM888" s="2456">
        <f t="shared" si="1713"/>
        <v>123.3136216873116</v>
      </c>
      <c r="BN888" s="620">
        <f>BI888*(1+BN889)</f>
        <v>144.7659920491507</v>
      </c>
      <c r="BO888" s="809"/>
      <c r="BP888" s="810"/>
      <c r="BQ888" s="620"/>
      <c r="BR888" s="620"/>
      <c r="BS888" s="620"/>
      <c r="BT888" s="809"/>
      <c r="BU888" s="3355"/>
      <c r="BV888" s="620"/>
      <c r="BW888" s="620"/>
      <c r="BX888" s="620"/>
      <c r="BY888" s="809"/>
      <c r="BZ888" s="810"/>
      <c r="CA888" s="810"/>
      <c r="CB888" s="810"/>
      <c r="CC888" s="810">
        <f>CB888*(1+CC889)</f>
        <v>0</v>
      </c>
      <c r="CD888" s="810">
        <f>CC888*(1+CD889)</f>
        <v>0</v>
      </c>
      <c r="CE888" s="810">
        <f>CD888*(1+CE889)</f>
        <v>0</v>
      </c>
      <c r="CF888" s="810">
        <f>CE888*(1+CF889)</f>
        <v>0</v>
      </c>
      <c r="CG888" s="810">
        <f>CF888*(1+CG889)</f>
        <v>0</v>
      </c>
      <c r="CH888" s="620"/>
      <c r="CI888" s="620"/>
      <c r="CJ888" s="620"/>
      <c r="CK888" s="620"/>
      <c r="CL888" s="620"/>
      <c r="CM888" s="620"/>
      <c r="CN888" s="620"/>
      <c r="CO888" s="620"/>
      <c r="CP888" s="400" t="str">
        <f>A888</f>
        <v>RevPAR</v>
      </c>
      <c r="CQ888" s="620">
        <f>H888</f>
        <v>116.25979968575481</v>
      </c>
      <c r="CR888" s="620">
        <f>M888</f>
        <v>125.00958904109586</v>
      </c>
      <c r="CS888" s="620">
        <f>R888</f>
        <v>133.76164383561644</v>
      </c>
      <c r="CT888" s="620">
        <f>W888</f>
        <v>138.7192958034519</v>
      </c>
      <c r="CU888" s="620">
        <f>AB888</f>
        <v>125.92021728909988</v>
      </c>
      <c r="CV888" s="620">
        <f>AG888</f>
        <v>111.92663726947401</v>
      </c>
      <c r="CW888" s="620">
        <f>AL888</f>
        <v>113.92038922799652</v>
      </c>
      <c r="CX888" s="620">
        <f>AQ888</f>
        <v>115.30496643365639</v>
      </c>
      <c r="CY888" s="620">
        <f>AV888</f>
        <v>117.59298208195339</v>
      </c>
      <c r="CZ888" s="620">
        <f>BA888</f>
        <v>113.97834556985214</v>
      </c>
      <c r="DA888" s="620">
        <f>BF888</f>
        <v>117.14185285483016</v>
      </c>
      <c r="DB888" s="620">
        <f>BK888</f>
        <v>121.07668163433024</v>
      </c>
      <c r="DC888" s="620">
        <f>BP888</f>
        <v>0</v>
      </c>
      <c r="DD888" s="620">
        <f>BU888</f>
        <v>0</v>
      </c>
      <c r="DE888" s="620">
        <f t="shared" si="1711"/>
        <v>0</v>
      </c>
      <c r="DF888" s="620">
        <f t="shared" si="1711"/>
        <v>0</v>
      </c>
      <c r="DG888" s="809">
        <f t="shared" si="1711"/>
        <v>0</v>
      </c>
      <c r="DH888" s="620"/>
      <c r="DI888" s="668"/>
      <c r="DJ888" s="668"/>
      <c r="DK888" s="668"/>
      <c r="DL888" s="668"/>
      <c r="DM888" s="668"/>
      <c r="DN888" s="620"/>
      <c r="DO888" s="401"/>
      <c r="DY888" s="620"/>
      <c r="DZ888" s="620"/>
    </row>
    <row r="889" spans="1:130" ht="12" customHeight="1">
      <c r="A889" s="257" t="s">
        <v>1249</v>
      </c>
      <c r="B889" s="445"/>
      <c r="C889" s="445"/>
      <c r="D889" s="340"/>
      <c r="E889" s="341"/>
      <c r="F889" s="592"/>
      <c r="G889" s="592"/>
      <c r="H889" s="779"/>
      <c r="I889" s="592">
        <f>I888/D888-1</f>
        <v>9.4860400033266901E-2</v>
      </c>
      <c r="J889" s="592">
        <f>J888/E888-1</f>
        <v>0.11378327364243557</v>
      </c>
      <c r="K889" s="592">
        <f>K888/F888-1</f>
        <v>5.1867588363576633E-2</v>
      </c>
      <c r="L889" s="592">
        <f>L888/G888-1</f>
        <v>4.6994836488812419E-2</v>
      </c>
      <c r="M889" s="779">
        <f t="shared" ref="M889:S889" si="1714">M888/H888-1</f>
        <v>7.526066085604266E-2</v>
      </c>
      <c r="N889" s="592">
        <f t="shared" si="1714"/>
        <v>4.9325359561112947E-2</v>
      </c>
      <c r="O889" s="592">
        <f t="shared" si="1714"/>
        <v>3.2709873858199234E-2</v>
      </c>
      <c r="P889" s="592">
        <f t="shared" si="1714"/>
        <v>6.4139713368313922E-2</v>
      </c>
      <c r="Q889" s="592">
        <f t="shared" si="1714"/>
        <v>0.13340149359886211</v>
      </c>
      <c r="R889" s="779">
        <f t="shared" si="1714"/>
        <v>7.0011067644126124E-2</v>
      </c>
      <c r="S889" s="592">
        <f t="shared" si="1714"/>
        <v>0.12538269511563271</v>
      </c>
      <c r="T889" s="592">
        <f t="shared" ref="T889:Y889" si="1715">T888/O888-1</f>
        <v>6.827562968578893E-2</v>
      </c>
      <c r="U889" s="592">
        <f t="shared" si="1715"/>
        <v>1.4130114807182625E-2</v>
      </c>
      <c r="V889" s="592">
        <f t="shared" si="1715"/>
        <v>-4.8599068350455576E-2</v>
      </c>
      <c r="W889" s="779">
        <f t="shared" si="1715"/>
        <v>3.7063330157096841E-2</v>
      </c>
      <c r="X889" s="592">
        <f t="shared" si="1715"/>
        <v>8.6869366454318531E-3</v>
      </c>
      <c r="Y889" s="592">
        <f t="shared" si="1715"/>
        <v>-3.9650800789273077E-2</v>
      </c>
      <c r="Z889" s="592">
        <f t="shared" ref="Z889:AQ889" si="1716">Z888/U888-1</f>
        <v>-0.10274829655476914</v>
      </c>
      <c r="AA889" s="592">
        <f t="shared" si="1716"/>
        <v>-0.19917947104280476</v>
      </c>
      <c r="AB889" s="779">
        <f t="shared" si="1716"/>
        <v>-9.2266028602731143E-2</v>
      </c>
      <c r="AC889" s="592">
        <f t="shared" si="1716"/>
        <v>-0.21984516446174196</v>
      </c>
      <c r="AD889" s="592">
        <f t="shared" si="1716"/>
        <v>-0.19570575052564332</v>
      </c>
      <c r="AE889" s="592">
        <f t="shared" si="1716"/>
        <v>-1.0055760324513274E-2</v>
      </c>
      <c r="AF889" s="592">
        <f>AF888/AA888-1</f>
        <v>-3.0413609900401872E-2</v>
      </c>
      <c r="AG889" s="779">
        <f t="shared" si="1716"/>
        <v>-0.11113052630379472</v>
      </c>
      <c r="AH889" s="592">
        <f>AH888/AC888-1</f>
        <v>1.3496871539399047E-2</v>
      </c>
      <c r="AI889" s="592">
        <f t="shared" si="1716"/>
        <v>2.0683712368343432E-2</v>
      </c>
      <c r="AJ889" s="592">
        <f t="shared" si="1716"/>
        <v>5.1161089401818849E-3</v>
      </c>
      <c r="AK889" s="592">
        <f t="shared" si="1716"/>
        <v>3.5151608080653096E-2</v>
      </c>
      <c r="AL889" s="779">
        <f t="shared" si="1716"/>
        <v>1.7813024738001948E-2</v>
      </c>
      <c r="AM889" s="592">
        <f>AM888/AH888-1</f>
        <v>-3.484981179265878E-3</v>
      </c>
      <c r="AN889" s="592">
        <f>AN888/AI888-1</f>
        <v>7.7047945953336194E-2</v>
      </c>
      <c r="AO889" s="592">
        <f>AO888/AJ888-1</f>
        <v>-2.9249482044692576E-2</v>
      </c>
      <c r="AP889" s="592">
        <f>AP888/AK888-1</f>
        <v>1.3549134328320056E-2</v>
      </c>
      <c r="AQ889" s="779">
        <f t="shared" si="1716"/>
        <v>1.2153901641687836E-2</v>
      </c>
      <c r="AR889" s="592">
        <f t="shared" ref="AR889:BM889" si="1717">AR888/AM888-1</f>
        <v>2.1588050229029987E-2</v>
      </c>
      <c r="AS889" s="592">
        <f t="shared" si="1717"/>
        <v>-4.8965355334205096E-3</v>
      </c>
      <c r="AT889" s="592">
        <f t="shared" si="1717"/>
        <v>3.4806011672563253E-2</v>
      </c>
      <c r="AU889" s="592">
        <f t="shared" si="1717"/>
        <v>2.5260614732278697E-2</v>
      </c>
      <c r="AV889" s="779">
        <f t="shared" si="1717"/>
        <v>1.9843166509340815E-2</v>
      </c>
      <c r="AW889" s="592">
        <f t="shared" si="1717"/>
        <v>-6.1541375078147942E-3</v>
      </c>
      <c r="AX889" s="592">
        <f t="shared" si="1717"/>
        <v>-3.9615049792473545E-2</v>
      </c>
      <c r="AY889" s="592">
        <f t="shared" si="1717"/>
        <v>-6.2664634984793688E-3</v>
      </c>
      <c r="AZ889" s="2515">
        <f t="shared" si="1717"/>
        <v>-7.3057654348277601E-2</v>
      </c>
      <c r="BA889" s="779">
        <f>BA888/AV888-1</f>
        <v>-3.073853939329585E-2</v>
      </c>
      <c r="BB889" s="2515">
        <f t="shared" si="1717"/>
        <v>-4.1426107820349278E-2</v>
      </c>
      <c r="BC889" s="2515">
        <f t="shared" si="1717"/>
        <v>3.9578577699736606E-2</v>
      </c>
      <c r="BD889" s="2515">
        <f t="shared" si="1717"/>
        <v>4.8350548836114227E-2</v>
      </c>
      <c r="BE889" s="2515">
        <f t="shared" si="1717"/>
        <v>5.8884655351576054E-2</v>
      </c>
      <c r="BF889" s="779">
        <f>BF888/BA888-1</f>
        <v>2.7755336061087599E-2</v>
      </c>
      <c r="BG889" s="2515">
        <f t="shared" si="1717"/>
        <v>7.9588564277054408E-2</v>
      </c>
      <c r="BH889" s="2515">
        <f t="shared" si="1717"/>
        <v>2.523478143368707E-2</v>
      </c>
      <c r="BI889" s="2515">
        <f t="shared" si="1717"/>
        <v>-5.0527734111827094E-4</v>
      </c>
      <c r="BJ889" s="3211">
        <f t="shared" si="1717"/>
        <v>4.3979209828081345E-2</v>
      </c>
      <c r="BK889" s="779">
        <f>BK888/BF888-1</f>
        <v>3.3590289752172264E-2</v>
      </c>
      <c r="BL889" s="2515">
        <f t="shared" si="1717"/>
        <v>2.5699412889675033E-2</v>
      </c>
      <c r="BM889" s="2515">
        <f t="shared" si="1717"/>
        <v>2.3097960394082184E-2</v>
      </c>
      <c r="BN889" s="570">
        <v>3.5000000000000003E-2</v>
      </c>
      <c r="BO889" s="570"/>
      <c r="BP889" s="779"/>
      <c r="BQ889" s="570"/>
      <c r="BR889" s="570"/>
      <c r="BS889" s="570"/>
      <c r="BT889" s="570"/>
      <c r="BU889" s="3378"/>
      <c r="BV889" s="570"/>
      <c r="BW889" s="570"/>
      <c r="BX889" s="570"/>
      <c r="BY889" s="570"/>
      <c r="BZ889" s="569"/>
      <c r="CA889" s="569"/>
      <c r="CB889" s="569"/>
      <c r="CC889" s="569">
        <v>-0.1</v>
      </c>
      <c r="CD889" s="569">
        <v>-0.1</v>
      </c>
      <c r="CE889" s="569">
        <v>0.02</v>
      </c>
      <c r="CF889" s="569">
        <v>0.02</v>
      </c>
      <c r="CG889" s="569">
        <v>0.02</v>
      </c>
      <c r="CH889" s="592"/>
      <c r="CI889" s="592"/>
      <c r="CJ889" s="592"/>
      <c r="CK889" s="592"/>
      <c r="CL889" s="592"/>
      <c r="CM889" s="592"/>
      <c r="CN889" s="592"/>
      <c r="CO889" s="592"/>
      <c r="CP889" s="396" t="str">
        <f>A889</f>
        <v>% Growth (y-o-y)</v>
      </c>
      <c r="CQ889" s="592"/>
      <c r="CR889" s="592">
        <f>M889</f>
        <v>7.526066085604266E-2</v>
      </c>
      <c r="CS889" s="592">
        <f>R889</f>
        <v>7.0011067644126124E-2</v>
      </c>
      <c r="CT889" s="592">
        <f>W889</f>
        <v>3.7063330157096841E-2</v>
      </c>
      <c r="CU889" s="592">
        <f>AB889</f>
        <v>-9.2266028602731143E-2</v>
      </c>
      <c r="CV889" s="592">
        <f>AG889</f>
        <v>-0.11113052630379472</v>
      </c>
      <c r="CW889" s="592">
        <f>AL889</f>
        <v>1.7813024738001948E-2</v>
      </c>
      <c r="CX889" s="592">
        <f>AQ889</f>
        <v>1.2153901641687836E-2</v>
      </c>
      <c r="CY889" s="592">
        <f>AV889</f>
        <v>1.9843166509340815E-2</v>
      </c>
      <c r="CZ889" s="592">
        <f>BA889</f>
        <v>-3.073853939329585E-2</v>
      </c>
      <c r="DA889" s="592">
        <f>BF889</f>
        <v>2.7755336061087599E-2</v>
      </c>
      <c r="DB889" s="592">
        <f>BK889</f>
        <v>3.3590289752172264E-2</v>
      </c>
      <c r="DC889" s="592">
        <f>BP889</f>
        <v>0</v>
      </c>
      <c r="DD889" s="592">
        <f>BU889</f>
        <v>0</v>
      </c>
      <c r="DE889" s="592">
        <f t="shared" si="1711"/>
        <v>0</v>
      </c>
      <c r="DF889" s="592">
        <f t="shared" si="1711"/>
        <v>0</v>
      </c>
      <c r="DG889" s="1850">
        <f t="shared" si="1711"/>
        <v>0</v>
      </c>
      <c r="DH889" s="595"/>
      <c r="DI889" s="570"/>
      <c r="DJ889" s="570"/>
      <c r="DK889" s="570"/>
      <c r="DL889" s="570"/>
      <c r="DM889" s="570"/>
      <c r="DN889" s="222"/>
      <c r="DO889" s="226"/>
      <c r="DY889" s="592"/>
      <c r="DZ889" s="592"/>
    </row>
    <row r="890" spans="1:130" ht="6" customHeight="1">
      <c r="A890" s="552"/>
      <c r="B890" s="445"/>
      <c r="C890" s="445"/>
      <c r="D890" s="509"/>
      <c r="E890" s="510"/>
      <c r="F890" s="510"/>
      <c r="G890" s="510"/>
      <c r="H890" s="512"/>
      <c r="I890" s="510"/>
      <c r="J890" s="510"/>
      <c r="K890" s="510"/>
      <c r="L890" s="510"/>
      <c r="M890" s="512"/>
      <c r="N890" s="510"/>
      <c r="O890" s="510"/>
      <c r="P890" s="510"/>
      <c r="Q890" s="510"/>
      <c r="R890" s="512"/>
      <c r="S890" s="510"/>
      <c r="T890" s="510"/>
      <c r="U890" s="510"/>
      <c r="V890" s="510"/>
      <c r="W890" s="512"/>
      <c r="X890" s="510"/>
      <c r="Y890" s="510"/>
      <c r="Z890" s="510"/>
      <c r="AA890" s="510"/>
      <c r="AB890" s="512"/>
      <c r="AC890" s="510"/>
      <c r="AD890" s="510"/>
      <c r="AE890" s="510"/>
      <c r="AF890" s="510"/>
      <c r="AG890" s="512"/>
      <c r="AH890" s="510"/>
      <c r="AI890" s="510"/>
      <c r="AJ890" s="510"/>
      <c r="AK890" s="510"/>
      <c r="AL890" s="512"/>
      <c r="AM890" s="510"/>
      <c r="AN890" s="510"/>
      <c r="AO890" s="510"/>
      <c r="AP890" s="510"/>
      <c r="AQ890" s="512"/>
      <c r="AR890" s="510"/>
      <c r="AS890" s="510"/>
      <c r="AT890" s="510"/>
      <c r="AU890" s="510"/>
      <c r="AV890" s="512"/>
      <c r="AW890" s="510"/>
      <c r="AX890" s="510"/>
      <c r="AY890" s="510"/>
      <c r="AZ890" s="510"/>
      <c r="BA890" s="512"/>
      <c r="BB890" s="510"/>
      <c r="BC890" s="510"/>
      <c r="BD890" s="510"/>
      <c r="BE890" s="510"/>
      <c r="BF890" s="512"/>
      <c r="BG890" s="510"/>
      <c r="BH890" s="510"/>
      <c r="BI890" s="510"/>
      <c r="BJ890" s="2811"/>
      <c r="BK890" s="512"/>
      <c r="BL890" s="510"/>
      <c r="BM890" s="510"/>
      <c r="BN890" s="510"/>
      <c r="BO890" s="2811"/>
      <c r="BP890" s="512"/>
      <c r="BQ890" s="510"/>
      <c r="BR890" s="510"/>
      <c r="BS890" s="510"/>
      <c r="BT890" s="2811"/>
      <c r="BU890" s="3367"/>
      <c r="BV890" s="510"/>
      <c r="BW890" s="510"/>
      <c r="BX890" s="510"/>
      <c r="BY890" s="2811"/>
      <c r="BZ890" s="512"/>
      <c r="CA890" s="512"/>
      <c r="CB890" s="512"/>
      <c r="CC890" s="512"/>
      <c r="CD890" s="512"/>
      <c r="CE890" s="512"/>
      <c r="CF890" s="512"/>
      <c r="CG890" s="512"/>
      <c r="CH890" s="510"/>
      <c r="CI890" s="510"/>
      <c r="CJ890" s="510"/>
      <c r="CK890" s="510"/>
      <c r="CL890" s="510"/>
      <c r="CM890" s="510"/>
      <c r="CN890" s="510"/>
      <c r="CO890" s="510"/>
      <c r="CP890" s="994"/>
      <c r="CQ890" s="231"/>
      <c r="CR890" s="231"/>
      <c r="CS890" s="231"/>
      <c r="CT890" s="231"/>
      <c r="CU890" s="231"/>
      <c r="CV890" s="231"/>
      <c r="CW890" s="231"/>
      <c r="CX890" s="231"/>
      <c r="CY890" s="231"/>
      <c r="CZ890" s="231"/>
      <c r="DA890" s="231"/>
      <c r="DB890" s="231"/>
      <c r="DC890" s="231"/>
      <c r="DD890" s="231"/>
      <c r="DE890" s="231"/>
      <c r="DF890" s="231"/>
      <c r="DG890" s="1841"/>
      <c r="DH890" s="231"/>
      <c r="DI890" s="570"/>
      <c r="DJ890" s="570"/>
      <c r="DK890" s="570"/>
      <c r="DL890" s="570"/>
      <c r="DM890" s="570"/>
      <c r="DN890" s="222"/>
      <c r="DO890" s="226"/>
      <c r="DY890" s="510"/>
      <c r="DZ890" s="510"/>
    </row>
    <row r="891" spans="1:130" s="1403" customFormat="1" ht="12" customHeight="1">
      <c r="A891" s="429" t="s">
        <v>448</v>
      </c>
      <c r="B891" s="834"/>
      <c r="C891" s="834"/>
      <c r="D891" s="2109">
        <f>D900</f>
        <v>140.20400000000001</v>
      </c>
      <c r="E891" s="916">
        <f>E900</f>
        <v>149.96499999999997</v>
      </c>
      <c r="F891" s="916">
        <f>F900</f>
        <v>168.70699999999999</v>
      </c>
      <c r="G891" s="916">
        <f>G900</f>
        <v>164.524</v>
      </c>
      <c r="H891" s="1440">
        <f>SUM(D891:G891)</f>
        <v>623.4</v>
      </c>
      <c r="I891" s="2109">
        <f>I900</f>
        <v>162.054</v>
      </c>
      <c r="J891" s="916">
        <f>J900</f>
        <v>169.596</v>
      </c>
      <c r="K891" s="916">
        <f>K900</f>
        <v>190.10599999999999</v>
      </c>
      <c r="L891" s="916">
        <f>L900</f>
        <v>175.209</v>
      </c>
      <c r="M891" s="1440">
        <f>SUM(I891:L891)</f>
        <v>696.96499999999992</v>
      </c>
      <c r="N891" s="2109">
        <f>N900</f>
        <v>174.256</v>
      </c>
      <c r="O891" s="916">
        <f>O900</f>
        <v>172.85499999999999</v>
      </c>
      <c r="P891" s="916">
        <f>P900</f>
        <v>215.48</v>
      </c>
      <c r="Q891" s="916">
        <f>Q900</f>
        <v>172.554</v>
      </c>
      <c r="R891" s="1440">
        <f>SUM(N891:Q891)</f>
        <v>735.14499999999998</v>
      </c>
      <c r="S891" s="2109">
        <f>S900</f>
        <v>187.26900000000001</v>
      </c>
      <c r="T891" s="916">
        <f>T900</f>
        <v>177.96600000000001</v>
      </c>
      <c r="U891" s="916">
        <f>U900</f>
        <v>203.88499999999999</v>
      </c>
      <c r="V891" s="916">
        <f>V900</f>
        <v>179.529</v>
      </c>
      <c r="W891" s="1440">
        <f>SUM(S891:V891)</f>
        <v>748.649</v>
      </c>
      <c r="X891" s="2109">
        <f>X900</f>
        <v>178.636</v>
      </c>
      <c r="Y891" s="916">
        <f>Y900</f>
        <v>178.52199999999999</v>
      </c>
      <c r="Z891" s="916">
        <f>Z900</f>
        <v>207.352</v>
      </c>
      <c r="AA891" s="916">
        <f>AA900</f>
        <v>169.79599999999999</v>
      </c>
      <c r="AB891" s="1440">
        <f>SUM(X891:AA891)</f>
        <v>734.30600000000004</v>
      </c>
      <c r="AC891" s="2109">
        <f>AC900</f>
        <v>168.84899999999999</v>
      </c>
      <c r="AD891" s="916">
        <f>AD900</f>
        <v>173.83699999999999</v>
      </c>
      <c r="AE891" s="916">
        <f>AE900</f>
        <v>195.35499999999999</v>
      </c>
      <c r="AF891" s="916">
        <f>AF900</f>
        <v>153.387</v>
      </c>
      <c r="AG891" s="1440">
        <f>SUM(AC891:AF891)</f>
        <v>691.42799999999988</v>
      </c>
      <c r="AH891" s="2109">
        <f>AH900</f>
        <v>153.77600000000001</v>
      </c>
      <c r="AI891" s="916">
        <f>AI900</f>
        <v>164.53</v>
      </c>
      <c r="AJ891" s="916">
        <f>AJ900</f>
        <v>176.839</v>
      </c>
      <c r="AK891" s="916">
        <f>AK900</f>
        <v>148.75899999999999</v>
      </c>
      <c r="AL891" s="1440">
        <f>SUM(AH891:AK891)</f>
        <v>643.904</v>
      </c>
      <c r="AM891" s="2109">
        <f>AM900</f>
        <v>151.85599999999999</v>
      </c>
      <c r="AN891" s="916">
        <f>AN900</f>
        <v>162.75884500000001</v>
      </c>
      <c r="AO891" s="916">
        <f>AO900</f>
        <v>176.738</v>
      </c>
      <c r="AP891" s="916">
        <f>AP900</f>
        <v>157.71</v>
      </c>
      <c r="AQ891" s="1440">
        <f>SUM(AM891:AP891)</f>
        <v>649.06284500000004</v>
      </c>
      <c r="AR891" s="3058">
        <f>AR900</f>
        <v>155.453</v>
      </c>
      <c r="AS891" s="3059">
        <f>AS900</f>
        <v>152.47200000000001</v>
      </c>
      <c r="AT891" s="3059">
        <f>AT900</f>
        <v>162.36000000000001</v>
      </c>
      <c r="AU891" s="3059">
        <f>AU900</f>
        <v>138.84200000000001</v>
      </c>
      <c r="AV891" s="1440">
        <f>SUM(AR891:AU891)</f>
        <v>609.12700000000007</v>
      </c>
      <c r="AW891" s="3059">
        <f>AW900</f>
        <v>145.68</v>
      </c>
      <c r="AX891" s="3059">
        <f>AX900</f>
        <v>149.38200000000001</v>
      </c>
      <c r="AY891" s="3059">
        <f>AY900</f>
        <v>176.982</v>
      </c>
      <c r="AZ891" s="3059">
        <f>AZ900</f>
        <v>143.69200000000001</v>
      </c>
      <c r="BA891" s="1440">
        <f>SUM(AW891:AZ891)</f>
        <v>615.73599999999999</v>
      </c>
      <c r="BB891" s="3059">
        <f>BB900</f>
        <v>145.71732900000001</v>
      </c>
      <c r="BC891" s="3059">
        <f>BC900</f>
        <v>158.25397999999998</v>
      </c>
      <c r="BD891" s="3059">
        <f>BD900</f>
        <v>181.174643</v>
      </c>
      <c r="BE891" s="3059">
        <f>BE900</f>
        <v>157.826221</v>
      </c>
      <c r="BF891" s="1440">
        <f>SUM(BB891:BE891)</f>
        <v>642.972173</v>
      </c>
      <c r="BG891" s="3059">
        <f>BG900</f>
        <v>158.023875</v>
      </c>
      <c r="BH891" s="3059">
        <f>BH900</f>
        <v>162.50191699999999</v>
      </c>
      <c r="BI891" s="3059">
        <f>BI900</f>
        <v>205.87579799999997</v>
      </c>
      <c r="BJ891" s="3059">
        <f>BJ900</f>
        <v>169.815561</v>
      </c>
      <c r="BK891" s="1440">
        <f>SUM(BG891:BJ891)</f>
        <v>696.21715099999994</v>
      </c>
      <c r="BL891" s="3059">
        <f>BL900</f>
        <v>164.480299</v>
      </c>
      <c r="BM891" s="3059">
        <f>BM900</f>
        <v>172.990869</v>
      </c>
      <c r="BN891" s="3285">
        <f>BI891*(1+BN892)*(1/3)</f>
        <v>65.880255359999978</v>
      </c>
      <c r="BO891" s="1858"/>
      <c r="BP891" s="1440"/>
      <c r="BQ891" s="3285"/>
      <c r="BR891" s="3285"/>
      <c r="BS891" s="3285"/>
      <c r="BT891" s="1858"/>
      <c r="BU891" s="3382"/>
      <c r="BV891" s="3285"/>
      <c r="BW891" s="3285"/>
      <c r="BX891" s="3285"/>
      <c r="BY891" s="1858"/>
      <c r="BZ891" s="1440"/>
      <c r="CA891" s="1440"/>
      <c r="CB891" s="1440"/>
      <c r="CC891" s="1440">
        <f>CB891*(1+CC892)</f>
        <v>0</v>
      </c>
      <c r="CD891" s="1440">
        <f>CC891*(1+CD892)</f>
        <v>0</v>
      </c>
      <c r="CE891" s="1440">
        <f>CD891*(1+CE892)</f>
        <v>0</v>
      </c>
      <c r="CF891" s="1440">
        <f>CE891*(1+CF892)</f>
        <v>0</v>
      </c>
      <c r="CG891" s="1440">
        <f>CF891*(1+CG892)</f>
        <v>0</v>
      </c>
      <c r="CH891" s="635"/>
      <c r="CI891" s="635"/>
      <c r="CJ891" s="635"/>
      <c r="CK891" s="635"/>
      <c r="CL891" s="635"/>
      <c r="CM891" s="635"/>
      <c r="CN891" s="635"/>
      <c r="CO891" s="635"/>
      <c r="CP891" s="1790" t="str">
        <f>A891</f>
        <v>Casino Revenue</v>
      </c>
      <c r="CQ891" s="916">
        <f>H891</f>
        <v>623.4</v>
      </c>
      <c r="CR891" s="916">
        <f>M891</f>
        <v>696.96499999999992</v>
      </c>
      <c r="CS891" s="916">
        <f>R891</f>
        <v>735.14499999999998</v>
      </c>
      <c r="CT891" s="916">
        <f>W891</f>
        <v>748.649</v>
      </c>
      <c r="CU891" s="916">
        <f>AB891</f>
        <v>734.30600000000004</v>
      </c>
      <c r="CV891" s="916">
        <f>AG891</f>
        <v>691.42799999999988</v>
      </c>
      <c r="CW891" s="916">
        <f>AL891</f>
        <v>643.904</v>
      </c>
      <c r="CX891" s="916">
        <f>AQ891</f>
        <v>649.06284500000004</v>
      </c>
      <c r="CY891" s="916">
        <f>AV891</f>
        <v>609.12700000000007</v>
      </c>
      <c r="CZ891" s="916">
        <f>BA891</f>
        <v>615.73599999999999</v>
      </c>
      <c r="DA891" s="916">
        <f>BF891</f>
        <v>642.972173</v>
      </c>
      <c r="DB891" s="916">
        <f>BK891</f>
        <v>696.21715099999994</v>
      </c>
      <c r="DC891" s="916">
        <f>BP891</f>
        <v>0</v>
      </c>
      <c r="DD891" s="916">
        <f>BU891</f>
        <v>0</v>
      </c>
      <c r="DE891" s="916">
        <f t="shared" ref="DE891:DG892" si="1718">BZ891</f>
        <v>0</v>
      </c>
      <c r="DF891" s="916">
        <f t="shared" si="1718"/>
        <v>0</v>
      </c>
      <c r="DG891" s="1858">
        <f t="shared" si="1718"/>
        <v>0</v>
      </c>
      <c r="DH891" s="916"/>
      <c r="DI891" s="835"/>
      <c r="DJ891" s="835"/>
      <c r="DK891" s="835"/>
      <c r="DL891" s="835"/>
      <c r="DM891" s="835"/>
      <c r="DN891" s="319"/>
      <c r="DO891" s="320"/>
      <c r="DP891"/>
      <c r="DQ891"/>
      <c r="DR891"/>
      <c r="DS891"/>
      <c r="DT891"/>
      <c r="DU891"/>
      <c r="DY891" s="916"/>
      <c r="DZ891" s="916"/>
    </row>
    <row r="892" spans="1:130" ht="12" customHeight="1">
      <c r="A892" s="257" t="s">
        <v>1249</v>
      </c>
      <c r="B892" s="445"/>
      <c r="C892" s="445"/>
      <c r="D892" s="509"/>
      <c r="E892" s="510"/>
      <c r="F892" s="510"/>
      <c r="G892" s="510"/>
      <c r="H892" s="512"/>
      <c r="I892" s="592">
        <f t="shared" ref="I892:BM892" si="1719">I891/D891-1</f>
        <v>0.15584434110296419</v>
      </c>
      <c r="J892" s="592">
        <f t="shared" si="1719"/>
        <v>0.13090387757143351</v>
      </c>
      <c r="K892" s="592">
        <f t="shared" si="1719"/>
        <v>0.1268412099083025</v>
      </c>
      <c r="L892" s="592">
        <f t="shared" si="1719"/>
        <v>6.4944932046388404E-2</v>
      </c>
      <c r="M892" s="779">
        <f t="shared" si="1719"/>
        <v>0.11800609560474817</v>
      </c>
      <c r="N892" s="592">
        <f t="shared" si="1719"/>
        <v>7.5295889024646012E-2</v>
      </c>
      <c r="O892" s="592">
        <f t="shared" si="1719"/>
        <v>1.9216255100356072E-2</v>
      </c>
      <c r="P892" s="592">
        <f t="shared" si="1719"/>
        <v>0.13347290459007088</v>
      </c>
      <c r="Q892" s="592">
        <f t="shared" si="1719"/>
        <v>-1.5153331164495021E-2</v>
      </c>
      <c r="R892" s="779">
        <f t="shared" si="1719"/>
        <v>5.47803691720532E-2</v>
      </c>
      <c r="S892" s="592">
        <f t="shared" si="1719"/>
        <v>7.4677485997612703E-2</v>
      </c>
      <c r="T892" s="592">
        <f t="shared" si="1719"/>
        <v>2.956813514217127E-2</v>
      </c>
      <c r="U892" s="592">
        <f t="shared" si="1719"/>
        <v>-5.3810098385000948E-2</v>
      </c>
      <c r="V892" s="592">
        <f t="shared" si="1719"/>
        <v>4.0422128724920903E-2</v>
      </c>
      <c r="W892" s="779">
        <f t="shared" si="1719"/>
        <v>1.836916526671617E-2</v>
      </c>
      <c r="X892" s="592">
        <f t="shared" si="1719"/>
        <v>-4.6099461202868675E-2</v>
      </c>
      <c r="Y892" s="592">
        <f t="shared" si="1719"/>
        <v>3.124192261443115E-3</v>
      </c>
      <c r="Z892" s="592">
        <f t="shared" si="1719"/>
        <v>1.7004684013046667E-2</v>
      </c>
      <c r="AA892" s="592">
        <f t="shared" si="1719"/>
        <v>-5.4214082404514086E-2</v>
      </c>
      <c r="AB892" s="779">
        <f t="shared" si="1719"/>
        <v>-1.91585108642367E-2</v>
      </c>
      <c r="AC892" s="592">
        <f t="shared" si="1719"/>
        <v>-5.4787388880180976E-2</v>
      </c>
      <c r="AD892" s="592">
        <f t="shared" si="1719"/>
        <v>-2.6243264135512701E-2</v>
      </c>
      <c r="AE892" s="592">
        <f t="shared" si="1719"/>
        <v>-5.7858134958910568E-2</v>
      </c>
      <c r="AF892" s="592">
        <f t="shared" si="1719"/>
        <v>-9.6639496807934155E-2</v>
      </c>
      <c r="AG892" s="779">
        <f t="shared" si="1719"/>
        <v>-5.839255024472112E-2</v>
      </c>
      <c r="AH892" s="592">
        <f t="shared" si="1719"/>
        <v>-8.9269110270122853E-2</v>
      </c>
      <c r="AI892" s="592">
        <f t="shared" si="1719"/>
        <v>-5.3538659778988307E-2</v>
      </c>
      <c r="AJ892" s="592">
        <f t="shared" si="1719"/>
        <v>-9.4781295590079528E-2</v>
      </c>
      <c r="AK892" s="592">
        <f t="shared" si="1719"/>
        <v>-3.017204847868471E-2</v>
      </c>
      <c r="AL892" s="779">
        <f t="shared" si="1719"/>
        <v>-6.8733114655466498E-2</v>
      </c>
      <c r="AM892" s="592">
        <f t="shared" si="1719"/>
        <v>-1.2485693476225301E-2</v>
      </c>
      <c r="AN892" s="592">
        <f t="shared" si="1719"/>
        <v>-1.0764936485747278E-2</v>
      </c>
      <c r="AO892" s="592">
        <f t="shared" si="1719"/>
        <v>-5.7114098134458668E-4</v>
      </c>
      <c r="AP892" s="592">
        <f t="shared" si="1719"/>
        <v>6.0171149308613447E-2</v>
      </c>
      <c r="AQ892" s="779">
        <f>AQ891/AL891-1</f>
        <v>8.0118231910346616E-3</v>
      </c>
      <c r="AR892" s="592">
        <f t="shared" si="1719"/>
        <v>2.3686913918449015E-2</v>
      </c>
      <c r="AS892" s="592">
        <f t="shared" si="1719"/>
        <v>-6.3202985988257687E-2</v>
      </c>
      <c r="AT892" s="592">
        <f t="shared" si="1719"/>
        <v>-8.1352057848340431E-2</v>
      </c>
      <c r="AU892" s="592">
        <f t="shared" si="1719"/>
        <v>-0.11963730898484559</v>
      </c>
      <c r="AV892" s="779">
        <f>AV891/AQ891-1</f>
        <v>-6.1528471869314871E-2</v>
      </c>
      <c r="AW892" s="592">
        <f t="shared" si="1719"/>
        <v>-6.2867876464268946E-2</v>
      </c>
      <c r="AX892" s="592">
        <f t="shared" si="1719"/>
        <v>-2.0266016055406899E-2</v>
      </c>
      <c r="AY892" s="592">
        <f t="shared" si="1719"/>
        <v>9.0059127864005717E-2</v>
      </c>
      <c r="AZ892" s="2515">
        <f t="shared" si="1719"/>
        <v>3.4931792973307729E-2</v>
      </c>
      <c r="BA892" s="779">
        <f>BA891/AV891-1</f>
        <v>1.0849954114658944E-2</v>
      </c>
      <c r="BB892" s="592">
        <f t="shared" si="1719"/>
        <v>2.5623970345955982E-4</v>
      </c>
      <c r="BC892" s="592">
        <f t="shared" si="1719"/>
        <v>5.939122518107931E-2</v>
      </c>
      <c r="BD892" s="592">
        <f t="shared" si="1719"/>
        <v>2.3689657705303402E-2</v>
      </c>
      <c r="BE892" s="592">
        <f t="shared" si="1719"/>
        <v>9.8364703671742326E-2</v>
      </c>
      <c r="BF892" s="779">
        <f>BF891/BA891-1</f>
        <v>4.4233523782919892E-2</v>
      </c>
      <c r="BG892" s="592">
        <f t="shared" si="1719"/>
        <v>8.4454924369358864E-2</v>
      </c>
      <c r="BH892" s="2515">
        <f t="shared" si="1719"/>
        <v>2.6842528699752233E-2</v>
      </c>
      <c r="BI892" s="2515">
        <f t="shared" si="1719"/>
        <v>0.13633891912788254</v>
      </c>
      <c r="BJ892" s="3211">
        <f t="shared" si="1719"/>
        <v>7.5965450633199927E-2</v>
      </c>
      <c r="BK892" s="779">
        <f>BK891/BF891-1</f>
        <v>8.2810703535687757E-2</v>
      </c>
      <c r="BL892" s="2515">
        <f t="shared" si="1719"/>
        <v>4.0857269194291002E-2</v>
      </c>
      <c r="BM892" s="2515">
        <f t="shared" si="1719"/>
        <v>6.4546635471383507E-2</v>
      </c>
      <c r="BN892" s="570">
        <v>-0.04</v>
      </c>
      <c r="BO892" s="570"/>
      <c r="BP892" s="779"/>
      <c r="BQ892" s="570"/>
      <c r="BR892" s="570"/>
      <c r="BS892" s="570"/>
      <c r="BT892" s="570"/>
      <c r="BU892" s="3378"/>
      <c r="BV892" s="570"/>
      <c r="BW892" s="570"/>
      <c r="BX892" s="570"/>
      <c r="BY892" s="570"/>
      <c r="BZ892" s="569"/>
      <c r="CA892" s="569"/>
      <c r="CB892" s="569"/>
      <c r="CC892" s="569">
        <v>-0.05</v>
      </c>
      <c r="CD892" s="569">
        <v>-0.05</v>
      </c>
      <c r="CE892" s="569">
        <v>0.02</v>
      </c>
      <c r="CF892" s="569">
        <v>0.02</v>
      </c>
      <c r="CG892" s="569">
        <v>0.02</v>
      </c>
      <c r="CH892" s="510"/>
      <c r="CI892" s="510"/>
      <c r="CJ892" s="510"/>
      <c r="CK892" s="510"/>
      <c r="CL892" s="510"/>
      <c r="CM892" s="510"/>
      <c r="CN892" s="510"/>
      <c r="CO892" s="510"/>
      <c r="CP892" s="396" t="str">
        <f>A892</f>
        <v>% Growth (y-o-y)</v>
      </c>
      <c r="CQ892" s="592"/>
      <c r="CR892" s="592">
        <f>M892</f>
        <v>0.11800609560474817</v>
      </c>
      <c r="CS892" s="592">
        <f>R892</f>
        <v>5.47803691720532E-2</v>
      </c>
      <c r="CT892" s="592">
        <f>W892</f>
        <v>1.836916526671617E-2</v>
      </c>
      <c r="CU892" s="592">
        <f>AB892</f>
        <v>-1.91585108642367E-2</v>
      </c>
      <c r="CV892" s="592">
        <f>AG892</f>
        <v>-5.839255024472112E-2</v>
      </c>
      <c r="CW892" s="592">
        <f>AL892</f>
        <v>-6.8733114655466498E-2</v>
      </c>
      <c r="CX892" s="592">
        <f>AQ892</f>
        <v>8.0118231910346616E-3</v>
      </c>
      <c r="CY892" s="592">
        <f>AV892</f>
        <v>-6.1528471869314871E-2</v>
      </c>
      <c r="CZ892" s="592">
        <f>BA892</f>
        <v>1.0849954114658944E-2</v>
      </c>
      <c r="DA892" s="592">
        <f>BF892</f>
        <v>4.4233523782919892E-2</v>
      </c>
      <c r="DB892" s="592">
        <f>BK892</f>
        <v>8.2810703535687757E-2</v>
      </c>
      <c r="DC892" s="592">
        <f>BP892</f>
        <v>0</v>
      </c>
      <c r="DD892" s="592">
        <f>BU892</f>
        <v>0</v>
      </c>
      <c r="DE892" s="592">
        <f t="shared" si="1718"/>
        <v>0</v>
      </c>
      <c r="DF892" s="592">
        <f t="shared" si="1718"/>
        <v>0</v>
      </c>
      <c r="DG892" s="1850">
        <f t="shared" si="1718"/>
        <v>0</v>
      </c>
      <c r="DH892" s="231"/>
      <c r="DI892" s="570"/>
      <c r="DJ892" s="570"/>
      <c r="DK892" s="570"/>
      <c r="DL892" s="570"/>
      <c r="DM892" s="570"/>
      <c r="DN892" s="222"/>
      <c r="DO892" s="226"/>
      <c r="DY892" s="592"/>
      <c r="DZ892" s="592"/>
    </row>
    <row r="893" spans="1:130" ht="6" customHeight="1">
      <c r="A893" s="552"/>
      <c r="B893" s="445"/>
      <c r="C893" s="445"/>
      <c r="D893" s="509"/>
      <c r="E893" s="510"/>
      <c r="F893" s="510"/>
      <c r="G893" s="510"/>
      <c r="H893" s="512"/>
      <c r="I893" s="510"/>
      <c r="J893" s="510"/>
      <c r="K893" s="510"/>
      <c r="L893" s="510"/>
      <c r="M893" s="512"/>
      <c r="N893" s="510"/>
      <c r="O893" s="510"/>
      <c r="P893" s="510"/>
      <c r="Q893" s="510"/>
      <c r="R893" s="512"/>
      <c r="S893" s="510"/>
      <c r="T893" s="510"/>
      <c r="U893" s="510"/>
      <c r="V893" s="510"/>
      <c r="W893" s="512"/>
      <c r="X893" s="510"/>
      <c r="Y893" s="510"/>
      <c r="Z893" s="510"/>
      <c r="AA893" s="510"/>
      <c r="AB893" s="512"/>
      <c r="AC893" s="510"/>
      <c r="AD893" s="510"/>
      <c r="AE893" s="510"/>
      <c r="AF893" s="510"/>
      <c r="AG893" s="512"/>
      <c r="AH893" s="510"/>
      <c r="AI893" s="510"/>
      <c r="AJ893" s="510"/>
      <c r="AK893" s="510"/>
      <c r="AL893" s="512"/>
      <c r="AM893" s="510"/>
      <c r="AN893" s="510"/>
      <c r="AO893" s="510"/>
      <c r="AP893" s="510"/>
      <c r="AQ893" s="512"/>
      <c r="AR893" s="510"/>
      <c r="AS893" s="510"/>
      <c r="AT893" s="510"/>
      <c r="AU893" s="510"/>
      <c r="AV893" s="512"/>
      <c r="AW893" s="510"/>
      <c r="AX893" s="510"/>
      <c r="AY893" s="510"/>
      <c r="AZ893" s="510"/>
      <c r="BA893" s="512"/>
      <c r="BB893" s="510"/>
      <c r="BC893" s="510"/>
      <c r="BD893" s="510"/>
      <c r="BE893" s="510"/>
      <c r="BF893" s="512"/>
      <c r="BG893" s="510"/>
      <c r="BH893" s="510"/>
      <c r="BI893" s="510"/>
      <c r="BJ893" s="2811"/>
      <c r="BK893" s="512"/>
      <c r="BL893" s="510"/>
      <c r="BM893" s="510"/>
      <c r="BN893" s="510"/>
      <c r="BO893" s="2811"/>
      <c r="BP893" s="512"/>
      <c r="BQ893" s="510"/>
      <c r="BR893" s="510"/>
      <c r="BS893" s="510"/>
      <c r="BT893" s="2811"/>
      <c r="BU893" s="3367"/>
      <c r="BV893" s="510"/>
      <c r="BW893" s="510"/>
      <c r="BX893" s="510"/>
      <c r="BY893" s="2811"/>
      <c r="BZ893" s="512"/>
      <c r="CA893" s="512"/>
      <c r="CB893" s="512"/>
      <c r="CC893" s="512"/>
      <c r="CD893" s="512"/>
      <c r="CE893" s="512"/>
      <c r="CF893" s="512"/>
      <c r="CG893" s="512"/>
      <c r="CH893" s="510"/>
      <c r="CI893" s="510"/>
      <c r="CJ893" s="510"/>
      <c r="CK893" s="510"/>
      <c r="CL893" s="510"/>
      <c r="CM893" s="510"/>
      <c r="CN893" s="510"/>
      <c r="CO893" s="510"/>
      <c r="CP893" s="994"/>
      <c r="CQ893" s="231"/>
      <c r="CR893" s="231"/>
      <c r="CS893" s="231"/>
      <c r="CT893" s="231"/>
      <c r="CU893" s="231"/>
      <c r="CV893" s="231"/>
      <c r="CW893" s="231"/>
      <c r="CX893" s="231"/>
      <c r="CY893" s="231"/>
      <c r="CZ893" s="231"/>
      <c r="DA893" s="231"/>
      <c r="DB893" s="231"/>
      <c r="DC893" s="231"/>
      <c r="DD893" s="231"/>
      <c r="DE893" s="231"/>
      <c r="DF893" s="231"/>
      <c r="DG893" s="1841"/>
      <c r="DH893" s="231"/>
      <c r="DI893" s="570"/>
      <c r="DJ893" s="570"/>
      <c r="DK893" s="570"/>
      <c r="DL893" s="570"/>
      <c r="DM893" s="570"/>
      <c r="DN893" s="222"/>
      <c r="DO893" s="226"/>
      <c r="DY893" s="510"/>
      <c r="DZ893" s="510"/>
    </row>
    <row r="894" spans="1:130" ht="12" customHeight="1">
      <c r="A894" s="811" t="s">
        <v>218</v>
      </c>
      <c r="B894" s="812"/>
      <c r="C894" s="812"/>
      <c r="D894" s="605">
        <f t="shared" ref="D894:AI894" si="1720">D900/D884/D$5*1000000</f>
        <v>337.72540480124877</v>
      </c>
      <c r="E894" s="814">
        <f t="shared" si="1720"/>
        <v>361.23784150965207</v>
      </c>
      <c r="F894" s="814">
        <f t="shared" si="1720"/>
        <v>401.96662409698263</v>
      </c>
      <c r="G894" s="814">
        <f t="shared" si="1720"/>
        <v>392.30105250106112</v>
      </c>
      <c r="H894" s="815">
        <f t="shared" si="1720"/>
        <v>373.50555090720684</v>
      </c>
      <c r="I894" s="814">
        <f t="shared" si="1720"/>
        <v>395.30186608122938</v>
      </c>
      <c r="J894" s="814">
        <f t="shared" si="1720"/>
        <v>409.15308621126405</v>
      </c>
      <c r="K894" s="814">
        <f t="shared" si="1720"/>
        <v>453.64864219920776</v>
      </c>
      <c r="L894" s="814">
        <f t="shared" si="1720"/>
        <v>426.76653270003658</v>
      </c>
      <c r="M894" s="815">
        <f t="shared" si="1720"/>
        <v>423.5083228577613</v>
      </c>
      <c r="N894" s="814">
        <f t="shared" si="1720"/>
        <v>443.06127637935418</v>
      </c>
      <c r="O894" s="814">
        <f t="shared" si="1720"/>
        <v>434.66944954359138</v>
      </c>
      <c r="P894" s="814">
        <f t="shared" si="1720"/>
        <v>424.15318961308913</v>
      </c>
      <c r="Q894" s="814">
        <f t="shared" si="1720"/>
        <v>351.95852064585085</v>
      </c>
      <c r="R894" s="815">
        <f t="shared" si="1720"/>
        <v>415.32031970532194</v>
      </c>
      <c r="S894" s="814">
        <f t="shared" si="1720"/>
        <v>405.13369678089305</v>
      </c>
      <c r="T894" s="814">
        <f t="shared" si="1720"/>
        <v>380.77693334702684</v>
      </c>
      <c r="U894" s="814">
        <f t="shared" si="1720"/>
        <v>431.49168698361092</v>
      </c>
      <c r="V894" s="814">
        <f t="shared" si="1720"/>
        <v>382.06601545042463</v>
      </c>
      <c r="W894" s="815">
        <f t="shared" si="1720"/>
        <v>400.46725253769347</v>
      </c>
      <c r="X894" s="814">
        <f t="shared" si="1720"/>
        <v>386.49989506457314</v>
      </c>
      <c r="Y894" s="814">
        <f t="shared" si="1720"/>
        <v>386.25324272105132</v>
      </c>
      <c r="Z894" s="814">
        <f t="shared" si="1720"/>
        <v>443.75390568153614</v>
      </c>
      <c r="AA894" s="814">
        <f t="shared" si="1720"/>
        <v>364.70876309696149</v>
      </c>
      <c r="AB894" s="815">
        <f t="shared" si="1720"/>
        <v>395.73954266937972</v>
      </c>
      <c r="AC894" s="814">
        <f t="shared" si="1720"/>
        <v>372.79682066567307</v>
      </c>
      <c r="AD894" s="604">
        <f t="shared" si="1720"/>
        <v>380.30991505011019</v>
      </c>
      <c r="AE894" s="604">
        <f t="shared" si="1720"/>
        <v>422.74017779085767</v>
      </c>
      <c r="AF894" s="604">
        <f t="shared" si="1720"/>
        <v>332.02230409240263</v>
      </c>
      <c r="AG894" s="815">
        <f t="shared" si="1720"/>
        <v>377.18617903752954</v>
      </c>
      <c r="AH894" s="604">
        <f t="shared" si="1720"/>
        <v>340.48734044084273</v>
      </c>
      <c r="AI894" s="604">
        <f t="shared" si="1720"/>
        <v>374.38334718842725</v>
      </c>
      <c r="AJ894" s="604">
        <f t="shared" ref="AJ894:BL894" si="1721">AJ900/AJ884/AJ$5*1000000</f>
        <v>418.45282322374243</v>
      </c>
      <c r="AK894" s="604">
        <f t="shared" si="1721"/>
        <v>335.72129258230598</v>
      </c>
      <c r="AL894" s="815">
        <f t="shared" si="1721"/>
        <v>365.78509478077314</v>
      </c>
      <c r="AM894" s="604">
        <f t="shared" si="1721"/>
        <v>331.58865852193941</v>
      </c>
      <c r="AN894" s="604">
        <f t="shared" si="1721"/>
        <v>351.45583341790842</v>
      </c>
      <c r="AO894" s="604">
        <f t="shared" si="1721"/>
        <v>377.49365639443977</v>
      </c>
      <c r="AP894" s="604">
        <f t="shared" si="1721"/>
        <v>354.62125164145277</v>
      </c>
      <c r="AQ894" s="815">
        <f t="shared" si="1721"/>
        <v>358.41063586879244</v>
      </c>
      <c r="AR894" s="604">
        <f t="shared" si="1721"/>
        <v>373.0672035978871</v>
      </c>
      <c r="AS894" s="604">
        <f t="shared" si="1721"/>
        <v>365.913187053174</v>
      </c>
      <c r="AT894" s="604">
        <f t="shared" si="1721"/>
        <v>385.40786387762665</v>
      </c>
      <c r="AU894" s="604">
        <f t="shared" si="1721"/>
        <v>336.03922821488391</v>
      </c>
      <c r="AV894" s="815">
        <f t="shared" si="1721"/>
        <v>377.98805831592722</v>
      </c>
      <c r="AW894" s="604">
        <f t="shared" si="1721"/>
        <v>367.62813233401465</v>
      </c>
      <c r="AX894" s="604">
        <f t="shared" si="1721"/>
        <v>372.82771736553252</v>
      </c>
      <c r="AY894" s="604">
        <f t="shared" si="1721"/>
        <v>436.91060442978602</v>
      </c>
      <c r="AZ894" s="604">
        <f t="shared" si="1721"/>
        <v>359.00920933625821</v>
      </c>
      <c r="BA894" s="815">
        <f t="shared" si="1721"/>
        <v>387.75955527076871</v>
      </c>
      <c r="BB894" s="604">
        <f t="shared" si="1721"/>
        <v>376.7057778811851</v>
      </c>
      <c r="BC894" s="604">
        <f t="shared" si="1721"/>
        <v>404.61952658788391</v>
      </c>
      <c r="BD894" s="604">
        <f t="shared" si="1721"/>
        <v>458.18743551095559</v>
      </c>
      <c r="BE894" s="604">
        <f t="shared" si="1721"/>
        <v>399.13969338620586</v>
      </c>
      <c r="BF894" s="815">
        <f t="shared" si="1721"/>
        <v>409.85751448587115</v>
      </c>
      <c r="BG894" s="604">
        <f>BG900/BG884/BG$5*1000000</f>
        <v>408.52043586164109</v>
      </c>
      <c r="BH894" s="604">
        <f t="shared" si="1721"/>
        <v>415.48053784279932</v>
      </c>
      <c r="BI894" s="604">
        <f t="shared" si="1721"/>
        <v>520.65621522649553</v>
      </c>
      <c r="BJ894" s="1869">
        <f t="shared" si="1721"/>
        <v>429.46052005988633</v>
      </c>
      <c r="BK894" s="815">
        <f t="shared" si="1721"/>
        <v>443.79810360983441</v>
      </c>
      <c r="BL894" s="604">
        <f t="shared" si="1721"/>
        <v>420.5388118163828</v>
      </c>
      <c r="BM894" s="604">
        <f>BM900/BM884/BM$5*1000000</f>
        <v>442.29840866439287</v>
      </c>
      <c r="BN894" s="3286">
        <f>BN900/BN884/31*1000000</f>
        <v>1581.3806871913416</v>
      </c>
      <c r="BO894" s="1869"/>
      <c r="BP894" s="815"/>
      <c r="BQ894" s="3286"/>
      <c r="BR894" s="3286"/>
      <c r="BS894" s="3286"/>
      <c r="BT894" s="1869"/>
      <c r="BU894" s="3417"/>
      <c r="BV894" s="3286"/>
      <c r="BW894" s="3286"/>
      <c r="BX894" s="3286"/>
      <c r="BY894" s="1869"/>
      <c r="BZ894" s="815"/>
      <c r="CA894" s="815"/>
      <c r="CB894" s="815"/>
      <c r="CC894" s="815" t="e">
        <f>CC900/CC884/CC$5*1000000</f>
        <v>#DIV/0!</v>
      </c>
      <c r="CD894" s="815" t="e">
        <f>CD900/CD884/CD$5*1000000</f>
        <v>#DIV/0!</v>
      </c>
      <c r="CE894" s="815" t="e">
        <f>CE900/CE884/CE$5*1000000</f>
        <v>#DIV/0!</v>
      </c>
      <c r="CF894" s="815" t="e">
        <f>CF900/CF884/CF$5*1000000</f>
        <v>#DIV/0!</v>
      </c>
      <c r="CG894" s="815" t="e">
        <f>CG900/CG884/CG$5*1000000</f>
        <v>#DIV/0!</v>
      </c>
      <c r="CH894" s="604"/>
      <c r="CI894" s="604"/>
      <c r="CJ894" s="604"/>
      <c r="CK894" s="604"/>
      <c r="CL894" s="604"/>
      <c r="CM894" s="604"/>
      <c r="CN894" s="604"/>
      <c r="CO894" s="604"/>
      <c r="CP894" s="1897" t="str">
        <f>A894</f>
        <v>Casino Revenue/Day/Position</v>
      </c>
      <c r="CQ894" s="604">
        <f>H894</f>
        <v>373.50555090720684</v>
      </c>
      <c r="CR894" s="604">
        <f>M894</f>
        <v>423.5083228577613</v>
      </c>
      <c r="CS894" s="604">
        <f>R894</f>
        <v>415.32031970532194</v>
      </c>
      <c r="CT894" s="604">
        <f>W894</f>
        <v>400.46725253769347</v>
      </c>
      <c r="CU894" s="604">
        <f>AB894</f>
        <v>395.73954266937972</v>
      </c>
      <c r="CV894" s="604">
        <f>AG894</f>
        <v>377.18617903752954</v>
      </c>
      <c r="CW894" s="604">
        <f>AL894</f>
        <v>365.78509478077314</v>
      </c>
      <c r="CX894" s="604">
        <f>AQ894</f>
        <v>358.41063586879244</v>
      </c>
      <c r="CY894" s="604">
        <f>AV894</f>
        <v>377.98805831592722</v>
      </c>
      <c r="CZ894" s="604">
        <f>BA894</f>
        <v>387.75955527076871</v>
      </c>
      <c r="DA894" s="604">
        <f>BF894</f>
        <v>409.85751448587115</v>
      </c>
      <c r="DB894" s="604">
        <f>BK894</f>
        <v>443.79810360983441</v>
      </c>
      <c r="DC894" s="604">
        <f>BP894</f>
        <v>0</v>
      </c>
      <c r="DD894" s="604">
        <f>BU894</f>
        <v>0</v>
      </c>
      <c r="DE894" s="604">
        <f t="shared" ref="DE894:DG895" si="1722">BZ894</f>
        <v>0</v>
      </c>
      <c r="DF894" s="604">
        <f t="shared" si="1722"/>
        <v>0</v>
      </c>
      <c r="DG894" s="1869">
        <f t="shared" si="1722"/>
        <v>0</v>
      </c>
      <c r="DH894" s="816"/>
      <c r="DI894" s="813"/>
      <c r="DJ894" s="813"/>
      <c r="DK894" s="813"/>
      <c r="DL894" s="813"/>
      <c r="DM894" s="813"/>
      <c r="DN894" s="487"/>
      <c r="DO894" s="817"/>
      <c r="DY894" s="814"/>
      <c r="DZ894" s="814"/>
    </row>
    <row r="895" spans="1:130" ht="12" customHeight="1">
      <c r="A895" s="257" t="s">
        <v>1249</v>
      </c>
      <c r="B895" s="819"/>
      <c r="C895" s="819"/>
      <c r="D895" s="546"/>
      <c r="E895" s="547"/>
      <c r="F895" s="561"/>
      <c r="G895" s="561"/>
      <c r="H895" s="344"/>
      <c r="I895" s="561">
        <f t="shared" ref="I895:S895" si="1723">I894/D894-1</f>
        <v>0.17048306245680367</v>
      </c>
      <c r="J895" s="561">
        <f t="shared" si="1723"/>
        <v>0.13264181986407908</v>
      </c>
      <c r="K895" s="561">
        <f t="shared" si="1723"/>
        <v>0.12857290880388073</v>
      </c>
      <c r="L895" s="561">
        <f t="shared" si="1723"/>
        <v>8.7854671760999814E-2</v>
      </c>
      <c r="M895" s="344">
        <f>+M894/H894-1</f>
        <v>0.1338742405008515</v>
      </c>
      <c r="N895" s="561">
        <f t="shared" si="1723"/>
        <v>0.12081756853713133</v>
      </c>
      <c r="O895" s="561">
        <f t="shared" si="1723"/>
        <v>6.2363854000485608E-2</v>
      </c>
      <c r="P895" s="561">
        <f t="shared" si="1723"/>
        <v>-6.5018275913116264E-2</v>
      </c>
      <c r="Q895" s="561">
        <f t="shared" si="1723"/>
        <v>-0.17529024963812334</v>
      </c>
      <c r="R895" s="344">
        <f>+R894/M894-1</f>
        <v>-1.9333747911229104E-2</v>
      </c>
      <c r="S895" s="561">
        <f t="shared" si="1723"/>
        <v>-8.5603463043308459E-2</v>
      </c>
      <c r="T895" s="561">
        <f>T894/O894-1</f>
        <v>-0.12398505635294221</v>
      </c>
      <c r="U895" s="561">
        <f>U894/P894-1</f>
        <v>1.7301525840736742E-2</v>
      </c>
      <c r="V895" s="561">
        <f>V894/Q894-1</f>
        <v>8.5542735971630757E-2</v>
      </c>
      <c r="W895" s="344">
        <f>+W894/R894-1</f>
        <v>-3.5762919517559388E-2</v>
      </c>
      <c r="X895" s="561">
        <f>X894/S894-1</f>
        <v>-4.5994203553987645E-2</v>
      </c>
      <c r="Y895" s="561">
        <f>Y894/T894-1</f>
        <v>1.4381935706787141E-2</v>
      </c>
      <c r="Z895" s="561">
        <f>Z894/U894-1</f>
        <v>2.8418203798190378E-2</v>
      </c>
      <c r="AA895" s="561">
        <f>AA894/V894-1</f>
        <v>-4.5429982389300849E-2</v>
      </c>
      <c r="AB895" s="344">
        <f>+AB894/W894-1</f>
        <v>-1.1805484314522774E-2</v>
      </c>
      <c r="AC895" s="561">
        <f>AC894/X894-1</f>
        <v>-3.5454277152159874E-2</v>
      </c>
      <c r="AD895" s="561">
        <f>AD894/Y894-1</f>
        <v>-1.5387126924998662E-2</v>
      </c>
      <c r="AE895" s="561">
        <f>AE894/Z894-1</f>
        <v>-4.7354462961637922E-2</v>
      </c>
      <c r="AF895" s="561">
        <f>AF894/AA894-1</f>
        <v>-8.9623453867679115E-2</v>
      </c>
      <c r="AG895" s="344">
        <f>+AG894/AB894-1</f>
        <v>-4.6882764119810405E-2</v>
      </c>
      <c r="AH895" s="561">
        <f>AH894/AC894-1</f>
        <v>-8.6667799814220348E-2</v>
      </c>
      <c r="AI895" s="561">
        <f>AI894/AD894-1</f>
        <v>-1.5583521825619617E-2</v>
      </c>
      <c r="AJ895" s="561">
        <f>AJ894/AE894-1</f>
        <v>-1.0141819472944236E-2</v>
      </c>
      <c r="AK895" s="561">
        <f>AK894/AF894-1</f>
        <v>1.1140783147128186E-2</v>
      </c>
      <c r="AL895" s="344">
        <f>+AL894/AG894-1</f>
        <v>-3.0226675552769922E-2</v>
      </c>
      <c r="AM895" s="561">
        <f>AM894/AH894-1</f>
        <v>-2.6135132975522168E-2</v>
      </c>
      <c r="AN895" s="561">
        <f>AN894/AI894-1</f>
        <v>-6.1240741455787617E-2</v>
      </c>
      <c r="AO895" s="561">
        <f>AO894/AJ894-1</f>
        <v>-9.788240049082475E-2</v>
      </c>
      <c r="AP895" s="561">
        <f>AP894/AK894-1</f>
        <v>5.6296575393749437E-2</v>
      </c>
      <c r="AQ895" s="344">
        <f>+AQ894/AL894-1</f>
        <v>-2.0160632615171092E-2</v>
      </c>
      <c r="AR895" s="561">
        <f>AR894/AM894-1</f>
        <v>0.12509036123502781</v>
      </c>
      <c r="AS895" s="561">
        <f>AS894/AN894-1</f>
        <v>4.1135620071141688E-2</v>
      </c>
      <c r="AT895" s="561">
        <f>AT894/AO894-1</f>
        <v>2.0965140338457422E-2</v>
      </c>
      <c r="AU895" s="561">
        <f t="shared" ref="AU895:BG895" si="1724">AU894/AP894-1</f>
        <v>-5.2399632962089382E-2</v>
      </c>
      <c r="AV895" s="562">
        <f t="shared" si="1724"/>
        <v>5.4622883608570483E-2</v>
      </c>
      <c r="AW895" s="561">
        <f t="shared" si="1724"/>
        <v>-1.4579333727054111E-2</v>
      </c>
      <c r="AX895" s="561">
        <f t="shared" si="1724"/>
        <v>1.8896641490413701E-2</v>
      </c>
      <c r="AY895" s="561">
        <f t="shared" si="1724"/>
        <v>0.13363178434914436</v>
      </c>
      <c r="AZ895" s="561">
        <f t="shared" si="1724"/>
        <v>6.8355058554907533E-2</v>
      </c>
      <c r="BA895" s="562">
        <f t="shared" si="1724"/>
        <v>2.5851337733729052E-2</v>
      </c>
      <c r="BB895" s="561">
        <f t="shared" si="1724"/>
        <v>2.4692467057778833E-2</v>
      </c>
      <c r="BC895" s="561">
        <f t="shared" si="1724"/>
        <v>8.5272118304395406E-2</v>
      </c>
      <c r="BD895" s="561">
        <f t="shared" si="1724"/>
        <v>4.8698362698104125E-2</v>
      </c>
      <c r="BE895" s="561">
        <f t="shared" si="1724"/>
        <v>0.11178121063841662</v>
      </c>
      <c r="BF895" s="562">
        <f t="shared" si="1724"/>
        <v>5.6988819268867896E-2</v>
      </c>
      <c r="BG895" s="561">
        <f t="shared" si="1724"/>
        <v>8.4454924369358864E-2</v>
      </c>
      <c r="BH895" s="561">
        <f t="shared" ref="BH895:BN895" si="1725">BH894/BC894-1</f>
        <v>2.6842528699752233E-2</v>
      </c>
      <c r="BI895" s="561">
        <f t="shared" si="1725"/>
        <v>0.13633891912788232</v>
      </c>
      <c r="BJ895" s="1846">
        <f t="shared" si="1725"/>
        <v>7.5965450633200149E-2</v>
      </c>
      <c r="BK895" s="562">
        <f t="shared" si="1725"/>
        <v>8.2810703535687535E-2</v>
      </c>
      <c r="BL895" s="561">
        <f t="shared" si="1725"/>
        <v>2.9419277225122942E-2</v>
      </c>
      <c r="BM895" s="561">
        <f t="shared" si="1725"/>
        <v>6.4546635471383507E-2</v>
      </c>
      <c r="BN895" s="561">
        <f t="shared" si="1725"/>
        <v>2.0372837986835717</v>
      </c>
      <c r="BO895" s="1846"/>
      <c r="BP895" s="562"/>
      <c r="BQ895" s="561"/>
      <c r="BR895" s="561"/>
      <c r="BS895" s="561"/>
      <c r="BT895" s="1846"/>
      <c r="BU895" s="3371"/>
      <c r="BV895" s="561"/>
      <c r="BW895" s="561"/>
      <c r="BX895" s="561"/>
      <c r="BY895" s="1846"/>
      <c r="BZ895" s="562"/>
      <c r="CA895" s="562"/>
      <c r="CB895" s="562"/>
      <c r="CC895" s="562" t="e">
        <f>CC894/CB894-1</f>
        <v>#DIV/0!</v>
      </c>
      <c r="CD895" s="562" t="e">
        <f>CD894/CC894-1</f>
        <v>#DIV/0!</v>
      </c>
      <c r="CE895" s="562" t="e">
        <f>CE894/CD894-1</f>
        <v>#DIV/0!</v>
      </c>
      <c r="CF895" s="562" t="e">
        <f>CF894/CE894-1</f>
        <v>#DIV/0!</v>
      </c>
      <c r="CG895" s="562" t="e">
        <f>CG894/CF894-1</f>
        <v>#DIV/0!</v>
      </c>
      <c r="CH895" s="548"/>
      <c r="CI895" s="548"/>
      <c r="CJ895" s="548"/>
      <c r="CK895" s="548"/>
      <c r="CL895" s="548"/>
      <c r="CM895" s="548"/>
      <c r="CN895" s="548"/>
      <c r="CO895" s="548"/>
      <c r="CP895" s="396" t="str">
        <f>A895</f>
        <v>% Growth (y-o-y)</v>
      </c>
      <c r="CQ895" s="561"/>
      <c r="CR895" s="561">
        <f>M895</f>
        <v>0.1338742405008515</v>
      </c>
      <c r="CS895" s="561">
        <f>R895</f>
        <v>-1.9333747911229104E-2</v>
      </c>
      <c r="CT895" s="561">
        <f>W895</f>
        <v>-3.5762919517559388E-2</v>
      </c>
      <c r="CU895" s="561">
        <f>AB895</f>
        <v>-1.1805484314522774E-2</v>
      </c>
      <c r="CV895" s="561">
        <f>AG895</f>
        <v>-4.6882764119810405E-2</v>
      </c>
      <c r="CW895" s="561">
        <f>AL895</f>
        <v>-3.0226675552769922E-2</v>
      </c>
      <c r="CX895" s="561">
        <f>AQ895</f>
        <v>-2.0160632615171092E-2</v>
      </c>
      <c r="CY895" s="561">
        <f>AV895</f>
        <v>5.4622883608570483E-2</v>
      </c>
      <c r="CZ895" s="561">
        <f>BA895</f>
        <v>2.5851337733729052E-2</v>
      </c>
      <c r="DA895" s="561">
        <f>BF895</f>
        <v>5.6988819268867896E-2</v>
      </c>
      <c r="DB895" s="561">
        <f>BK895</f>
        <v>8.2810703535687535E-2</v>
      </c>
      <c r="DC895" s="561">
        <f>BP895</f>
        <v>0</v>
      </c>
      <c r="DD895" s="561">
        <f>BU895</f>
        <v>0</v>
      </c>
      <c r="DE895" s="561">
        <f t="shared" si="1722"/>
        <v>0</v>
      </c>
      <c r="DF895" s="561">
        <f t="shared" si="1722"/>
        <v>0</v>
      </c>
      <c r="DG895" s="1846">
        <f t="shared" si="1722"/>
        <v>0</v>
      </c>
      <c r="DH895" s="548"/>
      <c r="DI895" s="548"/>
      <c r="DJ895" s="548"/>
      <c r="DK895" s="548"/>
      <c r="DL895" s="548"/>
      <c r="DM895" s="548"/>
      <c r="DN895" s="265"/>
      <c r="DO895" s="266"/>
      <c r="DY895" s="561"/>
      <c r="DZ895" s="561"/>
    </row>
    <row r="896" spans="1:130" ht="6" customHeight="1">
      <c r="A896" s="552"/>
      <c r="B896" s="445"/>
      <c r="C896" s="445"/>
      <c r="D896" s="509"/>
      <c r="E896" s="570"/>
      <c r="F896" s="510"/>
      <c r="G896" s="510"/>
      <c r="H896" s="512"/>
      <c r="I896" s="510"/>
      <c r="J896" s="510"/>
      <c r="K896" s="510"/>
      <c r="L896" s="510"/>
      <c r="M896" s="512"/>
      <c r="N896" s="510"/>
      <c r="O896" s="510"/>
      <c r="P896" s="510"/>
      <c r="Q896" s="510"/>
      <c r="R896" s="512"/>
      <c r="S896" s="510"/>
      <c r="T896" s="510"/>
      <c r="U896" s="510"/>
      <c r="V896" s="510"/>
      <c r="W896" s="512"/>
      <c r="X896" s="510"/>
      <c r="Y896" s="510"/>
      <c r="Z896" s="510"/>
      <c r="AA896" s="510"/>
      <c r="AB896" s="512"/>
      <c r="AC896" s="510"/>
      <c r="AD896" s="510"/>
      <c r="AE896" s="510"/>
      <c r="AF896" s="510"/>
      <c r="AG896" s="512"/>
      <c r="AH896" s="510"/>
      <c r="AI896" s="510"/>
      <c r="AJ896" s="510"/>
      <c r="AK896" s="510"/>
      <c r="AL896" s="512"/>
      <c r="AM896" s="510"/>
      <c r="AN896" s="510"/>
      <c r="AO896" s="510"/>
      <c r="AP896" s="510"/>
      <c r="AQ896" s="512"/>
      <c r="AR896" s="510"/>
      <c r="AS896" s="510"/>
      <c r="AT896" s="510"/>
      <c r="AU896" s="510"/>
      <c r="AV896" s="512"/>
      <c r="AW896" s="510"/>
      <c r="AX896" s="510"/>
      <c r="AY896" s="510"/>
      <c r="AZ896" s="510"/>
      <c r="BA896" s="512"/>
      <c r="BB896" s="510"/>
      <c r="BC896" s="510"/>
      <c r="BD896" s="510"/>
      <c r="BE896" s="510"/>
      <c r="BF896" s="512"/>
      <c r="BG896" s="510"/>
      <c r="BH896" s="510"/>
      <c r="BI896" s="510"/>
      <c r="BJ896" s="2811"/>
      <c r="BK896" s="512"/>
      <c r="BL896" s="510"/>
      <c r="BM896" s="510"/>
      <c r="BN896" s="510"/>
      <c r="BO896" s="2811"/>
      <c r="BP896" s="512"/>
      <c r="BQ896" s="510"/>
      <c r="BR896" s="510"/>
      <c r="BS896" s="510"/>
      <c r="BT896" s="2811"/>
      <c r="BU896" s="3367"/>
      <c r="BV896" s="510"/>
      <c r="BW896" s="510"/>
      <c r="BX896" s="510"/>
      <c r="BY896" s="2811"/>
      <c r="BZ896" s="512"/>
      <c r="CA896" s="512"/>
      <c r="CB896" s="512"/>
      <c r="CC896" s="512"/>
      <c r="CD896" s="512"/>
      <c r="CE896" s="512"/>
      <c r="CF896" s="512"/>
      <c r="CG896" s="512"/>
      <c r="CH896" s="510"/>
      <c r="CI896" s="510"/>
      <c r="CJ896" s="510"/>
      <c r="CK896" s="510"/>
      <c r="CL896" s="510"/>
      <c r="CM896" s="510"/>
      <c r="CN896" s="510"/>
      <c r="CO896" s="510"/>
      <c r="CP896" s="994"/>
      <c r="CQ896" s="231"/>
      <c r="CR896" s="231"/>
      <c r="CS896" s="231"/>
      <c r="CT896" s="231"/>
      <c r="CU896" s="231"/>
      <c r="CV896" s="231"/>
      <c r="CW896" s="231"/>
      <c r="CX896" s="231"/>
      <c r="CY896" s="231"/>
      <c r="CZ896" s="231"/>
      <c r="DA896" s="231"/>
      <c r="DB896" s="231"/>
      <c r="DC896" s="231"/>
      <c r="DD896" s="231"/>
      <c r="DE896" s="231"/>
      <c r="DF896" s="231"/>
      <c r="DG896" s="1841"/>
      <c r="DH896" s="231"/>
      <c r="DI896" s="570"/>
      <c r="DJ896" s="570"/>
      <c r="DK896" s="570"/>
      <c r="DL896" s="570"/>
      <c r="DM896" s="570"/>
      <c r="DN896" s="222"/>
      <c r="DO896" s="226"/>
      <c r="DY896" s="510"/>
      <c r="DZ896" s="510"/>
    </row>
    <row r="897" spans="1:130" ht="12" customHeight="1">
      <c r="A897" s="552" t="s">
        <v>84</v>
      </c>
      <c r="B897" s="819"/>
      <c r="C897" s="819"/>
      <c r="D897" s="260">
        <f>+D903/D900</f>
        <v>-9.2857550426521343E-2</v>
      </c>
      <c r="E897" s="261">
        <f>+E903/E900</f>
        <v>-3.7915513619844542E-2</v>
      </c>
      <c r="F897" s="261">
        <f>+F903/F900</f>
        <v>-4.0703705240446482E-2</v>
      </c>
      <c r="G897" s="261">
        <f>+G903/G900</f>
        <v>-3.9963774282171613E-2</v>
      </c>
      <c r="H897" s="503">
        <f t="shared" ref="H897:M897" si="1726">+H903/H900</f>
        <v>-5.1567212062880965E-2</v>
      </c>
      <c r="I897" s="261">
        <f t="shared" si="1726"/>
        <v>-6.265195552099917E-2</v>
      </c>
      <c r="J897" s="261">
        <f t="shared" si="1726"/>
        <v>-4.83501969386071E-2</v>
      </c>
      <c r="K897" s="261">
        <f t="shared" si="1726"/>
        <v>-1.1151673277013901E-2</v>
      </c>
      <c r="L897" s="261">
        <f t="shared" si="1726"/>
        <v>-2.1494329629185745E-2</v>
      </c>
      <c r="M897" s="503">
        <f t="shared" si="1726"/>
        <v>-3.4777930025180634E-2</v>
      </c>
      <c r="N897" s="261">
        <f t="shared" ref="N897:AF897" si="1727">+N903/N900</f>
        <v>-4.5444633183362435E-2</v>
      </c>
      <c r="O897" s="261">
        <f t="shared" si="1727"/>
        <v>-4.1803824014347284E-2</v>
      </c>
      <c r="P897" s="261">
        <f t="shared" si="1727"/>
        <v>-2.3997586782996069E-2</v>
      </c>
      <c r="Q897" s="261">
        <f t="shared" si="1727"/>
        <v>4.5724816579157911E-3</v>
      </c>
      <c r="R897" s="503">
        <f t="shared" si="1727"/>
        <v>-2.656210679525807E-2</v>
      </c>
      <c r="S897" s="261">
        <f t="shared" si="1727"/>
        <v>-3.9686226764707462E-2</v>
      </c>
      <c r="T897" s="261">
        <f t="shared" si="1727"/>
        <v>-6.9114325208185657E-3</v>
      </c>
      <c r="U897" s="261">
        <f t="shared" si="1727"/>
        <v>-6.6557127792628516E-3</v>
      </c>
      <c r="V897" s="261">
        <f t="shared" si="1727"/>
        <v>-4.9295656969068555E-3</v>
      </c>
      <c r="W897" s="503">
        <f>+W903/W900</f>
        <v>-1.4564902911778413E-2</v>
      </c>
      <c r="X897" s="261">
        <f t="shared" si="1727"/>
        <v>-3.5099308090194722E-3</v>
      </c>
      <c r="Y897" s="261">
        <f t="shared" si="1727"/>
        <v>6.2401272672275533E-3</v>
      </c>
      <c r="Z897" s="261">
        <f t="shared" si="1727"/>
        <v>-8.160037038465991E-3</v>
      </c>
      <c r="AA897" s="261">
        <f t="shared" si="1727"/>
        <v>-7.7905251007090878E-2</v>
      </c>
      <c r="AB897" s="503">
        <f>+AB903/AB900</f>
        <v>-1.9655293569710727E-2</v>
      </c>
      <c r="AC897" s="261">
        <f t="shared" si="1727"/>
        <v>-4.1457159947645532E-2</v>
      </c>
      <c r="AD897" s="261">
        <f t="shared" si="1727"/>
        <v>-5.4344011919211656E-2</v>
      </c>
      <c r="AE897" s="261">
        <f>+AE903/AE900</f>
        <v>-3.4040592767013857E-2</v>
      </c>
      <c r="AF897" s="261">
        <f t="shared" si="1727"/>
        <v>-2.6508113464635219E-2</v>
      </c>
      <c r="AG897" s="503">
        <f t="shared" ref="AG897:AM897" si="1728">+AG903/AG900</f>
        <v>-3.9285363045754577E-2</v>
      </c>
      <c r="AH897" s="261">
        <f t="shared" si="1728"/>
        <v>-3.3243158880449451E-2</v>
      </c>
      <c r="AI897" s="502">
        <f t="shared" si="1728"/>
        <v>-3.2468242873640057E-2</v>
      </c>
      <c r="AJ897" s="502">
        <f t="shared" si="1728"/>
        <v>-1.8333060015041956E-2</v>
      </c>
      <c r="AK897" s="502">
        <f t="shared" si="1728"/>
        <v>-4.6901363951088702E-2</v>
      </c>
      <c r="AL897" s="503">
        <f t="shared" si="1728"/>
        <v>-3.2105717622502736E-2</v>
      </c>
      <c r="AM897" s="261">
        <f t="shared" si="1728"/>
        <v>-5.9642029290907145E-2</v>
      </c>
      <c r="AN897" s="261">
        <f t="shared" ref="AN897:AS897" si="1729">+AN903/AN900</f>
        <v>-5.6519201767498438E-2</v>
      </c>
      <c r="AO897" s="261">
        <f t="shared" si="1729"/>
        <v>-4.4070884586223644E-2</v>
      </c>
      <c r="AP897" s="261">
        <f t="shared" si="1729"/>
        <v>-5.491091243421467E-2</v>
      </c>
      <c r="AQ897" s="503">
        <f t="shared" si="1729"/>
        <v>-5.346939863735381E-2</v>
      </c>
      <c r="AR897" s="261">
        <f t="shared" si="1729"/>
        <v>-4.1555968685068806E-2</v>
      </c>
      <c r="AS897" s="261">
        <f t="shared" si="1729"/>
        <v>-4.4119576053308122E-2</v>
      </c>
      <c r="AT897" s="261">
        <f t="shared" ref="AT897:BC897" si="1730">+AT903/AT900</f>
        <v>-5.8444198078344396E-2</v>
      </c>
      <c r="AU897" s="261">
        <f t="shared" si="1730"/>
        <v>-0.1391365725068783</v>
      </c>
      <c r="AV897" s="503">
        <f t="shared" si="1730"/>
        <v>-6.8941288105764456E-2</v>
      </c>
      <c r="AW897" s="3124">
        <f t="shared" si="1730"/>
        <v>-4.6066721581548585E-2</v>
      </c>
      <c r="AX897" s="3123">
        <f t="shared" si="1730"/>
        <v>-3.3337349881511852E-2</v>
      </c>
      <c r="AY897" s="3123">
        <f t="shared" si="1730"/>
        <v>-6.1655987614559669E-2</v>
      </c>
      <c r="AZ897" s="3123">
        <f t="shared" si="1730"/>
        <v>-8.7318709461904606E-2</v>
      </c>
      <c r="BA897" s="503">
        <f>+BA903/BA900</f>
        <v>-5.7086153806176675E-2</v>
      </c>
      <c r="BB897" s="3123">
        <f t="shared" si="1730"/>
        <v>-8.2289457831058649E-2</v>
      </c>
      <c r="BC897" s="3123">
        <f t="shared" si="1730"/>
        <v>-9.0658067493784369E-2</v>
      </c>
      <c r="BD897" s="3123">
        <f t="shared" ref="BD897:BM897" si="1731">+BD903/BD900</f>
        <v>-7.3045542029852348E-2</v>
      </c>
      <c r="BE897" s="3123">
        <f t="shared" si="1731"/>
        <v>-8.2971003911954513E-2</v>
      </c>
      <c r="BF897" s="503">
        <f t="shared" si="1731"/>
        <v>-8.1911787495039842E-2</v>
      </c>
      <c r="BG897" s="3123">
        <f t="shared" si="1731"/>
        <v>-6.4186503463479816E-2</v>
      </c>
      <c r="BH897" s="3123">
        <f t="shared" si="1731"/>
        <v>-5.823315918174677E-2</v>
      </c>
      <c r="BI897" s="3123">
        <f t="shared" si="1731"/>
        <v>-5.7126675958288228E-2</v>
      </c>
      <c r="BJ897" s="3123">
        <f t="shared" si="1731"/>
        <v>-8.754203626839592E-2</v>
      </c>
      <c r="BK897" s="503">
        <f>+BK903/BK900</f>
        <v>-6.6406005559607378E-2</v>
      </c>
      <c r="BL897" s="3123">
        <f t="shared" si="1731"/>
        <v>-7.5072820727301759E-2</v>
      </c>
      <c r="BM897" s="3123">
        <f t="shared" si="1731"/>
        <v>-5.0233865233661537E-2</v>
      </c>
      <c r="BN897" s="3186">
        <f>+BI897-0.005</f>
        <v>-6.2126675958288226E-2</v>
      </c>
      <c r="BO897" s="3186"/>
      <c r="BP897" s="503"/>
      <c r="BQ897" s="3186"/>
      <c r="BR897" s="3186"/>
      <c r="BS897" s="3186"/>
      <c r="BT897" s="3186"/>
      <c r="BU897" s="3381"/>
      <c r="BV897" s="3186"/>
      <c r="BW897" s="3186"/>
      <c r="BX897" s="3186"/>
      <c r="BY897" s="3186"/>
      <c r="BZ897" s="3187"/>
      <c r="CA897" s="3187"/>
      <c r="CB897" s="3187"/>
      <c r="CC897" s="3187">
        <f>+CB897</f>
        <v>0</v>
      </c>
      <c r="CD897" s="3187">
        <f>+CC897</f>
        <v>0</v>
      </c>
      <c r="CE897" s="3187">
        <f>+CD897</f>
        <v>0</v>
      </c>
      <c r="CF897" s="3187">
        <f>+CE897</f>
        <v>0</v>
      </c>
      <c r="CG897" s="3187">
        <f>+CF897</f>
        <v>0</v>
      </c>
      <c r="CH897" s="261"/>
      <c r="CI897" s="261"/>
      <c r="CJ897" s="261"/>
      <c r="CK897" s="261"/>
      <c r="CL897" s="261"/>
      <c r="CM897" s="261"/>
      <c r="CN897" s="261"/>
      <c r="CO897" s="261"/>
      <c r="CP897" s="994" t="str">
        <f>A897</f>
        <v>Other Revenue as % of Casino Revenue</v>
      </c>
      <c r="CQ897" s="261">
        <f>H897</f>
        <v>-5.1567212062880965E-2</v>
      </c>
      <c r="CR897" s="261">
        <f>M897</f>
        <v>-3.4777930025180634E-2</v>
      </c>
      <c r="CS897" s="261">
        <f>R897</f>
        <v>-2.656210679525807E-2</v>
      </c>
      <c r="CT897" s="261">
        <f>W897</f>
        <v>-1.4564902911778413E-2</v>
      </c>
      <c r="CU897" s="261">
        <f>AB897</f>
        <v>-1.9655293569710727E-2</v>
      </c>
      <c r="CV897" s="261">
        <f>AG897</f>
        <v>-3.9285363045754577E-2</v>
      </c>
      <c r="CW897" s="261">
        <f>AL897</f>
        <v>-3.2105717622502736E-2</v>
      </c>
      <c r="CX897" s="261">
        <f>AQ897</f>
        <v>-5.346939863735381E-2</v>
      </c>
      <c r="CY897" s="261">
        <f>AV897</f>
        <v>-6.8941288105764456E-2</v>
      </c>
      <c r="CZ897" s="261">
        <f>BA897</f>
        <v>-5.7086153806176675E-2</v>
      </c>
      <c r="DA897" s="261">
        <f>BF897</f>
        <v>-8.1911787495039842E-2</v>
      </c>
      <c r="DB897" s="261">
        <f>BK897</f>
        <v>-6.6406005559607378E-2</v>
      </c>
      <c r="DC897" s="261">
        <f>BP897</f>
        <v>0</v>
      </c>
      <c r="DD897" s="261">
        <f>BU897</f>
        <v>0</v>
      </c>
      <c r="DE897" s="261">
        <f>BZ897</f>
        <v>0</v>
      </c>
      <c r="DF897" s="261">
        <f>CA897</f>
        <v>0</v>
      </c>
      <c r="DG897" s="1787">
        <f>CB897</f>
        <v>0</v>
      </c>
      <c r="DH897" s="271"/>
      <c r="DI897" s="548"/>
      <c r="DJ897" s="548"/>
      <c r="DK897" s="548"/>
      <c r="DL897" s="548"/>
      <c r="DM897" s="548"/>
      <c r="DN897" s="265"/>
      <c r="DO897" s="266"/>
      <c r="DY897" s="502"/>
      <c r="DZ897" s="502"/>
    </row>
    <row r="898" spans="1:130" ht="12" customHeight="1">
      <c r="A898" s="552"/>
      <c r="B898" s="819"/>
      <c r="C898" s="819"/>
      <c r="D898" s="260"/>
      <c r="E898" s="261"/>
      <c r="F898" s="261"/>
      <c r="G898" s="261"/>
      <c r="H898" s="503"/>
      <c r="I898" s="261"/>
      <c r="J898" s="261"/>
      <c r="K898" s="261"/>
      <c r="L898" s="261"/>
      <c r="M898" s="503"/>
      <c r="N898" s="261"/>
      <c r="O898" s="261"/>
      <c r="P898" s="261"/>
      <c r="Q898" s="261"/>
      <c r="R898" s="503"/>
      <c r="S898" s="261"/>
      <c r="T898" s="261"/>
      <c r="U898" s="261"/>
      <c r="V898" s="261"/>
      <c r="W898" s="503"/>
      <c r="X898" s="261"/>
      <c r="Y898" s="261"/>
      <c r="Z898" s="261"/>
      <c r="AA898" s="261"/>
      <c r="AB898" s="503"/>
      <c r="AC898" s="261"/>
      <c r="AD898" s="261"/>
      <c r="AE898" s="261"/>
      <c r="AF898" s="261"/>
      <c r="AG898" s="503"/>
      <c r="AH898" s="615"/>
      <c r="AI898" s="502"/>
      <c r="AJ898" s="502"/>
      <c r="AK898" s="502"/>
      <c r="AL898" s="503"/>
      <c r="AM898" s="615"/>
      <c r="AN898" s="502"/>
      <c r="AO898" s="502"/>
      <c r="AP898" s="502"/>
      <c r="AQ898" s="503"/>
      <c r="AR898" s="615"/>
      <c r="AS898" s="502"/>
      <c r="AT898" s="502"/>
      <c r="AU898" s="502"/>
      <c r="AV898" s="333"/>
      <c r="AW898" s="615"/>
      <c r="AX898" s="502"/>
      <c r="AY898" s="502"/>
      <c r="AZ898" s="502"/>
      <c r="BA898" s="333"/>
      <c r="BB898" s="615"/>
      <c r="BC898" s="502"/>
      <c r="BD898" s="502"/>
      <c r="BE898" s="502"/>
      <c r="BF898" s="264"/>
      <c r="BG898" s="260"/>
      <c r="BH898" s="261"/>
      <c r="BI898" s="261"/>
      <c r="BJ898" s="1787"/>
      <c r="BK898" s="264"/>
      <c r="BL898" s="261"/>
      <c r="BM898" s="261"/>
      <c r="BN898" s="261"/>
      <c r="BO898" s="1787"/>
      <c r="BP898" s="264"/>
      <c r="BQ898" s="261"/>
      <c r="BR898" s="261"/>
      <c r="BS898" s="261"/>
      <c r="BT898" s="1787"/>
      <c r="BU898" s="3316"/>
      <c r="BV898" s="261"/>
      <c r="BW898" s="261"/>
      <c r="BX898" s="261"/>
      <c r="BY898" s="1787"/>
      <c r="BZ898" s="264"/>
      <c r="CA898" s="264"/>
      <c r="CB898" s="264"/>
      <c r="CC898" s="264"/>
      <c r="CD898" s="264"/>
      <c r="CE898" s="264"/>
      <c r="CF898" s="264"/>
      <c r="CG898" s="264"/>
      <c r="CH898" s="261"/>
      <c r="CI898" s="261"/>
      <c r="CJ898" s="261"/>
      <c r="CK898" s="261"/>
      <c r="CL898" s="261"/>
      <c r="CM898" s="261"/>
      <c r="CN898" s="261"/>
      <c r="CO898" s="261"/>
      <c r="CP898" s="994"/>
      <c r="CQ898" s="502"/>
      <c r="CR898" s="502"/>
      <c r="CS898" s="502"/>
      <c r="CT898" s="502"/>
      <c r="CU898" s="502"/>
      <c r="CV898" s="502"/>
      <c r="CW898" s="502"/>
      <c r="CX898" s="502"/>
      <c r="CY898" s="502"/>
      <c r="CZ898" s="502"/>
      <c r="DA898" s="502"/>
      <c r="DB898" s="502"/>
      <c r="DC898" s="502"/>
      <c r="DD898" s="502"/>
      <c r="DE898" s="502"/>
      <c r="DF898" s="502"/>
      <c r="DG898" s="1855"/>
      <c r="DH898" s="271"/>
      <c r="DI898" s="548"/>
      <c r="DJ898" s="548"/>
      <c r="DK898" s="548"/>
      <c r="DL898" s="548"/>
      <c r="DM898" s="548"/>
      <c r="DN898" s="265"/>
      <c r="DO898" s="266"/>
      <c r="DY898" s="261"/>
      <c r="DZ898" s="261"/>
    </row>
    <row r="899" spans="1:130" ht="12" customHeight="1">
      <c r="A899" s="708" t="s">
        <v>282</v>
      </c>
      <c r="B899" s="445"/>
      <c r="C899" s="445"/>
      <c r="D899" s="509"/>
      <c r="E899" s="510"/>
      <c r="F899" s="510"/>
      <c r="G899" s="800"/>
      <c r="H899" s="820"/>
      <c r="I899" s="800"/>
      <c r="J899" s="510"/>
      <c r="K899" s="510"/>
      <c r="L899" s="510"/>
      <c r="M899" s="512"/>
      <c r="N899" s="510"/>
      <c r="O899" s="510"/>
      <c r="P899" s="821"/>
      <c r="Q899" s="821"/>
      <c r="R899" s="512"/>
      <c r="S899" s="821"/>
      <c r="T899" s="821"/>
      <c r="U899" s="821"/>
      <c r="V899" s="821"/>
      <c r="W899" s="512"/>
      <c r="X899" s="821"/>
      <c r="Y899" s="821"/>
      <c r="Z899" s="821"/>
      <c r="AA899" s="821"/>
      <c r="AB899" s="512"/>
      <c r="AC899" s="821"/>
      <c r="AD899" s="821"/>
      <c r="AE899" s="821"/>
      <c r="AF899" s="822"/>
      <c r="AG899" s="512"/>
      <c r="AH899" s="570"/>
      <c r="AI899" s="510"/>
      <c r="AJ899" s="510"/>
      <c r="AK899" s="510"/>
      <c r="AL899" s="823"/>
      <c r="AM899" s="824"/>
      <c r="AN899" s="824"/>
      <c r="AO899" s="824"/>
      <c r="AP899" s="824"/>
      <c r="AQ899" s="823"/>
      <c r="AR899" s="824"/>
      <c r="AS899" s="824"/>
      <c r="AT899" s="824"/>
      <c r="AU899" s="824"/>
      <c r="AV899" s="823"/>
      <c r="AW899" s="824"/>
      <c r="AX899" s="824"/>
      <c r="AY899" s="824"/>
      <c r="AZ899" s="824"/>
      <c r="BA899" s="823"/>
      <c r="BB899" s="824"/>
      <c r="BC899" s="824"/>
      <c r="BD899" s="824"/>
      <c r="BE899" s="824"/>
      <c r="BF899" s="823"/>
      <c r="BG899" s="2922"/>
      <c r="BH899" s="824"/>
      <c r="BI899" s="570"/>
      <c r="BJ899" s="2923"/>
      <c r="BK899" s="823"/>
      <c r="BL899" s="824"/>
      <c r="BM899" s="824"/>
      <c r="BN899" s="824"/>
      <c r="BO899" s="2923"/>
      <c r="BP899" s="823"/>
      <c r="BQ899" s="824"/>
      <c r="BR899" s="824"/>
      <c r="BS899" s="824"/>
      <c r="BT899" s="2923"/>
      <c r="BU899" s="3418"/>
      <c r="BV899" s="824"/>
      <c r="BW899" s="824"/>
      <c r="BX899" s="824"/>
      <c r="BY899" s="2923"/>
      <c r="BZ899" s="823"/>
      <c r="CA899" s="823"/>
      <c r="CB899" s="823"/>
      <c r="CC899" s="823"/>
      <c r="CD899" s="823"/>
      <c r="CE899" s="823"/>
      <c r="CF899" s="823"/>
      <c r="CG899" s="823"/>
      <c r="CH899" s="824"/>
      <c r="CI899" s="824"/>
      <c r="CJ899" s="824"/>
      <c r="CK899" s="824"/>
      <c r="CL899" s="824"/>
      <c r="CM899" s="824"/>
      <c r="CN899" s="824"/>
      <c r="CO899" s="824"/>
      <c r="CP899" s="1898" t="str">
        <f>A899</f>
        <v>Income Statement - Borgata</v>
      </c>
      <c r="CQ899" s="1762"/>
      <c r="CR899" s="1762"/>
      <c r="CS899" s="1762"/>
      <c r="CT899" s="1762"/>
      <c r="CU899" s="1762"/>
      <c r="CV899" s="1762"/>
      <c r="CW899" s="1762"/>
      <c r="CX899" s="1762"/>
      <c r="CY899" s="1762"/>
      <c r="CZ899" s="1762"/>
      <c r="DA899" s="1762"/>
      <c r="DB899" s="1762"/>
      <c r="DC899" s="1762"/>
      <c r="DD899" s="1762"/>
      <c r="DE899" s="1762"/>
      <c r="DF899" s="1762"/>
      <c r="DG899" s="1899"/>
      <c r="DH899" s="231"/>
      <c r="DI899" s="570"/>
      <c r="DJ899" s="570"/>
      <c r="DK899" s="570"/>
      <c r="DL899" s="570"/>
      <c r="DM899" s="570"/>
      <c r="DN899" s="222"/>
      <c r="DO899" s="226"/>
      <c r="DY899" s="824"/>
      <c r="DZ899" s="824"/>
    </row>
    <row r="900" spans="1:130" ht="12" customHeight="1">
      <c r="A900" s="633" t="s">
        <v>448</v>
      </c>
      <c r="B900" s="445"/>
      <c r="C900" s="445"/>
      <c r="D900" s="283">
        <v>140.20400000000001</v>
      </c>
      <c r="E900" s="825">
        <f>458.876-F900-D900</f>
        <v>149.96499999999997</v>
      </c>
      <c r="F900" s="825">
        <v>168.70699999999999</v>
      </c>
      <c r="G900" s="825">
        <v>164.524</v>
      </c>
      <c r="H900" s="585">
        <f>SUM(D900:G900)</f>
        <v>623.4</v>
      </c>
      <c r="I900" s="825">
        <v>162.054</v>
      </c>
      <c r="J900" s="825">
        <v>169.596</v>
      </c>
      <c r="K900" s="825">
        <v>190.10599999999999</v>
      </c>
      <c r="L900" s="825">
        <v>175.209</v>
      </c>
      <c r="M900" s="585">
        <f>SUM(I900:L900)</f>
        <v>696.96499999999992</v>
      </c>
      <c r="N900" s="825">
        <v>174.256</v>
      </c>
      <c r="O900" s="825">
        <v>172.85499999999999</v>
      </c>
      <c r="P900" s="825">
        <v>215.48</v>
      </c>
      <c r="Q900" s="825">
        <v>172.554</v>
      </c>
      <c r="R900" s="585">
        <f>SUM(N900:Q900)</f>
        <v>735.14499999999998</v>
      </c>
      <c r="S900" s="825">
        <v>187.26900000000001</v>
      </c>
      <c r="T900" s="825">
        <v>177.96600000000001</v>
      </c>
      <c r="U900" s="825">
        <v>203.88499999999999</v>
      </c>
      <c r="V900" s="825">
        <f>748.649-U900-T900-S900</f>
        <v>179.529</v>
      </c>
      <c r="W900" s="585">
        <f>SUM(S900:V900)</f>
        <v>748.649</v>
      </c>
      <c r="X900" s="825">
        <v>178.636</v>
      </c>
      <c r="Y900" s="825">
        <v>178.52199999999999</v>
      </c>
      <c r="Z900" s="825">
        <v>207.352</v>
      </c>
      <c r="AA900" s="825">
        <v>169.79599999999999</v>
      </c>
      <c r="AB900" s="585">
        <f>SUM(X900:AA900)</f>
        <v>734.30600000000004</v>
      </c>
      <c r="AC900" s="825">
        <v>168.84899999999999</v>
      </c>
      <c r="AD900" s="825">
        <v>173.83699999999999</v>
      </c>
      <c r="AE900" s="825">
        <v>195.35499999999999</v>
      </c>
      <c r="AF900" s="825">
        <v>153.387</v>
      </c>
      <c r="AG900" s="585">
        <f>SUM(AC900:AF900)</f>
        <v>691.42799999999988</v>
      </c>
      <c r="AH900" s="622">
        <v>153.77600000000001</v>
      </c>
      <c r="AI900" s="622">
        <v>164.53</v>
      </c>
      <c r="AJ900" s="622">
        <v>176.839</v>
      </c>
      <c r="AK900" s="622">
        <v>148.75899999999999</v>
      </c>
      <c r="AL900" s="585">
        <f>SUM(AH900:AK900)</f>
        <v>643.904</v>
      </c>
      <c r="AM900" s="622">
        <v>151.85599999999999</v>
      </c>
      <c r="AN900" s="825">
        <v>162.75884500000001</v>
      </c>
      <c r="AO900" s="825">
        <v>176.738</v>
      </c>
      <c r="AP900" s="825">
        <v>157.71</v>
      </c>
      <c r="AQ900" s="585">
        <f>SUM(AM900:AP900)</f>
        <v>649.06284500000004</v>
      </c>
      <c r="AR900" s="825">
        <v>155.453</v>
      </c>
      <c r="AS900" s="825">
        <v>152.47200000000001</v>
      </c>
      <c r="AT900" s="825">
        <v>162.36000000000001</v>
      </c>
      <c r="AU900" s="825">
        <v>138.84200000000001</v>
      </c>
      <c r="AV900" s="250">
        <f>SUM(AR900:AU900)</f>
        <v>609.12700000000007</v>
      </c>
      <c r="AW900" s="825">
        <v>145.68</v>
      </c>
      <c r="AX900" s="825">
        <v>149.38200000000001</v>
      </c>
      <c r="AY900" s="825">
        <v>176.982</v>
      </c>
      <c r="AZ900" s="825">
        <v>143.69200000000001</v>
      </c>
      <c r="BA900" s="250">
        <f>SUM(AW900:AZ900)</f>
        <v>615.73599999999999</v>
      </c>
      <c r="BB900" s="825">
        <v>145.71732900000001</v>
      </c>
      <c r="BC900" s="2743">
        <v>158.25397999999998</v>
      </c>
      <c r="BD900" s="3103">
        <v>181.174643</v>
      </c>
      <c r="BE900" s="3103">
        <v>157.826221</v>
      </c>
      <c r="BF900" s="250">
        <f>SUM(BB900:BE900)</f>
        <v>642.972173</v>
      </c>
      <c r="BG900" s="3130">
        <v>158.023875</v>
      </c>
      <c r="BH900" s="3182">
        <v>162.50191699999999</v>
      </c>
      <c r="BI900" s="3115">
        <v>205.87579799999997</v>
      </c>
      <c r="BJ900" s="3115">
        <v>169.815561</v>
      </c>
      <c r="BK900" s="250">
        <f>SUM(BG900:BJ900)</f>
        <v>696.21715099999994</v>
      </c>
      <c r="BL900" s="3182">
        <v>164.480299</v>
      </c>
      <c r="BM900" s="3182">
        <v>172.990869</v>
      </c>
      <c r="BN900" s="3182">
        <v>210.7</v>
      </c>
      <c r="BO900" s="1776"/>
      <c r="BP900" s="250"/>
      <c r="BQ900" s="249"/>
      <c r="BR900" s="249"/>
      <c r="BS900" s="249"/>
      <c r="BT900" s="1776"/>
      <c r="BU900" s="3311"/>
      <c r="BV900" s="249"/>
      <c r="BW900" s="249"/>
      <c r="BX900" s="249"/>
      <c r="BY900" s="1776"/>
      <c r="BZ900" s="250"/>
      <c r="CA900" s="250"/>
      <c r="CB900" s="250"/>
      <c r="CC900" s="250">
        <f>CC891</f>
        <v>0</v>
      </c>
      <c r="CD900" s="250">
        <f>CD891</f>
        <v>0</v>
      </c>
      <c r="CE900" s="250">
        <f>CE891</f>
        <v>0</v>
      </c>
      <c r="CF900" s="250">
        <f>CF891</f>
        <v>0</v>
      </c>
      <c r="CG900" s="250">
        <f>CG891</f>
        <v>0</v>
      </c>
      <c r="CH900" s="249"/>
      <c r="CI900" s="249"/>
      <c r="CJ900" s="249"/>
      <c r="CK900" s="249"/>
      <c r="CL900" s="249"/>
      <c r="CM900" s="249"/>
      <c r="CN900" s="249"/>
      <c r="CO900" s="249"/>
      <c r="CP900" s="90" t="str">
        <f>A900</f>
        <v>Casino Revenue</v>
      </c>
      <c r="CQ900" s="249">
        <f t="shared" ref="CQ900:CQ906" si="1732">H900</f>
        <v>623.4</v>
      </c>
      <c r="CR900" s="249">
        <f t="shared" ref="CR900:CR907" si="1733">M900</f>
        <v>696.96499999999992</v>
      </c>
      <c r="CS900" s="249">
        <f t="shared" ref="CS900:CS907" si="1734">R900</f>
        <v>735.14499999999998</v>
      </c>
      <c r="CT900" s="249">
        <f t="shared" ref="CT900:CT907" si="1735">W900</f>
        <v>748.649</v>
      </c>
      <c r="CU900" s="249">
        <f t="shared" ref="CU900:CU907" si="1736">AB900</f>
        <v>734.30600000000004</v>
      </c>
      <c r="CV900" s="249">
        <f t="shared" ref="CV900:CV907" si="1737">AG900</f>
        <v>691.42799999999988</v>
      </c>
      <c r="CW900" s="249">
        <f t="shared" ref="CW900:CW907" si="1738">AL900</f>
        <v>643.904</v>
      </c>
      <c r="CX900" s="249">
        <f t="shared" ref="CX900:CX907" si="1739">AQ900</f>
        <v>649.06284500000004</v>
      </c>
      <c r="CY900" s="249">
        <f t="shared" ref="CY900:CY907" si="1740">AV900</f>
        <v>609.12700000000007</v>
      </c>
      <c r="CZ900" s="249">
        <f t="shared" ref="CZ900:CZ907" si="1741">BA900</f>
        <v>615.73599999999999</v>
      </c>
      <c r="DA900" s="249">
        <f>BF900</f>
        <v>642.972173</v>
      </c>
      <c r="DB900" s="249">
        <f>BK900</f>
        <v>696.21715099999994</v>
      </c>
      <c r="DC900" s="249">
        <f>BP900</f>
        <v>0</v>
      </c>
      <c r="DD900" s="249">
        <f>BU900</f>
        <v>0</v>
      </c>
      <c r="DE900" s="249">
        <f t="shared" ref="DE900:DG907" si="1742">BZ900</f>
        <v>0</v>
      </c>
      <c r="DF900" s="249">
        <f t="shared" si="1742"/>
        <v>0</v>
      </c>
      <c r="DG900" s="1776">
        <f t="shared" si="1742"/>
        <v>0</v>
      </c>
      <c r="DH900" s="272"/>
      <c r="DI900" s="570"/>
      <c r="DJ900" s="570"/>
      <c r="DK900" s="570"/>
      <c r="DL900" s="570"/>
      <c r="DM900" s="570"/>
      <c r="DN900" s="222"/>
      <c r="DO900" s="226" t="s">
        <v>1547</v>
      </c>
      <c r="DY900" s="249"/>
      <c r="DZ900" s="249"/>
    </row>
    <row r="901" spans="1:130" ht="12" customHeight="1">
      <c r="A901" s="2688" t="s">
        <v>1765</v>
      </c>
      <c r="B901" s="445"/>
      <c r="C901" s="445"/>
      <c r="D901" s="283"/>
      <c r="E901" s="825"/>
      <c r="F901" s="825"/>
      <c r="G901" s="825"/>
      <c r="H901" s="585"/>
      <c r="I901" s="825"/>
      <c r="J901" s="825"/>
      <c r="K901" s="825"/>
      <c r="L901" s="825"/>
      <c r="M901" s="585"/>
      <c r="N901" s="825"/>
      <c r="O901" s="825"/>
      <c r="P901" s="825"/>
      <c r="Q901" s="825"/>
      <c r="R901" s="585"/>
      <c r="S901" s="825"/>
      <c r="T901" s="825"/>
      <c r="U901" s="825"/>
      <c r="V901" s="825"/>
      <c r="W901" s="585"/>
      <c r="X901" s="825"/>
      <c r="Y901" s="825"/>
      <c r="Z901" s="825"/>
      <c r="AA901" s="825"/>
      <c r="AB901" s="585"/>
      <c r="AC901" s="825"/>
      <c r="AD901" s="825"/>
      <c r="AE901" s="825"/>
      <c r="AF901" s="825"/>
      <c r="AG901" s="585"/>
      <c r="AH901" s="622"/>
      <c r="AI901" s="622"/>
      <c r="AJ901" s="622"/>
      <c r="AK901" s="622"/>
      <c r="AL901" s="585"/>
      <c r="AM901" s="622"/>
      <c r="AN901" s="825"/>
      <c r="AO901" s="825"/>
      <c r="AP901" s="825"/>
      <c r="AQ901" s="585"/>
      <c r="AR901" s="825"/>
      <c r="AS901" s="825"/>
      <c r="AT901" s="825"/>
      <c r="AU901" s="825"/>
      <c r="AV901" s="250"/>
      <c r="AW901" s="825"/>
      <c r="AX901" s="825"/>
      <c r="AY901" s="825"/>
      <c r="AZ901" s="825"/>
      <c r="BA901" s="250"/>
      <c r="BB901" s="2699">
        <f>153.686-BB900</f>
        <v>7.9686710000000005</v>
      </c>
      <c r="BC901" s="2699">
        <f>166.599-BC900</f>
        <v>8.3450200000000052</v>
      </c>
      <c r="BD901" s="2699">
        <f>187.556-BD900</f>
        <v>6.3813570000000084</v>
      </c>
      <c r="BE901" s="2699">
        <f>164.729-BE900</f>
        <v>6.9027790000000095</v>
      </c>
      <c r="BF901" s="250">
        <f>SUM(BB901:BE901)</f>
        <v>29.597827000000024</v>
      </c>
      <c r="BG901" s="2699">
        <f>165.128-BG900</f>
        <v>7.104124999999982</v>
      </c>
      <c r="BH901" s="2699">
        <f>170.277-BH900</f>
        <v>7.7750829999999951</v>
      </c>
      <c r="BI901" s="2699">
        <f>213.616-BI900</f>
        <v>7.7402020000000391</v>
      </c>
      <c r="BJ901" s="2699">
        <f>179.096-BJ900</f>
        <v>9.2804390000000012</v>
      </c>
      <c r="BK901" s="250">
        <f>SUM(BG901:BJ901)</f>
        <v>31.899849000000017</v>
      </c>
      <c r="BL901" s="2699">
        <f>174.013-BL900</f>
        <v>9.532701000000003</v>
      </c>
      <c r="BM901" s="2699">
        <f>180.987-BM900</f>
        <v>7.9961309999999912</v>
      </c>
      <c r="BN901" s="3287">
        <f>+BN787*0.92*(1/3)</f>
        <v>2.6964546251066666</v>
      </c>
      <c r="BO901" s="2924"/>
      <c r="BP901" s="250"/>
      <c r="BQ901" s="3287"/>
      <c r="BR901" s="3287"/>
      <c r="BS901" s="3287"/>
      <c r="BT901" s="2924"/>
      <c r="BU901" s="3311"/>
      <c r="BV901" s="3287"/>
      <c r="BW901" s="3287"/>
      <c r="BX901" s="3287"/>
      <c r="BY901" s="2924"/>
      <c r="BZ901" s="250"/>
      <c r="CA901" s="250"/>
      <c r="CB901" s="250"/>
      <c r="CC901" s="250">
        <f>+CC787*0.92</f>
        <v>48.966138539522866</v>
      </c>
      <c r="CD901" s="250">
        <f>+CD787*0.92</f>
        <v>46.517831612546729</v>
      </c>
      <c r="CE901" s="250">
        <f>+CE787*0.92</f>
        <v>47.448188244797656</v>
      </c>
      <c r="CF901" s="250">
        <f>+CF787*0.92</f>
        <v>48.397152009693613</v>
      </c>
      <c r="CG901" s="250">
        <f>+CG787*0.92</f>
        <v>49.365095049887486</v>
      </c>
      <c r="CH901" s="249"/>
      <c r="CI901" s="249"/>
      <c r="CJ901" s="249"/>
      <c r="CK901" s="249"/>
      <c r="CL901" s="249"/>
      <c r="CM901" s="249"/>
      <c r="CN901" s="249"/>
      <c r="CO901" s="249"/>
      <c r="CP901" s="90"/>
      <c r="CQ901" s="249"/>
      <c r="CR901" s="249"/>
      <c r="CS901" s="249"/>
      <c r="CT901" s="249"/>
      <c r="CU901" s="249"/>
      <c r="CV901" s="249"/>
      <c r="CW901" s="249"/>
      <c r="CX901" s="249"/>
      <c r="CY901" s="249"/>
      <c r="CZ901" s="249"/>
      <c r="DA901" s="249"/>
      <c r="DB901" s="249"/>
      <c r="DC901" s="249"/>
      <c r="DD901" s="249"/>
      <c r="DE901" s="249"/>
      <c r="DF901" s="249"/>
      <c r="DG901" s="1776"/>
      <c r="DH901" s="272"/>
      <c r="DI901" s="570"/>
      <c r="DJ901" s="570"/>
      <c r="DK901" s="570"/>
      <c r="DL901" s="570"/>
      <c r="DM901" s="570"/>
      <c r="DN901" s="222"/>
      <c r="DO901" s="226"/>
      <c r="DY901" s="249"/>
      <c r="DZ901" s="249"/>
    </row>
    <row r="902" spans="1:130" ht="12" customHeight="1">
      <c r="A902" s="633" t="s">
        <v>638</v>
      </c>
      <c r="B902" s="445"/>
      <c r="C902" s="445"/>
      <c r="D902" s="284">
        <v>18.704000000000001</v>
      </c>
      <c r="E902" s="332">
        <f>63.669-F902-D902</f>
        <v>20.661999999999999</v>
      </c>
      <c r="F902" s="332">
        <v>24.303000000000001</v>
      </c>
      <c r="G902" s="332">
        <f>85.166-F902-E902-D902</f>
        <v>21.497</v>
      </c>
      <c r="H902" s="346">
        <f>SUM(D902:G902)</f>
        <v>85.165999999999997</v>
      </c>
      <c r="I902" s="332">
        <v>20.233000000000001</v>
      </c>
      <c r="J902" s="332">
        <f>43.223-I902</f>
        <v>22.99</v>
      </c>
      <c r="K902" s="332">
        <v>25.538</v>
      </c>
      <c r="L902" s="332">
        <v>22.495999999999999</v>
      </c>
      <c r="M902" s="346">
        <f>SUM(I902:L902)</f>
        <v>91.256999999999991</v>
      </c>
      <c r="N902" s="332">
        <f>21.231</f>
        <v>21.231000000000002</v>
      </c>
      <c r="O902" s="332">
        <v>23.742000000000001</v>
      </c>
      <c r="P902" s="332">
        <v>27.175999999999998</v>
      </c>
      <c r="Q902" s="332">
        <v>25.497</v>
      </c>
      <c r="R902" s="346">
        <f>SUM(N902:Q902)</f>
        <v>97.646000000000001</v>
      </c>
      <c r="S902" s="332">
        <v>23.893000000000001</v>
      </c>
      <c r="T902" s="332">
        <v>25.363</v>
      </c>
      <c r="U902" s="332">
        <v>27.56</v>
      </c>
      <c r="V902" s="332">
        <f>100.898-U902-T902-S902</f>
        <v>24.081999999999994</v>
      </c>
      <c r="W902" s="346">
        <f>SUM(S902:V902)</f>
        <v>100.898</v>
      </c>
      <c r="X902" s="332">
        <v>24.015000000000001</v>
      </c>
      <c r="Y902" s="332">
        <v>25.425000000000001</v>
      </c>
      <c r="Z902" s="332">
        <v>34.261000000000003</v>
      </c>
      <c r="AA902" s="332">
        <v>26.914999999999999</v>
      </c>
      <c r="AB902" s="346">
        <f>SUM(X902:AA902)</f>
        <v>110.61599999999999</v>
      </c>
      <c r="AC902" s="332">
        <v>26.041</v>
      </c>
      <c r="AD902" s="332">
        <v>27.123000000000001</v>
      </c>
      <c r="AE902" s="332">
        <v>33.892000000000003</v>
      </c>
      <c r="AF902" s="332">
        <v>26.087</v>
      </c>
      <c r="AG902" s="346">
        <f>SUM(AC902:AF902)</f>
        <v>113.14300000000001</v>
      </c>
      <c r="AH902" s="328">
        <v>26.402000000000001</v>
      </c>
      <c r="AI902" s="328">
        <v>27.704000000000001</v>
      </c>
      <c r="AJ902" s="328">
        <v>34.090000000000003</v>
      </c>
      <c r="AK902" s="328">
        <v>27.004000000000001</v>
      </c>
      <c r="AL902" s="287">
        <f>SUM(AH902:AK902)</f>
        <v>115.2</v>
      </c>
      <c r="AM902" s="328">
        <v>26.291</v>
      </c>
      <c r="AN902" s="332">
        <v>29.817</v>
      </c>
      <c r="AO902" s="332">
        <v>33.069000000000003</v>
      </c>
      <c r="AP902" s="328">
        <v>27.36</v>
      </c>
      <c r="AQ902" s="287">
        <f>SUM(AM902:AP902)</f>
        <v>116.53700000000001</v>
      </c>
      <c r="AR902" s="332">
        <v>27.157</v>
      </c>
      <c r="AS902" s="332">
        <v>29.670999999999999</v>
      </c>
      <c r="AT902" s="332">
        <v>34.22</v>
      </c>
      <c r="AU902" s="332">
        <v>28.041</v>
      </c>
      <c r="AV902" s="250">
        <f>SUM(AR902:AU902)</f>
        <v>119.089</v>
      </c>
      <c r="AW902" s="332">
        <v>26.673999999999999</v>
      </c>
      <c r="AX902" s="332">
        <v>28.475000000000001</v>
      </c>
      <c r="AY902" s="332">
        <v>33.981000000000002</v>
      </c>
      <c r="AZ902" s="332">
        <v>25.983000000000001</v>
      </c>
      <c r="BA902" s="250">
        <f>SUM(AW902:AZ902)</f>
        <v>115.113</v>
      </c>
      <c r="BB902" s="2683">
        <v>25.568999999999999</v>
      </c>
      <c r="BC902" s="2762">
        <v>29.602</v>
      </c>
      <c r="BD902" s="2762">
        <v>35.624000000000002</v>
      </c>
      <c r="BE902" s="2762">
        <v>27.513000000000002</v>
      </c>
      <c r="BF902" s="250">
        <f>SUM(BB902:BE902)</f>
        <v>118.30800000000001</v>
      </c>
      <c r="BG902" s="2762">
        <v>27.603999999999999</v>
      </c>
      <c r="BH902" s="2762">
        <v>30.349</v>
      </c>
      <c r="BI902" s="2762">
        <v>35.606000000000002</v>
      </c>
      <c r="BJ902" s="2762">
        <v>28.722999999999999</v>
      </c>
      <c r="BK902" s="250">
        <f>SUM(BG902:BJ902)</f>
        <v>122.282</v>
      </c>
      <c r="BL902" s="3205">
        <v>28.628</v>
      </c>
      <c r="BM902" s="3205">
        <v>31.05</v>
      </c>
      <c r="BN902" s="3288">
        <f>+BN888*BN878*31/1000000</f>
        <v>12.4175925</v>
      </c>
      <c r="BO902" s="288"/>
      <c r="BP902" s="250"/>
      <c r="BQ902" s="3288"/>
      <c r="BR902" s="3288"/>
      <c r="BS902" s="3288"/>
      <c r="BT902" s="288"/>
      <c r="BU902" s="3311"/>
      <c r="BV902" s="3288"/>
      <c r="BW902" s="3288"/>
      <c r="BX902" s="3288"/>
      <c r="BY902" s="288"/>
      <c r="BZ902" s="287"/>
      <c r="CA902" s="287"/>
      <c r="CB902" s="287"/>
      <c r="CC902" s="287">
        <f>+CC888*CC878*CC$5/1000000</f>
        <v>0</v>
      </c>
      <c r="CD902" s="287">
        <f>+CD888*CD878*CD$5/1000000</f>
        <v>0</v>
      </c>
      <c r="CE902" s="287">
        <f>+CE888*CE878*CE$5/1000000</f>
        <v>0</v>
      </c>
      <c r="CF902" s="287">
        <f>+CF888*CF878*CF$5/1000000</f>
        <v>0</v>
      </c>
      <c r="CG902" s="287">
        <f>+CG888*CG878*CG$5/1000000</f>
        <v>0</v>
      </c>
      <c r="CH902" s="286"/>
      <c r="CI902" s="286"/>
      <c r="CJ902" s="286"/>
      <c r="CK902" s="286"/>
      <c r="CL902" s="286"/>
      <c r="CM902" s="286"/>
      <c r="CN902" s="286"/>
      <c r="CO902" s="286"/>
      <c r="CP902" s="90" t="str">
        <f>A902</f>
        <v>Room Revenue</v>
      </c>
      <c r="CQ902" s="286">
        <f t="shared" si="1732"/>
        <v>85.165999999999997</v>
      </c>
      <c r="CR902" s="286">
        <f t="shared" si="1733"/>
        <v>91.256999999999991</v>
      </c>
      <c r="CS902" s="286">
        <f t="shared" si="1734"/>
        <v>97.646000000000001</v>
      </c>
      <c r="CT902" s="286">
        <f t="shared" si="1735"/>
        <v>100.898</v>
      </c>
      <c r="CU902" s="286">
        <f t="shared" si="1736"/>
        <v>110.61599999999999</v>
      </c>
      <c r="CV902" s="286">
        <f t="shared" si="1737"/>
        <v>113.14300000000001</v>
      </c>
      <c r="CW902" s="286">
        <f t="shared" si="1738"/>
        <v>115.2</v>
      </c>
      <c r="CX902" s="286">
        <f t="shared" si="1739"/>
        <v>116.53700000000001</v>
      </c>
      <c r="CY902" s="286">
        <f t="shared" si="1740"/>
        <v>119.089</v>
      </c>
      <c r="CZ902" s="286">
        <f t="shared" si="1741"/>
        <v>115.113</v>
      </c>
      <c r="DA902" s="286">
        <f t="shared" ref="DA902:DA907" si="1743">BF902</f>
        <v>118.30800000000001</v>
      </c>
      <c r="DB902" s="286">
        <f t="shared" ref="DB902:DB907" si="1744">BK902</f>
        <v>122.282</v>
      </c>
      <c r="DC902" s="286">
        <f t="shared" ref="DC902:DC907" si="1745">BP902</f>
        <v>0</v>
      </c>
      <c r="DD902" s="286">
        <f t="shared" ref="DD902:DD907" si="1746">BU902</f>
        <v>0</v>
      </c>
      <c r="DE902" s="286">
        <f t="shared" si="1742"/>
        <v>0</v>
      </c>
      <c r="DF902" s="286">
        <f t="shared" si="1742"/>
        <v>0</v>
      </c>
      <c r="DG902" s="288">
        <f t="shared" si="1742"/>
        <v>0</v>
      </c>
      <c r="DH902" s="289"/>
      <c r="DI902" s="570"/>
      <c r="DJ902" s="570"/>
      <c r="DK902" s="570"/>
      <c r="DL902" s="570"/>
      <c r="DM902" s="570"/>
      <c r="DN902" s="222"/>
      <c r="DO902" s="226"/>
      <c r="DY902" s="249"/>
      <c r="DZ902" s="249"/>
    </row>
    <row r="903" spans="1:130" ht="12" customHeight="1">
      <c r="A903" s="633" t="s">
        <v>1800</v>
      </c>
      <c r="B903" s="445"/>
      <c r="C903" s="445"/>
      <c r="D903" s="284">
        <f>26.886+4.839-44.744</f>
        <v>-13.018999999999998</v>
      </c>
      <c r="E903" s="332">
        <f>90.679+17.77-134.021-D903-F903</f>
        <v>-5.6859999999999857</v>
      </c>
      <c r="F903" s="332">
        <f>33.987+6.837-47.691</f>
        <v>-6.8670000000000044</v>
      </c>
      <c r="G903" s="332">
        <f>119.946+23.769-175.862-F903-E903-D903</f>
        <v>-6.5750000000000028</v>
      </c>
      <c r="H903" s="346">
        <f>SUM(D903:G903)</f>
        <v>-32.146999999999991</v>
      </c>
      <c r="I903" s="332">
        <f>28.061+5.217-43.431</f>
        <v>-10.152999999999999</v>
      </c>
      <c r="J903" s="332">
        <f>58.684+12.562-89.599-I903</f>
        <v>-8.2000000000000099</v>
      </c>
      <c r="K903" s="332">
        <f>33.479+12.946-48.545</f>
        <v>-2.1200000000000045</v>
      </c>
      <c r="L903" s="332">
        <f>28.85+9.962-42.578</f>
        <v>-3.7660000000000053</v>
      </c>
      <c r="M903" s="346">
        <f>SUM(I903:L903)</f>
        <v>-24.239000000000019</v>
      </c>
      <c r="N903" s="332">
        <f>27.88+6.99-42.789</f>
        <v>-7.919000000000004</v>
      </c>
      <c r="O903" s="332">
        <f>29.461+11.079-47.766</f>
        <v>-7.2259999999999991</v>
      </c>
      <c r="P903" s="332">
        <f>41.895+12.273-59.339</f>
        <v>-5.1709999999999923</v>
      </c>
      <c r="Q903" s="332">
        <f>34.464+12.191-45.866</f>
        <v>0.78900000000000148</v>
      </c>
      <c r="R903" s="346">
        <f>SUM(N903:Q903)</f>
        <v>-19.526999999999994</v>
      </c>
      <c r="S903" s="332">
        <f>33.11+9.734-50.276</f>
        <v>-7.4320000000000022</v>
      </c>
      <c r="T903" s="332">
        <f>35.018+11.305-47.553</f>
        <v>-1.2299999999999969</v>
      </c>
      <c r="U903" s="332">
        <f>39.803+12.013-53.173</f>
        <v>-1.3570000000000064</v>
      </c>
      <c r="V903" s="332">
        <f>141.061+44.071-196.036-U903-T903-S903</f>
        <v>-0.88499999999999091</v>
      </c>
      <c r="W903" s="346">
        <f>SUM(S903:V903)</f>
        <v>-10.903999999999996</v>
      </c>
      <c r="X903" s="332">
        <f>34.17+9.921-44.718</f>
        <v>-0.62700000000000244</v>
      </c>
      <c r="Y903" s="332">
        <f>35.471+13.39-47.747</f>
        <v>1.1139999999999972</v>
      </c>
      <c r="Z903" s="332">
        <f>44.146+16.636-62.474</f>
        <v>-1.6920000000000002</v>
      </c>
      <c r="AA903" s="332">
        <f>33.547+12.26-59.035</f>
        <v>-13.228000000000002</v>
      </c>
      <c r="AB903" s="346">
        <f>SUM(X903:AA903)</f>
        <v>-14.433000000000007</v>
      </c>
      <c r="AC903" s="332">
        <f>33.993+9.305-50.298</f>
        <v>-7</v>
      </c>
      <c r="AD903" s="332">
        <f>34.49+10.302-54.239</f>
        <v>-9.4469999999999956</v>
      </c>
      <c r="AE903" s="332">
        <f>42.63+12.889-62.169</f>
        <v>-6.6499999999999915</v>
      </c>
      <c r="AF903" s="332">
        <f>32.297+10.124-46.487</f>
        <v>-4.0660000000000025</v>
      </c>
      <c r="AG903" s="346">
        <f>SUM(AC903:AF903)</f>
        <v>-27.16299999999999</v>
      </c>
      <c r="AH903" s="328">
        <f>34.363+9.843-49.318</f>
        <v>-5.1119999999999948</v>
      </c>
      <c r="AI903" s="328">
        <f>35.994+10.696-52.032</f>
        <v>-5.3419999999999987</v>
      </c>
      <c r="AJ903" s="328">
        <f>43.232+12.687-59.161</f>
        <v>-3.2420000000000044</v>
      </c>
      <c r="AK903" s="328">
        <f>34.162+9.705-50.844</f>
        <v>-6.9770000000000039</v>
      </c>
      <c r="AL903" s="287">
        <f>SUM(AH903:AK903)</f>
        <v>-20.673000000000002</v>
      </c>
      <c r="AM903" s="328">
        <f>34.465+9.304-52.826</f>
        <v>-9.0569999999999951</v>
      </c>
      <c r="AN903" s="332">
        <f>10.596+37.058-56.853</f>
        <v>-9.1990000000000052</v>
      </c>
      <c r="AO903" s="332">
        <f>11.989+41.337-61.115</f>
        <v>-7.7889999999999944</v>
      </c>
      <c r="AP903" s="328">
        <f>35.223+9.569-53.452</f>
        <v>-8.6599999999999966</v>
      </c>
      <c r="AQ903" s="287">
        <f>SUM(AM903:AP903)</f>
        <v>-34.704999999999991</v>
      </c>
      <c r="AR903" s="332">
        <f>36.246+8.578-51.284</f>
        <v>-6.4600000000000009</v>
      </c>
      <c r="AS903" s="332">
        <f>35.87+10.16-52.757</f>
        <v>-6.7269999999999968</v>
      </c>
      <c r="AT903" s="332">
        <f>40.234+12.809-62.532</f>
        <v>-9.4889999999999972</v>
      </c>
      <c r="AU903" s="332">
        <f>23.457+7.969-50.744</f>
        <v>-19.317999999999998</v>
      </c>
      <c r="AV903" s="250">
        <f>SUM(AR903:AU903)</f>
        <v>-41.993999999999993</v>
      </c>
      <c r="AW903" s="332">
        <f>33.935+9.19-49.836</f>
        <v>-6.7109999999999985</v>
      </c>
      <c r="AX903" s="332">
        <f>35.123+10.85-50.953</f>
        <v>-4.980000000000004</v>
      </c>
      <c r="AY903" s="332">
        <f>39.153+13.294-63.359</f>
        <v>-10.911999999999999</v>
      </c>
      <c r="AZ903" s="332">
        <f>32.081+9.04-53.668</f>
        <v>-12.546999999999997</v>
      </c>
      <c r="BA903" s="250">
        <f>SUM(AW903:AZ903)</f>
        <v>-35.15</v>
      </c>
      <c r="BB903" s="2683">
        <f>31.054+8.571-51.616</f>
        <v>-11.991</v>
      </c>
      <c r="BC903" s="2683">
        <f>34.064+10.308-58.719</f>
        <v>-14.347000000000001</v>
      </c>
      <c r="BD903" s="2683">
        <f>39.714+13.054-66.002</f>
        <v>-13.233999999999995</v>
      </c>
      <c r="BE903" s="2683">
        <f>33.564+9.241-55.9</f>
        <v>-13.094999999999999</v>
      </c>
      <c r="BF903" s="250">
        <f>SUM(BB903:BE903)</f>
        <v>-52.666999999999994</v>
      </c>
      <c r="BG903" s="2683">
        <f>34.468+8.51-53.121</f>
        <v>-10.143000000000001</v>
      </c>
      <c r="BH903" s="2683">
        <f>36.392+10.397-56.252</f>
        <v>-9.463000000000001</v>
      </c>
      <c r="BI903" s="2683">
        <f>40.66+13.707-66.128</f>
        <v>-11.761000000000003</v>
      </c>
      <c r="BJ903" s="2683">
        <f>33.472+8.754-57.092</f>
        <v>-14.866</v>
      </c>
      <c r="BK903" s="250">
        <f>SUM(BG903:BJ903)</f>
        <v>-46.233000000000004</v>
      </c>
      <c r="BL903" s="2683">
        <f>33.758+9.127-55.233</f>
        <v>-12.347999999999992</v>
      </c>
      <c r="BM903" s="2683">
        <f>38.002+10.138-56.83</f>
        <v>-8.6899999999999977</v>
      </c>
      <c r="BN903" s="286">
        <f>+BN900*BN897</f>
        <v>-13.090090624411328</v>
      </c>
      <c r="BO903" s="288"/>
      <c r="BP903" s="250"/>
      <c r="BQ903" s="286"/>
      <c r="BR903" s="286"/>
      <c r="BS903" s="286"/>
      <c r="BT903" s="288"/>
      <c r="BU903" s="3311"/>
      <c r="BV903" s="286"/>
      <c r="BW903" s="286"/>
      <c r="BX903" s="286"/>
      <c r="BY903" s="288"/>
      <c r="BZ903" s="287"/>
      <c r="CA903" s="287"/>
      <c r="CB903" s="287"/>
      <c r="CC903" s="287">
        <f>+CC900*CC897</f>
        <v>0</v>
      </c>
      <c r="CD903" s="287">
        <f>+CD900*CD897</f>
        <v>0</v>
      </c>
      <c r="CE903" s="287">
        <f>+CE900*CE897</f>
        <v>0</v>
      </c>
      <c r="CF903" s="287">
        <f>+CF900*CF897</f>
        <v>0</v>
      </c>
      <c r="CG903" s="287">
        <f>+CG900*CG897</f>
        <v>0</v>
      </c>
      <c r="CH903" s="286"/>
      <c r="CI903" s="286"/>
      <c r="CJ903" s="286"/>
      <c r="CK903" s="286"/>
      <c r="CL903" s="286"/>
      <c r="CM903" s="286"/>
      <c r="CN903" s="286"/>
      <c r="CO903" s="286"/>
      <c r="CP903" s="90" t="str">
        <f>A903</f>
        <v>Other Revenue, net of Promotionals</v>
      </c>
      <c r="CQ903" s="286">
        <f t="shared" si="1732"/>
        <v>-32.146999999999991</v>
      </c>
      <c r="CR903" s="286">
        <f t="shared" si="1733"/>
        <v>-24.239000000000019</v>
      </c>
      <c r="CS903" s="286">
        <f t="shared" si="1734"/>
        <v>-19.526999999999994</v>
      </c>
      <c r="CT903" s="286">
        <f t="shared" si="1735"/>
        <v>-10.903999999999996</v>
      </c>
      <c r="CU903" s="286">
        <f t="shared" si="1736"/>
        <v>-14.433000000000007</v>
      </c>
      <c r="CV903" s="286">
        <f t="shared" si="1737"/>
        <v>-27.16299999999999</v>
      </c>
      <c r="CW903" s="286">
        <f t="shared" si="1738"/>
        <v>-20.673000000000002</v>
      </c>
      <c r="CX903" s="286">
        <f t="shared" si="1739"/>
        <v>-34.704999999999991</v>
      </c>
      <c r="CY903" s="286">
        <f t="shared" si="1740"/>
        <v>-41.993999999999993</v>
      </c>
      <c r="CZ903" s="286">
        <f t="shared" si="1741"/>
        <v>-35.15</v>
      </c>
      <c r="DA903" s="286">
        <f t="shared" si="1743"/>
        <v>-52.666999999999994</v>
      </c>
      <c r="DB903" s="286">
        <f t="shared" si="1744"/>
        <v>-46.233000000000004</v>
      </c>
      <c r="DC903" s="286">
        <f t="shared" si="1745"/>
        <v>0</v>
      </c>
      <c r="DD903" s="286">
        <f t="shared" si="1746"/>
        <v>0</v>
      </c>
      <c r="DE903" s="286">
        <f t="shared" si="1742"/>
        <v>0</v>
      </c>
      <c r="DF903" s="286">
        <f t="shared" si="1742"/>
        <v>0</v>
      </c>
      <c r="DG903" s="288">
        <f t="shared" si="1742"/>
        <v>0</v>
      </c>
      <c r="DH903" s="289"/>
      <c r="DI903" s="570"/>
      <c r="DJ903" s="570"/>
      <c r="DK903" s="570"/>
      <c r="DL903" s="570"/>
      <c r="DM903" s="570"/>
      <c r="DN903" s="222"/>
      <c r="DO903" s="226"/>
      <c r="DY903" s="249"/>
      <c r="DZ903" s="249"/>
    </row>
    <row r="904" spans="1:130" ht="12" customHeight="1">
      <c r="A904" s="552" t="s">
        <v>1513</v>
      </c>
      <c r="B904" s="445"/>
      <c r="C904" s="445"/>
      <c r="D904" s="285">
        <f>SUM(D900:D903)</f>
        <v>145.88900000000001</v>
      </c>
      <c r="E904" s="286">
        <f>SUM(E900:E903)</f>
        <v>164.941</v>
      </c>
      <c r="F904" s="286">
        <f>SUM(F900:F903)</f>
        <v>186.14299999999997</v>
      </c>
      <c r="G904" s="286">
        <f>SUM(G900:G903)</f>
        <v>179.44600000000003</v>
      </c>
      <c r="H904" s="346">
        <f>SUM(D904:G904)</f>
        <v>676.4190000000001</v>
      </c>
      <c r="I904" s="285">
        <f>SUM(I900:I903)</f>
        <v>172.13400000000001</v>
      </c>
      <c r="J904" s="286">
        <f>SUM(J900:J903)</f>
        <v>184.386</v>
      </c>
      <c r="K904" s="286">
        <f>SUM(K900:K903)</f>
        <v>213.524</v>
      </c>
      <c r="L904" s="286">
        <f>SUM(L900:L903)</f>
        <v>193.93900000000002</v>
      </c>
      <c r="M904" s="346">
        <f>SUM(I904:L904)</f>
        <v>763.98299999999995</v>
      </c>
      <c r="N904" s="286">
        <f>SUM(N900:N903)</f>
        <v>187.56799999999998</v>
      </c>
      <c r="O904" s="286">
        <f>SUM(O900:O903)</f>
        <v>189.37099999999998</v>
      </c>
      <c r="P904" s="286">
        <f>SUM(P900:P903)</f>
        <v>237.48499999999999</v>
      </c>
      <c r="Q904" s="286">
        <f>SUM(Q900:Q903)</f>
        <v>198.83999999999997</v>
      </c>
      <c r="R904" s="346">
        <f>SUM(N904:Q904)</f>
        <v>813.2639999999999</v>
      </c>
      <c r="S904" s="286">
        <f>SUM(S900:S903)</f>
        <v>203.73000000000002</v>
      </c>
      <c r="T904" s="286">
        <f>SUM(T900:T903)</f>
        <v>202.09900000000002</v>
      </c>
      <c r="U904" s="286">
        <f>SUM(U900:U903)</f>
        <v>230.08799999999999</v>
      </c>
      <c r="V904" s="286">
        <f>SUM(V900:V903)</f>
        <v>202.726</v>
      </c>
      <c r="W904" s="346">
        <f>SUM(S904:V904)</f>
        <v>838.64300000000003</v>
      </c>
      <c r="X904" s="286">
        <f>SUM(X900:X903)</f>
        <v>202.024</v>
      </c>
      <c r="Y904" s="286">
        <f>SUM(Y900:Y903)</f>
        <v>205.06100000000001</v>
      </c>
      <c r="Z904" s="286">
        <f>SUM(Z900:Z903)</f>
        <v>239.92099999999999</v>
      </c>
      <c r="AA904" s="286">
        <f>SUM(AA900:AA903)</f>
        <v>183.48299999999998</v>
      </c>
      <c r="AB904" s="346">
        <f>SUM(X904:AA904)</f>
        <v>830.48900000000003</v>
      </c>
      <c r="AC904" s="285">
        <f>SUM(AC900:AC903)</f>
        <v>187.89</v>
      </c>
      <c r="AD904" s="286">
        <f>SUM(AD900:AD903)</f>
        <v>191.51299999999998</v>
      </c>
      <c r="AE904" s="286">
        <f>SUM(AE900:AE903)</f>
        <v>222.59699999999998</v>
      </c>
      <c r="AF904" s="286">
        <f>SUM(AF900:AF903)</f>
        <v>175.40799999999999</v>
      </c>
      <c r="AG904" s="346">
        <f>SUM(AC904:AF904)</f>
        <v>777.40800000000002</v>
      </c>
      <c r="AH904" s="286">
        <f>SUM(AH900:AH903)</f>
        <v>175.066</v>
      </c>
      <c r="AI904" s="286">
        <f>SUM(AI900:AI903)</f>
        <v>186.892</v>
      </c>
      <c r="AJ904" s="286">
        <f>SUM(AJ900:AJ903)</f>
        <v>207.68700000000001</v>
      </c>
      <c r="AK904" s="286">
        <f>SUM(AK900:AK903)</f>
        <v>168.78599999999997</v>
      </c>
      <c r="AL904" s="346">
        <f>SUM(AH904:AK904)</f>
        <v>738.43099999999993</v>
      </c>
      <c r="AM904" s="286">
        <f>SUM(AM900:AM903)</f>
        <v>169.09</v>
      </c>
      <c r="AN904" s="286">
        <f>SUM(AN900:AN903)</f>
        <v>183.376845</v>
      </c>
      <c r="AO904" s="286">
        <f>SUM(AO900:AO903)</f>
        <v>202.01800000000003</v>
      </c>
      <c r="AP904" s="286">
        <f>SUM(AP900:AP903)</f>
        <v>176.41</v>
      </c>
      <c r="AQ904" s="346">
        <f>SUM(AM904:AP904)</f>
        <v>730.89484500000003</v>
      </c>
      <c r="AR904" s="286">
        <f>SUM(AR900:AR903)</f>
        <v>176.15</v>
      </c>
      <c r="AS904" s="286">
        <f>SUM(AS900:AS903)</f>
        <v>175.416</v>
      </c>
      <c r="AT904" s="286">
        <f>SUM(AT900:AT903)</f>
        <v>187.09100000000001</v>
      </c>
      <c r="AU904" s="286">
        <f>SUM(AU900:AU903)</f>
        <v>147.565</v>
      </c>
      <c r="AV904" s="287">
        <f>SUM(AR904:AU904)</f>
        <v>686.22199999999998</v>
      </c>
      <c r="AW904" s="286">
        <f>SUM(AW900:AW903)</f>
        <v>165.64300000000003</v>
      </c>
      <c r="AX904" s="286">
        <f>SUM(AX900:AX903)</f>
        <v>172.87700000000001</v>
      </c>
      <c r="AY904" s="286">
        <f>SUM(AY900:AY903)</f>
        <v>200.05099999999999</v>
      </c>
      <c r="AZ904" s="286">
        <f>SUM(AZ900:AZ903)</f>
        <v>157.12800000000001</v>
      </c>
      <c r="BA904" s="287">
        <f>SUM(AW904:AZ904)</f>
        <v>695.69900000000007</v>
      </c>
      <c r="BB904" s="286">
        <f>SUM(BB900:BB903)</f>
        <v>167.26400000000001</v>
      </c>
      <c r="BC904" s="286">
        <f>SUM(BC900:BC903)</f>
        <v>181.85399999999998</v>
      </c>
      <c r="BD904" s="286">
        <f>SUM(BD900:BD903)</f>
        <v>209.94600000000003</v>
      </c>
      <c r="BE904" s="286">
        <f>SUM(BE900:BE903)</f>
        <v>179.14700000000002</v>
      </c>
      <c r="BF904" s="287">
        <f>SUM(BB904:BE904)</f>
        <v>738.21100000000013</v>
      </c>
      <c r="BG904" s="286">
        <f>SUM(BG900:BG903)</f>
        <v>182.58899999999997</v>
      </c>
      <c r="BH904" s="286">
        <f>SUM(BH900:BH903)</f>
        <v>191.16299999999998</v>
      </c>
      <c r="BI904" s="286">
        <f>SUM(BI900:BI903)</f>
        <v>237.46100000000001</v>
      </c>
      <c r="BJ904" s="286">
        <f>SUM(BJ900:BJ903)</f>
        <v>192.95300000000003</v>
      </c>
      <c r="BK904" s="287"/>
      <c r="BL904" s="286">
        <f>SUM(BL900:BL903)</f>
        <v>190.29300000000003</v>
      </c>
      <c r="BM904" s="286">
        <f>SUM(BM900:BM903)</f>
        <v>203.34700000000001</v>
      </c>
      <c r="BN904" s="286">
        <f>SUM(BN900:BN903)</f>
        <v>212.72395650069535</v>
      </c>
      <c r="BO904" s="288"/>
      <c r="BP904" s="287"/>
      <c r="BQ904" s="286"/>
      <c r="BR904" s="286"/>
      <c r="BS904" s="286"/>
      <c r="BT904" s="288"/>
      <c r="BU904" s="3313"/>
      <c r="BV904" s="286"/>
      <c r="BW904" s="286"/>
      <c r="BX904" s="286"/>
      <c r="BY904" s="288"/>
      <c r="BZ904" s="287"/>
      <c r="CA904" s="287"/>
      <c r="CB904" s="287"/>
      <c r="CC904" s="287"/>
      <c r="CD904" s="287"/>
      <c r="CE904" s="287"/>
      <c r="CF904" s="287"/>
      <c r="CG904" s="287"/>
      <c r="CH904" s="286"/>
      <c r="CI904" s="286"/>
      <c r="CJ904" s="286"/>
      <c r="CK904" s="286"/>
      <c r="CL904" s="286"/>
      <c r="CM904" s="286"/>
      <c r="CN904" s="286"/>
      <c r="CO904" s="286"/>
      <c r="CP904" s="994" t="str">
        <f>A904</f>
        <v>Net Revenue (per NJ)</v>
      </c>
      <c r="CQ904" s="286">
        <f t="shared" si="1732"/>
        <v>676.4190000000001</v>
      </c>
      <c r="CR904" s="286">
        <f t="shared" si="1733"/>
        <v>763.98299999999995</v>
      </c>
      <c r="CS904" s="286">
        <f t="shared" si="1734"/>
        <v>813.2639999999999</v>
      </c>
      <c r="CT904" s="286">
        <f t="shared" si="1735"/>
        <v>838.64300000000003</v>
      </c>
      <c r="CU904" s="286">
        <f t="shared" si="1736"/>
        <v>830.48900000000003</v>
      </c>
      <c r="CV904" s="286">
        <f t="shared" si="1737"/>
        <v>777.40800000000002</v>
      </c>
      <c r="CW904" s="286">
        <f t="shared" si="1738"/>
        <v>738.43099999999993</v>
      </c>
      <c r="CX904" s="286">
        <f t="shared" si="1739"/>
        <v>730.89484500000003</v>
      </c>
      <c r="CY904" s="286">
        <f t="shared" si="1740"/>
        <v>686.22199999999998</v>
      </c>
      <c r="CZ904" s="286">
        <f t="shared" si="1741"/>
        <v>695.69900000000007</v>
      </c>
      <c r="DA904" s="286">
        <f t="shared" si="1743"/>
        <v>738.21100000000013</v>
      </c>
      <c r="DB904" s="286">
        <f t="shared" si="1744"/>
        <v>0</v>
      </c>
      <c r="DC904" s="286">
        <f t="shared" si="1745"/>
        <v>0</v>
      </c>
      <c r="DD904" s="286">
        <f t="shared" si="1746"/>
        <v>0</v>
      </c>
      <c r="DE904" s="286">
        <f t="shared" si="1742"/>
        <v>0</v>
      </c>
      <c r="DF904" s="286">
        <f t="shared" si="1742"/>
        <v>0</v>
      </c>
      <c r="DG904" s="288">
        <f t="shared" si="1742"/>
        <v>0</v>
      </c>
      <c r="DH904" s="289"/>
      <c r="DI904" s="570"/>
      <c r="DJ904" s="570"/>
      <c r="DK904" s="570"/>
      <c r="DL904" s="570"/>
      <c r="DM904" s="570"/>
      <c r="DN904" s="222"/>
      <c r="DO904" s="226"/>
      <c r="DY904" s="286"/>
      <c r="DZ904" s="286"/>
    </row>
    <row r="905" spans="1:130" ht="5.0999999999999996" customHeight="1">
      <c r="A905" s="77"/>
      <c r="B905" s="445"/>
      <c r="C905" s="445"/>
      <c r="D905" s="315"/>
      <c r="E905" s="472"/>
      <c r="F905" s="472"/>
      <c r="G905" s="472"/>
      <c r="H905" s="471"/>
      <c r="I905" s="472"/>
      <c r="J905" s="472"/>
      <c r="K905" s="472"/>
      <c r="L905" s="472"/>
      <c r="M905" s="471"/>
      <c r="N905" s="472"/>
      <c r="O905" s="472"/>
      <c r="P905" s="472"/>
      <c r="Q905" s="472"/>
      <c r="R905" s="471"/>
      <c r="S905" s="472"/>
      <c r="T905" s="472"/>
      <c r="U905" s="472"/>
      <c r="V905" s="472"/>
      <c r="W905" s="471"/>
      <c r="X905" s="472"/>
      <c r="Y905" s="472"/>
      <c r="Z905" s="472"/>
      <c r="AA905" s="472"/>
      <c r="AB905" s="471"/>
      <c r="AC905" s="472"/>
      <c r="AD905" s="472"/>
      <c r="AE905" s="472"/>
      <c r="AF905" s="472"/>
      <c r="AG905" s="471"/>
      <c r="AH905" s="472"/>
      <c r="AI905" s="472"/>
      <c r="AJ905" s="472"/>
      <c r="AK905" s="472"/>
      <c r="AL905" s="471"/>
      <c r="AM905" s="472"/>
      <c r="AN905" s="472"/>
      <c r="AO905" s="472"/>
      <c r="AP905" s="472"/>
      <c r="AQ905" s="471"/>
      <c r="AR905" s="472"/>
      <c r="AS905" s="472"/>
      <c r="AT905" s="472"/>
      <c r="AU905" s="472"/>
      <c r="AV905" s="471"/>
      <c r="AW905" s="472"/>
      <c r="AX905" s="472"/>
      <c r="AY905" s="472"/>
      <c r="AZ905" s="472"/>
      <c r="BA905" s="471"/>
      <c r="BB905" s="472"/>
      <c r="BC905" s="472"/>
      <c r="BD905" s="472"/>
      <c r="BE905" s="472"/>
      <c r="BF905" s="471"/>
      <c r="BG905" s="315"/>
      <c r="BH905" s="472"/>
      <c r="BI905" s="472"/>
      <c r="BJ905" s="2800"/>
      <c r="BK905" s="471"/>
      <c r="BL905" s="472"/>
      <c r="BM905" s="472"/>
      <c r="BN905" s="472"/>
      <c r="BO905" s="2800"/>
      <c r="BP905" s="471"/>
      <c r="BQ905" s="472"/>
      <c r="BR905" s="472"/>
      <c r="BS905" s="472"/>
      <c r="BT905" s="2800"/>
      <c r="BU905" s="3338"/>
      <c r="BV905" s="472"/>
      <c r="BW905" s="472"/>
      <c r="BX905" s="472"/>
      <c r="BY905" s="2800"/>
      <c r="BZ905" s="471"/>
      <c r="CA905" s="471"/>
      <c r="CB905" s="471"/>
      <c r="CC905" s="471"/>
      <c r="CD905" s="471"/>
      <c r="CE905" s="471"/>
      <c r="CF905" s="471"/>
      <c r="CG905" s="471"/>
      <c r="CH905" s="472"/>
      <c r="CI905" s="472"/>
      <c r="CJ905" s="472"/>
      <c r="CK905" s="472"/>
      <c r="CL905" s="472"/>
      <c r="CM905" s="472"/>
      <c r="CN905" s="472"/>
      <c r="CO905" s="472"/>
      <c r="CP905" s="528"/>
      <c r="CQ905" s="318">
        <f t="shared" si="1732"/>
        <v>0</v>
      </c>
      <c r="CR905" s="318">
        <f t="shared" si="1733"/>
        <v>0</v>
      </c>
      <c r="CS905" s="318">
        <f t="shared" si="1734"/>
        <v>0</v>
      </c>
      <c r="CT905" s="318">
        <f t="shared" si="1735"/>
        <v>0</v>
      </c>
      <c r="CU905" s="318">
        <f t="shared" si="1736"/>
        <v>0</v>
      </c>
      <c r="CV905" s="318">
        <f t="shared" si="1737"/>
        <v>0</v>
      </c>
      <c r="CW905" s="318">
        <f t="shared" si="1738"/>
        <v>0</v>
      </c>
      <c r="CX905" s="318">
        <f t="shared" si="1739"/>
        <v>0</v>
      </c>
      <c r="CY905" s="318">
        <f t="shared" si="1740"/>
        <v>0</v>
      </c>
      <c r="CZ905" s="318">
        <f t="shared" si="1741"/>
        <v>0</v>
      </c>
      <c r="DA905" s="318">
        <f t="shared" si="1743"/>
        <v>0</v>
      </c>
      <c r="DB905" s="318">
        <f t="shared" si="1744"/>
        <v>0</v>
      </c>
      <c r="DC905" s="318">
        <f t="shared" si="1745"/>
        <v>0</v>
      </c>
      <c r="DD905" s="318">
        <f t="shared" si="1746"/>
        <v>0</v>
      </c>
      <c r="DE905" s="318">
        <f t="shared" si="1742"/>
        <v>0</v>
      </c>
      <c r="DF905" s="318">
        <f t="shared" si="1742"/>
        <v>0</v>
      </c>
      <c r="DG905" s="1867">
        <f t="shared" si="1742"/>
        <v>0</v>
      </c>
      <c r="DH905" s="564"/>
      <c r="DI905" s="570"/>
      <c r="DJ905" s="570"/>
      <c r="DK905" s="570"/>
      <c r="DL905" s="570"/>
      <c r="DM905" s="570"/>
      <c r="DN905" s="222"/>
      <c r="DO905" s="226"/>
      <c r="DY905" s="472"/>
      <c r="DZ905" s="472"/>
    </row>
    <row r="906" spans="1:130" ht="12" customHeight="1">
      <c r="A906" s="228" t="s">
        <v>1514</v>
      </c>
      <c r="B906" s="242"/>
      <c r="C906" s="242"/>
      <c r="D906" s="828">
        <v>145.88900000000001</v>
      </c>
      <c r="E906" s="827">
        <v>164.941</v>
      </c>
      <c r="F906" s="827">
        <v>186.143</v>
      </c>
      <c r="G906" s="827">
        <v>179.446</v>
      </c>
      <c r="H906" s="829">
        <f>SUM(D906:G906)</f>
        <v>676.4190000000001</v>
      </c>
      <c r="I906" s="827">
        <v>172.13399999999999</v>
      </c>
      <c r="J906" s="827">
        <v>184.386</v>
      </c>
      <c r="K906" s="827">
        <v>213.524</v>
      </c>
      <c r="L906" s="827">
        <v>193.93899999999999</v>
      </c>
      <c r="M906" s="829">
        <f>SUM(I906:L906)</f>
        <v>763.98299999999995</v>
      </c>
      <c r="N906" s="827">
        <v>187.56800000000001</v>
      </c>
      <c r="O906" s="827">
        <v>189.37200000000001</v>
      </c>
      <c r="P906" s="827">
        <v>237.48500000000001</v>
      </c>
      <c r="Q906" s="827">
        <v>198.84</v>
      </c>
      <c r="R906" s="829">
        <f>SUM(N906:Q906)</f>
        <v>813.2650000000001</v>
      </c>
      <c r="S906" s="827">
        <v>203.73</v>
      </c>
      <c r="T906" s="827">
        <v>202.09899999999999</v>
      </c>
      <c r="U906" s="827">
        <v>230.08799999999999</v>
      </c>
      <c r="V906" s="827">
        <v>202.726</v>
      </c>
      <c r="W906" s="829">
        <f>SUM(S906:V906)</f>
        <v>838.64299999999992</v>
      </c>
      <c r="X906" s="827">
        <v>202.024</v>
      </c>
      <c r="Y906" s="827">
        <v>205.06100000000001</v>
      </c>
      <c r="Z906" s="827">
        <v>239.92099999999999</v>
      </c>
      <c r="AA906" s="827">
        <v>183.483</v>
      </c>
      <c r="AB906" s="829">
        <f>SUM(X906:AA906)</f>
        <v>830.48900000000003</v>
      </c>
      <c r="AC906" s="827">
        <v>187.89</v>
      </c>
      <c r="AD906" s="827">
        <v>191.51300000000001</v>
      </c>
      <c r="AE906" s="827">
        <v>222.59700000000001</v>
      </c>
      <c r="AF906" s="827">
        <v>175.40799999999999</v>
      </c>
      <c r="AG906" s="829">
        <f>SUM(AC906:AF906)</f>
        <v>777.40800000000002</v>
      </c>
      <c r="AH906" s="827">
        <v>175.066</v>
      </c>
      <c r="AI906" s="827">
        <v>186.892</v>
      </c>
      <c r="AJ906" s="827">
        <v>207.68700000000001</v>
      </c>
      <c r="AK906" s="827">
        <v>168.786</v>
      </c>
      <c r="AL906" s="829">
        <f>SUM(AH906:AK906)</f>
        <v>738.43100000000004</v>
      </c>
      <c r="AM906" s="827">
        <v>169.09</v>
      </c>
      <c r="AN906" s="827">
        <v>182.756</v>
      </c>
      <c r="AO906" s="827">
        <v>202.018</v>
      </c>
      <c r="AP906" s="827">
        <v>176.41</v>
      </c>
      <c r="AQ906" s="829">
        <f>SUM(AM906:AP906)</f>
        <v>730.274</v>
      </c>
      <c r="AR906" s="827">
        <v>176.15</v>
      </c>
      <c r="AS906" s="827">
        <v>175.416</v>
      </c>
      <c r="AT906" s="827">
        <v>187.09100000000001</v>
      </c>
      <c r="AU906" s="827">
        <v>147.565</v>
      </c>
      <c r="AV906" s="829">
        <f>SUM(AV900:AV903)</f>
        <v>686.22200000000009</v>
      </c>
      <c r="AW906" s="827">
        <v>165.64400000000001</v>
      </c>
      <c r="AX906" s="827">
        <v>172.87700000000001</v>
      </c>
      <c r="AY906" s="827">
        <v>200.05099999999999</v>
      </c>
      <c r="AZ906" s="827">
        <v>157.12799999999999</v>
      </c>
      <c r="BA906" s="829">
        <f>SUM(BA900:BA903)</f>
        <v>695.69899999999996</v>
      </c>
      <c r="BB906" s="2684">
        <v>167.26400000000001</v>
      </c>
      <c r="BC906" s="2684">
        <v>181.85400000000001</v>
      </c>
      <c r="BD906" s="2684">
        <v>209.946</v>
      </c>
      <c r="BE906" s="2684">
        <v>179.14699999999999</v>
      </c>
      <c r="BF906" s="829">
        <f>SUM(BF900:BF903)</f>
        <v>738.21100000000001</v>
      </c>
      <c r="BG906" s="2684">
        <v>182.589</v>
      </c>
      <c r="BH906" s="2684">
        <v>191.16300000000001</v>
      </c>
      <c r="BI906" s="2684">
        <v>237.46100000000001</v>
      </c>
      <c r="BJ906" s="2684">
        <v>192.953</v>
      </c>
      <c r="BK906" s="829">
        <f>SUM(BK900:BK903)</f>
        <v>804.16599999999994</v>
      </c>
      <c r="BL906" s="2684">
        <v>190.29300000000001</v>
      </c>
      <c r="BM906" s="2684">
        <v>203.34700000000001</v>
      </c>
      <c r="BN906" s="826">
        <f>SUM(BN900:BN903)</f>
        <v>212.72395650069535</v>
      </c>
      <c r="BO906" s="1900"/>
      <c r="BP906" s="829"/>
      <c r="BQ906" s="826"/>
      <c r="BR906" s="826"/>
      <c r="BS906" s="826"/>
      <c r="BT906" s="1900"/>
      <c r="BU906" s="3410"/>
      <c r="BV906" s="826"/>
      <c r="BW906" s="826"/>
      <c r="BX906" s="826"/>
      <c r="BY906" s="1900"/>
      <c r="BZ906" s="829"/>
      <c r="CA906" s="829"/>
      <c r="CB906" s="829"/>
      <c r="CC906" s="829">
        <f>SUM(CC900:CC903)</f>
        <v>48.966138539522866</v>
      </c>
      <c r="CD906" s="829">
        <f>SUM(CD900:CD903)</f>
        <v>46.517831612546729</v>
      </c>
      <c r="CE906" s="829">
        <f>SUM(CE900:CE903)</f>
        <v>47.448188244797656</v>
      </c>
      <c r="CF906" s="829">
        <f>SUM(CF900:CF903)</f>
        <v>48.397152009693613</v>
      </c>
      <c r="CG906" s="829">
        <f>SUM(CG900:CG903)</f>
        <v>49.365095049887486</v>
      </c>
      <c r="CH906" s="826"/>
      <c r="CI906" s="826"/>
      <c r="CJ906" s="826"/>
      <c r="CK906" s="826"/>
      <c r="CL906" s="826"/>
      <c r="CM906" s="826"/>
      <c r="CN906" s="826"/>
      <c r="CO906" s="826"/>
      <c r="CP906" s="1847" t="str">
        <f>A906</f>
        <v>Net Revenue (per Boyd)</v>
      </c>
      <c r="CQ906" s="826">
        <f t="shared" si="1732"/>
        <v>676.4190000000001</v>
      </c>
      <c r="CR906" s="826">
        <f t="shared" si="1733"/>
        <v>763.98299999999995</v>
      </c>
      <c r="CS906" s="826">
        <f t="shared" si="1734"/>
        <v>813.2650000000001</v>
      </c>
      <c r="CT906" s="826">
        <f t="shared" si="1735"/>
        <v>838.64299999999992</v>
      </c>
      <c r="CU906" s="826">
        <f t="shared" si="1736"/>
        <v>830.48900000000003</v>
      </c>
      <c r="CV906" s="826">
        <f t="shared" si="1737"/>
        <v>777.40800000000002</v>
      </c>
      <c r="CW906" s="826">
        <f t="shared" si="1738"/>
        <v>738.43100000000004</v>
      </c>
      <c r="CX906" s="826">
        <f t="shared" si="1739"/>
        <v>730.274</v>
      </c>
      <c r="CY906" s="826">
        <f t="shared" si="1740"/>
        <v>686.22200000000009</v>
      </c>
      <c r="CZ906" s="826">
        <f t="shared" si="1741"/>
        <v>695.69899999999996</v>
      </c>
      <c r="DA906" s="826">
        <f t="shared" si="1743"/>
        <v>738.21100000000001</v>
      </c>
      <c r="DB906" s="826">
        <f t="shared" si="1744"/>
        <v>804.16599999999994</v>
      </c>
      <c r="DC906" s="826">
        <f t="shared" si="1745"/>
        <v>0</v>
      </c>
      <c r="DD906" s="826">
        <f t="shared" si="1746"/>
        <v>0</v>
      </c>
      <c r="DE906" s="826">
        <f t="shared" si="1742"/>
        <v>0</v>
      </c>
      <c r="DF906" s="826">
        <f t="shared" si="1742"/>
        <v>0</v>
      </c>
      <c r="DG906" s="1900">
        <f t="shared" si="1742"/>
        <v>0</v>
      </c>
      <c r="DH906" s="830"/>
      <c r="DI906" s="831"/>
      <c r="DJ906" s="831"/>
      <c r="DK906" s="831"/>
      <c r="DL906" s="831"/>
      <c r="DM906" s="831"/>
      <c r="DN906" s="268"/>
      <c r="DO906" s="269"/>
      <c r="DY906" s="826"/>
      <c r="DZ906" s="826"/>
    </row>
    <row r="907" spans="1:130" ht="12" customHeight="1">
      <c r="A907" s="257" t="s">
        <v>1249</v>
      </c>
      <c r="B907" s="819"/>
      <c r="C907" s="819"/>
      <c r="D907" s="607"/>
      <c r="E907" s="547"/>
      <c r="F907" s="561"/>
      <c r="G907" s="561"/>
      <c r="H907" s="562"/>
      <c r="I907" s="561">
        <f t="shared" ref="I907:O907" si="1747">I906/D906-1</f>
        <v>0.17989704501367454</v>
      </c>
      <c r="J907" s="561">
        <f t="shared" si="1747"/>
        <v>0.11789063968328062</v>
      </c>
      <c r="K907" s="561">
        <f t="shared" si="1747"/>
        <v>0.14709658703255024</v>
      </c>
      <c r="L907" s="561">
        <f t="shared" si="1747"/>
        <v>8.0765244140298398E-2</v>
      </c>
      <c r="M907" s="562">
        <f>M906/H906-1</f>
        <v>0.12945230692810195</v>
      </c>
      <c r="N907" s="561">
        <f t="shared" si="1747"/>
        <v>8.9662704637085255E-2</v>
      </c>
      <c r="O907" s="561">
        <f t="shared" si="1747"/>
        <v>2.704109856496717E-2</v>
      </c>
      <c r="P907" s="561">
        <f t="shared" ref="P907:U907" si="1748">P906/K906-1</f>
        <v>0.11221689365129928</v>
      </c>
      <c r="Q907" s="561">
        <f t="shared" si="1748"/>
        <v>2.5270832581378633E-2</v>
      </c>
      <c r="R907" s="562">
        <f t="shared" si="1748"/>
        <v>6.4506670959956214E-2</v>
      </c>
      <c r="S907" s="561">
        <f t="shared" si="1748"/>
        <v>8.6166083766953783E-2</v>
      </c>
      <c r="T907" s="561">
        <f t="shared" si="1748"/>
        <v>6.7206345183025817E-2</v>
      </c>
      <c r="U907" s="561">
        <f t="shared" si="1748"/>
        <v>-3.1147230351390665E-2</v>
      </c>
      <c r="V907" s="561">
        <f t="shared" ref="V907:AG907" si="1749">V906/Q906-1</f>
        <v>1.9543351438342293E-2</v>
      </c>
      <c r="W907" s="562">
        <f t="shared" si="1749"/>
        <v>3.120508075473527E-2</v>
      </c>
      <c r="X907" s="561">
        <f t="shared" si="1749"/>
        <v>-8.3738281058263198E-3</v>
      </c>
      <c r="Y907" s="561">
        <f t="shared" si="1749"/>
        <v>1.4656183355682195E-2</v>
      </c>
      <c r="Z907" s="561">
        <f t="shared" si="1749"/>
        <v>4.2735822815618274E-2</v>
      </c>
      <c r="AA907" s="561">
        <f t="shared" si="1749"/>
        <v>-9.4921223720687009E-2</v>
      </c>
      <c r="AB907" s="562">
        <f>AB906/W906-1</f>
        <v>-9.7228498896430038E-3</v>
      </c>
      <c r="AC907" s="561">
        <f>AC906/X906-1</f>
        <v>-6.9961984714687397E-2</v>
      </c>
      <c r="AD907" s="561">
        <f>AD906/Y906-1</f>
        <v>-6.6068145576194448E-2</v>
      </c>
      <c r="AE907" s="561">
        <f>AE906/Z906-1</f>
        <v>-7.220710150424503E-2</v>
      </c>
      <c r="AF907" s="561">
        <f>AF906/AA906-1</f>
        <v>-4.4009526768147511E-2</v>
      </c>
      <c r="AG907" s="562">
        <f t="shared" si="1749"/>
        <v>-6.3915355892733117E-2</v>
      </c>
      <c r="AH907" s="561">
        <f>AH906/AC906-1</f>
        <v>-6.8252701048485687E-2</v>
      </c>
      <c r="AI907" s="561">
        <f>AI906/AD906-1</f>
        <v>-2.4128910308960805E-2</v>
      </c>
      <c r="AJ907" s="561">
        <f>AJ906/AE906-1</f>
        <v>-6.6982034798312662E-2</v>
      </c>
      <c r="AK907" s="561">
        <f>AK906/AF906-1</f>
        <v>-3.7751983946000101E-2</v>
      </c>
      <c r="AL907" s="562">
        <f>+AL906/AG906-1</f>
        <v>-5.0137122334732775E-2</v>
      </c>
      <c r="AM907" s="561">
        <f>AM906/AH906-1</f>
        <v>-3.4135697394125586E-2</v>
      </c>
      <c r="AN907" s="561">
        <f>AN906/AI906-1</f>
        <v>-2.2130428268732683E-2</v>
      </c>
      <c r="AO907" s="561">
        <f>AO906/AJ906-1</f>
        <v>-2.7295882746633193E-2</v>
      </c>
      <c r="AP907" s="561">
        <f>AP906/AK906-1</f>
        <v>4.5169623073003651E-2</v>
      </c>
      <c r="AQ907" s="562">
        <f>+AQ906/AL906-1</f>
        <v>-1.1046394314431551E-2</v>
      </c>
      <c r="AR907" s="561">
        <f>AR906/AM906-1</f>
        <v>4.1752912650067975E-2</v>
      </c>
      <c r="AS907" s="561">
        <f>AS906/AN906-1</f>
        <v>-4.0162840070914196E-2</v>
      </c>
      <c r="AT907" s="561">
        <f>AT906/AO906-1</f>
        <v>-7.3889455395063752E-2</v>
      </c>
      <c r="AU907" s="561">
        <f>AU906/AP906-1</f>
        <v>-0.16351113882432966</v>
      </c>
      <c r="AV907" s="562">
        <f>+AV906/AQ906-1</f>
        <v>-6.0322563859592337E-2</v>
      </c>
      <c r="AW907" s="561">
        <f>AW906/AR906-1</f>
        <v>-5.9642350269656585E-2</v>
      </c>
      <c r="AX907" s="561">
        <f>AX906/AS906-1</f>
        <v>-1.4474164272358259E-2</v>
      </c>
      <c r="AY907" s="561">
        <f>AY906/AT906-1</f>
        <v>6.9271103366810749E-2</v>
      </c>
      <c r="AZ907" s="561">
        <f>AZ906/AU906-1</f>
        <v>6.4805340019652213E-2</v>
      </c>
      <c r="BA907" s="562">
        <f>+BA906/AV906-1</f>
        <v>1.381039954999963E-2</v>
      </c>
      <c r="BB907" s="561">
        <f>BB906/AW906-1</f>
        <v>9.7800101422327312E-3</v>
      </c>
      <c r="BC907" s="561">
        <f>BC906/AX906-1</f>
        <v>5.1927092672825248E-2</v>
      </c>
      <c r="BD907" s="561">
        <f>BD906/AY906-1</f>
        <v>4.9462387091291804E-2</v>
      </c>
      <c r="BE907" s="561">
        <f>BE906/AZ906-1</f>
        <v>0.14013415813858776</v>
      </c>
      <c r="BF907" s="562">
        <f>+BF906/BA906-1</f>
        <v>6.1106886742686273E-2</v>
      </c>
      <c r="BG907" s="560">
        <f>BG906/BB906-1</f>
        <v>9.1621628084943563E-2</v>
      </c>
      <c r="BH907" s="561">
        <f>BH906/BC906-1</f>
        <v>5.118941568511004E-2</v>
      </c>
      <c r="BI907" s="561">
        <f>BI906/BD906-1</f>
        <v>0.13105751002638777</v>
      </c>
      <c r="BJ907" s="1846">
        <f>BJ906/BE906-1</f>
        <v>7.7065203436284202E-2</v>
      </c>
      <c r="BK907" s="562">
        <f>+BK906/BF906-1</f>
        <v>8.9344374440369911E-2</v>
      </c>
      <c r="BL907" s="561">
        <f>BL906/BG906-1</f>
        <v>4.2193122258186389E-2</v>
      </c>
      <c r="BM907" s="561">
        <f>BM906/BH906-1</f>
        <v>6.3736183257220302E-2</v>
      </c>
      <c r="BN907" s="561">
        <f>BN906/BI906-1</f>
        <v>-0.10417307894477268</v>
      </c>
      <c r="BO907" s="1846"/>
      <c r="BP907" s="562"/>
      <c r="BQ907" s="561"/>
      <c r="BR907" s="561"/>
      <c r="BS907" s="561"/>
      <c r="BT907" s="1846"/>
      <c r="BU907" s="3371"/>
      <c r="BV907" s="561"/>
      <c r="BW907" s="561"/>
      <c r="BX907" s="561"/>
      <c r="BY907" s="1846"/>
      <c r="BZ907" s="562"/>
      <c r="CA907" s="562"/>
      <c r="CB907" s="562"/>
      <c r="CC907" s="562" t="e">
        <f>CC906/CB906-1</f>
        <v>#DIV/0!</v>
      </c>
      <c r="CD907" s="562">
        <f>CD906/CC906-1</f>
        <v>-4.9999999999999822E-2</v>
      </c>
      <c r="CE907" s="562">
        <f>CE906/CD906-1</f>
        <v>1.9999999999999796E-2</v>
      </c>
      <c r="CF907" s="562">
        <f>CF906/CE906-1</f>
        <v>2.0000000000000018E-2</v>
      </c>
      <c r="CG907" s="562">
        <f>CG906/CF906-1</f>
        <v>2.0000000000000018E-2</v>
      </c>
      <c r="CH907" s="561"/>
      <c r="CI907" s="561"/>
      <c r="CJ907" s="561"/>
      <c r="CK907" s="561"/>
      <c r="CL907" s="561"/>
      <c r="CM907" s="561"/>
      <c r="CN907" s="561"/>
      <c r="CO907" s="561"/>
      <c r="CP907" s="396" t="str">
        <f>A907</f>
        <v>% Growth (y-o-y)</v>
      </c>
      <c r="CQ907" s="561"/>
      <c r="CR907" s="561">
        <f t="shared" si="1733"/>
        <v>0.12945230692810195</v>
      </c>
      <c r="CS907" s="561">
        <f t="shared" si="1734"/>
        <v>6.4506670959956214E-2</v>
      </c>
      <c r="CT907" s="561">
        <f t="shared" si="1735"/>
        <v>3.120508075473527E-2</v>
      </c>
      <c r="CU907" s="561">
        <f t="shared" si="1736"/>
        <v>-9.7228498896430038E-3</v>
      </c>
      <c r="CV907" s="561">
        <f t="shared" si="1737"/>
        <v>-6.3915355892733117E-2</v>
      </c>
      <c r="CW907" s="561">
        <f t="shared" si="1738"/>
        <v>-5.0137122334732775E-2</v>
      </c>
      <c r="CX907" s="561">
        <f t="shared" si="1739"/>
        <v>-1.1046394314431551E-2</v>
      </c>
      <c r="CY907" s="561">
        <f t="shared" si="1740"/>
        <v>-6.0322563859592337E-2</v>
      </c>
      <c r="CZ907" s="561">
        <f t="shared" si="1741"/>
        <v>1.381039954999963E-2</v>
      </c>
      <c r="DA907" s="561">
        <f t="shared" si="1743"/>
        <v>6.1106886742686273E-2</v>
      </c>
      <c r="DB907" s="561">
        <f t="shared" si="1744"/>
        <v>8.9344374440369911E-2</v>
      </c>
      <c r="DC907" s="561">
        <f t="shared" si="1745"/>
        <v>0</v>
      </c>
      <c r="DD907" s="561">
        <f t="shared" si="1746"/>
        <v>0</v>
      </c>
      <c r="DE907" s="561">
        <f t="shared" si="1742"/>
        <v>0</v>
      </c>
      <c r="DF907" s="561">
        <f t="shared" si="1742"/>
        <v>0</v>
      </c>
      <c r="DG907" s="1846">
        <f t="shared" si="1742"/>
        <v>0</v>
      </c>
      <c r="DH907" s="561"/>
      <c r="DI907" s="548"/>
      <c r="DJ907" s="548"/>
      <c r="DK907" s="548"/>
      <c r="DL907" s="548"/>
      <c r="DM907" s="548"/>
      <c r="DN907" s="265"/>
      <c r="DO907" s="266"/>
      <c r="DY907" s="561"/>
      <c r="DZ907" s="561"/>
    </row>
    <row r="908" spans="1:130" ht="6" customHeight="1">
      <c r="A908" s="77"/>
      <c r="B908" s="445"/>
      <c r="C908" s="445"/>
      <c r="D908" s="596"/>
      <c r="E908" s="570"/>
      <c r="F908" s="570"/>
      <c r="G908" s="570"/>
      <c r="H908" s="569"/>
      <c r="I908" s="570"/>
      <c r="J908" s="570"/>
      <c r="K908" s="570"/>
      <c r="L908" s="570"/>
      <c r="M908" s="569"/>
      <c r="N908" s="570"/>
      <c r="O908" s="570"/>
      <c r="P908" s="572"/>
      <c r="Q908" s="572"/>
      <c r="R908" s="569"/>
      <c r="S908" s="570"/>
      <c r="T908" s="570"/>
      <c r="U908" s="570"/>
      <c r="V908" s="570"/>
      <c r="W908" s="569"/>
      <c r="X908" s="570"/>
      <c r="Y908" s="570"/>
      <c r="Z908" s="832"/>
      <c r="AA908" s="832"/>
      <c r="AB908" s="569"/>
      <c r="AC908" s="832"/>
      <c r="AD908" s="832"/>
      <c r="AE908" s="832"/>
      <c r="AF908" s="832"/>
      <c r="AG908" s="569"/>
      <c r="AH908" s="570"/>
      <c r="AI908" s="570"/>
      <c r="AJ908" s="570"/>
      <c r="AK908" s="570"/>
      <c r="AL908" s="512"/>
      <c r="AM908" s="510"/>
      <c r="AN908" s="510"/>
      <c r="AO908" s="510"/>
      <c r="AP908" s="510"/>
      <c r="AQ908" s="569"/>
      <c r="AR908" s="510"/>
      <c r="AS908" s="510"/>
      <c r="AT908" s="510"/>
      <c r="AU908" s="510"/>
      <c r="AV908" s="569"/>
      <c r="AW908" s="510"/>
      <c r="AX908" s="510"/>
      <c r="AY908" s="510"/>
      <c r="AZ908" s="510"/>
      <c r="BA908" s="569"/>
      <c r="BB908" s="510"/>
      <c r="BC908" s="510"/>
      <c r="BD908" s="510"/>
      <c r="BE908" s="510"/>
      <c r="BF908" s="569"/>
      <c r="BG908" s="596"/>
      <c r="BH908" s="570"/>
      <c r="BI908" s="570"/>
      <c r="BJ908" s="2807"/>
      <c r="BK908" s="569"/>
      <c r="BL908" s="570"/>
      <c r="BM908" s="570"/>
      <c r="BN908" s="570"/>
      <c r="BO908" s="2807"/>
      <c r="BP908" s="569"/>
      <c r="BQ908" s="570"/>
      <c r="BR908" s="570"/>
      <c r="BS908" s="570"/>
      <c r="BT908" s="2807"/>
      <c r="BU908" s="3378"/>
      <c r="BV908" s="570"/>
      <c r="BW908" s="570"/>
      <c r="BX908" s="570"/>
      <c r="BY908" s="2807"/>
      <c r="BZ908" s="512"/>
      <c r="CA908" s="512"/>
      <c r="CB908" s="512"/>
      <c r="CC908" s="512"/>
      <c r="CD908" s="512"/>
      <c r="CE908" s="512"/>
      <c r="CF908" s="512"/>
      <c r="CG908" s="512"/>
      <c r="CH908" s="570"/>
      <c r="CI908" s="570"/>
      <c r="CJ908" s="570"/>
      <c r="CK908" s="570"/>
      <c r="CL908" s="570"/>
      <c r="CM908" s="570"/>
      <c r="CN908" s="570"/>
      <c r="CO908" s="570"/>
      <c r="CP908" s="528"/>
      <c r="CQ908" s="231"/>
      <c r="CR908" s="231"/>
      <c r="CS908" s="231"/>
      <c r="CT908" s="231"/>
      <c r="CU908" s="231"/>
      <c r="CV908" s="231"/>
      <c r="CW908" s="231"/>
      <c r="CX908" s="231"/>
      <c r="CY908" s="231"/>
      <c r="CZ908" s="231"/>
      <c r="DA908" s="231"/>
      <c r="DB908" s="231"/>
      <c r="DC908" s="231"/>
      <c r="DD908" s="231"/>
      <c r="DE908" s="231"/>
      <c r="DF908" s="231"/>
      <c r="DG908" s="1841"/>
      <c r="DH908" s="570"/>
      <c r="DI908" s="570"/>
      <c r="DJ908" s="570"/>
      <c r="DK908" s="570"/>
      <c r="DL908" s="570"/>
      <c r="DM908" s="570"/>
      <c r="DN908" s="222"/>
      <c r="DO908" s="226"/>
      <c r="DY908" s="570"/>
      <c r="DZ908" s="570"/>
    </row>
    <row r="909" spans="1:130" ht="12" customHeight="1">
      <c r="A909" s="2689" t="s">
        <v>1773</v>
      </c>
      <c r="B909" s="445"/>
      <c r="C909" s="445"/>
      <c r="D909" s="580">
        <f>+D924-D921</f>
        <v>90.082458750000015</v>
      </c>
      <c r="E909" s="581">
        <f>+E924-E921</f>
        <v>96.124976250000003</v>
      </c>
      <c r="F909" s="581">
        <f>+F924-F921</f>
        <v>104.46369375</v>
      </c>
      <c r="G909" s="581">
        <f>+G924-G921</f>
        <v>101.39363625</v>
      </c>
      <c r="H909" s="588">
        <f>SUM(D909:G909)</f>
        <v>392.06476500000002</v>
      </c>
      <c r="I909" s="581">
        <f>+I924-I921</f>
        <v>97.087792500000006</v>
      </c>
      <c r="J909" s="581">
        <f>+J924-J921</f>
        <v>108.631125</v>
      </c>
      <c r="K909" s="581">
        <f>+K924-K921</f>
        <v>116.89137749999999</v>
      </c>
      <c r="L909" s="581">
        <f>+L924-L921</f>
        <v>111.92343250000002</v>
      </c>
      <c r="M909" s="588">
        <f>SUM(I909:L909)</f>
        <v>434.53372750000005</v>
      </c>
      <c r="N909" s="581">
        <f>+N924-N921</f>
        <v>102.9658575</v>
      </c>
      <c r="O909" s="581">
        <f>+O924-O921</f>
        <v>112.37878907886173</v>
      </c>
      <c r="P909" s="581">
        <f>+P924-P921</f>
        <v>142.70236581315214</v>
      </c>
      <c r="Q909" s="581">
        <f>+Q924-Q921</f>
        <v>126.48604078583989</v>
      </c>
      <c r="R909" s="588">
        <f>SUM(N909:Q909)</f>
        <v>484.53305317785373</v>
      </c>
      <c r="S909" s="581">
        <f>+S924-S921</f>
        <v>122.40880462939707</v>
      </c>
      <c r="T909" s="581">
        <f>+T924-T921</f>
        <v>127.61544291128342</v>
      </c>
      <c r="U909" s="581">
        <f>+U924-U921</f>
        <v>135.43556460570269</v>
      </c>
      <c r="V909" s="581">
        <f>+V924-V921</f>
        <v>129.18901829236825</v>
      </c>
      <c r="W909" s="588">
        <f>SUM(S909:V909)</f>
        <v>514.64883043875147</v>
      </c>
      <c r="X909" s="581">
        <f>+X924-X921</f>
        <v>127.09877812154355</v>
      </c>
      <c r="Y909" s="581">
        <f>+Y924-Y921</f>
        <v>140.27529474247086</v>
      </c>
      <c r="Z909" s="581">
        <f>+Z924-Z921</f>
        <v>158.18987325408733</v>
      </c>
      <c r="AA909" s="581">
        <f>+AA924-AA921</f>
        <v>128.78069201409437</v>
      </c>
      <c r="AB909" s="588">
        <f>SUM(X909:AA909)</f>
        <v>554.34463813219611</v>
      </c>
      <c r="AC909" s="581">
        <f>+AC924-AC921</f>
        <v>123.96113028411349</v>
      </c>
      <c r="AD909" s="581">
        <f>+AD924-AD921</f>
        <v>125.1896365659419</v>
      </c>
      <c r="AE909" s="581">
        <f>+AE924-AE921</f>
        <v>134.8239150303165</v>
      </c>
      <c r="AF909" s="581">
        <f>+AF924-AF921</f>
        <v>122.96633751504929</v>
      </c>
      <c r="AG909" s="588">
        <f>SUM(AC909:AF909)</f>
        <v>506.94101939542122</v>
      </c>
      <c r="AH909" s="581">
        <f>+AH924-AH921</f>
        <v>121.19142984231412</v>
      </c>
      <c r="AI909" s="581">
        <f>AI924-AI921</f>
        <v>126.98947909377324</v>
      </c>
      <c r="AJ909" s="581">
        <f>AJ924-AJ921</f>
        <v>135.22310718162811</v>
      </c>
      <c r="AK909" s="581">
        <f>AK924-AK921</f>
        <v>119.30389344901729</v>
      </c>
      <c r="AL909" s="588">
        <f>SUM(AH909:AK909)</f>
        <v>502.70790956673272</v>
      </c>
      <c r="AM909" s="2035">
        <f>+AM924-AM921</f>
        <v>121.95014817500001</v>
      </c>
      <c r="AN909" s="2035">
        <f>AN924-AN921</f>
        <v>127.57812078749998</v>
      </c>
      <c r="AO909" s="2035">
        <f>AO924-AO921</f>
        <v>134.194153175</v>
      </c>
      <c r="AP909" s="2035">
        <f>AP924-AP921</f>
        <v>122.52138317500001</v>
      </c>
      <c r="AQ909" s="588">
        <f>SUM(AM909:AP909)</f>
        <v>506.24380531249994</v>
      </c>
      <c r="AR909" s="2035">
        <f>+AR924-AR921</f>
        <v>121.460440675</v>
      </c>
      <c r="AS909" s="2035">
        <f>+AS924-AS921</f>
        <v>129.16308817499998</v>
      </c>
      <c r="AT909" s="2035">
        <f>+AT924-AT921</f>
        <v>137.25900817500002</v>
      </c>
      <c r="AU909" s="2035">
        <f>+AU924-AU921</f>
        <v>119.36601317500001</v>
      </c>
      <c r="AV909" s="588">
        <f>AV924-AV921</f>
        <v>507.27367640000011</v>
      </c>
      <c r="AW909" s="2035">
        <f>+AW906-AW927-AW921</f>
        <v>122.383308175</v>
      </c>
      <c r="AX909" s="2035">
        <f>+AX906-AX927-AX921</f>
        <v>129.81336317500001</v>
      </c>
      <c r="AY909" s="2035">
        <f>+AY906-AY927-AY921</f>
        <v>135.55136317500001</v>
      </c>
      <c r="AZ909" s="2035">
        <f>+AZ906-AZ927-AZ921</f>
        <v>126.07313817499998</v>
      </c>
      <c r="BA909" s="588">
        <f>BA924-BA921</f>
        <v>513.85335474999999</v>
      </c>
      <c r="BB909" s="2035">
        <f>+BB924-BB921-BB913-BB917</f>
        <v>119.75866859750001</v>
      </c>
      <c r="BC909" s="2035">
        <f>+BC924-BC921-BC913-BC917</f>
        <v>112.07434512500004</v>
      </c>
      <c r="BD909" s="2035">
        <f>+BD924-BD921-BD913-BD917</f>
        <v>126.9313970825</v>
      </c>
      <c r="BE909" s="2035">
        <f>+BE924-BE921-BE913-BE917</f>
        <v>121.04986593749999</v>
      </c>
      <c r="BF909" s="588">
        <f>SUM(BB909:BE909)</f>
        <v>479.8142767425</v>
      </c>
      <c r="BG909" s="2035">
        <f>+BG924-BG921-BG913-BG917</f>
        <v>120.66907534249999</v>
      </c>
      <c r="BH909" s="2035">
        <f>+BH924-BH921-BH913-BH917</f>
        <v>122.53094826750002</v>
      </c>
      <c r="BI909" s="2035">
        <f>+BI924-BI921-BI913-BI917</f>
        <v>134.96842212000004</v>
      </c>
      <c r="BJ909" s="2035">
        <f>+BJ924-BJ921-BJ913-BJ917</f>
        <v>121.45262759750001</v>
      </c>
      <c r="BK909" s="588">
        <f>SUM(BG909:BJ909)</f>
        <v>499.62107332750003</v>
      </c>
      <c r="BL909" s="2035">
        <f>+BL924-BL921-BL913-BL917</f>
        <v>120.6384631825</v>
      </c>
      <c r="BM909" s="2035">
        <f>+BM924-BM921-BM913-BM917</f>
        <v>117.59162964965</v>
      </c>
      <c r="BN909" s="3289">
        <f>+BI909*(1+BN911)*(1/3)</f>
        <v>45.439368780400009</v>
      </c>
      <c r="BO909" s="2693"/>
      <c r="BP909" s="588"/>
      <c r="BQ909" s="3289"/>
      <c r="BR909" s="3289"/>
      <c r="BS909" s="3289"/>
      <c r="BT909" s="2693"/>
      <c r="BU909" s="3376"/>
      <c r="BV909" s="3289"/>
      <c r="BW909" s="3289"/>
      <c r="BX909" s="3289"/>
      <c r="BY909" s="2693"/>
      <c r="BZ909" s="588"/>
      <c r="CA909" s="588"/>
      <c r="CB909" s="588"/>
      <c r="CC909" s="588">
        <f>+CB909*(1+CC911)</f>
        <v>0</v>
      </c>
      <c r="CD909" s="588">
        <f>+CC909*(1+CD911)</f>
        <v>0</v>
      </c>
      <c r="CE909" s="588">
        <f>+CD909*(1+CE911)</f>
        <v>0</v>
      </c>
      <c r="CF909" s="588">
        <f>+CE909*(1+CF911)</f>
        <v>0</v>
      </c>
      <c r="CG909" s="588">
        <f>+CF909*(1+CG911)</f>
        <v>0</v>
      </c>
      <c r="CH909" s="581"/>
      <c r="CI909" s="581"/>
      <c r="CJ909" s="581"/>
      <c r="CK909" s="581"/>
      <c r="CL909" s="581"/>
      <c r="CM909" s="581"/>
      <c r="CN909" s="581"/>
      <c r="CO909" s="581"/>
      <c r="CP909" s="528" t="str">
        <f>A909</f>
        <v>On-Ground Operating Expenses</v>
      </c>
      <c r="CQ909" s="581">
        <f>H909</f>
        <v>392.06476500000002</v>
      </c>
      <c r="CR909" s="581">
        <f>M909</f>
        <v>434.53372750000005</v>
      </c>
      <c r="CS909" s="581">
        <f>R909</f>
        <v>484.53305317785373</v>
      </c>
      <c r="CT909" s="581">
        <f>W909</f>
        <v>514.64883043875147</v>
      </c>
      <c r="CU909" s="581">
        <f>AB909</f>
        <v>554.34463813219611</v>
      </c>
      <c r="CV909" s="581">
        <f>AG909</f>
        <v>506.94101939542122</v>
      </c>
      <c r="CW909" s="581">
        <f>AL909</f>
        <v>502.70790956673272</v>
      </c>
      <c r="CX909" s="581">
        <f>AQ909</f>
        <v>506.24380531249994</v>
      </c>
      <c r="CY909" s="581">
        <f>AV909</f>
        <v>507.27367640000011</v>
      </c>
      <c r="CZ909" s="581">
        <f>BA909</f>
        <v>513.85335474999999</v>
      </c>
      <c r="DA909" s="581">
        <f>BF909</f>
        <v>479.8142767425</v>
      </c>
      <c r="DB909" s="581">
        <f>BK909</f>
        <v>499.62107332750003</v>
      </c>
      <c r="DC909" s="581">
        <f>BP909</f>
        <v>0</v>
      </c>
      <c r="DD909" s="581">
        <f>BU909</f>
        <v>0</v>
      </c>
      <c r="DE909" s="581">
        <f t="shared" ref="DE909:DG911" si="1750">BZ909</f>
        <v>0</v>
      </c>
      <c r="DF909" s="581">
        <f t="shared" si="1750"/>
        <v>0</v>
      </c>
      <c r="DG909" s="869">
        <f t="shared" si="1750"/>
        <v>0</v>
      </c>
      <c r="DH909" s="589"/>
      <c r="DI909" s="570"/>
      <c r="DJ909" s="570"/>
      <c r="DK909" s="570"/>
      <c r="DL909" s="570"/>
      <c r="DM909" s="570"/>
      <c r="DN909" s="222"/>
      <c r="DO909" s="226"/>
      <c r="DY909" s="581"/>
      <c r="DZ909" s="581"/>
    </row>
    <row r="910" spans="1:130" ht="12" customHeight="1">
      <c r="A910" s="567" t="s">
        <v>1103</v>
      </c>
      <c r="B910" s="819"/>
      <c r="C910" s="819"/>
      <c r="D910" s="560">
        <f>D909/D906</f>
        <v>0.61747259046261205</v>
      </c>
      <c r="E910" s="561">
        <f t="shared" ref="E910:AC910" si="1751">E909/E906</f>
        <v>0.58278400306776368</v>
      </c>
      <c r="F910" s="561">
        <f>F909/F906</f>
        <v>0.56120130088158027</v>
      </c>
      <c r="G910" s="561">
        <f t="shared" si="1751"/>
        <v>0.56503703760462753</v>
      </c>
      <c r="H910" s="562">
        <f t="shared" si="1751"/>
        <v>0.5796182026229304</v>
      </c>
      <c r="I910" s="561">
        <f t="shared" si="1751"/>
        <v>0.56402449545121836</v>
      </c>
      <c r="J910" s="561">
        <f t="shared" si="1751"/>
        <v>0.58915061338713348</v>
      </c>
      <c r="K910" s="561">
        <f t="shared" si="1751"/>
        <v>0.54743905837282925</v>
      </c>
      <c r="L910" s="561">
        <f t="shared" si="1751"/>
        <v>0.57710637107544138</v>
      </c>
      <c r="M910" s="562">
        <f t="shared" si="1751"/>
        <v>0.56877407939705471</v>
      </c>
      <c r="N910" s="561">
        <f t="shared" si="1751"/>
        <v>0.54895215335238412</v>
      </c>
      <c r="O910" s="561">
        <f t="shared" si="1751"/>
        <v>0.59342874912268828</v>
      </c>
      <c r="P910" s="561">
        <f t="shared" si="1751"/>
        <v>0.6008900175301688</v>
      </c>
      <c r="Q910" s="561">
        <f t="shared" si="1751"/>
        <v>0.63611969817863556</v>
      </c>
      <c r="R910" s="562">
        <f t="shared" si="1751"/>
        <v>0.59578741637455646</v>
      </c>
      <c r="S910" s="561">
        <f t="shared" si="1751"/>
        <v>0.60083838722523475</v>
      </c>
      <c r="T910" s="561">
        <f t="shared" si="1751"/>
        <v>0.63145014528168586</v>
      </c>
      <c r="U910" s="561">
        <f t="shared" si="1751"/>
        <v>0.58862506782493085</v>
      </c>
      <c r="V910" s="561">
        <f t="shared" si="1751"/>
        <v>0.63725924791278987</v>
      </c>
      <c r="W910" s="562">
        <f>W909/W906</f>
        <v>0.61366854601868914</v>
      </c>
      <c r="X910" s="561">
        <f t="shared" si="1751"/>
        <v>0.62912712411170724</v>
      </c>
      <c r="Y910" s="561">
        <f t="shared" si="1751"/>
        <v>0.68406617905145717</v>
      </c>
      <c r="Z910" s="561">
        <f t="shared" si="1751"/>
        <v>0.6593415051374717</v>
      </c>
      <c r="AA910" s="561">
        <f t="shared" si="1751"/>
        <v>0.70186715943217826</v>
      </c>
      <c r="AB910" s="562">
        <f>AB909/AB906</f>
        <v>0.66749184893742852</v>
      </c>
      <c r="AC910" s="561">
        <f t="shared" si="1751"/>
        <v>0.65975374040190271</v>
      </c>
      <c r="AD910" s="561">
        <f t="shared" ref="AD910:AM910" si="1752">AD909/AD906</f>
        <v>0.65368740798766611</v>
      </c>
      <c r="AE910" s="561">
        <f t="shared" si="1752"/>
        <v>0.60568612798158328</v>
      </c>
      <c r="AF910" s="561">
        <f t="shared" si="1752"/>
        <v>0.7010303835346694</v>
      </c>
      <c r="AG910" s="562">
        <f t="shared" si="1752"/>
        <v>0.6520913335023838</v>
      </c>
      <c r="AH910" s="561">
        <f t="shared" si="1752"/>
        <v>0.69226137480900984</v>
      </c>
      <c r="AI910" s="561">
        <f t="shared" si="1752"/>
        <v>0.67948055076607472</v>
      </c>
      <c r="AJ910" s="561">
        <f t="shared" si="1752"/>
        <v>0.65109085875200712</v>
      </c>
      <c r="AK910" s="561">
        <f t="shared" si="1752"/>
        <v>0.70683524373477236</v>
      </c>
      <c r="AL910" s="562">
        <f t="shared" si="1752"/>
        <v>0.68077844723032033</v>
      </c>
      <c r="AM910" s="561">
        <f t="shared" si="1752"/>
        <v>0.72121443122006035</v>
      </c>
      <c r="AN910" s="561">
        <f t="shared" ref="AN910:BK910" si="1753">AN909/AN906</f>
        <v>0.6980789729885748</v>
      </c>
      <c r="AO910" s="561">
        <f t="shared" si="1753"/>
        <v>0.66426829874070625</v>
      </c>
      <c r="AP910" s="561">
        <f t="shared" si="1753"/>
        <v>0.69452629201859317</v>
      </c>
      <c r="AQ910" s="562">
        <f t="shared" si="1753"/>
        <v>0.6932244682304175</v>
      </c>
      <c r="AR910" s="561">
        <f t="shared" si="1753"/>
        <v>0.68952847388589267</v>
      </c>
      <c r="AS910" s="561">
        <f t="shared" si="1753"/>
        <v>0.73632444118552465</v>
      </c>
      <c r="AT910" s="561">
        <f t="shared" si="1753"/>
        <v>0.73364837525589155</v>
      </c>
      <c r="AU910" s="561">
        <f t="shared" si="1753"/>
        <v>0.80890463981974048</v>
      </c>
      <c r="AV910" s="562">
        <f t="shared" si="1753"/>
        <v>0.73922677559157246</v>
      </c>
      <c r="AW910" s="561">
        <f t="shared" si="1753"/>
        <v>0.73883333036512033</v>
      </c>
      <c r="AX910" s="561">
        <f t="shared" si="1753"/>
        <v>0.75090013810396983</v>
      </c>
      <c r="AY910" s="561">
        <f t="shared" si="1753"/>
        <v>0.67758403194685357</v>
      </c>
      <c r="AZ910" s="561">
        <f t="shared" si="1753"/>
        <v>0.80235946600860442</v>
      </c>
      <c r="BA910" s="562">
        <f t="shared" si="1753"/>
        <v>0.73861447946597603</v>
      </c>
      <c r="BB910" s="561">
        <f t="shared" si="1753"/>
        <v>0.71598591805469192</v>
      </c>
      <c r="BC910" s="561">
        <f t="shared" si="1753"/>
        <v>0.61628748955205837</v>
      </c>
      <c r="BD910" s="561">
        <f t="shared" si="1753"/>
        <v>0.6045906903799072</v>
      </c>
      <c r="BE910" s="561">
        <f t="shared" si="1753"/>
        <v>0.67570132872724631</v>
      </c>
      <c r="BF910" s="562">
        <f t="shared" si="1753"/>
        <v>0.64996901528492534</v>
      </c>
      <c r="BG910" s="561">
        <f>BG909/BG906</f>
        <v>0.66087812158728065</v>
      </c>
      <c r="BH910" s="561">
        <f>BH909/BH906</f>
        <v>0.64097627818929404</v>
      </c>
      <c r="BI910" s="561">
        <f>BI909/BI906</f>
        <v>0.56838142735017549</v>
      </c>
      <c r="BJ910" s="561">
        <f>BJ909/BJ906</f>
        <v>0.62944150957746192</v>
      </c>
      <c r="BK910" s="562">
        <f t="shared" si="1753"/>
        <v>0.62129096893862723</v>
      </c>
      <c r="BL910" s="561">
        <f>BL909/BL906</f>
        <v>0.63396164431954938</v>
      </c>
      <c r="BM910" s="561">
        <f>BM909/BM906</f>
        <v>0.57828062203843678</v>
      </c>
      <c r="BN910" s="561">
        <f>BN909/BN906</f>
        <v>0.21360720027906907</v>
      </c>
      <c r="BO910" s="561"/>
      <c r="BP910" s="562"/>
      <c r="BQ910" s="561"/>
      <c r="BR910" s="561"/>
      <c r="BS910" s="561"/>
      <c r="BT910" s="561"/>
      <c r="BU910" s="3371"/>
      <c r="BV910" s="561"/>
      <c r="BW910" s="561"/>
      <c r="BX910" s="561"/>
      <c r="BY910" s="561"/>
      <c r="BZ910" s="562"/>
      <c r="CA910" s="562"/>
      <c r="CB910" s="562"/>
      <c r="CC910" s="562">
        <f>CC909/CC906</f>
        <v>0</v>
      </c>
      <c r="CD910" s="562">
        <f>CD909/CD906</f>
        <v>0</v>
      </c>
      <c r="CE910" s="562">
        <f>CE909/CE906</f>
        <v>0</v>
      </c>
      <c r="CF910" s="562">
        <f>CF909/CF906</f>
        <v>0</v>
      </c>
      <c r="CG910" s="562">
        <f>CG909/CG906</f>
        <v>0</v>
      </c>
      <c r="CH910" s="561"/>
      <c r="CI910" s="561"/>
      <c r="CJ910" s="561"/>
      <c r="CK910" s="561"/>
      <c r="CL910" s="561"/>
      <c r="CM910" s="561"/>
      <c r="CN910" s="561"/>
      <c r="CO910" s="561"/>
      <c r="CP910" s="1849" t="str">
        <f>A910</f>
        <v>% of Net Revenues</v>
      </c>
      <c r="CQ910" s="561">
        <f>H910</f>
        <v>0.5796182026229304</v>
      </c>
      <c r="CR910" s="561">
        <f>M910</f>
        <v>0.56877407939705471</v>
      </c>
      <c r="CS910" s="561">
        <f>R910</f>
        <v>0.59578741637455646</v>
      </c>
      <c r="CT910" s="561">
        <f>W910</f>
        <v>0.61366854601868914</v>
      </c>
      <c r="CU910" s="561">
        <f>AB910</f>
        <v>0.66749184893742852</v>
      </c>
      <c r="CV910" s="561">
        <f>AG910</f>
        <v>0.6520913335023838</v>
      </c>
      <c r="CW910" s="561">
        <f>AL910</f>
        <v>0.68077844723032033</v>
      </c>
      <c r="CX910" s="561">
        <f>AQ910</f>
        <v>0.6932244682304175</v>
      </c>
      <c r="CY910" s="561">
        <f>AV910</f>
        <v>0.73922677559157246</v>
      </c>
      <c r="CZ910" s="561">
        <f>BA910</f>
        <v>0.73861447946597603</v>
      </c>
      <c r="DA910" s="561">
        <f>BF910</f>
        <v>0.64996901528492534</v>
      </c>
      <c r="DB910" s="561">
        <f>BK910</f>
        <v>0.62129096893862723</v>
      </c>
      <c r="DC910" s="561">
        <f>BP910</f>
        <v>0</v>
      </c>
      <c r="DD910" s="561">
        <f>BU910</f>
        <v>0</v>
      </c>
      <c r="DE910" s="561">
        <f t="shared" si="1750"/>
        <v>0</v>
      </c>
      <c r="DF910" s="561">
        <f t="shared" si="1750"/>
        <v>0</v>
      </c>
      <c r="DG910" s="1846">
        <f t="shared" si="1750"/>
        <v>0</v>
      </c>
      <c r="DH910" s="548"/>
      <c r="DI910" s="548"/>
      <c r="DJ910" s="548"/>
      <c r="DK910" s="548"/>
      <c r="DL910" s="548"/>
      <c r="DM910" s="548"/>
      <c r="DN910" s="265"/>
      <c r="DO910" s="266"/>
      <c r="DY910" s="561"/>
      <c r="DZ910" s="561"/>
    </row>
    <row r="911" spans="1:130" ht="12" customHeight="1">
      <c r="A911" s="257" t="s">
        <v>1249</v>
      </c>
      <c r="B911" s="545"/>
      <c r="C911" s="545"/>
      <c r="D911" s="608"/>
      <c r="E911" s="615"/>
      <c r="F911" s="502"/>
      <c r="G911" s="502"/>
      <c r="H911" s="503"/>
      <c r="I911" s="502">
        <f t="shared" ref="I911:O911" si="1754">+I909/D909-1</f>
        <v>7.7765791999987899E-2</v>
      </c>
      <c r="J911" s="502">
        <f t="shared" si="1754"/>
        <v>0.13010301003845504</v>
      </c>
      <c r="K911" s="502">
        <f t="shared" si="1754"/>
        <v>0.11896653568216364</v>
      </c>
      <c r="L911" s="502">
        <f t="shared" si="1754"/>
        <v>0.10385066202811144</v>
      </c>
      <c r="M911" s="503">
        <f t="shared" si="1754"/>
        <v>0.10832129354954922</v>
      </c>
      <c r="N911" s="502">
        <f t="shared" si="1754"/>
        <v>6.054381141686771E-2</v>
      </c>
      <c r="O911" s="502">
        <f t="shared" si="1754"/>
        <v>3.4498989850852979E-2</v>
      </c>
      <c r="P911" s="502">
        <f t="shared" ref="P911:AA911" si="1755">+P909/K909-1</f>
        <v>0.22081173877134064</v>
      </c>
      <c r="Q911" s="502">
        <f t="shared" si="1755"/>
        <v>0.13011223798769644</v>
      </c>
      <c r="R911" s="503">
        <f t="shared" si="1755"/>
        <v>0.11506431495091185</v>
      </c>
      <c r="S911" s="502">
        <f t="shared" si="1755"/>
        <v>0.18882907015461003</v>
      </c>
      <c r="T911" s="502">
        <f t="shared" si="1755"/>
        <v>0.13558300420668701</v>
      </c>
      <c r="U911" s="502">
        <f t="shared" si="1755"/>
        <v>-5.0922780193877526E-2</v>
      </c>
      <c r="V911" s="502">
        <f t="shared" si="1755"/>
        <v>2.1369769262561622E-2</v>
      </c>
      <c r="W911" s="503">
        <f>+W909/R909-1</f>
        <v>6.2154226761994336E-2</v>
      </c>
      <c r="X911" s="502">
        <f t="shared" si="1755"/>
        <v>3.8314020844707697E-2</v>
      </c>
      <c r="Y911" s="502">
        <f t="shared" si="1755"/>
        <v>9.9203133589313319E-2</v>
      </c>
      <c r="Z911" s="502">
        <f t="shared" si="1755"/>
        <v>0.16800837146897041</v>
      </c>
      <c r="AA911" s="502">
        <f t="shared" si="1755"/>
        <v>-3.1606887618713664E-3</v>
      </c>
      <c r="AB911" s="503">
        <f t="shared" ref="AB911:AG911" si="1756">+AB909/W909-1</f>
        <v>7.7131833097926039E-2</v>
      </c>
      <c r="AC911" s="502">
        <f t="shared" si="1756"/>
        <v>-2.468668765981008E-2</v>
      </c>
      <c r="AD911" s="502">
        <f t="shared" si="1756"/>
        <v>-0.10754322922097215</v>
      </c>
      <c r="AE911" s="502">
        <f t="shared" si="1756"/>
        <v>-0.14770830612045582</v>
      </c>
      <c r="AF911" s="502">
        <f t="shared" si="1756"/>
        <v>-4.5149272053987222E-2</v>
      </c>
      <c r="AG911" s="503">
        <f t="shared" si="1756"/>
        <v>-8.5512902039598049E-2</v>
      </c>
      <c r="AH911" s="502">
        <f>+AH909/AC909-1</f>
        <v>-2.234329773737409E-2</v>
      </c>
      <c r="AI911" s="502">
        <f t="shared" ref="AI911:AQ911" si="1757">+AI909/AD909-1</f>
        <v>1.4376929090957891E-2</v>
      </c>
      <c r="AJ911" s="502">
        <f t="shared" si="1757"/>
        <v>2.9608408213175341E-3</v>
      </c>
      <c r="AK911" s="502">
        <f t="shared" si="1757"/>
        <v>-2.9784119296744627E-2</v>
      </c>
      <c r="AL911" s="503">
        <f t="shared" si="1757"/>
        <v>-8.3503004624422283E-3</v>
      </c>
      <c r="AM911" s="502">
        <f>+AM909/AH909-1</f>
        <v>6.2604949349396311E-3</v>
      </c>
      <c r="AN911" s="502">
        <f t="shared" si="1757"/>
        <v>4.635357967663456E-3</v>
      </c>
      <c r="AO911" s="502">
        <f t="shared" si="1757"/>
        <v>-7.6093060429830439E-3</v>
      </c>
      <c r="AP911" s="502">
        <f t="shared" si="1757"/>
        <v>2.6968857704192661E-2</v>
      </c>
      <c r="AQ911" s="503">
        <f t="shared" si="1757"/>
        <v>7.0336982539516146E-3</v>
      </c>
      <c r="AR911" s="502">
        <f t="shared" ref="AR911:BJ911" si="1758">+AR909/AM909-1</f>
        <v>-4.0156367772286039E-3</v>
      </c>
      <c r="AS911" s="502">
        <f t="shared" si="1758"/>
        <v>1.2423504733542812E-2</v>
      </c>
      <c r="AT911" s="502">
        <f t="shared" si="1758"/>
        <v>2.2838960770542593E-2</v>
      </c>
      <c r="AU911" s="502">
        <f t="shared" si="1758"/>
        <v>-2.5753626985202449E-2</v>
      </c>
      <c r="AV911" s="503">
        <f t="shared" si="1758"/>
        <v>2.0343381522751613E-3</v>
      </c>
      <c r="AW911" s="502">
        <f t="shared" si="1758"/>
        <v>7.5980911552047115E-3</v>
      </c>
      <c r="AX911" s="502">
        <f t="shared" si="1758"/>
        <v>5.0345265755722401E-3</v>
      </c>
      <c r="AY911" s="2455">
        <f t="shared" si="1758"/>
        <v>-1.2441041376481721E-2</v>
      </c>
      <c r="AZ911" s="502">
        <f t="shared" si="1758"/>
        <v>5.6189570394437061E-2</v>
      </c>
      <c r="BA911" s="503">
        <f>+BA909/AV909-1</f>
        <v>1.2970667819182546E-2</v>
      </c>
      <c r="BB911" s="502">
        <f t="shared" si="1758"/>
        <v>-2.1446058426096259E-2</v>
      </c>
      <c r="BC911" s="502">
        <f t="shared" si="1758"/>
        <v>-0.13665016925943274</v>
      </c>
      <c r="BD911" s="502">
        <f t="shared" si="1758"/>
        <v>-6.3591880528500733E-2</v>
      </c>
      <c r="BE911" s="502">
        <f t="shared" si="1758"/>
        <v>-3.9844111998919796E-2</v>
      </c>
      <c r="BF911" s="503">
        <f>+BF909/BA909-1</f>
        <v>-6.6242786376398577E-2</v>
      </c>
      <c r="BG911" s="502">
        <f t="shared" si="1758"/>
        <v>7.6020112419570296E-3</v>
      </c>
      <c r="BH911" s="561">
        <f t="shared" si="1758"/>
        <v>9.3300595518424956E-2</v>
      </c>
      <c r="BI911" s="561">
        <f t="shared" si="1758"/>
        <v>6.3317864785466194E-2</v>
      </c>
      <c r="BJ911" s="1846">
        <f t="shared" si="1758"/>
        <v>3.3272375552069189E-3</v>
      </c>
      <c r="BK911" s="562">
        <f>+BK909/BF909-1</f>
        <v>4.1280131803226094E-2</v>
      </c>
      <c r="BL911" s="560">
        <f>+BL909/BG909-1</f>
        <v>-2.5368686975602017E-4</v>
      </c>
      <c r="BM911" s="561">
        <f>+BM909/BH909-1</f>
        <v>-4.0310784236051833E-2</v>
      </c>
      <c r="BN911" s="548">
        <v>0.01</v>
      </c>
      <c r="BO911" s="548"/>
      <c r="BP911" s="562"/>
      <c r="BQ911" s="548"/>
      <c r="BR911" s="548"/>
      <c r="BS911" s="548"/>
      <c r="BT911" s="548"/>
      <c r="BU911" s="3371"/>
      <c r="BV911" s="548"/>
      <c r="BW911" s="548"/>
      <c r="BX911" s="548"/>
      <c r="BY911" s="548"/>
      <c r="BZ911" s="550"/>
      <c r="CA911" s="550"/>
      <c r="CB911" s="550"/>
      <c r="CC911" s="550">
        <v>-0.05</v>
      </c>
      <c r="CD911" s="550">
        <v>-0.05</v>
      </c>
      <c r="CE911" s="550">
        <v>0.01</v>
      </c>
      <c r="CF911" s="550">
        <v>0.01</v>
      </c>
      <c r="CG911" s="550">
        <v>0.01</v>
      </c>
      <c r="CH911" s="502"/>
      <c r="CI911" s="502"/>
      <c r="CJ911" s="502"/>
      <c r="CK911" s="502"/>
      <c r="CL911" s="502"/>
      <c r="CM911" s="502"/>
      <c r="CN911" s="502"/>
      <c r="CO911" s="502"/>
      <c r="CP911" s="396" t="str">
        <f>A911</f>
        <v>% Growth (y-o-y)</v>
      </c>
      <c r="CQ911" s="502"/>
      <c r="CR911" s="502">
        <f>M911</f>
        <v>0.10832129354954922</v>
      </c>
      <c r="CS911" s="502">
        <f>R911</f>
        <v>0.11506431495091185</v>
      </c>
      <c r="CT911" s="502">
        <f>W911</f>
        <v>6.2154226761994336E-2</v>
      </c>
      <c r="CU911" s="502">
        <f>AB911</f>
        <v>7.7131833097926039E-2</v>
      </c>
      <c r="CV911" s="502">
        <f>AG911</f>
        <v>-8.5512902039598049E-2</v>
      </c>
      <c r="CW911" s="502">
        <f>AL911</f>
        <v>-8.3503004624422283E-3</v>
      </c>
      <c r="CX911" s="502">
        <f>AQ911</f>
        <v>7.0336982539516146E-3</v>
      </c>
      <c r="CY911" s="502">
        <f>AV911</f>
        <v>2.0343381522751613E-3</v>
      </c>
      <c r="CZ911" s="502">
        <f>BA911</f>
        <v>1.2970667819182546E-2</v>
      </c>
      <c r="DA911" s="502">
        <f>BF911</f>
        <v>-6.6242786376398577E-2</v>
      </c>
      <c r="DB911" s="502">
        <f>BK911</f>
        <v>4.1280131803226094E-2</v>
      </c>
      <c r="DC911" s="502">
        <f>BP911</f>
        <v>0</v>
      </c>
      <c r="DD911" s="502">
        <f>BU911</f>
        <v>0</v>
      </c>
      <c r="DE911" s="502">
        <f t="shared" si="1750"/>
        <v>0</v>
      </c>
      <c r="DF911" s="502">
        <f t="shared" si="1750"/>
        <v>0</v>
      </c>
      <c r="DG911" s="1855">
        <f t="shared" si="1750"/>
        <v>0</v>
      </c>
      <c r="DH911" s="502"/>
      <c r="DI911" s="561"/>
      <c r="DJ911" s="561"/>
      <c r="DK911" s="561"/>
      <c r="DL911" s="561"/>
      <c r="DM911" s="561"/>
      <c r="DN911" s="833"/>
      <c r="DO911" s="266"/>
      <c r="DY911" s="561"/>
      <c r="DZ911" s="561"/>
    </row>
    <row r="912" spans="1:130" ht="6" customHeight="1">
      <c r="A912" s="257"/>
      <c r="B912" s="545"/>
      <c r="C912" s="545"/>
      <c r="D912" s="608"/>
      <c r="E912" s="615"/>
      <c r="F912" s="502"/>
      <c r="G912" s="502"/>
      <c r="H912" s="503"/>
      <c r="I912" s="502"/>
      <c r="J912" s="502"/>
      <c r="K912" s="502"/>
      <c r="L912" s="502"/>
      <c r="M912" s="503"/>
      <c r="N912" s="502"/>
      <c r="O912" s="502"/>
      <c r="P912" s="502"/>
      <c r="Q912" s="502"/>
      <c r="R912" s="503"/>
      <c r="S912" s="502"/>
      <c r="T912" s="502"/>
      <c r="U912" s="502"/>
      <c r="V912" s="502"/>
      <c r="W912" s="503"/>
      <c r="X912" s="502"/>
      <c r="Y912" s="502"/>
      <c r="Z912" s="502"/>
      <c r="AA912" s="502"/>
      <c r="AB912" s="503"/>
      <c r="AC912" s="502"/>
      <c r="AD912" s="502"/>
      <c r="AE912" s="502"/>
      <c r="AF912" s="502"/>
      <c r="AG912" s="503"/>
      <c r="AH912" s="502"/>
      <c r="AI912" s="502"/>
      <c r="AJ912" s="502"/>
      <c r="AK912" s="502"/>
      <c r="AL912" s="503"/>
      <c r="AM912" s="502"/>
      <c r="AN912" s="502"/>
      <c r="AO912" s="502"/>
      <c r="AP912" s="502"/>
      <c r="AQ912" s="503"/>
      <c r="AR912" s="502"/>
      <c r="AS912" s="502"/>
      <c r="AT912" s="502"/>
      <c r="AU912" s="502"/>
      <c r="AV912" s="503"/>
      <c r="AW912" s="502"/>
      <c r="AX912" s="502"/>
      <c r="AY912" s="2455"/>
      <c r="AZ912" s="502"/>
      <c r="BA912" s="503"/>
      <c r="BB912" s="502"/>
      <c r="BC912" s="2686"/>
      <c r="BD912" s="2504"/>
      <c r="BE912" s="2504"/>
      <c r="BF912" s="503"/>
      <c r="BG912" s="358"/>
      <c r="BH912" s="502"/>
      <c r="BI912" s="502"/>
      <c r="BJ912" s="1855"/>
      <c r="BK912" s="2367"/>
      <c r="BL912" s="502"/>
      <c r="BM912" s="502"/>
      <c r="BN912" s="502"/>
      <c r="BO912" s="1855"/>
      <c r="BP912" s="2367"/>
      <c r="BQ912" s="502"/>
      <c r="BR912" s="502"/>
      <c r="BS912" s="502"/>
      <c r="BT912" s="1855"/>
      <c r="BU912" s="3381"/>
      <c r="BV912" s="502"/>
      <c r="BW912" s="502"/>
      <c r="BX912" s="502"/>
      <c r="BY912" s="1855"/>
      <c r="BZ912" s="550"/>
      <c r="CA912" s="550"/>
      <c r="CB912" s="550"/>
      <c r="CC912" s="550"/>
      <c r="CD912" s="550"/>
      <c r="CE912" s="550"/>
      <c r="CF912" s="550"/>
      <c r="CG912" s="550"/>
      <c r="CH912" s="502"/>
      <c r="CI912" s="502"/>
      <c r="CJ912" s="502"/>
      <c r="CK912" s="502"/>
      <c r="CL912" s="502"/>
      <c r="CM912" s="502"/>
      <c r="CN912" s="502"/>
      <c r="CO912" s="502"/>
      <c r="CP912" s="396"/>
      <c r="CQ912" s="502"/>
      <c r="CR912" s="502"/>
      <c r="CS912" s="502"/>
      <c r="CT912" s="502"/>
      <c r="CU912" s="502"/>
      <c r="CV912" s="502"/>
      <c r="CW912" s="502"/>
      <c r="CX912" s="502"/>
      <c r="CY912" s="502"/>
      <c r="CZ912" s="502"/>
      <c r="DA912" s="502"/>
      <c r="DB912" s="502"/>
      <c r="DC912" s="502"/>
      <c r="DD912" s="502"/>
      <c r="DE912" s="502"/>
      <c r="DF912" s="502"/>
      <c r="DG912" s="1855"/>
      <c r="DH912" s="502"/>
      <c r="DI912" s="561"/>
      <c r="DJ912" s="561"/>
      <c r="DK912" s="561"/>
      <c r="DL912" s="561"/>
      <c r="DM912" s="561"/>
      <c r="DN912" s="833"/>
      <c r="DO912" s="266"/>
      <c r="DY912" s="3479"/>
      <c r="DZ912" s="3479"/>
    </row>
    <row r="913" spans="1:130" ht="12" customHeight="1">
      <c r="A913" s="2689" t="s">
        <v>1769</v>
      </c>
      <c r="B913" s="445"/>
      <c r="C913" s="445"/>
      <c r="D913" s="580"/>
      <c r="E913" s="581"/>
      <c r="F913" s="581"/>
      <c r="G913" s="581"/>
      <c r="H913" s="588"/>
      <c r="I913" s="581"/>
      <c r="J913" s="581"/>
      <c r="K913" s="581"/>
      <c r="L913" s="581"/>
      <c r="M913" s="588"/>
      <c r="N913" s="581"/>
      <c r="O913" s="581"/>
      <c r="P913" s="581"/>
      <c r="Q913" s="581"/>
      <c r="R913" s="588"/>
      <c r="S913" s="581"/>
      <c r="T913" s="581"/>
      <c r="U913" s="581"/>
      <c r="V913" s="581"/>
      <c r="W913" s="588"/>
      <c r="X913" s="581"/>
      <c r="Y913" s="581"/>
      <c r="Z913" s="581"/>
      <c r="AA913" s="581"/>
      <c r="AB913" s="588"/>
      <c r="AC913" s="581"/>
      <c r="AD913" s="581"/>
      <c r="AE913" s="581"/>
      <c r="AF913" s="581"/>
      <c r="AG913" s="588"/>
      <c r="AH913" s="581"/>
      <c r="AI913" s="581"/>
      <c r="AJ913" s="581"/>
      <c r="AK913" s="581"/>
      <c r="AL913" s="588"/>
      <c r="AM913" s="2035"/>
      <c r="AN913" s="2035"/>
      <c r="AO913" s="2035"/>
      <c r="AP913" s="2035"/>
      <c r="AQ913" s="588"/>
      <c r="AR913" s="2035"/>
      <c r="AS913" s="2035"/>
      <c r="AT913" s="2035"/>
      <c r="AU913" s="2035"/>
      <c r="AV913" s="588"/>
      <c r="AW913" s="2035"/>
      <c r="AX913" s="2035"/>
      <c r="AY913" s="2035"/>
      <c r="AZ913" s="2035"/>
      <c r="BA913" s="588"/>
      <c r="BB913" s="2693">
        <f>+BB799</f>
        <v>10.625</v>
      </c>
      <c r="BC913" s="2693">
        <f>+BC799</f>
        <v>9.4725000000000019</v>
      </c>
      <c r="BD913" s="2693">
        <f>+BD799</f>
        <v>6.4207763049999995</v>
      </c>
      <c r="BE913" s="2693">
        <f>+BE799</f>
        <v>4.6508281942500007</v>
      </c>
      <c r="BF913" s="588">
        <f>SUM(BB913:BE913)</f>
        <v>31.169104499250004</v>
      </c>
      <c r="BG913" s="2915">
        <f>+BG799</f>
        <v>6.4369566415000001</v>
      </c>
      <c r="BH913" s="2693">
        <f>+BH799</f>
        <v>5.9976089750000003</v>
      </c>
      <c r="BI913" s="2693">
        <f>+BI799</f>
        <v>4.1848814937499998</v>
      </c>
      <c r="BJ913" s="2916">
        <f>+BJ799</f>
        <v>6.6717418425000004</v>
      </c>
      <c r="BK913" s="588">
        <f>SUM(BG913:BJ913)</f>
        <v>23.291188952750002</v>
      </c>
      <c r="BL913" s="2693">
        <f>+BL799</f>
        <v>6.0597655200000009</v>
      </c>
      <c r="BM913" s="2693">
        <f>+BM799</f>
        <v>5.9351311041750003</v>
      </c>
      <c r="BN913" s="3289">
        <f>+BN799*(1/3)</f>
        <v>1.978377034725</v>
      </c>
      <c r="BO913" s="2916"/>
      <c r="BP913" s="588"/>
      <c r="BQ913" s="3289"/>
      <c r="BR913" s="3289"/>
      <c r="BS913" s="3289"/>
      <c r="BT913" s="2916"/>
      <c r="BU913" s="3376"/>
      <c r="BV913" s="3289"/>
      <c r="BW913" s="3289"/>
      <c r="BX913" s="3289"/>
      <c r="BY913" s="2916"/>
      <c r="BZ913" s="588"/>
      <c r="CA913" s="588"/>
      <c r="CB913" s="588"/>
      <c r="CC913" s="588">
        <f>+CC799</f>
        <v>30.603836587201794</v>
      </c>
      <c r="CD913" s="588">
        <f>+CD799</f>
        <v>29.073644757841702</v>
      </c>
      <c r="CE913" s="588">
        <f>+CE799</f>
        <v>29.655117652998538</v>
      </c>
      <c r="CF913" s="588">
        <f>+CF799</f>
        <v>30.24822000605851</v>
      </c>
      <c r="CG913" s="588">
        <f>+CG799</f>
        <v>30.853184406179679</v>
      </c>
      <c r="CH913" s="581"/>
      <c r="CI913" s="581"/>
      <c r="CJ913" s="581"/>
      <c r="CK913" s="581"/>
      <c r="CL913" s="581"/>
      <c r="CM913" s="581"/>
      <c r="CN913" s="581"/>
      <c r="CO913" s="581"/>
      <c r="CP913" s="528"/>
      <c r="CQ913" s="581"/>
      <c r="CR913" s="581"/>
      <c r="CS913" s="581"/>
      <c r="CT913" s="581"/>
      <c r="CU913" s="581"/>
      <c r="CV913" s="581"/>
      <c r="CW913" s="581"/>
      <c r="CX913" s="581"/>
      <c r="CY913" s="581"/>
      <c r="CZ913" s="581"/>
      <c r="DA913" s="581"/>
      <c r="DB913" s="581"/>
      <c r="DC913" s="581"/>
      <c r="DD913" s="581"/>
      <c r="DE913" s="581"/>
      <c r="DF913" s="581"/>
      <c r="DG913" s="869"/>
      <c r="DH913" s="589"/>
      <c r="DI913" s="570"/>
      <c r="DJ913" s="570"/>
      <c r="DK913" s="570"/>
      <c r="DL913" s="570"/>
      <c r="DM913" s="570"/>
      <c r="DN913" s="222"/>
      <c r="DO913" s="226"/>
      <c r="DY913" s="581"/>
      <c r="DZ913" s="581"/>
    </row>
    <row r="914" spans="1:130" ht="12" customHeight="1">
      <c r="A914" s="567" t="s">
        <v>1103</v>
      </c>
      <c r="B914" s="819"/>
      <c r="C914" s="819"/>
      <c r="D914" s="560"/>
      <c r="E914" s="561"/>
      <c r="F914" s="561"/>
      <c r="G914" s="561"/>
      <c r="H914" s="562"/>
      <c r="I914" s="561"/>
      <c r="J914" s="561"/>
      <c r="K914" s="561"/>
      <c r="L914" s="561"/>
      <c r="M914" s="562"/>
      <c r="N914" s="561"/>
      <c r="O914" s="561"/>
      <c r="P914" s="561"/>
      <c r="Q914" s="561"/>
      <c r="R914" s="562"/>
      <c r="S914" s="561"/>
      <c r="T914" s="561"/>
      <c r="U914" s="561"/>
      <c r="V914" s="561"/>
      <c r="W914" s="562"/>
      <c r="X914" s="561"/>
      <c r="Y914" s="561"/>
      <c r="Z914" s="561"/>
      <c r="AA914" s="561"/>
      <c r="AB914" s="562"/>
      <c r="AC914" s="561"/>
      <c r="AD914" s="561"/>
      <c r="AE914" s="561"/>
      <c r="AF914" s="561"/>
      <c r="AG914" s="562"/>
      <c r="AH914" s="561"/>
      <c r="AI914" s="561"/>
      <c r="AJ914" s="561"/>
      <c r="AK914" s="561"/>
      <c r="AL914" s="562"/>
      <c r="AM914" s="561"/>
      <c r="AN914" s="561"/>
      <c r="AO914" s="561"/>
      <c r="AP914" s="561"/>
      <c r="AQ914" s="562"/>
      <c r="AR914" s="561"/>
      <c r="AS914" s="561"/>
      <c r="AT914" s="561"/>
      <c r="AU914" s="561"/>
      <c r="AV914" s="562"/>
      <c r="AW914" s="561"/>
      <c r="AX914" s="561"/>
      <c r="AY914" s="561"/>
      <c r="AZ914" s="561"/>
      <c r="BA914" s="562"/>
      <c r="BB914" s="561">
        <f t="shared" ref="BB914:BN914" si="1759">+BB913/BB906</f>
        <v>6.3522335947962499E-2</v>
      </c>
      <c r="BC914" s="561">
        <f t="shared" si="1759"/>
        <v>5.208848856775216E-2</v>
      </c>
      <c r="BD914" s="561">
        <f t="shared" si="1759"/>
        <v>3.0582989459194267E-2</v>
      </c>
      <c r="BE914" s="561">
        <f t="shared" si="1759"/>
        <v>2.5960960519852416E-2</v>
      </c>
      <c r="BF914" s="562">
        <f t="shared" si="1759"/>
        <v>4.2222487201152521E-2</v>
      </c>
      <c r="BG914" s="560">
        <f t="shared" si="1759"/>
        <v>3.5253803030303031E-2</v>
      </c>
      <c r="BH914" s="561">
        <f t="shared" si="1759"/>
        <v>3.1374319167412103E-2</v>
      </c>
      <c r="BI914" s="561">
        <f t="shared" si="1759"/>
        <v>1.7623447613502846E-2</v>
      </c>
      <c r="BJ914" s="1846">
        <f t="shared" si="1759"/>
        <v>3.4577030896124968E-2</v>
      </c>
      <c r="BK914" s="562">
        <f t="shared" si="1759"/>
        <v>2.8963160532464696E-2</v>
      </c>
      <c r="BL914" s="561">
        <f t="shared" si="1759"/>
        <v>3.1844395327205947E-2</v>
      </c>
      <c r="BM914" s="561">
        <f t="shared" si="1759"/>
        <v>2.91872076016612E-2</v>
      </c>
      <c r="BN914" s="561">
        <f t="shared" si="1759"/>
        <v>9.3002079656154431E-3</v>
      </c>
      <c r="BO914" s="1846"/>
      <c r="BP914" s="562"/>
      <c r="BQ914" s="561"/>
      <c r="BR914" s="561"/>
      <c r="BS914" s="561"/>
      <c r="BT914" s="1846"/>
      <c r="BU914" s="3371"/>
      <c r="BV914" s="561"/>
      <c r="BW914" s="561"/>
      <c r="BX914" s="561"/>
      <c r="BY914" s="1846"/>
      <c r="BZ914" s="562"/>
      <c r="CA914" s="562"/>
      <c r="CB914" s="562"/>
      <c r="CC914" s="562">
        <f>+CC913/CC906</f>
        <v>0.625</v>
      </c>
      <c r="CD914" s="562">
        <f>+CD913/CD906</f>
        <v>0.62499999999999989</v>
      </c>
      <c r="CE914" s="562">
        <f>+CE913/CE906</f>
        <v>0.62500000000000011</v>
      </c>
      <c r="CF914" s="562">
        <f>+CF913/CF906</f>
        <v>0.625</v>
      </c>
      <c r="CG914" s="562">
        <f>+CG913/CG906</f>
        <v>0.625</v>
      </c>
      <c r="CH914" s="561"/>
      <c r="CI914" s="561"/>
      <c r="CJ914" s="561"/>
      <c r="CK914" s="561"/>
      <c r="CL914" s="561"/>
      <c r="CM914" s="561"/>
      <c r="CN914" s="561"/>
      <c r="CO914" s="561"/>
      <c r="CP914" s="1849"/>
      <c r="CQ914" s="561"/>
      <c r="CR914" s="561"/>
      <c r="CS914" s="561"/>
      <c r="CT914" s="561"/>
      <c r="CU914" s="561"/>
      <c r="CV914" s="561"/>
      <c r="CW914" s="561"/>
      <c r="CX914" s="561"/>
      <c r="CY914" s="561"/>
      <c r="CZ914" s="561"/>
      <c r="DA914" s="561"/>
      <c r="DB914" s="561"/>
      <c r="DC914" s="561"/>
      <c r="DD914" s="561"/>
      <c r="DE914" s="561"/>
      <c r="DF914" s="561"/>
      <c r="DG914" s="1846"/>
      <c r="DH914" s="548"/>
      <c r="DI914" s="548"/>
      <c r="DJ914" s="548"/>
      <c r="DK914" s="548"/>
      <c r="DL914" s="548"/>
      <c r="DM914" s="548"/>
      <c r="DN914" s="265"/>
      <c r="DO914" s="266"/>
      <c r="DY914" s="561"/>
      <c r="DZ914" s="561"/>
    </row>
    <row r="915" spans="1:130" ht="12" customHeight="1">
      <c r="A915" s="257" t="s">
        <v>1249</v>
      </c>
      <c r="B915" s="545"/>
      <c r="C915" s="545"/>
      <c r="D915" s="608"/>
      <c r="E915" s="615"/>
      <c r="F915" s="502"/>
      <c r="G915" s="502"/>
      <c r="H915" s="503"/>
      <c r="I915" s="502"/>
      <c r="J915" s="502"/>
      <c r="K915" s="502"/>
      <c r="L915" s="502"/>
      <c r="M915" s="503"/>
      <c r="N915" s="502"/>
      <c r="O915" s="502"/>
      <c r="P915" s="502"/>
      <c r="Q915" s="502"/>
      <c r="R915" s="503"/>
      <c r="S915" s="502"/>
      <c r="T915" s="502"/>
      <c r="U915" s="502"/>
      <c r="V915" s="502"/>
      <c r="W915" s="503"/>
      <c r="X915" s="502"/>
      <c r="Y915" s="502"/>
      <c r="Z915" s="502"/>
      <c r="AA915" s="502"/>
      <c r="AB915" s="503"/>
      <c r="AC915" s="502"/>
      <c r="AD915" s="502"/>
      <c r="AE915" s="502"/>
      <c r="AF915" s="502"/>
      <c r="AG915" s="503"/>
      <c r="AH915" s="502"/>
      <c r="AI915" s="502"/>
      <c r="AJ915" s="502"/>
      <c r="AK915" s="502"/>
      <c r="AL915" s="503"/>
      <c r="AM915" s="502"/>
      <c r="AN915" s="502"/>
      <c r="AO915" s="502"/>
      <c r="AP915" s="502"/>
      <c r="AQ915" s="503"/>
      <c r="AR915" s="502"/>
      <c r="AS915" s="502"/>
      <c r="AT915" s="502"/>
      <c r="AU915" s="502"/>
      <c r="AV915" s="503"/>
      <c r="AW915" s="502"/>
      <c r="AX915" s="502"/>
      <c r="AY915" s="2455"/>
      <c r="AZ915" s="502"/>
      <c r="BA915" s="503"/>
      <c r="BB915" s="2925"/>
      <c r="BC915" s="2732"/>
      <c r="BD915" s="502"/>
      <c r="BE915" s="2733"/>
      <c r="BF915" s="503"/>
      <c r="BG915" s="2966"/>
      <c r="BH915" s="2925"/>
      <c r="BI915" s="502"/>
      <c r="BJ915" s="1855"/>
      <c r="BK915" s="503"/>
      <c r="BL915" s="2925"/>
      <c r="BM915" s="2925"/>
      <c r="BN915" s="502"/>
      <c r="BO915" s="1855"/>
      <c r="BP915" s="503"/>
      <c r="BQ915" s="502"/>
      <c r="BR915" s="502"/>
      <c r="BS915" s="502"/>
      <c r="BT915" s="1855"/>
      <c r="BU915" s="3381"/>
      <c r="BV915" s="502"/>
      <c r="BW915" s="502"/>
      <c r="BX915" s="502"/>
      <c r="BY915" s="1855"/>
      <c r="BZ915" s="503"/>
      <c r="CA915" s="503"/>
      <c r="CB915" s="503"/>
      <c r="CC915" s="503" t="e">
        <f>+CC913/CB913-1</f>
        <v>#DIV/0!</v>
      </c>
      <c r="CD915" s="503">
        <f>+CD913/CC913-1</f>
        <v>-5.0000000000000044E-2</v>
      </c>
      <c r="CE915" s="503">
        <f>+CE913/CD913-1</f>
        <v>2.0000000000000018E-2</v>
      </c>
      <c r="CF915" s="503">
        <f>+CF913/CE913-1</f>
        <v>2.0000000000000018E-2</v>
      </c>
      <c r="CG915" s="503">
        <f>+CG913/CF913-1</f>
        <v>2.0000000000000018E-2</v>
      </c>
      <c r="CH915" s="502"/>
      <c r="CI915" s="502"/>
      <c r="CJ915" s="502"/>
      <c r="CK915" s="502"/>
      <c r="CL915" s="502"/>
      <c r="CM915" s="502"/>
      <c r="CN915" s="502"/>
      <c r="CO915" s="502"/>
      <c r="CP915" s="396"/>
      <c r="CQ915" s="502"/>
      <c r="CR915" s="502"/>
      <c r="CS915" s="502"/>
      <c r="CT915" s="502"/>
      <c r="CU915" s="502"/>
      <c r="CV915" s="502"/>
      <c r="CW915" s="502"/>
      <c r="CX915" s="502"/>
      <c r="CY915" s="502"/>
      <c r="CZ915" s="502"/>
      <c r="DA915" s="502"/>
      <c r="DB915" s="502"/>
      <c r="DC915" s="502"/>
      <c r="DD915" s="502"/>
      <c r="DE915" s="502"/>
      <c r="DF915" s="502"/>
      <c r="DG915" s="1855"/>
      <c r="DH915" s="502"/>
      <c r="DI915" s="561"/>
      <c r="DJ915" s="561"/>
      <c r="DK915" s="561"/>
      <c r="DL915" s="561"/>
      <c r="DM915" s="561"/>
      <c r="DN915" s="833"/>
      <c r="DO915" s="266"/>
      <c r="DY915" s="502"/>
      <c r="DZ915" s="502"/>
    </row>
    <row r="916" spans="1:130" ht="6" customHeight="1">
      <c r="A916" s="257"/>
      <c r="B916" s="545"/>
      <c r="C916" s="545"/>
      <c r="D916" s="608"/>
      <c r="E916" s="615"/>
      <c r="F916" s="502"/>
      <c r="G916" s="502"/>
      <c r="H916" s="503"/>
      <c r="I916" s="502"/>
      <c r="J916" s="502"/>
      <c r="K916" s="502"/>
      <c r="L916" s="502"/>
      <c r="M916" s="503"/>
      <c r="N916" s="502"/>
      <c r="O916" s="502"/>
      <c r="P916" s="502"/>
      <c r="Q916" s="502"/>
      <c r="R916" s="503"/>
      <c r="S916" s="502"/>
      <c r="T916" s="502"/>
      <c r="U916" s="502"/>
      <c r="V916" s="502"/>
      <c r="W916" s="503"/>
      <c r="X916" s="502"/>
      <c r="Y916" s="502"/>
      <c r="Z916" s="502"/>
      <c r="AA916" s="502"/>
      <c r="AB916" s="503"/>
      <c r="AC916" s="502"/>
      <c r="AD916" s="502"/>
      <c r="AE916" s="502"/>
      <c r="AF916" s="502"/>
      <c r="AG916" s="503"/>
      <c r="AH916" s="502"/>
      <c r="AI916" s="502"/>
      <c r="AJ916" s="502"/>
      <c r="AK916" s="502"/>
      <c r="AL916" s="503"/>
      <c r="AM916" s="502"/>
      <c r="AN916" s="502"/>
      <c r="AO916" s="502"/>
      <c r="AP916" s="502"/>
      <c r="AQ916" s="503"/>
      <c r="AR916" s="502"/>
      <c r="AS916" s="502"/>
      <c r="AT916" s="502"/>
      <c r="AU916" s="502"/>
      <c r="AV916" s="503"/>
      <c r="AW916" s="502"/>
      <c r="AX916" s="502"/>
      <c r="AY916" s="2455"/>
      <c r="AZ916" s="502"/>
      <c r="BA916" s="503"/>
      <c r="BB916" s="502"/>
      <c r="BC916" s="2686"/>
      <c r="BD916" s="2504"/>
      <c r="BE916" s="2504"/>
      <c r="BF916" s="503"/>
      <c r="BG916" s="358"/>
      <c r="BH916" s="502"/>
      <c r="BI916" s="502"/>
      <c r="BJ916" s="1855"/>
      <c r="BK916" s="2367"/>
      <c r="BL916" s="502"/>
      <c r="BM916" s="502"/>
      <c r="BN916" s="502"/>
      <c r="BO916" s="1855"/>
      <c r="BP916" s="2367"/>
      <c r="BQ916" s="502"/>
      <c r="BR916" s="502"/>
      <c r="BS916" s="502"/>
      <c r="BT916" s="1855"/>
      <c r="BU916" s="3381"/>
      <c r="BV916" s="502"/>
      <c r="BW916" s="502"/>
      <c r="BX916" s="502"/>
      <c r="BY916" s="1855"/>
      <c r="BZ916" s="550"/>
      <c r="CA916" s="550"/>
      <c r="CB916" s="550"/>
      <c r="CC916" s="550"/>
      <c r="CD916" s="550"/>
      <c r="CE916" s="550"/>
      <c r="CF916" s="550"/>
      <c r="CG916" s="550"/>
      <c r="CH916" s="502"/>
      <c r="CI916" s="502"/>
      <c r="CJ916" s="502"/>
      <c r="CK916" s="502"/>
      <c r="CL916" s="502"/>
      <c r="CM916" s="502"/>
      <c r="CN916" s="502"/>
      <c r="CO916" s="502"/>
      <c r="CP916" s="396"/>
      <c r="CQ916" s="502"/>
      <c r="CR916" s="502"/>
      <c r="CS916" s="502"/>
      <c r="CT916" s="502"/>
      <c r="CU916" s="502"/>
      <c r="CV916" s="502"/>
      <c r="CW916" s="502"/>
      <c r="CX916" s="502"/>
      <c r="CY916" s="502"/>
      <c r="CZ916" s="502"/>
      <c r="DA916" s="502"/>
      <c r="DB916" s="502"/>
      <c r="DC916" s="502"/>
      <c r="DD916" s="502"/>
      <c r="DE916" s="502"/>
      <c r="DF916" s="502"/>
      <c r="DG916" s="1855"/>
      <c r="DH916" s="502"/>
      <c r="DI916" s="561"/>
      <c r="DJ916" s="561"/>
      <c r="DK916" s="561"/>
      <c r="DL916" s="561"/>
      <c r="DM916" s="561"/>
      <c r="DN916" s="833"/>
      <c r="DO916" s="266"/>
      <c r="DY916" s="3479"/>
      <c r="DZ916" s="3479"/>
    </row>
    <row r="917" spans="1:130" ht="12" customHeight="1">
      <c r="A917" s="2689" t="s">
        <v>1771</v>
      </c>
      <c r="B917" s="445"/>
      <c r="C917" s="445"/>
      <c r="D917" s="580"/>
      <c r="E917" s="581"/>
      <c r="F917" s="581"/>
      <c r="G917" s="581"/>
      <c r="H917" s="588"/>
      <c r="I917" s="581"/>
      <c r="J917" s="581"/>
      <c r="K917" s="581"/>
      <c r="L917" s="581"/>
      <c r="M917" s="588"/>
      <c r="N917" s="581"/>
      <c r="O917" s="581"/>
      <c r="P917" s="581"/>
      <c r="Q917" s="581"/>
      <c r="R917" s="588"/>
      <c r="S917" s="581"/>
      <c r="T917" s="581"/>
      <c r="U917" s="581"/>
      <c r="V917" s="581"/>
      <c r="W917" s="588"/>
      <c r="X917" s="581"/>
      <c r="Y917" s="581"/>
      <c r="Z917" s="581"/>
      <c r="AA917" s="581"/>
      <c r="AB917" s="588"/>
      <c r="AC917" s="581"/>
      <c r="AD917" s="581"/>
      <c r="AE917" s="581"/>
      <c r="AF917" s="581"/>
      <c r="AG917" s="588"/>
      <c r="AH917" s="581"/>
      <c r="AI917" s="581"/>
      <c r="AJ917" s="581"/>
      <c r="AK917" s="581"/>
      <c r="AL917" s="588"/>
      <c r="AM917" s="2035"/>
      <c r="AN917" s="2035"/>
      <c r="AO917" s="2035"/>
      <c r="AP917" s="2035"/>
      <c r="AQ917" s="588"/>
      <c r="AR917" s="2035"/>
      <c r="AS917" s="2035"/>
      <c r="AT917" s="2035"/>
      <c r="AU917" s="2035"/>
      <c r="AV917" s="588"/>
      <c r="AW917" s="2035"/>
      <c r="AX917" s="2035"/>
      <c r="AY917" s="2035"/>
      <c r="AZ917" s="2035"/>
      <c r="BA917" s="588"/>
      <c r="BB917" s="2693">
        <f>+BB793</f>
        <v>1.575</v>
      </c>
      <c r="BC917" s="2693">
        <f>+BC793</f>
        <v>1.6274999999999999</v>
      </c>
      <c r="BD917" s="2693">
        <f>+BD793</f>
        <v>1.4044070949999998</v>
      </c>
      <c r="BE917" s="2693">
        <f>+BE793</f>
        <v>1.36835749575</v>
      </c>
      <c r="BF917" s="588">
        <f>SUM(BB917:BE917)</f>
        <v>5.9752645907499993</v>
      </c>
      <c r="BG917" s="2915">
        <f>+BG793</f>
        <v>1.5987483784999998</v>
      </c>
      <c r="BH917" s="2693">
        <f>+BH793</f>
        <v>1.611614025</v>
      </c>
      <c r="BI917" s="2693">
        <f>+BI793</f>
        <v>1.6089142562499998</v>
      </c>
      <c r="BJ917" s="2916">
        <f>+BJ793</f>
        <v>1.7557215374999999</v>
      </c>
      <c r="BK917" s="588">
        <f>SUM(BG917:BJ917)</f>
        <v>6.5749981972499985</v>
      </c>
      <c r="BL917" s="2693">
        <f>+BL793</f>
        <v>1.5710503200000001</v>
      </c>
      <c r="BM917" s="2693">
        <f>+BM793</f>
        <v>1.5387376936749999</v>
      </c>
      <c r="BN917" s="3289">
        <f>+BN793*(1/3)</f>
        <v>0.51291256455833323</v>
      </c>
      <c r="BO917" s="2916"/>
      <c r="BP917" s="588"/>
      <c r="BQ917" s="3289"/>
      <c r="BR917" s="3289"/>
      <c r="BS917" s="3289"/>
      <c r="BT917" s="2916"/>
      <c r="BU917" s="3376"/>
      <c r="BV917" s="3289"/>
      <c r="BW917" s="3289"/>
      <c r="BX917" s="3289"/>
      <c r="BY917" s="2916"/>
      <c r="BZ917" s="588"/>
      <c r="CA917" s="588"/>
      <c r="CB917" s="588"/>
      <c r="CC917" s="588">
        <f>+CC793</f>
        <v>9.3142111352353272</v>
      </c>
      <c r="CD917" s="588">
        <f>+CD793</f>
        <v>8.8485005784735602</v>
      </c>
      <c r="CE917" s="588">
        <f>+CE793</f>
        <v>9.0254705900430316</v>
      </c>
      <c r="CF917" s="588">
        <f>+CF793</f>
        <v>9.2059800018438924</v>
      </c>
      <c r="CG917" s="588">
        <f>+CG793</f>
        <v>9.3900996018807721</v>
      </c>
      <c r="CH917" s="581"/>
      <c r="CI917" s="581"/>
      <c r="CJ917" s="581"/>
      <c r="CK917" s="581"/>
      <c r="CL917" s="581"/>
      <c r="CM917" s="581"/>
      <c r="CN917" s="581"/>
      <c r="CO917" s="581"/>
      <c r="CP917" s="528"/>
      <c r="CQ917" s="581"/>
      <c r="CR917" s="581"/>
      <c r="CS917" s="581"/>
      <c r="CT917" s="581"/>
      <c r="CU917" s="581"/>
      <c r="CV917" s="581"/>
      <c r="CW917" s="581"/>
      <c r="CX917" s="581"/>
      <c r="CY917" s="581"/>
      <c r="CZ917" s="581"/>
      <c r="DA917" s="581"/>
      <c r="DB917" s="581"/>
      <c r="DC917" s="581"/>
      <c r="DD917" s="581"/>
      <c r="DE917" s="581"/>
      <c r="DF917" s="581"/>
      <c r="DG917" s="869"/>
      <c r="DH917" s="589"/>
      <c r="DI917" s="570"/>
      <c r="DJ917" s="570"/>
      <c r="DK917" s="570"/>
      <c r="DL917" s="570"/>
      <c r="DM917" s="570"/>
      <c r="DN917" s="222"/>
      <c r="DO917" s="226"/>
      <c r="DY917" s="581"/>
      <c r="DZ917" s="581"/>
    </row>
    <row r="918" spans="1:130" ht="12" customHeight="1">
      <c r="A918" s="567" t="s">
        <v>1103</v>
      </c>
      <c r="B918" s="819"/>
      <c r="C918" s="819"/>
      <c r="D918" s="560"/>
      <c r="E918" s="561"/>
      <c r="F918" s="561"/>
      <c r="G918" s="561"/>
      <c r="H918" s="562"/>
      <c r="I918" s="561"/>
      <c r="J918" s="561"/>
      <c r="K918" s="561"/>
      <c r="L918" s="561"/>
      <c r="M918" s="562"/>
      <c r="N918" s="561"/>
      <c r="O918" s="561"/>
      <c r="P918" s="561"/>
      <c r="Q918" s="561"/>
      <c r="R918" s="562"/>
      <c r="S918" s="561"/>
      <c r="T918" s="561"/>
      <c r="U918" s="561"/>
      <c r="V918" s="561"/>
      <c r="W918" s="562"/>
      <c r="X918" s="561"/>
      <c r="Y918" s="561"/>
      <c r="Z918" s="561"/>
      <c r="AA918" s="561"/>
      <c r="AB918" s="562"/>
      <c r="AC918" s="561"/>
      <c r="AD918" s="561"/>
      <c r="AE918" s="561"/>
      <c r="AF918" s="561"/>
      <c r="AG918" s="562"/>
      <c r="AH918" s="561"/>
      <c r="AI918" s="561"/>
      <c r="AJ918" s="561"/>
      <c r="AK918" s="561"/>
      <c r="AL918" s="562"/>
      <c r="AM918" s="561"/>
      <c r="AN918" s="561"/>
      <c r="AO918" s="561"/>
      <c r="AP918" s="561"/>
      <c r="AQ918" s="562"/>
      <c r="AR918" s="561"/>
      <c r="AS918" s="561"/>
      <c r="AT918" s="561"/>
      <c r="AU918" s="561"/>
      <c r="AV918" s="562"/>
      <c r="AW918" s="561"/>
      <c r="AX918" s="561"/>
      <c r="AY918" s="561"/>
      <c r="AZ918" s="561"/>
      <c r="BA918" s="562"/>
      <c r="BB918" s="561">
        <f>+BB917/BB787</f>
        <v>0.17499999999999999</v>
      </c>
      <c r="BC918" s="561">
        <f t="shared" ref="BC918:BN918" si="1760">+BC917/BC787</f>
        <v>0.17499999999999999</v>
      </c>
      <c r="BD918" s="561">
        <f t="shared" si="1760"/>
        <v>0.17499999999999999</v>
      </c>
      <c r="BE918" s="561">
        <f t="shared" si="1760"/>
        <v>0.17499999999999999</v>
      </c>
      <c r="BF918" s="562">
        <f t="shared" si="1760"/>
        <v>0.17499999999999999</v>
      </c>
      <c r="BG918" s="560">
        <f t="shared" si="1760"/>
        <v>0.17499999999999999</v>
      </c>
      <c r="BH918" s="561">
        <f t="shared" si="1760"/>
        <v>0.17499999999999999</v>
      </c>
      <c r="BI918" s="561">
        <f t="shared" si="1760"/>
        <v>0.17499999999999999</v>
      </c>
      <c r="BJ918" s="1846">
        <f t="shared" si="1760"/>
        <v>0.17499999999999999</v>
      </c>
      <c r="BK918" s="562">
        <f t="shared" si="1760"/>
        <v>0.17499999999999999</v>
      </c>
      <c r="BL918" s="561">
        <f t="shared" si="1760"/>
        <v>0.17499999999999999</v>
      </c>
      <c r="BM918" s="561">
        <f t="shared" si="1760"/>
        <v>0.17499999999999999</v>
      </c>
      <c r="BN918" s="561">
        <f t="shared" si="1760"/>
        <v>5.833333333333332E-2</v>
      </c>
      <c r="BO918" s="1846"/>
      <c r="BP918" s="562"/>
      <c r="BQ918" s="561"/>
      <c r="BR918" s="561"/>
      <c r="BS918" s="561"/>
      <c r="BT918" s="1846"/>
      <c r="BU918" s="3371"/>
      <c r="BV918" s="561"/>
      <c r="BW918" s="561"/>
      <c r="BX918" s="561"/>
      <c r="BY918" s="1846"/>
      <c r="BZ918" s="562"/>
      <c r="CA918" s="562"/>
      <c r="CB918" s="562"/>
      <c r="CC918" s="562">
        <f>+CC917/CC787</f>
        <v>0.17499999999999999</v>
      </c>
      <c r="CD918" s="562">
        <f>+CD917/CD787</f>
        <v>0.17499999999999996</v>
      </c>
      <c r="CE918" s="562">
        <f>+CE917/CE787</f>
        <v>0.17499999999999999</v>
      </c>
      <c r="CF918" s="562">
        <f>+CF917/CF787</f>
        <v>0.17499999999999999</v>
      </c>
      <c r="CG918" s="562">
        <f>+CG917/CG787</f>
        <v>0.17500000000000002</v>
      </c>
      <c r="CH918" s="561"/>
      <c r="CI918" s="561"/>
      <c r="CJ918" s="561"/>
      <c r="CK918" s="561"/>
      <c r="CL918" s="561"/>
      <c r="CM918" s="561"/>
      <c r="CN918" s="561"/>
      <c r="CO918" s="561"/>
      <c r="CP918" s="1849"/>
      <c r="CQ918" s="561"/>
      <c r="CR918" s="561"/>
      <c r="CS918" s="561"/>
      <c r="CT918" s="561"/>
      <c r="CU918" s="561"/>
      <c r="CV918" s="561"/>
      <c r="CW918" s="561"/>
      <c r="CX918" s="561"/>
      <c r="CY918" s="561"/>
      <c r="CZ918" s="561"/>
      <c r="DA918" s="561"/>
      <c r="DB918" s="561"/>
      <c r="DC918" s="561"/>
      <c r="DD918" s="561"/>
      <c r="DE918" s="561"/>
      <c r="DF918" s="561"/>
      <c r="DG918" s="1846"/>
      <c r="DH918" s="548"/>
      <c r="DI918" s="548"/>
      <c r="DJ918" s="548"/>
      <c r="DK918" s="548"/>
      <c r="DL918" s="548"/>
      <c r="DM918" s="548"/>
      <c r="DN918" s="265"/>
      <c r="DO918" s="266"/>
      <c r="DY918" s="561"/>
      <c r="DZ918" s="561"/>
    </row>
    <row r="919" spans="1:130" ht="12" customHeight="1">
      <c r="A919" s="257" t="s">
        <v>1249</v>
      </c>
      <c r="B919" s="545"/>
      <c r="C919" s="545"/>
      <c r="D919" s="608"/>
      <c r="E919" s="615"/>
      <c r="F919" s="502"/>
      <c r="G919" s="502"/>
      <c r="H919" s="503"/>
      <c r="I919" s="502"/>
      <c r="J919" s="502"/>
      <c r="K919" s="502"/>
      <c r="L919" s="502"/>
      <c r="M919" s="503"/>
      <c r="N919" s="502"/>
      <c r="O919" s="502"/>
      <c r="P919" s="502"/>
      <c r="Q919" s="502"/>
      <c r="R919" s="503"/>
      <c r="S919" s="502"/>
      <c r="T919" s="502"/>
      <c r="U919" s="502"/>
      <c r="V919" s="502"/>
      <c r="W919" s="503"/>
      <c r="X919" s="502"/>
      <c r="Y919" s="502"/>
      <c r="Z919" s="502"/>
      <c r="AA919" s="502"/>
      <c r="AB919" s="503"/>
      <c r="AC919" s="502"/>
      <c r="AD919" s="502"/>
      <c r="AE919" s="502"/>
      <c r="AF919" s="502"/>
      <c r="AG919" s="503"/>
      <c r="AH919" s="502"/>
      <c r="AI919" s="502"/>
      <c r="AJ919" s="502"/>
      <c r="AK919" s="502"/>
      <c r="AL919" s="503"/>
      <c r="AM919" s="502"/>
      <c r="AN919" s="502"/>
      <c r="AO919" s="502"/>
      <c r="AP919" s="502"/>
      <c r="AQ919" s="503"/>
      <c r="AR919" s="502"/>
      <c r="AS919" s="502"/>
      <c r="AT919" s="502"/>
      <c r="AU919" s="502"/>
      <c r="AV919" s="503"/>
      <c r="AW919" s="502"/>
      <c r="AX919" s="502"/>
      <c r="AY919" s="2455"/>
      <c r="AZ919" s="502"/>
      <c r="BA919" s="503"/>
      <c r="BB919" s="502"/>
      <c r="BC919" s="2686"/>
      <c r="BD919" s="2504"/>
      <c r="BE919" s="2504"/>
      <c r="BF919" s="503"/>
      <c r="BG919" s="358"/>
      <c r="BH919" s="502"/>
      <c r="BI919" s="502"/>
      <c r="BJ919" s="1855"/>
      <c r="BK919" s="503"/>
      <c r="BL919" s="502"/>
      <c r="BM919" s="502"/>
      <c r="BN919" s="502"/>
      <c r="BO919" s="1855"/>
      <c r="BP919" s="503"/>
      <c r="BQ919" s="502"/>
      <c r="BR919" s="502"/>
      <c r="BS919" s="502"/>
      <c r="BT919" s="1855"/>
      <c r="BU919" s="3381"/>
      <c r="BV919" s="502"/>
      <c r="BW919" s="502"/>
      <c r="BX919" s="502"/>
      <c r="BY919" s="1855"/>
      <c r="BZ919" s="503"/>
      <c r="CA919" s="503"/>
      <c r="CB919" s="503"/>
      <c r="CC919" s="503" t="e">
        <f>+CC917/CB917-1</f>
        <v>#DIV/0!</v>
      </c>
      <c r="CD919" s="503">
        <f>+CD917/CC917-1</f>
        <v>-5.0000000000000044E-2</v>
      </c>
      <c r="CE919" s="503">
        <f>+CE917/CD917-1</f>
        <v>2.0000000000000018E-2</v>
      </c>
      <c r="CF919" s="503">
        <f>+CF917/CE917-1</f>
        <v>2.0000000000000018E-2</v>
      </c>
      <c r="CG919" s="503">
        <f>+CG917/CF917-1</f>
        <v>2.000000000000024E-2</v>
      </c>
      <c r="CH919" s="502"/>
      <c r="CI919" s="502"/>
      <c r="CJ919" s="502"/>
      <c r="CK919" s="502"/>
      <c r="CL919" s="502"/>
      <c r="CM919" s="502"/>
      <c r="CN919" s="502"/>
      <c r="CO919" s="502"/>
      <c r="CP919" s="396"/>
      <c r="CQ919" s="502"/>
      <c r="CR919" s="502"/>
      <c r="CS919" s="502"/>
      <c r="CT919" s="502"/>
      <c r="CU919" s="502"/>
      <c r="CV919" s="502"/>
      <c r="CW919" s="502"/>
      <c r="CX919" s="502"/>
      <c r="CY919" s="502"/>
      <c r="CZ919" s="502"/>
      <c r="DA919" s="502"/>
      <c r="DB919" s="502"/>
      <c r="DC919" s="502"/>
      <c r="DD919" s="502"/>
      <c r="DE919" s="502"/>
      <c r="DF919" s="502"/>
      <c r="DG919" s="1855"/>
      <c r="DH919" s="502"/>
      <c r="DI919" s="561"/>
      <c r="DJ919" s="561"/>
      <c r="DK919" s="561"/>
      <c r="DL919" s="561"/>
      <c r="DM919" s="561"/>
      <c r="DN919" s="833"/>
      <c r="DO919" s="266"/>
      <c r="DY919" s="502"/>
      <c r="DZ919" s="502"/>
    </row>
    <row r="920" spans="1:130" ht="6" customHeight="1">
      <c r="A920" s="257"/>
      <c r="B920" s="545"/>
      <c r="C920" s="545"/>
      <c r="D920" s="608"/>
      <c r="E920" s="615"/>
      <c r="F920" s="502"/>
      <c r="G920" s="502"/>
      <c r="H920" s="503"/>
      <c r="I920" s="502"/>
      <c r="J920" s="502"/>
      <c r="K920" s="502"/>
      <c r="L920" s="502"/>
      <c r="M920" s="503"/>
      <c r="N920" s="502"/>
      <c r="O920" s="502"/>
      <c r="P920" s="502"/>
      <c r="Q920" s="502"/>
      <c r="R920" s="503"/>
      <c r="S920" s="502"/>
      <c r="T920" s="502"/>
      <c r="U920" s="502"/>
      <c r="V920" s="502"/>
      <c r="W920" s="503"/>
      <c r="X920" s="502"/>
      <c r="Y920" s="502"/>
      <c r="Z920" s="502"/>
      <c r="AA920" s="502"/>
      <c r="AB920" s="503"/>
      <c r="AC920" s="502"/>
      <c r="AD920" s="502"/>
      <c r="AE920" s="502"/>
      <c r="AF920" s="502"/>
      <c r="AG920" s="503"/>
      <c r="AH920" s="502"/>
      <c r="AI920" s="502"/>
      <c r="AJ920" s="502"/>
      <c r="AK920" s="502"/>
      <c r="AL920" s="503"/>
      <c r="AM920" s="502"/>
      <c r="AN920" s="502"/>
      <c r="AO920" s="502"/>
      <c r="AP920" s="502"/>
      <c r="AQ920" s="503"/>
      <c r="AR920" s="502"/>
      <c r="AS920" s="502"/>
      <c r="AT920" s="502"/>
      <c r="AU920" s="502"/>
      <c r="AV920" s="503"/>
      <c r="AW920" s="502"/>
      <c r="AX920" s="502"/>
      <c r="AY920" s="2455"/>
      <c r="AZ920" s="502"/>
      <c r="BA920" s="503"/>
      <c r="BB920" s="502"/>
      <c r="BC920" s="2686"/>
      <c r="BD920" s="2504"/>
      <c r="BE920" s="2504"/>
      <c r="BF920" s="503"/>
      <c r="BG920" s="358"/>
      <c r="BH920" s="502"/>
      <c r="BI920" s="502"/>
      <c r="BJ920" s="1855"/>
      <c r="BK920" s="2367"/>
      <c r="BL920" s="502"/>
      <c r="BM920" s="502"/>
      <c r="BN920" s="502"/>
      <c r="BO920" s="1855"/>
      <c r="BP920" s="2367"/>
      <c r="BQ920" s="502"/>
      <c r="BR920" s="502"/>
      <c r="BS920" s="502"/>
      <c r="BT920" s="1855"/>
      <c r="BU920" s="3381"/>
      <c r="BV920" s="502"/>
      <c r="BW920" s="502"/>
      <c r="BX920" s="502"/>
      <c r="BY920" s="1855"/>
      <c r="BZ920" s="550"/>
      <c r="CA920" s="550"/>
      <c r="CB920" s="550"/>
      <c r="CC920" s="550"/>
      <c r="CD920" s="550"/>
      <c r="CE920" s="550"/>
      <c r="CF920" s="550"/>
      <c r="CG920" s="550"/>
      <c r="CH920" s="502"/>
      <c r="CI920" s="502"/>
      <c r="CJ920" s="502"/>
      <c r="CK920" s="502"/>
      <c r="CL920" s="502"/>
      <c r="CM920" s="502"/>
      <c r="CN920" s="502"/>
      <c r="CO920" s="502"/>
      <c r="CP920" s="396"/>
      <c r="CQ920" s="502"/>
      <c r="CR920" s="502"/>
      <c r="CS920" s="502"/>
      <c r="CT920" s="502"/>
      <c r="CU920" s="502"/>
      <c r="CV920" s="502"/>
      <c r="CW920" s="502"/>
      <c r="CX920" s="502"/>
      <c r="CY920" s="502"/>
      <c r="CZ920" s="502"/>
      <c r="DA920" s="502"/>
      <c r="DB920" s="502"/>
      <c r="DC920" s="502"/>
      <c r="DD920" s="502"/>
      <c r="DE920" s="502"/>
      <c r="DF920" s="502"/>
      <c r="DG920" s="1855"/>
      <c r="DH920" s="502"/>
      <c r="DI920" s="561"/>
      <c r="DJ920" s="561"/>
      <c r="DK920" s="561"/>
      <c r="DL920" s="561"/>
      <c r="DM920" s="561"/>
      <c r="DN920" s="833"/>
      <c r="DO920" s="266"/>
      <c r="DY920" s="3479"/>
      <c r="DZ920" s="3479"/>
    </row>
    <row r="921" spans="1:130" ht="12" customHeight="1">
      <c r="A921" s="2558" t="s">
        <v>1770</v>
      </c>
      <c r="B921" s="834"/>
      <c r="C921" s="834"/>
      <c r="D921" s="580">
        <f>Taxes!C294</f>
        <v>15.701541250000002</v>
      </c>
      <c r="E921" s="581">
        <f>Taxes!D294</f>
        <v>16.519023749999995</v>
      </c>
      <c r="F921" s="581">
        <f>Taxes!E294</f>
        <v>18.617306249999999</v>
      </c>
      <c r="G921" s="581">
        <f>Taxes!F294</f>
        <v>17.94936375</v>
      </c>
      <c r="H921" s="588">
        <f>SUM(D921:G921)</f>
        <v>68.787234999999995</v>
      </c>
      <c r="I921" s="581">
        <f>Taxes!H294</f>
        <v>18.166207499999999</v>
      </c>
      <c r="J921" s="581">
        <f>Taxes!I294</f>
        <v>19.017875000000004</v>
      </c>
      <c r="K921" s="581">
        <f>Taxes!J294</f>
        <v>21.118622500000001</v>
      </c>
      <c r="L921" s="581">
        <f>Taxes!K294</f>
        <v>19.412567500000002</v>
      </c>
      <c r="M921" s="588">
        <f>SUM(I921:L921)</f>
        <v>77.715272499999998</v>
      </c>
      <c r="N921" s="581">
        <f>Taxes!M294</f>
        <v>19.323142499999999</v>
      </c>
      <c r="O921" s="581">
        <f>Taxes!N294</f>
        <v>19.383210921138264</v>
      </c>
      <c r="P921" s="581">
        <f>Taxes!O294</f>
        <v>23.818634186847849</v>
      </c>
      <c r="Q921" s="581">
        <f>Taxes!P294</f>
        <v>19.193959214160124</v>
      </c>
      <c r="R921" s="588">
        <f>SUM(N921:Q921)</f>
        <v>81.718946822146222</v>
      </c>
      <c r="S921" s="581">
        <f>Taxes!R294</f>
        <v>20.752195370602934</v>
      </c>
      <c r="T921" s="581">
        <f>Taxes!S294</f>
        <v>20.020557088716572</v>
      </c>
      <c r="U921" s="581">
        <f>Taxes!T294</f>
        <v>22.064435394297305</v>
      </c>
      <c r="V921" s="581">
        <f>Taxes!U294</f>
        <v>19.440981707631735</v>
      </c>
      <c r="W921" s="588">
        <f>SUM(S921:V921)</f>
        <v>82.278169561248546</v>
      </c>
      <c r="X921" s="581">
        <f>Taxes!W294</f>
        <v>19.459221878456454</v>
      </c>
      <c r="Y921" s="581">
        <f>Taxes!X294</f>
        <v>19.615705257529125</v>
      </c>
      <c r="Z921" s="581">
        <f>Taxes!Y294</f>
        <v>21.949126745912686</v>
      </c>
      <c r="AA921" s="581">
        <f>Taxes!Z294</f>
        <v>17.984307985905605</v>
      </c>
      <c r="AB921" s="588">
        <f>SUM(X921:AA921)</f>
        <v>79.00836186780387</v>
      </c>
      <c r="AC921" s="581">
        <f>Taxes!AB294</f>
        <v>18.002869715886504</v>
      </c>
      <c r="AD921" s="581">
        <f>Taxes!AC294</f>
        <v>18.597363434058106</v>
      </c>
      <c r="AE921" s="581">
        <f>Taxes!AD294</f>
        <v>20.214084969683505</v>
      </c>
      <c r="AF921" s="581">
        <f>Taxes!AE294</f>
        <v>15.993662484950715</v>
      </c>
      <c r="AG921" s="588">
        <f>SUM(AC921:AF921)</f>
        <v>72.80798060457883</v>
      </c>
      <c r="AH921" s="581">
        <f>Taxes!AG294</f>
        <v>15.857570157685879</v>
      </c>
      <c r="AI921" s="581">
        <f>Taxes!AH294</f>
        <v>16.942520906226747</v>
      </c>
      <c r="AJ921" s="581">
        <f>Taxes!AI294</f>
        <v>18.144892818371879</v>
      </c>
      <c r="AK921" s="581">
        <f>Taxes!AJ294</f>
        <v>15.353106550982719</v>
      </c>
      <c r="AL921" s="588">
        <f>Taxes!AK294</f>
        <v>66.298090433267234</v>
      </c>
      <c r="AM921" s="581">
        <f>Taxes!AL294</f>
        <v>15.457851824999999</v>
      </c>
      <c r="AN921" s="581">
        <f>Taxes!AM294</f>
        <v>16.520879212500002</v>
      </c>
      <c r="AO921" s="581">
        <f>Taxes!AN294</f>
        <v>17.883846824999999</v>
      </c>
      <c r="AP921" s="581">
        <f>Taxes!AO294</f>
        <v>16.028616825000004</v>
      </c>
      <c r="AQ921" s="588">
        <f>Taxes!AP294</f>
        <v>65.891194687500004</v>
      </c>
      <c r="AR921" s="581">
        <f>Taxes!AQ294</f>
        <v>15.808559324999999</v>
      </c>
      <c r="AS921" s="581">
        <f>Taxes!AR294</f>
        <v>15.517911825000001</v>
      </c>
      <c r="AT921" s="581">
        <f>Taxes!AS294</f>
        <v>16.481991825000001</v>
      </c>
      <c r="AU921" s="581">
        <f>Taxes!AT294</f>
        <v>14.188986825000002</v>
      </c>
      <c r="AV921" s="588">
        <f>Taxes!AU294</f>
        <v>61.972323600000003</v>
      </c>
      <c r="AW921" s="581">
        <f>Taxes!AV294</f>
        <v>14.855691825000001</v>
      </c>
      <c r="AX921" s="581">
        <f>Taxes!AW294</f>
        <v>15.216636825000002</v>
      </c>
      <c r="AY921" s="581">
        <f>Taxes!AX294</f>
        <v>17.907636825000001</v>
      </c>
      <c r="AZ921" s="581">
        <f>Taxes!AY294</f>
        <v>14.661861825000003</v>
      </c>
      <c r="BA921" s="588">
        <f>Taxes!AZ294</f>
        <v>62.609645249999993</v>
      </c>
      <c r="BB921" s="581">
        <f>Taxes!BA294</f>
        <v>14.859331402500001</v>
      </c>
      <c r="BC921" s="581">
        <f>Taxes!BB294</f>
        <v>16.081654874999998</v>
      </c>
      <c r="BD921" s="581">
        <f>Taxes!BC294</f>
        <v>18.316419517500002</v>
      </c>
      <c r="BE921" s="581">
        <f>Taxes!BD294</f>
        <v>16.0399483725</v>
      </c>
      <c r="BF921" s="588">
        <f>Taxes!BE294</f>
        <v>65.265172117500001</v>
      </c>
      <c r="BG921" s="580">
        <f>Taxes!BF294</f>
        <v>16.0592196375</v>
      </c>
      <c r="BH921" s="581">
        <f>Taxes!BG294</f>
        <v>16.495828732499998</v>
      </c>
      <c r="BI921" s="581">
        <f>Taxes!BH294</f>
        <v>20.724782129999998</v>
      </c>
      <c r="BJ921" s="869">
        <f>Taxes!BI294</f>
        <v>17.208909022500002</v>
      </c>
      <c r="BK921" s="588">
        <f>Taxes!BJ294</f>
        <v>70.508065177499986</v>
      </c>
      <c r="BL921" s="581">
        <f>Taxes!BK294</f>
        <v>16.688720977500001</v>
      </c>
      <c r="BM921" s="581">
        <f>Taxes!BL294</f>
        <v>17.518501552500002</v>
      </c>
      <c r="BN921" s="581">
        <f>Taxes!BM294</f>
        <v>21.195141824999997</v>
      </c>
      <c r="BO921" s="581"/>
      <c r="BP921" s="588"/>
      <c r="BQ921" s="581"/>
      <c r="BR921" s="581"/>
      <c r="BS921" s="581"/>
      <c r="BT921" s="581"/>
      <c r="BU921" s="3376"/>
      <c r="BV921" s="581"/>
      <c r="BW921" s="581"/>
      <c r="BX921" s="581"/>
      <c r="BY921" s="581"/>
      <c r="BZ921" s="588"/>
      <c r="CA921" s="588"/>
      <c r="CB921" s="588"/>
      <c r="CC921" s="588">
        <f>Taxes!BX294</f>
        <v>0</v>
      </c>
      <c r="CD921" s="588">
        <f>Taxes!BY294</f>
        <v>0</v>
      </c>
      <c r="CE921" s="588">
        <f>Taxes!BZ294</f>
        <v>0</v>
      </c>
      <c r="CF921" s="588">
        <f>Taxes!CA294</f>
        <v>0</v>
      </c>
      <c r="CG921" s="588">
        <f>Taxes!CB294</f>
        <v>0</v>
      </c>
      <c r="CH921" s="581"/>
      <c r="CI921" s="581"/>
      <c r="CJ921" s="581"/>
      <c r="CK921" s="581"/>
      <c r="CL921" s="581"/>
      <c r="CM921" s="581"/>
      <c r="CN921" s="581"/>
      <c r="CO921" s="581"/>
      <c r="CP921" s="936" t="str">
        <f>A921</f>
        <v>OnGround Gaming Tax Expense</v>
      </c>
      <c r="CQ921" s="581">
        <f>H921</f>
        <v>68.787234999999995</v>
      </c>
      <c r="CR921" s="581">
        <f>M921</f>
        <v>77.715272499999998</v>
      </c>
      <c r="CS921" s="581">
        <f>R921</f>
        <v>81.718946822146222</v>
      </c>
      <c r="CT921" s="581">
        <f>W921</f>
        <v>82.278169561248546</v>
      </c>
      <c r="CU921" s="581">
        <f>AB921</f>
        <v>79.00836186780387</v>
      </c>
      <c r="CV921" s="581">
        <f>AG921</f>
        <v>72.80798060457883</v>
      </c>
      <c r="CW921" s="581">
        <f>AL921</f>
        <v>66.298090433267234</v>
      </c>
      <c r="CX921" s="581">
        <f>AQ921</f>
        <v>65.891194687500004</v>
      </c>
      <c r="CY921" s="581">
        <f>AV921</f>
        <v>61.972323600000003</v>
      </c>
      <c r="CZ921" s="581">
        <f>BA921</f>
        <v>62.609645249999993</v>
      </c>
      <c r="DA921" s="581">
        <f>BF921</f>
        <v>65.265172117500001</v>
      </c>
      <c r="DB921" s="581">
        <f>BK921</f>
        <v>70.508065177499986</v>
      </c>
      <c r="DC921" s="581">
        <f>BP921</f>
        <v>0</v>
      </c>
      <c r="DD921" s="581">
        <f>BU921</f>
        <v>0</v>
      </c>
      <c r="DE921" s="581">
        <f t="shared" ref="DE921:DG922" si="1761">BZ921</f>
        <v>0</v>
      </c>
      <c r="DF921" s="581">
        <f t="shared" si="1761"/>
        <v>0</v>
      </c>
      <c r="DG921" s="869">
        <f t="shared" si="1761"/>
        <v>0</v>
      </c>
      <c r="DH921" s="737"/>
      <c r="DI921" s="835"/>
      <c r="DJ921" s="835"/>
      <c r="DK921" s="835"/>
      <c r="DL921" s="835"/>
      <c r="DM921" s="835"/>
      <c r="DN921" s="319"/>
      <c r="DO921" s="320"/>
      <c r="DY921" s="581"/>
      <c r="DZ921" s="581"/>
    </row>
    <row r="922" spans="1:130" ht="12" customHeight="1">
      <c r="A922" s="567" t="s">
        <v>1801</v>
      </c>
      <c r="B922" s="819"/>
      <c r="C922" s="819"/>
      <c r="D922" s="560">
        <f t="shared" ref="D922:AI922" si="1762">D921/D900</f>
        <v>0.11199067965250635</v>
      </c>
      <c r="E922" s="561">
        <f t="shared" si="1762"/>
        <v>0.11015252725635981</v>
      </c>
      <c r="F922" s="561">
        <f t="shared" si="1762"/>
        <v>0.11035289733087542</v>
      </c>
      <c r="G922" s="561">
        <f t="shared" si="1762"/>
        <v>0.10909875610853127</v>
      </c>
      <c r="H922" s="562">
        <f t="shared" si="1762"/>
        <v>0.11034205165222971</v>
      </c>
      <c r="I922" s="561">
        <f t="shared" si="1762"/>
        <v>0.11209971676107963</v>
      </c>
      <c r="J922" s="561">
        <f t="shared" si="1762"/>
        <v>0.11213634165900141</v>
      </c>
      <c r="K922" s="561">
        <f t="shared" si="1762"/>
        <v>0.11108866895311038</v>
      </c>
      <c r="L922" s="561">
        <f t="shared" si="1762"/>
        <v>0.11079663430531538</v>
      </c>
      <c r="M922" s="562">
        <f t="shared" si="1762"/>
        <v>0.11150527286162147</v>
      </c>
      <c r="N922" s="561">
        <f t="shared" si="1762"/>
        <v>0.11088939548709943</v>
      </c>
      <c r="O922" s="561">
        <f t="shared" si="1762"/>
        <v>0.11213566816776065</v>
      </c>
      <c r="P922" s="561">
        <f t="shared" si="1762"/>
        <v>0.11053756351794992</v>
      </c>
      <c r="Q922" s="561">
        <f t="shared" si="1762"/>
        <v>0.1112345075405967</v>
      </c>
      <c r="R922" s="562">
        <f t="shared" si="1762"/>
        <v>0.11116031098918747</v>
      </c>
      <c r="S922" s="561">
        <f t="shared" si="1762"/>
        <v>0.11081489926577774</v>
      </c>
      <c r="T922" s="561">
        <f t="shared" si="1762"/>
        <v>0.11249652792509002</v>
      </c>
      <c r="U922" s="561">
        <f t="shared" si="1762"/>
        <v>0.10822000340533784</v>
      </c>
      <c r="V922" s="561">
        <f t="shared" si="1762"/>
        <v>0.10828880964987125</v>
      </c>
      <c r="W922" s="562">
        <f t="shared" si="1762"/>
        <v>0.10990219657175598</v>
      </c>
      <c r="X922" s="561">
        <f t="shared" si="1762"/>
        <v>0.1089322526168099</v>
      </c>
      <c r="Y922" s="561">
        <f t="shared" si="1762"/>
        <v>0.10987836377325555</v>
      </c>
      <c r="Z922" s="561">
        <f t="shared" si="1762"/>
        <v>0.10585442506420331</v>
      </c>
      <c r="AA922" s="561">
        <f t="shared" si="1762"/>
        <v>0.1059171475529789</v>
      </c>
      <c r="AB922" s="562">
        <f t="shared" si="1762"/>
        <v>0.1075959639003411</v>
      </c>
      <c r="AC922" s="561">
        <f t="shared" si="1762"/>
        <v>0.10662112133259009</v>
      </c>
      <c r="AD922" s="561">
        <f t="shared" si="1762"/>
        <v>0.10698161745806765</v>
      </c>
      <c r="AE922" s="561">
        <f t="shared" si="1762"/>
        <v>0.10347359918959589</v>
      </c>
      <c r="AF922" s="561">
        <f t="shared" si="1762"/>
        <v>0.1042699999670814</v>
      </c>
      <c r="AG922" s="562">
        <f t="shared" si="1762"/>
        <v>0.10530088542057718</v>
      </c>
      <c r="AH922" s="561">
        <f t="shared" si="1762"/>
        <v>0.10312122930552153</v>
      </c>
      <c r="AI922" s="561">
        <f t="shared" si="1762"/>
        <v>0.102975268377966</v>
      </c>
      <c r="AJ922" s="561">
        <f t="shared" ref="AJ922:BF922" si="1763">AJ921/AJ900</f>
        <v>0.10260685040274985</v>
      </c>
      <c r="AK922" s="561">
        <f t="shared" si="1763"/>
        <v>0.10320791717464302</v>
      </c>
      <c r="AL922" s="562">
        <f t="shared" si="1763"/>
        <v>0.10296269386937686</v>
      </c>
      <c r="AM922" s="561">
        <f t="shared" si="1763"/>
        <v>0.10179282889711305</v>
      </c>
      <c r="AN922" s="561">
        <f t="shared" si="1763"/>
        <v>0.10150526204889204</v>
      </c>
      <c r="AO922" s="561">
        <f t="shared" si="1763"/>
        <v>0.10118846442191266</v>
      </c>
      <c r="AP922" s="561">
        <f t="shared" si="1763"/>
        <v>0.10163348440175006</v>
      </c>
      <c r="AQ922" s="562">
        <f t="shared" si="1763"/>
        <v>0.10151743424398295</v>
      </c>
      <c r="AR922" s="561">
        <f t="shared" si="1763"/>
        <v>0.10169349787395547</v>
      </c>
      <c r="AS922" s="561">
        <f t="shared" si="1763"/>
        <v>0.10177548549897686</v>
      </c>
      <c r="AT922" s="561">
        <f t="shared" si="1763"/>
        <v>0.10151510116407983</v>
      </c>
      <c r="AU922" s="561">
        <f t="shared" si="1763"/>
        <v>0.10219520624162719</v>
      </c>
      <c r="AV922" s="562">
        <f t="shared" si="1763"/>
        <v>0.10173957746085791</v>
      </c>
      <c r="AW922" s="561">
        <f t="shared" si="1763"/>
        <v>0.10197482032537068</v>
      </c>
      <c r="AX922" s="561">
        <f t="shared" si="1763"/>
        <v>0.10186392487046633</v>
      </c>
      <c r="AY922" s="561">
        <f t="shared" si="1763"/>
        <v>0.10118337924195682</v>
      </c>
      <c r="AZ922" s="561">
        <f t="shared" si="1763"/>
        <v>0.10203673012415446</v>
      </c>
      <c r="BA922" s="562">
        <f t="shared" si="1763"/>
        <v>0.1016826127593644</v>
      </c>
      <c r="BB922" s="561">
        <f t="shared" si="1763"/>
        <v>0.10197367399247347</v>
      </c>
      <c r="BC922" s="561">
        <f t="shared" si="1763"/>
        <v>0.10161927602073578</v>
      </c>
      <c r="BD922" s="561">
        <f t="shared" si="1763"/>
        <v>0.10109814052455454</v>
      </c>
      <c r="BE922" s="561">
        <f t="shared" si="1763"/>
        <v>0.10163044056221811</v>
      </c>
      <c r="BF922" s="562">
        <f t="shared" si="1763"/>
        <v>0.1015054381171485</v>
      </c>
      <c r="BG922" s="560">
        <f t="shared" ref="BG922:BN922" si="1764">BG921/BG900</f>
        <v>0.10162527426630943</v>
      </c>
      <c r="BH922" s="561">
        <f t="shared" si="1764"/>
        <v>0.10151159467552619</v>
      </c>
      <c r="BI922" s="561">
        <f t="shared" si="1764"/>
        <v>0.10066643253521232</v>
      </c>
      <c r="BJ922" s="1846">
        <f t="shared" si="1764"/>
        <v>0.10133882266831838</v>
      </c>
      <c r="BK922" s="562">
        <f t="shared" si="1764"/>
        <v>0.1012730942870725</v>
      </c>
      <c r="BL922" s="561">
        <f t="shared" si="1764"/>
        <v>0.10146334289859238</v>
      </c>
      <c r="BM922" s="561">
        <f t="shared" si="1764"/>
        <v>0.10126835973348397</v>
      </c>
      <c r="BN922" s="561">
        <f t="shared" si="1764"/>
        <v>0.10059393367346937</v>
      </c>
      <c r="BO922" s="1846"/>
      <c r="BP922" s="562"/>
      <c r="BQ922" s="561"/>
      <c r="BR922" s="561"/>
      <c r="BS922" s="561"/>
      <c r="BT922" s="1846"/>
      <c r="BU922" s="3371"/>
      <c r="BV922" s="561"/>
      <c r="BW922" s="561"/>
      <c r="BX922" s="561"/>
      <c r="BY922" s="1846"/>
      <c r="BZ922" s="562"/>
      <c r="CA922" s="562"/>
      <c r="CB922" s="562"/>
      <c r="CC922" s="562" t="e">
        <f>CC921/CC900</f>
        <v>#DIV/0!</v>
      </c>
      <c r="CD922" s="562" t="e">
        <f>CD921/CD900</f>
        <v>#DIV/0!</v>
      </c>
      <c r="CE922" s="562" t="e">
        <f>CE921/CE900</f>
        <v>#DIV/0!</v>
      </c>
      <c r="CF922" s="562" t="e">
        <f>CF921/CF900</f>
        <v>#DIV/0!</v>
      </c>
      <c r="CG922" s="562" t="e">
        <f>CG921/CG900</f>
        <v>#DIV/0!</v>
      </c>
      <c r="CH922" s="561"/>
      <c r="CI922" s="561"/>
      <c r="CJ922" s="561"/>
      <c r="CK922" s="561"/>
      <c r="CL922" s="561"/>
      <c r="CM922" s="561"/>
      <c r="CN922" s="561"/>
      <c r="CO922" s="561"/>
      <c r="CP922" s="1849" t="str">
        <f>A922</f>
        <v>% of Casino Revenues</v>
      </c>
      <c r="CQ922" s="561">
        <f>H922</f>
        <v>0.11034205165222971</v>
      </c>
      <c r="CR922" s="561">
        <f>M922</f>
        <v>0.11150527286162147</v>
      </c>
      <c r="CS922" s="561">
        <f>R922</f>
        <v>0.11116031098918747</v>
      </c>
      <c r="CT922" s="561">
        <f>W922</f>
        <v>0.10990219657175598</v>
      </c>
      <c r="CU922" s="561">
        <f>AB922</f>
        <v>0.1075959639003411</v>
      </c>
      <c r="CV922" s="561">
        <f>AG922</f>
        <v>0.10530088542057718</v>
      </c>
      <c r="CW922" s="561">
        <f>AL922</f>
        <v>0.10296269386937686</v>
      </c>
      <c r="CX922" s="561">
        <f>AQ922</f>
        <v>0.10151743424398295</v>
      </c>
      <c r="CY922" s="561">
        <f>AV922</f>
        <v>0.10173957746085791</v>
      </c>
      <c r="CZ922" s="561">
        <f>BA922</f>
        <v>0.1016826127593644</v>
      </c>
      <c r="DA922" s="561">
        <f>BF922</f>
        <v>0.1015054381171485</v>
      </c>
      <c r="DB922" s="561">
        <f>BK922</f>
        <v>0.1012730942870725</v>
      </c>
      <c r="DC922" s="561">
        <f>BP922</f>
        <v>0</v>
      </c>
      <c r="DD922" s="561">
        <f>BU922</f>
        <v>0</v>
      </c>
      <c r="DE922" s="561">
        <f t="shared" si="1761"/>
        <v>0</v>
      </c>
      <c r="DF922" s="561">
        <f t="shared" si="1761"/>
        <v>0</v>
      </c>
      <c r="DG922" s="1846">
        <f t="shared" si="1761"/>
        <v>0</v>
      </c>
      <c r="DH922" s="561"/>
      <c r="DI922" s="548"/>
      <c r="DJ922" s="548"/>
      <c r="DK922" s="548"/>
      <c r="DL922" s="548"/>
      <c r="DM922" s="548"/>
      <c r="DN922" s="265"/>
      <c r="DO922" s="266"/>
      <c r="DY922" s="561"/>
      <c r="DZ922" s="561"/>
    </row>
    <row r="923" spans="1:130" ht="5.0999999999999996" customHeight="1">
      <c r="A923" s="77"/>
      <c r="B923" s="445"/>
      <c r="C923" s="445"/>
      <c r="D923" s="446"/>
      <c r="E923" s="447"/>
      <c r="F923" s="447"/>
      <c r="G923" s="447"/>
      <c r="H923" s="563"/>
      <c r="I923" s="447"/>
      <c r="J923" s="447"/>
      <c r="K923" s="447"/>
      <c r="L923" s="447"/>
      <c r="M923" s="563"/>
      <c r="N923" s="447"/>
      <c r="O923" s="447"/>
      <c r="P923" s="447"/>
      <c r="Q923" s="447"/>
      <c r="R923" s="563"/>
      <c r="S923" s="447"/>
      <c r="T923" s="447"/>
      <c r="U923" s="447"/>
      <c r="V923" s="447"/>
      <c r="W923" s="563"/>
      <c r="X923" s="447"/>
      <c r="Y923" s="447"/>
      <c r="Z923" s="447"/>
      <c r="AA923" s="447"/>
      <c r="AB923" s="563"/>
      <c r="AC923" s="447"/>
      <c r="AD923" s="447"/>
      <c r="AE923" s="447"/>
      <c r="AF923" s="447"/>
      <c r="AG923" s="563"/>
      <c r="AH923" s="447"/>
      <c r="AI923" s="447"/>
      <c r="AJ923" s="447"/>
      <c r="AK923" s="447"/>
      <c r="AL923" s="563"/>
      <c r="AM923" s="447"/>
      <c r="AN923" s="447"/>
      <c r="AO923" s="447"/>
      <c r="AP923" s="447"/>
      <c r="AQ923" s="563"/>
      <c r="AR923" s="447"/>
      <c r="AS923" s="447"/>
      <c r="AT923" s="447"/>
      <c r="AU923" s="447"/>
      <c r="AV923" s="563"/>
      <c r="AW923" s="447"/>
      <c r="AX923" s="447"/>
      <c r="AY923" s="447"/>
      <c r="AZ923" s="447"/>
      <c r="BA923" s="563"/>
      <c r="BB923" s="447"/>
      <c r="BC923" s="447"/>
      <c r="BD923" s="447"/>
      <c r="BE923" s="447"/>
      <c r="BF923" s="563"/>
      <c r="BG923" s="446"/>
      <c r="BH923" s="447"/>
      <c r="BI923" s="447"/>
      <c r="BJ923" s="2802"/>
      <c r="BK923" s="563"/>
      <c r="BL923" s="447"/>
      <c r="BM923" s="447"/>
      <c r="BN923" s="447"/>
      <c r="BO923" s="2802"/>
      <c r="BP923" s="563"/>
      <c r="BQ923" s="447"/>
      <c r="BR923" s="447"/>
      <c r="BS923" s="447"/>
      <c r="BT923" s="2802"/>
      <c r="BU923" s="3320"/>
      <c r="BV923" s="447"/>
      <c r="BW923" s="447"/>
      <c r="BX923" s="447"/>
      <c r="BY923" s="2802"/>
      <c r="BZ923" s="563"/>
      <c r="CA923" s="563"/>
      <c r="CB923" s="563"/>
      <c r="CC923" s="563"/>
      <c r="CD923" s="563"/>
      <c r="CE923" s="563"/>
      <c r="CF923" s="563"/>
      <c r="CG923" s="563"/>
      <c r="CH923" s="447"/>
      <c r="CI923" s="447"/>
      <c r="CJ923" s="447"/>
      <c r="CK923" s="447"/>
      <c r="CL923" s="447"/>
      <c r="CM923" s="447"/>
      <c r="CN923" s="447"/>
      <c r="CO923" s="447"/>
      <c r="CP923" s="528"/>
      <c r="CQ923" s="564"/>
      <c r="CR923" s="564"/>
      <c r="CS923" s="564"/>
      <c r="CT923" s="564"/>
      <c r="CU923" s="564"/>
      <c r="CV923" s="564"/>
      <c r="CW923" s="564"/>
      <c r="CX923" s="564"/>
      <c r="CY923" s="564"/>
      <c r="CZ923" s="564"/>
      <c r="DA923" s="564"/>
      <c r="DB923" s="564"/>
      <c r="DC923" s="564"/>
      <c r="DD923" s="564"/>
      <c r="DE923" s="564"/>
      <c r="DF923" s="564"/>
      <c r="DG923" s="1789"/>
      <c r="DH923" s="564"/>
      <c r="DI923" s="570"/>
      <c r="DJ923" s="570"/>
      <c r="DK923" s="570"/>
      <c r="DL923" s="570"/>
      <c r="DM923" s="570"/>
      <c r="DN923" s="222"/>
      <c r="DO923" s="226"/>
      <c r="DY923" s="447"/>
      <c r="DZ923" s="447"/>
    </row>
    <row r="924" spans="1:130" ht="12" customHeight="1">
      <c r="A924" s="198" t="s">
        <v>1326</v>
      </c>
      <c r="B924" s="242"/>
      <c r="C924" s="242"/>
      <c r="D924" s="661">
        <f>+D906-D927</f>
        <v>105.78400000000002</v>
      </c>
      <c r="E924" s="554">
        <v>112.64400000000001</v>
      </c>
      <c r="F924" s="554">
        <v>123.081</v>
      </c>
      <c r="G924" s="554">
        <v>119.343</v>
      </c>
      <c r="H924" s="556">
        <f>H909+H921</f>
        <v>460.85200000000003</v>
      </c>
      <c r="I924" s="554">
        <v>115.254</v>
      </c>
      <c r="J924" s="557">
        <f>127.649</f>
        <v>127.649</v>
      </c>
      <c r="K924" s="554">
        <v>138.01</v>
      </c>
      <c r="L924" s="554">
        <v>131.33600000000001</v>
      </c>
      <c r="M924" s="556">
        <f>M909+M921</f>
        <v>512.24900000000002</v>
      </c>
      <c r="N924" s="554">
        <v>122.289</v>
      </c>
      <c r="O924" s="554">
        <v>131.762</v>
      </c>
      <c r="P924" s="554">
        <v>166.52099999999999</v>
      </c>
      <c r="Q924" s="554">
        <v>145.68</v>
      </c>
      <c r="R924" s="556">
        <f>R909+R921</f>
        <v>566.25199999999995</v>
      </c>
      <c r="S924" s="554">
        <v>143.161</v>
      </c>
      <c r="T924" s="554">
        <v>147.636</v>
      </c>
      <c r="U924" s="554">
        <v>157.5</v>
      </c>
      <c r="V924" s="554">
        <v>148.63</v>
      </c>
      <c r="W924" s="556">
        <f>W909+W921</f>
        <v>596.92700000000002</v>
      </c>
      <c r="X924" s="554">
        <v>146.55799999999999</v>
      </c>
      <c r="Y924" s="554">
        <v>159.89099999999999</v>
      </c>
      <c r="Z924" s="554">
        <v>180.13900000000001</v>
      </c>
      <c r="AA924" s="554">
        <v>146.76499999999999</v>
      </c>
      <c r="AB924" s="556">
        <f>AB909+AB921</f>
        <v>633.35299999999995</v>
      </c>
      <c r="AC924" s="554">
        <v>141.964</v>
      </c>
      <c r="AD924" s="554">
        <v>143.78700000000001</v>
      </c>
      <c r="AE924" s="554">
        <v>155.03800000000001</v>
      </c>
      <c r="AF924" s="554">
        <v>138.96</v>
      </c>
      <c r="AG924" s="556">
        <f>AG909+AG921</f>
        <v>579.74900000000002</v>
      </c>
      <c r="AH924" s="554">
        <v>137.04900000000001</v>
      </c>
      <c r="AI924" s="554">
        <f>186.892-42.96</f>
        <v>143.93199999999999</v>
      </c>
      <c r="AJ924" s="554">
        <f>169.816-AJ936+0.004</f>
        <v>153.36799999999999</v>
      </c>
      <c r="AK924" s="554">
        <f>151.246-AK936-0.016</f>
        <v>134.65700000000001</v>
      </c>
      <c r="AL924" s="556">
        <f>AL909+AL921</f>
        <v>569.00599999999997</v>
      </c>
      <c r="AM924" s="554">
        <f>169.09-31.682</f>
        <v>137.40800000000002</v>
      </c>
      <c r="AN924" s="554">
        <f>161.489-16.548-0.749-0.092-0.001</f>
        <v>144.09899999999999</v>
      </c>
      <c r="AO924" s="555">
        <f>167.247-AO936-0.006</f>
        <v>152.078</v>
      </c>
      <c r="AP924" s="554">
        <f>154.186-AP936-0.137-0.639</f>
        <v>138.55000000000001</v>
      </c>
      <c r="AQ924" s="556">
        <f>AQ909+AQ921</f>
        <v>572.13499999999999</v>
      </c>
      <c r="AR924" s="2043">
        <f>+AR906-AR927</f>
        <v>137.26900000000001</v>
      </c>
      <c r="AS924" s="2043">
        <f>+AS906-AS927</f>
        <v>144.68099999999998</v>
      </c>
      <c r="AT924" s="2043">
        <f>+AT906-AT927</f>
        <v>153.74100000000001</v>
      </c>
      <c r="AU924" s="2043">
        <f>+AU906-AU927</f>
        <v>133.55500000000001</v>
      </c>
      <c r="AV924" s="556">
        <f>SUM(AR924:AU924)</f>
        <v>569.24600000000009</v>
      </c>
      <c r="AW924" s="2043">
        <f>+AW906-AW927</f>
        <v>137.239</v>
      </c>
      <c r="AX924" s="2043">
        <f>+AX906-AX927</f>
        <v>145.03</v>
      </c>
      <c r="AY924" s="2043">
        <f>+AY906-AY927</f>
        <v>153.459</v>
      </c>
      <c r="AZ924" s="2043">
        <f>+AZ906-AZ927</f>
        <v>140.73499999999999</v>
      </c>
      <c r="BA924" s="556">
        <f>SUM(AW924:AZ924)</f>
        <v>576.46299999999997</v>
      </c>
      <c r="BB924" s="2043">
        <f>+BB906-BB927</f>
        <v>146.81800000000001</v>
      </c>
      <c r="BC924" s="2043">
        <f>+BC906-BC927</f>
        <v>139.25600000000003</v>
      </c>
      <c r="BD924" s="2043">
        <f>+BD906-BD927</f>
        <v>153.07300000000001</v>
      </c>
      <c r="BE924" s="2043">
        <f>+BE906-BE927</f>
        <v>143.10899999999998</v>
      </c>
      <c r="BF924" s="556">
        <f>SUM(BB924:BE924)</f>
        <v>582.25600000000009</v>
      </c>
      <c r="BG924" s="2043">
        <f>+BG906-BG927</f>
        <v>144.76400000000001</v>
      </c>
      <c r="BH924" s="2043">
        <f>+BH906-BH927</f>
        <v>146.63600000000002</v>
      </c>
      <c r="BI924" s="2043">
        <f>+BI906-BI927</f>
        <v>161.48700000000002</v>
      </c>
      <c r="BJ924" s="2043">
        <f>+BJ906-BJ927</f>
        <v>147.089</v>
      </c>
      <c r="BK924" s="556">
        <f>SUM(BG924:BJ924)</f>
        <v>599.97600000000011</v>
      </c>
      <c r="BL924" s="2043">
        <f>+BL906-BL927</f>
        <v>144.958</v>
      </c>
      <c r="BM924" s="2043">
        <f>+BM906-BM927</f>
        <v>142.584</v>
      </c>
      <c r="BN924" s="557">
        <f>+BN909+BN921+BN913+BN917</f>
        <v>69.125800204683344</v>
      </c>
      <c r="BO924" s="1848"/>
      <c r="BP924" s="556"/>
      <c r="BQ924" s="557"/>
      <c r="BR924" s="557"/>
      <c r="BS924" s="557"/>
      <c r="BT924" s="1848"/>
      <c r="BU924" s="3372"/>
      <c r="BV924" s="557"/>
      <c r="BW924" s="557"/>
      <c r="BX924" s="557"/>
      <c r="BY924" s="1848"/>
      <c r="BZ924" s="556"/>
      <c r="CA924" s="556"/>
      <c r="CB924" s="556"/>
      <c r="CC924" s="556">
        <f>+CC909+CC921+CC913+CC917</f>
        <v>39.918047722437123</v>
      </c>
      <c r="CD924" s="556">
        <f>+CD909+CD921+CD913+CD917</f>
        <v>37.922145336315261</v>
      </c>
      <c r="CE924" s="556">
        <f>+CE909+CE921+CE913+CE917</f>
        <v>38.680588243041569</v>
      </c>
      <c r="CF924" s="556">
        <f>+CF909+CF921+CF913+CF917</f>
        <v>39.454200007902401</v>
      </c>
      <c r="CG924" s="556">
        <f>+CG909+CG921+CG913+CG917</f>
        <v>40.243284008060449</v>
      </c>
      <c r="CH924" s="557"/>
      <c r="CI924" s="557"/>
      <c r="CJ924" s="557"/>
      <c r="CK924" s="557"/>
      <c r="CL924" s="557"/>
      <c r="CM924" s="557"/>
      <c r="CN924" s="557"/>
      <c r="CO924" s="557"/>
      <c r="CP924" s="934" t="str">
        <f>A924</f>
        <v>Total Expenses</v>
      </c>
      <c r="CQ924" s="557">
        <f>H924</f>
        <v>460.85200000000003</v>
      </c>
      <c r="CR924" s="557">
        <f>M924</f>
        <v>512.24900000000002</v>
      </c>
      <c r="CS924" s="557">
        <f>R924</f>
        <v>566.25199999999995</v>
      </c>
      <c r="CT924" s="557">
        <f>W924</f>
        <v>596.92700000000002</v>
      </c>
      <c r="CU924" s="557">
        <f>AB924</f>
        <v>633.35299999999995</v>
      </c>
      <c r="CV924" s="557">
        <f>AG924</f>
        <v>579.74900000000002</v>
      </c>
      <c r="CW924" s="557">
        <f>AL924</f>
        <v>569.00599999999997</v>
      </c>
      <c r="CX924" s="557">
        <f>AQ924</f>
        <v>572.13499999999999</v>
      </c>
      <c r="CY924" s="557">
        <f>AV924</f>
        <v>569.24600000000009</v>
      </c>
      <c r="CZ924" s="557">
        <f>BA924</f>
        <v>576.46299999999997</v>
      </c>
      <c r="DA924" s="557">
        <f>BF924</f>
        <v>582.25600000000009</v>
      </c>
      <c r="DB924" s="557">
        <f>BK924</f>
        <v>599.97600000000011</v>
      </c>
      <c r="DC924" s="557">
        <f>BP924</f>
        <v>0</v>
      </c>
      <c r="DD924" s="557">
        <f>BU924</f>
        <v>0</v>
      </c>
      <c r="DE924" s="557">
        <f t="shared" ref="DE924:DG925" si="1765">BZ924</f>
        <v>0</v>
      </c>
      <c r="DF924" s="557">
        <f t="shared" si="1765"/>
        <v>0</v>
      </c>
      <c r="DG924" s="1848">
        <f t="shared" si="1765"/>
        <v>0</v>
      </c>
      <c r="DH924" s="690"/>
      <c r="DI924" s="831"/>
      <c r="DJ924" s="831"/>
      <c r="DK924" s="831"/>
      <c r="DL924" s="831"/>
      <c r="DM924" s="831"/>
      <c r="DN924" s="268"/>
      <c r="DO924" s="269"/>
      <c r="DY924" s="557"/>
      <c r="DZ924" s="557"/>
    </row>
    <row r="925" spans="1:130" ht="12" customHeight="1">
      <c r="A925" s="567" t="s">
        <v>1103</v>
      </c>
      <c r="B925" s="819"/>
      <c r="C925" s="819"/>
      <c r="D925" s="358">
        <f t="shared" ref="D925:AI925" si="1766">D924/D906</f>
        <v>0.72509921926944465</v>
      </c>
      <c r="E925" s="502">
        <f t="shared" si="1766"/>
        <v>0.68293511013028907</v>
      </c>
      <c r="F925" s="502">
        <f t="shared" si="1766"/>
        <v>0.66121745109942354</v>
      </c>
      <c r="G925" s="502">
        <f t="shared" si="1766"/>
        <v>0.6650635845881212</v>
      </c>
      <c r="H925" s="503">
        <f t="shared" si="1766"/>
        <v>0.68131143566339791</v>
      </c>
      <c r="I925" s="502">
        <f t="shared" si="1766"/>
        <v>0.66955976158109387</v>
      </c>
      <c r="J925" s="502">
        <f t="shared" si="1766"/>
        <v>0.69229225646198733</v>
      </c>
      <c r="K925" s="502">
        <f t="shared" si="1766"/>
        <v>0.64634420486690014</v>
      </c>
      <c r="L925" s="502">
        <f t="shared" si="1766"/>
        <v>0.67720262556783328</v>
      </c>
      <c r="M925" s="503">
        <f t="shared" si="1766"/>
        <v>0.67049790374916729</v>
      </c>
      <c r="N925" s="502">
        <f t="shared" si="1766"/>
        <v>0.65197155165060139</v>
      </c>
      <c r="O925" s="502">
        <f t="shared" si="1766"/>
        <v>0.69578395961388162</v>
      </c>
      <c r="P925" s="502">
        <f t="shared" si="1766"/>
        <v>0.70118533802134864</v>
      </c>
      <c r="Q925" s="502">
        <f t="shared" si="1766"/>
        <v>0.73264936632468314</v>
      </c>
      <c r="R925" s="503">
        <f t="shared" si="1766"/>
        <v>0.69626997350187192</v>
      </c>
      <c r="S925" s="502">
        <f t="shared" si="1766"/>
        <v>0.70269965149953373</v>
      </c>
      <c r="T925" s="502">
        <f t="shared" si="1766"/>
        <v>0.73051326330164923</v>
      </c>
      <c r="U925" s="502">
        <f t="shared" si="1766"/>
        <v>0.68452070512151875</v>
      </c>
      <c r="V925" s="502">
        <f t="shared" si="1766"/>
        <v>0.73315706914751932</v>
      </c>
      <c r="W925" s="503">
        <f t="shared" si="1766"/>
        <v>0.71177724013674482</v>
      </c>
      <c r="X925" s="502">
        <f t="shared" si="1766"/>
        <v>0.72544846156892251</v>
      </c>
      <c r="Y925" s="502">
        <f t="shared" si="1766"/>
        <v>0.77972408210239874</v>
      </c>
      <c r="Z925" s="502">
        <f t="shared" si="1766"/>
        <v>0.75082631366158037</v>
      </c>
      <c r="AA925" s="502">
        <f t="shared" si="1766"/>
        <v>0.7998833679414441</v>
      </c>
      <c r="AB925" s="503">
        <f t="shared" si="1766"/>
        <v>0.76262659710122582</v>
      </c>
      <c r="AC925" s="502">
        <f t="shared" si="1766"/>
        <v>0.75556974825695888</v>
      </c>
      <c r="AD925" s="502">
        <f t="shared" si="1766"/>
        <v>0.75079498519682741</v>
      </c>
      <c r="AE925" s="502">
        <f t="shared" si="1766"/>
        <v>0.6964963588907308</v>
      </c>
      <c r="AF925" s="502">
        <f t="shared" si="1766"/>
        <v>0.79221016145215739</v>
      </c>
      <c r="AG925" s="503">
        <f t="shared" si="1766"/>
        <v>0.74574612044126121</v>
      </c>
      <c r="AH925" s="502">
        <f t="shared" si="1766"/>
        <v>0.78284189962642659</v>
      </c>
      <c r="AI925" s="502">
        <f t="shared" si="1766"/>
        <v>0.77013462320484549</v>
      </c>
      <c r="AJ925" s="502">
        <f t="shared" ref="AJ925:BK925" si="1767">AJ924/AJ906</f>
        <v>0.73845739020737933</v>
      </c>
      <c r="AK925" s="502">
        <f t="shared" si="1767"/>
        <v>0.79779721066913134</v>
      </c>
      <c r="AL925" s="503">
        <f t="shared" si="1767"/>
        <v>0.77056082423408545</v>
      </c>
      <c r="AM925" s="502">
        <f t="shared" si="1767"/>
        <v>0.81263232598024726</v>
      </c>
      <c r="AN925" s="502">
        <f t="shared" si="1767"/>
        <v>0.78847753288537714</v>
      </c>
      <c r="AO925" s="502">
        <f t="shared" si="1767"/>
        <v>0.75279430545792947</v>
      </c>
      <c r="AP925" s="502">
        <f t="shared" si="1767"/>
        <v>0.78538631596848263</v>
      </c>
      <c r="AQ925" s="503">
        <f t="shared" si="1767"/>
        <v>0.78345251234468161</v>
      </c>
      <c r="AR925" s="502">
        <f t="shared" si="1767"/>
        <v>0.77927334657961966</v>
      </c>
      <c r="AS925" s="502">
        <f t="shared" si="1767"/>
        <v>0.82478793268572981</v>
      </c>
      <c r="AT925" s="502">
        <f t="shared" si="1767"/>
        <v>0.82174449866642441</v>
      </c>
      <c r="AU925" s="502">
        <f t="shared" si="1767"/>
        <v>0.90505878765289882</v>
      </c>
      <c r="AV925" s="503">
        <f t="shared" si="1767"/>
        <v>0.82953621422804869</v>
      </c>
      <c r="AW925" s="502">
        <f t="shared" si="1767"/>
        <v>0.82851778512955498</v>
      </c>
      <c r="AX925" s="502">
        <f t="shared" si="1767"/>
        <v>0.83892015710591916</v>
      </c>
      <c r="AY925" s="502">
        <f t="shared" si="1767"/>
        <v>0.76709938965563784</v>
      </c>
      <c r="AZ925" s="502">
        <f t="shared" si="1767"/>
        <v>0.89567104526246122</v>
      </c>
      <c r="BA925" s="503">
        <f t="shared" si="1767"/>
        <v>0.82860978670373253</v>
      </c>
      <c r="BB925" s="502">
        <f t="shared" si="1767"/>
        <v>0.87776210063133731</v>
      </c>
      <c r="BC925" s="502">
        <f t="shared" si="1767"/>
        <v>0.76575714584226917</v>
      </c>
      <c r="BD925" s="502">
        <f t="shared" si="1767"/>
        <v>0.72910653215588772</v>
      </c>
      <c r="BE925" s="502">
        <f t="shared" si="1767"/>
        <v>0.79883559311626762</v>
      </c>
      <c r="BF925" s="503">
        <f t="shared" si="1767"/>
        <v>0.78873926289367147</v>
      </c>
      <c r="BG925" s="502">
        <f>BG924/BG906</f>
        <v>0.79284075163345002</v>
      </c>
      <c r="BH925" s="502">
        <f>BH924/BH906</f>
        <v>0.76707312607565281</v>
      </c>
      <c r="BI925" s="502">
        <f>BI924/BI906</f>
        <v>0.68005693566522507</v>
      </c>
      <c r="BJ925" s="1855">
        <f>BJ924/BJ906</f>
        <v>0.76230480997963235</v>
      </c>
      <c r="BK925" s="503">
        <f t="shared" si="1767"/>
        <v>0.74608476359358655</v>
      </c>
      <c r="BL925" s="502">
        <f>BL924/BL906</f>
        <v>0.76176212472345273</v>
      </c>
      <c r="BM925" s="502">
        <f>BM924/BM906</f>
        <v>0.70118565801314992</v>
      </c>
      <c r="BN925" s="502">
        <f>BN924/BN906</f>
        <v>0.32495540860465982</v>
      </c>
      <c r="BO925" s="1855"/>
      <c r="BP925" s="503"/>
      <c r="BQ925" s="502"/>
      <c r="BR925" s="502"/>
      <c r="BS925" s="502"/>
      <c r="BT925" s="1855"/>
      <c r="BU925" s="3381"/>
      <c r="BV925" s="502"/>
      <c r="BW925" s="502"/>
      <c r="BX925" s="502"/>
      <c r="BY925" s="1855"/>
      <c r="BZ925" s="503"/>
      <c r="CA925" s="503"/>
      <c r="CB925" s="503"/>
      <c r="CC925" s="503">
        <f>CC924/CC906</f>
        <v>0.81521739130434789</v>
      </c>
      <c r="CD925" s="503">
        <f>CD924/CD906</f>
        <v>0.81521739130434767</v>
      </c>
      <c r="CE925" s="503">
        <f>CE924/CE906</f>
        <v>0.81521739130434789</v>
      </c>
      <c r="CF925" s="503">
        <f>CF924/CF906</f>
        <v>0.81521739130434778</v>
      </c>
      <c r="CG925" s="503">
        <f>CG924/CG906</f>
        <v>0.81521739130434778</v>
      </c>
      <c r="CH925" s="502"/>
      <c r="CI925" s="502"/>
      <c r="CJ925" s="502"/>
      <c r="CK925" s="502"/>
      <c r="CL925" s="502"/>
      <c r="CM925" s="502"/>
      <c r="CN925" s="502"/>
      <c r="CO925" s="502"/>
      <c r="CP925" s="1849" t="str">
        <f>A925</f>
        <v>% of Net Revenues</v>
      </c>
      <c r="CQ925" s="502">
        <f>H925</f>
        <v>0.68131143566339791</v>
      </c>
      <c r="CR925" s="502">
        <f>M925</f>
        <v>0.67049790374916729</v>
      </c>
      <c r="CS925" s="502">
        <f>R925</f>
        <v>0.69626997350187192</v>
      </c>
      <c r="CT925" s="502">
        <f>W925</f>
        <v>0.71177724013674482</v>
      </c>
      <c r="CU925" s="502">
        <f>AB925</f>
        <v>0.76262659710122582</v>
      </c>
      <c r="CV925" s="502">
        <f>AG925</f>
        <v>0.74574612044126121</v>
      </c>
      <c r="CW925" s="502">
        <f>AL925</f>
        <v>0.77056082423408545</v>
      </c>
      <c r="CX925" s="502">
        <f>AQ925</f>
        <v>0.78345251234468161</v>
      </c>
      <c r="CY925" s="502">
        <f>AV925</f>
        <v>0.82953621422804869</v>
      </c>
      <c r="CZ925" s="502">
        <f>BA925</f>
        <v>0.82860978670373253</v>
      </c>
      <c r="DA925" s="502">
        <f>BF925</f>
        <v>0.78873926289367147</v>
      </c>
      <c r="DB925" s="502">
        <f>BK925</f>
        <v>0.74608476359358655</v>
      </c>
      <c r="DC925" s="502">
        <f>BP925</f>
        <v>0</v>
      </c>
      <c r="DD925" s="502">
        <f>BU925</f>
        <v>0</v>
      </c>
      <c r="DE925" s="502">
        <f t="shared" si="1765"/>
        <v>0</v>
      </c>
      <c r="DF925" s="502">
        <f t="shared" si="1765"/>
        <v>0</v>
      </c>
      <c r="DG925" s="1855">
        <f t="shared" si="1765"/>
        <v>0</v>
      </c>
      <c r="DH925" s="502"/>
      <c r="DI925" s="548"/>
      <c r="DJ925" s="548"/>
      <c r="DK925" s="548"/>
      <c r="DL925" s="548"/>
      <c r="DM925" s="548"/>
      <c r="DN925" s="265"/>
      <c r="DO925" s="266"/>
      <c r="DY925" s="502"/>
      <c r="DZ925" s="502"/>
    </row>
    <row r="926" spans="1:130" ht="6" customHeight="1">
      <c r="A926" s="77"/>
      <c r="B926" s="445"/>
      <c r="C926" s="445"/>
      <c r="D926" s="596"/>
      <c r="E926" s="570"/>
      <c r="F926" s="510"/>
      <c r="G926" s="510"/>
      <c r="H926" s="512"/>
      <c r="I926" s="510"/>
      <c r="J926" s="570"/>
      <c r="K926" s="510"/>
      <c r="L926" s="510"/>
      <c r="M926" s="512"/>
      <c r="N926" s="572"/>
      <c r="O926" s="572"/>
      <c r="P926" s="836"/>
      <c r="Q926" s="836"/>
      <c r="R926" s="571"/>
      <c r="S926" s="572"/>
      <c r="T926" s="572"/>
      <c r="U926" s="572"/>
      <c r="V926" s="572"/>
      <c r="W926" s="571"/>
      <c r="X926" s="572"/>
      <c r="Y926" s="572"/>
      <c r="Z926" s="572"/>
      <c r="AA926" s="572"/>
      <c r="AB926" s="571"/>
      <c r="AC926" s="572"/>
      <c r="AD926" s="572"/>
      <c r="AE926" s="572"/>
      <c r="AF926" s="572"/>
      <c r="AG926" s="571"/>
      <c r="AH926" s="572"/>
      <c r="AI926" s="572"/>
      <c r="AJ926" s="572"/>
      <c r="AK926" s="572"/>
      <c r="AL926" s="571"/>
      <c r="AM926" s="572"/>
      <c r="AN926" s="572"/>
      <c r="AO926" s="572"/>
      <c r="AP926" s="572"/>
      <c r="AQ926" s="571"/>
      <c r="AR926" s="572"/>
      <c r="AS926" s="572"/>
      <c r="AT926" s="572"/>
      <c r="AU926" s="572"/>
      <c r="AV926" s="571"/>
      <c r="AW926" s="572"/>
      <c r="AX926" s="572"/>
      <c r="AY926" s="572"/>
      <c r="AZ926" s="572"/>
      <c r="BA926" s="571"/>
      <c r="BB926" s="572"/>
      <c r="BC926" s="572"/>
      <c r="BD926" s="572"/>
      <c r="BE926" s="572"/>
      <c r="BF926" s="571"/>
      <c r="BG926" s="2820"/>
      <c r="BH926" s="572"/>
      <c r="BI926" s="572"/>
      <c r="BJ926" s="2821"/>
      <c r="BK926" s="571"/>
      <c r="BL926" s="572"/>
      <c r="BM926" s="572"/>
      <c r="BN926" s="572"/>
      <c r="BO926" s="2821"/>
      <c r="BP926" s="571"/>
      <c r="BQ926" s="572"/>
      <c r="BR926" s="572"/>
      <c r="BS926" s="572"/>
      <c r="BT926" s="2821"/>
      <c r="BU926" s="3373"/>
      <c r="BV926" s="572"/>
      <c r="BW926" s="572"/>
      <c r="BX926" s="572"/>
      <c r="BY926" s="2821"/>
      <c r="BZ926" s="571"/>
      <c r="CA926" s="571"/>
      <c r="CB926" s="571"/>
      <c r="CC926" s="571"/>
      <c r="CD926" s="571"/>
      <c r="CE926" s="571"/>
      <c r="CF926" s="571"/>
      <c r="CG926" s="571"/>
      <c r="CH926" s="572"/>
      <c r="CI926" s="572"/>
      <c r="CJ926" s="572"/>
      <c r="CK926" s="572"/>
      <c r="CL926" s="572"/>
      <c r="CM926" s="572"/>
      <c r="CN926" s="572"/>
      <c r="CO926" s="572"/>
      <c r="CP926" s="528"/>
      <c r="CQ926" s="1759"/>
      <c r="CR926" s="1759"/>
      <c r="CS926" s="1759"/>
      <c r="CT926" s="1759"/>
      <c r="CU926" s="1759"/>
      <c r="CV926" s="1759"/>
      <c r="CW926" s="1759"/>
      <c r="CX926" s="1759"/>
      <c r="CY926" s="1759"/>
      <c r="CZ926" s="1759"/>
      <c r="DA926" s="1759"/>
      <c r="DB926" s="1759"/>
      <c r="DC926" s="1759"/>
      <c r="DD926" s="1759"/>
      <c r="DE926" s="1759"/>
      <c r="DF926" s="1759"/>
      <c r="DG926" s="1857"/>
      <c r="DH926" s="231"/>
      <c r="DI926" s="570"/>
      <c r="DJ926" s="570"/>
      <c r="DK926" s="570"/>
      <c r="DL926" s="570"/>
      <c r="DM926" s="570"/>
      <c r="DN926" s="222"/>
      <c r="DO926" s="226"/>
      <c r="DY926" s="572"/>
      <c r="DZ926" s="572"/>
    </row>
    <row r="927" spans="1:130" ht="12" customHeight="1">
      <c r="A927" s="1561" t="s">
        <v>1766</v>
      </c>
      <c r="B927" s="1562"/>
      <c r="C927" s="1562"/>
      <c r="D927" s="1563">
        <v>40.104999999999997</v>
      </c>
      <c r="E927" s="1564">
        <f t="shared" ref="E927:AQ927" si="1768">E906-E924</f>
        <v>52.296999999999997</v>
      </c>
      <c r="F927" s="1564">
        <f t="shared" si="1768"/>
        <v>63.061999999999998</v>
      </c>
      <c r="G927" s="1564">
        <f t="shared" si="1768"/>
        <v>60.102999999999994</v>
      </c>
      <c r="H927" s="1565">
        <f t="shared" si="1768"/>
        <v>215.56700000000006</v>
      </c>
      <c r="I927" s="1564">
        <f t="shared" si="1768"/>
        <v>56.879999999999981</v>
      </c>
      <c r="J927" s="1564">
        <f t="shared" si="1768"/>
        <v>56.736999999999995</v>
      </c>
      <c r="K927" s="1564">
        <f t="shared" si="1768"/>
        <v>75.51400000000001</v>
      </c>
      <c r="L927" s="1564">
        <f t="shared" si="1768"/>
        <v>62.60299999999998</v>
      </c>
      <c r="M927" s="1565">
        <f t="shared" si="1768"/>
        <v>251.73399999999992</v>
      </c>
      <c r="N927" s="1564">
        <f t="shared" si="1768"/>
        <v>65.279000000000011</v>
      </c>
      <c r="O927" s="1564">
        <f t="shared" si="1768"/>
        <v>57.610000000000014</v>
      </c>
      <c r="P927" s="1564">
        <f t="shared" si="1768"/>
        <v>70.964000000000027</v>
      </c>
      <c r="Q927" s="1564">
        <f t="shared" si="1768"/>
        <v>53.16</v>
      </c>
      <c r="R927" s="1565">
        <f t="shared" si="1768"/>
        <v>247.01300000000015</v>
      </c>
      <c r="S927" s="1564">
        <f t="shared" si="1768"/>
        <v>60.568999999999988</v>
      </c>
      <c r="T927" s="1564">
        <f t="shared" si="1768"/>
        <v>54.462999999999994</v>
      </c>
      <c r="U927" s="1564">
        <f t="shared" si="1768"/>
        <v>72.587999999999994</v>
      </c>
      <c r="V927" s="1564">
        <f t="shared" si="1768"/>
        <v>54.096000000000004</v>
      </c>
      <c r="W927" s="1565">
        <f t="shared" si="1768"/>
        <v>241.71599999999989</v>
      </c>
      <c r="X927" s="1564">
        <f t="shared" si="1768"/>
        <v>55.466000000000008</v>
      </c>
      <c r="Y927" s="1564">
        <f t="shared" si="1768"/>
        <v>45.170000000000016</v>
      </c>
      <c r="Z927" s="1564">
        <f t="shared" si="1768"/>
        <v>59.781999999999982</v>
      </c>
      <c r="AA927" s="1564">
        <f t="shared" si="1768"/>
        <v>36.718000000000018</v>
      </c>
      <c r="AB927" s="1565">
        <f t="shared" si="1768"/>
        <v>197.13600000000008</v>
      </c>
      <c r="AC927" s="1564">
        <f t="shared" si="1768"/>
        <v>45.925999999999988</v>
      </c>
      <c r="AD927" s="1564">
        <f t="shared" si="1768"/>
        <v>47.725999999999999</v>
      </c>
      <c r="AE927" s="1564">
        <f t="shared" si="1768"/>
        <v>67.558999999999997</v>
      </c>
      <c r="AF927" s="1564">
        <f t="shared" si="1768"/>
        <v>36.447999999999979</v>
      </c>
      <c r="AG927" s="1565">
        <f t="shared" si="1768"/>
        <v>197.65899999999999</v>
      </c>
      <c r="AH927" s="1564">
        <f t="shared" si="1768"/>
        <v>38.016999999999996</v>
      </c>
      <c r="AI927" s="1564">
        <f t="shared" si="1768"/>
        <v>42.960000000000008</v>
      </c>
      <c r="AJ927" s="1564">
        <f t="shared" si="1768"/>
        <v>54.319000000000017</v>
      </c>
      <c r="AK927" s="1564">
        <f t="shared" si="1768"/>
        <v>34.128999999999991</v>
      </c>
      <c r="AL927" s="1565">
        <f t="shared" si="1768"/>
        <v>169.42500000000007</v>
      </c>
      <c r="AM927" s="1564">
        <f t="shared" si="1768"/>
        <v>31.681999999999988</v>
      </c>
      <c r="AN927" s="1564">
        <f t="shared" si="1768"/>
        <v>38.657000000000011</v>
      </c>
      <c r="AO927" s="1564">
        <f t="shared" si="1768"/>
        <v>49.94</v>
      </c>
      <c r="AP927" s="1564">
        <f t="shared" si="1768"/>
        <v>37.859999999999985</v>
      </c>
      <c r="AQ927" s="1565">
        <f t="shared" si="1768"/>
        <v>158.13900000000001</v>
      </c>
      <c r="AR927" s="1633">
        <v>38.881</v>
      </c>
      <c r="AS927" s="1633">
        <v>30.734999999999999</v>
      </c>
      <c r="AT927" s="1633">
        <v>33.35</v>
      </c>
      <c r="AU927" s="1633">
        <v>14.01</v>
      </c>
      <c r="AV927" s="1565">
        <f>SUM(AR927:AU927)</f>
        <v>116.97600000000001</v>
      </c>
      <c r="AW927" s="1633">
        <v>28.405000000000001</v>
      </c>
      <c r="AX927" s="1633">
        <f>27.847</f>
        <v>27.847000000000001</v>
      </c>
      <c r="AY927" s="1633">
        <v>46.591999999999999</v>
      </c>
      <c r="AZ927" s="1633">
        <v>16.393000000000001</v>
      </c>
      <c r="BA927" s="1565">
        <f>SUM(AW927:AZ927)</f>
        <v>119.23699999999999</v>
      </c>
      <c r="BB927" s="2685">
        <v>20.446000000000002</v>
      </c>
      <c r="BC927" s="2757">
        <v>42.597999999999999</v>
      </c>
      <c r="BD927" s="2757">
        <v>56.872999999999998</v>
      </c>
      <c r="BE927" s="3114">
        <v>36.037999999999997</v>
      </c>
      <c r="BF927" s="1565">
        <f>SUM(BB927:BE927)</f>
        <v>155.95499999999998</v>
      </c>
      <c r="BG927" s="2685">
        <v>37.825000000000003</v>
      </c>
      <c r="BH927" s="3114">
        <v>44.527000000000001</v>
      </c>
      <c r="BI927" s="3114">
        <v>75.974000000000004</v>
      </c>
      <c r="BJ927" s="3114">
        <v>45.863999999999997</v>
      </c>
      <c r="BK927" s="1565">
        <f>+BK906-BK924</f>
        <v>204.18999999999983</v>
      </c>
      <c r="BL927" s="3114">
        <v>45.335000000000001</v>
      </c>
      <c r="BM927" s="3114">
        <v>60.762999999999998</v>
      </c>
      <c r="BN927" s="1564">
        <f>+BN906-BN924</f>
        <v>143.59815629601201</v>
      </c>
      <c r="BO927" s="1901"/>
      <c r="BP927" s="1565"/>
      <c r="BQ927" s="1564"/>
      <c r="BR927" s="1564"/>
      <c r="BS927" s="1564"/>
      <c r="BT927" s="1901"/>
      <c r="BU927" s="3419"/>
      <c r="BV927" s="1564"/>
      <c r="BW927" s="1564"/>
      <c r="BX927" s="1564"/>
      <c r="BY927" s="1901"/>
      <c r="BZ927" s="1565"/>
      <c r="CA927" s="1565"/>
      <c r="CB927" s="1565"/>
      <c r="CC927" s="1565">
        <f>+CC906-CC924</f>
        <v>9.0480908170857433</v>
      </c>
      <c r="CD927" s="1565">
        <f>+CD906-CD924</f>
        <v>8.5956862762314685</v>
      </c>
      <c r="CE927" s="1565">
        <f>+CE906-CE924</f>
        <v>8.7676000017560867</v>
      </c>
      <c r="CF927" s="1565">
        <f>+CF906-CF924</f>
        <v>8.9429520017912125</v>
      </c>
      <c r="CG927" s="1565">
        <f>+CG906-CG924</f>
        <v>9.1218110418270371</v>
      </c>
      <c r="CH927" s="826"/>
      <c r="CI927" s="826"/>
      <c r="CJ927" s="826"/>
      <c r="CK927" s="826"/>
      <c r="CL927" s="826"/>
      <c r="CM927" s="826"/>
      <c r="CN927" s="826"/>
      <c r="CO927" s="826"/>
      <c r="CP927" s="1561" t="str">
        <f>A927</f>
        <v>EBITDA (per Boyd)</v>
      </c>
      <c r="CQ927" s="1564">
        <f>H927</f>
        <v>215.56700000000006</v>
      </c>
      <c r="CR927" s="1564">
        <f>M927</f>
        <v>251.73399999999992</v>
      </c>
      <c r="CS927" s="1564">
        <f>R927</f>
        <v>247.01300000000015</v>
      </c>
      <c r="CT927" s="1564">
        <f>W927</f>
        <v>241.71599999999989</v>
      </c>
      <c r="CU927" s="1564">
        <f>AB927</f>
        <v>197.13600000000008</v>
      </c>
      <c r="CV927" s="1564">
        <f>AG927</f>
        <v>197.65899999999999</v>
      </c>
      <c r="CW927" s="1564">
        <f>AL927</f>
        <v>169.42500000000007</v>
      </c>
      <c r="CX927" s="1564">
        <f>AQ927</f>
        <v>158.13900000000001</v>
      </c>
      <c r="CY927" s="1564">
        <f>AV927</f>
        <v>116.97600000000001</v>
      </c>
      <c r="CZ927" s="1564">
        <f>BA927</f>
        <v>119.23699999999999</v>
      </c>
      <c r="DA927" s="1564">
        <f>BF927</f>
        <v>155.95499999999998</v>
      </c>
      <c r="DB927" s="1564">
        <f>BK927</f>
        <v>204.18999999999983</v>
      </c>
      <c r="DC927" s="1564">
        <f>BP927</f>
        <v>0</v>
      </c>
      <c r="DD927" s="1564">
        <f>BU927</f>
        <v>0</v>
      </c>
      <c r="DE927" s="1564">
        <f t="shared" ref="DE927:DG929" si="1769">BZ927</f>
        <v>0</v>
      </c>
      <c r="DF927" s="1564">
        <f t="shared" si="1769"/>
        <v>0</v>
      </c>
      <c r="DG927" s="1901">
        <f t="shared" si="1769"/>
        <v>0</v>
      </c>
      <c r="DH927" s="830"/>
      <c r="DI927" s="831"/>
      <c r="DJ927" s="831"/>
      <c r="DK927" s="831"/>
      <c r="DL927" s="831"/>
      <c r="DM927" s="831"/>
      <c r="DN927" s="268"/>
      <c r="DO927" s="269"/>
      <c r="DY927" s="826"/>
      <c r="DZ927" s="826"/>
    </row>
    <row r="928" spans="1:130" ht="12" customHeight="1">
      <c r="A928" s="212" t="s">
        <v>56</v>
      </c>
      <c r="B928" s="819"/>
      <c r="C928" s="819"/>
      <c r="D928" s="560">
        <f>D927/D906</f>
        <v>0.27490078073055541</v>
      </c>
      <c r="E928" s="561">
        <f>E927/E906</f>
        <v>0.31706488986971099</v>
      </c>
      <c r="F928" s="561">
        <f>F927/F906</f>
        <v>0.33878254890057641</v>
      </c>
      <c r="G928" s="561">
        <f>G927/G906</f>
        <v>0.33493641541187874</v>
      </c>
      <c r="H928" s="562">
        <f>+H927/H906</f>
        <v>0.31868856433660209</v>
      </c>
      <c r="I928" s="561">
        <f>I927/I906</f>
        <v>0.33044023841890613</v>
      </c>
      <c r="J928" s="561">
        <f>J927/J906</f>
        <v>0.30770774353801261</v>
      </c>
      <c r="K928" s="561">
        <f>K927/K906</f>
        <v>0.35365579513309986</v>
      </c>
      <c r="L928" s="561">
        <f>L927/L906</f>
        <v>0.32279737443216672</v>
      </c>
      <c r="M928" s="562">
        <f>+M927/M906</f>
        <v>0.32950209625083271</v>
      </c>
      <c r="N928" s="561">
        <f>N927/N906</f>
        <v>0.34802844834939867</v>
      </c>
      <c r="O928" s="561">
        <f>O927/O906</f>
        <v>0.30421604038611838</v>
      </c>
      <c r="P928" s="561">
        <f>P927/P906</f>
        <v>0.29881466197865136</v>
      </c>
      <c r="Q928" s="561">
        <f>Q927/Q906</f>
        <v>0.26735063367531681</v>
      </c>
      <c r="R928" s="562">
        <f>+R927/R906</f>
        <v>0.30373002649812808</v>
      </c>
      <c r="S928" s="561">
        <f>S927/S906</f>
        <v>0.29730034850046627</v>
      </c>
      <c r="T928" s="561">
        <f>T927/T906</f>
        <v>0.26948673669835077</v>
      </c>
      <c r="U928" s="561">
        <f>U927/U906</f>
        <v>0.31547929487848125</v>
      </c>
      <c r="V928" s="561">
        <f>V927/V906</f>
        <v>0.26684293085248073</v>
      </c>
      <c r="W928" s="562">
        <f>+W927/W906</f>
        <v>0.28822275986325518</v>
      </c>
      <c r="X928" s="561">
        <f>X927/X906</f>
        <v>0.27455153843107755</v>
      </c>
      <c r="Y928" s="561">
        <f>Y927/Y906</f>
        <v>0.22027591789760126</v>
      </c>
      <c r="Z928" s="561">
        <f>Z927/Z906</f>
        <v>0.24917368633841966</v>
      </c>
      <c r="AA928" s="561">
        <f>AA927/AA906</f>
        <v>0.20011663205855593</v>
      </c>
      <c r="AB928" s="562">
        <f>+AB927/AB906</f>
        <v>0.23737340289877418</v>
      </c>
      <c r="AC928" s="561">
        <f>AC927/AC906</f>
        <v>0.24443025174304109</v>
      </c>
      <c r="AD928" s="561">
        <f>AD927/AD906</f>
        <v>0.24920501480317261</v>
      </c>
      <c r="AE928" s="561">
        <f>AE927/AE906</f>
        <v>0.3035036411092692</v>
      </c>
      <c r="AF928" s="561">
        <f>AF927/AF906</f>
        <v>0.20778983854784264</v>
      </c>
      <c r="AG928" s="562">
        <f>+AG927/AG906</f>
        <v>0.25425387955873879</v>
      </c>
      <c r="AH928" s="561">
        <f t="shared" ref="AH928:BF928" si="1770">AH927/AH906</f>
        <v>0.21715810037357336</v>
      </c>
      <c r="AI928" s="561">
        <f t="shared" si="1770"/>
        <v>0.22986537679515448</v>
      </c>
      <c r="AJ928" s="561">
        <f t="shared" si="1770"/>
        <v>0.26154260979262067</v>
      </c>
      <c r="AK928" s="561">
        <f t="shared" si="1770"/>
        <v>0.2022027893308686</v>
      </c>
      <c r="AL928" s="562">
        <f t="shared" si="1770"/>
        <v>0.22943917576591458</v>
      </c>
      <c r="AM928" s="561">
        <f t="shared" si="1770"/>
        <v>0.18736767401975271</v>
      </c>
      <c r="AN928" s="561">
        <f t="shared" si="1770"/>
        <v>0.21152246711462283</v>
      </c>
      <c r="AO928" s="561">
        <f t="shared" si="1770"/>
        <v>0.2472056945420705</v>
      </c>
      <c r="AP928" s="561">
        <f t="shared" si="1770"/>
        <v>0.2146136840315174</v>
      </c>
      <c r="AQ928" s="562">
        <f t="shared" si="1770"/>
        <v>0.21654748765531842</v>
      </c>
      <c r="AR928" s="561">
        <f t="shared" si="1770"/>
        <v>0.22072665342038036</v>
      </c>
      <c r="AS928" s="561">
        <f t="shared" si="1770"/>
        <v>0.17521206731427008</v>
      </c>
      <c r="AT928" s="561">
        <f t="shared" si="1770"/>
        <v>0.17825550133357565</v>
      </c>
      <c r="AU928" s="561">
        <f t="shared" si="1770"/>
        <v>9.4941212347101275E-2</v>
      </c>
      <c r="AV928" s="562">
        <f t="shared" si="1770"/>
        <v>0.17046378577195134</v>
      </c>
      <c r="AW928" s="561">
        <f t="shared" si="1770"/>
        <v>0.17148221487044504</v>
      </c>
      <c r="AX928" s="561">
        <f t="shared" si="1770"/>
        <v>0.16107984289408075</v>
      </c>
      <c r="AY928" s="561">
        <f t="shared" si="1770"/>
        <v>0.23290061034436219</v>
      </c>
      <c r="AZ928" s="561">
        <f t="shared" si="1770"/>
        <v>0.10432895473753884</v>
      </c>
      <c r="BA928" s="562">
        <f t="shared" si="1770"/>
        <v>0.17139165069951229</v>
      </c>
      <c r="BB928" s="561">
        <f t="shared" si="1770"/>
        <v>0.12223789936866271</v>
      </c>
      <c r="BC928" s="561">
        <f t="shared" si="1770"/>
        <v>0.23424285415773091</v>
      </c>
      <c r="BD928" s="561">
        <f t="shared" si="1770"/>
        <v>0.27089346784411228</v>
      </c>
      <c r="BE928" s="561">
        <f t="shared" si="1770"/>
        <v>0.20116440688373236</v>
      </c>
      <c r="BF928" s="562">
        <f t="shared" si="1770"/>
        <v>0.21126073710632864</v>
      </c>
      <c r="BG928" s="560">
        <f t="shared" ref="BG928:BN928" si="1771">BG927/BG906</f>
        <v>0.20715924836655003</v>
      </c>
      <c r="BH928" s="561">
        <f t="shared" si="1771"/>
        <v>0.23292687392434727</v>
      </c>
      <c r="BI928" s="561">
        <f t="shared" si="1771"/>
        <v>0.31994306433477498</v>
      </c>
      <c r="BJ928" s="1846">
        <f t="shared" si="1771"/>
        <v>0.23769519002036762</v>
      </c>
      <c r="BK928" s="562">
        <f t="shared" si="1771"/>
        <v>0.25391523640641339</v>
      </c>
      <c r="BL928" s="561">
        <f t="shared" si="1771"/>
        <v>0.23823787527654722</v>
      </c>
      <c r="BM928" s="561">
        <f t="shared" si="1771"/>
        <v>0.29881434198685003</v>
      </c>
      <c r="BN928" s="561">
        <f t="shared" si="1771"/>
        <v>0.67504459139534012</v>
      </c>
      <c r="BO928" s="1846"/>
      <c r="BP928" s="562"/>
      <c r="BQ928" s="561"/>
      <c r="BR928" s="561"/>
      <c r="BS928" s="561"/>
      <c r="BT928" s="1846"/>
      <c r="BU928" s="3371"/>
      <c r="BV928" s="561"/>
      <c r="BW928" s="561"/>
      <c r="BX928" s="561"/>
      <c r="BY928" s="1846"/>
      <c r="BZ928" s="1621"/>
      <c r="CA928" s="1621"/>
      <c r="CB928" s="1621"/>
      <c r="CC928" s="1621">
        <f>CC927/CC906</f>
        <v>0.18478260869565211</v>
      </c>
      <c r="CD928" s="1621">
        <f>CD927/CD906</f>
        <v>0.18478260869565233</v>
      </c>
      <c r="CE928" s="1621">
        <f>CE927/CE906</f>
        <v>0.18478260869565213</v>
      </c>
      <c r="CF928" s="1621">
        <f>CF927/CF906</f>
        <v>0.18478260869565219</v>
      </c>
      <c r="CG928" s="1621">
        <f>CG927/CG906</f>
        <v>0.18478260869565222</v>
      </c>
      <c r="CH928" s="561"/>
      <c r="CI928" s="561"/>
      <c r="CJ928" s="561"/>
      <c r="CK928" s="561"/>
      <c r="CL928" s="561"/>
      <c r="CM928" s="561"/>
      <c r="CN928" s="561"/>
      <c r="CO928" s="561"/>
      <c r="CP928" s="1856" t="str">
        <f>A928</f>
        <v>% Margin</v>
      </c>
      <c r="CQ928" s="561">
        <f>H928</f>
        <v>0.31868856433660209</v>
      </c>
      <c r="CR928" s="561">
        <f>M928</f>
        <v>0.32950209625083271</v>
      </c>
      <c r="CS928" s="561">
        <f>R928</f>
        <v>0.30373002649812808</v>
      </c>
      <c r="CT928" s="561">
        <f>W928</f>
        <v>0.28822275986325518</v>
      </c>
      <c r="CU928" s="561">
        <f>AB928</f>
        <v>0.23737340289877418</v>
      </c>
      <c r="CV928" s="561">
        <f>AG928</f>
        <v>0.25425387955873879</v>
      </c>
      <c r="CW928" s="561">
        <f>AL928</f>
        <v>0.22943917576591458</v>
      </c>
      <c r="CX928" s="561">
        <f>AQ928</f>
        <v>0.21654748765531842</v>
      </c>
      <c r="CY928" s="561">
        <f>AV928</f>
        <v>0.17046378577195134</v>
      </c>
      <c r="CZ928" s="561">
        <f>BA928</f>
        <v>0.17139165069951229</v>
      </c>
      <c r="DA928" s="561">
        <f>BF928</f>
        <v>0.21126073710632864</v>
      </c>
      <c r="DB928" s="561">
        <f>BK928</f>
        <v>0.25391523640641339</v>
      </c>
      <c r="DC928" s="561">
        <f>BP928</f>
        <v>0</v>
      </c>
      <c r="DD928" s="561">
        <f>BU928</f>
        <v>0</v>
      </c>
      <c r="DE928" s="561">
        <f t="shared" si="1769"/>
        <v>0</v>
      </c>
      <c r="DF928" s="561">
        <f t="shared" si="1769"/>
        <v>0</v>
      </c>
      <c r="DG928" s="1846">
        <f t="shared" si="1769"/>
        <v>0</v>
      </c>
      <c r="DH928" s="561"/>
      <c r="DI928" s="548"/>
      <c r="DJ928" s="548"/>
      <c r="DK928" s="548"/>
      <c r="DL928" s="548"/>
      <c r="DM928" s="548"/>
      <c r="DN928" s="265"/>
      <c r="DO928" s="266"/>
      <c r="DY928" s="561"/>
      <c r="DZ928" s="561"/>
    </row>
    <row r="929" spans="1:130" ht="12" customHeight="1">
      <c r="A929" s="257" t="s">
        <v>1249</v>
      </c>
      <c r="B929" s="819"/>
      <c r="C929" s="819"/>
      <c r="D929" s="607"/>
      <c r="E929" s="547"/>
      <c r="F929" s="561"/>
      <c r="G929" s="561"/>
      <c r="H929" s="550"/>
      <c r="I929" s="561">
        <f t="shared" ref="I929:O929" si="1772">I927/D927-1</f>
        <v>0.41827702281511003</v>
      </c>
      <c r="J929" s="561">
        <f t="shared" si="1772"/>
        <v>8.4899707440197369E-2</v>
      </c>
      <c r="K929" s="561">
        <f t="shared" si="1772"/>
        <v>0.19745647140908962</v>
      </c>
      <c r="L929" s="561">
        <f t="shared" si="1772"/>
        <v>4.1595261467813449E-2</v>
      </c>
      <c r="M929" s="562">
        <f t="shared" si="1772"/>
        <v>0.16777614384390871</v>
      </c>
      <c r="N929" s="561">
        <f t="shared" si="1772"/>
        <v>0.14766174402250409</v>
      </c>
      <c r="O929" s="561">
        <f t="shared" si="1772"/>
        <v>1.5386784637891004E-2</v>
      </c>
      <c r="P929" s="561">
        <f t="shared" ref="P929:U929" si="1773">P927/K927-1</f>
        <v>-6.0253727785575917E-2</v>
      </c>
      <c r="Q929" s="561">
        <f t="shared" si="1773"/>
        <v>-0.15083941664137479</v>
      </c>
      <c r="R929" s="562">
        <f t="shared" si="1773"/>
        <v>-1.8753922791517108E-2</v>
      </c>
      <c r="S929" s="561">
        <f t="shared" si="1773"/>
        <v>-7.2151840561283431E-2</v>
      </c>
      <c r="T929" s="561">
        <f t="shared" si="1773"/>
        <v>-5.4625932997743765E-2</v>
      </c>
      <c r="U929" s="561">
        <f t="shared" si="1773"/>
        <v>2.288484301899496E-2</v>
      </c>
      <c r="V929" s="561">
        <f t="shared" ref="V929:AG929" si="1774">V927/Q927-1</f>
        <v>1.7607223476298062E-2</v>
      </c>
      <c r="W929" s="562">
        <f t="shared" si="1774"/>
        <v>-2.1444215486635332E-2</v>
      </c>
      <c r="X929" s="561">
        <f t="shared" si="1774"/>
        <v>-8.4251019498422952E-2</v>
      </c>
      <c r="Y929" s="561">
        <f t="shared" si="1774"/>
        <v>-0.17062960174797526</v>
      </c>
      <c r="Z929" s="561">
        <f t="shared" si="1774"/>
        <v>-0.17642034496059977</v>
      </c>
      <c r="AA929" s="561">
        <f t="shared" si="1774"/>
        <v>-0.321243714877255</v>
      </c>
      <c r="AB929" s="562">
        <f>AB927/W927-1</f>
        <v>-0.18443131608995611</v>
      </c>
      <c r="AC929" s="561">
        <f>AC927/X927-1</f>
        <v>-0.17199725958244727</v>
      </c>
      <c r="AD929" s="561">
        <f>AD927/Y927-1</f>
        <v>5.6586229798538445E-2</v>
      </c>
      <c r="AE929" s="561">
        <f>AE927/Z927-1</f>
        <v>0.13008932454585032</v>
      </c>
      <c r="AF929" s="561">
        <f>AF927/AA927-1</f>
        <v>-7.3533416852780142E-3</v>
      </c>
      <c r="AG929" s="562">
        <f t="shared" si="1774"/>
        <v>2.6529908286661019E-3</v>
      </c>
      <c r="AH929" s="561">
        <f>AH927/AC927-1</f>
        <v>-0.17221181901319504</v>
      </c>
      <c r="AI929" s="561">
        <f>AI927/AD927-1</f>
        <v>-9.9861710597996756E-2</v>
      </c>
      <c r="AJ929" s="561">
        <f>AJ927/AE927-1</f>
        <v>-0.19597684986456254</v>
      </c>
      <c r="AK929" s="561">
        <f>AK927/AF927-1</f>
        <v>-6.3624890254609046E-2</v>
      </c>
      <c r="AL929" s="562">
        <f>+AL927/AG927-1</f>
        <v>-0.14284196520269721</v>
      </c>
      <c r="AM929" s="561">
        <f>AM927/AH927-1</f>
        <v>-0.16663597864113444</v>
      </c>
      <c r="AN929" s="561">
        <f>AN927/AI927-1</f>
        <v>-0.10016294227188072</v>
      </c>
      <c r="AO929" s="561">
        <f>AO927/AJ927-1</f>
        <v>-8.061635891676977E-2</v>
      </c>
      <c r="AP929" s="561">
        <f>AP927/AK927-1</f>
        <v>0.10932051920653985</v>
      </c>
      <c r="AQ929" s="562">
        <f>+AQ927/AL927-1</f>
        <v>-6.6613545816733399E-2</v>
      </c>
      <c r="AR929" s="561">
        <f>AR927/AM927-1</f>
        <v>0.22722681648885845</v>
      </c>
      <c r="AS929" s="561">
        <f>AS927/AN927-1</f>
        <v>-0.204930542980573</v>
      </c>
      <c r="AT929" s="561">
        <f>AT927/AO927-1</f>
        <v>-0.33219863836603913</v>
      </c>
      <c r="AU929" s="561">
        <f>AU927/AP927-1</f>
        <v>-0.62995245641838338</v>
      </c>
      <c r="AV929" s="562">
        <f>+AV927/AQ927-1</f>
        <v>-0.26029632159049942</v>
      </c>
      <c r="AW929" s="561">
        <f>AW927/AR927-1</f>
        <v>-0.26943751446722042</v>
      </c>
      <c r="AX929" s="561">
        <f>AX927/AS927-1</f>
        <v>-9.3964535545794647E-2</v>
      </c>
      <c r="AY929" s="561">
        <f>AY927/AT927-1</f>
        <v>0.39706146926536712</v>
      </c>
      <c r="AZ929" s="561">
        <f>AZ927/AU927-1</f>
        <v>0.17009279086366891</v>
      </c>
      <c r="BA929" s="562">
        <f>+BA927/AV927-1</f>
        <v>1.9328751196826532E-2</v>
      </c>
      <c r="BB929" s="561">
        <f>BB927/AW927-1</f>
        <v>-0.28019714838936804</v>
      </c>
      <c r="BC929" s="561">
        <f>BC927/AX927-1</f>
        <v>0.52971594785793785</v>
      </c>
      <c r="BD929" s="561">
        <f>BD927/AY927-1</f>
        <v>0.22066019917582413</v>
      </c>
      <c r="BE929" s="561">
        <f>BE927/AZ927-1</f>
        <v>1.1983773561886166</v>
      </c>
      <c r="BF929" s="562">
        <f>+BF927/BA927-1</f>
        <v>0.3079413269371083</v>
      </c>
      <c r="BG929" s="560">
        <f>BG927/BB927-1</f>
        <v>0.84999510906778841</v>
      </c>
      <c r="BH929" s="561">
        <f>BH927/BC927-1</f>
        <v>4.5283816141602928E-2</v>
      </c>
      <c r="BI929" s="561">
        <f>BI927/BD927-1</f>
        <v>0.33585356847713332</v>
      </c>
      <c r="BJ929" s="1846">
        <f>BJ927/BE927-1</f>
        <v>0.27265664021310831</v>
      </c>
      <c r="BK929" s="562">
        <f>+BK927/BF927-1</f>
        <v>0.30928793562245427</v>
      </c>
      <c r="BL929" s="561">
        <f>BL927/BG927-1</f>
        <v>0.19854593522802366</v>
      </c>
      <c r="BM929" s="561">
        <f>BM927/BH927-1</f>
        <v>0.36463269476946558</v>
      </c>
      <c r="BN929" s="561"/>
      <c r="BO929" s="1846"/>
      <c r="BP929" s="562"/>
      <c r="BQ929" s="561"/>
      <c r="BR929" s="561"/>
      <c r="BS929" s="561"/>
      <c r="BT929" s="1846"/>
      <c r="BU929" s="3371"/>
      <c r="BV929" s="561"/>
      <c r="BW929" s="561"/>
      <c r="BX929" s="561"/>
      <c r="BY929" s="1846"/>
      <c r="BZ929" s="562"/>
      <c r="CA929" s="562"/>
      <c r="CB929" s="562"/>
      <c r="CC929" s="562" t="e">
        <f>CC927/CB927-1</f>
        <v>#DIV/0!</v>
      </c>
      <c r="CD929" s="562">
        <f>CD927/CC927-1</f>
        <v>-4.9999999999998601E-2</v>
      </c>
      <c r="CE929" s="562">
        <f>CE927/CD927-1</f>
        <v>1.9999999999998685E-2</v>
      </c>
      <c r="CF929" s="562">
        <f>CF927/CE927-1</f>
        <v>2.0000000000000462E-2</v>
      </c>
      <c r="CG929" s="562">
        <f>CG927/CF927-1</f>
        <v>2.0000000000000018E-2</v>
      </c>
      <c r="CH929" s="561"/>
      <c r="CI929" s="561"/>
      <c r="CJ929" s="561"/>
      <c r="CK929" s="561"/>
      <c r="CL929" s="561"/>
      <c r="CM929" s="561"/>
      <c r="CN929" s="561"/>
      <c r="CO929" s="561"/>
      <c r="CP929" s="396" t="str">
        <f>A929</f>
        <v>% Growth (y-o-y)</v>
      </c>
      <c r="CQ929" s="561"/>
      <c r="CR929" s="561">
        <f>M929</f>
        <v>0.16777614384390871</v>
      </c>
      <c r="CS929" s="561">
        <f>R929</f>
        <v>-1.8753922791517108E-2</v>
      </c>
      <c r="CT929" s="561">
        <f>W929</f>
        <v>-2.1444215486635332E-2</v>
      </c>
      <c r="CU929" s="561">
        <f>AB929</f>
        <v>-0.18443131608995611</v>
      </c>
      <c r="CV929" s="561">
        <f>AG929</f>
        <v>2.6529908286661019E-3</v>
      </c>
      <c r="CW929" s="561">
        <f>AL929</f>
        <v>-0.14284196520269721</v>
      </c>
      <c r="CX929" s="561">
        <f>AQ929</f>
        <v>-6.6613545816733399E-2</v>
      </c>
      <c r="CY929" s="561">
        <f>AV929</f>
        <v>-0.26029632159049942</v>
      </c>
      <c r="CZ929" s="561">
        <f>BA929</f>
        <v>1.9328751196826532E-2</v>
      </c>
      <c r="DA929" s="561">
        <f>BF929</f>
        <v>0.3079413269371083</v>
      </c>
      <c r="DB929" s="561">
        <f>BK929</f>
        <v>0.30928793562245427</v>
      </c>
      <c r="DC929" s="561">
        <f>BP929</f>
        <v>0</v>
      </c>
      <c r="DD929" s="561">
        <f>BU929</f>
        <v>0</v>
      </c>
      <c r="DE929" s="561">
        <f t="shared" si="1769"/>
        <v>0</v>
      </c>
      <c r="DF929" s="561">
        <f t="shared" si="1769"/>
        <v>0</v>
      </c>
      <c r="DG929" s="1846">
        <f t="shared" si="1769"/>
        <v>0</v>
      </c>
      <c r="DH929" s="561"/>
      <c r="DI929" s="548"/>
      <c r="DJ929" s="548"/>
      <c r="DK929" s="548"/>
      <c r="DL929" s="548"/>
      <c r="DM929" s="548"/>
      <c r="DN929" s="265"/>
      <c r="DO929" s="266"/>
      <c r="DY929" s="561"/>
      <c r="DZ929" s="561"/>
    </row>
    <row r="930" spans="1:130" ht="12.6" customHeight="1">
      <c r="A930" s="1690" t="s">
        <v>1604</v>
      </c>
      <c r="B930" s="232"/>
      <c r="C930" s="232"/>
      <c r="D930" s="1685" t="s">
        <v>812</v>
      </c>
      <c r="E930" s="1686" t="s">
        <v>812</v>
      </c>
      <c r="F930" s="1686" t="s">
        <v>812</v>
      </c>
      <c r="G930" s="1686" t="s">
        <v>812</v>
      </c>
      <c r="H930" s="1687" t="s">
        <v>812</v>
      </c>
      <c r="I930" s="1686" t="s">
        <v>812</v>
      </c>
      <c r="J930" s="1686" t="s">
        <v>812</v>
      </c>
      <c r="K930" s="1686" t="s">
        <v>812</v>
      </c>
      <c r="L930" s="1686" t="s">
        <v>812</v>
      </c>
      <c r="M930" s="1687" t="s">
        <v>812</v>
      </c>
      <c r="N930" s="1686" t="s">
        <v>812</v>
      </c>
      <c r="O930" s="1686" t="s">
        <v>812</v>
      </c>
      <c r="P930" s="1686" t="s">
        <v>812</v>
      </c>
      <c r="Q930" s="1686" t="s">
        <v>812</v>
      </c>
      <c r="R930" s="1687" t="s">
        <v>812</v>
      </c>
      <c r="S930" s="1686" t="s">
        <v>812</v>
      </c>
      <c r="T930" s="1686" t="s">
        <v>812</v>
      </c>
      <c r="U930" s="1686" t="s">
        <v>812</v>
      </c>
      <c r="V930" s="1686" t="s">
        <v>812</v>
      </c>
      <c r="W930" s="1687" t="s">
        <v>812</v>
      </c>
      <c r="X930" s="1686" t="s">
        <v>812</v>
      </c>
      <c r="Y930" s="1686" t="s">
        <v>812</v>
      </c>
      <c r="Z930" s="1686" t="s">
        <v>812</v>
      </c>
      <c r="AA930" s="1686" t="s">
        <v>812</v>
      </c>
      <c r="AB930" s="1687" t="s">
        <v>812</v>
      </c>
      <c r="AC930" s="1686" t="s">
        <v>812</v>
      </c>
      <c r="AD930" s="1686" t="s">
        <v>812</v>
      </c>
      <c r="AE930" s="1686" t="s">
        <v>812</v>
      </c>
      <c r="AF930" s="1686" t="s">
        <v>812</v>
      </c>
      <c r="AG930" s="1687" t="s">
        <v>812</v>
      </c>
      <c r="AH930" s="1686" t="s">
        <v>812</v>
      </c>
      <c r="AI930" s="1686" t="s">
        <v>812</v>
      </c>
      <c r="AJ930" s="1686" t="s">
        <v>812</v>
      </c>
      <c r="AK930" s="1686" t="s">
        <v>812</v>
      </c>
      <c r="AL930" s="1687" t="s">
        <v>812</v>
      </c>
      <c r="AM930" s="1686" t="s">
        <v>812</v>
      </c>
      <c r="AN930" s="1686" t="s">
        <v>812</v>
      </c>
      <c r="AO930" s="1686" t="s">
        <v>1239</v>
      </c>
      <c r="AP930" s="1686" t="s">
        <v>1237</v>
      </c>
      <c r="AQ930" s="1687" t="s">
        <v>812</v>
      </c>
      <c r="AR930" s="1686" t="s">
        <v>1235</v>
      </c>
      <c r="AS930" s="1686" t="s">
        <v>1232</v>
      </c>
      <c r="AT930" s="1686" t="s">
        <v>1605</v>
      </c>
      <c r="AU930" s="659" t="s">
        <v>812</v>
      </c>
      <c r="AV930" s="1687" t="s">
        <v>812</v>
      </c>
      <c r="AW930" s="398" t="s">
        <v>635</v>
      </c>
      <c r="AX930" s="659" t="s">
        <v>49</v>
      </c>
      <c r="AY930" s="659" t="s">
        <v>1188</v>
      </c>
      <c r="AZ930" s="659" t="s">
        <v>1216</v>
      </c>
      <c r="BA930" s="264"/>
      <c r="BB930" s="261"/>
      <c r="BC930" s="261"/>
      <c r="BD930" s="2697"/>
      <c r="BE930" s="2697"/>
      <c r="BF930" s="264"/>
      <c r="BG930" s="260"/>
      <c r="BH930" s="261"/>
      <c r="BI930" s="261"/>
      <c r="BJ930" s="1787"/>
      <c r="BK930" s="2758"/>
      <c r="BL930" s="261"/>
      <c r="BM930" s="261"/>
      <c r="BN930" s="261"/>
      <c r="BO930" s="1787"/>
      <c r="BP930" s="2758"/>
      <c r="BQ930" s="261"/>
      <c r="BR930" s="261"/>
      <c r="BS930" s="261"/>
      <c r="BT930" s="1787"/>
      <c r="BU930" s="3420"/>
      <c r="BV930" s="261"/>
      <c r="BW930" s="261"/>
      <c r="BX930" s="261"/>
      <c r="BY930" s="1787"/>
      <c r="BZ930" s="264"/>
      <c r="CA930" s="264"/>
      <c r="CB930" s="264"/>
      <c r="CC930" s="264"/>
      <c r="CD930" s="264"/>
      <c r="CE930" s="264"/>
      <c r="CF930" s="264"/>
      <c r="CG930" s="264"/>
      <c r="CH930" s="261"/>
      <c r="CI930" s="261"/>
      <c r="CJ930" s="261"/>
      <c r="CK930" s="261"/>
      <c r="CL930" s="261"/>
      <c r="CM930" s="261"/>
      <c r="CN930" s="261"/>
      <c r="CO930" s="261"/>
      <c r="CP930" s="1793"/>
      <c r="CQ930" s="1716"/>
      <c r="CR930" s="1716"/>
      <c r="CS930" s="1716"/>
      <c r="CT930" s="1716"/>
      <c r="CU930" s="1716"/>
      <c r="CV930" s="1716"/>
      <c r="CW930" s="1716"/>
      <c r="CX930" s="1716"/>
      <c r="CY930" s="1716"/>
      <c r="CZ930" s="1716"/>
      <c r="DA930" s="1716"/>
      <c r="DB930" s="1716"/>
      <c r="DC930" s="1716"/>
      <c r="DD930" s="1716"/>
      <c r="DE930" s="1716"/>
      <c r="DF930" s="1716"/>
      <c r="DG930" s="1794"/>
      <c r="DH930" s="261"/>
      <c r="DI930" s="265"/>
      <c r="DJ930" s="265"/>
      <c r="DK930" s="265"/>
      <c r="DL930" s="265"/>
      <c r="DM930" s="265"/>
      <c r="DN930" s="265"/>
      <c r="DO930" s="266"/>
      <c r="DY930" s="2697"/>
      <c r="DZ930" s="2697"/>
    </row>
    <row r="931" spans="1:130" ht="3.95" customHeight="1">
      <c r="A931" s="77"/>
      <c r="B931" s="445"/>
      <c r="C931" s="445"/>
      <c r="D931" s="596"/>
      <c r="E931" s="570"/>
      <c r="F931" s="510"/>
      <c r="G931" s="510"/>
      <c r="H931" s="512"/>
      <c r="I931" s="510"/>
      <c r="J931" s="510"/>
      <c r="K931" s="510"/>
      <c r="L931" s="510"/>
      <c r="M931" s="638"/>
      <c r="N931" s="570"/>
      <c r="O931" s="570"/>
      <c r="P931" s="510"/>
      <c r="Q931" s="668"/>
      <c r="R931" s="638"/>
      <c r="S931" s="635"/>
      <c r="T931" s="635"/>
      <c r="U931" s="635"/>
      <c r="V931" s="635"/>
      <c r="W931" s="638"/>
      <c r="X931" s="635"/>
      <c r="Y931" s="635"/>
      <c r="Z931" s="635"/>
      <c r="AA931" s="635"/>
      <c r="AB931" s="638"/>
      <c r="AC931" s="635"/>
      <c r="AD931" s="635"/>
      <c r="AE931" s="635"/>
      <c r="AF931" s="635"/>
      <c r="AG931" s="638"/>
      <c r="AH931" s="635"/>
      <c r="AI931" s="635"/>
      <c r="AJ931" s="635"/>
      <c r="AK931" s="635"/>
      <c r="AL931" s="538"/>
      <c r="AM931" s="821"/>
      <c r="AN931" s="821"/>
      <c r="AO931" s="821"/>
      <c r="AP931" s="821"/>
      <c r="AQ931" s="512"/>
      <c r="AR931" s="821"/>
      <c r="AS931" s="821"/>
      <c r="AT931" s="821"/>
      <c r="AU931" s="821"/>
      <c r="AV931" s="512"/>
      <c r="AW931" s="821"/>
      <c r="AX931" s="330"/>
      <c r="AY931" s="821"/>
      <c r="AZ931" s="821"/>
      <c r="BA931" s="512"/>
      <c r="BB931" s="821"/>
      <c r="BC931" s="821"/>
      <c r="BD931" s="821"/>
      <c r="BE931" s="821"/>
      <c r="BF931" s="512"/>
      <c r="BG931" s="509"/>
      <c r="BH931" s="510"/>
      <c r="BI931" s="510"/>
      <c r="BJ931" s="2811"/>
      <c r="BK931" s="512"/>
      <c r="BL931" s="510"/>
      <c r="BM931" s="510"/>
      <c r="BN931" s="510"/>
      <c r="BO931" s="2811"/>
      <c r="BP931" s="512"/>
      <c r="BQ931" s="510"/>
      <c r="BR931" s="510"/>
      <c r="BS931" s="510"/>
      <c r="BT931" s="2811"/>
      <c r="BU931" s="3367"/>
      <c r="BV931" s="510"/>
      <c r="BW931" s="510"/>
      <c r="BX931" s="510"/>
      <c r="BY931" s="2811"/>
      <c r="BZ931" s="512"/>
      <c r="CA931" s="512"/>
      <c r="CB931" s="512"/>
      <c r="CC931" s="512"/>
      <c r="CD931" s="512"/>
      <c r="CE931" s="512"/>
      <c r="CF931" s="512"/>
      <c r="CG931" s="512"/>
      <c r="CH931" s="510"/>
      <c r="CI931" s="510"/>
      <c r="CJ931" s="510"/>
      <c r="CK931" s="510"/>
      <c r="CL931" s="510"/>
      <c r="CM931" s="510"/>
      <c r="CN931" s="510"/>
      <c r="CO931" s="510"/>
      <c r="CP931" s="528"/>
      <c r="CQ931" s="1763"/>
      <c r="CR931" s="1763"/>
      <c r="CS931" s="1763"/>
      <c r="CT931" s="1763"/>
      <c r="CU931" s="1763"/>
      <c r="CV931" s="1763"/>
      <c r="CW931" s="1763"/>
      <c r="CX931" s="1763"/>
      <c r="CY931" s="1763"/>
      <c r="CZ931" s="1763"/>
      <c r="DA931" s="1763"/>
      <c r="DB931" s="1763"/>
      <c r="DC931" s="1763"/>
      <c r="DD931" s="1763"/>
      <c r="DE931" s="1763"/>
      <c r="DF931" s="1763"/>
      <c r="DG931" s="1902"/>
      <c r="DH931" s="514"/>
      <c r="DI931" s="570"/>
      <c r="DJ931" s="570"/>
      <c r="DK931" s="570"/>
      <c r="DL931" s="570"/>
      <c r="DM931" s="570"/>
      <c r="DN931" s="222"/>
      <c r="DO931" s="226"/>
      <c r="DY931" s="510"/>
      <c r="DZ931" s="510"/>
    </row>
    <row r="932" spans="1:130" ht="12.75" customHeight="1">
      <c r="A932" s="2689" t="s">
        <v>1767</v>
      </c>
      <c r="B932" s="445"/>
      <c r="C932" s="445"/>
      <c r="D932" s="596"/>
      <c r="E932" s="570"/>
      <c r="F932" s="510"/>
      <c r="G932" s="510"/>
      <c r="H932" s="512"/>
      <c r="I932" s="510"/>
      <c r="J932" s="510"/>
      <c r="K932" s="510"/>
      <c r="L932" s="510"/>
      <c r="M932" s="638"/>
      <c r="N932" s="570"/>
      <c r="O932" s="570"/>
      <c r="P932" s="510"/>
      <c r="Q932" s="668"/>
      <c r="R932" s="638"/>
      <c r="S932" s="635"/>
      <c r="T932" s="635"/>
      <c r="U932" s="635"/>
      <c r="V932" s="635"/>
      <c r="W932" s="638"/>
      <c r="X932" s="635"/>
      <c r="Y932" s="635"/>
      <c r="Z932" s="635"/>
      <c r="AA932" s="635"/>
      <c r="AB932" s="638"/>
      <c r="AC932" s="635"/>
      <c r="AD932" s="635"/>
      <c r="AE932" s="635"/>
      <c r="AF932" s="635"/>
      <c r="AG932" s="638"/>
      <c r="AH932" s="635"/>
      <c r="AI932" s="635"/>
      <c r="AJ932" s="635"/>
      <c r="AK932" s="635"/>
      <c r="AL932" s="538"/>
      <c r="AM932" s="821"/>
      <c r="AN932" s="821"/>
      <c r="AO932" s="821"/>
      <c r="AP932" s="821"/>
      <c r="AQ932" s="512"/>
      <c r="AR932" s="821"/>
      <c r="AS932" s="821"/>
      <c r="AT932" s="821"/>
      <c r="AU932" s="821"/>
      <c r="AV932" s="512"/>
      <c r="AW932" s="821"/>
      <c r="AX932" s="330"/>
      <c r="AY932" s="821"/>
      <c r="AZ932" s="821"/>
      <c r="BA932" s="512"/>
      <c r="BB932" s="2690">
        <v>-3.2</v>
      </c>
      <c r="BC932" s="2690">
        <v>-1.8</v>
      </c>
      <c r="BD932" s="3088">
        <v>0.2</v>
      </c>
      <c r="BE932" s="3115">
        <v>1.8</v>
      </c>
      <c r="BF932" s="2692">
        <f>SUM(BB932:BE932)</f>
        <v>-3</v>
      </c>
      <c r="BG932" s="3115">
        <v>1.1000000000000001</v>
      </c>
      <c r="BH932" s="3115">
        <v>1.6</v>
      </c>
      <c r="BI932" s="3115">
        <v>3.4</v>
      </c>
      <c r="BJ932" s="3115">
        <v>1.6052311200000002</v>
      </c>
      <c r="BK932" s="2692">
        <f>SUM(BG932:BJ932)</f>
        <v>7.7052311199999997</v>
      </c>
      <c r="BL932" s="2691">
        <f>+BL808</f>
        <v>1.3466145600000001</v>
      </c>
      <c r="BM932" s="2691">
        <f>+BM808</f>
        <v>1.31891802315</v>
      </c>
      <c r="BN932" s="3285">
        <f>+BN808*(1/3)</f>
        <v>0.43963934104999997</v>
      </c>
      <c r="BO932" s="2926"/>
      <c r="BP932" s="2692"/>
      <c r="BQ932" s="3285"/>
      <c r="BR932" s="3285"/>
      <c r="BS932" s="3285"/>
      <c r="BT932" s="2926"/>
      <c r="BU932" s="3382"/>
      <c r="BV932" s="3285"/>
      <c r="BW932" s="3285"/>
      <c r="BX932" s="3285"/>
      <c r="BY932" s="2926"/>
      <c r="BZ932" s="2692"/>
      <c r="CA932" s="2692"/>
      <c r="CB932" s="2692"/>
      <c r="CC932" s="2692">
        <f>+CC808</f>
        <v>13.30601590747904</v>
      </c>
      <c r="CD932" s="2692">
        <f>+CD808</f>
        <v>12.640715112105088</v>
      </c>
      <c r="CE932" s="2692">
        <f>+CE808</f>
        <v>12.893529414347189</v>
      </c>
      <c r="CF932" s="2692">
        <f>+CF808</f>
        <v>13.151400002634134</v>
      </c>
      <c r="CG932" s="2692">
        <f>+CG808</f>
        <v>13.414428002686817</v>
      </c>
      <c r="CH932" s="510"/>
      <c r="CI932" s="510"/>
      <c r="CJ932" s="510"/>
      <c r="CK932" s="510"/>
      <c r="CL932" s="510"/>
      <c r="CM932" s="510"/>
      <c r="CN932" s="510"/>
      <c r="CO932" s="510"/>
      <c r="CP932" s="528"/>
      <c r="CQ932" s="1763"/>
      <c r="CR932" s="1763"/>
      <c r="CS932" s="1763"/>
      <c r="CT932" s="1763"/>
      <c r="CU932" s="1763"/>
      <c r="CV932" s="1763"/>
      <c r="CW932" s="1763"/>
      <c r="CX932" s="1763"/>
      <c r="CY932" s="1763"/>
      <c r="CZ932" s="1763"/>
      <c r="DA932" s="1763"/>
      <c r="DB932" s="1763"/>
      <c r="DC932" s="1763"/>
      <c r="DD932" s="1763"/>
      <c r="DE932" s="1763"/>
      <c r="DF932" s="1763"/>
      <c r="DG932" s="1902"/>
      <c r="DH932" s="514"/>
      <c r="DI932" s="570"/>
      <c r="DJ932" s="570"/>
      <c r="DK932" s="570"/>
      <c r="DL932" s="570"/>
      <c r="DM932" s="570"/>
      <c r="DN932" s="222"/>
      <c r="DO932" s="226"/>
      <c r="DY932" s="2691"/>
      <c r="DZ932" s="2691"/>
    </row>
    <row r="933" spans="1:130" ht="3.95" customHeight="1">
      <c r="A933" s="77"/>
      <c r="B933" s="445"/>
      <c r="C933" s="445"/>
      <c r="D933" s="596"/>
      <c r="E933" s="570"/>
      <c r="F933" s="510"/>
      <c r="G933" s="510"/>
      <c r="H933" s="512"/>
      <c r="I933" s="510"/>
      <c r="J933" s="510"/>
      <c r="K933" s="510"/>
      <c r="L933" s="510"/>
      <c r="M933" s="638"/>
      <c r="N933" s="570"/>
      <c r="O933" s="570"/>
      <c r="P933" s="510"/>
      <c r="Q933" s="668"/>
      <c r="R933" s="638"/>
      <c r="S933" s="635"/>
      <c r="T933" s="635"/>
      <c r="U933" s="635"/>
      <c r="V933" s="635"/>
      <c r="W933" s="638"/>
      <c r="X933" s="635"/>
      <c r="Y933" s="635"/>
      <c r="Z933" s="635"/>
      <c r="AA933" s="635"/>
      <c r="AB933" s="638"/>
      <c r="AC933" s="635"/>
      <c r="AD933" s="635"/>
      <c r="AE933" s="635"/>
      <c r="AF933" s="635"/>
      <c r="AG933" s="638"/>
      <c r="AH933" s="635"/>
      <c r="AI933" s="635"/>
      <c r="AJ933" s="635"/>
      <c r="AK933" s="635"/>
      <c r="AL933" s="538"/>
      <c r="AM933" s="821"/>
      <c r="AN933" s="821"/>
      <c r="AO933" s="821"/>
      <c r="AP933" s="821"/>
      <c r="AQ933" s="512"/>
      <c r="AR933" s="821"/>
      <c r="AS933" s="821"/>
      <c r="AT933" s="821"/>
      <c r="AU933" s="821"/>
      <c r="AV933" s="512"/>
      <c r="AW933" s="821"/>
      <c r="AX933" s="330"/>
      <c r="AY933" s="821"/>
      <c r="AZ933" s="821"/>
      <c r="BA933" s="512"/>
      <c r="BB933" s="821"/>
      <c r="BC933" s="821"/>
      <c r="BD933" s="821"/>
      <c r="BE933" s="821"/>
      <c r="BF933" s="512"/>
      <c r="BG933" s="2927"/>
      <c r="BH933" s="821"/>
      <c r="BI933" s="821"/>
      <c r="BJ933" s="2928"/>
      <c r="BK933" s="512"/>
      <c r="BL933" s="821"/>
      <c r="BM933" s="821"/>
      <c r="BN933" s="821"/>
      <c r="BO933" s="2928"/>
      <c r="BP933" s="512"/>
      <c r="BQ933" s="821"/>
      <c r="BR933" s="821"/>
      <c r="BS933" s="821"/>
      <c r="BT933" s="2928"/>
      <c r="BU933" s="3367"/>
      <c r="BV933" s="821"/>
      <c r="BW933" s="821"/>
      <c r="BX933" s="821"/>
      <c r="BY933" s="2928"/>
      <c r="BZ933" s="512"/>
      <c r="CA933" s="512"/>
      <c r="CB933" s="512"/>
      <c r="CC933" s="512"/>
      <c r="CD933" s="512"/>
      <c r="CE933" s="512"/>
      <c r="CF933" s="512"/>
      <c r="CG933" s="512"/>
      <c r="CH933" s="510"/>
      <c r="CI933" s="510"/>
      <c r="CJ933" s="510"/>
      <c r="CK933" s="510"/>
      <c r="CL933" s="510"/>
      <c r="CM933" s="510"/>
      <c r="CN933" s="510"/>
      <c r="CO933" s="510"/>
      <c r="CP933" s="528"/>
      <c r="CQ933" s="1763"/>
      <c r="CR933" s="1763"/>
      <c r="CS933" s="1763"/>
      <c r="CT933" s="1763"/>
      <c r="CU933" s="1763"/>
      <c r="CV933" s="1763"/>
      <c r="CW933" s="1763"/>
      <c r="CX933" s="1763"/>
      <c r="CY933" s="1763"/>
      <c r="CZ933" s="1763"/>
      <c r="DA933" s="1763"/>
      <c r="DB933" s="1763"/>
      <c r="DC933" s="1763"/>
      <c r="DD933" s="1763"/>
      <c r="DE933" s="1763"/>
      <c r="DF933" s="1763"/>
      <c r="DG933" s="1902"/>
      <c r="DH933" s="514"/>
      <c r="DI933" s="570"/>
      <c r="DJ933" s="570"/>
      <c r="DK933" s="570"/>
      <c r="DL933" s="570"/>
      <c r="DM933" s="570"/>
      <c r="DN933" s="222"/>
      <c r="DO933" s="226"/>
      <c r="DY933" s="510"/>
      <c r="DZ933" s="510"/>
    </row>
    <row r="934" spans="1:130" ht="12.75" customHeight="1">
      <c r="A934" s="2701" t="s">
        <v>1768</v>
      </c>
      <c r="B934" s="2702"/>
      <c r="C934" s="2702"/>
      <c r="D934" s="2703"/>
      <c r="E934" s="2704"/>
      <c r="F934" s="2705"/>
      <c r="G934" s="2705"/>
      <c r="H934" s="2706"/>
      <c r="I934" s="2705"/>
      <c r="J934" s="2705"/>
      <c r="K934" s="2705"/>
      <c r="L934" s="2705"/>
      <c r="M934" s="2707"/>
      <c r="N934" s="2704"/>
      <c r="O934" s="2704"/>
      <c r="P934" s="2705"/>
      <c r="Q934" s="2708"/>
      <c r="R934" s="2707"/>
      <c r="S934" s="2709"/>
      <c r="T934" s="2709"/>
      <c r="U934" s="2709"/>
      <c r="V934" s="2709"/>
      <c r="W934" s="2707"/>
      <c r="X934" s="2709"/>
      <c r="Y934" s="2709"/>
      <c r="Z934" s="2709"/>
      <c r="AA934" s="2709"/>
      <c r="AB934" s="2707"/>
      <c r="AC934" s="2709"/>
      <c r="AD934" s="2709"/>
      <c r="AE934" s="2709"/>
      <c r="AF934" s="2709"/>
      <c r="AG934" s="2707"/>
      <c r="AH934" s="2709"/>
      <c r="AI934" s="2709"/>
      <c r="AJ934" s="2709"/>
      <c r="AK934" s="2709"/>
      <c r="AL934" s="2710"/>
      <c r="AM934" s="2711"/>
      <c r="AN934" s="2711"/>
      <c r="AO934" s="2711"/>
      <c r="AP934" s="2711"/>
      <c r="AQ934" s="2706"/>
      <c r="AR934" s="2711"/>
      <c r="AS934" s="2711"/>
      <c r="AT934" s="2711"/>
      <c r="AU934" s="2711"/>
      <c r="AV934" s="2706"/>
      <c r="AW934" s="2711"/>
      <c r="AX934" s="2274"/>
      <c r="AY934" s="2711"/>
      <c r="AZ934" s="2711"/>
      <c r="BA934" s="2706"/>
      <c r="BB934" s="2712">
        <f>+BB927-BB932</f>
        <v>23.646000000000001</v>
      </c>
      <c r="BC934" s="2712">
        <f>+BC927-BC932</f>
        <v>44.397999999999996</v>
      </c>
      <c r="BD934" s="2712">
        <f>+BD927-BD932</f>
        <v>56.672999999999995</v>
      </c>
      <c r="BE934" s="2712">
        <f>+BE927-BE932</f>
        <v>34.238</v>
      </c>
      <c r="BF934" s="2713">
        <f>SUM(BB934:BE934)</f>
        <v>158.95499999999998</v>
      </c>
      <c r="BG934" s="2929">
        <f>+BG927-BG932</f>
        <v>36.725000000000001</v>
      </c>
      <c r="BH934" s="2712">
        <f>+BH927-BH932</f>
        <v>42.927</v>
      </c>
      <c r="BI934" s="2712">
        <f>+BI927-BI932</f>
        <v>72.573999999999998</v>
      </c>
      <c r="BJ934" s="2930">
        <f>+BJ927-BJ932</f>
        <v>44.258768879999998</v>
      </c>
      <c r="BK934" s="2713">
        <f>SUM(BG934:BJ934)</f>
        <v>196.48476887999999</v>
      </c>
      <c r="BL934" s="2712">
        <f>+BL927-BL932</f>
        <v>43.988385440000002</v>
      </c>
      <c r="BM934" s="2712">
        <f>+BM927-BM932</f>
        <v>59.444081976850001</v>
      </c>
      <c r="BN934" s="2712">
        <f>+BN927-BN932</f>
        <v>143.15851695496201</v>
      </c>
      <c r="BO934" s="2930"/>
      <c r="BP934" s="2713"/>
      <c r="BQ934" s="2712"/>
      <c r="BR934" s="2712"/>
      <c r="BS934" s="2712"/>
      <c r="BT934" s="2930"/>
      <c r="BU934" s="3421"/>
      <c r="BV934" s="2712"/>
      <c r="BW934" s="2712"/>
      <c r="BX934" s="2712"/>
      <c r="BY934" s="2930"/>
      <c r="BZ934" s="2713"/>
      <c r="CA934" s="2713"/>
      <c r="CB934" s="2713"/>
      <c r="CC934" s="2713">
        <f>+CC927-CC932</f>
        <v>-4.2579250903932966</v>
      </c>
      <c r="CD934" s="2713">
        <f>+CD927-CD932</f>
        <v>-4.0450288358736195</v>
      </c>
      <c r="CE934" s="2713">
        <f>+CE927-CE932</f>
        <v>-4.1259294125911019</v>
      </c>
      <c r="CF934" s="2713">
        <f>+CF927-CF932</f>
        <v>-4.208448000842921</v>
      </c>
      <c r="CG934" s="2713">
        <f>+CG927-CG932</f>
        <v>-4.29261696085978</v>
      </c>
      <c r="CH934" s="510"/>
      <c r="CI934" s="510"/>
      <c r="CJ934" s="510"/>
      <c r="CK934" s="510"/>
      <c r="CL934" s="510"/>
      <c r="CM934" s="510"/>
      <c r="CN934" s="510"/>
      <c r="CO934" s="510"/>
      <c r="CP934" s="528"/>
      <c r="CQ934" s="1763"/>
      <c r="CR934" s="1763"/>
      <c r="CS934" s="1763"/>
      <c r="CT934" s="1763"/>
      <c r="CU934" s="1763"/>
      <c r="CV934" s="1763"/>
      <c r="CW934" s="1763"/>
      <c r="CX934" s="1763"/>
      <c r="CY934" s="1763"/>
      <c r="CZ934" s="1763"/>
      <c r="DA934" s="1763"/>
      <c r="DB934" s="1763"/>
      <c r="DC934" s="1763"/>
      <c r="DD934" s="1763"/>
      <c r="DE934" s="1763"/>
      <c r="DF934" s="1763"/>
      <c r="DG934" s="1902"/>
      <c r="DH934" s="514"/>
      <c r="DI934" s="570"/>
      <c r="DJ934" s="570"/>
      <c r="DK934" s="570"/>
      <c r="DL934" s="570"/>
      <c r="DM934" s="570"/>
      <c r="DN934" s="222"/>
      <c r="DO934" s="226"/>
      <c r="DY934" s="3480"/>
      <c r="DZ934" s="3480"/>
    </row>
    <row r="935" spans="1:130" ht="12.75" customHeight="1">
      <c r="A935" s="77"/>
      <c r="B935" s="445"/>
      <c r="C935" s="445"/>
      <c r="D935" s="596"/>
      <c r="E935" s="570"/>
      <c r="F935" s="510"/>
      <c r="G935" s="510"/>
      <c r="H935" s="512"/>
      <c r="I935" s="510"/>
      <c r="J935" s="510"/>
      <c r="K935" s="510"/>
      <c r="L935" s="510"/>
      <c r="M935" s="638"/>
      <c r="N935" s="570"/>
      <c r="O935" s="570"/>
      <c r="P935" s="510"/>
      <c r="Q935" s="668"/>
      <c r="R935" s="638"/>
      <c r="S935" s="635"/>
      <c r="T935" s="635"/>
      <c r="U935" s="635"/>
      <c r="V935" s="635"/>
      <c r="W935" s="638"/>
      <c r="X935" s="635"/>
      <c r="Y935" s="635"/>
      <c r="Z935" s="635"/>
      <c r="AA935" s="635"/>
      <c r="AB935" s="638"/>
      <c r="AC935" s="635"/>
      <c r="AD935" s="635"/>
      <c r="AE935" s="635"/>
      <c r="AF935" s="635"/>
      <c r="AG935" s="638"/>
      <c r="AH935" s="635"/>
      <c r="AI935" s="635"/>
      <c r="AJ935" s="635"/>
      <c r="AK935" s="635"/>
      <c r="AL935" s="538"/>
      <c r="AM935" s="821"/>
      <c r="AN935" s="821"/>
      <c r="AO935" s="821"/>
      <c r="AP935" s="821"/>
      <c r="AQ935" s="512"/>
      <c r="AR935" s="821"/>
      <c r="AS935" s="821"/>
      <c r="AT935" s="821"/>
      <c r="AU935" s="821"/>
      <c r="AV935" s="512"/>
      <c r="AW935" s="821"/>
      <c r="AX935" s="330"/>
      <c r="AY935" s="821"/>
      <c r="AZ935" s="821"/>
      <c r="BA935" s="512"/>
      <c r="BB935" s="821"/>
      <c r="BC935" s="821"/>
      <c r="BD935" s="821"/>
      <c r="BE935" s="821"/>
      <c r="BF935" s="512"/>
      <c r="BG935" s="509"/>
      <c r="BH935" s="510"/>
      <c r="BI935" s="510"/>
      <c r="BJ935" s="2811"/>
      <c r="BK935" s="569"/>
      <c r="BL935" s="510"/>
      <c r="BM935" s="510"/>
      <c r="BN935" s="510"/>
      <c r="BO935" s="2811"/>
      <c r="BP935" s="569"/>
      <c r="BQ935" s="510"/>
      <c r="BR935" s="510"/>
      <c r="BS935" s="510"/>
      <c r="BT935" s="2811"/>
      <c r="BU935" s="3378"/>
      <c r="BV935" s="510"/>
      <c r="BW935" s="510"/>
      <c r="BX935" s="510"/>
      <c r="BY935" s="2811"/>
      <c r="BZ935" s="569"/>
      <c r="CA935" s="569"/>
      <c r="CB935" s="569"/>
      <c r="CC935" s="569"/>
      <c r="CD935" s="569"/>
      <c r="CE935" s="569"/>
      <c r="CF935" s="569"/>
      <c r="CG935" s="569"/>
      <c r="CH935" s="510"/>
      <c r="CI935" s="510"/>
      <c r="CJ935" s="510"/>
      <c r="CK935" s="510"/>
      <c r="CL935" s="510"/>
      <c r="CM935" s="510"/>
      <c r="CN935" s="510"/>
      <c r="CO935" s="510"/>
      <c r="CP935" s="528"/>
      <c r="CQ935" s="1763"/>
      <c r="CR935" s="1763"/>
      <c r="CS935" s="1763"/>
      <c r="CT935" s="1763"/>
      <c r="CU935" s="1763"/>
      <c r="CV935" s="1763"/>
      <c r="CW935" s="1763"/>
      <c r="CX935" s="1763"/>
      <c r="CY935" s="1763"/>
      <c r="CZ935" s="1763"/>
      <c r="DA935" s="1763"/>
      <c r="DB935" s="1763"/>
      <c r="DC935" s="1763"/>
      <c r="DD935" s="1763"/>
      <c r="DE935" s="1763"/>
      <c r="DF935" s="1763"/>
      <c r="DG935" s="1902"/>
      <c r="DH935" s="514"/>
      <c r="DI935" s="570"/>
      <c r="DJ935" s="570"/>
      <c r="DK935" s="570"/>
      <c r="DL935" s="570"/>
      <c r="DM935" s="570"/>
      <c r="DN935" s="222"/>
      <c r="DO935" s="226"/>
      <c r="DY935" s="570"/>
      <c r="DZ935" s="570"/>
    </row>
    <row r="936" spans="1:130" ht="12" customHeight="1">
      <c r="A936" s="77" t="s">
        <v>372</v>
      </c>
      <c r="B936" s="445"/>
      <c r="C936" s="445"/>
      <c r="D936" s="667">
        <v>13.817</v>
      </c>
      <c r="E936" s="622">
        <v>14.254</v>
      </c>
      <c r="F936" s="622">
        <v>14.359</v>
      </c>
      <c r="G936" s="622">
        <v>14.381</v>
      </c>
      <c r="H936" s="346">
        <f>SUM(D936:G936)</f>
        <v>56.811</v>
      </c>
      <c r="I936" s="622">
        <v>13.372999999999999</v>
      </c>
      <c r="J936" s="622">
        <v>13.787000000000001</v>
      </c>
      <c r="K936" s="622">
        <v>13.792999999999999</v>
      </c>
      <c r="L936" s="622">
        <v>15.997999999999999</v>
      </c>
      <c r="M936" s="346">
        <f>SUM(I936:L936)</f>
        <v>56.951000000000001</v>
      </c>
      <c r="N936" s="622">
        <v>14.497999999999999</v>
      </c>
      <c r="O936" s="622">
        <v>14.773</v>
      </c>
      <c r="P936" s="622">
        <v>16.922000000000001</v>
      </c>
      <c r="Q936" s="622">
        <v>16.895</v>
      </c>
      <c r="R936" s="346">
        <f>SUM(N936:Q936)</f>
        <v>63.087999999999994</v>
      </c>
      <c r="S936" s="622">
        <v>16.826000000000001</v>
      </c>
      <c r="T936" s="622">
        <v>16.905999999999999</v>
      </c>
      <c r="U936" s="622">
        <v>17.347999999999999</v>
      </c>
      <c r="V936" s="622">
        <v>17.495999999999999</v>
      </c>
      <c r="W936" s="346">
        <f>SUM(S936:V936)</f>
        <v>68.575999999999993</v>
      </c>
      <c r="X936" s="622">
        <v>17.454999999999998</v>
      </c>
      <c r="Y936" s="622">
        <v>18.684999999999999</v>
      </c>
      <c r="Z936" s="622">
        <v>19.445</v>
      </c>
      <c r="AA936" s="622">
        <v>20.510999999999999</v>
      </c>
      <c r="AB936" s="346">
        <f>SUM(X936:AA936)</f>
        <v>76.096000000000004</v>
      </c>
      <c r="AC936" s="622">
        <v>20.091000000000001</v>
      </c>
      <c r="AD936" s="622">
        <v>20.04</v>
      </c>
      <c r="AE936" s="622">
        <v>19.207999999999998</v>
      </c>
      <c r="AF936" s="622">
        <v>19.38</v>
      </c>
      <c r="AG936" s="346">
        <f>SUM(AC936:AF936)</f>
        <v>78.718999999999994</v>
      </c>
      <c r="AH936" s="328">
        <v>18.379000000000001</v>
      </c>
      <c r="AI936" s="328">
        <v>18.236000000000001</v>
      </c>
      <c r="AJ936" s="328">
        <v>16.452000000000002</v>
      </c>
      <c r="AK936" s="328">
        <v>16.573</v>
      </c>
      <c r="AL936" s="585">
        <f>SUM(AH936:AK936)</f>
        <v>69.640000000000015</v>
      </c>
      <c r="AM936" s="622">
        <v>18.866</v>
      </c>
      <c r="AN936" s="622">
        <v>16.547999999999998</v>
      </c>
      <c r="AO936" s="622">
        <v>15.163</v>
      </c>
      <c r="AP936" s="622">
        <v>14.86</v>
      </c>
      <c r="AQ936" s="585">
        <f>SUM(AM936:AP936)</f>
        <v>65.436999999999998</v>
      </c>
      <c r="AR936" s="622">
        <v>15.13</v>
      </c>
      <c r="AS936" s="622">
        <v>16.013999999999999</v>
      </c>
      <c r="AT936" s="622">
        <v>16.308</v>
      </c>
      <c r="AU936" s="622">
        <v>16.811</v>
      </c>
      <c r="AV936" s="585">
        <f>SUM(AR936:AU936)</f>
        <v>64.263000000000005</v>
      </c>
      <c r="AW936" s="622">
        <v>15.608000000000001</v>
      </c>
      <c r="AX936" s="622">
        <v>15.503</v>
      </c>
      <c r="AY936" s="622">
        <v>14.337</v>
      </c>
      <c r="AZ936" s="622">
        <v>14.298</v>
      </c>
      <c r="BA936" s="585">
        <f>SUM(AW936:AZ936)</f>
        <v>59.746000000000002</v>
      </c>
      <c r="BB936" s="2687">
        <v>13.861000000000001</v>
      </c>
      <c r="BC936" s="2734">
        <v>14.13</v>
      </c>
      <c r="BD936" s="2734">
        <v>14.138</v>
      </c>
      <c r="BE936" s="2734">
        <f>14.796-0.009</f>
        <v>14.786999999999999</v>
      </c>
      <c r="BF936" s="585">
        <f>SUM(BB936:BE936)</f>
        <v>56.915999999999997</v>
      </c>
      <c r="BG936" s="3120">
        <v>14.798999999999999</v>
      </c>
      <c r="BH936" s="3204">
        <v>14.791</v>
      </c>
      <c r="BI936" s="3204">
        <v>14.212</v>
      </c>
      <c r="BJ936" s="3204">
        <v>14.244999999999999</v>
      </c>
      <c r="BK936" s="3121">
        <f>SUM(BG936:BJ936)</f>
        <v>58.046999999999997</v>
      </c>
      <c r="BL936" s="3204">
        <v>14.349</v>
      </c>
      <c r="BM936" s="3204">
        <v>14.638</v>
      </c>
      <c r="BN936" s="3290">
        <f>+BM936*(1/3)</f>
        <v>4.8793333333333333</v>
      </c>
      <c r="BO936" s="3119"/>
      <c r="BP936" s="3121"/>
      <c r="BQ936" s="3290"/>
      <c r="BR936" s="3290"/>
      <c r="BS936" s="3290"/>
      <c r="BT936" s="3119"/>
      <c r="BU936" s="3356"/>
      <c r="BV936" s="3290"/>
      <c r="BW936" s="3290"/>
      <c r="BX936" s="3290"/>
      <c r="BY936" s="3119"/>
      <c r="BZ936" s="3122"/>
      <c r="CA936" s="3122"/>
      <c r="CB936" s="3122"/>
      <c r="CC936" s="3122">
        <f>CB936</f>
        <v>0</v>
      </c>
      <c r="CD936" s="3122">
        <f>CC936</f>
        <v>0</v>
      </c>
      <c r="CE936" s="3122">
        <f>CD936</f>
        <v>0</v>
      </c>
      <c r="CF936" s="3122">
        <f>CE936</f>
        <v>0</v>
      </c>
      <c r="CG936" s="3122">
        <f>CF936</f>
        <v>0</v>
      </c>
      <c r="CH936" s="621"/>
      <c r="CI936" s="621"/>
      <c r="CJ936" s="621"/>
      <c r="CK936" s="621"/>
      <c r="CL936" s="621"/>
      <c r="CM936" s="621"/>
      <c r="CN936" s="621"/>
      <c r="CO936" s="621"/>
      <c r="CP936" s="528" t="str">
        <f>A936</f>
        <v>Depreciation</v>
      </c>
      <c r="CQ936" s="621">
        <f>H936</f>
        <v>56.811</v>
      </c>
      <c r="CR936" s="621">
        <f>M936</f>
        <v>56.951000000000001</v>
      </c>
      <c r="CS936" s="621">
        <f>R936</f>
        <v>63.087999999999994</v>
      </c>
      <c r="CT936" s="621">
        <f>W936</f>
        <v>68.575999999999993</v>
      </c>
      <c r="CU936" s="621">
        <f>AB936</f>
        <v>76.096000000000004</v>
      </c>
      <c r="CV936" s="621">
        <f>AG936</f>
        <v>78.718999999999994</v>
      </c>
      <c r="CW936" s="621">
        <f>AL936</f>
        <v>69.640000000000015</v>
      </c>
      <c r="CX936" s="621">
        <f>AQ936</f>
        <v>65.436999999999998</v>
      </c>
      <c r="CY936" s="621">
        <f>AV936</f>
        <v>64.263000000000005</v>
      </c>
      <c r="CZ936" s="621">
        <f>BA936</f>
        <v>59.746000000000002</v>
      </c>
      <c r="DA936" s="621">
        <f>BF936</f>
        <v>56.915999999999997</v>
      </c>
      <c r="DB936" s="621">
        <f>BK936</f>
        <v>58.046999999999997</v>
      </c>
      <c r="DC936" s="621">
        <f>BP936</f>
        <v>0</v>
      </c>
      <c r="DD936" s="621">
        <f>BU936</f>
        <v>0</v>
      </c>
      <c r="DE936" s="621">
        <f t="shared" ref="DE936:DG938" si="1775">BZ936</f>
        <v>0</v>
      </c>
      <c r="DF936" s="621">
        <f t="shared" si="1775"/>
        <v>0</v>
      </c>
      <c r="DG936" s="842">
        <f t="shared" si="1775"/>
        <v>0</v>
      </c>
      <c r="DH936" s="620"/>
      <c r="DI936" s="570"/>
      <c r="DJ936" s="570"/>
      <c r="DK936" s="570"/>
      <c r="DL936" s="570"/>
      <c r="DM936" s="570"/>
      <c r="DN936" s="222"/>
      <c r="DO936" s="226"/>
      <c r="DY936" s="3064"/>
      <c r="DZ936" s="3064"/>
    </row>
    <row r="937" spans="1:130" ht="12" customHeight="1">
      <c r="A937" s="138" t="s">
        <v>1511</v>
      </c>
      <c r="B937" s="1562"/>
      <c r="C937" s="1562"/>
      <c r="D937" s="1566">
        <f t="shared" ref="D937:AI937" si="1776">+D927-D936</f>
        <v>26.287999999999997</v>
      </c>
      <c r="E937" s="1567">
        <f t="shared" si="1776"/>
        <v>38.042999999999999</v>
      </c>
      <c r="F937" s="1567">
        <f t="shared" si="1776"/>
        <v>48.702999999999996</v>
      </c>
      <c r="G937" s="1567">
        <f t="shared" si="1776"/>
        <v>45.721999999999994</v>
      </c>
      <c r="H937" s="1568">
        <f t="shared" si="1776"/>
        <v>158.75600000000006</v>
      </c>
      <c r="I937" s="1567">
        <f t="shared" si="1776"/>
        <v>43.506999999999984</v>
      </c>
      <c r="J937" s="1567">
        <f t="shared" si="1776"/>
        <v>42.949999999999996</v>
      </c>
      <c r="K937" s="1567">
        <f t="shared" si="1776"/>
        <v>61.721000000000011</v>
      </c>
      <c r="L937" s="1567">
        <f t="shared" si="1776"/>
        <v>46.604999999999983</v>
      </c>
      <c r="M937" s="1568">
        <f t="shared" si="1776"/>
        <v>194.78299999999993</v>
      </c>
      <c r="N937" s="1567">
        <f t="shared" si="1776"/>
        <v>50.781000000000013</v>
      </c>
      <c r="O937" s="1567">
        <f t="shared" si="1776"/>
        <v>42.837000000000018</v>
      </c>
      <c r="P937" s="1567">
        <f t="shared" si="1776"/>
        <v>54.04200000000003</v>
      </c>
      <c r="Q937" s="1567">
        <f t="shared" si="1776"/>
        <v>36.265000000000001</v>
      </c>
      <c r="R937" s="1568">
        <f t="shared" si="1776"/>
        <v>183.92500000000015</v>
      </c>
      <c r="S937" s="1567">
        <f t="shared" si="1776"/>
        <v>43.742999999999988</v>
      </c>
      <c r="T937" s="1567">
        <f t="shared" si="1776"/>
        <v>37.556999999999995</v>
      </c>
      <c r="U937" s="1567">
        <f t="shared" si="1776"/>
        <v>55.239999999999995</v>
      </c>
      <c r="V937" s="1567">
        <f t="shared" si="1776"/>
        <v>36.600000000000009</v>
      </c>
      <c r="W937" s="1568">
        <f t="shared" si="1776"/>
        <v>173.1399999999999</v>
      </c>
      <c r="X937" s="1567">
        <f t="shared" si="1776"/>
        <v>38.01100000000001</v>
      </c>
      <c r="Y937" s="1567">
        <f t="shared" si="1776"/>
        <v>26.485000000000017</v>
      </c>
      <c r="Z937" s="1567">
        <f t="shared" si="1776"/>
        <v>40.336999999999982</v>
      </c>
      <c r="AA937" s="1567">
        <f t="shared" si="1776"/>
        <v>16.207000000000019</v>
      </c>
      <c r="AB937" s="1568">
        <f t="shared" si="1776"/>
        <v>121.04000000000008</v>
      </c>
      <c r="AC937" s="1567">
        <f t="shared" si="1776"/>
        <v>25.834999999999987</v>
      </c>
      <c r="AD937" s="1567">
        <f t="shared" si="1776"/>
        <v>27.686</v>
      </c>
      <c r="AE937" s="1567">
        <f t="shared" si="1776"/>
        <v>48.350999999999999</v>
      </c>
      <c r="AF937" s="1567">
        <f t="shared" si="1776"/>
        <v>17.06799999999998</v>
      </c>
      <c r="AG937" s="1568">
        <f t="shared" si="1776"/>
        <v>118.94</v>
      </c>
      <c r="AH937" s="1567">
        <f t="shared" si="1776"/>
        <v>19.637999999999995</v>
      </c>
      <c r="AI937" s="1567">
        <f t="shared" si="1776"/>
        <v>24.724000000000007</v>
      </c>
      <c r="AJ937" s="1567">
        <f t="shared" ref="AJ937:BK937" si="1777">+AJ927-AJ936</f>
        <v>37.867000000000019</v>
      </c>
      <c r="AK937" s="1567">
        <f t="shared" si="1777"/>
        <v>17.55599999999999</v>
      </c>
      <c r="AL937" s="1568">
        <f t="shared" si="1777"/>
        <v>99.785000000000053</v>
      </c>
      <c r="AM937" s="1567">
        <f t="shared" si="1777"/>
        <v>12.815999999999988</v>
      </c>
      <c r="AN937" s="1567">
        <f t="shared" si="1777"/>
        <v>22.109000000000012</v>
      </c>
      <c r="AO937" s="1567">
        <f t="shared" si="1777"/>
        <v>34.777000000000001</v>
      </c>
      <c r="AP937" s="1567">
        <f t="shared" si="1777"/>
        <v>22.999999999999986</v>
      </c>
      <c r="AQ937" s="1568">
        <f t="shared" si="1777"/>
        <v>92.702000000000012</v>
      </c>
      <c r="AR937" s="1567">
        <f t="shared" si="1777"/>
        <v>23.750999999999998</v>
      </c>
      <c r="AS937" s="1567">
        <f t="shared" si="1777"/>
        <v>14.721</v>
      </c>
      <c r="AT937" s="1567">
        <f t="shared" si="1777"/>
        <v>17.042000000000002</v>
      </c>
      <c r="AU937" s="1567">
        <f t="shared" si="1777"/>
        <v>-2.8010000000000002</v>
      </c>
      <c r="AV937" s="1568">
        <f t="shared" si="1777"/>
        <v>52.713000000000008</v>
      </c>
      <c r="AW937" s="1567">
        <f t="shared" si="1777"/>
        <v>12.797000000000001</v>
      </c>
      <c r="AX937" s="1567">
        <f t="shared" si="1777"/>
        <v>12.344000000000001</v>
      </c>
      <c r="AY937" s="1567">
        <f t="shared" si="1777"/>
        <v>32.254999999999995</v>
      </c>
      <c r="AZ937" s="1567">
        <f t="shared" si="1777"/>
        <v>2.0950000000000006</v>
      </c>
      <c r="BA937" s="1568">
        <f t="shared" si="1777"/>
        <v>59.490999999999993</v>
      </c>
      <c r="BB937" s="1567">
        <f t="shared" si="1777"/>
        <v>6.5850000000000009</v>
      </c>
      <c r="BC937" s="1567">
        <f t="shared" si="1777"/>
        <v>28.467999999999996</v>
      </c>
      <c r="BD937" s="1567">
        <f t="shared" si="1777"/>
        <v>42.734999999999999</v>
      </c>
      <c r="BE937" s="1567">
        <f t="shared" si="1777"/>
        <v>21.250999999999998</v>
      </c>
      <c r="BF937" s="1568">
        <f t="shared" si="1777"/>
        <v>99.038999999999987</v>
      </c>
      <c r="BG937" s="1566">
        <f>+BG927-BG936</f>
        <v>23.026000000000003</v>
      </c>
      <c r="BH937" s="1567">
        <f>+BH927-BH936</f>
        <v>29.736000000000001</v>
      </c>
      <c r="BI937" s="1567">
        <f>+BI927-BI936</f>
        <v>61.762</v>
      </c>
      <c r="BJ937" s="1903">
        <f>+BJ927-BJ936</f>
        <v>31.619</v>
      </c>
      <c r="BK937" s="1568">
        <f t="shared" si="1777"/>
        <v>146.14299999999983</v>
      </c>
      <c r="BL937" s="1567">
        <f>+BL927-BL936</f>
        <v>30.986000000000001</v>
      </c>
      <c r="BM937" s="1567">
        <f>+BM927-BM936</f>
        <v>46.125</v>
      </c>
      <c r="BN937" s="1567">
        <f>+BN927-BN936</f>
        <v>138.71882296267867</v>
      </c>
      <c r="BO937" s="1903"/>
      <c r="BP937" s="1568"/>
      <c r="BQ937" s="1567"/>
      <c r="BR937" s="1567"/>
      <c r="BS937" s="1567"/>
      <c r="BT937" s="1903"/>
      <c r="BU937" s="3422"/>
      <c r="BV937" s="1567"/>
      <c r="BW937" s="1567"/>
      <c r="BX937" s="1567"/>
      <c r="BY937" s="1903"/>
      <c r="BZ937" s="1568"/>
      <c r="CA937" s="1568"/>
      <c r="CB937" s="1568"/>
      <c r="CC937" s="1568">
        <f>+CC927-CC936</f>
        <v>9.0480908170857433</v>
      </c>
      <c r="CD937" s="1568">
        <f>+CD927-CD936</f>
        <v>8.5956862762314685</v>
      </c>
      <c r="CE937" s="1568">
        <f>+CE927-CE936</f>
        <v>8.7676000017560867</v>
      </c>
      <c r="CF937" s="1568">
        <f>+CF927-CF936</f>
        <v>8.9429520017912125</v>
      </c>
      <c r="CG937" s="1568">
        <f>+CG927-CG936</f>
        <v>9.1218110418270371</v>
      </c>
      <c r="CH937" s="621"/>
      <c r="CI937" s="621"/>
      <c r="CJ937" s="621"/>
      <c r="CK937" s="621"/>
      <c r="CL937" s="621"/>
      <c r="CM937" s="621"/>
      <c r="CN937" s="621"/>
      <c r="CO937" s="621"/>
      <c r="CP937" s="138" t="str">
        <f>A937</f>
        <v>Operating Income</v>
      </c>
      <c r="CQ937" s="1567">
        <f>H937</f>
        <v>158.75600000000006</v>
      </c>
      <c r="CR937" s="1567">
        <f>M937</f>
        <v>194.78299999999993</v>
      </c>
      <c r="CS937" s="1567">
        <f>R937</f>
        <v>183.92500000000015</v>
      </c>
      <c r="CT937" s="1567">
        <f>W937</f>
        <v>173.1399999999999</v>
      </c>
      <c r="CU937" s="1567">
        <f>AB937</f>
        <v>121.04000000000008</v>
      </c>
      <c r="CV937" s="1567">
        <f>AG937</f>
        <v>118.94</v>
      </c>
      <c r="CW937" s="1567">
        <f>AL937</f>
        <v>99.785000000000053</v>
      </c>
      <c r="CX937" s="1567">
        <f>AQ937</f>
        <v>92.702000000000012</v>
      </c>
      <c r="CY937" s="1567">
        <f>AV937</f>
        <v>52.713000000000008</v>
      </c>
      <c r="CZ937" s="1567">
        <f>BA937</f>
        <v>59.490999999999993</v>
      </c>
      <c r="DA937" s="1567">
        <f>BF937</f>
        <v>99.038999999999987</v>
      </c>
      <c r="DB937" s="1567">
        <f>BK937</f>
        <v>146.14299999999983</v>
      </c>
      <c r="DC937" s="1567">
        <f>BP937</f>
        <v>0</v>
      </c>
      <c r="DD937" s="1567">
        <f>BU937</f>
        <v>0</v>
      </c>
      <c r="DE937" s="1567">
        <f t="shared" si="1775"/>
        <v>0</v>
      </c>
      <c r="DF937" s="1567">
        <f t="shared" si="1775"/>
        <v>0</v>
      </c>
      <c r="DG937" s="1903">
        <f t="shared" si="1775"/>
        <v>0</v>
      </c>
      <c r="DH937" s="620"/>
      <c r="DI937" s="570"/>
      <c r="DJ937" s="570"/>
      <c r="DK937" s="570"/>
      <c r="DL937" s="570"/>
      <c r="DM937" s="570"/>
      <c r="DN937" s="222"/>
      <c r="DO937" s="226"/>
      <c r="DY937" s="354"/>
      <c r="DZ937" s="354"/>
    </row>
    <row r="938" spans="1:130" ht="12" customHeight="1">
      <c r="A938" s="212" t="s">
        <v>56</v>
      </c>
      <c r="B938" s="445"/>
      <c r="C938" s="445"/>
      <c r="D938" s="593">
        <f t="shared" ref="D938:AI938" si="1778">D937/D906</f>
        <v>0.18019178964829421</v>
      </c>
      <c r="E938" s="310">
        <f t="shared" si="1778"/>
        <v>0.23064610982108752</v>
      </c>
      <c r="F938" s="310">
        <f t="shared" si="1778"/>
        <v>0.26164293043520304</v>
      </c>
      <c r="G938" s="310">
        <f t="shared" si="1778"/>
        <v>0.25479531446786219</v>
      </c>
      <c r="H938" s="594">
        <f t="shared" si="1778"/>
        <v>0.23470068108672293</v>
      </c>
      <c r="I938" s="310">
        <f t="shared" si="1778"/>
        <v>0.25275076393972129</v>
      </c>
      <c r="J938" s="310">
        <f t="shared" si="1778"/>
        <v>0.2329352553881531</v>
      </c>
      <c r="K938" s="310">
        <f t="shared" si="1778"/>
        <v>0.28905884116071268</v>
      </c>
      <c r="L938" s="310">
        <f t="shared" si="1778"/>
        <v>0.24030751937464864</v>
      </c>
      <c r="M938" s="594">
        <f t="shared" si="1778"/>
        <v>0.25495724381301671</v>
      </c>
      <c r="N938" s="310">
        <f t="shared" si="1778"/>
        <v>0.27073381387016981</v>
      </c>
      <c r="O938" s="310">
        <f t="shared" si="1778"/>
        <v>0.22620556365249359</v>
      </c>
      <c r="P938" s="310">
        <f t="shared" si="1778"/>
        <v>0.22755963534539034</v>
      </c>
      <c r="Q938" s="310">
        <f t="shared" si="1778"/>
        <v>0.18238282035807685</v>
      </c>
      <c r="R938" s="594">
        <f t="shared" si="1778"/>
        <v>0.22615629591830477</v>
      </c>
      <c r="S938" s="310">
        <f t="shared" si="1778"/>
        <v>0.21471064644382265</v>
      </c>
      <c r="T938" s="310">
        <f t="shared" si="1778"/>
        <v>0.18583466518884309</v>
      </c>
      <c r="U938" s="310">
        <f t="shared" si="1778"/>
        <v>0.24008205556135043</v>
      </c>
      <c r="V938" s="310">
        <f t="shared" si="1778"/>
        <v>0.18053925002219748</v>
      </c>
      <c r="W938" s="594">
        <f t="shared" si="1778"/>
        <v>0.20645256682521634</v>
      </c>
      <c r="X938" s="310">
        <f t="shared" si="1778"/>
        <v>0.1881509127628401</v>
      </c>
      <c r="Y938" s="310">
        <f t="shared" si="1778"/>
        <v>0.12915668996054841</v>
      </c>
      <c r="Z938" s="310">
        <f t="shared" si="1778"/>
        <v>0.16812617486589329</v>
      </c>
      <c r="AA938" s="310">
        <f t="shared" si="1778"/>
        <v>8.8329709019364294E-2</v>
      </c>
      <c r="AB938" s="594">
        <f t="shared" si="1778"/>
        <v>0.1457454583986062</v>
      </c>
      <c r="AC938" s="310">
        <f t="shared" si="1778"/>
        <v>0.13750066528287821</v>
      </c>
      <c r="AD938" s="310">
        <f t="shared" si="1778"/>
        <v>0.14456459874786567</v>
      </c>
      <c r="AE938" s="310">
        <f t="shared" si="1778"/>
        <v>0.21721316998881385</v>
      </c>
      <c r="AF938" s="310">
        <f t="shared" si="1778"/>
        <v>9.7304569916993419E-2</v>
      </c>
      <c r="AG938" s="594">
        <f t="shared" si="1778"/>
        <v>0.15299559562031778</v>
      </c>
      <c r="AH938" s="310">
        <f t="shared" si="1778"/>
        <v>0.1121748369186478</v>
      </c>
      <c r="AI938" s="310">
        <f t="shared" si="1778"/>
        <v>0.13229030670119646</v>
      </c>
      <c r="AJ938" s="310">
        <f t="shared" ref="AJ938:BF938" si="1779">AJ937/AJ906</f>
        <v>0.18232725206681216</v>
      </c>
      <c r="AK938" s="310">
        <f t="shared" si="1779"/>
        <v>0.1040133660374675</v>
      </c>
      <c r="AL938" s="594">
        <f t="shared" si="1779"/>
        <v>0.13513110906773965</v>
      </c>
      <c r="AM938" s="310">
        <f t="shared" si="1779"/>
        <v>7.579395588148316E-2</v>
      </c>
      <c r="AN938" s="310">
        <f t="shared" si="1779"/>
        <v>0.12097550832804402</v>
      </c>
      <c r="AO938" s="310">
        <f t="shared" si="1779"/>
        <v>0.17214802641348792</v>
      </c>
      <c r="AP938" s="310">
        <f t="shared" si="1779"/>
        <v>0.13037809647979132</v>
      </c>
      <c r="AQ938" s="594">
        <f t="shared" si="1779"/>
        <v>0.12694139459983514</v>
      </c>
      <c r="AR938" s="310">
        <f t="shared" si="1779"/>
        <v>0.13483394833948337</v>
      </c>
      <c r="AS938" s="310">
        <f t="shared" si="1779"/>
        <v>8.3920508961554244E-2</v>
      </c>
      <c r="AT938" s="310">
        <f t="shared" si="1779"/>
        <v>9.1089362930338716E-2</v>
      </c>
      <c r="AU938" s="310">
        <f t="shared" si="1779"/>
        <v>-1.8981465794734524E-2</v>
      </c>
      <c r="AV938" s="594">
        <f t="shared" si="1779"/>
        <v>7.6816248968992543E-2</v>
      </c>
      <c r="AW938" s="310">
        <f t="shared" si="1779"/>
        <v>7.7256043080340966E-2</v>
      </c>
      <c r="AX938" s="310">
        <f t="shared" si="1779"/>
        <v>7.1403367712304128E-2</v>
      </c>
      <c r="AY938" s="310">
        <f t="shared" si="1779"/>
        <v>0.16123388535923339</v>
      </c>
      <c r="AZ938" s="310">
        <f t="shared" si="1779"/>
        <v>1.3333078763810402E-2</v>
      </c>
      <c r="BA938" s="594">
        <f t="shared" si="1779"/>
        <v>8.5512556436044898E-2</v>
      </c>
      <c r="BB938" s="310">
        <f t="shared" si="1779"/>
        <v>3.9368901855748997E-2</v>
      </c>
      <c r="BC938" s="310">
        <f t="shared" si="1779"/>
        <v>0.15654316099728349</v>
      </c>
      <c r="BD938" s="310">
        <f t="shared" si="1779"/>
        <v>0.20355234203080791</v>
      </c>
      <c r="BE938" s="310">
        <f t="shared" si="1779"/>
        <v>0.11862325352922459</v>
      </c>
      <c r="BF938" s="594">
        <f t="shared" si="1779"/>
        <v>0.13416082935637641</v>
      </c>
      <c r="BG938" s="593">
        <f t="shared" ref="BG938:BN938" si="1780">BG937/BG906</f>
        <v>0.1261083635925494</v>
      </c>
      <c r="BH938" s="310">
        <f t="shared" si="1780"/>
        <v>0.15555311435790398</v>
      </c>
      <c r="BI938" s="310">
        <f t="shared" si="1780"/>
        <v>0.26009323636302378</v>
      </c>
      <c r="BJ938" s="1891">
        <f t="shared" si="1780"/>
        <v>0.16386892144719181</v>
      </c>
      <c r="BK938" s="594">
        <f t="shared" si="1780"/>
        <v>0.18173237863824115</v>
      </c>
      <c r="BL938" s="310">
        <f t="shared" si="1780"/>
        <v>0.16283310473848223</v>
      </c>
      <c r="BM938" s="310">
        <f t="shared" si="1780"/>
        <v>0.2268290164103724</v>
      </c>
      <c r="BN938" s="310">
        <f t="shared" si="1780"/>
        <v>0.65210719678498097</v>
      </c>
      <c r="BO938" s="1891"/>
      <c r="BP938" s="594"/>
      <c r="BQ938" s="310"/>
      <c r="BR938" s="310"/>
      <c r="BS938" s="310"/>
      <c r="BT938" s="1891"/>
      <c r="BU938" s="3317"/>
      <c r="BV938" s="310"/>
      <c r="BW938" s="310"/>
      <c r="BX938" s="310"/>
      <c r="BY938" s="1891"/>
      <c r="BZ938" s="594"/>
      <c r="CA938" s="594"/>
      <c r="CB938" s="594"/>
      <c r="CC938" s="594">
        <f>CC937/CC906</f>
        <v>0.18478260869565211</v>
      </c>
      <c r="CD938" s="594">
        <f>CD937/CD906</f>
        <v>0.18478260869565233</v>
      </c>
      <c r="CE938" s="594">
        <f>CE937/CE906</f>
        <v>0.18478260869565213</v>
      </c>
      <c r="CF938" s="594">
        <f>CF937/CF906</f>
        <v>0.18478260869565219</v>
      </c>
      <c r="CG938" s="594">
        <f>CG937/CG906</f>
        <v>0.18478260869565222</v>
      </c>
      <c r="CH938" s="310"/>
      <c r="CI938" s="310"/>
      <c r="CJ938" s="310"/>
      <c r="CK938" s="310"/>
      <c r="CL938" s="310"/>
      <c r="CM938" s="310"/>
      <c r="CN938" s="310"/>
      <c r="CO938" s="310"/>
      <c r="CP938" s="1856" t="str">
        <f>A938</f>
        <v>% Margin</v>
      </c>
      <c r="CQ938" s="310">
        <f>H938</f>
        <v>0.23470068108672293</v>
      </c>
      <c r="CR938" s="310">
        <f>M938</f>
        <v>0.25495724381301671</v>
      </c>
      <c r="CS938" s="310">
        <f>R938</f>
        <v>0.22615629591830477</v>
      </c>
      <c r="CT938" s="310">
        <f>W938</f>
        <v>0.20645256682521634</v>
      </c>
      <c r="CU938" s="310">
        <f>AB938</f>
        <v>0.1457454583986062</v>
      </c>
      <c r="CV938" s="310">
        <f>AG938</f>
        <v>0.15299559562031778</v>
      </c>
      <c r="CW938" s="310">
        <f>AL938</f>
        <v>0.13513110906773965</v>
      </c>
      <c r="CX938" s="310">
        <f>AQ938</f>
        <v>0.12694139459983514</v>
      </c>
      <c r="CY938" s="310">
        <f>AV938</f>
        <v>7.6816248968992543E-2</v>
      </c>
      <c r="CZ938" s="310">
        <f>BA938</f>
        <v>8.5512556436044898E-2</v>
      </c>
      <c r="DA938" s="310">
        <f>BF938</f>
        <v>0.13416082935637641</v>
      </c>
      <c r="DB938" s="310">
        <f>BK938</f>
        <v>0.18173237863824115</v>
      </c>
      <c r="DC938" s="310">
        <f>BP938</f>
        <v>0</v>
      </c>
      <c r="DD938" s="310">
        <f>BU938</f>
        <v>0</v>
      </c>
      <c r="DE938" s="310">
        <f t="shared" si="1775"/>
        <v>0</v>
      </c>
      <c r="DF938" s="310">
        <f t="shared" si="1775"/>
        <v>0</v>
      </c>
      <c r="DG938" s="1891">
        <f t="shared" si="1775"/>
        <v>0</v>
      </c>
      <c r="DH938" s="310"/>
      <c r="DI938" s="570"/>
      <c r="DJ938" s="570"/>
      <c r="DK938" s="570"/>
      <c r="DL938" s="570"/>
      <c r="DM938" s="570"/>
      <c r="DN938" s="222"/>
      <c r="DO938" s="226"/>
      <c r="DY938" s="310"/>
      <c r="DZ938" s="310"/>
    </row>
    <row r="939" spans="1:130" ht="12.75" customHeight="1">
      <c r="A939" s="228"/>
      <c r="B939" s="228"/>
      <c r="C939" s="228"/>
      <c r="D939" s="596"/>
      <c r="E939" s="570"/>
      <c r="F939" s="570"/>
      <c r="G939" s="570"/>
      <c r="H939" s="569"/>
      <c r="I939" s="570"/>
      <c r="J939" s="570"/>
      <c r="K939" s="570"/>
      <c r="L939" s="570"/>
      <c r="M939" s="569"/>
      <c r="N939" s="570"/>
      <c r="O939" s="570"/>
      <c r="P939" s="570"/>
      <c r="Q939" s="570"/>
      <c r="R939" s="569"/>
      <c r="S939" s="570"/>
      <c r="T939" s="570"/>
      <c r="U939" s="570"/>
      <c r="V939" s="570"/>
      <c r="W939" s="569"/>
      <c r="X939" s="570"/>
      <c r="Y939" s="570"/>
      <c r="Z939" s="618"/>
      <c r="AA939" s="618"/>
      <c r="AB939" s="569"/>
      <c r="AC939" s="618"/>
      <c r="AD939" s="618"/>
      <c r="AE939" s="618"/>
      <c r="AF939" s="618"/>
      <c r="AG939" s="569"/>
      <c r="AH939" s="570"/>
      <c r="AI939" s="570"/>
      <c r="AJ939" s="570"/>
      <c r="AK939" s="570"/>
      <c r="AL939" s="569"/>
      <c r="AM939" s="570"/>
      <c r="AN939" s="570"/>
      <c r="AO939" s="570"/>
      <c r="AP939" s="570"/>
      <c r="AQ939" s="569"/>
      <c r="AR939" s="570"/>
      <c r="AS939" s="570"/>
      <c r="AT939" s="570"/>
      <c r="AU939" s="570"/>
      <c r="AV939" s="569"/>
      <c r="AW939" s="570"/>
      <c r="AX939" s="570"/>
      <c r="AY939" s="570"/>
      <c r="AZ939" s="570"/>
      <c r="BA939" s="569"/>
      <c r="BB939" s="570"/>
      <c r="BC939" s="570"/>
      <c r="BD939" s="570"/>
      <c r="BE939" s="570"/>
      <c r="BF939" s="569"/>
      <c r="BG939" s="596"/>
      <c r="BH939" s="570"/>
      <c r="BI939" s="510"/>
      <c r="BJ939" s="2807"/>
      <c r="BK939" s="569"/>
      <c r="BL939" s="570"/>
      <c r="BM939" s="570"/>
      <c r="BN939" s="510"/>
      <c r="BO939" s="2807"/>
      <c r="BP939" s="569"/>
      <c r="BQ939" s="510"/>
      <c r="BR939" s="510"/>
      <c r="BS939" s="510"/>
      <c r="BT939" s="2807"/>
      <c r="BU939" s="3378"/>
      <c r="BV939" s="510"/>
      <c r="BW939" s="510"/>
      <c r="BX939" s="510"/>
      <c r="BY939" s="2807"/>
      <c r="BZ939" s="569"/>
      <c r="CA939" s="569"/>
      <c r="CB939" s="569"/>
      <c r="CC939" s="569"/>
      <c r="CD939" s="569"/>
      <c r="CE939" s="569"/>
      <c r="CF939" s="569"/>
      <c r="CG939" s="569"/>
      <c r="CH939" s="570"/>
      <c r="CI939" s="570"/>
      <c r="CJ939" s="570"/>
      <c r="CK939" s="570"/>
      <c r="CL939" s="570"/>
      <c r="CM939" s="570"/>
      <c r="CN939" s="570"/>
      <c r="CO939" s="570"/>
      <c r="CP939" s="1847"/>
      <c r="CQ939" s="592"/>
      <c r="CR939" s="592"/>
      <c r="CS939" s="592"/>
      <c r="CT939" s="592"/>
      <c r="CU939" s="592"/>
      <c r="CV939" s="592"/>
      <c r="CW939" s="592"/>
      <c r="CX939" s="592"/>
      <c r="CY939" s="592"/>
      <c r="CZ939" s="592"/>
      <c r="DA939" s="592"/>
      <c r="DB939" s="592"/>
      <c r="DC939" s="592"/>
      <c r="DD939" s="592"/>
      <c r="DE939" s="592"/>
      <c r="DF939" s="592"/>
      <c r="DG939" s="1850"/>
      <c r="DH939" s="595"/>
      <c r="DI939" s="595"/>
      <c r="DJ939" s="595"/>
      <c r="DK939" s="595"/>
      <c r="DL939" s="595"/>
      <c r="DM939" s="595"/>
      <c r="DN939" s="514"/>
      <c r="DO939" s="226"/>
      <c r="DY939" s="570"/>
      <c r="DZ939" s="570"/>
    </row>
    <row r="940" spans="1:130" ht="12" customHeight="1">
      <c r="A940" s="552" t="s">
        <v>1571</v>
      </c>
      <c r="B940" s="228"/>
      <c r="C940" s="228"/>
      <c r="D940" s="584">
        <v>0</v>
      </c>
      <c r="E940" s="583">
        <v>0</v>
      </c>
      <c r="F940" s="583">
        <v>0</v>
      </c>
      <c r="G940" s="583">
        <v>0</v>
      </c>
      <c r="H940" s="585">
        <f>SUM(D940:G940)</f>
        <v>0</v>
      </c>
      <c r="I940" s="583">
        <v>0</v>
      </c>
      <c r="J940" s="583">
        <v>0</v>
      </c>
      <c r="K940" s="583">
        <v>0</v>
      </c>
      <c r="L940" s="583">
        <v>0</v>
      </c>
      <c r="M940" s="585">
        <f>SUM(I940:L940)</f>
        <v>0</v>
      </c>
      <c r="N940" s="583">
        <f>-0.292-1.33</f>
        <v>-1.6220000000000001</v>
      </c>
      <c r="O940" s="583">
        <f>-0.083-3.815</f>
        <v>-3.8980000000000001</v>
      </c>
      <c r="P940" s="583">
        <f>-1.74-0.836</f>
        <v>-2.5760000000000001</v>
      </c>
      <c r="Q940" s="583">
        <f>-6.519-2.418-P940-O940-N940</f>
        <v>-0.84100000000000041</v>
      </c>
      <c r="R940" s="585">
        <f>SUM(N940:Q940)</f>
        <v>-8.9370000000000012</v>
      </c>
      <c r="S940" s="583">
        <f>-0.941+0.069</f>
        <v>-0.87199999999999989</v>
      </c>
      <c r="T940" s="583">
        <f>-1.077-0.403</f>
        <v>-1.48</v>
      </c>
      <c r="U940" s="583">
        <f>-0.48-0.234</f>
        <v>-0.71399999999999997</v>
      </c>
      <c r="V940" s="583">
        <f>-3.116-0.956-U940-T940-S940</f>
        <v>-1.0060000000000002</v>
      </c>
      <c r="W940" s="585">
        <f>SUM(S940:V940)</f>
        <v>-4.0720000000000001</v>
      </c>
      <c r="X940" s="583">
        <f>-0.816-0.14</f>
        <v>-0.95599999999999996</v>
      </c>
      <c r="Y940" s="583">
        <f>-4.201-0.017</f>
        <v>-4.218</v>
      </c>
      <c r="Z940" s="583">
        <f>-0.835+0.004</f>
        <v>-0.83099999999999996</v>
      </c>
      <c r="AA940" s="583">
        <f>-5.57-0.162-Z940-Y940-X940</f>
        <v>0.27300000000000013</v>
      </c>
      <c r="AB940" s="585">
        <f>SUM(X940:AA940)</f>
        <v>-5.7319999999999993</v>
      </c>
      <c r="AC940" s="583">
        <f>-0.353+0.01</f>
        <v>-0.34299999999999997</v>
      </c>
      <c r="AD940" s="583">
        <f>-0.346-0.071</f>
        <v>-0.41699999999999998</v>
      </c>
      <c r="AE940" s="583">
        <f>28.677</f>
        <v>28.677</v>
      </c>
      <c r="AF940" s="581">
        <v>1E-3</v>
      </c>
      <c r="AG940" s="585">
        <f>SUM(AC940:AF940)</f>
        <v>27.917999999999999</v>
      </c>
      <c r="AH940" s="622">
        <v>-6.8000000000000005E-2</v>
      </c>
      <c r="AI940" s="622">
        <v>-1.2E-2</v>
      </c>
      <c r="AJ940" s="622">
        <v>-4.0000000000000001E-3</v>
      </c>
      <c r="AK940" s="622">
        <v>1.6E-2</v>
      </c>
      <c r="AL940" s="585">
        <f>SUM(AH940:AK940)</f>
        <v>-6.8000000000000005E-2</v>
      </c>
      <c r="AM940" s="622">
        <v>-5.016</v>
      </c>
      <c r="AN940" s="622">
        <f>-0.092-0.749</f>
        <v>-0.84099999999999997</v>
      </c>
      <c r="AO940" s="622">
        <f>0.054-0.006</f>
        <v>4.8000000000000001E-2</v>
      </c>
      <c r="AP940" s="622">
        <f>-0.048-0.639-0.137</f>
        <v>-0.82400000000000007</v>
      </c>
      <c r="AQ940" s="585">
        <f>SUM(AM940:AP940)</f>
        <v>-6.633</v>
      </c>
      <c r="AR940" s="622">
        <f>-0.132+0.028-0.003+0.019</f>
        <v>-8.8000000000000009E-2</v>
      </c>
      <c r="AS940" s="622">
        <f>-0.108+2.16</f>
        <v>2.052</v>
      </c>
      <c r="AT940" s="622">
        <v>1.6240000000000001</v>
      </c>
      <c r="AU940" s="622">
        <f>2.692-2.811+0.001</f>
        <v>-0.11799999999999977</v>
      </c>
      <c r="AV940" s="588">
        <f>SUM(AR940:AU940)</f>
        <v>3.47</v>
      </c>
      <c r="AW940" s="622">
        <v>-0.33400000000000002</v>
      </c>
      <c r="AX940" s="622">
        <f>-0.054-5.032-0.07</f>
        <v>-5.1560000000000006</v>
      </c>
      <c r="AY940" s="622">
        <f>-3.146-2.536+0.201-0.329</f>
        <v>-5.8100000000000005</v>
      </c>
      <c r="AZ940" s="622">
        <f>+-3.587+0.025+0.008-23.321</f>
        <v>-26.875</v>
      </c>
      <c r="BA940" s="588">
        <f>SUM(AW940:AZ940)</f>
        <v>-38.174999999999997</v>
      </c>
      <c r="BB940" s="622">
        <f>+-0.033+0.002+0.402</f>
        <v>0.371</v>
      </c>
      <c r="BC940" s="622">
        <f>+-0.236-0.001</f>
        <v>-0.23699999999999999</v>
      </c>
      <c r="BD940" s="622">
        <f>-0.375+1.709</f>
        <v>1.3340000000000001</v>
      </c>
      <c r="BE940" s="622">
        <v>0</v>
      </c>
      <c r="BF940" s="588">
        <f>SUM(BB940:BE940)</f>
        <v>1.468</v>
      </c>
      <c r="BG940" s="622">
        <f>0.324-0.492</f>
        <v>-0.16799999999999998</v>
      </c>
      <c r="BH940" s="622">
        <f>+-0.543+0.441</f>
        <v>-0.10200000000000004</v>
      </c>
      <c r="BI940" s="622">
        <f>0.451-17.838</f>
        <v>-17.387</v>
      </c>
      <c r="BJ940" s="2934">
        <f>+-0.517-0.022</f>
        <v>-0.53900000000000003</v>
      </c>
      <c r="BK940" s="588">
        <f>SUM(BG940:BJ940)</f>
        <v>-18.196000000000002</v>
      </c>
      <c r="BL940" s="622">
        <f>-0.071+6.758-0.325</f>
        <v>6.3620000000000001</v>
      </c>
      <c r="BM940" s="622">
        <f>7.269-0.242-0.903</f>
        <v>6.1240000000000006</v>
      </c>
      <c r="BN940" s="622">
        <v>0</v>
      </c>
      <c r="BO940" s="2934"/>
      <c r="BP940" s="588"/>
      <c r="BQ940" s="622"/>
      <c r="BR940" s="622"/>
      <c r="BS940" s="622"/>
      <c r="BT940" s="2934"/>
      <c r="BU940" s="3376"/>
      <c r="BV940" s="622"/>
      <c r="BW940" s="622"/>
      <c r="BX940" s="622"/>
      <c r="BY940" s="2934"/>
      <c r="BZ940" s="587"/>
      <c r="CA940" s="587"/>
      <c r="CB940" s="587"/>
      <c r="CC940" s="587">
        <f>CB940</f>
        <v>0</v>
      </c>
      <c r="CD940" s="587">
        <f>CC940</f>
        <v>0</v>
      </c>
      <c r="CE940" s="587">
        <f>CD940</f>
        <v>0</v>
      </c>
      <c r="CF940" s="587">
        <f>CE940</f>
        <v>0</v>
      </c>
      <c r="CG940" s="587">
        <f>CF940</f>
        <v>0</v>
      </c>
      <c r="CH940" s="581"/>
      <c r="CI940" s="581"/>
      <c r="CJ940" s="581"/>
      <c r="CK940" s="581"/>
      <c r="CL940" s="581"/>
      <c r="CM940" s="581"/>
      <c r="CN940" s="581"/>
      <c r="CO940" s="581"/>
      <c r="CP940" s="994" t="str">
        <f t="shared" ref="CP940:CP946" si="1781">A940</f>
        <v>One-Time Expenses</v>
      </c>
      <c r="CQ940" s="621">
        <f t="shared" ref="CQ940:CQ945" si="1782">H940</f>
        <v>0</v>
      </c>
      <c r="CR940" s="621">
        <f t="shared" ref="CR940:CR946" si="1783">M940</f>
        <v>0</v>
      </c>
      <c r="CS940" s="621">
        <f t="shared" ref="CS940:CS946" si="1784">R940</f>
        <v>-8.9370000000000012</v>
      </c>
      <c r="CT940" s="621">
        <f t="shared" ref="CT940:CT946" si="1785">W940</f>
        <v>-4.0720000000000001</v>
      </c>
      <c r="CU940" s="621">
        <f t="shared" ref="CU940:CU946" si="1786">AB940</f>
        <v>-5.7319999999999993</v>
      </c>
      <c r="CV940" s="621">
        <f t="shared" ref="CV940:CV946" si="1787">AG940</f>
        <v>27.917999999999999</v>
      </c>
      <c r="CW940" s="621">
        <f t="shared" ref="CW940:CW946" si="1788">AL940</f>
        <v>-6.8000000000000005E-2</v>
      </c>
      <c r="CX940" s="621">
        <f t="shared" ref="CX940:CX946" si="1789">AQ940</f>
        <v>-6.633</v>
      </c>
      <c r="CY940" s="621">
        <f t="shared" ref="CY940:CY946" si="1790">AV940</f>
        <v>3.47</v>
      </c>
      <c r="CZ940" s="621">
        <f t="shared" ref="CZ940:CZ946" si="1791">BA940</f>
        <v>-38.174999999999997</v>
      </c>
      <c r="DA940" s="621">
        <f t="shared" ref="DA940:DA946" si="1792">BF940</f>
        <v>1.468</v>
      </c>
      <c r="DB940" s="621">
        <f t="shared" ref="DB940:DB946" si="1793">BK940</f>
        <v>-18.196000000000002</v>
      </c>
      <c r="DC940" s="621">
        <f t="shared" ref="DC940:DC946" si="1794">BP940</f>
        <v>0</v>
      </c>
      <c r="DD940" s="621">
        <f t="shared" ref="DD940:DD946" si="1795">BU940</f>
        <v>0</v>
      </c>
      <c r="DE940" s="621">
        <f t="shared" ref="DE940:DG946" si="1796">BZ940</f>
        <v>0</v>
      </c>
      <c r="DF940" s="621">
        <f t="shared" si="1796"/>
        <v>0</v>
      </c>
      <c r="DG940" s="842">
        <f t="shared" si="1796"/>
        <v>0</v>
      </c>
      <c r="DH940" s="590"/>
      <c r="DI940" s="595"/>
      <c r="DJ940" s="595"/>
      <c r="DK940" s="595"/>
      <c r="DL940" s="595"/>
      <c r="DM940" s="595"/>
      <c r="DN940" s="514"/>
      <c r="DO940" s="226"/>
      <c r="DY940" s="581"/>
      <c r="DZ940" s="581"/>
    </row>
    <row r="941" spans="1:130" ht="12" customHeight="1">
      <c r="A941" s="552" t="s">
        <v>181</v>
      </c>
      <c r="B941" s="228"/>
      <c r="C941" s="228"/>
      <c r="D941" s="584">
        <v>-10.456</v>
      </c>
      <c r="E941" s="583">
        <v>-8.9130000000000003</v>
      </c>
      <c r="F941" s="583">
        <v>-8.2080000000000002</v>
      </c>
      <c r="G941" s="583">
        <v>-7.319</v>
      </c>
      <c r="H941" s="585">
        <f>SUM(D941:G941)</f>
        <v>-34.896000000000001</v>
      </c>
      <c r="I941" s="583">
        <v>-5.9820000000000002</v>
      </c>
      <c r="J941" s="583">
        <v>-6.7320000000000002</v>
      </c>
      <c r="K941" s="583">
        <v>-6.1630000000000003</v>
      </c>
      <c r="L941" s="583">
        <v>-5.8609999999999998</v>
      </c>
      <c r="M941" s="585">
        <f>SUM(I941:L941)</f>
        <v>-24.738000000000003</v>
      </c>
      <c r="N941" s="583">
        <v>-4.0819999999999999</v>
      </c>
      <c r="O941" s="583">
        <v>-4.2709999999999999</v>
      </c>
      <c r="P941" s="583">
        <v>-7.319</v>
      </c>
      <c r="Q941" s="583">
        <v>-7.5990000000000002</v>
      </c>
      <c r="R941" s="585">
        <f>SUM(N941:Q941)</f>
        <v>-23.271000000000001</v>
      </c>
      <c r="S941" s="583">
        <v>-7.6929999999999996</v>
      </c>
      <c r="T941" s="583">
        <v>-7.8230000000000004</v>
      </c>
      <c r="U941" s="583">
        <v>-7.9080000000000004</v>
      </c>
      <c r="V941" s="583">
        <v>-7.77</v>
      </c>
      <c r="W941" s="585">
        <f>SUM(S941:V941)</f>
        <v>-31.193999999999999</v>
      </c>
      <c r="X941" s="583">
        <v>-6.4569999999999999</v>
      </c>
      <c r="Y941" s="583">
        <v>-5.73</v>
      </c>
      <c r="Z941" s="583">
        <v>-8.6910000000000007</v>
      </c>
      <c r="AA941" s="583">
        <v>-8.1709999999999994</v>
      </c>
      <c r="AB941" s="585">
        <f>SUM(X941:AA941)</f>
        <v>-29.048999999999999</v>
      </c>
      <c r="AC941" s="583">
        <v>-8.0009999999999994</v>
      </c>
      <c r="AD941" s="583">
        <v>-7.4470000000000001</v>
      </c>
      <c r="AE941" s="583">
        <v>-6.423</v>
      </c>
      <c r="AF941" s="622">
        <v>-5.7869999999999999</v>
      </c>
      <c r="AG941" s="585">
        <f>SUM(AC941:AF941)</f>
        <v>-27.658000000000001</v>
      </c>
      <c r="AH941" s="622">
        <v>-5.5439999999999996</v>
      </c>
      <c r="AI941" s="622">
        <v>-5.5880000000000001</v>
      </c>
      <c r="AJ941" s="622">
        <v>-17.274999999999999</v>
      </c>
      <c r="AK941" s="622">
        <v>-21.791</v>
      </c>
      <c r="AL941" s="585">
        <f>SUM(AH941:AK941)</f>
        <v>-50.197999999999993</v>
      </c>
      <c r="AM941" s="622">
        <v>-17.283000000000001</v>
      </c>
      <c r="AN941" s="622">
        <v>-21.327999999999999</v>
      </c>
      <c r="AO941" s="622">
        <v>-20.995000000000001</v>
      </c>
      <c r="AP941" s="622">
        <v>-21.707999999999998</v>
      </c>
      <c r="AQ941" s="585">
        <f>SUM(AM941:AP941)</f>
        <v>-81.314000000000007</v>
      </c>
      <c r="AR941" s="622">
        <v>-20.481999999999999</v>
      </c>
      <c r="AS941" s="622">
        <v>-20.648</v>
      </c>
      <c r="AT941" s="622">
        <v>-20.754999999999999</v>
      </c>
      <c r="AU941" s="622">
        <v>-21.016999999999999</v>
      </c>
      <c r="AV941" s="588">
        <f>SUM(AR941:AU941)</f>
        <v>-82.901999999999987</v>
      </c>
      <c r="AW941" s="622">
        <v>-20.774000000000001</v>
      </c>
      <c r="AX941" s="622">
        <v>-20.844000000000001</v>
      </c>
      <c r="AY941" s="622">
        <v>-20.282</v>
      </c>
      <c r="AZ941" s="622">
        <v>-19.436</v>
      </c>
      <c r="BA941" s="588">
        <f>SUM(AW941:AZ941)</f>
        <v>-81.336000000000013</v>
      </c>
      <c r="BB941" s="2687">
        <v>-17.690000000000001</v>
      </c>
      <c r="BC941" s="2734">
        <v>-17.827999999999999</v>
      </c>
      <c r="BD941" s="2734">
        <f>+-17.809</f>
        <v>-17.809000000000001</v>
      </c>
      <c r="BE941" s="621">
        <f>-(AVERAGE(BD980:BE980)*($B979+BE$1135)+((AVERAGE(BD983:BE983)*($B983+BE$1135))+(AVERAGE(BD982:BE982)*0.09875)))/4-1.75</f>
        <v>-17.237853125000001</v>
      </c>
      <c r="BF941" s="588">
        <f>SUM(BB941:BE941)</f>
        <v>-70.564853124999999</v>
      </c>
      <c r="BG941" s="2687">
        <v>-16.657</v>
      </c>
      <c r="BH941" s="622">
        <v>-16.306999999999999</v>
      </c>
      <c r="BI941" s="622">
        <v>-14.223000000000001</v>
      </c>
      <c r="BJ941" s="622">
        <v>-12.494</v>
      </c>
      <c r="BK941" s="588">
        <f>SUM(BG941:BJ941)</f>
        <v>-59.680999999999997</v>
      </c>
      <c r="BL941" s="622">
        <v>-11.755000000000001</v>
      </c>
      <c r="BM941" s="622">
        <v>-11.125</v>
      </c>
      <c r="BN941" s="3290">
        <f>-(AVERAGE(BM980:BN980)*($B979+BN$1135)+((AVERAGE(BM983:BN983)*($B983+BN$1135))+(AVERAGE(BM984:BN984)*($B984+BN$1135)))/4-1.75)*(1/3)</f>
        <v>-2.5956145833333335</v>
      </c>
      <c r="BO941" s="842"/>
      <c r="BP941" s="588"/>
      <c r="BQ941" s="3290"/>
      <c r="BR941" s="3290"/>
      <c r="BS941" s="3290"/>
      <c r="BT941" s="842"/>
      <c r="BU941" s="3376"/>
      <c r="BV941" s="3290"/>
      <c r="BW941" s="3290"/>
      <c r="BX941" s="3290"/>
      <c r="BY941" s="842"/>
      <c r="BZ941" s="580"/>
      <c r="CA941" s="580"/>
      <c r="CB941" s="588"/>
      <c r="CC941" s="581">
        <f>-(AVERAGE(CB980,CC980)*($B979+CC$1135)+((AVERAGE(CB983,CC983)*($B983+CC$1135))+(AVERAGE(CB982,CC982)*0.09875)))-1.75*4</f>
        <v>-7</v>
      </c>
      <c r="CD941" s="580">
        <f>-(AVERAGE(CC980,CD980)*($B979+CD$1135)+((AVERAGE(CC983,CD983)*($B983+CD$1135))+(AVERAGE(CC982,CD982)*0.09875)))-1.75*4</f>
        <v>-7</v>
      </c>
      <c r="CE941" s="580">
        <f>-(AVERAGE(CD980,CE980)*($B979+CE$1135)+((AVERAGE(CD983,CE983)*($B983+CE$1135))+(AVERAGE(CD982,CE982)*0.09875)))-1.75*4</f>
        <v>-7</v>
      </c>
      <c r="CF941" s="580">
        <f>-(AVERAGE(CE980,CF980)*($B979+CF$1135)+((AVERAGE(CE983,CF983)*($B983+CF$1135))+(AVERAGE(CE982,CF982)*0.09875)))-1.75*4</f>
        <v>-7</v>
      </c>
      <c r="CG941" s="580">
        <f>-(AVERAGE(CF980,CG980)*($B979+CG$1135)+((AVERAGE(CF983,CG983)*($B983+CG$1135))+(AVERAGE(CF982,CG982)*0.09875)))-1.75*4</f>
        <v>-7</v>
      </c>
      <c r="CH941" s="581"/>
      <c r="CI941" s="581"/>
      <c r="CJ941" s="581"/>
      <c r="CK941" s="581"/>
      <c r="CL941" s="581"/>
      <c r="CM941" s="581"/>
      <c r="CN941" s="581"/>
      <c r="CO941" s="581"/>
      <c r="CP941" s="994" t="str">
        <f t="shared" si="1781"/>
        <v>Interest Expense</v>
      </c>
      <c r="CQ941" s="621">
        <f t="shared" si="1782"/>
        <v>-34.896000000000001</v>
      </c>
      <c r="CR941" s="621">
        <f t="shared" si="1783"/>
        <v>-24.738000000000003</v>
      </c>
      <c r="CS941" s="621">
        <f t="shared" si="1784"/>
        <v>-23.271000000000001</v>
      </c>
      <c r="CT941" s="621">
        <f t="shared" si="1785"/>
        <v>-31.193999999999999</v>
      </c>
      <c r="CU941" s="621">
        <f t="shared" si="1786"/>
        <v>-29.048999999999999</v>
      </c>
      <c r="CV941" s="621">
        <f t="shared" si="1787"/>
        <v>-27.658000000000001</v>
      </c>
      <c r="CW941" s="621">
        <f t="shared" si="1788"/>
        <v>-50.197999999999993</v>
      </c>
      <c r="CX941" s="621">
        <f t="shared" si="1789"/>
        <v>-81.314000000000007</v>
      </c>
      <c r="CY941" s="621">
        <f t="shared" si="1790"/>
        <v>-82.901999999999987</v>
      </c>
      <c r="CZ941" s="621">
        <f t="shared" si="1791"/>
        <v>-81.336000000000013</v>
      </c>
      <c r="DA941" s="621">
        <f t="shared" si="1792"/>
        <v>-70.564853124999999</v>
      </c>
      <c r="DB941" s="621">
        <f t="shared" si="1793"/>
        <v>-59.680999999999997</v>
      </c>
      <c r="DC941" s="621">
        <f t="shared" si="1794"/>
        <v>0</v>
      </c>
      <c r="DD941" s="621">
        <f t="shared" si="1795"/>
        <v>0</v>
      </c>
      <c r="DE941" s="621">
        <f t="shared" si="1796"/>
        <v>0</v>
      </c>
      <c r="DF941" s="621">
        <f t="shared" si="1796"/>
        <v>0</v>
      </c>
      <c r="DG941" s="842">
        <f t="shared" si="1796"/>
        <v>0</v>
      </c>
      <c r="DH941" s="590"/>
      <c r="DI941" s="595"/>
      <c r="DJ941" s="595"/>
      <c r="DK941" s="595"/>
      <c r="DL941" s="595"/>
      <c r="DM941" s="595"/>
      <c r="DN941" s="514"/>
      <c r="DO941" s="226"/>
      <c r="DY941" s="581"/>
      <c r="DZ941" s="581"/>
    </row>
    <row r="942" spans="1:130" ht="12" customHeight="1">
      <c r="A942" s="228" t="s">
        <v>1572</v>
      </c>
      <c r="B942" s="228"/>
      <c r="C942" s="228"/>
      <c r="D942" s="661">
        <f t="shared" ref="D942:M942" si="1797">D937+D941</f>
        <v>15.831999999999997</v>
      </c>
      <c r="E942" s="557">
        <f t="shared" si="1797"/>
        <v>29.13</v>
      </c>
      <c r="F942" s="557">
        <f t="shared" si="1797"/>
        <v>40.494999999999997</v>
      </c>
      <c r="G942" s="557">
        <f t="shared" si="1797"/>
        <v>38.402999999999992</v>
      </c>
      <c r="H942" s="556">
        <f t="shared" si="1797"/>
        <v>123.86000000000006</v>
      </c>
      <c r="I942" s="557">
        <f t="shared" si="1797"/>
        <v>37.524999999999984</v>
      </c>
      <c r="J942" s="557">
        <f t="shared" si="1797"/>
        <v>36.217999999999996</v>
      </c>
      <c r="K942" s="557">
        <f t="shared" si="1797"/>
        <v>55.558000000000007</v>
      </c>
      <c r="L942" s="557">
        <f t="shared" si="1797"/>
        <v>40.743999999999986</v>
      </c>
      <c r="M942" s="556">
        <f t="shared" si="1797"/>
        <v>170.04499999999993</v>
      </c>
      <c r="N942" s="557">
        <f>N937+N941+N940</f>
        <v>45.077000000000012</v>
      </c>
      <c r="O942" s="557">
        <f>O937+O941+O940</f>
        <v>34.668000000000013</v>
      </c>
      <c r="P942" s="557">
        <f>P937+P941+P940</f>
        <v>44.147000000000027</v>
      </c>
      <c r="Q942" s="557">
        <f>Q937+Q941+Q940</f>
        <v>27.824999999999999</v>
      </c>
      <c r="R942" s="556">
        <f>SUM(N942:Q942)</f>
        <v>151.71700000000004</v>
      </c>
      <c r="S942" s="557">
        <f>S937+S941+S940</f>
        <v>35.17799999999999</v>
      </c>
      <c r="T942" s="557">
        <f>T937+T941+T940</f>
        <v>28.253999999999994</v>
      </c>
      <c r="U942" s="557">
        <f>U937+U941+U940</f>
        <v>46.617999999999995</v>
      </c>
      <c r="V942" s="557">
        <f>V937+V941+V940</f>
        <v>27.824000000000009</v>
      </c>
      <c r="W942" s="556">
        <f>SUM(S942:V942)</f>
        <v>137.874</v>
      </c>
      <c r="X942" s="557">
        <f>X937+X941+X940</f>
        <v>30.59800000000001</v>
      </c>
      <c r="Y942" s="557">
        <f>Y937+Y941+Y940</f>
        <v>16.537000000000017</v>
      </c>
      <c r="Z942" s="557">
        <f>Z937+Z941+Z940</f>
        <v>30.81499999999998</v>
      </c>
      <c r="AA942" s="557">
        <f>AA937+AA941+AA940</f>
        <v>8.3090000000000188</v>
      </c>
      <c r="AB942" s="556">
        <f>SUM(X942:AA942)</f>
        <v>86.259000000000015</v>
      </c>
      <c r="AC942" s="557">
        <f>AC937+AC941+AC940</f>
        <v>17.490999999999989</v>
      </c>
      <c r="AD942" s="557">
        <f>AD937+AD941+AD940</f>
        <v>19.821999999999999</v>
      </c>
      <c r="AE942" s="557">
        <f>AE937+AE941+AE940</f>
        <v>70.60499999999999</v>
      </c>
      <c r="AF942" s="557">
        <f>AF937+AF941+AF940</f>
        <v>11.28199999999998</v>
      </c>
      <c r="AG942" s="556">
        <f>SUM(AC942:AF942)</f>
        <v>119.19999999999996</v>
      </c>
      <c r="AH942" s="557">
        <f>AH937+AH941+AH940</f>
        <v>14.025999999999994</v>
      </c>
      <c r="AI942" s="557">
        <f>AI937+AI941+AI940</f>
        <v>19.124000000000006</v>
      </c>
      <c r="AJ942" s="557">
        <f>AJ937+AJ941+AJ940</f>
        <v>20.588000000000019</v>
      </c>
      <c r="AK942" s="557">
        <f>AK937+AK941+AK940</f>
        <v>-4.2190000000000101</v>
      </c>
      <c r="AL942" s="556">
        <f>SUM(AH942:AK942)</f>
        <v>49.519000000000005</v>
      </c>
      <c r="AM942" s="557">
        <f>AM937+AM941+AM940</f>
        <v>-9.483000000000013</v>
      </c>
      <c r="AN942" s="557">
        <f>AN937+AN941+AN940</f>
        <v>-5.9999999999986953E-2</v>
      </c>
      <c r="AO942" s="557">
        <f>AO937+AO941+AO940</f>
        <v>13.83</v>
      </c>
      <c r="AP942" s="557">
        <f>AP937+AP941+AP940</f>
        <v>0.46799999999998732</v>
      </c>
      <c r="AQ942" s="556">
        <f>SUM(AM942:AP942)</f>
        <v>4.7549999999999883</v>
      </c>
      <c r="AR942" s="557">
        <f>AR937+AR941+AR940</f>
        <v>3.1809999999999983</v>
      </c>
      <c r="AS942" s="557">
        <f>AS937+AS941+AS940</f>
        <v>-3.8749999999999996</v>
      </c>
      <c r="AT942" s="557">
        <f>AT937+AT941+AT940</f>
        <v>-2.0889999999999973</v>
      </c>
      <c r="AU942" s="557">
        <f>AU937+AU941+AU940</f>
        <v>-23.935999999999996</v>
      </c>
      <c r="AV942" s="556">
        <f>SUM(AR942:AU942)</f>
        <v>-26.718999999999994</v>
      </c>
      <c r="AW942" s="557">
        <f>AW937+AW941+AW940</f>
        <v>-8.3109999999999999</v>
      </c>
      <c r="AX942" s="557">
        <f>AX937+AX941+AX940</f>
        <v>-13.656000000000001</v>
      </c>
      <c r="AY942" s="557">
        <f>AY937+AY941+AY940</f>
        <v>6.1629999999999949</v>
      </c>
      <c r="AZ942" s="557">
        <f>AZ937+AZ941+AZ940</f>
        <v>-44.216000000000001</v>
      </c>
      <c r="BA942" s="556">
        <f>SUM(AW942:AZ942)</f>
        <v>-60.02</v>
      </c>
      <c r="BB942" s="557">
        <f>BB937+BB941+BB940</f>
        <v>-10.734</v>
      </c>
      <c r="BC942" s="557">
        <f>BC937+BC941+BC940</f>
        <v>10.402999999999997</v>
      </c>
      <c r="BD942" s="557">
        <f>BD937+BD941+BD940</f>
        <v>26.259999999999998</v>
      </c>
      <c r="BE942" s="557">
        <f>BE937+BE941+BE940</f>
        <v>4.0131468749999968</v>
      </c>
      <c r="BF942" s="556">
        <f>SUM(BB942:BE942)</f>
        <v>29.942146874999992</v>
      </c>
      <c r="BG942" s="661">
        <f>BG937+BG941+BG940</f>
        <v>6.2010000000000032</v>
      </c>
      <c r="BH942" s="557">
        <f>BH937+BH941+BH940</f>
        <v>13.327000000000002</v>
      </c>
      <c r="BI942" s="557">
        <f>BI937+BI941+BI940</f>
        <v>30.152000000000001</v>
      </c>
      <c r="BJ942" s="1848">
        <f>BJ937+BJ941+BJ940</f>
        <v>18.585999999999999</v>
      </c>
      <c r="BK942" s="556">
        <f>SUM(BG942:BJ942)</f>
        <v>68.266000000000005</v>
      </c>
      <c r="BL942" s="557">
        <f>BL937+BL941+BL940</f>
        <v>25.593000000000004</v>
      </c>
      <c r="BM942" s="557">
        <f>BM937+BM941+BM940</f>
        <v>41.124000000000002</v>
      </c>
      <c r="BN942" s="557">
        <f>BN937+BN941+BN940</f>
        <v>136.12320837934533</v>
      </c>
      <c r="BO942" s="1848"/>
      <c r="BP942" s="556"/>
      <c r="BQ942" s="557"/>
      <c r="BR942" s="557"/>
      <c r="BS942" s="557"/>
      <c r="BT942" s="1848"/>
      <c r="BU942" s="3372"/>
      <c r="BV942" s="557"/>
      <c r="BW942" s="557"/>
      <c r="BX942" s="557"/>
      <c r="BY942" s="1848"/>
      <c r="BZ942" s="556"/>
      <c r="CA942" s="556"/>
      <c r="CB942" s="556"/>
      <c r="CC942" s="556">
        <f>CC937+CC941+CC940</f>
        <v>2.0480908170857433</v>
      </c>
      <c r="CD942" s="556">
        <f>CD937+CD941+CD940</f>
        <v>1.5956862762314685</v>
      </c>
      <c r="CE942" s="556">
        <f>CE937+CE941+CE940</f>
        <v>1.7676000017560867</v>
      </c>
      <c r="CF942" s="556">
        <f>CF937+CF941+CF940</f>
        <v>1.9429520017912125</v>
      </c>
      <c r="CG942" s="556">
        <f>CG937+CG941+CG940</f>
        <v>2.1218110418270371</v>
      </c>
      <c r="CH942" s="581"/>
      <c r="CI942" s="581"/>
      <c r="CJ942" s="581"/>
      <c r="CK942" s="581"/>
      <c r="CL942" s="581"/>
      <c r="CM942" s="581"/>
      <c r="CN942" s="581"/>
      <c r="CO942" s="581"/>
      <c r="CP942" s="1847" t="str">
        <f t="shared" si="1781"/>
        <v>Pre-Tax Income</v>
      </c>
      <c r="CQ942" s="557">
        <f t="shared" si="1782"/>
        <v>123.86000000000006</v>
      </c>
      <c r="CR942" s="557">
        <f t="shared" si="1783"/>
        <v>170.04499999999993</v>
      </c>
      <c r="CS942" s="557">
        <f t="shared" si="1784"/>
        <v>151.71700000000004</v>
      </c>
      <c r="CT942" s="557">
        <f t="shared" si="1785"/>
        <v>137.874</v>
      </c>
      <c r="CU942" s="557">
        <f t="shared" si="1786"/>
        <v>86.259000000000015</v>
      </c>
      <c r="CV942" s="557">
        <f t="shared" si="1787"/>
        <v>119.19999999999996</v>
      </c>
      <c r="CW942" s="557">
        <f t="shared" si="1788"/>
        <v>49.519000000000005</v>
      </c>
      <c r="CX942" s="557">
        <f t="shared" si="1789"/>
        <v>4.7549999999999883</v>
      </c>
      <c r="CY942" s="557">
        <f t="shared" si="1790"/>
        <v>-26.718999999999994</v>
      </c>
      <c r="CZ942" s="557">
        <f t="shared" si="1791"/>
        <v>-60.02</v>
      </c>
      <c r="DA942" s="557">
        <f t="shared" si="1792"/>
        <v>29.942146874999992</v>
      </c>
      <c r="DB942" s="557">
        <f t="shared" si="1793"/>
        <v>68.266000000000005</v>
      </c>
      <c r="DC942" s="557">
        <f t="shared" si="1794"/>
        <v>0</v>
      </c>
      <c r="DD942" s="557">
        <f t="shared" si="1795"/>
        <v>0</v>
      </c>
      <c r="DE942" s="557">
        <f t="shared" si="1796"/>
        <v>0</v>
      </c>
      <c r="DF942" s="557">
        <f t="shared" si="1796"/>
        <v>0</v>
      </c>
      <c r="DG942" s="1848">
        <f t="shared" si="1796"/>
        <v>0</v>
      </c>
      <c r="DH942" s="590"/>
      <c r="DI942" s="595"/>
      <c r="DJ942" s="595"/>
      <c r="DK942" s="595"/>
      <c r="DL942" s="595"/>
      <c r="DM942" s="595"/>
      <c r="DN942" s="514"/>
      <c r="DO942" s="226"/>
      <c r="DY942" s="557"/>
      <c r="DZ942" s="557"/>
    </row>
    <row r="943" spans="1:130" ht="12" customHeight="1">
      <c r="A943" s="670" t="s">
        <v>219</v>
      </c>
      <c r="B943" s="837"/>
      <c r="C943" s="837"/>
      <c r="D943" s="678">
        <v>-2.4649999999999999</v>
      </c>
      <c r="E943" s="330">
        <v>-4.4669999999999996</v>
      </c>
      <c r="F943" s="330">
        <v>-4.63</v>
      </c>
      <c r="G943" s="626">
        <f>9.789-F943-E943-D943</f>
        <v>21.350999999999999</v>
      </c>
      <c r="H943" s="788">
        <f>SUM(D943:G943)</f>
        <v>9.7889999999999997</v>
      </c>
      <c r="I943" s="330">
        <v>0.40899999999999997</v>
      </c>
      <c r="J943" s="330">
        <v>0.19500000000000001</v>
      </c>
      <c r="K943" s="330">
        <v>0.44</v>
      </c>
      <c r="L943" s="330">
        <v>0.25900000000000001</v>
      </c>
      <c r="M943" s="788">
        <f>SUM(I943:L943)</f>
        <v>1.3029999999999999</v>
      </c>
      <c r="N943" s="330">
        <v>-0.36699999999999999</v>
      </c>
      <c r="O943" s="330">
        <v>0.13</v>
      </c>
      <c r="P943" s="330">
        <v>0.95599999999999996</v>
      </c>
      <c r="Q943" s="330">
        <v>1.397</v>
      </c>
      <c r="R943" s="788">
        <f>SUM(N943:Q943)</f>
        <v>2.1160000000000001</v>
      </c>
      <c r="S943" s="330">
        <v>0.09</v>
      </c>
      <c r="T943" s="330">
        <v>0.67600000000000005</v>
      </c>
      <c r="U943" s="330">
        <v>1.1040000000000001</v>
      </c>
      <c r="V943" s="330">
        <v>1.788</v>
      </c>
      <c r="W943" s="788">
        <f>SUM(S943:V943)</f>
        <v>3.6580000000000004</v>
      </c>
      <c r="X943" s="330">
        <v>-2.754</v>
      </c>
      <c r="Y943" s="330">
        <v>-0.53</v>
      </c>
      <c r="Z943" s="330">
        <v>-1.6160000000000001</v>
      </c>
      <c r="AA943" s="330">
        <v>1.93</v>
      </c>
      <c r="AB943" s="788">
        <f>SUM(X943:AA943)</f>
        <v>-2.9700000000000006</v>
      </c>
      <c r="AC943" s="330">
        <v>-1.032</v>
      </c>
      <c r="AD943" s="330">
        <v>-1.5609999999999999</v>
      </c>
      <c r="AE943" s="330">
        <v>-7.9859999999999998</v>
      </c>
      <c r="AF943" s="330">
        <v>-0.35899999999999999</v>
      </c>
      <c r="AG943" s="788">
        <f>SUM(AC943:AF943)</f>
        <v>-10.938000000000001</v>
      </c>
      <c r="AH943" s="330">
        <v>-1.506</v>
      </c>
      <c r="AI943" s="330">
        <v>-1.837</v>
      </c>
      <c r="AJ943" s="330">
        <v>-2.0459999999999998</v>
      </c>
      <c r="AK943" s="330">
        <v>0.115</v>
      </c>
      <c r="AL943" s="788">
        <f>SUM(AH943:AK943)</f>
        <v>-5.2739999999999991</v>
      </c>
      <c r="AM943" s="330">
        <v>0.67</v>
      </c>
      <c r="AN943" s="330">
        <v>-0.17899999999999999</v>
      </c>
      <c r="AO943" s="330">
        <v>-1.492</v>
      </c>
      <c r="AP943" s="330">
        <v>-0.252</v>
      </c>
      <c r="AQ943" s="788">
        <f>SUM(AM943:AP943)</f>
        <v>-1.2529999999999999</v>
      </c>
      <c r="AR943" s="330">
        <v>-0.57699999999999996</v>
      </c>
      <c r="AS943" s="330">
        <v>0.40400000000000003</v>
      </c>
      <c r="AT943" s="330">
        <v>3.6999999999999998E-2</v>
      </c>
      <c r="AU943" s="330">
        <v>1.4119999999999999</v>
      </c>
      <c r="AV943" s="788">
        <f>SUM(AR943:AU943)</f>
        <v>1.276</v>
      </c>
      <c r="AW943" s="330">
        <v>0.51200000000000001</v>
      </c>
      <c r="AX943" s="330">
        <v>0.92100000000000004</v>
      </c>
      <c r="AY943" s="330">
        <v>-0.73099999999999998</v>
      </c>
      <c r="AZ943" s="330">
        <v>3.714</v>
      </c>
      <c r="BA943" s="788">
        <f>SUM(AW943:AZ943)</f>
        <v>4.4160000000000004</v>
      </c>
      <c r="BB943" s="2740">
        <v>0.64700000000000002</v>
      </c>
      <c r="BC943" s="2740">
        <v>-1.0629999999999999</v>
      </c>
      <c r="BD943" s="2740">
        <v>-2.7080000000000002</v>
      </c>
      <c r="BE943" s="2406">
        <f>+-3.399-SUM(BB943:BD943)</f>
        <v>-0.27499999999999991</v>
      </c>
      <c r="BF943" s="788">
        <f>SUM(BB943:BE943)</f>
        <v>-3.399</v>
      </c>
      <c r="BG943" s="2740">
        <v>1.827</v>
      </c>
      <c r="BH943" s="622">
        <v>-1.3740000000000001</v>
      </c>
      <c r="BI943" s="622">
        <v>6.6980000000000004</v>
      </c>
      <c r="BJ943" s="622">
        <v>-3.42</v>
      </c>
      <c r="BK943" s="788">
        <f>SUM(BG943:BJ943)</f>
        <v>3.7309999999999999</v>
      </c>
      <c r="BL943" s="3117">
        <v>-2.3319999999999999</v>
      </c>
      <c r="BM943" s="3117">
        <v>-3.7360000000000002</v>
      </c>
      <c r="BN943" s="626">
        <f>-BN944*BN942</f>
        <v>-13.612320837934533</v>
      </c>
      <c r="BO943" s="1893"/>
      <c r="BP943" s="788"/>
      <c r="BQ943" s="626"/>
      <c r="BR943" s="626"/>
      <c r="BS943" s="626"/>
      <c r="BT943" s="1893"/>
      <c r="BU943" s="3406"/>
      <c r="BV943" s="626"/>
      <c r="BW943" s="626"/>
      <c r="BX943" s="626"/>
      <c r="BY943" s="1893"/>
      <c r="BZ943" s="788"/>
      <c r="CA943" s="788"/>
      <c r="CB943" s="788"/>
      <c r="CC943" s="788">
        <f>-CC944*CC942</f>
        <v>0</v>
      </c>
      <c r="CD943" s="788">
        <f>-CD944*CD942</f>
        <v>0</v>
      </c>
      <c r="CE943" s="788">
        <f>-CE944*CE942</f>
        <v>0</v>
      </c>
      <c r="CF943" s="788">
        <f>-CF944*CF942</f>
        <v>0</v>
      </c>
      <c r="CG943" s="788">
        <f>-CG944*CG942</f>
        <v>0</v>
      </c>
      <c r="CH943" s="626"/>
      <c r="CI943" s="626"/>
      <c r="CJ943" s="626"/>
      <c r="CK943" s="626"/>
      <c r="CL943" s="626"/>
      <c r="CM943" s="626"/>
      <c r="CN943" s="626"/>
      <c r="CO943" s="626"/>
      <c r="CP943" s="1864" t="str">
        <f t="shared" si="1781"/>
        <v>Income Taxes</v>
      </c>
      <c r="CQ943" s="626">
        <f t="shared" si="1782"/>
        <v>9.7889999999999997</v>
      </c>
      <c r="CR943" s="626">
        <f t="shared" si="1783"/>
        <v>1.3029999999999999</v>
      </c>
      <c r="CS943" s="626">
        <f t="shared" si="1784"/>
        <v>2.1160000000000001</v>
      </c>
      <c r="CT943" s="626">
        <f t="shared" si="1785"/>
        <v>3.6580000000000004</v>
      </c>
      <c r="CU943" s="626">
        <f t="shared" si="1786"/>
        <v>-2.9700000000000006</v>
      </c>
      <c r="CV943" s="626">
        <f t="shared" si="1787"/>
        <v>-10.938000000000001</v>
      </c>
      <c r="CW943" s="626">
        <f t="shared" si="1788"/>
        <v>-5.2739999999999991</v>
      </c>
      <c r="CX943" s="626">
        <f t="shared" si="1789"/>
        <v>-1.2529999999999999</v>
      </c>
      <c r="CY943" s="626">
        <f t="shared" si="1790"/>
        <v>1.276</v>
      </c>
      <c r="CZ943" s="626">
        <f t="shared" si="1791"/>
        <v>4.4160000000000004</v>
      </c>
      <c r="DA943" s="626">
        <f t="shared" si="1792"/>
        <v>-3.399</v>
      </c>
      <c r="DB943" s="626">
        <f t="shared" si="1793"/>
        <v>3.7309999999999999</v>
      </c>
      <c r="DC943" s="626">
        <f t="shared" si="1794"/>
        <v>0</v>
      </c>
      <c r="DD943" s="626">
        <f t="shared" si="1795"/>
        <v>0</v>
      </c>
      <c r="DE943" s="626">
        <f t="shared" si="1796"/>
        <v>0</v>
      </c>
      <c r="DF943" s="626">
        <f t="shared" si="1796"/>
        <v>0</v>
      </c>
      <c r="DG943" s="1893">
        <f t="shared" si="1796"/>
        <v>0</v>
      </c>
      <c r="DH943" s="632"/>
      <c r="DI943" s="838"/>
      <c r="DJ943" s="838"/>
      <c r="DK943" s="838"/>
      <c r="DL943" s="838"/>
      <c r="DM943" s="838"/>
      <c r="DN943" s="632"/>
      <c r="DO943" s="312"/>
      <c r="DY943" s="626"/>
      <c r="DZ943" s="626"/>
    </row>
    <row r="944" spans="1:130" ht="12" customHeight="1">
      <c r="A944" s="633" t="s">
        <v>1171</v>
      </c>
      <c r="B944" s="228"/>
      <c r="C944" s="228"/>
      <c r="D944" s="591">
        <f t="shared" ref="D944:AR944" si="1798">-D943/D942</f>
        <v>0.15569732187973725</v>
      </c>
      <c r="E944" s="592">
        <f t="shared" si="1798"/>
        <v>0.15334706488156538</v>
      </c>
      <c r="F944" s="592">
        <f t="shared" si="1798"/>
        <v>0.11433510309914804</v>
      </c>
      <c r="G944" s="592">
        <f t="shared" si="1798"/>
        <v>-0.55597218967268192</v>
      </c>
      <c r="H944" s="779">
        <f t="shared" si="1798"/>
        <v>-7.9032778943968957E-2</v>
      </c>
      <c r="I944" s="592">
        <f t="shared" si="1798"/>
        <v>-1.0899400399733515E-2</v>
      </c>
      <c r="J944" s="592">
        <f t="shared" si="1798"/>
        <v>-5.3840631730078976E-3</v>
      </c>
      <c r="K944" s="592">
        <f t="shared" si="1798"/>
        <v>-7.9196515353324448E-3</v>
      </c>
      <c r="L944" s="592">
        <f t="shared" si="1798"/>
        <v>-6.3567641861378386E-3</v>
      </c>
      <c r="M944" s="779">
        <f t="shared" si="1798"/>
        <v>-7.6626775265370957E-3</v>
      </c>
      <c r="N944" s="592">
        <f t="shared" si="1798"/>
        <v>8.1416243316990902E-3</v>
      </c>
      <c r="O944" s="592">
        <f t="shared" si="1798"/>
        <v>-3.7498557747778919E-3</v>
      </c>
      <c r="P944" s="592">
        <f t="shared" si="1798"/>
        <v>-2.1654925589507767E-2</v>
      </c>
      <c r="Q944" s="592">
        <f t="shared" si="1798"/>
        <v>-5.0206648697214737E-2</v>
      </c>
      <c r="R944" s="779">
        <f t="shared" si="1798"/>
        <v>-1.3947019780248749E-2</v>
      </c>
      <c r="S944" s="592">
        <f t="shared" si="1798"/>
        <v>-2.5584171925635345E-3</v>
      </c>
      <c r="T944" s="592">
        <f t="shared" si="1798"/>
        <v>-2.3925815813690104E-2</v>
      </c>
      <c r="U944" s="592">
        <f t="shared" si="1798"/>
        <v>-2.3681839632759882E-2</v>
      </c>
      <c r="V944" s="592">
        <f t="shared" si="1798"/>
        <v>-6.4261069580218502E-2</v>
      </c>
      <c r="W944" s="779">
        <f t="shared" si="1798"/>
        <v>-2.6531470763160571E-2</v>
      </c>
      <c r="X944" s="592">
        <f t="shared" si="1798"/>
        <v>9.000588273743379E-2</v>
      </c>
      <c r="Y944" s="592">
        <f t="shared" si="1798"/>
        <v>3.2049343895507017E-2</v>
      </c>
      <c r="Z944" s="592">
        <f t="shared" si="1798"/>
        <v>5.2441992536102586E-2</v>
      </c>
      <c r="AA944" s="592">
        <f t="shared" si="1798"/>
        <v>-0.23227825249729156</v>
      </c>
      <c r="AB944" s="779">
        <f t="shared" si="1798"/>
        <v>3.4431189788891599E-2</v>
      </c>
      <c r="AC944" s="592">
        <f t="shared" si="1798"/>
        <v>5.900177234006064E-2</v>
      </c>
      <c r="AD944" s="592">
        <f t="shared" si="1798"/>
        <v>7.8750882857431134E-2</v>
      </c>
      <c r="AE944" s="592">
        <f t="shared" si="1798"/>
        <v>0.11310813681750585</v>
      </c>
      <c r="AF944" s="592">
        <f t="shared" si="1798"/>
        <v>3.1820599184541803E-2</v>
      </c>
      <c r="AG944" s="779">
        <f t="shared" si="1798"/>
        <v>9.1761744966442987E-2</v>
      </c>
      <c r="AH944" s="592">
        <f t="shared" si="1798"/>
        <v>0.10737202338514192</v>
      </c>
      <c r="AI944" s="592">
        <f t="shared" si="1798"/>
        <v>9.6057310186153488E-2</v>
      </c>
      <c r="AJ944" s="592">
        <f t="shared" si="1798"/>
        <v>9.9378278608898293E-2</v>
      </c>
      <c r="AK944" s="592">
        <f t="shared" si="1798"/>
        <v>2.7257643991467108E-2</v>
      </c>
      <c r="AL944" s="779">
        <f t="shared" si="1798"/>
        <v>0.10650457400189824</v>
      </c>
      <c r="AM944" s="2264">
        <f t="shared" si="1798"/>
        <v>7.0652747020984827E-2</v>
      </c>
      <c r="AN944" s="2264">
        <f t="shared" si="1798"/>
        <v>-2.9833333333339818</v>
      </c>
      <c r="AO944" s="2264">
        <f t="shared" si="1798"/>
        <v>0.10788141720896602</v>
      </c>
      <c r="AP944" s="2264">
        <f t="shared" si="1798"/>
        <v>0.53846153846155309</v>
      </c>
      <c r="AQ944" s="779">
        <f>-AQ943/AQ942</f>
        <v>0.26351209253417518</v>
      </c>
      <c r="AR944" s="2264">
        <f t="shared" si="1798"/>
        <v>0.18138950015718336</v>
      </c>
      <c r="AS944" s="2264">
        <f t="shared" ref="AS944:BE944" si="1799">-AS943/AS942</f>
        <v>0.10425806451612905</v>
      </c>
      <c r="AT944" s="2264">
        <f t="shared" si="1799"/>
        <v>1.7711823839157512E-2</v>
      </c>
      <c r="AU944" s="2264">
        <f t="shared" si="1799"/>
        <v>5.8990641711229953E-2</v>
      </c>
      <c r="AV944" s="779">
        <f t="shared" si="1799"/>
        <v>4.7756278303828746E-2</v>
      </c>
      <c r="AW944" s="2264">
        <f t="shared" si="1799"/>
        <v>6.1605101672482253E-2</v>
      </c>
      <c r="AX944" s="2264">
        <f t="shared" si="1799"/>
        <v>6.7442882249560632E-2</v>
      </c>
      <c r="AY944" s="2264">
        <f t="shared" si="1799"/>
        <v>0.11861106603926669</v>
      </c>
      <c r="AZ944" s="2264">
        <f t="shared" si="1799"/>
        <v>8.3996743260358234E-2</v>
      </c>
      <c r="BA944" s="779">
        <f>-BA943/BA942</f>
        <v>7.3575474841719432E-2</v>
      </c>
      <c r="BB944" s="2264">
        <f t="shared" si="1799"/>
        <v>6.0275759269610582E-2</v>
      </c>
      <c r="BC944" s="2264">
        <f t="shared" si="1799"/>
        <v>0.10218206286648085</v>
      </c>
      <c r="BD944" s="3104">
        <f t="shared" si="1799"/>
        <v>0.10312261995430314</v>
      </c>
      <c r="BE944" s="3104">
        <f t="shared" si="1799"/>
        <v>6.8524778326235602E-2</v>
      </c>
      <c r="BF944" s="779">
        <f t="shared" ref="BF944:BM944" si="1800">-BF943/BF942</f>
        <v>0.11351891413096947</v>
      </c>
      <c r="BG944" s="3104">
        <f t="shared" si="1800"/>
        <v>-0.29462989840348314</v>
      </c>
      <c r="BH944" s="3104">
        <f t="shared" si="1800"/>
        <v>0.10309897201170555</v>
      </c>
      <c r="BI944" s="3104">
        <f t="shared" si="1800"/>
        <v>-0.22214115149907138</v>
      </c>
      <c r="BJ944" s="3104">
        <f t="shared" si="1800"/>
        <v>0.18400946949316691</v>
      </c>
      <c r="BK944" s="779">
        <f t="shared" si="1800"/>
        <v>-5.4653854041543368E-2</v>
      </c>
      <c r="BL944" s="3104">
        <f t="shared" si="1800"/>
        <v>9.1118665260032025E-2</v>
      </c>
      <c r="BM944" s="3104">
        <f t="shared" si="1800"/>
        <v>9.0847193852738067E-2</v>
      </c>
      <c r="BN944" s="570">
        <v>0.1</v>
      </c>
      <c r="BO944" s="2807"/>
      <c r="BP944" s="779"/>
      <c r="BQ944" s="570"/>
      <c r="BR944" s="570"/>
      <c r="BS944" s="570"/>
      <c r="BT944" s="2807"/>
      <c r="BU944" s="3378"/>
      <c r="BV944" s="570"/>
      <c r="BW944" s="570"/>
      <c r="BX944" s="570"/>
      <c r="BY944" s="2807"/>
      <c r="BZ944" s="569"/>
      <c r="CA944" s="569"/>
      <c r="CB944" s="569"/>
      <c r="CC944" s="569">
        <f>CB944</f>
        <v>0</v>
      </c>
      <c r="CD944" s="569">
        <f>CC944</f>
        <v>0</v>
      </c>
      <c r="CE944" s="569">
        <f>CD944</f>
        <v>0</v>
      </c>
      <c r="CF944" s="569">
        <f>CE944</f>
        <v>0</v>
      </c>
      <c r="CG944" s="569">
        <f>CF944</f>
        <v>0</v>
      </c>
      <c r="CH944" s="592"/>
      <c r="CI944" s="592"/>
      <c r="CJ944" s="592"/>
      <c r="CK944" s="592"/>
      <c r="CL944" s="592"/>
      <c r="CM944" s="592"/>
      <c r="CN944" s="592"/>
      <c r="CO944" s="592"/>
      <c r="CP944" s="90" t="str">
        <f t="shared" si="1781"/>
        <v>Tax Rate</v>
      </c>
      <c r="CQ944" s="592">
        <f t="shared" si="1782"/>
        <v>-7.9032778943968957E-2</v>
      </c>
      <c r="CR944" s="592">
        <f t="shared" si="1783"/>
        <v>-7.6626775265370957E-3</v>
      </c>
      <c r="CS944" s="592">
        <f t="shared" si="1784"/>
        <v>-1.3947019780248749E-2</v>
      </c>
      <c r="CT944" s="592">
        <f t="shared" si="1785"/>
        <v>-2.6531470763160571E-2</v>
      </c>
      <c r="CU944" s="592">
        <f t="shared" si="1786"/>
        <v>3.4431189788891599E-2</v>
      </c>
      <c r="CV944" s="592">
        <f t="shared" si="1787"/>
        <v>9.1761744966442987E-2</v>
      </c>
      <c r="CW944" s="592">
        <f t="shared" si="1788"/>
        <v>0.10650457400189824</v>
      </c>
      <c r="CX944" s="592">
        <f t="shared" si="1789"/>
        <v>0.26351209253417518</v>
      </c>
      <c r="CY944" s="592">
        <f t="shared" si="1790"/>
        <v>4.7756278303828746E-2</v>
      </c>
      <c r="CZ944" s="592">
        <f t="shared" si="1791"/>
        <v>7.3575474841719432E-2</v>
      </c>
      <c r="DA944" s="592">
        <f t="shared" si="1792"/>
        <v>0.11351891413096947</v>
      </c>
      <c r="DB944" s="592">
        <f t="shared" si="1793"/>
        <v>-5.4653854041543368E-2</v>
      </c>
      <c r="DC944" s="592">
        <f t="shared" si="1794"/>
        <v>0</v>
      </c>
      <c r="DD944" s="592">
        <f t="shared" si="1795"/>
        <v>0</v>
      </c>
      <c r="DE944" s="592">
        <f t="shared" si="1796"/>
        <v>0</v>
      </c>
      <c r="DF944" s="592">
        <f t="shared" si="1796"/>
        <v>0</v>
      </c>
      <c r="DG944" s="1850">
        <f t="shared" si="1796"/>
        <v>0</v>
      </c>
      <c r="DH944" s="595"/>
      <c r="DI944" s="595"/>
      <c r="DJ944" s="595"/>
      <c r="DK944" s="595"/>
      <c r="DL944" s="595"/>
      <c r="DM944" s="595"/>
      <c r="DN944" s="514"/>
      <c r="DO944" s="226"/>
      <c r="DY944" s="592"/>
      <c r="DZ944" s="592"/>
    </row>
    <row r="945" spans="1:130" ht="12" customHeight="1">
      <c r="A945" s="1561" t="s">
        <v>1243</v>
      </c>
      <c r="B945" s="1569"/>
      <c r="C945" s="1569"/>
      <c r="D945" s="1570">
        <f t="shared" ref="D945:AI945" si="1801">D942+D943</f>
        <v>13.366999999999997</v>
      </c>
      <c r="E945" s="1571">
        <f t="shared" si="1801"/>
        <v>24.663</v>
      </c>
      <c r="F945" s="1571">
        <f t="shared" si="1801"/>
        <v>35.864999999999995</v>
      </c>
      <c r="G945" s="1571">
        <f t="shared" si="1801"/>
        <v>59.753999999999991</v>
      </c>
      <c r="H945" s="1572">
        <f t="shared" si="1801"/>
        <v>133.64900000000006</v>
      </c>
      <c r="I945" s="1571">
        <f t="shared" si="1801"/>
        <v>37.933999999999983</v>
      </c>
      <c r="J945" s="1571">
        <f t="shared" si="1801"/>
        <v>36.412999999999997</v>
      </c>
      <c r="K945" s="1571">
        <f t="shared" si="1801"/>
        <v>55.998000000000005</v>
      </c>
      <c r="L945" s="1571">
        <f t="shared" si="1801"/>
        <v>41.002999999999986</v>
      </c>
      <c r="M945" s="1572">
        <f t="shared" si="1801"/>
        <v>171.34799999999993</v>
      </c>
      <c r="N945" s="1571">
        <f t="shared" si="1801"/>
        <v>44.710000000000015</v>
      </c>
      <c r="O945" s="1571">
        <f t="shared" si="1801"/>
        <v>34.798000000000016</v>
      </c>
      <c r="P945" s="1571">
        <f t="shared" si="1801"/>
        <v>45.10300000000003</v>
      </c>
      <c r="Q945" s="1571">
        <f t="shared" si="1801"/>
        <v>29.221999999999998</v>
      </c>
      <c r="R945" s="1572">
        <f t="shared" si="1801"/>
        <v>153.83300000000006</v>
      </c>
      <c r="S945" s="1571">
        <f t="shared" si="1801"/>
        <v>35.267999999999994</v>
      </c>
      <c r="T945" s="1571">
        <f t="shared" si="1801"/>
        <v>28.929999999999993</v>
      </c>
      <c r="U945" s="1571">
        <f t="shared" si="1801"/>
        <v>47.721999999999994</v>
      </c>
      <c r="V945" s="1571">
        <f t="shared" si="1801"/>
        <v>29.612000000000009</v>
      </c>
      <c r="W945" s="1572">
        <f t="shared" si="1801"/>
        <v>141.53199999999998</v>
      </c>
      <c r="X945" s="1571">
        <f t="shared" si="1801"/>
        <v>27.844000000000008</v>
      </c>
      <c r="Y945" s="1571">
        <f t="shared" si="1801"/>
        <v>16.007000000000016</v>
      </c>
      <c r="Z945" s="1571">
        <f t="shared" si="1801"/>
        <v>29.19899999999998</v>
      </c>
      <c r="AA945" s="1571">
        <f t="shared" si="1801"/>
        <v>10.239000000000019</v>
      </c>
      <c r="AB945" s="1572">
        <f t="shared" si="1801"/>
        <v>83.289000000000016</v>
      </c>
      <c r="AC945" s="1571">
        <f t="shared" si="1801"/>
        <v>16.458999999999989</v>
      </c>
      <c r="AD945" s="1571">
        <f t="shared" si="1801"/>
        <v>18.260999999999999</v>
      </c>
      <c r="AE945" s="1571">
        <f t="shared" si="1801"/>
        <v>62.618999999999993</v>
      </c>
      <c r="AF945" s="1571">
        <f t="shared" si="1801"/>
        <v>10.922999999999981</v>
      </c>
      <c r="AG945" s="1572">
        <f t="shared" si="1801"/>
        <v>108.26199999999996</v>
      </c>
      <c r="AH945" s="1571">
        <f t="shared" si="1801"/>
        <v>12.519999999999994</v>
      </c>
      <c r="AI945" s="1571">
        <f t="shared" si="1801"/>
        <v>17.287000000000006</v>
      </c>
      <c r="AJ945" s="1571">
        <f t="shared" ref="AJ945:BL945" si="1802">AJ942+AJ943</f>
        <v>18.542000000000019</v>
      </c>
      <c r="AK945" s="1571">
        <f t="shared" si="1802"/>
        <v>-4.1040000000000099</v>
      </c>
      <c r="AL945" s="1572">
        <f t="shared" si="1802"/>
        <v>44.245000000000005</v>
      </c>
      <c r="AM945" s="1571">
        <f t="shared" si="1802"/>
        <v>-8.813000000000013</v>
      </c>
      <c r="AN945" s="1571">
        <f t="shared" si="1802"/>
        <v>-0.23899999999998695</v>
      </c>
      <c r="AO945" s="1571">
        <f t="shared" si="1802"/>
        <v>12.338000000000001</v>
      </c>
      <c r="AP945" s="1571">
        <f t="shared" si="1802"/>
        <v>0.21599999999998731</v>
      </c>
      <c r="AQ945" s="1572">
        <f t="shared" si="1802"/>
        <v>3.5019999999999882</v>
      </c>
      <c r="AR945" s="1571">
        <f t="shared" si="1802"/>
        <v>2.6039999999999983</v>
      </c>
      <c r="AS945" s="1571">
        <f t="shared" si="1802"/>
        <v>-3.4709999999999996</v>
      </c>
      <c r="AT945" s="1571">
        <f t="shared" si="1802"/>
        <v>-2.0519999999999974</v>
      </c>
      <c r="AU945" s="1571">
        <f t="shared" si="1802"/>
        <v>-22.523999999999997</v>
      </c>
      <c r="AV945" s="1572">
        <f t="shared" si="1802"/>
        <v>-25.442999999999994</v>
      </c>
      <c r="AW945" s="1571">
        <f t="shared" si="1802"/>
        <v>-7.7989999999999995</v>
      </c>
      <c r="AX945" s="1571">
        <f t="shared" si="1802"/>
        <v>-12.735000000000001</v>
      </c>
      <c r="AY945" s="1571">
        <f t="shared" si="1802"/>
        <v>5.4319999999999951</v>
      </c>
      <c r="AZ945" s="1571">
        <f t="shared" si="1802"/>
        <v>-40.502000000000002</v>
      </c>
      <c r="BA945" s="1572">
        <f t="shared" si="1802"/>
        <v>-55.603999999999999</v>
      </c>
      <c r="BB945" s="1571">
        <f t="shared" si="1802"/>
        <v>-10.087</v>
      </c>
      <c r="BC945" s="1571">
        <f t="shared" si="1802"/>
        <v>9.3399999999999963</v>
      </c>
      <c r="BD945" s="1571">
        <f t="shared" si="1802"/>
        <v>23.552</v>
      </c>
      <c r="BE945" s="1571">
        <f t="shared" si="1802"/>
        <v>3.7381468749999969</v>
      </c>
      <c r="BF945" s="1572">
        <f t="shared" si="1802"/>
        <v>26.543146874999991</v>
      </c>
      <c r="BG945" s="1571">
        <f t="shared" si="1802"/>
        <v>8.0280000000000022</v>
      </c>
      <c r="BH945" s="1571">
        <f t="shared" si="1802"/>
        <v>11.953000000000001</v>
      </c>
      <c r="BI945" s="1571">
        <f t="shared" si="1802"/>
        <v>36.85</v>
      </c>
      <c r="BJ945" s="1571">
        <f t="shared" si="1802"/>
        <v>15.165999999999999</v>
      </c>
      <c r="BK945" s="1572">
        <f t="shared" si="1802"/>
        <v>71.997</v>
      </c>
      <c r="BL945" s="1571">
        <f t="shared" si="1802"/>
        <v>23.261000000000003</v>
      </c>
      <c r="BM945" s="1571">
        <f>BM942+BM943</f>
        <v>37.388000000000005</v>
      </c>
      <c r="BN945" s="1571">
        <f>BN942+BN943</f>
        <v>122.5108875414108</v>
      </c>
      <c r="BO945" s="1571"/>
      <c r="BP945" s="1572"/>
      <c r="BQ945" s="1571"/>
      <c r="BR945" s="1571"/>
      <c r="BS945" s="1571"/>
      <c r="BT945" s="1571"/>
      <c r="BU945" s="3423"/>
      <c r="BV945" s="1571"/>
      <c r="BW945" s="1571"/>
      <c r="BX945" s="1571"/>
      <c r="BY945" s="1571"/>
      <c r="BZ945" s="1572"/>
      <c r="CA945" s="1572"/>
      <c r="CB945" s="1572"/>
      <c r="CC945" s="1572">
        <f>CC942+CC943</f>
        <v>2.0480908170857433</v>
      </c>
      <c r="CD945" s="1572">
        <f>CD942+CD943</f>
        <v>1.5956862762314685</v>
      </c>
      <c r="CE945" s="1572">
        <f>CE942+CE943</f>
        <v>1.7676000017560867</v>
      </c>
      <c r="CF945" s="1572">
        <f>CF942+CF943</f>
        <v>1.9429520017912125</v>
      </c>
      <c r="CG945" s="1572">
        <f>CG942+CG943</f>
        <v>2.1218110418270371</v>
      </c>
      <c r="CH945" s="557"/>
      <c r="CI945" s="557"/>
      <c r="CJ945" s="557"/>
      <c r="CK945" s="557"/>
      <c r="CL945" s="557"/>
      <c r="CM945" s="557"/>
      <c r="CN945" s="557"/>
      <c r="CO945" s="557"/>
      <c r="CP945" s="1561" t="str">
        <f t="shared" si="1781"/>
        <v>Net Income</v>
      </c>
      <c r="CQ945" s="1571">
        <f t="shared" si="1782"/>
        <v>133.64900000000006</v>
      </c>
      <c r="CR945" s="1571">
        <f t="shared" si="1783"/>
        <v>171.34799999999993</v>
      </c>
      <c r="CS945" s="1571">
        <f t="shared" si="1784"/>
        <v>153.83300000000006</v>
      </c>
      <c r="CT945" s="1571">
        <f t="shared" si="1785"/>
        <v>141.53199999999998</v>
      </c>
      <c r="CU945" s="1571">
        <f t="shared" si="1786"/>
        <v>83.289000000000016</v>
      </c>
      <c r="CV945" s="1571">
        <f t="shared" si="1787"/>
        <v>108.26199999999996</v>
      </c>
      <c r="CW945" s="1571">
        <f t="shared" si="1788"/>
        <v>44.245000000000005</v>
      </c>
      <c r="CX945" s="1571">
        <f t="shared" si="1789"/>
        <v>3.5019999999999882</v>
      </c>
      <c r="CY945" s="1571">
        <f t="shared" si="1790"/>
        <v>-25.442999999999994</v>
      </c>
      <c r="CZ945" s="1571">
        <f t="shared" si="1791"/>
        <v>-55.603999999999999</v>
      </c>
      <c r="DA945" s="1571">
        <f t="shared" si="1792"/>
        <v>26.543146874999991</v>
      </c>
      <c r="DB945" s="1571">
        <f t="shared" si="1793"/>
        <v>71.997</v>
      </c>
      <c r="DC945" s="1571">
        <f t="shared" si="1794"/>
        <v>0</v>
      </c>
      <c r="DD945" s="1571">
        <f t="shared" si="1795"/>
        <v>0</v>
      </c>
      <c r="DE945" s="1571">
        <f t="shared" si="1796"/>
        <v>0</v>
      </c>
      <c r="DF945" s="1571">
        <f t="shared" si="1796"/>
        <v>0</v>
      </c>
      <c r="DG945" s="1904">
        <f t="shared" si="1796"/>
        <v>0</v>
      </c>
      <c r="DH945" s="558"/>
      <c r="DI945" s="1415"/>
      <c r="DJ945" s="614"/>
      <c r="DK945" s="614"/>
      <c r="DL945" s="614"/>
      <c r="DM945" s="614"/>
      <c r="DN945" s="559"/>
      <c r="DO945" s="269"/>
      <c r="DY945" s="557"/>
      <c r="DZ945" s="557"/>
    </row>
    <row r="946" spans="1:130" ht="12" customHeight="1">
      <c r="A946" s="257" t="s">
        <v>1249</v>
      </c>
      <c r="B946" s="228"/>
      <c r="C946" s="228"/>
      <c r="D946" s="693"/>
      <c r="E946" s="668"/>
      <c r="F946" s="839"/>
      <c r="G946" s="839"/>
      <c r="H946" s="840"/>
      <c r="I946" s="839">
        <f t="shared" ref="I946:N946" si="1803">+I945/D945-1</f>
        <v>1.8378843420363573</v>
      </c>
      <c r="J946" s="839">
        <f t="shared" si="1803"/>
        <v>0.47642217086323635</v>
      </c>
      <c r="K946" s="839">
        <f t="shared" si="1803"/>
        <v>0.5613550815558348</v>
      </c>
      <c r="L946" s="839">
        <f t="shared" si="1803"/>
        <v>-0.31380326003280123</v>
      </c>
      <c r="M946" s="841">
        <f t="shared" si="1803"/>
        <v>0.28207468817574277</v>
      </c>
      <c r="N946" s="839">
        <f t="shared" si="1803"/>
        <v>0.17862603469183402</v>
      </c>
      <c r="O946" s="839">
        <f t="shared" ref="O946:T946" si="1804">+O945/J945-1</f>
        <v>-4.4352291763929963E-2</v>
      </c>
      <c r="P946" s="839">
        <f t="shared" si="1804"/>
        <v>-0.1945605200185716</v>
      </c>
      <c r="Q946" s="839">
        <f t="shared" si="1804"/>
        <v>-0.2873204399678071</v>
      </c>
      <c r="R946" s="841">
        <f t="shared" si="1804"/>
        <v>-0.10221887620514902</v>
      </c>
      <c r="S946" s="839">
        <f t="shared" si="1804"/>
        <v>-0.21118318049653362</v>
      </c>
      <c r="T946" s="839">
        <f t="shared" si="1804"/>
        <v>-0.16863038105638317</v>
      </c>
      <c r="U946" s="839">
        <f t="shared" ref="U946:Z946" si="1805">+U945/P945-1</f>
        <v>5.8067090880871808E-2</v>
      </c>
      <c r="V946" s="839">
        <f t="shared" si="1805"/>
        <v>1.3346109095887071E-2</v>
      </c>
      <c r="W946" s="841">
        <f t="shared" si="1805"/>
        <v>-7.9963336865302437E-2</v>
      </c>
      <c r="X946" s="839">
        <f t="shared" si="1805"/>
        <v>-0.21050243847113492</v>
      </c>
      <c r="Y946" s="839">
        <f t="shared" si="1805"/>
        <v>-0.44669892844797721</v>
      </c>
      <c r="Z946" s="839">
        <f t="shared" si="1805"/>
        <v>-0.38814383303298305</v>
      </c>
      <c r="AA946" s="839">
        <f t="shared" ref="AA946:AG946" si="1806">+AA945/V945-1</f>
        <v>-0.65422801566932276</v>
      </c>
      <c r="AB946" s="841">
        <f t="shared" si="1806"/>
        <v>-0.41151824322414698</v>
      </c>
      <c r="AC946" s="839">
        <f t="shared" si="1806"/>
        <v>-0.40888521764114405</v>
      </c>
      <c r="AD946" s="839">
        <f t="shared" si="1806"/>
        <v>0.14081339414006266</v>
      </c>
      <c r="AE946" s="839">
        <f t="shared" si="1806"/>
        <v>1.1445597451967546</v>
      </c>
      <c r="AF946" s="839">
        <f t="shared" si="1806"/>
        <v>6.6803398769407218E-2</v>
      </c>
      <c r="AG946" s="841">
        <f t="shared" si="1806"/>
        <v>0.29983551249264528</v>
      </c>
      <c r="AH946" s="839">
        <f t="shared" ref="AH946:AQ946" si="1807">+AH945/AC945-1</f>
        <v>-0.23932195151588775</v>
      </c>
      <c r="AI946" s="839">
        <f t="shared" si="1807"/>
        <v>-5.3337714254421575E-2</v>
      </c>
      <c r="AJ946" s="839">
        <f t="shared" si="1807"/>
        <v>-0.70389179003177915</v>
      </c>
      <c r="AK946" s="839">
        <f t="shared" si="1807"/>
        <v>-1.3757209557813803</v>
      </c>
      <c r="AL946" s="841">
        <f t="shared" si="1807"/>
        <v>-0.59131551236814373</v>
      </c>
      <c r="AM946" s="839">
        <f t="shared" si="1807"/>
        <v>-1.7039137380191707</v>
      </c>
      <c r="AN946" s="839">
        <f t="shared" si="1807"/>
        <v>-1.0138254179441191</v>
      </c>
      <c r="AO946" s="839">
        <f t="shared" si="1807"/>
        <v>-0.33459173767662664</v>
      </c>
      <c r="AP946" s="839">
        <f t="shared" si="1807"/>
        <v>-1.0526315789473653</v>
      </c>
      <c r="AQ946" s="841">
        <f t="shared" si="1807"/>
        <v>-0.92084981353825324</v>
      </c>
      <c r="AR946" s="839">
        <f t="shared" ref="AR946:BF946" si="1808">+AR945/AM945-1</f>
        <v>-1.2954725972994434</v>
      </c>
      <c r="AS946" s="839">
        <f t="shared" si="1808"/>
        <v>13.523012552302047</v>
      </c>
      <c r="AT946" s="839">
        <f t="shared" si="1808"/>
        <v>-1.1663154482087856</v>
      </c>
      <c r="AU946" s="839">
        <f t="shared" si="1808"/>
        <v>-105.2777777777839</v>
      </c>
      <c r="AV946" s="841">
        <f t="shared" si="1808"/>
        <v>-8.2652769845802627</v>
      </c>
      <c r="AW946" s="839">
        <f t="shared" si="1808"/>
        <v>-3.9950076804915531</v>
      </c>
      <c r="AX946" s="839">
        <f t="shared" si="1808"/>
        <v>2.6689714779602429</v>
      </c>
      <c r="AY946" s="839">
        <f t="shared" si="1808"/>
        <v>-3.6471734892787535</v>
      </c>
      <c r="AZ946" s="839">
        <f t="shared" si="1808"/>
        <v>0.79817083999289684</v>
      </c>
      <c r="BA946" s="841">
        <f t="shared" si="1808"/>
        <v>1.1854341076130965</v>
      </c>
      <c r="BB946" s="839">
        <f t="shared" si="1808"/>
        <v>0.2933709449929478</v>
      </c>
      <c r="BC946" s="839">
        <f t="shared" si="1808"/>
        <v>-1.7334118570867685</v>
      </c>
      <c r="BD946" s="839">
        <f t="shared" si="1808"/>
        <v>3.3357879234167935</v>
      </c>
      <c r="BE946" s="839">
        <f t="shared" si="1808"/>
        <v>-1.0922953650437015</v>
      </c>
      <c r="BF946" s="841">
        <f t="shared" si="1808"/>
        <v>-1.4773603854938493</v>
      </c>
      <c r="BG946" s="2931">
        <f t="shared" ref="BG946:BN946" si="1809">+BG945/BB945-1</f>
        <v>-1.7958758798453456</v>
      </c>
      <c r="BH946" s="839">
        <f t="shared" si="1809"/>
        <v>0.27976445396145677</v>
      </c>
      <c r="BI946" s="839">
        <f t="shared" si="1809"/>
        <v>0.56462296195652173</v>
      </c>
      <c r="BJ946" s="1905">
        <f t="shared" si="1809"/>
        <v>3.0570904534081507</v>
      </c>
      <c r="BK946" s="841">
        <f t="shared" si="1809"/>
        <v>1.7124515544089958</v>
      </c>
      <c r="BL946" s="839">
        <f t="shared" si="1809"/>
        <v>1.8974838066766315</v>
      </c>
      <c r="BM946" s="839">
        <f t="shared" si="1809"/>
        <v>2.1279176775704847</v>
      </c>
      <c r="BN946" s="839">
        <f t="shared" si="1809"/>
        <v>2.3245831083150823</v>
      </c>
      <c r="BO946" s="1905"/>
      <c r="BP946" s="841"/>
      <c r="BQ946" s="839"/>
      <c r="BR946" s="839"/>
      <c r="BS946" s="839"/>
      <c r="BT946" s="1905"/>
      <c r="BU946" s="3424"/>
      <c r="BV946" s="839"/>
      <c r="BW946" s="839"/>
      <c r="BX946" s="839"/>
      <c r="BY946" s="1905"/>
      <c r="BZ946" s="841"/>
      <c r="CA946" s="841"/>
      <c r="CB946" s="841"/>
      <c r="CC946" s="841" t="e">
        <f>+CC945/CB945-1</f>
        <v>#DIV/0!</v>
      </c>
      <c r="CD946" s="841">
        <f>+CD945/CC945-1</f>
        <v>-0.22089085946784692</v>
      </c>
      <c r="CE946" s="841">
        <f>+CE945/CD945-1</f>
        <v>0.10773654451088377</v>
      </c>
      <c r="CF946" s="841">
        <f>+CF945/CE945-1</f>
        <v>9.9203439613552824E-2</v>
      </c>
      <c r="CG946" s="841">
        <f>+CG945/CF945-1</f>
        <v>9.2055305468654813E-2</v>
      </c>
      <c r="CH946" s="839"/>
      <c r="CI946" s="839"/>
      <c r="CJ946" s="839"/>
      <c r="CK946" s="839"/>
      <c r="CL946" s="839"/>
      <c r="CM946" s="839"/>
      <c r="CN946" s="839"/>
      <c r="CO946" s="839"/>
      <c r="CP946" s="396" t="str">
        <f t="shared" si="1781"/>
        <v>% Growth (y-o-y)</v>
      </c>
      <c r="CQ946" s="839"/>
      <c r="CR946" s="839">
        <f t="shared" si="1783"/>
        <v>0.28207468817574277</v>
      </c>
      <c r="CS946" s="839">
        <f t="shared" si="1784"/>
        <v>-0.10221887620514902</v>
      </c>
      <c r="CT946" s="839">
        <f t="shared" si="1785"/>
        <v>-7.9963336865302437E-2</v>
      </c>
      <c r="CU946" s="839">
        <f t="shared" si="1786"/>
        <v>-0.41151824322414698</v>
      </c>
      <c r="CV946" s="839">
        <f t="shared" si="1787"/>
        <v>0.29983551249264528</v>
      </c>
      <c r="CW946" s="839">
        <f t="shared" si="1788"/>
        <v>-0.59131551236814373</v>
      </c>
      <c r="CX946" s="839">
        <f t="shared" si="1789"/>
        <v>-0.92084981353825324</v>
      </c>
      <c r="CY946" s="839">
        <f t="shared" si="1790"/>
        <v>-8.2652769845802627</v>
      </c>
      <c r="CZ946" s="839">
        <f t="shared" si="1791"/>
        <v>1.1854341076130965</v>
      </c>
      <c r="DA946" s="839">
        <f t="shared" si="1792"/>
        <v>-1.4773603854938493</v>
      </c>
      <c r="DB946" s="839">
        <f t="shared" si="1793"/>
        <v>1.7124515544089958</v>
      </c>
      <c r="DC946" s="839">
        <f t="shared" si="1794"/>
        <v>0</v>
      </c>
      <c r="DD946" s="839">
        <f t="shared" si="1795"/>
        <v>0</v>
      </c>
      <c r="DE946" s="839">
        <f t="shared" si="1796"/>
        <v>0</v>
      </c>
      <c r="DF946" s="839">
        <f t="shared" si="1796"/>
        <v>0</v>
      </c>
      <c r="DG946" s="1905">
        <f t="shared" si="1796"/>
        <v>0</v>
      </c>
      <c r="DH946" s="781"/>
      <c r="DI946" s="595"/>
      <c r="DJ946" s="595"/>
      <c r="DK946" s="595"/>
      <c r="DL946" s="595"/>
      <c r="DM946" s="595"/>
      <c r="DN946" s="514"/>
      <c r="DO946" s="226"/>
      <c r="DY946" s="839"/>
      <c r="DZ946" s="839"/>
    </row>
    <row r="947" spans="1:130" ht="12" customHeight="1">
      <c r="A947" s="257"/>
      <c r="B947" s="228"/>
      <c r="C947" s="228"/>
      <c r="D947" s="693"/>
      <c r="E947" s="668"/>
      <c r="F947" s="839"/>
      <c r="G947" s="839"/>
      <c r="H947" s="840"/>
      <c r="I947" s="839"/>
      <c r="J947" s="839"/>
      <c r="K947" s="839"/>
      <c r="L947" s="839"/>
      <c r="M947" s="841"/>
      <c r="N947" s="839"/>
      <c r="O947" s="839"/>
      <c r="P947" s="839"/>
      <c r="Q947" s="839"/>
      <c r="R947" s="841"/>
      <c r="S947" s="839"/>
      <c r="T947" s="839"/>
      <c r="U947" s="839"/>
      <c r="V947" s="839"/>
      <c r="W947" s="841"/>
      <c r="X947" s="839"/>
      <c r="Y947" s="839"/>
      <c r="Z947" s="839"/>
      <c r="AA947" s="839"/>
      <c r="AB947" s="841"/>
      <c r="AC947" s="839"/>
      <c r="AD947" s="839"/>
      <c r="AE947" s="839"/>
      <c r="AF947" s="839"/>
      <c r="AG947" s="841"/>
      <c r="AH947" s="839"/>
      <c r="AI947" s="839"/>
      <c r="AJ947" s="839"/>
      <c r="AK947" s="839"/>
      <c r="AL947" s="841"/>
      <c r="AM947" s="839"/>
      <c r="AN947" s="839"/>
      <c r="AO947" s="839"/>
      <c r="AP947" s="839"/>
      <c r="AQ947" s="841"/>
      <c r="AR947" s="839"/>
      <c r="AS947" s="839"/>
      <c r="AT947" s="839"/>
      <c r="AU947" s="839"/>
      <c r="AV947" s="841"/>
      <c r="AW947" s="839"/>
      <c r="AX947" s="839"/>
      <c r="AY947" s="2458"/>
      <c r="AZ947" s="839"/>
      <c r="BA947" s="841"/>
      <c r="BB947" s="3065"/>
      <c r="BC947" s="3065"/>
      <c r="BD947" s="3065"/>
      <c r="BE947" s="839"/>
      <c r="BF947" s="841"/>
      <c r="BG947" s="2931"/>
      <c r="BH947" s="839"/>
      <c r="BI947" s="839"/>
      <c r="BJ947" s="1905"/>
      <c r="BK947" s="841"/>
      <c r="BL947" s="839"/>
      <c r="BM947" s="839"/>
      <c r="BN947" s="839"/>
      <c r="BO947" s="1905"/>
      <c r="BP947" s="841"/>
      <c r="BQ947" s="839"/>
      <c r="BR947" s="839"/>
      <c r="BS947" s="839"/>
      <c r="BT947" s="1905"/>
      <c r="BU947" s="3424"/>
      <c r="BV947" s="839"/>
      <c r="BW947" s="839"/>
      <c r="BX947" s="839"/>
      <c r="BY947" s="1905"/>
      <c r="BZ947" s="841"/>
      <c r="CA947" s="841"/>
      <c r="CB947" s="841"/>
      <c r="CC947" s="841"/>
      <c r="CD947" s="841"/>
      <c r="CE947" s="841"/>
      <c r="CF947" s="841"/>
      <c r="CG947" s="841"/>
      <c r="CH947" s="839"/>
      <c r="CI947" s="839"/>
      <c r="CJ947" s="839"/>
      <c r="CK947" s="839"/>
      <c r="CL947" s="839"/>
      <c r="CM947" s="839"/>
      <c r="CN947" s="839"/>
      <c r="CO947" s="839"/>
      <c r="CP947" s="396"/>
      <c r="CQ947" s="839"/>
      <c r="CR947" s="839"/>
      <c r="CS947" s="839"/>
      <c r="CT947" s="839"/>
      <c r="CU947" s="839"/>
      <c r="CV947" s="839"/>
      <c r="CW947" s="839"/>
      <c r="CX947" s="839"/>
      <c r="CY947" s="839"/>
      <c r="CZ947" s="839"/>
      <c r="DA947" s="839"/>
      <c r="DB947" s="839"/>
      <c r="DC947" s="839"/>
      <c r="DD947" s="839"/>
      <c r="DE947" s="839"/>
      <c r="DF947" s="839"/>
      <c r="DG947" s="1905"/>
      <c r="DH947" s="781"/>
      <c r="DI947" s="595"/>
      <c r="DJ947" s="595"/>
      <c r="DK947" s="595"/>
      <c r="DL947" s="595"/>
      <c r="DM947" s="595"/>
      <c r="DN947" s="514"/>
      <c r="DO947" s="226"/>
      <c r="DY947" s="839"/>
      <c r="DZ947" s="839"/>
    </row>
    <row r="948" spans="1:130" ht="12" customHeight="1">
      <c r="A948" s="3060" t="s">
        <v>289</v>
      </c>
      <c r="B948" s="228"/>
      <c r="C948" s="228"/>
      <c r="D948" s="693"/>
      <c r="E948" s="668"/>
      <c r="F948" s="839"/>
      <c r="G948" s="839"/>
      <c r="H948" s="840"/>
      <c r="I948" s="839"/>
      <c r="J948" s="839"/>
      <c r="K948" s="839"/>
      <c r="L948" s="839"/>
      <c r="M948" s="841"/>
      <c r="N948" s="839"/>
      <c r="O948" s="839"/>
      <c r="P948" s="839"/>
      <c r="Q948" s="839"/>
      <c r="R948" s="841"/>
      <c r="S948" s="839"/>
      <c r="T948" s="839"/>
      <c r="U948" s="839"/>
      <c r="V948" s="839"/>
      <c r="W948" s="841"/>
      <c r="X948" s="839"/>
      <c r="Y948" s="839"/>
      <c r="Z948" s="839"/>
      <c r="AA948" s="839"/>
      <c r="AB948" s="841"/>
      <c r="AC948" s="839"/>
      <c r="AD948" s="839"/>
      <c r="AE948" s="839"/>
      <c r="AF948" s="839"/>
      <c r="AG948" s="841"/>
      <c r="AH948" s="839"/>
      <c r="AI948" s="839"/>
      <c r="AJ948" s="839"/>
      <c r="AK948" s="839"/>
      <c r="AL948" s="841"/>
      <c r="AM948" s="839"/>
      <c r="AN948" s="839"/>
      <c r="AO948" s="839"/>
      <c r="AP948" s="839"/>
      <c r="AQ948" s="841"/>
      <c r="AR948" s="839"/>
      <c r="AS948" s="839"/>
      <c r="AT948" s="839"/>
      <c r="AU948" s="839"/>
      <c r="AV948" s="841"/>
      <c r="AW948" s="3065"/>
      <c r="AX948" s="3065"/>
      <c r="AY948" s="3065"/>
      <c r="AZ948" s="3065"/>
      <c r="BA948" s="841"/>
      <c r="BB948" s="839"/>
      <c r="BC948" s="839"/>
      <c r="BD948" s="839"/>
      <c r="BE948" s="839"/>
      <c r="BF948" s="841"/>
      <c r="BG948" s="2931"/>
      <c r="BH948" s="839"/>
      <c r="BI948" s="839"/>
      <c r="BJ948" s="1905"/>
      <c r="BK948" s="1905"/>
      <c r="BL948" s="3254"/>
      <c r="BM948" s="839"/>
      <c r="BN948" s="839"/>
      <c r="BO948" s="1905"/>
      <c r="BP948" s="1905"/>
      <c r="BQ948" s="839"/>
      <c r="BR948" s="839"/>
      <c r="BS948" s="839"/>
      <c r="BT948" s="1905"/>
      <c r="BU948" s="3425"/>
      <c r="BV948" s="839"/>
      <c r="BW948" s="839"/>
      <c r="BX948" s="839"/>
      <c r="BY948" s="1905"/>
      <c r="BZ948" s="1905"/>
      <c r="CA948" s="1905"/>
      <c r="CB948" s="1905"/>
      <c r="CC948" s="1905"/>
      <c r="CD948" s="1905"/>
      <c r="CE948" s="1905"/>
      <c r="CF948" s="1905"/>
      <c r="CG948" s="1905"/>
      <c r="CH948" s="839"/>
      <c r="CI948" s="839"/>
      <c r="CJ948" s="839"/>
      <c r="CK948" s="839"/>
      <c r="CL948" s="839"/>
      <c r="CM948" s="839"/>
      <c r="CN948" s="839"/>
      <c r="CO948" s="839"/>
      <c r="CP948" s="396"/>
      <c r="CQ948" s="839"/>
      <c r="CR948" s="839"/>
      <c r="CS948" s="839"/>
      <c r="CT948" s="839"/>
      <c r="CU948" s="839"/>
      <c r="CV948" s="839"/>
      <c r="CW948" s="839"/>
      <c r="CX948" s="839"/>
      <c r="CY948" s="839"/>
      <c r="CZ948" s="839"/>
      <c r="DA948" s="839"/>
      <c r="DB948" s="839"/>
      <c r="DC948" s="839"/>
      <c r="DD948" s="839"/>
      <c r="DE948" s="839"/>
      <c r="DF948" s="839"/>
      <c r="DG948" s="1905"/>
      <c r="DH948" s="781"/>
      <c r="DI948" s="595"/>
      <c r="DJ948" s="595"/>
      <c r="DK948" s="595"/>
      <c r="DL948" s="595"/>
      <c r="DM948" s="595"/>
      <c r="DN948" s="514"/>
      <c r="DO948" s="226"/>
      <c r="DY948" s="839"/>
      <c r="DZ948" s="839"/>
    </row>
    <row r="949" spans="1:130" ht="12" customHeight="1">
      <c r="A949" s="2688" t="s">
        <v>292</v>
      </c>
      <c r="B949" s="228"/>
      <c r="C949" s="228"/>
      <c r="D949" s="582"/>
      <c r="E949" s="621"/>
      <c r="F949" s="621"/>
      <c r="G949" s="621"/>
      <c r="H949" s="585"/>
      <c r="I949" s="582"/>
      <c r="J949" s="621"/>
      <c r="K949" s="621"/>
      <c r="L949" s="621"/>
      <c r="M949" s="585"/>
      <c r="N949" s="582"/>
      <c r="O949" s="621"/>
      <c r="P949" s="621"/>
      <c r="Q949" s="621"/>
      <c r="R949" s="585"/>
      <c r="S949" s="582"/>
      <c r="T949" s="621"/>
      <c r="U949" s="621"/>
      <c r="V949" s="621"/>
      <c r="W949" s="585"/>
      <c r="X949" s="582"/>
      <c r="Y949" s="621"/>
      <c r="Z949" s="621"/>
      <c r="AA949" s="621"/>
      <c r="AB949" s="585"/>
      <c r="AC949" s="582"/>
      <c r="AD949" s="621"/>
      <c r="AE949" s="621"/>
      <c r="AF949" s="621"/>
      <c r="AG949" s="585"/>
      <c r="AH949" s="582"/>
      <c r="AI949" s="621"/>
      <c r="AJ949" s="621"/>
      <c r="AK949" s="621"/>
      <c r="AL949" s="585"/>
      <c r="AM949" s="582"/>
      <c r="AN949" s="621"/>
      <c r="AO949" s="621"/>
      <c r="AP949" s="621"/>
      <c r="AQ949" s="585"/>
      <c r="AR949" s="582"/>
      <c r="AS949" s="621"/>
      <c r="AT949" s="621"/>
      <c r="AU949" s="621"/>
      <c r="AV949" s="585"/>
      <c r="AW949" s="582">
        <f>+AW927*0.5</f>
        <v>14.202500000000001</v>
      </c>
      <c r="AX949" s="621">
        <f>+AX927*0.5</f>
        <v>13.923500000000001</v>
      </c>
      <c r="AY949" s="621">
        <f>+AY927*0.5</f>
        <v>23.295999999999999</v>
      </c>
      <c r="AZ949" s="621">
        <f>+AZ927*0.5</f>
        <v>8.1965000000000003</v>
      </c>
      <c r="BA949" s="585">
        <f>SUM(AW949:AZ949)</f>
        <v>59.618499999999997</v>
      </c>
      <c r="BB949" s="621">
        <f>+(BB927*0.5)-BB950</f>
        <v>11.823</v>
      </c>
      <c r="BC949" s="621">
        <f>+(BC927*0.5)-BC950</f>
        <v>22.198999999999998</v>
      </c>
      <c r="BD949" s="621">
        <f>+(BD927*0.5)-BD950</f>
        <v>28.336499999999997</v>
      </c>
      <c r="BE949" s="621">
        <f>+(BE927*0.5)-BE950</f>
        <v>17.119</v>
      </c>
      <c r="BF949" s="585">
        <f>SUM(BB949:BE949)</f>
        <v>79.477499999999992</v>
      </c>
      <c r="BG949" s="621">
        <f>+(BG927*0.5)-BG950</f>
        <v>18.362500000000001</v>
      </c>
      <c r="BH949" s="621">
        <f>+(BH927*0.5)-BH950</f>
        <v>21.4635</v>
      </c>
      <c r="BI949" s="621">
        <f>+(BI927*0.5)-BI950</f>
        <v>36.286999999999999</v>
      </c>
      <c r="BJ949" s="621">
        <f>+(BJ927*0.5)-BJ950</f>
        <v>22.129384439999999</v>
      </c>
      <c r="BK949" s="585">
        <f>SUM(BG949:BJ949)</f>
        <v>98.242384439999995</v>
      </c>
      <c r="BL949" s="621">
        <f>+(BL927*0.5)-BL950</f>
        <v>21.994192720000001</v>
      </c>
      <c r="BM949" s="621">
        <f>+(BM927*0.5)-BM950</f>
        <v>29.722040988425</v>
      </c>
      <c r="BN949" s="621">
        <f>+(BN927*0.5)-BN950</f>
        <v>71.579258477481005</v>
      </c>
      <c r="BO949" s="621"/>
      <c r="BP949" s="585"/>
      <c r="BQ949" s="621"/>
      <c r="BR949" s="621"/>
      <c r="BS949" s="621"/>
      <c r="BT949" s="621"/>
      <c r="BU949" s="3356"/>
      <c r="BV949" s="621"/>
      <c r="BW949" s="621"/>
      <c r="BX949" s="621"/>
      <c r="BY949" s="621"/>
      <c r="BZ949" s="585"/>
      <c r="CA949" s="585"/>
      <c r="CB949" s="585"/>
      <c r="CC949" s="585">
        <f>+(CC927*0.5)-CC950</f>
        <v>-2.1289625451966483</v>
      </c>
      <c r="CD949" s="585">
        <f>+(CD927*0.5)-CD950</f>
        <v>-2.0225144179368097</v>
      </c>
      <c r="CE949" s="585">
        <f>+(CE927*0.5)-CE950</f>
        <v>-2.062964706295551</v>
      </c>
      <c r="CF949" s="585">
        <f>+(CF927*0.5)-CF950</f>
        <v>-2.1042240004214605</v>
      </c>
      <c r="CG949" s="585">
        <f>+(CG927*0.5)-CG950</f>
        <v>-2.14630848042989</v>
      </c>
      <c r="CH949" s="570"/>
      <c r="CI949" s="570"/>
      <c r="CJ949" s="570"/>
      <c r="CK949" s="570"/>
      <c r="CL949" s="570"/>
      <c r="CM949" s="570"/>
      <c r="CN949" s="570"/>
      <c r="CO949" s="570"/>
      <c r="CP949" s="90"/>
      <c r="CQ949" s="621"/>
      <c r="CR949" s="621"/>
      <c r="CS949" s="621"/>
      <c r="CT949" s="621"/>
      <c r="CU949" s="621"/>
      <c r="CV949" s="621"/>
      <c r="CW949" s="621"/>
      <c r="CX949" s="621"/>
      <c r="CY949" s="621"/>
      <c r="CZ949" s="621"/>
      <c r="DA949" s="621"/>
      <c r="DB949" s="621"/>
      <c r="DC949" s="621"/>
      <c r="DD949" s="621"/>
      <c r="DE949" s="621"/>
      <c r="DF949" s="621"/>
      <c r="DG949" s="842"/>
      <c r="DH949" s="595"/>
      <c r="DI949" s="595"/>
      <c r="DJ949" s="595"/>
      <c r="DK949" s="595"/>
      <c r="DL949" s="595"/>
      <c r="DM949" s="595"/>
      <c r="DN949" s="514"/>
      <c r="DO949" s="226"/>
      <c r="DY949" s="621"/>
      <c r="DZ949" s="621"/>
    </row>
    <row r="950" spans="1:130" ht="12" customHeight="1">
      <c r="A950" s="2688" t="s">
        <v>293</v>
      </c>
      <c r="B950" s="228"/>
      <c r="C950" s="228"/>
      <c r="D950" s="582"/>
      <c r="E950" s="621"/>
      <c r="F950" s="621"/>
      <c r="G950" s="621"/>
      <c r="H950" s="585"/>
      <c r="I950" s="582"/>
      <c r="J950" s="621"/>
      <c r="K950" s="621"/>
      <c r="L950" s="621"/>
      <c r="M950" s="585"/>
      <c r="N950" s="582"/>
      <c r="O950" s="621"/>
      <c r="P950" s="621"/>
      <c r="Q950" s="621"/>
      <c r="R950" s="585"/>
      <c r="S950" s="582"/>
      <c r="T950" s="621"/>
      <c r="U950" s="621"/>
      <c r="V950" s="621"/>
      <c r="W950" s="585"/>
      <c r="X950" s="582"/>
      <c r="Y950" s="621"/>
      <c r="Z950" s="621"/>
      <c r="AA950" s="621"/>
      <c r="AB950" s="585"/>
      <c r="AC950" s="582"/>
      <c r="AD950" s="621"/>
      <c r="AE950" s="621"/>
      <c r="AF950" s="621"/>
      <c r="AG950" s="585"/>
      <c r="AH950" s="582"/>
      <c r="AI950" s="621"/>
      <c r="AJ950" s="621"/>
      <c r="AK950" s="621"/>
      <c r="AL950" s="585"/>
      <c r="AM950" s="582"/>
      <c r="AN950" s="621"/>
      <c r="AO950" s="621"/>
      <c r="AP950" s="621"/>
      <c r="AQ950" s="585"/>
      <c r="AR950" s="582"/>
      <c r="AS950" s="621"/>
      <c r="AT950" s="621"/>
      <c r="AU950" s="621"/>
      <c r="AV950" s="585"/>
      <c r="AW950" s="3061">
        <v>0</v>
      </c>
      <c r="AX950" s="3062">
        <v>0</v>
      </c>
      <c r="AY950" s="3062">
        <v>0</v>
      </c>
      <c r="AZ950" s="3062">
        <v>0</v>
      </c>
      <c r="BA950" s="585">
        <f>SUM(AW950:AZ950)</f>
        <v>0</v>
      </c>
      <c r="BB950" s="621">
        <f>+BB932*0.5</f>
        <v>-1.6</v>
      </c>
      <c r="BC950" s="621">
        <f>+BC932*0.5</f>
        <v>-0.9</v>
      </c>
      <c r="BD950" s="621">
        <f>+BD932*0.5</f>
        <v>0.1</v>
      </c>
      <c r="BE950" s="621">
        <f>+BE932*0.5</f>
        <v>0.9</v>
      </c>
      <c r="BF950" s="585">
        <f>SUM(BB950:BE950)</f>
        <v>-1.5</v>
      </c>
      <c r="BG950" s="621">
        <f>+BG932*0.5</f>
        <v>0.55000000000000004</v>
      </c>
      <c r="BH950" s="621">
        <f>+BH932*0.5</f>
        <v>0.8</v>
      </c>
      <c r="BI950" s="621">
        <f>+BI932*0.5</f>
        <v>1.7</v>
      </c>
      <c r="BJ950" s="621">
        <f>+BJ932*0.5</f>
        <v>0.80261556000000012</v>
      </c>
      <c r="BK950" s="585">
        <f>SUM(BG950:BJ950)</f>
        <v>3.8526155599999998</v>
      </c>
      <c r="BL950" s="621">
        <f>+BL932*0.5</f>
        <v>0.67330728000000006</v>
      </c>
      <c r="BM950" s="621">
        <f>+BM932*0.5</f>
        <v>0.65945901157499998</v>
      </c>
      <c r="BN950" s="621">
        <f>+BN932*0.5</f>
        <v>0.21981967052499998</v>
      </c>
      <c r="BO950" s="621"/>
      <c r="BP950" s="585"/>
      <c r="BQ950" s="621"/>
      <c r="BR950" s="621"/>
      <c r="BS950" s="621"/>
      <c r="BT950" s="621"/>
      <c r="BU950" s="3356"/>
      <c r="BV950" s="621"/>
      <c r="BW950" s="621"/>
      <c r="BX950" s="621"/>
      <c r="BY950" s="621"/>
      <c r="BZ950" s="585"/>
      <c r="CA950" s="585"/>
      <c r="CB950" s="585"/>
      <c r="CC950" s="585">
        <f>+CC932*0.5</f>
        <v>6.6530079537395199</v>
      </c>
      <c r="CD950" s="585">
        <f>+CD932*0.5</f>
        <v>6.320357556052544</v>
      </c>
      <c r="CE950" s="585">
        <f>+CE932*0.5</f>
        <v>6.4467647071735943</v>
      </c>
      <c r="CF950" s="585">
        <f>+CF932*0.5</f>
        <v>6.5757000013170668</v>
      </c>
      <c r="CG950" s="585">
        <f>+CG932*0.5</f>
        <v>6.7072140013434085</v>
      </c>
      <c r="CH950" s="570"/>
      <c r="CI950" s="570"/>
      <c r="CJ950" s="570"/>
      <c r="CK950" s="570"/>
      <c r="CL950" s="570"/>
      <c r="CM950" s="570"/>
      <c r="CN950" s="570"/>
      <c r="CO950" s="570"/>
      <c r="CP950" s="90"/>
      <c r="CQ950" s="621"/>
      <c r="CR950" s="621"/>
      <c r="CS950" s="621"/>
      <c r="CT950" s="621"/>
      <c r="CU950" s="621"/>
      <c r="CV950" s="621"/>
      <c r="CW950" s="621"/>
      <c r="CX950" s="621"/>
      <c r="CY950" s="621"/>
      <c r="CZ950" s="621"/>
      <c r="DA950" s="621"/>
      <c r="DB950" s="621"/>
      <c r="DC950" s="621"/>
      <c r="DD950" s="621"/>
      <c r="DE950" s="621"/>
      <c r="DF950" s="621"/>
      <c r="DG950" s="842"/>
      <c r="DH950" s="595"/>
      <c r="DI950" s="595"/>
      <c r="DJ950" s="595"/>
      <c r="DK950" s="595"/>
      <c r="DL950" s="595"/>
      <c r="DM950" s="595"/>
      <c r="DN950" s="514"/>
      <c r="DO950" s="226"/>
      <c r="DY950" s="621"/>
      <c r="DZ950" s="621"/>
    </row>
    <row r="951" spans="1:130" ht="3.95" customHeight="1">
      <c r="A951" s="2688"/>
      <c r="B951" s="228"/>
      <c r="C951" s="228"/>
      <c r="D951" s="582"/>
      <c r="E951" s="621"/>
      <c r="F951" s="621"/>
      <c r="G951" s="621"/>
      <c r="H951" s="585"/>
      <c r="I951" s="582"/>
      <c r="J951" s="621"/>
      <c r="K951" s="621"/>
      <c r="L951" s="621"/>
      <c r="M951" s="585"/>
      <c r="N951" s="582"/>
      <c r="O951" s="621"/>
      <c r="P951" s="621"/>
      <c r="Q951" s="621"/>
      <c r="R951" s="585"/>
      <c r="S951" s="582"/>
      <c r="T951" s="621"/>
      <c r="U951" s="621"/>
      <c r="V951" s="621"/>
      <c r="W951" s="585"/>
      <c r="X951" s="582"/>
      <c r="Y951" s="621"/>
      <c r="Z951" s="621"/>
      <c r="AA951" s="621"/>
      <c r="AB951" s="585"/>
      <c r="AC951" s="582"/>
      <c r="AD951" s="621"/>
      <c r="AE951" s="621"/>
      <c r="AF951" s="621"/>
      <c r="AG951" s="585"/>
      <c r="AH951" s="582"/>
      <c r="AI951" s="621"/>
      <c r="AJ951" s="621"/>
      <c r="AK951" s="621"/>
      <c r="AL951" s="585"/>
      <c r="AM951" s="582"/>
      <c r="AN951" s="621"/>
      <c r="AO951" s="621"/>
      <c r="AP951" s="621"/>
      <c r="AQ951" s="585"/>
      <c r="AR951" s="582"/>
      <c r="AS951" s="621"/>
      <c r="AT951" s="621"/>
      <c r="AU951" s="621"/>
      <c r="AV951" s="585"/>
      <c r="AW951" s="2717" t="s">
        <v>1438</v>
      </c>
      <c r="AX951" s="2717" t="s">
        <v>1438</v>
      </c>
      <c r="AY951" s="2717" t="s">
        <v>1438</v>
      </c>
      <c r="AZ951" s="2717" t="s">
        <v>1438</v>
      </c>
      <c r="BA951" s="307" t="s">
        <v>1438</v>
      </c>
      <c r="BB951" s="2717" t="s">
        <v>1438</v>
      </c>
      <c r="BC951" s="2717" t="s">
        <v>1438</v>
      </c>
      <c r="BD951" s="2717" t="s">
        <v>1438</v>
      </c>
      <c r="BE951" s="2717" t="s">
        <v>1438</v>
      </c>
      <c r="BF951" s="307" t="s">
        <v>1438</v>
      </c>
      <c r="BG951" s="2717" t="s">
        <v>1438</v>
      </c>
      <c r="BH951" s="2717" t="s">
        <v>1438</v>
      </c>
      <c r="BI951" s="2717" t="s">
        <v>1438</v>
      </c>
      <c r="BJ951" s="2717" t="s">
        <v>1438</v>
      </c>
      <c r="BK951" s="307" t="s">
        <v>1438</v>
      </c>
      <c r="BL951" s="2717" t="s">
        <v>1438</v>
      </c>
      <c r="BM951" s="2717" t="s">
        <v>1438</v>
      </c>
      <c r="BN951" s="2717" t="s">
        <v>1438</v>
      </c>
      <c r="BO951" s="2717"/>
      <c r="BP951" s="307"/>
      <c r="BQ951" s="2717"/>
      <c r="BR951" s="2717"/>
      <c r="BS951" s="2717"/>
      <c r="BT951" s="2717"/>
      <c r="BU951" s="3399"/>
      <c r="BV951" s="2717"/>
      <c r="BW951" s="2717"/>
      <c r="BX951" s="2717"/>
      <c r="BY951" s="2717"/>
      <c r="BZ951" s="307"/>
      <c r="CA951" s="307"/>
      <c r="CB951" s="307"/>
      <c r="CC951" s="307" t="s">
        <v>1438</v>
      </c>
      <c r="CD951" s="307" t="s">
        <v>1438</v>
      </c>
      <c r="CE951" s="307" t="s">
        <v>1438</v>
      </c>
      <c r="CF951" s="307" t="s">
        <v>1438</v>
      </c>
      <c r="CG951" s="307" t="s">
        <v>1438</v>
      </c>
      <c r="CH951" s="570"/>
      <c r="CI951" s="570"/>
      <c r="CJ951" s="570"/>
      <c r="CK951" s="570"/>
      <c r="CL951" s="570"/>
      <c r="CM951" s="570"/>
      <c r="CN951" s="570"/>
      <c r="CO951" s="570"/>
      <c r="CP951" s="90"/>
      <c r="CQ951" s="621"/>
      <c r="CR951" s="621"/>
      <c r="CS951" s="621"/>
      <c r="CT951" s="621"/>
      <c r="CU951" s="621"/>
      <c r="CV951" s="621"/>
      <c r="CW951" s="621"/>
      <c r="CX951" s="621"/>
      <c r="CY951" s="621"/>
      <c r="CZ951" s="621"/>
      <c r="DA951" s="621"/>
      <c r="DB951" s="621"/>
      <c r="DC951" s="621"/>
      <c r="DD951" s="621"/>
      <c r="DE951" s="621"/>
      <c r="DF951" s="621"/>
      <c r="DG951" s="842"/>
      <c r="DH951" s="595"/>
      <c r="DI951" s="595"/>
      <c r="DJ951" s="595"/>
      <c r="DK951" s="595"/>
      <c r="DL951" s="595"/>
      <c r="DM951" s="595"/>
      <c r="DN951" s="514"/>
      <c r="DO951" s="226"/>
      <c r="DY951" s="308"/>
      <c r="DZ951" s="308"/>
    </row>
    <row r="952" spans="1:130" ht="12" customHeight="1">
      <c r="A952" s="2688" t="s">
        <v>294</v>
      </c>
      <c r="B952" s="228"/>
      <c r="C952" s="228"/>
      <c r="D952" s="582"/>
      <c r="E952" s="621"/>
      <c r="F952" s="621"/>
      <c r="G952" s="621"/>
      <c r="H952" s="585"/>
      <c r="I952" s="582"/>
      <c r="J952" s="621"/>
      <c r="K952" s="621"/>
      <c r="L952" s="621"/>
      <c r="M952" s="585"/>
      <c r="N952" s="582"/>
      <c r="O952" s="621"/>
      <c r="P952" s="621"/>
      <c r="Q952" s="621"/>
      <c r="R952" s="585"/>
      <c r="S952" s="582"/>
      <c r="T952" s="621"/>
      <c r="U952" s="621"/>
      <c r="V952" s="621"/>
      <c r="W952" s="585"/>
      <c r="X952" s="582"/>
      <c r="Y952" s="621"/>
      <c r="Z952" s="621"/>
      <c r="AA952" s="621"/>
      <c r="AB952" s="585"/>
      <c r="AC952" s="582"/>
      <c r="AD952" s="621"/>
      <c r="AE952" s="621"/>
      <c r="AF952" s="621"/>
      <c r="AG952" s="585"/>
      <c r="AH952" s="582"/>
      <c r="AI952" s="621"/>
      <c r="AJ952" s="621"/>
      <c r="AK952" s="621"/>
      <c r="AL952" s="585"/>
      <c r="AM952" s="582"/>
      <c r="AN952" s="621"/>
      <c r="AO952" s="621"/>
      <c r="AP952" s="621"/>
      <c r="AQ952" s="585"/>
      <c r="AR952" s="582"/>
      <c r="AS952" s="621"/>
      <c r="AT952" s="621"/>
      <c r="AU952" s="621"/>
      <c r="AV952" s="585"/>
      <c r="AW952" s="3063">
        <f>SUM(AW949:AW950)</f>
        <v>14.202500000000001</v>
      </c>
      <c r="AX952" s="3064">
        <f>SUM(AX949:AX950)</f>
        <v>13.923500000000001</v>
      </c>
      <c r="AY952" s="3064">
        <f>SUM(AY949:AY950)</f>
        <v>23.295999999999999</v>
      </c>
      <c r="AZ952" s="3064">
        <f>SUM(AZ949:AZ950)</f>
        <v>8.1965000000000003</v>
      </c>
      <c r="BA952" s="585">
        <f>SUM(AW952:AZ952)</f>
        <v>59.618499999999997</v>
      </c>
      <c r="BB952" s="3063">
        <f>SUM(BB949:BB950)</f>
        <v>10.223000000000001</v>
      </c>
      <c r="BC952" s="3064">
        <f>SUM(BC949:BC950)</f>
        <v>21.298999999999999</v>
      </c>
      <c r="BD952" s="3064">
        <f>SUM(BD949:BD950)</f>
        <v>28.436499999999999</v>
      </c>
      <c r="BE952" s="3064">
        <f>SUM(BE949:BE950)</f>
        <v>18.018999999999998</v>
      </c>
      <c r="BF952" s="585">
        <f>SUM(BB952:BE952)</f>
        <v>77.977499999999992</v>
      </c>
      <c r="BG952" s="582">
        <f>SUM(BG949:BG950)</f>
        <v>18.912500000000001</v>
      </c>
      <c r="BH952" s="621">
        <f>SUM(BH949:BH950)</f>
        <v>22.263500000000001</v>
      </c>
      <c r="BI952" s="621">
        <f>SUM(BI949:BI950)</f>
        <v>37.987000000000002</v>
      </c>
      <c r="BJ952" s="842">
        <f>SUM(BJ949:BJ950)</f>
        <v>22.931999999999999</v>
      </c>
      <c r="BK952" s="585">
        <f>SUM(BG952:BJ952)</f>
        <v>102.09500000000001</v>
      </c>
      <c r="BL952" s="621">
        <f>SUM(BL949:BL950)</f>
        <v>22.6675</v>
      </c>
      <c r="BM952" s="621">
        <f>SUM(BM949:BM950)</f>
        <v>30.381499999999999</v>
      </c>
      <c r="BN952" s="621">
        <f>SUM(BN949:BN950)</f>
        <v>71.799078148006004</v>
      </c>
      <c r="BO952" s="842"/>
      <c r="BP952" s="585"/>
      <c r="BQ952" s="621"/>
      <c r="BR952" s="621"/>
      <c r="BS952" s="621"/>
      <c r="BT952" s="842"/>
      <c r="BU952" s="3356"/>
      <c r="BV952" s="621"/>
      <c r="BW952" s="621"/>
      <c r="BX952" s="621"/>
      <c r="BY952" s="842"/>
      <c r="BZ952" s="585"/>
      <c r="CA952" s="585"/>
      <c r="CB952" s="585"/>
      <c r="CC952" s="585">
        <f>SUM(CC949:CC950)</f>
        <v>4.5240454085428716</v>
      </c>
      <c r="CD952" s="585">
        <f>SUM(CD949:CD950)</f>
        <v>4.2978431381157343</v>
      </c>
      <c r="CE952" s="585">
        <f>SUM(CE949:CE950)</f>
        <v>4.3838000008780433</v>
      </c>
      <c r="CF952" s="585">
        <f>SUM(CF949:CF950)</f>
        <v>4.4714760008956063</v>
      </c>
      <c r="CG952" s="585">
        <f>SUM(CG949:CG950)</f>
        <v>4.5609055209135185</v>
      </c>
      <c r="CH952" s="570"/>
      <c r="CI952" s="570"/>
      <c r="CJ952" s="570"/>
      <c r="CK952" s="570"/>
      <c r="CL952" s="570"/>
      <c r="CM952" s="570"/>
      <c r="CN952" s="570"/>
      <c r="CO952" s="570"/>
      <c r="CP952" s="90"/>
      <c r="CQ952" s="621"/>
      <c r="CR952" s="621"/>
      <c r="CS952" s="621"/>
      <c r="CT952" s="621"/>
      <c r="CU952" s="621"/>
      <c r="CV952" s="621"/>
      <c r="CW952" s="621"/>
      <c r="CX952" s="621"/>
      <c r="CY952" s="621"/>
      <c r="CZ952" s="621"/>
      <c r="DA952" s="621"/>
      <c r="DB952" s="621"/>
      <c r="DC952" s="621"/>
      <c r="DD952" s="621"/>
      <c r="DE952" s="621"/>
      <c r="DF952" s="621"/>
      <c r="DG952" s="842"/>
      <c r="DH952" s="595"/>
      <c r="DI952" s="595"/>
      <c r="DJ952" s="595"/>
      <c r="DK952" s="595"/>
      <c r="DL952" s="595"/>
      <c r="DM952" s="595"/>
      <c r="DN952" s="514"/>
      <c r="DO952" s="226"/>
      <c r="DY952" s="621"/>
      <c r="DZ952" s="621"/>
    </row>
    <row r="953" spans="1:130" ht="12" customHeight="1">
      <c r="A953" s="633" t="s">
        <v>290</v>
      </c>
      <c r="B953" s="228"/>
      <c r="C953" s="228"/>
      <c r="D953" s="582"/>
      <c r="E953" s="621"/>
      <c r="F953" s="621"/>
      <c r="G953" s="621"/>
      <c r="H953" s="585"/>
      <c r="I953" s="582"/>
      <c r="J953" s="621"/>
      <c r="K953" s="621"/>
      <c r="L953" s="621"/>
      <c r="M953" s="585"/>
      <c r="N953" s="582"/>
      <c r="O953" s="621"/>
      <c r="P953" s="621"/>
      <c r="Q953" s="621"/>
      <c r="R953" s="585"/>
      <c r="S953" s="582"/>
      <c r="T953" s="621"/>
      <c r="U953" s="621"/>
      <c r="V953" s="621"/>
      <c r="W953" s="585"/>
      <c r="X953" s="582"/>
      <c r="Y953" s="621"/>
      <c r="Z953" s="621"/>
      <c r="AA953" s="621"/>
      <c r="AB953" s="585"/>
      <c r="AC953" s="582"/>
      <c r="AD953" s="621"/>
      <c r="AE953" s="621"/>
      <c r="AF953" s="621"/>
      <c r="AG953" s="585"/>
      <c r="AH953" s="582"/>
      <c r="AI953" s="621"/>
      <c r="AJ953" s="621"/>
      <c r="AK953" s="621"/>
      <c r="AL953" s="585"/>
      <c r="AM953" s="582"/>
      <c r="AN953" s="621"/>
      <c r="AO953" s="621"/>
      <c r="AP953" s="621"/>
      <c r="AQ953" s="585"/>
      <c r="AR953" s="582"/>
      <c r="AS953" s="621"/>
      <c r="AT953" s="621"/>
      <c r="AU953" s="621"/>
      <c r="AV953" s="585"/>
      <c r="AW953" s="3061">
        <v>8</v>
      </c>
      <c r="AX953" s="3062">
        <v>10.3</v>
      </c>
      <c r="AY953" s="3062">
        <v>8.9</v>
      </c>
      <c r="AZ953" s="3062">
        <v>8.9</v>
      </c>
      <c r="BA953" s="585">
        <f>SUM(AW953:AZ953)</f>
        <v>36.1</v>
      </c>
      <c r="BB953" s="3061">
        <v>6.8</v>
      </c>
      <c r="BC953" s="3062">
        <v>7.2</v>
      </c>
      <c r="BD953" s="3062">
        <v>6.4</v>
      </c>
      <c r="BE953" s="3062">
        <v>7.39</v>
      </c>
      <c r="BF953" s="585">
        <f>SUM(BB953:BE953)</f>
        <v>27.79</v>
      </c>
      <c r="BG953" s="3061">
        <v>7.2380000000000004</v>
      </c>
      <c r="BH953" s="3062">
        <v>7.1760000000000002</v>
      </c>
      <c r="BI953" s="3062">
        <v>6.88</v>
      </c>
      <c r="BJ953" s="3062">
        <v>7.3810000000000002</v>
      </c>
      <c r="BK953" s="585">
        <f>SUM(BG953:BJ953)</f>
        <v>28.675000000000001</v>
      </c>
      <c r="BL953" s="3061">
        <v>3.831</v>
      </c>
      <c r="BM953" s="3283">
        <v>0</v>
      </c>
      <c r="BN953" s="3283">
        <v>0</v>
      </c>
      <c r="BO953" s="842"/>
      <c r="BP953" s="585"/>
      <c r="BQ953" s="3283"/>
      <c r="BR953" s="3283"/>
      <c r="BS953" s="3283"/>
      <c r="BT953" s="842"/>
      <c r="BU953" s="3356"/>
      <c r="BV953" s="3283"/>
      <c r="BW953" s="3283"/>
      <c r="BX953" s="3283"/>
      <c r="BY953" s="842"/>
      <c r="BZ953" s="585"/>
      <c r="CA953" s="585"/>
      <c r="CB953" s="585"/>
      <c r="CC953" s="585">
        <f>(CC936-CC940)*0.5</f>
        <v>0</v>
      </c>
      <c r="CD953" s="585">
        <f>(CD936-CD940)*0.5</f>
        <v>0</v>
      </c>
      <c r="CE953" s="585">
        <f>(CE936-CE940)*0.5</f>
        <v>0</v>
      </c>
      <c r="CF953" s="585">
        <f>(CF936-CF940)*0.5</f>
        <v>0</v>
      </c>
      <c r="CG953" s="585">
        <f>(CG936-CG940)*0.5</f>
        <v>0</v>
      </c>
      <c r="CH953" s="570"/>
      <c r="CI953" s="570"/>
      <c r="CJ953" s="570"/>
      <c r="CK953" s="570"/>
      <c r="CL953" s="570"/>
      <c r="CM953" s="570"/>
      <c r="CN953" s="570"/>
      <c r="CO953" s="570"/>
      <c r="CP953" s="90"/>
      <c r="CQ953" s="621"/>
      <c r="CR953" s="621"/>
      <c r="CS953" s="621"/>
      <c r="CT953" s="621"/>
      <c r="CU953" s="621"/>
      <c r="CV953" s="621"/>
      <c r="CW953" s="621"/>
      <c r="CX953" s="621"/>
      <c r="CY953" s="621"/>
      <c r="CZ953" s="621"/>
      <c r="DA953" s="621"/>
      <c r="DB953" s="621"/>
      <c r="DC953" s="621"/>
      <c r="DD953" s="621"/>
      <c r="DE953" s="621"/>
      <c r="DF953" s="621"/>
      <c r="DG953" s="842"/>
      <c r="DH953" s="595"/>
      <c r="DI953" s="595"/>
      <c r="DJ953" s="595"/>
      <c r="DK953" s="595"/>
      <c r="DL953" s="595"/>
      <c r="DM953" s="595"/>
      <c r="DN953" s="514"/>
      <c r="DO953" s="226"/>
      <c r="DY953" s="621"/>
      <c r="DZ953" s="621"/>
    </row>
    <row r="954" spans="1:130" ht="12" customHeight="1">
      <c r="A954" s="633" t="s">
        <v>291</v>
      </c>
      <c r="B954" s="228"/>
      <c r="C954" s="228"/>
      <c r="D954" s="582"/>
      <c r="E954" s="621"/>
      <c r="F954" s="621"/>
      <c r="G954" s="621"/>
      <c r="H954" s="585"/>
      <c r="I954" s="582"/>
      <c r="J954" s="621"/>
      <c r="K954" s="621"/>
      <c r="L954" s="621"/>
      <c r="M954" s="585"/>
      <c r="N954" s="582"/>
      <c r="O954" s="621"/>
      <c r="P954" s="621"/>
      <c r="Q954" s="621"/>
      <c r="R954" s="585"/>
      <c r="S954" s="582"/>
      <c r="T954" s="621"/>
      <c r="U954" s="621"/>
      <c r="V954" s="621"/>
      <c r="W954" s="585"/>
      <c r="X954" s="582"/>
      <c r="Y954" s="621"/>
      <c r="Z954" s="621"/>
      <c r="AA954" s="621"/>
      <c r="AB954" s="585"/>
      <c r="AC954" s="582"/>
      <c r="AD954" s="621"/>
      <c r="AE954" s="621"/>
      <c r="AF954" s="621"/>
      <c r="AG954" s="585"/>
      <c r="AH954" s="582"/>
      <c r="AI954" s="621"/>
      <c r="AJ954" s="621"/>
      <c r="AK954" s="621"/>
      <c r="AL954" s="585"/>
      <c r="AM954" s="582"/>
      <c r="AN954" s="621"/>
      <c r="AO954" s="621"/>
      <c r="AP954" s="621"/>
      <c r="AQ954" s="585"/>
      <c r="AR954" s="582"/>
      <c r="AS954" s="621"/>
      <c r="AT954" s="621"/>
      <c r="AU954" s="621"/>
      <c r="AV954" s="585"/>
      <c r="AW954" s="3061">
        <v>10.1</v>
      </c>
      <c r="AX954" s="3062">
        <v>10</v>
      </c>
      <c r="AY954" s="3062">
        <v>11.8</v>
      </c>
      <c r="AZ954" s="3062">
        <v>19.5</v>
      </c>
      <c r="BA954" s="585">
        <f>SUM(AW954:AZ954)</f>
        <v>51.400000000000006</v>
      </c>
      <c r="BB954" s="3061">
        <v>8.5</v>
      </c>
      <c r="BC954" s="3062">
        <v>9.5</v>
      </c>
      <c r="BD954" s="3062">
        <v>10.3</v>
      </c>
      <c r="BE954" s="3062">
        <v>9.3089999999999993</v>
      </c>
      <c r="BF954" s="585">
        <f>SUM(BB954:BE954)</f>
        <v>37.609000000000002</v>
      </c>
      <c r="BG954" s="3061">
        <v>7.6609999999999996</v>
      </c>
      <c r="BH954" s="3062">
        <v>9.1120000000000001</v>
      </c>
      <c r="BI954" s="3062">
        <v>12.680999999999999</v>
      </c>
      <c r="BJ954" s="3062">
        <v>7.968</v>
      </c>
      <c r="BK954" s="585">
        <f>SUM(BG954:BJ954)</f>
        <v>37.421999999999997</v>
      </c>
      <c r="BL954" s="3061">
        <v>7.2060000000000004</v>
      </c>
      <c r="BM954" s="3283">
        <v>0</v>
      </c>
      <c r="BN954" s="3283">
        <v>0</v>
      </c>
      <c r="BO954" s="3064"/>
      <c r="BP954" s="585"/>
      <c r="BQ954" s="3283"/>
      <c r="BR954" s="3283"/>
      <c r="BS954" s="3283"/>
      <c r="BT954" s="3064"/>
      <c r="BU954" s="3356"/>
      <c r="BV954" s="3283"/>
      <c r="BW954" s="3283"/>
      <c r="BX954" s="3283"/>
      <c r="BY954" s="3064"/>
      <c r="BZ954" s="585"/>
      <c r="CA954" s="585"/>
      <c r="CB954" s="585"/>
      <c r="CC954" s="585">
        <f>-CC941*0.5</f>
        <v>3.5</v>
      </c>
      <c r="CD954" s="585">
        <f>-CD941*0.5</f>
        <v>3.5</v>
      </c>
      <c r="CE954" s="585">
        <f>-CE941*0.5</f>
        <v>3.5</v>
      </c>
      <c r="CF954" s="585">
        <f>-CF941*0.5</f>
        <v>3.5</v>
      </c>
      <c r="CG954" s="585">
        <f>-CG941*0.5</f>
        <v>3.5</v>
      </c>
      <c r="CH954" s="570"/>
      <c r="CI954" s="570"/>
      <c r="CJ954" s="570"/>
      <c r="CK954" s="570"/>
      <c r="CL954" s="570"/>
      <c r="CM954" s="570"/>
      <c r="CN954" s="570"/>
      <c r="CO954" s="570"/>
      <c r="CP954" s="90"/>
      <c r="CQ954" s="621"/>
      <c r="CR954" s="621"/>
      <c r="CS954" s="621"/>
      <c r="CT954" s="621"/>
      <c r="CU954" s="621"/>
      <c r="CV954" s="621"/>
      <c r="CW954" s="621"/>
      <c r="CX954" s="621"/>
      <c r="CY954" s="621"/>
      <c r="CZ954" s="621"/>
      <c r="DA954" s="621"/>
      <c r="DB954" s="621"/>
      <c r="DC954" s="621"/>
      <c r="DD954" s="621"/>
      <c r="DE954" s="621"/>
      <c r="DF954" s="621"/>
      <c r="DG954" s="842"/>
      <c r="DH954" s="595"/>
      <c r="DI954" s="595"/>
      <c r="DJ954" s="595"/>
      <c r="DK954" s="595"/>
      <c r="DL954" s="595"/>
      <c r="DM954" s="595"/>
      <c r="DN954" s="514"/>
      <c r="DO954" s="226"/>
      <c r="DY954" s="621"/>
      <c r="DZ954" s="621"/>
    </row>
    <row r="955" spans="1:130" ht="12" customHeight="1">
      <c r="A955" s="257"/>
      <c r="B955" s="228"/>
      <c r="C955" s="228"/>
      <c r="D955" s="693"/>
      <c r="E955" s="668"/>
      <c r="F955" s="839"/>
      <c r="G955" s="839"/>
      <c r="H955" s="840"/>
      <c r="I955" s="839"/>
      <c r="J955" s="839"/>
      <c r="K955" s="839"/>
      <c r="L955" s="839"/>
      <c r="M955" s="841"/>
      <c r="N955" s="839"/>
      <c r="O955" s="839"/>
      <c r="P955" s="839"/>
      <c r="Q955" s="839"/>
      <c r="R955" s="841"/>
      <c r="S955" s="839"/>
      <c r="T955" s="839"/>
      <c r="U955" s="839"/>
      <c r="V955" s="839"/>
      <c r="W955" s="841"/>
      <c r="X955" s="839"/>
      <c r="Y955" s="839"/>
      <c r="Z955" s="839"/>
      <c r="AA955" s="839"/>
      <c r="AB955" s="841"/>
      <c r="AC955" s="839"/>
      <c r="AD955" s="839"/>
      <c r="AE955" s="839"/>
      <c r="AF955" s="839"/>
      <c r="AG955" s="841"/>
      <c r="AH955" s="839"/>
      <c r="AI955" s="839"/>
      <c r="AJ955" s="839"/>
      <c r="AK955" s="839"/>
      <c r="AL955" s="841"/>
      <c r="AM955" s="839"/>
      <c r="AN955" s="839"/>
      <c r="AO955" s="839"/>
      <c r="AP955" s="839"/>
      <c r="AQ955" s="841"/>
      <c r="AR955" s="839"/>
      <c r="AS955" s="839"/>
      <c r="AT955" s="839"/>
      <c r="AU955" s="839"/>
      <c r="AV955" s="841"/>
      <c r="AW955" s="839"/>
      <c r="AX955" s="839"/>
      <c r="AY955" s="2458"/>
      <c r="AZ955" s="839"/>
      <c r="BA955" s="841"/>
      <c r="BB955" s="839"/>
      <c r="BC955" s="839"/>
      <c r="BD955" s="839"/>
      <c r="BE955" s="839"/>
      <c r="BF955" s="841"/>
      <c r="BG955" s="2931"/>
      <c r="BH955" s="839"/>
      <c r="BI955" s="839"/>
      <c r="BJ955" s="1905"/>
      <c r="BK955" s="1905"/>
      <c r="BL955" s="839"/>
      <c r="BM955" s="839"/>
      <c r="BN955" s="839"/>
      <c r="BO955" s="1905"/>
      <c r="BP955" s="1905"/>
      <c r="BQ955" s="839"/>
      <c r="BR955" s="839"/>
      <c r="BS955" s="839"/>
      <c r="BT955" s="1905"/>
      <c r="BU955" s="3425"/>
      <c r="BV955" s="839"/>
      <c r="BW955" s="839"/>
      <c r="BX955" s="839"/>
      <c r="BY955" s="1905"/>
      <c r="BZ955" s="1905"/>
      <c r="CA955" s="1905"/>
      <c r="CB955" s="1905"/>
      <c r="CC955" s="1905"/>
      <c r="CD955" s="1905"/>
      <c r="CE955" s="1905"/>
      <c r="CF955" s="1905"/>
      <c r="CG955" s="1905"/>
      <c r="CH955" s="839"/>
      <c r="CI955" s="839"/>
      <c r="CJ955" s="839"/>
      <c r="CK955" s="839"/>
      <c r="CL955" s="839"/>
      <c r="CM955" s="839"/>
      <c r="CN955" s="839"/>
      <c r="CO955" s="839"/>
      <c r="CP955" s="396"/>
      <c r="CQ955" s="839"/>
      <c r="CR955" s="839"/>
      <c r="CS955" s="839"/>
      <c r="CT955" s="839"/>
      <c r="CU955" s="839"/>
      <c r="CV955" s="839"/>
      <c r="CW955" s="839"/>
      <c r="CX955" s="839"/>
      <c r="CY955" s="839"/>
      <c r="CZ955" s="839"/>
      <c r="DA955" s="839"/>
      <c r="DB955" s="839"/>
      <c r="DC955" s="839"/>
      <c r="DD955" s="839"/>
      <c r="DE955" s="839"/>
      <c r="DF955" s="839"/>
      <c r="DG955" s="1905"/>
      <c r="DH955" s="781"/>
      <c r="DI955" s="595"/>
      <c r="DJ955" s="595"/>
      <c r="DK955" s="595"/>
      <c r="DL955" s="595"/>
      <c r="DM955" s="595"/>
      <c r="DN955" s="514"/>
      <c r="DO955" s="226"/>
      <c r="DY955" s="839"/>
      <c r="DZ955" s="839"/>
    </row>
    <row r="956" spans="1:130" ht="12" customHeight="1">
      <c r="A956" s="257"/>
      <c r="B956" s="228"/>
      <c r="C956" s="228"/>
      <c r="D956" s="693"/>
      <c r="E956" s="668"/>
      <c r="F956" s="839"/>
      <c r="G956" s="839"/>
      <c r="H956" s="840"/>
      <c r="I956" s="839"/>
      <c r="J956" s="839"/>
      <c r="K956" s="839"/>
      <c r="L956" s="839"/>
      <c r="M956" s="841"/>
      <c r="N956" s="839"/>
      <c r="O956" s="839"/>
      <c r="P956" s="839"/>
      <c r="Q956" s="839"/>
      <c r="R956" s="841"/>
      <c r="S956" s="839"/>
      <c r="T956" s="839"/>
      <c r="U956" s="839"/>
      <c r="V956" s="839"/>
      <c r="W956" s="841"/>
      <c r="X956" s="839"/>
      <c r="Y956" s="839"/>
      <c r="Z956" s="839"/>
      <c r="AA956" s="839"/>
      <c r="AB956" s="841"/>
      <c r="AC956" s="839"/>
      <c r="AD956" s="839"/>
      <c r="AE956" s="839"/>
      <c r="AF956" s="839"/>
      <c r="AG956" s="841"/>
      <c r="AH956" s="839"/>
      <c r="AI956" s="839"/>
      <c r="AJ956" s="839"/>
      <c r="AK956" s="839"/>
      <c r="AL956" s="841"/>
      <c r="AM956" s="839"/>
      <c r="AN956" s="839"/>
      <c r="AO956" s="839"/>
      <c r="AP956" s="839"/>
      <c r="AQ956" s="841"/>
      <c r="AR956" s="839"/>
      <c r="AS956" s="839"/>
      <c r="AT956" s="839"/>
      <c r="AU956" s="839"/>
      <c r="AV956" s="841"/>
      <c r="AW956" s="839"/>
      <c r="AX956" s="839"/>
      <c r="AY956" s="2458"/>
      <c r="AZ956" s="839"/>
      <c r="BA956" s="841"/>
      <c r="BB956" s="839"/>
      <c r="BC956" s="839"/>
      <c r="BD956" s="839"/>
      <c r="BE956" s="839"/>
      <c r="BF956" s="841"/>
      <c r="BG956" s="2931"/>
      <c r="BH956" s="839"/>
      <c r="BI956" s="839"/>
      <c r="BJ956" s="1905"/>
      <c r="BK956" s="1905"/>
      <c r="BL956" s="839"/>
      <c r="BM956" s="839"/>
      <c r="BN956" s="839"/>
      <c r="BO956" s="1905"/>
      <c r="BP956" s="1905"/>
      <c r="BQ956" s="839"/>
      <c r="BR956" s="839"/>
      <c r="BS956" s="839"/>
      <c r="BT956" s="1905"/>
      <c r="BU956" s="3425"/>
      <c r="BV956" s="839"/>
      <c r="BW956" s="839"/>
      <c r="BX956" s="839"/>
      <c r="BY956" s="1905"/>
      <c r="BZ956" s="1905"/>
      <c r="CA956" s="1905"/>
      <c r="CB956" s="1905"/>
      <c r="CC956" s="1905"/>
      <c r="CD956" s="1905"/>
      <c r="CE956" s="1905"/>
      <c r="CF956" s="1905"/>
      <c r="CG956" s="1905"/>
      <c r="CH956" s="839"/>
      <c r="CI956" s="839"/>
      <c r="CJ956" s="839"/>
      <c r="CK956" s="839"/>
      <c r="CL956" s="839"/>
      <c r="CM956" s="839"/>
      <c r="CN956" s="839"/>
      <c r="CO956" s="839"/>
      <c r="CP956" s="396"/>
      <c r="CQ956" s="839"/>
      <c r="CR956" s="839"/>
      <c r="CS956" s="839"/>
      <c r="CT956" s="839"/>
      <c r="CU956" s="839"/>
      <c r="CV956" s="839"/>
      <c r="CW956" s="839"/>
      <c r="CX956" s="839"/>
      <c r="CY956" s="839"/>
      <c r="CZ956" s="839"/>
      <c r="DA956" s="839"/>
      <c r="DB956" s="839"/>
      <c r="DC956" s="839"/>
      <c r="DD956" s="839"/>
      <c r="DE956" s="839"/>
      <c r="DF956" s="839"/>
      <c r="DG956" s="1905"/>
      <c r="DH956" s="781"/>
      <c r="DI956" s="595"/>
      <c r="DJ956" s="595"/>
      <c r="DK956" s="595"/>
      <c r="DL956" s="595"/>
      <c r="DM956" s="595"/>
      <c r="DN956" s="514"/>
      <c r="DO956" s="226"/>
      <c r="DY956" s="839"/>
      <c r="DZ956" s="839"/>
    </row>
    <row r="957" spans="1:130" ht="12" customHeight="1">
      <c r="A957" s="228" t="s">
        <v>1477</v>
      </c>
      <c r="B957" s="228"/>
      <c r="C957" s="228"/>
      <c r="D957" s="582"/>
      <c r="E957" s="621"/>
      <c r="F957" s="621"/>
      <c r="G957" s="842"/>
      <c r="H957" s="585"/>
      <c r="I957" s="582"/>
      <c r="J957" s="621"/>
      <c r="K957" s="621"/>
      <c r="L957" s="842"/>
      <c r="M957" s="585"/>
      <c r="N957" s="582"/>
      <c r="O957" s="621"/>
      <c r="P957" s="621"/>
      <c r="Q957" s="842"/>
      <c r="R957" s="585"/>
      <c r="S957" s="582"/>
      <c r="T957" s="621"/>
      <c r="U957" s="621"/>
      <c r="V957" s="842"/>
      <c r="W957" s="585"/>
      <c r="X957" s="582"/>
      <c r="Y957" s="621"/>
      <c r="Z957" s="621"/>
      <c r="AA957" s="842"/>
      <c r="AB957" s="585"/>
      <c r="AC957" s="582"/>
      <c r="AD957" s="621"/>
      <c r="AE957" s="621"/>
      <c r="AF957" s="842"/>
      <c r="AG957" s="585"/>
      <c r="AH957" s="582"/>
      <c r="AI957" s="621"/>
      <c r="AJ957" s="621"/>
      <c r="AK957" s="842"/>
      <c r="AL957" s="585"/>
      <c r="AM957" s="582"/>
      <c r="AN957" s="621"/>
      <c r="AO957" s="621"/>
      <c r="AP957" s="842"/>
      <c r="AQ957" s="585"/>
      <c r="AR957" s="582"/>
      <c r="AS957" s="621"/>
      <c r="AT957" s="621"/>
      <c r="AU957" s="842"/>
      <c r="AV957" s="585"/>
      <c r="AW957" s="582"/>
      <c r="AX957" s="621"/>
      <c r="AY957" s="621"/>
      <c r="AZ957" s="842"/>
      <c r="BA957" s="585"/>
      <c r="BB957" s="582"/>
      <c r="BC957" s="621"/>
      <c r="BD957" s="621"/>
      <c r="BE957" s="842"/>
      <c r="BF957" s="585"/>
      <c r="BG957" s="582"/>
      <c r="BH957" s="621"/>
      <c r="BI957" s="621"/>
      <c r="BJ957" s="842"/>
      <c r="BK957" s="842"/>
      <c r="BL957" s="621"/>
      <c r="BM957" s="621"/>
      <c r="BN957" s="621"/>
      <c r="BO957" s="842"/>
      <c r="BP957" s="842"/>
      <c r="BQ957" s="621"/>
      <c r="BR957" s="621"/>
      <c r="BS957" s="621"/>
      <c r="BT957" s="842"/>
      <c r="BU957" s="3426"/>
      <c r="BV957" s="621"/>
      <c r="BW957" s="621"/>
      <c r="BX957" s="621"/>
      <c r="BY957" s="842"/>
      <c r="BZ957" s="842"/>
      <c r="CA957" s="842"/>
      <c r="CB957" s="842"/>
      <c r="CC957" s="842"/>
      <c r="CD957" s="842"/>
      <c r="CE957" s="842"/>
      <c r="CF957" s="842"/>
      <c r="CG957" s="842"/>
      <c r="CH957" s="570"/>
      <c r="CI957" s="570"/>
      <c r="CJ957" s="570"/>
      <c r="CK957" s="570"/>
      <c r="CL957" s="570"/>
      <c r="CM957" s="570"/>
      <c r="CN957" s="570"/>
      <c r="CO957" s="570"/>
      <c r="CP957" s="1847" t="str">
        <f>A957</f>
        <v>Borgata Operating Free Cash Flow</v>
      </c>
      <c r="CQ957" s="621"/>
      <c r="CR957" s="621"/>
      <c r="CS957" s="621"/>
      <c r="CT957" s="621"/>
      <c r="CU957" s="621"/>
      <c r="CV957" s="621"/>
      <c r="CW957" s="621"/>
      <c r="CX957" s="621"/>
      <c r="CY957" s="621"/>
      <c r="CZ957" s="621"/>
      <c r="DA957" s="621"/>
      <c r="DB957" s="621"/>
      <c r="DC957" s="621"/>
      <c r="DD957" s="621"/>
      <c r="DE957" s="621"/>
      <c r="DF957" s="621"/>
      <c r="DG957" s="842"/>
      <c r="DH957" s="595"/>
      <c r="DI957" s="595"/>
      <c r="DJ957" s="595"/>
      <c r="DK957" s="595"/>
      <c r="DL957" s="595"/>
      <c r="DM957" s="595"/>
      <c r="DN957" s="514"/>
      <c r="DO957" s="226"/>
      <c r="DY957" s="621"/>
      <c r="DZ957" s="621"/>
    </row>
    <row r="958" spans="1:130" ht="12" customHeight="1">
      <c r="A958" s="633" t="s">
        <v>401</v>
      </c>
      <c r="B958" s="228"/>
      <c r="C958" s="228"/>
      <c r="D958" s="582">
        <f t="shared" ref="D958:AI958" si="1810">D927</f>
        <v>40.104999999999997</v>
      </c>
      <c r="E958" s="621">
        <f t="shared" si="1810"/>
        <v>52.296999999999997</v>
      </c>
      <c r="F958" s="621">
        <f t="shared" si="1810"/>
        <v>63.061999999999998</v>
      </c>
      <c r="G958" s="621">
        <f t="shared" si="1810"/>
        <v>60.102999999999994</v>
      </c>
      <c r="H958" s="585">
        <f t="shared" si="1810"/>
        <v>215.56700000000006</v>
      </c>
      <c r="I958" s="582">
        <f t="shared" si="1810"/>
        <v>56.879999999999981</v>
      </c>
      <c r="J958" s="621">
        <f t="shared" si="1810"/>
        <v>56.736999999999995</v>
      </c>
      <c r="K958" s="621">
        <f t="shared" si="1810"/>
        <v>75.51400000000001</v>
      </c>
      <c r="L958" s="621">
        <f t="shared" si="1810"/>
        <v>62.60299999999998</v>
      </c>
      <c r="M958" s="585">
        <f t="shared" si="1810"/>
        <v>251.73399999999992</v>
      </c>
      <c r="N958" s="582">
        <f t="shared" si="1810"/>
        <v>65.279000000000011</v>
      </c>
      <c r="O958" s="621">
        <f t="shared" si="1810"/>
        <v>57.610000000000014</v>
      </c>
      <c r="P958" s="621">
        <f t="shared" si="1810"/>
        <v>70.964000000000027</v>
      </c>
      <c r="Q958" s="621">
        <f t="shared" si="1810"/>
        <v>53.16</v>
      </c>
      <c r="R958" s="585">
        <f t="shared" si="1810"/>
        <v>247.01300000000015</v>
      </c>
      <c r="S958" s="582">
        <f t="shared" si="1810"/>
        <v>60.568999999999988</v>
      </c>
      <c r="T958" s="621">
        <f t="shared" si="1810"/>
        <v>54.462999999999994</v>
      </c>
      <c r="U958" s="621">
        <f t="shared" si="1810"/>
        <v>72.587999999999994</v>
      </c>
      <c r="V958" s="621">
        <f t="shared" si="1810"/>
        <v>54.096000000000004</v>
      </c>
      <c r="W958" s="585">
        <f t="shared" si="1810"/>
        <v>241.71599999999989</v>
      </c>
      <c r="X958" s="582">
        <f t="shared" si="1810"/>
        <v>55.466000000000008</v>
      </c>
      <c r="Y958" s="621">
        <f t="shared" si="1810"/>
        <v>45.170000000000016</v>
      </c>
      <c r="Z958" s="621">
        <f t="shared" si="1810"/>
        <v>59.781999999999982</v>
      </c>
      <c r="AA958" s="621">
        <f t="shared" si="1810"/>
        <v>36.718000000000018</v>
      </c>
      <c r="AB958" s="585">
        <f t="shared" si="1810"/>
        <v>197.13600000000008</v>
      </c>
      <c r="AC958" s="582">
        <f t="shared" si="1810"/>
        <v>45.925999999999988</v>
      </c>
      <c r="AD958" s="621">
        <f t="shared" si="1810"/>
        <v>47.725999999999999</v>
      </c>
      <c r="AE958" s="621">
        <f t="shared" si="1810"/>
        <v>67.558999999999997</v>
      </c>
      <c r="AF958" s="621">
        <f t="shared" si="1810"/>
        <v>36.447999999999979</v>
      </c>
      <c r="AG958" s="585">
        <f t="shared" si="1810"/>
        <v>197.65899999999999</v>
      </c>
      <c r="AH958" s="582">
        <f t="shared" si="1810"/>
        <v>38.016999999999996</v>
      </c>
      <c r="AI958" s="621">
        <f t="shared" si="1810"/>
        <v>42.960000000000008</v>
      </c>
      <c r="AJ958" s="621">
        <f t="shared" ref="AJ958:BL958" si="1811">AJ927</f>
        <v>54.319000000000017</v>
      </c>
      <c r="AK958" s="621">
        <f t="shared" si="1811"/>
        <v>34.128999999999991</v>
      </c>
      <c r="AL958" s="585">
        <f t="shared" si="1811"/>
        <v>169.42500000000007</v>
      </c>
      <c r="AM958" s="582">
        <f t="shared" si="1811"/>
        <v>31.681999999999988</v>
      </c>
      <c r="AN958" s="621">
        <f t="shared" si="1811"/>
        <v>38.657000000000011</v>
      </c>
      <c r="AO958" s="621">
        <f t="shared" si="1811"/>
        <v>49.94</v>
      </c>
      <c r="AP958" s="621">
        <f t="shared" si="1811"/>
        <v>37.859999999999985</v>
      </c>
      <c r="AQ958" s="585">
        <f t="shared" si="1811"/>
        <v>158.13900000000001</v>
      </c>
      <c r="AR958" s="582">
        <f t="shared" si="1811"/>
        <v>38.881</v>
      </c>
      <c r="AS958" s="621">
        <f t="shared" si="1811"/>
        <v>30.734999999999999</v>
      </c>
      <c r="AT958" s="621">
        <f t="shared" si="1811"/>
        <v>33.35</v>
      </c>
      <c r="AU958" s="621">
        <f t="shared" si="1811"/>
        <v>14.01</v>
      </c>
      <c r="AV958" s="585">
        <f t="shared" si="1811"/>
        <v>116.97600000000001</v>
      </c>
      <c r="AW958" s="582">
        <f t="shared" si="1811"/>
        <v>28.405000000000001</v>
      </c>
      <c r="AX958" s="621">
        <f t="shared" si="1811"/>
        <v>27.847000000000001</v>
      </c>
      <c r="AY958" s="621">
        <f t="shared" si="1811"/>
        <v>46.591999999999999</v>
      </c>
      <c r="AZ958" s="621">
        <f t="shared" si="1811"/>
        <v>16.393000000000001</v>
      </c>
      <c r="BA958" s="585">
        <f t="shared" si="1811"/>
        <v>119.23699999999999</v>
      </c>
      <c r="BB958" s="582">
        <f t="shared" si="1811"/>
        <v>20.446000000000002</v>
      </c>
      <c r="BC958" s="621">
        <f t="shared" si="1811"/>
        <v>42.597999999999999</v>
      </c>
      <c r="BD958" s="621">
        <f t="shared" si="1811"/>
        <v>56.872999999999998</v>
      </c>
      <c r="BE958" s="621">
        <f t="shared" si="1811"/>
        <v>36.037999999999997</v>
      </c>
      <c r="BF958" s="585">
        <f t="shared" si="1811"/>
        <v>155.95499999999998</v>
      </c>
      <c r="BG958" s="582">
        <f t="shared" si="1811"/>
        <v>37.825000000000003</v>
      </c>
      <c r="BH958" s="621">
        <f t="shared" si="1811"/>
        <v>44.527000000000001</v>
      </c>
      <c r="BI958" s="621">
        <f t="shared" si="1811"/>
        <v>75.974000000000004</v>
      </c>
      <c r="BJ958" s="842">
        <f t="shared" si="1811"/>
        <v>45.863999999999997</v>
      </c>
      <c r="BK958" s="585">
        <f t="shared" si="1811"/>
        <v>204.18999999999983</v>
      </c>
      <c r="BL958" s="621">
        <f t="shared" si="1811"/>
        <v>45.335000000000001</v>
      </c>
      <c r="BM958" s="621">
        <f>BM927</f>
        <v>60.762999999999998</v>
      </c>
      <c r="BN958" s="621">
        <f>BN927</f>
        <v>143.59815629601201</v>
      </c>
      <c r="BO958" s="842"/>
      <c r="BP958" s="585"/>
      <c r="BQ958" s="621"/>
      <c r="BR958" s="621"/>
      <c r="BS958" s="621"/>
      <c r="BT958" s="842"/>
      <c r="BU958" s="3356"/>
      <c r="BV958" s="621"/>
      <c r="BW958" s="621"/>
      <c r="BX958" s="621"/>
      <c r="BY958" s="842"/>
      <c r="BZ958" s="585"/>
      <c r="CA958" s="585"/>
      <c r="CB958" s="585"/>
      <c r="CC958" s="585">
        <f>CC927</f>
        <v>9.0480908170857433</v>
      </c>
      <c r="CD958" s="585">
        <f>CD927</f>
        <v>8.5956862762314685</v>
      </c>
      <c r="CE958" s="585">
        <f>CE927</f>
        <v>8.7676000017560867</v>
      </c>
      <c r="CF958" s="585">
        <f>CF927</f>
        <v>8.9429520017912125</v>
      </c>
      <c r="CG958" s="585">
        <f>CG927</f>
        <v>9.1218110418270371</v>
      </c>
      <c r="CH958" s="570"/>
      <c r="CI958" s="570"/>
      <c r="CJ958" s="570"/>
      <c r="CK958" s="570"/>
      <c r="CL958" s="570"/>
      <c r="CM958" s="570"/>
      <c r="CN958" s="570"/>
      <c r="CO958" s="570"/>
      <c r="CP958" s="90" t="str">
        <f>A958</f>
        <v>EBITDA</v>
      </c>
      <c r="CQ958" s="621">
        <f>H958</f>
        <v>215.56700000000006</v>
      </c>
      <c r="CR958" s="621">
        <f t="shared" ref="CR958:CR965" si="1812">M958</f>
        <v>251.73399999999992</v>
      </c>
      <c r="CS958" s="621">
        <f t="shared" ref="CS958:CS965" si="1813">R958</f>
        <v>247.01300000000015</v>
      </c>
      <c r="CT958" s="621">
        <f t="shared" ref="CT958:CT965" si="1814">W958</f>
        <v>241.71599999999989</v>
      </c>
      <c r="CU958" s="621">
        <f t="shared" ref="CU958:CU965" si="1815">AB958</f>
        <v>197.13600000000008</v>
      </c>
      <c r="CV958" s="621">
        <f t="shared" ref="CV958:CV965" si="1816">AG958</f>
        <v>197.65899999999999</v>
      </c>
      <c r="CW958" s="621">
        <f>AL958</f>
        <v>169.42500000000007</v>
      </c>
      <c r="CX958" s="621">
        <f>AQ958</f>
        <v>158.13900000000001</v>
      </c>
      <c r="CY958" s="621">
        <f t="shared" ref="CY958:CY965" si="1817">AV958</f>
        <v>116.97600000000001</v>
      </c>
      <c r="CZ958" s="621">
        <f t="shared" ref="CZ958:CZ965" si="1818">BA958</f>
        <v>119.23699999999999</v>
      </c>
      <c r="DA958" s="621">
        <f>BF958</f>
        <v>155.95499999999998</v>
      </c>
      <c r="DB958" s="621">
        <f t="shared" ref="DB958:DB963" si="1819">BK958</f>
        <v>204.18999999999983</v>
      </c>
      <c r="DC958" s="621">
        <f>BP958</f>
        <v>0</v>
      </c>
      <c r="DD958" s="621">
        <f>BU958</f>
        <v>0</v>
      </c>
      <c r="DE958" s="621">
        <f>BZ958</f>
        <v>0</v>
      </c>
      <c r="DF958" s="621">
        <f>CA958</f>
        <v>0</v>
      </c>
      <c r="DG958" s="842">
        <f>CB958</f>
        <v>0</v>
      </c>
      <c r="DH958" s="595"/>
      <c r="DI958" s="595"/>
      <c r="DJ958" s="595"/>
      <c r="DK958" s="595"/>
      <c r="DL958" s="595"/>
      <c r="DM958" s="595"/>
      <c r="DN958" s="514"/>
      <c r="DO958" s="226"/>
      <c r="DY958" s="621"/>
      <c r="DZ958" s="621"/>
    </row>
    <row r="959" spans="1:130" ht="12" customHeight="1">
      <c r="A959" s="633" t="s">
        <v>45</v>
      </c>
      <c r="B959" s="228"/>
      <c r="C959" s="228"/>
      <c r="D959" s="582">
        <f t="shared" ref="D959:AQ959" si="1820">D941</f>
        <v>-10.456</v>
      </c>
      <c r="E959" s="621">
        <f t="shared" si="1820"/>
        <v>-8.9130000000000003</v>
      </c>
      <c r="F959" s="621">
        <f t="shared" si="1820"/>
        <v>-8.2080000000000002</v>
      </c>
      <c r="G959" s="621">
        <f t="shared" si="1820"/>
        <v>-7.319</v>
      </c>
      <c r="H959" s="585">
        <f t="shared" si="1820"/>
        <v>-34.896000000000001</v>
      </c>
      <c r="I959" s="582">
        <f t="shared" si="1820"/>
        <v>-5.9820000000000002</v>
      </c>
      <c r="J959" s="621">
        <f t="shared" si="1820"/>
        <v>-6.7320000000000002</v>
      </c>
      <c r="K959" s="621">
        <f t="shared" si="1820"/>
        <v>-6.1630000000000003</v>
      </c>
      <c r="L959" s="621">
        <f t="shared" si="1820"/>
        <v>-5.8609999999999998</v>
      </c>
      <c r="M959" s="585">
        <f t="shared" si="1820"/>
        <v>-24.738000000000003</v>
      </c>
      <c r="N959" s="582">
        <f t="shared" si="1820"/>
        <v>-4.0819999999999999</v>
      </c>
      <c r="O959" s="621">
        <f t="shared" si="1820"/>
        <v>-4.2709999999999999</v>
      </c>
      <c r="P959" s="621">
        <f t="shared" si="1820"/>
        <v>-7.319</v>
      </c>
      <c r="Q959" s="621">
        <f t="shared" si="1820"/>
        <v>-7.5990000000000002</v>
      </c>
      <c r="R959" s="585">
        <f t="shared" si="1820"/>
        <v>-23.271000000000001</v>
      </c>
      <c r="S959" s="582">
        <f t="shared" si="1820"/>
        <v>-7.6929999999999996</v>
      </c>
      <c r="T959" s="621">
        <f t="shared" si="1820"/>
        <v>-7.8230000000000004</v>
      </c>
      <c r="U959" s="621">
        <f t="shared" si="1820"/>
        <v>-7.9080000000000004</v>
      </c>
      <c r="V959" s="621">
        <f t="shared" si="1820"/>
        <v>-7.77</v>
      </c>
      <c r="W959" s="585">
        <f t="shared" si="1820"/>
        <v>-31.193999999999999</v>
      </c>
      <c r="X959" s="582">
        <f t="shared" si="1820"/>
        <v>-6.4569999999999999</v>
      </c>
      <c r="Y959" s="621">
        <f t="shared" si="1820"/>
        <v>-5.73</v>
      </c>
      <c r="Z959" s="621">
        <f t="shared" si="1820"/>
        <v>-8.6910000000000007</v>
      </c>
      <c r="AA959" s="621">
        <f t="shared" si="1820"/>
        <v>-8.1709999999999994</v>
      </c>
      <c r="AB959" s="585">
        <f t="shared" si="1820"/>
        <v>-29.048999999999999</v>
      </c>
      <c r="AC959" s="582">
        <f t="shared" si="1820"/>
        <v>-8.0009999999999994</v>
      </c>
      <c r="AD959" s="621">
        <f t="shared" si="1820"/>
        <v>-7.4470000000000001</v>
      </c>
      <c r="AE959" s="621">
        <f t="shared" si="1820"/>
        <v>-6.423</v>
      </c>
      <c r="AF959" s="621">
        <f t="shared" si="1820"/>
        <v>-5.7869999999999999</v>
      </c>
      <c r="AG959" s="585">
        <f t="shared" si="1820"/>
        <v>-27.658000000000001</v>
      </c>
      <c r="AH959" s="582">
        <f t="shared" si="1820"/>
        <v>-5.5439999999999996</v>
      </c>
      <c r="AI959" s="621">
        <f t="shared" si="1820"/>
        <v>-5.5880000000000001</v>
      </c>
      <c r="AJ959" s="621">
        <f t="shared" si="1820"/>
        <v>-17.274999999999999</v>
      </c>
      <c r="AK959" s="621">
        <f t="shared" si="1820"/>
        <v>-21.791</v>
      </c>
      <c r="AL959" s="585">
        <f t="shared" si="1820"/>
        <v>-50.197999999999993</v>
      </c>
      <c r="AM959" s="582">
        <f t="shared" si="1820"/>
        <v>-17.283000000000001</v>
      </c>
      <c r="AN959" s="621">
        <f t="shared" si="1820"/>
        <v>-21.327999999999999</v>
      </c>
      <c r="AO959" s="621">
        <f t="shared" si="1820"/>
        <v>-20.995000000000001</v>
      </c>
      <c r="AP959" s="621">
        <f t="shared" si="1820"/>
        <v>-21.707999999999998</v>
      </c>
      <c r="AQ959" s="585">
        <f t="shared" si="1820"/>
        <v>-81.314000000000007</v>
      </c>
      <c r="AR959" s="582">
        <f t="shared" ref="AR959:BL959" si="1821">AR941</f>
        <v>-20.481999999999999</v>
      </c>
      <c r="AS959" s="621">
        <f t="shared" si="1821"/>
        <v>-20.648</v>
      </c>
      <c r="AT959" s="621">
        <f t="shared" si="1821"/>
        <v>-20.754999999999999</v>
      </c>
      <c r="AU959" s="621">
        <f t="shared" si="1821"/>
        <v>-21.016999999999999</v>
      </c>
      <c r="AV959" s="585">
        <f t="shared" si="1821"/>
        <v>-82.901999999999987</v>
      </c>
      <c r="AW959" s="582">
        <f t="shared" si="1821"/>
        <v>-20.774000000000001</v>
      </c>
      <c r="AX959" s="621">
        <f t="shared" si="1821"/>
        <v>-20.844000000000001</v>
      </c>
      <c r="AY959" s="621">
        <f t="shared" si="1821"/>
        <v>-20.282</v>
      </c>
      <c r="AZ959" s="621">
        <f t="shared" si="1821"/>
        <v>-19.436</v>
      </c>
      <c r="BA959" s="585">
        <f t="shared" si="1821"/>
        <v>-81.336000000000013</v>
      </c>
      <c r="BB959" s="582">
        <f t="shared" si="1821"/>
        <v>-17.690000000000001</v>
      </c>
      <c r="BC959" s="621">
        <f t="shared" si="1821"/>
        <v>-17.827999999999999</v>
      </c>
      <c r="BD959" s="621">
        <f t="shared" si="1821"/>
        <v>-17.809000000000001</v>
      </c>
      <c r="BE959" s="621">
        <f t="shared" si="1821"/>
        <v>-17.237853125000001</v>
      </c>
      <c r="BF959" s="585">
        <f t="shared" si="1821"/>
        <v>-70.564853124999999</v>
      </c>
      <c r="BG959" s="582">
        <f t="shared" si="1821"/>
        <v>-16.657</v>
      </c>
      <c r="BH959" s="621">
        <f>BH941</f>
        <v>-16.306999999999999</v>
      </c>
      <c r="BI959" s="621">
        <f t="shared" si="1821"/>
        <v>-14.223000000000001</v>
      </c>
      <c r="BJ959" s="842">
        <f>BJ941</f>
        <v>-12.494</v>
      </c>
      <c r="BK959" s="585">
        <f t="shared" si="1821"/>
        <v>-59.680999999999997</v>
      </c>
      <c r="BL959" s="621">
        <f t="shared" si="1821"/>
        <v>-11.755000000000001</v>
      </c>
      <c r="BM959" s="621">
        <f>BM941</f>
        <v>-11.125</v>
      </c>
      <c r="BN959" s="621">
        <f>BN941</f>
        <v>-2.5956145833333335</v>
      </c>
      <c r="BO959" s="842"/>
      <c r="BP959" s="585"/>
      <c r="BQ959" s="621"/>
      <c r="BR959" s="621"/>
      <c r="BS959" s="621"/>
      <c r="BT959" s="842"/>
      <c r="BU959" s="3356"/>
      <c r="BV959" s="621"/>
      <c r="BW959" s="621"/>
      <c r="BX959" s="621"/>
      <c r="BY959" s="842"/>
      <c r="BZ959" s="585"/>
      <c r="CA959" s="585"/>
      <c r="CB959" s="585"/>
      <c r="CC959" s="585">
        <f>CC941</f>
        <v>-7</v>
      </c>
      <c r="CD959" s="585">
        <f>CD941</f>
        <v>-7</v>
      </c>
      <c r="CE959" s="585">
        <f>CE941</f>
        <v>-7</v>
      </c>
      <c r="CF959" s="585">
        <f>CF941</f>
        <v>-7</v>
      </c>
      <c r="CG959" s="585">
        <f>CG941</f>
        <v>-7</v>
      </c>
      <c r="CH959" s="570"/>
      <c r="CI959" s="570"/>
      <c r="CJ959" s="570"/>
      <c r="CK959" s="570"/>
      <c r="CL959" s="570"/>
      <c r="CM959" s="570"/>
      <c r="CN959" s="570"/>
      <c r="CO959" s="570"/>
      <c r="CP959" s="90" t="str">
        <f t="shared" ref="CP959:CP1008" si="1822">A959</f>
        <v>Less: Interest Expense</v>
      </c>
      <c r="CQ959" s="621">
        <f t="shared" ref="CQ959:CQ965" si="1823">H959</f>
        <v>-34.896000000000001</v>
      </c>
      <c r="CR959" s="621">
        <f t="shared" si="1812"/>
        <v>-24.738000000000003</v>
      </c>
      <c r="CS959" s="621">
        <f t="shared" si="1813"/>
        <v>-23.271000000000001</v>
      </c>
      <c r="CT959" s="621">
        <f t="shared" si="1814"/>
        <v>-31.193999999999999</v>
      </c>
      <c r="CU959" s="621">
        <f t="shared" si="1815"/>
        <v>-29.048999999999999</v>
      </c>
      <c r="CV959" s="621">
        <f t="shared" si="1816"/>
        <v>-27.658000000000001</v>
      </c>
      <c r="CW959" s="621">
        <f t="shared" ref="CW959:CW1008" si="1824">AL959</f>
        <v>-50.197999999999993</v>
      </c>
      <c r="CX959" s="621">
        <f t="shared" ref="CX959:CX1008" si="1825">AQ959</f>
        <v>-81.314000000000007</v>
      </c>
      <c r="CY959" s="621">
        <f t="shared" si="1817"/>
        <v>-82.901999999999987</v>
      </c>
      <c r="CZ959" s="621">
        <f t="shared" si="1818"/>
        <v>-81.336000000000013</v>
      </c>
      <c r="DA959" s="621">
        <f t="shared" ref="DA959:DA965" si="1826">BF959</f>
        <v>-70.564853124999999</v>
      </c>
      <c r="DB959" s="621">
        <f t="shared" si="1819"/>
        <v>-59.680999999999997</v>
      </c>
      <c r="DC959" s="621">
        <f t="shared" ref="DC959:DC1007" si="1827">BP959</f>
        <v>0</v>
      </c>
      <c r="DD959" s="621">
        <f t="shared" ref="DD959:DD1007" si="1828">BU959</f>
        <v>0</v>
      </c>
      <c r="DE959" s="621">
        <f t="shared" ref="DE959:DE1007" si="1829">BZ959</f>
        <v>0</v>
      </c>
      <c r="DF959" s="621">
        <f t="shared" ref="DF959:DF1007" si="1830">CA959</f>
        <v>0</v>
      </c>
      <c r="DG959" s="842">
        <f t="shared" ref="DG959:DG1007" si="1831">CB959</f>
        <v>0</v>
      </c>
      <c r="DH959" s="595"/>
      <c r="DI959" s="595"/>
      <c r="DJ959" s="595"/>
      <c r="DK959" s="595"/>
      <c r="DL959" s="595"/>
      <c r="DM959" s="595"/>
      <c r="DN959" s="514"/>
      <c r="DO959" s="226"/>
      <c r="DY959" s="621"/>
      <c r="DZ959" s="621"/>
    </row>
    <row r="960" spans="1:130" ht="12" customHeight="1">
      <c r="A960" s="633" t="s">
        <v>529</v>
      </c>
      <c r="B960" s="228"/>
      <c r="C960" s="228"/>
      <c r="D960" s="582">
        <f t="shared" ref="D960:AQ960" si="1832">D943</f>
        <v>-2.4649999999999999</v>
      </c>
      <c r="E960" s="621">
        <f t="shared" si="1832"/>
        <v>-4.4669999999999996</v>
      </c>
      <c r="F960" s="621">
        <f t="shared" si="1832"/>
        <v>-4.63</v>
      </c>
      <c r="G960" s="621">
        <f t="shared" si="1832"/>
        <v>21.350999999999999</v>
      </c>
      <c r="H960" s="585">
        <f t="shared" si="1832"/>
        <v>9.7889999999999997</v>
      </c>
      <c r="I960" s="582">
        <f t="shared" si="1832"/>
        <v>0.40899999999999997</v>
      </c>
      <c r="J960" s="621">
        <f t="shared" si="1832"/>
        <v>0.19500000000000001</v>
      </c>
      <c r="K960" s="621">
        <f t="shared" si="1832"/>
        <v>0.44</v>
      </c>
      <c r="L960" s="621">
        <f t="shared" si="1832"/>
        <v>0.25900000000000001</v>
      </c>
      <c r="M960" s="585">
        <f t="shared" si="1832"/>
        <v>1.3029999999999999</v>
      </c>
      <c r="N960" s="582">
        <f t="shared" si="1832"/>
        <v>-0.36699999999999999</v>
      </c>
      <c r="O960" s="621">
        <f t="shared" si="1832"/>
        <v>0.13</v>
      </c>
      <c r="P960" s="621">
        <f t="shared" si="1832"/>
        <v>0.95599999999999996</v>
      </c>
      <c r="Q960" s="621">
        <f t="shared" si="1832"/>
        <v>1.397</v>
      </c>
      <c r="R960" s="585">
        <f t="shared" si="1832"/>
        <v>2.1160000000000001</v>
      </c>
      <c r="S960" s="582">
        <f t="shared" si="1832"/>
        <v>0.09</v>
      </c>
      <c r="T960" s="621">
        <f t="shared" si="1832"/>
        <v>0.67600000000000005</v>
      </c>
      <c r="U960" s="621">
        <f t="shared" si="1832"/>
        <v>1.1040000000000001</v>
      </c>
      <c r="V960" s="621">
        <f t="shared" si="1832"/>
        <v>1.788</v>
      </c>
      <c r="W960" s="585">
        <f t="shared" si="1832"/>
        <v>3.6580000000000004</v>
      </c>
      <c r="X960" s="582">
        <f t="shared" si="1832"/>
        <v>-2.754</v>
      </c>
      <c r="Y960" s="621">
        <f t="shared" si="1832"/>
        <v>-0.53</v>
      </c>
      <c r="Z960" s="621">
        <f t="shared" si="1832"/>
        <v>-1.6160000000000001</v>
      </c>
      <c r="AA960" s="621">
        <f t="shared" si="1832"/>
        <v>1.93</v>
      </c>
      <c r="AB960" s="585">
        <f t="shared" si="1832"/>
        <v>-2.9700000000000006</v>
      </c>
      <c r="AC960" s="582">
        <f t="shared" si="1832"/>
        <v>-1.032</v>
      </c>
      <c r="AD960" s="621">
        <f t="shared" si="1832"/>
        <v>-1.5609999999999999</v>
      </c>
      <c r="AE960" s="621">
        <f t="shared" si="1832"/>
        <v>-7.9859999999999998</v>
      </c>
      <c r="AF960" s="621">
        <f t="shared" si="1832"/>
        <v>-0.35899999999999999</v>
      </c>
      <c r="AG960" s="585">
        <f t="shared" si="1832"/>
        <v>-10.938000000000001</v>
      </c>
      <c r="AH960" s="582">
        <f t="shared" si="1832"/>
        <v>-1.506</v>
      </c>
      <c r="AI960" s="621">
        <f t="shared" si="1832"/>
        <v>-1.837</v>
      </c>
      <c r="AJ960" s="621">
        <f t="shared" si="1832"/>
        <v>-2.0459999999999998</v>
      </c>
      <c r="AK960" s="621">
        <f t="shared" si="1832"/>
        <v>0.115</v>
      </c>
      <c r="AL960" s="585">
        <f t="shared" si="1832"/>
        <v>-5.2739999999999991</v>
      </c>
      <c r="AM960" s="582">
        <f t="shared" si="1832"/>
        <v>0.67</v>
      </c>
      <c r="AN960" s="621">
        <f t="shared" si="1832"/>
        <v>-0.17899999999999999</v>
      </c>
      <c r="AO960" s="621">
        <f t="shared" si="1832"/>
        <v>-1.492</v>
      </c>
      <c r="AP960" s="621">
        <f t="shared" si="1832"/>
        <v>-0.252</v>
      </c>
      <c r="AQ960" s="585">
        <f t="shared" si="1832"/>
        <v>-1.2529999999999999</v>
      </c>
      <c r="AR960" s="582">
        <f t="shared" ref="AR960:BL960" si="1833">AR943</f>
        <v>-0.57699999999999996</v>
      </c>
      <c r="AS960" s="621">
        <f t="shared" si="1833"/>
        <v>0.40400000000000003</v>
      </c>
      <c r="AT960" s="621">
        <f t="shared" si="1833"/>
        <v>3.6999999999999998E-2</v>
      </c>
      <c r="AU960" s="621">
        <f t="shared" si="1833"/>
        <v>1.4119999999999999</v>
      </c>
      <c r="AV960" s="585">
        <f t="shared" si="1833"/>
        <v>1.276</v>
      </c>
      <c r="AW960" s="582">
        <f t="shared" si="1833"/>
        <v>0.51200000000000001</v>
      </c>
      <c r="AX960" s="621">
        <f t="shared" si="1833"/>
        <v>0.92100000000000004</v>
      </c>
      <c r="AY960" s="621">
        <f t="shared" si="1833"/>
        <v>-0.73099999999999998</v>
      </c>
      <c r="AZ960" s="621">
        <f t="shared" si="1833"/>
        <v>3.714</v>
      </c>
      <c r="BA960" s="585">
        <f t="shared" si="1833"/>
        <v>4.4160000000000004</v>
      </c>
      <c r="BB960" s="582">
        <f t="shared" si="1833"/>
        <v>0.64700000000000002</v>
      </c>
      <c r="BC960" s="621">
        <f t="shared" si="1833"/>
        <v>-1.0629999999999999</v>
      </c>
      <c r="BD960" s="621">
        <f t="shared" si="1833"/>
        <v>-2.7080000000000002</v>
      </c>
      <c r="BE960" s="621">
        <f t="shared" si="1833"/>
        <v>-0.27499999999999991</v>
      </c>
      <c r="BF960" s="585">
        <f t="shared" si="1833"/>
        <v>-3.399</v>
      </c>
      <c r="BG960" s="582">
        <f t="shared" si="1833"/>
        <v>1.827</v>
      </c>
      <c r="BH960" s="621">
        <f t="shared" si="1833"/>
        <v>-1.3740000000000001</v>
      </c>
      <c r="BI960" s="621">
        <f t="shared" si="1833"/>
        <v>6.6980000000000004</v>
      </c>
      <c r="BJ960" s="842">
        <f t="shared" si="1833"/>
        <v>-3.42</v>
      </c>
      <c r="BK960" s="585">
        <f t="shared" si="1833"/>
        <v>3.7309999999999999</v>
      </c>
      <c r="BL960" s="621">
        <f t="shared" si="1833"/>
        <v>-2.3319999999999999</v>
      </c>
      <c r="BM960" s="621">
        <f>BM943</f>
        <v>-3.7360000000000002</v>
      </c>
      <c r="BN960" s="621">
        <f>BN943</f>
        <v>-13.612320837934533</v>
      </c>
      <c r="BO960" s="842"/>
      <c r="BP960" s="585"/>
      <c r="BQ960" s="621"/>
      <c r="BR960" s="621"/>
      <c r="BS960" s="621"/>
      <c r="BT960" s="842"/>
      <c r="BU960" s="3356"/>
      <c r="BV960" s="621"/>
      <c r="BW960" s="621"/>
      <c r="BX960" s="621"/>
      <c r="BY960" s="842"/>
      <c r="BZ960" s="585"/>
      <c r="CA960" s="585"/>
      <c r="CB960" s="585"/>
      <c r="CC960" s="585">
        <f>CC943</f>
        <v>0</v>
      </c>
      <c r="CD960" s="585">
        <f>CD943</f>
        <v>0</v>
      </c>
      <c r="CE960" s="585">
        <f>CE943</f>
        <v>0</v>
      </c>
      <c r="CF960" s="585">
        <f>CF943</f>
        <v>0</v>
      </c>
      <c r="CG960" s="585">
        <f>CG943</f>
        <v>0</v>
      </c>
      <c r="CH960" s="570"/>
      <c r="CI960" s="570"/>
      <c r="CJ960" s="570"/>
      <c r="CK960" s="570"/>
      <c r="CL960" s="570"/>
      <c r="CM960" s="570"/>
      <c r="CN960" s="570"/>
      <c r="CO960" s="570"/>
      <c r="CP960" s="90" t="str">
        <f t="shared" si="1822"/>
        <v>Less: Taxes</v>
      </c>
      <c r="CQ960" s="621">
        <f t="shared" si="1823"/>
        <v>9.7889999999999997</v>
      </c>
      <c r="CR960" s="621">
        <f t="shared" si="1812"/>
        <v>1.3029999999999999</v>
      </c>
      <c r="CS960" s="621">
        <f t="shared" si="1813"/>
        <v>2.1160000000000001</v>
      </c>
      <c r="CT960" s="621">
        <f t="shared" si="1814"/>
        <v>3.6580000000000004</v>
      </c>
      <c r="CU960" s="621">
        <f t="shared" si="1815"/>
        <v>-2.9700000000000006</v>
      </c>
      <c r="CV960" s="621">
        <f t="shared" si="1816"/>
        <v>-10.938000000000001</v>
      </c>
      <c r="CW960" s="621">
        <f t="shared" si="1824"/>
        <v>-5.2739999999999991</v>
      </c>
      <c r="CX960" s="621">
        <f t="shared" si="1825"/>
        <v>-1.2529999999999999</v>
      </c>
      <c r="CY960" s="621">
        <f t="shared" si="1817"/>
        <v>1.276</v>
      </c>
      <c r="CZ960" s="621">
        <f t="shared" si="1818"/>
        <v>4.4160000000000004</v>
      </c>
      <c r="DA960" s="621">
        <f t="shared" si="1826"/>
        <v>-3.399</v>
      </c>
      <c r="DB960" s="621">
        <f t="shared" si="1819"/>
        <v>3.7309999999999999</v>
      </c>
      <c r="DC960" s="621">
        <f t="shared" si="1827"/>
        <v>0</v>
      </c>
      <c r="DD960" s="621">
        <f t="shared" si="1828"/>
        <v>0</v>
      </c>
      <c r="DE960" s="621">
        <f t="shared" si="1829"/>
        <v>0</v>
      </c>
      <c r="DF960" s="621">
        <f t="shared" si="1830"/>
        <v>0</v>
      </c>
      <c r="DG960" s="842">
        <f t="shared" si="1831"/>
        <v>0</v>
      </c>
      <c r="DH960" s="595"/>
      <c r="DI960" s="595"/>
      <c r="DJ960" s="595"/>
      <c r="DK960" s="595"/>
      <c r="DL960" s="595"/>
      <c r="DM960" s="595"/>
      <c r="DN960" s="514"/>
      <c r="DO960" s="226"/>
      <c r="DY960" s="621"/>
      <c r="DZ960" s="621"/>
    </row>
    <row r="961" spans="1:130" ht="12" customHeight="1">
      <c r="A961" s="633" t="s">
        <v>1581</v>
      </c>
      <c r="B961" s="228"/>
      <c r="C961" s="228"/>
      <c r="D961" s="582">
        <f t="shared" ref="D961:AQ961" si="1834">-D990</f>
        <v>-4.3766699999999998</v>
      </c>
      <c r="E961" s="621">
        <f t="shared" si="1834"/>
        <v>-4.9482299999999997</v>
      </c>
      <c r="F961" s="621">
        <f t="shared" si="1834"/>
        <v>-5.5842900000000002</v>
      </c>
      <c r="G961" s="621">
        <f t="shared" si="1834"/>
        <v>-5.3833799999999998</v>
      </c>
      <c r="H961" s="585">
        <f t="shared" si="1834"/>
        <v>-20.292569999999998</v>
      </c>
      <c r="I961" s="582">
        <f t="shared" si="1834"/>
        <v>-5.1640199999999998</v>
      </c>
      <c r="J961" s="621">
        <f t="shared" si="1834"/>
        <v>-5.5315799999999999</v>
      </c>
      <c r="K961" s="621">
        <f t="shared" si="1834"/>
        <v>-6.4057199999999996</v>
      </c>
      <c r="L961" s="621">
        <f t="shared" si="1834"/>
        <v>-5.8181699999999994</v>
      </c>
      <c r="M961" s="585">
        <f t="shared" si="1834"/>
        <v>-22.919489999999996</v>
      </c>
      <c r="N961" s="582">
        <f t="shared" si="1834"/>
        <v>-5.62704</v>
      </c>
      <c r="O961" s="621">
        <f t="shared" si="1834"/>
        <v>-5.6811600000000002</v>
      </c>
      <c r="P961" s="621">
        <f t="shared" si="1834"/>
        <v>-7.1245500000000002</v>
      </c>
      <c r="Q961" s="621">
        <f t="shared" si="1834"/>
        <v>-5.9652000000000003</v>
      </c>
      <c r="R961" s="585">
        <f t="shared" si="1834"/>
        <v>-24.397949999999998</v>
      </c>
      <c r="S961" s="582">
        <f t="shared" si="1834"/>
        <v>-6.1118999999999994</v>
      </c>
      <c r="T961" s="621">
        <f t="shared" si="1834"/>
        <v>-6.0629699999999991</v>
      </c>
      <c r="U961" s="621">
        <f t="shared" si="1834"/>
        <v>-6.9026399999999999</v>
      </c>
      <c r="V961" s="621">
        <f t="shared" si="1834"/>
        <v>-6.0817800000000002</v>
      </c>
      <c r="W961" s="585">
        <f t="shared" si="1834"/>
        <v>-25.159289999999999</v>
      </c>
      <c r="X961" s="582">
        <f t="shared" si="1834"/>
        <v>-6.0607199999999999</v>
      </c>
      <c r="Y961" s="621">
        <f t="shared" si="1834"/>
        <v>-6.1518300000000004</v>
      </c>
      <c r="Z961" s="621">
        <f t="shared" si="1834"/>
        <v>-7.1976299999999993</v>
      </c>
      <c r="AA961" s="621">
        <f t="shared" si="1834"/>
        <v>-5.5044899999999997</v>
      </c>
      <c r="AB961" s="585">
        <f t="shared" si="1834"/>
        <v>-24.914670000000001</v>
      </c>
      <c r="AC961" s="582">
        <f t="shared" si="1834"/>
        <v>-4.4535</v>
      </c>
      <c r="AD961" s="621">
        <f t="shared" si="1834"/>
        <v>-4.4535</v>
      </c>
      <c r="AE961" s="621">
        <f t="shared" si="1834"/>
        <v>-4.4535</v>
      </c>
      <c r="AF961" s="621">
        <f t="shared" si="1834"/>
        <v>-4.4535</v>
      </c>
      <c r="AG961" s="585">
        <f t="shared" si="1834"/>
        <v>-17.814</v>
      </c>
      <c r="AH961" s="582">
        <f t="shared" si="1834"/>
        <v>-5.2519799999999996</v>
      </c>
      <c r="AI961" s="621">
        <f t="shared" si="1834"/>
        <v>-3.5650200000000005</v>
      </c>
      <c r="AJ961" s="621">
        <f t="shared" si="1834"/>
        <v>-3.5</v>
      </c>
      <c r="AK961" s="621">
        <f t="shared" si="1834"/>
        <v>-3.5</v>
      </c>
      <c r="AL961" s="585">
        <f t="shared" si="1834"/>
        <v>-15.817</v>
      </c>
      <c r="AM961" s="582">
        <f t="shared" si="1834"/>
        <v>-3.75</v>
      </c>
      <c r="AN961" s="621">
        <f t="shared" si="1834"/>
        <v>-3.75</v>
      </c>
      <c r="AO961" s="621">
        <f t="shared" si="1834"/>
        <v>-3.75</v>
      </c>
      <c r="AP961" s="621">
        <f t="shared" si="1834"/>
        <v>0</v>
      </c>
      <c r="AQ961" s="585">
        <f t="shared" si="1834"/>
        <v>-11.25</v>
      </c>
      <c r="AR961" s="582">
        <f t="shared" ref="AR961:BK961" si="1835">-AR990</f>
        <v>-2</v>
      </c>
      <c r="AS961" s="621">
        <f t="shared" si="1835"/>
        <v>-6</v>
      </c>
      <c r="AT961" s="621">
        <f t="shared" si="1835"/>
        <v>-3.5999999999999979</v>
      </c>
      <c r="AU961" s="621">
        <f t="shared" si="1835"/>
        <v>-0.80000000000000426</v>
      </c>
      <c r="AV961" s="585">
        <f t="shared" si="1835"/>
        <v>-12.400000000000002</v>
      </c>
      <c r="AW961" s="582">
        <f t="shared" si="1835"/>
        <v>-2.9</v>
      </c>
      <c r="AX961" s="621">
        <f t="shared" si="1835"/>
        <v>-7.7999999999999989</v>
      </c>
      <c r="AY961" s="621">
        <f t="shared" si="1835"/>
        <v>-6</v>
      </c>
      <c r="AZ961" s="621">
        <f t="shared" si="1835"/>
        <v>-5.6570000000000018</v>
      </c>
      <c r="BA961" s="585">
        <f t="shared" si="1835"/>
        <v>-22.356999999999999</v>
      </c>
      <c r="BB961" s="582">
        <f t="shared" si="1835"/>
        <v>-2</v>
      </c>
      <c r="BC961" s="621">
        <f t="shared" si="1835"/>
        <v>-7</v>
      </c>
      <c r="BD961" s="621">
        <f t="shared" si="1835"/>
        <v>-2.6229999999999993</v>
      </c>
      <c r="BE961" s="621">
        <f t="shared" si="1835"/>
        <v>-7</v>
      </c>
      <c r="BF961" s="585">
        <f t="shared" si="1835"/>
        <v>-18.622999999999998</v>
      </c>
      <c r="BG961" s="582">
        <f t="shared" si="1835"/>
        <v>-5</v>
      </c>
      <c r="BH961" s="621">
        <f t="shared" si="1835"/>
        <v>-6.25</v>
      </c>
      <c r="BI961" s="621">
        <f t="shared" si="1835"/>
        <v>-6</v>
      </c>
      <c r="BJ961" s="842">
        <f t="shared" si="1835"/>
        <v>-2.5</v>
      </c>
      <c r="BK961" s="585">
        <f t="shared" si="1835"/>
        <v>-19.75</v>
      </c>
      <c r="BL961" s="621">
        <f>-BL990</f>
        <v>-6.25</v>
      </c>
      <c r="BM961" s="621">
        <f>-BM990</f>
        <v>-6.25</v>
      </c>
      <c r="BN961" s="621">
        <f>-BN990</f>
        <v>-6.25</v>
      </c>
      <c r="BO961" s="842"/>
      <c r="BP961" s="585"/>
      <c r="BQ961" s="621"/>
      <c r="BR961" s="621"/>
      <c r="BS961" s="621"/>
      <c r="BT961" s="842"/>
      <c r="BU961" s="3356"/>
      <c r="BV961" s="621"/>
      <c r="BW961" s="621"/>
      <c r="BX961" s="621"/>
      <c r="BY961" s="842"/>
      <c r="BZ961" s="585"/>
      <c r="CA961" s="585"/>
      <c r="CB961" s="585"/>
      <c r="CC961" s="585">
        <f t="shared" ref="CC961:CG962" si="1836">-CC990</f>
        <v>0</v>
      </c>
      <c r="CD961" s="585">
        <f t="shared" si="1836"/>
        <v>0</v>
      </c>
      <c r="CE961" s="585">
        <f t="shared" si="1836"/>
        <v>0</v>
      </c>
      <c r="CF961" s="585">
        <f t="shared" si="1836"/>
        <v>0</v>
      </c>
      <c r="CG961" s="585">
        <f t="shared" si="1836"/>
        <v>0</v>
      </c>
      <c r="CH961" s="570"/>
      <c r="CI961" s="570"/>
      <c r="CJ961" s="570"/>
      <c r="CK961" s="570"/>
      <c r="CL961" s="570"/>
      <c r="CM961" s="570"/>
      <c r="CN961" s="570"/>
      <c r="CO961" s="570"/>
      <c r="CP961" s="90" t="str">
        <f t="shared" si="1822"/>
        <v>Less: Maintenance Capex</v>
      </c>
      <c r="CQ961" s="621">
        <f t="shared" si="1823"/>
        <v>-20.292569999999998</v>
      </c>
      <c r="CR961" s="621">
        <f t="shared" si="1812"/>
        <v>-22.919489999999996</v>
      </c>
      <c r="CS961" s="621">
        <f t="shared" si="1813"/>
        <v>-24.397949999999998</v>
      </c>
      <c r="CT961" s="621">
        <f t="shared" si="1814"/>
        <v>-25.159289999999999</v>
      </c>
      <c r="CU961" s="621">
        <f t="shared" si="1815"/>
        <v>-24.914670000000001</v>
      </c>
      <c r="CV961" s="621">
        <f t="shared" si="1816"/>
        <v>-17.814</v>
      </c>
      <c r="CW961" s="621">
        <f t="shared" si="1824"/>
        <v>-15.817</v>
      </c>
      <c r="CX961" s="621">
        <f t="shared" si="1825"/>
        <v>-11.25</v>
      </c>
      <c r="CY961" s="621">
        <f t="shared" si="1817"/>
        <v>-12.400000000000002</v>
      </c>
      <c r="CZ961" s="621">
        <f t="shared" si="1818"/>
        <v>-22.356999999999999</v>
      </c>
      <c r="DA961" s="621">
        <f t="shared" si="1826"/>
        <v>-18.622999999999998</v>
      </c>
      <c r="DB961" s="621">
        <f t="shared" si="1819"/>
        <v>-19.75</v>
      </c>
      <c r="DC961" s="621">
        <f t="shared" si="1827"/>
        <v>0</v>
      </c>
      <c r="DD961" s="621">
        <f t="shared" si="1828"/>
        <v>0</v>
      </c>
      <c r="DE961" s="621">
        <f t="shared" si="1829"/>
        <v>0</v>
      </c>
      <c r="DF961" s="621">
        <f t="shared" si="1830"/>
        <v>0</v>
      </c>
      <c r="DG961" s="842">
        <f t="shared" si="1831"/>
        <v>0</v>
      </c>
      <c r="DH961" s="595"/>
      <c r="DI961" s="595"/>
      <c r="DJ961" s="595"/>
      <c r="DK961" s="595"/>
      <c r="DL961" s="595"/>
      <c r="DM961" s="595"/>
      <c r="DN961" s="514"/>
      <c r="DO961" s="226"/>
      <c r="DY961" s="621"/>
      <c r="DZ961" s="621"/>
    </row>
    <row r="962" spans="1:130" ht="12" customHeight="1">
      <c r="A962" s="633" t="s">
        <v>1583</v>
      </c>
      <c r="B962" s="228"/>
      <c r="C962" s="228"/>
      <c r="D962" s="582">
        <f t="shared" ref="D962:AQ962" si="1837">-D991</f>
        <v>0</v>
      </c>
      <c r="E962" s="621">
        <f t="shared" si="1837"/>
        <v>0</v>
      </c>
      <c r="F962" s="621">
        <f t="shared" si="1837"/>
        <v>0</v>
      </c>
      <c r="G962" s="621">
        <f t="shared" si="1837"/>
        <v>0</v>
      </c>
      <c r="H962" s="585">
        <f t="shared" si="1837"/>
        <v>0</v>
      </c>
      <c r="I962" s="582">
        <f t="shared" si="1837"/>
        <v>0</v>
      </c>
      <c r="J962" s="621">
        <f t="shared" si="1837"/>
        <v>0</v>
      </c>
      <c r="K962" s="621">
        <f t="shared" si="1837"/>
        <v>0</v>
      </c>
      <c r="L962" s="621">
        <f t="shared" si="1837"/>
        <v>0</v>
      </c>
      <c r="M962" s="585">
        <f t="shared" si="1837"/>
        <v>0</v>
      </c>
      <c r="N962" s="582">
        <f t="shared" si="1837"/>
        <v>0</v>
      </c>
      <c r="O962" s="621">
        <f t="shared" si="1837"/>
        <v>0</v>
      </c>
      <c r="P962" s="621">
        <f t="shared" si="1837"/>
        <v>0</v>
      </c>
      <c r="Q962" s="621">
        <f t="shared" si="1837"/>
        <v>0</v>
      </c>
      <c r="R962" s="585">
        <f t="shared" si="1837"/>
        <v>0</v>
      </c>
      <c r="S962" s="582">
        <f t="shared" si="1837"/>
        <v>0</v>
      </c>
      <c r="T962" s="621">
        <f t="shared" si="1837"/>
        <v>0</v>
      </c>
      <c r="U962" s="621">
        <f t="shared" si="1837"/>
        <v>0</v>
      </c>
      <c r="V962" s="621">
        <f t="shared" si="1837"/>
        <v>0</v>
      </c>
      <c r="W962" s="585">
        <f t="shared" si="1837"/>
        <v>0</v>
      </c>
      <c r="X962" s="582">
        <f t="shared" si="1837"/>
        <v>0</v>
      </c>
      <c r="Y962" s="621">
        <f t="shared" si="1837"/>
        <v>0</v>
      </c>
      <c r="Z962" s="621">
        <f t="shared" si="1837"/>
        <v>0</v>
      </c>
      <c r="AA962" s="621">
        <f t="shared" si="1837"/>
        <v>0</v>
      </c>
      <c r="AB962" s="585">
        <f t="shared" si="1837"/>
        <v>0</v>
      </c>
      <c r="AC962" s="582">
        <f t="shared" si="1837"/>
        <v>0</v>
      </c>
      <c r="AD962" s="621">
        <f t="shared" si="1837"/>
        <v>0</v>
      </c>
      <c r="AE962" s="621">
        <f t="shared" si="1837"/>
        <v>0</v>
      </c>
      <c r="AF962" s="621">
        <f t="shared" si="1837"/>
        <v>0</v>
      </c>
      <c r="AG962" s="585">
        <f t="shared" si="1837"/>
        <v>0</v>
      </c>
      <c r="AH962" s="582">
        <f t="shared" si="1837"/>
        <v>0</v>
      </c>
      <c r="AI962" s="621">
        <f t="shared" si="1837"/>
        <v>0</v>
      </c>
      <c r="AJ962" s="621">
        <f t="shared" si="1837"/>
        <v>0</v>
      </c>
      <c r="AK962" s="621">
        <f t="shared" si="1837"/>
        <v>0</v>
      </c>
      <c r="AL962" s="585">
        <f t="shared" si="1837"/>
        <v>0</v>
      </c>
      <c r="AM962" s="582">
        <f t="shared" si="1837"/>
        <v>0</v>
      </c>
      <c r="AN962" s="621">
        <f t="shared" si="1837"/>
        <v>0</v>
      </c>
      <c r="AO962" s="621">
        <f t="shared" si="1837"/>
        <v>0</v>
      </c>
      <c r="AP962" s="621">
        <f t="shared" si="1837"/>
        <v>-15.6</v>
      </c>
      <c r="AQ962" s="585">
        <f t="shared" si="1837"/>
        <v>-15.6</v>
      </c>
      <c r="AR962" s="582">
        <f t="shared" ref="AR962:BL962" si="1838">-AR991</f>
        <v>-15.5</v>
      </c>
      <c r="AS962" s="621">
        <f t="shared" si="1838"/>
        <v>-6.8000000000000007</v>
      </c>
      <c r="AT962" s="621">
        <f t="shared" si="1838"/>
        <v>0</v>
      </c>
      <c r="AU962" s="621">
        <f t="shared" si="1838"/>
        <v>0</v>
      </c>
      <c r="AV962" s="585">
        <f t="shared" si="1838"/>
        <v>-22.3</v>
      </c>
      <c r="AW962" s="582">
        <f t="shared" si="1838"/>
        <v>0</v>
      </c>
      <c r="AX962" s="621">
        <f t="shared" si="1838"/>
        <v>0</v>
      </c>
      <c r="AY962" s="621">
        <f t="shared" si="1838"/>
        <v>0</v>
      </c>
      <c r="AZ962" s="621">
        <f t="shared" si="1838"/>
        <v>0</v>
      </c>
      <c r="BA962" s="585">
        <f t="shared" si="1838"/>
        <v>0</v>
      </c>
      <c r="BB962" s="582">
        <f t="shared" si="1838"/>
        <v>0</v>
      </c>
      <c r="BC962" s="621">
        <f t="shared" si="1838"/>
        <v>0</v>
      </c>
      <c r="BD962" s="621">
        <f t="shared" si="1838"/>
        <v>0</v>
      </c>
      <c r="BE962" s="621">
        <f t="shared" si="1838"/>
        <v>0</v>
      </c>
      <c r="BF962" s="585">
        <f t="shared" si="1838"/>
        <v>0</v>
      </c>
      <c r="BG962" s="582">
        <f t="shared" si="1838"/>
        <v>-3.75</v>
      </c>
      <c r="BH962" s="621">
        <f t="shared" si="1838"/>
        <v>-3.75</v>
      </c>
      <c r="BI962" s="621">
        <f t="shared" si="1838"/>
        <v>-3.75</v>
      </c>
      <c r="BJ962" s="842">
        <f t="shared" si="1838"/>
        <v>-3</v>
      </c>
      <c r="BK962" s="585">
        <f t="shared" si="1838"/>
        <v>-14.25</v>
      </c>
      <c r="BL962" s="621">
        <f t="shared" si="1838"/>
        <v>-2.5</v>
      </c>
      <c r="BM962" s="621">
        <f>-BM991</f>
        <v>-2.5</v>
      </c>
      <c r="BN962" s="621">
        <f>-BN991</f>
        <v>-2.5</v>
      </c>
      <c r="BO962" s="842"/>
      <c r="BP962" s="585"/>
      <c r="BQ962" s="621"/>
      <c r="BR962" s="621"/>
      <c r="BS962" s="621"/>
      <c r="BT962" s="842"/>
      <c r="BU962" s="3356"/>
      <c r="BV962" s="621"/>
      <c r="BW962" s="621"/>
      <c r="BX962" s="621"/>
      <c r="BY962" s="842"/>
      <c r="BZ962" s="585"/>
      <c r="CA962" s="585"/>
      <c r="CB962" s="585"/>
      <c r="CC962" s="585">
        <f t="shared" si="1836"/>
        <v>0</v>
      </c>
      <c r="CD962" s="585">
        <f t="shared" si="1836"/>
        <v>0</v>
      </c>
      <c r="CE962" s="585">
        <f t="shared" si="1836"/>
        <v>0</v>
      </c>
      <c r="CF962" s="585">
        <f t="shared" si="1836"/>
        <v>0</v>
      </c>
      <c r="CG962" s="585">
        <f t="shared" si="1836"/>
        <v>0</v>
      </c>
      <c r="CH962" s="570"/>
      <c r="CI962" s="570"/>
      <c r="CJ962" s="570"/>
      <c r="CK962" s="570"/>
      <c r="CL962" s="570"/>
      <c r="CM962" s="570"/>
      <c r="CN962" s="570"/>
      <c r="CO962" s="570"/>
      <c r="CP962" s="90" t="str">
        <f t="shared" si="1822"/>
        <v>Less: Project Capex</v>
      </c>
      <c r="CQ962" s="621">
        <f t="shared" si="1823"/>
        <v>0</v>
      </c>
      <c r="CR962" s="621">
        <f t="shared" si="1812"/>
        <v>0</v>
      </c>
      <c r="CS962" s="621">
        <f t="shared" si="1813"/>
        <v>0</v>
      </c>
      <c r="CT962" s="621">
        <f t="shared" si="1814"/>
        <v>0</v>
      </c>
      <c r="CU962" s="621">
        <f t="shared" si="1815"/>
        <v>0</v>
      </c>
      <c r="CV962" s="621">
        <f t="shared" si="1816"/>
        <v>0</v>
      </c>
      <c r="CW962" s="621">
        <f t="shared" si="1824"/>
        <v>0</v>
      </c>
      <c r="CX962" s="621">
        <f t="shared" si="1825"/>
        <v>-15.6</v>
      </c>
      <c r="CY962" s="621">
        <f t="shared" si="1817"/>
        <v>-22.3</v>
      </c>
      <c r="CZ962" s="621">
        <f t="shared" si="1818"/>
        <v>0</v>
      </c>
      <c r="DA962" s="621">
        <f t="shared" si="1826"/>
        <v>0</v>
      </c>
      <c r="DB962" s="621">
        <f t="shared" si="1819"/>
        <v>-14.25</v>
      </c>
      <c r="DC962" s="621">
        <f t="shared" si="1827"/>
        <v>0</v>
      </c>
      <c r="DD962" s="621">
        <f t="shared" si="1828"/>
        <v>0</v>
      </c>
      <c r="DE962" s="621">
        <f t="shared" si="1829"/>
        <v>0</v>
      </c>
      <c r="DF962" s="621">
        <f t="shared" si="1830"/>
        <v>0</v>
      </c>
      <c r="DG962" s="842">
        <f t="shared" si="1831"/>
        <v>0</v>
      </c>
      <c r="DH962" s="595"/>
      <c r="DI962" s="595"/>
      <c r="DJ962" s="595"/>
      <c r="DK962" s="595"/>
      <c r="DL962" s="595"/>
      <c r="DM962" s="595"/>
      <c r="DN962" s="514"/>
      <c r="DO962" s="226"/>
      <c r="DY962" s="621"/>
      <c r="DZ962" s="621"/>
    </row>
    <row r="963" spans="1:130" ht="12" customHeight="1">
      <c r="A963" s="633" t="s">
        <v>1580</v>
      </c>
      <c r="B963" s="708"/>
      <c r="C963" s="708"/>
      <c r="D963" s="1489"/>
      <c r="E963" s="1490"/>
      <c r="F963" s="1490"/>
      <c r="G963" s="1490"/>
      <c r="H963" s="1491"/>
      <c r="I963" s="1489"/>
      <c r="J963" s="1490"/>
      <c r="K963" s="1490"/>
      <c r="L963" s="1490"/>
      <c r="M963" s="1491"/>
      <c r="N963" s="1489"/>
      <c r="O963" s="1490"/>
      <c r="P963" s="1490"/>
      <c r="Q963" s="1490"/>
      <c r="R963" s="1491"/>
      <c r="S963" s="1489"/>
      <c r="T963" s="1490"/>
      <c r="U963" s="1490"/>
      <c r="V963" s="1490"/>
      <c r="W963" s="1491"/>
      <c r="X963" s="1489"/>
      <c r="Y963" s="1490"/>
      <c r="Z963" s="1490"/>
      <c r="AA963" s="1490"/>
      <c r="AB963" s="1491"/>
      <c r="AC963" s="1489"/>
      <c r="AD963" s="1490"/>
      <c r="AE963" s="1490"/>
      <c r="AF963" s="1490"/>
      <c r="AG963" s="1491"/>
      <c r="AH963" s="1489"/>
      <c r="AI963" s="1490"/>
      <c r="AJ963" s="1490"/>
      <c r="AK963" s="1490"/>
      <c r="AL963" s="1491"/>
      <c r="AM963" s="667">
        <v>1.2</v>
      </c>
      <c r="AN963" s="621">
        <f>AM963</f>
        <v>1.2</v>
      </c>
      <c r="AO963" s="621">
        <f>AN963</f>
        <v>1.2</v>
      </c>
      <c r="AP963" s="621">
        <f>AO963</f>
        <v>1.2</v>
      </c>
      <c r="AQ963" s="585">
        <f>SUM(AM963:AP963)</f>
        <v>4.8</v>
      </c>
      <c r="AR963" s="667">
        <v>1.2</v>
      </c>
      <c r="AS963" s="621">
        <f>AR963</f>
        <v>1.2</v>
      </c>
      <c r="AT963" s="621">
        <f>AS963</f>
        <v>1.2</v>
      </c>
      <c r="AU963" s="621">
        <f>AT963</f>
        <v>1.2</v>
      </c>
      <c r="AV963" s="585">
        <f>SUM(AR963:AU963)</f>
        <v>4.8</v>
      </c>
      <c r="AW963" s="667">
        <v>1.2</v>
      </c>
      <c r="AX963" s="2364">
        <f>AW963</f>
        <v>1.2</v>
      </c>
      <c r="AY963" s="2364">
        <f>AX963</f>
        <v>1.2</v>
      </c>
      <c r="AZ963" s="2364">
        <f>AY963</f>
        <v>1.2</v>
      </c>
      <c r="BA963" s="585">
        <f>SUM(AW963:AZ963)</f>
        <v>4.8</v>
      </c>
      <c r="BB963" s="667">
        <v>1.2</v>
      </c>
      <c r="BC963" s="2364">
        <f>BB963</f>
        <v>1.2</v>
      </c>
      <c r="BD963" s="2364">
        <f>BC963</f>
        <v>1.2</v>
      </c>
      <c r="BE963" s="2364">
        <f>BD963</f>
        <v>1.2</v>
      </c>
      <c r="BF963" s="585">
        <f>SUM(BB963:BE963)</f>
        <v>4.8</v>
      </c>
      <c r="BG963" s="2932">
        <f>BE963</f>
        <v>1.2</v>
      </c>
      <c r="BH963" s="2364">
        <f>BG963</f>
        <v>1.2</v>
      </c>
      <c r="BI963" s="2364">
        <f>BH963</f>
        <v>1.2</v>
      </c>
      <c r="BJ963" s="2933">
        <f>BI963</f>
        <v>1.2</v>
      </c>
      <c r="BK963" s="585">
        <f>SUM(BG963:BJ963)</f>
        <v>4.8</v>
      </c>
      <c r="BL963" s="2364">
        <f>BJ963</f>
        <v>1.2</v>
      </c>
      <c r="BM963" s="2364">
        <f>BL963</f>
        <v>1.2</v>
      </c>
      <c r="BN963" s="2364">
        <f>BM963</f>
        <v>1.2</v>
      </c>
      <c r="BO963" s="2933"/>
      <c r="BP963" s="585"/>
      <c r="BQ963" s="2364"/>
      <c r="BR963" s="2364"/>
      <c r="BS963" s="2364"/>
      <c r="BT963" s="2933"/>
      <c r="BU963" s="3356"/>
      <c r="BV963" s="2364"/>
      <c r="BW963" s="2364"/>
      <c r="BX963" s="2364"/>
      <c r="BY963" s="2933"/>
      <c r="BZ963" s="585"/>
      <c r="CA963" s="585"/>
      <c r="CB963" s="585"/>
      <c r="CC963" s="585">
        <f>CB963</f>
        <v>0</v>
      </c>
      <c r="CD963" s="585">
        <f>CC963</f>
        <v>0</v>
      </c>
      <c r="CE963" s="585">
        <f>CD963</f>
        <v>0</v>
      </c>
      <c r="CF963" s="585">
        <f>CE963</f>
        <v>0</v>
      </c>
      <c r="CG963" s="585">
        <f>CF963</f>
        <v>0</v>
      </c>
      <c r="CH963" s="570"/>
      <c r="CI963" s="570"/>
      <c r="CJ963" s="570"/>
      <c r="CK963" s="570"/>
      <c r="CL963" s="570"/>
      <c r="CM963" s="570"/>
      <c r="CN963" s="570"/>
      <c r="CO963" s="570"/>
      <c r="CP963" s="90" t="str">
        <f t="shared" si="1822"/>
        <v>Plus: Amortization of discounts / financings</v>
      </c>
      <c r="CQ963" s="621">
        <f t="shared" si="1823"/>
        <v>0</v>
      </c>
      <c r="CR963" s="621">
        <f t="shared" si="1812"/>
        <v>0</v>
      </c>
      <c r="CS963" s="621">
        <f t="shared" si="1813"/>
        <v>0</v>
      </c>
      <c r="CT963" s="621">
        <f t="shared" si="1814"/>
        <v>0</v>
      </c>
      <c r="CU963" s="621">
        <f t="shared" si="1815"/>
        <v>0</v>
      </c>
      <c r="CV963" s="621">
        <f t="shared" si="1816"/>
        <v>0</v>
      </c>
      <c r="CW963" s="621">
        <f t="shared" si="1824"/>
        <v>0</v>
      </c>
      <c r="CX963" s="621">
        <f t="shared" si="1825"/>
        <v>4.8</v>
      </c>
      <c r="CY963" s="621">
        <f t="shared" si="1817"/>
        <v>4.8</v>
      </c>
      <c r="CZ963" s="621">
        <f t="shared" si="1818"/>
        <v>4.8</v>
      </c>
      <c r="DA963" s="621">
        <f t="shared" si="1826"/>
        <v>4.8</v>
      </c>
      <c r="DB963" s="621">
        <f t="shared" si="1819"/>
        <v>4.8</v>
      </c>
      <c r="DC963" s="621">
        <f t="shared" si="1827"/>
        <v>0</v>
      </c>
      <c r="DD963" s="621">
        <f t="shared" si="1828"/>
        <v>0</v>
      </c>
      <c r="DE963" s="621">
        <f t="shared" si="1829"/>
        <v>0</v>
      </c>
      <c r="DF963" s="621">
        <f t="shared" si="1830"/>
        <v>0</v>
      </c>
      <c r="DG963" s="842">
        <f t="shared" si="1831"/>
        <v>0</v>
      </c>
      <c r="DH963" s="595"/>
      <c r="DI963" s="595"/>
      <c r="DJ963" s="595"/>
      <c r="DK963" s="595"/>
      <c r="DL963" s="595"/>
      <c r="DM963" s="595"/>
      <c r="DN963" s="514"/>
      <c r="DO963" s="226"/>
      <c r="DY963" s="621"/>
      <c r="DZ963" s="621"/>
    </row>
    <row r="964" spans="1:130" ht="12" customHeight="1">
      <c r="A964" s="2688" t="s">
        <v>940</v>
      </c>
      <c r="B964" s="708"/>
      <c r="C964" s="708"/>
      <c r="D964" s="1489"/>
      <c r="E964" s="1490"/>
      <c r="F964" s="1490"/>
      <c r="G964" s="1490"/>
      <c r="H964" s="1491"/>
      <c r="I964" s="1489"/>
      <c r="J964" s="1490"/>
      <c r="K964" s="1490"/>
      <c r="L964" s="1490"/>
      <c r="M964" s="1491"/>
      <c r="N964" s="1489"/>
      <c r="O964" s="1490"/>
      <c r="P964" s="1490"/>
      <c r="Q964" s="1490"/>
      <c r="R964" s="1491"/>
      <c r="S964" s="1489"/>
      <c r="T964" s="1490"/>
      <c r="U964" s="1490"/>
      <c r="V964" s="1490"/>
      <c r="W964" s="1491"/>
      <c r="X964" s="1489"/>
      <c r="Y964" s="1490"/>
      <c r="Z964" s="1490"/>
      <c r="AA964" s="1490"/>
      <c r="AB964" s="1491"/>
      <c r="AC964" s="1489"/>
      <c r="AD964" s="1490"/>
      <c r="AE964" s="1490"/>
      <c r="AF964" s="1490"/>
      <c r="AG964" s="1491"/>
      <c r="AH964" s="1489"/>
      <c r="AI964" s="1490"/>
      <c r="AJ964" s="1490"/>
      <c r="AK964" s="1490"/>
      <c r="AL964" s="1491"/>
      <c r="AM964" s="622"/>
      <c r="AN964" s="621"/>
      <c r="AO964" s="621"/>
      <c r="AP964" s="621"/>
      <c r="AQ964" s="585"/>
      <c r="AR964" s="622"/>
      <c r="AS964" s="621"/>
      <c r="AT964" s="621"/>
      <c r="AU964" s="621"/>
      <c r="AV964" s="585"/>
      <c r="AW964" s="622"/>
      <c r="AX964" s="2364"/>
      <c r="AY964" s="2364"/>
      <c r="AZ964" s="2364"/>
      <c r="BA964" s="585"/>
      <c r="BB964" s="622">
        <v>0</v>
      </c>
      <c r="BC964" s="622">
        <v>0</v>
      </c>
      <c r="BD964" s="622">
        <v>0</v>
      </c>
      <c r="BE964" s="622">
        <v>0</v>
      </c>
      <c r="BF964" s="585">
        <f>SUM(BB964:BE964)</f>
        <v>0</v>
      </c>
      <c r="BG964" s="667">
        <v>0</v>
      </c>
      <c r="BH964" s="3141">
        <v>0</v>
      </c>
      <c r="BI964" s="3142">
        <v>0</v>
      </c>
      <c r="BJ964" s="3142">
        <v>0</v>
      </c>
      <c r="BK964" s="585">
        <f>SUM(BG964:BJ964)</f>
        <v>0</v>
      </c>
      <c r="BL964" s="667">
        <v>0</v>
      </c>
      <c r="BM964" s="3141">
        <v>0</v>
      </c>
      <c r="BN964" s="3142">
        <v>0</v>
      </c>
      <c r="BO964" s="2934"/>
      <c r="BP964" s="585"/>
      <c r="BQ964" s="3142"/>
      <c r="BR964" s="3142"/>
      <c r="BS964" s="3142"/>
      <c r="BT964" s="2934"/>
      <c r="BU964" s="3356"/>
      <c r="BV964" s="3142"/>
      <c r="BW964" s="3142"/>
      <c r="BX964" s="3142"/>
      <c r="BY964" s="2934"/>
      <c r="BZ964" s="586"/>
      <c r="CA964" s="586"/>
      <c r="CB964" s="586"/>
      <c r="CC964" s="586">
        <v>0</v>
      </c>
      <c r="CD964" s="586">
        <v>0</v>
      </c>
      <c r="CE964" s="586">
        <v>0</v>
      </c>
      <c r="CF964" s="586">
        <v>0</v>
      </c>
      <c r="CG964" s="586">
        <v>0</v>
      </c>
      <c r="CH964" s="570"/>
      <c r="CI964" s="570"/>
      <c r="CJ964" s="570"/>
      <c r="CK964" s="570"/>
      <c r="CL964" s="570"/>
      <c r="CM964" s="570"/>
      <c r="CN964" s="570"/>
      <c r="CO964" s="570"/>
      <c r="CP964" s="90"/>
      <c r="CQ964" s="621"/>
      <c r="CR964" s="621"/>
      <c r="CS964" s="621"/>
      <c r="CT964" s="621"/>
      <c r="CU964" s="621"/>
      <c r="CV964" s="621"/>
      <c r="CW964" s="621"/>
      <c r="CX964" s="621"/>
      <c r="CY964" s="621"/>
      <c r="CZ964" s="621"/>
      <c r="DA964" s="621"/>
      <c r="DB964" s="621"/>
      <c r="DC964" s="621"/>
      <c r="DD964" s="621"/>
      <c r="DE964" s="621"/>
      <c r="DF964" s="621"/>
      <c r="DG964" s="842"/>
      <c r="DH964" s="595"/>
      <c r="DI964" s="595"/>
      <c r="DJ964" s="595"/>
      <c r="DK964" s="595"/>
      <c r="DL964" s="595"/>
      <c r="DM964" s="595"/>
      <c r="DN964" s="514"/>
      <c r="DO964" s="226"/>
      <c r="DY964" s="621"/>
      <c r="DZ964" s="621"/>
    </row>
    <row r="965" spans="1:130" ht="12" customHeight="1">
      <c r="A965" s="1561" t="s">
        <v>1582</v>
      </c>
      <c r="B965" s="1569"/>
      <c r="C965" s="1569"/>
      <c r="D965" s="1566">
        <f t="shared" ref="D965:AP965" si="1839">SUM(D958:D963)</f>
        <v>22.807329999999997</v>
      </c>
      <c r="E965" s="1567">
        <f t="shared" si="1839"/>
        <v>33.968769999999999</v>
      </c>
      <c r="F965" s="1567">
        <f t="shared" si="1839"/>
        <v>44.639709999999994</v>
      </c>
      <c r="G965" s="1567">
        <f t="shared" si="1839"/>
        <v>68.751619999999988</v>
      </c>
      <c r="H965" s="1568">
        <f t="shared" si="1839"/>
        <v>170.16743000000002</v>
      </c>
      <c r="I965" s="1566">
        <f t="shared" si="1839"/>
        <v>46.14297999999998</v>
      </c>
      <c r="J965" s="1567">
        <f t="shared" si="1839"/>
        <v>44.668419999999998</v>
      </c>
      <c r="K965" s="1567">
        <f t="shared" si="1839"/>
        <v>63.385280000000009</v>
      </c>
      <c r="L965" s="1567">
        <f t="shared" si="1839"/>
        <v>51.182829999999981</v>
      </c>
      <c r="M965" s="1568">
        <f t="shared" si="1839"/>
        <v>205.37950999999993</v>
      </c>
      <c r="N965" s="1566">
        <f t="shared" si="1839"/>
        <v>55.202960000000012</v>
      </c>
      <c r="O965" s="1567">
        <f t="shared" si="1839"/>
        <v>47.787840000000017</v>
      </c>
      <c r="P965" s="1567">
        <f t="shared" si="1839"/>
        <v>57.476450000000028</v>
      </c>
      <c r="Q965" s="1567">
        <f t="shared" si="1839"/>
        <v>40.992799999999988</v>
      </c>
      <c r="R965" s="1568">
        <f t="shared" si="1839"/>
        <v>201.46005000000014</v>
      </c>
      <c r="S965" s="1566">
        <f t="shared" si="1839"/>
        <v>46.854099999999995</v>
      </c>
      <c r="T965" s="1567">
        <f t="shared" si="1839"/>
        <v>41.253029999999995</v>
      </c>
      <c r="U965" s="1567">
        <f t="shared" si="1839"/>
        <v>58.881359999999994</v>
      </c>
      <c r="V965" s="1567">
        <f t="shared" si="1839"/>
        <v>42.032220000000002</v>
      </c>
      <c r="W965" s="1568">
        <f t="shared" si="1839"/>
        <v>189.02070999999989</v>
      </c>
      <c r="X965" s="1566">
        <f t="shared" si="1839"/>
        <v>40.194280000000006</v>
      </c>
      <c r="Y965" s="1567">
        <f t="shared" si="1839"/>
        <v>32.758170000000007</v>
      </c>
      <c r="Z965" s="1567">
        <f t="shared" si="1839"/>
        <v>42.277369999999983</v>
      </c>
      <c r="AA965" s="1567">
        <f t="shared" si="1839"/>
        <v>24.972510000000018</v>
      </c>
      <c r="AB965" s="1568">
        <f t="shared" si="1839"/>
        <v>140.20233000000007</v>
      </c>
      <c r="AC965" s="1566">
        <f t="shared" si="1839"/>
        <v>32.439499999999988</v>
      </c>
      <c r="AD965" s="1567">
        <f t="shared" si="1839"/>
        <v>34.264499999999998</v>
      </c>
      <c r="AE965" s="1567">
        <f t="shared" si="1839"/>
        <v>48.6965</v>
      </c>
      <c r="AF965" s="1567">
        <f t="shared" si="1839"/>
        <v>25.84849999999998</v>
      </c>
      <c r="AG965" s="1568">
        <f t="shared" si="1839"/>
        <v>141.249</v>
      </c>
      <c r="AH965" s="1566">
        <f t="shared" si="1839"/>
        <v>25.715019999999999</v>
      </c>
      <c r="AI965" s="1567">
        <f t="shared" si="1839"/>
        <v>31.969980000000003</v>
      </c>
      <c r="AJ965" s="1567">
        <f t="shared" si="1839"/>
        <v>31.498000000000019</v>
      </c>
      <c r="AK965" s="1567">
        <f t="shared" si="1839"/>
        <v>8.9529999999999905</v>
      </c>
      <c r="AL965" s="1568">
        <f t="shared" si="1839"/>
        <v>98.136000000000081</v>
      </c>
      <c r="AM965" s="1567">
        <f>SUM(AM958:AM963)</f>
        <v>12.518999999999986</v>
      </c>
      <c r="AN965" s="1567">
        <f t="shared" si="1839"/>
        <v>14.600000000000012</v>
      </c>
      <c r="AO965" s="1567">
        <f t="shared" si="1839"/>
        <v>24.902999999999995</v>
      </c>
      <c r="AP965" s="1567">
        <f t="shared" si="1839"/>
        <v>1.4999999999999865</v>
      </c>
      <c r="AQ965" s="1568">
        <f t="shared" ref="AQ965:BA965" si="1840">SUM(AQ958:AQ963)</f>
        <v>53.521999999999998</v>
      </c>
      <c r="AR965" s="1567">
        <f t="shared" si="1840"/>
        <v>1.5220000000000027</v>
      </c>
      <c r="AS965" s="1567">
        <f t="shared" si="1840"/>
        <v>-1.1090000000000011</v>
      </c>
      <c r="AT965" s="1567">
        <f t="shared" si="1840"/>
        <v>10.232000000000005</v>
      </c>
      <c r="AU965" s="1567">
        <f t="shared" si="1840"/>
        <v>-5.1950000000000038</v>
      </c>
      <c r="AV965" s="1568">
        <f t="shared" si="1840"/>
        <v>5.4500000000000268</v>
      </c>
      <c r="AW965" s="1567">
        <f t="shared" si="1840"/>
        <v>6.4430000000000005</v>
      </c>
      <c r="AX965" s="1567">
        <f t="shared" si="1840"/>
        <v>1.3240000000000014</v>
      </c>
      <c r="AY965" s="1567">
        <f t="shared" si="1840"/>
        <v>20.778999999999996</v>
      </c>
      <c r="AZ965" s="1567">
        <f t="shared" si="1840"/>
        <v>-3.7860000000000005</v>
      </c>
      <c r="BA965" s="1568">
        <f t="shared" si="1840"/>
        <v>24.75999999999998</v>
      </c>
      <c r="BB965" s="1567">
        <f t="shared" ref="BB965:BN965" si="1841">SUM(BB958:BB964)</f>
        <v>2.6030000000000006</v>
      </c>
      <c r="BC965" s="1567">
        <f t="shared" si="1841"/>
        <v>17.907</v>
      </c>
      <c r="BD965" s="1567">
        <f t="shared" si="1841"/>
        <v>34.933</v>
      </c>
      <c r="BE965" s="1567">
        <f t="shared" si="1841"/>
        <v>12.725146874999997</v>
      </c>
      <c r="BF965" s="1568">
        <f t="shared" si="1841"/>
        <v>68.168146874999991</v>
      </c>
      <c r="BG965" s="1566">
        <f t="shared" si="1841"/>
        <v>15.445000000000004</v>
      </c>
      <c r="BH965" s="1567">
        <f t="shared" si="1841"/>
        <v>18.046000000000003</v>
      </c>
      <c r="BI965" s="1567">
        <f t="shared" si="1841"/>
        <v>59.899000000000015</v>
      </c>
      <c r="BJ965" s="1903">
        <f t="shared" si="1841"/>
        <v>25.649999999999995</v>
      </c>
      <c r="BK965" s="1568">
        <f t="shared" si="1841"/>
        <v>119.03999999999984</v>
      </c>
      <c r="BL965" s="1567">
        <f t="shared" si="1841"/>
        <v>23.697999999999997</v>
      </c>
      <c r="BM965" s="1567">
        <f t="shared" si="1841"/>
        <v>38.352000000000004</v>
      </c>
      <c r="BN965" s="1567">
        <f t="shared" si="1841"/>
        <v>119.84022087474413</v>
      </c>
      <c r="BO965" s="1903"/>
      <c r="BP965" s="1568"/>
      <c r="BQ965" s="1567"/>
      <c r="BR965" s="1567"/>
      <c r="BS965" s="1567"/>
      <c r="BT965" s="1903"/>
      <c r="BU965" s="3422"/>
      <c r="BV965" s="1567"/>
      <c r="BW965" s="1567"/>
      <c r="BX965" s="1567"/>
      <c r="BY965" s="1903"/>
      <c r="BZ965" s="1568"/>
      <c r="CA965" s="1568"/>
      <c r="CB965" s="1568"/>
      <c r="CC965" s="1568">
        <f>SUM(CC958:CC964)</f>
        <v>2.0480908170857433</v>
      </c>
      <c r="CD965" s="1568">
        <f>SUM(CD958:CD964)</f>
        <v>1.5956862762314685</v>
      </c>
      <c r="CE965" s="1568">
        <f>SUM(CE958:CE964)</f>
        <v>1.7676000017560867</v>
      </c>
      <c r="CF965" s="1568">
        <f>SUM(CF958:CF964)</f>
        <v>1.9429520017912125</v>
      </c>
      <c r="CG965" s="1568">
        <f>SUM(CG958:CG964)</f>
        <v>2.1218110418270371</v>
      </c>
      <c r="CH965" s="570"/>
      <c r="CI965" s="570"/>
      <c r="CJ965" s="570"/>
      <c r="CK965" s="570"/>
      <c r="CL965" s="570"/>
      <c r="CM965" s="570"/>
      <c r="CN965" s="570"/>
      <c r="CO965" s="570"/>
      <c r="CP965" s="1561" t="str">
        <f t="shared" si="1822"/>
        <v>Borgata FCF</v>
      </c>
      <c r="CQ965" s="1567">
        <f t="shared" si="1823"/>
        <v>170.16743000000002</v>
      </c>
      <c r="CR965" s="1567">
        <f t="shared" si="1812"/>
        <v>205.37950999999993</v>
      </c>
      <c r="CS965" s="1567">
        <f t="shared" si="1813"/>
        <v>201.46005000000014</v>
      </c>
      <c r="CT965" s="1567">
        <f t="shared" si="1814"/>
        <v>189.02070999999989</v>
      </c>
      <c r="CU965" s="1567">
        <f t="shared" si="1815"/>
        <v>140.20233000000007</v>
      </c>
      <c r="CV965" s="1567">
        <f t="shared" si="1816"/>
        <v>141.249</v>
      </c>
      <c r="CW965" s="1567">
        <f t="shared" si="1824"/>
        <v>98.136000000000081</v>
      </c>
      <c r="CX965" s="1567">
        <f t="shared" si="1825"/>
        <v>53.521999999999998</v>
      </c>
      <c r="CY965" s="1567">
        <f t="shared" si="1817"/>
        <v>5.4500000000000268</v>
      </c>
      <c r="CZ965" s="1567">
        <f t="shared" si="1818"/>
        <v>24.75999999999998</v>
      </c>
      <c r="DA965" s="1567">
        <f t="shared" si="1826"/>
        <v>68.168146874999991</v>
      </c>
      <c r="DB965" s="1567">
        <f>BK965</f>
        <v>119.03999999999984</v>
      </c>
      <c r="DC965" s="1567">
        <f t="shared" si="1827"/>
        <v>0</v>
      </c>
      <c r="DD965" s="1567">
        <f t="shared" si="1828"/>
        <v>0</v>
      </c>
      <c r="DE965" s="1567">
        <f t="shared" si="1829"/>
        <v>0</v>
      </c>
      <c r="DF965" s="1567">
        <f t="shared" si="1830"/>
        <v>0</v>
      </c>
      <c r="DG965" s="1903">
        <f t="shared" si="1831"/>
        <v>0</v>
      </c>
      <c r="DH965" s="595"/>
      <c r="DI965" s="595"/>
      <c r="DJ965" s="595"/>
      <c r="DK965" s="595"/>
      <c r="DL965" s="595"/>
      <c r="DM965" s="595"/>
      <c r="DN965" s="514"/>
      <c r="DO965" s="226"/>
      <c r="DY965" s="354"/>
      <c r="DZ965" s="354"/>
    </row>
    <row r="966" spans="1:130" ht="12" customHeight="1">
      <c r="A966" s="228"/>
      <c r="B966" s="228"/>
      <c r="C966" s="228"/>
      <c r="D966" s="582"/>
      <c r="E966" s="621"/>
      <c r="F966" s="621"/>
      <c r="G966" s="621"/>
      <c r="H966" s="585"/>
      <c r="I966" s="621"/>
      <c r="J966" s="621"/>
      <c r="K966" s="621"/>
      <c r="L966" s="621"/>
      <c r="M966" s="585"/>
      <c r="N966" s="621"/>
      <c r="O966" s="621"/>
      <c r="P966" s="621"/>
      <c r="Q966" s="621"/>
      <c r="R966" s="585"/>
      <c r="S966" s="621"/>
      <c r="T966" s="621"/>
      <c r="U966" s="621"/>
      <c r="V966" s="621"/>
      <c r="W966" s="585"/>
      <c r="X966" s="621"/>
      <c r="Y966" s="621"/>
      <c r="Z966" s="621"/>
      <c r="AA966" s="621"/>
      <c r="AB966" s="585"/>
      <c r="AC966" s="621"/>
      <c r="AD966" s="621"/>
      <c r="AE966" s="621"/>
      <c r="AF966" s="621"/>
      <c r="AG966" s="585"/>
      <c r="AH966" s="621"/>
      <c r="AI966" s="621"/>
      <c r="AJ966" s="621"/>
      <c r="AK966" s="621"/>
      <c r="AL966" s="585"/>
      <c r="AM966" s="621"/>
      <c r="AN966" s="621"/>
      <c r="AO966" s="621"/>
      <c r="AP966" s="621"/>
      <c r="AQ966" s="585"/>
      <c r="AR966" s="621"/>
      <c r="AS966" s="621"/>
      <c r="AT966" s="621"/>
      <c r="AU966" s="621"/>
      <c r="AV966" s="585"/>
      <c r="AW966" s="621"/>
      <c r="AX966" s="621"/>
      <c r="AY966" s="621"/>
      <c r="AZ966" s="621"/>
      <c r="BA966" s="585"/>
      <c r="BB966" s="621"/>
      <c r="BC966" s="621"/>
      <c r="BD966" s="621"/>
      <c r="BE966" s="621"/>
      <c r="BF966" s="585"/>
      <c r="BG966" s="582"/>
      <c r="BH966" s="621"/>
      <c r="BI966" s="621"/>
      <c r="BJ966" s="842"/>
      <c r="BK966" s="585"/>
      <c r="BL966" s="621"/>
      <c r="BM966" s="621"/>
      <c r="BN966" s="621"/>
      <c r="BO966" s="842"/>
      <c r="BP966" s="585"/>
      <c r="BQ966" s="621"/>
      <c r="BR966" s="621"/>
      <c r="BS966" s="621"/>
      <c r="BT966" s="842"/>
      <c r="BU966" s="3356"/>
      <c r="BV966" s="621"/>
      <c r="BW966" s="621"/>
      <c r="BX966" s="621"/>
      <c r="BY966" s="842"/>
      <c r="BZ966" s="585"/>
      <c r="CA966" s="585"/>
      <c r="CB966" s="585"/>
      <c r="CC966" s="585"/>
      <c r="CD966" s="585"/>
      <c r="CE966" s="585"/>
      <c r="CF966" s="585"/>
      <c r="CG966" s="585"/>
      <c r="CH966" s="570"/>
      <c r="CI966" s="570"/>
      <c r="CJ966" s="570"/>
      <c r="CK966" s="570"/>
      <c r="CL966" s="570"/>
      <c r="CM966" s="570"/>
      <c r="CN966" s="570"/>
      <c r="CO966" s="570"/>
      <c r="CP966" s="1847"/>
      <c r="CQ966" s="621"/>
      <c r="CR966" s="621"/>
      <c r="CS966" s="621"/>
      <c r="CT966" s="621"/>
      <c r="CU966" s="621"/>
      <c r="CV966" s="621"/>
      <c r="CW966" s="621"/>
      <c r="CX966" s="621"/>
      <c r="CY966" s="621"/>
      <c r="CZ966" s="621"/>
      <c r="DA966" s="621"/>
      <c r="DB966" s="621"/>
      <c r="DC966" s="621"/>
      <c r="DD966" s="621"/>
      <c r="DE966" s="621"/>
      <c r="DF966" s="621"/>
      <c r="DG966" s="842"/>
      <c r="DH966" s="595"/>
      <c r="DI966" s="595"/>
      <c r="DJ966" s="595"/>
      <c r="DK966" s="595"/>
      <c r="DL966" s="595"/>
      <c r="DM966" s="595"/>
      <c r="DN966" s="514"/>
      <c r="DO966" s="226"/>
      <c r="DY966" s="621"/>
      <c r="DZ966" s="621"/>
    </row>
    <row r="967" spans="1:130" ht="12" customHeight="1">
      <c r="A967" s="198" t="s">
        <v>1166</v>
      </c>
      <c r="B967" s="445"/>
      <c r="C967" s="445"/>
      <c r="D967" s="667">
        <f>D945-(585-D979)+D936-D990</f>
        <v>11.119330000000009</v>
      </c>
      <c r="E967" s="621">
        <f>E945-(D979-E979)+E936-E990</f>
        <v>-30.816229999999972</v>
      </c>
      <c r="F967" s="621">
        <f>F945-(E979-F979)+F936-F990</f>
        <v>-4.1122900000000717</v>
      </c>
      <c r="G967" s="621">
        <f>G945-(F979-G979)+G936-G990</f>
        <v>34.576620000000034</v>
      </c>
      <c r="H967" s="585">
        <f>SUM(D967:G967)</f>
        <v>10.767429999999997</v>
      </c>
      <c r="I967" s="621">
        <f>I945-(H979-I979)+I936-I990</f>
        <v>6.7429799999999487</v>
      </c>
      <c r="J967" s="621">
        <f>J945-(I979-J979)+J936-J990</f>
        <v>24.568420000000032</v>
      </c>
      <c r="K967" s="621">
        <f>K945-(J979-K979)+K936-K990</f>
        <v>24.18527999999996</v>
      </c>
      <c r="L967" s="621">
        <f>L945-(K979-L979)+L936-L990</f>
        <v>65.982830000000007</v>
      </c>
      <c r="M967" s="585">
        <f>SUM(I967:L967)</f>
        <v>121.47950999999995</v>
      </c>
      <c r="N967" s="621">
        <f>N945-(M979-N979)+N936-N990</f>
        <v>88.580960000000019</v>
      </c>
      <c r="O967" s="621">
        <f>O945-(N979-O979)+O936-O990</f>
        <v>142.38983999999999</v>
      </c>
      <c r="P967" s="621">
        <f>P945-(O979-P979)+P936-P990</f>
        <v>78.600450000000023</v>
      </c>
      <c r="Q967" s="621">
        <f>Q945-(P979-Q979)+Q936-Q990</f>
        <v>95.85180000000004</v>
      </c>
      <c r="R967" s="585">
        <f>SUM(N967:Q967)</f>
        <v>405.42305000000005</v>
      </c>
      <c r="S967" s="621">
        <f>S945-(R979-S979)+S936-S990</f>
        <v>46.78209999999995</v>
      </c>
      <c r="T967" s="621">
        <f>T945-(S979-T979)+T936-T990</f>
        <v>110.47303000000004</v>
      </c>
      <c r="U967" s="621">
        <f>U945-(T979-U979)+U936-U990</f>
        <v>87.967359999999942</v>
      </c>
      <c r="V967" s="621">
        <f>V945-(U979-V979)+V936-V990</f>
        <v>107.82622000000008</v>
      </c>
      <c r="W967" s="585">
        <f>SUM(S967:V967)</f>
        <v>353.04871000000003</v>
      </c>
      <c r="X967" s="621">
        <f>X945-(W979-X979)+X936-X990</f>
        <v>68.338279999999912</v>
      </c>
      <c r="Y967" s="621">
        <f>Y945-(X979-Y979)+Y936-Y990</f>
        <v>23.140170000000037</v>
      </c>
      <c r="Z967" s="621">
        <f>Z945-(Y979-Z979)+Z936-Z990</f>
        <v>-2.0536300000000187</v>
      </c>
      <c r="AA967" s="621">
        <f>AA945-(Z979-AA979)+AA936-AA990</f>
        <v>62.84551000000004</v>
      </c>
      <c r="AB967" s="585">
        <f>SUM(X967:AA967)</f>
        <v>152.27032999999997</v>
      </c>
      <c r="AC967" s="621">
        <f>AC945-(AB979-AC979)+AC936-AC990</f>
        <v>-8.5035000000000327</v>
      </c>
      <c r="AD967" s="621">
        <f>AD945-(AC979-AD979)+AD936-AD990</f>
        <v>0.72550000000004111</v>
      </c>
      <c r="AE967" s="621">
        <f>AE945-(AD979-AE979)+AE936-AE990</f>
        <v>5.6734999999999456</v>
      </c>
      <c r="AF967" s="621">
        <f>AF945-(AE979-AF979)+AF936-AF990</f>
        <v>110.39050000000002</v>
      </c>
      <c r="AG967" s="585">
        <f>SUM(AC967:AF967)</f>
        <v>108.28599999999997</v>
      </c>
      <c r="AH967" s="621">
        <f>AH945-(AG979-AH979)+AH936-AH990</f>
        <v>-23.671980000000076</v>
      </c>
      <c r="AI967" s="621">
        <f>AI945-(AH979-AI979)+AI936-AI990</f>
        <v>28.529980000000013</v>
      </c>
      <c r="AJ967" s="621">
        <f>AJ945-(AI979-AJ979)+AJ936-AJ990</f>
        <v>225.38200000000006</v>
      </c>
      <c r="AK967" s="621">
        <f>AK945-(AJ979-AK979)+AK936-AK990</f>
        <v>13.784999999999908</v>
      </c>
      <c r="AL967" s="585">
        <f>SUM(AH967:AK967)</f>
        <v>244.02499999999992</v>
      </c>
      <c r="AM967" s="621">
        <f>AM945-(AL979-AM979)+AM936-AM990</f>
        <v>-15.316999999999791</v>
      </c>
      <c r="AN967" s="621">
        <f>AN945-(AM979-AN979)+AN936-AN990</f>
        <v>28.602999999999881</v>
      </c>
      <c r="AO967" s="621">
        <f>AO945-(AN979-AO979)+AO936-AO990</f>
        <v>10.251000000000001</v>
      </c>
      <c r="AP967" s="621">
        <f>AP945-(AO979-AP979)+AP936-AP990</f>
        <v>40.276000000000032</v>
      </c>
      <c r="AQ967" s="585">
        <f>SUM(AM967:AP967)</f>
        <v>63.813000000000123</v>
      </c>
      <c r="AR967" s="621"/>
      <c r="AS967" s="621"/>
      <c r="AT967" s="621"/>
      <c r="AU967" s="621"/>
      <c r="AV967" s="585">
        <f>AV945-(AQ979-AV979)+AV936-AV990</f>
        <v>-7.9999999999994742E-2</v>
      </c>
      <c r="AW967" s="621"/>
      <c r="AX967" s="621"/>
      <c r="AY967" s="621"/>
      <c r="AZ967" s="621"/>
      <c r="BA967" s="585">
        <f>BA945-(AV979-BA979)+BA936-BA990</f>
        <v>-10.015000000000065</v>
      </c>
      <c r="BB967" s="621"/>
      <c r="BC967" s="621"/>
      <c r="BD967" s="621"/>
      <c r="BE967" s="621"/>
      <c r="BF967" s="585">
        <f>BF945-(BA979-BF979)+BF936-BF990</f>
        <v>27.986146874999967</v>
      </c>
      <c r="BG967" s="582"/>
      <c r="BH967" s="621"/>
      <c r="BI967" s="621"/>
      <c r="BJ967" s="842"/>
      <c r="BK967" s="585">
        <f>BK945-(BF979-BK979)+BK936-BK990</f>
        <v>31.344000000000065</v>
      </c>
      <c r="BL967" s="621"/>
      <c r="BM967" s="621"/>
      <c r="BN967" s="621"/>
      <c r="BO967" s="842"/>
      <c r="BP967" s="585"/>
      <c r="BQ967" s="621"/>
      <c r="BR967" s="621"/>
      <c r="BS967" s="621"/>
      <c r="BT967" s="842"/>
      <c r="BU967" s="3356"/>
      <c r="BV967" s="621"/>
      <c r="BW967" s="621"/>
      <c r="BX967" s="621"/>
      <c r="BY967" s="842"/>
      <c r="BZ967" s="585"/>
      <c r="CA967" s="585"/>
      <c r="CB967" s="585"/>
      <c r="CC967" s="585"/>
      <c r="CD967" s="585"/>
      <c r="CE967" s="585"/>
      <c r="CF967" s="585"/>
      <c r="CG967" s="585"/>
      <c r="CH967" s="621"/>
      <c r="CI967" s="621"/>
      <c r="CJ967" s="621"/>
      <c r="CK967" s="621"/>
      <c r="CL967" s="621"/>
      <c r="CM967" s="621"/>
      <c r="CN967" s="621"/>
      <c r="CO967" s="621"/>
      <c r="CP967" s="934" t="str">
        <f t="shared" si="1822"/>
        <v>Free Cash Flow after Debt Paydown</v>
      </c>
      <c r="CQ967" s="621">
        <f>H967</f>
        <v>10.767429999999997</v>
      </c>
      <c r="CR967" s="621">
        <f>M967</f>
        <v>121.47950999999995</v>
      </c>
      <c r="CS967" s="621">
        <f>R967</f>
        <v>405.42305000000005</v>
      </c>
      <c r="CT967" s="621">
        <f>W967</f>
        <v>353.04871000000003</v>
      </c>
      <c r="CU967" s="621">
        <f>AB967</f>
        <v>152.27032999999997</v>
      </c>
      <c r="CV967" s="621">
        <f>AG967</f>
        <v>108.28599999999997</v>
      </c>
      <c r="CW967" s="621">
        <f t="shared" si="1824"/>
        <v>244.02499999999992</v>
      </c>
      <c r="CX967" s="621">
        <f t="shared" si="1825"/>
        <v>63.813000000000123</v>
      </c>
      <c r="CY967" s="621">
        <f>AV967</f>
        <v>-7.9999999999994742E-2</v>
      </c>
      <c r="CZ967" s="621">
        <f>BA967</f>
        <v>-10.015000000000065</v>
      </c>
      <c r="DA967" s="621">
        <f>BF967</f>
        <v>27.986146874999967</v>
      </c>
      <c r="DB967" s="621">
        <f>BK967</f>
        <v>31.344000000000065</v>
      </c>
      <c r="DC967" s="621"/>
      <c r="DD967" s="621"/>
      <c r="DE967" s="621"/>
      <c r="DF967" s="621"/>
      <c r="DG967" s="842"/>
      <c r="DH967" s="620"/>
      <c r="DI967" s="843"/>
      <c r="DJ967" s="570"/>
      <c r="DK967" s="570"/>
      <c r="DL967" s="570"/>
      <c r="DM967" s="570"/>
      <c r="DN967" s="222"/>
      <c r="DO967" s="226"/>
      <c r="DY967" s="621"/>
      <c r="DZ967" s="621"/>
    </row>
    <row r="968" spans="1:130" ht="12" customHeight="1">
      <c r="A968" s="844" t="s">
        <v>329</v>
      </c>
      <c r="B968" s="844"/>
      <c r="C968" s="844"/>
      <c r="D968" s="846">
        <f>D1016</f>
        <v>0</v>
      </c>
      <c r="E968" s="847">
        <f>E1016</f>
        <v>0</v>
      </c>
      <c r="F968" s="847">
        <f>F1016</f>
        <v>0</v>
      </c>
      <c r="G968" s="848">
        <f>G1016</f>
        <v>0</v>
      </c>
      <c r="H968" s="849">
        <f>SUM(D968:G968)</f>
        <v>0</v>
      </c>
      <c r="I968" s="846">
        <f>I1016</f>
        <v>6.7220000000000004</v>
      </c>
      <c r="J968" s="847">
        <f>J1016</f>
        <v>6.5669999999999993</v>
      </c>
      <c r="K968" s="847">
        <f>K1016</f>
        <v>6.3379999999999983</v>
      </c>
      <c r="L968" s="848">
        <f>L1016</f>
        <v>9.7110000000000021</v>
      </c>
      <c r="M968" s="849">
        <f>SUM(I968:L968)</f>
        <v>29.338000000000001</v>
      </c>
      <c r="N968" s="846">
        <f>N1016</f>
        <v>20.297999999999998</v>
      </c>
      <c r="O968" s="847">
        <f>O1016</f>
        <v>22.355</v>
      </c>
      <c r="P968" s="847">
        <f>P1016</f>
        <v>17.399000000000004</v>
      </c>
      <c r="Q968" s="848">
        <f>Q1016</f>
        <v>22.550999999999991</v>
      </c>
      <c r="R968" s="849">
        <f>SUM(N968:Q968)</f>
        <v>82.602999999999994</v>
      </c>
      <c r="S968" s="846">
        <f>S1016</f>
        <v>14.611000000000001</v>
      </c>
      <c r="T968" s="847">
        <f>T1016</f>
        <v>17.633999999999997</v>
      </c>
      <c r="U968" s="847">
        <f>U1016</f>
        <v>14.464000000000006</v>
      </c>
      <c r="V968" s="848">
        <f>V1016</f>
        <v>23.860999999999994</v>
      </c>
      <c r="W968" s="849">
        <f>SUM(S968:V968)</f>
        <v>70.569999999999993</v>
      </c>
      <c r="X968" s="846">
        <f>X1016</f>
        <v>14.707000000000001</v>
      </c>
      <c r="Y968" s="847">
        <f>Y1016</f>
        <v>4.8719999999999999</v>
      </c>
      <c r="Z968" s="847">
        <f>Z1016</f>
        <v>0</v>
      </c>
      <c r="AA968" s="848">
        <f>AA1016</f>
        <v>0</v>
      </c>
      <c r="AB968" s="849">
        <f>SUM(X968:AA968)</f>
        <v>19.579000000000001</v>
      </c>
      <c r="AC968" s="846">
        <f>AC1016</f>
        <v>9.7029999999999994</v>
      </c>
      <c r="AD968" s="847">
        <f>AD1016</f>
        <v>2.8780000000000001</v>
      </c>
      <c r="AE968" s="847">
        <f>AE1016</f>
        <v>3.1959999999999997</v>
      </c>
      <c r="AF968" s="848">
        <f>AF1016</f>
        <v>44.359000000000009</v>
      </c>
      <c r="AG968" s="849">
        <f>SUM(AC968:AF968)</f>
        <v>60.13600000000001</v>
      </c>
      <c r="AH968" s="846">
        <f>AH1016</f>
        <v>1.91</v>
      </c>
      <c r="AI968" s="1296">
        <f>(35.023-AH968)/2</f>
        <v>16.556500000000003</v>
      </c>
      <c r="AJ968" s="1296">
        <v>112.5</v>
      </c>
      <c r="AK968" s="847">
        <f>AK1016</f>
        <v>0</v>
      </c>
      <c r="AL968" s="849">
        <f>SUM(AH968:AK968)</f>
        <v>130.9665</v>
      </c>
      <c r="AM968" s="847">
        <f>AM1016</f>
        <v>0</v>
      </c>
      <c r="AN968" s="847">
        <f>AN1016</f>
        <v>0</v>
      </c>
      <c r="AO968" s="847">
        <f>AO1016</f>
        <v>0</v>
      </c>
      <c r="AP968" s="847">
        <f>AP1016</f>
        <v>0</v>
      </c>
      <c r="AQ968" s="849">
        <f>SUM(AM968:AP968)</f>
        <v>0</v>
      </c>
      <c r="AR968" s="847"/>
      <c r="AS968" s="847"/>
      <c r="AT968" s="847"/>
      <c r="AU968" s="847"/>
      <c r="AV968" s="849">
        <f>AV1016</f>
        <v>0</v>
      </c>
      <c r="AW968" s="847"/>
      <c r="AX968" s="847"/>
      <c r="AY968" s="847"/>
      <c r="AZ968" s="847"/>
      <c r="BA968" s="849">
        <f>BA1016</f>
        <v>0</v>
      </c>
      <c r="BB968" s="847"/>
      <c r="BC968" s="847"/>
      <c r="BD968" s="847"/>
      <c r="BE968" s="847"/>
      <c r="BF968" s="849">
        <f>BF1016</f>
        <v>0</v>
      </c>
      <c r="BG968" s="846"/>
      <c r="BH968" s="847"/>
      <c r="BI968" s="847"/>
      <c r="BJ968" s="848"/>
      <c r="BK968" s="849">
        <f>BK1016</f>
        <v>0</v>
      </c>
      <c r="BL968" s="847"/>
      <c r="BM968" s="847"/>
      <c r="BN968" s="847"/>
      <c r="BO968" s="848"/>
      <c r="BP968" s="849"/>
      <c r="BQ968" s="847"/>
      <c r="BR968" s="847"/>
      <c r="BS968" s="847"/>
      <c r="BT968" s="848"/>
      <c r="BU968" s="3427"/>
      <c r="BV968" s="847"/>
      <c r="BW968" s="847"/>
      <c r="BX968" s="847"/>
      <c r="BY968" s="848"/>
      <c r="BZ968" s="849"/>
      <c r="CA968" s="849"/>
      <c r="CB968" s="849"/>
      <c r="CC968" s="849"/>
      <c r="CD968" s="849"/>
      <c r="CE968" s="849"/>
      <c r="CF968" s="849"/>
      <c r="CG968" s="849"/>
      <c r="CH968" s="847"/>
      <c r="CI968" s="847"/>
      <c r="CJ968" s="847"/>
      <c r="CK968" s="847"/>
      <c r="CL968" s="847"/>
      <c r="CM968" s="847"/>
      <c r="CN968" s="847"/>
      <c r="CO968" s="847"/>
      <c r="CP968" s="996" t="str">
        <f t="shared" si="1822"/>
        <v>Borgata Distribution to BYD</v>
      </c>
      <c r="CQ968" s="847">
        <f>H968</f>
        <v>0</v>
      </c>
      <c r="CR968" s="847">
        <f>M968</f>
        <v>29.338000000000001</v>
      </c>
      <c r="CS968" s="847">
        <f>R968</f>
        <v>82.602999999999994</v>
      </c>
      <c r="CT968" s="847">
        <f>W968</f>
        <v>70.569999999999993</v>
      </c>
      <c r="CU968" s="847">
        <f>AB968</f>
        <v>19.579000000000001</v>
      </c>
      <c r="CV968" s="847">
        <f>AG968</f>
        <v>60.13600000000001</v>
      </c>
      <c r="CW968" s="847">
        <f t="shared" si="1824"/>
        <v>130.9665</v>
      </c>
      <c r="CX968" s="847">
        <f t="shared" si="1825"/>
        <v>0</v>
      </c>
      <c r="CY968" s="847">
        <f>AV968</f>
        <v>0</v>
      </c>
      <c r="CZ968" s="847">
        <f>BA968</f>
        <v>0</v>
      </c>
      <c r="DA968" s="847">
        <f>BF968</f>
        <v>0</v>
      </c>
      <c r="DB968" s="847">
        <f>BK968</f>
        <v>0</v>
      </c>
      <c r="DC968" s="847"/>
      <c r="DD968" s="847"/>
      <c r="DE968" s="847"/>
      <c r="DF968" s="847"/>
      <c r="DG968" s="848"/>
      <c r="DH968" s="850"/>
      <c r="DI968" s="850"/>
      <c r="DJ968" s="850"/>
      <c r="DK968" s="850"/>
      <c r="DL968" s="850"/>
      <c r="DM968" s="850"/>
      <c r="DN968" s="319"/>
      <c r="DO968" s="320"/>
      <c r="DY968" s="847"/>
      <c r="DZ968" s="847"/>
    </row>
    <row r="969" spans="1:130" ht="12" customHeight="1">
      <c r="A969" s="257"/>
      <c r="B969" s="228"/>
      <c r="C969" s="228"/>
      <c r="D969" s="693"/>
      <c r="E969" s="668"/>
      <c r="F969" s="839"/>
      <c r="G969" s="839"/>
      <c r="H969" s="840"/>
      <c r="I969" s="839"/>
      <c r="J969" s="839"/>
      <c r="K969" s="839"/>
      <c r="L969" s="839"/>
      <c r="M969" s="841"/>
      <c r="N969" s="839"/>
      <c r="O969" s="839"/>
      <c r="P969" s="839"/>
      <c r="Q969" s="839"/>
      <c r="R969" s="841"/>
      <c r="S969" s="839"/>
      <c r="T969" s="839"/>
      <c r="U969" s="839"/>
      <c r="V969" s="839"/>
      <c r="W969" s="841"/>
      <c r="X969" s="839"/>
      <c r="Y969" s="839"/>
      <c r="Z969" s="839"/>
      <c r="AA969" s="839"/>
      <c r="AB969" s="841"/>
      <c r="AC969" s="839"/>
      <c r="AD969" s="839"/>
      <c r="AE969" s="839"/>
      <c r="AF969" s="839"/>
      <c r="AG969" s="841"/>
      <c r="AH969" s="839"/>
      <c r="AI969" s="839"/>
      <c r="AJ969" s="839"/>
      <c r="AK969" s="839"/>
      <c r="AL969" s="841"/>
      <c r="AM969" s="839"/>
      <c r="AN969" s="839"/>
      <c r="AO969" s="839"/>
      <c r="AP969" s="839"/>
      <c r="AQ969" s="841"/>
      <c r="AR969" s="839"/>
      <c r="AS969" s="839"/>
      <c r="AT969" s="839"/>
      <c r="AU969" s="839"/>
      <c r="AV969" s="841"/>
      <c r="AW969" s="839"/>
      <c r="AX969" s="839"/>
      <c r="AY969" s="839"/>
      <c r="AZ969" s="839"/>
      <c r="BA969" s="841"/>
      <c r="BB969" s="839"/>
      <c r="BC969" s="839"/>
      <c r="BD969" s="839"/>
      <c r="BE969" s="839"/>
      <c r="BF969" s="841"/>
      <c r="BG969" s="2931"/>
      <c r="BH969" s="839"/>
      <c r="BI969" s="839"/>
      <c r="BJ969" s="1905"/>
      <c r="BK969" s="841"/>
      <c r="BL969" s="839"/>
      <c r="BM969" s="839"/>
      <c r="BN969" s="839"/>
      <c r="BO969" s="1905"/>
      <c r="BP969" s="841"/>
      <c r="BQ969" s="839"/>
      <c r="BR969" s="839"/>
      <c r="BS969" s="839"/>
      <c r="BT969" s="1905"/>
      <c r="BU969" s="3424"/>
      <c r="BV969" s="839"/>
      <c r="BW969" s="839"/>
      <c r="BX969" s="839"/>
      <c r="BY969" s="1905"/>
      <c r="BZ969" s="841"/>
      <c r="CA969" s="841"/>
      <c r="CB969" s="841"/>
      <c r="CC969" s="841"/>
      <c r="CD969" s="841"/>
      <c r="CE969" s="841"/>
      <c r="CF969" s="841"/>
      <c r="CG969" s="841"/>
      <c r="CH969" s="839"/>
      <c r="CI969" s="839"/>
      <c r="CJ969" s="839"/>
      <c r="CK969" s="839"/>
      <c r="CL969" s="839"/>
      <c r="CM969" s="839"/>
      <c r="CN969" s="839"/>
      <c r="CO969" s="839"/>
      <c r="CP969" s="396"/>
      <c r="CQ969" s="839"/>
      <c r="CR969" s="839"/>
      <c r="CS969" s="839"/>
      <c r="CT969" s="839"/>
      <c r="CU969" s="839"/>
      <c r="CV969" s="839"/>
      <c r="CW969" s="839"/>
      <c r="CX969" s="839"/>
      <c r="CY969" s="839"/>
      <c r="CZ969" s="839"/>
      <c r="DA969" s="839"/>
      <c r="DB969" s="839"/>
      <c r="DC969" s="839"/>
      <c r="DD969" s="839"/>
      <c r="DE969" s="839"/>
      <c r="DF969" s="839"/>
      <c r="DG969" s="1905"/>
      <c r="DH969" s="781"/>
      <c r="DI969" s="595"/>
      <c r="DJ969" s="595"/>
      <c r="DK969" s="595"/>
      <c r="DL969" s="595"/>
      <c r="DM969" s="595"/>
      <c r="DN969" s="514"/>
      <c r="DO969" s="226"/>
      <c r="DY969" s="839"/>
      <c r="DZ969" s="839"/>
    </row>
    <row r="970" spans="1:130" ht="12" customHeight="1">
      <c r="A970" s="445" t="s">
        <v>1025</v>
      </c>
      <c r="B970" s="445"/>
      <c r="C970" s="445"/>
      <c r="D970" s="625">
        <f>D937*D971</f>
        <v>13.143999999999998</v>
      </c>
      <c r="E970" s="626">
        <f>E937*E971</f>
        <v>19.0215</v>
      </c>
      <c r="F970" s="626">
        <f>F937*F971</f>
        <v>24.351499999999998</v>
      </c>
      <c r="G970" s="626">
        <f>G937*G971</f>
        <v>22.860999999999997</v>
      </c>
      <c r="H970" s="588">
        <f>SUM(D970:G970)</f>
        <v>79.377999999999986</v>
      </c>
      <c r="I970" s="626">
        <f>I937*I971</f>
        <v>21.753499999999992</v>
      </c>
      <c r="J970" s="626">
        <f>J937*J971</f>
        <v>21.474999999999998</v>
      </c>
      <c r="K970" s="626">
        <f>K937*K971</f>
        <v>30.860500000000005</v>
      </c>
      <c r="L970" s="626">
        <f>L937*L971</f>
        <v>23.302499999999991</v>
      </c>
      <c r="M970" s="588">
        <f>SUM(I970:L970)</f>
        <v>97.391499999999994</v>
      </c>
      <c r="N970" s="626">
        <f>N937*N971</f>
        <v>25.390500000000007</v>
      </c>
      <c r="O970" s="626">
        <f>O937*O971</f>
        <v>21.418500000000009</v>
      </c>
      <c r="P970" s="626">
        <f>P937*P971</f>
        <v>27.021000000000015</v>
      </c>
      <c r="Q970" s="626">
        <f>Q937*Q971</f>
        <v>18.1325</v>
      </c>
      <c r="R970" s="588">
        <f>SUM(N970:Q970)</f>
        <v>91.962500000000034</v>
      </c>
      <c r="S970" s="626">
        <f>S937*S971</f>
        <v>21.871499999999994</v>
      </c>
      <c r="T970" s="626">
        <f>T937*T971</f>
        <v>18.778499999999998</v>
      </c>
      <c r="U970" s="626">
        <f>U937*U971</f>
        <v>27.619999999999997</v>
      </c>
      <c r="V970" s="626">
        <f>V937*V971</f>
        <v>18.300000000000004</v>
      </c>
      <c r="W970" s="588">
        <f>SUM(S970:V970)</f>
        <v>86.57</v>
      </c>
      <c r="X970" s="626">
        <f>X937*X971</f>
        <v>19.005500000000005</v>
      </c>
      <c r="Y970" s="626">
        <f>Y937*Y971</f>
        <v>13.242500000000009</v>
      </c>
      <c r="Z970" s="626">
        <f>Z937*Z971</f>
        <v>20.168499999999991</v>
      </c>
      <c r="AA970" s="626">
        <f>AA937*AA971</f>
        <v>8.1035000000000093</v>
      </c>
      <c r="AB970" s="588">
        <f>SUM(X970:AA970)</f>
        <v>60.52000000000001</v>
      </c>
      <c r="AC970" s="626">
        <f>AC937*AC971</f>
        <v>12.917499999999993</v>
      </c>
      <c r="AD970" s="626">
        <f>AD937*AD971</f>
        <v>13.843</v>
      </c>
      <c r="AE970" s="626">
        <f>AE937*AE971</f>
        <v>24.1755</v>
      </c>
      <c r="AF970" s="626">
        <f>AF937*AF971</f>
        <v>8.53399999999999</v>
      </c>
      <c r="AG970" s="588">
        <f>SUM(AC970:AF970)</f>
        <v>59.469999999999985</v>
      </c>
      <c r="AH970" s="330">
        <f>AH75</f>
        <v>8.1460000000000008</v>
      </c>
      <c r="AI970" s="626">
        <v>0</v>
      </c>
      <c r="AJ970" s="626">
        <v>0</v>
      </c>
      <c r="AK970" s="626">
        <v>0</v>
      </c>
      <c r="AL970" s="588">
        <f>SUM(AH970:AK970)</f>
        <v>8.1460000000000008</v>
      </c>
      <c r="AM970" s="626">
        <v>0</v>
      </c>
      <c r="AN970" s="626">
        <v>0</v>
      </c>
      <c r="AO970" s="626">
        <v>0</v>
      </c>
      <c r="AP970" s="626">
        <v>0</v>
      </c>
      <c r="AQ970" s="588">
        <v>0</v>
      </c>
      <c r="AR970" s="626"/>
      <c r="AS970" s="626"/>
      <c r="AT970" s="626"/>
      <c r="AU970" s="626"/>
      <c r="AV970" s="788"/>
      <c r="AW970" s="626"/>
      <c r="AX970" s="626"/>
      <c r="AY970" s="626"/>
      <c r="AZ970" s="626"/>
      <c r="BA970" s="788"/>
      <c r="BB970" s="626"/>
      <c r="BC970" s="626"/>
      <c r="BD970" s="626"/>
      <c r="BE970" s="626"/>
      <c r="BF970" s="788"/>
      <c r="BG970" s="625"/>
      <c r="BH970" s="626"/>
      <c r="BI970" s="626"/>
      <c r="BJ970" s="1893"/>
      <c r="BK970" s="788"/>
      <c r="BL970" s="626"/>
      <c r="BM970" s="626"/>
      <c r="BN970" s="626"/>
      <c r="BO970" s="1893"/>
      <c r="BP970" s="788"/>
      <c r="BQ970" s="626"/>
      <c r="BR970" s="626"/>
      <c r="BS970" s="626"/>
      <c r="BT970" s="1893"/>
      <c r="BU970" s="3406"/>
      <c r="BV970" s="626"/>
      <c r="BW970" s="626"/>
      <c r="BX970" s="626"/>
      <c r="BY970" s="1893"/>
      <c r="BZ970" s="788"/>
      <c r="CA970" s="788"/>
      <c r="CB970" s="788"/>
      <c r="CC970" s="788"/>
      <c r="CD970" s="788"/>
      <c r="CE970" s="788"/>
      <c r="CF970" s="788"/>
      <c r="CG970" s="788"/>
      <c r="CH970" s="626"/>
      <c r="CI970" s="626"/>
      <c r="CJ970" s="626"/>
      <c r="CK970" s="626"/>
      <c r="CL970" s="626"/>
      <c r="CM970" s="626"/>
      <c r="CN970" s="626"/>
      <c r="CO970" s="626"/>
      <c r="CP970" s="981" t="str">
        <f t="shared" si="1822"/>
        <v>Borgata Operating Income to BYD</v>
      </c>
      <c r="CQ970" s="626">
        <f>H970</f>
        <v>79.377999999999986</v>
      </c>
      <c r="CR970" s="626">
        <f>M970</f>
        <v>97.391499999999994</v>
      </c>
      <c r="CS970" s="626">
        <f>R970</f>
        <v>91.962500000000034</v>
      </c>
      <c r="CT970" s="626">
        <f>W970</f>
        <v>86.57</v>
      </c>
      <c r="CU970" s="626">
        <f>AB970</f>
        <v>60.52000000000001</v>
      </c>
      <c r="CV970" s="626">
        <f>AG970</f>
        <v>59.469999999999985</v>
      </c>
      <c r="CW970" s="626">
        <f t="shared" si="1824"/>
        <v>8.1460000000000008</v>
      </c>
      <c r="CX970" s="626">
        <f t="shared" si="1825"/>
        <v>0</v>
      </c>
      <c r="CY970" s="626"/>
      <c r="CZ970" s="626"/>
      <c r="DA970" s="626"/>
      <c r="DB970" s="626"/>
      <c r="DC970" s="626"/>
      <c r="DD970" s="626"/>
      <c r="DE970" s="626"/>
      <c r="DF970" s="626"/>
      <c r="DG970" s="1893"/>
      <c r="DH970" s="632"/>
      <c r="DI970" s="589"/>
      <c r="DJ970" s="589"/>
      <c r="DK970" s="589"/>
      <c r="DL970" s="589"/>
      <c r="DM970" s="589"/>
      <c r="DN970" s="222"/>
      <c r="DO970" s="226"/>
      <c r="DY970" s="626"/>
      <c r="DZ970" s="626"/>
    </row>
    <row r="971" spans="1:130" ht="12" customHeight="1">
      <c r="A971" s="851" t="s">
        <v>311</v>
      </c>
      <c r="B971" s="851"/>
      <c r="C971" s="851"/>
      <c r="D971" s="852">
        <v>0.5</v>
      </c>
      <c r="E971" s="839">
        <f>D971</f>
        <v>0.5</v>
      </c>
      <c r="F971" s="839">
        <f t="shared" ref="F971:G973" si="1842">E971</f>
        <v>0.5</v>
      </c>
      <c r="G971" s="839">
        <f t="shared" si="1842"/>
        <v>0.5</v>
      </c>
      <c r="H971" s="841">
        <f>AVERAGE(D971:G971)</f>
        <v>0.5</v>
      </c>
      <c r="I971" s="798">
        <v>0.5</v>
      </c>
      <c r="J971" s="839">
        <f>I971</f>
        <v>0.5</v>
      </c>
      <c r="K971" s="839">
        <f t="shared" ref="K971:L973" si="1843">J971</f>
        <v>0.5</v>
      </c>
      <c r="L971" s="839">
        <f t="shared" si="1843"/>
        <v>0.5</v>
      </c>
      <c r="M971" s="841">
        <f>AVERAGE(I971:L971)</f>
        <v>0.5</v>
      </c>
      <c r="N971" s="798">
        <v>0.5</v>
      </c>
      <c r="O971" s="839">
        <f>N971</f>
        <v>0.5</v>
      </c>
      <c r="P971" s="839">
        <f t="shared" ref="P971:Q973" si="1844">O971</f>
        <v>0.5</v>
      </c>
      <c r="Q971" s="839">
        <f t="shared" si="1844"/>
        <v>0.5</v>
      </c>
      <c r="R971" s="841">
        <f>AVERAGE(N971:Q971)</f>
        <v>0.5</v>
      </c>
      <c r="S971" s="798">
        <v>0.5</v>
      </c>
      <c r="T971" s="839">
        <f>S971</f>
        <v>0.5</v>
      </c>
      <c r="U971" s="839">
        <f t="shared" ref="U971:V973" si="1845">T971</f>
        <v>0.5</v>
      </c>
      <c r="V971" s="839">
        <f t="shared" si="1845"/>
        <v>0.5</v>
      </c>
      <c r="W971" s="841">
        <f>AVERAGE(S971:V971)</f>
        <v>0.5</v>
      </c>
      <c r="X971" s="798">
        <v>0.5</v>
      </c>
      <c r="Y971" s="839">
        <f>X971</f>
        <v>0.5</v>
      </c>
      <c r="Z971" s="839">
        <f t="shared" ref="Z971:AA973" si="1846">Y971</f>
        <v>0.5</v>
      </c>
      <c r="AA971" s="839">
        <f t="shared" si="1846"/>
        <v>0.5</v>
      </c>
      <c r="AB971" s="841">
        <f>AVERAGE(X971:AA971)</f>
        <v>0.5</v>
      </c>
      <c r="AC971" s="798">
        <v>0.5</v>
      </c>
      <c r="AD971" s="839">
        <f>AC971</f>
        <v>0.5</v>
      </c>
      <c r="AE971" s="839">
        <f t="shared" ref="AE971:AF973" si="1847">AD971</f>
        <v>0.5</v>
      </c>
      <c r="AF971" s="839">
        <f t="shared" si="1847"/>
        <v>0.5</v>
      </c>
      <c r="AG971" s="841">
        <f>AVERAGE(AC971:AF971)</f>
        <v>0.5</v>
      </c>
      <c r="AH971" s="798">
        <v>0.5</v>
      </c>
      <c r="AI971" s="839">
        <f>AH971</f>
        <v>0.5</v>
      </c>
      <c r="AJ971" s="839">
        <f t="shared" ref="AJ971:AK973" si="1848">AI971</f>
        <v>0.5</v>
      </c>
      <c r="AK971" s="839">
        <f t="shared" si="1848"/>
        <v>0.5</v>
      </c>
      <c r="AL971" s="841">
        <f>AVERAGE(AH971:AK971)</f>
        <v>0.5</v>
      </c>
      <c r="AM971" s="798">
        <v>0.5</v>
      </c>
      <c r="AN971" s="839">
        <f>AM971</f>
        <v>0.5</v>
      </c>
      <c r="AO971" s="839">
        <f t="shared" ref="AO971:AP973" si="1849">AN971</f>
        <v>0.5</v>
      </c>
      <c r="AP971" s="839">
        <f t="shared" si="1849"/>
        <v>0.5</v>
      </c>
      <c r="AQ971" s="841">
        <f>AVERAGE(AM971:AP971)</f>
        <v>0.5</v>
      </c>
      <c r="AR971" s="798"/>
      <c r="AS971" s="839"/>
      <c r="AT971" s="839"/>
      <c r="AU971" s="839"/>
      <c r="AV971" s="840"/>
      <c r="AW971" s="798"/>
      <c r="AX971" s="839"/>
      <c r="AY971" s="839"/>
      <c r="AZ971" s="839"/>
      <c r="BA971" s="840"/>
      <c r="BB971" s="798"/>
      <c r="BC971" s="839"/>
      <c r="BD971" s="839"/>
      <c r="BE971" s="839"/>
      <c r="BF971" s="840"/>
      <c r="BG971" s="852"/>
      <c r="BH971" s="510"/>
      <c r="BI971" s="798"/>
      <c r="BJ971" s="2935"/>
      <c r="BK971" s="840"/>
      <c r="BL971" s="510"/>
      <c r="BM971" s="510"/>
      <c r="BN971" s="798"/>
      <c r="BO971" s="2935"/>
      <c r="BP971" s="840"/>
      <c r="BQ971" s="798"/>
      <c r="BR971" s="798"/>
      <c r="BS971" s="798"/>
      <c r="BT971" s="2935"/>
      <c r="BU971" s="3424"/>
      <c r="BV971" s="798"/>
      <c r="BW971" s="798"/>
      <c r="BX971" s="798"/>
      <c r="BY971" s="2935"/>
      <c r="BZ971" s="840"/>
      <c r="CA971" s="840"/>
      <c r="CB971" s="840"/>
      <c r="CC971" s="840"/>
      <c r="CD971" s="840"/>
      <c r="CE971" s="840"/>
      <c r="CF971" s="840"/>
      <c r="CG971" s="840"/>
      <c r="CH971" s="798"/>
      <c r="CI971" s="798"/>
      <c r="CJ971" s="798"/>
      <c r="CK971" s="798"/>
      <c r="CL971" s="798"/>
      <c r="CM971" s="798"/>
      <c r="CN971" s="798"/>
      <c r="CO971" s="798"/>
      <c r="CP971" s="1906" t="str">
        <f t="shared" si="1822"/>
        <v xml:space="preserve">  Ownership %</v>
      </c>
      <c r="CQ971" s="839">
        <f>H971</f>
        <v>0.5</v>
      </c>
      <c r="CR971" s="839">
        <f>M971</f>
        <v>0.5</v>
      </c>
      <c r="CS971" s="839">
        <f>R971</f>
        <v>0.5</v>
      </c>
      <c r="CT971" s="839">
        <f>W971</f>
        <v>0.5</v>
      </c>
      <c r="CU971" s="839">
        <f>AB971</f>
        <v>0.5</v>
      </c>
      <c r="CV971" s="839">
        <f>AG971</f>
        <v>0.5</v>
      </c>
      <c r="CW971" s="839">
        <f t="shared" si="1824"/>
        <v>0.5</v>
      </c>
      <c r="CX971" s="839">
        <f t="shared" si="1825"/>
        <v>0.5</v>
      </c>
      <c r="CY971" s="839"/>
      <c r="CZ971" s="839"/>
      <c r="DA971" s="839"/>
      <c r="DB971" s="839"/>
      <c r="DC971" s="839"/>
      <c r="DD971" s="839"/>
      <c r="DE971" s="839"/>
      <c r="DF971" s="839"/>
      <c r="DG971" s="1905"/>
      <c r="DH971" s="839"/>
      <c r="DI971" s="853"/>
      <c r="DJ971" s="853"/>
      <c r="DK971" s="853"/>
      <c r="DL971" s="853"/>
      <c r="DM971" s="853"/>
      <c r="DN971" s="239"/>
      <c r="DO971" s="783"/>
      <c r="DY971" s="798"/>
      <c r="DZ971" s="798"/>
    </row>
    <row r="972" spans="1:130" ht="12" customHeight="1">
      <c r="A972" s="445" t="s">
        <v>1278</v>
      </c>
      <c r="B972" s="445"/>
      <c r="C972" s="445"/>
      <c r="D972" s="625">
        <f>(D941+D943)*D973</f>
        <v>-6.4604999999999997</v>
      </c>
      <c r="E972" s="626">
        <f>(E941+E943)*E973</f>
        <v>-6.6899999999999995</v>
      </c>
      <c r="F972" s="626">
        <f>(F941+F943)*F973</f>
        <v>-6.4190000000000005</v>
      </c>
      <c r="G972" s="626">
        <f>(G941+G943)*G973</f>
        <v>7.016</v>
      </c>
      <c r="H972" s="588">
        <f>SUM(D972:G972)</f>
        <v>-12.553499999999998</v>
      </c>
      <c r="I972" s="626">
        <f>(I941+I943)*I973</f>
        <v>-2.7865000000000002</v>
      </c>
      <c r="J972" s="626">
        <f>(J941+J943)*J973</f>
        <v>-3.2685</v>
      </c>
      <c r="K972" s="626">
        <f>(K941+K943)*K973</f>
        <v>-2.8614999999999999</v>
      </c>
      <c r="L972" s="626">
        <f>(L941+L943)*L973</f>
        <v>-2.8009999999999997</v>
      </c>
      <c r="M972" s="588">
        <f>SUM(I972:L972)</f>
        <v>-11.717499999999999</v>
      </c>
      <c r="N972" s="626">
        <f>(N941+N943)*N973</f>
        <v>-2.2244999999999999</v>
      </c>
      <c r="O972" s="626">
        <f>(O941+O943)*O973</f>
        <v>-2.0705</v>
      </c>
      <c r="P972" s="626">
        <f>(P941+P943)*P973</f>
        <v>-3.1814999999999998</v>
      </c>
      <c r="Q972" s="626">
        <f>(Q941+Q943)*Q973</f>
        <v>-3.101</v>
      </c>
      <c r="R972" s="588">
        <f>SUM(N972:Q972)</f>
        <v>-10.577500000000001</v>
      </c>
      <c r="S972" s="626">
        <f>(S941+S943)*S973</f>
        <v>-3.8014999999999999</v>
      </c>
      <c r="T972" s="626">
        <f>(T941+T943)*T973</f>
        <v>-3.5735000000000001</v>
      </c>
      <c r="U972" s="626">
        <f>(U941+U943)*U973</f>
        <v>-3.4020000000000001</v>
      </c>
      <c r="V972" s="626">
        <f>(V941+V943)*V973</f>
        <v>-2.9909999999999997</v>
      </c>
      <c r="W972" s="588">
        <f>SUM(S972:V972)</f>
        <v>-13.768000000000001</v>
      </c>
      <c r="X972" s="626">
        <f>(X941+X943)*X973</f>
        <v>-4.6055000000000001</v>
      </c>
      <c r="Y972" s="626">
        <f>(Y941+Y943)*Y973</f>
        <v>-3.1300000000000003</v>
      </c>
      <c r="Z972" s="626">
        <f>(Z941+Z943)*Z973</f>
        <v>-5.1535000000000002</v>
      </c>
      <c r="AA972" s="626">
        <f>(AA941+AA943)*AA973</f>
        <v>-3.1204999999999998</v>
      </c>
      <c r="AB972" s="588">
        <f>SUM(X972:AA972)</f>
        <v>-16.009499999999999</v>
      </c>
      <c r="AC972" s="626">
        <f>(AC941+AC943)*AC973</f>
        <v>-4.5164999999999997</v>
      </c>
      <c r="AD972" s="626">
        <f>(AD941+AD943)*AD973</f>
        <v>-4.5039999999999996</v>
      </c>
      <c r="AE972" s="626">
        <f>(AE941+AE943)*AE973</f>
        <v>-7.2044999999999995</v>
      </c>
      <c r="AF972" s="626">
        <f>(AF941+AF943)*AF973</f>
        <v>-3.073</v>
      </c>
      <c r="AG972" s="588">
        <f>SUM(AC972:AF972)</f>
        <v>-19.297999999999998</v>
      </c>
      <c r="AH972" s="330">
        <f>AH77</f>
        <v>-3.133</v>
      </c>
      <c r="AI972" s="626">
        <v>0</v>
      </c>
      <c r="AJ972" s="626">
        <v>0</v>
      </c>
      <c r="AK972" s="626">
        <v>0</v>
      </c>
      <c r="AL972" s="588">
        <f>SUM(AH972:AK972)</f>
        <v>-3.133</v>
      </c>
      <c r="AM972" s="626">
        <v>0</v>
      </c>
      <c r="AN972" s="626">
        <v>0</v>
      </c>
      <c r="AO972" s="626">
        <v>0</v>
      </c>
      <c r="AP972" s="626">
        <v>0</v>
      </c>
      <c r="AQ972" s="588">
        <v>0</v>
      </c>
      <c r="AR972" s="626"/>
      <c r="AS972" s="626"/>
      <c r="AT972" s="626"/>
      <c r="AU972" s="626"/>
      <c r="AV972" s="788"/>
      <c r="AW972" s="626"/>
      <c r="AX972" s="626"/>
      <c r="AY972" s="626"/>
      <c r="AZ972" s="626"/>
      <c r="BA972" s="788"/>
      <c r="BB972" s="626"/>
      <c r="BC972" s="626"/>
      <c r="BD972" s="626"/>
      <c r="BE972" s="626"/>
      <c r="BF972" s="788"/>
      <c r="BG972" s="625"/>
      <c r="BH972" s="626"/>
      <c r="BI972" s="626"/>
      <c r="BJ972" s="1893"/>
      <c r="BK972" s="788"/>
      <c r="BL972" s="626"/>
      <c r="BM972" s="626"/>
      <c r="BN972" s="626"/>
      <c r="BO972" s="1893"/>
      <c r="BP972" s="788"/>
      <c r="BQ972" s="626"/>
      <c r="BR972" s="626"/>
      <c r="BS972" s="626"/>
      <c r="BT972" s="1893"/>
      <c r="BU972" s="3406"/>
      <c r="BV972" s="626"/>
      <c r="BW972" s="626"/>
      <c r="BX972" s="626"/>
      <c r="BY972" s="1893"/>
      <c r="BZ972" s="788"/>
      <c r="CA972" s="788"/>
      <c r="CB972" s="788"/>
      <c r="CC972" s="788"/>
      <c r="CD972" s="788"/>
      <c r="CE972" s="788"/>
      <c r="CF972" s="788"/>
      <c r="CG972" s="788"/>
      <c r="CH972" s="626"/>
      <c r="CI972" s="626"/>
      <c r="CJ972" s="626"/>
      <c r="CK972" s="626"/>
      <c r="CL972" s="626"/>
      <c r="CM972" s="626"/>
      <c r="CN972" s="626"/>
      <c r="CO972" s="626"/>
      <c r="CP972" s="981" t="str">
        <f t="shared" si="1822"/>
        <v>Borgata Other Expense to BYD</v>
      </c>
      <c r="CQ972" s="626">
        <f>H972</f>
        <v>-12.553499999999998</v>
      </c>
      <c r="CR972" s="626">
        <f>M972</f>
        <v>-11.717499999999999</v>
      </c>
      <c r="CS972" s="626">
        <f>R972</f>
        <v>-10.577500000000001</v>
      </c>
      <c r="CT972" s="626">
        <f>W972</f>
        <v>-13.768000000000001</v>
      </c>
      <c r="CU972" s="626">
        <f>AB972</f>
        <v>-16.009499999999999</v>
      </c>
      <c r="CV972" s="626">
        <f>AG972</f>
        <v>-19.297999999999998</v>
      </c>
      <c r="CW972" s="626">
        <f t="shared" si="1824"/>
        <v>-3.133</v>
      </c>
      <c r="CX972" s="626">
        <f t="shared" si="1825"/>
        <v>0</v>
      </c>
      <c r="CY972" s="626"/>
      <c r="CZ972" s="626"/>
      <c r="DA972" s="626"/>
      <c r="DB972" s="626"/>
      <c r="DC972" s="626"/>
      <c r="DD972" s="626"/>
      <c r="DE972" s="626"/>
      <c r="DF972" s="626"/>
      <c r="DG972" s="1893"/>
      <c r="DH972" s="632"/>
      <c r="DI972" s="589"/>
      <c r="DJ972" s="589"/>
      <c r="DK972" s="589"/>
      <c r="DL972" s="589"/>
      <c r="DM972" s="589"/>
      <c r="DN972" s="222"/>
      <c r="DO972" s="226"/>
      <c r="DY972" s="626"/>
      <c r="DZ972" s="626"/>
    </row>
    <row r="973" spans="1:130" ht="12" customHeight="1">
      <c r="A973" s="851" t="s">
        <v>311</v>
      </c>
      <c r="B973" s="851"/>
      <c r="C973" s="851"/>
      <c r="D973" s="852">
        <v>0.5</v>
      </c>
      <c r="E973" s="839">
        <f>D973</f>
        <v>0.5</v>
      </c>
      <c r="F973" s="839">
        <f t="shared" si="1842"/>
        <v>0.5</v>
      </c>
      <c r="G973" s="839">
        <f t="shared" si="1842"/>
        <v>0.5</v>
      </c>
      <c r="H973" s="841">
        <f>AVERAGE(D973:G973)</f>
        <v>0.5</v>
      </c>
      <c r="I973" s="798">
        <v>0.5</v>
      </c>
      <c r="J973" s="839">
        <f>I973</f>
        <v>0.5</v>
      </c>
      <c r="K973" s="839">
        <f t="shared" si="1843"/>
        <v>0.5</v>
      </c>
      <c r="L973" s="839">
        <f t="shared" si="1843"/>
        <v>0.5</v>
      </c>
      <c r="M973" s="841">
        <f>AVERAGE(I973:L973)</f>
        <v>0.5</v>
      </c>
      <c r="N973" s="798">
        <v>0.5</v>
      </c>
      <c r="O973" s="839">
        <f>N973</f>
        <v>0.5</v>
      </c>
      <c r="P973" s="839">
        <f t="shared" si="1844"/>
        <v>0.5</v>
      </c>
      <c r="Q973" s="839">
        <f t="shared" si="1844"/>
        <v>0.5</v>
      </c>
      <c r="R973" s="841">
        <f>AVERAGE(N973:Q973)</f>
        <v>0.5</v>
      </c>
      <c r="S973" s="798">
        <v>0.5</v>
      </c>
      <c r="T973" s="839">
        <f>S973</f>
        <v>0.5</v>
      </c>
      <c r="U973" s="839">
        <f t="shared" si="1845"/>
        <v>0.5</v>
      </c>
      <c r="V973" s="839">
        <f t="shared" si="1845"/>
        <v>0.5</v>
      </c>
      <c r="W973" s="841">
        <f>AVERAGE(S973:V973)</f>
        <v>0.5</v>
      </c>
      <c r="X973" s="798">
        <v>0.5</v>
      </c>
      <c r="Y973" s="839">
        <f>X973</f>
        <v>0.5</v>
      </c>
      <c r="Z973" s="839">
        <f t="shared" si="1846"/>
        <v>0.5</v>
      </c>
      <c r="AA973" s="839">
        <f t="shared" si="1846"/>
        <v>0.5</v>
      </c>
      <c r="AB973" s="841">
        <f>AVERAGE(X973:AA973)</f>
        <v>0.5</v>
      </c>
      <c r="AC973" s="798">
        <v>0.5</v>
      </c>
      <c r="AD973" s="839">
        <f>AC973</f>
        <v>0.5</v>
      </c>
      <c r="AE973" s="839">
        <f t="shared" si="1847"/>
        <v>0.5</v>
      </c>
      <c r="AF973" s="839">
        <f t="shared" si="1847"/>
        <v>0.5</v>
      </c>
      <c r="AG973" s="841">
        <f>AVERAGE(AC973:AF973)</f>
        <v>0.5</v>
      </c>
      <c r="AH973" s="798">
        <v>0.5</v>
      </c>
      <c r="AI973" s="839">
        <f>AH973</f>
        <v>0.5</v>
      </c>
      <c r="AJ973" s="839">
        <f t="shared" si="1848"/>
        <v>0.5</v>
      </c>
      <c r="AK973" s="839">
        <f t="shared" si="1848"/>
        <v>0.5</v>
      </c>
      <c r="AL973" s="841">
        <f>AVERAGE(AH973:AK973)</f>
        <v>0.5</v>
      </c>
      <c r="AM973" s="798">
        <v>0.5</v>
      </c>
      <c r="AN973" s="839">
        <f>AM973</f>
        <v>0.5</v>
      </c>
      <c r="AO973" s="839">
        <f t="shared" si="1849"/>
        <v>0.5</v>
      </c>
      <c r="AP973" s="839">
        <f t="shared" si="1849"/>
        <v>0.5</v>
      </c>
      <c r="AQ973" s="841">
        <f>AVERAGE(AM973:AP973)</f>
        <v>0.5</v>
      </c>
      <c r="AR973" s="798"/>
      <c r="AS973" s="839"/>
      <c r="AT973" s="839"/>
      <c r="AU973" s="839"/>
      <c r="AV973" s="840"/>
      <c r="AW973" s="798"/>
      <c r="AX973" s="839"/>
      <c r="AY973" s="839"/>
      <c r="AZ973" s="839"/>
      <c r="BA973" s="840"/>
      <c r="BB973" s="798"/>
      <c r="BC973" s="839"/>
      <c r="BD973" s="839"/>
      <c r="BE973" s="839"/>
      <c r="BF973" s="840"/>
      <c r="BG973" s="852"/>
      <c r="BH973" s="798"/>
      <c r="BI973" s="798"/>
      <c r="BJ973" s="2935"/>
      <c r="BK973" s="840"/>
      <c r="BL973" s="798"/>
      <c r="BM973" s="798"/>
      <c r="BN973" s="798"/>
      <c r="BO973" s="2935"/>
      <c r="BP973" s="840"/>
      <c r="BQ973" s="798"/>
      <c r="BR973" s="798"/>
      <c r="BS973" s="798"/>
      <c r="BT973" s="2935"/>
      <c r="BU973" s="3424"/>
      <c r="BV973" s="798"/>
      <c r="BW973" s="798"/>
      <c r="BX973" s="798"/>
      <c r="BY973" s="2935"/>
      <c r="BZ973" s="840"/>
      <c r="CA973" s="840"/>
      <c r="CB973" s="840"/>
      <c r="CC973" s="840"/>
      <c r="CD973" s="840"/>
      <c r="CE973" s="840"/>
      <c r="CF973" s="840"/>
      <c r="CG973" s="840"/>
      <c r="CH973" s="798"/>
      <c r="CI973" s="798"/>
      <c r="CJ973" s="798"/>
      <c r="CK973" s="798"/>
      <c r="CL973" s="798"/>
      <c r="CM973" s="798"/>
      <c r="CN973" s="798"/>
      <c r="CO973" s="798"/>
      <c r="CP973" s="1906" t="str">
        <f t="shared" si="1822"/>
        <v xml:space="preserve">  Ownership %</v>
      </c>
      <c r="CQ973" s="839">
        <f>H973</f>
        <v>0.5</v>
      </c>
      <c r="CR973" s="839">
        <f>M973</f>
        <v>0.5</v>
      </c>
      <c r="CS973" s="839">
        <f>R973</f>
        <v>0.5</v>
      </c>
      <c r="CT973" s="839">
        <f>W973</f>
        <v>0.5</v>
      </c>
      <c r="CU973" s="839">
        <f>AB973</f>
        <v>0.5</v>
      </c>
      <c r="CV973" s="839">
        <f>AG973</f>
        <v>0.5</v>
      </c>
      <c r="CW973" s="839">
        <f t="shared" si="1824"/>
        <v>0.5</v>
      </c>
      <c r="CX973" s="839">
        <f t="shared" si="1825"/>
        <v>0.5</v>
      </c>
      <c r="CY973" s="839"/>
      <c r="CZ973" s="839"/>
      <c r="DA973" s="839"/>
      <c r="DB973" s="839"/>
      <c r="DC973" s="839"/>
      <c r="DD973" s="839"/>
      <c r="DE973" s="839"/>
      <c r="DF973" s="839"/>
      <c r="DG973" s="1905"/>
      <c r="DH973" s="781"/>
      <c r="DI973" s="853"/>
      <c r="DJ973" s="853"/>
      <c r="DK973" s="853"/>
      <c r="DL973" s="853"/>
      <c r="DM973" s="853"/>
      <c r="DN973" s="239"/>
      <c r="DO973" s="783"/>
      <c r="DY973" s="798"/>
      <c r="DZ973" s="798"/>
    </row>
    <row r="974" spans="1:130" ht="12" customHeight="1">
      <c r="A974" s="844" t="s">
        <v>1167</v>
      </c>
      <c r="B974" s="844"/>
      <c r="C974" s="844"/>
      <c r="D974" s="846">
        <f>D970+D972</f>
        <v>6.6834999999999987</v>
      </c>
      <c r="E974" s="847">
        <f>E970+E972</f>
        <v>12.3315</v>
      </c>
      <c r="F974" s="847">
        <f>F970+F972</f>
        <v>17.932499999999997</v>
      </c>
      <c r="G974" s="847">
        <f>G970+G972</f>
        <v>29.876999999999995</v>
      </c>
      <c r="H974" s="849">
        <f>SUM(D974:G974)</f>
        <v>66.8245</v>
      </c>
      <c r="I974" s="847">
        <f>I970+I972</f>
        <v>18.966999999999992</v>
      </c>
      <c r="J974" s="847">
        <f>J970+J972</f>
        <v>18.206499999999998</v>
      </c>
      <c r="K974" s="847">
        <f>K970+K972</f>
        <v>27.999000000000006</v>
      </c>
      <c r="L974" s="847">
        <f>L970+L972</f>
        <v>20.501499999999993</v>
      </c>
      <c r="M974" s="849">
        <f>SUM(I974:L974)</f>
        <v>85.673999999999992</v>
      </c>
      <c r="N974" s="847">
        <f>N970+N972</f>
        <v>23.166000000000007</v>
      </c>
      <c r="O974" s="847">
        <f>O970+O972</f>
        <v>19.34800000000001</v>
      </c>
      <c r="P974" s="847">
        <f>P970+P972</f>
        <v>23.839500000000015</v>
      </c>
      <c r="Q974" s="847">
        <f>Q970+Q972</f>
        <v>15.031500000000001</v>
      </c>
      <c r="R974" s="849">
        <f>SUM(N974:Q974)</f>
        <v>81.385000000000019</v>
      </c>
      <c r="S974" s="847">
        <f>S970+S972</f>
        <v>18.069999999999993</v>
      </c>
      <c r="T974" s="847">
        <f>T970+T972</f>
        <v>15.204999999999998</v>
      </c>
      <c r="U974" s="847">
        <f>U970+U972</f>
        <v>24.217999999999996</v>
      </c>
      <c r="V974" s="847">
        <f>V970+V972</f>
        <v>15.309000000000005</v>
      </c>
      <c r="W974" s="849">
        <f>SUM(S974:V974)</f>
        <v>72.801999999999992</v>
      </c>
      <c r="X974" s="847">
        <f>X970+X972</f>
        <v>14.400000000000006</v>
      </c>
      <c r="Y974" s="847">
        <f>Y970+Y972</f>
        <v>10.112500000000008</v>
      </c>
      <c r="Z974" s="847">
        <f>Z970+Z972</f>
        <v>15.01499999999999</v>
      </c>
      <c r="AA974" s="847">
        <f>AA970+AA972</f>
        <v>4.9830000000000094</v>
      </c>
      <c r="AB974" s="849">
        <f>SUM(X974:AA974)</f>
        <v>44.510500000000015</v>
      </c>
      <c r="AC974" s="847">
        <f>AC970+AC972</f>
        <v>8.4009999999999927</v>
      </c>
      <c r="AD974" s="847">
        <f>AD970+AD972</f>
        <v>9.3390000000000004</v>
      </c>
      <c r="AE974" s="847">
        <f>AE970+AE972</f>
        <v>16.971</v>
      </c>
      <c r="AF974" s="847">
        <f>AF970+AF972</f>
        <v>5.4609999999999896</v>
      </c>
      <c r="AG974" s="849">
        <f>SUM(AC974:AF974)</f>
        <v>40.17199999999999</v>
      </c>
      <c r="AH974" s="847">
        <f>AH970+AH972</f>
        <v>5.0130000000000008</v>
      </c>
      <c r="AI974" s="847">
        <f t="shared" ref="AI974:AP974" si="1850">AI970+AI972</f>
        <v>0</v>
      </c>
      <c r="AJ974" s="847">
        <f t="shared" si="1850"/>
        <v>0</v>
      </c>
      <c r="AK974" s="847">
        <f t="shared" si="1850"/>
        <v>0</v>
      </c>
      <c r="AL974" s="849">
        <f>SUM(AH974:AK974)</f>
        <v>5.0130000000000008</v>
      </c>
      <c r="AM974" s="847">
        <f t="shared" si="1850"/>
        <v>0</v>
      </c>
      <c r="AN974" s="847">
        <f t="shared" si="1850"/>
        <v>0</v>
      </c>
      <c r="AO974" s="847">
        <f t="shared" si="1850"/>
        <v>0</v>
      </c>
      <c r="AP974" s="847">
        <f t="shared" si="1850"/>
        <v>0</v>
      </c>
      <c r="AQ974" s="849">
        <f>SUM(AM974:AP974)</f>
        <v>0</v>
      </c>
      <c r="AR974" s="847"/>
      <c r="AS974" s="847"/>
      <c r="AT974" s="847"/>
      <c r="AU974" s="847"/>
      <c r="AV974" s="849"/>
      <c r="AW974" s="847"/>
      <c r="AX974" s="847"/>
      <c r="AY974" s="847"/>
      <c r="AZ974" s="847"/>
      <c r="BA974" s="849"/>
      <c r="BB974" s="847"/>
      <c r="BC974" s="847"/>
      <c r="BD974" s="847"/>
      <c r="BE974" s="847"/>
      <c r="BF974" s="849"/>
      <c r="BG974" s="846"/>
      <c r="BH974" s="847"/>
      <c r="BI974" s="847"/>
      <c r="BJ974" s="848"/>
      <c r="BK974" s="849"/>
      <c r="BL974" s="847"/>
      <c r="BM974" s="847"/>
      <c r="BN974" s="847"/>
      <c r="BO974" s="848"/>
      <c r="BP974" s="849"/>
      <c r="BQ974" s="847"/>
      <c r="BR974" s="847"/>
      <c r="BS974" s="847"/>
      <c r="BT974" s="848"/>
      <c r="BU974" s="3427"/>
      <c r="BV974" s="847"/>
      <c r="BW974" s="847"/>
      <c r="BX974" s="847"/>
      <c r="BY974" s="848"/>
      <c r="BZ974" s="849"/>
      <c r="CA974" s="849"/>
      <c r="CB974" s="849"/>
      <c r="CC974" s="849"/>
      <c r="CD974" s="849"/>
      <c r="CE974" s="849"/>
      <c r="CF974" s="849"/>
      <c r="CG974" s="849"/>
      <c r="CH974" s="847"/>
      <c r="CI974" s="847"/>
      <c r="CJ974" s="847"/>
      <c r="CK974" s="847"/>
      <c r="CL974" s="847"/>
      <c r="CM974" s="847"/>
      <c r="CN974" s="847"/>
      <c r="CO974" s="847"/>
      <c r="CP974" s="996" t="str">
        <f t="shared" si="1822"/>
        <v>Borgata Net Equity Income to BYD</v>
      </c>
      <c r="CQ974" s="847">
        <f>H974</f>
        <v>66.8245</v>
      </c>
      <c r="CR974" s="847">
        <f>M974</f>
        <v>85.673999999999992</v>
      </c>
      <c r="CS974" s="847">
        <f>R974</f>
        <v>81.385000000000019</v>
      </c>
      <c r="CT974" s="847">
        <f>W974</f>
        <v>72.801999999999992</v>
      </c>
      <c r="CU974" s="847">
        <f>AB974</f>
        <v>44.510500000000015</v>
      </c>
      <c r="CV974" s="847">
        <f>AG974</f>
        <v>40.17199999999999</v>
      </c>
      <c r="CW974" s="847">
        <f t="shared" si="1824"/>
        <v>5.0130000000000008</v>
      </c>
      <c r="CX974" s="847">
        <f t="shared" si="1825"/>
        <v>0</v>
      </c>
      <c r="CY974" s="847"/>
      <c r="CZ974" s="847"/>
      <c r="DA974" s="847"/>
      <c r="DB974" s="847"/>
      <c r="DC974" s="847"/>
      <c r="DD974" s="847"/>
      <c r="DE974" s="847"/>
      <c r="DF974" s="847"/>
      <c r="DG974" s="848"/>
      <c r="DH974" s="850"/>
      <c r="DI974" s="850"/>
      <c r="DJ974" s="850"/>
      <c r="DK974" s="850"/>
      <c r="DL974" s="850"/>
      <c r="DM974" s="850"/>
      <c r="DN974" s="319"/>
      <c r="DO974" s="320"/>
      <c r="DY974" s="847"/>
      <c r="DZ974" s="847"/>
    </row>
    <row r="975" spans="1:130" ht="12" customHeight="1">
      <c r="A975" s="844"/>
      <c r="B975" s="844"/>
      <c r="C975" s="844"/>
      <c r="D975" s="846"/>
      <c r="E975" s="847"/>
      <c r="F975" s="847"/>
      <c r="G975" s="847"/>
      <c r="H975" s="849"/>
      <c r="I975" s="847"/>
      <c r="J975" s="847"/>
      <c r="K975" s="847"/>
      <c r="L975" s="847"/>
      <c r="M975" s="849"/>
      <c r="N975" s="847"/>
      <c r="O975" s="847"/>
      <c r="P975" s="847"/>
      <c r="Q975" s="847"/>
      <c r="R975" s="849"/>
      <c r="S975" s="847"/>
      <c r="T975" s="847"/>
      <c r="U975" s="847"/>
      <c r="V975" s="847"/>
      <c r="W975" s="849"/>
      <c r="X975" s="847"/>
      <c r="Y975" s="847"/>
      <c r="Z975" s="847"/>
      <c r="AA975" s="847"/>
      <c r="AB975" s="849"/>
      <c r="AC975" s="847"/>
      <c r="AD975" s="847"/>
      <c r="AE975" s="847"/>
      <c r="AF975" s="847"/>
      <c r="AG975" s="849"/>
      <c r="AH975" s="847"/>
      <c r="AI975" s="847"/>
      <c r="AJ975" s="847"/>
      <c r="AK975" s="847"/>
      <c r="AL975" s="849"/>
      <c r="AM975" s="847"/>
      <c r="AN975" s="847"/>
      <c r="AO975" s="847"/>
      <c r="AP975" s="847"/>
      <c r="AQ975" s="849"/>
      <c r="AR975" s="847"/>
      <c r="AS975" s="847"/>
      <c r="AT975" s="847"/>
      <c r="AU975" s="847"/>
      <c r="AV975" s="849"/>
      <c r="AW975" s="847"/>
      <c r="AX975" s="847"/>
      <c r="AY975" s="847"/>
      <c r="AZ975" s="847"/>
      <c r="BA975" s="849"/>
      <c r="BB975" s="847"/>
      <c r="BC975" s="847"/>
      <c r="BD975" s="847"/>
      <c r="BE975" s="847"/>
      <c r="BF975" s="849"/>
      <c r="BG975" s="846"/>
      <c r="BH975" s="847"/>
      <c r="BI975" s="847"/>
      <c r="BJ975" s="848"/>
      <c r="BK975" s="849"/>
      <c r="BL975" s="847"/>
      <c r="BM975" s="847"/>
      <c r="BN975" s="847"/>
      <c r="BO975" s="848"/>
      <c r="BP975" s="849"/>
      <c r="BQ975" s="847"/>
      <c r="BR975" s="847"/>
      <c r="BS975" s="847"/>
      <c r="BT975" s="848"/>
      <c r="BU975" s="3427"/>
      <c r="BV975" s="847"/>
      <c r="BW975" s="847"/>
      <c r="BX975" s="847"/>
      <c r="BY975" s="848"/>
      <c r="BZ975" s="849"/>
      <c r="CA975" s="849"/>
      <c r="CB975" s="849"/>
      <c r="CC975" s="849"/>
      <c r="CD975" s="849"/>
      <c r="CE975" s="849"/>
      <c r="CF975" s="849"/>
      <c r="CG975" s="849"/>
      <c r="CH975" s="847"/>
      <c r="CI975" s="847"/>
      <c r="CJ975" s="847"/>
      <c r="CK975" s="847"/>
      <c r="CL975" s="847"/>
      <c r="CM975" s="847"/>
      <c r="CN975" s="847"/>
      <c r="CO975" s="847"/>
      <c r="CP975" s="996"/>
      <c r="CQ975" s="847"/>
      <c r="CR975" s="847"/>
      <c r="CS975" s="847"/>
      <c r="CT975" s="847"/>
      <c r="CU975" s="847"/>
      <c r="CV975" s="847"/>
      <c r="CW975" s="847"/>
      <c r="CX975" s="847"/>
      <c r="CY975" s="847"/>
      <c r="CZ975" s="847"/>
      <c r="DA975" s="847"/>
      <c r="DB975" s="847"/>
      <c r="DC975" s="847"/>
      <c r="DD975" s="847"/>
      <c r="DE975" s="847"/>
      <c r="DF975" s="847"/>
      <c r="DG975" s="848"/>
      <c r="DH975" s="850"/>
      <c r="DI975" s="850"/>
      <c r="DJ975" s="850"/>
      <c r="DK975" s="850"/>
      <c r="DL975" s="850"/>
      <c r="DM975" s="850"/>
      <c r="DN975" s="319"/>
      <c r="DO975" s="320"/>
      <c r="DY975" s="847"/>
      <c r="DZ975" s="847"/>
    </row>
    <row r="976" spans="1:130" ht="12" customHeight="1">
      <c r="A976" s="96"/>
      <c r="B976" s="96"/>
      <c r="C976" s="96"/>
      <c r="D976" s="96"/>
      <c r="E976" s="96"/>
      <c r="F976" s="96"/>
      <c r="G976" s="96"/>
      <c r="H976" s="96"/>
      <c r="I976" s="96"/>
      <c r="J976" s="96"/>
      <c r="K976" s="96"/>
      <c r="L976" s="96"/>
      <c r="M976" s="96"/>
      <c r="N976" s="96"/>
      <c r="O976" s="96"/>
      <c r="P976" s="96"/>
      <c r="Q976" s="96"/>
      <c r="R976" s="96"/>
      <c r="S976" s="96"/>
      <c r="T976" s="96"/>
      <c r="U976" s="96"/>
      <c r="V976" s="96"/>
      <c r="W976" s="96"/>
      <c r="X976" s="96"/>
      <c r="Y976" s="96"/>
      <c r="Z976" s="96"/>
      <c r="AA976" s="96"/>
      <c r="AB976" s="96"/>
      <c r="AC976" s="96"/>
      <c r="AD976" s="96"/>
      <c r="AE976" s="96"/>
      <c r="AF976" s="96"/>
      <c r="AG976" s="96"/>
      <c r="AH976" s="96"/>
      <c r="AI976" s="96"/>
      <c r="AJ976" s="96"/>
      <c r="AK976" s="96"/>
      <c r="AL976" s="146"/>
      <c r="AM976" s="96"/>
      <c r="AN976" s="96"/>
      <c r="AO976" s="96"/>
      <c r="AP976" s="96"/>
      <c r="AQ976" s="146"/>
      <c r="AR976" s="96"/>
      <c r="AS976" s="96"/>
      <c r="AT976" s="96"/>
      <c r="AU976" s="96"/>
      <c r="AV976" s="146"/>
      <c r="AW976" s="96"/>
      <c r="AX976" s="96"/>
      <c r="AY976" s="96"/>
      <c r="AZ976" s="96"/>
      <c r="BA976" s="146"/>
      <c r="BB976" s="96"/>
      <c r="BC976" s="96"/>
      <c r="BD976" s="96"/>
      <c r="BE976" s="96"/>
      <c r="BF976" s="146"/>
      <c r="BG976" s="1115"/>
      <c r="BH976" s="96"/>
      <c r="BI976" s="96"/>
      <c r="BJ976" s="97"/>
      <c r="BK976" s="146"/>
      <c r="BL976" s="96"/>
      <c r="BM976" s="96"/>
      <c r="BN976" s="96"/>
      <c r="BO976" s="97"/>
      <c r="BP976" s="146"/>
      <c r="BQ976" s="96"/>
      <c r="BR976" s="96"/>
      <c r="BS976" s="96"/>
      <c r="BT976" s="97"/>
      <c r="BU976" s="3428"/>
      <c r="BV976" s="96"/>
      <c r="BW976" s="96"/>
      <c r="BX976" s="96"/>
      <c r="BY976" s="97"/>
      <c r="BZ976" s="146"/>
      <c r="CA976" s="146"/>
      <c r="CB976" s="146"/>
      <c r="CC976" s="146"/>
      <c r="CD976" s="146"/>
      <c r="CE976" s="146"/>
      <c r="CF976" s="146"/>
      <c r="CG976" s="146"/>
      <c r="CH976" s="847"/>
      <c r="CI976" s="847"/>
      <c r="CJ976" s="847"/>
      <c r="CK976" s="847"/>
      <c r="CL976" s="847"/>
      <c r="CM976" s="847"/>
      <c r="CN976" s="847"/>
      <c r="CO976" s="847"/>
      <c r="CP976" s="1115"/>
      <c r="CQ976" s="96"/>
      <c r="CR976" s="96"/>
      <c r="CS976" s="96"/>
      <c r="CT976" s="96"/>
      <c r="CU976" s="96"/>
      <c r="CV976" s="96"/>
      <c r="CW976" s="96"/>
      <c r="CX976" s="96"/>
      <c r="CY976" s="96"/>
      <c r="CZ976" s="96"/>
      <c r="DA976" s="96"/>
      <c r="DB976" s="96"/>
      <c r="DC976" s="96"/>
      <c r="DD976" s="96"/>
      <c r="DE976" s="96"/>
      <c r="DF976" s="96"/>
      <c r="DG976" s="97"/>
      <c r="DH976" s="850"/>
      <c r="DI976" s="850"/>
      <c r="DJ976" s="850"/>
      <c r="DK976" s="850"/>
      <c r="DL976" s="850"/>
      <c r="DM976" s="850"/>
      <c r="DN976" s="319"/>
      <c r="DO976" s="320"/>
      <c r="DY976" s="104"/>
      <c r="DZ976" s="104"/>
    </row>
    <row r="977" spans="1:130" ht="12" customHeight="1">
      <c r="A977" s="708" t="s">
        <v>1320</v>
      </c>
      <c r="B977" s="228"/>
      <c r="C977" s="228"/>
      <c r="D977" s="596"/>
      <c r="E977" s="570"/>
      <c r="F977" s="570"/>
      <c r="G977" s="570"/>
      <c r="H977" s="569"/>
      <c r="I977" s="570"/>
      <c r="J977" s="570"/>
      <c r="K977" s="668"/>
      <c r="L977" s="668"/>
      <c r="M977" s="696"/>
      <c r="N977" s="570"/>
      <c r="O977" s="570"/>
      <c r="P977" s="668"/>
      <c r="Q977" s="668"/>
      <c r="R977" s="696"/>
      <c r="S977" s="570"/>
      <c r="T977" s="570"/>
      <c r="U977" s="668"/>
      <c r="V977" s="668"/>
      <c r="W977" s="696"/>
      <c r="X977" s="668"/>
      <c r="Y977" s="668"/>
      <c r="Z977" s="668"/>
      <c r="AA977" s="345"/>
      <c r="AB977" s="696"/>
      <c r="AC977" s="668"/>
      <c r="AD977" s="345"/>
      <c r="AE977" s="668"/>
      <c r="AF977" s="345"/>
      <c r="AG977" s="696"/>
      <c r="AH977" s="668"/>
      <c r="AI977" s="668"/>
      <c r="AJ977" s="668"/>
      <c r="AK977" s="668"/>
      <c r="AL977" s="696"/>
      <c r="AM977" s="668"/>
      <c r="AN977" s="668"/>
      <c r="AO977" s="668"/>
      <c r="AP977" s="668"/>
      <c r="AQ977" s="696"/>
      <c r="AR977" s="668"/>
      <c r="AS977" s="668"/>
      <c r="AT977" s="668"/>
      <c r="AU977" s="668"/>
      <c r="AV977" s="696"/>
      <c r="AW977" s="668"/>
      <c r="AX977" s="668"/>
      <c r="AY977" s="668"/>
      <c r="AZ977" s="668"/>
      <c r="BA977" s="696"/>
      <c r="BB977" s="668"/>
      <c r="BC977" s="668"/>
      <c r="BD977" s="668"/>
      <c r="BE977" s="668"/>
      <c r="BF977" s="696"/>
      <c r="BG977" s="693"/>
      <c r="BH977" s="668"/>
      <c r="BI977" s="668"/>
      <c r="BJ977" s="2813"/>
      <c r="BK977" s="696"/>
      <c r="BL977" s="668"/>
      <c r="BM977" s="668"/>
      <c r="BN977" s="668"/>
      <c r="BO977" s="2813"/>
      <c r="BP977" s="696"/>
      <c r="BQ977" s="668"/>
      <c r="BR977" s="668"/>
      <c r="BS977" s="668"/>
      <c r="BT977" s="2813"/>
      <c r="BU977" s="3405"/>
      <c r="BV977" s="668"/>
      <c r="BW977" s="668"/>
      <c r="BX977" s="668"/>
      <c r="BY977" s="2813"/>
      <c r="BZ977" s="696"/>
      <c r="CA977" s="696"/>
      <c r="CB977" s="696"/>
      <c r="CC977" s="696"/>
      <c r="CD977" s="696"/>
      <c r="CE977" s="696"/>
      <c r="CF977" s="696"/>
      <c r="CG977" s="696"/>
      <c r="CH977" s="668"/>
      <c r="CI977" s="668"/>
      <c r="CJ977" s="668"/>
      <c r="CK977" s="668"/>
      <c r="CL977" s="668"/>
      <c r="CM977" s="668"/>
      <c r="CN977" s="668"/>
      <c r="CO977" s="668"/>
      <c r="CP977" s="1898" t="str">
        <f t="shared" si="1822"/>
        <v>Balance Sheet</v>
      </c>
      <c r="CQ977" s="589"/>
      <c r="CR977" s="589"/>
      <c r="CS977" s="589"/>
      <c r="CT977" s="589"/>
      <c r="CU977" s="589"/>
      <c r="CV977" s="589"/>
      <c r="CW977" s="589"/>
      <c r="CX977" s="589"/>
      <c r="CY977" s="589"/>
      <c r="CZ977" s="589"/>
      <c r="DA977" s="589"/>
      <c r="DB977" s="589"/>
      <c r="DC977" s="589"/>
      <c r="DD977" s="589"/>
      <c r="DE977" s="589"/>
      <c r="DF977" s="589"/>
      <c r="DG977" s="1870"/>
      <c r="DH977" s="856"/>
      <c r="DI977" s="595"/>
      <c r="DJ977" s="595"/>
      <c r="DK977" s="595"/>
      <c r="DL977" s="595"/>
      <c r="DM977" s="595"/>
      <c r="DN977" s="514"/>
      <c r="DO977" s="226"/>
      <c r="DY977" s="668"/>
      <c r="DZ977" s="668"/>
    </row>
    <row r="978" spans="1:130" ht="12" customHeight="1">
      <c r="A978" s="552" t="s">
        <v>1542</v>
      </c>
      <c r="B978" s="552"/>
      <c r="C978" s="552"/>
      <c r="D978" s="596"/>
      <c r="E978" s="570"/>
      <c r="F978" s="570"/>
      <c r="G978" s="570"/>
      <c r="H978" s="569"/>
      <c r="I978" s="570"/>
      <c r="J978" s="570"/>
      <c r="K978" s="668"/>
      <c r="L978" s="668"/>
      <c r="M978" s="696"/>
      <c r="N978" s="570"/>
      <c r="O978" s="570"/>
      <c r="P978" s="668"/>
      <c r="Q978" s="668"/>
      <c r="R978" s="696"/>
      <c r="S978" s="570"/>
      <c r="T978" s="570"/>
      <c r="U978" s="668"/>
      <c r="V978" s="668"/>
      <c r="W978" s="696"/>
      <c r="X978" s="668"/>
      <c r="Y978" s="668"/>
      <c r="Z978" s="668"/>
      <c r="AA978" s="345"/>
      <c r="AB978" s="696"/>
      <c r="AC978" s="668"/>
      <c r="AD978" s="345"/>
      <c r="AE978" s="668"/>
      <c r="AF978" s="345"/>
      <c r="AG978" s="696"/>
      <c r="AH978" s="668">
        <v>26</v>
      </c>
      <c r="AI978" s="668">
        <v>21.939</v>
      </c>
      <c r="AJ978" s="668">
        <v>15.6</v>
      </c>
      <c r="AK978" s="668">
        <v>42.1</v>
      </c>
      <c r="AL978" s="1297">
        <f t="shared" ref="AL978:AL987" si="1851">AK978</f>
        <v>42.1</v>
      </c>
      <c r="AM978" s="668">
        <v>25</v>
      </c>
      <c r="AN978" s="668">
        <v>20</v>
      </c>
      <c r="AO978" s="668">
        <v>32.18</v>
      </c>
      <c r="AP978" s="668">
        <v>46.223999999999997</v>
      </c>
      <c r="AQ978" s="1297">
        <f>AP978</f>
        <v>46.223999999999997</v>
      </c>
      <c r="AR978" s="668">
        <v>34.295999999999999</v>
      </c>
      <c r="AS978" s="668">
        <v>33.911999999999999</v>
      </c>
      <c r="AT978" s="668">
        <v>32.302999999999997</v>
      </c>
      <c r="AU978" s="668">
        <v>34.125</v>
      </c>
      <c r="AV978" s="1297">
        <f>AU978</f>
        <v>34.125</v>
      </c>
      <c r="AW978" s="668">
        <v>36.433</v>
      </c>
      <c r="AX978" s="668">
        <v>33.828000000000003</v>
      </c>
      <c r="AY978" s="668">
        <v>35.35</v>
      </c>
      <c r="AZ978" s="668">
        <v>37.5</v>
      </c>
      <c r="BA978" s="1297">
        <f>AZ978</f>
        <v>37.5</v>
      </c>
      <c r="BB978" s="668">
        <v>29</v>
      </c>
      <c r="BC978" s="668">
        <v>32.832000000000001</v>
      </c>
      <c r="BD978" s="668">
        <v>26.9</v>
      </c>
      <c r="BE978" s="589">
        <f>BD978+BE965+(BE980-BD980)+SUM(BE981:BE983)-SUM(BD981:BD983)</f>
        <v>39.625146875000041</v>
      </c>
      <c r="BF978" s="1297">
        <f>BE978</f>
        <v>39.625146875000041</v>
      </c>
      <c r="BG978" s="668">
        <v>28.5</v>
      </c>
      <c r="BH978" s="668">
        <v>35.1</v>
      </c>
      <c r="BI978" s="668">
        <v>28.1</v>
      </c>
      <c r="BJ978" s="668">
        <v>44.1</v>
      </c>
      <c r="BK978" s="1297">
        <f>BF978+BK965+(BK980-BF980)+SUM(BK981:BK984)-SUM(BF981:BF984)</f>
        <v>79.715146874999959</v>
      </c>
      <c r="BL978" s="3255">
        <v>29.8</v>
      </c>
      <c r="BM978" s="3255">
        <v>31.3</v>
      </c>
      <c r="BN978" s="589">
        <f>BM978+BN965+(BN980-BM980)+SUM(BN981:BN984)-SUM(BM981:BM984)</f>
        <v>151.14022087474416</v>
      </c>
      <c r="BO978" s="1870"/>
      <c r="BP978" s="1297"/>
      <c r="BQ978" s="589"/>
      <c r="BR978" s="589"/>
      <c r="BS978" s="589"/>
      <c r="BT978" s="1870"/>
      <c r="BU978" s="3405"/>
      <c r="BV978" s="589"/>
      <c r="BW978" s="589"/>
      <c r="BX978" s="589"/>
      <c r="BY978" s="1870"/>
      <c r="BZ978" s="1297"/>
      <c r="CA978" s="1297"/>
      <c r="CB978" s="1297"/>
      <c r="CC978" s="1297">
        <f>CB978+CC965+(CC980-CB980)+SUM(CC981:CC983)-SUM(CB981:CB983)</f>
        <v>2.0480908170857433</v>
      </c>
      <c r="CD978" s="1297">
        <f>CC978+CD965+(CD980-CC980)+SUM(CD981:CD983)-SUM(CC981:CC983)</f>
        <v>3.6437770933172118</v>
      </c>
      <c r="CE978" s="1297">
        <f>CD978+CE965+(CE980-CD980)+SUM(CE981:CE983)-SUM(CD981:CD983)</f>
        <v>5.4113770950732984</v>
      </c>
      <c r="CF978" s="1297">
        <f>CE978+CF965+(CF980-CE980)+SUM(CF981:CF983)-SUM(CE981:CE983)</f>
        <v>7.354329096864511</v>
      </c>
      <c r="CG978" s="1297">
        <f>CF978+CG965+(CG980-CF980)+SUM(CG981:CG983)-SUM(CF981:CF983)</f>
        <v>9.476140138691548</v>
      </c>
      <c r="CH978" s="668"/>
      <c r="CI978" s="668"/>
      <c r="CJ978" s="668"/>
      <c r="CK978" s="668"/>
      <c r="CL978" s="668"/>
      <c r="CM978" s="668"/>
      <c r="CN978" s="668"/>
      <c r="CO978" s="668"/>
      <c r="CP978" s="994" t="str">
        <f t="shared" si="1822"/>
        <v>Cash</v>
      </c>
      <c r="CQ978" s="589"/>
      <c r="CR978" s="589"/>
      <c r="CS978" s="589"/>
      <c r="CT978" s="589"/>
      <c r="CU978" s="589"/>
      <c r="CV978" s="589"/>
      <c r="CW978" s="589">
        <f t="shared" si="1824"/>
        <v>42.1</v>
      </c>
      <c r="CX978" s="589">
        <f t="shared" si="1825"/>
        <v>46.223999999999997</v>
      </c>
      <c r="CY978" s="589">
        <f>AV978</f>
        <v>34.125</v>
      </c>
      <c r="CZ978" s="589">
        <f>BA978</f>
        <v>37.5</v>
      </c>
      <c r="DA978" s="589">
        <f>BF978</f>
        <v>39.625146875000041</v>
      </c>
      <c r="DB978" s="589">
        <f>BK978</f>
        <v>79.715146874999959</v>
      </c>
      <c r="DC978" s="589">
        <f t="shared" si="1827"/>
        <v>0</v>
      </c>
      <c r="DD978" s="589">
        <f t="shared" si="1828"/>
        <v>0</v>
      </c>
      <c r="DE978" s="589">
        <f t="shared" si="1829"/>
        <v>0</v>
      </c>
      <c r="DF978" s="589">
        <f t="shared" si="1830"/>
        <v>0</v>
      </c>
      <c r="DG978" s="1870">
        <f t="shared" si="1831"/>
        <v>0</v>
      </c>
      <c r="DH978" s="856"/>
      <c r="DI978" s="595"/>
      <c r="DJ978" s="595"/>
      <c r="DK978" s="595"/>
      <c r="DL978" s="595"/>
      <c r="DM978" s="595"/>
      <c r="DN978" s="514"/>
      <c r="DO978" s="226"/>
      <c r="DY978" s="589"/>
      <c r="DZ978" s="589"/>
    </row>
    <row r="979" spans="1:130" ht="12" customHeight="1">
      <c r="A979" s="670" t="s">
        <v>777</v>
      </c>
      <c r="B979" s="857">
        <v>2.75E-2</v>
      </c>
      <c r="C979" s="857"/>
      <c r="D979" s="584">
        <f>51.875+521.437</f>
        <v>573.31200000000001</v>
      </c>
      <c r="E979" s="583">
        <f>433.194+75.333</f>
        <v>508.52700000000004</v>
      </c>
      <c r="F979" s="583">
        <f>379.9+79.875</f>
        <v>459.77499999999998</v>
      </c>
      <c r="G979" s="583">
        <f>423.6+2</f>
        <v>425.6</v>
      </c>
      <c r="H979" s="588">
        <f>+G979</f>
        <v>425.6</v>
      </c>
      <c r="I979" s="583">
        <f>384.2+2</f>
        <v>386.2</v>
      </c>
      <c r="J979" s="583">
        <f>364.1+2</f>
        <v>366.1</v>
      </c>
      <c r="K979" s="583">
        <f>324.9+2</f>
        <v>326.89999999999998</v>
      </c>
      <c r="L979" s="583">
        <f>341.7</f>
        <v>341.7</v>
      </c>
      <c r="M979" s="588">
        <f>+L979</f>
        <v>341.7</v>
      </c>
      <c r="N979" s="583">
        <f>376.7</f>
        <v>376.7</v>
      </c>
      <c r="O979" s="583">
        <v>475.2</v>
      </c>
      <c r="P979" s="583">
        <v>498.9</v>
      </c>
      <c r="Q979" s="583">
        <v>554.6</v>
      </c>
      <c r="R979" s="588">
        <f>+Q979</f>
        <v>554.6</v>
      </c>
      <c r="S979" s="583">
        <v>555.4</v>
      </c>
      <c r="T979" s="583">
        <v>626.1</v>
      </c>
      <c r="U979" s="583">
        <v>655.9</v>
      </c>
      <c r="V979" s="583">
        <v>722.7</v>
      </c>
      <c r="W979" s="588">
        <f>+V979</f>
        <v>722.7</v>
      </c>
      <c r="X979" s="583">
        <v>751.8</v>
      </c>
      <c r="Y979" s="583">
        <v>746.4</v>
      </c>
      <c r="Z979" s="583">
        <v>702.9</v>
      </c>
      <c r="AA979" s="583">
        <v>740.5</v>
      </c>
      <c r="AB979" s="588">
        <f>+AA979</f>
        <v>740.5</v>
      </c>
      <c r="AC979" s="583">
        <v>699.9</v>
      </c>
      <c r="AD979" s="583">
        <v>666.77800000000002</v>
      </c>
      <c r="AE979" s="583">
        <v>595.07799999999997</v>
      </c>
      <c r="AF979" s="583">
        <v>679.61900000000003</v>
      </c>
      <c r="AG979" s="588">
        <f>+AF979</f>
        <v>679.61900000000003</v>
      </c>
      <c r="AH979" s="583">
        <v>630.29999999999995</v>
      </c>
      <c r="AI979" s="583">
        <v>626.87199999999996</v>
      </c>
      <c r="AJ979" s="583">
        <f>SUM(AJ980:AJ982)-4.131-9.7-2.706-9.803</f>
        <v>820.76</v>
      </c>
      <c r="AK979" s="583">
        <f>SUM(AK980:AK982)-9.319-9.594-9.794-3.969-2.648</f>
        <v>825.57599999999991</v>
      </c>
      <c r="AL979" s="588">
        <f t="shared" si="1851"/>
        <v>825.57599999999991</v>
      </c>
      <c r="AM979" s="583">
        <f>SUM(AM980:AM982)-3.813-2.591-8.953-9.387</f>
        <v>803.95600000000013</v>
      </c>
      <c r="AN979" s="581">
        <f>SUM(AN980:AN982)</f>
        <v>820</v>
      </c>
      <c r="AO979" s="581">
        <f>SUM(AO980:AO982)</f>
        <v>806.5</v>
      </c>
      <c r="AP979" s="581">
        <f>SUM(AP980:AP982)</f>
        <v>831.7</v>
      </c>
      <c r="AQ979" s="588">
        <f>AP979</f>
        <v>831.7</v>
      </c>
      <c r="AR979" s="581">
        <f>SUM(AR980:AR982)</f>
        <v>814</v>
      </c>
      <c r="AS979" s="581">
        <f>SUM(AS980:AS982)</f>
        <v>815.7</v>
      </c>
      <c r="AT979" s="581">
        <f>SUM(AT980:AT982)</f>
        <v>805.2</v>
      </c>
      <c r="AU979" s="581">
        <f>AT979</f>
        <v>805.2</v>
      </c>
      <c r="AV979" s="588">
        <f>AU979</f>
        <v>805.2</v>
      </c>
      <c r="AW979" s="2735">
        <f>SUM(AW980:AW982)</f>
        <v>805.5</v>
      </c>
      <c r="AX979" s="2735">
        <f>SUM(AX980:AX982)</f>
        <v>795.9</v>
      </c>
      <c r="AY979" s="2735">
        <f>SUM(AY980:AY982)</f>
        <v>768</v>
      </c>
      <c r="AZ979" s="2735">
        <f>SUM(AZ980:AZ982)</f>
        <v>813.4</v>
      </c>
      <c r="BA979" s="588">
        <f>AZ979</f>
        <v>813.4</v>
      </c>
      <c r="BB979" s="2735">
        <f t="shared" ref="BB979:BH979" si="1852">SUM(BB980:BB983)</f>
        <v>809.25</v>
      </c>
      <c r="BC979" s="2735">
        <f t="shared" si="1852"/>
        <v>804.7</v>
      </c>
      <c r="BD979" s="2735">
        <f t="shared" si="1852"/>
        <v>776.55</v>
      </c>
      <c r="BE979" s="2735">
        <f t="shared" si="1852"/>
        <v>776.55</v>
      </c>
      <c r="BF979" s="588">
        <f t="shared" si="1852"/>
        <v>776.55</v>
      </c>
      <c r="BG979" s="2735">
        <f t="shared" si="1852"/>
        <v>733.1</v>
      </c>
      <c r="BH979" s="2735">
        <f t="shared" si="1852"/>
        <v>710.8</v>
      </c>
      <c r="BI979" s="2735">
        <f t="shared" ref="BI979:BN979" si="1853">SUM(BI980:BI984)</f>
        <v>677</v>
      </c>
      <c r="BJ979" s="2735">
        <f t="shared" si="1853"/>
        <v>697.6</v>
      </c>
      <c r="BK979" s="588">
        <f t="shared" si="1853"/>
        <v>697.6</v>
      </c>
      <c r="BL979" s="581">
        <f t="shared" si="1853"/>
        <v>651.5</v>
      </c>
      <c r="BM979" s="581">
        <f t="shared" si="1853"/>
        <v>603</v>
      </c>
      <c r="BN979" s="581">
        <f t="shared" si="1853"/>
        <v>603</v>
      </c>
      <c r="BO979" s="869"/>
      <c r="BP979" s="588"/>
      <c r="BQ979" s="581"/>
      <c r="BR979" s="581"/>
      <c r="BS979" s="581"/>
      <c r="BT979" s="869"/>
      <c r="BU979" s="3376"/>
      <c r="BV979" s="581"/>
      <c r="BW979" s="581"/>
      <c r="BX979" s="581"/>
      <c r="BY979" s="869"/>
      <c r="BZ979" s="588"/>
      <c r="CA979" s="588"/>
      <c r="CB979" s="588"/>
      <c r="CC979" s="588">
        <f>SUM(CC980:CC983)</f>
        <v>0</v>
      </c>
      <c r="CD979" s="588">
        <f>SUM(CD980:CD983)</f>
        <v>0</v>
      </c>
      <c r="CE979" s="588">
        <f>SUM(CE980:CE983)</f>
        <v>0</v>
      </c>
      <c r="CF979" s="588">
        <f>SUM(CF980:CF983)</f>
        <v>0</v>
      </c>
      <c r="CG979" s="588">
        <f>SUM(CG980:CG983)</f>
        <v>0</v>
      </c>
      <c r="CH979" s="581"/>
      <c r="CI979" s="581"/>
      <c r="CJ979" s="581"/>
      <c r="CK979" s="581"/>
      <c r="CL979" s="581"/>
      <c r="CM979" s="581"/>
      <c r="CN979" s="581"/>
      <c r="CO979" s="581"/>
      <c r="CP979" s="1864" t="str">
        <f t="shared" si="1822"/>
        <v>Debt</v>
      </c>
      <c r="CQ979" s="581">
        <f>H979</f>
        <v>425.6</v>
      </c>
      <c r="CR979" s="581">
        <f>M979</f>
        <v>341.7</v>
      </c>
      <c r="CS979" s="581">
        <f>R979</f>
        <v>554.6</v>
      </c>
      <c r="CT979" s="581">
        <f>W979</f>
        <v>722.7</v>
      </c>
      <c r="CU979" s="581">
        <f>AB979</f>
        <v>740.5</v>
      </c>
      <c r="CV979" s="581">
        <f>AG979</f>
        <v>679.61900000000003</v>
      </c>
      <c r="CW979" s="581">
        <f t="shared" si="1824"/>
        <v>825.57599999999991</v>
      </c>
      <c r="CX979" s="581">
        <f t="shared" si="1825"/>
        <v>831.7</v>
      </c>
      <c r="CY979" s="581">
        <f>AV979</f>
        <v>805.2</v>
      </c>
      <c r="CZ979" s="581">
        <f>BA979</f>
        <v>813.4</v>
      </c>
      <c r="DA979" s="581">
        <f>BF979</f>
        <v>776.55</v>
      </c>
      <c r="DB979" s="581">
        <f>BK979</f>
        <v>697.6</v>
      </c>
      <c r="DC979" s="581">
        <f t="shared" si="1827"/>
        <v>0</v>
      </c>
      <c r="DD979" s="581">
        <f t="shared" si="1828"/>
        <v>0</v>
      </c>
      <c r="DE979" s="581">
        <f t="shared" si="1829"/>
        <v>0</v>
      </c>
      <c r="DF979" s="581">
        <f t="shared" si="1830"/>
        <v>0</v>
      </c>
      <c r="DG979" s="869">
        <f t="shared" si="1831"/>
        <v>0</v>
      </c>
      <c r="DH979" s="856"/>
      <c r="DI979" s="838"/>
      <c r="DJ979" s="838"/>
      <c r="DK979" s="838"/>
      <c r="DL979" s="838"/>
      <c r="DM979" s="838"/>
      <c r="DN979" s="632"/>
      <c r="DO979" s="312"/>
      <c r="DY979" s="581"/>
      <c r="DZ979" s="581"/>
    </row>
    <row r="980" spans="1:130" ht="12" customHeight="1">
      <c r="A980" s="896" t="s">
        <v>1101</v>
      </c>
      <c r="B980" s="857">
        <v>3.2500000000000001E-2</v>
      </c>
      <c r="C980" s="857"/>
      <c r="D980" s="584"/>
      <c r="E980" s="583"/>
      <c r="F980" s="583"/>
      <c r="G980" s="583"/>
      <c r="H980" s="588"/>
      <c r="I980" s="583"/>
      <c r="J980" s="583"/>
      <c r="K980" s="583"/>
      <c r="L980" s="583"/>
      <c r="M980" s="588"/>
      <c r="N980" s="583"/>
      <c r="O980" s="583"/>
      <c r="P980" s="583"/>
      <c r="Q980" s="583"/>
      <c r="R980" s="588"/>
      <c r="S980" s="583"/>
      <c r="T980" s="583"/>
      <c r="U980" s="583"/>
      <c r="V980" s="583"/>
      <c r="W980" s="588"/>
      <c r="X980" s="583"/>
      <c r="Y980" s="583"/>
      <c r="Z980" s="583"/>
      <c r="AA980" s="583"/>
      <c r="AB980" s="588"/>
      <c r="AC980" s="583"/>
      <c r="AD980" s="583"/>
      <c r="AE980" s="583"/>
      <c r="AF980" s="583"/>
      <c r="AG980" s="588"/>
      <c r="AH980" s="583"/>
      <c r="AI980" s="583"/>
      <c r="AJ980" s="583">
        <v>47.1</v>
      </c>
      <c r="AK980" s="583">
        <v>60.9</v>
      </c>
      <c r="AL980" s="588">
        <f t="shared" si="1851"/>
        <v>60.9</v>
      </c>
      <c r="AM980" s="583">
        <v>28.7</v>
      </c>
      <c r="AN980" s="583">
        <v>20</v>
      </c>
      <c r="AO980" s="583">
        <v>15</v>
      </c>
      <c r="AP980" s="583">
        <v>40.200000000000003</v>
      </c>
      <c r="AQ980" s="588">
        <f>AP980</f>
        <v>40.200000000000003</v>
      </c>
      <c r="AR980" s="583">
        <v>22.5</v>
      </c>
      <c r="AS980" s="583">
        <v>24.2</v>
      </c>
      <c r="AT980" s="583">
        <v>13.7</v>
      </c>
      <c r="AU980" s="583">
        <v>20</v>
      </c>
      <c r="AV980" s="588">
        <f>AU980</f>
        <v>20</v>
      </c>
      <c r="AW980" s="583">
        <v>14</v>
      </c>
      <c r="AX980" s="583">
        <v>4.4000000000000004</v>
      </c>
      <c r="AY980" s="583">
        <v>16.3</v>
      </c>
      <c r="AZ980" s="583">
        <v>39.9</v>
      </c>
      <c r="BA980" s="588">
        <f>AZ980</f>
        <v>39.9</v>
      </c>
      <c r="BB980" s="583">
        <v>36.700000000000003</v>
      </c>
      <c r="BC980" s="583">
        <v>33.1</v>
      </c>
      <c r="BD980" s="583">
        <v>5.9</v>
      </c>
      <c r="BE980" s="581">
        <f t="shared" ref="BE980:BF983" si="1854">BD980</f>
        <v>5.9</v>
      </c>
      <c r="BF980" s="588">
        <f t="shared" si="1854"/>
        <v>5.9</v>
      </c>
      <c r="BG980" s="580">
        <f>BE980</f>
        <v>5.9</v>
      </c>
      <c r="BH980" s="581">
        <f>BG980</f>
        <v>5.9</v>
      </c>
      <c r="BI980" s="581">
        <f t="shared" ref="BI980:BK983" si="1855">BH980</f>
        <v>5.9</v>
      </c>
      <c r="BJ980" s="869">
        <f t="shared" si="1855"/>
        <v>5.9</v>
      </c>
      <c r="BK980" s="588">
        <f t="shared" si="1855"/>
        <v>5.9</v>
      </c>
      <c r="BL980" s="581">
        <f t="shared" ref="BL980:BN983" si="1856">BK980</f>
        <v>5.9</v>
      </c>
      <c r="BM980" s="581">
        <f t="shared" si="1856"/>
        <v>5.9</v>
      </c>
      <c r="BN980" s="581">
        <f t="shared" si="1856"/>
        <v>5.9</v>
      </c>
      <c r="BO980" s="869"/>
      <c r="BP980" s="588"/>
      <c r="BQ980" s="581"/>
      <c r="BR980" s="581"/>
      <c r="BS980" s="581"/>
      <c r="BT980" s="869"/>
      <c r="BU980" s="3376"/>
      <c r="BV980" s="581"/>
      <c r="BW980" s="581"/>
      <c r="BX980" s="581"/>
      <c r="BY980" s="869"/>
      <c r="BZ980" s="588"/>
      <c r="CA980" s="588"/>
      <c r="CB980" s="588"/>
      <c r="CC980" s="588">
        <f t="shared" ref="CC980:CG983" si="1857">CB980</f>
        <v>0</v>
      </c>
      <c r="CD980" s="588">
        <f t="shared" si="1857"/>
        <v>0</v>
      </c>
      <c r="CE980" s="588">
        <f t="shared" si="1857"/>
        <v>0</v>
      </c>
      <c r="CF980" s="588">
        <f t="shared" si="1857"/>
        <v>0</v>
      </c>
      <c r="CG980" s="588">
        <f t="shared" si="1857"/>
        <v>0</v>
      </c>
      <c r="CH980" s="581"/>
      <c r="CI980" s="581"/>
      <c r="CJ980" s="581"/>
      <c r="CK980" s="581"/>
      <c r="CL980" s="581"/>
      <c r="CM980" s="581"/>
      <c r="CN980" s="581"/>
      <c r="CO980" s="581"/>
      <c r="CP980" s="1882" t="str">
        <f t="shared" si="1822"/>
        <v>Credit facility</v>
      </c>
      <c r="CQ980" s="581"/>
      <c r="CR980" s="581"/>
      <c r="CS980" s="581"/>
      <c r="CT980" s="581"/>
      <c r="CU980" s="581"/>
      <c r="CV980" s="581"/>
      <c r="CW980" s="581">
        <f t="shared" si="1824"/>
        <v>60.9</v>
      </c>
      <c r="CX980" s="581">
        <f t="shared" si="1825"/>
        <v>40.200000000000003</v>
      </c>
      <c r="CY980" s="581">
        <f>AV980</f>
        <v>20</v>
      </c>
      <c r="CZ980" s="581">
        <f>BA980</f>
        <v>39.9</v>
      </c>
      <c r="DA980" s="581">
        <f>BF980</f>
        <v>5.9</v>
      </c>
      <c r="DB980" s="581">
        <f>BK980</f>
        <v>5.9</v>
      </c>
      <c r="DC980" s="581">
        <f t="shared" si="1827"/>
        <v>0</v>
      </c>
      <c r="DD980" s="581">
        <f t="shared" si="1828"/>
        <v>0</v>
      </c>
      <c r="DE980" s="581">
        <f t="shared" si="1829"/>
        <v>0</v>
      </c>
      <c r="DF980" s="581">
        <f t="shared" si="1830"/>
        <v>0</v>
      </c>
      <c r="DG980" s="869">
        <f t="shared" si="1831"/>
        <v>0</v>
      </c>
      <c r="DH980" s="856"/>
      <c r="DI980" s="838"/>
      <c r="DJ980" s="838"/>
      <c r="DK980" s="838"/>
      <c r="DL980" s="838"/>
      <c r="DM980" s="838"/>
      <c r="DN980" s="632"/>
      <c r="DO980" s="312"/>
      <c r="DY980" s="581"/>
      <c r="DZ980" s="581"/>
    </row>
    <row r="981" spans="1:130" ht="12" customHeight="1">
      <c r="A981" s="896" t="s">
        <v>260</v>
      </c>
      <c r="B981" s="857"/>
      <c r="C981" s="857"/>
      <c r="D981" s="584"/>
      <c r="E981" s="583"/>
      <c r="F981" s="583"/>
      <c r="G981" s="583"/>
      <c r="H981" s="588"/>
      <c r="I981" s="583"/>
      <c r="J981" s="583"/>
      <c r="K981" s="583"/>
      <c r="L981" s="583"/>
      <c r="M981" s="588"/>
      <c r="N981" s="583"/>
      <c r="O981" s="583"/>
      <c r="P981" s="583"/>
      <c r="Q981" s="583"/>
      <c r="R981" s="588"/>
      <c r="S981" s="583"/>
      <c r="T981" s="583"/>
      <c r="U981" s="583"/>
      <c r="V981" s="583"/>
      <c r="W981" s="588"/>
      <c r="X981" s="583"/>
      <c r="Y981" s="583"/>
      <c r="Z981" s="583"/>
      <c r="AA981" s="583"/>
      <c r="AB981" s="588"/>
      <c r="AC981" s="583"/>
      <c r="AD981" s="583"/>
      <c r="AE981" s="583"/>
      <c r="AF981" s="583"/>
      <c r="AG981" s="588"/>
      <c r="AH981" s="583"/>
      <c r="AI981" s="583"/>
      <c r="AJ981" s="583">
        <v>400</v>
      </c>
      <c r="AK981" s="583">
        <v>400</v>
      </c>
      <c r="AL981" s="588">
        <f t="shared" si="1851"/>
        <v>400</v>
      </c>
      <c r="AM981" s="583">
        <v>400</v>
      </c>
      <c r="AN981" s="583">
        <v>400</v>
      </c>
      <c r="AO981" s="583">
        <v>398</v>
      </c>
      <c r="AP981" s="583">
        <v>398</v>
      </c>
      <c r="AQ981" s="588">
        <f>AP981</f>
        <v>398</v>
      </c>
      <c r="AR981" s="583">
        <v>398</v>
      </c>
      <c r="AS981" s="583">
        <v>398</v>
      </c>
      <c r="AT981" s="583">
        <v>398</v>
      </c>
      <c r="AU981" s="583">
        <v>398</v>
      </c>
      <c r="AV981" s="588">
        <f>AU981</f>
        <v>398</v>
      </c>
      <c r="AW981" s="583">
        <v>398</v>
      </c>
      <c r="AX981" s="583">
        <v>398</v>
      </c>
      <c r="AY981" s="583">
        <v>358.2</v>
      </c>
      <c r="AZ981" s="583">
        <v>380</v>
      </c>
      <c r="BA981" s="588">
        <f>AZ981</f>
        <v>380</v>
      </c>
      <c r="BB981" s="583">
        <v>0</v>
      </c>
      <c r="BC981" s="583">
        <v>0</v>
      </c>
      <c r="BD981" s="581">
        <v>0</v>
      </c>
      <c r="BE981" s="581">
        <f t="shared" si="1854"/>
        <v>0</v>
      </c>
      <c r="BF981" s="588">
        <f t="shared" si="1854"/>
        <v>0</v>
      </c>
      <c r="BG981" s="580">
        <f>BE981</f>
        <v>0</v>
      </c>
      <c r="BH981" s="581">
        <f>BG981</f>
        <v>0</v>
      </c>
      <c r="BI981" s="581">
        <f t="shared" si="1855"/>
        <v>0</v>
      </c>
      <c r="BJ981" s="869">
        <f t="shared" si="1855"/>
        <v>0</v>
      </c>
      <c r="BK981" s="588">
        <f t="shared" si="1855"/>
        <v>0</v>
      </c>
      <c r="BL981" s="581">
        <f t="shared" si="1856"/>
        <v>0</v>
      </c>
      <c r="BM981" s="581">
        <f t="shared" si="1856"/>
        <v>0</v>
      </c>
      <c r="BN981" s="581">
        <f t="shared" si="1856"/>
        <v>0</v>
      </c>
      <c r="BO981" s="869"/>
      <c r="BP981" s="588"/>
      <c r="BQ981" s="581"/>
      <c r="BR981" s="581"/>
      <c r="BS981" s="581"/>
      <c r="BT981" s="869"/>
      <c r="BU981" s="3376"/>
      <c r="BV981" s="581"/>
      <c r="BW981" s="581"/>
      <c r="BX981" s="581"/>
      <c r="BY981" s="869"/>
      <c r="BZ981" s="588"/>
      <c r="CA981" s="588"/>
      <c r="CB981" s="588"/>
      <c r="CC981" s="588">
        <f t="shared" si="1857"/>
        <v>0</v>
      </c>
      <c r="CD981" s="588">
        <f t="shared" si="1857"/>
        <v>0</v>
      </c>
      <c r="CE981" s="588">
        <f t="shared" si="1857"/>
        <v>0</v>
      </c>
      <c r="CF981" s="588">
        <f t="shared" si="1857"/>
        <v>0</v>
      </c>
      <c r="CG981" s="588">
        <f t="shared" si="1857"/>
        <v>0</v>
      </c>
      <c r="CH981" s="581"/>
      <c r="CI981" s="581"/>
      <c r="CJ981" s="581"/>
      <c r="CK981" s="581"/>
      <c r="CL981" s="581"/>
      <c r="CM981" s="581"/>
      <c r="CN981" s="581"/>
      <c r="CO981" s="581"/>
      <c r="CP981" s="1882" t="str">
        <f t="shared" si="1822"/>
        <v>Senior secured notes due 2015</v>
      </c>
      <c r="CQ981" s="581"/>
      <c r="CR981" s="581"/>
      <c r="CS981" s="581"/>
      <c r="CT981" s="581"/>
      <c r="CU981" s="581"/>
      <c r="CV981" s="581"/>
      <c r="CW981" s="581">
        <f t="shared" si="1824"/>
        <v>400</v>
      </c>
      <c r="CX981" s="581">
        <f t="shared" si="1825"/>
        <v>398</v>
      </c>
      <c r="CY981" s="581">
        <f>AV981</f>
        <v>398</v>
      </c>
      <c r="CZ981" s="581">
        <f>BA981</f>
        <v>380</v>
      </c>
      <c r="DA981" s="581">
        <f>BF981</f>
        <v>0</v>
      </c>
      <c r="DB981" s="581">
        <f>BK981</f>
        <v>0</v>
      </c>
      <c r="DC981" s="581">
        <f t="shared" si="1827"/>
        <v>0</v>
      </c>
      <c r="DD981" s="581">
        <f t="shared" si="1828"/>
        <v>0</v>
      </c>
      <c r="DE981" s="581">
        <f t="shared" si="1829"/>
        <v>0</v>
      </c>
      <c r="DF981" s="581">
        <f t="shared" si="1830"/>
        <v>0</v>
      </c>
      <c r="DG981" s="869">
        <f t="shared" si="1831"/>
        <v>0</v>
      </c>
      <c r="DH981" s="856"/>
      <c r="DI981" s="838"/>
      <c r="DJ981" s="838"/>
      <c r="DK981" s="838"/>
      <c r="DL981" s="838"/>
      <c r="DM981" s="838"/>
      <c r="DN981" s="632"/>
      <c r="DO981" s="312"/>
      <c r="DY981" s="581"/>
      <c r="DZ981" s="581"/>
    </row>
    <row r="982" spans="1:130" ht="12" customHeight="1">
      <c r="A982" s="896" t="s">
        <v>261</v>
      </c>
      <c r="B982" s="857"/>
      <c r="C982" s="857"/>
      <c r="D982" s="584"/>
      <c r="E982" s="583"/>
      <c r="F982" s="583"/>
      <c r="G982" s="583"/>
      <c r="H982" s="588"/>
      <c r="I982" s="583"/>
      <c r="J982" s="583"/>
      <c r="K982" s="583"/>
      <c r="L982" s="583"/>
      <c r="M982" s="588"/>
      <c r="N982" s="583"/>
      <c r="O982" s="583"/>
      <c r="P982" s="583"/>
      <c r="Q982" s="583"/>
      <c r="R982" s="588"/>
      <c r="S982" s="583"/>
      <c r="T982" s="583"/>
      <c r="U982" s="583"/>
      <c r="V982" s="583"/>
      <c r="W982" s="588"/>
      <c r="X982" s="583"/>
      <c r="Y982" s="583"/>
      <c r="Z982" s="583"/>
      <c r="AA982" s="583"/>
      <c r="AB982" s="588"/>
      <c r="AC982" s="583"/>
      <c r="AD982" s="583"/>
      <c r="AE982" s="583"/>
      <c r="AF982" s="583"/>
      <c r="AG982" s="588"/>
      <c r="AH982" s="583"/>
      <c r="AI982" s="583"/>
      <c r="AJ982" s="583">
        <v>400</v>
      </c>
      <c r="AK982" s="583">
        <v>400</v>
      </c>
      <c r="AL982" s="588">
        <f t="shared" si="1851"/>
        <v>400</v>
      </c>
      <c r="AM982" s="583">
        <v>400</v>
      </c>
      <c r="AN982" s="583">
        <v>400</v>
      </c>
      <c r="AO982" s="583">
        <v>393.5</v>
      </c>
      <c r="AP982" s="583">
        <v>393.5</v>
      </c>
      <c r="AQ982" s="588">
        <f>AP982</f>
        <v>393.5</v>
      </c>
      <c r="AR982" s="583">
        <v>393.5</v>
      </c>
      <c r="AS982" s="583">
        <v>393.5</v>
      </c>
      <c r="AT982" s="583">
        <v>393.5</v>
      </c>
      <c r="AU982" s="583">
        <v>393.5</v>
      </c>
      <c r="AV982" s="588">
        <f>AU982</f>
        <v>393.5</v>
      </c>
      <c r="AW982" s="583">
        <v>393.5</v>
      </c>
      <c r="AX982" s="583">
        <v>393.5</v>
      </c>
      <c r="AY982" s="583">
        <v>393.5</v>
      </c>
      <c r="AZ982" s="583">
        <v>393.5</v>
      </c>
      <c r="BA982" s="588">
        <f>AZ982</f>
        <v>393.5</v>
      </c>
      <c r="BB982" s="583">
        <v>393.5</v>
      </c>
      <c r="BC982" s="583">
        <v>393.5</v>
      </c>
      <c r="BD982" s="583">
        <v>393.5</v>
      </c>
      <c r="BE982" s="581">
        <f t="shared" si="1854"/>
        <v>393.5</v>
      </c>
      <c r="BF982" s="588">
        <f t="shared" si="1854"/>
        <v>393.5</v>
      </c>
      <c r="BG982" s="580">
        <f>BE982</f>
        <v>393.5</v>
      </c>
      <c r="BH982" s="581">
        <f>BG982</f>
        <v>393.5</v>
      </c>
      <c r="BI982" s="581">
        <v>0</v>
      </c>
      <c r="BJ982" s="869">
        <f t="shared" si="1855"/>
        <v>0</v>
      </c>
      <c r="BK982" s="588">
        <f t="shared" si="1855"/>
        <v>0</v>
      </c>
      <c r="BL982" s="581">
        <f t="shared" si="1856"/>
        <v>0</v>
      </c>
      <c r="BM982" s="581">
        <f t="shared" si="1856"/>
        <v>0</v>
      </c>
      <c r="BN982" s="581">
        <f t="shared" si="1856"/>
        <v>0</v>
      </c>
      <c r="BO982" s="869"/>
      <c r="BP982" s="588"/>
      <c r="BQ982" s="581"/>
      <c r="BR982" s="581"/>
      <c r="BS982" s="581"/>
      <c r="BT982" s="869"/>
      <c r="BU982" s="3376"/>
      <c r="BV982" s="581"/>
      <c r="BW982" s="581"/>
      <c r="BX982" s="581"/>
      <c r="BY982" s="869"/>
      <c r="BZ982" s="588"/>
      <c r="CA982" s="588"/>
      <c r="CB982" s="588"/>
      <c r="CC982" s="588">
        <f t="shared" si="1857"/>
        <v>0</v>
      </c>
      <c r="CD982" s="588">
        <f t="shared" si="1857"/>
        <v>0</v>
      </c>
      <c r="CE982" s="588">
        <f t="shared" si="1857"/>
        <v>0</v>
      </c>
      <c r="CF982" s="588">
        <f t="shared" si="1857"/>
        <v>0</v>
      </c>
      <c r="CG982" s="588">
        <f t="shared" si="1857"/>
        <v>0</v>
      </c>
      <c r="CH982" s="1476"/>
      <c r="CI982" s="1476"/>
      <c r="CJ982" s="1476"/>
      <c r="CK982" s="1476"/>
      <c r="CL982" s="1476"/>
      <c r="CM982" s="1476"/>
      <c r="CN982" s="1476"/>
      <c r="CO982" s="1476"/>
      <c r="CP982" s="1882" t="str">
        <f t="shared" si="1822"/>
        <v>Senior secured notes due 2018</v>
      </c>
      <c r="CQ982" s="581"/>
      <c r="CR982" s="581"/>
      <c r="CS982" s="581"/>
      <c r="CT982" s="581"/>
      <c r="CU982" s="581"/>
      <c r="CV982" s="581"/>
      <c r="CW982" s="581">
        <f t="shared" si="1824"/>
        <v>400</v>
      </c>
      <c r="CX982" s="581">
        <f t="shared" si="1825"/>
        <v>393.5</v>
      </c>
      <c r="CY982" s="581">
        <f>AV982</f>
        <v>393.5</v>
      </c>
      <c r="CZ982" s="581">
        <f>BA982</f>
        <v>393.5</v>
      </c>
      <c r="DA982" s="581">
        <f>BF982</f>
        <v>393.5</v>
      </c>
      <c r="DB982" s="581">
        <f>BK982</f>
        <v>0</v>
      </c>
      <c r="DC982" s="581">
        <f t="shared" si="1827"/>
        <v>0</v>
      </c>
      <c r="DD982" s="581">
        <f t="shared" si="1828"/>
        <v>0</v>
      </c>
      <c r="DE982" s="581">
        <f t="shared" si="1829"/>
        <v>0</v>
      </c>
      <c r="DF982" s="581">
        <f t="shared" si="1830"/>
        <v>0</v>
      </c>
      <c r="DG982" s="869">
        <f t="shared" si="1831"/>
        <v>0</v>
      </c>
      <c r="DH982" s="1477"/>
      <c r="DI982" s="1478"/>
      <c r="DJ982" s="1478"/>
      <c r="DK982" s="1478"/>
      <c r="DL982" s="1478"/>
      <c r="DM982" s="1478"/>
      <c r="DN982" s="1479"/>
      <c r="DO982" s="1480"/>
      <c r="DY982" s="581"/>
      <c r="DZ982" s="581"/>
    </row>
    <row r="983" spans="1:130" ht="12" customHeight="1">
      <c r="A983" s="2516" t="s">
        <v>1402</v>
      </c>
      <c r="B983" s="857">
        <v>5.7500000000000002E-2</v>
      </c>
      <c r="C983" s="857"/>
      <c r="D983" s="584"/>
      <c r="E983" s="583"/>
      <c r="F983" s="583"/>
      <c r="G983" s="583"/>
      <c r="H983" s="588"/>
      <c r="I983" s="583"/>
      <c r="J983" s="583"/>
      <c r="K983" s="583"/>
      <c r="L983" s="583"/>
      <c r="M983" s="588"/>
      <c r="N983" s="583"/>
      <c r="O983" s="583"/>
      <c r="P983" s="583"/>
      <c r="Q983" s="583"/>
      <c r="R983" s="588"/>
      <c r="S983" s="583"/>
      <c r="T983" s="583"/>
      <c r="U983" s="583"/>
      <c r="V983" s="583"/>
      <c r="W983" s="588"/>
      <c r="X983" s="583"/>
      <c r="Y983" s="583"/>
      <c r="Z983" s="583"/>
      <c r="AA983" s="583"/>
      <c r="AB983" s="588"/>
      <c r="AC983" s="583"/>
      <c r="AD983" s="583"/>
      <c r="AE983" s="583"/>
      <c r="AF983" s="583"/>
      <c r="AG983" s="588"/>
      <c r="AH983" s="583"/>
      <c r="AI983" s="583"/>
      <c r="AJ983" s="583"/>
      <c r="AK983" s="583"/>
      <c r="AL983" s="588"/>
      <c r="AM983" s="583"/>
      <c r="AN983" s="583"/>
      <c r="AO983" s="583"/>
      <c r="AP983" s="583"/>
      <c r="AQ983" s="588"/>
      <c r="AR983" s="583"/>
      <c r="AS983" s="583"/>
      <c r="AT983" s="583"/>
      <c r="AU983" s="583"/>
      <c r="AV983" s="588"/>
      <c r="AW983" s="583"/>
      <c r="AX983" s="583"/>
      <c r="AY983" s="583"/>
      <c r="AZ983" s="583"/>
      <c r="BA983" s="588"/>
      <c r="BB983" s="583">
        <v>379.05</v>
      </c>
      <c r="BC983" s="583">
        <v>378.1</v>
      </c>
      <c r="BD983" s="583">
        <v>377.15</v>
      </c>
      <c r="BE983" s="581">
        <f t="shared" si="1854"/>
        <v>377.15</v>
      </c>
      <c r="BF983" s="588">
        <f>BE983</f>
        <v>377.15</v>
      </c>
      <c r="BG983" s="583">
        <f>733.1-SUM(BG980:BG982)</f>
        <v>333.70000000000005</v>
      </c>
      <c r="BH983" s="583">
        <f>710.8-SUM(BH980:BH982)</f>
        <v>311.39999999999998</v>
      </c>
      <c r="BI983" s="581">
        <f t="shared" si="1855"/>
        <v>311.39999999999998</v>
      </c>
      <c r="BJ983" s="869">
        <f t="shared" si="1855"/>
        <v>311.39999999999998</v>
      </c>
      <c r="BK983" s="588">
        <f t="shared" si="1855"/>
        <v>311.39999999999998</v>
      </c>
      <c r="BL983" s="581">
        <f t="shared" si="1856"/>
        <v>311.39999999999998</v>
      </c>
      <c r="BM983" s="581">
        <f t="shared" si="1856"/>
        <v>311.39999999999998</v>
      </c>
      <c r="BN983" s="581">
        <f t="shared" si="1856"/>
        <v>311.39999999999998</v>
      </c>
      <c r="BO983" s="869"/>
      <c r="BP983" s="588"/>
      <c r="BQ983" s="581"/>
      <c r="BR983" s="581"/>
      <c r="BS983" s="581"/>
      <c r="BT983" s="869"/>
      <c r="BU983" s="3376"/>
      <c r="BV983" s="581"/>
      <c r="BW983" s="581"/>
      <c r="BX983" s="581"/>
      <c r="BY983" s="869"/>
      <c r="BZ983" s="588"/>
      <c r="CA983" s="588"/>
      <c r="CB983" s="588"/>
      <c r="CC983" s="588">
        <f t="shared" si="1857"/>
        <v>0</v>
      </c>
      <c r="CD983" s="588">
        <f t="shared" si="1857"/>
        <v>0</v>
      </c>
      <c r="CE983" s="588">
        <f t="shared" si="1857"/>
        <v>0</v>
      </c>
      <c r="CF983" s="588">
        <f t="shared" si="1857"/>
        <v>0</v>
      </c>
      <c r="CG983" s="588">
        <f t="shared" si="1857"/>
        <v>0</v>
      </c>
      <c r="CH983" s="1476"/>
      <c r="CI983" s="1476"/>
      <c r="CJ983" s="1476"/>
      <c r="CK983" s="1476"/>
      <c r="CL983" s="1476"/>
      <c r="CM983" s="1476"/>
      <c r="CN983" s="1476"/>
      <c r="CO983" s="1476"/>
      <c r="CP983" s="1882" t="str">
        <f t="shared" si="1822"/>
        <v>Term Loan due 2018</v>
      </c>
      <c r="CQ983" s="581"/>
      <c r="CR983" s="581"/>
      <c r="CS983" s="581"/>
      <c r="CT983" s="581"/>
      <c r="CU983" s="581"/>
      <c r="CV983" s="581"/>
      <c r="CW983" s="581"/>
      <c r="CX983" s="581"/>
      <c r="CY983" s="581"/>
      <c r="CZ983" s="581"/>
      <c r="DA983" s="581"/>
      <c r="DB983" s="581"/>
      <c r="DC983" s="581"/>
      <c r="DD983" s="581"/>
      <c r="DE983" s="581"/>
      <c r="DF983" s="581"/>
      <c r="DG983" s="869"/>
      <c r="DH983" s="1477"/>
      <c r="DI983" s="1478"/>
      <c r="DJ983" s="1478"/>
      <c r="DK983" s="1478"/>
      <c r="DL983" s="1478"/>
      <c r="DM983" s="1478"/>
      <c r="DN983" s="1479"/>
      <c r="DO983" s="1480"/>
      <c r="DY983" s="581"/>
      <c r="DZ983" s="581"/>
    </row>
    <row r="984" spans="1:130" ht="12" customHeight="1">
      <c r="A984" s="2516" t="s">
        <v>1846</v>
      </c>
      <c r="B984" s="857">
        <v>5.5E-2</v>
      </c>
      <c r="C984" s="857"/>
      <c r="D984" s="584"/>
      <c r="E984" s="583"/>
      <c r="F984" s="583"/>
      <c r="G984" s="583"/>
      <c r="H984" s="588"/>
      <c r="I984" s="583"/>
      <c r="J984" s="583"/>
      <c r="K984" s="583"/>
      <c r="L984" s="583"/>
      <c r="M984" s="588"/>
      <c r="N984" s="583"/>
      <c r="O984" s="583"/>
      <c r="P984" s="583"/>
      <c r="Q984" s="583"/>
      <c r="R984" s="588"/>
      <c r="S984" s="583"/>
      <c r="T984" s="583"/>
      <c r="U984" s="583"/>
      <c r="V984" s="583"/>
      <c r="W984" s="588"/>
      <c r="X984" s="583"/>
      <c r="Y984" s="583"/>
      <c r="Z984" s="583"/>
      <c r="AA984" s="583"/>
      <c r="AB984" s="588"/>
      <c r="AC984" s="583"/>
      <c r="AD984" s="583"/>
      <c r="AE984" s="583"/>
      <c r="AF984" s="583"/>
      <c r="AG984" s="588"/>
      <c r="AH984" s="583"/>
      <c r="AI984" s="583"/>
      <c r="AJ984" s="583"/>
      <c r="AK984" s="583"/>
      <c r="AL984" s="588"/>
      <c r="AM984" s="583"/>
      <c r="AN984" s="583"/>
      <c r="AO984" s="583"/>
      <c r="AP984" s="583"/>
      <c r="AQ984" s="588"/>
      <c r="AR984" s="583"/>
      <c r="AS984" s="583"/>
      <c r="AT984" s="583"/>
      <c r="AU984" s="583"/>
      <c r="AV984" s="588"/>
      <c r="AW984" s="583"/>
      <c r="AX984" s="583"/>
      <c r="AY984" s="583"/>
      <c r="AZ984" s="583"/>
      <c r="BA984" s="588"/>
      <c r="BB984" s="583"/>
      <c r="BC984" s="583"/>
      <c r="BD984" s="583"/>
      <c r="BE984" s="581"/>
      <c r="BF984" s="588"/>
      <c r="BG984" s="583"/>
      <c r="BH984" s="583"/>
      <c r="BI984" s="3188">
        <f>677-SUM(BI980:BI983)</f>
        <v>359.70000000000005</v>
      </c>
      <c r="BJ984" s="3188">
        <f>697.6-SUM(BJ980:BJ983)</f>
        <v>380.30000000000007</v>
      </c>
      <c r="BK984" s="588">
        <f>BJ984</f>
        <v>380.30000000000007</v>
      </c>
      <c r="BL984" s="3256">
        <f>651.5-SUM(BL980:BL983)</f>
        <v>334.20000000000005</v>
      </c>
      <c r="BM984" s="3256">
        <f>603-SUM(BM980:BM983)</f>
        <v>285.70000000000005</v>
      </c>
      <c r="BN984" s="581">
        <f>BM984</f>
        <v>285.70000000000005</v>
      </c>
      <c r="BO984" s="869"/>
      <c r="BP984" s="588"/>
      <c r="BQ984" s="581"/>
      <c r="BR984" s="581"/>
      <c r="BS984" s="581"/>
      <c r="BT984" s="869"/>
      <c r="BU984" s="3376"/>
      <c r="BV984" s="581"/>
      <c r="BW984" s="581"/>
      <c r="BX984" s="581"/>
      <c r="BY984" s="869"/>
      <c r="BZ984" s="588"/>
      <c r="CA984" s="588"/>
      <c r="CB984" s="588"/>
      <c r="CC984" s="869"/>
      <c r="CD984" s="869"/>
      <c r="CE984" s="869"/>
      <c r="CF984" s="869"/>
      <c r="CG984" s="869"/>
      <c r="CH984" s="1476"/>
      <c r="CI984" s="1476"/>
      <c r="CJ984" s="1476"/>
      <c r="CK984" s="1476"/>
      <c r="CL984" s="1476"/>
      <c r="CM984" s="1476"/>
      <c r="CN984" s="1476"/>
      <c r="CO984" s="1476"/>
      <c r="CP984" s="1882" t="str">
        <f t="shared" si="1822"/>
        <v>Term Loan due 2023</v>
      </c>
      <c r="CQ984" s="581"/>
      <c r="CR984" s="581"/>
      <c r="CS984" s="581"/>
      <c r="CT984" s="581"/>
      <c r="CU984" s="581"/>
      <c r="CV984" s="581"/>
      <c r="CW984" s="581"/>
      <c r="CX984" s="581"/>
      <c r="CY984" s="581"/>
      <c r="CZ984" s="581"/>
      <c r="DA984" s="581"/>
      <c r="DB984" s="581"/>
      <c r="DC984" s="581"/>
      <c r="DD984" s="581"/>
      <c r="DE984" s="581"/>
      <c r="DF984" s="581"/>
      <c r="DG984" s="869"/>
      <c r="DH984" s="1477"/>
      <c r="DI984" s="1478"/>
      <c r="DJ984" s="1478"/>
      <c r="DK984" s="1478"/>
      <c r="DL984" s="1478"/>
      <c r="DM984" s="1478"/>
      <c r="DN984" s="1479"/>
      <c r="DO984" s="1480"/>
      <c r="DY984" s="581"/>
      <c r="DZ984" s="581"/>
    </row>
    <row r="985" spans="1:130" ht="4.5" customHeight="1">
      <c r="A985" s="962"/>
      <c r="B985" s="293"/>
      <c r="C985" s="293"/>
      <c r="D985" s="294" t="s">
        <v>343</v>
      </c>
      <c r="E985" s="295" t="s">
        <v>343</v>
      </c>
      <c r="F985" s="295" t="s">
        <v>343</v>
      </c>
      <c r="G985" s="295" t="s">
        <v>343</v>
      </c>
      <c r="H985" s="296" t="s">
        <v>343</v>
      </c>
      <c r="I985" s="295" t="s">
        <v>343</v>
      </c>
      <c r="J985" s="295" t="s">
        <v>343</v>
      </c>
      <c r="K985" s="295" t="s">
        <v>343</v>
      </c>
      <c r="L985" s="295" t="s">
        <v>343</v>
      </c>
      <c r="M985" s="296" t="s">
        <v>343</v>
      </c>
      <c r="N985" s="295" t="s">
        <v>343</v>
      </c>
      <c r="O985" s="295" t="s">
        <v>343</v>
      </c>
      <c r="P985" s="295" t="s">
        <v>343</v>
      </c>
      <c r="Q985" s="295" t="s">
        <v>343</v>
      </c>
      <c r="R985" s="296" t="s">
        <v>343</v>
      </c>
      <c r="S985" s="295" t="s">
        <v>343</v>
      </c>
      <c r="T985" s="295" t="s">
        <v>343</v>
      </c>
      <c r="U985" s="295" t="s">
        <v>343</v>
      </c>
      <c r="V985" s="295" t="s">
        <v>343</v>
      </c>
      <c r="W985" s="296" t="s">
        <v>343</v>
      </c>
      <c r="X985" s="295" t="s">
        <v>343</v>
      </c>
      <c r="Y985" s="295" t="s">
        <v>343</v>
      </c>
      <c r="Z985" s="295" t="s">
        <v>343</v>
      </c>
      <c r="AA985" s="295" t="s">
        <v>343</v>
      </c>
      <c r="AB985" s="296" t="s">
        <v>343</v>
      </c>
      <c r="AC985" s="295" t="s">
        <v>343</v>
      </c>
      <c r="AD985" s="295" t="s">
        <v>343</v>
      </c>
      <c r="AE985" s="295" t="s">
        <v>343</v>
      </c>
      <c r="AF985" s="295" t="s">
        <v>343</v>
      </c>
      <c r="AG985" s="296" t="s">
        <v>343</v>
      </c>
      <c r="AH985" s="295" t="s">
        <v>343</v>
      </c>
      <c r="AI985" s="295" t="s">
        <v>343</v>
      </c>
      <c r="AJ985" s="295" t="s">
        <v>343</v>
      </c>
      <c r="AK985" s="295" t="s">
        <v>343</v>
      </c>
      <c r="AL985" s="296" t="s">
        <v>343</v>
      </c>
      <c r="AM985" s="295" t="s">
        <v>343</v>
      </c>
      <c r="AN985" s="295" t="s">
        <v>343</v>
      </c>
      <c r="AO985" s="295" t="s">
        <v>343</v>
      </c>
      <c r="AP985" s="295" t="s">
        <v>343</v>
      </c>
      <c r="AQ985" s="296" t="s">
        <v>343</v>
      </c>
      <c r="AR985" s="295" t="s">
        <v>343</v>
      </c>
      <c r="AS985" s="295" t="s">
        <v>343</v>
      </c>
      <c r="AT985" s="295" t="s">
        <v>343</v>
      </c>
      <c r="AU985" s="295" t="s">
        <v>343</v>
      </c>
      <c r="AV985" s="296" t="s">
        <v>343</v>
      </c>
      <c r="AW985" s="295" t="s">
        <v>343</v>
      </c>
      <c r="AX985" s="295" t="s">
        <v>343</v>
      </c>
      <c r="AY985" s="295" t="s">
        <v>343</v>
      </c>
      <c r="AZ985" s="295" t="s">
        <v>343</v>
      </c>
      <c r="BA985" s="296" t="s">
        <v>343</v>
      </c>
      <c r="BB985" s="295" t="s">
        <v>343</v>
      </c>
      <c r="BC985" s="295" t="s">
        <v>343</v>
      </c>
      <c r="BD985" s="295" t="s">
        <v>343</v>
      </c>
      <c r="BE985" s="295" t="s">
        <v>343</v>
      </c>
      <c r="BF985" s="296" t="s">
        <v>343</v>
      </c>
      <c r="BG985" s="294" t="s">
        <v>343</v>
      </c>
      <c r="BH985" s="295" t="s">
        <v>343</v>
      </c>
      <c r="BI985" s="295" t="s">
        <v>343</v>
      </c>
      <c r="BJ985" s="295" t="s">
        <v>343</v>
      </c>
      <c r="BK985" s="296" t="s">
        <v>343</v>
      </c>
      <c r="BL985" s="295" t="s">
        <v>343</v>
      </c>
      <c r="BM985" s="295" t="s">
        <v>343</v>
      </c>
      <c r="BN985" s="295" t="s">
        <v>343</v>
      </c>
      <c r="BO985" s="297"/>
      <c r="BP985" s="296"/>
      <c r="BQ985" s="295"/>
      <c r="BR985" s="295"/>
      <c r="BS985" s="295"/>
      <c r="BT985" s="297"/>
      <c r="BU985" s="3314"/>
      <c r="BV985" s="295"/>
      <c r="BW985" s="295"/>
      <c r="BX985" s="295"/>
      <c r="BY985" s="297"/>
      <c r="BZ985" s="297"/>
      <c r="CA985" s="297"/>
      <c r="CB985" s="297"/>
      <c r="CC985" s="297" t="s">
        <v>343</v>
      </c>
      <c r="CD985" s="297" t="s">
        <v>343</v>
      </c>
      <c r="CE985" s="297" t="s">
        <v>343</v>
      </c>
      <c r="CF985" s="297" t="s">
        <v>343</v>
      </c>
      <c r="CG985" s="297" t="s">
        <v>343</v>
      </c>
      <c r="CH985" s="295"/>
      <c r="CI985" s="295"/>
      <c r="CJ985" s="295"/>
      <c r="CK985" s="295"/>
      <c r="CL985" s="295"/>
      <c r="CM985" s="295"/>
      <c r="CN985" s="295"/>
      <c r="CO985" s="295"/>
      <c r="CP985" s="1784"/>
      <c r="CQ985" s="295" t="str">
        <f>H985</f>
        <v xml:space="preserve">                </v>
      </c>
      <c r="CR985" s="295" t="str">
        <f>M985</f>
        <v xml:space="preserve">                </v>
      </c>
      <c r="CS985" s="295" t="str">
        <f>R985</f>
        <v xml:space="preserve">                </v>
      </c>
      <c r="CT985" s="295" t="str">
        <f>W985</f>
        <v xml:space="preserve">                </v>
      </c>
      <c r="CU985" s="295" t="str">
        <f>AB985</f>
        <v xml:space="preserve">                </v>
      </c>
      <c r="CV985" s="295" t="str">
        <f>AG985</f>
        <v xml:space="preserve">                </v>
      </c>
      <c r="CW985" s="295" t="str">
        <f t="shared" si="1824"/>
        <v xml:space="preserve">                </v>
      </c>
      <c r="CX985" s="295" t="str">
        <f t="shared" si="1825"/>
        <v xml:space="preserve">                </v>
      </c>
      <c r="CY985" s="295" t="str">
        <f>AV985</f>
        <v xml:space="preserve">                </v>
      </c>
      <c r="CZ985" s="295" t="str">
        <f>BA985</f>
        <v xml:space="preserve">                </v>
      </c>
      <c r="DA985" s="295" t="str">
        <f>BF985</f>
        <v xml:space="preserve">                </v>
      </c>
      <c r="DB985" s="295" t="str">
        <f>BK985</f>
        <v xml:space="preserve">                </v>
      </c>
      <c r="DC985" s="295">
        <f t="shared" si="1827"/>
        <v>0</v>
      </c>
      <c r="DD985" s="295">
        <f t="shared" si="1828"/>
        <v>0</v>
      </c>
      <c r="DE985" s="295">
        <f t="shared" si="1829"/>
        <v>0</v>
      </c>
      <c r="DF985" s="295">
        <f t="shared" si="1830"/>
        <v>0</v>
      </c>
      <c r="DG985" s="297">
        <f t="shared" si="1831"/>
        <v>0</v>
      </c>
      <c r="DH985" s="298"/>
      <c r="DI985" s="299"/>
      <c r="DJ985" s="299"/>
      <c r="DK985" s="299"/>
      <c r="DL985" s="299"/>
      <c r="DM985" s="299"/>
      <c r="DN985" s="299"/>
      <c r="DO985" s="300"/>
      <c r="DY985" s="295"/>
      <c r="DZ985" s="295"/>
    </row>
    <row r="986" spans="1:130" ht="12" customHeight="1">
      <c r="A986" s="837" t="s">
        <v>309</v>
      </c>
      <c r="B986" s="1481"/>
      <c r="C986" s="1481"/>
      <c r="D986" s="553"/>
      <c r="E986" s="554"/>
      <c r="F986" s="554"/>
      <c r="G986" s="554"/>
      <c r="H986" s="556"/>
      <c r="I986" s="554"/>
      <c r="J986" s="554"/>
      <c r="K986" s="554"/>
      <c r="L986" s="554"/>
      <c r="M986" s="556"/>
      <c r="N986" s="554"/>
      <c r="O986" s="554"/>
      <c r="P986" s="554"/>
      <c r="Q986" s="554"/>
      <c r="R986" s="556"/>
      <c r="S986" s="554"/>
      <c r="T986" s="554"/>
      <c r="U986" s="554"/>
      <c r="V986" s="554"/>
      <c r="W986" s="556"/>
      <c r="X986" s="554"/>
      <c r="Y986" s="554"/>
      <c r="Z986" s="554"/>
      <c r="AA986" s="554"/>
      <c r="AB986" s="556"/>
      <c r="AC986" s="554"/>
      <c r="AD986" s="554"/>
      <c r="AE986" s="554"/>
      <c r="AF986" s="554"/>
      <c r="AG986" s="556"/>
      <c r="AH986" s="554"/>
      <c r="AI986" s="554"/>
      <c r="AJ986" s="557">
        <f t="shared" ref="AJ986:AY986" si="1858">SUM(AJ980:AJ982)</f>
        <v>847.1</v>
      </c>
      <c r="AK986" s="557">
        <f t="shared" si="1858"/>
        <v>860.9</v>
      </c>
      <c r="AL986" s="556">
        <f t="shared" si="1858"/>
        <v>860.9</v>
      </c>
      <c r="AM986" s="557">
        <f t="shared" si="1858"/>
        <v>828.7</v>
      </c>
      <c r="AN986" s="557">
        <f t="shared" si="1858"/>
        <v>820</v>
      </c>
      <c r="AO986" s="557">
        <f t="shared" si="1858"/>
        <v>806.5</v>
      </c>
      <c r="AP986" s="557">
        <f t="shared" si="1858"/>
        <v>831.7</v>
      </c>
      <c r="AQ986" s="556">
        <f t="shared" si="1858"/>
        <v>831.7</v>
      </c>
      <c r="AR986" s="557">
        <f t="shared" si="1858"/>
        <v>814</v>
      </c>
      <c r="AS986" s="557">
        <f t="shared" si="1858"/>
        <v>815.7</v>
      </c>
      <c r="AT986" s="557">
        <f t="shared" si="1858"/>
        <v>805.2</v>
      </c>
      <c r="AU986" s="557">
        <f t="shared" si="1858"/>
        <v>811.5</v>
      </c>
      <c r="AV986" s="556">
        <f t="shared" si="1858"/>
        <v>811.5</v>
      </c>
      <c r="AW986" s="557">
        <f t="shared" si="1858"/>
        <v>805.5</v>
      </c>
      <c r="AX986" s="557">
        <f t="shared" si="1858"/>
        <v>795.9</v>
      </c>
      <c r="AY986" s="557">
        <f t="shared" si="1858"/>
        <v>768</v>
      </c>
      <c r="AZ986" s="557">
        <f>SUM(AZ980:AZ982)</f>
        <v>813.4</v>
      </c>
      <c r="BA986" s="556">
        <f>SUM(BA980:BA982)</f>
        <v>813.4</v>
      </c>
      <c r="BB986" s="557">
        <f t="shared" ref="BB986:BH986" si="1859">SUM(BB980:BB983)</f>
        <v>809.25</v>
      </c>
      <c r="BC986" s="557">
        <f t="shared" si="1859"/>
        <v>804.7</v>
      </c>
      <c r="BD986" s="557">
        <f t="shared" si="1859"/>
        <v>776.55</v>
      </c>
      <c r="BE986" s="557">
        <f t="shared" si="1859"/>
        <v>776.55</v>
      </c>
      <c r="BF986" s="556">
        <f t="shared" si="1859"/>
        <v>776.55</v>
      </c>
      <c r="BG986" s="661">
        <f t="shared" si="1859"/>
        <v>733.1</v>
      </c>
      <c r="BH986" s="557">
        <f t="shared" si="1859"/>
        <v>710.8</v>
      </c>
      <c r="BI986" s="557">
        <f t="shared" ref="BI986:BN986" si="1860">SUM(BI980:BI984)</f>
        <v>677</v>
      </c>
      <c r="BJ986" s="557">
        <f t="shared" si="1860"/>
        <v>697.6</v>
      </c>
      <c r="BK986" s="556">
        <f t="shared" si="1860"/>
        <v>697.6</v>
      </c>
      <c r="BL986" s="557">
        <f t="shared" si="1860"/>
        <v>651.5</v>
      </c>
      <c r="BM986" s="557">
        <f t="shared" si="1860"/>
        <v>603</v>
      </c>
      <c r="BN986" s="557">
        <f t="shared" si="1860"/>
        <v>603</v>
      </c>
      <c r="BO986" s="1848"/>
      <c r="BP986" s="556"/>
      <c r="BQ986" s="557"/>
      <c r="BR986" s="557"/>
      <c r="BS986" s="557"/>
      <c r="BT986" s="1848"/>
      <c r="BU986" s="3372"/>
      <c r="BV986" s="557"/>
      <c r="BW986" s="557"/>
      <c r="BX986" s="557"/>
      <c r="BY986" s="1848"/>
      <c r="BZ986" s="556"/>
      <c r="CA986" s="556"/>
      <c r="CB986" s="556"/>
      <c r="CC986" s="556">
        <f>SUM(CC980:CC983)</f>
        <v>0</v>
      </c>
      <c r="CD986" s="556">
        <f>SUM(CD980:CD983)</f>
        <v>0</v>
      </c>
      <c r="CE986" s="556">
        <f>SUM(CE980:CE983)</f>
        <v>0</v>
      </c>
      <c r="CF986" s="556">
        <f>SUM(CF980:CF983)</f>
        <v>0</v>
      </c>
      <c r="CG986" s="556">
        <f>SUM(CG980:CG983)</f>
        <v>0</v>
      </c>
      <c r="CH986" s="581"/>
      <c r="CI986" s="581"/>
      <c r="CJ986" s="581"/>
      <c r="CK986" s="581"/>
      <c r="CL986" s="581"/>
      <c r="CM986" s="581"/>
      <c r="CN986" s="581"/>
      <c r="CO986" s="581"/>
      <c r="CP986" s="1907" t="str">
        <f t="shared" si="1822"/>
        <v>Total Debt</v>
      </c>
      <c r="CQ986" s="557"/>
      <c r="CR986" s="557"/>
      <c r="CS986" s="557"/>
      <c r="CT986" s="557"/>
      <c r="CU986" s="557"/>
      <c r="CV986" s="557"/>
      <c r="CW986" s="557">
        <f t="shared" si="1824"/>
        <v>860.9</v>
      </c>
      <c r="CX986" s="557">
        <f t="shared" si="1825"/>
        <v>831.7</v>
      </c>
      <c r="CY986" s="557">
        <f>AV986</f>
        <v>811.5</v>
      </c>
      <c r="CZ986" s="557">
        <f>BA986</f>
        <v>813.4</v>
      </c>
      <c r="DA986" s="557">
        <f>BF986</f>
        <v>776.55</v>
      </c>
      <c r="DB986" s="557">
        <f>BK986</f>
        <v>697.6</v>
      </c>
      <c r="DC986" s="557">
        <f t="shared" si="1827"/>
        <v>0</v>
      </c>
      <c r="DD986" s="557">
        <f t="shared" si="1828"/>
        <v>0</v>
      </c>
      <c r="DE986" s="557">
        <f t="shared" si="1829"/>
        <v>0</v>
      </c>
      <c r="DF986" s="557">
        <f t="shared" si="1830"/>
        <v>0</v>
      </c>
      <c r="DG986" s="1848">
        <f t="shared" si="1831"/>
        <v>0</v>
      </c>
      <c r="DH986" s="856"/>
      <c r="DI986" s="838"/>
      <c r="DJ986" s="838"/>
      <c r="DK986" s="838"/>
      <c r="DL986" s="838"/>
      <c r="DM986" s="838"/>
      <c r="DN986" s="632"/>
      <c r="DO986" s="312"/>
      <c r="DY986" s="557"/>
      <c r="DZ986" s="557"/>
    </row>
    <row r="987" spans="1:130" ht="12" customHeight="1">
      <c r="A987" s="429" t="s">
        <v>751</v>
      </c>
      <c r="B987" s="675"/>
      <c r="C987" s="675"/>
      <c r="D987" s="584">
        <v>400.40199999999999</v>
      </c>
      <c r="E987" s="583">
        <v>460.37900000000002</v>
      </c>
      <c r="F987" s="583">
        <v>497.54500000000002</v>
      </c>
      <c r="G987" s="583">
        <v>559.74099999999999</v>
      </c>
      <c r="H987" s="588">
        <f>+G987</f>
        <v>559.74099999999999</v>
      </c>
      <c r="I987" s="583">
        <v>586.11300000000006</v>
      </c>
      <c r="J987" s="583">
        <v>610.60199999999998</v>
      </c>
      <c r="K987" s="583">
        <v>655.28700000000003</v>
      </c>
      <c r="L987" s="583">
        <v>678.10699999999997</v>
      </c>
      <c r="M987" s="588">
        <f>+L987</f>
        <v>678.10699999999997</v>
      </c>
      <c r="N987" s="583">
        <v>682.221</v>
      </c>
      <c r="O987" s="583">
        <v>672.31</v>
      </c>
      <c r="P987" s="583">
        <v>682.61400000000003</v>
      </c>
      <c r="Q987" s="583">
        <v>666.73299999999995</v>
      </c>
      <c r="R987" s="588">
        <f>+Q987</f>
        <v>666.73299999999995</v>
      </c>
      <c r="S987" s="583">
        <v>672.53599999999994</v>
      </c>
      <c r="T987" s="583">
        <v>666.19500000000005</v>
      </c>
      <c r="U987" s="583">
        <v>684.99199999999996</v>
      </c>
      <c r="V987" s="583">
        <v>666.68100000000004</v>
      </c>
      <c r="W987" s="588">
        <f>+V987</f>
        <v>666.68100000000004</v>
      </c>
      <c r="X987" s="583">
        <v>665.11</v>
      </c>
      <c r="Y987" s="583">
        <v>671.37300000000005</v>
      </c>
      <c r="Z987" s="583">
        <v>700.572</v>
      </c>
      <c r="AA987" s="583">
        <v>710.81100000000004</v>
      </c>
      <c r="AB987" s="588">
        <f>+AA987</f>
        <v>710.81100000000004</v>
      </c>
      <c r="AC987" s="583">
        <v>707.85400000000004</v>
      </c>
      <c r="AD987" s="583">
        <v>720.35799999999995</v>
      </c>
      <c r="AE987" s="583">
        <v>776.58600000000001</v>
      </c>
      <c r="AF987" s="583">
        <v>698.78099999999995</v>
      </c>
      <c r="AG987" s="588">
        <f>+AF987</f>
        <v>698.78099999999995</v>
      </c>
      <c r="AH987" s="583">
        <v>707.48199999999997</v>
      </c>
      <c r="AI987" s="583">
        <v>693.56500000000005</v>
      </c>
      <c r="AJ987" s="583">
        <f>1462.389-757.401</f>
        <v>704.98799999999994</v>
      </c>
      <c r="AK987" s="581">
        <f>AJ987+AK945-(AK968*2)</f>
        <v>700.8839999999999</v>
      </c>
      <c r="AL987" s="588">
        <f t="shared" si="1851"/>
        <v>700.8839999999999</v>
      </c>
      <c r="AM987" s="581">
        <f>AL987+AM945-(AM968*2)</f>
        <v>692.07099999999991</v>
      </c>
      <c r="AN987" s="581">
        <f>AM987+AN945-(AN968*2)</f>
        <v>691.83199999999988</v>
      </c>
      <c r="AO987" s="581">
        <f>AN987+AO945-(AO968*2)</f>
        <v>704.16999999999985</v>
      </c>
      <c r="AP987" s="581">
        <f>AO987+AP945-(AP968*2)</f>
        <v>704.38599999999985</v>
      </c>
      <c r="AQ987" s="588">
        <f>AP987</f>
        <v>704.38599999999985</v>
      </c>
      <c r="AR987" s="581"/>
      <c r="AS987" s="581"/>
      <c r="AT987" s="581"/>
      <c r="AU987" s="581"/>
      <c r="AV987" s="588"/>
      <c r="AW987" s="581"/>
      <c r="AX987" s="581"/>
      <c r="AY987" s="581"/>
      <c r="AZ987" s="581"/>
      <c r="BA987" s="588"/>
      <c r="BB987" s="581"/>
      <c r="BC987" s="581"/>
      <c r="BD987" s="581"/>
      <c r="BE987" s="581"/>
      <c r="BF987" s="588"/>
      <c r="BG987" s="580"/>
      <c r="BH987" s="581"/>
      <c r="BI987" s="581"/>
      <c r="BJ987" s="869"/>
      <c r="BK987" s="588"/>
      <c r="BL987" s="581"/>
      <c r="BM987" s="581"/>
      <c r="BN987" s="581"/>
      <c r="BO987" s="869"/>
      <c r="BP987" s="588"/>
      <c r="BQ987" s="581"/>
      <c r="BR987" s="581"/>
      <c r="BS987" s="581"/>
      <c r="BT987" s="869"/>
      <c r="BU987" s="3376"/>
      <c r="BV987" s="581"/>
      <c r="BW987" s="581"/>
      <c r="BX987" s="581"/>
      <c r="BY987" s="869"/>
      <c r="BZ987" s="588"/>
      <c r="CA987" s="588"/>
      <c r="CB987" s="588"/>
      <c r="CC987" s="588"/>
      <c r="CD987" s="588"/>
      <c r="CE987" s="588"/>
      <c r="CF987" s="588"/>
      <c r="CG987" s="588"/>
      <c r="CH987" s="581"/>
      <c r="CI987" s="581"/>
      <c r="CJ987" s="581"/>
      <c r="CK987" s="581"/>
      <c r="CL987" s="581"/>
      <c r="CM987" s="581"/>
      <c r="CN987" s="581"/>
      <c r="CO987" s="581"/>
      <c r="CP987" s="1790" t="str">
        <f t="shared" si="1822"/>
        <v>Est. Shareholder's Equity</v>
      </c>
      <c r="CQ987" s="581">
        <f>H987</f>
        <v>559.74099999999999</v>
      </c>
      <c r="CR987" s="581">
        <f>M987</f>
        <v>678.10699999999997</v>
      </c>
      <c r="CS987" s="581">
        <f>R987</f>
        <v>666.73299999999995</v>
      </c>
      <c r="CT987" s="581">
        <f>W987</f>
        <v>666.68100000000004</v>
      </c>
      <c r="CU987" s="581">
        <f>AB987</f>
        <v>710.81100000000004</v>
      </c>
      <c r="CV987" s="581">
        <f>AG987</f>
        <v>698.78099999999995</v>
      </c>
      <c r="CW987" s="581">
        <f t="shared" si="1824"/>
        <v>700.8839999999999</v>
      </c>
      <c r="CX987" s="581">
        <f t="shared" si="1825"/>
        <v>704.38599999999985</v>
      </c>
      <c r="CY987" s="581"/>
      <c r="CZ987" s="581"/>
      <c r="DA987" s="581"/>
      <c r="DB987" s="581"/>
      <c r="DC987" s="581"/>
      <c r="DD987" s="581"/>
      <c r="DE987" s="581"/>
      <c r="DF987" s="581"/>
      <c r="DG987" s="869"/>
      <c r="DH987" s="859"/>
      <c r="DI987" s="650"/>
      <c r="DJ987" s="650"/>
      <c r="DK987" s="650"/>
      <c r="DL987" s="650"/>
      <c r="DM987" s="650"/>
      <c r="DN987" s="651"/>
      <c r="DO987" s="320"/>
      <c r="DY987" s="581"/>
      <c r="DZ987" s="581"/>
    </row>
    <row r="988" spans="1:130" ht="12" customHeight="1">
      <c r="A988" s="567"/>
      <c r="B988" s="545"/>
      <c r="C988" s="545"/>
      <c r="D988" s="861"/>
      <c r="E988" s="860"/>
      <c r="F988" s="860"/>
      <c r="G988" s="860"/>
      <c r="H988" s="862"/>
      <c r="I988" s="860"/>
      <c r="J988" s="860"/>
      <c r="K988" s="860"/>
      <c r="L988" s="860"/>
      <c r="M988" s="862"/>
      <c r="N988" s="860"/>
      <c r="O988" s="860"/>
      <c r="P988" s="860"/>
      <c r="Q988" s="860"/>
      <c r="R988" s="862"/>
      <c r="S988" s="860"/>
      <c r="T988" s="860"/>
      <c r="U988" s="860"/>
      <c r="V988" s="860"/>
      <c r="W988" s="862"/>
      <c r="X988" s="860"/>
      <c r="Y988" s="860"/>
      <c r="Z988" s="860"/>
      <c r="AA988" s="860"/>
      <c r="AB988" s="862"/>
      <c r="AC988" s="860"/>
      <c r="AD988" s="860"/>
      <c r="AE988" s="860"/>
      <c r="AF988" s="860"/>
      <c r="AG988" s="862"/>
      <c r="AH988" s="860"/>
      <c r="AI988" s="860"/>
      <c r="AJ988" s="860"/>
      <c r="AK988" s="860"/>
      <c r="AL988" s="862"/>
      <c r="AM988" s="861"/>
      <c r="AN988" s="860"/>
      <c r="AO988" s="860"/>
      <c r="AP988" s="1295"/>
      <c r="AQ988" s="862"/>
      <c r="AR988" s="861"/>
      <c r="AS988" s="860"/>
      <c r="AT988" s="860"/>
      <c r="AU988" s="860"/>
      <c r="AV988" s="862"/>
      <c r="AW988" s="860"/>
      <c r="AX988" s="860"/>
      <c r="AY988" s="860"/>
      <c r="AZ988" s="860"/>
      <c r="BA988" s="862"/>
      <c r="BB988" s="860"/>
      <c r="BC988" s="860"/>
      <c r="BD988" s="860"/>
      <c r="BE988" s="860"/>
      <c r="BF988" s="862"/>
      <c r="BG988" s="861"/>
      <c r="BH988" s="860"/>
      <c r="BI988" s="860"/>
      <c r="BJ988" s="1295"/>
      <c r="BK988" s="862"/>
      <c r="BL988" s="860"/>
      <c r="BM988" s="860"/>
      <c r="BN988" s="860"/>
      <c r="BO988" s="1295"/>
      <c r="BP988" s="862"/>
      <c r="BQ988" s="860"/>
      <c r="BR988" s="860"/>
      <c r="BS988" s="860"/>
      <c r="BT988" s="1295"/>
      <c r="BU988" s="3983"/>
      <c r="BV988" s="861"/>
      <c r="BW988" s="860"/>
      <c r="BX988" s="860"/>
      <c r="BY988" s="1295"/>
      <c r="BZ988" s="862"/>
      <c r="CA988" s="862"/>
      <c r="CB988" s="862"/>
      <c r="CC988" s="862"/>
      <c r="CD988" s="862"/>
      <c r="CE988" s="862"/>
      <c r="CF988" s="862"/>
      <c r="CG988" s="862"/>
      <c r="CH988" s="860"/>
      <c r="CI988" s="860"/>
      <c r="CJ988" s="860"/>
      <c r="CK988" s="860"/>
      <c r="CL988" s="860"/>
      <c r="CM988" s="860"/>
      <c r="CN988" s="860"/>
      <c r="CO988" s="860"/>
      <c r="CP988" s="1849"/>
      <c r="CQ988" s="860"/>
      <c r="CR988" s="860"/>
      <c r="CS988" s="860"/>
      <c r="CT988" s="860"/>
      <c r="CU988" s="860"/>
      <c r="CV988" s="860"/>
      <c r="CW988" s="860"/>
      <c r="CX988" s="860"/>
      <c r="CY988" s="860"/>
      <c r="CZ988" s="860"/>
      <c r="DA988" s="860"/>
      <c r="DB988" s="860"/>
      <c r="DC988" s="860"/>
      <c r="DD988" s="860"/>
      <c r="DE988" s="860"/>
      <c r="DF988" s="860"/>
      <c r="DG988" s="1295"/>
      <c r="DH988" s="863"/>
      <c r="DI988" s="573"/>
      <c r="DJ988" s="573"/>
      <c r="DK988" s="573"/>
      <c r="DL988" s="573"/>
      <c r="DM988" s="573"/>
      <c r="DN988" s="551"/>
      <c r="DO988" s="266"/>
      <c r="DY988" s="860"/>
      <c r="DZ988" s="860"/>
    </row>
    <row r="989" spans="1:130" ht="12" customHeight="1">
      <c r="A989" s="708" t="s">
        <v>748</v>
      </c>
      <c r="B989" s="545"/>
      <c r="C989" s="545"/>
      <c r="D989" s="864"/>
      <c r="E989" s="860"/>
      <c r="F989" s="860"/>
      <c r="G989" s="860"/>
      <c r="H989" s="862"/>
      <c r="I989" s="860"/>
      <c r="J989" s="860"/>
      <c r="K989" s="860"/>
      <c r="L989" s="860"/>
      <c r="M989" s="862"/>
      <c r="N989" s="860"/>
      <c r="O989" s="860"/>
      <c r="P989" s="860"/>
      <c r="Q989" s="866"/>
      <c r="R989" s="867"/>
      <c r="S989" s="868"/>
      <c r="T989" s="866"/>
      <c r="U989" s="866"/>
      <c r="V989" s="866"/>
      <c r="W989" s="867"/>
      <c r="X989" s="866"/>
      <c r="Y989" s="866"/>
      <c r="Z989" s="866"/>
      <c r="AA989" s="866"/>
      <c r="AB989" s="867"/>
      <c r="AC989" s="866"/>
      <c r="AD989" s="866"/>
      <c r="AE989" s="866"/>
      <c r="AF989" s="866"/>
      <c r="AG989" s="867"/>
      <c r="AH989" s="865"/>
      <c r="AI989" s="865"/>
      <c r="AJ989" s="865"/>
      <c r="AK989" s="865"/>
      <c r="AL989" s="867"/>
      <c r="AM989" s="865"/>
      <c r="AN989" s="865"/>
      <c r="AO989" s="865"/>
      <c r="AP989" s="865"/>
      <c r="AQ989" s="867"/>
      <c r="AR989" s="865"/>
      <c r="AS989" s="865"/>
      <c r="AT989" s="865"/>
      <c r="AU989" s="865"/>
      <c r="AV989" s="867"/>
      <c r="AW989" s="865"/>
      <c r="AX989" s="865"/>
      <c r="AY989" s="865"/>
      <c r="AZ989" s="865"/>
      <c r="BA989" s="867"/>
      <c r="BB989" s="865"/>
      <c r="BC989" s="865"/>
      <c r="BD989" s="865"/>
      <c r="BE989" s="865"/>
      <c r="BF989" s="867"/>
      <c r="BG989" s="2936"/>
      <c r="BH989" s="865"/>
      <c r="BI989" s="865"/>
      <c r="BJ989" s="2937"/>
      <c r="BK989" s="867"/>
      <c r="BL989" s="865"/>
      <c r="BM989" s="865"/>
      <c r="BN989" s="865"/>
      <c r="BO989" s="2937"/>
      <c r="BP989" s="867"/>
      <c r="BQ989" s="865"/>
      <c r="BR989" s="865"/>
      <c r="BS989" s="865"/>
      <c r="BT989" s="2937"/>
      <c r="BU989" s="3984"/>
      <c r="BV989" s="2936"/>
      <c r="BW989" s="865"/>
      <c r="BX989" s="865"/>
      <c r="BY989" s="2937"/>
      <c r="BZ989" s="867"/>
      <c r="CA989" s="867"/>
      <c r="CB989" s="867"/>
      <c r="CC989" s="867"/>
      <c r="CD989" s="867"/>
      <c r="CE989" s="867"/>
      <c r="CF989" s="867"/>
      <c r="CG989" s="867"/>
      <c r="CH989" s="865"/>
      <c r="CI989" s="865"/>
      <c r="CJ989" s="865"/>
      <c r="CK989" s="865"/>
      <c r="CL989" s="865"/>
      <c r="CM989" s="865"/>
      <c r="CN989" s="865"/>
      <c r="CO989" s="865"/>
      <c r="CP989" s="1898" t="str">
        <f t="shared" si="1822"/>
        <v>Capital Spending</v>
      </c>
      <c r="CQ989" s="1764"/>
      <c r="CR989" s="1764"/>
      <c r="CS989" s="1764"/>
      <c r="CT989" s="1764"/>
      <c r="CU989" s="1764"/>
      <c r="CV989" s="1764"/>
      <c r="CW989" s="1764"/>
      <c r="CX989" s="1764"/>
      <c r="CY989" s="1764"/>
      <c r="CZ989" s="1764"/>
      <c r="DA989" s="1764"/>
      <c r="DB989" s="1764"/>
      <c r="DC989" s="1764"/>
      <c r="DD989" s="1764"/>
      <c r="DE989" s="1764"/>
      <c r="DF989" s="1764"/>
      <c r="DG989" s="1908"/>
      <c r="DH989" s="863"/>
      <c r="DI989" s="573"/>
      <c r="DJ989" s="573"/>
      <c r="DK989" s="573"/>
      <c r="DL989" s="573"/>
      <c r="DM989" s="573"/>
      <c r="DN989" s="551"/>
      <c r="DO989" s="266"/>
      <c r="DY989" s="865"/>
      <c r="DZ989" s="865"/>
    </row>
    <row r="990" spans="1:130" ht="12" customHeight="1">
      <c r="A990" s="896" t="s">
        <v>749</v>
      </c>
      <c r="B990" s="857"/>
      <c r="C990" s="857"/>
      <c r="D990" s="580">
        <f>0.03*D906</f>
        <v>4.3766699999999998</v>
      </c>
      <c r="E990" s="581">
        <f>0.03*E906</f>
        <v>4.9482299999999997</v>
      </c>
      <c r="F990" s="581">
        <f>0.03*F906</f>
        <v>5.5842900000000002</v>
      </c>
      <c r="G990" s="869">
        <f>0.03*G906</f>
        <v>5.3833799999999998</v>
      </c>
      <c r="H990" s="588">
        <f>SUM(D990:G990)</f>
        <v>20.292569999999998</v>
      </c>
      <c r="I990" s="580">
        <f>0.03*I906</f>
        <v>5.1640199999999998</v>
      </c>
      <c r="J990" s="581">
        <f>0.03*J906</f>
        <v>5.5315799999999999</v>
      </c>
      <c r="K990" s="581">
        <f>0.03*K906</f>
        <v>6.4057199999999996</v>
      </c>
      <c r="L990" s="869">
        <f>0.03*L906</f>
        <v>5.8181699999999994</v>
      </c>
      <c r="M990" s="588">
        <f>SUM(I990:L990)</f>
        <v>22.919489999999996</v>
      </c>
      <c r="N990" s="580">
        <f>0.03*N906</f>
        <v>5.62704</v>
      </c>
      <c r="O990" s="581">
        <f>0.03*O906</f>
        <v>5.6811600000000002</v>
      </c>
      <c r="P990" s="581">
        <f>0.03*P906</f>
        <v>7.1245500000000002</v>
      </c>
      <c r="Q990" s="869">
        <f>0.03*Q906</f>
        <v>5.9652000000000003</v>
      </c>
      <c r="R990" s="588">
        <f>SUM(N990:Q990)</f>
        <v>24.397949999999998</v>
      </c>
      <c r="S990" s="580">
        <f>0.03*S906</f>
        <v>6.1118999999999994</v>
      </c>
      <c r="T990" s="581">
        <f>0.03*T906</f>
        <v>6.0629699999999991</v>
      </c>
      <c r="U990" s="581">
        <f>0.03*U906</f>
        <v>6.9026399999999999</v>
      </c>
      <c r="V990" s="869">
        <f>0.03*V906</f>
        <v>6.0817800000000002</v>
      </c>
      <c r="W990" s="588">
        <f>SUM(S990:V990)</f>
        <v>25.159289999999999</v>
      </c>
      <c r="X990" s="580">
        <f>0.03*X906</f>
        <v>6.0607199999999999</v>
      </c>
      <c r="Y990" s="581">
        <f>0.03*Y906</f>
        <v>6.1518300000000004</v>
      </c>
      <c r="Z990" s="581">
        <f>0.03*Z906</f>
        <v>7.1976299999999993</v>
      </c>
      <c r="AA990" s="869">
        <f>0.03*AA906</f>
        <v>5.5044899999999997</v>
      </c>
      <c r="AB990" s="588">
        <f>SUM(X990:AA990)</f>
        <v>24.914670000000001</v>
      </c>
      <c r="AC990" s="584">
        <f>(15.107+2.707)/4</f>
        <v>4.4535</v>
      </c>
      <c r="AD990" s="581">
        <f>AC990</f>
        <v>4.4535</v>
      </c>
      <c r="AE990" s="581">
        <f>AD990</f>
        <v>4.4535</v>
      </c>
      <c r="AF990" s="581">
        <f>AE990</f>
        <v>4.4535</v>
      </c>
      <c r="AG990" s="588">
        <f>SUM(AC990:AF990)</f>
        <v>17.814</v>
      </c>
      <c r="AH990" s="580">
        <f>0.03*AH906</f>
        <v>5.2519799999999996</v>
      </c>
      <c r="AI990" s="583">
        <f>8.142+0.675-AH990</f>
        <v>3.5650200000000005</v>
      </c>
      <c r="AJ990" s="583">
        <v>3.5</v>
      </c>
      <c r="AK990" s="1298">
        <v>3.5</v>
      </c>
      <c r="AL990" s="588">
        <f>SUM(AH990:AK990)</f>
        <v>15.817</v>
      </c>
      <c r="AM990" s="584">
        <v>3.75</v>
      </c>
      <c r="AN990" s="581">
        <f>AM990</f>
        <v>3.75</v>
      </c>
      <c r="AO990" s="581">
        <f>AN990</f>
        <v>3.75</v>
      </c>
      <c r="AP990" s="581">
        <v>0</v>
      </c>
      <c r="AQ990" s="588">
        <f>SUM(AM990:AP990)</f>
        <v>11.25</v>
      </c>
      <c r="AR990" s="584">
        <v>2</v>
      </c>
      <c r="AS990" s="583">
        <v>6</v>
      </c>
      <c r="AT990" s="583">
        <f>33.9-SUM(AR990:AS991,AT991)</f>
        <v>3.5999999999999979</v>
      </c>
      <c r="AU990" s="583">
        <f>34.7-AR990-AS990-AT990-AR991-AS991-AT991-AU991</f>
        <v>0.80000000000000426</v>
      </c>
      <c r="AV990" s="588">
        <f>SUM(AR990:AU990)</f>
        <v>12.400000000000002</v>
      </c>
      <c r="AW990" s="584">
        <v>2.9</v>
      </c>
      <c r="AX990" s="583">
        <f>10.7-AW990</f>
        <v>7.7999999999999989</v>
      </c>
      <c r="AY990" s="583">
        <v>6</v>
      </c>
      <c r="AZ990" s="583">
        <f>22.357-AW990-AX990-AY990-AW991-AX991-AY991-AZ991</f>
        <v>5.6570000000000018</v>
      </c>
      <c r="BA990" s="588">
        <f>SUM(AW990:AZ990)</f>
        <v>22.356999999999999</v>
      </c>
      <c r="BB990" s="584">
        <v>2</v>
      </c>
      <c r="BC990" s="583">
        <v>7</v>
      </c>
      <c r="BD990" s="583">
        <f>11.623-BC990-BB990</f>
        <v>2.6229999999999993</v>
      </c>
      <c r="BE990" s="583">
        <v>7</v>
      </c>
      <c r="BF990" s="588">
        <f>SUM(BB990:BE990)</f>
        <v>18.622999999999998</v>
      </c>
      <c r="BG990" s="584">
        <v>5</v>
      </c>
      <c r="BH990" s="583">
        <f>25/4</f>
        <v>6.25</v>
      </c>
      <c r="BI990" s="583">
        <v>6</v>
      </c>
      <c r="BJ990" s="1298">
        <v>2.5</v>
      </c>
      <c r="BK990" s="588">
        <f>SUM(BG990:BJ990)</f>
        <v>19.75</v>
      </c>
      <c r="BL990" s="3188">
        <v>6.25</v>
      </c>
      <c r="BM990" s="3188">
        <v>6.25</v>
      </c>
      <c r="BN990" s="3188">
        <v>6.25</v>
      </c>
      <c r="BO990" s="3189"/>
      <c r="BP990" s="2696"/>
      <c r="BQ990" s="3188"/>
      <c r="BR990" s="3188"/>
      <c r="BS990" s="3188"/>
      <c r="BT990" s="3189"/>
      <c r="BU990" s="3429"/>
      <c r="BV990" s="3985"/>
      <c r="BW990" s="3188"/>
      <c r="BX990" s="3188"/>
      <c r="BY990" s="3189"/>
      <c r="BZ990" s="2189"/>
      <c r="CA990" s="2189"/>
      <c r="CB990" s="2189"/>
      <c r="CC990" s="2189">
        <f t="shared" ref="CC990:CG991" si="1861">CB990</f>
        <v>0</v>
      </c>
      <c r="CD990" s="2189">
        <f t="shared" si="1861"/>
        <v>0</v>
      </c>
      <c r="CE990" s="2189">
        <f t="shared" si="1861"/>
        <v>0</v>
      </c>
      <c r="CF990" s="2189">
        <f t="shared" si="1861"/>
        <v>0</v>
      </c>
      <c r="CG990" s="2189">
        <f t="shared" si="1861"/>
        <v>0</v>
      </c>
      <c r="CH990" s="581"/>
      <c r="CI990" s="581"/>
      <c r="CJ990" s="581"/>
      <c r="CK990" s="581"/>
      <c r="CL990" s="581"/>
      <c r="CM990" s="581"/>
      <c r="CN990" s="581"/>
      <c r="CO990" s="581"/>
      <c r="CP990" s="1882" t="str">
        <f t="shared" si="1822"/>
        <v>Maintenance</v>
      </c>
      <c r="CQ990" s="581">
        <f>H990</f>
        <v>20.292569999999998</v>
      </c>
      <c r="CR990" s="581">
        <f>M990</f>
        <v>22.919489999999996</v>
      </c>
      <c r="CS990" s="581">
        <f>R990</f>
        <v>24.397949999999998</v>
      </c>
      <c r="CT990" s="581">
        <f>W990</f>
        <v>25.159289999999999</v>
      </c>
      <c r="CU990" s="581">
        <f>AB990</f>
        <v>24.914670000000001</v>
      </c>
      <c r="CV990" s="581">
        <f>AG990</f>
        <v>17.814</v>
      </c>
      <c r="CW990" s="581">
        <f t="shared" si="1824"/>
        <v>15.817</v>
      </c>
      <c r="CX990" s="581">
        <f t="shared" si="1825"/>
        <v>11.25</v>
      </c>
      <c r="CY990" s="581">
        <f>AV990</f>
        <v>12.400000000000002</v>
      </c>
      <c r="CZ990" s="581">
        <f>BA990</f>
        <v>22.356999999999999</v>
      </c>
      <c r="DA990" s="581">
        <f>BF990</f>
        <v>18.622999999999998</v>
      </c>
      <c r="DB990" s="581">
        <f>BK990</f>
        <v>19.75</v>
      </c>
      <c r="DC990" s="581">
        <f t="shared" si="1827"/>
        <v>0</v>
      </c>
      <c r="DD990" s="581">
        <f t="shared" si="1828"/>
        <v>0</v>
      </c>
      <c r="DE990" s="581">
        <f t="shared" si="1829"/>
        <v>0</v>
      </c>
      <c r="DF990" s="581">
        <f t="shared" si="1830"/>
        <v>0</v>
      </c>
      <c r="DG990" s="869">
        <f t="shared" si="1831"/>
        <v>0</v>
      </c>
      <c r="DH990" s="856"/>
      <c r="DI990" s="838"/>
      <c r="DJ990" s="838"/>
      <c r="DK990" s="838"/>
      <c r="DL990" s="838"/>
      <c r="DM990" s="838"/>
      <c r="DN990" s="632"/>
      <c r="DO990" s="312"/>
      <c r="DY990" s="2693"/>
      <c r="DZ990" s="2693"/>
    </row>
    <row r="991" spans="1:130" ht="12" customHeight="1">
      <c r="A991" s="896" t="s">
        <v>750</v>
      </c>
      <c r="B991" s="857"/>
      <c r="C991" s="857"/>
      <c r="D991" s="580"/>
      <c r="E991" s="581"/>
      <c r="F991" s="581"/>
      <c r="G991" s="869"/>
      <c r="H991" s="588">
        <f>SUM(D991:G991)</f>
        <v>0</v>
      </c>
      <c r="I991" s="580"/>
      <c r="J991" s="581"/>
      <c r="K991" s="581"/>
      <c r="L991" s="869"/>
      <c r="M991" s="588">
        <f>SUM(I991:L991)</f>
        <v>0</v>
      </c>
      <c r="N991" s="580"/>
      <c r="O991" s="581"/>
      <c r="P991" s="581"/>
      <c r="Q991" s="869"/>
      <c r="R991" s="588">
        <f>SUM(N991:Q991)</f>
        <v>0</v>
      </c>
      <c r="S991" s="580"/>
      <c r="T991" s="581"/>
      <c r="U991" s="581"/>
      <c r="V991" s="869"/>
      <c r="W991" s="588">
        <f>SUM(S991:V991)</f>
        <v>0</v>
      </c>
      <c r="X991" s="580"/>
      <c r="Y991" s="581"/>
      <c r="Z991" s="581"/>
      <c r="AA991" s="869"/>
      <c r="AB991" s="588">
        <f>SUM(X991:AA991)</f>
        <v>0</v>
      </c>
      <c r="AC991" s="584"/>
      <c r="AD991" s="581"/>
      <c r="AE991" s="581"/>
      <c r="AF991" s="581"/>
      <c r="AG991" s="588">
        <f>SUM(AC991:AF991)</f>
        <v>0</v>
      </c>
      <c r="AH991" s="580"/>
      <c r="AI991" s="583"/>
      <c r="AJ991" s="583"/>
      <c r="AK991" s="1298"/>
      <c r="AL991" s="588">
        <f>SUM(AH991:AK991)</f>
        <v>0</v>
      </c>
      <c r="AM991" s="584">
        <v>0</v>
      </c>
      <c r="AN991" s="583">
        <v>0</v>
      </c>
      <c r="AO991" s="583">
        <v>0</v>
      </c>
      <c r="AP991" s="583">
        <v>15.6</v>
      </c>
      <c r="AQ991" s="588">
        <f>SUM(AM991:AP991)</f>
        <v>15.6</v>
      </c>
      <c r="AR991" s="583">
        <f>17.5-AR990</f>
        <v>15.5</v>
      </c>
      <c r="AS991" s="583">
        <f>30.3-SUM(AR990,AS990)-AR991</f>
        <v>6.8000000000000007</v>
      </c>
      <c r="AT991" s="583">
        <v>0</v>
      </c>
      <c r="AU991" s="583">
        <v>0</v>
      </c>
      <c r="AV991" s="1700">
        <f>SUM(AR991:AU991)</f>
        <v>22.3</v>
      </c>
      <c r="AW991" s="583">
        <v>0</v>
      </c>
      <c r="AX991" s="581">
        <f>AW991</f>
        <v>0</v>
      </c>
      <c r="AY991" s="581">
        <f>AX991</f>
        <v>0</v>
      </c>
      <c r="AZ991" s="581">
        <f>AY991</f>
        <v>0</v>
      </c>
      <c r="BA991" s="588">
        <f>SUM(AW991:AZ991)</f>
        <v>0</v>
      </c>
      <c r="BB991" s="583">
        <v>0</v>
      </c>
      <c r="BC991" s="581">
        <v>0</v>
      </c>
      <c r="BD991" s="581">
        <v>0</v>
      </c>
      <c r="BE991" s="581">
        <f>BD991</f>
        <v>0</v>
      </c>
      <c r="BF991" s="588">
        <f>SUM(BB991:BE991)</f>
        <v>0</v>
      </c>
      <c r="BG991" s="584">
        <v>3.75</v>
      </c>
      <c r="BH991" s="583">
        <v>3.75</v>
      </c>
      <c r="BI991" s="583">
        <v>3.75</v>
      </c>
      <c r="BJ991" s="583">
        <v>3</v>
      </c>
      <c r="BK991" s="2696">
        <f>SUM(BG991:BJ991)</f>
        <v>14.25</v>
      </c>
      <c r="BL991" s="3188">
        <v>2.5</v>
      </c>
      <c r="BM991" s="3188">
        <v>2.5</v>
      </c>
      <c r="BN991" s="3188">
        <v>2.5</v>
      </c>
      <c r="BO991" s="3189"/>
      <c r="BP991" s="2696"/>
      <c r="BQ991" s="3188"/>
      <c r="BR991" s="3188"/>
      <c r="BS991" s="3188"/>
      <c r="BT991" s="3189"/>
      <c r="BU991" s="3429"/>
      <c r="BV991" s="3985"/>
      <c r="BW991" s="3188"/>
      <c r="BX991" s="3188"/>
      <c r="BY991" s="3189"/>
      <c r="BZ991" s="587"/>
      <c r="CA991" s="587"/>
      <c r="CB991" s="587"/>
      <c r="CC991" s="587">
        <f t="shared" si="1861"/>
        <v>0</v>
      </c>
      <c r="CD991" s="587">
        <f t="shared" si="1861"/>
        <v>0</v>
      </c>
      <c r="CE991" s="587">
        <f t="shared" si="1861"/>
        <v>0</v>
      </c>
      <c r="CF991" s="587">
        <f t="shared" si="1861"/>
        <v>0</v>
      </c>
      <c r="CG991" s="587">
        <f t="shared" si="1861"/>
        <v>0</v>
      </c>
      <c r="CH991" s="1476"/>
      <c r="CI991" s="1476"/>
      <c r="CJ991" s="1476"/>
      <c r="CK991" s="1476"/>
      <c r="CL991" s="1476"/>
      <c r="CM991" s="1476"/>
      <c r="CN991" s="1476"/>
      <c r="CO991" s="1476"/>
      <c r="CP991" s="1882" t="str">
        <f t="shared" si="1822"/>
        <v>Room Remodels / Growth</v>
      </c>
      <c r="CQ991" s="581">
        <f>H991</f>
        <v>0</v>
      </c>
      <c r="CR991" s="581">
        <f>M991</f>
        <v>0</v>
      </c>
      <c r="CS991" s="581">
        <f>R991</f>
        <v>0</v>
      </c>
      <c r="CT991" s="581">
        <f>W991</f>
        <v>0</v>
      </c>
      <c r="CU991" s="581">
        <f>AB991</f>
        <v>0</v>
      </c>
      <c r="CV991" s="581">
        <f>AG991</f>
        <v>0</v>
      </c>
      <c r="CW991" s="581">
        <f t="shared" si="1824"/>
        <v>0</v>
      </c>
      <c r="CX991" s="581">
        <f t="shared" si="1825"/>
        <v>15.6</v>
      </c>
      <c r="CY991" s="581">
        <f>AV991</f>
        <v>22.3</v>
      </c>
      <c r="CZ991" s="581">
        <f>BA991</f>
        <v>0</v>
      </c>
      <c r="DA991" s="581">
        <f>BF991</f>
        <v>0</v>
      </c>
      <c r="DB991" s="581">
        <f>BK991</f>
        <v>14.25</v>
      </c>
      <c r="DC991" s="581">
        <f t="shared" si="1827"/>
        <v>0</v>
      </c>
      <c r="DD991" s="581">
        <f t="shared" si="1828"/>
        <v>0</v>
      </c>
      <c r="DE991" s="581">
        <f t="shared" si="1829"/>
        <v>0</v>
      </c>
      <c r="DF991" s="581">
        <f t="shared" si="1830"/>
        <v>0</v>
      </c>
      <c r="DG991" s="869">
        <f t="shared" si="1831"/>
        <v>0</v>
      </c>
      <c r="DH991" s="1477"/>
      <c r="DI991" s="1478"/>
      <c r="DJ991" s="1478"/>
      <c r="DK991" s="1478"/>
      <c r="DL991" s="1478"/>
      <c r="DM991" s="1478"/>
      <c r="DN991" s="1479"/>
      <c r="DO991" s="1480"/>
      <c r="DY991" s="2693"/>
      <c r="DZ991" s="2693"/>
    </row>
    <row r="992" spans="1:130" ht="4.5" customHeight="1">
      <c r="A992" s="962"/>
      <c r="B992" s="293"/>
      <c r="C992" s="293"/>
      <c r="D992" s="294" t="s">
        <v>343</v>
      </c>
      <c r="E992" s="295" t="s">
        <v>343</v>
      </c>
      <c r="F992" s="295" t="s">
        <v>343</v>
      </c>
      <c r="G992" s="295" t="s">
        <v>343</v>
      </c>
      <c r="H992" s="296" t="s">
        <v>343</v>
      </c>
      <c r="I992" s="295" t="s">
        <v>343</v>
      </c>
      <c r="J992" s="295" t="s">
        <v>343</v>
      </c>
      <c r="K992" s="295" t="s">
        <v>343</v>
      </c>
      <c r="L992" s="295" t="s">
        <v>343</v>
      </c>
      <c r="M992" s="296" t="s">
        <v>343</v>
      </c>
      <c r="N992" s="295" t="s">
        <v>343</v>
      </c>
      <c r="O992" s="295" t="s">
        <v>343</v>
      </c>
      <c r="P992" s="295" t="s">
        <v>343</v>
      </c>
      <c r="Q992" s="295" t="s">
        <v>343</v>
      </c>
      <c r="R992" s="296" t="s">
        <v>343</v>
      </c>
      <c r="S992" s="295" t="s">
        <v>343</v>
      </c>
      <c r="T992" s="295" t="s">
        <v>343</v>
      </c>
      <c r="U992" s="295" t="s">
        <v>343</v>
      </c>
      <c r="V992" s="295" t="s">
        <v>343</v>
      </c>
      <c r="W992" s="296" t="s">
        <v>343</v>
      </c>
      <c r="X992" s="295" t="s">
        <v>343</v>
      </c>
      <c r="Y992" s="295" t="s">
        <v>343</v>
      </c>
      <c r="Z992" s="295" t="s">
        <v>343</v>
      </c>
      <c r="AA992" s="295" t="s">
        <v>343</v>
      </c>
      <c r="AB992" s="296" t="s">
        <v>343</v>
      </c>
      <c r="AC992" s="295" t="s">
        <v>343</v>
      </c>
      <c r="AD992" s="295" t="s">
        <v>343</v>
      </c>
      <c r="AE992" s="295" t="s">
        <v>343</v>
      </c>
      <c r="AF992" s="295" t="s">
        <v>343</v>
      </c>
      <c r="AG992" s="296" t="s">
        <v>343</v>
      </c>
      <c r="AH992" s="295" t="s">
        <v>343</v>
      </c>
      <c r="AI992" s="295" t="s">
        <v>343</v>
      </c>
      <c r="AJ992" s="295" t="s">
        <v>343</v>
      </c>
      <c r="AK992" s="295" t="s">
        <v>343</v>
      </c>
      <c r="AL992" s="296" t="s">
        <v>343</v>
      </c>
      <c r="AM992" s="295" t="s">
        <v>343</v>
      </c>
      <c r="AN992" s="295" t="s">
        <v>343</v>
      </c>
      <c r="AO992" s="295" t="s">
        <v>343</v>
      </c>
      <c r="AP992" s="295" t="s">
        <v>343</v>
      </c>
      <c r="AQ992" s="296" t="s">
        <v>343</v>
      </c>
      <c r="AR992" s="295" t="s">
        <v>343</v>
      </c>
      <c r="AS992" s="295" t="s">
        <v>343</v>
      </c>
      <c r="AT992" s="295" t="s">
        <v>343</v>
      </c>
      <c r="AU992" s="295" t="s">
        <v>343</v>
      </c>
      <c r="AV992" s="296" t="s">
        <v>343</v>
      </c>
      <c r="AW992" s="295" t="s">
        <v>343</v>
      </c>
      <c r="AX992" s="295" t="s">
        <v>343</v>
      </c>
      <c r="AY992" s="295" t="s">
        <v>343</v>
      </c>
      <c r="AZ992" s="295" t="s">
        <v>343</v>
      </c>
      <c r="BA992" s="296" t="s">
        <v>343</v>
      </c>
      <c r="BB992" s="295" t="s">
        <v>343</v>
      </c>
      <c r="BC992" s="295" t="s">
        <v>343</v>
      </c>
      <c r="BD992" s="295" t="s">
        <v>343</v>
      </c>
      <c r="BE992" s="295" t="s">
        <v>343</v>
      </c>
      <c r="BF992" s="296" t="s">
        <v>343</v>
      </c>
      <c r="BG992" s="294" t="s">
        <v>343</v>
      </c>
      <c r="BH992" s="295" t="s">
        <v>343</v>
      </c>
      <c r="BI992" s="295" t="s">
        <v>343</v>
      </c>
      <c r="BJ992" s="297" t="s">
        <v>343</v>
      </c>
      <c r="BK992" s="296" t="s">
        <v>343</v>
      </c>
      <c r="BL992" s="295" t="s">
        <v>343</v>
      </c>
      <c r="BM992" s="295" t="s">
        <v>343</v>
      </c>
      <c r="BN992" s="295" t="s">
        <v>343</v>
      </c>
      <c r="BO992" s="297"/>
      <c r="BP992" s="296"/>
      <c r="BQ992" s="295"/>
      <c r="BR992" s="295"/>
      <c r="BS992" s="295"/>
      <c r="BT992" s="297"/>
      <c r="BU992" s="3963"/>
      <c r="BV992" s="294"/>
      <c r="BW992" s="295"/>
      <c r="BX992" s="295"/>
      <c r="BY992" s="297"/>
      <c r="BZ992" s="297"/>
      <c r="CA992" s="297"/>
      <c r="CB992" s="297"/>
      <c r="CC992" s="297" t="s">
        <v>343</v>
      </c>
      <c r="CD992" s="297" t="s">
        <v>343</v>
      </c>
      <c r="CE992" s="297" t="s">
        <v>343</v>
      </c>
      <c r="CF992" s="297" t="s">
        <v>343</v>
      </c>
      <c r="CG992" s="297" t="s">
        <v>343</v>
      </c>
      <c r="CH992" s="295"/>
      <c r="CI992" s="295"/>
      <c r="CJ992" s="295"/>
      <c r="CK992" s="295"/>
      <c r="CL992" s="295"/>
      <c r="CM992" s="295"/>
      <c r="CN992" s="295"/>
      <c r="CO992" s="295"/>
      <c r="CP992" s="1784"/>
      <c r="CQ992" s="295" t="str">
        <f>H992</f>
        <v xml:space="preserve">                </v>
      </c>
      <c r="CR992" s="295" t="str">
        <f>M992</f>
        <v xml:space="preserve">                </v>
      </c>
      <c r="CS992" s="295" t="str">
        <f>R992</f>
        <v xml:space="preserve">                </v>
      </c>
      <c r="CT992" s="295" t="str">
        <f>W992</f>
        <v xml:space="preserve">                </v>
      </c>
      <c r="CU992" s="295" t="str">
        <f>AB992</f>
        <v xml:space="preserve">                </v>
      </c>
      <c r="CV992" s="295" t="str">
        <f>AG992</f>
        <v xml:space="preserve">                </v>
      </c>
      <c r="CW992" s="295" t="str">
        <f t="shared" si="1824"/>
        <v xml:space="preserve">                </v>
      </c>
      <c r="CX992" s="295" t="str">
        <f t="shared" si="1825"/>
        <v xml:space="preserve">                </v>
      </c>
      <c r="CY992" s="295" t="str">
        <f>AV992</f>
        <v xml:space="preserve">                </v>
      </c>
      <c r="CZ992" s="295" t="str">
        <f>BA992</f>
        <v xml:space="preserve">                </v>
      </c>
      <c r="DA992" s="295" t="str">
        <f>BF992</f>
        <v xml:space="preserve">                </v>
      </c>
      <c r="DB992" s="295" t="str">
        <f>BK992</f>
        <v xml:space="preserve">                </v>
      </c>
      <c r="DC992" s="295">
        <f t="shared" si="1827"/>
        <v>0</v>
      </c>
      <c r="DD992" s="295">
        <f t="shared" si="1828"/>
        <v>0</v>
      </c>
      <c r="DE992" s="295">
        <f t="shared" si="1829"/>
        <v>0</v>
      </c>
      <c r="DF992" s="295">
        <f t="shared" si="1830"/>
        <v>0</v>
      </c>
      <c r="DG992" s="297">
        <f t="shared" si="1831"/>
        <v>0</v>
      </c>
      <c r="DH992" s="298"/>
      <c r="DI992" s="299"/>
      <c r="DJ992" s="299"/>
      <c r="DK992" s="299"/>
      <c r="DL992" s="299"/>
      <c r="DM992" s="299"/>
      <c r="DN992" s="299"/>
      <c r="DO992" s="300"/>
      <c r="DY992" s="295"/>
      <c r="DZ992" s="295"/>
    </row>
    <row r="993" spans="1:130" ht="12" customHeight="1">
      <c r="A993" s="670" t="s">
        <v>1619</v>
      </c>
      <c r="B993" s="857"/>
      <c r="C993" s="857"/>
      <c r="D993" s="580">
        <f>SUM(D990:D991)</f>
        <v>4.3766699999999998</v>
      </c>
      <c r="E993" s="581">
        <f>SUM(E990:E991)</f>
        <v>4.9482299999999997</v>
      </c>
      <c r="F993" s="581">
        <f>SUM(F990:F991)</f>
        <v>5.5842900000000002</v>
      </c>
      <c r="G993" s="581">
        <f>SUM(G990:G991)</f>
        <v>5.3833799999999998</v>
      </c>
      <c r="H993" s="588">
        <f>SUM(D993:G993)</f>
        <v>20.292569999999998</v>
      </c>
      <c r="I993" s="580">
        <f>SUM(I990:I991)</f>
        <v>5.1640199999999998</v>
      </c>
      <c r="J993" s="581">
        <f>SUM(J990:J991)</f>
        <v>5.5315799999999999</v>
      </c>
      <c r="K993" s="581">
        <f>SUM(K990:K991)</f>
        <v>6.4057199999999996</v>
      </c>
      <c r="L993" s="581">
        <f>SUM(L990:L991)</f>
        <v>5.8181699999999994</v>
      </c>
      <c r="M993" s="588">
        <f>SUM(I993:L993)</f>
        <v>22.919489999999996</v>
      </c>
      <c r="N993" s="580">
        <f>SUM(N990:N991)</f>
        <v>5.62704</v>
      </c>
      <c r="O993" s="581">
        <f>SUM(O990:O991)</f>
        <v>5.6811600000000002</v>
      </c>
      <c r="P993" s="581">
        <f>SUM(P990:P991)</f>
        <v>7.1245500000000002</v>
      </c>
      <c r="Q993" s="581">
        <f>SUM(Q990:Q991)</f>
        <v>5.9652000000000003</v>
      </c>
      <c r="R993" s="588">
        <f>SUM(N993:Q993)</f>
        <v>24.397949999999998</v>
      </c>
      <c r="S993" s="580">
        <f>SUM(S990:S991)</f>
        <v>6.1118999999999994</v>
      </c>
      <c r="T993" s="581">
        <f>SUM(T990:T991)</f>
        <v>6.0629699999999991</v>
      </c>
      <c r="U993" s="581">
        <f>SUM(U990:U991)</f>
        <v>6.9026399999999999</v>
      </c>
      <c r="V993" s="581">
        <f>SUM(V990:V991)</f>
        <v>6.0817800000000002</v>
      </c>
      <c r="W993" s="588">
        <f>SUM(S993:V993)</f>
        <v>25.159289999999999</v>
      </c>
      <c r="X993" s="580">
        <f>SUM(X990:X991)</f>
        <v>6.0607199999999999</v>
      </c>
      <c r="Y993" s="581">
        <f>SUM(Y990:Y991)</f>
        <v>6.1518300000000004</v>
      </c>
      <c r="Z993" s="581">
        <f>SUM(Z990:Z991)</f>
        <v>7.1976299999999993</v>
      </c>
      <c r="AA993" s="581">
        <f>SUM(AA990:AA991)</f>
        <v>5.5044899999999997</v>
      </c>
      <c r="AB993" s="588">
        <f>SUM(X993:AA993)</f>
        <v>24.914670000000001</v>
      </c>
      <c r="AC993" s="580">
        <f>SUM(AC990:AC991)</f>
        <v>4.4535</v>
      </c>
      <c r="AD993" s="581">
        <f>SUM(AD990:AD991)</f>
        <v>4.4535</v>
      </c>
      <c r="AE993" s="581">
        <f>SUM(AE990:AE991)</f>
        <v>4.4535</v>
      </c>
      <c r="AF993" s="581">
        <f>SUM(AF990:AF991)</f>
        <v>4.4535</v>
      </c>
      <c r="AG993" s="588">
        <f>SUM(AC993:AF993)</f>
        <v>17.814</v>
      </c>
      <c r="AH993" s="580">
        <f>SUM(AH990:AH991)</f>
        <v>5.2519799999999996</v>
      </c>
      <c r="AI993" s="581">
        <f>SUM(AI990:AI991)</f>
        <v>3.5650200000000005</v>
      </c>
      <c r="AJ993" s="581">
        <f>SUM(AJ990:AJ991)</f>
        <v>3.5</v>
      </c>
      <c r="AK993" s="581">
        <f>SUM(AK990:AK991)</f>
        <v>3.5</v>
      </c>
      <c r="AL993" s="588">
        <f>SUM(AH993:AK993)</f>
        <v>15.817</v>
      </c>
      <c r="AM993" s="580">
        <f>SUM(AM990:AM991)</f>
        <v>3.75</v>
      </c>
      <c r="AN993" s="581">
        <f>SUM(AN990:AN991)</f>
        <v>3.75</v>
      </c>
      <c r="AO993" s="581">
        <f>SUM(AO990:AO991)</f>
        <v>3.75</v>
      </c>
      <c r="AP993" s="581">
        <f>SUM(AP990:AP991)</f>
        <v>15.6</v>
      </c>
      <c r="AQ993" s="588">
        <f>SUM(AM993:AP993)</f>
        <v>26.85</v>
      </c>
      <c r="AR993" s="581">
        <f t="shared" ref="AR993:BK993" si="1862">SUM(AR990:AR991)</f>
        <v>17.5</v>
      </c>
      <c r="AS993" s="581">
        <f t="shared" si="1862"/>
        <v>12.8</v>
      </c>
      <c r="AT993" s="581">
        <f t="shared" si="1862"/>
        <v>3.5999999999999979</v>
      </c>
      <c r="AU993" s="581">
        <f t="shared" si="1862"/>
        <v>0.80000000000000426</v>
      </c>
      <c r="AV993" s="588">
        <f t="shared" si="1862"/>
        <v>34.700000000000003</v>
      </c>
      <c r="AW993" s="581">
        <f t="shared" si="1862"/>
        <v>2.9</v>
      </c>
      <c r="AX993" s="581">
        <f t="shared" si="1862"/>
        <v>7.7999999999999989</v>
      </c>
      <c r="AY993" s="581">
        <f t="shared" si="1862"/>
        <v>6</v>
      </c>
      <c r="AZ993" s="581">
        <f t="shared" si="1862"/>
        <v>5.6570000000000018</v>
      </c>
      <c r="BA993" s="588">
        <f t="shared" si="1862"/>
        <v>22.356999999999999</v>
      </c>
      <c r="BB993" s="581">
        <f t="shared" si="1862"/>
        <v>2</v>
      </c>
      <c r="BC993" s="581">
        <f t="shared" si="1862"/>
        <v>7</v>
      </c>
      <c r="BD993" s="581">
        <f t="shared" si="1862"/>
        <v>2.6229999999999993</v>
      </c>
      <c r="BE993" s="581">
        <f t="shared" si="1862"/>
        <v>7</v>
      </c>
      <c r="BF993" s="588">
        <f t="shared" si="1862"/>
        <v>18.622999999999998</v>
      </c>
      <c r="BG993" s="580">
        <f>SUM(BG990:BG991)</f>
        <v>8.75</v>
      </c>
      <c r="BH993" s="581">
        <f>SUM(BH990:BH991)</f>
        <v>10</v>
      </c>
      <c r="BI993" s="581">
        <f>SUM(BI990:BI991)</f>
        <v>9.75</v>
      </c>
      <c r="BJ993" s="869">
        <f>SUM(BJ990:BJ991)</f>
        <v>5.5</v>
      </c>
      <c r="BK993" s="588">
        <f t="shared" si="1862"/>
        <v>34</v>
      </c>
      <c r="BL993" s="581">
        <f>SUM(BL990:BL991)</f>
        <v>8.75</v>
      </c>
      <c r="BM993" s="581">
        <f>SUM(BM990:BM991)</f>
        <v>8.75</v>
      </c>
      <c r="BN993" s="581">
        <f>SUM(BN990:BN991)</f>
        <v>8.75</v>
      </c>
      <c r="BO993" s="869"/>
      <c r="BP993" s="588"/>
      <c r="BQ993" s="581"/>
      <c r="BR993" s="581"/>
      <c r="BS993" s="581"/>
      <c r="BT993" s="869"/>
      <c r="BU993" s="3956"/>
      <c r="BV993" s="580"/>
      <c r="BW993" s="581"/>
      <c r="BX993" s="581"/>
      <c r="BY993" s="869"/>
      <c r="BZ993" s="588"/>
      <c r="CA993" s="588"/>
      <c r="CB993" s="588"/>
      <c r="CC993" s="588">
        <f>SUM(CC990:CC991)</f>
        <v>0</v>
      </c>
      <c r="CD993" s="588">
        <f>SUM(CD990:CD991)</f>
        <v>0</v>
      </c>
      <c r="CE993" s="588">
        <f>SUM(CE990:CE991)</f>
        <v>0</v>
      </c>
      <c r="CF993" s="588">
        <f>SUM(CF990:CF991)</f>
        <v>0</v>
      </c>
      <c r="CG993" s="588">
        <f>SUM(CG990:CG991)</f>
        <v>0</v>
      </c>
      <c r="CH993" s="581"/>
      <c r="CI993" s="581"/>
      <c r="CJ993" s="581"/>
      <c r="CK993" s="581"/>
      <c r="CL993" s="581"/>
      <c r="CM993" s="581"/>
      <c r="CN993" s="581"/>
      <c r="CO993" s="581"/>
      <c r="CP993" s="1864" t="str">
        <f t="shared" si="1822"/>
        <v>Total Capital Expenditures</v>
      </c>
      <c r="CQ993" s="581">
        <f>H993</f>
        <v>20.292569999999998</v>
      </c>
      <c r="CR993" s="581">
        <f>M993</f>
        <v>22.919489999999996</v>
      </c>
      <c r="CS993" s="581">
        <f>R993</f>
        <v>24.397949999999998</v>
      </c>
      <c r="CT993" s="581">
        <f>W993</f>
        <v>25.159289999999999</v>
      </c>
      <c r="CU993" s="581">
        <f>AB993</f>
        <v>24.914670000000001</v>
      </c>
      <c r="CV993" s="581">
        <f>AG993</f>
        <v>17.814</v>
      </c>
      <c r="CW993" s="581">
        <f t="shared" si="1824"/>
        <v>15.817</v>
      </c>
      <c r="CX993" s="581">
        <f t="shared" si="1825"/>
        <v>26.85</v>
      </c>
      <c r="CY993" s="581">
        <f>AV993</f>
        <v>34.700000000000003</v>
      </c>
      <c r="CZ993" s="581">
        <f>BA993</f>
        <v>22.356999999999999</v>
      </c>
      <c r="DA993" s="581">
        <f>BF993</f>
        <v>18.622999999999998</v>
      </c>
      <c r="DB993" s="581">
        <f>BK993</f>
        <v>34</v>
      </c>
      <c r="DC993" s="581">
        <f t="shared" si="1827"/>
        <v>0</v>
      </c>
      <c r="DD993" s="581">
        <f t="shared" si="1828"/>
        <v>0</v>
      </c>
      <c r="DE993" s="581">
        <f t="shared" si="1829"/>
        <v>0</v>
      </c>
      <c r="DF993" s="581">
        <f t="shared" si="1830"/>
        <v>0</v>
      </c>
      <c r="DG993" s="869">
        <f t="shared" si="1831"/>
        <v>0</v>
      </c>
      <c r="DH993" s="856"/>
      <c r="DI993" s="838"/>
      <c r="DJ993" s="838"/>
      <c r="DK993" s="838"/>
      <c r="DL993" s="838"/>
      <c r="DM993" s="838"/>
      <c r="DN993" s="632"/>
      <c r="DO993" s="312"/>
      <c r="DY993" s="581"/>
      <c r="DZ993" s="581"/>
    </row>
    <row r="994" spans="1:130" ht="12" customHeight="1">
      <c r="A994" s="670"/>
      <c r="B994" s="857"/>
      <c r="C994" s="857"/>
      <c r="D994" s="580"/>
      <c r="E994" s="581"/>
      <c r="F994" s="581"/>
      <c r="G994" s="581"/>
      <c r="H994" s="588"/>
      <c r="I994" s="581"/>
      <c r="J994" s="581"/>
      <c r="K994" s="581"/>
      <c r="L994" s="581"/>
      <c r="M994" s="588"/>
      <c r="N994" s="581"/>
      <c r="O994" s="581"/>
      <c r="P994" s="581"/>
      <c r="Q994" s="581"/>
      <c r="R994" s="588"/>
      <c r="S994" s="581"/>
      <c r="T994" s="581"/>
      <c r="U994" s="581"/>
      <c r="V994" s="581"/>
      <c r="W994" s="588"/>
      <c r="X994" s="581"/>
      <c r="Y994" s="581"/>
      <c r="Z994" s="581"/>
      <c r="AA994" s="581"/>
      <c r="AB994" s="588"/>
      <c r="AC994" s="581"/>
      <c r="AD994" s="581"/>
      <c r="AE994" s="581"/>
      <c r="AF994" s="581"/>
      <c r="AG994" s="588"/>
      <c r="AH994" s="581"/>
      <c r="AI994" s="581"/>
      <c r="AJ994" s="581"/>
      <c r="AK994" s="581"/>
      <c r="AL994" s="588"/>
      <c r="AM994" s="581"/>
      <c r="AN994" s="581"/>
      <c r="AO994" s="581"/>
      <c r="AP994" s="581"/>
      <c r="AQ994" s="588"/>
      <c r="AR994" s="581"/>
      <c r="AS994" s="581"/>
      <c r="AT994" s="581"/>
      <c r="AU994" s="581"/>
      <c r="AV994" s="588"/>
      <c r="AW994" s="581"/>
      <c r="AX994" s="581"/>
      <c r="AY994" s="581"/>
      <c r="AZ994" s="581"/>
      <c r="BA994" s="588"/>
      <c r="BB994" s="581"/>
      <c r="BC994" s="581"/>
      <c r="BD994" s="581"/>
      <c r="BE994" s="581"/>
      <c r="BF994" s="588"/>
      <c r="BG994" s="580"/>
      <c r="BH994" s="581"/>
      <c r="BI994" s="581"/>
      <c r="BJ994" s="869"/>
      <c r="BK994" s="588"/>
      <c r="BL994" s="581"/>
      <c r="BM994" s="581"/>
      <c r="BN994" s="581"/>
      <c r="BO994" s="869"/>
      <c r="BP994" s="588"/>
      <c r="BQ994" s="581"/>
      <c r="BR994" s="581"/>
      <c r="BS994" s="581"/>
      <c r="BT994" s="869"/>
      <c r="BU994" s="3956"/>
      <c r="BV994" s="580"/>
      <c r="BW994" s="581"/>
      <c r="BX994" s="581"/>
      <c r="BY994" s="869"/>
      <c r="BZ994" s="588"/>
      <c r="CA994" s="588"/>
      <c r="CB994" s="588"/>
      <c r="CC994" s="588"/>
      <c r="CD994" s="588"/>
      <c r="CE994" s="588"/>
      <c r="CF994" s="588"/>
      <c r="CG994" s="588"/>
      <c r="CH994" s="581"/>
      <c r="CI994" s="581"/>
      <c r="CJ994" s="581"/>
      <c r="CK994" s="581"/>
      <c r="CL994" s="581"/>
      <c r="CM994" s="581"/>
      <c r="CN994" s="581"/>
      <c r="CO994" s="581"/>
      <c r="CP994" s="1864"/>
      <c r="CQ994" s="581"/>
      <c r="CR994" s="581"/>
      <c r="CS994" s="581"/>
      <c r="CT994" s="581"/>
      <c r="CU994" s="581"/>
      <c r="CV994" s="581"/>
      <c r="CW994" s="581"/>
      <c r="CX994" s="581"/>
      <c r="CY994" s="581"/>
      <c r="CZ994" s="581"/>
      <c r="DA994" s="581"/>
      <c r="DB994" s="581"/>
      <c r="DC994" s="581"/>
      <c r="DD994" s="581"/>
      <c r="DE994" s="581"/>
      <c r="DF994" s="581"/>
      <c r="DG994" s="869"/>
      <c r="DH994" s="856"/>
      <c r="DI994" s="838"/>
      <c r="DJ994" s="838"/>
      <c r="DK994" s="838"/>
      <c r="DL994" s="838"/>
      <c r="DM994" s="838"/>
      <c r="DN994" s="632"/>
      <c r="DO994" s="312"/>
      <c r="DY994" s="581"/>
      <c r="DZ994" s="581"/>
    </row>
    <row r="995" spans="1:130" ht="12" customHeight="1">
      <c r="A995" s="670"/>
      <c r="B995" s="857"/>
      <c r="C995" s="857"/>
      <c r="D995" s="580"/>
      <c r="E995" s="581"/>
      <c r="F995" s="581"/>
      <c r="G995" s="581"/>
      <c r="H995" s="588"/>
      <c r="I995" s="581"/>
      <c r="J995" s="581"/>
      <c r="K995" s="581"/>
      <c r="L995" s="581"/>
      <c r="M995" s="588"/>
      <c r="N995" s="581"/>
      <c r="O995" s="581"/>
      <c r="P995" s="581"/>
      <c r="Q995" s="581"/>
      <c r="R995" s="588"/>
      <c r="S995" s="581"/>
      <c r="T995" s="581"/>
      <c r="U995" s="581"/>
      <c r="V995" s="581"/>
      <c r="W995" s="588"/>
      <c r="X995" s="581"/>
      <c r="Y995" s="581"/>
      <c r="Z995" s="581"/>
      <c r="AA995" s="581"/>
      <c r="AB995" s="588"/>
      <c r="AC995" s="581"/>
      <c r="AD995" s="581"/>
      <c r="AE995" s="581"/>
      <c r="AF995" s="581"/>
      <c r="AG995" s="588"/>
      <c r="AH995" s="581"/>
      <c r="AI995" s="581"/>
      <c r="AJ995" s="581"/>
      <c r="AK995" s="581"/>
      <c r="AL995" s="588"/>
      <c r="AM995" s="581"/>
      <c r="AN995" s="581"/>
      <c r="AO995" s="581"/>
      <c r="AP995" s="581"/>
      <c r="AQ995" s="588"/>
      <c r="AR995" s="581"/>
      <c r="AS995" s="581"/>
      <c r="AT995" s="581"/>
      <c r="AU995" s="581"/>
      <c r="AV995" s="588"/>
      <c r="AW995" s="581"/>
      <c r="AX995" s="581"/>
      <c r="AY995" s="581"/>
      <c r="AZ995" s="581"/>
      <c r="BA995" s="588"/>
      <c r="BB995" s="581"/>
      <c r="BC995" s="581"/>
      <c r="BD995" s="581"/>
      <c r="BE995" s="581"/>
      <c r="BF995" s="588"/>
      <c r="BG995" s="580"/>
      <c r="BH995" s="581"/>
      <c r="BI995" s="581"/>
      <c r="BJ995" s="869"/>
      <c r="BK995" s="588"/>
      <c r="BL995" s="581"/>
      <c r="BM995" s="581"/>
      <c r="BN995" s="581"/>
      <c r="BO995" s="869"/>
      <c r="BP995" s="588"/>
      <c r="BQ995" s="581"/>
      <c r="BR995" s="581"/>
      <c r="BS995" s="581"/>
      <c r="BT995" s="869"/>
      <c r="BU995" s="3956"/>
      <c r="BV995" s="580"/>
      <c r="BW995" s="581"/>
      <c r="BX995" s="581"/>
      <c r="BY995" s="869"/>
      <c r="BZ995" s="588"/>
      <c r="CA995" s="588"/>
      <c r="CB995" s="588"/>
      <c r="CC995" s="588"/>
      <c r="CD995" s="588"/>
      <c r="CE995" s="588"/>
      <c r="CF995" s="588"/>
      <c r="CG995" s="588"/>
      <c r="CH995" s="581"/>
      <c r="CI995" s="581"/>
      <c r="CJ995" s="581"/>
      <c r="CK995" s="581"/>
      <c r="CL995" s="581"/>
      <c r="CM995" s="581"/>
      <c r="CN995" s="581"/>
      <c r="CO995" s="581"/>
      <c r="CP995" s="1864"/>
      <c r="CQ995" s="581"/>
      <c r="CR995" s="581"/>
      <c r="CS995" s="581"/>
      <c r="CT995" s="581"/>
      <c r="CU995" s="581"/>
      <c r="CV995" s="581"/>
      <c r="CW995" s="581"/>
      <c r="CX995" s="581"/>
      <c r="CY995" s="581"/>
      <c r="CZ995" s="581"/>
      <c r="DA995" s="581"/>
      <c r="DB995" s="581"/>
      <c r="DC995" s="581"/>
      <c r="DD995" s="581"/>
      <c r="DE995" s="581"/>
      <c r="DF995" s="581"/>
      <c r="DG995" s="869"/>
      <c r="DH995" s="856"/>
      <c r="DI995" s="838"/>
      <c r="DJ995" s="838"/>
      <c r="DK995" s="838"/>
      <c r="DL995" s="838"/>
      <c r="DM995" s="838"/>
      <c r="DN995" s="632"/>
      <c r="DO995" s="312"/>
      <c r="DY995" s="581"/>
      <c r="DZ995" s="581"/>
    </row>
    <row r="996" spans="1:130" ht="12" customHeight="1">
      <c r="A996" s="837" t="s">
        <v>241</v>
      </c>
      <c r="B996" s="857"/>
      <c r="C996" s="857"/>
      <c r="D996" s="580"/>
      <c r="E996" s="581"/>
      <c r="F996" s="581"/>
      <c r="G996" s="581"/>
      <c r="H996" s="588"/>
      <c r="I996" s="581"/>
      <c r="J996" s="581"/>
      <c r="K996" s="581"/>
      <c r="L996" s="581"/>
      <c r="M996" s="588"/>
      <c r="N996" s="581"/>
      <c r="O996" s="581"/>
      <c r="P996" s="581"/>
      <c r="Q996" s="581"/>
      <c r="R996" s="588"/>
      <c r="S996" s="581"/>
      <c r="T996" s="581"/>
      <c r="U996" s="581"/>
      <c r="V996" s="581"/>
      <c r="W996" s="588"/>
      <c r="X996" s="581"/>
      <c r="Y996" s="581"/>
      <c r="Z996" s="581"/>
      <c r="AA996" s="581"/>
      <c r="AB996" s="588"/>
      <c r="AC996" s="581"/>
      <c r="AD996" s="581"/>
      <c r="AE996" s="581"/>
      <c r="AF996" s="581"/>
      <c r="AG996" s="588"/>
      <c r="AH996" s="581"/>
      <c r="AI996" s="581"/>
      <c r="AJ996" s="581"/>
      <c r="AK996" s="581"/>
      <c r="AL996" s="588"/>
      <c r="AM996" s="581"/>
      <c r="AN996" s="581"/>
      <c r="AO996" s="581"/>
      <c r="AP996" s="581"/>
      <c r="AQ996" s="588"/>
      <c r="AR996" s="581"/>
      <c r="AS996" s="581"/>
      <c r="AT996" s="581"/>
      <c r="AU996" s="581"/>
      <c r="AV996" s="588"/>
      <c r="AW996" s="581"/>
      <c r="AX996" s="581"/>
      <c r="AY996" s="581"/>
      <c r="AZ996" s="581"/>
      <c r="BA996" s="588"/>
      <c r="BB996" s="581"/>
      <c r="BC996" s="581"/>
      <c r="BD996" s="581"/>
      <c r="BE996" s="581"/>
      <c r="BF996" s="588"/>
      <c r="BG996" s="580"/>
      <c r="BH996" s="581"/>
      <c r="BI996" s="581"/>
      <c r="BJ996" s="869"/>
      <c r="BK996" s="588"/>
      <c r="BL996" s="581"/>
      <c r="BM996" s="581"/>
      <c r="BN996" s="581"/>
      <c r="BO996" s="869"/>
      <c r="BP996" s="588"/>
      <c r="BQ996" s="581"/>
      <c r="BR996" s="581"/>
      <c r="BS996" s="581"/>
      <c r="BT996" s="869"/>
      <c r="BU996" s="3376"/>
      <c r="BV996" s="581"/>
      <c r="BW996" s="581"/>
      <c r="BX996" s="581"/>
      <c r="BY996" s="869"/>
      <c r="BZ996" s="588"/>
      <c r="CA996" s="588"/>
      <c r="CB996" s="588"/>
      <c r="CC996" s="588"/>
      <c r="CD996" s="588"/>
      <c r="CE996" s="588"/>
      <c r="CF996" s="588"/>
      <c r="CG996" s="588"/>
      <c r="CH996" s="581"/>
      <c r="CI996" s="581"/>
      <c r="CJ996" s="581"/>
      <c r="CK996" s="581"/>
      <c r="CL996" s="581"/>
      <c r="CM996" s="581"/>
      <c r="CN996" s="581"/>
      <c r="CO996" s="581"/>
      <c r="CP996" s="1907" t="str">
        <f t="shared" si="1822"/>
        <v>Covenant Analysis &amp; Credit Metrics</v>
      </c>
      <c r="CQ996" s="581"/>
      <c r="CR996" s="581"/>
      <c r="CS996" s="581"/>
      <c r="CT996" s="581"/>
      <c r="CU996" s="581"/>
      <c r="CV996" s="581"/>
      <c r="CW996" s="581"/>
      <c r="CX996" s="581"/>
      <c r="CY996" s="581"/>
      <c r="CZ996" s="581"/>
      <c r="DA996" s="581"/>
      <c r="DB996" s="581"/>
      <c r="DC996" s="581"/>
      <c r="DD996" s="581"/>
      <c r="DE996" s="581"/>
      <c r="DF996" s="581"/>
      <c r="DG996" s="869"/>
      <c r="DH996" s="856"/>
      <c r="DI996" s="838"/>
      <c r="DJ996" s="838"/>
      <c r="DK996" s="838"/>
      <c r="DL996" s="838"/>
      <c r="DM996" s="838"/>
      <c r="DN996" s="632"/>
      <c r="DO996" s="312"/>
      <c r="DY996" s="581"/>
      <c r="DZ996" s="581"/>
    </row>
    <row r="997" spans="1:130" ht="12" customHeight="1">
      <c r="A997" s="837"/>
      <c r="B997" s="857"/>
      <c r="C997" s="857"/>
      <c r="D997" s="580"/>
      <c r="E997" s="581"/>
      <c r="F997" s="581"/>
      <c r="G997" s="581"/>
      <c r="H997" s="588"/>
      <c r="I997" s="581"/>
      <c r="J997" s="581"/>
      <c r="K997" s="581"/>
      <c r="L997" s="581"/>
      <c r="M997" s="588"/>
      <c r="N997" s="581"/>
      <c r="O997" s="581"/>
      <c r="P997" s="581"/>
      <c r="Q997" s="581"/>
      <c r="R997" s="588"/>
      <c r="S997" s="581"/>
      <c r="T997" s="581"/>
      <c r="U997" s="581"/>
      <c r="V997" s="581"/>
      <c r="W997" s="588"/>
      <c r="X997" s="581"/>
      <c r="Y997" s="581"/>
      <c r="Z997" s="581"/>
      <c r="AA997" s="581"/>
      <c r="AB997" s="588"/>
      <c r="AC997" s="581"/>
      <c r="AD997" s="581"/>
      <c r="AE997" s="581"/>
      <c r="AF997" s="581"/>
      <c r="AG997" s="588"/>
      <c r="AH997" s="581"/>
      <c r="AI997" s="581"/>
      <c r="AJ997" s="581"/>
      <c r="AK997" s="581"/>
      <c r="AL997" s="588"/>
      <c r="AM997" s="581"/>
      <c r="AN997" s="581"/>
      <c r="AO997" s="581"/>
      <c r="AP997" s="581"/>
      <c r="AQ997" s="588"/>
      <c r="AR997" s="581"/>
      <c r="AS997" s="581"/>
      <c r="AT997" s="581"/>
      <c r="AU997" s="581"/>
      <c r="AV997" s="588"/>
      <c r="AW997" s="581"/>
      <c r="AX997" s="581"/>
      <c r="AY997" s="581"/>
      <c r="AZ997" s="581"/>
      <c r="BA997" s="588"/>
      <c r="BB997" s="581"/>
      <c r="BC997" s="581"/>
      <c r="BD997" s="581"/>
      <c r="BE997" s="581"/>
      <c r="BF997" s="588"/>
      <c r="BG997" s="580"/>
      <c r="BH997" s="581"/>
      <c r="BI997" s="581"/>
      <c r="BJ997" s="869"/>
      <c r="BK997" s="588"/>
      <c r="BL997" s="581"/>
      <c r="BM997" s="581"/>
      <c r="BN997" s="581"/>
      <c r="BO997" s="869"/>
      <c r="BP997" s="588"/>
      <c r="BQ997" s="581"/>
      <c r="BR997" s="581"/>
      <c r="BS997" s="581"/>
      <c r="BT997" s="869"/>
      <c r="BU997" s="3376"/>
      <c r="BV997" s="581"/>
      <c r="BW997" s="581"/>
      <c r="BX997" s="581"/>
      <c r="BY997" s="869"/>
      <c r="BZ997" s="588"/>
      <c r="CA997" s="588"/>
      <c r="CB997" s="588"/>
      <c r="CC997" s="588"/>
      <c r="CD997" s="588"/>
      <c r="CE997" s="588"/>
      <c r="CF997" s="588"/>
      <c r="CG997" s="588"/>
      <c r="CH997" s="581"/>
      <c r="CI997" s="581"/>
      <c r="CJ997" s="581"/>
      <c r="CK997" s="581"/>
      <c r="CL997" s="581"/>
      <c r="CM997" s="581"/>
      <c r="CN997" s="581"/>
      <c r="CO997" s="581"/>
      <c r="CP997" s="1907"/>
      <c r="CQ997" s="581"/>
      <c r="CR997" s="581"/>
      <c r="CS997" s="581"/>
      <c r="CT997" s="581"/>
      <c r="CU997" s="581"/>
      <c r="CV997" s="581"/>
      <c r="CW997" s="581"/>
      <c r="CX997" s="581"/>
      <c r="CY997" s="581"/>
      <c r="CZ997" s="581"/>
      <c r="DA997" s="581"/>
      <c r="DB997" s="581"/>
      <c r="DC997" s="581"/>
      <c r="DD997" s="581"/>
      <c r="DE997" s="581"/>
      <c r="DF997" s="581"/>
      <c r="DG997" s="869"/>
      <c r="DH997" s="856"/>
      <c r="DI997" s="838"/>
      <c r="DJ997" s="838"/>
      <c r="DK997" s="838"/>
      <c r="DL997" s="838"/>
      <c r="DM997" s="838"/>
      <c r="DN997" s="632"/>
      <c r="DO997" s="312"/>
      <c r="DY997" s="581"/>
      <c r="DZ997" s="581"/>
    </row>
    <row r="998" spans="1:130" ht="12" customHeight="1">
      <c r="A998" s="837" t="s">
        <v>344</v>
      </c>
      <c r="B998" s="857"/>
      <c r="C998" s="857"/>
      <c r="D998" s="580"/>
      <c r="E998" s="581"/>
      <c r="F998" s="581"/>
      <c r="G998" s="581"/>
      <c r="H998" s="588"/>
      <c r="I998" s="581"/>
      <c r="J998" s="581"/>
      <c r="K998" s="581"/>
      <c r="L998" s="581"/>
      <c r="M998" s="588"/>
      <c r="N998" s="581"/>
      <c r="O998" s="581"/>
      <c r="P998" s="581"/>
      <c r="Q998" s="581"/>
      <c r="R998" s="588"/>
      <c r="S998" s="581"/>
      <c r="T998" s="581"/>
      <c r="U998" s="581"/>
      <c r="V998" s="581"/>
      <c r="W998" s="588"/>
      <c r="X998" s="581"/>
      <c r="Y998" s="581"/>
      <c r="Z998" s="581"/>
      <c r="AA998" s="581"/>
      <c r="AB998" s="588"/>
      <c r="AC998" s="581"/>
      <c r="AD998" s="581"/>
      <c r="AE998" s="581"/>
      <c r="AF998" s="581"/>
      <c r="AG998" s="588"/>
      <c r="AH998" s="581"/>
      <c r="AI998" s="581"/>
      <c r="AJ998" s="581"/>
      <c r="AK998" s="581"/>
      <c r="AL998" s="588"/>
      <c r="AM998" s="581"/>
      <c r="AN998" s="581"/>
      <c r="AO998" s="581"/>
      <c r="AP998" s="581"/>
      <c r="AQ998" s="588"/>
      <c r="AR998" s="581"/>
      <c r="AS998" s="581"/>
      <c r="AT998" s="581"/>
      <c r="AU998" s="581"/>
      <c r="AV998" s="588"/>
      <c r="AW998" s="581"/>
      <c r="AX998" s="581"/>
      <c r="AY998" s="581"/>
      <c r="AZ998" s="581"/>
      <c r="BA998" s="588"/>
      <c r="BB998" s="581"/>
      <c r="BC998" s="581"/>
      <c r="BD998" s="581"/>
      <c r="BE998" s="581"/>
      <c r="BF998" s="1652"/>
      <c r="BG998" s="2938"/>
      <c r="BH998" s="2939"/>
      <c r="BI998" s="2939"/>
      <c r="BJ998" s="2940"/>
      <c r="BK998" s="588"/>
      <c r="BL998" s="2939"/>
      <c r="BM998" s="2939"/>
      <c r="BN998" s="2939"/>
      <c r="BO998" s="2940"/>
      <c r="BP998" s="588"/>
      <c r="BQ998" s="2939"/>
      <c r="BR998" s="2939"/>
      <c r="BS998" s="2939"/>
      <c r="BT998" s="2940"/>
      <c r="BU998" s="3376"/>
      <c r="BV998" s="2939"/>
      <c r="BW998" s="2939"/>
      <c r="BX998" s="2939"/>
      <c r="BY998" s="2940"/>
      <c r="BZ998" s="588"/>
      <c r="CA998" s="588"/>
      <c r="CB998" s="588"/>
      <c r="CC998" s="588"/>
      <c r="CD998" s="588"/>
      <c r="CE998" s="588"/>
      <c r="CF998" s="588"/>
      <c r="CG998" s="588"/>
      <c r="CH998" s="581"/>
      <c r="CI998" s="581"/>
      <c r="CJ998" s="581"/>
      <c r="CK998" s="581"/>
      <c r="CL998" s="581"/>
      <c r="CM998" s="581"/>
      <c r="CN998" s="581"/>
      <c r="CO998" s="581"/>
      <c r="CP998" s="1907" t="str">
        <f t="shared" si="1822"/>
        <v>Minimum EBITDA Covenant</v>
      </c>
      <c r="CQ998" s="581"/>
      <c r="CR998" s="581"/>
      <c r="CS998" s="581"/>
      <c r="CT998" s="581"/>
      <c r="CU998" s="581"/>
      <c r="CV998" s="581"/>
      <c r="CW998" s="581"/>
      <c r="CX998" s="581"/>
      <c r="CY998" s="581"/>
      <c r="CZ998" s="581"/>
      <c r="DA998" s="581"/>
      <c r="DB998" s="581"/>
      <c r="DC998" s="581"/>
      <c r="DD998" s="581"/>
      <c r="DE998" s="581"/>
      <c r="DF998" s="581"/>
      <c r="DG998" s="869"/>
      <c r="DH998" s="856"/>
      <c r="DI998" s="838"/>
      <c r="DJ998" s="838"/>
      <c r="DK998" s="838"/>
      <c r="DL998" s="838"/>
      <c r="DM998" s="838"/>
      <c r="DN998" s="632"/>
      <c r="DO998" s="312"/>
      <c r="DY998" s="581"/>
      <c r="DZ998" s="581"/>
    </row>
    <row r="999" spans="1:130" ht="12" customHeight="1">
      <c r="A999" s="896" t="s">
        <v>239</v>
      </c>
      <c r="B999" s="857"/>
      <c r="C999" s="857"/>
      <c r="D999" s="580"/>
      <c r="E999" s="581"/>
      <c r="F999" s="581"/>
      <c r="G999" s="581"/>
      <c r="H999" s="588"/>
      <c r="I999" s="581"/>
      <c r="J999" s="581"/>
      <c r="K999" s="581"/>
      <c r="L999" s="581"/>
      <c r="M999" s="588"/>
      <c r="N999" s="581"/>
      <c r="O999" s="581"/>
      <c r="P999" s="581"/>
      <c r="Q999" s="581"/>
      <c r="R999" s="588"/>
      <c r="S999" s="581"/>
      <c r="T999" s="581"/>
      <c r="U999" s="581"/>
      <c r="V999" s="581"/>
      <c r="W999" s="588"/>
      <c r="X999" s="581"/>
      <c r="Y999" s="581"/>
      <c r="Z999" s="581"/>
      <c r="AA999" s="581"/>
      <c r="AB999" s="588"/>
      <c r="AC999" s="581"/>
      <c r="AD999" s="581"/>
      <c r="AE999" s="581"/>
      <c r="AF999" s="581"/>
      <c r="AG999" s="588"/>
      <c r="AH999" s="581"/>
      <c r="AI999" s="581"/>
      <c r="AJ999" s="581"/>
      <c r="AK999" s="581"/>
      <c r="AL999" s="588"/>
      <c r="AM999" s="581">
        <f>AM927</f>
        <v>31.681999999999988</v>
      </c>
      <c r="AN999" s="581">
        <f>AN927</f>
        <v>38.657000000000011</v>
      </c>
      <c r="AO999" s="581">
        <f>AO927</f>
        <v>49.94</v>
      </c>
      <c r="AP999" s="581">
        <f>AP927</f>
        <v>37.859999999999985</v>
      </c>
      <c r="AQ999" s="588"/>
      <c r="AR999" s="581">
        <f>AR927</f>
        <v>38.881</v>
      </c>
      <c r="AS999" s="581">
        <f>AS927</f>
        <v>30.734999999999999</v>
      </c>
      <c r="AT999" s="581">
        <f>AT927</f>
        <v>33.35</v>
      </c>
      <c r="AU999" s="581">
        <f>AU927</f>
        <v>14.01</v>
      </c>
      <c r="AV999" s="588"/>
      <c r="AW999" s="581">
        <f>AW927</f>
        <v>28.405000000000001</v>
      </c>
      <c r="AX999" s="581">
        <f>AX927</f>
        <v>27.847000000000001</v>
      </c>
      <c r="AY999" s="581">
        <f>AY927</f>
        <v>46.591999999999999</v>
      </c>
      <c r="AZ999" s="581">
        <f>AZ927</f>
        <v>16.393000000000001</v>
      </c>
      <c r="BA999" s="588"/>
      <c r="BB999" s="581">
        <f>BB927</f>
        <v>20.446000000000002</v>
      </c>
      <c r="BC999" s="581">
        <f>BC927</f>
        <v>42.597999999999999</v>
      </c>
      <c r="BD999" s="581">
        <f>BD927</f>
        <v>56.872999999999998</v>
      </c>
      <c r="BE999" s="581">
        <f>BE927</f>
        <v>36.037999999999997</v>
      </c>
      <c r="BF999" s="588"/>
      <c r="BG999" s="580">
        <f>BG927</f>
        <v>37.825000000000003</v>
      </c>
      <c r="BH999" s="581">
        <f>BH927</f>
        <v>44.527000000000001</v>
      </c>
      <c r="BI999" s="581">
        <f>BI927</f>
        <v>75.974000000000004</v>
      </c>
      <c r="BJ999" s="869">
        <f>BJ927</f>
        <v>45.863999999999997</v>
      </c>
      <c r="BK999" s="588"/>
      <c r="BL999" s="581">
        <f>BL927</f>
        <v>45.335000000000001</v>
      </c>
      <c r="BM999" s="581">
        <f>BM927</f>
        <v>60.762999999999998</v>
      </c>
      <c r="BN999" s="581">
        <f>BN927</f>
        <v>143.59815629601201</v>
      </c>
      <c r="BO999" s="869"/>
      <c r="BP999" s="588"/>
      <c r="BQ999" s="581"/>
      <c r="BR999" s="581"/>
      <c r="BS999" s="581"/>
      <c r="BT999" s="869"/>
      <c r="BU999" s="3376"/>
      <c r="BV999" s="581"/>
      <c r="BW999" s="581"/>
      <c r="BX999" s="581"/>
      <c r="BY999" s="869"/>
      <c r="BZ999" s="588"/>
      <c r="CA999" s="588"/>
      <c r="CB999" s="588"/>
      <c r="CC999" s="588"/>
      <c r="CD999" s="588"/>
      <c r="CE999" s="588"/>
      <c r="CF999" s="588"/>
      <c r="CG999" s="588"/>
      <c r="CH999" s="581"/>
      <c r="CI999" s="581"/>
      <c r="CJ999" s="581"/>
      <c r="CK999" s="581"/>
      <c r="CL999" s="581"/>
      <c r="CM999" s="581"/>
      <c r="CN999" s="581"/>
      <c r="CO999" s="581"/>
      <c r="CP999" s="1882" t="str">
        <f t="shared" si="1822"/>
        <v>Quarterly Covenant EBITDA</v>
      </c>
      <c r="CQ999" s="581"/>
      <c r="CR999" s="581"/>
      <c r="CS999" s="581"/>
      <c r="CT999" s="581"/>
      <c r="CU999" s="581"/>
      <c r="CV999" s="581"/>
      <c r="CW999" s="581"/>
      <c r="CX999" s="581"/>
      <c r="CY999" s="581"/>
      <c r="CZ999" s="581"/>
      <c r="DA999" s="581"/>
      <c r="DB999" s="581"/>
      <c r="DC999" s="581">
        <f t="shared" si="1827"/>
        <v>0</v>
      </c>
      <c r="DD999" s="581">
        <f t="shared" si="1828"/>
        <v>0</v>
      </c>
      <c r="DE999" s="581">
        <f t="shared" si="1829"/>
        <v>0</v>
      </c>
      <c r="DF999" s="581">
        <f t="shared" si="1830"/>
        <v>0</v>
      </c>
      <c r="DG999" s="869">
        <f t="shared" si="1831"/>
        <v>0</v>
      </c>
      <c r="DH999" s="856"/>
      <c r="DI999" s="838"/>
      <c r="DJ999" s="838"/>
      <c r="DK999" s="838"/>
      <c r="DL999" s="838"/>
      <c r="DM999" s="838"/>
      <c r="DN999" s="632"/>
      <c r="DO999" s="312"/>
      <c r="DY999" s="581"/>
      <c r="DZ999" s="581"/>
    </row>
    <row r="1000" spans="1:130" ht="12" customHeight="1">
      <c r="A1000" s="896" t="s">
        <v>257</v>
      </c>
      <c r="B1000" s="857"/>
      <c r="C1000" s="857"/>
      <c r="D1000" s="580"/>
      <c r="E1000" s="581"/>
      <c r="F1000" s="581"/>
      <c r="G1000" s="581"/>
      <c r="H1000" s="588"/>
      <c r="I1000" s="581"/>
      <c r="J1000" s="581"/>
      <c r="K1000" s="581"/>
      <c r="L1000" s="581"/>
      <c r="M1000" s="588"/>
      <c r="N1000" s="581"/>
      <c r="O1000" s="581"/>
      <c r="P1000" s="581"/>
      <c r="Q1000" s="581"/>
      <c r="R1000" s="588"/>
      <c r="S1000" s="581"/>
      <c r="T1000" s="581"/>
      <c r="U1000" s="581"/>
      <c r="V1000" s="581"/>
      <c r="W1000" s="588"/>
      <c r="X1000" s="581"/>
      <c r="Y1000" s="581"/>
      <c r="Z1000" s="581"/>
      <c r="AA1000" s="581"/>
      <c r="AB1000" s="588"/>
      <c r="AC1000" s="581"/>
      <c r="AD1000" s="581"/>
      <c r="AE1000" s="581"/>
      <c r="AF1000" s="581"/>
      <c r="AG1000" s="588"/>
      <c r="AH1000" s="581"/>
      <c r="AI1000" s="581"/>
      <c r="AJ1000" s="581"/>
      <c r="AK1000" s="581"/>
      <c r="AL1000" s="588"/>
      <c r="AM1000" s="581"/>
      <c r="AN1000" s="581"/>
      <c r="AO1000" s="581"/>
      <c r="AP1000" s="581">
        <f>SUM(AM999:AP999)</f>
        <v>158.13899999999998</v>
      </c>
      <c r="AQ1000" s="588"/>
      <c r="AR1000" s="581">
        <f>AR999+AP999+AO999+AN999</f>
        <v>165.33799999999999</v>
      </c>
      <c r="AS1000" s="581">
        <f>AS999+AR999+AP999+AO999</f>
        <v>157.416</v>
      </c>
      <c r="AT1000" s="581">
        <f>AT999+AS999+AR999+AP999</f>
        <v>140.82599999999999</v>
      </c>
      <c r="AU1000" s="581">
        <f>AU999+AT999+AS999+AR999</f>
        <v>116.976</v>
      </c>
      <c r="AV1000" s="588"/>
      <c r="AW1000" s="581">
        <f>AW999+AR999+AT999+AS999</f>
        <v>131.37099999999998</v>
      </c>
      <c r="AX1000" s="581">
        <f>AX999+AW999+AS999+AT999</f>
        <v>120.33699999999999</v>
      </c>
      <c r="AY1000" s="2191">
        <f>AY999+AX999+AW999+AT999</f>
        <v>136.19399999999999</v>
      </c>
      <c r="AZ1000" s="581">
        <f>AZ999+AY999+AX999+AW999</f>
        <v>119.23699999999999</v>
      </c>
      <c r="BA1000" s="588"/>
      <c r="BB1000" s="581">
        <f>BB999+AZ999+AY999+AX999</f>
        <v>111.27799999999999</v>
      </c>
      <c r="BC1000" s="581">
        <f>BC999+BB999+AZ999+AY999</f>
        <v>126.029</v>
      </c>
      <c r="BD1000" s="581">
        <f>BD999+BC999+BB999+AZ999</f>
        <v>136.31</v>
      </c>
      <c r="BE1000" s="581">
        <f>BE999+BD999+BC999+BB999</f>
        <v>155.95500000000001</v>
      </c>
      <c r="BF1000" s="588"/>
      <c r="BG1000" s="580">
        <f>BG999+BE999+BD999+BC999</f>
        <v>173.334</v>
      </c>
      <c r="BH1000" s="581">
        <f>BH999+BG999+BE999+BD999</f>
        <v>175.26300000000001</v>
      </c>
      <c r="BI1000" s="581">
        <f>BI999+BH999+BG999+BE999</f>
        <v>194.36400000000003</v>
      </c>
      <c r="BJ1000" s="869">
        <f>BJ999+BI999+BH999+BG999</f>
        <v>204.19</v>
      </c>
      <c r="BK1000" s="588"/>
      <c r="BL1000" s="581">
        <f>BL999+BJ999+BI999+BH999</f>
        <v>211.7</v>
      </c>
      <c r="BM1000" s="581">
        <f>BM999+BL999+BJ999+BI999</f>
        <v>227.93599999999998</v>
      </c>
      <c r="BN1000" s="581">
        <f>BN999+BM999+BL999+BJ999</f>
        <v>295.560156296012</v>
      </c>
      <c r="BO1000" s="869"/>
      <c r="BP1000" s="588"/>
      <c r="BQ1000" s="581"/>
      <c r="BR1000" s="581"/>
      <c r="BS1000" s="581"/>
      <c r="BT1000" s="869"/>
      <c r="BU1000" s="3376"/>
      <c r="BV1000" s="581"/>
      <c r="BW1000" s="581"/>
      <c r="BX1000" s="581"/>
      <c r="BY1000" s="869"/>
      <c r="BZ1000" s="588"/>
      <c r="CA1000" s="588"/>
      <c r="CB1000" s="588"/>
      <c r="CC1000" s="588">
        <f>CC927</f>
        <v>9.0480908170857433</v>
      </c>
      <c r="CD1000" s="588">
        <f>CD927</f>
        <v>8.5956862762314685</v>
      </c>
      <c r="CE1000" s="588">
        <f>CE927</f>
        <v>8.7676000017560867</v>
      </c>
      <c r="CF1000" s="588">
        <f>CF927</f>
        <v>8.9429520017912125</v>
      </c>
      <c r="CG1000" s="588">
        <f>CG927</f>
        <v>9.1218110418270371</v>
      </c>
      <c r="CH1000" s="581"/>
      <c r="CI1000" s="581"/>
      <c r="CJ1000" s="581"/>
      <c r="CK1000" s="581"/>
      <c r="CL1000" s="581"/>
      <c r="CM1000" s="581"/>
      <c r="CN1000" s="581"/>
      <c r="CO1000" s="581"/>
      <c r="CP1000" s="1882" t="str">
        <f t="shared" si="1822"/>
        <v>LTM Covenant EBITDA</v>
      </c>
      <c r="CQ1000" s="581"/>
      <c r="CR1000" s="581"/>
      <c r="CS1000" s="581"/>
      <c r="CT1000" s="581"/>
      <c r="CU1000" s="581"/>
      <c r="CV1000" s="581"/>
      <c r="CW1000" s="581"/>
      <c r="CX1000" s="581"/>
      <c r="CY1000" s="581"/>
      <c r="CZ1000" s="581"/>
      <c r="DA1000" s="581"/>
      <c r="DB1000" s="581"/>
      <c r="DC1000" s="581">
        <f t="shared" si="1827"/>
        <v>0</v>
      </c>
      <c r="DD1000" s="581">
        <f t="shared" si="1828"/>
        <v>0</v>
      </c>
      <c r="DE1000" s="581">
        <f t="shared" si="1829"/>
        <v>0</v>
      </c>
      <c r="DF1000" s="581">
        <f t="shared" si="1830"/>
        <v>0</v>
      </c>
      <c r="DG1000" s="869">
        <f t="shared" si="1831"/>
        <v>0</v>
      </c>
      <c r="DH1000" s="856"/>
      <c r="DI1000" s="838"/>
      <c r="DJ1000" s="838"/>
      <c r="DK1000" s="838"/>
      <c r="DL1000" s="838"/>
      <c r="DM1000" s="838"/>
      <c r="DN1000" s="632"/>
      <c r="DO1000" s="312"/>
      <c r="DY1000" s="581"/>
      <c r="DZ1000" s="581"/>
    </row>
    <row r="1001" spans="1:130" ht="12" customHeight="1">
      <c r="A1001" s="896" t="s">
        <v>238</v>
      </c>
      <c r="B1001" s="857"/>
      <c r="C1001" s="857"/>
      <c r="D1001" s="580"/>
      <c r="E1001" s="581"/>
      <c r="F1001" s="581"/>
      <c r="G1001" s="581"/>
      <c r="H1001" s="588"/>
      <c r="I1001" s="581"/>
      <c r="J1001" s="581"/>
      <c r="K1001" s="581"/>
      <c r="L1001" s="581"/>
      <c r="M1001" s="588"/>
      <c r="N1001" s="581"/>
      <c r="O1001" s="581"/>
      <c r="P1001" s="581"/>
      <c r="Q1001" s="581"/>
      <c r="R1001" s="588"/>
      <c r="S1001" s="581"/>
      <c r="T1001" s="581"/>
      <c r="U1001" s="581"/>
      <c r="V1001" s="581"/>
      <c r="W1001" s="588"/>
      <c r="X1001" s="581"/>
      <c r="Y1001" s="581"/>
      <c r="Z1001" s="581"/>
      <c r="AA1001" s="581"/>
      <c r="AB1001" s="588"/>
      <c r="AC1001" s="581"/>
      <c r="AD1001" s="581"/>
      <c r="AE1001" s="581"/>
      <c r="AF1001" s="581"/>
      <c r="AG1001" s="588"/>
      <c r="AH1001" s="581"/>
      <c r="AI1001" s="581"/>
      <c r="AJ1001" s="581"/>
      <c r="AK1001" s="581"/>
      <c r="AL1001" s="588"/>
      <c r="AM1001" s="581"/>
      <c r="AN1001" s="581"/>
      <c r="AO1001" s="581"/>
      <c r="AP1001" s="583">
        <v>125</v>
      </c>
      <c r="AQ1001" s="588"/>
      <c r="AR1001" s="583">
        <v>125</v>
      </c>
      <c r="AS1001" s="581">
        <f>AR1001</f>
        <v>125</v>
      </c>
      <c r="AT1001" s="581">
        <f>AS1001</f>
        <v>125</v>
      </c>
      <c r="AU1001" s="583">
        <v>110</v>
      </c>
      <c r="AV1001" s="588"/>
      <c r="AW1001" s="2188">
        <f>+AU1001</f>
        <v>110</v>
      </c>
      <c r="AX1001" s="2188">
        <f>AW1001</f>
        <v>110</v>
      </c>
      <c r="AY1001" s="2188">
        <f>AX1001</f>
        <v>110</v>
      </c>
      <c r="AZ1001" s="2188">
        <f>AY1001</f>
        <v>110</v>
      </c>
      <c r="BA1001" s="588"/>
      <c r="BB1001" s="2188">
        <f>+AZ1001</f>
        <v>110</v>
      </c>
      <c r="BC1001" s="2188">
        <f>BB1001</f>
        <v>110</v>
      </c>
      <c r="BD1001" s="2188">
        <f>BC1001</f>
        <v>110</v>
      </c>
      <c r="BE1001" s="2188">
        <f>BD1001</f>
        <v>110</v>
      </c>
      <c r="BF1001" s="588"/>
      <c r="BG1001" s="2941">
        <f>+BE1001</f>
        <v>110</v>
      </c>
      <c r="BH1001" s="2188">
        <f>BG1001</f>
        <v>110</v>
      </c>
      <c r="BI1001" s="2188">
        <f>BH1001</f>
        <v>110</v>
      </c>
      <c r="BJ1001" s="2942">
        <f>BI1001</f>
        <v>110</v>
      </c>
      <c r="BK1001" s="2189"/>
      <c r="BL1001" s="2188">
        <f>BJ1001</f>
        <v>110</v>
      </c>
      <c r="BM1001" s="2188">
        <f>BL1001</f>
        <v>110</v>
      </c>
      <c r="BN1001" s="2188">
        <f>BM1001</f>
        <v>110</v>
      </c>
      <c r="BO1001" s="2942"/>
      <c r="BP1001" s="2189"/>
      <c r="BQ1001" s="2188"/>
      <c r="BR1001" s="2188"/>
      <c r="BS1001" s="2188"/>
      <c r="BT1001" s="2942"/>
      <c r="BU1001" s="3376"/>
      <c r="BV1001" s="2188"/>
      <c r="BW1001" s="2188"/>
      <c r="BX1001" s="2188"/>
      <c r="BY1001" s="2942"/>
      <c r="BZ1001" s="2189"/>
      <c r="CA1001" s="2189"/>
      <c r="CB1001" s="2189"/>
      <c r="CC1001" s="2189">
        <f>+CB1001</f>
        <v>0</v>
      </c>
      <c r="CD1001" s="2189">
        <f>+CC1001</f>
        <v>0</v>
      </c>
      <c r="CE1001" s="2189">
        <f>+CD1001</f>
        <v>0</v>
      </c>
      <c r="CF1001" s="2189">
        <f>+CE1001</f>
        <v>0</v>
      </c>
      <c r="CG1001" s="2189">
        <f>+CF1001</f>
        <v>0</v>
      </c>
      <c r="CH1001" s="581"/>
      <c r="CI1001" s="581"/>
      <c r="CJ1001" s="581"/>
      <c r="CK1001" s="581"/>
      <c r="CL1001" s="581"/>
      <c r="CM1001" s="581"/>
      <c r="CN1001" s="581"/>
      <c r="CO1001" s="581"/>
      <c r="CP1001" s="1882" t="str">
        <f t="shared" si="1822"/>
        <v>Minimum EBITDA</v>
      </c>
      <c r="CQ1001" s="581"/>
      <c r="CR1001" s="581"/>
      <c r="CS1001" s="581"/>
      <c r="CT1001" s="581"/>
      <c r="CU1001" s="581"/>
      <c r="CV1001" s="581"/>
      <c r="CW1001" s="581"/>
      <c r="CX1001" s="581"/>
      <c r="CY1001" s="581"/>
      <c r="CZ1001" s="581"/>
      <c r="DA1001" s="581"/>
      <c r="DB1001" s="581"/>
      <c r="DC1001" s="581">
        <f t="shared" si="1827"/>
        <v>0</v>
      </c>
      <c r="DD1001" s="581">
        <f t="shared" si="1828"/>
        <v>0</v>
      </c>
      <c r="DE1001" s="581">
        <f t="shared" si="1829"/>
        <v>0</v>
      </c>
      <c r="DF1001" s="581">
        <f t="shared" si="1830"/>
        <v>0</v>
      </c>
      <c r="DG1001" s="869">
        <f t="shared" si="1831"/>
        <v>0</v>
      </c>
      <c r="DH1001" s="856"/>
      <c r="DI1001" s="838"/>
      <c r="DJ1001" s="838"/>
      <c r="DK1001" s="838"/>
      <c r="DL1001" s="838"/>
      <c r="DM1001" s="838"/>
      <c r="DN1001" s="632"/>
      <c r="DO1001" s="312"/>
      <c r="DY1001" s="2188"/>
      <c r="DZ1001" s="2188"/>
    </row>
    <row r="1002" spans="1:130" ht="12" customHeight="1">
      <c r="A1002" s="1559" t="s">
        <v>240</v>
      </c>
      <c r="B1002" s="857"/>
      <c r="C1002" s="857"/>
      <c r="D1002" s="580"/>
      <c r="E1002" s="581"/>
      <c r="F1002" s="581"/>
      <c r="G1002" s="581"/>
      <c r="H1002" s="588"/>
      <c r="I1002" s="581"/>
      <c r="J1002" s="581"/>
      <c r="K1002" s="581"/>
      <c r="L1002" s="581"/>
      <c r="M1002" s="588"/>
      <c r="N1002" s="581"/>
      <c r="O1002" s="581"/>
      <c r="P1002" s="581"/>
      <c r="Q1002" s="581"/>
      <c r="R1002" s="588"/>
      <c r="S1002" s="581"/>
      <c r="T1002" s="581"/>
      <c r="U1002" s="581"/>
      <c r="V1002" s="581"/>
      <c r="W1002" s="588"/>
      <c r="X1002" s="581"/>
      <c r="Y1002" s="581"/>
      <c r="Z1002" s="581"/>
      <c r="AA1002" s="581"/>
      <c r="AB1002" s="588"/>
      <c r="AC1002" s="581"/>
      <c r="AD1002" s="581"/>
      <c r="AE1002" s="581"/>
      <c r="AF1002" s="581"/>
      <c r="AG1002" s="588"/>
      <c r="AH1002" s="581"/>
      <c r="AI1002" s="581"/>
      <c r="AJ1002" s="581"/>
      <c r="AK1002" s="581"/>
      <c r="AL1002" s="588"/>
      <c r="AM1002" s="581"/>
      <c r="AN1002" s="581"/>
      <c r="AO1002" s="581"/>
      <c r="AP1002" s="1538" t="str">
        <f>IF(AP1000&gt;AP1001, "Yes","No")</f>
        <v>Yes</v>
      </c>
      <c r="AQ1002" s="1539"/>
      <c r="AR1002" s="1538" t="str">
        <f>IF(AR1000&gt;AR1001, "Yes","No")</f>
        <v>Yes</v>
      </c>
      <c r="AS1002" s="1538" t="str">
        <f>IF(AS1000&gt;AS1001, "Yes","No")</f>
        <v>Yes</v>
      </c>
      <c r="AT1002" s="1538" t="str">
        <f>IF(AT1000&gt;AT1001, "Yes","No")</f>
        <v>Yes</v>
      </c>
      <c r="AU1002" s="1538" t="str">
        <f>IF(AU1000&gt;AU1001, "Yes","No")</f>
        <v>Yes</v>
      </c>
      <c r="AV1002" s="1539"/>
      <c r="AW1002" s="1538" t="str">
        <f>IF(AW1000&gt;AW1001, "Yes","No")</f>
        <v>Yes</v>
      </c>
      <c r="AX1002" s="1538" t="str">
        <f>IF(AX1000&gt;AX1001, "Yes","No")</f>
        <v>Yes</v>
      </c>
      <c r="AY1002" s="1538" t="str">
        <f>IF(AY1000&gt;AY1001, "Yes","No")</f>
        <v>Yes</v>
      </c>
      <c r="AZ1002" s="1538" t="str">
        <f>IF(AZ1000&gt;AZ1001, "Yes","No")</f>
        <v>Yes</v>
      </c>
      <c r="BA1002" s="1539"/>
      <c r="BB1002" s="1538" t="str">
        <f>IF(BB1000&gt;BB1001, "Yes","No")</f>
        <v>Yes</v>
      </c>
      <c r="BC1002" s="1538" t="str">
        <f>IF(BC1000&gt;BC1001, "Yes","No")</f>
        <v>Yes</v>
      </c>
      <c r="BD1002" s="1538" t="str">
        <f>IF(BD1000&gt;BD1001, "Yes","No")</f>
        <v>Yes</v>
      </c>
      <c r="BE1002" s="1538" t="str">
        <f>IF(BE1000&gt;BE1001, "Yes","No")</f>
        <v>Yes</v>
      </c>
      <c r="BF1002" s="1539"/>
      <c r="BG1002" s="2943" t="str">
        <f>IF(BG1000&gt;BG1001, "Yes","No")</f>
        <v>Yes</v>
      </c>
      <c r="BH1002" s="1538" t="str">
        <f>IF(BH1000&gt;BH1001, "Yes","No")</f>
        <v>Yes</v>
      </c>
      <c r="BI1002" s="1538" t="str">
        <f>IF(BI1000&gt;BI1001, "Yes","No")</f>
        <v>Yes</v>
      </c>
      <c r="BJ1002" s="1910" t="str">
        <f>IF(BJ1000&gt;BJ1001, "Yes","No")</f>
        <v>Yes</v>
      </c>
      <c r="BK1002" s="1539"/>
      <c r="BL1002" s="1538" t="str">
        <f>IF(BL1000&gt;BL1001, "Yes","No")</f>
        <v>Yes</v>
      </c>
      <c r="BM1002" s="1538" t="str">
        <f>IF(BM1000&gt;BM1001, "Yes","No")</f>
        <v>Yes</v>
      </c>
      <c r="BN1002" s="1538" t="str">
        <f>IF(BN1000&gt;BN1001, "Yes","No")</f>
        <v>Yes</v>
      </c>
      <c r="BO1002" s="1910"/>
      <c r="BP1002" s="1539"/>
      <c r="BQ1002" s="1538"/>
      <c r="BR1002" s="1538"/>
      <c r="BS1002" s="1538"/>
      <c r="BT1002" s="1910"/>
      <c r="BU1002" s="3430"/>
      <c r="BV1002" s="1538"/>
      <c r="BW1002" s="1538"/>
      <c r="BX1002" s="1538"/>
      <c r="BY1002" s="1910"/>
      <c r="BZ1002" s="1539"/>
      <c r="CA1002" s="1539"/>
      <c r="CB1002" s="1539"/>
      <c r="CC1002" s="1539" t="str">
        <f>IF(CC1000&gt;CC1001, "Yes","No")</f>
        <v>Yes</v>
      </c>
      <c r="CD1002" s="1539" t="str">
        <f>IF(CD1000&gt;CD1001, "Yes","No")</f>
        <v>Yes</v>
      </c>
      <c r="CE1002" s="1539" t="str">
        <f>IF(CE1000&gt;CE1001, "Yes","No")</f>
        <v>Yes</v>
      </c>
      <c r="CF1002" s="1539" t="str">
        <f>IF(CF1000&gt;CF1001, "Yes","No")</f>
        <v>Yes</v>
      </c>
      <c r="CG1002" s="1539" t="str">
        <f>IF(CG1000&gt;CG1001, "Yes","No")</f>
        <v>Yes</v>
      </c>
      <c r="CH1002" s="581"/>
      <c r="CI1002" s="581"/>
      <c r="CJ1002" s="581"/>
      <c r="CK1002" s="581"/>
      <c r="CL1002" s="581"/>
      <c r="CM1002" s="581"/>
      <c r="CN1002" s="581"/>
      <c r="CO1002" s="581"/>
      <c r="CP1002" s="1909" t="str">
        <f t="shared" si="1822"/>
        <v>Compliance</v>
      </c>
      <c r="CQ1002" s="1538"/>
      <c r="CR1002" s="1538"/>
      <c r="CS1002" s="1538"/>
      <c r="CT1002" s="1538"/>
      <c r="CU1002" s="1538"/>
      <c r="CV1002" s="1538"/>
      <c r="CW1002" s="1538"/>
      <c r="CX1002" s="1538"/>
      <c r="CY1002" s="1538"/>
      <c r="CZ1002" s="1538"/>
      <c r="DA1002" s="1538"/>
      <c r="DB1002" s="1538"/>
      <c r="DC1002" s="1538">
        <f t="shared" si="1827"/>
        <v>0</v>
      </c>
      <c r="DD1002" s="1538">
        <f t="shared" si="1828"/>
        <v>0</v>
      </c>
      <c r="DE1002" s="1538">
        <f t="shared" si="1829"/>
        <v>0</v>
      </c>
      <c r="DF1002" s="1538">
        <f t="shared" si="1830"/>
        <v>0</v>
      </c>
      <c r="DG1002" s="1910">
        <f t="shared" si="1831"/>
        <v>0</v>
      </c>
      <c r="DH1002" s="856"/>
      <c r="DI1002" s="838"/>
      <c r="DJ1002" s="838"/>
      <c r="DK1002" s="838"/>
      <c r="DL1002" s="838"/>
      <c r="DM1002" s="838"/>
      <c r="DN1002" s="632"/>
      <c r="DO1002" s="312"/>
      <c r="DY1002" s="1538"/>
      <c r="DZ1002" s="1538"/>
    </row>
    <row r="1003" spans="1:130" ht="12" customHeight="1">
      <c r="A1003" s="1559"/>
      <c r="B1003" s="857"/>
      <c r="C1003" s="857"/>
      <c r="D1003" s="580"/>
      <c r="E1003" s="581"/>
      <c r="F1003" s="581"/>
      <c r="G1003" s="581"/>
      <c r="H1003" s="588"/>
      <c r="I1003" s="581"/>
      <c r="J1003" s="581"/>
      <c r="K1003" s="581"/>
      <c r="L1003" s="581"/>
      <c r="M1003" s="588"/>
      <c r="N1003" s="581"/>
      <c r="O1003" s="581"/>
      <c r="P1003" s="581"/>
      <c r="Q1003" s="581"/>
      <c r="R1003" s="588"/>
      <c r="S1003" s="581"/>
      <c r="T1003" s="581"/>
      <c r="U1003" s="581"/>
      <c r="V1003" s="581"/>
      <c r="W1003" s="588"/>
      <c r="X1003" s="581"/>
      <c r="Y1003" s="581"/>
      <c r="Z1003" s="581"/>
      <c r="AA1003" s="581"/>
      <c r="AB1003" s="588"/>
      <c r="AC1003" s="581"/>
      <c r="AD1003" s="581"/>
      <c r="AE1003" s="581"/>
      <c r="AF1003" s="581"/>
      <c r="AG1003" s="588"/>
      <c r="AH1003" s="581"/>
      <c r="AI1003" s="581"/>
      <c r="AJ1003" s="581"/>
      <c r="AK1003" s="581"/>
      <c r="AL1003" s="588"/>
      <c r="AM1003" s="581"/>
      <c r="AN1003" s="581"/>
      <c r="AO1003" s="581"/>
      <c r="AP1003" s="1538"/>
      <c r="AQ1003" s="1539"/>
      <c r="AR1003" s="1538"/>
      <c r="AS1003" s="1538"/>
      <c r="AT1003" s="1538"/>
      <c r="AU1003" s="1538"/>
      <c r="AV1003" s="1539"/>
      <c r="AW1003" s="1538"/>
      <c r="AX1003" s="1538"/>
      <c r="AY1003" s="1538"/>
      <c r="AZ1003" s="1538"/>
      <c r="BA1003" s="1539"/>
      <c r="BB1003" s="1538"/>
      <c r="BC1003" s="1538"/>
      <c r="BD1003" s="1538"/>
      <c r="BE1003" s="1538"/>
      <c r="BF1003" s="1539"/>
      <c r="BG1003" s="2943"/>
      <c r="BH1003" s="1538"/>
      <c r="BI1003" s="1538"/>
      <c r="BJ1003" s="1910"/>
      <c r="BK1003" s="1539"/>
      <c r="BL1003" s="1538"/>
      <c r="BM1003" s="1538"/>
      <c r="BN1003" s="1538"/>
      <c r="BO1003" s="1910"/>
      <c r="BP1003" s="1539"/>
      <c r="BQ1003" s="1538"/>
      <c r="BR1003" s="1538"/>
      <c r="BS1003" s="1538"/>
      <c r="BT1003" s="1910"/>
      <c r="BU1003" s="3430"/>
      <c r="BV1003" s="1538"/>
      <c r="BW1003" s="1538"/>
      <c r="BX1003" s="1538"/>
      <c r="BY1003" s="1910"/>
      <c r="BZ1003" s="1539"/>
      <c r="CA1003" s="1539"/>
      <c r="CB1003" s="1539"/>
      <c r="CC1003" s="1539"/>
      <c r="CD1003" s="1539"/>
      <c r="CE1003" s="1539"/>
      <c r="CF1003" s="1539"/>
      <c r="CG1003" s="1539"/>
      <c r="CH1003" s="581"/>
      <c r="CI1003" s="581"/>
      <c r="CJ1003" s="581"/>
      <c r="CK1003" s="581"/>
      <c r="CL1003" s="581"/>
      <c r="CM1003" s="581"/>
      <c r="CN1003" s="581"/>
      <c r="CO1003" s="581"/>
      <c r="CP1003" s="1909"/>
      <c r="CQ1003" s="1538"/>
      <c r="CR1003" s="1538"/>
      <c r="CS1003" s="1538"/>
      <c r="CT1003" s="1538"/>
      <c r="CU1003" s="1538"/>
      <c r="CV1003" s="1538"/>
      <c r="CW1003" s="1538"/>
      <c r="CX1003" s="1538"/>
      <c r="CY1003" s="1538"/>
      <c r="CZ1003" s="1538"/>
      <c r="DA1003" s="1538"/>
      <c r="DB1003" s="1538"/>
      <c r="DC1003" s="1538"/>
      <c r="DD1003" s="1538"/>
      <c r="DE1003" s="1538"/>
      <c r="DF1003" s="1538"/>
      <c r="DG1003" s="1910"/>
      <c r="DH1003" s="856"/>
      <c r="DI1003" s="838"/>
      <c r="DJ1003" s="838"/>
      <c r="DK1003" s="838"/>
      <c r="DL1003" s="838"/>
      <c r="DM1003" s="838"/>
      <c r="DN1003" s="632"/>
      <c r="DO1003" s="312"/>
      <c r="DY1003" s="1538"/>
      <c r="DZ1003" s="1538"/>
    </row>
    <row r="1004" spans="1:130" ht="12" customHeight="1">
      <c r="A1004" s="837" t="s">
        <v>698</v>
      </c>
      <c r="B1004" s="857"/>
      <c r="C1004" s="857"/>
      <c r="D1004" s="580"/>
      <c r="E1004" s="581"/>
      <c r="F1004" s="581"/>
      <c r="G1004" s="581"/>
      <c r="H1004" s="588"/>
      <c r="I1004" s="581"/>
      <c r="J1004" s="581"/>
      <c r="K1004" s="581"/>
      <c r="L1004" s="581"/>
      <c r="M1004" s="588"/>
      <c r="N1004" s="581"/>
      <c r="O1004" s="581"/>
      <c r="P1004" s="581"/>
      <c r="Q1004" s="581"/>
      <c r="R1004" s="588"/>
      <c r="S1004" s="581"/>
      <c r="T1004" s="581"/>
      <c r="U1004" s="581"/>
      <c r="V1004" s="581"/>
      <c r="W1004" s="588"/>
      <c r="X1004" s="581"/>
      <c r="Y1004" s="581"/>
      <c r="Z1004" s="581"/>
      <c r="AA1004" s="581"/>
      <c r="AB1004" s="588"/>
      <c r="AC1004" s="581"/>
      <c r="AD1004" s="581"/>
      <c r="AE1004" s="581"/>
      <c r="AF1004" s="581"/>
      <c r="AG1004" s="588"/>
      <c r="AH1004" s="581"/>
      <c r="AI1004" s="581"/>
      <c r="AJ1004" s="581"/>
      <c r="AK1004" s="581"/>
      <c r="AL1004" s="588"/>
      <c r="AM1004" s="581"/>
      <c r="AN1004" s="581"/>
      <c r="AO1004" s="581"/>
      <c r="AP1004" s="581"/>
      <c r="AQ1004" s="588"/>
      <c r="AR1004" s="581"/>
      <c r="AS1004" s="581"/>
      <c r="AT1004" s="581"/>
      <c r="AU1004" s="581"/>
      <c r="AV1004" s="588"/>
      <c r="AW1004" s="581"/>
      <c r="AX1004" s="581"/>
      <c r="AY1004" s="581"/>
      <c r="AZ1004" s="581"/>
      <c r="BA1004" s="588"/>
      <c r="BB1004" s="581"/>
      <c r="BC1004" s="581"/>
      <c r="BD1004" s="581"/>
      <c r="BE1004" s="581"/>
      <c r="BF1004" s="588"/>
      <c r="BG1004" s="580"/>
      <c r="BH1004" s="581"/>
      <c r="BI1004" s="581"/>
      <c r="BJ1004" s="869"/>
      <c r="BK1004" s="588"/>
      <c r="BL1004" s="581"/>
      <c r="BM1004" s="581"/>
      <c r="BN1004" s="581"/>
      <c r="BO1004" s="869"/>
      <c r="BP1004" s="588"/>
      <c r="BQ1004" s="581"/>
      <c r="BR1004" s="581"/>
      <c r="BS1004" s="581"/>
      <c r="BT1004" s="869"/>
      <c r="BU1004" s="3376"/>
      <c r="BV1004" s="581"/>
      <c r="BW1004" s="581"/>
      <c r="BX1004" s="581"/>
      <c r="BY1004" s="869"/>
      <c r="BZ1004" s="588"/>
      <c r="CA1004" s="588"/>
      <c r="CB1004" s="588"/>
      <c r="CC1004" s="588"/>
      <c r="CD1004" s="588"/>
      <c r="CE1004" s="588"/>
      <c r="CF1004" s="588"/>
      <c r="CG1004" s="588"/>
      <c r="CH1004" s="581"/>
      <c r="CI1004" s="581"/>
      <c r="CJ1004" s="581"/>
      <c r="CK1004" s="581"/>
      <c r="CL1004" s="581"/>
      <c r="CM1004" s="581"/>
      <c r="CN1004" s="581"/>
      <c r="CO1004" s="581"/>
      <c r="CP1004" s="1907" t="str">
        <f t="shared" si="1822"/>
        <v>Credit Metrics</v>
      </c>
      <c r="CQ1004" s="581"/>
      <c r="CR1004" s="581"/>
      <c r="CS1004" s="581"/>
      <c r="CT1004" s="581"/>
      <c r="CU1004" s="581"/>
      <c r="CV1004" s="581"/>
      <c r="CW1004" s="581"/>
      <c r="CX1004" s="581"/>
      <c r="CY1004" s="581"/>
      <c r="CZ1004" s="581"/>
      <c r="DA1004" s="581"/>
      <c r="DB1004" s="581"/>
      <c r="DC1004" s="581"/>
      <c r="DD1004" s="581"/>
      <c r="DE1004" s="581"/>
      <c r="DF1004" s="581"/>
      <c r="DG1004" s="869"/>
      <c r="DH1004" s="856"/>
      <c r="DI1004" s="838"/>
      <c r="DJ1004" s="838"/>
      <c r="DK1004" s="838"/>
      <c r="DL1004" s="838"/>
      <c r="DM1004" s="838"/>
      <c r="DN1004" s="632"/>
      <c r="DO1004" s="312"/>
      <c r="DY1004" s="581"/>
      <c r="DZ1004" s="581"/>
    </row>
    <row r="1005" spans="1:130" ht="12" customHeight="1">
      <c r="A1005" s="896" t="s">
        <v>348</v>
      </c>
      <c r="B1005" s="857"/>
      <c r="C1005" s="857"/>
      <c r="D1005" s="580"/>
      <c r="E1005" s="581"/>
      <c r="F1005" s="581"/>
      <c r="G1005" s="581"/>
      <c r="H1005" s="588"/>
      <c r="I1005" s="581"/>
      <c r="J1005" s="581"/>
      <c r="K1005" s="581"/>
      <c r="L1005" s="581"/>
      <c r="M1005" s="588"/>
      <c r="N1005" s="581"/>
      <c r="O1005" s="581"/>
      <c r="P1005" s="581"/>
      <c r="Q1005" s="581"/>
      <c r="R1005" s="588"/>
      <c r="S1005" s="581"/>
      <c r="T1005" s="581"/>
      <c r="U1005" s="581"/>
      <c r="V1005" s="581"/>
      <c r="W1005" s="588"/>
      <c r="X1005" s="581"/>
      <c r="Y1005" s="581"/>
      <c r="Z1005" s="581"/>
      <c r="AA1005" s="581"/>
      <c r="AB1005" s="588"/>
      <c r="AC1005" s="581"/>
      <c r="AD1005" s="581"/>
      <c r="AE1005" s="581"/>
      <c r="AF1005" s="581"/>
      <c r="AG1005" s="588"/>
      <c r="AH1005" s="581"/>
      <c r="AI1005" s="581"/>
      <c r="AJ1005" s="581"/>
      <c r="AK1005" s="581"/>
      <c r="AL1005" s="588"/>
      <c r="AM1005" s="1543">
        <f>(AM979-AM978)/(AM927+AK927+AJ927+AI927)</f>
        <v>4.776233981237354</v>
      </c>
      <c r="AN1005" s="1543">
        <f>(AN979-AN978)/(AN927+AM927+AK927+AJ927)</f>
        <v>5.0381958220761147</v>
      </c>
      <c r="AO1005" s="1543">
        <f>(AO979-AO978)/(AO927+AN927+AM927+AK927)</f>
        <v>5.0147660742966691</v>
      </c>
      <c r="AP1005" s="1543">
        <f>(AP979-AP978)/(AP927+AO927+AN927+AM927)</f>
        <v>4.9669973883735201</v>
      </c>
      <c r="AQ1005" s="588"/>
      <c r="AR1005" s="1543">
        <f>(AR979-AR978)/(AR927+AP927+AO927+AN927)</f>
        <v>4.7158185051228392</v>
      </c>
      <c r="AS1005" s="1543">
        <f>(AS979-AS978)/(AS927+AR927+AP927+AO927)</f>
        <v>4.9663820704375672</v>
      </c>
      <c r="AT1005" s="1543">
        <f>(AT979-AT978)/(AT927+AS927+AR927+AP927)</f>
        <v>5.4883118174200796</v>
      </c>
      <c r="AU1005" s="1543">
        <f>(AU979-AU978)/(AU927+AT927+AS927+AR927)</f>
        <v>6.5917367665162088</v>
      </c>
      <c r="AV1005" s="1542">
        <f>(AV979-AV978)/AV927</f>
        <v>6.5917367665162079</v>
      </c>
      <c r="AW1005" s="1543">
        <f>(AW979-AW978)/(AW927+AU927+AT927+AS927)</f>
        <v>7.2212863849765263</v>
      </c>
      <c r="AX1005" s="1543">
        <f>(AX979-AX978)/(AX927+AW927+AU927+AT927)</f>
        <v>7.3550553989885348</v>
      </c>
      <c r="AY1005" s="1543">
        <f>(AY979-AY978)/(AY927+AX927+AW927+AU927)</f>
        <v>6.2697896520444312</v>
      </c>
      <c r="AZ1005" s="1543">
        <f>(AZ979-AZ978)/(AZ927+AY927+AX927+AW927)</f>
        <v>6.5072083329838897</v>
      </c>
      <c r="BA1005" s="1542">
        <f>(BA979-BA978)/BA927</f>
        <v>6.5072083329838897</v>
      </c>
      <c r="BB1005" s="1543">
        <f>(BB979-BB978)/(BB927+AZ927+AY927+AX927)</f>
        <v>7.0117183989647556</v>
      </c>
      <c r="BC1005" s="1543">
        <f>(BC979-BC978)/(BC927+BB927+AZ927+AY927)</f>
        <v>6.1245268946036235</v>
      </c>
      <c r="BD1005" s="1543">
        <f>(BD979-BD978)/(BD927+BC927+BB927+AZ927)</f>
        <v>5.4995965079597973</v>
      </c>
      <c r="BE1005" s="1543">
        <f>(BE979-BE978)/(BE927+BD927+BC927+BB927)</f>
        <v>4.7252403137122876</v>
      </c>
      <c r="BF1005" s="1542">
        <f>(BF979-BF978)/BF927</f>
        <v>4.7252403137122885</v>
      </c>
      <c r="BG1005" s="2944">
        <f>(BG979-BG978)/(BG927+BE927+BD927+BC927)</f>
        <v>4.0649843654447482</v>
      </c>
      <c r="BH1005" s="1543">
        <f>(BH979-BH978)/(BH927+BG927+BE927+BD927)</f>
        <v>3.8553488186325686</v>
      </c>
      <c r="BI1005" s="1543">
        <f>(BI979-BI978)/(BI927+BH927+BG927+BE927)</f>
        <v>3.3385812187442112</v>
      </c>
      <c r="BJ1005" s="1911">
        <f>(BJ979-BJ978)/(BJ927+BI927+BH927+BG927)</f>
        <v>3.2004505607522407</v>
      </c>
      <c r="BK1005" s="1542">
        <f>(BK979-BK978)/BK927</f>
        <v>3.0260289589353082</v>
      </c>
      <c r="BL1005" s="1543">
        <f>(BL979-BL978)/(BL927+BJ927+BI927+BH927)</f>
        <v>2.9367028814359948</v>
      </c>
      <c r="BM1005" s="1543">
        <f>(BM979-BM978)/(BM927+BL927+BJ927+BI927)</f>
        <v>2.5081601853151767</v>
      </c>
      <c r="BN1005" s="1543">
        <f>(BN979-BN978)/(BN927+BM927+BL927+BJ927)</f>
        <v>1.5288250784138349</v>
      </c>
      <c r="BO1005" s="1911"/>
      <c r="BP1005" s="1542"/>
      <c r="BQ1005" s="1543"/>
      <c r="BR1005" s="1543"/>
      <c r="BS1005" s="1543"/>
      <c r="BT1005" s="1911"/>
      <c r="BU1005" s="3431"/>
      <c r="BV1005" s="1543"/>
      <c r="BW1005" s="1543"/>
      <c r="BX1005" s="1543"/>
      <c r="BY1005" s="1911"/>
      <c r="BZ1005" s="1560"/>
      <c r="CA1005" s="1560"/>
      <c r="CB1005" s="1560"/>
      <c r="CC1005" s="1560">
        <f>(CC979-CC978)/(CC927)</f>
        <v>-0.22635612954041978</v>
      </c>
      <c r="CD1005" s="1560">
        <f>(CD979-CD978)/(CD927)</f>
        <v>-0.42390764113772672</v>
      </c>
      <c r="CE1005" s="1560">
        <f>(CE979-CE978)/(CE927)</f>
        <v>-0.61720163944402562</v>
      </c>
      <c r="CF1005" s="1560">
        <f>(CF979-CF978)/(CF927)</f>
        <v>-0.82236034537493763</v>
      </c>
      <c r="CG1005" s="1560">
        <f>(CG979-CG978)/(CG927)</f>
        <v>-1.0388441610158088</v>
      </c>
      <c r="CH1005" s="581"/>
      <c r="CI1005" s="581"/>
      <c r="CJ1005" s="581"/>
      <c r="CK1005" s="581"/>
      <c r="CL1005" s="581"/>
      <c r="CM1005" s="581"/>
      <c r="CN1005" s="581"/>
      <c r="CO1005" s="581"/>
      <c r="CP1005" s="1882" t="str">
        <f t="shared" si="1822"/>
        <v>Net Debt / EBITDA</v>
      </c>
      <c r="CQ1005" s="1543"/>
      <c r="CR1005" s="1543"/>
      <c r="CS1005" s="1543"/>
      <c r="CT1005" s="1543"/>
      <c r="CU1005" s="1543"/>
      <c r="CV1005" s="1543"/>
      <c r="CW1005" s="1543"/>
      <c r="CX1005" s="1543"/>
      <c r="CY1005" s="1543">
        <f>AV1005</f>
        <v>6.5917367665162079</v>
      </c>
      <c r="CZ1005" s="1543">
        <f>BA1005</f>
        <v>6.5072083329838897</v>
      </c>
      <c r="DA1005" s="1543">
        <f>BF1005</f>
        <v>4.7252403137122885</v>
      </c>
      <c r="DB1005" s="1543">
        <f>BK1005</f>
        <v>3.0260289589353082</v>
      </c>
      <c r="DC1005" s="1543">
        <f t="shared" si="1827"/>
        <v>0</v>
      </c>
      <c r="DD1005" s="1543">
        <f t="shared" si="1828"/>
        <v>0</v>
      </c>
      <c r="DE1005" s="1543">
        <f t="shared" si="1829"/>
        <v>0</v>
      </c>
      <c r="DF1005" s="1543">
        <f t="shared" si="1830"/>
        <v>0</v>
      </c>
      <c r="DG1005" s="1911">
        <f t="shared" si="1831"/>
        <v>0</v>
      </c>
      <c r="DH1005" s="856"/>
      <c r="DI1005" s="838"/>
      <c r="DJ1005" s="838"/>
      <c r="DK1005" s="838"/>
      <c r="DL1005" s="838"/>
      <c r="DM1005" s="838"/>
      <c r="DN1005" s="632"/>
      <c r="DO1005" s="312"/>
      <c r="DY1005" s="3481"/>
      <c r="DZ1005" s="3481"/>
    </row>
    <row r="1006" spans="1:130" ht="12" customHeight="1">
      <c r="A1006" s="633" t="s">
        <v>346</v>
      </c>
      <c r="B1006" s="545"/>
      <c r="C1006" s="545"/>
      <c r="D1006" s="864"/>
      <c r="E1006" s="860"/>
      <c r="F1006" s="860"/>
      <c r="G1006" s="860"/>
      <c r="H1006" s="1542">
        <f>H979/H927</f>
        <v>1.9743281671127766</v>
      </c>
      <c r="I1006" s="1543">
        <f>I979/(I927+G927+F927+E927)</f>
        <v>1.6622048531905556</v>
      </c>
      <c r="J1006" s="1543">
        <f>J979/(J927+I927+G927+F927)</f>
        <v>1.5461479335422459</v>
      </c>
      <c r="K1006" s="1543">
        <f>K979/(K927+J927+I927+G927)</f>
        <v>1.3116188000032099</v>
      </c>
      <c r="L1006" s="1543">
        <f>L979/(L927+K927+J927+I927)</f>
        <v>1.357385176416376</v>
      </c>
      <c r="M1006" s="1542">
        <f>M979/M927</f>
        <v>1.3573851764163765</v>
      </c>
      <c r="N1006" s="1543">
        <f>N979/(N927+L927+K927+J927)</f>
        <v>1.4481053922416607</v>
      </c>
      <c r="O1006" s="1543">
        <f>O979/(O927+N927+L927+K927)</f>
        <v>1.8206478011999723</v>
      </c>
      <c r="P1006" s="1543">
        <f>P979/(P927+O927+N927+L927)</f>
        <v>1.9453629472502103</v>
      </c>
      <c r="Q1006" s="1543">
        <f>Q979/(Q927+P927+O927+N927)</f>
        <v>2.2452259597672994</v>
      </c>
      <c r="R1006" s="1542">
        <f>R979/R927</f>
        <v>2.2452259597672986</v>
      </c>
      <c r="S1006" s="1543">
        <f>S979/(S927+Q927+P927+O927)</f>
        <v>2.292171372207525</v>
      </c>
      <c r="T1006" s="1543">
        <f>T979/(T927+S927+Q927+P927)</f>
        <v>2.6179564802890165</v>
      </c>
      <c r="U1006" s="1543">
        <f>U979/(U927+T927+S927+Q927)</f>
        <v>2.7240634604203011</v>
      </c>
      <c r="V1006" s="1543">
        <f>V979/(V927+U927+T927+S927)</f>
        <v>2.9898724122523959</v>
      </c>
      <c r="W1006" s="1542">
        <f>W979/W927</f>
        <v>2.9898724122523967</v>
      </c>
      <c r="X1006" s="1543">
        <f>X979/(X927+V927+U927+T927)</f>
        <v>3.1773402137667834</v>
      </c>
      <c r="Y1006" s="1543">
        <f>Y979/(Y927+X927+V927+U927)</f>
        <v>3.2834770367763499</v>
      </c>
      <c r="Z1006" s="1543">
        <f>Z979/(Z927+Y927+X927+V927)</f>
        <v>3.2767092124523338</v>
      </c>
      <c r="AA1006" s="1543">
        <f>AA979/(AA927+Z927+Y927+X927)</f>
        <v>3.7562900738576408</v>
      </c>
      <c r="AB1006" s="1542">
        <f>AB979/AB927</f>
        <v>3.7562900738576399</v>
      </c>
      <c r="AC1006" s="1543">
        <f>AC979/(AC927+AA927+Z927+Y927)</f>
        <v>3.7308897844303717</v>
      </c>
      <c r="AD1006" s="1543">
        <f>AD979/(AD927+AC927+AA927+Z927)</f>
        <v>3.5065526526147508</v>
      </c>
      <c r="AE1006" s="1543">
        <f>AE979/(AE927+AD927+AC927+AA927)</f>
        <v>3.0065225409111345</v>
      </c>
      <c r="AF1006" s="1543">
        <f>AF979/(AF927+AE927+AD927+AC927)</f>
        <v>3.4383407788160425</v>
      </c>
      <c r="AG1006" s="1542">
        <f>AG979/AG927</f>
        <v>3.4383407788160421</v>
      </c>
      <c r="AH1006" s="1543">
        <f>AH979/(AH927+AF927+AE927+AD927)</f>
        <v>3.321739130434783</v>
      </c>
      <c r="AI1006" s="1543">
        <f>AI979/(AI927+AH927+AF927+AE927)</f>
        <v>3.3887903818708645</v>
      </c>
      <c r="AJ1006" s="1543">
        <f>AJ979/(AJ927+AI927+AH927+AF927)</f>
        <v>4.7789733556921927</v>
      </c>
      <c r="AK1006" s="1543">
        <f>AK979/(AK927+AJ927+AI927+AH927)</f>
        <v>4.8728109783089852</v>
      </c>
      <c r="AL1006" s="1542">
        <f>AL979/AL927</f>
        <v>4.8728109783089835</v>
      </c>
      <c r="AM1006" s="1543">
        <f>AM979/(AM927+AK927+AJ927+AI927)</f>
        <v>4.9295235759396663</v>
      </c>
      <c r="AN1006" s="1543">
        <f>AN979/(AN927+AM927+AK927+AJ927)</f>
        <v>5.1641507176280168</v>
      </c>
      <c r="AO1006" s="1543">
        <f>AO979/(AO927+AN927+AM927+AK927)</f>
        <v>5.2231749650277193</v>
      </c>
      <c r="AP1006" s="1543">
        <f>AP979/(AP927+AO927+AN927+AM927)</f>
        <v>5.2592972005640615</v>
      </c>
      <c r="AQ1006" s="1542">
        <f>AQ979/AQ927</f>
        <v>5.2592972005640606</v>
      </c>
      <c r="AR1006" s="1543">
        <f>AR979/(AR927+AP927+AO927+AN927)</f>
        <v>4.923248134125247</v>
      </c>
      <c r="AS1006" s="1543">
        <f>AS979/(AS927+AR927+AP927+AO927)</f>
        <v>5.1818112517152013</v>
      </c>
      <c r="AT1006" s="1543">
        <f>AT979/(AT927+AS927+AR927+AP927)</f>
        <v>5.7176941757914026</v>
      </c>
      <c r="AU1006" s="1543">
        <f>AU979/(AU927+AT927+AS927+AR927)</f>
        <v>6.8834632745178501</v>
      </c>
      <c r="AV1006" s="1542">
        <f>AV979/AV927</f>
        <v>6.8834632745178492</v>
      </c>
      <c r="AW1006" s="1543">
        <f>AW979/(AW927+AU927+AT927+AS927)</f>
        <v>7.563380281690141</v>
      </c>
      <c r="AX1006" s="1543">
        <f>AX979/(AX927+AW927+AU927+AT927)</f>
        <v>7.6815426784542336</v>
      </c>
      <c r="AY1006" s="1543">
        <f>AY979/(AY927+AX927+AW927+AU927)</f>
        <v>6.5723039005939032</v>
      </c>
      <c r="AZ1006" s="1543">
        <f>AZ979/(AZ927+AY927+AX927+AW927)</f>
        <v>6.8217080268708541</v>
      </c>
      <c r="BA1006" s="1542">
        <f>BA979/BA927</f>
        <v>6.8217080268708541</v>
      </c>
      <c r="BB1006" s="1543">
        <f>BB979/(BB927+AZ927+AY927+AX927)</f>
        <v>7.2723269648987223</v>
      </c>
      <c r="BC1006" s="1543">
        <f>BC979/(BC927+BB927+AZ927+AY927)</f>
        <v>6.3850383641860216</v>
      </c>
      <c r="BD1006" s="1543">
        <f>BD979/(BD927+BC927+BB927+AZ927)</f>
        <v>5.6969407967133732</v>
      </c>
      <c r="BE1006" s="1543">
        <f>BE979/(BE927+BD927+BC927+BB927)</f>
        <v>4.9793209579686444</v>
      </c>
      <c r="BF1006" s="1542">
        <f>BF979/BF927</f>
        <v>4.9793209579686453</v>
      </c>
      <c r="BG1006" s="2944">
        <f>BG979/(BG927+BE927+BD927+BC927)</f>
        <v>4.229406809973808</v>
      </c>
      <c r="BH1006" s="1543">
        <f>BH979/(BH927+BG927+BE927+BD927)</f>
        <v>4.0556192693266686</v>
      </c>
      <c r="BI1006" s="1543">
        <f>BI979/(BI927+BH927+BG927+BE927)</f>
        <v>3.4831553168282188</v>
      </c>
      <c r="BJ1006" s="1911">
        <f>BJ979/(BJ927+BI927+BH927+BG927)</f>
        <v>3.416425877858857</v>
      </c>
      <c r="BK1006" s="1542">
        <f>BK979/BK927</f>
        <v>3.4164258778588601</v>
      </c>
      <c r="BL1006" s="1543">
        <f>BL979/(BL927+BJ927+BI927+BH927)</f>
        <v>3.0774681152574401</v>
      </c>
      <c r="BM1006" s="1543">
        <f>BM979/(BM927+BL927+BJ927+BI927)</f>
        <v>2.6454794328232487</v>
      </c>
      <c r="BN1006" s="1543">
        <f>BN979/(BN927+BM927+BL927+BJ927)</f>
        <v>2.0401938054061595</v>
      </c>
      <c r="BO1006" s="1911"/>
      <c r="BP1006" s="1542"/>
      <c r="BQ1006" s="1543"/>
      <c r="BR1006" s="1543"/>
      <c r="BS1006" s="1543"/>
      <c r="BT1006" s="1911"/>
      <c r="BU1006" s="3431"/>
      <c r="BV1006" s="1543"/>
      <c r="BW1006" s="1543"/>
      <c r="BX1006" s="1543"/>
      <c r="BY1006" s="1911"/>
      <c r="BZ1006" s="1560"/>
      <c r="CA1006" s="1560"/>
      <c r="CB1006" s="1560"/>
      <c r="CC1006" s="1560">
        <f>CC979/(CC927)</f>
        <v>0</v>
      </c>
      <c r="CD1006" s="1560">
        <f>CD979/(CD927)</f>
        <v>0</v>
      </c>
      <c r="CE1006" s="1560">
        <f>CE979/(CE927)</f>
        <v>0</v>
      </c>
      <c r="CF1006" s="1560">
        <f>CF979/(CF927)</f>
        <v>0</v>
      </c>
      <c r="CG1006" s="1560">
        <f>CG979/(CG927)</f>
        <v>0</v>
      </c>
      <c r="CH1006" s="865"/>
      <c r="CI1006" s="865"/>
      <c r="CJ1006" s="865"/>
      <c r="CK1006" s="865"/>
      <c r="CL1006" s="865"/>
      <c r="CM1006" s="865"/>
      <c r="CN1006" s="865"/>
      <c r="CO1006" s="865"/>
      <c r="CP1006" s="90" t="str">
        <f t="shared" si="1822"/>
        <v>Debt / EBITDA</v>
      </c>
      <c r="CQ1006" s="1543">
        <f>H1006</f>
        <v>1.9743281671127766</v>
      </c>
      <c r="CR1006" s="1543">
        <f>M1006</f>
        <v>1.3573851764163765</v>
      </c>
      <c r="CS1006" s="1543">
        <f>R1006</f>
        <v>2.2452259597672986</v>
      </c>
      <c r="CT1006" s="1543">
        <f>W1006</f>
        <v>2.9898724122523967</v>
      </c>
      <c r="CU1006" s="1543">
        <f>AB1006</f>
        <v>3.7562900738576399</v>
      </c>
      <c r="CV1006" s="1543">
        <f>AG1006</f>
        <v>3.4383407788160421</v>
      </c>
      <c r="CW1006" s="1543">
        <f t="shared" si="1824"/>
        <v>4.8728109783089835</v>
      </c>
      <c r="CX1006" s="1543">
        <f t="shared" si="1825"/>
        <v>5.2592972005640606</v>
      </c>
      <c r="CY1006" s="1543">
        <f>AV1006</f>
        <v>6.8834632745178492</v>
      </c>
      <c r="CZ1006" s="1543">
        <f>BA1006</f>
        <v>6.8217080268708541</v>
      </c>
      <c r="DA1006" s="1543">
        <f>BF1006</f>
        <v>4.9793209579686453</v>
      </c>
      <c r="DB1006" s="1543">
        <f>BK1006</f>
        <v>3.4164258778588601</v>
      </c>
      <c r="DC1006" s="1543">
        <f t="shared" si="1827"/>
        <v>0</v>
      </c>
      <c r="DD1006" s="1543">
        <f t="shared" si="1828"/>
        <v>0</v>
      </c>
      <c r="DE1006" s="1543">
        <f t="shared" si="1829"/>
        <v>0</v>
      </c>
      <c r="DF1006" s="1543">
        <f t="shared" si="1830"/>
        <v>0</v>
      </c>
      <c r="DG1006" s="1911">
        <f t="shared" si="1831"/>
        <v>0</v>
      </c>
      <c r="DH1006" s="863"/>
      <c r="DI1006" s="573"/>
      <c r="DJ1006" s="573"/>
      <c r="DK1006" s="573"/>
      <c r="DL1006" s="573"/>
      <c r="DM1006" s="573"/>
      <c r="DN1006" s="551"/>
      <c r="DO1006" s="266"/>
      <c r="DY1006" s="3481"/>
      <c r="DZ1006" s="3481"/>
    </row>
    <row r="1007" spans="1:130" ht="12" customHeight="1">
      <c r="A1007" s="633" t="s">
        <v>347</v>
      </c>
      <c r="B1007" s="545"/>
      <c r="C1007" s="545"/>
      <c r="D1007" s="864"/>
      <c r="E1007" s="860"/>
      <c r="F1007" s="860"/>
      <c r="G1007" s="860"/>
      <c r="H1007" s="1542"/>
      <c r="I1007" s="1543">
        <f>-(I927+G927+F927+E927)/(I941+G941+F941+E941)</f>
        <v>7.6373019525343482</v>
      </c>
      <c r="J1007" s="1543">
        <f>-(J927+I927+G927+F927)/(J941+I941+G941+F941)</f>
        <v>8.3843348323359645</v>
      </c>
      <c r="K1007" s="1543">
        <f>-(K927+J927+I927+G927)/(K941+J941+I941+G941)</f>
        <v>9.5142006413192846</v>
      </c>
      <c r="L1007" s="1543">
        <f>-(L927+K927+J927+I927)/(L941+K941+J941+I941)</f>
        <v>10.176004527447651</v>
      </c>
      <c r="M1007" s="1542">
        <f>L1007</f>
        <v>10.176004527447651</v>
      </c>
      <c r="N1007" s="1543">
        <f>-(N927+L927+K927+J927)/(N941+L941+K941+J941)</f>
        <v>11.39035817497154</v>
      </c>
      <c r="O1007" s="1543">
        <f>-(O927+N927+L927+K927)/(O941+N941+L941+K941)</f>
        <v>12.808853118712276</v>
      </c>
      <c r="P1007" s="1543">
        <f>-(P927+O927+N927+L927)/(P941+O941+N941+L941)</f>
        <v>11.909905726094831</v>
      </c>
      <c r="Q1007" s="1543">
        <f>-(Q927+P927+O927+N927)/(Q941+P941+O941+N941)</f>
        <v>10.614627648145762</v>
      </c>
      <c r="R1007" s="1542">
        <f>Q1007</f>
        <v>10.614627648145762</v>
      </c>
      <c r="S1007" s="1543">
        <f>-(S927+Q927+P927+O927)/(S941+Q941+P941+O941)</f>
        <v>9.0135778587902688</v>
      </c>
      <c r="T1007" s="1543">
        <f>-(T927+S927+Q927+P927)/(T941+S941+Q941+P941)</f>
        <v>7.858184924755208</v>
      </c>
      <c r="U1007" s="1543">
        <f>-(U927+T927+S927+Q927)/(U941+T941+S941+Q941)</f>
        <v>7.7613383618605543</v>
      </c>
      <c r="V1007" s="1543">
        <f>-(V927+U927+T927+S927)/(V941+U941+T941+S941)</f>
        <v>7.7487978457395643</v>
      </c>
      <c r="W1007" s="1542">
        <f>V1007</f>
        <v>7.7487978457395643</v>
      </c>
      <c r="X1007" s="1543">
        <f>-(X927+V927+U927+T927)/(X941+V941+U941+T941)</f>
        <v>7.8981574203885438</v>
      </c>
      <c r="Y1007" s="1543">
        <f>-(Y927+X927+V927+U927)/(Y941+X941+V941+U941)</f>
        <v>8.1579041808720625</v>
      </c>
      <c r="Z1007" s="1543">
        <f>-(Z927+Y927+X927+V927)/(Z941+Y941+X941+V941)</f>
        <v>7.4879223680536171</v>
      </c>
      <c r="AA1007" s="1543">
        <f>-(AA927+Z927+Y927+X927)/(AA941+Z941+Y941+X941)</f>
        <v>6.7863265516885267</v>
      </c>
      <c r="AB1007" s="1542">
        <f>AA1007</f>
        <v>6.7863265516885267</v>
      </c>
      <c r="AC1007" s="1543">
        <f>-(AC927+AA927+Z927+Y927)/(AC941+AA941+Z941+Y941)</f>
        <v>6.1319909783283757</v>
      </c>
      <c r="AD1007" s="1543">
        <f>-(AD927+AC927+AA927+Z927)/(AD941+AC941+AA941+Z941)</f>
        <v>5.885236768802228</v>
      </c>
      <c r="AE1007" s="1543">
        <f>-(AE927+AD927+AC927+AA927)/(AE941+AD941+AC941+AA941)</f>
        <v>6.5884095599494037</v>
      </c>
      <c r="AF1007" s="1543">
        <f>-(AF927+AE927+AD927+AC927)/(AF941+AE941+AD941+AC941)</f>
        <v>7.146539879962396</v>
      </c>
      <c r="AG1007" s="1542">
        <f>AF1007</f>
        <v>7.146539879962396</v>
      </c>
      <c r="AH1007" s="1543">
        <f>-(AH927+AF927+AE927+AD927)/(AH941+AF941+AE941+AD941)</f>
        <v>7.5294631165429937</v>
      </c>
      <c r="AI1007" s="1543">
        <f>-(AI927+AH927+AF927+AE927)/(AI941+AH941+AF941+AE941)</f>
        <v>7.924942164338959</v>
      </c>
      <c r="AJ1007" s="1543">
        <f>-(AJ927+AI927+AH927+AF927)/(AJ941+AI941+AH941+AF941)</f>
        <v>5.0226355500965081</v>
      </c>
      <c r="AK1007" s="1543">
        <f>-(AK927+AJ927+AI927+AH927)/(AK941+AJ941+AI941+AH941)</f>
        <v>3.3751344675086661</v>
      </c>
      <c r="AL1007" s="1542">
        <f>AK1007</f>
        <v>3.3751344675086661</v>
      </c>
      <c r="AM1007" s="1543">
        <f>-(AM927+AK927+AJ927+AI927)/(AM941+AK941+AJ941+AI941)</f>
        <v>2.6331595007830537</v>
      </c>
      <c r="AN1007" s="1543">
        <f>-(AN927+AM927+AK927+AJ927)/(AN941+AM941+AK941+AJ941)</f>
        <v>2.0441958366054305</v>
      </c>
      <c r="AO1007" s="1543">
        <f>-(AO927+AN927+AM927+AK927)/(AO941+AN941+AM941+AK941)</f>
        <v>1.8969740899541749</v>
      </c>
      <c r="AP1007" s="1543">
        <f>-(AP927+AO927+AN927+AM927)/(AP941+AO941+AN941+AM941)</f>
        <v>1.9447942543719405</v>
      </c>
      <c r="AQ1007" s="1542">
        <f>AP1007</f>
        <v>1.9447942543719405</v>
      </c>
      <c r="AR1007" s="1543">
        <f>-(AR927+AP927+AO927+AN927)/(AR941+AP941+AO941+AN941)</f>
        <v>1.9563617431637734</v>
      </c>
      <c r="AS1007" s="1543">
        <f>-(AS927+AR927+AP927+AO927)/(AS941+AR941+AP941+AO941)</f>
        <v>1.8777331122588956</v>
      </c>
      <c r="AT1007" s="1543">
        <f>-(AT927+AS927+AR927+AP927)/(AT941+AS941+AR941+AP941)</f>
        <v>1.6846625913653059</v>
      </c>
      <c r="AU1007" s="1543">
        <f>-(AU927+AT927+AS927+AR927)/(AU941+AT941+AS941+AR941)</f>
        <v>1.4110154157921402</v>
      </c>
      <c r="AV1007" s="1542">
        <f>-AV927/AV941</f>
        <v>1.4110154157921404</v>
      </c>
      <c r="AW1007" s="1543">
        <f>-(AW927+AU927+AT927+AS927)/(AW941+AU941+AT941+AS941)</f>
        <v>1.2801403947400054</v>
      </c>
      <c r="AX1007" s="1543">
        <f>-(AX927+AW927+AU927+AT927)/(AX941+AW941+AU941+AT941)</f>
        <v>1.242499100611584</v>
      </c>
      <c r="AY1007" s="1543">
        <f>-(AY927+AX927+AW927+AU927)/(AY941+AX941+AW941+AU941)</f>
        <v>1.4092888068791682</v>
      </c>
      <c r="AZ1007" s="1543">
        <f>-(AZ927+AY927+AX927+AW927)/(AZ941+AY941+AX941+AW941)</f>
        <v>1.4659806235861117</v>
      </c>
      <c r="BA1007" s="1542">
        <f>-BA927/BA941</f>
        <v>1.4659806235861117</v>
      </c>
      <c r="BB1007" s="1543">
        <f>-(BB927+AZ927+AY927+AX927)/(BB941+AZ941+AY941+AX941)</f>
        <v>1.4220467208505849</v>
      </c>
      <c r="BC1007" s="1543">
        <f>-(BC927+BB927+AZ927+AY927)/(BC941+BB941+AZ941+AY941)</f>
        <v>1.6751156361316391</v>
      </c>
      <c r="BD1007" s="1543">
        <f>-(BD927+BC927+BB927+AZ927)/(BD941+BC941+BB941+AZ941)</f>
        <v>1.8733422206341135</v>
      </c>
      <c r="BE1007" s="1543">
        <f>-(BE927+BD927+BC927+BB927)/(BE941+BD941+BC941+BB941)</f>
        <v>2.2100945880768461</v>
      </c>
      <c r="BF1007" s="1542">
        <f>-BF927/BF941</f>
        <v>2.2100945880768457</v>
      </c>
      <c r="BG1007" s="2944">
        <f>-(BG927+BE927+BD927+BC927)/(BG941+BE941+BD941+BC941)</f>
        <v>2.4928718595834205</v>
      </c>
      <c r="BH1007" s="1543">
        <f>-(BH927+BG927+BE927+BD927)/(BH941+BG941+BE941+BD941)</f>
        <v>2.5769857595798245</v>
      </c>
      <c r="BI1007" s="1543">
        <f>-(BI927+BH927+BG927+BE927)/(BI941+BH941+BG941+BE941)</f>
        <v>3.0169102539184101</v>
      </c>
      <c r="BJ1007" s="1911">
        <f>-(BJ927+BI927+BH927+BG927)/(BJ941+BI941+BH941+BG941)</f>
        <v>3.4213568807493173</v>
      </c>
      <c r="BK1007" s="1542">
        <f>-BK927/BK941</f>
        <v>3.4213568807493147</v>
      </c>
      <c r="BL1007" s="1543">
        <f>-(BL927+BJ927+BI927+BH927)/(BL941+BJ941+BI941+BH941)</f>
        <v>3.8646196535168587</v>
      </c>
      <c r="BM1007" s="1543">
        <f>-(BM927+BL927+BJ927+BI927)/(BM941+BL941+BJ941+BI941)</f>
        <v>4.5957618404338962</v>
      </c>
      <c r="BN1007" s="1543">
        <f>-(BN927+BM927+BL927+BJ927)/(BN941+BM941+BL941+BJ941)</f>
        <v>7.7841231610959625</v>
      </c>
      <c r="BO1007" s="1911"/>
      <c r="BP1007" s="1542"/>
      <c r="BQ1007" s="1543"/>
      <c r="BR1007" s="1543"/>
      <c r="BS1007" s="1543"/>
      <c r="BT1007" s="1911"/>
      <c r="BU1007" s="3431"/>
      <c r="BV1007" s="1543"/>
      <c r="BW1007" s="1543"/>
      <c r="BX1007" s="1543"/>
      <c r="BY1007" s="1911"/>
      <c r="BZ1007" s="1911"/>
      <c r="CA1007" s="1911"/>
      <c r="CB1007" s="1911"/>
      <c r="CC1007" s="1911">
        <f>-(CC927)/(CC941)</f>
        <v>1.2925844024408204</v>
      </c>
      <c r="CD1007" s="1911">
        <f>-(CD927)/(CD941)</f>
        <v>1.2279551823187813</v>
      </c>
      <c r="CE1007" s="1911">
        <f>-(CE927)/(CE941)</f>
        <v>1.2525142859651552</v>
      </c>
      <c r="CF1007" s="1911">
        <f>-(CF927)/(CF941)</f>
        <v>1.277564571684459</v>
      </c>
      <c r="CG1007" s="1911">
        <f>-(CG927)/(CG941)</f>
        <v>1.3031158631181481</v>
      </c>
      <c r="CH1007" s="865"/>
      <c r="CI1007" s="865"/>
      <c r="CJ1007" s="865"/>
      <c r="CK1007" s="865"/>
      <c r="CL1007" s="865"/>
      <c r="CM1007" s="865"/>
      <c r="CN1007" s="865"/>
      <c r="CO1007" s="865"/>
      <c r="CP1007" s="90" t="str">
        <f t="shared" si="1822"/>
        <v>Interest Coverage</v>
      </c>
      <c r="CQ1007" s="1543"/>
      <c r="CR1007" s="1543">
        <f>M1007</f>
        <v>10.176004527447651</v>
      </c>
      <c r="CS1007" s="1543">
        <f>R1007</f>
        <v>10.614627648145762</v>
      </c>
      <c r="CT1007" s="1543">
        <f>W1007</f>
        <v>7.7487978457395643</v>
      </c>
      <c r="CU1007" s="1543">
        <f>AB1007</f>
        <v>6.7863265516885267</v>
      </c>
      <c r="CV1007" s="1543">
        <f>AG1007</f>
        <v>7.146539879962396</v>
      </c>
      <c r="CW1007" s="1543">
        <f t="shared" si="1824"/>
        <v>3.3751344675086661</v>
      </c>
      <c r="CX1007" s="1543">
        <f t="shared" si="1825"/>
        <v>1.9447942543719405</v>
      </c>
      <c r="CY1007" s="1543">
        <f>AV1007</f>
        <v>1.4110154157921404</v>
      </c>
      <c r="CZ1007" s="1543">
        <f>BA1007</f>
        <v>1.4659806235861117</v>
      </c>
      <c r="DA1007" s="1543">
        <f>BF1007</f>
        <v>2.2100945880768457</v>
      </c>
      <c r="DB1007" s="1543">
        <f>BK1007</f>
        <v>3.4213568807493147</v>
      </c>
      <c r="DC1007" s="1543">
        <f t="shared" si="1827"/>
        <v>0</v>
      </c>
      <c r="DD1007" s="1543">
        <f t="shared" si="1828"/>
        <v>0</v>
      </c>
      <c r="DE1007" s="1543">
        <f t="shared" si="1829"/>
        <v>0</v>
      </c>
      <c r="DF1007" s="1543">
        <f t="shared" si="1830"/>
        <v>0</v>
      </c>
      <c r="DG1007" s="1911">
        <f t="shared" si="1831"/>
        <v>0</v>
      </c>
      <c r="DH1007" s="863"/>
      <c r="DI1007" s="573"/>
      <c r="DJ1007" s="573"/>
      <c r="DK1007" s="573"/>
      <c r="DL1007" s="573"/>
      <c r="DM1007" s="573"/>
      <c r="DN1007" s="551"/>
      <c r="DO1007" s="266"/>
      <c r="DY1007" s="3481"/>
      <c r="DZ1007" s="3481"/>
    </row>
    <row r="1008" spans="1:130" ht="12" customHeight="1">
      <c r="A1008" s="670" t="s">
        <v>283</v>
      </c>
      <c r="B1008" s="857"/>
      <c r="C1008" s="857"/>
      <c r="D1008" s="584">
        <v>982.12900000000002</v>
      </c>
      <c r="E1008" s="583">
        <v>972.48199999999997</v>
      </c>
      <c r="F1008" s="583">
        <v>967.55</v>
      </c>
      <c r="G1008" s="583">
        <v>961.73699999999997</v>
      </c>
      <c r="H1008" s="588">
        <f>G1008</f>
        <v>961.73699999999997</v>
      </c>
      <c r="I1008" s="583">
        <v>958.17100000000005</v>
      </c>
      <c r="J1008" s="583">
        <v>969.80700000000002</v>
      </c>
      <c r="K1008" s="583">
        <v>984.798</v>
      </c>
      <c r="L1008" s="583">
        <v>1013.744</v>
      </c>
      <c r="M1008" s="588">
        <f>L1008</f>
        <v>1013.744</v>
      </c>
      <c r="N1008" s="583">
        <v>1064.059</v>
      </c>
      <c r="O1008" s="583">
        <v>1153.8530000000001</v>
      </c>
      <c r="P1008" s="583">
        <v>1180.96</v>
      </c>
      <c r="Q1008" s="583">
        <v>1201.607</v>
      </c>
      <c r="R1008" s="588">
        <f>Q1008</f>
        <v>1201.607</v>
      </c>
      <c r="S1008" s="583">
        <v>1233.6279999999999</v>
      </c>
      <c r="T1008" s="583">
        <v>1290.433</v>
      </c>
      <c r="U1008" s="583">
        <v>1328.7650000000001</v>
      </c>
      <c r="V1008" s="583">
        <v>1379.932</v>
      </c>
      <c r="W1008" s="588">
        <f>V1008</f>
        <v>1379.932</v>
      </c>
      <c r="X1008" s="583">
        <v>1418.2909999999999</v>
      </c>
      <c r="Y1008" s="583">
        <v>1448.8689999999999</v>
      </c>
      <c r="Z1008" s="583">
        <v>1447.914</v>
      </c>
      <c r="AA1008" s="583">
        <v>1431.1179999999999</v>
      </c>
      <c r="AB1008" s="588">
        <f>AA1008</f>
        <v>1431.1179999999999</v>
      </c>
      <c r="AC1008" s="583">
        <v>1414.2670000000001</v>
      </c>
      <c r="AD1008" s="583">
        <v>1394.231</v>
      </c>
      <c r="AE1008" s="583">
        <v>1376.7919999999999</v>
      </c>
      <c r="AF1008" s="583">
        <v>1366.008</v>
      </c>
      <c r="AG1008" s="588">
        <f>AF1008</f>
        <v>1366.008</v>
      </c>
      <c r="AH1008" s="583">
        <v>1350.6959999999999</v>
      </c>
      <c r="AI1008" s="583">
        <v>1337.6020000000001</v>
      </c>
      <c r="AJ1008" s="583">
        <v>1352.3209999999999</v>
      </c>
      <c r="AK1008" s="581">
        <f>AJ1008+AK990-AK936</f>
        <v>1339.2479999999998</v>
      </c>
      <c r="AL1008" s="588">
        <f>AK1008</f>
        <v>1339.2479999999998</v>
      </c>
      <c r="AM1008" s="581">
        <f>AL1008+AM990-AM936</f>
        <v>1324.1319999999998</v>
      </c>
      <c r="AN1008" s="581">
        <f>AM1008+AN990-AN936</f>
        <v>1311.3339999999998</v>
      </c>
      <c r="AO1008" s="581">
        <f>AN1008+AO990-AO936</f>
        <v>1299.9209999999998</v>
      </c>
      <c r="AP1008" s="581">
        <f>AO1008+AP990-AP936</f>
        <v>1285.0609999999999</v>
      </c>
      <c r="AQ1008" s="1541">
        <f>AP1008</f>
        <v>1285.0609999999999</v>
      </c>
      <c r="AR1008" s="581"/>
      <c r="AS1008" s="581"/>
      <c r="AT1008" s="581"/>
      <c r="AU1008" s="581"/>
      <c r="AV1008" s="1541">
        <f>AQ1008+AV990-AV936</f>
        <v>1233.1980000000001</v>
      </c>
      <c r="AW1008" s="581"/>
      <c r="AX1008" s="581"/>
      <c r="AY1008" s="581"/>
      <c r="AZ1008" s="581"/>
      <c r="BA1008" s="1541">
        <f>AV1008+BA990-BA936</f>
        <v>1195.809</v>
      </c>
      <c r="BB1008" s="581"/>
      <c r="BC1008" s="581"/>
      <c r="BD1008" s="581"/>
      <c r="BE1008" s="581"/>
      <c r="BF1008" s="1541">
        <f>BA1008+BF990-BF936</f>
        <v>1157.5160000000001</v>
      </c>
      <c r="BG1008" s="2945"/>
      <c r="BH1008" s="1913"/>
      <c r="BI1008" s="1913"/>
      <c r="BJ1008" s="1914"/>
      <c r="BK1008" s="1541">
        <f>BF1008+BK990-BK936</f>
        <v>1119.2190000000001</v>
      </c>
      <c r="BL1008" s="1913"/>
      <c r="BM1008" s="1913"/>
      <c r="BN1008" s="1913"/>
      <c r="BO1008" s="1914"/>
      <c r="BP1008" s="1541"/>
      <c r="BQ1008" s="1913"/>
      <c r="BR1008" s="1913"/>
      <c r="BS1008" s="1913"/>
      <c r="BT1008" s="1914"/>
      <c r="BU1008" s="3432"/>
      <c r="BV1008" s="1913"/>
      <c r="BW1008" s="1913"/>
      <c r="BX1008" s="1913"/>
      <c r="BY1008" s="1914"/>
      <c r="BZ1008" s="1541"/>
      <c r="CA1008" s="1541"/>
      <c r="CB1008" s="1541"/>
      <c r="CC1008" s="1541"/>
      <c r="CD1008" s="1541"/>
      <c r="CE1008" s="1541"/>
      <c r="CF1008" s="1541"/>
      <c r="CG1008" s="1541"/>
      <c r="CH1008" s="581"/>
      <c r="CI1008" s="581"/>
      <c r="CJ1008" s="581"/>
      <c r="CK1008" s="581"/>
      <c r="CL1008" s="581"/>
      <c r="CM1008" s="581"/>
      <c r="CN1008" s="581"/>
      <c r="CO1008" s="581"/>
      <c r="CP1008" s="1912" t="str">
        <f t="shared" si="1822"/>
        <v>Net Fixed Assets</v>
      </c>
      <c r="CQ1008" s="1913">
        <f>H1008</f>
        <v>961.73699999999997</v>
      </c>
      <c r="CR1008" s="1913">
        <f>M1008</f>
        <v>1013.744</v>
      </c>
      <c r="CS1008" s="1913">
        <f>R1008</f>
        <v>1201.607</v>
      </c>
      <c r="CT1008" s="1913">
        <f>W1008</f>
        <v>1379.932</v>
      </c>
      <c r="CU1008" s="1913">
        <f>AB1008</f>
        <v>1431.1179999999999</v>
      </c>
      <c r="CV1008" s="1913">
        <f>AG1008</f>
        <v>1366.008</v>
      </c>
      <c r="CW1008" s="1913">
        <f t="shared" si="1824"/>
        <v>1339.2479999999998</v>
      </c>
      <c r="CX1008" s="1913">
        <f t="shared" si="1825"/>
        <v>1285.0609999999999</v>
      </c>
      <c r="CY1008" s="1913">
        <f>AV1008</f>
        <v>1233.1980000000001</v>
      </c>
      <c r="CZ1008" s="1913">
        <f>BA1008</f>
        <v>1195.809</v>
      </c>
      <c r="DA1008" s="1913">
        <f>BF1008</f>
        <v>1157.5160000000001</v>
      </c>
      <c r="DB1008" s="1913">
        <f>BK1008</f>
        <v>1119.2190000000001</v>
      </c>
      <c r="DC1008" s="1913"/>
      <c r="DD1008" s="1913"/>
      <c r="DE1008" s="1913"/>
      <c r="DF1008" s="1913"/>
      <c r="DG1008" s="1914"/>
      <c r="DH1008" s="856"/>
      <c r="DI1008" s="838"/>
      <c r="DJ1008" s="838"/>
      <c r="DK1008" s="838"/>
      <c r="DL1008" s="838"/>
      <c r="DM1008" s="838"/>
      <c r="DN1008" s="632"/>
      <c r="DO1008" s="312"/>
      <c r="DY1008" s="581"/>
      <c r="DZ1008" s="581"/>
    </row>
    <row r="1009" spans="1:130" ht="12" customHeight="1">
      <c r="A1009" s="991"/>
      <c r="B1009" s="1445"/>
      <c r="C1009" s="1445"/>
      <c r="D1009" s="1446"/>
      <c r="E1009" s="1446"/>
      <c r="F1009" s="1446"/>
      <c r="G1009" s="1446"/>
      <c r="H1009" s="1446"/>
      <c r="I1009" s="1446"/>
      <c r="J1009" s="1446"/>
      <c r="K1009" s="1446"/>
      <c r="L1009" s="1446"/>
      <c r="M1009" s="1446"/>
      <c r="N1009" s="1446"/>
      <c r="O1009" s="1446"/>
      <c r="P1009" s="1446"/>
      <c r="Q1009" s="1446"/>
      <c r="R1009" s="1446"/>
      <c r="S1009" s="1446"/>
      <c r="T1009" s="1446"/>
      <c r="U1009" s="1446"/>
      <c r="V1009" s="1446"/>
      <c r="W1009" s="1446"/>
      <c r="X1009" s="1446"/>
      <c r="Y1009" s="1446"/>
      <c r="Z1009" s="1446"/>
      <c r="AA1009" s="1446"/>
      <c r="AB1009" s="1446"/>
      <c r="AC1009" s="1446"/>
      <c r="AD1009" s="1446"/>
      <c r="AE1009" s="1446"/>
      <c r="AF1009" s="1446"/>
      <c r="AG1009" s="1446"/>
      <c r="AH1009" s="1446"/>
      <c r="AI1009" s="1446"/>
      <c r="AJ1009" s="1446"/>
      <c r="AK1009" s="1446"/>
      <c r="AL1009" s="1446"/>
      <c r="AM1009" s="1446"/>
      <c r="AN1009" s="1446"/>
      <c r="AO1009" s="1446"/>
      <c r="AP1009" s="1446"/>
      <c r="AQ1009" s="570"/>
      <c r="AR1009" s="1446"/>
      <c r="AS1009" s="1446"/>
      <c r="AT1009" s="1446"/>
      <c r="AU1009" s="1446"/>
      <c r="AV1009" s="1540"/>
      <c r="AW1009" s="1446"/>
      <c r="AX1009" s="1446"/>
      <c r="AY1009" s="1446"/>
      <c r="AZ1009" s="1446"/>
      <c r="BA1009" s="570"/>
      <c r="BB1009" s="1446"/>
      <c r="BC1009" s="1446"/>
      <c r="BD1009" s="1446"/>
      <c r="BE1009" s="1446"/>
      <c r="BF1009" s="570"/>
      <c r="BG1009" s="570"/>
      <c r="BH1009" s="570"/>
      <c r="BI1009" s="570"/>
      <c r="BJ1009" s="570"/>
      <c r="BK1009" s="570"/>
      <c r="BL1009" s="570"/>
      <c r="BM1009" s="570"/>
      <c r="BN1009" s="570"/>
      <c r="BO1009" s="570"/>
      <c r="BP1009" s="570"/>
      <c r="BQ1009" s="570"/>
      <c r="BR1009" s="570"/>
      <c r="BS1009" s="570"/>
      <c r="BT1009" s="570"/>
      <c r="BU1009" s="3433"/>
      <c r="BV1009" s="570"/>
      <c r="BW1009" s="570"/>
      <c r="BX1009" s="570"/>
      <c r="BY1009" s="570"/>
      <c r="BZ1009" s="570"/>
      <c r="CA1009" s="570"/>
      <c r="CB1009" s="570"/>
      <c r="CC1009" s="570"/>
      <c r="CD1009" s="570"/>
      <c r="CE1009" s="570"/>
      <c r="CF1009" s="570"/>
      <c r="CG1009" s="570"/>
      <c r="CH1009" s="570"/>
      <c r="CI1009" s="570"/>
      <c r="CJ1009" s="570"/>
      <c r="CK1009" s="570"/>
      <c r="CL1009" s="570"/>
      <c r="CM1009" s="570"/>
      <c r="CN1009" s="570"/>
      <c r="CO1009" s="570"/>
      <c r="CP1009" s="991"/>
      <c r="CQ1009" s="1765"/>
      <c r="CR1009" s="1765"/>
      <c r="CS1009" s="1765"/>
      <c r="CT1009" s="1765"/>
      <c r="CU1009" s="1765"/>
      <c r="CV1009" s="1765"/>
      <c r="CW1009" s="1765"/>
      <c r="CX1009" s="1765"/>
      <c r="CY1009" s="1765"/>
      <c r="CZ1009" s="1765"/>
      <c r="DA1009" s="1765"/>
      <c r="DB1009" s="1765"/>
      <c r="DC1009" s="1765"/>
      <c r="DD1009" s="1765"/>
      <c r="DE1009" s="1765"/>
      <c r="DF1009" s="1765"/>
      <c r="DG1009" s="1765"/>
      <c r="DH1009" s="570"/>
      <c r="DI1009" s="570"/>
      <c r="DJ1009" s="570"/>
      <c r="DK1009" s="570"/>
      <c r="DL1009" s="570"/>
      <c r="DM1009" s="570"/>
      <c r="DN1009" s="222"/>
      <c r="DO1009" s="226"/>
      <c r="DY1009" s="570"/>
      <c r="DZ1009" s="570"/>
    </row>
    <row r="1010" spans="1:130" ht="12" customHeight="1">
      <c r="A1010" s="235" t="s">
        <v>988</v>
      </c>
      <c r="B1010" s="236"/>
      <c r="C1010" s="236"/>
      <c r="D1010" s="237" t="str">
        <f t="shared" ref="D1010:AH1010" si="1863">D6</f>
        <v>1Q04</v>
      </c>
      <c r="E1010" s="109" t="str">
        <f t="shared" si="1863"/>
        <v>2Q04</v>
      </c>
      <c r="F1010" s="109" t="str">
        <f t="shared" si="1863"/>
        <v>3Q04</v>
      </c>
      <c r="G1010" s="109" t="str">
        <f t="shared" si="1863"/>
        <v>4Q04</v>
      </c>
      <c r="H1010" s="110">
        <f t="shared" si="1863"/>
        <v>2004</v>
      </c>
      <c r="I1010" s="109" t="str">
        <f t="shared" si="1863"/>
        <v>1Q05</v>
      </c>
      <c r="J1010" s="109" t="str">
        <f t="shared" si="1863"/>
        <v>2Q05</v>
      </c>
      <c r="K1010" s="109" t="str">
        <f t="shared" si="1863"/>
        <v>3Q05</v>
      </c>
      <c r="L1010" s="109" t="str">
        <f t="shared" si="1863"/>
        <v>4Q05</v>
      </c>
      <c r="M1010" s="110">
        <f t="shared" si="1863"/>
        <v>2005</v>
      </c>
      <c r="N1010" s="109" t="str">
        <f t="shared" si="1863"/>
        <v>1Q06</v>
      </c>
      <c r="O1010" s="109" t="str">
        <f t="shared" si="1863"/>
        <v>2Q06</v>
      </c>
      <c r="P1010" s="109" t="str">
        <f t="shared" si="1863"/>
        <v>3Q06</v>
      </c>
      <c r="Q1010" s="109" t="str">
        <f t="shared" si="1863"/>
        <v>4Q06</v>
      </c>
      <c r="R1010" s="110">
        <f t="shared" si="1863"/>
        <v>2006</v>
      </c>
      <c r="S1010" s="109" t="str">
        <f t="shared" si="1863"/>
        <v>1Q07</v>
      </c>
      <c r="T1010" s="109" t="str">
        <f t="shared" si="1863"/>
        <v>2Q07</v>
      </c>
      <c r="U1010" s="109" t="str">
        <f t="shared" si="1863"/>
        <v>3Q07</v>
      </c>
      <c r="V1010" s="109" t="str">
        <f t="shared" si="1863"/>
        <v>4Q07</v>
      </c>
      <c r="W1010" s="110">
        <f t="shared" si="1863"/>
        <v>2007</v>
      </c>
      <c r="X1010" s="109" t="str">
        <f t="shared" si="1863"/>
        <v>1Q08</v>
      </c>
      <c r="Y1010" s="109" t="str">
        <f t="shared" si="1863"/>
        <v>2Q08</v>
      </c>
      <c r="Z1010" s="109" t="str">
        <f t="shared" si="1863"/>
        <v>3Q08</v>
      </c>
      <c r="AA1010" s="109" t="str">
        <f t="shared" si="1863"/>
        <v>4Q08</v>
      </c>
      <c r="AB1010" s="110">
        <f t="shared" si="1863"/>
        <v>2008</v>
      </c>
      <c r="AC1010" s="109" t="str">
        <f t="shared" si="1863"/>
        <v>1Q09</v>
      </c>
      <c r="AD1010" s="109" t="str">
        <f t="shared" si="1863"/>
        <v>2Q09</v>
      </c>
      <c r="AE1010" s="109" t="str">
        <f t="shared" si="1863"/>
        <v>3Q09</v>
      </c>
      <c r="AF1010" s="109" t="str">
        <f t="shared" si="1863"/>
        <v>4Q09</v>
      </c>
      <c r="AG1010" s="110">
        <f t="shared" si="1863"/>
        <v>2009</v>
      </c>
      <c r="AH1010" s="109" t="str">
        <f t="shared" si="1863"/>
        <v>1Q10</v>
      </c>
      <c r="AI1010" s="109" t="str">
        <f t="shared" ref="AI1010:CG1010" si="1864">AI$6</f>
        <v>2Q10</v>
      </c>
      <c r="AJ1010" s="109" t="str">
        <f t="shared" si="1864"/>
        <v>3Q10</v>
      </c>
      <c r="AK1010" s="109" t="str">
        <f t="shared" si="1864"/>
        <v>4Q10</v>
      </c>
      <c r="AL1010" s="110">
        <f t="shared" si="1864"/>
        <v>2010</v>
      </c>
      <c r="AM1010" s="109" t="str">
        <f t="shared" si="1864"/>
        <v>1Q11</v>
      </c>
      <c r="AN1010" s="109" t="str">
        <f t="shared" si="1864"/>
        <v>2Q11</v>
      </c>
      <c r="AO1010" s="109" t="str">
        <f t="shared" si="1864"/>
        <v>3Q11</v>
      </c>
      <c r="AP1010" s="109" t="str">
        <f t="shared" si="1864"/>
        <v>4Q11</v>
      </c>
      <c r="AQ1010" s="110">
        <f t="shared" si="1864"/>
        <v>2011</v>
      </c>
      <c r="AR1010" s="109" t="str">
        <f t="shared" si="1864"/>
        <v>1Q12</v>
      </c>
      <c r="AS1010" s="109" t="str">
        <f t="shared" si="1864"/>
        <v>2Q12</v>
      </c>
      <c r="AT1010" s="109" t="str">
        <f t="shared" si="1864"/>
        <v>3Q12</v>
      </c>
      <c r="AU1010" s="109" t="str">
        <f t="shared" si="1864"/>
        <v>4Q12</v>
      </c>
      <c r="AV1010" s="110">
        <f t="shared" si="1864"/>
        <v>2012</v>
      </c>
      <c r="AW1010" s="109" t="str">
        <f t="shared" si="1864"/>
        <v>1Q13</v>
      </c>
      <c r="AX1010" s="109" t="str">
        <f t="shared" si="1864"/>
        <v>2Q13</v>
      </c>
      <c r="AY1010" s="109" t="str">
        <f t="shared" si="1864"/>
        <v>3Q13</v>
      </c>
      <c r="AZ1010" s="109" t="str">
        <f t="shared" si="1864"/>
        <v>4Q13</v>
      </c>
      <c r="BA1010" s="110">
        <f t="shared" si="1864"/>
        <v>2013</v>
      </c>
      <c r="BB1010" s="109" t="str">
        <f t="shared" si="1864"/>
        <v>1Q14</v>
      </c>
      <c r="BC1010" s="109" t="str">
        <f t="shared" si="1864"/>
        <v>2Q14</v>
      </c>
      <c r="BD1010" s="109" t="str">
        <f t="shared" si="1864"/>
        <v>3Q14</v>
      </c>
      <c r="BE1010" s="109" t="str">
        <f t="shared" si="1864"/>
        <v>4Q14</v>
      </c>
      <c r="BF1010" s="110">
        <f t="shared" si="1864"/>
        <v>2014</v>
      </c>
      <c r="BG1010" s="109" t="str">
        <f t="shared" si="1864"/>
        <v>1Q15</v>
      </c>
      <c r="BH1010" s="109" t="str">
        <f t="shared" si="1864"/>
        <v>2Q15</v>
      </c>
      <c r="BI1010" s="109" t="str">
        <f t="shared" si="1864"/>
        <v>3Q15</v>
      </c>
      <c r="BJ1010" s="109" t="str">
        <f t="shared" si="1864"/>
        <v>4Q15</v>
      </c>
      <c r="BK1010" s="110">
        <f t="shared" si="1864"/>
        <v>2015</v>
      </c>
      <c r="BL1010" s="109" t="str">
        <f t="shared" si="1864"/>
        <v>1Q16</v>
      </c>
      <c r="BM1010" s="109" t="str">
        <f t="shared" si="1864"/>
        <v>2Q16</v>
      </c>
      <c r="BN1010" s="109" t="str">
        <f t="shared" si="1864"/>
        <v>3Q16</v>
      </c>
      <c r="BO1010" s="109" t="str">
        <f t="shared" si="1864"/>
        <v>4Q16</v>
      </c>
      <c r="BP1010" s="110">
        <f t="shared" si="1864"/>
        <v>2016</v>
      </c>
      <c r="BQ1010" s="109" t="str">
        <f t="shared" si="1864"/>
        <v>1Q17</v>
      </c>
      <c r="BR1010" s="109" t="str">
        <f t="shared" si="1864"/>
        <v>2Q17</v>
      </c>
      <c r="BS1010" s="109" t="str">
        <f t="shared" si="1864"/>
        <v>3Q17</v>
      </c>
      <c r="BT1010" s="109" t="str">
        <f t="shared" si="1864"/>
        <v>4Q17A</v>
      </c>
      <c r="BU1010" s="3347" t="str">
        <f t="shared" si="1864"/>
        <v>2017A</v>
      </c>
      <c r="BV1010" s="109" t="str">
        <f t="shared" si="1864"/>
        <v>1Q18E</v>
      </c>
      <c r="BW1010" s="109" t="str">
        <f t="shared" si="1864"/>
        <v>2Q18E</v>
      </c>
      <c r="BX1010" s="109" t="str">
        <f t="shared" si="1864"/>
        <v>3Q18E</v>
      </c>
      <c r="BY1010" s="109" t="str">
        <f t="shared" si="1864"/>
        <v>4Q18E</v>
      </c>
      <c r="BZ1010" s="110" t="str">
        <f t="shared" si="1864"/>
        <v>2018E</v>
      </c>
      <c r="CA1010" s="110" t="str">
        <f t="shared" si="1864"/>
        <v>2019E</v>
      </c>
      <c r="CB1010" s="110" t="str">
        <f t="shared" si="1864"/>
        <v>2020E</v>
      </c>
      <c r="CC1010" s="110" t="str">
        <f t="shared" si="1864"/>
        <v>2021E</v>
      </c>
      <c r="CD1010" s="110" t="str">
        <f t="shared" si="1864"/>
        <v>2022E</v>
      </c>
      <c r="CE1010" s="110" t="str">
        <f t="shared" si="1864"/>
        <v>2023E</v>
      </c>
      <c r="CF1010" s="110" t="str">
        <f t="shared" si="1864"/>
        <v>2024E</v>
      </c>
      <c r="CG1010" s="110" t="str">
        <f t="shared" si="1864"/>
        <v>2025E</v>
      </c>
      <c r="CH1010" s="247"/>
      <c r="CI1010" s="247"/>
      <c r="CJ1010" s="247"/>
      <c r="CK1010" s="247"/>
      <c r="CL1010" s="247"/>
      <c r="CM1010" s="247"/>
      <c r="CN1010" s="247"/>
      <c r="CO1010" s="247"/>
      <c r="CP1010" s="235" t="str">
        <f t="shared" ref="CP1010:CP1048" si="1865">A1010</f>
        <v>CASH FLOW STATEMENT ($ in millions)</v>
      </c>
      <c r="CQ1010" s="109">
        <f t="shared" ref="CQ1010:CQ1048" si="1866">H1010</f>
        <v>2004</v>
      </c>
      <c r="CR1010" s="109">
        <f t="shared" ref="CR1010:CR1048" si="1867">M1010</f>
        <v>2005</v>
      </c>
      <c r="CS1010" s="109">
        <f t="shared" ref="CS1010:CS1048" si="1868">R1010</f>
        <v>2006</v>
      </c>
      <c r="CT1010" s="109">
        <f t="shared" ref="CT1010:CT1048" si="1869">W1010</f>
        <v>2007</v>
      </c>
      <c r="CU1010" s="109">
        <f t="shared" ref="CU1010:CU1048" si="1870">AB1010</f>
        <v>2008</v>
      </c>
      <c r="CV1010" s="109">
        <f t="shared" ref="CV1010:CV1048" si="1871">AG1010</f>
        <v>2009</v>
      </c>
      <c r="CW1010" s="109">
        <f t="shared" ref="CW1010:CW1048" si="1872">AL1010</f>
        <v>2010</v>
      </c>
      <c r="CX1010" s="109">
        <f t="shared" ref="CX1010:CX1048" si="1873">AQ1010</f>
        <v>2011</v>
      </c>
      <c r="CY1010" s="109">
        <f t="shared" ref="CY1010:CY1048" si="1874">AV1010</f>
        <v>2012</v>
      </c>
      <c r="CZ1010" s="109">
        <f t="shared" ref="CZ1010:CZ1048" si="1875">BA1010</f>
        <v>2013</v>
      </c>
      <c r="DA1010" s="109">
        <f t="shared" ref="DA1010:DA1048" si="1876">BF1010</f>
        <v>2014</v>
      </c>
      <c r="DB1010" s="109">
        <f t="shared" ref="DB1010:DB1048" si="1877">BK1010</f>
        <v>2015</v>
      </c>
      <c r="DC1010" s="109">
        <f t="shared" ref="DC1010:DC1048" si="1878">BP1010</f>
        <v>2016</v>
      </c>
      <c r="DD1010" s="109" t="str">
        <f t="shared" ref="DD1010:DD1048" si="1879">BU1010</f>
        <v>2017A</v>
      </c>
      <c r="DE1010" s="109" t="str">
        <f t="shared" ref="DE1010:DE1048" si="1880">BZ1010</f>
        <v>2018E</v>
      </c>
      <c r="DF1010" s="109" t="str">
        <f t="shared" ref="DF1010:DF1048" si="1881">CA1010</f>
        <v>2019E</v>
      </c>
      <c r="DG1010" s="1772" t="str">
        <f t="shared" ref="DG1010:DG1048" si="1882">CB1010</f>
        <v>2020E</v>
      </c>
      <c r="DH1010" s="239"/>
      <c r="DI1010" s="240"/>
      <c r="DJ1010" s="240"/>
      <c r="DK1010" s="240"/>
      <c r="DL1010" s="240"/>
      <c r="DM1010" s="240"/>
      <c r="DN1010" s="240"/>
      <c r="DO1010" s="226"/>
      <c r="DY1010" s="244"/>
      <c r="DZ1010" s="244"/>
    </row>
    <row r="1011" spans="1:130" ht="12" customHeight="1">
      <c r="A1011" s="976"/>
      <c r="B1011" s="242"/>
      <c r="C1011" s="242"/>
      <c r="D1011" s="243"/>
      <c r="E1011" s="244"/>
      <c r="F1011" s="244"/>
      <c r="G1011" s="244"/>
      <c r="H1011" s="245"/>
      <c r="I1011" s="244"/>
      <c r="J1011" s="244"/>
      <c r="K1011" s="244"/>
      <c r="L1011" s="244"/>
      <c r="M1011" s="245"/>
      <c r="N1011" s="244"/>
      <c r="O1011" s="244"/>
      <c r="P1011" s="244"/>
      <c r="Q1011" s="244"/>
      <c r="R1011" s="245"/>
      <c r="S1011" s="244"/>
      <c r="T1011" s="244"/>
      <c r="U1011" s="244"/>
      <c r="V1011" s="244"/>
      <c r="W1011" s="245"/>
      <c r="X1011" s="244"/>
      <c r="Y1011" s="244"/>
      <c r="Z1011" s="244"/>
      <c r="AA1011" s="244"/>
      <c r="AB1011" s="245"/>
      <c r="AC1011" s="244"/>
      <c r="AD1011" s="244"/>
      <c r="AE1011" s="244"/>
      <c r="AF1011" s="244"/>
      <c r="AG1011" s="245"/>
      <c r="AH1011" s="244"/>
      <c r="AI1011" s="244"/>
      <c r="AJ1011" s="244"/>
      <c r="AK1011" s="244"/>
      <c r="AL1011" s="246"/>
      <c r="AM1011" s="247"/>
      <c r="AN1011" s="247"/>
      <c r="AO1011" s="247"/>
      <c r="AP1011" s="247"/>
      <c r="AQ1011" s="246"/>
      <c r="AR1011" s="247"/>
      <c r="AS1011" s="247"/>
      <c r="AT1011" s="247"/>
      <c r="AU1011" s="247"/>
      <c r="AV1011" s="246"/>
      <c r="AW1011" s="247"/>
      <c r="AX1011" s="247"/>
      <c r="AY1011" s="247"/>
      <c r="AZ1011" s="247"/>
      <c r="BA1011" s="1549"/>
      <c r="BB1011" s="247"/>
      <c r="BC1011" s="247"/>
      <c r="BD1011" s="247"/>
      <c r="BE1011" s="247"/>
      <c r="BF1011" s="1549"/>
      <c r="BG1011" s="2964"/>
      <c r="BH1011" s="2965"/>
      <c r="BI1011" s="2965"/>
      <c r="BJ1011" s="2348"/>
      <c r="BK1011" s="246"/>
      <c r="BL1011" s="2965"/>
      <c r="BM1011" s="2965"/>
      <c r="BN1011" s="2965"/>
      <c r="BO1011" s="2348"/>
      <c r="BP1011" s="246"/>
      <c r="BQ1011" s="2965"/>
      <c r="BR1011" s="2965"/>
      <c r="BS1011" s="2965"/>
      <c r="BT1011" s="2348"/>
      <c r="BU1011" s="3348"/>
      <c r="BV1011" s="2965"/>
      <c r="BW1011" s="2965"/>
      <c r="BX1011" s="2965"/>
      <c r="BY1011" s="2348"/>
      <c r="BZ1011" s="246"/>
      <c r="CA1011" s="246"/>
      <c r="CB1011" s="246"/>
      <c r="CC1011" s="246"/>
      <c r="CD1011" s="246"/>
      <c r="CE1011" s="246"/>
      <c r="CF1011" s="246"/>
      <c r="CG1011" s="246"/>
      <c r="CH1011" s="247"/>
      <c r="CI1011" s="247"/>
      <c r="CJ1011" s="247"/>
      <c r="CK1011" s="247"/>
      <c r="CL1011" s="247"/>
      <c r="CM1011" s="247"/>
      <c r="CN1011" s="247"/>
      <c r="CO1011" s="247"/>
      <c r="CP1011" s="976"/>
      <c r="CQ1011" s="247"/>
      <c r="CR1011" s="247"/>
      <c r="CS1011" s="247"/>
      <c r="CT1011" s="247"/>
      <c r="CU1011" s="247"/>
      <c r="CV1011" s="247"/>
      <c r="CW1011" s="247"/>
      <c r="CX1011" s="247"/>
      <c r="CY1011" s="247"/>
      <c r="CZ1011" s="247"/>
      <c r="DA1011" s="247"/>
      <c r="DB1011" s="247"/>
      <c r="DC1011" s="247"/>
      <c r="DD1011" s="247"/>
      <c r="DE1011" s="247"/>
      <c r="DF1011" s="247"/>
      <c r="DG1011" s="1832"/>
      <c r="DH1011" s="239"/>
      <c r="DI1011" s="240"/>
      <c r="DJ1011" s="240"/>
      <c r="DK1011" s="240"/>
      <c r="DL1011" s="240"/>
      <c r="DM1011" s="240"/>
      <c r="DN1011" s="240"/>
      <c r="DO1011" s="226"/>
      <c r="DY1011" s="247"/>
      <c r="DZ1011" s="247"/>
    </row>
    <row r="1012" spans="1:130" ht="12" customHeight="1">
      <c r="A1012" s="977" t="s">
        <v>1299</v>
      </c>
      <c r="B1012" s="445"/>
      <c r="C1012" s="445"/>
      <c r="D1012" s="360"/>
      <c r="E1012" s="871"/>
      <c r="F1012" s="871"/>
      <c r="G1012" s="871"/>
      <c r="H1012" s="304"/>
      <c r="I1012" s="305"/>
      <c r="J1012" s="871"/>
      <c r="K1012" s="871"/>
      <c r="L1012" s="871"/>
      <c r="M1012" s="304"/>
      <c r="N1012" s="305"/>
      <c r="O1012" s="871"/>
      <c r="P1012" s="871"/>
      <c r="Q1012" s="871"/>
      <c r="R1012" s="304"/>
      <c r="S1012" s="872"/>
      <c r="T1012" s="871"/>
      <c r="U1012" s="871"/>
      <c r="V1012" s="871"/>
      <c r="W1012" s="873"/>
      <c r="X1012" s="871"/>
      <c r="Y1012" s="871"/>
      <c r="Z1012" s="871"/>
      <c r="AA1012" s="871"/>
      <c r="AB1012" s="304"/>
      <c r="AC1012" s="871"/>
      <c r="AD1012" s="871"/>
      <c r="AE1012" s="871"/>
      <c r="AF1012" s="871"/>
      <c r="AG1012" s="304"/>
      <c r="AH1012" s="305"/>
      <c r="AI1012" s="305"/>
      <c r="AJ1012" s="305"/>
      <c r="AK1012" s="305"/>
      <c r="AL1012" s="304"/>
      <c r="AM1012" s="305"/>
      <c r="AN1012" s="872"/>
      <c r="AO1012" s="305"/>
      <c r="AP1012" s="305"/>
      <c r="AQ1012" s="304"/>
      <c r="AR1012" s="305"/>
      <c r="AS1012" s="872"/>
      <c r="AT1012" s="305"/>
      <c r="AU1012" s="305"/>
      <c r="AV1012" s="304"/>
      <c r="AW1012" s="305"/>
      <c r="AX1012" s="872"/>
      <c r="AY1012" s="305"/>
      <c r="AZ1012" s="305"/>
      <c r="BA1012" s="304"/>
      <c r="BB1012" s="305"/>
      <c r="BC1012" s="872"/>
      <c r="BD1012" s="305"/>
      <c r="BE1012" s="305"/>
      <c r="BF1012" s="304"/>
      <c r="BG1012" s="360"/>
      <c r="BH1012" s="305"/>
      <c r="BI1012" s="305"/>
      <c r="BJ1012" s="306"/>
      <c r="BK1012" s="304"/>
      <c r="BL1012" s="305"/>
      <c r="BM1012" s="305"/>
      <c r="BN1012" s="305"/>
      <c r="BO1012" s="306"/>
      <c r="BP1012" s="304"/>
      <c r="BQ1012" s="305"/>
      <c r="BR1012" s="305"/>
      <c r="BS1012" s="305"/>
      <c r="BT1012" s="306"/>
      <c r="BU1012" s="3434"/>
      <c r="BV1012" s="305"/>
      <c r="BW1012" s="305"/>
      <c r="BX1012" s="305"/>
      <c r="BY1012" s="306"/>
      <c r="BZ1012" s="304"/>
      <c r="CA1012" s="304"/>
      <c r="CB1012" s="304"/>
      <c r="CC1012" s="304"/>
      <c r="CD1012" s="304"/>
      <c r="CE1012" s="304"/>
      <c r="CF1012" s="304"/>
      <c r="CG1012" s="304"/>
      <c r="CH1012" s="305"/>
      <c r="CI1012" s="305"/>
      <c r="CJ1012" s="305"/>
      <c r="CK1012" s="305"/>
      <c r="CL1012" s="305"/>
      <c r="CM1012" s="305"/>
      <c r="CN1012" s="305"/>
      <c r="CO1012" s="305"/>
      <c r="CP1012" s="977" t="str">
        <f t="shared" si="1865"/>
        <v>Cash Flows from Operations</v>
      </c>
      <c r="CQ1012" s="1766"/>
      <c r="CR1012" s="1766"/>
      <c r="CS1012" s="1766"/>
      <c r="CT1012" s="1766"/>
      <c r="CU1012" s="1766"/>
      <c r="CV1012" s="1766"/>
      <c r="CW1012" s="1766"/>
      <c r="CX1012" s="1766"/>
      <c r="CY1012" s="1766"/>
      <c r="CZ1012" s="1766"/>
      <c r="DA1012" s="1766"/>
      <c r="DB1012" s="1766"/>
      <c r="DC1012" s="1766"/>
      <c r="DD1012" s="1766"/>
      <c r="DE1012" s="1766"/>
      <c r="DF1012" s="1766"/>
      <c r="DG1012" s="1920"/>
      <c r="DH1012" s="222"/>
      <c r="DI1012" s="222"/>
      <c r="DJ1012" s="222"/>
      <c r="DK1012" s="222"/>
      <c r="DL1012" s="222"/>
      <c r="DM1012" s="222"/>
      <c r="DN1012" s="222"/>
      <c r="DO1012" s="226"/>
      <c r="DY1012" s="305"/>
      <c r="DZ1012" s="305"/>
    </row>
    <row r="1013" spans="1:130" ht="12" customHeight="1">
      <c r="A1013" s="993" t="s">
        <v>1543</v>
      </c>
      <c r="B1013" s="875"/>
      <c r="C1013" s="875"/>
      <c r="D1013" s="582">
        <f t="shared" ref="D1013:AF1013" si="1883">D84</f>
        <v>13.464999999999995</v>
      </c>
      <c r="E1013" s="621">
        <f t="shared" si="1883"/>
        <v>15.533000000000001</v>
      </c>
      <c r="F1013" s="621">
        <f t="shared" si="1883"/>
        <v>35.549000000000007</v>
      </c>
      <c r="G1013" s="621">
        <f t="shared" si="1883"/>
        <v>46.872999999999976</v>
      </c>
      <c r="H1013" s="585">
        <f t="shared" si="1883"/>
        <v>111.41999999999997</v>
      </c>
      <c r="I1013" s="621">
        <f t="shared" si="1883"/>
        <v>40.07999999999997</v>
      </c>
      <c r="J1013" s="621">
        <f t="shared" si="1883"/>
        <v>48.637999999999977</v>
      </c>
      <c r="K1013" s="621">
        <f t="shared" si="1883"/>
        <v>32.948000000000015</v>
      </c>
      <c r="L1013" s="621">
        <f t="shared" si="1883"/>
        <v>22.944000000000038</v>
      </c>
      <c r="M1013" s="585">
        <f t="shared" si="1883"/>
        <v>144.60999999999999</v>
      </c>
      <c r="N1013" s="621">
        <f t="shared" si="1883"/>
        <v>63.239999999999981</v>
      </c>
      <c r="O1013" s="621">
        <f t="shared" si="1883"/>
        <v>10.160000000000011</v>
      </c>
      <c r="P1013" s="621">
        <f t="shared" si="1883"/>
        <v>-12.93</v>
      </c>
      <c r="Q1013" s="621">
        <f t="shared" si="1883"/>
        <v>55.636999999999979</v>
      </c>
      <c r="R1013" s="585">
        <f t="shared" si="1883"/>
        <v>116.10699999999997</v>
      </c>
      <c r="S1013" s="621">
        <f t="shared" si="1883"/>
        <v>216.26600000000002</v>
      </c>
      <c r="T1013" s="621">
        <f t="shared" si="1883"/>
        <v>22.11199999999997</v>
      </c>
      <c r="U1013" s="621">
        <f t="shared" si="1883"/>
        <v>31.82800000000001</v>
      </c>
      <c r="V1013" s="621">
        <f t="shared" si="1883"/>
        <v>31.228999999999989</v>
      </c>
      <c r="W1013" s="585">
        <f t="shared" si="1883"/>
        <v>301.435</v>
      </c>
      <c r="X1013" s="621">
        <f t="shared" si="1883"/>
        <v>-32.586999999999996</v>
      </c>
      <c r="Y1013" s="621">
        <f t="shared" si="1883"/>
        <v>21.658000000000008</v>
      </c>
      <c r="Z1013" s="621">
        <f t="shared" si="1883"/>
        <v>8.6980000000000057</v>
      </c>
      <c r="AA1013" s="621">
        <f t="shared" si="1883"/>
        <v>-220.774</v>
      </c>
      <c r="AB1013" s="810">
        <f t="shared" si="1883"/>
        <v>-223.005</v>
      </c>
      <c r="AC1013" s="620">
        <f t="shared" si="1883"/>
        <v>-13.828000000000005</v>
      </c>
      <c r="AD1013" s="620">
        <f t="shared" si="1883"/>
        <v>12.778000000000009</v>
      </c>
      <c r="AE1013" s="620">
        <f t="shared" si="1883"/>
        <v>6.3150000000000004</v>
      </c>
      <c r="AF1013" s="620">
        <f t="shared" si="1883"/>
        <v>-1.0210000000000123</v>
      </c>
      <c r="AG1013" s="810">
        <f>SUM(AC1013:AF1013)</f>
        <v>4.2439999999999927</v>
      </c>
      <c r="AH1013" s="620">
        <f>AH84</f>
        <v>9.6790000000000056</v>
      </c>
      <c r="AI1013" s="620">
        <f>AI84</f>
        <v>12.026000000000025</v>
      </c>
      <c r="AJ1013" s="620">
        <f>AJ84</f>
        <v>14.866000000000016</v>
      </c>
      <c r="AK1013" s="620">
        <f>AK84</f>
        <v>-9.1330000000000098</v>
      </c>
      <c r="AL1013" s="810">
        <f>SUM(AH1013:AK1013)</f>
        <v>27.438000000000038</v>
      </c>
      <c r="AM1013" s="620">
        <f>AM84</f>
        <v>-6.3110000000000248</v>
      </c>
      <c r="AN1013" s="620">
        <f>AN84</f>
        <v>-5.6429999999999705</v>
      </c>
      <c r="AO1013" s="620">
        <f>AO84</f>
        <v>6.6330000000000258</v>
      </c>
      <c r="AP1013" s="620">
        <f>-7.999-AO1013-AN1013-AM1013</f>
        <v>-2.678000000000031</v>
      </c>
      <c r="AQ1013" s="810">
        <f>SUM(AM1013:AP1013)</f>
        <v>-7.9990000000000006</v>
      </c>
      <c r="AR1013" s="621">
        <f t="shared" ref="AR1013:BM1013" si="1884">AR84</f>
        <v>6.474999999999981</v>
      </c>
      <c r="AS1013" s="621">
        <f t="shared" si="1884"/>
        <v>-2.9999999999983373E-3</v>
      </c>
      <c r="AT1013" s="621">
        <f t="shared" si="1884"/>
        <v>-17.08199999999999</v>
      </c>
      <c r="AU1013" s="621">
        <f t="shared" si="1884"/>
        <v>-911.77699999999982</v>
      </c>
      <c r="AV1013" s="810">
        <f t="shared" si="1884"/>
        <v>-922.38699999999983</v>
      </c>
      <c r="AW1013" s="621">
        <f t="shared" si="1884"/>
        <v>-6.6734999999999811</v>
      </c>
      <c r="AX1013" s="620">
        <f t="shared" si="1884"/>
        <v>-0.23049999999998061</v>
      </c>
      <c r="AY1013" s="620">
        <f t="shared" si="1884"/>
        <v>-37.318999999999974</v>
      </c>
      <c r="AZ1013" s="620">
        <f t="shared" si="1884"/>
        <v>-47.3125</v>
      </c>
      <c r="BA1013" s="810">
        <f t="shared" si="1884"/>
        <v>-91.535499999999928</v>
      </c>
      <c r="BB1013" s="621">
        <f t="shared" si="1884"/>
        <v>-6.1549999999999674</v>
      </c>
      <c r="BC1013" s="620">
        <f t="shared" si="1884"/>
        <v>0.68700000000000649</v>
      </c>
      <c r="BD1013" s="620">
        <f t="shared" si="1884"/>
        <v>-15.005500000000023</v>
      </c>
      <c r="BE1013" s="620">
        <f t="shared" si="1884"/>
        <v>-32.423000000000002</v>
      </c>
      <c r="BF1013" s="810">
        <f t="shared" si="1884"/>
        <v>-52.896499999999989</v>
      </c>
      <c r="BG1013" s="620">
        <f t="shared" si="1884"/>
        <v>35.102500000000028</v>
      </c>
      <c r="BH1013" s="620">
        <f t="shared" si="1884"/>
        <v>-6.4244999999999486</v>
      </c>
      <c r="BI1013" s="620">
        <f t="shared" si="1884"/>
        <v>25.425000000000018</v>
      </c>
      <c r="BJ1013" s="620">
        <f t="shared" si="1884"/>
        <v>-6.8689999999999873</v>
      </c>
      <c r="BK1013" s="810">
        <f t="shared" si="1884"/>
        <v>47.234000000000108</v>
      </c>
      <c r="BL1013" s="620">
        <f t="shared" si="1884"/>
        <v>33.189500000000002</v>
      </c>
      <c r="BM1013" s="620">
        <f t="shared" si="1884"/>
        <v>11.306999999999988</v>
      </c>
      <c r="BN1013" s="620">
        <f>+(405.783-211.052)-BM1013-BL1013</f>
        <v>150.23450000000003</v>
      </c>
      <c r="BO1013" s="620">
        <f>BO84</f>
        <v>10.74199999999998</v>
      </c>
      <c r="BP1013" s="375">
        <f t="shared" ref="BP1013" si="1885">SUM(BL1013:BO1013)</f>
        <v>205.47300000000001</v>
      </c>
      <c r="BQ1013" s="620">
        <f t="shared" ref="BQ1013:CG1013" si="1886">BQ84</f>
        <v>35.11399999999999</v>
      </c>
      <c r="BR1013" s="620">
        <f t="shared" si="1886"/>
        <v>27.561000000000003</v>
      </c>
      <c r="BS1013" s="620">
        <f t="shared" si="1886"/>
        <v>22.975999999999999</v>
      </c>
      <c r="BT1013" s="620">
        <f t="shared" si="1886"/>
        <v>82.15</v>
      </c>
      <c r="BU1013" s="3355">
        <f t="shared" si="1886"/>
        <v>167.80099999999999</v>
      </c>
      <c r="BV1013" s="620">
        <f t="shared" si="1886"/>
        <v>36.898153478157482</v>
      </c>
      <c r="BW1013" s="620">
        <f t="shared" si="1886"/>
        <v>34.515668691052191</v>
      </c>
      <c r="BX1013" s="620">
        <f t="shared" si="1886"/>
        <v>49.183270426092719</v>
      </c>
      <c r="BY1013" s="620">
        <f t="shared" si="1886"/>
        <v>55.164367187559321</v>
      </c>
      <c r="BZ1013" s="4013">
        <f t="shared" si="1886"/>
        <v>175.76145978286172</v>
      </c>
      <c r="CA1013" s="810">
        <f t="shared" si="1886"/>
        <v>210.48610411611662</v>
      </c>
      <c r="CB1013" s="810">
        <f t="shared" si="1886"/>
        <v>213.86739541959551</v>
      </c>
      <c r="CC1013" s="810">
        <f t="shared" si="1886"/>
        <v>-243.25798126982744</v>
      </c>
      <c r="CD1013" s="810">
        <f t="shared" si="1886"/>
        <v>-276.0885705464425</v>
      </c>
      <c r="CE1013" s="810">
        <f t="shared" si="1886"/>
        <v>-261.38264599061949</v>
      </c>
      <c r="CF1013" s="810">
        <f t="shared" si="1886"/>
        <v>-246.2582171985305</v>
      </c>
      <c r="CG1013" s="810">
        <f t="shared" si="1886"/>
        <v>-230.70551122174925</v>
      </c>
      <c r="CH1013" s="621"/>
      <c r="CI1013" s="621"/>
      <c r="CJ1013" s="621"/>
      <c r="CK1013" s="621"/>
      <c r="CL1013" s="621"/>
      <c r="CM1013" s="965"/>
      <c r="CN1013" s="965">
        <f t="shared" ref="CN1013:CN1028" si="1887">SUM(BV1013:BY1013)</f>
        <v>175.76145978286172</v>
      </c>
      <c r="CO1013" s="965">
        <f t="shared" ref="CO1013:CO1028" si="1888">CM1013-CN1013</f>
        <v>-175.76145978286172</v>
      </c>
      <c r="CP1013" s="993" t="str">
        <f t="shared" si="1865"/>
        <v>Net income</v>
      </c>
      <c r="CQ1013" s="620">
        <f t="shared" si="1866"/>
        <v>111.41999999999997</v>
      </c>
      <c r="CR1013" s="620">
        <f t="shared" si="1867"/>
        <v>144.60999999999999</v>
      </c>
      <c r="CS1013" s="620">
        <f t="shared" si="1868"/>
        <v>116.10699999999997</v>
      </c>
      <c r="CT1013" s="620">
        <f t="shared" si="1869"/>
        <v>301.435</v>
      </c>
      <c r="CU1013" s="620">
        <f t="shared" si="1870"/>
        <v>-223.005</v>
      </c>
      <c r="CV1013" s="620">
        <f t="shared" si="1871"/>
        <v>4.2439999999999927</v>
      </c>
      <c r="CW1013" s="620">
        <f t="shared" si="1872"/>
        <v>27.438000000000038</v>
      </c>
      <c r="CX1013" s="620">
        <f t="shared" si="1873"/>
        <v>-7.9990000000000006</v>
      </c>
      <c r="CY1013" s="620">
        <f t="shared" si="1874"/>
        <v>-922.38699999999983</v>
      </c>
      <c r="CZ1013" s="620">
        <f t="shared" si="1875"/>
        <v>-91.535499999999928</v>
      </c>
      <c r="DA1013" s="620">
        <f t="shared" si="1876"/>
        <v>-52.896499999999989</v>
      </c>
      <c r="DB1013" s="620">
        <f t="shared" si="1877"/>
        <v>47.234000000000108</v>
      </c>
      <c r="DC1013" s="620">
        <f t="shared" si="1878"/>
        <v>205.47300000000001</v>
      </c>
      <c r="DD1013" s="620">
        <f t="shared" si="1879"/>
        <v>167.80099999999999</v>
      </c>
      <c r="DE1013" s="620">
        <f t="shared" si="1880"/>
        <v>175.76145978286172</v>
      </c>
      <c r="DF1013" s="620">
        <f t="shared" si="1881"/>
        <v>210.48610411611662</v>
      </c>
      <c r="DG1013" s="809">
        <f t="shared" si="1882"/>
        <v>213.86739541959551</v>
      </c>
      <c r="DH1013" s="620"/>
      <c r="DI1013" s="620"/>
      <c r="DJ1013" s="620"/>
      <c r="DK1013" s="620"/>
      <c r="DL1013" s="620"/>
      <c r="DM1013" s="620"/>
      <c r="DN1013" s="500"/>
      <c r="DO1013" s="537"/>
      <c r="DY1013" s="620"/>
      <c r="DZ1013" s="620"/>
    </row>
    <row r="1014" spans="1:130" ht="12" customHeight="1">
      <c r="A1014" s="994" t="s">
        <v>1021</v>
      </c>
      <c r="B1014" s="552"/>
      <c r="C1014" s="552"/>
      <c r="D1014" s="329">
        <f>D67</f>
        <v>24.974</v>
      </c>
      <c r="E1014" s="347">
        <f>E67</f>
        <v>26.585000000000001</v>
      </c>
      <c r="F1014" s="364">
        <f>92.954-E1014-D1014</f>
        <v>41.394999999999996</v>
      </c>
      <c r="G1014" s="364">
        <f>136.126-F1014-E1014-D1014</f>
        <v>43.172000000000011</v>
      </c>
      <c r="H1014" s="346">
        <f>SUM(D1014:G1014)</f>
        <v>136.126</v>
      </c>
      <c r="I1014" s="328">
        <v>43.402999999999999</v>
      </c>
      <c r="J1014" s="328">
        <f>87.532-I1014</f>
        <v>44.128999999999998</v>
      </c>
      <c r="K1014" s="328">
        <f>129.535-J1014-I1014</f>
        <v>42.003000000000007</v>
      </c>
      <c r="L1014" s="328">
        <f>174.939-K1014-J1014-I1014</f>
        <v>45.403999999999989</v>
      </c>
      <c r="M1014" s="346">
        <f>SUM(I1014:L1014)</f>
        <v>174.93899999999999</v>
      </c>
      <c r="N1014" s="328">
        <v>56.69</v>
      </c>
      <c r="O1014" s="328">
        <f>113.676-N1014</f>
        <v>56.986000000000004</v>
      </c>
      <c r="P1014" s="328">
        <f>164.563-O1014-N1014</f>
        <v>50.886999999999986</v>
      </c>
      <c r="Q1014" s="328">
        <f>208.187-P1014-O1014-N1014</f>
        <v>43.624000000000009</v>
      </c>
      <c r="R1014" s="346">
        <f>SUM(N1014:Q1014)</f>
        <v>208.18700000000001</v>
      </c>
      <c r="S1014" s="328">
        <v>40.612000000000002</v>
      </c>
      <c r="T1014" s="328">
        <f>82.549-S1014</f>
        <v>41.937000000000005</v>
      </c>
      <c r="U1014" s="328">
        <f>123.989-T1014-S1014</f>
        <v>41.439999999999991</v>
      </c>
      <c r="V1014" s="328">
        <f>165.959-U1014-T1014-S1014</f>
        <v>41.969999999999992</v>
      </c>
      <c r="W1014" s="346">
        <f>SUM(S1014:V1014)</f>
        <v>165.959</v>
      </c>
      <c r="X1014" s="328">
        <v>43.17</v>
      </c>
      <c r="Y1014" s="328">
        <f>85.745-X1014</f>
        <v>42.575000000000003</v>
      </c>
      <c r="Z1014" s="328">
        <f>127.318-Y1014-X1014</f>
        <v>41.572999999999993</v>
      </c>
      <c r="AA1014" s="328">
        <f>168.997-Z1014-Y1014-X1014</f>
        <v>41.679000000000016</v>
      </c>
      <c r="AB1014" s="346">
        <f>SUM(X1014:AA1014)</f>
        <v>168.99700000000001</v>
      </c>
      <c r="AC1014" s="328">
        <v>42.652000000000001</v>
      </c>
      <c r="AD1014" s="328">
        <f>84.745-AC1014</f>
        <v>42.093000000000004</v>
      </c>
      <c r="AE1014" s="328">
        <f>125.324-AC1014-AD1014</f>
        <v>40.578999999999994</v>
      </c>
      <c r="AF1014" s="328">
        <f>164.427-AE1014-AD1014-AC1014</f>
        <v>39.102999999999994</v>
      </c>
      <c r="AG1014" s="346">
        <f>SUM(AC1014:AF1014)</f>
        <v>164.42699999999999</v>
      </c>
      <c r="AH1014" s="347">
        <f>AH67</f>
        <v>40.045999999999999</v>
      </c>
      <c r="AI1014" s="347">
        <f>AI67</f>
        <v>55.408000000000001</v>
      </c>
      <c r="AJ1014" s="347">
        <f>AJ67</f>
        <v>52.451000000000001</v>
      </c>
      <c r="AK1014" s="347">
        <f>AK67</f>
        <v>51.37</v>
      </c>
      <c r="AL1014" s="346">
        <f>SUM(AH1014:AK1014)</f>
        <v>199.27500000000001</v>
      </c>
      <c r="AM1014" s="347">
        <f>AM67</f>
        <v>50.584000000000003</v>
      </c>
      <c r="AN1014" s="347">
        <f>AN67</f>
        <v>48.488</v>
      </c>
      <c r="AO1014" s="347">
        <f>AO67</f>
        <v>46.033999999999999</v>
      </c>
      <c r="AP1014" s="347">
        <f>AP67</f>
        <v>50.237000000000002</v>
      </c>
      <c r="AQ1014" s="346">
        <f>SUM(AM1014:AP1014)</f>
        <v>195.34299999999999</v>
      </c>
      <c r="AR1014" s="347">
        <f>AR67</f>
        <v>50.014000000000003</v>
      </c>
      <c r="AS1014" s="347">
        <f>AS67</f>
        <v>50.661000000000001</v>
      </c>
      <c r="AT1014" s="347">
        <f>AT67</f>
        <v>50.408999999999999</v>
      </c>
      <c r="AU1014" s="347">
        <f>AU67</f>
        <v>63.207000000000001</v>
      </c>
      <c r="AV1014" s="346">
        <f>SUM(AR1014:AU1014)</f>
        <v>214.291</v>
      </c>
      <c r="AW1014" s="347">
        <f>AW67</f>
        <v>54.4</v>
      </c>
      <c r="AX1014" s="347">
        <f>AX67</f>
        <v>54.8</v>
      </c>
      <c r="AY1014" s="347">
        <f>AY67</f>
        <v>54.7</v>
      </c>
      <c r="AZ1014" s="347">
        <f>AZ67</f>
        <v>54.8</v>
      </c>
      <c r="BA1014" s="346">
        <f>SUM(AW1014:AZ1014)</f>
        <v>218.7</v>
      </c>
      <c r="BB1014" s="347">
        <f>BB67</f>
        <v>52.3</v>
      </c>
      <c r="BC1014" s="347">
        <f>BC67</f>
        <v>51.8</v>
      </c>
      <c r="BD1014" s="347">
        <f>BD67</f>
        <v>52.1</v>
      </c>
      <c r="BE1014" s="347">
        <f>BE67</f>
        <v>52.798999999999999</v>
      </c>
      <c r="BF1014" s="346">
        <f>SUM(BB1014:BE1014)</f>
        <v>208.999</v>
      </c>
      <c r="BG1014" s="347">
        <f>BG67</f>
        <v>51.942</v>
      </c>
      <c r="BH1014" s="347">
        <f>BH67</f>
        <v>51.963999999999999</v>
      </c>
      <c r="BI1014" s="347">
        <f>BI67</f>
        <v>51.344999999999999</v>
      </c>
      <c r="BJ1014" s="347">
        <f>BJ67</f>
        <v>51.866999999999997</v>
      </c>
      <c r="BK1014" s="346">
        <f>SUM(BG1014:BJ1014)</f>
        <v>207.11799999999999</v>
      </c>
      <c r="BL1014" s="347">
        <f>BL67</f>
        <v>47.652999999999999</v>
      </c>
      <c r="BM1014" s="347">
        <f>BM67</f>
        <v>48.25</v>
      </c>
      <c r="BN1014" s="347">
        <f>BN67</f>
        <v>47.927999999999997</v>
      </c>
      <c r="BO1014" s="347">
        <f>BO67</f>
        <v>52.395000000000003</v>
      </c>
      <c r="BP1014" s="346">
        <f>SUM(BL1014:BO1014)</f>
        <v>196.226</v>
      </c>
      <c r="BQ1014" s="347">
        <f>BQ67</f>
        <v>53.963999999999999</v>
      </c>
      <c r="BR1014" s="347">
        <f>BR67</f>
        <v>52.563000000000002</v>
      </c>
      <c r="BS1014" s="347">
        <f>BS67</f>
        <v>55.201000000000001</v>
      </c>
      <c r="BT1014" s="347">
        <f>BT67</f>
        <v>55.793999999999997</v>
      </c>
      <c r="BU1014" s="3352">
        <f>SUM(BQ1014:BT1014)</f>
        <v>217.52199999999999</v>
      </c>
      <c r="BV1014" s="347">
        <f>BV67</f>
        <v>54.463999999999999</v>
      </c>
      <c r="BW1014" s="347">
        <f>BW67</f>
        <v>53.063000000000002</v>
      </c>
      <c r="BX1014" s="347">
        <f>BX67</f>
        <v>59.123249999999999</v>
      </c>
      <c r="BY1014" s="347">
        <f>BY67</f>
        <v>59.716249999999995</v>
      </c>
      <c r="BZ1014" s="4014">
        <f>SUM(BV1014:BY1014)</f>
        <v>226.3665</v>
      </c>
      <c r="CA1014" s="346">
        <f t="shared" ref="CA1014:CG1014" si="1889">CA67</f>
        <v>233.3150364</v>
      </c>
      <c r="CB1014" s="346">
        <f t="shared" si="1889"/>
        <v>233.57523869514989</v>
      </c>
      <c r="CC1014" s="346">
        <f t="shared" si="1889"/>
        <v>233.57523869514989</v>
      </c>
      <c r="CD1014" s="346">
        <f t="shared" si="1889"/>
        <v>233.57523869514989</v>
      </c>
      <c r="CE1014" s="346">
        <f t="shared" si="1889"/>
        <v>233.57523869514989</v>
      </c>
      <c r="CF1014" s="346">
        <f t="shared" si="1889"/>
        <v>233.57523869514989</v>
      </c>
      <c r="CG1014" s="346">
        <f t="shared" si="1889"/>
        <v>233.57523869514989</v>
      </c>
      <c r="CH1014" s="347"/>
      <c r="CI1014" s="347"/>
      <c r="CJ1014" s="347"/>
      <c r="CK1014" s="347"/>
      <c r="CL1014" s="347"/>
      <c r="CM1014" s="965"/>
      <c r="CN1014" s="965">
        <f t="shared" si="1887"/>
        <v>226.3665</v>
      </c>
      <c r="CO1014" s="965">
        <f t="shared" si="1888"/>
        <v>-226.3665</v>
      </c>
      <c r="CP1014" s="994" t="str">
        <f t="shared" si="1865"/>
        <v>Depreciation &amp; amortization</v>
      </c>
      <c r="CQ1014" s="347">
        <f t="shared" si="1866"/>
        <v>136.126</v>
      </c>
      <c r="CR1014" s="347">
        <f t="shared" si="1867"/>
        <v>174.93899999999999</v>
      </c>
      <c r="CS1014" s="347">
        <f t="shared" si="1868"/>
        <v>208.18700000000001</v>
      </c>
      <c r="CT1014" s="347">
        <f t="shared" si="1869"/>
        <v>165.959</v>
      </c>
      <c r="CU1014" s="347">
        <f t="shared" si="1870"/>
        <v>168.99700000000001</v>
      </c>
      <c r="CV1014" s="347">
        <f t="shared" si="1871"/>
        <v>164.42699999999999</v>
      </c>
      <c r="CW1014" s="347">
        <f t="shared" si="1872"/>
        <v>199.27500000000001</v>
      </c>
      <c r="CX1014" s="347">
        <f t="shared" si="1873"/>
        <v>195.34299999999999</v>
      </c>
      <c r="CY1014" s="347">
        <f t="shared" si="1874"/>
        <v>214.291</v>
      </c>
      <c r="CZ1014" s="347">
        <f t="shared" si="1875"/>
        <v>218.7</v>
      </c>
      <c r="DA1014" s="347">
        <f t="shared" si="1876"/>
        <v>208.999</v>
      </c>
      <c r="DB1014" s="347">
        <f t="shared" si="1877"/>
        <v>207.11799999999999</v>
      </c>
      <c r="DC1014" s="347">
        <f t="shared" si="1878"/>
        <v>196.226</v>
      </c>
      <c r="DD1014" s="347">
        <f t="shared" si="1879"/>
        <v>217.52199999999999</v>
      </c>
      <c r="DE1014" s="347">
        <f t="shared" si="1880"/>
        <v>226.3665</v>
      </c>
      <c r="DF1014" s="347">
        <f t="shared" si="1881"/>
        <v>233.3150364</v>
      </c>
      <c r="DG1014" s="1795">
        <f t="shared" si="1882"/>
        <v>233.57523869514989</v>
      </c>
      <c r="DH1014" s="290"/>
      <c r="DI1014" s="290"/>
      <c r="DJ1014" s="290"/>
      <c r="DK1014" s="290"/>
      <c r="DL1014" s="290"/>
      <c r="DM1014" s="290"/>
      <c r="DN1014" s="492"/>
      <c r="DO1014" s="389"/>
      <c r="DY1014" s="347"/>
      <c r="DZ1014" s="347"/>
    </row>
    <row r="1015" spans="1:130" ht="12" customHeight="1">
      <c r="A1015" s="994" t="s">
        <v>709</v>
      </c>
      <c r="B1015" s="552"/>
      <c r="C1015" s="552"/>
      <c r="D1015" s="363">
        <v>-6.6840000000000002</v>
      </c>
      <c r="E1015" s="364">
        <f>-18.912-D1015</f>
        <v>-12.227999999999998</v>
      </c>
      <c r="F1015" s="364">
        <f>-35.863-E1015-D1015</f>
        <v>-16.951000000000001</v>
      </c>
      <c r="G1015" s="364">
        <f>-65.411-F1015-E1015-D1015</f>
        <v>-29.547999999999998</v>
      </c>
      <c r="H1015" s="373">
        <f>SUM(D1015:G1015)</f>
        <v>-65.411000000000001</v>
      </c>
      <c r="I1015" s="364">
        <v>-18.641999999999999</v>
      </c>
      <c r="J1015" s="364">
        <f>-36.525-I1015</f>
        <v>-17.882999999999999</v>
      </c>
      <c r="K1015" s="364">
        <f>-64.166-J1015-I1015</f>
        <v>-27.641000000000002</v>
      </c>
      <c r="L1015" s="364">
        <f>-84.296-K1015-J1015-I1015</f>
        <v>-20.130000000000006</v>
      </c>
      <c r="M1015" s="373">
        <f>SUM(I1015:L1015)</f>
        <v>-84.296000000000006</v>
      </c>
      <c r="N1015" s="364">
        <v>-22.030999999999999</v>
      </c>
      <c r="O1015" s="364">
        <f>-39.105-N1015</f>
        <v>-17.073999999999998</v>
      </c>
      <c r="P1015" s="364">
        <f>-61.332-O1015-N1015</f>
        <v>-22.227000000000004</v>
      </c>
      <c r="Q1015" s="364">
        <f>-75.618-P1015-O1015-N1015</f>
        <v>-14.285999999999994</v>
      </c>
      <c r="R1015" s="346">
        <f>SUM(N1015:Q1015)</f>
        <v>-75.617999999999995</v>
      </c>
      <c r="S1015" s="364">
        <v>-17.311</v>
      </c>
      <c r="T1015" s="364">
        <f>-31.45-S1015</f>
        <v>-14.138999999999999</v>
      </c>
      <c r="U1015" s="364">
        <f>-54.987-T1015-S1015</f>
        <v>-23.536999999999999</v>
      </c>
      <c r="V1015" s="364">
        <f>-69.369-U1015-T1015-S1015</f>
        <v>-14.382000000000001</v>
      </c>
      <c r="W1015" s="346">
        <f>SUM(S1015:V1015)</f>
        <v>-69.369</v>
      </c>
      <c r="X1015" s="364">
        <v>-13.598000000000001</v>
      </c>
      <c r="Y1015" s="364">
        <f>-21.277-X1015</f>
        <v>-7.6790000000000003</v>
      </c>
      <c r="Z1015" s="364">
        <f>-35.552-Y1015-X1015</f>
        <v>-14.274999999999997</v>
      </c>
      <c r="AA1015" s="364">
        <f>-40.347-Z1015-Y1015-X1015</f>
        <v>-4.7949999999999999</v>
      </c>
      <c r="AB1015" s="346">
        <f>SUM(X1015:AA1015)</f>
        <v>-40.347000000000001</v>
      </c>
      <c r="AC1015" s="364">
        <v>-7.9</v>
      </c>
      <c r="AD1015" s="364">
        <f>-16.706-AC1015</f>
        <v>-8.8059999999999992</v>
      </c>
      <c r="AE1015" s="364">
        <f>-47.691-AC1015-AD1015</f>
        <v>-30.985000000000007</v>
      </c>
      <c r="AF1015" s="364">
        <f>-52.823-AE1015-AD1015-AC1015</f>
        <v>-5.1319999999999943</v>
      </c>
      <c r="AG1015" s="346">
        <f>SUM(AC1015:AF1015)</f>
        <v>-52.822999999999993</v>
      </c>
      <c r="AH1015" s="328">
        <v>-4.6890000000000001</v>
      </c>
      <c r="AI1015" s="328">
        <f>4.503-AH1015</f>
        <v>9.1920000000000002</v>
      </c>
      <c r="AJ1015" s="328">
        <f>-5.013-AI1015-AH1015</f>
        <v>-9.516</v>
      </c>
      <c r="AK1015" s="328">
        <f>-5.013-AJ1015-AI1015-AH1015</f>
        <v>0</v>
      </c>
      <c r="AL1015" s="346">
        <f>SUM(AH1015:AK1015)</f>
        <v>-5.0129999999999999</v>
      </c>
      <c r="AM1015" s="364">
        <v>0</v>
      </c>
      <c r="AN1015" s="364">
        <v>0</v>
      </c>
      <c r="AO1015" s="364">
        <v>0</v>
      </c>
      <c r="AP1015" s="328">
        <f>-AP974</f>
        <v>0</v>
      </c>
      <c r="AQ1015" s="346">
        <f>SUM(AM1015:AP1015)</f>
        <v>0</v>
      </c>
      <c r="AR1015" s="364">
        <v>0</v>
      </c>
      <c r="AS1015" s="364">
        <v>0</v>
      </c>
      <c r="AT1015" s="364">
        <v>0</v>
      </c>
      <c r="AU1015" s="376">
        <f>0-AR1015-AS1015-AT1015</f>
        <v>0</v>
      </c>
      <c r="AV1015" s="346">
        <f>SUM(AR1015:AU1015)</f>
        <v>0</v>
      </c>
      <c r="AW1015" s="364">
        <v>0</v>
      </c>
      <c r="AX1015" s="376">
        <v>0</v>
      </c>
      <c r="AY1015" s="376">
        <f>0-AX1015-AW1015</f>
        <v>0</v>
      </c>
      <c r="AZ1015" s="376">
        <f>0-AW1015-AX1015-AY1015</f>
        <v>0</v>
      </c>
      <c r="BA1015" s="346">
        <f>SUM(AW1015:AZ1015)</f>
        <v>0</v>
      </c>
      <c r="BB1015" s="364">
        <v>0</v>
      </c>
      <c r="BC1015" s="376">
        <v>0</v>
      </c>
      <c r="BD1015" s="376">
        <f>0-BC1015-BB1015</f>
        <v>0</v>
      </c>
      <c r="BE1015" s="376">
        <f>0-BD1015-BC1015-BB1015</f>
        <v>0</v>
      </c>
      <c r="BF1015" s="346">
        <f>SUM(BB1015:BE1015)</f>
        <v>0</v>
      </c>
      <c r="BG1015" s="327">
        <v>0</v>
      </c>
      <c r="BH1015" s="328">
        <v>0</v>
      </c>
      <c r="BI1015" s="328">
        <v>0</v>
      </c>
      <c r="BJ1015" s="376">
        <f>0-BI1015-BH1015-BG1015</f>
        <v>0</v>
      </c>
      <c r="BK1015" s="346">
        <f>SUM(BG1015:BJ1015)</f>
        <v>0</v>
      </c>
      <c r="BL1015" s="328">
        <v>0</v>
      </c>
      <c r="BM1015" s="328">
        <v>0</v>
      </c>
      <c r="BN1015" s="328">
        <v>0</v>
      </c>
      <c r="BO1015" s="3012">
        <v>0</v>
      </c>
      <c r="BP1015" s="346">
        <f>SUM(BL1015:BO1015)</f>
        <v>0</v>
      </c>
      <c r="BQ1015" s="328">
        <v>0</v>
      </c>
      <c r="BR1015" s="328">
        <v>0</v>
      </c>
      <c r="BS1015" s="328">
        <v>0</v>
      </c>
      <c r="BT1015" s="3012">
        <v>0</v>
      </c>
      <c r="BU1015" s="3352">
        <f>SUM(BQ1015:BT1015)</f>
        <v>0</v>
      </c>
      <c r="BV1015" s="328">
        <v>0</v>
      </c>
      <c r="BW1015" s="328">
        <v>0</v>
      </c>
      <c r="BX1015" s="328">
        <v>0</v>
      </c>
      <c r="BY1015" s="328">
        <v>0</v>
      </c>
      <c r="BZ1015" s="4014">
        <f>SUM(BV1015:BY1015)</f>
        <v>0</v>
      </c>
      <c r="CA1015" s="346">
        <f t="shared" ref="CA1015:CB1017" si="1890">BZ1015</f>
        <v>0</v>
      </c>
      <c r="CB1015" s="346">
        <f t="shared" si="1890"/>
        <v>0</v>
      </c>
      <c r="CC1015" s="346">
        <f t="shared" ref="CC1015:CG1017" si="1891">CB1015</f>
        <v>0</v>
      </c>
      <c r="CD1015" s="346">
        <f t="shared" si="1891"/>
        <v>0</v>
      </c>
      <c r="CE1015" s="346">
        <f t="shared" si="1891"/>
        <v>0</v>
      </c>
      <c r="CF1015" s="346">
        <f t="shared" si="1891"/>
        <v>0</v>
      </c>
      <c r="CG1015" s="346">
        <f t="shared" si="1891"/>
        <v>0</v>
      </c>
      <c r="CH1015" s="201"/>
      <c r="CI1015" s="201"/>
      <c r="CJ1015" s="201"/>
      <c r="CK1015" s="201"/>
      <c r="CL1015" s="201"/>
      <c r="CM1015" s="965"/>
      <c r="CN1015" s="965">
        <f t="shared" si="1887"/>
        <v>0</v>
      </c>
      <c r="CO1015" s="965">
        <f t="shared" si="1888"/>
        <v>0</v>
      </c>
      <c r="CP1015" s="994" t="str">
        <f t="shared" si="1865"/>
        <v>Net loss/(income) in Borgata</v>
      </c>
      <c r="CQ1015" s="201">
        <f t="shared" si="1866"/>
        <v>-65.411000000000001</v>
      </c>
      <c r="CR1015" s="201">
        <f t="shared" si="1867"/>
        <v>-84.296000000000006</v>
      </c>
      <c r="CS1015" s="201">
        <f t="shared" si="1868"/>
        <v>-75.617999999999995</v>
      </c>
      <c r="CT1015" s="201">
        <f t="shared" si="1869"/>
        <v>-69.369</v>
      </c>
      <c r="CU1015" s="201">
        <f t="shared" si="1870"/>
        <v>-40.347000000000001</v>
      </c>
      <c r="CV1015" s="201">
        <f t="shared" si="1871"/>
        <v>-52.822999999999993</v>
      </c>
      <c r="CW1015" s="201">
        <f t="shared" si="1872"/>
        <v>-5.0129999999999999</v>
      </c>
      <c r="CX1015" s="201">
        <f t="shared" si="1873"/>
        <v>0</v>
      </c>
      <c r="CY1015" s="201">
        <f t="shared" si="1874"/>
        <v>0</v>
      </c>
      <c r="CZ1015" s="201">
        <f t="shared" si="1875"/>
        <v>0</v>
      </c>
      <c r="DA1015" s="201">
        <f t="shared" si="1876"/>
        <v>0</v>
      </c>
      <c r="DB1015" s="201">
        <f t="shared" si="1877"/>
        <v>0</v>
      </c>
      <c r="DC1015" s="201">
        <f t="shared" si="1878"/>
        <v>0</v>
      </c>
      <c r="DD1015" s="201">
        <f t="shared" si="1879"/>
        <v>0</v>
      </c>
      <c r="DE1015" s="201">
        <f t="shared" si="1880"/>
        <v>0</v>
      </c>
      <c r="DF1015" s="201">
        <f t="shared" si="1881"/>
        <v>0</v>
      </c>
      <c r="DG1015" s="1804">
        <f t="shared" si="1882"/>
        <v>0</v>
      </c>
      <c r="DH1015" s="379"/>
      <c r="DI1015" s="379"/>
      <c r="DJ1015" s="379"/>
      <c r="DK1015" s="379"/>
      <c r="DL1015" s="379"/>
      <c r="DM1015" s="379"/>
      <c r="DN1015" s="492"/>
      <c r="DO1015" s="389"/>
      <c r="DY1015" s="347"/>
      <c r="DZ1015" s="347"/>
    </row>
    <row r="1016" spans="1:130" ht="12" customHeight="1">
      <c r="A1016" s="994" t="s">
        <v>172</v>
      </c>
      <c r="B1016" s="552"/>
      <c r="C1016" s="552"/>
      <c r="D1016" s="363"/>
      <c r="E1016" s="364"/>
      <c r="F1016" s="364"/>
      <c r="G1016" s="364"/>
      <c r="H1016" s="432"/>
      <c r="I1016" s="364">
        <v>6.7220000000000004</v>
      </c>
      <c r="J1016" s="364">
        <f>13.289-I1016</f>
        <v>6.5669999999999993</v>
      </c>
      <c r="K1016" s="364">
        <f>19.627-J1016-I1016</f>
        <v>6.3379999999999983</v>
      </c>
      <c r="L1016" s="364">
        <f>29.338-K1016-J1016-I1016</f>
        <v>9.7110000000000021</v>
      </c>
      <c r="M1016" s="373">
        <f>SUM(I1016:L1016)</f>
        <v>29.338000000000001</v>
      </c>
      <c r="N1016" s="364">
        <v>20.297999999999998</v>
      </c>
      <c r="O1016" s="364">
        <f>42.653-N1016</f>
        <v>22.355</v>
      </c>
      <c r="P1016" s="364">
        <f>60.052-O1016-N1016</f>
        <v>17.399000000000004</v>
      </c>
      <c r="Q1016" s="364">
        <f>82.603-P1016-O1016-N1016</f>
        <v>22.550999999999991</v>
      </c>
      <c r="R1016" s="346">
        <f>SUM(N1016:Q1016)</f>
        <v>82.602999999999994</v>
      </c>
      <c r="S1016" s="364">
        <v>14.611000000000001</v>
      </c>
      <c r="T1016" s="364">
        <f>32.245-S1016</f>
        <v>17.633999999999997</v>
      </c>
      <c r="U1016" s="364">
        <f>46.709-T1016-S1016</f>
        <v>14.464000000000006</v>
      </c>
      <c r="V1016" s="364">
        <f>70.57-U1016-T1016-S1016</f>
        <v>23.860999999999994</v>
      </c>
      <c r="W1016" s="346">
        <f>SUM(S1016:V1016)</f>
        <v>70.569999999999993</v>
      </c>
      <c r="X1016" s="364">
        <v>14.707000000000001</v>
      </c>
      <c r="Y1016" s="364">
        <f>19.579-X1016</f>
        <v>4.8719999999999999</v>
      </c>
      <c r="Z1016" s="364">
        <f>19.579-Y1016-X1016</f>
        <v>0</v>
      </c>
      <c r="AA1016" s="364">
        <f>19.579-Z1016-Y1016-X1016</f>
        <v>0</v>
      </c>
      <c r="AB1016" s="346">
        <f>SUM(X1016:AA1016)</f>
        <v>19.579000000000001</v>
      </c>
      <c r="AC1016" s="364">
        <v>9.7029999999999994</v>
      </c>
      <c r="AD1016" s="364">
        <f>12.581-AC1016</f>
        <v>2.8780000000000001</v>
      </c>
      <c r="AE1016" s="364">
        <f>15.777-AC1016-AD1016</f>
        <v>3.1959999999999997</v>
      </c>
      <c r="AF1016" s="328">
        <f>60.136-AE1016-AD1016-AC1016</f>
        <v>44.359000000000009</v>
      </c>
      <c r="AG1016" s="346">
        <f>SUM(AC1016:AF1016)</f>
        <v>60.13600000000001</v>
      </c>
      <c r="AH1016" s="328">
        <v>1.91</v>
      </c>
      <c r="AI1016" s="328">
        <f>-5.013-AH1016</f>
        <v>-6.923</v>
      </c>
      <c r="AJ1016" s="328">
        <f>1.91-AI1016-AH1016</f>
        <v>6.923</v>
      </c>
      <c r="AK1016" s="328">
        <f>1.91-AJ1016-AI1016-AH1016</f>
        <v>0</v>
      </c>
      <c r="AL1016" s="346">
        <f>SUM(AH1016:AK1016)</f>
        <v>1.9100000000000001</v>
      </c>
      <c r="AM1016" s="328">
        <v>0</v>
      </c>
      <c r="AN1016" s="328">
        <v>0</v>
      </c>
      <c r="AO1016" s="328">
        <v>0</v>
      </c>
      <c r="AP1016" s="328"/>
      <c r="AQ1016" s="375">
        <v>0</v>
      </c>
      <c r="AR1016" s="328">
        <v>0</v>
      </c>
      <c r="AS1016" s="328">
        <v>0</v>
      </c>
      <c r="AT1016" s="328">
        <v>0</v>
      </c>
      <c r="AU1016" s="376">
        <f>0-AR1016-AS1016-AT1016</f>
        <v>0</v>
      </c>
      <c r="AV1016" s="375">
        <f>SUM(AR1016:AU1016)</f>
        <v>0</v>
      </c>
      <c r="AW1016" s="328">
        <v>0</v>
      </c>
      <c r="AX1016" s="376">
        <v>0</v>
      </c>
      <c r="AY1016" s="376">
        <f>0-AX1016-AW1016</f>
        <v>0</v>
      </c>
      <c r="AZ1016" s="376">
        <f>0-AW1016-AX1016-AY1016</f>
        <v>0</v>
      </c>
      <c r="BA1016" s="375">
        <f>SUM(AW1016:AZ1016)</f>
        <v>0</v>
      </c>
      <c r="BB1016" s="328">
        <v>0</v>
      </c>
      <c r="BC1016" s="376">
        <v>0</v>
      </c>
      <c r="BD1016" s="376">
        <f>0-BC1016-BB1016</f>
        <v>0</v>
      </c>
      <c r="BE1016" s="376">
        <f>0-BD1016-BC1016-BB1016</f>
        <v>0</v>
      </c>
      <c r="BF1016" s="346">
        <f>SUM(BB1016:BE1016)</f>
        <v>0</v>
      </c>
      <c r="BG1016" s="327">
        <v>0</v>
      </c>
      <c r="BH1016" s="328">
        <v>0</v>
      </c>
      <c r="BI1016" s="328">
        <v>0</v>
      </c>
      <c r="BJ1016" s="376">
        <f>0-BI1016-BH1016-BG1016</f>
        <v>0</v>
      </c>
      <c r="BK1016" s="346">
        <f>SUM(BG1016:BJ1016)</f>
        <v>0</v>
      </c>
      <c r="BL1016" s="328">
        <v>0</v>
      </c>
      <c r="BM1016" s="328">
        <v>0</v>
      </c>
      <c r="BN1016" s="328">
        <v>0</v>
      </c>
      <c r="BO1016" s="3012">
        <v>0</v>
      </c>
      <c r="BP1016" s="346">
        <f>SUM(BL1016:BO1016)</f>
        <v>0</v>
      </c>
      <c r="BQ1016" s="328">
        <v>0</v>
      </c>
      <c r="BR1016" s="328">
        <v>0</v>
      </c>
      <c r="BS1016" s="328">
        <v>0</v>
      </c>
      <c r="BT1016" s="3012">
        <v>0</v>
      </c>
      <c r="BU1016" s="3352">
        <f>SUM(BQ1016:BT1016)</f>
        <v>0</v>
      </c>
      <c r="BV1016" s="328">
        <v>0</v>
      </c>
      <c r="BW1016" s="328">
        <v>0</v>
      </c>
      <c r="BX1016" s="328">
        <v>0</v>
      </c>
      <c r="BY1016" s="328">
        <v>0</v>
      </c>
      <c r="BZ1016" s="4014">
        <f>SUM(BV1016:BY1016)</f>
        <v>0</v>
      </c>
      <c r="CA1016" s="346">
        <f t="shared" si="1890"/>
        <v>0</v>
      </c>
      <c r="CB1016" s="346">
        <f t="shared" si="1890"/>
        <v>0</v>
      </c>
      <c r="CC1016" s="346">
        <f t="shared" si="1891"/>
        <v>0</v>
      </c>
      <c r="CD1016" s="346">
        <f t="shared" si="1891"/>
        <v>0</v>
      </c>
      <c r="CE1016" s="346">
        <f t="shared" si="1891"/>
        <v>0</v>
      </c>
      <c r="CF1016" s="346">
        <f t="shared" si="1891"/>
        <v>0</v>
      </c>
      <c r="CG1016" s="346">
        <f t="shared" si="1891"/>
        <v>0</v>
      </c>
      <c r="CH1016" s="201"/>
      <c r="CI1016" s="201"/>
      <c r="CJ1016" s="201"/>
      <c r="CK1016" s="201"/>
      <c r="CL1016" s="201"/>
      <c r="CM1016" s="965"/>
      <c r="CN1016" s="965">
        <f t="shared" si="1887"/>
        <v>0</v>
      </c>
      <c r="CO1016" s="965">
        <f t="shared" si="1888"/>
        <v>0</v>
      </c>
      <c r="CP1016" s="994" t="str">
        <f t="shared" si="1865"/>
        <v>Distribution received from Borgata</v>
      </c>
      <c r="CQ1016" s="347">
        <f t="shared" si="1866"/>
        <v>0</v>
      </c>
      <c r="CR1016" s="347">
        <f t="shared" si="1867"/>
        <v>29.338000000000001</v>
      </c>
      <c r="CS1016" s="347">
        <f t="shared" si="1868"/>
        <v>82.602999999999994</v>
      </c>
      <c r="CT1016" s="347">
        <f t="shared" si="1869"/>
        <v>70.569999999999993</v>
      </c>
      <c r="CU1016" s="347">
        <f t="shared" si="1870"/>
        <v>19.579000000000001</v>
      </c>
      <c r="CV1016" s="347">
        <f t="shared" si="1871"/>
        <v>60.13600000000001</v>
      </c>
      <c r="CW1016" s="347">
        <f t="shared" si="1872"/>
        <v>1.9100000000000001</v>
      </c>
      <c r="CX1016" s="347">
        <f t="shared" si="1873"/>
        <v>0</v>
      </c>
      <c r="CY1016" s="347">
        <f t="shared" si="1874"/>
        <v>0</v>
      </c>
      <c r="CZ1016" s="347">
        <f t="shared" si="1875"/>
        <v>0</v>
      </c>
      <c r="DA1016" s="347">
        <f t="shared" si="1876"/>
        <v>0</v>
      </c>
      <c r="DB1016" s="347">
        <f t="shared" si="1877"/>
        <v>0</v>
      </c>
      <c r="DC1016" s="347">
        <f t="shared" si="1878"/>
        <v>0</v>
      </c>
      <c r="DD1016" s="347">
        <f t="shared" si="1879"/>
        <v>0</v>
      </c>
      <c r="DE1016" s="347">
        <f t="shared" si="1880"/>
        <v>0</v>
      </c>
      <c r="DF1016" s="347">
        <f t="shared" si="1881"/>
        <v>0</v>
      </c>
      <c r="DG1016" s="1795">
        <f t="shared" si="1882"/>
        <v>0</v>
      </c>
      <c r="DH1016" s="379"/>
      <c r="DI1016" s="379"/>
      <c r="DJ1016" s="379"/>
      <c r="DK1016" s="379"/>
      <c r="DL1016" s="379"/>
      <c r="DM1016" s="379"/>
      <c r="DN1016" s="492"/>
      <c r="DO1016" s="389"/>
      <c r="DY1016" s="347"/>
      <c r="DZ1016" s="347"/>
    </row>
    <row r="1017" spans="1:130" ht="12" customHeight="1">
      <c r="A1017" s="994" t="s">
        <v>173</v>
      </c>
      <c r="B1017" s="552"/>
      <c r="C1017" s="552"/>
      <c r="D1017" s="363"/>
      <c r="E1017" s="364"/>
      <c r="F1017" s="364"/>
      <c r="G1017" s="364"/>
      <c r="H1017" s="432"/>
      <c r="I1017" s="364"/>
      <c r="J1017" s="364"/>
      <c r="K1017" s="364"/>
      <c r="L1017" s="364"/>
      <c r="M1017" s="432"/>
      <c r="N1017" s="364"/>
      <c r="O1017" s="364">
        <f>29.135-N1017</f>
        <v>29.135000000000002</v>
      </c>
      <c r="P1017" s="364">
        <f>97.135-O1017-N1017</f>
        <v>68</v>
      </c>
      <c r="Q1017" s="364">
        <f>101.592-P1017-O1017-N1017</f>
        <v>4.4569999999999972</v>
      </c>
      <c r="R1017" s="373">
        <f>SUM(N1017:Q1017)</f>
        <v>101.592</v>
      </c>
      <c r="S1017" s="364">
        <v>0</v>
      </c>
      <c r="T1017" s="364">
        <v>0</v>
      </c>
      <c r="U1017" s="364">
        <v>0</v>
      </c>
      <c r="V1017" s="364">
        <f>3.744-U1017-T1017-S1017</f>
        <v>3.7440000000000002</v>
      </c>
      <c r="W1017" s="373">
        <f>SUM(S1017:V1017)</f>
        <v>3.7440000000000002</v>
      </c>
      <c r="X1017" s="364">
        <v>90.313000000000002</v>
      </c>
      <c r="Y1017" s="364">
        <f>91.487-X1017</f>
        <v>1.1739999999999924</v>
      </c>
      <c r="Z1017" s="364">
        <f>91.769-Y1017-X1017</f>
        <v>0.28200000000001069</v>
      </c>
      <c r="AA1017" s="364">
        <f>382.012-Z1017-Y1017-X1017</f>
        <v>290.24300000000005</v>
      </c>
      <c r="AB1017" s="373">
        <f>SUM(X1017:AA1017)</f>
        <v>382.01200000000006</v>
      </c>
      <c r="AC1017" s="364">
        <v>28.434999999999999</v>
      </c>
      <c r="AD1017" s="364">
        <f>28.476-AC1017</f>
        <v>4.1000000000000369E-2</v>
      </c>
      <c r="AE1017" s="364">
        <f>42.341-AC1017-AD1017</f>
        <v>13.865000000000002</v>
      </c>
      <c r="AF1017" s="364">
        <f>42.35-AE1017-AD1017-AC1017</f>
        <v>9.0000000000003411E-3</v>
      </c>
      <c r="AG1017" s="373">
        <f>SUM(AC1017:AF1017)</f>
        <v>42.35</v>
      </c>
      <c r="AH1017" s="376">
        <v>0</v>
      </c>
      <c r="AI1017" s="376">
        <v>0</v>
      </c>
      <c r="AJ1017" s="376">
        <v>0</v>
      </c>
      <c r="AK1017" s="376">
        <v>0</v>
      </c>
      <c r="AL1017" s="375">
        <f>SUM(AH1017:AK1017)</f>
        <v>0</v>
      </c>
      <c r="AM1017" s="376">
        <v>4.7069999999999999</v>
      </c>
      <c r="AN1017" s="376">
        <f>6.444-AM1017</f>
        <v>1.7370000000000001</v>
      </c>
      <c r="AO1017" s="376">
        <f>6.052-AN1017-AM1017</f>
        <v>-0.39200000000000035</v>
      </c>
      <c r="AP1017" s="376">
        <f>7.764-AO1017-AN1017-AM1017</f>
        <v>1.7120000000000006</v>
      </c>
      <c r="AQ1017" s="375">
        <f>SUM(AM1017:AP1017)</f>
        <v>7.7640000000000002</v>
      </c>
      <c r="AR1017" s="376">
        <v>0</v>
      </c>
      <c r="AS1017" s="376">
        <v>0</v>
      </c>
      <c r="AT1017" s="376">
        <v>0</v>
      </c>
      <c r="AU1017" s="376">
        <f>1053.526-AR1017-AS1017-AT1017</f>
        <v>1053.5260000000001</v>
      </c>
      <c r="AV1017" s="375">
        <f>SUM(AR1017:AU1017)</f>
        <v>1053.5260000000001</v>
      </c>
      <c r="AW1017" s="376">
        <v>0</v>
      </c>
      <c r="AX1017" s="376">
        <v>0</v>
      </c>
      <c r="AY1017" s="376">
        <f>0-AX1017-AW1017</f>
        <v>0</v>
      </c>
      <c r="AZ1017" s="376">
        <f>11.636-AW1017-AX1017-AY1017</f>
        <v>11.635999999999999</v>
      </c>
      <c r="BA1017" s="375">
        <f>SUM(AW1017:AZ1017)</f>
        <v>11.635999999999999</v>
      </c>
      <c r="BB1017" s="376">
        <v>0</v>
      </c>
      <c r="BC1017" s="376">
        <v>0</v>
      </c>
      <c r="BD1017" s="376">
        <f>0-BC1017-BB1017</f>
        <v>0</v>
      </c>
      <c r="BE1017" s="376">
        <f>0-BD1017-BC1017-BB1017</f>
        <v>0</v>
      </c>
      <c r="BF1017" s="346">
        <f>SUM(BB1017:BE1017)</f>
        <v>0</v>
      </c>
      <c r="BG1017" s="327">
        <v>0</v>
      </c>
      <c r="BH1017" s="328">
        <v>0</v>
      </c>
      <c r="BI1017" s="328">
        <v>0</v>
      </c>
      <c r="BJ1017" s="376">
        <f>0-BI1017-BH1017-BG1017</f>
        <v>0</v>
      </c>
      <c r="BK1017" s="346">
        <f>SUM(BG1017:BJ1017)</f>
        <v>0</v>
      </c>
      <c r="BL1017" s="328">
        <v>0</v>
      </c>
      <c r="BM1017" s="328">
        <v>0</v>
      </c>
      <c r="BN1017" s="328">
        <v>0</v>
      </c>
      <c r="BO1017" s="3012">
        <v>0</v>
      </c>
      <c r="BP1017" s="346">
        <f>SUM(BL1017:BO1017)</f>
        <v>0</v>
      </c>
      <c r="BQ1017" s="328">
        <v>0</v>
      </c>
      <c r="BR1017" s="328">
        <v>0</v>
      </c>
      <c r="BS1017" s="328">
        <v>0</v>
      </c>
      <c r="BT1017" s="3012">
        <v>0</v>
      </c>
      <c r="BU1017" s="3352">
        <f>SUM(BQ1017:BT1017)</f>
        <v>0</v>
      </c>
      <c r="BV1017" s="328">
        <v>0</v>
      </c>
      <c r="BW1017" s="328">
        <v>0</v>
      </c>
      <c r="BX1017" s="328">
        <v>0</v>
      </c>
      <c r="BY1017" s="328">
        <v>0</v>
      </c>
      <c r="BZ1017" s="4014">
        <f>SUM(BV1017:BY1017)</f>
        <v>0</v>
      </c>
      <c r="CA1017" s="346">
        <f t="shared" si="1890"/>
        <v>0</v>
      </c>
      <c r="CB1017" s="346">
        <f t="shared" si="1890"/>
        <v>0</v>
      </c>
      <c r="CC1017" s="346">
        <f t="shared" si="1891"/>
        <v>0</v>
      </c>
      <c r="CD1017" s="346">
        <f t="shared" si="1891"/>
        <v>0</v>
      </c>
      <c r="CE1017" s="346">
        <f t="shared" si="1891"/>
        <v>0</v>
      </c>
      <c r="CF1017" s="346">
        <f t="shared" si="1891"/>
        <v>0</v>
      </c>
      <c r="CG1017" s="346">
        <f t="shared" si="1891"/>
        <v>0</v>
      </c>
      <c r="CH1017" s="364"/>
      <c r="CI1017" s="364"/>
      <c r="CJ1017" s="364"/>
      <c r="CK1017" s="364"/>
      <c r="CL1017" s="364"/>
      <c r="CM1017" s="965"/>
      <c r="CN1017" s="965">
        <f t="shared" si="1887"/>
        <v>0</v>
      </c>
      <c r="CO1017" s="965">
        <f t="shared" si="1888"/>
        <v>0</v>
      </c>
      <c r="CP1017" s="994" t="str">
        <f t="shared" si="1865"/>
        <v>Asset writedowns</v>
      </c>
      <c r="CQ1017" s="374">
        <f t="shared" si="1866"/>
        <v>0</v>
      </c>
      <c r="CR1017" s="374">
        <f t="shared" si="1867"/>
        <v>0</v>
      </c>
      <c r="CS1017" s="374">
        <f t="shared" si="1868"/>
        <v>101.592</v>
      </c>
      <c r="CT1017" s="374">
        <f t="shared" si="1869"/>
        <v>3.7440000000000002</v>
      </c>
      <c r="CU1017" s="374">
        <f t="shared" si="1870"/>
        <v>382.01200000000006</v>
      </c>
      <c r="CV1017" s="374">
        <f t="shared" si="1871"/>
        <v>42.35</v>
      </c>
      <c r="CW1017" s="374">
        <f t="shared" si="1872"/>
        <v>0</v>
      </c>
      <c r="CX1017" s="374">
        <f t="shared" si="1873"/>
        <v>7.7640000000000002</v>
      </c>
      <c r="CY1017" s="374">
        <f t="shared" si="1874"/>
        <v>1053.5260000000001</v>
      </c>
      <c r="CZ1017" s="374">
        <f t="shared" si="1875"/>
        <v>11.635999999999999</v>
      </c>
      <c r="DA1017" s="374">
        <f t="shared" si="1876"/>
        <v>0</v>
      </c>
      <c r="DB1017" s="374">
        <f t="shared" si="1877"/>
        <v>0</v>
      </c>
      <c r="DC1017" s="374">
        <f t="shared" si="1878"/>
        <v>0</v>
      </c>
      <c r="DD1017" s="374">
        <f t="shared" si="1879"/>
        <v>0</v>
      </c>
      <c r="DE1017" s="374">
        <f t="shared" si="1880"/>
        <v>0</v>
      </c>
      <c r="DF1017" s="374">
        <f t="shared" si="1881"/>
        <v>0</v>
      </c>
      <c r="DG1017" s="1802">
        <f t="shared" si="1882"/>
        <v>0</v>
      </c>
      <c r="DH1017" s="379"/>
      <c r="DI1017" s="379"/>
      <c r="DJ1017" s="379"/>
      <c r="DK1017" s="379"/>
      <c r="DL1017" s="379"/>
      <c r="DM1017" s="379"/>
      <c r="DN1017" s="492"/>
      <c r="DO1017" s="389"/>
      <c r="DY1017" s="347"/>
      <c r="DZ1017" s="347"/>
    </row>
    <row r="1018" spans="1:130" ht="12" customHeight="1">
      <c r="A1018" s="994" t="s">
        <v>805</v>
      </c>
      <c r="B1018" s="552"/>
      <c r="C1018" s="552"/>
      <c r="D1018" s="363"/>
      <c r="E1018" s="364"/>
      <c r="F1018" s="364"/>
      <c r="G1018" s="364"/>
      <c r="H1018" s="432"/>
      <c r="I1018" s="364"/>
      <c r="J1018" s="364"/>
      <c r="K1018" s="364"/>
      <c r="L1018" s="364"/>
      <c r="M1018" s="432"/>
      <c r="N1018" s="364"/>
      <c r="O1018" s="364"/>
      <c r="P1018" s="364"/>
      <c r="Q1018" s="364"/>
      <c r="R1018" s="432"/>
      <c r="S1018" s="364"/>
      <c r="T1018" s="364"/>
      <c r="U1018" s="364"/>
      <c r="V1018" s="364"/>
      <c r="W1018" s="432"/>
      <c r="X1018" s="364"/>
      <c r="Y1018" s="364"/>
      <c r="Z1018" s="364"/>
      <c r="AA1018" s="364"/>
      <c r="AB1018" s="432"/>
      <c r="AC1018" s="364"/>
      <c r="AD1018" s="364"/>
      <c r="AE1018" s="364"/>
      <c r="AF1018" s="364"/>
      <c r="AG1018" s="432"/>
      <c r="AH1018" s="376"/>
      <c r="AI1018" s="376"/>
      <c r="AJ1018" s="376"/>
      <c r="AK1018" s="376"/>
      <c r="AL1018" s="378"/>
      <c r="AM1018" s="376"/>
      <c r="AN1018" s="376"/>
      <c r="AO1018" s="376"/>
      <c r="AP1018" s="376"/>
      <c r="AQ1018" s="378"/>
      <c r="AR1018" s="376"/>
      <c r="AS1018" s="376"/>
      <c r="AT1018" s="376"/>
      <c r="AU1018" s="376"/>
      <c r="AV1018" s="378"/>
      <c r="AW1018" s="376"/>
      <c r="AX1018" s="376"/>
      <c r="AY1018" s="376"/>
      <c r="AZ1018" s="376"/>
      <c r="BA1018" s="378"/>
      <c r="BB1018" s="376"/>
      <c r="BC1018" s="376"/>
      <c r="BD1018" s="376"/>
      <c r="BE1018" s="376"/>
      <c r="BF1018" s="378"/>
      <c r="BG1018" s="363"/>
      <c r="BH1018" s="364"/>
      <c r="BI1018" s="364"/>
      <c r="BJ1018" s="376"/>
      <c r="BK1018" s="378"/>
      <c r="BL1018" s="364"/>
      <c r="BM1018" s="364"/>
      <c r="BN1018" s="364"/>
      <c r="BO1018" s="3013"/>
      <c r="BP1018" s="378"/>
      <c r="BQ1018" s="364"/>
      <c r="BR1018" s="364"/>
      <c r="BS1018" s="364"/>
      <c r="BT1018" s="3013"/>
      <c r="BU1018" s="3325"/>
      <c r="BV1018" s="364"/>
      <c r="BW1018" s="364"/>
      <c r="BX1018" s="364"/>
      <c r="BY1018" s="364"/>
      <c r="BZ1018" s="3144"/>
      <c r="CA1018" s="378"/>
      <c r="CB1018" s="378"/>
      <c r="CC1018" s="378"/>
      <c r="CD1018" s="378"/>
      <c r="CE1018" s="378"/>
      <c r="CF1018" s="378"/>
      <c r="CG1018" s="378"/>
      <c r="CH1018" s="364"/>
      <c r="CI1018" s="364"/>
      <c r="CJ1018" s="364"/>
      <c r="CK1018" s="364"/>
      <c r="CL1018" s="364"/>
      <c r="CM1018" s="965"/>
      <c r="CN1018" s="965">
        <f t="shared" si="1887"/>
        <v>0</v>
      </c>
      <c r="CO1018" s="965">
        <f t="shared" si="1888"/>
        <v>0</v>
      </c>
      <c r="CP1018" s="994" t="str">
        <f t="shared" si="1865"/>
        <v>Working Capital:</v>
      </c>
      <c r="CQ1018" s="374">
        <f t="shared" si="1866"/>
        <v>0</v>
      </c>
      <c r="CR1018" s="374">
        <f t="shared" si="1867"/>
        <v>0</v>
      </c>
      <c r="CS1018" s="374">
        <f t="shared" si="1868"/>
        <v>0</v>
      </c>
      <c r="CT1018" s="374">
        <f t="shared" si="1869"/>
        <v>0</v>
      </c>
      <c r="CU1018" s="374">
        <f t="shared" si="1870"/>
        <v>0</v>
      </c>
      <c r="CV1018" s="374">
        <f t="shared" si="1871"/>
        <v>0</v>
      </c>
      <c r="CW1018" s="374">
        <f t="shared" si="1872"/>
        <v>0</v>
      </c>
      <c r="CX1018" s="374">
        <f t="shared" si="1873"/>
        <v>0</v>
      </c>
      <c r="CY1018" s="374">
        <f t="shared" si="1874"/>
        <v>0</v>
      </c>
      <c r="CZ1018" s="374">
        <f t="shared" si="1875"/>
        <v>0</v>
      </c>
      <c r="DA1018" s="374">
        <f t="shared" si="1876"/>
        <v>0</v>
      </c>
      <c r="DB1018" s="374">
        <f t="shared" si="1877"/>
        <v>0</v>
      </c>
      <c r="DC1018" s="374">
        <f t="shared" si="1878"/>
        <v>0</v>
      </c>
      <c r="DD1018" s="374">
        <f t="shared" si="1879"/>
        <v>0</v>
      </c>
      <c r="DE1018" s="374">
        <f t="shared" si="1880"/>
        <v>0</v>
      </c>
      <c r="DF1018" s="374">
        <f t="shared" si="1881"/>
        <v>0</v>
      </c>
      <c r="DG1018" s="1802">
        <f t="shared" si="1882"/>
        <v>0</v>
      </c>
      <c r="DH1018" s="104"/>
      <c r="DI1018" s="379"/>
      <c r="DJ1018" s="379"/>
      <c r="DK1018" s="379"/>
      <c r="DL1018" s="379"/>
      <c r="DM1018" s="379"/>
      <c r="DN1018" s="492"/>
      <c r="DO1018" s="389"/>
      <c r="DY1018" s="364"/>
      <c r="DZ1018" s="364"/>
    </row>
    <row r="1019" spans="1:130" ht="12" customHeight="1">
      <c r="A1019" s="995" t="s">
        <v>1022</v>
      </c>
      <c r="B1019" s="875"/>
      <c r="C1019" s="875"/>
      <c r="D1019" s="327">
        <v>0.36499999999999999</v>
      </c>
      <c r="E1019" s="328">
        <f>-1.276-D1019</f>
        <v>-1.641</v>
      </c>
      <c r="F1019" s="328">
        <f>-1.565-E1019-D1019</f>
        <v>-0.28899999999999992</v>
      </c>
      <c r="G1019" s="328">
        <f>-8.453-F1019-E1019-D1019</f>
        <v>-6.8879999999999999</v>
      </c>
      <c r="H1019" s="346">
        <f t="shared" ref="H1019:H1028" si="1892">SUM(D1019:G1019)</f>
        <v>-8.4529999999999994</v>
      </c>
      <c r="I1019" s="328">
        <v>4.2039999999999997</v>
      </c>
      <c r="J1019" s="328">
        <f>7.084-I1019</f>
        <v>2.88</v>
      </c>
      <c r="K1019" s="328">
        <f>5.088-J1019-I1019</f>
        <v>-1.9959999999999996</v>
      </c>
      <c r="L1019" s="328">
        <f>3.557-K1019-J1019-I1019</f>
        <v>-1.5310000000000006</v>
      </c>
      <c r="M1019" s="346">
        <f t="shared" ref="M1019:M1027" si="1893">SUM(I1019:L1019)</f>
        <v>3.5569999999999995</v>
      </c>
      <c r="N1019" s="328">
        <v>1.639</v>
      </c>
      <c r="O1019" s="328">
        <f>0.202-N1019</f>
        <v>-1.4370000000000001</v>
      </c>
      <c r="P1019" s="328">
        <f>-1.802-O1019-N1019</f>
        <v>-2.004</v>
      </c>
      <c r="Q1019" s="328">
        <f>-0.983-P1019-O1019-N1019</f>
        <v>0.81900000000000017</v>
      </c>
      <c r="R1019" s="346">
        <f t="shared" ref="R1019:R1026" si="1894">SUM(N1019:Q1019)</f>
        <v>-0.98299999999999987</v>
      </c>
      <c r="S1019" s="328">
        <v>3.242</v>
      </c>
      <c r="T1019" s="328">
        <f>4.882-S1019</f>
        <v>1.6399999999999997</v>
      </c>
      <c r="U1019" s="328">
        <f>1.69-T1019-S1019</f>
        <v>-3.1919999999999997</v>
      </c>
      <c r="V1019" s="328">
        <f>3.067-U1019-T1019-S1019</f>
        <v>1.3770000000000007</v>
      </c>
      <c r="W1019" s="346">
        <f t="shared" ref="W1019:W1027" si="1895">SUM(S1019:V1019)</f>
        <v>3.0670000000000006</v>
      </c>
      <c r="X1019" s="328">
        <v>1.012</v>
      </c>
      <c r="Y1019" s="328">
        <f>4.218-X1019</f>
        <v>3.206</v>
      </c>
      <c r="Z1019" s="328">
        <f>2.457-Y1019-X1019</f>
        <v>-1.7610000000000001</v>
      </c>
      <c r="AA1019" s="328">
        <f>2.227-Z1019-Y1019-X1019</f>
        <v>-0.22999999999999998</v>
      </c>
      <c r="AB1019" s="346">
        <f t="shared" ref="AB1019:AB1027" si="1896">SUM(X1019:AA1019)</f>
        <v>2.2269999999999999</v>
      </c>
      <c r="AC1019" s="328">
        <v>-0.44</v>
      </c>
      <c r="AD1019" s="328">
        <f>0.172-AC1019</f>
        <v>0.61199999999999999</v>
      </c>
      <c r="AE1019" s="328">
        <f>2.689-AC1019-AD1019</f>
        <v>2.5169999999999999</v>
      </c>
      <c r="AF1019" s="328">
        <f>2.791-AE1019-AD1019-AC1019</f>
        <v>0.10200000000000004</v>
      </c>
      <c r="AG1019" s="346">
        <f t="shared" ref="AG1019:AG1027" si="1897">SUM(AC1019:AF1019)</f>
        <v>2.7909999999999999</v>
      </c>
      <c r="AH1019" s="376">
        <v>1.032</v>
      </c>
      <c r="AI1019" s="376">
        <f>2.628-AH1019</f>
        <v>1.5960000000000001</v>
      </c>
      <c r="AJ1019" s="376">
        <f>1.382-AI1019-AH1019</f>
        <v>-1.2460000000000002</v>
      </c>
      <c r="AK1019" s="376">
        <f>-2.862-AJ1019-AI1019-AH1019</f>
        <v>-4.2439999999999998</v>
      </c>
      <c r="AL1019" s="346">
        <f t="shared" ref="AL1019:AL1027" si="1898">SUM(AH1019:AK1019)</f>
        <v>-2.8620000000000001</v>
      </c>
      <c r="AM1019" s="376">
        <v>2.8820000000000001</v>
      </c>
      <c r="AN1019" s="376">
        <f>-0.048-AM1019</f>
        <v>-2.93</v>
      </c>
      <c r="AO1019" s="376">
        <f>-4.375-AN1019-AM1019</f>
        <v>-4.327</v>
      </c>
      <c r="AP1019" s="376">
        <f>-11.794-AO1019-AN1019-AM1019</f>
        <v>-7.4190000000000005</v>
      </c>
      <c r="AQ1019" s="346">
        <f t="shared" ref="AQ1019:AQ1027" si="1899">SUM(AM1019:AP1019)</f>
        <v>-11.794</v>
      </c>
      <c r="AR1019" s="376">
        <v>0.77900000000000003</v>
      </c>
      <c r="AS1019" s="376">
        <f>5.088-AR1019</f>
        <v>4.3090000000000002</v>
      </c>
      <c r="AT1019" s="376">
        <f>7.476-AR1019-AS1019</f>
        <v>2.3879999999999999</v>
      </c>
      <c r="AU1019" s="376">
        <f>9.475-AR1019-AS1019-AT1019</f>
        <v>1.9989999999999997</v>
      </c>
      <c r="AV1019" s="346">
        <f t="shared" ref="AV1019:AV1025" si="1900">SUM(AR1019:AU1019)</f>
        <v>9.4749999999999996</v>
      </c>
      <c r="AW1019" s="376">
        <v>0.53800000000000003</v>
      </c>
      <c r="AX1019" s="376">
        <f>0.023-AW1019</f>
        <v>-0.51500000000000001</v>
      </c>
      <c r="AY1019" s="376">
        <f>1.529-AX1019-AW1019</f>
        <v>1.506</v>
      </c>
      <c r="AZ1019" s="376">
        <f>-10.596-AW1019-AX1019-AY1019</f>
        <v>-12.125</v>
      </c>
      <c r="BA1019" s="346">
        <f t="shared" ref="BA1019:BA1025" si="1901">SUM(AW1019:AZ1019)</f>
        <v>-10.596</v>
      </c>
      <c r="BB1019" s="376">
        <v>3.83</v>
      </c>
      <c r="BC1019" s="376">
        <f>+-0.131-BB1019</f>
        <v>-3.9610000000000003</v>
      </c>
      <c r="BD1019" s="376">
        <f>0.788-BC1019-BB1019</f>
        <v>0.91900000000000048</v>
      </c>
      <c r="BE1019" s="376">
        <f>2.373-BD1019-BC1019-BB1019</f>
        <v>1.585</v>
      </c>
      <c r="BF1019" s="346">
        <f t="shared" ref="BF1019:BF1025" si="1902">SUM(BB1019:BE1019)</f>
        <v>2.3730000000000002</v>
      </c>
      <c r="BG1019" s="327">
        <v>1.44</v>
      </c>
      <c r="BH1019" s="328">
        <f>-1.391-BG1019</f>
        <v>-2.831</v>
      </c>
      <c r="BI1019" s="328">
        <f>2.22-SUM(BG1019:BH1019)</f>
        <v>3.6110000000000002</v>
      </c>
      <c r="BJ1019" s="376">
        <f>1.971-BI1019-BH1019-BG1019</f>
        <v>-0.24900000000000011</v>
      </c>
      <c r="BK1019" s="346">
        <f t="shared" ref="BK1019:BK1025" si="1903">SUM(BG1019:BJ1019)</f>
        <v>1.9710000000000001</v>
      </c>
      <c r="BL1019" s="328">
        <v>1.33</v>
      </c>
      <c r="BM1019" s="328">
        <f>-1.297-BL1019</f>
        <v>-2.6269999999999998</v>
      </c>
      <c r="BN1019" s="328">
        <f>2.045-SUM(BL1019:BM1019)</f>
        <v>3.3419999999999996</v>
      </c>
      <c r="BO1019" s="328">
        <f>0.045-SUM(BL1019:BN1019)</f>
        <v>-2</v>
      </c>
      <c r="BP1019" s="346">
        <f t="shared" ref="BP1019:BP1025" si="1904">SUM(BL1019:BO1019)</f>
        <v>4.4999999999999929E-2</v>
      </c>
      <c r="BQ1019" s="328">
        <v>2.1850000000000001</v>
      </c>
      <c r="BR1019" s="328">
        <f>0.539-BQ1019</f>
        <v>-1.6459999999999999</v>
      </c>
      <c r="BS1019" s="328">
        <f>-3.056-BR1019-BQ1019</f>
        <v>-3.5950000000000002</v>
      </c>
      <c r="BT1019" s="3012">
        <v>0</v>
      </c>
      <c r="BU1019" s="3352">
        <f t="shared" ref="BU1019:BU1025" si="1905">SUM(BQ1019:BT1019)</f>
        <v>-3.056</v>
      </c>
      <c r="BV1019" s="328">
        <v>0</v>
      </c>
      <c r="BW1019" s="328">
        <v>0</v>
      </c>
      <c r="BX1019" s="328">
        <v>0</v>
      </c>
      <c r="BY1019" s="328">
        <v>0</v>
      </c>
      <c r="BZ1019" s="4014">
        <f t="shared" ref="BZ1019:BZ1025" si="1906">SUM(BV1019:BY1019)</f>
        <v>0</v>
      </c>
      <c r="CA1019" s="346">
        <f t="shared" ref="CA1019:CB1020" si="1907">BZ1019</f>
        <v>0</v>
      </c>
      <c r="CB1019" s="346">
        <f t="shared" si="1907"/>
        <v>0</v>
      </c>
      <c r="CC1019" s="346">
        <f t="shared" ref="CC1019:CG1020" si="1908">CB1019</f>
        <v>0</v>
      </c>
      <c r="CD1019" s="346">
        <f t="shared" si="1908"/>
        <v>0</v>
      </c>
      <c r="CE1019" s="346">
        <f t="shared" si="1908"/>
        <v>0</v>
      </c>
      <c r="CF1019" s="346">
        <f t="shared" si="1908"/>
        <v>0</v>
      </c>
      <c r="CG1019" s="346">
        <f t="shared" si="1908"/>
        <v>0</v>
      </c>
      <c r="CH1019" s="347"/>
      <c r="CI1019" s="347"/>
      <c r="CJ1019" s="347"/>
      <c r="CK1019" s="347"/>
      <c r="CL1019" s="347"/>
      <c r="CM1019" s="965"/>
      <c r="CN1019" s="965">
        <f t="shared" si="1887"/>
        <v>0</v>
      </c>
      <c r="CO1019" s="965">
        <f t="shared" si="1888"/>
        <v>0</v>
      </c>
      <c r="CP1019" s="995" t="str">
        <f t="shared" si="1865"/>
        <v>Accounts receivable, net</v>
      </c>
      <c r="CQ1019" s="374">
        <f t="shared" si="1866"/>
        <v>-8.4529999999999994</v>
      </c>
      <c r="CR1019" s="374">
        <f t="shared" si="1867"/>
        <v>3.5569999999999995</v>
      </c>
      <c r="CS1019" s="374">
        <f t="shared" si="1868"/>
        <v>-0.98299999999999987</v>
      </c>
      <c r="CT1019" s="374">
        <f t="shared" si="1869"/>
        <v>3.0670000000000006</v>
      </c>
      <c r="CU1019" s="374">
        <f t="shared" si="1870"/>
        <v>2.2269999999999999</v>
      </c>
      <c r="CV1019" s="374">
        <f t="shared" si="1871"/>
        <v>2.7909999999999999</v>
      </c>
      <c r="CW1019" s="374">
        <f t="shared" si="1872"/>
        <v>-2.8620000000000001</v>
      </c>
      <c r="CX1019" s="374">
        <f t="shared" si="1873"/>
        <v>-11.794</v>
      </c>
      <c r="CY1019" s="374">
        <f t="shared" si="1874"/>
        <v>9.4749999999999996</v>
      </c>
      <c r="CZ1019" s="374">
        <f t="shared" si="1875"/>
        <v>-10.596</v>
      </c>
      <c r="DA1019" s="374">
        <f t="shared" si="1876"/>
        <v>2.3730000000000002</v>
      </c>
      <c r="DB1019" s="374">
        <f t="shared" si="1877"/>
        <v>1.9710000000000001</v>
      </c>
      <c r="DC1019" s="374">
        <f t="shared" si="1878"/>
        <v>4.4999999999999929E-2</v>
      </c>
      <c r="DD1019" s="374">
        <f t="shared" si="1879"/>
        <v>-3.056</v>
      </c>
      <c r="DE1019" s="374">
        <f t="shared" si="1880"/>
        <v>0</v>
      </c>
      <c r="DF1019" s="374">
        <f t="shared" si="1881"/>
        <v>0</v>
      </c>
      <c r="DG1019" s="1802">
        <f t="shared" si="1882"/>
        <v>0</v>
      </c>
      <c r="DH1019" s="290"/>
      <c r="DI1019" s="290"/>
      <c r="DJ1019" s="290"/>
      <c r="DK1019" s="290"/>
      <c r="DL1019" s="290"/>
      <c r="DM1019" s="290"/>
      <c r="DN1019" s="492"/>
      <c r="DO1019" s="389"/>
      <c r="DY1019" s="347"/>
      <c r="DZ1019" s="347"/>
    </row>
    <row r="1020" spans="1:130" ht="12" customHeight="1">
      <c r="A1020" s="995" t="s">
        <v>642</v>
      </c>
      <c r="B1020" s="875"/>
      <c r="C1020" s="875"/>
      <c r="D1020" s="327">
        <v>-6.5000000000000002E-2</v>
      </c>
      <c r="E1020" s="328">
        <f>-0.047-D1020</f>
        <v>1.8000000000000002E-2</v>
      </c>
      <c r="F1020" s="328">
        <f>0.153-E1020-D1020</f>
        <v>0.2</v>
      </c>
      <c r="G1020" s="328">
        <f>-1.663-F1020-E1020-D1020</f>
        <v>-1.8160000000000001</v>
      </c>
      <c r="H1020" s="373">
        <f t="shared" si="1892"/>
        <v>-1.663</v>
      </c>
      <c r="I1020" s="328">
        <v>1.1399999999999999</v>
      </c>
      <c r="J1020" s="328">
        <f>1.168-I1020</f>
        <v>2.8000000000000025E-2</v>
      </c>
      <c r="K1020" s="328">
        <f>1.668-J1020-I1020</f>
        <v>0.5</v>
      </c>
      <c r="L1020" s="328">
        <f>-1.805-K1020-J1020-I1020</f>
        <v>-3.4729999999999999</v>
      </c>
      <c r="M1020" s="373">
        <f t="shared" si="1893"/>
        <v>-1.8049999999999999</v>
      </c>
      <c r="N1020" s="328">
        <v>0.68300000000000005</v>
      </c>
      <c r="O1020" s="328">
        <f>-0.291-N1020</f>
        <v>-0.97399999999999998</v>
      </c>
      <c r="P1020" s="328">
        <f>1.293-O1020-N1020</f>
        <v>1.5839999999999999</v>
      </c>
      <c r="Q1020" s="328">
        <f>3.052-P1020-O1020-N1020</f>
        <v>1.7590000000000001</v>
      </c>
      <c r="R1020" s="373">
        <f t="shared" si="1894"/>
        <v>3.052</v>
      </c>
      <c r="S1020" s="328">
        <v>0.59</v>
      </c>
      <c r="T1020" s="328">
        <f>0.318-S1020</f>
        <v>-0.27199999999999996</v>
      </c>
      <c r="U1020" s="328">
        <f>1.099-T1020-S1020</f>
        <v>0.78100000000000003</v>
      </c>
      <c r="V1020" s="328">
        <f>-0.103-U1020-T1020-S1020</f>
        <v>-1.202</v>
      </c>
      <c r="W1020" s="373">
        <f t="shared" si="1895"/>
        <v>-0.10299999999999998</v>
      </c>
      <c r="X1020" s="328">
        <v>0.82099999999999995</v>
      </c>
      <c r="Y1020" s="328">
        <f>0.577-X1020</f>
        <v>-0.24399999999999999</v>
      </c>
      <c r="Z1020" s="328">
        <f>1.466-Y1020-X1020</f>
        <v>0.88900000000000001</v>
      </c>
      <c r="AA1020" s="328">
        <f>-0.056-Z1020-Y1020-X1020</f>
        <v>-1.522</v>
      </c>
      <c r="AB1020" s="373">
        <f t="shared" si="1896"/>
        <v>-5.600000000000005E-2</v>
      </c>
      <c r="AC1020" s="328">
        <v>1.575</v>
      </c>
      <c r="AD1020" s="328">
        <f>0.976-AC1020</f>
        <v>-0.59899999999999998</v>
      </c>
      <c r="AE1020" s="328">
        <f>1.715-AC1020-AD1020</f>
        <v>0.7390000000000001</v>
      </c>
      <c r="AF1020" s="328">
        <f>-0.067-AE1020-AD1020-AC1020</f>
        <v>-1.782</v>
      </c>
      <c r="AG1020" s="373">
        <f t="shared" si="1897"/>
        <v>-6.6999999999999948E-2</v>
      </c>
      <c r="AH1020" s="376">
        <v>1.034</v>
      </c>
      <c r="AI1020" s="376">
        <f>-0.598-AH1020</f>
        <v>-1.6320000000000001</v>
      </c>
      <c r="AJ1020" s="376">
        <f>0.439-AI1020-AH1020</f>
        <v>1.0370000000000001</v>
      </c>
      <c r="AK1020" s="376">
        <f>-0.519-AJ1020-AI1020-AH1020</f>
        <v>-0.95799999999999996</v>
      </c>
      <c r="AL1020" s="346">
        <f t="shared" si="1898"/>
        <v>-0.51899999999999991</v>
      </c>
      <c r="AM1020" s="376">
        <v>1.4590000000000001</v>
      </c>
      <c r="AN1020" s="376">
        <f>1.402-AM1020</f>
        <v>-5.7000000000000162E-2</v>
      </c>
      <c r="AO1020" s="376">
        <f>1.71-AN1020-AM1020</f>
        <v>0.30800000000000005</v>
      </c>
      <c r="AP1020" s="376">
        <f>0.114-AO1020-AN1020-AM1020</f>
        <v>-1.5960000000000001</v>
      </c>
      <c r="AQ1020" s="346">
        <f t="shared" si="1899"/>
        <v>0.11399999999999988</v>
      </c>
      <c r="AR1020" s="376">
        <v>0.56999999999999995</v>
      </c>
      <c r="AS1020" s="376">
        <f>-1.09-AR1020</f>
        <v>-1.6600000000000001</v>
      </c>
      <c r="AT1020" s="376">
        <f>0.783-AR1020-AS1020</f>
        <v>1.8730000000000002</v>
      </c>
      <c r="AU1020" s="376">
        <f>0.575-AR1020-AS1020-AT1020</f>
        <v>-0.20800000000000018</v>
      </c>
      <c r="AV1020" s="346">
        <f t="shared" si="1900"/>
        <v>0.57499999999999973</v>
      </c>
      <c r="AW1020" s="376">
        <v>0.21199999999999999</v>
      </c>
      <c r="AX1020" s="376">
        <f>+-1.03-AW1020</f>
        <v>-1.242</v>
      </c>
      <c r="AY1020" s="376">
        <f>0.375-AX1020-AW1020</f>
        <v>1.405</v>
      </c>
      <c r="AZ1020" s="376">
        <f>-1.181-AW1020-AX1020-AY1020</f>
        <v>-1.556</v>
      </c>
      <c r="BA1020" s="346">
        <f t="shared" si="1901"/>
        <v>-1.181</v>
      </c>
      <c r="BB1020" s="376">
        <v>1.2230000000000001</v>
      </c>
      <c r="BC1020" s="376">
        <f>+-0.005-BB1020</f>
        <v>-1.228</v>
      </c>
      <c r="BD1020" s="376">
        <f>-0.655-BC1020-BB1020</f>
        <v>-0.65000000000000013</v>
      </c>
      <c r="BE1020" s="376">
        <f>0.226-BD1020-BC1020-BB1020</f>
        <v>0.88100000000000001</v>
      </c>
      <c r="BF1020" s="346">
        <f t="shared" si="1902"/>
        <v>0.22599999999999998</v>
      </c>
      <c r="BG1020" s="327">
        <v>0.96799999999999997</v>
      </c>
      <c r="BH1020" s="2790">
        <f>0.597-BG1020</f>
        <v>-0.371</v>
      </c>
      <c r="BI1020" s="328">
        <f>0.055-SUM(BG1020:BH1020)</f>
        <v>-0.54199999999999993</v>
      </c>
      <c r="BJ1020" s="376">
        <f>-0.301-BI1020-BH1020-BG1020</f>
        <v>-0.35600000000000009</v>
      </c>
      <c r="BK1020" s="346">
        <f t="shared" si="1903"/>
        <v>-0.30100000000000005</v>
      </c>
      <c r="BL1020" s="328">
        <v>0.32600000000000001</v>
      </c>
      <c r="BM1020" s="2790">
        <f>0.099-BL1020</f>
        <v>-0.22700000000000001</v>
      </c>
      <c r="BN1020" s="328">
        <f>0.733-SUM(BL1020:BM1020)</f>
        <v>0.63400000000000001</v>
      </c>
      <c r="BO1020" s="328">
        <f>0.884-SUM(BL1020:BN1020)</f>
        <v>0.15100000000000002</v>
      </c>
      <c r="BP1020" s="346">
        <f t="shared" si="1904"/>
        <v>0.88400000000000001</v>
      </c>
      <c r="BQ1020" s="328">
        <v>0.60599999999999998</v>
      </c>
      <c r="BR1020" s="2790">
        <f>-0.555-BQ1020</f>
        <v>-1.161</v>
      </c>
      <c r="BS1020" s="328">
        <f>0.753-BR1020-BQ1020</f>
        <v>1.3080000000000003</v>
      </c>
      <c r="BT1020" s="3012">
        <v>0</v>
      </c>
      <c r="BU1020" s="3352">
        <f t="shared" si="1905"/>
        <v>0.75300000000000022</v>
      </c>
      <c r="BV1020" s="328">
        <v>0</v>
      </c>
      <c r="BW1020" s="328">
        <v>0</v>
      </c>
      <c r="BX1020" s="328">
        <v>0</v>
      </c>
      <c r="BY1020" s="328">
        <v>0</v>
      </c>
      <c r="BZ1020" s="4014">
        <f t="shared" si="1906"/>
        <v>0</v>
      </c>
      <c r="CA1020" s="346">
        <f t="shared" si="1907"/>
        <v>0</v>
      </c>
      <c r="CB1020" s="346">
        <f t="shared" si="1907"/>
        <v>0</v>
      </c>
      <c r="CC1020" s="346">
        <f t="shared" si="1908"/>
        <v>0</v>
      </c>
      <c r="CD1020" s="346">
        <f t="shared" si="1908"/>
        <v>0</v>
      </c>
      <c r="CE1020" s="346">
        <f t="shared" si="1908"/>
        <v>0</v>
      </c>
      <c r="CF1020" s="346">
        <f t="shared" si="1908"/>
        <v>0</v>
      </c>
      <c r="CG1020" s="346">
        <f t="shared" si="1908"/>
        <v>0</v>
      </c>
      <c r="CH1020" s="347"/>
      <c r="CI1020" s="347"/>
      <c r="CJ1020" s="347"/>
      <c r="CK1020" s="347"/>
      <c r="CL1020" s="347"/>
      <c r="CM1020" s="965"/>
      <c r="CN1020" s="965">
        <f t="shared" si="1887"/>
        <v>0</v>
      </c>
      <c r="CO1020" s="965">
        <f t="shared" si="1888"/>
        <v>0</v>
      </c>
      <c r="CP1020" s="995" t="str">
        <f t="shared" si="1865"/>
        <v>Inventories</v>
      </c>
      <c r="CQ1020" s="374">
        <f t="shared" si="1866"/>
        <v>-1.663</v>
      </c>
      <c r="CR1020" s="374">
        <f t="shared" si="1867"/>
        <v>-1.8049999999999999</v>
      </c>
      <c r="CS1020" s="374">
        <f t="shared" si="1868"/>
        <v>3.052</v>
      </c>
      <c r="CT1020" s="374">
        <f t="shared" si="1869"/>
        <v>-0.10299999999999998</v>
      </c>
      <c r="CU1020" s="374">
        <f t="shared" si="1870"/>
        <v>-5.600000000000005E-2</v>
      </c>
      <c r="CV1020" s="374">
        <f t="shared" si="1871"/>
        <v>-6.6999999999999948E-2</v>
      </c>
      <c r="CW1020" s="374">
        <f t="shared" si="1872"/>
        <v>-0.51899999999999991</v>
      </c>
      <c r="CX1020" s="374">
        <f t="shared" si="1873"/>
        <v>0.11399999999999988</v>
      </c>
      <c r="CY1020" s="374">
        <f t="shared" si="1874"/>
        <v>0.57499999999999973</v>
      </c>
      <c r="CZ1020" s="374">
        <f t="shared" si="1875"/>
        <v>-1.181</v>
      </c>
      <c r="DA1020" s="374">
        <f t="shared" si="1876"/>
        <v>0.22599999999999998</v>
      </c>
      <c r="DB1020" s="374">
        <f t="shared" si="1877"/>
        <v>-0.30100000000000005</v>
      </c>
      <c r="DC1020" s="374">
        <f t="shared" si="1878"/>
        <v>0.88400000000000001</v>
      </c>
      <c r="DD1020" s="374">
        <f t="shared" si="1879"/>
        <v>0.75300000000000022</v>
      </c>
      <c r="DE1020" s="374">
        <f t="shared" si="1880"/>
        <v>0</v>
      </c>
      <c r="DF1020" s="374">
        <f t="shared" si="1881"/>
        <v>0</v>
      </c>
      <c r="DG1020" s="1802">
        <f t="shared" si="1882"/>
        <v>0</v>
      </c>
      <c r="DH1020" s="290"/>
      <c r="DI1020" s="290"/>
      <c r="DJ1020" s="290"/>
      <c r="DK1020" s="290"/>
      <c r="DL1020" s="290"/>
      <c r="DM1020" s="290"/>
      <c r="DN1020" s="877"/>
      <c r="DO1020" s="389"/>
      <c r="DY1020" s="347"/>
      <c r="DZ1020" s="347"/>
    </row>
    <row r="1021" spans="1:130" ht="12" customHeight="1">
      <c r="A1021" s="90" t="s">
        <v>1023</v>
      </c>
      <c r="B1021" s="552"/>
      <c r="C1021" s="552"/>
      <c r="D1021" s="327">
        <v>-0.8</v>
      </c>
      <c r="E1021" s="328">
        <f>0.553-D1021</f>
        <v>1.3530000000000002</v>
      </c>
      <c r="F1021" s="328">
        <f>-2.025-0.492-3.88-E1021-D1021</f>
        <v>-6.95</v>
      </c>
      <c r="G1021" s="328">
        <f>-2.113+2.751+11.509-F1021-E1021-D1021</f>
        <v>18.544</v>
      </c>
      <c r="H1021" s="373">
        <f t="shared" si="1892"/>
        <v>12.147</v>
      </c>
      <c r="I1021" s="328">
        <f>-0.326-4.677+1.194+16.004</f>
        <v>12.195000000000002</v>
      </c>
      <c r="J1021" s="328">
        <f>-7.39+4.655-I1021</f>
        <v>-14.930000000000001</v>
      </c>
      <c r="K1021" s="328">
        <f>-2.316+1.161-8.934-J1021-I1021</f>
        <v>-7.3539999999999992</v>
      </c>
      <c r="L1021" s="328">
        <f>-4.507-1.011+0.372-8.364-K1021-J1021-I1021</f>
        <v>-3.4210000000000029</v>
      </c>
      <c r="M1021" s="373">
        <f t="shared" si="1893"/>
        <v>-13.510000000000002</v>
      </c>
      <c r="N1021" s="328">
        <f>-1.661-0.521+7.002</f>
        <v>4.82</v>
      </c>
      <c r="O1021" s="328">
        <f>4.313-5.628-2.149-10.085-N1021</f>
        <v>-18.369</v>
      </c>
      <c r="P1021" s="328">
        <f>4.313-7.287-2.2-8.587-O1021-N1021</f>
        <v>-0.21199999999999974</v>
      </c>
      <c r="Q1021" s="328">
        <f>-5.18+4.313+4.237+10.972-4.192-P1021-O1021-N1021</f>
        <v>23.910999999999998</v>
      </c>
      <c r="R1021" s="373">
        <f t="shared" si="1894"/>
        <v>10.149999999999999</v>
      </c>
      <c r="S1021" s="328">
        <v>-0.65800000000000003</v>
      </c>
      <c r="T1021" s="328">
        <f>-3.832-S1021</f>
        <v>-3.1739999999999999</v>
      </c>
      <c r="U1021" s="328">
        <f>8.736+12.255-6.472-T1021-S1021</f>
        <v>18.350999999999999</v>
      </c>
      <c r="V1021" s="328">
        <f>5.915-U1021-T1021-S1021</f>
        <v>-8.604000000000001</v>
      </c>
      <c r="W1021" s="373">
        <f t="shared" si="1895"/>
        <v>5.9149999999999974</v>
      </c>
      <c r="X1021" s="328">
        <v>5.57</v>
      </c>
      <c r="Y1021" s="328">
        <f>0.408-X1021</f>
        <v>-5.1619999999999999</v>
      </c>
      <c r="Z1021" s="328">
        <f>-1.9-Y1021-X1021</f>
        <v>-2.3080000000000003</v>
      </c>
      <c r="AA1021" s="328">
        <f>-1.613+2.871+3.505-2.817-Z1021-Y1021-X1021</f>
        <v>3.8460000000000001</v>
      </c>
      <c r="AB1021" s="373">
        <f t="shared" si="1896"/>
        <v>1.9460000000000002</v>
      </c>
      <c r="AC1021" s="328">
        <v>0.433</v>
      </c>
      <c r="AD1021" s="328">
        <f>-3.969-AC1021</f>
        <v>-4.4020000000000001</v>
      </c>
      <c r="AE1021" s="328">
        <f>1.708-AC1021-AD1021</f>
        <v>5.6769999999999996</v>
      </c>
      <c r="AF1021" s="328">
        <f>15.598-AE1021-AD1021-AC1021-5.692+2.549</f>
        <v>10.747</v>
      </c>
      <c r="AG1021" s="373">
        <f t="shared" si="1897"/>
        <v>12.454999999999998</v>
      </c>
      <c r="AH1021" s="376">
        <f>2.152+0.772+17.319+0.038</f>
        <v>20.280999999999999</v>
      </c>
      <c r="AI1021" s="376">
        <f>0.554-2.004+12.102-AH1021</f>
        <v>-9.6289999999999978</v>
      </c>
      <c r="AJ1021" s="376">
        <f>-7.25+9.961+0.236-AI1021-AH1021</f>
        <v>-7.7050000000000018</v>
      </c>
      <c r="AK1021" s="376">
        <f>-3.134-AJ1021-AI1021-AH1021</f>
        <v>-6.0809999999999995</v>
      </c>
      <c r="AL1021" s="346">
        <f t="shared" si="1898"/>
        <v>-3.1340000000000003</v>
      </c>
      <c r="AM1021" s="376">
        <f>5.5+2.759+0.22+0.122-1.088</f>
        <v>7.5130000000000008</v>
      </c>
      <c r="AN1021" s="376">
        <f>-2.92-AM1021</f>
        <v>-10.433</v>
      </c>
      <c r="AO1021" s="376">
        <f>-5.997+5.264+0.43-3.198-AN1021-AM1021</f>
        <v>-0.58100000000000041</v>
      </c>
      <c r="AP1021" s="376">
        <f>-3.673-AO1021-AN1021-AM1021</f>
        <v>-0.1720000000000006</v>
      </c>
      <c r="AQ1021" s="346">
        <f t="shared" si="1899"/>
        <v>-3.673</v>
      </c>
      <c r="AR1021" s="376">
        <v>-9.4E-2</v>
      </c>
      <c r="AS1021" s="376">
        <f>-4.593-AR1021</f>
        <v>-4.4989999999999997</v>
      </c>
      <c r="AT1021" s="376">
        <f>-13.666-3.184+0.521-3.843-20.051-AR1021-AS1021</f>
        <v>-35.629999999999995</v>
      </c>
      <c r="AU1021" s="376">
        <f>7.192-AR1021-AS1021-AT1021</f>
        <v>47.414999999999992</v>
      </c>
      <c r="AV1021" s="346">
        <f t="shared" si="1900"/>
        <v>7.1919999999999931</v>
      </c>
      <c r="AW1021" s="376">
        <v>-4.7450000000000001</v>
      </c>
      <c r="AX1021" s="376">
        <f>0.249-AW1021</f>
        <v>4.9939999999999998</v>
      </c>
      <c r="AY1021" s="376">
        <f>-1.489-4.291+4.062+0.584-AX1021-AW1021</f>
        <v>-1.383</v>
      </c>
      <c r="AZ1021" s="376">
        <f>6.245-AW1021-AX1021-AY1021</f>
        <v>7.3790000000000004</v>
      </c>
      <c r="BA1021" s="346">
        <f t="shared" si="1901"/>
        <v>6.2450000000000001</v>
      </c>
      <c r="BB1021" s="376">
        <v>-1.891</v>
      </c>
      <c r="BC1021" s="2790">
        <f>+-12.195-BB1021</f>
        <v>-10.304</v>
      </c>
      <c r="BD1021" s="376">
        <f>-18.041-10.299+3.575+0.396-BC1021-BB1021</f>
        <v>-12.173999999999999</v>
      </c>
      <c r="BE1021" s="376">
        <f>-13.388-BD1021-BC1021-BB1021</f>
        <v>10.981</v>
      </c>
      <c r="BF1021" s="346">
        <f t="shared" si="1902"/>
        <v>-13.388</v>
      </c>
      <c r="BG1021" s="327">
        <f>+-0.615+1.802-0.004+1.581</f>
        <v>2.7640000000000002</v>
      </c>
      <c r="BH1021" s="2790">
        <f>-8.401+1.802+1.243+1.625-BG1021</f>
        <v>-6.4950000000000001</v>
      </c>
      <c r="BI1021" s="328">
        <f>+-5.131+1.802+1.243+2.149-SUM(BG1021:BH1021)</f>
        <v>3.7939999999999996</v>
      </c>
      <c r="BJ1021" s="376">
        <f>-4.275-BI1021-BH1021-BG1021</f>
        <v>-4.3379999999999992</v>
      </c>
      <c r="BK1021" s="346">
        <f t="shared" si="1903"/>
        <v>-4.2749999999999995</v>
      </c>
      <c r="BL1021" s="376">
        <f>2.89+0.824-0.654</f>
        <v>3.06</v>
      </c>
      <c r="BM1021" s="2790">
        <f>-5.859-0.235-0.691-BL1021</f>
        <v>-9.8450000000000006</v>
      </c>
      <c r="BN1021" s="328">
        <f>-2.919+0.212-0.759-SUM(BL1021:BM1021)</f>
        <v>3.3190000000000004</v>
      </c>
      <c r="BO1021" s="328">
        <f>1.691-SUM(BL1021:BN1021)</f>
        <v>5.157</v>
      </c>
      <c r="BP1021" s="346">
        <f t="shared" si="1904"/>
        <v>1.6910000000000003</v>
      </c>
      <c r="BQ1021" s="376">
        <f>-1.633+1.517-0.217</f>
        <v>-0.33300000000000007</v>
      </c>
      <c r="BR1021" s="2790">
        <f>0.777+1.862-1.642-BQ1021</f>
        <v>1.3300000000000005</v>
      </c>
      <c r="BS1021" s="328">
        <f>-2.845+2.219+3.626-BR1021-BQ1021</f>
        <v>2.0029999999999992</v>
      </c>
      <c r="BT1021" s="374">
        <f>-BT1216</f>
        <v>0</v>
      </c>
      <c r="BU1021" s="3352">
        <f t="shared" si="1905"/>
        <v>2.9999999999999996</v>
      </c>
      <c r="BV1021" s="374">
        <f>-BV1216</f>
        <v>14.349281908172355</v>
      </c>
      <c r="BW1021" s="374">
        <f t="shared" ref="BW1021:BY1021" si="1909">-BW1216</f>
        <v>13.422760046520297</v>
      </c>
      <c r="BX1021" s="374">
        <f t="shared" si="1909"/>
        <v>19.126827387924948</v>
      </c>
      <c r="BY1021" s="374">
        <f t="shared" si="1909"/>
        <v>21.452809461828625</v>
      </c>
      <c r="BZ1021" s="4014">
        <f t="shared" si="1906"/>
        <v>68.351678804446223</v>
      </c>
      <c r="CA1021" s="346">
        <f t="shared" ref="CA1021:CG1021" si="1910">-CA1216</f>
        <v>81.855707156267599</v>
      </c>
      <c r="CB1021" s="346">
        <f t="shared" si="1910"/>
        <v>83.17065377428716</v>
      </c>
      <c r="CC1021" s="346">
        <f t="shared" si="1910"/>
        <v>0</v>
      </c>
      <c r="CD1021" s="346">
        <f t="shared" si="1910"/>
        <v>0</v>
      </c>
      <c r="CE1021" s="346">
        <f t="shared" si="1910"/>
        <v>0</v>
      </c>
      <c r="CF1021" s="346">
        <f t="shared" si="1910"/>
        <v>0</v>
      </c>
      <c r="CG1021" s="346">
        <f t="shared" si="1910"/>
        <v>0</v>
      </c>
      <c r="CH1021" s="347"/>
      <c r="CI1021" s="347"/>
      <c r="CJ1021" s="347"/>
      <c r="CK1021" s="347"/>
      <c r="CL1021" s="347"/>
      <c r="CM1021" s="965"/>
      <c r="CN1021" s="965">
        <f t="shared" si="1887"/>
        <v>68.351678804446223</v>
      </c>
      <c r="CO1021" s="965">
        <f t="shared" si="1888"/>
        <v>-68.351678804446223</v>
      </c>
      <c r="CP1021" s="90" t="str">
        <f t="shared" si="1865"/>
        <v>Prepaid expenses and other</v>
      </c>
      <c r="CQ1021" s="374">
        <f t="shared" si="1866"/>
        <v>12.147</v>
      </c>
      <c r="CR1021" s="374">
        <f t="shared" si="1867"/>
        <v>-13.510000000000002</v>
      </c>
      <c r="CS1021" s="374">
        <f t="shared" si="1868"/>
        <v>10.149999999999999</v>
      </c>
      <c r="CT1021" s="374">
        <f t="shared" si="1869"/>
        <v>5.9149999999999974</v>
      </c>
      <c r="CU1021" s="374">
        <f t="shared" si="1870"/>
        <v>1.9460000000000002</v>
      </c>
      <c r="CV1021" s="374">
        <f t="shared" si="1871"/>
        <v>12.454999999999998</v>
      </c>
      <c r="CW1021" s="374">
        <f t="shared" si="1872"/>
        <v>-3.1340000000000003</v>
      </c>
      <c r="CX1021" s="374">
        <f t="shared" si="1873"/>
        <v>-3.673</v>
      </c>
      <c r="CY1021" s="374">
        <f t="shared" si="1874"/>
        <v>7.1919999999999931</v>
      </c>
      <c r="CZ1021" s="374">
        <f t="shared" si="1875"/>
        <v>6.2450000000000001</v>
      </c>
      <c r="DA1021" s="374">
        <f t="shared" si="1876"/>
        <v>-13.388</v>
      </c>
      <c r="DB1021" s="374">
        <f t="shared" si="1877"/>
        <v>-4.2749999999999995</v>
      </c>
      <c r="DC1021" s="374">
        <f t="shared" si="1878"/>
        <v>1.6910000000000003</v>
      </c>
      <c r="DD1021" s="374">
        <f t="shared" si="1879"/>
        <v>2.9999999999999996</v>
      </c>
      <c r="DE1021" s="374">
        <f t="shared" si="1880"/>
        <v>68.351678804446223</v>
      </c>
      <c r="DF1021" s="374">
        <f t="shared" si="1881"/>
        <v>81.855707156267599</v>
      </c>
      <c r="DG1021" s="1802">
        <f t="shared" si="1882"/>
        <v>83.17065377428716</v>
      </c>
      <c r="DH1021" s="290"/>
      <c r="DI1021" s="290"/>
      <c r="DJ1021" s="290"/>
      <c r="DK1021" s="290"/>
      <c r="DL1021" s="290"/>
      <c r="DM1021" s="290"/>
      <c r="DN1021" s="492"/>
      <c r="DO1021" s="389"/>
      <c r="DY1021" s="347"/>
      <c r="DZ1021" s="347"/>
    </row>
    <row r="1022" spans="1:130" ht="12" customHeight="1">
      <c r="A1022" s="995" t="s">
        <v>169</v>
      </c>
      <c r="B1022" s="875"/>
      <c r="C1022" s="875"/>
      <c r="D1022" s="363">
        <v>-4.7530000000000001</v>
      </c>
      <c r="E1022" s="364">
        <f>8.205-D1022</f>
        <v>12.958</v>
      </c>
      <c r="F1022" s="364">
        <f>53.626+1.813+14.255-E1022-D1022</f>
        <v>61.489000000000004</v>
      </c>
      <c r="G1022" s="364">
        <f>37.356+3.137-0.458-F1022-E1022-D1022</f>
        <v>-29.658999999999999</v>
      </c>
      <c r="H1022" s="373">
        <f t="shared" si="1892"/>
        <v>40.035000000000004</v>
      </c>
      <c r="I1022" s="364">
        <f>9.304+1.853+11.956</f>
        <v>23.113</v>
      </c>
      <c r="J1022" s="364">
        <f>-0.741+0.439+10.934-I1022</f>
        <v>-12.481</v>
      </c>
      <c r="K1022" s="364">
        <f>30.89+2.444+11.592-J1022-I1022</f>
        <v>34.294000000000004</v>
      </c>
      <c r="L1022" s="364">
        <f>41.306+6.704+9.002-K1022-J1022-I1022</f>
        <v>12.085999999999999</v>
      </c>
      <c r="M1022" s="373">
        <f t="shared" si="1893"/>
        <v>57.012</v>
      </c>
      <c r="N1022" s="364">
        <f>1.52+1.158+27.692</f>
        <v>30.37</v>
      </c>
      <c r="O1022" s="364">
        <f>3.274+2.121-N1022</f>
        <v>-24.975000000000001</v>
      </c>
      <c r="P1022" s="364">
        <f>35.19+3.387-O1022-N1022</f>
        <v>33.182000000000002</v>
      </c>
      <c r="Q1022" s="364">
        <f>0.559+5.072-P1022-O1022-N1022</f>
        <v>-32.945999999999998</v>
      </c>
      <c r="R1022" s="373">
        <f t="shared" si="1894"/>
        <v>5.6310000000000002</v>
      </c>
      <c r="S1022" s="364">
        <f>-13.626+1.818+34.941+9.617</f>
        <v>32.75</v>
      </c>
      <c r="T1022" s="364">
        <f>-33.633+3.708+35.889-S1022</f>
        <v>-26.786000000000001</v>
      </c>
      <c r="U1022" s="364">
        <f>-17.213+4.736+37.794-T1022-S1022</f>
        <v>19.352999999999994</v>
      </c>
      <c r="V1022" s="364">
        <f>-32.446+5.346+39.256-U1022-T1022-S1022</f>
        <v>-13.160999999999991</v>
      </c>
      <c r="W1022" s="373">
        <f t="shared" si="1895"/>
        <v>12.156000000000002</v>
      </c>
      <c r="X1022" s="364">
        <f>-17.963+0.591+1.208</f>
        <v>-16.164000000000001</v>
      </c>
      <c r="Y1022" s="364">
        <f>7.049-7.541-9.558+1.485+2.253-X1022</f>
        <v>9.8520000000000003</v>
      </c>
      <c r="Z1022" s="364">
        <f>-21.874+1.751+3.393-Y1022-X1022</f>
        <v>-10.417999999999996</v>
      </c>
      <c r="AA1022" s="364">
        <f>-38.543+1.257+0.792-Z1022-Y1022-X1022</f>
        <v>-19.764000000000003</v>
      </c>
      <c r="AB1022" s="373">
        <f t="shared" si="1896"/>
        <v>-36.494</v>
      </c>
      <c r="AC1022" s="364">
        <f>-8.875+0.316+3.071</f>
        <v>-5.4879999999999995</v>
      </c>
      <c r="AD1022" s="364">
        <f>-10.928+2.988+1.963-AC1022</f>
        <v>-0.48900000000000166</v>
      </c>
      <c r="AE1022" s="364">
        <f>2.167-AC1022-AD1022</f>
        <v>8.1440000000000019</v>
      </c>
      <c r="AF1022" s="364">
        <f>-18.538-4.618+4.596-AE1022-AD1022-AC1022</f>
        <v>-20.727</v>
      </c>
      <c r="AG1022" s="373">
        <f t="shared" si="1897"/>
        <v>-18.559999999999999</v>
      </c>
      <c r="AH1022" s="376">
        <f>-0.116+1.212+0.49</f>
        <v>1.5859999999999999</v>
      </c>
      <c r="AI1022" s="376">
        <f>9.622+1.159+1.031-AH1022</f>
        <v>10.226000000000001</v>
      </c>
      <c r="AJ1022" s="376">
        <f>30.697-1.519-2.265-AI1022-AH1022</f>
        <v>15.100999999999997</v>
      </c>
      <c r="AK1022" s="376">
        <f>15.658-4.725-3.038+35.947+0.805+1.867+7.495-AJ1022-AI1022-AH1022</f>
        <v>27.095999999999997</v>
      </c>
      <c r="AL1022" s="375">
        <f t="shared" si="1898"/>
        <v>54.008999999999993</v>
      </c>
      <c r="AM1022" s="376">
        <f>12.692-0.061+0.927-2.291</f>
        <v>11.266999999999999</v>
      </c>
      <c r="AN1022" s="376">
        <f>-2.263+0.123+2.382-1.642-AM1022</f>
        <v>-12.666999999999998</v>
      </c>
      <c r="AO1022" s="376">
        <f>28.77-3.382+2.069-0.947-AN1022-AM1022</f>
        <v>27.909999999999993</v>
      </c>
      <c r="AP1022" s="376">
        <f>3.741-2.01+6.601-2.839-AO1022-AN1022-AM1022</f>
        <v>-21.016999999999996</v>
      </c>
      <c r="AQ1022" s="375">
        <f t="shared" si="1899"/>
        <v>5.4929999999999986</v>
      </c>
      <c r="AR1022" s="376">
        <f>-0.011+0.248-3.219+0.485</f>
        <v>-2.4969999999999999</v>
      </c>
      <c r="AS1022" s="376">
        <f>4.228+0.267-18.786-1.673-AR1022</f>
        <v>-13.467000000000001</v>
      </c>
      <c r="AT1022" s="376">
        <f>35.669-0.084-17.157-3.133-AR1022-AS1022</f>
        <v>31.258999999999993</v>
      </c>
      <c r="AU1022" s="376">
        <f>-12.385+0.601-6.068+0.45-12.537+1.065-3.858-AR1022-AS1022-AT1022</f>
        <v>-48.026999999999994</v>
      </c>
      <c r="AV1022" s="375">
        <f t="shared" si="1900"/>
        <v>-32.731999999999999</v>
      </c>
      <c r="AW1022" s="376">
        <f>23.042-20.292+6.283</f>
        <v>9.0330000000000013</v>
      </c>
      <c r="AX1022" s="376">
        <f>14.97-19.939+3.303-AW1022</f>
        <v>-10.699000000000002</v>
      </c>
      <c r="AY1022" s="376">
        <f>-19.093-19.569+4.737-AX1022-AW1022</f>
        <v>-32.259</v>
      </c>
      <c r="AZ1022" s="376">
        <f>-2.214+2.171+1.076-21.559-31.321-4.011+2.291-AW1022-AX1022-AY1022</f>
        <v>-19.64200000000001</v>
      </c>
      <c r="BA1022" s="375">
        <f t="shared" si="1901"/>
        <v>-53.567000000000007</v>
      </c>
      <c r="BB1022" s="376">
        <f>-9.695+0.605+1.599</f>
        <v>-7.4909999999999997</v>
      </c>
      <c r="BC1022" s="376">
        <f>+-4.493-4.105+1.438-BB1022</f>
        <v>0.33099999999999863</v>
      </c>
      <c r="BD1022" s="376">
        <f>7.651-3.843-2.442-BC1022-BB1022</f>
        <v>8.5259999999999998</v>
      </c>
      <c r="BE1022" s="376">
        <f>-13.388-3.898-2.666-BD1022-BC1022-BB1022</f>
        <v>-21.318000000000001</v>
      </c>
      <c r="BF1022" s="346">
        <f t="shared" si="1902"/>
        <v>-19.952000000000002</v>
      </c>
      <c r="BG1022" s="327">
        <f>+-19.725-23.002+3.345</f>
        <v>-39.382000000000005</v>
      </c>
      <c r="BH1022" s="2790">
        <f>0.279-23.067+3.033-BG1022</f>
        <v>19.627000000000006</v>
      </c>
      <c r="BI1022" s="328">
        <f>11.997-25.58+3.886-SUM(BG1022:BH1022)</f>
        <v>10.058</v>
      </c>
      <c r="BJ1022" s="376">
        <f>-4.275-25.566+2.377-BI1022-BH1022-BG1022</f>
        <v>-17.76700000000001</v>
      </c>
      <c r="BK1022" s="375">
        <f t="shared" si="1903"/>
        <v>-27.464000000000009</v>
      </c>
      <c r="BL1022" s="328">
        <f>9.99+0.064+2.99</f>
        <v>13.044</v>
      </c>
      <c r="BM1022" s="2790">
        <f>7.334+0.127+2.617-BL1022</f>
        <v>-2.9660000000000011</v>
      </c>
      <c r="BN1022" s="328">
        <f>32.731+0.19+2.696-SUM(BL1022:BM1022)</f>
        <v>25.538999999999998</v>
      </c>
      <c r="BO1022" s="328">
        <f>1.691+0.222+1.972-SUM(BL1022:BN1022)</f>
        <v>-31.731999999999999</v>
      </c>
      <c r="BP1022" s="375">
        <f t="shared" si="1904"/>
        <v>3.884999999999998</v>
      </c>
      <c r="BQ1022" s="328">
        <f>4.921+0.031-0.26</f>
        <v>4.6920000000000002</v>
      </c>
      <c r="BR1022" s="2790">
        <f>-15.621+0.066-0.209-BQ1022</f>
        <v>-20.456</v>
      </c>
      <c r="BS1022" s="328">
        <f>25.512+0.101-0.482-BR1022-BQ1022</f>
        <v>40.895000000000003</v>
      </c>
      <c r="BT1022" s="3012">
        <v>0</v>
      </c>
      <c r="BU1022" s="3325">
        <f t="shared" si="1905"/>
        <v>25.131000000000004</v>
      </c>
      <c r="BV1022" s="328">
        <v>0</v>
      </c>
      <c r="BW1022" s="328">
        <v>0</v>
      </c>
      <c r="BX1022" s="328">
        <v>0</v>
      </c>
      <c r="BY1022" s="328">
        <v>0</v>
      </c>
      <c r="BZ1022" s="4014">
        <f t="shared" si="1906"/>
        <v>0</v>
      </c>
      <c r="CA1022" s="893">
        <v>0</v>
      </c>
      <c r="CB1022" s="893">
        <v>0</v>
      </c>
      <c r="CC1022" s="893">
        <v>0</v>
      </c>
      <c r="CD1022" s="893">
        <v>0</v>
      </c>
      <c r="CE1022" s="893">
        <v>0</v>
      </c>
      <c r="CF1022" s="893">
        <v>0</v>
      </c>
      <c r="CG1022" s="893">
        <v>0</v>
      </c>
      <c r="CH1022" s="201"/>
      <c r="CI1022" s="201"/>
      <c r="CJ1022" s="201"/>
      <c r="CK1022" s="201"/>
      <c r="CL1022" s="201"/>
      <c r="CM1022" s="965"/>
      <c r="CN1022" s="965">
        <f t="shared" si="1887"/>
        <v>0</v>
      </c>
      <c r="CO1022" s="965">
        <f t="shared" si="1888"/>
        <v>0</v>
      </c>
      <c r="CP1022" s="995" t="str">
        <f t="shared" si="1865"/>
        <v>Liabilities</v>
      </c>
      <c r="CQ1022" s="374">
        <f t="shared" si="1866"/>
        <v>40.035000000000004</v>
      </c>
      <c r="CR1022" s="374">
        <f t="shared" si="1867"/>
        <v>57.012</v>
      </c>
      <c r="CS1022" s="374">
        <f t="shared" si="1868"/>
        <v>5.6310000000000002</v>
      </c>
      <c r="CT1022" s="374">
        <f t="shared" si="1869"/>
        <v>12.156000000000002</v>
      </c>
      <c r="CU1022" s="374">
        <f t="shared" si="1870"/>
        <v>-36.494</v>
      </c>
      <c r="CV1022" s="374">
        <f t="shared" si="1871"/>
        <v>-18.559999999999999</v>
      </c>
      <c r="CW1022" s="374">
        <f t="shared" si="1872"/>
        <v>54.008999999999993</v>
      </c>
      <c r="CX1022" s="374">
        <f t="shared" si="1873"/>
        <v>5.4929999999999986</v>
      </c>
      <c r="CY1022" s="374">
        <f t="shared" si="1874"/>
        <v>-32.731999999999999</v>
      </c>
      <c r="CZ1022" s="374">
        <f t="shared" si="1875"/>
        <v>-53.567000000000007</v>
      </c>
      <c r="DA1022" s="374">
        <f t="shared" si="1876"/>
        <v>-19.952000000000002</v>
      </c>
      <c r="DB1022" s="374">
        <f t="shared" si="1877"/>
        <v>-27.464000000000009</v>
      </c>
      <c r="DC1022" s="374">
        <f t="shared" si="1878"/>
        <v>3.884999999999998</v>
      </c>
      <c r="DD1022" s="374">
        <f t="shared" si="1879"/>
        <v>25.131000000000004</v>
      </c>
      <c r="DE1022" s="374">
        <f t="shared" si="1880"/>
        <v>0</v>
      </c>
      <c r="DF1022" s="374">
        <f t="shared" si="1881"/>
        <v>0</v>
      </c>
      <c r="DG1022" s="1802">
        <f t="shared" si="1882"/>
        <v>0</v>
      </c>
      <c r="DH1022" s="104"/>
      <c r="DI1022" s="379"/>
      <c r="DJ1022" s="379"/>
      <c r="DK1022" s="379"/>
      <c r="DL1022" s="379"/>
      <c r="DM1022" s="379"/>
      <c r="DN1022" s="492"/>
      <c r="DO1022" s="389"/>
      <c r="DY1022" s="201"/>
      <c r="DZ1022" s="201"/>
    </row>
    <row r="1023" spans="1:130" ht="12" customHeight="1">
      <c r="A1023" s="994" t="s">
        <v>275</v>
      </c>
      <c r="B1023" s="552"/>
      <c r="C1023" s="552"/>
      <c r="D1023" s="363">
        <v>-2.7160000000000002</v>
      </c>
      <c r="E1023" s="364">
        <f>-5.625-D1023</f>
        <v>-2.9089999999999998</v>
      </c>
      <c r="F1023" s="364">
        <f>10.941-E1023-D1023</f>
        <v>16.566000000000003</v>
      </c>
      <c r="G1023" s="364">
        <f>30.63-F1023-E1023-D1023</f>
        <v>19.688999999999997</v>
      </c>
      <c r="H1023" s="373">
        <f t="shared" si="1892"/>
        <v>30.63</v>
      </c>
      <c r="I1023" s="364">
        <v>-6.7850000000000001</v>
      </c>
      <c r="J1023" s="364">
        <f>-7.054-I1023</f>
        <v>-0.26900000000000013</v>
      </c>
      <c r="K1023" s="364">
        <f>-2.067-J1023-I1023</f>
        <v>4.9870000000000001</v>
      </c>
      <c r="L1023" s="364">
        <f>-18.253-K1023-J1023-I1023</f>
        <v>-16.186000000000003</v>
      </c>
      <c r="M1023" s="373">
        <f t="shared" si="1893"/>
        <v>-18.253000000000004</v>
      </c>
      <c r="N1023" s="364">
        <v>-1.92</v>
      </c>
      <c r="O1023" s="364">
        <f>-11.707-N1023</f>
        <v>-9.7870000000000008</v>
      </c>
      <c r="P1023" s="364">
        <f>-22.187-O1023-N1023</f>
        <v>-10.48</v>
      </c>
      <c r="Q1023" s="364">
        <f>-14.108-P1023-O1023-N1023</f>
        <v>8.0790000000000006</v>
      </c>
      <c r="R1023" s="373">
        <f t="shared" si="1894"/>
        <v>-14.108000000000001</v>
      </c>
      <c r="S1023" s="364">
        <v>64.966999999999999</v>
      </c>
      <c r="T1023" s="364">
        <f>62.733-S1023</f>
        <v>-2.2340000000000018</v>
      </c>
      <c r="U1023" s="364">
        <f>54.497-T1023-S1023</f>
        <v>-8.2359999999999971</v>
      </c>
      <c r="V1023" s="364">
        <f>68.37-U1023-T1023-S1023</f>
        <v>13.873000000000005</v>
      </c>
      <c r="W1023" s="373">
        <f t="shared" si="1895"/>
        <v>68.37</v>
      </c>
      <c r="X1023" s="364">
        <v>-26.608000000000001</v>
      </c>
      <c r="Y1023" s="364">
        <f>-17.715-X1023</f>
        <v>8.8930000000000007</v>
      </c>
      <c r="Z1023" s="364">
        <f>-11.396-Y1023-X1023</f>
        <v>6.3189999999999991</v>
      </c>
      <c r="AA1023" s="364">
        <f>-44.153-Z1023-Y1023-X1023</f>
        <v>-32.756999999999991</v>
      </c>
      <c r="AB1023" s="373">
        <f t="shared" si="1896"/>
        <v>-44.152999999999992</v>
      </c>
      <c r="AC1023" s="364">
        <v>-11.94</v>
      </c>
      <c r="AD1023" s="364">
        <f>5.816-AC1023</f>
        <v>17.756</v>
      </c>
      <c r="AE1023" s="364">
        <f>3.403-AC1023-AD1023</f>
        <v>-2.4130000000000003</v>
      </c>
      <c r="AF1023" s="364">
        <f>15.574-AE1023-AD1023-AC1023</f>
        <v>12.171000000000001</v>
      </c>
      <c r="AG1023" s="373">
        <f t="shared" si="1897"/>
        <v>15.574000000000002</v>
      </c>
      <c r="AH1023" s="376">
        <v>0.68400000000000005</v>
      </c>
      <c r="AI1023" s="376">
        <f>4.503-AH1023</f>
        <v>3.819</v>
      </c>
      <c r="AJ1023" s="376">
        <f>14.814-AI1023-AH1023</f>
        <v>10.311000000000002</v>
      </c>
      <c r="AK1023" s="376">
        <f>6.284-AJ1023-AI1023-AH1023</f>
        <v>-8.5300000000000011</v>
      </c>
      <c r="AL1023" s="375">
        <f t="shared" si="1898"/>
        <v>6.2840000000000007</v>
      </c>
      <c r="AM1023" s="376">
        <v>-4.2140000000000004</v>
      </c>
      <c r="AN1023" s="376">
        <f>-4.991-AM1023</f>
        <v>-0.77699999999999925</v>
      </c>
      <c r="AO1023" s="376">
        <f>-3.074-AN1023-AM1023</f>
        <v>1.9169999999999998</v>
      </c>
      <c r="AP1023" s="376">
        <f>-2.381-AO1023-AN1023-AM1023</f>
        <v>0.69299999999999962</v>
      </c>
      <c r="AQ1023" s="375">
        <f t="shared" si="1899"/>
        <v>-2.3810000000000002</v>
      </c>
      <c r="AR1023" s="376">
        <v>8.6790000000000003</v>
      </c>
      <c r="AS1023" s="376">
        <f>10.064-AR1023</f>
        <v>1.3849999999999998</v>
      </c>
      <c r="AT1023" s="376">
        <f>4.572-AR1023-AS1023</f>
        <v>-5.492</v>
      </c>
      <c r="AU1023" s="376">
        <f>-218.594-AR1023-AS1023-AT1023</f>
        <v>-223.166</v>
      </c>
      <c r="AV1023" s="375">
        <f t="shared" si="1900"/>
        <v>-218.59399999999999</v>
      </c>
      <c r="AW1023" s="376">
        <v>8.92</v>
      </c>
      <c r="AX1023" s="376">
        <f>4.732-AW1023</f>
        <v>-4.1879999999999997</v>
      </c>
      <c r="AY1023" s="376">
        <f>7.027-AX1023-AW1023</f>
        <v>2.2949999999999999</v>
      </c>
      <c r="AZ1023" s="376">
        <f>2.986-AW1023-AX1023-AY1023</f>
        <v>-4.0409999999999995</v>
      </c>
      <c r="BA1023" s="375">
        <f t="shared" si="1901"/>
        <v>2.9860000000000007</v>
      </c>
      <c r="BB1023" s="376">
        <v>4.1429999999999998</v>
      </c>
      <c r="BC1023" s="376">
        <f>10.439-BB1023</f>
        <v>6.2960000000000003</v>
      </c>
      <c r="BD1023" s="376">
        <f>11.69-BC1023-BB1023</f>
        <v>1.2509999999999994</v>
      </c>
      <c r="BE1023" s="376">
        <f>1.488-BD1023-BC1023-BB1023</f>
        <v>-10.201999999999998</v>
      </c>
      <c r="BF1023" s="375">
        <f t="shared" si="1902"/>
        <v>1.4880000000000013</v>
      </c>
      <c r="BG1023" s="327">
        <v>5.3940000000000001</v>
      </c>
      <c r="BH1023" s="2790">
        <f>11.556-BG1023</f>
        <v>6.161999999999999</v>
      </c>
      <c r="BI1023" s="328">
        <f>16.636-SUM(BG1023:BH1023)</f>
        <v>5.08</v>
      </c>
      <c r="BJ1023" s="376">
        <f>16.306-BI1023-BH1023-BG1023</f>
        <v>-0.32999999999999829</v>
      </c>
      <c r="BK1023" s="375">
        <f t="shared" si="1903"/>
        <v>16.306000000000001</v>
      </c>
      <c r="BL1023" s="328">
        <v>6.5190000000000001</v>
      </c>
      <c r="BM1023" s="2790">
        <f>13.282-BL1023</f>
        <v>6.7629999999999999</v>
      </c>
      <c r="BN1023" s="328">
        <f>-177.106-BM1023-BL1023</f>
        <v>-190.38800000000001</v>
      </c>
      <c r="BO1023" s="3012">
        <v>0</v>
      </c>
      <c r="BP1023" s="375">
        <f t="shared" si="1904"/>
        <v>-177.10599999999999</v>
      </c>
      <c r="BQ1023" s="328">
        <v>15.159000000000001</v>
      </c>
      <c r="BR1023" s="2790">
        <f>32.647-BQ1023</f>
        <v>17.488</v>
      </c>
      <c r="BS1023" s="328">
        <f>43.266-BR1023-BQ1023</f>
        <v>10.618999999999998</v>
      </c>
      <c r="BT1023" s="3012">
        <v>-60.1</v>
      </c>
      <c r="BU1023" s="3325">
        <f t="shared" si="1905"/>
        <v>-16.834000000000003</v>
      </c>
      <c r="BV1023" s="328">
        <v>0</v>
      </c>
      <c r="BW1023" s="328">
        <v>0</v>
      </c>
      <c r="BX1023" s="328">
        <v>0</v>
      </c>
      <c r="BY1023" s="328">
        <v>0</v>
      </c>
      <c r="BZ1023" s="4014">
        <f t="shared" si="1906"/>
        <v>0</v>
      </c>
      <c r="CA1023" s="893">
        <v>0</v>
      </c>
      <c r="CB1023" s="893">
        <v>0</v>
      </c>
      <c r="CC1023" s="893">
        <v>0</v>
      </c>
      <c r="CD1023" s="893">
        <v>0</v>
      </c>
      <c r="CE1023" s="893">
        <v>0</v>
      </c>
      <c r="CF1023" s="893">
        <v>0</v>
      </c>
      <c r="CG1023" s="893">
        <v>0</v>
      </c>
      <c r="CH1023" s="364"/>
      <c r="CI1023" s="364"/>
      <c r="CJ1023" s="364"/>
      <c r="CK1023" s="364"/>
      <c r="CL1023" s="364"/>
      <c r="CM1023" s="965"/>
      <c r="CN1023" s="965">
        <f t="shared" si="1887"/>
        <v>0</v>
      </c>
      <c r="CO1023" s="965">
        <f t="shared" si="1888"/>
        <v>0</v>
      </c>
      <c r="CP1023" s="994" t="str">
        <f t="shared" si="1865"/>
        <v>Deferred income taxes</v>
      </c>
      <c r="CQ1023" s="374">
        <f t="shared" si="1866"/>
        <v>30.63</v>
      </c>
      <c r="CR1023" s="374">
        <f t="shared" si="1867"/>
        <v>-18.253000000000004</v>
      </c>
      <c r="CS1023" s="374">
        <f t="shared" si="1868"/>
        <v>-14.108000000000001</v>
      </c>
      <c r="CT1023" s="374">
        <f t="shared" si="1869"/>
        <v>68.37</v>
      </c>
      <c r="CU1023" s="374">
        <f t="shared" si="1870"/>
        <v>-44.152999999999992</v>
      </c>
      <c r="CV1023" s="374">
        <f t="shared" si="1871"/>
        <v>15.574000000000002</v>
      </c>
      <c r="CW1023" s="374">
        <f t="shared" si="1872"/>
        <v>6.2840000000000007</v>
      </c>
      <c r="CX1023" s="374">
        <f t="shared" si="1873"/>
        <v>-2.3810000000000002</v>
      </c>
      <c r="CY1023" s="374">
        <f t="shared" si="1874"/>
        <v>-218.59399999999999</v>
      </c>
      <c r="CZ1023" s="374">
        <f t="shared" si="1875"/>
        <v>2.9860000000000007</v>
      </c>
      <c r="DA1023" s="374">
        <f t="shared" si="1876"/>
        <v>1.4880000000000013</v>
      </c>
      <c r="DB1023" s="374">
        <f t="shared" si="1877"/>
        <v>16.306000000000001</v>
      </c>
      <c r="DC1023" s="374">
        <f t="shared" si="1878"/>
        <v>-177.10599999999999</v>
      </c>
      <c r="DD1023" s="374">
        <f t="shared" si="1879"/>
        <v>-16.834000000000003</v>
      </c>
      <c r="DE1023" s="374">
        <f t="shared" si="1880"/>
        <v>0</v>
      </c>
      <c r="DF1023" s="374">
        <f t="shared" si="1881"/>
        <v>0</v>
      </c>
      <c r="DG1023" s="1802">
        <f t="shared" si="1882"/>
        <v>0</v>
      </c>
      <c r="DH1023" s="379"/>
      <c r="DI1023" s="379"/>
      <c r="DJ1023" s="379"/>
      <c r="DK1023" s="379"/>
      <c r="DL1023" s="379"/>
      <c r="DM1023" s="379"/>
      <c r="DN1023" s="492"/>
      <c r="DO1023" s="389"/>
      <c r="DY1023" s="201"/>
      <c r="DZ1023" s="201"/>
    </row>
    <row r="1024" spans="1:130" ht="12" customHeight="1">
      <c r="A1024" s="994" t="s">
        <v>806</v>
      </c>
      <c r="B1024" s="552"/>
      <c r="C1024" s="552"/>
      <c r="D1024" s="363">
        <v>0</v>
      </c>
      <c r="E1024" s="364">
        <v>0</v>
      </c>
      <c r="F1024" s="364">
        <v>0</v>
      </c>
      <c r="G1024" s="364">
        <v>0</v>
      </c>
      <c r="H1024" s="373">
        <f t="shared" si="1892"/>
        <v>0</v>
      </c>
      <c r="I1024" s="364">
        <v>0</v>
      </c>
      <c r="J1024" s="364">
        <v>0</v>
      </c>
      <c r="K1024" s="364">
        <v>0</v>
      </c>
      <c r="L1024" s="364">
        <f>4.784-K1024-J1024-I1024</f>
        <v>4.7839999999999998</v>
      </c>
      <c r="M1024" s="373">
        <f t="shared" si="1893"/>
        <v>4.7839999999999998</v>
      </c>
      <c r="N1024" s="364">
        <v>1.0760000000000001</v>
      </c>
      <c r="O1024" s="364">
        <f>2.22-N1024</f>
        <v>1.1440000000000001</v>
      </c>
      <c r="P1024" s="364">
        <f>3.352-O1024-N1024</f>
        <v>1.1319999999999997</v>
      </c>
      <c r="Q1024" s="364">
        <f>4.486-P1024-O1024-N1024</f>
        <v>1.1339999999999999</v>
      </c>
      <c r="R1024" s="373">
        <f t="shared" si="1894"/>
        <v>4.4859999999999998</v>
      </c>
      <c r="S1024" s="364">
        <f>1.135</f>
        <v>1.135</v>
      </c>
      <c r="T1024" s="364">
        <f>2.284-S1024</f>
        <v>1.1489999999999998</v>
      </c>
      <c r="U1024" s="364">
        <f>3.736-T1024-S1024</f>
        <v>1.4520000000000006</v>
      </c>
      <c r="V1024" s="364">
        <f>5.18-U1024-T1024-S1024</f>
        <v>1.4439999999999988</v>
      </c>
      <c r="W1024" s="373">
        <f t="shared" si="1895"/>
        <v>5.18</v>
      </c>
      <c r="X1024" s="364">
        <v>1.212</v>
      </c>
      <c r="Y1024" s="364">
        <f>2.412-X1024</f>
        <v>1.2</v>
      </c>
      <c r="Z1024" s="364">
        <f>3.594-Y1024-X1024</f>
        <v>1.1820000000000002</v>
      </c>
      <c r="AA1024" s="364">
        <f>4.737-Z1024-Y1024-X1024</f>
        <v>1.1429999999999996</v>
      </c>
      <c r="AB1024" s="373">
        <f t="shared" si="1896"/>
        <v>4.7370000000000001</v>
      </c>
      <c r="AC1024" s="364">
        <v>1.123</v>
      </c>
      <c r="AD1024" s="364">
        <f>2.241-AC1024</f>
        <v>1.1180000000000001</v>
      </c>
      <c r="AE1024" s="364">
        <f>3.3-AD1024-AC1024</f>
        <v>1.0589999999999995</v>
      </c>
      <c r="AF1024" s="364">
        <f>6.226-AE1024-AD1024-AC1024</f>
        <v>2.9260000000000002</v>
      </c>
      <c r="AG1024" s="373">
        <f t="shared" si="1897"/>
        <v>6.226</v>
      </c>
      <c r="AH1024" s="376">
        <v>0.90100000000000002</v>
      </c>
      <c r="AI1024" s="376">
        <f>2.917-AH1024</f>
        <v>2.016</v>
      </c>
      <c r="AJ1024" s="376">
        <f>6.149-AI1024-AH1024</f>
        <v>3.2320000000000002</v>
      </c>
      <c r="AK1024" s="376">
        <f>7.575-AJ1024-AI1024-AH1024</f>
        <v>1.4259999999999999</v>
      </c>
      <c r="AL1024" s="375">
        <f t="shared" si="1898"/>
        <v>7.5750000000000002</v>
      </c>
      <c r="AM1024" s="376">
        <v>2.0310000000000001</v>
      </c>
      <c r="AN1024" s="376">
        <f>4.304+1.626-AM1024</f>
        <v>3.8989999999999996</v>
      </c>
      <c r="AO1024" s="376">
        <f>6.673+2.507-AN1024-AM1024</f>
        <v>3.2500000000000004</v>
      </c>
      <c r="AP1024" s="376">
        <f>11.853-AO1024-AN1024-AM1024</f>
        <v>2.6730000000000005</v>
      </c>
      <c r="AQ1024" s="375">
        <f t="shared" si="1899"/>
        <v>11.853</v>
      </c>
      <c r="AR1024" s="376">
        <f>3.15+0.889</f>
        <v>4.0389999999999997</v>
      </c>
      <c r="AS1024" s="376">
        <f>6.256+1.811-AR1024</f>
        <v>4.0280000000000005</v>
      </c>
      <c r="AT1024" s="376">
        <f>11.116+2.746-AR1024-AS1024</f>
        <v>5.7949999999999999</v>
      </c>
      <c r="AU1024" s="376">
        <f>21.616-AR1024-AS1024-AT1024</f>
        <v>7.7539999999999978</v>
      </c>
      <c r="AV1024" s="375">
        <f t="shared" si="1900"/>
        <v>21.616</v>
      </c>
      <c r="AW1024" s="376">
        <f>4.009+4.505</f>
        <v>8.5139999999999993</v>
      </c>
      <c r="AX1024" s="376">
        <f>11.425+9.156-AW1024</f>
        <v>12.067000000000004</v>
      </c>
      <c r="AY1024" s="376">
        <f>16.726+13.862-AX1024-AW1024</f>
        <v>10.006999999999998</v>
      </c>
      <c r="AZ1024" s="376">
        <f>21.381-AW1024-AX1024-AY1024</f>
        <v>-9.2070000000000007</v>
      </c>
      <c r="BA1024" s="375">
        <f t="shared" si="1901"/>
        <v>21.381</v>
      </c>
      <c r="BB1024" s="376">
        <v>4.8289999999999997</v>
      </c>
      <c r="BC1024" s="2790">
        <f>9.662-BB1024</f>
        <v>4.8330000000000011</v>
      </c>
      <c r="BD1024" s="376">
        <f>14.498+5.86-BC1024-BB1024</f>
        <v>10.695999999999998</v>
      </c>
      <c r="BE1024" s="376">
        <f>18.698-BD1024-BC1024-BB1024</f>
        <v>-1.6599999999999984</v>
      </c>
      <c r="BF1024" s="375">
        <f t="shared" si="1902"/>
        <v>18.698</v>
      </c>
      <c r="BG1024" s="2790">
        <f>4.199+1.127</f>
        <v>5.3259999999999996</v>
      </c>
      <c r="BH1024" s="2790">
        <f>8.887+2.288-BG1024</f>
        <v>5.8490000000000011</v>
      </c>
      <c r="BI1024" s="2790">
        <f>13.091+3.485-SUM(BG1024:BH1024)</f>
        <v>5.4009999999999998</v>
      </c>
      <c r="BJ1024" s="376">
        <f>17.415-BI1024-BH1024-BG1024</f>
        <v>0.83899999999999864</v>
      </c>
      <c r="BK1024" s="375">
        <f t="shared" si="1903"/>
        <v>17.414999999999999</v>
      </c>
      <c r="BL1024" s="328">
        <v>4.5940000000000003</v>
      </c>
      <c r="BM1024" s="2790">
        <f>9.077-BL1024</f>
        <v>4.4829999999999997</v>
      </c>
      <c r="BN1024" s="2790">
        <f>12.654-SUM(BL1024:BM1024)</f>
        <v>3.577</v>
      </c>
      <c r="BO1024" s="3190">
        <v>5</v>
      </c>
      <c r="BP1024" s="375">
        <f t="shared" si="1904"/>
        <v>17.654</v>
      </c>
      <c r="BQ1024" s="328">
        <v>2.2130000000000001</v>
      </c>
      <c r="BR1024" s="2790">
        <f>4.412-BQ1024</f>
        <v>2.1989999999999998</v>
      </c>
      <c r="BS1024" s="376">
        <f>6.957-BR1024-BQ1024</f>
        <v>2.5449999999999999</v>
      </c>
      <c r="BT1024" s="3483">
        <f>+BS1024</f>
        <v>2.5449999999999999</v>
      </c>
      <c r="BU1024" s="3325">
        <f t="shared" si="1905"/>
        <v>9.5019999999999989</v>
      </c>
      <c r="BV1024" s="3986">
        <f>BQ1024</f>
        <v>2.2130000000000001</v>
      </c>
      <c r="BW1024" s="3986">
        <f t="shared" ref="BW1024:BY1024" si="1911">BR1024</f>
        <v>2.1989999999999998</v>
      </c>
      <c r="BX1024" s="3986">
        <f>BS1024</f>
        <v>2.5449999999999999</v>
      </c>
      <c r="BY1024" s="3986">
        <f t="shared" si="1911"/>
        <v>2.5449999999999999</v>
      </c>
      <c r="BZ1024" s="4015">
        <f t="shared" si="1906"/>
        <v>9.5019999999999989</v>
      </c>
      <c r="CA1024" s="2046">
        <f t="shared" ref="CA1024:CG1024" si="1912">+BZ1024</f>
        <v>9.5019999999999989</v>
      </c>
      <c r="CB1024" s="3149">
        <f t="shared" si="1912"/>
        <v>9.5019999999999989</v>
      </c>
      <c r="CC1024" s="3149">
        <f t="shared" si="1912"/>
        <v>9.5019999999999989</v>
      </c>
      <c r="CD1024" s="3149">
        <f t="shared" si="1912"/>
        <v>9.5019999999999989</v>
      </c>
      <c r="CE1024" s="3149">
        <f t="shared" si="1912"/>
        <v>9.5019999999999989</v>
      </c>
      <c r="CF1024" s="3149">
        <f t="shared" si="1912"/>
        <v>9.5019999999999989</v>
      </c>
      <c r="CG1024" s="3149">
        <f t="shared" si="1912"/>
        <v>9.5019999999999989</v>
      </c>
      <c r="CH1024" s="364"/>
      <c r="CI1024" s="364"/>
      <c r="CJ1024" s="364"/>
      <c r="CK1024" s="364"/>
      <c r="CL1024" s="364"/>
      <c r="CM1024" s="965"/>
      <c r="CN1024" s="965">
        <f t="shared" si="1887"/>
        <v>9.5019999999999989</v>
      </c>
      <c r="CO1024" s="965">
        <f t="shared" si="1888"/>
        <v>-9.5019999999999989</v>
      </c>
      <c r="CP1024" s="994" t="str">
        <f t="shared" si="1865"/>
        <v>Amortization of financing fees</v>
      </c>
      <c r="CQ1024" s="374">
        <f t="shared" si="1866"/>
        <v>0</v>
      </c>
      <c r="CR1024" s="374">
        <f t="shared" si="1867"/>
        <v>4.7839999999999998</v>
      </c>
      <c r="CS1024" s="374">
        <f t="shared" si="1868"/>
        <v>4.4859999999999998</v>
      </c>
      <c r="CT1024" s="374">
        <f t="shared" si="1869"/>
        <v>5.18</v>
      </c>
      <c r="CU1024" s="374">
        <f t="shared" si="1870"/>
        <v>4.7370000000000001</v>
      </c>
      <c r="CV1024" s="374">
        <f t="shared" si="1871"/>
        <v>6.226</v>
      </c>
      <c r="CW1024" s="374">
        <f t="shared" si="1872"/>
        <v>7.5750000000000002</v>
      </c>
      <c r="CX1024" s="374">
        <f t="shared" si="1873"/>
        <v>11.853</v>
      </c>
      <c r="CY1024" s="374">
        <f t="shared" si="1874"/>
        <v>21.616</v>
      </c>
      <c r="CZ1024" s="374">
        <f t="shared" si="1875"/>
        <v>21.381</v>
      </c>
      <c r="DA1024" s="374">
        <f t="shared" si="1876"/>
        <v>18.698</v>
      </c>
      <c r="DB1024" s="374">
        <f t="shared" si="1877"/>
        <v>17.414999999999999</v>
      </c>
      <c r="DC1024" s="374">
        <f t="shared" si="1878"/>
        <v>17.654</v>
      </c>
      <c r="DD1024" s="374">
        <f t="shared" si="1879"/>
        <v>9.5019999999999989</v>
      </c>
      <c r="DE1024" s="374">
        <f t="shared" si="1880"/>
        <v>9.5019999999999989</v>
      </c>
      <c r="DF1024" s="374">
        <f t="shared" si="1881"/>
        <v>9.5019999999999989</v>
      </c>
      <c r="DG1024" s="1802">
        <f t="shared" si="1882"/>
        <v>9.5019999999999989</v>
      </c>
      <c r="DH1024" s="379"/>
      <c r="DI1024" s="379"/>
      <c r="DJ1024" s="379"/>
      <c r="DK1024" s="379"/>
      <c r="DL1024" s="379"/>
      <c r="DM1024" s="379"/>
      <c r="DN1024" s="492"/>
      <c r="DO1024" s="389"/>
      <c r="DY1024" s="201"/>
      <c r="DZ1024" s="201"/>
    </row>
    <row r="1025" spans="1:130" ht="12" customHeight="1">
      <c r="A1025" s="994" t="s">
        <v>1745</v>
      </c>
      <c r="B1025" s="552"/>
      <c r="C1025" s="552"/>
      <c r="D1025" s="363">
        <v>0</v>
      </c>
      <c r="E1025" s="364">
        <v>0</v>
      </c>
      <c r="F1025" s="364">
        <v>0</v>
      </c>
      <c r="G1025" s="364">
        <v>0</v>
      </c>
      <c r="H1025" s="373">
        <f t="shared" si="1892"/>
        <v>0</v>
      </c>
      <c r="I1025" s="364">
        <v>0</v>
      </c>
      <c r="J1025" s="364">
        <v>0</v>
      </c>
      <c r="K1025" s="364">
        <v>0</v>
      </c>
      <c r="L1025" s="364">
        <v>0</v>
      </c>
      <c r="M1025" s="373">
        <f t="shared" si="1893"/>
        <v>0</v>
      </c>
      <c r="N1025" s="364">
        <v>5.8070000000000004</v>
      </c>
      <c r="O1025" s="364">
        <f>12.092-N1025</f>
        <v>6.2850000000000001</v>
      </c>
      <c r="P1025" s="364">
        <f>17.182-O1025-N1025</f>
        <v>5.0899999999999981</v>
      </c>
      <c r="Q1025" s="364">
        <f>21.648-P1025-O1025-N1025</f>
        <v>4.4659999999999993</v>
      </c>
      <c r="R1025" s="373">
        <f t="shared" si="1894"/>
        <v>21.647999999999996</v>
      </c>
      <c r="S1025" s="364">
        <v>4.3659999999999997</v>
      </c>
      <c r="T1025" s="364">
        <f>9.011-S1025</f>
        <v>4.6449999999999996</v>
      </c>
      <c r="U1025" s="364">
        <f>12.806-T1025-S1025</f>
        <v>3.7949999999999999</v>
      </c>
      <c r="V1025" s="364">
        <f>16.059-U1025-T1025-S1025</f>
        <v>3.2530000000000019</v>
      </c>
      <c r="W1025" s="373">
        <f t="shared" si="1895"/>
        <v>16.059000000000001</v>
      </c>
      <c r="X1025" s="364">
        <v>3.359</v>
      </c>
      <c r="Y1025" s="364">
        <f>6.477-X1025</f>
        <v>3.1180000000000003</v>
      </c>
      <c r="Z1025" s="364">
        <f>9.615-Y1025-X1025</f>
        <v>3.1379999999999999</v>
      </c>
      <c r="AA1025" s="364">
        <f>14.024-Z1025-Y1025-X1025</f>
        <v>4.4089999999999989</v>
      </c>
      <c r="AB1025" s="373">
        <f t="shared" si="1896"/>
        <v>14.023999999999999</v>
      </c>
      <c r="AC1025" s="364">
        <v>3.9129999999999998</v>
      </c>
      <c r="AD1025" s="364">
        <f>7.942-AC1025</f>
        <v>4.0289999999999999</v>
      </c>
      <c r="AE1025" s="364">
        <f>11.349-AD1025-AC1025</f>
        <v>3.4070000000000005</v>
      </c>
      <c r="AF1025" s="364">
        <f>15.888-AE1025-AD1025-AC1025</f>
        <v>4.5389999999999997</v>
      </c>
      <c r="AG1025" s="373">
        <f t="shared" si="1897"/>
        <v>15.888</v>
      </c>
      <c r="AH1025" s="201">
        <f>AH65</f>
        <v>2.8559999999999999</v>
      </c>
      <c r="AI1025" s="201">
        <f>AI65</f>
        <v>2.8719999999999999</v>
      </c>
      <c r="AJ1025" s="201">
        <f>AJ65</f>
        <v>2.3959999999999999</v>
      </c>
      <c r="AK1025" s="364">
        <f>AK65</f>
        <v>3.2</v>
      </c>
      <c r="AL1025" s="375">
        <f t="shared" si="1898"/>
        <v>11.323999999999998</v>
      </c>
      <c r="AM1025" s="364">
        <v>3.8130000000000002</v>
      </c>
      <c r="AN1025" s="364">
        <f>5.953-AM1025</f>
        <v>2.14</v>
      </c>
      <c r="AO1025" s="364">
        <f>7.74-AN1025-AM1025</f>
        <v>1.7869999999999995</v>
      </c>
      <c r="AP1025" s="364">
        <f>9.996-AO1025-AN1025-AM1025</f>
        <v>2.2560000000000007</v>
      </c>
      <c r="AQ1025" s="375">
        <f>SUM(AM1025:AP1025)</f>
        <v>9.9960000000000004</v>
      </c>
      <c r="AR1025" s="364">
        <v>3.1160000000000001</v>
      </c>
      <c r="AS1025" s="364">
        <f>5.953-AR1025</f>
        <v>2.8370000000000002</v>
      </c>
      <c r="AT1025" s="364">
        <f>7.56-AR1025-AS1025</f>
        <v>1.6069999999999989</v>
      </c>
      <c r="AU1025" s="364">
        <f>12.247-AR1025-AS1025-AT1025</f>
        <v>4.6870000000000012</v>
      </c>
      <c r="AV1025" s="375">
        <f t="shared" si="1900"/>
        <v>12.247</v>
      </c>
      <c r="AW1025" s="364">
        <v>4.0910000000000002</v>
      </c>
      <c r="AX1025" s="364">
        <f>6.984-AW1025</f>
        <v>2.8929999999999998</v>
      </c>
      <c r="AY1025" s="364">
        <f>9.033-AX1025-AW1025</f>
        <v>2.0489999999999995</v>
      </c>
      <c r="AZ1025" s="364">
        <f>18.891-AW1025-AX1025-AY1025</f>
        <v>9.857999999999997</v>
      </c>
      <c r="BA1025" s="375">
        <f t="shared" si="1901"/>
        <v>18.890999999999998</v>
      </c>
      <c r="BB1025" s="364">
        <v>6.4809999999999999</v>
      </c>
      <c r="BC1025" s="2759">
        <f>9.905-BB1025</f>
        <v>3.4239999999999995</v>
      </c>
      <c r="BD1025" s="364">
        <f>11.239-BC1025-BB1025</f>
        <v>1.3340000000000014</v>
      </c>
      <c r="BE1025" s="376">
        <f>18.476-BD1025-BC1025-BB1025</f>
        <v>7.2369999999999965</v>
      </c>
      <c r="BF1025" s="375">
        <f t="shared" si="1902"/>
        <v>18.475999999999999</v>
      </c>
      <c r="BG1025" s="2790">
        <v>3.4409999999999998</v>
      </c>
      <c r="BH1025" s="2790">
        <f>6.367-BG1025</f>
        <v>2.9260000000000002</v>
      </c>
      <c r="BI1025" s="2790">
        <f>8.227-SUM(BG1025:BH1025)</f>
        <v>1.8600000000000003</v>
      </c>
      <c r="BJ1025" s="376">
        <f>19.264-BI1025-BH1025-BG1025</f>
        <v>11.036999999999999</v>
      </c>
      <c r="BK1025" s="375">
        <f t="shared" si="1903"/>
        <v>19.263999999999999</v>
      </c>
      <c r="BL1025" s="376">
        <v>3.2629999999999999</v>
      </c>
      <c r="BM1025" s="2790">
        <f>5.583-BL1025</f>
        <v>2.3200000000000003</v>
      </c>
      <c r="BN1025" s="2790">
        <f>7.125-SUM(BL1025:BM1025)</f>
        <v>1.5419999999999998</v>
      </c>
      <c r="BO1025" s="2790">
        <f>15.518-SUM(BL1025:BN1025)</f>
        <v>8.3930000000000007</v>
      </c>
      <c r="BP1025" s="375">
        <f t="shared" si="1904"/>
        <v>15.518000000000001</v>
      </c>
      <c r="BQ1025" s="376">
        <v>3.0830000000000002</v>
      </c>
      <c r="BR1025" s="2790">
        <f>8.83-BQ1025</f>
        <v>5.7469999999999999</v>
      </c>
      <c r="BS1025" s="376">
        <f>11.212-BR1025-BQ1025</f>
        <v>2.3819999999999997</v>
      </c>
      <c r="BT1025" s="201">
        <f>BT65</f>
        <v>6.2009999999999996</v>
      </c>
      <c r="BU1025" s="3325">
        <f t="shared" si="1905"/>
        <v>17.413</v>
      </c>
      <c r="BV1025" s="201">
        <f>BV65</f>
        <v>3.6830000000000003</v>
      </c>
      <c r="BW1025" s="201">
        <f>BW65</f>
        <v>6.3469999999999995</v>
      </c>
      <c r="BX1025" s="201">
        <f>BX65</f>
        <v>2.9820000000000002</v>
      </c>
      <c r="BY1025" s="201">
        <f>BY65</f>
        <v>6.8009999999999993</v>
      </c>
      <c r="BZ1025" s="3144">
        <f t="shared" si="1906"/>
        <v>19.812999999999999</v>
      </c>
      <c r="CA1025" s="375">
        <f t="shared" ref="CA1025:CG1025" si="1913">CA65</f>
        <v>19.812999999999999</v>
      </c>
      <c r="CB1025" s="375">
        <f t="shared" si="1913"/>
        <v>19.812999999999999</v>
      </c>
      <c r="CC1025" s="375">
        <f t="shared" si="1913"/>
        <v>19.812999999999999</v>
      </c>
      <c r="CD1025" s="375">
        <f t="shared" si="1913"/>
        <v>19.812999999999999</v>
      </c>
      <c r="CE1025" s="375">
        <f t="shared" si="1913"/>
        <v>19.812999999999999</v>
      </c>
      <c r="CF1025" s="375">
        <f t="shared" si="1913"/>
        <v>19.812999999999999</v>
      </c>
      <c r="CG1025" s="375">
        <f t="shared" si="1913"/>
        <v>19.812999999999999</v>
      </c>
      <c r="CH1025" s="364"/>
      <c r="CI1025" s="364"/>
      <c r="CJ1025" s="364"/>
      <c r="CK1025" s="364"/>
      <c r="CL1025" s="364"/>
      <c r="CM1025" s="965"/>
      <c r="CN1025" s="965">
        <f t="shared" si="1887"/>
        <v>19.812999999999999</v>
      </c>
      <c r="CO1025" s="965">
        <f t="shared" si="1888"/>
        <v>-19.812999999999999</v>
      </c>
      <c r="CP1025" s="994" t="str">
        <f t="shared" si="1865"/>
        <v>Stock based compensation</v>
      </c>
      <c r="CQ1025" s="201">
        <f t="shared" si="1866"/>
        <v>0</v>
      </c>
      <c r="CR1025" s="201">
        <f t="shared" si="1867"/>
        <v>0</v>
      </c>
      <c r="CS1025" s="201">
        <f t="shared" si="1868"/>
        <v>21.647999999999996</v>
      </c>
      <c r="CT1025" s="201">
        <f t="shared" si="1869"/>
        <v>16.059000000000001</v>
      </c>
      <c r="CU1025" s="201">
        <f t="shared" si="1870"/>
        <v>14.023999999999999</v>
      </c>
      <c r="CV1025" s="201">
        <f t="shared" si="1871"/>
        <v>15.888</v>
      </c>
      <c r="CW1025" s="201">
        <f t="shared" si="1872"/>
        <v>11.323999999999998</v>
      </c>
      <c r="CX1025" s="201">
        <f t="shared" si="1873"/>
        <v>9.9960000000000004</v>
      </c>
      <c r="CY1025" s="201">
        <f t="shared" si="1874"/>
        <v>12.247</v>
      </c>
      <c r="CZ1025" s="201">
        <f t="shared" si="1875"/>
        <v>18.890999999999998</v>
      </c>
      <c r="DA1025" s="201">
        <f t="shared" si="1876"/>
        <v>18.475999999999999</v>
      </c>
      <c r="DB1025" s="201">
        <f t="shared" si="1877"/>
        <v>19.263999999999999</v>
      </c>
      <c r="DC1025" s="201">
        <f t="shared" si="1878"/>
        <v>15.518000000000001</v>
      </c>
      <c r="DD1025" s="201">
        <f t="shared" si="1879"/>
        <v>17.413</v>
      </c>
      <c r="DE1025" s="201">
        <f t="shared" si="1880"/>
        <v>19.812999999999999</v>
      </c>
      <c r="DF1025" s="201">
        <f t="shared" si="1881"/>
        <v>19.812999999999999</v>
      </c>
      <c r="DG1025" s="1804">
        <f t="shared" si="1882"/>
        <v>19.812999999999999</v>
      </c>
      <c r="DH1025" s="379"/>
      <c r="DI1025" s="379"/>
      <c r="DJ1025" s="379"/>
      <c r="DK1025" s="379"/>
      <c r="DL1025" s="379"/>
      <c r="DM1025" s="379"/>
      <c r="DN1025" s="492"/>
      <c r="DO1025" s="389"/>
      <c r="DY1025" s="201"/>
      <c r="DZ1025" s="201"/>
    </row>
    <row r="1026" spans="1:130" ht="12" customHeight="1">
      <c r="A1026" s="994" t="s">
        <v>1746</v>
      </c>
      <c r="B1026" s="552"/>
      <c r="C1026" s="552"/>
      <c r="D1026" s="363">
        <v>2.4369999999999998</v>
      </c>
      <c r="E1026" s="364">
        <f>13.908-D1026</f>
        <v>11.471</v>
      </c>
      <c r="F1026" s="364">
        <f>15.507-E1026-D1026</f>
        <v>1.5989999999999998</v>
      </c>
      <c r="G1026" s="364">
        <f>20.694-F1026-E1026-D1026</f>
        <v>5.1869999999999994</v>
      </c>
      <c r="H1026" s="373">
        <f t="shared" si="1892"/>
        <v>20.693999999999999</v>
      </c>
      <c r="I1026" s="364">
        <v>6.4729999999999999</v>
      </c>
      <c r="J1026" s="364">
        <f>17.05-I1026</f>
        <v>10.577000000000002</v>
      </c>
      <c r="K1026" s="364">
        <f>22.375-J1026-I1026</f>
        <v>5.3249999999999984</v>
      </c>
      <c r="L1026" s="364">
        <f>22.375-K1026-J1026-I1026</f>
        <v>0</v>
      </c>
      <c r="M1026" s="373">
        <f t="shared" si="1893"/>
        <v>22.375</v>
      </c>
      <c r="N1026" s="364">
        <v>-1.3620000000000001</v>
      </c>
      <c r="O1026" s="364">
        <f>-5.928-N1026</f>
        <v>-4.5659999999999998</v>
      </c>
      <c r="P1026" s="364">
        <f>-6.304-O1026-N1026</f>
        <v>-0.37600000000000033</v>
      </c>
      <c r="Q1026" s="364">
        <f>-12.256-P1026-O1026-N1026</f>
        <v>-5.9519999999999991</v>
      </c>
      <c r="R1026" s="373">
        <f t="shared" si="1894"/>
        <v>-12.256</v>
      </c>
      <c r="S1026" s="364">
        <f>-1.47</f>
        <v>-1.47</v>
      </c>
      <c r="T1026" s="364">
        <f>-4.178-S1026</f>
        <v>-2.7080000000000002</v>
      </c>
      <c r="U1026" s="364">
        <f>-4.651-T1026-S1026</f>
        <v>-0.47299999999999964</v>
      </c>
      <c r="V1026" s="364">
        <f>-4.614-U1026-T1026-S1026</f>
        <v>3.7000000000000144E-2</v>
      </c>
      <c r="W1026" s="373">
        <f t="shared" si="1895"/>
        <v>-4.6139999999999999</v>
      </c>
      <c r="X1026" s="364">
        <v>-5.8000000000000003E-2</v>
      </c>
      <c r="Y1026" s="364">
        <v>5.8000000000000003E-2</v>
      </c>
      <c r="Z1026" s="364">
        <v>0</v>
      </c>
      <c r="AA1026" s="364">
        <v>0</v>
      </c>
      <c r="AB1026" s="373">
        <f t="shared" si="1896"/>
        <v>0</v>
      </c>
      <c r="AC1026" s="364">
        <v>0</v>
      </c>
      <c r="AD1026" s="364">
        <v>0</v>
      </c>
      <c r="AE1026" s="364">
        <v>0</v>
      </c>
      <c r="AF1026" s="364"/>
      <c r="AG1026" s="373">
        <f t="shared" si="1897"/>
        <v>0</v>
      </c>
      <c r="AH1026" s="376"/>
      <c r="AI1026" s="376"/>
      <c r="AJ1026" s="376"/>
      <c r="AK1026" s="376">
        <v>0</v>
      </c>
      <c r="AL1026" s="375">
        <f t="shared" si="1898"/>
        <v>0</v>
      </c>
      <c r="AM1026" s="376"/>
      <c r="AN1026" s="376"/>
      <c r="AO1026" s="376"/>
      <c r="AP1026" s="376"/>
      <c r="AQ1026" s="375"/>
      <c r="AR1026" s="376"/>
      <c r="AS1026" s="376"/>
      <c r="AT1026" s="376"/>
      <c r="AU1026" s="376"/>
      <c r="AV1026" s="375"/>
      <c r="AW1026" s="376"/>
      <c r="AX1026" s="376"/>
      <c r="AY1026" s="376"/>
      <c r="AZ1026" s="376"/>
      <c r="BA1026" s="375"/>
      <c r="BB1026" s="376"/>
      <c r="BC1026" s="376"/>
      <c r="BD1026" s="376"/>
      <c r="BE1026" s="376"/>
      <c r="BF1026" s="378"/>
      <c r="BG1026" s="363"/>
      <c r="BH1026" s="2790"/>
      <c r="BI1026" s="364"/>
      <c r="BJ1026" s="376"/>
      <c r="BK1026" s="378"/>
      <c r="BL1026" s="364"/>
      <c r="BM1026" s="2790"/>
      <c r="BN1026" s="364"/>
      <c r="BO1026" s="3013"/>
      <c r="BP1026" s="378"/>
      <c r="BQ1026" s="364"/>
      <c r="BR1026" s="364"/>
      <c r="BS1026" s="364"/>
      <c r="BT1026" s="3013"/>
      <c r="BU1026" s="3325"/>
      <c r="BV1026" s="364"/>
      <c r="BW1026" s="364"/>
      <c r="BX1026" s="364"/>
      <c r="BY1026" s="3013"/>
      <c r="BZ1026" s="3144"/>
      <c r="CA1026" s="378"/>
      <c r="CB1026" s="378"/>
      <c r="CC1026" s="378"/>
      <c r="CD1026" s="378"/>
      <c r="CE1026" s="378"/>
      <c r="CF1026" s="378"/>
      <c r="CG1026" s="378"/>
      <c r="CH1026" s="364"/>
      <c r="CI1026" s="364"/>
      <c r="CJ1026" s="364"/>
      <c r="CK1026" s="364"/>
      <c r="CL1026" s="364"/>
      <c r="CM1026" s="965"/>
      <c r="CN1026" s="965">
        <f t="shared" si="1887"/>
        <v>0</v>
      </c>
      <c r="CO1026" s="965">
        <f t="shared" si="1888"/>
        <v>0</v>
      </c>
      <c r="CP1026" s="994" t="str">
        <f t="shared" si="1865"/>
        <v>Tax benefit from stock options exercised</v>
      </c>
      <c r="CQ1026" s="374">
        <f t="shared" si="1866"/>
        <v>20.693999999999999</v>
      </c>
      <c r="CR1026" s="374">
        <f t="shared" si="1867"/>
        <v>22.375</v>
      </c>
      <c r="CS1026" s="374">
        <f t="shared" si="1868"/>
        <v>-12.256</v>
      </c>
      <c r="CT1026" s="374">
        <f t="shared" si="1869"/>
        <v>-4.6139999999999999</v>
      </c>
      <c r="CU1026" s="374">
        <f t="shared" si="1870"/>
        <v>0</v>
      </c>
      <c r="CV1026" s="374">
        <f t="shared" si="1871"/>
        <v>0</v>
      </c>
      <c r="CW1026" s="374">
        <f t="shared" si="1872"/>
        <v>0</v>
      </c>
      <c r="CX1026" s="374">
        <f t="shared" si="1873"/>
        <v>0</v>
      </c>
      <c r="CY1026" s="374">
        <f t="shared" si="1874"/>
        <v>0</v>
      </c>
      <c r="CZ1026" s="374">
        <f t="shared" si="1875"/>
        <v>0</v>
      </c>
      <c r="DA1026" s="374">
        <f t="shared" si="1876"/>
        <v>0</v>
      </c>
      <c r="DB1026" s="374">
        <f t="shared" si="1877"/>
        <v>0</v>
      </c>
      <c r="DC1026" s="374">
        <f t="shared" si="1878"/>
        <v>0</v>
      </c>
      <c r="DD1026" s="374">
        <f t="shared" si="1879"/>
        <v>0</v>
      </c>
      <c r="DE1026" s="374">
        <f t="shared" si="1880"/>
        <v>0</v>
      </c>
      <c r="DF1026" s="374">
        <f t="shared" si="1881"/>
        <v>0</v>
      </c>
      <c r="DG1026" s="1802">
        <f t="shared" si="1882"/>
        <v>0</v>
      </c>
      <c r="DH1026" s="379"/>
      <c r="DI1026" s="379"/>
      <c r="DJ1026" s="379"/>
      <c r="DK1026" s="379"/>
      <c r="DL1026" s="379"/>
      <c r="DM1026" s="379"/>
      <c r="DN1026" s="492"/>
      <c r="DO1026" s="389"/>
      <c r="DY1026" s="364"/>
      <c r="DZ1026" s="364"/>
    </row>
    <row r="1027" spans="1:130" ht="12" customHeight="1">
      <c r="A1027" s="994" t="s">
        <v>1790</v>
      </c>
      <c r="B1027" s="552"/>
      <c r="C1027" s="552"/>
      <c r="D1027" s="363">
        <f>3.181-2.044+0.614+7.523+9.855</f>
        <v>19.128999999999998</v>
      </c>
      <c r="E1027" s="364">
        <f>0.69-1.717+0.755+7.523+7.291-1.42-D1027</f>
        <v>-6.0069999999999979</v>
      </c>
      <c r="F1027" s="364">
        <f>-10.536+4.344-E1027-D1027</f>
        <v>-19.314</v>
      </c>
      <c r="G1027" s="364">
        <f>-10.309+4.344+(-111.42+111.454)-F1027-E1027-D1027</f>
        <v>0.26099999999999213</v>
      </c>
      <c r="H1027" s="373">
        <f t="shared" si="1892"/>
        <v>-5.931000000000008</v>
      </c>
      <c r="I1027" s="364">
        <f>25.423-0.39</f>
        <v>25.032999999999998</v>
      </c>
      <c r="J1027" s="364">
        <f>25.423-0.39-6.035-I1027</f>
        <v>-6.0350000000000001</v>
      </c>
      <c r="K1027" s="364">
        <f>17.529-0.659+25.423+0.919-0.822-J1027-I1027</f>
        <v>23.391999999999999</v>
      </c>
      <c r="L1027" s="364">
        <f>25.423-22.375+56+2.091-0.659+17.529+23.148-K1027-J1027-I1027</f>
        <v>58.766999999999996</v>
      </c>
      <c r="M1027" s="373">
        <f t="shared" si="1893"/>
        <v>101.157</v>
      </c>
      <c r="N1027" s="364">
        <f>-2.648</f>
        <v>-2.6480000000000001</v>
      </c>
      <c r="O1027" s="364">
        <f>-3.673-N1027</f>
        <v>-1.0249999999999999</v>
      </c>
      <c r="P1027" s="364">
        <f>1.755-10.768-O1027-N1027</f>
        <v>-5.3400000000000016</v>
      </c>
      <c r="Q1027" s="364">
        <f>1.801-33.45-P1027-O1027-N1027</f>
        <v>-22.636000000000006</v>
      </c>
      <c r="R1027" s="373">
        <f>SUM(N1027:Q1027)</f>
        <v>-31.649000000000008</v>
      </c>
      <c r="S1027" s="364">
        <f>-285.189+3.879+1.806+8.482+8.286</f>
        <v>-262.73600000000005</v>
      </c>
      <c r="T1027" s="364">
        <f>-285.033+16.945-2.525+3.744+0.37+0.634+1.767-7.303-S1027</f>
        <v>-8.6649999999999068</v>
      </c>
      <c r="U1027" s="364">
        <f>-285.033+16.945+1.007+3.744-0.825-13.872-T1027-S1027</f>
        <v>-6.6330000000000382</v>
      </c>
      <c r="V1027" s="364">
        <f>-285.033+16.945+1.13+0.194-8.216-5.069-16.238-U1027-T1027-S1027</f>
        <v>-18.253000000000043</v>
      </c>
      <c r="W1027" s="373">
        <f t="shared" si="1895"/>
        <v>-296.28700000000003</v>
      </c>
      <c r="X1027" s="364">
        <f>-1.306+0.3+8.041-0.734</f>
        <v>6.3010000000000002</v>
      </c>
      <c r="Y1027" s="364">
        <f>0.988-1.813-0.744-X1027</f>
        <v>-7.87</v>
      </c>
      <c r="Z1027" s="364">
        <f>-2.429-3.863-1.413+5.772-6.838-Y1027-X1027</f>
        <v>-7.2020000000000008</v>
      </c>
      <c r="AA1027" s="364">
        <f>-28.553-0.435-Z1027-Y1027-X1027</f>
        <v>-20.216999999999999</v>
      </c>
      <c r="AB1027" s="373">
        <f t="shared" si="1896"/>
        <v>-28.988</v>
      </c>
      <c r="AC1027" s="364">
        <f>-2.4-0.539+0.694+3.99+2.075</f>
        <v>3.8200000000000003</v>
      </c>
      <c r="AD1027" s="364">
        <f>-3.642-8.457-2.776-2.292+1.433-AC1027</f>
        <v>-19.554000000000002</v>
      </c>
      <c r="AE1027" s="364">
        <f>-12.061+3.434+3.235-3.969-6.767+4.25+3.628-AC1027-AD1027</f>
        <v>7.4840000000000018</v>
      </c>
      <c r="AF1027" s="364">
        <f>-15.284-AE1027-AD1027-AC1027-4.464+8.141+(4.241-4.244)</f>
        <v>-3.3599999999999994</v>
      </c>
      <c r="AG1027" s="373">
        <f t="shared" si="1897"/>
        <v>-11.61</v>
      </c>
      <c r="AH1027" s="376">
        <f>-2.037-0.357+(9.682-9.679)</f>
        <v>-2.391</v>
      </c>
      <c r="AI1027" s="376">
        <f>149.757-AH1028-SUM(AI1013:AI1025)</f>
        <v>-2.1430000000000291</v>
      </c>
      <c r="AJ1027" s="376">
        <f>240.961-AI1028-AH1028-SUM(AJ1013:AJ1025)</f>
        <v>3.3539999999999708</v>
      </c>
      <c r="AK1027" s="376">
        <f>285.07-AJ1028-AI1028-AH1028-SUM(AK1013:AK1025)</f>
        <v>-10.037000000000006</v>
      </c>
      <c r="AL1027" s="375">
        <f t="shared" si="1898"/>
        <v>-11.217000000000064</v>
      </c>
      <c r="AM1027" s="376">
        <f>0.786+0.02+2.808</f>
        <v>3.6139999999999999</v>
      </c>
      <c r="AN1027" s="376">
        <f>97.568-SUM(AN1013:AN1026)-AM1028</f>
        <v>-3.5340000000000344</v>
      </c>
      <c r="AO1027" s="376">
        <f>182.916-SUM(AO1013:AO1026)-AN1028-AM1028</f>
        <v>2.8089999999999833</v>
      </c>
      <c r="AP1027" s="376">
        <f>253.51-SUM(AP1013:AP1026)-AO1028-AN1028-AM1028</f>
        <v>45.905000000000015</v>
      </c>
      <c r="AQ1027" s="375">
        <f t="shared" si="1899"/>
        <v>48.793999999999961</v>
      </c>
      <c r="AR1027" s="376">
        <f>77.488-SUM(AR1013:AR1026)</f>
        <v>6.4070000000000107</v>
      </c>
      <c r="AS1027" s="376">
        <f>108.773-SUM(AS1013:AS1026)-AR1028</f>
        <v>-12.306000000000012</v>
      </c>
      <c r="AT1027" s="376">
        <f>145.845-SUM(AT1013:AT1026)-AS1028-AR1028</f>
        <v>1.9449999999999932</v>
      </c>
      <c r="AU1027" s="376">
        <f>142.445-SUM(AU1013:AU1026)-AT1028-AS1028-AR1028</f>
        <v>1.1899999999997419</v>
      </c>
      <c r="AV1027" s="375">
        <f>SUM(AR1027:AU1027)</f>
        <v>-2.7640000000002658</v>
      </c>
      <c r="AW1027" s="376">
        <f>88.118-SUM(AW1013:AW1026)</f>
        <v>13.828499999999977</v>
      </c>
      <c r="AX1027" s="376">
        <f>165.77-2.144-SUM(AX1013:AX1026)-AW1028</f>
        <v>17.628499999999988</v>
      </c>
      <c r="AY1027" s="376">
        <f>233.783-2.144-SUM(AY1013:AY1026)-AX1028-AW1028</f>
        <v>67.011999999999944</v>
      </c>
      <c r="AZ1027" s="376">
        <f>277.035-2.144-SUM(AZ1013:AZ1026)-AY1028-AX1028-AW1028</f>
        <v>53.462500000000063</v>
      </c>
      <c r="BA1027" s="375">
        <f>SUM(AW1027:AZ1027)</f>
        <v>151.93149999999997</v>
      </c>
      <c r="BB1027" s="376">
        <f>57.169-SUM(BB1013:BB1026)</f>
        <v>-0.10000000000003695</v>
      </c>
      <c r="BC1027" s="376">
        <f>138.329-SUM(BC1013:BC1026)-BB1028</f>
        <v>29.282000000000025</v>
      </c>
      <c r="BD1027" s="376">
        <f>232.501-SUM(BD1013:BD1026)-BC1028-BB1028</f>
        <v>47.175500000000014</v>
      </c>
      <c r="BE1027" s="376">
        <f>322.859-SUM(BE1013:BE1026)-BD1028-BC1028-BB1028</f>
        <v>82.477999999999966</v>
      </c>
      <c r="BF1027" s="375">
        <f>SUM(BB1027:BE1027)</f>
        <v>158.83549999999997</v>
      </c>
      <c r="BG1027" s="376">
        <f>59.638-SUM(BG1013:BG1026)</f>
        <v>-7.357500000000023</v>
      </c>
      <c r="BH1027" s="376">
        <f>155.776-SUM(BH1013:BH1026)-BG1028</f>
        <v>25.731499999999961</v>
      </c>
      <c r="BI1027" s="376">
        <f>32.333-28.416+1.065-0.341-6.626-SUM(BG1027:BH1027)</f>
        <v>-20.358999999999941</v>
      </c>
      <c r="BJ1027" s="376">
        <f>339.846-SUM(BJ1013:BJ1026)-BI1028-BH1028-BG1028</f>
        <v>64.562999999999931</v>
      </c>
      <c r="BK1027" s="375">
        <f>SUM(BG1027:BJ1027)</f>
        <v>62.577999999999932</v>
      </c>
      <c r="BL1027" s="376">
        <f>83.03-SUM(BL1013:BL1026)</f>
        <v>-29.948499999999996</v>
      </c>
      <c r="BM1027" s="376">
        <f>160.261+2.654-SUM(BM1013:BM1026)-BL1028</f>
        <v>22.427000000000007</v>
      </c>
      <c r="BN1027" s="376">
        <f>42.364-4.262-SUM(BL1027:BM1027)+1.2+1.44-26.596</f>
        <v>21.667499999999986</v>
      </c>
      <c r="BO1027" s="3921">
        <f>302.881-SUM(BO1013:BO1026)-BL1028-BM1028-BN1028</f>
        <v>24.465000000000003</v>
      </c>
      <c r="BP1027" s="375">
        <f>SUM(BL1027:BO1027)</f>
        <v>38.611000000000004</v>
      </c>
      <c r="BQ1027" s="376">
        <f>112.045-SUM(BQ1013:BQ1026)</f>
        <v>-4.6379999999999768</v>
      </c>
      <c r="BR1027" s="376">
        <f>195.234+35.733-SUM(BR1013:BR1026)-BQ1028</f>
        <v>35.297000000000011</v>
      </c>
      <c r="BS1027" s="376">
        <f>0.853-10.217-2.106-0.514-BR1027-BQ1027</f>
        <v>-42.643000000000036</v>
      </c>
      <c r="BT1027" s="4176">
        <f>203.1-SUM(BT1013:BT1026,BT1035,BT1042,BS1048)</f>
        <v>-71.97575000000009</v>
      </c>
      <c r="BU1027" s="3325">
        <f>SUM(BQ1027:BT1027)</f>
        <v>-83.959750000000099</v>
      </c>
      <c r="BV1027" s="376">
        <v>2.5</v>
      </c>
      <c r="BW1027" s="376">
        <v>2.5</v>
      </c>
      <c r="BX1027" s="376">
        <v>2.5</v>
      </c>
      <c r="BY1027" s="376">
        <v>2.5</v>
      </c>
      <c r="BZ1027" s="3144">
        <f>SUM(BV1027:BY1027)</f>
        <v>10</v>
      </c>
      <c r="CA1027" s="3952">
        <f t="shared" ref="CA1027:CG1027" si="1914">BZ1027</f>
        <v>10</v>
      </c>
      <c r="CB1027" s="3952">
        <f t="shared" si="1914"/>
        <v>10</v>
      </c>
      <c r="CC1027" s="378">
        <f t="shared" si="1914"/>
        <v>10</v>
      </c>
      <c r="CD1027" s="378">
        <f t="shared" si="1914"/>
        <v>10</v>
      </c>
      <c r="CE1027" s="378">
        <f t="shared" si="1914"/>
        <v>10</v>
      </c>
      <c r="CF1027" s="378">
        <f t="shared" si="1914"/>
        <v>10</v>
      </c>
      <c r="CG1027" s="378">
        <f t="shared" si="1914"/>
        <v>10</v>
      </c>
      <c r="CH1027" s="878"/>
      <c r="CI1027" s="878"/>
      <c r="CJ1027" s="878"/>
      <c r="CK1027" s="878"/>
      <c r="CL1027" s="878"/>
      <c r="CM1027" s="965"/>
      <c r="CN1027" s="965">
        <f t="shared" si="1887"/>
        <v>10</v>
      </c>
      <c r="CO1027" s="965">
        <f t="shared" si="1888"/>
        <v>-10</v>
      </c>
      <c r="CP1027" s="994" t="str">
        <f t="shared" si="1865"/>
        <v>Other</v>
      </c>
      <c r="CQ1027" s="374">
        <f t="shared" si="1866"/>
        <v>-5.931000000000008</v>
      </c>
      <c r="CR1027" s="374">
        <f t="shared" si="1867"/>
        <v>101.157</v>
      </c>
      <c r="CS1027" s="374">
        <f t="shared" si="1868"/>
        <v>-31.649000000000008</v>
      </c>
      <c r="CT1027" s="374">
        <f t="shared" si="1869"/>
        <v>-296.28700000000003</v>
      </c>
      <c r="CU1027" s="374">
        <f t="shared" si="1870"/>
        <v>-28.988</v>
      </c>
      <c r="CV1027" s="374">
        <f t="shared" si="1871"/>
        <v>-11.61</v>
      </c>
      <c r="CW1027" s="374">
        <f t="shared" si="1872"/>
        <v>-11.217000000000064</v>
      </c>
      <c r="CX1027" s="374">
        <f t="shared" si="1873"/>
        <v>48.793999999999961</v>
      </c>
      <c r="CY1027" s="374">
        <f t="shared" si="1874"/>
        <v>-2.7640000000002658</v>
      </c>
      <c r="CZ1027" s="374">
        <f t="shared" si="1875"/>
        <v>151.93149999999997</v>
      </c>
      <c r="DA1027" s="374">
        <f t="shared" si="1876"/>
        <v>158.83549999999997</v>
      </c>
      <c r="DB1027" s="374">
        <f t="shared" si="1877"/>
        <v>62.577999999999932</v>
      </c>
      <c r="DC1027" s="374">
        <f t="shared" si="1878"/>
        <v>38.611000000000004</v>
      </c>
      <c r="DD1027" s="374">
        <f t="shared" si="1879"/>
        <v>-83.959750000000099</v>
      </c>
      <c r="DE1027" s="374">
        <f t="shared" si="1880"/>
        <v>10</v>
      </c>
      <c r="DF1027" s="374">
        <f t="shared" si="1881"/>
        <v>10</v>
      </c>
      <c r="DG1027" s="1802">
        <f t="shared" si="1882"/>
        <v>10</v>
      </c>
      <c r="DH1027" s="379"/>
      <c r="DI1027" s="379"/>
      <c r="DJ1027" s="379"/>
      <c r="DK1027" s="379"/>
      <c r="DL1027" s="379"/>
      <c r="DM1027" s="379"/>
      <c r="DN1027" s="877"/>
      <c r="DO1027" s="389"/>
      <c r="DY1027" s="201"/>
      <c r="DZ1027" s="201"/>
    </row>
    <row r="1028" spans="1:130" ht="12" customHeight="1">
      <c r="A1028" s="986" t="s">
        <v>1024</v>
      </c>
      <c r="B1028" s="987"/>
      <c r="C1028" s="987"/>
      <c r="D1028" s="988">
        <f>SUM(D1013:D1027)</f>
        <v>45.35199999999999</v>
      </c>
      <c r="E1028" s="989">
        <f>SUM(E1013:E1027)</f>
        <v>45.133000000000003</v>
      </c>
      <c r="F1028" s="989">
        <f>SUM(F1013:F1027)</f>
        <v>113.29400000000001</v>
      </c>
      <c r="G1028" s="989">
        <f>SUM(G1013:G1027)</f>
        <v>65.814999999999984</v>
      </c>
      <c r="H1028" s="990">
        <f t="shared" si="1892"/>
        <v>269.59399999999999</v>
      </c>
      <c r="I1028" s="989">
        <f t="shared" ref="I1028:AH1028" si="1915">SUM(I1013:I1027)</f>
        <v>136.93599999999998</v>
      </c>
      <c r="J1028" s="989">
        <f t="shared" si="1915"/>
        <v>61.220999999999961</v>
      </c>
      <c r="K1028" s="989">
        <f t="shared" si="1915"/>
        <v>112.79600000000001</v>
      </c>
      <c r="L1028" s="989">
        <f t="shared" si="1915"/>
        <v>108.95500000000001</v>
      </c>
      <c r="M1028" s="990">
        <f t="shared" si="1915"/>
        <v>419.90800000000002</v>
      </c>
      <c r="N1028" s="989">
        <f t="shared" si="1915"/>
        <v>156.66199999999998</v>
      </c>
      <c r="O1028" s="989">
        <f t="shared" si="1915"/>
        <v>47.858000000000025</v>
      </c>
      <c r="P1028" s="989">
        <f t="shared" si="1915"/>
        <v>123.70499999999996</v>
      </c>
      <c r="Q1028" s="989">
        <f t="shared" si="1915"/>
        <v>90.616999999999976</v>
      </c>
      <c r="R1028" s="990">
        <f t="shared" si="1915"/>
        <v>418.84199999999998</v>
      </c>
      <c r="S1028" s="989">
        <f t="shared" si="1915"/>
        <v>96.363999999999862</v>
      </c>
      <c r="T1028" s="989">
        <f t="shared" si="1915"/>
        <v>31.139000000000067</v>
      </c>
      <c r="U1028" s="989">
        <f t="shared" si="1915"/>
        <v>89.392999999999972</v>
      </c>
      <c r="V1028" s="989">
        <f t="shared" si="1915"/>
        <v>65.18599999999995</v>
      </c>
      <c r="W1028" s="990">
        <f t="shared" si="1915"/>
        <v>282.08199999999988</v>
      </c>
      <c r="X1028" s="989">
        <f t="shared" si="1915"/>
        <v>77.45</v>
      </c>
      <c r="Y1028" s="989">
        <f t="shared" si="1915"/>
        <v>75.650999999999996</v>
      </c>
      <c r="Z1028" s="989">
        <f t="shared" si="1915"/>
        <v>26.117000000000015</v>
      </c>
      <c r="AA1028" s="989">
        <f t="shared" si="1915"/>
        <v>41.261000000000088</v>
      </c>
      <c r="AB1028" s="499">
        <f t="shared" si="1915"/>
        <v>220.47900000000016</v>
      </c>
      <c r="AC1028" s="497">
        <f t="shared" si="1915"/>
        <v>52.058</v>
      </c>
      <c r="AD1028" s="497">
        <f t="shared" si="1915"/>
        <v>47.455000000000013</v>
      </c>
      <c r="AE1028" s="497">
        <f t="shared" si="1915"/>
        <v>59.583999999999989</v>
      </c>
      <c r="AF1028" s="497">
        <f t="shared" si="1915"/>
        <v>81.934000000000012</v>
      </c>
      <c r="AG1028" s="499">
        <f t="shared" si="1915"/>
        <v>241.03100000000001</v>
      </c>
      <c r="AH1028" s="497">
        <f t="shared" si="1915"/>
        <v>72.928999999999988</v>
      </c>
      <c r="AI1028" s="497">
        <f t="shared" ref="AI1028:AP1028" si="1916">SUM(AI1013:AI1027)</f>
        <v>76.828000000000017</v>
      </c>
      <c r="AJ1028" s="497">
        <f t="shared" si="1916"/>
        <v>91.203999999999994</v>
      </c>
      <c r="AK1028" s="497">
        <f t="shared" si="1916"/>
        <v>44.10899999999998</v>
      </c>
      <c r="AL1028" s="499">
        <f t="shared" si="1916"/>
        <v>285.07</v>
      </c>
      <c r="AM1028" s="497">
        <f t="shared" si="1916"/>
        <v>77.344999999999999</v>
      </c>
      <c r="AN1028" s="497">
        <f t="shared" si="1916"/>
        <v>20.222999999999999</v>
      </c>
      <c r="AO1028" s="497">
        <f t="shared" si="1916"/>
        <v>85.347999999999999</v>
      </c>
      <c r="AP1028" s="497">
        <f t="shared" si="1916"/>
        <v>70.593999999999994</v>
      </c>
      <c r="AQ1028" s="499">
        <f>SUM(AQ1013:AQ1027)</f>
        <v>253.50999999999996</v>
      </c>
      <c r="AR1028" s="497">
        <f>SUM(AR1013:AR1027)</f>
        <v>77.488</v>
      </c>
      <c r="AS1028" s="497">
        <f>SUM(AS1013:AS1027)</f>
        <v>31.284999999999989</v>
      </c>
      <c r="AT1028" s="497">
        <f>SUM(AT1013:AT1027)</f>
        <v>37.071999999999996</v>
      </c>
      <c r="AU1028" s="497">
        <f>SUM(AU1013:AU1027)</f>
        <v>-3.4000000000000092</v>
      </c>
      <c r="AV1028" s="499">
        <f>SUM(AR1028:AU1028)</f>
        <v>142.44499999999999</v>
      </c>
      <c r="AW1028" s="497">
        <f>SUM(AW1013:AW1027)</f>
        <v>88.117999999999995</v>
      </c>
      <c r="AX1028" s="497">
        <f>SUM(AX1013:AX1027)</f>
        <v>75.50800000000001</v>
      </c>
      <c r="AY1028" s="497">
        <f>SUM(AY1013:AY1027)</f>
        <v>68.012999999999977</v>
      </c>
      <c r="AZ1028" s="497">
        <f>SUM(AZ1013:AZ1027)</f>
        <v>43.252000000000045</v>
      </c>
      <c r="BA1028" s="499">
        <f>SUM(AW1028:AZ1028)</f>
        <v>274.89100000000002</v>
      </c>
      <c r="BB1028" s="497">
        <f>SUM(BB1013:BB1027)</f>
        <v>57.168999999999997</v>
      </c>
      <c r="BC1028" s="497">
        <f>SUM(BC1013:BC1027)</f>
        <v>81.160000000000025</v>
      </c>
      <c r="BD1028" s="497">
        <f>SUM(BD1013:BD1027)</f>
        <v>94.171999999999997</v>
      </c>
      <c r="BE1028" s="497">
        <f>SUM(BE1013:BE1027)</f>
        <v>90.357999999999961</v>
      </c>
      <c r="BF1028" s="499">
        <f>SUM(BB1028:BE1028)</f>
        <v>322.85899999999998</v>
      </c>
      <c r="BG1028" s="497">
        <f>SUM(BG1013:BG1027)</f>
        <v>59.637999999999998</v>
      </c>
      <c r="BH1028" s="497">
        <f>SUM(BH1013:BH1027)</f>
        <v>96.138000000000005</v>
      </c>
      <c r="BI1028" s="497">
        <f>SUM(BI1013:BI1027)</f>
        <v>85.673000000000059</v>
      </c>
      <c r="BJ1028" s="497">
        <f>SUM(BJ1013:BJ1027)</f>
        <v>98.396999999999935</v>
      </c>
      <c r="BK1028" s="499">
        <f>SUM(BG1028:BJ1028)</f>
        <v>339.846</v>
      </c>
      <c r="BL1028" s="497">
        <f t="shared" ref="BL1028:BY1028" si="1917">SUM(BL1013:BL1027)</f>
        <v>83.03</v>
      </c>
      <c r="BM1028" s="497">
        <f t="shared" si="1917"/>
        <v>79.884999999999991</v>
      </c>
      <c r="BN1028" s="497">
        <f t="shared" si="1917"/>
        <v>67.394999999999982</v>
      </c>
      <c r="BO1028" s="497">
        <f t="shared" si="1917"/>
        <v>72.570999999999998</v>
      </c>
      <c r="BP1028" s="3435">
        <f t="shared" si="1917"/>
        <v>302.88099999999997</v>
      </c>
      <c r="BQ1028" s="497">
        <f t="shared" si="1917"/>
        <v>112.045</v>
      </c>
      <c r="BR1028" s="497">
        <f t="shared" si="1917"/>
        <v>118.92200000000001</v>
      </c>
      <c r="BS1028" s="497">
        <f t="shared" si="1917"/>
        <v>91.690999999999974</v>
      </c>
      <c r="BT1028" s="497">
        <f t="shared" si="1917"/>
        <v>14.614249999999927</v>
      </c>
      <c r="BU1028" s="3435">
        <f>SUM(BQ1028:BT1028)</f>
        <v>337.27224999999993</v>
      </c>
      <c r="BV1028" s="497">
        <f t="shared" si="1917"/>
        <v>114.10743538632984</v>
      </c>
      <c r="BW1028" s="497">
        <f t="shared" si="1917"/>
        <v>112.04742873757249</v>
      </c>
      <c r="BX1028" s="497">
        <f t="shared" si="1917"/>
        <v>135.46034781401767</v>
      </c>
      <c r="BY1028" s="497">
        <f t="shared" si="1917"/>
        <v>148.17942664938792</v>
      </c>
      <c r="BZ1028" s="499">
        <f>SUM(BV1028:BY1028)</f>
        <v>509.79463858730787</v>
      </c>
      <c r="CA1028" s="499">
        <f t="shared" ref="CA1028:CG1028" si="1918">SUM(CA1013:CA1027)</f>
        <v>564.97184767238411</v>
      </c>
      <c r="CB1028" s="499">
        <f t="shared" si="1918"/>
        <v>569.9282878890325</v>
      </c>
      <c r="CC1028" s="499">
        <f t="shared" si="1918"/>
        <v>29.63225742532245</v>
      </c>
      <c r="CD1028" s="499">
        <f t="shared" si="1918"/>
        <v>-3.1983318512926111</v>
      </c>
      <c r="CE1028" s="499">
        <f t="shared" si="1918"/>
        <v>11.507592704530396</v>
      </c>
      <c r="CF1028" s="499">
        <f t="shared" si="1918"/>
        <v>26.632021496619387</v>
      </c>
      <c r="CG1028" s="499">
        <f t="shared" si="1918"/>
        <v>42.184727473400642</v>
      </c>
      <c r="CH1028" s="621"/>
      <c r="CI1028" s="621"/>
      <c r="CJ1028" s="621"/>
      <c r="CK1028" s="621"/>
      <c r="CL1028" s="621"/>
      <c r="CM1028" s="965"/>
      <c r="CN1028" s="965">
        <f t="shared" si="1887"/>
        <v>509.79463858730787</v>
      </c>
      <c r="CO1028" s="965">
        <f t="shared" si="1888"/>
        <v>-509.79463858730787</v>
      </c>
      <c r="CP1028" s="986" t="str">
        <f t="shared" si="1865"/>
        <v>Cash from operating activities</v>
      </c>
      <c r="CQ1028" s="497">
        <f t="shared" si="1866"/>
        <v>269.59399999999999</v>
      </c>
      <c r="CR1028" s="497">
        <f t="shared" si="1867"/>
        <v>419.90800000000002</v>
      </c>
      <c r="CS1028" s="497">
        <f t="shared" si="1868"/>
        <v>418.84199999999998</v>
      </c>
      <c r="CT1028" s="497">
        <f t="shared" si="1869"/>
        <v>282.08199999999988</v>
      </c>
      <c r="CU1028" s="497">
        <f t="shared" si="1870"/>
        <v>220.47900000000016</v>
      </c>
      <c r="CV1028" s="497">
        <f t="shared" si="1871"/>
        <v>241.03100000000001</v>
      </c>
      <c r="CW1028" s="497">
        <f t="shared" si="1872"/>
        <v>285.07</v>
      </c>
      <c r="CX1028" s="497">
        <f t="shared" si="1873"/>
        <v>253.50999999999996</v>
      </c>
      <c r="CY1028" s="497">
        <f t="shared" si="1874"/>
        <v>142.44499999999999</v>
      </c>
      <c r="CZ1028" s="497">
        <f t="shared" si="1875"/>
        <v>274.89100000000002</v>
      </c>
      <c r="DA1028" s="497">
        <f t="shared" si="1876"/>
        <v>322.85899999999998</v>
      </c>
      <c r="DB1028" s="497">
        <f t="shared" si="1877"/>
        <v>339.846</v>
      </c>
      <c r="DC1028" s="497">
        <f t="shared" si="1878"/>
        <v>302.88099999999997</v>
      </c>
      <c r="DD1028" s="497">
        <f t="shared" si="1879"/>
        <v>337.27224999999993</v>
      </c>
      <c r="DE1028" s="497">
        <f t="shared" si="1880"/>
        <v>509.79463858730787</v>
      </c>
      <c r="DF1028" s="497">
        <f t="shared" si="1881"/>
        <v>564.97184767238411</v>
      </c>
      <c r="DG1028" s="1921">
        <f t="shared" si="1882"/>
        <v>569.9282878890325</v>
      </c>
      <c r="DH1028" s="620"/>
      <c r="DI1028" s="620"/>
      <c r="DJ1028" s="620"/>
      <c r="DK1028" s="620"/>
      <c r="DL1028" s="620"/>
      <c r="DM1028" s="620"/>
      <c r="DN1028" s="500"/>
      <c r="DO1028" s="537"/>
      <c r="DY1028" s="354"/>
      <c r="DZ1028" s="354"/>
    </row>
    <row r="1029" spans="1:130" ht="12" customHeight="1">
      <c r="A1029" s="912"/>
      <c r="B1029" s="222"/>
      <c r="C1029" s="222"/>
      <c r="D1029" s="468"/>
      <c r="E1029" s="469"/>
      <c r="F1029" s="469"/>
      <c r="G1029" s="469"/>
      <c r="H1029" s="470"/>
      <c r="I1029" s="469"/>
      <c r="J1029" s="469"/>
      <c r="K1029" s="469"/>
      <c r="L1029" s="469"/>
      <c r="M1029" s="470"/>
      <c r="N1029" s="469"/>
      <c r="O1029" s="469"/>
      <c r="P1029" s="469"/>
      <c r="Q1029" s="469"/>
      <c r="R1029" s="470"/>
      <c r="S1029" s="469"/>
      <c r="T1029" s="469"/>
      <c r="U1029" s="469"/>
      <c r="V1029" s="469"/>
      <c r="W1029" s="470"/>
      <c r="X1029" s="469"/>
      <c r="Y1029" s="469"/>
      <c r="Z1029" s="469"/>
      <c r="AA1029" s="469"/>
      <c r="AB1029" s="470"/>
      <c r="AC1029" s="880"/>
      <c r="AD1029" s="469"/>
      <c r="AE1029" s="469"/>
      <c r="AF1029" s="469"/>
      <c r="AG1029" s="470"/>
      <c r="AH1029" s="469"/>
      <c r="AI1029" s="469"/>
      <c r="AJ1029" s="469"/>
      <c r="AK1029" s="469"/>
      <c r="AL1029" s="470"/>
      <c r="AM1029" s="469"/>
      <c r="AN1029" s="880"/>
      <c r="AO1029" s="469"/>
      <c r="AP1029" s="469"/>
      <c r="AQ1029" s="470"/>
      <c r="AR1029" s="469"/>
      <c r="AS1029" s="880"/>
      <c r="AT1029" s="880"/>
      <c r="AU1029" s="469"/>
      <c r="AV1029" s="470"/>
      <c r="AW1029" s="469"/>
      <c r="AX1029" s="880"/>
      <c r="AY1029" s="880"/>
      <c r="AZ1029" s="469"/>
      <c r="BA1029" s="470"/>
      <c r="BB1029" s="469"/>
      <c r="BC1029" s="880"/>
      <c r="BD1029" s="469"/>
      <c r="BE1029" s="469"/>
      <c r="BF1029" s="470"/>
      <c r="BG1029" s="468"/>
      <c r="BH1029" s="469"/>
      <c r="BI1029" s="469"/>
      <c r="BJ1029" s="469"/>
      <c r="BK1029" s="470"/>
      <c r="BL1029" s="469"/>
      <c r="BM1029" s="469"/>
      <c r="BN1029" s="469"/>
      <c r="BO1029" s="2351"/>
      <c r="BP1029" s="470"/>
      <c r="BQ1029" s="469"/>
      <c r="BR1029" s="469"/>
      <c r="BS1029" s="469"/>
      <c r="BT1029" s="2351"/>
      <c r="BU1029" s="3322"/>
      <c r="BV1029" s="469"/>
      <c r="BW1029" s="469"/>
      <c r="BX1029" s="469"/>
      <c r="BY1029" s="2351"/>
      <c r="BZ1029" s="470"/>
      <c r="CA1029" s="470"/>
      <c r="CB1029" s="470"/>
      <c r="CC1029" s="470"/>
      <c r="CD1029" s="470"/>
      <c r="CE1029" s="470"/>
      <c r="CF1029" s="470"/>
      <c r="CG1029" s="470"/>
      <c r="CH1029" s="469"/>
      <c r="CI1029" s="469"/>
      <c r="CJ1029" s="469"/>
      <c r="CK1029" s="469"/>
      <c r="CL1029" s="469"/>
      <c r="CM1029" s="469"/>
      <c r="CN1029" s="469"/>
      <c r="CO1029" s="469"/>
      <c r="CP1029" s="912"/>
      <c r="CQ1029" s="1767"/>
      <c r="CR1029" s="1767"/>
      <c r="CS1029" s="1767"/>
      <c r="CT1029" s="1767"/>
      <c r="CU1029" s="1767"/>
      <c r="CV1029" s="1767"/>
      <c r="CW1029" s="1767"/>
      <c r="CX1029" s="1767"/>
      <c r="CY1029" s="1767">
        <f t="shared" si="1874"/>
        <v>0</v>
      </c>
      <c r="CZ1029" s="1767"/>
      <c r="DA1029" s="1767"/>
      <c r="DB1029" s="1767"/>
      <c r="DC1029" s="1767"/>
      <c r="DD1029" s="1767"/>
      <c r="DE1029" s="1767"/>
      <c r="DF1029" s="1767"/>
      <c r="DG1029" s="1922"/>
      <c r="DH1029" s="311"/>
      <c r="DI1029" s="311"/>
      <c r="DJ1029" s="311"/>
      <c r="DK1029" s="311"/>
      <c r="DL1029" s="311"/>
      <c r="DM1029" s="311"/>
      <c r="DN1029" s="311"/>
      <c r="DO1029" s="226"/>
      <c r="DY1029" s="469"/>
      <c r="DZ1029" s="469"/>
    </row>
    <row r="1030" spans="1:130" ht="12" customHeight="1">
      <c r="A1030" s="977" t="s">
        <v>1298</v>
      </c>
      <c r="B1030" s="445"/>
      <c r="C1030" s="445"/>
      <c r="D1030" s="468"/>
      <c r="E1030" s="469"/>
      <c r="F1030" s="469"/>
      <c r="G1030" s="469"/>
      <c r="H1030" s="470"/>
      <c r="I1030" s="469"/>
      <c r="J1030" s="469"/>
      <c r="K1030" s="469"/>
      <c r="L1030" s="469"/>
      <c r="M1030" s="470"/>
      <c r="N1030" s="469"/>
      <c r="O1030" s="469"/>
      <c r="P1030" s="469"/>
      <c r="Q1030" s="469"/>
      <c r="R1030" s="470"/>
      <c r="S1030" s="469"/>
      <c r="T1030" s="469"/>
      <c r="U1030" s="469"/>
      <c r="V1030" s="469"/>
      <c r="W1030" s="470"/>
      <c r="X1030" s="469"/>
      <c r="Y1030" s="469"/>
      <c r="Z1030" s="469"/>
      <c r="AA1030" s="469"/>
      <c r="AB1030" s="470"/>
      <c r="AC1030" s="469"/>
      <c r="AD1030" s="469"/>
      <c r="AE1030" s="469"/>
      <c r="AF1030" s="469"/>
      <c r="AG1030" s="470"/>
      <c r="AH1030" s="469"/>
      <c r="AI1030" s="469"/>
      <c r="AJ1030" s="469"/>
      <c r="AK1030" s="469"/>
      <c r="AL1030" s="470"/>
      <c r="AM1030" s="469"/>
      <c r="AN1030" s="469"/>
      <c r="AO1030" s="469"/>
      <c r="AP1030" s="469"/>
      <c r="AQ1030" s="470"/>
      <c r="AR1030" s="469"/>
      <c r="AS1030" s="469"/>
      <c r="AT1030" s="469"/>
      <c r="AU1030" s="469"/>
      <c r="AV1030" s="470"/>
      <c r="AW1030" s="469"/>
      <c r="AX1030" s="469"/>
      <c r="AY1030" s="469"/>
      <c r="AZ1030" s="469"/>
      <c r="BA1030" s="470"/>
      <c r="BB1030" s="469"/>
      <c r="BC1030" s="469"/>
      <c r="BD1030" s="469"/>
      <c r="BE1030" s="469"/>
      <c r="BF1030" s="470"/>
      <c r="BG1030" s="468"/>
      <c r="BH1030" s="469"/>
      <c r="BI1030" s="469"/>
      <c r="BJ1030" s="469"/>
      <c r="BK1030" s="470"/>
      <c r="BL1030" s="469"/>
      <c r="BM1030" s="469"/>
      <c r="BN1030" s="469"/>
      <c r="BO1030" s="2351"/>
      <c r="BP1030" s="470"/>
      <c r="BQ1030" s="469"/>
      <c r="BR1030" s="469"/>
      <c r="BS1030" s="469"/>
      <c r="BT1030" s="2351"/>
      <c r="BU1030" s="3322"/>
      <c r="BV1030" s="469"/>
      <c r="BW1030" s="469"/>
      <c r="BX1030" s="469"/>
      <c r="BY1030" s="2351"/>
      <c r="BZ1030" s="470"/>
      <c r="CA1030" s="470"/>
      <c r="CB1030" s="470"/>
      <c r="CC1030" s="470"/>
      <c r="CD1030" s="470"/>
      <c r="CE1030" s="470"/>
      <c r="CF1030" s="470"/>
      <c r="CG1030" s="470"/>
      <c r="CH1030" s="469"/>
      <c r="CI1030" s="469"/>
      <c r="CJ1030" s="469"/>
      <c r="CK1030" s="469"/>
      <c r="CL1030" s="469"/>
      <c r="CM1030" s="469"/>
      <c r="CN1030" s="469"/>
      <c r="CO1030" s="469"/>
      <c r="CP1030" s="977" t="str">
        <f t="shared" si="1865"/>
        <v>Cash Flows from Investing Activities</v>
      </c>
      <c r="CQ1030" s="465"/>
      <c r="CR1030" s="465"/>
      <c r="CS1030" s="465"/>
      <c r="CT1030" s="465"/>
      <c r="CU1030" s="465"/>
      <c r="CV1030" s="465"/>
      <c r="CW1030" s="465"/>
      <c r="CX1030" s="465"/>
      <c r="CY1030" s="465"/>
      <c r="CZ1030" s="465"/>
      <c r="DA1030" s="465"/>
      <c r="DB1030" s="465"/>
      <c r="DC1030" s="465"/>
      <c r="DD1030" s="465"/>
      <c r="DE1030" s="465"/>
      <c r="DF1030" s="465"/>
      <c r="DG1030" s="1797"/>
      <c r="DH1030" s="311"/>
      <c r="DI1030" s="311"/>
      <c r="DJ1030" s="311"/>
      <c r="DK1030" s="311"/>
      <c r="DL1030" s="311"/>
      <c r="DM1030" s="311"/>
      <c r="DN1030" s="311"/>
      <c r="DO1030" s="226"/>
      <c r="DY1030" s="469"/>
      <c r="DZ1030" s="469"/>
    </row>
    <row r="1031" spans="1:130" ht="12" customHeight="1">
      <c r="A1031" s="400" t="s">
        <v>1229</v>
      </c>
      <c r="B1031" s="881"/>
      <c r="C1031" s="881"/>
      <c r="D1031" s="363">
        <v>-10</v>
      </c>
      <c r="E1031" s="364">
        <f>-187.22-D1031</f>
        <v>-177.22</v>
      </c>
      <c r="F1031" s="364">
        <f>-187.22-909.245-E1031-D1031</f>
        <v>-909.24499999999989</v>
      </c>
      <c r="G1031" s="364">
        <f>-909.245-187.22-F1031-E1031-D1031</f>
        <v>-2.8421709430404007E-14</v>
      </c>
      <c r="H1031" s="585">
        <f>SUM(D1031:G1031)</f>
        <v>-1096.4649999999999</v>
      </c>
      <c r="I1031" s="364">
        <v>0</v>
      </c>
      <c r="J1031" s="364">
        <f>0-I1031</f>
        <v>0</v>
      </c>
      <c r="K1031" s="364">
        <f>0-J1031-I1031</f>
        <v>0</v>
      </c>
      <c r="L1031" s="364">
        <f>0-K1031-J1031-I1031</f>
        <v>0</v>
      </c>
      <c r="M1031" s="585">
        <f>SUM(I1031:L1031)</f>
        <v>0</v>
      </c>
      <c r="N1031" s="364">
        <v>0</v>
      </c>
      <c r="O1031" s="364">
        <v>0</v>
      </c>
      <c r="P1031" s="364">
        <v>0</v>
      </c>
      <c r="Q1031" s="364">
        <f>401.43+3.198-P1031-O1031-N1031</f>
        <v>404.62799999999999</v>
      </c>
      <c r="R1031" s="585">
        <f>SUM(N1031:Q1031)</f>
        <v>404.62799999999999</v>
      </c>
      <c r="S1031" s="364">
        <v>-80.903999999999996</v>
      </c>
      <c r="T1031" s="364">
        <f>-80.904-S1031</f>
        <v>0</v>
      </c>
      <c r="U1031" s="364">
        <f>-80.904-T1031-S1031</f>
        <v>0</v>
      </c>
      <c r="V1031" s="364">
        <f>-80.904-U1031-T1031-S1031</f>
        <v>0</v>
      </c>
      <c r="W1031" s="585">
        <f>SUM(S1031:V1031)</f>
        <v>-80.903999999999996</v>
      </c>
      <c r="X1031" s="364">
        <v>0</v>
      </c>
      <c r="Y1031" s="364">
        <v>0</v>
      </c>
      <c r="Z1031" s="364">
        <v>0</v>
      </c>
      <c r="AA1031" s="364">
        <f>0-Z1031-Y1031-X1031</f>
        <v>0</v>
      </c>
      <c r="AB1031" s="585">
        <f>SUM(X1031:AA1031)</f>
        <v>0</v>
      </c>
      <c r="AC1031" s="364">
        <v>-9.375</v>
      </c>
      <c r="AD1031" s="364">
        <f>-9.375-AC1031</f>
        <v>0</v>
      </c>
      <c r="AE1031" s="364">
        <f>-9.375-AC1031-AD1031</f>
        <v>0</v>
      </c>
      <c r="AF1031" s="364">
        <f>-9.375-AE1031-AD1031-AC1031</f>
        <v>0</v>
      </c>
      <c r="AG1031" s="585">
        <f>SUM(AC1031:AF1031)</f>
        <v>-9.375</v>
      </c>
      <c r="AH1031" s="622">
        <v>0</v>
      </c>
      <c r="AI1031" s="622">
        <v>0</v>
      </c>
      <c r="AJ1031" s="622">
        <v>0</v>
      </c>
      <c r="AK1031" s="622">
        <v>0</v>
      </c>
      <c r="AL1031" s="375">
        <f>SUM(AH1031:AK1031)</f>
        <v>0</v>
      </c>
      <c r="AM1031" s="376">
        <v>0</v>
      </c>
      <c r="AN1031" s="376">
        <v>0</v>
      </c>
      <c r="AO1031" s="376">
        <v>-34.494999999999997</v>
      </c>
      <c r="AP1031" s="622">
        <f>-278.456-24.45-AO1031-AN1031-AM1031</f>
        <v>-268.411</v>
      </c>
      <c r="AQ1031" s="375">
        <f>SUM(AM1031:AP1031)</f>
        <v>-302.90600000000001</v>
      </c>
      <c r="AR1031" s="376">
        <v>0</v>
      </c>
      <c r="AS1031" s="376">
        <v>0</v>
      </c>
      <c r="AT1031" s="376">
        <v>0</v>
      </c>
      <c r="AU1031" s="376">
        <f>-1324.198-AR1031-AS1031-AT1031</f>
        <v>-1324.1980000000001</v>
      </c>
      <c r="AV1031" s="375">
        <f>SUM(AR1031:AU1031)</f>
        <v>-1324.1980000000001</v>
      </c>
      <c r="AW1031" s="376">
        <v>343.75</v>
      </c>
      <c r="AX1031" s="376">
        <v>56.750999999999998</v>
      </c>
      <c r="AY1031" s="376">
        <f>343.75+56.751-AX1031-AW1031</f>
        <v>0</v>
      </c>
      <c r="AZ1031" s="376">
        <f>343.75-AW1031-AX1031-AY1031</f>
        <v>-56.750999999999998</v>
      </c>
      <c r="BA1031" s="375">
        <f>SUM(AW1031:AZ1031)</f>
        <v>343.75</v>
      </c>
      <c r="BB1031" s="376">
        <v>0</v>
      </c>
      <c r="BC1031" s="376">
        <v>0</v>
      </c>
      <c r="BD1031" s="376">
        <f>0+0-BC1031-BB1031</f>
        <v>0</v>
      </c>
      <c r="BE1031" s="376">
        <f>0-BD1031-BC1031-BB1031</f>
        <v>0</v>
      </c>
      <c r="BF1031" s="378">
        <f>SUM(BB1031:BE1031)</f>
        <v>0</v>
      </c>
      <c r="BG1031" s="363">
        <v>0</v>
      </c>
      <c r="BH1031" s="376">
        <v>0</v>
      </c>
      <c r="BI1031" s="364">
        <v>0</v>
      </c>
      <c r="BJ1031" s="376">
        <f>0-BI1031-BH1031-BG1031</f>
        <v>0</v>
      </c>
      <c r="BK1031" s="378">
        <f>SUM(BG1031:BJ1031)</f>
        <v>0</v>
      </c>
      <c r="BL1031" s="364">
        <v>0</v>
      </c>
      <c r="BM1031" s="376">
        <v>0</v>
      </c>
      <c r="BN1031" s="364">
        <f>-372.322-BM1031-BL1031</f>
        <v>-372.322</v>
      </c>
      <c r="BO1031" s="364">
        <f>-592.703-BL1031-BM1031-BN1031</f>
        <v>-220.38099999999997</v>
      </c>
      <c r="BP1031" s="585">
        <f>SUM(BL1031:BO1031)</f>
        <v>-592.70299999999997</v>
      </c>
      <c r="BQ1031" s="364">
        <v>-35.107999999999997</v>
      </c>
      <c r="BR1031" s="364">
        <f>-35.108-BQ1031</f>
        <v>0</v>
      </c>
      <c r="BS1031" s="364">
        <f>-1.153-BR1031-BQ1031</f>
        <v>33.954999999999998</v>
      </c>
      <c r="BT1031" s="364">
        <v>0</v>
      </c>
      <c r="BU1031" s="3356">
        <f>SUM(BQ1031:BT1031)</f>
        <v>-1.1529999999999987</v>
      </c>
      <c r="BV1031" s="4178">
        <v>42.5</v>
      </c>
      <c r="BW1031" s="364">
        <v>0</v>
      </c>
      <c r="BX1031" s="364">
        <f>-575-280.5</f>
        <v>-855.5</v>
      </c>
      <c r="BY1031" s="364">
        <v>0</v>
      </c>
      <c r="BZ1031" s="3144">
        <f>SUM(BV1031:BY1031)</f>
        <v>-813</v>
      </c>
      <c r="CA1031" s="378">
        <v>0</v>
      </c>
      <c r="CB1031" s="378">
        <v>0</v>
      </c>
      <c r="CC1031" s="378">
        <v>0</v>
      </c>
      <c r="CD1031" s="378">
        <v>0</v>
      </c>
      <c r="CE1031" s="378">
        <v>0</v>
      </c>
      <c r="CF1031" s="378">
        <v>0</v>
      </c>
      <c r="CG1031" s="378">
        <v>0</v>
      </c>
      <c r="CH1031" s="364"/>
      <c r="CI1031" s="364"/>
      <c r="CJ1031" s="364"/>
      <c r="CK1031" s="364"/>
      <c r="CL1031" s="364"/>
      <c r="CM1031" s="965"/>
      <c r="CN1031" s="965">
        <f t="shared" ref="CN1031:CN1035" si="1919">SUM(BV1031:BY1031)</f>
        <v>-813</v>
      </c>
      <c r="CO1031" s="965">
        <f t="shared" ref="CO1031:CO1035" si="1920">CM1031-CN1031</f>
        <v>813</v>
      </c>
      <c r="CP1031" s="400" t="str">
        <f t="shared" si="1865"/>
        <v>Acquisitions / dispositions</v>
      </c>
      <c r="CQ1031" s="374">
        <f t="shared" si="1866"/>
        <v>-1096.4649999999999</v>
      </c>
      <c r="CR1031" s="374">
        <f t="shared" si="1867"/>
        <v>0</v>
      </c>
      <c r="CS1031" s="374">
        <f t="shared" si="1868"/>
        <v>404.62799999999999</v>
      </c>
      <c r="CT1031" s="374">
        <f t="shared" si="1869"/>
        <v>-80.903999999999996</v>
      </c>
      <c r="CU1031" s="374">
        <f t="shared" si="1870"/>
        <v>0</v>
      </c>
      <c r="CV1031" s="374">
        <f t="shared" si="1871"/>
        <v>-9.375</v>
      </c>
      <c r="CW1031" s="374">
        <f t="shared" si="1872"/>
        <v>0</v>
      </c>
      <c r="CX1031" s="374">
        <f t="shared" si="1873"/>
        <v>-302.90600000000001</v>
      </c>
      <c r="CY1031" s="374">
        <f t="shared" si="1874"/>
        <v>-1324.1980000000001</v>
      </c>
      <c r="CZ1031" s="374">
        <f t="shared" si="1875"/>
        <v>343.75</v>
      </c>
      <c r="DA1031" s="374">
        <f t="shared" si="1876"/>
        <v>0</v>
      </c>
      <c r="DB1031" s="374">
        <f t="shared" si="1877"/>
        <v>0</v>
      </c>
      <c r="DC1031" s="374">
        <f t="shared" si="1878"/>
        <v>-592.70299999999997</v>
      </c>
      <c r="DD1031" s="374">
        <f t="shared" si="1879"/>
        <v>-1.1529999999999987</v>
      </c>
      <c r="DE1031" s="374">
        <f t="shared" si="1880"/>
        <v>-813</v>
      </c>
      <c r="DF1031" s="374">
        <f t="shared" si="1881"/>
        <v>0</v>
      </c>
      <c r="DG1031" s="1802">
        <f t="shared" si="1882"/>
        <v>0</v>
      </c>
      <c r="DH1031" s="882"/>
      <c r="DI1031" s="882"/>
      <c r="DJ1031" s="882"/>
      <c r="DK1031" s="882"/>
      <c r="DL1031" s="882"/>
      <c r="DM1031" s="882"/>
      <c r="DN1031" s="311"/>
      <c r="DO1031" s="312"/>
      <c r="DY1031" s="621"/>
      <c r="DZ1031" s="621"/>
    </row>
    <row r="1032" spans="1:130" ht="12" customHeight="1">
      <c r="A1032" s="993" t="s">
        <v>1115</v>
      </c>
      <c r="B1032" s="875"/>
      <c r="C1032" s="875"/>
      <c r="D1032" s="667">
        <v>-20.690999999999999</v>
      </c>
      <c r="E1032" s="622">
        <f>-61.176-D1032</f>
        <v>-40.484999999999999</v>
      </c>
      <c r="F1032" s="622">
        <f>-139.714-E1032-D1032</f>
        <v>-78.537999999999997</v>
      </c>
      <c r="G1032" s="622">
        <f>-268.848-F1032-E1032-D1032</f>
        <v>-129.13399999999999</v>
      </c>
      <c r="H1032" s="585">
        <f>SUM(D1032:G1032)</f>
        <v>-268.84799999999996</v>
      </c>
      <c r="I1032" s="622">
        <v>-114.07</v>
      </c>
      <c r="J1032" s="622">
        <f>-253.098-I1032</f>
        <v>-139.02800000000002</v>
      </c>
      <c r="K1032" s="622">
        <f>-395.677-J1032-I1032</f>
        <v>-142.57900000000001</v>
      </c>
      <c r="L1032" s="622">
        <f>-618.444-K1032-J1032-I1032</f>
        <v>-222.76699999999994</v>
      </c>
      <c r="M1032" s="585">
        <f>SUM(I1032:L1032)</f>
        <v>-618.44399999999996</v>
      </c>
      <c r="N1032" s="622">
        <v>-210.21799999999999</v>
      </c>
      <c r="O1032" s="622">
        <f>-286.152-N1032</f>
        <v>-75.933999999999997</v>
      </c>
      <c r="P1032" s="622">
        <f>-367.044-O1032-N1032</f>
        <v>-80.892000000000024</v>
      </c>
      <c r="Q1032" s="622">
        <f>-436.464-P1032-O1032-N1032</f>
        <v>-69.420000000000044</v>
      </c>
      <c r="R1032" s="585">
        <f>SUM(N1032:Q1032)</f>
        <v>-436.46400000000006</v>
      </c>
      <c r="S1032" s="622">
        <v>-42.905999999999999</v>
      </c>
      <c r="T1032" s="622">
        <f>-116.225-S1032</f>
        <v>-73.318999999999988</v>
      </c>
      <c r="U1032" s="622">
        <f>-203.714-T1032-S1032</f>
        <v>-87.489000000000004</v>
      </c>
      <c r="V1032" s="622">
        <f>-296.894-U1032-T1032-S1032</f>
        <v>-93.18</v>
      </c>
      <c r="W1032" s="585">
        <f>SUM(S1032:V1032)</f>
        <v>-296.89400000000001</v>
      </c>
      <c r="X1032" s="622">
        <v>-168.155</v>
      </c>
      <c r="Y1032" s="622">
        <f>-368.737-X1032</f>
        <v>-200.58200000000002</v>
      </c>
      <c r="Z1032" s="622">
        <f>-559.496-Y1032-X1032</f>
        <v>-190.75899999999999</v>
      </c>
      <c r="AA1032" s="622">
        <f>-667.4-Z1032-Y1032-X1032</f>
        <v>-107.90399999999997</v>
      </c>
      <c r="AB1032" s="585">
        <f>SUM(X1032:AA1032)</f>
        <v>-667.4</v>
      </c>
      <c r="AC1032" s="622">
        <v>-88.316000000000003</v>
      </c>
      <c r="AD1032" s="622">
        <f>-128.804-AC1032</f>
        <v>-40.488</v>
      </c>
      <c r="AE1032" s="622">
        <f>-143.938-AC1032-AD1032</f>
        <v>-15.133999999999986</v>
      </c>
      <c r="AF1032" s="622">
        <f>-157.557-AE1032-AD1032-AC1032</f>
        <v>-13.619</v>
      </c>
      <c r="AG1032" s="585">
        <f>SUM(AC1032:AF1032)</f>
        <v>-157.55699999999999</v>
      </c>
      <c r="AH1032" s="622">
        <v>-31.067</v>
      </c>
      <c r="AI1032" s="622">
        <f>-47.481-AH1032</f>
        <v>-16.414000000000001</v>
      </c>
      <c r="AJ1032" s="622">
        <f>-64.069-AI1032-AH1032</f>
        <v>-16.588000000000001</v>
      </c>
      <c r="AK1032" s="622">
        <f>-87.477-AJ1032-AI1032-AH1032</f>
        <v>-23.408000000000008</v>
      </c>
      <c r="AL1032" s="585">
        <f>SUM(AH1032:AK1032)</f>
        <v>-87.477000000000004</v>
      </c>
      <c r="AM1032" s="622">
        <f>-20.858</f>
        <v>-20.858000000000001</v>
      </c>
      <c r="AN1032" s="622">
        <f>-30.874-AM1032</f>
        <v>-10.015999999999998</v>
      </c>
      <c r="AO1032" s="622">
        <f>-55.491-AN1032-AM1032</f>
        <v>-24.617000000000001</v>
      </c>
      <c r="AP1032" s="622">
        <f>-87.224-AO1032-AN1032-AM1032</f>
        <v>-31.733000000000001</v>
      </c>
      <c r="AQ1032" s="585">
        <f>SUM(AM1032:AP1032)</f>
        <v>-87.224000000000004</v>
      </c>
      <c r="AR1032" s="622">
        <v>-32.795999999999999</v>
      </c>
      <c r="AS1032" s="622">
        <f>-70.403-AR1032</f>
        <v>-37.607000000000006</v>
      </c>
      <c r="AT1032" s="622">
        <f>-101.718-AR1032-AS1032</f>
        <v>-31.314999999999991</v>
      </c>
      <c r="AU1032" s="622">
        <f>-125.974-AR1032-AS1032-AT1032</f>
        <v>-24.256</v>
      </c>
      <c r="AV1032" s="585">
        <f>SUM(AR1032:AU1032)</f>
        <v>-125.97399999999999</v>
      </c>
      <c r="AW1032" s="622">
        <v>-22.581</v>
      </c>
      <c r="AX1032" s="622">
        <f>+-58.456-AW1032</f>
        <v>-35.875</v>
      </c>
      <c r="AY1032" s="622">
        <f>-100.618-AX1032-AW1032</f>
        <v>-42.161999999999992</v>
      </c>
      <c r="AZ1032" s="622">
        <f>-144.52-AW1032-AX1032-AY1032</f>
        <v>-43.902000000000015</v>
      </c>
      <c r="BA1032" s="585">
        <f>SUM(AW1032:AZ1032)</f>
        <v>-144.52000000000001</v>
      </c>
      <c r="BB1032" s="622">
        <v>-18.306000000000001</v>
      </c>
      <c r="BC1032" s="2734">
        <f>-53.509-BB1032</f>
        <v>-35.203000000000003</v>
      </c>
      <c r="BD1032" s="622">
        <f>-94.617-BC1032-BB1032</f>
        <v>-41.108000000000004</v>
      </c>
      <c r="BE1032" s="376">
        <f>-149.374-BD1032-BC1032-BB1032</f>
        <v>-54.756999999999991</v>
      </c>
      <c r="BF1032" s="585">
        <f>SUM(BB1032:BE1032)</f>
        <v>-149.374</v>
      </c>
      <c r="BG1032" s="2790">
        <v>-19.268999999999998</v>
      </c>
      <c r="BH1032" s="2734">
        <f>-58.112-BG1032</f>
        <v>-38.843000000000004</v>
      </c>
      <c r="BI1032" s="2734">
        <f>+-86.997-SUM(BG1032:BH1032)</f>
        <v>-28.884999999999998</v>
      </c>
      <c r="BJ1032" s="376">
        <f>-131.17-BI1032-BH1032-BG1032</f>
        <v>-44.172999999999995</v>
      </c>
      <c r="BK1032" s="585">
        <f>SUM(BG1032:BJ1032)</f>
        <v>-131.16999999999999</v>
      </c>
      <c r="BL1032" s="376">
        <v>-35.296999999999997</v>
      </c>
      <c r="BM1032" s="2734">
        <f>-72.447-BL1032</f>
        <v>-37.150000000000006</v>
      </c>
      <c r="BN1032" s="2734">
        <f>-117.33-SUM(BL1032:BM1032)</f>
        <v>-44.882999999999996</v>
      </c>
      <c r="BO1032" s="2734">
        <f>-160.358-SUM(BL1032:BN1032)</f>
        <v>-43.028000000000006</v>
      </c>
      <c r="BP1032" s="585">
        <f>SUM(BL1032:BO1032)</f>
        <v>-160.358</v>
      </c>
      <c r="BQ1032" s="3937">
        <v>-80.037999999999997</v>
      </c>
      <c r="BR1032" s="3937">
        <f>-118.751-BQ1032</f>
        <v>-38.713000000000008</v>
      </c>
      <c r="BS1032" s="622">
        <f>-161.252-BR1032-BQ1032</f>
        <v>-42.501000000000005</v>
      </c>
      <c r="BT1032" s="622">
        <v>-29</v>
      </c>
      <c r="BU1032" s="3356">
        <f>SUM(BQ1032:BT1032)</f>
        <v>-190.25200000000001</v>
      </c>
      <c r="BV1032" s="621">
        <f>-BV1207</f>
        <v>-37.5</v>
      </c>
      <c r="BW1032" s="621">
        <f t="shared" ref="BW1032:BY1032" si="1921">-BW1207</f>
        <v>-37.5</v>
      </c>
      <c r="BX1032" s="621">
        <f t="shared" si="1921"/>
        <v>-42.5</v>
      </c>
      <c r="BY1032" s="621">
        <f t="shared" si="1921"/>
        <v>-42.5</v>
      </c>
      <c r="BZ1032" s="585">
        <f>SUM(BV1032:BY1032)</f>
        <v>-160</v>
      </c>
      <c r="CA1032" s="585">
        <f t="shared" ref="CA1032:CG1032" si="1922">-CA1207</f>
        <v>-170</v>
      </c>
      <c r="CB1032" s="585">
        <f t="shared" si="1922"/>
        <v>-170</v>
      </c>
      <c r="CC1032" s="585">
        <f t="shared" si="1922"/>
        <v>-150</v>
      </c>
      <c r="CD1032" s="585">
        <f t="shared" si="1922"/>
        <v>-150</v>
      </c>
      <c r="CE1032" s="585">
        <f t="shared" si="1922"/>
        <v>-150</v>
      </c>
      <c r="CF1032" s="585">
        <f t="shared" si="1922"/>
        <v>-150</v>
      </c>
      <c r="CG1032" s="585">
        <f t="shared" si="1922"/>
        <v>-150</v>
      </c>
      <c r="CH1032" s="621"/>
      <c r="CI1032" s="621"/>
      <c r="CJ1032" s="621"/>
      <c r="CK1032" s="621"/>
      <c r="CL1032" s="621"/>
      <c r="CM1032" s="965"/>
      <c r="CN1032" s="965">
        <f t="shared" si="1919"/>
        <v>-160</v>
      </c>
      <c r="CO1032" s="965">
        <f t="shared" si="1920"/>
        <v>160</v>
      </c>
      <c r="CP1032" s="993" t="str">
        <f t="shared" si="1865"/>
        <v>Capital expenditures</v>
      </c>
      <c r="CQ1032" s="621">
        <f t="shared" si="1866"/>
        <v>-268.84799999999996</v>
      </c>
      <c r="CR1032" s="621">
        <f t="shared" si="1867"/>
        <v>-618.44399999999996</v>
      </c>
      <c r="CS1032" s="621">
        <f t="shared" si="1868"/>
        <v>-436.46400000000006</v>
      </c>
      <c r="CT1032" s="621">
        <f t="shared" si="1869"/>
        <v>-296.89400000000001</v>
      </c>
      <c r="CU1032" s="621">
        <f t="shared" si="1870"/>
        <v>-667.4</v>
      </c>
      <c r="CV1032" s="621">
        <f t="shared" si="1871"/>
        <v>-157.55699999999999</v>
      </c>
      <c r="CW1032" s="621">
        <f t="shared" si="1872"/>
        <v>-87.477000000000004</v>
      </c>
      <c r="CX1032" s="621">
        <f t="shared" si="1873"/>
        <v>-87.224000000000004</v>
      </c>
      <c r="CY1032" s="621">
        <f t="shared" si="1874"/>
        <v>-125.97399999999999</v>
      </c>
      <c r="CZ1032" s="621">
        <f t="shared" si="1875"/>
        <v>-144.52000000000001</v>
      </c>
      <c r="DA1032" s="621">
        <f t="shared" si="1876"/>
        <v>-149.374</v>
      </c>
      <c r="DB1032" s="621">
        <f t="shared" si="1877"/>
        <v>-131.16999999999999</v>
      </c>
      <c r="DC1032" s="621">
        <f t="shared" si="1878"/>
        <v>-160.358</v>
      </c>
      <c r="DD1032" s="621">
        <f t="shared" si="1879"/>
        <v>-190.25200000000001</v>
      </c>
      <c r="DE1032" s="621">
        <f t="shared" si="1880"/>
        <v>-160</v>
      </c>
      <c r="DF1032" s="621">
        <f t="shared" si="1881"/>
        <v>-170</v>
      </c>
      <c r="DG1032" s="842">
        <f t="shared" si="1882"/>
        <v>-170</v>
      </c>
      <c r="DH1032" s="883"/>
      <c r="DI1032" s="883"/>
      <c r="DJ1032" s="883"/>
      <c r="DK1032" s="883"/>
      <c r="DL1032" s="883"/>
      <c r="DM1032" s="883"/>
      <c r="DN1032" s="500"/>
      <c r="DO1032" s="537"/>
      <c r="DY1032" s="621"/>
      <c r="DZ1032" s="621"/>
    </row>
    <row r="1033" spans="1:130" ht="12" customHeight="1">
      <c r="A1033" s="993" t="s">
        <v>1697</v>
      </c>
      <c r="B1033" s="875"/>
      <c r="C1033" s="875"/>
      <c r="D1033" s="363">
        <v>0</v>
      </c>
      <c r="E1033" s="364">
        <f>-30.807-D1033</f>
        <v>-30.806999999999999</v>
      </c>
      <c r="F1033" s="364">
        <f>-30.807-E1033-D1033</f>
        <v>0</v>
      </c>
      <c r="G1033" s="364">
        <f>-30.807-F1033-E1033-D1033</f>
        <v>0</v>
      </c>
      <c r="H1033" s="373">
        <f>SUM(D1033:G1033)</f>
        <v>-30.806999999999999</v>
      </c>
      <c r="I1033" s="364">
        <v>0</v>
      </c>
      <c r="J1033" s="364">
        <f>0-I1033</f>
        <v>0</v>
      </c>
      <c r="K1033" s="364">
        <f>0-J1033-I1033</f>
        <v>0</v>
      </c>
      <c r="L1033" s="364">
        <f>0-K1033-J1033-I1033</f>
        <v>0</v>
      </c>
      <c r="M1033" s="373">
        <f>SUM(I1033:L1033)</f>
        <v>0</v>
      </c>
      <c r="N1033" s="364">
        <v>0</v>
      </c>
      <c r="O1033" s="364">
        <v>0</v>
      </c>
      <c r="P1033" s="364">
        <v>0</v>
      </c>
      <c r="Q1033" s="364">
        <f>-2.966-P1033-O1033-N1033</f>
        <v>-2.9660000000000002</v>
      </c>
      <c r="R1033" s="373">
        <f>SUM(N1033:Q1033)</f>
        <v>-2.9660000000000002</v>
      </c>
      <c r="S1033" s="364">
        <v>-4.8310000000000004</v>
      </c>
      <c r="T1033" s="364">
        <f>-3.005-S1033</f>
        <v>1.8260000000000005</v>
      </c>
      <c r="U1033" s="364">
        <f>-4.251-T1033-S1033</f>
        <v>-1.2460000000000004</v>
      </c>
      <c r="V1033" s="364">
        <f>-10.297-U1033-T1033-S1033</f>
        <v>-6.0460000000000003</v>
      </c>
      <c r="W1033" s="373">
        <f>SUM(S1033:V1033)</f>
        <v>-10.297000000000001</v>
      </c>
      <c r="X1033" s="364">
        <v>-4.95</v>
      </c>
      <c r="Y1033" s="364">
        <f>-7.129-X1033</f>
        <v>-2.1789999999999994</v>
      </c>
      <c r="Z1033" s="364">
        <f>-5.932-Y1033-X1033</f>
        <v>1.1969999999999992</v>
      </c>
      <c r="AA1033" s="364">
        <f>-5.991-Z1033-Y1033-X1033</f>
        <v>-5.8999999999999275E-2</v>
      </c>
      <c r="AB1033" s="373">
        <f>SUM(X1033:AA1033)</f>
        <v>-5.9909999999999997</v>
      </c>
      <c r="AC1033" s="364">
        <v>-0.56399999999999995</v>
      </c>
      <c r="AD1033" s="364">
        <f>-0.5-AC1033</f>
        <v>6.3999999999999946E-2</v>
      </c>
      <c r="AE1033" s="364">
        <f>-0.126-AC1033-AD1033</f>
        <v>0.374</v>
      </c>
      <c r="AF1033" s="364">
        <f>-0.073-AE1033-AD1033-AC1033</f>
        <v>5.3000000000000047E-2</v>
      </c>
      <c r="AG1033" s="373">
        <f>SUM(AC1033:AF1033)</f>
        <v>-7.2999999999999954E-2</v>
      </c>
      <c r="AH1033" s="376">
        <v>-0.745</v>
      </c>
      <c r="AI1033" s="376">
        <f>-0.387+0.223-AH1033</f>
        <v>0.58099999999999996</v>
      </c>
      <c r="AJ1033" s="376">
        <f>0.29-1.021-AI1033-AH1033</f>
        <v>-0.56699999999999984</v>
      </c>
      <c r="AK1033" s="376">
        <f>-1.131-AJ1033-AI1033-AH1033</f>
        <v>-0.4</v>
      </c>
      <c r="AL1033" s="373">
        <f>SUM(AH1033:AK1033)</f>
        <v>-1.1309999999999998</v>
      </c>
      <c r="AM1033" s="376">
        <v>0</v>
      </c>
      <c r="AN1033" s="376">
        <v>0</v>
      </c>
      <c r="AO1033" s="376">
        <v>0</v>
      </c>
      <c r="AP1033" s="376">
        <v>0</v>
      </c>
      <c r="AQ1033" s="373">
        <f>SUM(AM1033:AP1033)</f>
        <v>0</v>
      </c>
      <c r="AR1033" s="376">
        <v>0</v>
      </c>
      <c r="AS1033" s="376">
        <v>0</v>
      </c>
      <c r="AT1033" s="376">
        <v>0</v>
      </c>
      <c r="AU1033" s="376">
        <v>0</v>
      </c>
      <c r="AV1033" s="585">
        <f>SUM(AR1033:AU1033)</f>
        <v>0</v>
      </c>
      <c r="AW1033" s="376">
        <v>0</v>
      </c>
      <c r="AX1033" s="376">
        <v>0</v>
      </c>
      <c r="AY1033" s="376">
        <f>0-AX1033-AW1033</f>
        <v>0</v>
      </c>
      <c r="AZ1033" s="376">
        <v>0</v>
      </c>
      <c r="BA1033" s="585">
        <f>SUM(AW1033:AZ1033)</f>
        <v>0</v>
      </c>
      <c r="BB1033" s="376">
        <v>0</v>
      </c>
      <c r="BC1033" s="376">
        <v>0</v>
      </c>
      <c r="BD1033" s="376">
        <f>0-BC1033-BB1033</f>
        <v>0</v>
      </c>
      <c r="BE1033" s="376">
        <f>0-BD1033-BC1033-BB1033</f>
        <v>0</v>
      </c>
      <c r="BF1033" s="378">
        <f>SUM(BB1033:BE1033)</f>
        <v>0</v>
      </c>
      <c r="BG1033" s="363">
        <v>0</v>
      </c>
      <c r="BH1033" s="376">
        <v>0</v>
      </c>
      <c r="BI1033" s="376">
        <v>0</v>
      </c>
      <c r="BJ1033" s="376">
        <f>0-BI1033-BH1033-BG1033</f>
        <v>0</v>
      </c>
      <c r="BK1033" s="378">
        <f>SUM(BG1033:BJ1033)</f>
        <v>0</v>
      </c>
      <c r="BL1033" s="364">
        <v>0</v>
      </c>
      <c r="BM1033" s="376">
        <v>0</v>
      </c>
      <c r="BN1033" s="364">
        <v>0</v>
      </c>
      <c r="BO1033" s="3013">
        <v>0</v>
      </c>
      <c r="BP1033" s="378">
        <f>SUM(BL1033:BO1033)</f>
        <v>0</v>
      </c>
      <c r="BQ1033" s="364">
        <v>0</v>
      </c>
      <c r="BR1033" s="4043">
        <v>0</v>
      </c>
      <c r="BS1033" s="364">
        <v>0</v>
      </c>
      <c r="BT1033" s="3013">
        <v>0</v>
      </c>
      <c r="BU1033" s="3325">
        <f>SUM(BQ1033:BT1033)</f>
        <v>0</v>
      </c>
      <c r="BV1033" s="364">
        <v>0</v>
      </c>
      <c r="BW1033" s="364">
        <v>0</v>
      </c>
      <c r="BX1033" s="364">
        <v>0</v>
      </c>
      <c r="BY1033" s="364">
        <v>0</v>
      </c>
      <c r="BZ1033" s="375">
        <f>SUM(BV1033:BY1033)</f>
        <v>0</v>
      </c>
      <c r="CA1033" s="375">
        <v>0</v>
      </c>
      <c r="CB1033" s="375">
        <v>0</v>
      </c>
      <c r="CC1033" s="375">
        <v>0</v>
      </c>
      <c r="CD1033" s="375">
        <v>0</v>
      </c>
      <c r="CE1033" s="375">
        <v>0</v>
      </c>
      <c r="CF1033" s="375">
        <v>0</v>
      </c>
      <c r="CG1033" s="375">
        <v>0</v>
      </c>
      <c r="CH1033" s="201"/>
      <c r="CI1033" s="201"/>
      <c r="CJ1033" s="201"/>
      <c r="CK1033" s="201"/>
      <c r="CL1033" s="201"/>
      <c r="CM1033" s="965"/>
      <c r="CN1033" s="965">
        <f t="shared" si="1919"/>
        <v>0</v>
      </c>
      <c r="CO1033" s="965">
        <f t="shared" si="1920"/>
        <v>0</v>
      </c>
      <c r="CP1033" s="993" t="str">
        <f t="shared" si="1865"/>
        <v>Investments in unconsolidated subs</v>
      </c>
      <c r="CQ1033" s="374">
        <f t="shared" si="1866"/>
        <v>-30.806999999999999</v>
      </c>
      <c r="CR1033" s="374">
        <f t="shared" si="1867"/>
        <v>0</v>
      </c>
      <c r="CS1033" s="374">
        <f t="shared" si="1868"/>
        <v>-2.9660000000000002</v>
      </c>
      <c r="CT1033" s="374">
        <f t="shared" si="1869"/>
        <v>-10.297000000000001</v>
      </c>
      <c r="CU1033" s="374">
        <f t="shared" si="1870"/>
        <v>-5.9909999999999997</v>
      </c>
      <c r="CV1033" s="374">
        <f t="shared" si="1871"/>
        <v>-7.2999999999999954E-2</v>
      </c>
      <c r="CW1033" s="374">
        <f t="shared" si="1872"/>
        <v>-1.1309999999999998</v>
      </c>
      <c r="CX1033" s="374">
        <f t="shared" si="1873"/>
        <v>0</v>
      </c>
      <c r="CY1033" s="374">
        <f t="shared" si="1874"/>
        <v>0</v>
      </c>
      <c r="CZ1033" s="374">
        <f t="shared" si="1875"/>
        <v>0</v>
      </c>
      <c r="DA1033" s="374">
        <f t="shared" si="1876"/>
        <v>0</v>
      </c>
      <c r="DB1033" s="374">
        <f t="shared" si="1877"/>
        <v>0</v>
      </c>
      <c r="DC1033" s="374">
        <f t="shared" si="1878"/>
        <v>0</v>
      </c>
      <c r="DD1033" s="374">
        <f t="shared" si="1879"/>
        <v>0</v>
      </c>
      <c r="DE1033" s="374">
        <f t="shared" si="1880"/>
        <v>0</v>
      </c>
      <c r="DF1033" s="374">
        <f t="shared" si="1881"/>
        <v>0</v>
      </c>
      <c r="DG1033" s="1802">
        <f t="shared" si="1882"/>
        <v>0</v>
      </c>
      <c r="DH1033" s="104"/>
      <c r="DI1033" s="379"/>
      <c r="DJ1033" s="379"/>
      <c r="DK1033" s="379"/>
      <c r="DL1033" s="379"/>
      <c r="DM1033" s="379"/>
      <c r="DN1033" s="500"/>
      <c r="DO1033" s="537"/>
      <c r="DY1033" s="364"/>
      <c r="DZ1033" s="364"/>
    </row>
    <row r="1034" spans="1:130" ht="12" customHeight="1">
      <c r="A1034" s="993" t="s">
        <v>1790</v>
      </c>
      <c r="B1034" s="875"/>
      <c r="C1034" s="875"/>
      <c r="D1034" s="363">
        <v>0</v>
      </c>
      <c r="E1034" s="364">
        <f>10.427-D1034</f>
        <v>10.427</v>
      </c>
      <c r="F1034" s="364">
        <f>31.193-E1034-D1034</f>
        <v>20.766000000000002</v>
      </c>
      <c r="G1034" s="364">
        <f>31.398-11.652+1.097-F1034-E1034-D1034</f>
        <v>-10.349999999999998</v>
      </c>
      <c r="H1034" s="373">
        <f>SUM(D1034:G1034)</f>
        <v>20.843000000000004</v>
      </c>
      <c r="I1034" s="364">
        <f>1.898-0.482+1.519</f>
        <v>2.9349999999999996</v>
      </c>
      <c r="J1034" s="364">
        <f>1.898-1.084+2.451-I1034</f>
        <v>0.33000000000000007</v>
      </c>
      <c r="K1034" s="364">
        <f>4.001-J1034-I1034</f>
        <v>0.73600000000000065</v>
      </c>
      <c r="L1034" s="364">
        <f>6+4.001-K1034-J1034-I1034</f>
        <v>6.0000000000000009</v>
      </c>
      <c r="M1034" s="373">
        <f>SUM(I1034:L1034)</f>
        <v>10.001000000000001</v>
      </c>
      <c r="N1034" s="364">
        <v>14</v>
      </c>
      <c r="O1034" s="364">
        <f>23-N1034</f>
        <v>9</v>
      </c>
      <c r="P1034" s="364">
        <f>27-O1034-N1034</f>
        <v>4</v>
      </c>
      <c r="Q1034" s="364">
        <f>34.45-P1034-O1034-N1034</f>
        <v>7.4500000000000028</v>
      </c>
      <c r="R1034" s="373">
        <f>SUM(N1034:Q1034)</f>
        <v>34.450000000000003</v>
      </c>
      <c r="S1034" s="364">
        <v>0.78100000000000003</v>
      </c>
      <c r="T1034" s="364">
        <f>1.614-S1034</f>
        <v>0.83300000000000007</v>
      </c>
      <c r="U1034" s="364">
        <f>7.596-T1034-S1034</f>
        <v>5.9820000000000002</v>
      </c>
      <c r="V1034" s="364">
        <f>7.859-U1034-T1034-S1034</f>
        <v>0.26299999999999957</v>
      </c>
      <c r="W1034" s="373">
        <f>SUM(S1034:V1034)</f>
        <v>7.859</v>
      </c>
      <c r="X1034" s="364">
        <v>3.871</v>
      </c>
      <c r="Y1034" s="364">
        <f>8.851-X1034</f>
        <v>4.9800000000000004</v>
      </c>
      <c r="Z1034" s="364">
        <f>9.356-Y1034-X1034</f>
        <v>0.50499999999999945</v>
      </c>
      <c r="AA1034" s="364">
        <f>0.115-Z1034-Y1034-X1034</f>
        <v>-9.2409999999999997</v>
      </c>
      <c r="AB1034" s="373">
        <f>SUM(X1034:AA1034)</f>
        <v>0.11500000000000021</v>
      </c>
      <c r="AC1034" s="364">
        <v>0</v>
      </c>
      <c r="AD1034" s="364">
        <f>1.669-AC1034</f>
        <v>1.669</v>
      </c>
      <c r="AE1034" s="364">
        <f>1.842-AC1034-AD1034</f>
        <v>0.17300000000000004</v>
      </c>
      <c r="AF1034" s="364">
        <f>1.877-AE1034-AD1034-AC1034</f>
        <v>3.499999999999992E-2</v>
      </c>
      <c r="AG1034" s="373">
        <f>SUM(AC1034:AF1034)</f>
        <v>1.877</v>
      </c>
      <c r="AH1034" s="376">
        <v>26.024999999999999</v>
      </c>
      <c r="AI1034" s="376">
        <f>26.025-AH1034</f>
        <v>0</v>
      </c>
      <c r="AJ1034" s="376">
        <v>0</v>
      </c>
      <c r="AK1034" s="376">
        <f>26.025+0.041-1.489+0.29-AJ1034-AI1034-AH1034</f>
        <v>-1.1580000000000013</v>
      </c>
      <c r="AL1034" s="375">
        <f>SUM(AH1034:AK1034)</f>
        <v>24.866999999999997</v>
      </c>
      <c r="AM1034" s="376">
        <f>0.088</f>
        <v>8.7999999999999995E-2</v>
      </c>
      <c r="AN1034" s="376">
        <f>0.168+0.055-AM1034</f>
        <v>0.13500000000000001</v>
      </c>
      <c r="AO1034" s="376">
        <f>27.184-AN1034-AM1034</f>
        <v>26.960999999999999</v>
      </c>
      <c r="AP1034" s="376">
        <f>26.801+0.542-AO1034-AN1034-AM1034</f>
        <v>0.15900000000000145</v>
      </c>
      <c r="AQ1034" s="375">
        <f>SUM(AM1034:AP1034)</f>
        <v>27.343</v>
      </c>
      <c r="AR1034" s="376">
        <v>2.8000000000000001E-2</v>
      </c>
      <c r="AS1034" s="376">
        <f>2.334-AR1034</f>
        <v>2.306</v>
      </c>
      <c r="AT1034" s="376">
        <f>-350+4.058-AR1034-AS1034</f>
        <v>-348.27600000000001</v>
      </c>
      <c r="AU1034" s="376">
        <f>15.013-AR1034-AS1034-AT1034</f>
        <v>360.95499999999998</v>
      </c>
      <c r="AV1034" s="585">
        <f>SUM(AR1034:AU1034)</f>
        <v>15.012999999999977</v>
      </c>
      <c r="AW1034" s="376">
        <f>-187-0.103</f>
        <v>-187.10300000000001</v>
      </c>
      <c r="AX1034" s="376">
        <f>+-187+0.214-AW1034</f>
        <v>0.31700000000000728</v>
      </c>
      <c r="AY1034" s="376">
        <f>4.875-187+0.198-AX1034-AW1034</f>
        <v>4.8590000000000089</v>
      </c>
      <c r="AZ1034" s="376">
        <f>2.473-187+4.875+56.751-AW1034-AX1034-AY1034</f>
        <v>59.02600000000001</v>
      </c>
      <c r="BA1034" s="585">
        <f>SUM(AW1034:AZ1034)</f>
        <v>-122.90099999999998</v>
      </c>
      <c r="BB1034" s="376">
        <v>1.1120000000000001</v>
      </c>
      <c r="BC1034" s="376">
        <f>1.124-BB1034</f>
        <v>1.2000000000000011E-2</v>
      </c>
      <c r="BD1034" s="376">
        <f>0+0+3.187-26.891-BC1034-BB1034</f>
        <v>-24.827999999999996</v>
      </c>
      <c r="BE1034" s="376">
        <f>-26.891-3.715-BD1034-BC1034-BB1034</f>
        <v>-6.9020000000000028</v>
      </c>
      <c r="BF1034" s="585">
        <f>SUM(BB1034:BE1034)</f>
        <v>-30.606000000000002</v>
      </c>
      <c r="BG1034" s="363">
        <v>2.3159999999999998</v>
      </c>
      <c r="BH1034" s="376">
        <f>2.975-BG1034</f>
        <v>0.65900000000000025</v>
      </c>
      <c r="BI1034" s="364">
        <f>3.777-SUM(BG1034:BH1034)</f>
        <v>0.80200000000000005</v>
      </c>
      <c r="BJ1034" s="376">
        <f>4.528-BI1034-BH1034-BG1034</f>
        <v>0.75099999999999945</v>
      </c>
      <c r="BK1034" s="3144">
        <f>SUM(BG1034:BJ1034)</f>
        <v>4.5279999999999996</v>
      </c>
      <c r="BL1034" s="364">
        <v>5.0000000000000001E-3</v>
      </c>
      <c r="BM1034" s="376">
        <f>0.704-BL1034</f>
        <v>0.69899999999999995</v>
      </c>
      <c r="BN1034" s="364">
        <f>2.719-BM1034-BL1034</f>
        <v>2.0150000000000001</v>
      </c>
      <c r="BO1034" s="364">
        <f>14.207-BN1034-BM1034-BL1034</f>
        <v>11.488</v>
      </c>
      <c r="BP1034" s="3144">
        <f>SUM(BL1034:BO1034)</f>
        <v>14.207000000000001</v>
      </c>
      <c r="BQ1034" s="364">
        <v>4.3999999999999997E-2</v>
      </c>
      <c r="BR1034" s="3951">
        <f>0.492-BQ1034</f>
        <v>0.44800000000000001</v>
      </c>
      <c r="BS1034" s="364">
        <f>0.492-35.108+36.247-BR1034-BQ1034</f>
        <v>1.1390000000000002</v>
      </c>
      <c r="BT1034" s="364">
        <v>0</v>
      </c>
      <c r="BU1034" s="3325">
        <f>SUM(BQ1034:BT1034)</f>
        <v>1.6310000000000002</v>
      </c>
      <c r="BV1034" s="364">
        <v>0</v>
      </c>
      <c r="BW1034" s="364">
        <v>0</v>
      </c>
      <c r="BX1034" s="364">
        <v>0</v>
      </c>
      <c r="BY1034" s="364">
        <v>0</v>
      </c>
      <c r="BZ1034" s="378">
        <f>SUM(BV1034:BY1034)</f>
        <v>0</v>
      </c>
      <c r="CA1034" s="378">
        <v>0</v>
      </c>
      <c r="CB1034" s="378">
        <v>0</v>
      </c>
      <c r="CC1034" s="378">
        <v>0</v>
      </c>
      <c r="CD1034" s="378">
        <v>0</v>
      </c>
      <c r="CE1034" s="378">
        <v>0</v>
      </c>
      <c r="CF1034" s="378">
        <v>0</v>
      </c>
      <c r="CG1034" s="378">
        <v>0</v>
      </c>
      <c r="CH1034" s="878"/>
      <c r="CI1034" s="878"/>
      <c r="CJ1034" s="878"/>
      <c r="CK1034" s="878"/>
      <c r="CL1034" s="878"/>
      <c r="CM1034" s="965"/>
      <c r="CN1034" s="965">
        <f t="shared" si="1919"/>
        <v>0</v>
      </c>
      <c r="CO1034" s="965">
        <f t="shared" si="1920"/>
        <v>0</v>
      </c>
      <c r="CP1034" s="993" t="str">
        <f t="shared" si="1865"/>
        <v>Other</v>
      </c>
      <c r="CQ1034" s="374">
        <f t="shared" si="1866"/>
        <v>20.843000000000004</v>
      </c>
      <c r="CR1034" s="374">
        <f t="shared" si="1867"/>
        <v>10.001000000000001</v>
      </c>
      <c r="CS1034" s="374">
        <f t="shared" si="1868"/>
        <v>34.450000000000003</v>
      </c>
      <c r="CT1034" s="374">
        <f t="shared" si="1869"/>
        <v>7.859</v>
      </c>
      <c r="CU1034" s="374">
        <f t="shared" si="1870"/>
        <v>0.11500000000000021</v>
      </c>
      <c r="CV1034" s="374">
        <f t="shared" si="1871"/>
        <v>1.877</v>
      </c>
      <c r="CW1034" s="374">
        <f t="shared" si="1872"/>
        <v>24.866999999999997</v>
      </c>
      <c r="CX1034" s="374">
        <f t="shared" si="1873"/>
        <v>27.343</v>
      </c>
      <c r="CY1034" s="374">
        <f t="shared" si="1874"/>
        <v>15.012999999999977</v>
      </c>
      <c r="CZ1034" s="374">
        <f t="shared" si="1875"/>
        <v>-122.90099999999998</v>
      </c>
      <c r="DA1034" s="374">
        <f t="shared" si="1876"/>
        <v>-30.606000000000002</v>
      </c>
      <c r="DB1034" s="374">
        <f t="shared" si="1877"/>
        <v>4.5279999999999996</v>
      </c>
      <c r="DC1034" s="374">
        <f t="shared" si="1878"/>
        <v>14.207000000000001</v>
      </c>
      <c r="DD1034" s="374">
        <f t="shared" si="1879"/>
        <v>1.6310000000000002</v>
      </c>
      <c r="DE1034" s="374">
        <f t="shared" si="1880"/>
        <v>0</v>
      </c>
      <c r="DF1034" s="374">
        <f t="shared" si="1881"/>
        <v>0</v>
      </c>
      <c r="DG1034" s="1802">
        <f t="shared" si="1882"/>
        <v>0</v>
      </c>
      <c r="DH1034" s="104"/>
      <c r="DI1034" s="379"/>
      <c r="DJ1034" s="379"/>
      <c r="DK1034" s="379"/>
      <c r="DL1034" s="379"/>
      <c r="DM1034" s="379"/>
      <c r="DN1034" s="500"/>
      <c r="DO1034" s="537"/>
      <c r="DY1034" s="3264"/>
      <c r="DZ1034" s="3264"/>
    </row>
    <row r="1035" spans="1:130" ht="12" customHeight="1">
      <c r="A1035" s="493" t="s">
        <v>1297</v>
      </c>
      <c r="B1035" s="991"/>
      <c r="C1035" s="991"/>
      <c r="D1035" s="988">
        <f t="shared" ref="D1035:I1035" si="1923">SUM(D1031:D1034)</f>
        <v>-30.690999999999999</v>
      </c>
      <c r="E1035" s="989">
        <f t="shared" si="1923"/>
        <v>-238.08499999999998</v>
      </c>
      <c r="F1035" s="989">
        <f t="shared" si="1923"/>
        <v>-967.01699999999994</v>
      </c>
      <c r="G1035" s="989">
        <f t="shared" si="1923"/>
        <v>-139.48400000000001</v>
      </c>
      <c r="H1035" s="990">
        <f t="shared" si="1923"/>
        <v>-1375.2769999999998</v>
      </c>
      <c r="I1035" s="989">
        <f t="shared" si="1923"/>
        <v>-111.13499999999999</v>
      </c>
      <c r="J1035" s="989">
        <f t="shared" ref="J1035:AG1035" si="1924">SUM(J1031:J1034)</f>
        <v>-138.69800000000001</v>
      </c>
      <c r="K1035" s="989">
        <f t="shared" si="1924"/>
        <v>-141.84300000000002</v>
      </c>
      <c r="L1035" s="989">
        <f t="shared" si="1924"/>
        <v>-216.76699999999994</v>
      </c>
      <c r="M1035" s="990">
        <f t="shared" si="1924"/>
        <v>-608.44299999999998</v>
      </c>
      <c r="N1035" s="989">
        <f t="shared" si="1924"/>
        <v>-196.21799999999999</v>
      </c>
      <c r="O1035" s="989">
        <f t="shared" si="1924"/>
        <v>-66.933999999999997</v>
      </c>
      <c r="P1035" s="989">
        <f t="shared" si="1924"/>
        <v>-76.892000000000024</v>
      </c>
      <c r="Q1035" s="989">
        <f t="shared" si="1924"/>
        <v>339.69199999999995</v>
      </c>
      <c r="R1035" s="990">
        <f t="shared" si="1924"/>
        <v>-0.35200000000006781</v>
      </c>
      <c r="S1035" s="989">
        <f t="shared" si="1924"/>
        <v>-127.85999999999999</v>
      </c>
      <c r="T1035" s="989">
        <f t="shared" si="1924"/>
        <v>-70.66</v>
      </c>
      <c r="U1035" s="989">
        <f t="shared" si="1924"/>
        <v>-82.753</v>
      </c>
      <c r="V1035" s="989">
        <f t="shared" si="1924"/>
        <v>-98.963000000000008</v>
      </c>
      <c r="W1035" s="990">
        <f t="shared" si="1924"/>
        <v>-380.23600000000005</v>
      </c>
      <c r="X1035" s="989">
        <f t="shared" si="1924"/>
        <v>-169.23399999999998</v>
      </c>
      <c r="Y1035" s="989">
        <f t="shared" si="1924"/>
        <v>-197.78100000000003</v>
      </c>
      <c r="Z1035" s="989">
        <f t="shared" si="1924"/>
        <v>-189.05699999999999</v>
      </c>
      <c r="AA1035" s="989">
        <f t="shared" si="1924"/>
        <v>-117.20399999999997</v>
      </c>
      <c r="AB1035" s="499">
        <f t="shared" si="1924"/>
        <v>-673.27599999999995</v>
      </c>
      <c r="AC1035" s="497">
        <f t="shared" si="1924"/>
        <v>-98.254999999999995</v>
      </c>
      <c r="AD1035" s="497">
        <f t="shared" si="1924"/>
        <v>-38.755000000000003</v>
      </c>
      <c r="AE1035" s="497">
        <f t="shared" si="1924"/>
        <v>-14.586999999999986</v>
      </c>
      <c r="AF1035" s="497">
        <f t="shared" si="1924"/>
        <v>-13.530999999999999</v>
      </c>
      <c r="AG1035" s="499">
        <f t="shared" si="1924"/>
        <v>-165.12799999999999</v>
      </c>
      <c r="AH1035" s="497">
        <f t="shared" ref="AH1035:AP1035" si="1925">SUM(AH1031:AH1034)</f>
        <v>-5.7870000000000026</v>
      </c>
      <c r="AI1035" s="497">
        <f t="shared" si="1925"/>
        <v>-15.833000000000002</v>
      </c>
      <c r="AJ1035" s="497">
        <f t="shared" si="1925"/>
        <v>-17.155000000000001</v>
      </c>
      <c r="AK1035" s="497">
        <f t="shared" si="1925"/>
        <v>-24.966000000000008</v>
      </c>
      <c r="AL1035" s="499">
        <f t="shared" si="1925"/>
        <v>-63.741000000000007</v>
      </c>
      <c r="AM1035" s="497">
        <f t="shared" si="1925"/>
        <v>-20.77</v>
      </c>
      <c r="AN1035" s="497">
        <f t="shared" si="1925"/>
        <v>-9.8809999999999985</v>
      </c>
      <c r="AO1035" s="497">
        <f t="shared" si="1925"/>
        <v>-32.150999999999996</v>
      </c>
      <c r="AP1035" s="497">
        <f t="shared" si="1925"/>
        <v>-299.98500000000001</v>
      </c>
      <c r="AQ1035" s="499">
        <f t="shared" ref="AQ1035:CB1035" si="1926">SUM(AQ1031:AQ1034)</f>
        <v>-362.78699999999998</v>
      </c>
      <c r="AR1035" s="497">
        <f t="shared" si="1926"/>
        <v>-32.768000000000001</v>
      </c>
      <c r="AS1035" s="497">
        <f t="shared" si="1926"/>
        <v>-35.301000000000009</v>
      </c>
      <c r="AT1035" s="497">
        <f t="shared" si="1926"/>
        <v>-379.59100000000001</v>
      </c>
      <c r="AU1035" s="497">
        <f t="shared" si="1926"/>
        <v>-987.49900000000025</v>
      </c>
      <c r="AV1035" s="499">
        <f t="shared" si="1926"/>
        <v>-1435.1590000000001</v>
      </c>
      <c r="AW1035" s="497">
        <f t="shared" si="1926"/>
        <v>134.06599999999997</v>
      </c>
      <c r="AX1035" s="497">
        <f t="shared" si="1926"/>
        <v>21.193000000000005</v>
      </c>
      <c r="AY1035" s="497">
        <f t="shared" si="1926"/>
        <v>-37.302999999999983</v>
      </c>
      <c r="AZ1035" s="497">
        <f>SUM(AZ1031:AZ1034)</f>
        <v>-41.62700000000001</v>
      </c>
      <c r="BA1035" s="499">
        <f>SUM(BA1031:BA1034)</f>
        <v>76.329000000000008</v>
      </c>
      <c r="BB1035" s="497">
        <f t="shared" si="1926"/>
        <v>-17.194000000000003</v>
      </c>
      <c r="BC1035" s="497">
        <f t="shared" si="1926"/>
        <v>-35.191000000000003</v>
      </c>
      <c r="BD1035" s="497">
        <f t="shared" si="1926"/>
        <v>-65.936000000000007</v>
      </c>
      <c r="BE1035" s="497">
        <f t="shared" si="1926"/>
        <v>-61.658999999999992</v>
      </c>
      <c r="BF1035" s="499">
        <f t="shared" si="1926"/>
        <v>-179.98</v>
      </c>
      <c r="BG1035" s="497">
        <f t="shared" ref="BG1035:BP1035" si="1927">SUM(BG1031:BG1034)</f>
        <v>-16.952999999999999</v>
      </c>
      <c r="BH1035" s="497">
        <f t="shared" si="1927"/>
        <v>-38.184000000000005</v>
      </c>
      <c r="BI1035" s="497">
        <f t="shared" si="1927"/>
        <v>-28.082999999999998</v>
      </c>
      <c r="BJ1035" s="497">
        <f t="shared" si="1927"/>
        <v>-43.421999999999997</v>
      </c>
      <c r="BK1035" s="499">
        <f t="shared" si="1927"/>
        <v>-126.64199999999998</v>
      </c>
      <c r="BL1035" s="497">
        <f t="shared" si="1927"/>
        <v>-35.291999999999994</v>
      </c>
      <c r="BM1035" s="497">
        <f t="shared" si="1927"/>
        <v>-36.451000000000008</v>
      </c>
      <c r="BN1035" s="497">
        <f t="shared" si="1927"/>
        <v>-415.19</v>
      </c>
      <c r="BO1035" s="497">
        <f t="shared" si="1927"/>
        <v>-251.92099999999999</v>
      </c>
      <c r="BP1035" s="499">
        <f t="shared" si="1927"/>
        <v>-738.85399999999993</v>
      </c>
      <c r="BQ1035" s="497">
        <f t="shared" ref="BQ1035:BV1035" si="1928">SUM(BQ1031:BQ1034)</f>
        <v>-115.10199999999999</v>
      </c>
      <c r="BR1035" s="497">
        <f t="shared" si="1928"/>
        <v>-38.265000000000008</v>
      </c>
      <c r="BS1035" s="497">
        <f t="shared" si="1928"/>
        <v>-7.4070000000000062</v>
      </c>
      <c r="BT1035" s="497">
        <f t="shared" si="1928"/>
        <v>-29</v>
      </c>
      <c r="BU1035" s="3435">
        <f t="shared" si="1928"/>
        <v>-189.774</v>
      </c>
      <c r="BV1035" s="497">
        <f t="shared" si="1928"/>
        <v>5</v>
      </c>
      <c r="BW1035" s="497">
        <f t="shared" ref="BW1035:BY1035" si="1929">SUM(BW1031:BW1034)</f>
        <v>-37.5</v>
      </c>
      <c r="BX1035" s="497">
        <f t="shared" si="1929"/>
        <v>-898</v>
      </c>
      <c r="BY1035" s="497">
        <f t="shared" si="1929"/>
        <v>-42.5</v>
      </c>
      <c r="BZ1035" s="499">
        <f>SUM(BZ1031:BZ1034)</f>
        <v>-973</v>
      </c>
      <c r="CA1035" s="499">
        <f t="shared" si="1926"/>
        <v>-170</v>
      </c>
      <c r="CB1035" s="499">
        <f t="shared" si="1926"/>
        <v>-170</v>
      </c>
      <c r="CC1035" s="499">
        <f>SUM(CC1031:CC1034)</f>
        <v>-150</v>
      </c>
      <c r="CD1035" s="499">
        <f>SUM(CD1031:CD1034)</f>
        <v>-150</v>
      </c>
      <c r="CE1035" s="499">
        <f>SUM(CE1031:CE1034)</f>
        <v>-150</v>
      </c>
      <c r="CF1035" s="499">
        <f>SUM(CF1031:CF1034)</f>
        <v>-150</v>
      </c>
      <c r="CG1035" s="499">
        <f>SUM(CG1031:CG1034)</f>
        <v>-150</v>
      </c>
      <c r="CH1035" s="621"/>
      <c r="CI1035" s="621"/>
      <c r="CJ1035" s="621"/>
      <c r="CK1035" s="621"/>
      <c r="CL1035" s="621"/>
      <c r="CM1035" s="965"/>
      <c r="CN1035" s="965">
        <f t="shared" si="1919"/>
        <v>-973</v>
      </c>
      <c r="CO1035" s="965">
        <f t="shared" si="1920"/>
        <v>973</v>
      </c>
      <c r="CP1035" s="493" t="str">
        <f t="shared" si="1865"/>
        <v>Cash from Investing Activities</v>
      </c>
      <c r="CQ1035" s="497">
        <f t="shared" si="1866"/>
        <v>-1375.2769999999998</v>
      </c>
      <c r="CR1035" s="497">
        <f t="shared" si="1867"/>
        <v>-608.44299999999998</v>
      </c>
      <c r="CS1035" s="497">
        <f t="shared" si="1868"/>
        <v>-0.35200000000006781</v>
      </c>
      <c r="CT1035" s="497">
        <f t="shared" si="1869"/>
        <v>-380.23600000000005</v>
      </c>
      <c r="CU1035" s="497">
        <f t="shared" si="1870"/>
        <v>-673.27599999999995</v>
      </c>
      <c r="CV1035" s="497">
        <f t="shared" si="1871"/>
        <v>-165.12799999999999</v>
      </c>
      <c r="CW1035" s="497">
        <f t="shared" si="1872"/>
        <v>-63.741000000000007</v>
      </c>
      <c r="CX1035" s="497">
        <f t="shared" si="1873"/>
        <v>-362.78699999999998</v>
      </c>
      <c r="CY1035" s="497">
        <f t="shared" si="1874"/>
        <v>-1435.1590000000001</v>
      </c>
      <c r="CZ1035" s="497">
        <f t="shared" si="1875"/>
        <v>76.329000000000008</v>
      </c>
      <c r="DA1035" s="497">
        <f t="shared" si="1876"/>
        <v>-179.98</v>
      </c>
      <c r="DB1035" s="497">
        <f t="shared" si="1877"/>
        <v>-126.64199999999998</v>
      </c>
      <c r="DC1035" s="497">
        <f t="shared" si="1878"/>
        <v>-738.85399999999993</v>
      </c>
      <c r="DD1035" s="497">
        <f t="shared" si="1879"/>
        <v>-189.774</v>
      </c>
      <c r="DE1035" s="497">
        <f t="shared" si="1880"/>
        <v>-973</v>
      </c>
      <c r="DF1035" s="497">
        <f t="shared" si="1881"/>
        <v>-170</v>
      </c>
      <c r="DG1035" s="1921">
        <f t="shared" si="1882"/>
        <v>-170</v>
      </c>
      <c r="DH1035" s="620"/>
      <c r="DI1035" s="620"/>
      <c r="DJ1035" s="620"/>
      <c r="DK1035" s="620"/>
      <c r="DL1035" s="620"/>
      <c r="DM1035" s="620"/>
      <c r="DN1035" s="500"/>
      <c r="DO1035" s="537"/>
      <c r="DY1035" s="354"/>
      <c r="DZ1035" s="354"/>
    </row>
    <row r="1036" spans="1:130" ht="12" customHeight="1">
      <c r="A1036" s="993"/>
      <c r="B1036" s="875"/>
      <c r="C1036" s="875"/>
      <c r="D1036" s="667"/>
      <c r="E1036" s="622"/>
      <c r="F1036" s="622"/>
      <c r="G1036" s="622"/>
      <c r="H1036" s="586"/>
      <c r="I1036" s="622"/>
      <c r="J1036" s="622"/>
      <c r="K1036" s="622"/>
      <c r="L1036" s="622"/>
      <c r="M1036" s="586"/>
      <c r="N1036" s="622"/>
      <c r="O1036" s="622"/>
      <c r="P1036" s="622"/>
      <c r="Q1036" s="622"/>
      <c r="R1036" s="586"/>
      <c r="S1036" s="622"/>
      <c r="T1036" s="622"/>
      <c r="U1036" s="622"/>
      <c r="V1036" s="622"/>
      <c r="W1036" s="586"/>
      <c r="X1036" s="622"/>
      <c r="Y1036" s="622"/>
      <c r="Z1036" s="622"/>
      <c r="AA1036" s="622"/>
      <c r="AB1036" s="586"/>
      <c r="AC1036" s="622"/>
      <c r="AD1036" s="622"/>
      <c r="AE1036" s="622"/>
      <c r="AF1036" s="622"/>
      <c r="AG1036" s="586"/>
      <c r="AH1036" s="622"/>
      <c r="AI1036" s="622"/>
      <c r="AJ1036" s="622"/>
      <c r="AK1036" s="622"/>
      <c r="AL1036" s="586"/>
      <c r="AM1036" s="622"/>
      <c r="AN1036" s="622"/>
      <c r="AO1036" s="622"/>
      <c r="AP1036" s="622"/>
      <c r="AQ1036" s="586"/>
      <c r="AR1036" s="622"/>
      <c r="AS1036" s="622"/>
      <c r="AT1036" s="622"/>
      <c r="AU1036" s="622"/>
      <c r="AV1036" s="302"/>
      <c r="AW1036" s="622"/>
      <c r="AX1036" s="622"/>
      <c r="AY1036" s="622"/>
      <c r="AZ1036" s="622"/>
      <c r="BA1036" s="302"/>
      <c r="BB1036" s="622"/>
      <c r="BC1036" s="622"/>
      <c r="BD1036" s="622"/>
      <c r="BE1036" s="622"/>
      <c r="BF1036" s="3138"/>
      <c r="BG1036" s="667"/>
      <c r="BH1036" s="622"/>
      <c r="BI1036" s="622"/>
      <c r="BJ1036" s="622"/>
      <c r="BK1036" s="586"/>
      <c r="BL1036" s="622"/>
      <c r="BM1036" s="622"/>
      <c r="BN1036" s="622"/>
      <c r="BO1036" s="2934"/>
      <c r="BP1036" s="586"/>
      <c r="BQ1036" s="622"/>
      <c r="BR1036" s="469"/>
      <c r="BS1036" s="622"/>
      <c r="BT1036" s="2934"/>
      <c r="BU1036" s="3356"/>
      <c r="BV1036" s="622"/>
      <c r="BW1036" s="622"/>
      <c r="BX1036" s="622"/>
      <c r="BY1036" s="2934"/>
      <c r="BZ1036" s="586"/>
      <c r="CA1036" s="586"/>
      <c r="CB1036" s="586"/>
      <c r="CC1036" s="586"/>
      <c r="CD1036" s="586"/>
      <c r="CE1036" s="586"/>
      <c r="CF1036" s="586"/>
      <c r="CG1036" s="586"/>
      <c r="CH1036" s="1414"/>
      <c r="CI1036" s="622"/>
      <c r="CJ1036" s="622"/>
      <c r="CK1036" s="622"/>
      <c r="CL1036" s="622"/>
      <c r="CM1036" s="622"/>
      <c r="CN1036" s="622"/>
      <c r="CO1036" s="622"/>
      <c r="CP1036" s="993"/>
      <c r="CQ1036" s="621"/>
      <c r="CR1036" s="621"/>
      <c r="CS1036" s="621"/>
      <c r="CT1036" s="621"/>
      <c r="CU1036" s="621"/>
      <c r="CV1036" s="621"/>
      <c r="CW1036" s="621"/>
      <c r="CX1036" s="621"/>
      <c r="CY1036" s="621">
        <f t="shared" si="1874"/>
        <v>0</v>
      </c>
      <c r="CZ1036" s="621"/>
      <c r="DA1036" s="621">
        <f t="shared" si="1876"/>
        <v>0</v>
      </c>
      <c r="DB1036" s="621"/>
      <c r="DC1036" s="621"/>
      <c r="DD1036" s="621"/>
      <c r="DE1036" s="621"/>
      <c r="DF1036" s="621"/>
      <c r="DG1036" s="842"/>
      <c r="DH1036" s="500"/>
      <c r="DI1036" s="500"/>
      <c r="DJ1036" s="500"/>
      <c r="DK1036" s="500"/>
      <c r="DL1036" s="500"/>
      <c r="DM1036" s="500"/>
      <c r="DN1036" s="500"/>
      <c r="DO1036" s="537"/>
      <c r="DY1036" s="622"/>
      <c r="DZ1036" s="622"/>
    </row>
    <row r="1037" spans="1:130" ht="12" customHeight="1">
      <c r="A1037" s="977" t="s">
        <v>1040</v>
      </c>
      <c r="B1037" s="445"/>
      <c r="C1037" s="445"/>
      <c r="D1037" s="468"/>
      <c r="E1037" s="469"/>
      <c r="F1037" s="469"/>
      <c r="G1037" s="469"/>
      <c r="H1037" s="470"/>
      <c r="I1037" s="469"/>
      <c r="J1037" s="469"/>
      <c r="K1037" s="469"/>
      <c r="L1037" s="469"/>
      <c r="M1037" s="470"/>
      <c r="N1037" s="366"/>
      <c r="O1037" s="366"/>
      <c r="P1037" s="366"/>
      <c r="Q1037" s="366"/>
      <c r="R1037" s="884"/>
      <c r="S1037" s="366"/>
      <c r="T1037" s="366"/>
      <c r="U1037" s="366"/>
      <c r="V1037" s="366"/>
      <c r="W1037" s="884"/>
      <c r="X1037" s="366"/>
      <c r="Y1037" s="366"/>
      <c r="Z1037" s="366"/>
      <c r="AA1037" s="366"/>
      <c r="AB1037" s="884"/>
      <c r="AC1037" s="366"/>
      <c r="AD1037" s="366"/>
      <c r="AE1037" s="366"/>
      <c r="AF1037" s="366"/>
      <c r="AG1037" s="884"/>
      <c r="AH1037" s="366"/>
      <c r="AI1037" s="366"/>
      <c r="AJ1037" s="366"/>
      <c r="AK1037" s="366"/>
      <c r="AL1037" s="884"/>
      <c r="AM1037" s="366"/>
      <c r="AN1037" s="366"/>
      <c r="AO1037" s="366"/>
      <c r="AP1037" s="366"/>
      <c r="AQ1037" s="884"/>
      <c r="AR1037" s="366"/>
      <c r="AS1037" s="366"/>
      <c r="AT1037" s="366"/>
      <c r="AU1037" s="366"/>
      <c r="AV1037" s="884"/>
      <c r="AW1037" s="366"/>
      <c r="AX1037" s="366"/>
      <c r="AY1037" s="366"/>
      <c r="AZ1037" s="366"/>
      <c r="BA1037" s="884"/>
      <c r="BB1037" s="366"/>
      <c r="BC1037" s="366"/>
      <c r="BD1037" s="366"/>
      <c r="BE1037" s="366"/>
      <c r="BF1037" s="884"/>
      <c r="BG1037" s="368"/>
      <c r="BH1037" s="366"/>
      <c r="BI1037" s="366"/>
      <c r="BJ1037" s="366"/>
      <c r="BK1037" s="884"/>
      <c r="BL1037" s="366"/>
      <c r="BM1037" s="366"/>
      <c r="BN1037" s="366"/>
      <c r="BO1037" s="3014"/>
      <c r="BP1037" s="884"/>
      <c r="BQ1037" s="366"/>
      <c r="BR1037" s="366"/>
      <c r="BS1037" s="366"/>
      <c r="BT1037" s="3014"/>
      <c r="BU1037" s="3329"/>
      <c r="BV1037" s="366"/>
      <c r="BW1037" s="366"/>
      <c r="BX1037" s="366"/>
      <c r="BY1037" s="3014"/>
      <c r="BZ1037" s="884"/>
      <c r="CA1037" s="884"/>
      <c r="CB1037" s="884"/>
      <c r="CC1037" s="884"/>
      <c r="CD1037" s="884"/>
      <c r="CE1037" s="884"/>
      <c r="CF1037" s="884"/>
      <c r="CG1037" s="884"/>
      <c r="CH1037" s="366"/>
      <c r="CI1037" s="366"/>
      <c r="CJ1037" s="366"/>
      <c r="CK1037" s="366"/>
      <c r="CL1037" s="366"/>
      <c r="CM1037" s="366"/>
      <c r="CN1037" s="366"/>
      <c r="CO1037" s="366"/>
      <c r="CP1037" s="977" t="str">
        <f t="shared" si="1865"/>
        <v>Cash from Financing Activities</v>
      </c>
      <c r="CQ1037" s="369"/>
      <c r="CR1037" s="369"/>
      <c r="CS1037" s="369"/>
      <c r="CT1037" s="369"/>
      <c r="CU1037" s="369"/>
      <c r="CV1037" s="369"/>
      <c r="CW1037" s="369"/>
      <c r="CX1037" s="369"/>
      <c r="CY1037" s="369"/>
      <c r="CZ1037" s="369"/>
      <c r="DA1037" s="369"/>
      <c r="DB1037" s="369"/>
      <c r="DC1037" s="369"/>
      <c r="DD1037" s="369"/>
      <c r="DE1037" s="369"/>
      <c r="DF1037" s="369"/>
      <c r="DG1037" s="1801"/>
      <c r="DH1037" s="311"/>
      <c r="DI1037" s="311"/>
      <c r="DJ1037" s="311"/>
      <c r="DK1037" s="311"/>
      <c r="DL1037" s="311"/>
      <c r="DM1037" s="311"/>
      <c r="DN1037" s="311"/>
      <c r="DO1037" s="226"/>
      <c r="DY1037" s="366"/>
      <c r="DZ1037" s="366"/>
    </row>
    <row r="1038" spans="1:130" ht="12" customHeight="1">
      <c r="A1038" s="400" t="s">
        <v>1041</v>
      </c>
      <c r="B1038" s="445"/>
      <c r="C1038" s="445"/>
      <c r="D1038" s="368">
        <f>-0.113-191+163.8</f>
        <v>-27.312999999999988</v>
      </c>
      <c r="E1038" s="366">
        <f>-457.2+284-0.228+344.596-D1038</f>
        <v>198.48099999999999</v>
      </c>
      <c r="F1038" s="366">
        <f>-0.344-666.45+1400.4+344.596-8.983-E1038-D1038</f>
        <v>898.05100000000004</v>
      </c>
      <c r="G1038" s="366">
        <f>-0.482-777.95+1622.75+344.596-F1038-E1038-D1038</f>
        <v>119.69499999999994</v>
      </c>
      <c r="H1038" s="370">
        <f>SUM(D1038:G1038)</f>
        <v>1188.914</v>
      </c>
      <c r="I1038" s="366">
        <f>-0.171-166.25+119.5</f>
        <v>-46.920999999999992</v>
      </c>
      <c r="J1038" s="366">
        <f>-0.337-300.55+349.75-I1038</f>
        <v>95.783999999999992</v>
      </c>
      <c r="K1038" s="366">
        <f>-0.465-407.5+688.25-1.543-209.325-J1038-I1038</f>
        <v>20.55400000000003</v>
      </c>
      <c r="L1038" s="366">
        <f>-0.684-209.325-518.6+965.4-K1038-J1038-I1038</f>
        <v>167.37399999999991</v>
      </c>
      <c r="M1038" s="370">
        <f>SUM(I1038:L1038)</f>
        <v>236.79099999999994</v>
      </c>
      <c r="N1038" s="366">
        <f>-0.181-370.65+160.8+246.3</f>
        <v>36.269000000000062</v>
      </c>
      <c r="O1038" s="366">
        <f>-0.359-494.05+297.35+246.3-N1038</f>
        <v>12.97199999999998</v>
      </c>
      <c r="P1038" s="366">
        <f>-0.544-633.15+400.6+246.3-O1038-N1038</f>
        <v>-36.034999999999968</v>
      </c>
      <c r="Q1038" s="366">
        <f>-16.074-1150.45+496.95+246.3-P1038-O1038-N1038</f>
        <v>-436.48000000000013</v>
      </c>
      <c r="R1038" s="370">
        <f>SUM(N1038:Q1038)</f>
        <v>-423.27400000000006</v>
      </c>
      <c r="S1038" s="366">
        <f>-0.134-91.1+114.05</f>
        <v>22.816000000000003</v>
      </c>
      <c r="T1038" s="366">
        <f>-0.271-196+523.5-260.938-S1038</f>
        <v>43.475000000000051</v>
      </c>
      <c r="U1038" s="366">
        <f>-0.408+652.7-331.8-260.938-T1038-S1038</f>
        <v>-6.7370000000000232</v>
      </c>
      <c r="V1038" s="366">
        <f>-0.502+817.1-437.5-260.938-U1038-T1038-S1038</f>
        <v>58.606000000000051</v>
      </c>
      <c r="W1038" s="370">
        <f>SUM(S1038:V1038)</f>
        <v>118.16000000000008</v>
      </c>
      <c r="X1038" s="366">
        <f>+-0.19-15.647+205.9-98.7</f>
        <v>91.363000000000014</v>
      </c>
      <c r="Y1038" s="366">
        <f>-28.945+468.4-216.3-X1038</f>
        <v>131.79199999999997</v>
      </c>
      <c r="Z1038" s="366">
        <f>-36.499+739.168-341.8-Y1038-X1038</f>
        <v>137.714</v>
      </c>
      <c r="AA1038" s="366">
        <f>-0.629+1394.935-866.72-116.497-Z1038-Y1038-X1038</f>
        <v>50.220000000000013</v>
      </c>
      <c r="AB1038" s="370">
        <f>SUM(X1038:AA1038)</f>
        <v>411.089</v>
      </c>
      <c r="AC1038" s="366">
        <f>-8.072+205.885-144.4</f>
        <v>53.412999999999982</v>
      </c>
      <c r="AD1038" s="366">
        <f>-36.088+371.935-285.238-9.375-AC1038</f>
        <v>-12.179000000000002</v>
      </c>
      <c r="AE1038" s="366">
        <f>-61.941+507.635-435.25-18.75-AC1038-AD1038</f>
        <v>-49.54000000000002</v>
      </c>
      <c r="AF1038" s="366">
        <f>-89.482+656.44-620.655-18.75-AE1038-AD1038-AC1038</f>
        <v>-64.140999999999849</v>
      </c>
      <c r="AG1038" s="370">
        <f>SUM(AC1038:AF1038)</f>
        <v>-72.446999999999889</v>
      </c>
      <c r="AH1038" s="366">
        <f>-13.396+208.1-197.9+29.3-31.3-46.875</f>
        <v>-52.070999999999998</v>
      </c>
      <c r="AI1038" s="366">
        <f>-28.861+374.8-399.3+190.983-196.4-46.875-AH1038</f>
        <v>-53.581999999999994</v>
      </c>
      <c r="AJ1038" s="366">
        <f>-28.861+525.7-714.8+369.773-954.962+773.176-46.875-AI1038-AH1038</f>
        <v>28.804000000000173</v>
      </c>
      <c r="AK1038" s="366">
        <f>-187.693+758.774-1250.674+533.673-1105.062+500+773.176-AJ1038-AI1038-AH1038</f>
        <v>99.042999999999893</v>
      </c>
      <c r="AL1038" s="370">
        <f>SUM(AH1038:AK1038)</f>
        <v>22.194000000000074</v>
      </c>
      <c r="AM1038" s="366">
        <f>35.9-35.9+51.5-83.7</f>
        <v>-32.200000000000003</v>
      </c>
      <c r="AN1038" s="366">
        <f>35.92-35.92+365.7-406.6-0.828+5.25-AM1038</f>
        <v>-4.2780000000000342</v>
      </c>
      <c r="AO1038" s="366">
        <f>-8.198+109.65-111.503+574.7-620.6-AN1038-AM1038</f>
        <v>-19.472999999999985</v>
      </c>
      <c r="AP1038" s="366">
        <f>391.329-183.579+741.3-762-AO1038-AN1038-AM1038</f>
        <v>243.00099999999998</v>
      </c>
      <c r="AQ1038" s="370">
        <f>SUM(AM1038:AP1038)</f>
        <v>187.04999999999995</v>
      </c>
      <c r="AR1038" s="366">
        <f>134.8-184.425+182.9-200.6+0.919-0.25</f>
        <v>-66.655999999999992</v>
      </c>
      <c r="AS1038" s="366">
        <f>488.5-672.45+354.5-370.5+350-AR1038</f>
        <v>216.70599999999996</v>
      </c>
      <c r="AT1038" s="366">
        <f>642.6-836.375+515.3-541.8+338.5-AR1038-AS1038</f>
        <v>-31.824999999999932</v>
      </c>
      <c r="AU1038" s="366">
        <f>787.1-951.25+871.1-16.7+632.7-652.9+700-AR1038-AS1038-AT1038</f>
        <v>1251.8250000000003</v>
      </c>
      <c r="AV1038" s="370">
        <f>SUM(AR1038:AU1038)</f>
        <v>1370.0500000000002</v>
      </c>
      <c r="AW1038" s="366">
        <f>202.2-232.025+68.2-78.863+103.6-109.6</f>
        <v>-46.488000000000014</v>
      </c>
      <c r="AX1038" s="366">
        <f>490.4-557.25+161.1-182.725+200-215.6-215.668-AW1038</f>
        <v>-273.25500000000005</v>
      </c>
      <c r="AY1038" s="366">
        <f>2711.375-2738.325+268.5-296.688+297.1-300.8-10.818-500.272-AX1038-AW1038</f>
        <v>-250.18499999999972</v>
      </c>
      <c r="AZ1038" s="366">
        <f>2920.675-2927.8+354.7-406.95+444.5-424.6-875.487-10.82+376.2-AW1038-AX1038-AY1038</f>
        <v>20.345999999999663</v>
      </c>
      <c r="BA1038" s="370">
        <f>SUM(AW1038:AZ1038)</f>
        <v>-549.58200000000011</v>
      </c>
      <c r="BB1038" s="366">
        <f>188.5-224.275+75-90.525+116.2-119.4</f>
        <v>-54.500000000000014</v>
      </c>
      <c r="BC1038" s="366">
        <f>365.7-424.925+155.9-189.887+248.7-255.5-0.004-1.9-BB1038</f>
        <v>-47.416000000000025</v>
      </c>
      <c r="BD1038" s="366">
        <f>605-698.4+242.1-283.35+410.9-444.9-0.007-2.85-BC1038-BB1038</f>
        <v>-69.590999999999937</v>
      </c>
      <c r="BE1038" s="366">
        <f>830.4-910.7+317.4-377.15+410.9-444.9-0.009-BD1038-BC1038-BB1038</f>
        <v>-2.5520000000000778</v>
      </c>
      <c r="BF1038" s="370">
        <f>SUM(BB1038:BE1038)</f>
        <v>-174.05900000000005</v>
      </c>
      <c r="BG1038" s="2790">
        <f>203.7-245.675+91.4-108.625-0.002</f>
        <v>-59.202000000000019</v>
      </c>
      <c r="BH1038" s="366">
        <f>396.1-679.525+170.8-223.187-500+750-BG1038</f>
        <v>-26.609999999999879</v>
      </c>
      <c r="BI1038" s="366">
        <f>627-949.7+262.1-335.55-500+750-SUM(BG1038:BH1038)</f>
        <v>-60.338000000000193</v>
      </c>
      <c r="BJ1038" s="366">
        <f>1033.5-1211.2+345.5-425.15+750-BI1038-BH1038-BG1038</f>
        <v>638.80000000000007</v>
      </c>
      <c r="BK1038" s="370">
        <f>SUM(BG1038:BJ1038)</f>
        <v>492.65</v>
      </c>
      <c r="BL1038" s="366">
        <f>223.9-530.35+95.2-114.725+750-12.996</f>
        <v>411.029</v>
      </c>
      <c r="BM1038" s="366">
        <f>223.9-530.35+165-217.225+750-12.936-BL1038</f>
        <v>-32.640000000000043</v>
      </c>
      <c r="BN1038" s="366">
        <f>1622.075-1290.8+237-899.75+750-700-BM1038-BL1038</f>
        <v>-659.86399999999981</v>
      </c>
      <c r="BO1038" s="366">
        <f>2039.175-1466.362+237-899.75+750-BL1038-BM1038-BN1038</f>
        <v>941.53799999999978</v>
      </c>
      <c r="BP1038" s="370">
        <f>SUM(BL1038:BO1038)</f>
        <v>660.06299999999987</v>
      </c>
      <c r="BQ1038" s="366">
        <f>256.7-275.063-1.889</f>
        <v>-20.251999999999999</v>
      </c>
      <c r="BR1038" s="366">
        <f>535.9-628.037-2.381-BQ1038</f>
        <v>-74.266000000000062</v>
      </c>
      <c r="BS1038" s="366">
        <f>463.3-628.211-BR1038-BQ1038</f>
        <v>-70.392999999999944</v>
      </c>
      <c r="BT1038" s="369">
        <f>SUM(BT1082:BT1111)-SUM(BS1082:BS1111)</f>
        <v>74.414000000000215</v>
      </c>
      <c r="BU1038" s="3329">
        <f>SUM(BQ1038:BT1038)</f>
        <v>-90.496999999999787</v>
      </c>
      <c r="BV1038" s="369">
        <f>SUM(BV1082:BV1111)-SUM(BU1082:BU1111)</f>
        <v>-3.125</v>
      </c>
      <c r="BW1038" s="369">
        <f t="shared" ref="BW1038:BY1038" si="1930">SUM(BW1082:BW1111)-SUM(BV1082:BV1111)</f>
        <v>-3.125</v>
      </c>
      <c r="BX1038" s="369">
        <f t="shared" si="1930"/>
        <v>558.83299999999963</v>
      </c>
      <c r="BY1038" s="369">
        <f t="shared" si="1930"/>
        <v>-3.125</v>
      </c>
      <c r="BZ1038" s="4016">
        <f>SUM(BV1038:BY1038)</f>
        <v>549.45799999999963</v>
      </c>
      <c r="CA1038" s="367">
        <f t="shared" ref="CA1038:CG1038" si="1931">SUM(CA1082:CA1111)-SUM(BZ1082:BZ1111)</f>
        <v>-12.5</v>
      </c>
      <c r="CB1038" s="370">
        <f t="shared" si="1931"/>
        <v>-12.5</v>
      </c>
      <c r="CC1038" s="370">
        <f t="shared" si="1931"/>
        <v>-1290.3780000000002</v>
      </c>
      <c r="CD1038" s="370">
        <f t="shared" si="1931"/>
        <v>-21.5</v>
      </c>
      <c r="CE1038" s="370">
        <f t="shared" si="1931"/>
        <v>-21.5</v>
      </c>
      <c r="CF1038" s="370">
        <f t="shared" si="1931"/>
        <v>-21.5</v>
      </c>
      <c r="CG1038" s="370">
        <f t="shared" si="1931"/>
        <v>-21.5</v>
      </c>
      <c r="CH1038" s="366"/>
      <c r="CI1038" s="366"/>
      <c r="CJ1038" s="366"/>
      <c r="CK1038" s="366"/>
      <c r="CL1038" s="366"/>
      <c r="CM1038" s="965"/>
      <c r="CN1038" s="965">
        <f t="shared" ref="CN1038:CN1042" si="1932">SUM(BV1038:BY1038)</f>
        <v>549.45799999999963</v>
      </c>
      <c r="CO1038" s="965">
        <f t="shared" ref="CO1038:CO1042" si="1933">CM1038-CN1038</f>
        <v>-549.45799999999963</v>
      </c>
      <c r="CP1038" s="400" t="str">
        <f t="shared" si="1865"/>
        <v>Proceeds (Payments) on LT debt</v>
      </c>
      <c r="CQ1038" s="369">
        <f t="shared" si="1866"/>
        <v>1188.914</v>
      </c>
      <c r="CR1038" s="369">
        <f t="shared" si="1867"/>
        <v>236.79099999999994</v>
      </c>
      <c r="CS1038" s="369">
        <f t="shared" si="1868"/>
        <v>-423.27400000000006</v>
      </c>
      <c r="CT1038" s="369">
        <f t="shared" si="1869"/>
        <v>118.16000000000008</v>
      </c>
      <c r="CU1038" s="369">
        <f t="shared" si="1870"/>
        <v>411.089</v>
      </c>
      <c r="CV1038" s="369">
        <f t="shared" si="1871"/>
        <v>-72.446999999999889</v>
      </c>
      <c r="CW1038" s="369">
        <f t="shared" si="1872"/>
        <v>22.194000000000074</v>
      </c>
      <c r="CX1038" s="369">
        <f t="shared" si="1873"/>
        <v>187.04999999999995</v>
      </c>
      <c r="CY1038" s="369">
        <f t="shared" si="1874"/>
        <v>1370.0500000000002</v>
      </c>
      <c r="CZ1038" s="369">
        <f t="shared" si="1875"/>
        <v>-549.58200000000011</v>
      </c>
      <c r="DA1038" s="369">
        <f t="shared" si="1876"/>
        <v>-174.05900000000005</v>
      </c>
      <c r="DB1038" s="369">
        <f t="shared" si="1877"/>
        <v>492.65</v>
      </c>
      <c r="DC1038" s="369">
        <f t="shared" si="1878"/>
        <v>660.06299999999987</v>
      </c>
      <c r="DD1038" s="369">
        <f t="shared" si="1879"/>
        <v>-90.496999999999787</v>
      </c>
      <c r="DE1038" s="369">
        <f t="shared" si="1880"/>
        <v>549.45799999999963</v>
      </c>
      <c r="DF1038" s="369">
        <f t="shared" si="1881"/>
        <v>-12.5</v>
      </c>
      <c r="DG1038" s="1801">
        <f t="shared" si="1882"/>
        <v>-12.5</v>
      </c>
      <c r="DH1038" s="885"/>
      <c r="DI1038" s="371"/>
      <c r="DJ1038" s="371"/>
      <c r="DK1038" s="371"/>
      <c r="DL1038" s="371"/>
      <c r="DM1038" s="371"/>
      <c r="DN1038" s="311"/>
      <c r="DO1038" s="226"/>
      <c r="DY1038" s="369"/>
      <c r="DZ1038" s="369"/>
    </row>
    <row r="1039" spans="1:130" ht="12" customHeight="1">
      <c r="A1039" s="3950" t="s">
        <v>1957</v>
      </c>
      <c r="B1039" s="445"/>
      <c r="C1039" s="445"/>
      <c r="D1039" s="363">
        <v>3.177</v>
      </c>
      <c r="E1039" s="364">
        <f>13.377-D1039</f>
        <v>10.200000000000001</v>
      </c>
      <c r="F1039" s="364">
        <f>17.051-E1039-D1039</f>
        <v>3.6739999999999973</v>
      </c>
      <c r="G1039" s="364">
        <f>22.979-F1039-E1039-D1039</f>
        <v>5.9280000000000026</v>
      </c>
      <c r="H1039" s="373">
        <f>SUM(D1039:G1039)</f>
        <v>22.978999999999999</v>
      </c>
      <c r="I1039" s="364">
        <v>4.6669999999999998</v>
      </c>
      <c r="J1039" s="364">
        <f>10.952-I1039</f>
        <v>6.2850000000000001</v>
      </c>
      <c r="K1039" s="364">
        <f>20.01-J1039-I1039</f>
        <v>9.0580000000000016</v>
      </c>
      <c r="L1039" s="364">
        <f>21.999-K1039-J1039-I1039</f>
        <v>1.9889999999999972</v>
      </c>
      <c r="M1039" s="373">
        <f>SUM(I1039:L1039)</f>
        <v>21.998999999999999</v>
      </c>
      <c r="N1039" s="364">
        <v>2.1320000000000001</v>
      </c>
      <c r="O1039" s="364">
        <f>7.668-N1039</f>
        <v>5.5359999999999996</v>
      </c>
      <c r="P1039" s="364">
        <f>9.064-O1039-N1039</f>
        <v>1.3960000000000004</v>
      </c>
      <c r="Q1039" s="364">
        <f>19.51+12.256-P1039-O1039-N1039</f>
        <v>22.702000000000002</v>
      </c>
      <c r="R1039" s="373">
        <f>SUM(N1039:Q1039)</f>
        <v>31.766000000000002</v>
      </c>
      <c r="S1039" s="364">
        <v>5.0549999999999997</v>
      </c>
      <c r="T1039" s="364">
        <f>12.821-S1039</f>
        <v>7.766</v>
      </c>
      <c r="U1039" s="364">
        <f>14.335-T1039-S1039</f>
        <v>1.5140000000000011</v>
      </c>
      <c r="V1039" s="364">
        <f>15.561+4.614-U1039-T1039-S1039</f>
        <v>5.8400000000000016</v>
      </c>
      <c r="W1039" s="373">
        <f>SUM(S1039:V1039)</f>
        <v>20.175000000000004</v>
      </c>
      <c r="X1039" s="364">
        <f>0.353+0.058</f>
        <v>0.41099999999999998</v>
      </c>
      <c r="Y1039" s="364">
        <f>0.409+0.05-X1039</f>
        <v>4.7999999999999987E-2</v>
      </c>
      <c r="Z1039" s="364">
        <f>0.472+0.196-Y1039-X1039</f>
        <v>0.20899999999999991</v>
      </c>
      <c r="AA1039" s="364">
        <f>0.472+0.017-Z1039-Y1039-X1039</f>
        <v>-0.17899999999999988</v>
      </c>
      <c r="AB1039" s="373">
        <f>SUM(X1039:AA1039)</f>
        <v>0.48900000000000005</v>
      </c>
      <c r="AC1039" s="364">
        <v>-7.0510000000000002</v>
      </c>
      <c r="AD1039" s="364">
        <f>-7.95-AC1039</f>
        <v>-0.89900000000000002</v>
      </c>
      <c r="AE1039" s="364">
        <f>-7.95-AC1039-AD1039</f>
        <v>0</v>
      </c>
      <c r="AF1039" s="201">
        <f>-7.95-AE1039-AD1039-AC1039</f>
        <v>0</v>
      </c>
      <c r="AG1039" s="373">
        <f>SUM(AC1039:AF1039)</f>
        <v>-7.95</v>
      </c>
      <c r="AH1039" s="374">
        <v>0</v>
      </c>
      <c r="AI1039" s="374">
        <v>0</v>
      </c>
      <c r="AJ1039" s="374">
        <v>0</v>
      </c>
      <c r="AK1039" s="374">
        <v>0</v>
      </c>
      <c r="AL1039" s="373">
        <f>SUM(AH1039:AK1039)</f>
        <v>0</v>
      </c>
      <c r="AM1039" s="376">
        <v>0</v>
      </c>
      <c r="AN1039" s="376">
        <v>0</v>
      </c>
      <c r="AO1039" s="376">
        <v>0</v>
      </c>
      <c r="AP1039" s="374">
        <f>AP1119-AO1119</f>
        <v>0</v>
      </c>
      <c r="AQ1039" s="373">
        <f>SUM(AM1039:AP1039)</f>
        <v>0</v>
      </c>
      <c r="AR1039" s="376">
        <v>0</v>
      </c>
      <c r="AS1039" s="376">
        <v>0</v>
      </c>
      <c r="AT1039" s="376">
        <v>0</v>
      </c>
      <c r="AU1039" s="376">
        <f>0-AR1039-AS1039-AT1039</f>
        <v>0</v>
      </c>
      <c r="AV1039" s="375">
        <f>SUM(AR1039:AU1039)</f>
        <v>0</v>
      </c>
      <c r="AW1039" s="376">
        <v>0</v>
      </c>
      <c r="AX1039" s="376">
        <v>0</v>
      </c>
      <c r="AY1039" s="376">
        <f>13.591+216.467-AX1039-AW1039</f>
        <v>230.05800000000002</v>
      </c>
      <c r="AZ1039" s="376">
        <f>216.467+13.752-AW1039-AX1039-AY1039</f>
        <v>0.16100000000000136</v>
      </c>
      <c r="BA1039" s="375">
        <f>SUM(AW1039:AZ1039)</f>
        <v>230.21900000000002</v>
      </c>
      <c r="BB1039" s="376">
        <v>0</v>
      </c>
      <c r="BC1039" s="376">
        <v>0</v>
      </c>
      <c r="BD1039" s="376">
        <f>0.984+0-BC1039-BB1039</f>
        <v>0.98399999999999999</v>
      </c>
      <c r="BE1039" s="366">
        <f>0-BD1039-BC1039-BB1039</f>
        <v>-0.98399999999999999</v>
      </c>
      <c r="BF1039" s="375">
        <f>SUM(BB1039:BE1039)</f>
        <v>0</v>
      </c>
      <c r="BG1039" s="3190">
        <v>0</v>
      </c>
      <c r="BH1039" s="376">
        <v>0</v>
      </c>
      <c r="BI1039" s="3191">
        <v>0</v>
      </c>
      <c r="BJ1039" s="366">
        <f>0-BI1039-BH1039-BG1039</f>
        <v>0</v>
      </c>
      <c r="BK1039" s="375">
        <f>SUM(BG1039:BJ1039)</f>
        <v>0</v>
      </c>
      <c r="BL1039" s="3191">
        <v>0</v>
      </c>
      <c r="BM1039" s="376">
        <v>0</v>
      </c>
      <c r="BN1039" s="3191">
        <v>0</v>
      </c>
      <c r="BO1039" s="3191">
        <v>0</v>
      </c>
      <c r="BP1039" s="375">
        <f>SUM(BL1039:BO1039)</f>
        <v>0</v>
      </c>
      <c r="BQ1039" s="3191">
        <v>0</v>
      </c>
      <c r="BR1039" s="376">
        <f>-11.09-BQ1039</f>
        <v>-11.09</v>
      </c>
      <c r="BS1039" s="364">
        <f>-22.16-BR1039-BQ1039</f>
        <v>-11.07</v>
      </c>
      <c r="BT1039" s="3191">
        <v>-10</v>
      </c>
      <c r="BU1039" s="3325">
        <f>SUM(BQ1039:BT1039)</f>
        <v>-32.159999999999997</v>
      </c>
      <c r="BV1039" s="3191">
        <v>-15</v>
      </c>
      <c r="BW1039" s="3191">
        <v>-15</v>
      </c>
      <c r="BX1039" s="3191">
        <v>-15</v>
      </c>
      <c r="BY1039" s="3191">
        <v>-15</v>
      </c>
      <c r="BZ1039" s="3066">
        <f>SUM(BV1039:BY1039)</f>
        <v>-60</v>
      </c>
      <c r="CA1039" s="3105">
        <v>0</v>
      </c>
      <c r="CB1039" s="3105">
        <v>0</v>
      </c>
      <c r="CC1039" s="3105">
        <v>0</v>
      </c>
      <c r="CD1039" s="3105">
        <v>0</v>
      </c>
      <c r="CE1039" s="3105">
        <v>0</v>
      </c>
      <c r="CF1039" s="3105">
        <v>0</v>
      </c>
      <c r="CG1039" s="3105">
        <v>0</v>
      </c>
      <c r="CH1039" s="201"/>
      <c r="CI1039" s="201"/>
      <c r="CJ1039" s="201"/>
      <c r="CK1039" s="201"/>
      <c r="CL1039" s="201"/>
      <c r="CM1039" s="965"/>
      <c r="CN1039" s="965">
        <f t="shared" si="1932"/>
        <v>-60</v>
      </c>
      <c r="CO1039" s="965">
        <f t="shared" si="1933"/>
        <v>60</v>
      </c>
      <c r="CP1039" s="981" t="str">
        <f t="shared" si="1865"/>
        <v>Issuance / (repurchase) of stock</v>
      </c>
      <c r="CQ1039" s="374">
        <f t="shared" si="1866"/>
        <v>22.978999999999999</v>
      </c>
      <c r="CR1039" s="374">
        <f t="shared" si="1867"/>
        <v>21.998999999999999</v>
      </c>
      <c r="CS1039" s="374">
        <f t="shared" si="1868"/>
        <v>31.766000000000002</v>
      </c>
      <c r="CT1039" s="374">
        <f t="shared" si="1869"/>
        <v>20.175000000000004</v>
      </c>
      <c r="CU1039" s="374">
        <f t="shared" si="1870"/>
        <v>0.48900000000000005</v>
      </c>
      <c r="CV1039" s="374">
        <f t="shared" si="1871"/>
        <v>-7.95</v>
      </c>
      <c r="CW1039" s="374">
        <f t="shared" si="1872"/>
        <v>0</v>
      </c>
      <c r="CX1039" s="374">
        <f t="shared" si="1873"/>
        <v>0</v>
      </c>
      <c r="CY1039" s="374">
        <f t="shared" si="1874"/>
        <v>0</v>
      </c>
      <c r="CZ1039" s="374">
        <f t="shared" si="1875"/>
        <v>230.21900000000002</v>
      </c>
      <c r="DA1039" s="374">
        <f t="shared" si="1876"/>
        <v>0</v>
      </c>
      <c r="DB1039" s="374">
        <f t="shared" si="1877"/>
        <v>0</v>
      </c>
      <c r="DC1039" s="374">
        <f t="shared" si="1878"/>
        <v>0</v>
      </c>
      <c r="DD1039" s="374">
        <f t="shared" si="1879"/>
        <v>-32.159999999999997</v>
      </c>
      <c r="DE1039" s="374">
        <f t="shared" si="1880"/>
        <v>-60</v>
      </c>
      <c r="DF1039" s="374">
        <f t="shared" si="1881"/>
        <v>0</v>
      </c>
      <c r="DG1039" s="1802">
        <f t="shared" si="1882"/>
        <v>0</v>
      </c>
      <c r="DH1039" s="104"/>
      <c r="DI1039" s="104"/>
      <c r="DJ1039" s="104"/>
      <c r="DK1039" s="104"/>
      <c r="DL1039" s="104"/>
      <c r="DM1039" s="104"/>
      <c r="DN1039" s="311"/>
      <c r="DO1039" s="226"/>
      <c r="DY1039" s="201"/>
      <c r="DZ1039" s="201"/>
    </row>
    <row r="1040" spans="1:130" ht="12" customHeight="1">
      <c r="A1040" s="981" t="s">
        <v>1042</v>
      </c>
      <c r="B1040" s="445"/>
      <c r="C1040" s="445"/>
      <c r="D1040" s="363">
        <v>-4.9000000000000004</v>
      </c>
      <c r="E1040" s="364">
        <f>-9.917-D1040</f>
        <v>-5.0169999999999995</v>
      </c>
      <c r="F1040" s="364">
        <f>-17.29-E1040-D1040</f>
        <v>-7.3729999999999993</v>
      </c>
      <c r="G1040" s="364">
        <f>-24.717-F1040-E1040-D1040</f>
        <v>-7.4270000000000014</v>
      </c>
      <c r="H1040" s="373">
        <f>SUM(D1040:G1040)</f>
        <v>-24.716999999999999</v>
      </c>
      <c r="I1040" s="364">
        <v>-7.452</v>
      </c>
      <c r="J1040" s="364">
        <f>-18.498-I1040</f>
        <v>-11.046000000000001</v>
      </c>
      <c r="K1040" s="364">
        <f>-29.578-J1040-I1040</f>
        <v>-11.079999999999997</v>
      </c>
      <c r="L1040" s="364">
        <f>-40.735-K1040-J1040-I1040</f>
        <v>-11.157000000000002</v>
      </c>
      <c r="M1040" s="373">
        <f>SUM(I1040:L1040)</f>
        <v>-40.734999999999999</v>
      </c>
      <c r="N1040" s="364">
        <v>-11.162000000000001</v>
      </c>
      <c r="O1040" s="364">
        <f>-23.269-N1040</f>
        <v>-12.106999999999998</v>
      </c>
      <c r="P1040" s="364">
        <f>-34.926-O1040-N1040</f>
        <v>-11.657000000000002</v>
      </c>
      <c r="Q1040" s="364">
        <f>-46.662-P1040-O1040-N1040</f>
        <v>-11.735999999999995</v>
      </c>
      <c r="R1040" s="373">
        <f>SUM(N1040:Q1040)</f>
        <v>-46.661999999999999</v>
      </c>
      <c r="S1040" s="364">
        <v>-11.77</v>
      </c>
      <c r="T1040" s="364">
        <f>-24.877-S1040</f>
        <v>-13.106999999999999</v>
      </c>
      <c r="U1040" s="364">
        <f>-38.033-T1040-S1040</f>
        <v>-13.156000000000002</v>
      </c>
      <c r="V1040" s="364">
        <f>-51.195-U1040-T1040-S1040</f>
        <v>-13.162000000000003</v>
      </c>
      <c r="W1040" s="373">
        <f>SUM(S1040:V1040)</f>
        <v>-51.195000000000007</v>
      </c>
      <c r="X1040" s="364">
        <v>-13.163</v>
      </c>
      <c r="Y1040" s="364">
        <f>-26.33-X1040</f>
        <v>-13.166999999999998</v>
      </c>
      <c r="Z1040" s="364">
        <f>-26.33-Y1040-X1040</f>
        <v>0</v>
      </c>
      <c r="AA1040" s="364">
        <f>-26.33-Z1040-Y1040-X1040</f>
        <v>0</v>
      </c>
      <c r="AB1040" s="373">
        <f>SUM(X1040:AA1040)</f>
        <v>-26.33</v>
      </c>
      <c r="AC1040" s="364">
        <v>0</v>
      </c>
      <c r="AD1040" s="364">
        <f>0-AC1040</f>
        <v>0</v>
      </c>
      <c r="AE1040" s="364">
        <f>0-AC1040-AD1040</f>
        <v>0</v>
      </c>
      <c r="AF1040" s="201"/>
      <c r="AG1040" s="373">
        <f>SUM(AC1040:AF1040)</f>
        <v>0</v>
      </c>
      <c r="AH1040" s="374">
        <v>0</v>
      </c>
      <c r="AI1040" s="374">
        <v>0</v>
      </c>
      <c r="AJ1040" s="374">
        <v>0</v>
      </c>
      <c r="AK1040" s="374">
        <v>0</v>
      </c>
      <c r="AL1040" s="373">
        <f>SUM(AH1040:AK1040)</f>
        <v>0</v>
      </c>
      <c r="AM1040" s="376">
        <v>0</v>
      </c>
      <c r="AN1040" s="376">
        <v>0</v>
      </c>
      <c r="AO1040" s="376">
        <v>0</v>
      </c>
      <c r="AP1040" s="374">
        <v>0</v>
      </c>
      <c r="AQ1040" s="373">
        <f>SUM(AM1040:AP1040)</f>
        <v>0</v>
      </c>
      <c r="AR1040" s="376">
        <v>0</v>
      </c>
      <c r="AS1040" s="376">
        <v>0</v>
      </c>
      <c r="AT1040" s="376">
        <v>0</v>
      </c>
      <c r="AU1040" s="374">
        <f>0-AR1040-AS1040-AT1040</f>
        <v>0</v>
      </c>
      <c r="AV1040" s="375">
        <f>SUM(AR1040:AU1040)</f>
        <v>0</v>
      </c>
      <c r="AW1040" s="376">
        <v>0</v>
      </c>
      <c r="AX1040" s="376">
        <v>0</v>
      </c>
      <c r="AY1040" s="376">
        <v>0</v>
      </c>
      <c r="AZ1040" s="376">
        <v>0</v>
      </c>
      <c r="BA1040" s="375">
        <f>SUM(AW1040:AZ1040)</f>
        <v>0</v>
      </c>
      <c r="BB1040" s="376">
        <v>0</v>
      </c>
      <c r="BC1040" s="376">
        <v>0</v>
      </c>
      <c r="BD1040" s="376">
        <v>0</v>
      </c>
      <c r="BE1040" s="366">
        <f>0-BD1040-BC1040-BB1040</f>
        <v>0</v>
      </c>
      <c r="BF1040" s="375">
        <f>SUM(BB1040:BE1040)</f>
        <v>0</v>
      </c>
      <c r="BG1040" s="2790">
        <v>0</v>
      </c>
      <c r="BH1040" s="376">
        <f>-BH102*BH99</f>
        <v>0</v>
      </c>
      <c r="BI1040" s="201">
        <f>-BI102*BI99</f>
        <v>0</v>
      </c>
      <c r="BJ1040" s="366">
        <f>0-BI1040-BH1040-BG1040</f>
        <v>0</v>
      </c>
      <c r="BK1040" s="375">
        <f>SUM(BG1040:BJ1040)</f>
        <v>0</v>
      </c>
      <c r="BL1040" s="201">
        <f>-BL102*BL99</f>
        <v>0</v>
      </c>
      <c r="BM1040" s="376">
        <f>-BM102*BM99</f>
        <v>0</v>
      </c>
      <c r="BN1040" s="201">
        <f>-BN102*BN99</f>
        <v>0</v>
      </c>
      <c r="BO1040" s="201">
        <f>-BO102*BO99</f>
        <v>0</v>
      </c>
      <c r="BP1040" s="375">
        <f>SUM(BL1040:BO1040)</f>
        <v>0</v>
      </c>
      <c r="BQ1040" s="201">
        <f>-BQ102*BQ99</f>
        <v>0</v>
      </c>
      <c r="BR1040" s="2736">
        <f>-BR102*BR99</f>
        <v>-5.7961500000000008</v>
      </c>
      <c r="BS1040" s="364">
        <f>-5.653-BR1040-BQ1040</f>
        <v>0.14315000000000122</v>
      </c>
      <c r="BT1040" s="201">
        <f>-BT102*BT99</f>
        <v>-5.7602500000000001</v>
      </c>
      <c r="BU1040" s="3325">
        <f>SUM(BQ1040:BT1040)</f>
        <v>-11.41325</v>
      </c>
      <c r="BV1040" s="201">
        <f>-BV102*BV99</f>
        <v>-5.7330168845315903</v>
      </c>
      <c r="BW1040" s="201">
        <f>-BW102*BW99</f>
        <v>-5.7063177517194248</v>
      </c>
      <c r="BX1040" s="201">
        <f>-BX102*BX99</f>
        <v>-5.68014213131534</v>
      </c>
      <c r="BY1040" s="201">
        <f>-BY102*BY99</f>
        <v>-5.6544797583701589</v>
      </c>
      <c r="BZ1040" s="3066">
        <f>SUM(BV1040:BY1040)</f>
        <v>-22.773956525936512</v>
      </c>
      <c r="CA1040" s="373">
        <f t="shared" ref="CA1040:CG1040" si="1934">-CA102*CA99</f>
        <v>-22.773956525936512</v>
      </c>
      <c r="CB1040" s="373">
        <f t="shared" si="1934"/>
        <v>-22.773956525936512</v>
      </c>
      <c r="CC1040" s="373">
        <f t="shared" si="1934"/>
        <v>0</v>
      </c>
      <c r="CD1040" s="373">
        <f t="shared" si="1934"/>
        <v>0</v>
      </c>
      <c r="CE1040" s="373">
        <f t="shared" si="1934"/>
        <v>0</v>
      </c>
      <c r="CF1040" s="373">
        <f t="shared" si="1934"/>
        <v>0</v>
      </c>
      <c r="CG1040" s="373">
        <f t="shared" si="1934"/>
        <v>0</v>
      </c>
      <c r="CH1040" s="201"/>
      <c r="CI1040" s="201"/>
      <c r="CJ1040" s="201"/>
      <c r="CK1040" s="201"/>
      <c r="CL1040" s="201"/>
      <c r="CM1040" s="965"/>
      <c r="CN1040" s="965">
        <f t="shared" si="1932"/>
        <v>-22.773956525936512</v>
      </c>
      <c r="CO1040" s="965">
        <f t="shared" si="1933"/>
        <v>22.773956525936512</v>
      </c>
      <c r="CP1040" s="981" t="str">
        <f t="shared" si="1865"/>
        <v>Cash dividends</v>
      </c>
      <c r="CQ1040" s="374">
        <f t="shared" si="1866"/>
        <v>-24.716999999999999</v>
      </c>
      <c r="CR1040" s="374">
        <f t="shared" si="1867"/>
        <v>-40.734999999999999</v>
      </c>
      <c r="CS1040" s="374">
        <f t="shared" si="1868"/>
        <v>-46.661999999999999</v>
      </c>
      <c r="CT1040" s="374">
        <f t="shared" si="1869"/>
        <v>-51.195000000000007</v>
      </c>
      <c r="CU1040" s="374">
        <f t="shared" si="1870"/>
        <v>-26.33</v>
      </c>
      <c r="CV1040" s="374">
        <f t="shared" si="1871"/>
        <v>0</v>
      </c>
      <c r="CW1040" s="374">
        <f t="shared" si="1872"/>
        <v>0</v>
      </c>
      <c r="CX1040" s="374">
        <f t="shared" si="1873"/>
        <v>0</v>
      </c>
      <c r="CY1040" s="374">
        <f t="shared" si="1874"/>
        <v>0</v>
      </c>
      <c r="CZ1040" s="374">
        <f t="shared" si="1875"/>
        <v>0</v>
      </c>
      <c r="DA1040" s="374">
        <f t="shared" si="1876"/>
        <v>0</v>
      </c>
      <c r="DB1040" s="374">
        <f t="shared" si="1877"/>
        <v>0</v>
      </c>
      <c r="DC1040" s="374">
        <f t="shared" si="1878"/>
        <v>0</v>
      </c>
      <c r="DD1040" s="374">
        <f t="shared" si="1879"/>
        <v>-11.41325</v>
      </c>
      <c r="DE1040" s="374">
        <f t="shared" si="1880"/>
        <v>-22.773956525936512</v>
      </c>
      <c r="DF1040" s="374">
        <f t="shared" si="1881"/>
        <v>-22.773956525936512</v>
      </c>
      <c r="DG1040" s="1802">
        <f t="shared" si="1882"/>
        <v>-22.773956525936512</v>
      </c>
      <c r="DH1040" s="104"/>
      <c r="DI1040" s="104"/>
      <c r="DJ1040" s="104"/>
      <c r="DK1040" s="104"/>
      <c r="DL1040" s="104"/>
      <c r="DM1040" s="104"/>
      <c r="DN1040" s="311"/>
      <c r="DO1040" s="226"/>
      <c r="DY1040" s="201"/>
      <c r="DZ1040" s="201"/>
    </row>
    <row r="1041" spans="1:130" ht="12" customHeight="1">
      <c r="A1041" s="981" t="s">
        <v>1790</v>
      </c>
      <c r="B1041" s="445"/>
      <c r="C1041" s="445"/>
      <c r="D1041" s="468">
        <v>0</v>
      </c>
      <c r="E1041" s="469">
        <v>0</v>
      </c>
      <c r="F1041" s="469">
        <v>0</v>
      </c>
      <c r="G1041" s="469">
        <f>-8.983-F1041-E1041-D1041</f>
        <v>-8.9830000000000005</v>
      </c>
      <c r="H1041" s="373">
        <f>SUM(D1041:G1041)</f>
        <v>-8.9830000000000005</v>
      </c>
      <c r="I1041" s="469">
        <v>0</v>
      </c>
      <c r="J1041" s="469">
        <f>-1.543-I1041</f>
        <v>-1.5429999999999999</v>
      </c>
      <c r="K1041" s="364">
        <f>0-J1041-I1041</f>
        <v>1.5429999999999999</v>
      </c>
      <c r="L1041" s="364">
        <f>-1.837-K1041-J1041-I1041</f>
        <v>-1.837</v>
      </c>
      <c r="M1041" s="373">
        <f>SUM(I1041:L1041)</f>
        <v>-1.837</v>
      </c>
      <c r="N1041" s="364">
        <v>1.3620000000000001</v>
      </c>
      <c r="O1041" s="364">
        <f>5.928-N1041</f>
        <v>4.5659999999999998</v>
      </c>
      <c r="P1041" s="364">
        <f>6.304-O1041-N1041</f>
        <v>0.37600000000000033</v>
      </c>
      <c r="Q1041" s="364">
        <f>0-P1041-O1041-N1041</f>
        <v>-6.3040000000000003</v>
      </c>
      <c r="R1041" s="373">
        <f>SUM(N1041:Q1041)</f>
        <v>0</v>
      </c>
      <c r="S1041" s="364">
        <v>1.47</v>
      </c>
      <c r="T1041" s="364">
        <f>0.989+4.178-S1041</f>
        <v>3.6970000000000001</v>
      </c>
      <c r="U1041" s="364">
        <f>5.718+4.651-T1041-S1041</f>
        <v>5.202</v>
      </c>
      <c r="V1041" s="364">
        <f>5.718-U1041-T1041-S1041</f>
        <v>-4.6509999999999998</v>
      </c>
      <c r="W1041" s="373">
        <f>SUM(S1041:V1041)</f>
        <v>5.718</v>
      </c>
      <c r="X1041" s="364">
        <v>0</v>
      </c>
      <c r="Y1041" s="364">
        <f>-0.334-X1041</f>
        <v>-0.33400000000000002</v>
      </c>
      <c r="Z1041" s="364">
        <f>-0.481-Y1041-X1041</f>
        <v>-0.14699999999999996</v>
      </c>
      <c r="AA1041" s="364">
        <f>0-Z1041-Y1041-X1041</f>
        <v>0.48099999999999998</v>
      </c>
      <c r="AB1041" s="373">
        <f>SUM(X1041:AA1041)</f>
        <v>0</v>
      </c>
      <c r="AC1041" s="364">
        <v>-0.14899999999999999</v>
      </c>
      <c r="AD1041" s="364">
        <f>-0.293-AC1041</f>
        <v>-0.14399999999999999</v>
      </c>
      <c r="AE1041" s="364">
        <f>-0.335-AC1041-AD1041</f>
        <v>-4.2000000000000037E-2</v>
      </c>
      <c r="AF1041" s="364">
        <f>-0.456-AE1041-AD1041-AC1041</f>
        <v>-0.12100000000000002</v>
      </c>
      <c r="AG1041" s="373">
        <f>SUM(AC1041:AF1041)</f>
        <v>-0.45600000000000007</v>
      </c>
      <c r="AH1041" s="376">
        <v>-7.0999999999999994E-2</v>
      </c>
      <c r="AI1041" s="376">
        <f>-15.602+0.089-AH1041</f>
        <v>-15.442</v>
      </c>
      <c r="AJ1041" s="376">
        <f>-120.176-5.688-AI1041-AH1041</f>
        <v>-110.351</v>
      </c>
      <c r="AK1041" s="376">
        <f>-37.872-46.875+18.091-1.194-123.422+0.17-AJ1041-AI1041-AH1041</f>
        <v>-65.238</v>
      </c>
      <c r="AL1041" s="373">
        <f>SUM(AH1041:AK1041)</f>
        <v>-191.102</v>
      </c>
      <c r="AM1041" s="376">
        <f>-0.511+4.428-0.079+0.012</f>
        <v>3.8499999999999996</v>
      </c>
      <c r="AN1041" s="376">
        <f>-0.181-0.101-AM1041</f>
        <v>-4.1319999999999997</v>
      </c>
      <c r="AO1041" s="376">
        <f>-1.283-27+5.615-AN1041-AM1041</f>
        <v>-22.386000000000003</v>
      </c>
      <c r="AP1041" s="376">
        <f>-15.374-8.198-27+7.199-0.592-0.675-AO1041-AN1041-AM1041</f>
        <v>-21.972000000000001</v>
      </c>
      <c r="AQ1041" s="373">
        <f>SUM(AM1041:AP1041)</f>
        <v>-44.64</v>
      </c>
      <c r="AR1041" s="376">
        <f>-0.044-0.062</f>
        <v>-0.106</v>
      </c>
      <c r="AS1041" s="376">
        <f>-10.246+1.935-0.501-0.243-AR1041</f>
        <v>-8.9489999999999998</v>
      </c>
      <c r="AT1041" s="376">
        <f>350-2.881+2.668-0.755-0.427-AR1041-AS1041</f>
        <v>357.66</v>
      </c>
      <c r="AU1041" s="376">
        <f>-65.083+3.374-0.928-0.627-AR1041-AS1041-AT1041</f>
        <v>-411.86900000000003</v>
      </c>
      <c r="AV1041" s="375">
        <f>SUM(AR1041:AU1041)</f>
        <v>-63.26400000000001</v>
      </c>
      <c r="AW1041" s="376">
        <f>0.694-0.05-10.814</f>
        <v>-10.17</v>
      </c>
      <c r="AX1041" s="376">
        <f>+-11.333+13.145-0.35-10.816-0.004-AW1041</f>
        <v>0.81199999999999939</v>
      </c>
      <c r="AY1041" s="376">
        <f>-36.396-0.354-AX1041-AW1041</f>
        <v>-27.391999999999996</v>
      </c>
      <c r="AZ1041" s="376">
        <f>-2.095-44.752-AW1041-AX1041-AY1041</f>
        <v>-10.097000000000001</v>
      </c>
      <c r="BA1041" s="375">
        <f>SUM(AW1041:AZ1041)</f>
        <v>-46.847000000000001</v>
      </c>
      <c r="BB1041" s="376">
        <f>-0.071+0.031-0.952+0.757-0.2</f>
        <v>-0.435</v>
      </c>
      <c r="BC1041" s="376">
        <f>+-0.088+0.904-0.201+0.031-BB1041</f>
        <v>1.081</v>
      </c>
      <c r="BD1041" s="376">
        <f>-0.289-0.201-0.095-BC1041-BB1041</f>
        <v>-1.2309999999999999</v>
      </c>
      <c r="BE1041" s="366">
        <f>-0.288-2.85+4.152-2.361+0.03-BD1041-BC1041-BB1041</f>
        <v>-0.73199999999999998</v>
      </c>
      <c r="BF1041" s="375">
        <f>SUM(BB1041:BE1041)</f>
        <v>-1.3169999999999999</v>
      </c>
      <c r="BG1041" s="363">
        <f>4.419-2.446</f>
        <v>1.9729999999999994</v>
      </c>
      <c r="BH1041" s="376">
        <f>-13.496+2.1-0.003-24.246-BG1041</f>
        <v>-37.617999999999995</v>
      </c>
      <c r="BI1041" s="364">
        <f>+-24.246-14.001+5.875-0.003-SUM(BG1041:BH1041)</f>
        <v>3.269999999999996</v>
      </c>
      <c r="BJ1041" s="366">
        <f>-14.004-657.813-24.246+3.689-BI1041-BH1041-BG1041</f>
        <v>-659.99900000000002</v>
      </c>
      <c r="BK1041" s="375">
        <f>SUM(BG1041:BJ1041)</f>
        <v>-692.37400000000002</v>
      </c>
      <c r="BL1041" s="364">
        <v>-1.387</v>
      </c>
      <c r="BM1041" s="376">
        <f>-0.104-BL1041</f>
        <v>1.2829999999999999</v>
      </c>
      <c r="BN1041" s="376">
        <f>-40.718-15.75+1.353-BM1041-BL1041+594.08</f>
        <v>539.06900000000007</v>
      </c>
      <c r="BO1041" s="376">
        <f>-42.22-700-15.75-1.295-0.045-BL1041-BM1041-BN1041</f>
        <v>-1298.2750000000001</v>
      </c>
      <c r="BP1041" s="375">
        <f>SUM(BL1041:BO1041)</f>
        <v>-759.31000000000006</v>
      </c>
      <c r="BQ1041" s="364">
        <f>-3.826-0.095</f>
        <v>-3.9210000000000003</v>
      </c>
      <c r="BR1041" s="376">
        <f>-2.796-0.095-0.375-BR1040-BQ1041</f>
        <v>6.4511500000000011</v>
      </c>
      <c r="BS1041" s="376">
        <f>-2.7-1.993+0.503-BR1041-BQ1041</f>
        <v>-6.7201500000000012</v>
      </c>
      <c r="BT1041" s="364">
        <v>0</v>
      </c>
      <c r="BU1041" s="3325">
        <f>SUM(BQ1041:BT1041)</f>
        <v>-4.1900000000000004</v>
      </c>
      <c r="BV1041" s="364">
        <v>0</v>
      </c>
      <c r="BW1041" s="364">
        <v>0</v>
      </c>
      <c r="BX1041" s="364">
        <v>0</v>
      </c>
      <c r="BY1041" s="364">
        <v>0</v>
      </c>
      <c r="BZ1041" s="3066">
        <f>SUM(BV1041:BY1041)</f>
        <v>0</v>
      </c>
      <c r="CA1041" s="432">
        <v>0</v>
      </c>
      <c r="CB1041" s="432">
        <v>0</v>
      </c>
      <c r="CC1041" s="432">
        <v>0</v>
      </c>
      <c r="CD1041" s="432">
        <v>0</v>
      </c>
      <c r="CE1041" s="432">
        <v>0</v>
      </c>
      <c r="CF1041" s="432">
        <v>0</v>
      </c>
      <c r="CG1041" s="432">
        <v>0</v>
      </c>
      <c r="CH1041" s="878"/>
      <c r="CI1041" s="878"/>
      <c r="CJ1041" s="878"/>
      <c r="CK1041" s="878"/>
      <c r="CL1041" s="878"/>
      <c r="CM1041" s="965"/>
      <c r="CN1041" s="965">
        <f t="shared" si="1932"/>
        <v>0</v>
      </c>
      <c r="CO1041" s="965">
        <f t="shared" si="1933"/>
        <v>0</v>
      </c>
      <c r="CP1041" s="981" t="str">
        <f t="shared" si="1865"/>
        <v>Other</v>
      </c>
      <c r="CQ1041" s="374">
        <f t="shared" si="1866"/>
        <v>-8.9830000000000005</v>
      </c>
      <c r="CR1041" s="374">
        <f t="shared" si="1867"/>
        <v>-1.837</v>
      </c>
      <c r="CS1041" s="374">
        <f t="shared" si="1868"/>
        <v>0</v>
      </c>
      <c r="CT1041" s="374">
        <f t="shared" si="1869"/>
        <v>5.718</v>
      </c>
      <c r="CU1041" s="374">
        <f t="shared" si="1870"/>
        <v>0</v>
      </c>
      <c r="CV1041" s="374">
        <f t="shared" si="1871"/>
        <v>-0.45600000000000007</v>
      </c>
      <c r="CW1041" s="374">
        <f t="shared" si="1872"/>
        <v>-191.102</v>
      </c>
      <c r="CX1041" s="374">
        <f t="shared" si="1873"/>
        <v>-44.64</v>
      </c>
      <c r="CY1041" s="374">
        <f t="shared" si="1874"/>
        <v>-63.26400000000001</v>
      </c>
      <c r="CZ1041" s="374">
        <f t="shared" si="1875"/>
        <v>-46.847000000000001</v>
      </c>
      <c r="DA1041" s="374">
        <f t="shared" si="1876"/>
        <v>-1.3169999999999999</v>
      </c>
      <c r="DB1041" s="374">
        <f t="shared" si="1877"/>
        <v>-692.37400000000002</v>
      </c>
      <c r="DC1041" s="374">
        <f t="shared" si="1878"/>
        <v>-759.31000000000006</v>
      </c>
      <c r="DD1041" s="374">
        <f t="shared" si="1879"/>
        <v>-4.1900000000000004</v>
      </c>
      <c r="DE1041" s="374">
        <f t="shared" si="1880"/>
        <v>0</v>
      </c>
      <c r="DF1041" s="374">
        <f t="shared" si="1881"/>
        <v>0</v>
      </c>
      <c r="DG1041" s="1802">
        <f t="shared" si="1882"/>
        <v>0</v>
      </c>
      <c r="DH1041" s="104"/>
      <c r="DI1041" s="104"/>
      <c r="DJ1041" s="104"/>
      <c r="DK1041" s="104"/>
      <c r="DL1041" s="104"/>
      <c r="DM1041" s="104"/>
      <c r="DN1041" s="311"/>
      <c r="DO1041" s="226"/>
      <c r="DY1041" s="201"/>
      <c r="DZ1041" s="201"/>
    </row>
    <row r="1042" spans="1:130" ht="12" customHeight="1">
      <c r="A1042" s="986" t="s">
        <v>1039</v>
      </c>
      <c r="B1042" s="992"/>
      <c r="C1042" s="992"/>
      <c r="D1042" s="498">
        <f t="shared" ref="D1042:I1042" si="1935">SUM(D1038:D1041)</f>
        <v>-29.035999999999987</v>
      </c>
      <c r="E1042" s="497">
        <f t="shared" si="1935"/>
        <v>203.66399999999999</v>
      </c>
      <c r="F1042" s="497">
        <f t="shared" si="1935"/>
        <v>894.35199999999998</v>
      </c>
      <c r="G1042" s="497">
        <f t="shared" si="1935"/>
        <v>109.21299999999992</v>
      </c>
      <c r="H1042" s="499">
        <f t="shared" si="1935"/>
        <v>1178.193</v>
      </c>
      <c r="I1042" s="497">
        <f t="shared" si="1935"/>
        <v>-49.705999999999989</v>
      </c>
      <c r="J1042" s="497">
        <f t="shared" ref="J1042:AV1042" si="1936">SUM(J1038:J1041)</f>
        <v>89.479999999999976</v>
      </c>
      <c r="K1042" s="497">
        <f t="shared" si="1936"/>
        <v>20.075000000000031</v>
      </c>
      <c r="L1042" s="497">
        <f t="shared" si="1936"/>
        <v>156.36899999999991</v>
      </c>
      <c r="M1042" s="499">
        <f t="shared" si="1936"/>
        <v>216.21799999999996</v>
      </c>
      <c r="N1042" s="497">
        <f t="shared" si="1936"/>
        <v>28.601000000000063</v>
      </c>
      <c r="O1042" s="497">
        <f t="shared" si="1936"/>
        <v>10.966999999999985</v>
      </c>
      <c r="P1042" s="497">
        <f t="shared" si="1936"/>
        <v>-45.919999999999973</v>
      </c>
      <c r="Q1042" s="497">
        <f t="shared" si="1936"/>
        <v>-431.8180000000001</v>
      </c>
      <c r="R1042" s="499">
        <f t="shared" si="1936"/>
        <v>-438.17</v>
      </c>
      <c r="S1042" s="497">
        <f t="shared" si="1936"/>
        <v>17.571000000000002</v>
      </c>
      <c r="T1042" s="497">
        <f t="shared" si="1936"/>
        <v>41.831000000000053</v>
      </c>
      <c r="U1042" s="497">
        <f t="shared" si="1936"/>
        <v>-13.177000000000026</v>
      </c>
      <c r="V1042" s="497">
        <f t="shared" si="1936"/>
        <v>46.633000000000052</v>
      </c>
      <c r="W1042" s="499">
        <f t="shared" si="1936"/>
        <v>92.858000000000089</v>
      </c>
      <c r="X1042" s="497">
        <f t="shared" si="1936"/>
        <v>78.611000000000018</v>
      </c>
      <c r="Y1042" s="497">
        <f t="shared" si="1936"/>
        <v>118.33899999999997</v>
      </c>
      <c r="Z1042" s="497">
        <f t="shared" si="1936"/>
        <v>137.77600000000001</v>
      </c>
      <c r="AA1042" s="497">
        <f t="shared" si="1936"/>
        <v>50.522000000000013</v>
      </c>
      <c r="AB1042" s="499">
        <f t="shared" si="1936"/>
        <v>385.24799999999999</v>
      </c>
      <c r="AC1042" s="497">
        <f t="shared" si="1936"/>
        <v>46.21299999999998</v>
      </c>
      <c r="AD1042" s="497">
        <f t="shared" si="1936"/>
        <v>-13.222000000000003</v>
      </c>
      <c r="AE1042" s="497">
        <f t="shared" si="1936"/>
        <v>-49.582000000000022</v>
      </c>
      <c r="AF1042" s="497">
        <f t="shared" si="1936"/>
        <v>-64.261999999999844</v>
      </c>
      <c r="AG1042" s="499">
        <f t="shared" si="1936"/>
        <v>-80.852999999999895</v>
      </c>
      <c r="AH1042" s="497">
        <f>SUM(AH1038:AH1041)</f>
        <v>-52.141999999999996</v>
      </c>
      <c r="AI1042" s="497">
        <f>SUM(AI1038:AI1041)</f>
        <v>-69.024000000000001</v>
      </c>
      <c r="AJ1042" s="497">
        <f>SUM(AJ1038:AJ1041)</f>
        <v>-81.546999999999827</v>
      </c>
      <c r="AK1042" s="497">
        <f>SUM(AK1038:AK1041)</f>
        <v>33.804999999999893</v>
      </c>
      <c r="AL1042" s="499">
        <f t="shared" si="1936"/>
        <v>-168.90799999999993</v>
      </c>
      <c r="AM1042" s="497">
        <f>SUM(AM1038:AM1041)</f>
        <v>-28.35</v>
      </c>
      <c r="AN1042" s="497">
        <f>SUM(AN1038:AN1041)</f>
        <v>-8.4100000000000339</v>
      </c>
      <c r="AO1042" s="497">
        <f>SUM(AO1038:AO1041)</f>
        <v>-41.858999999999988</v>
      </c>
      <c r="AP1042" s="497">
        <f>SUM(AP1038:AP1041)</f>
        <v>221.02899999999997</v>
      </c>
      <c r="AQ1042" s="499">
        <f t="shared" si="1936"/>
        <v>142.40999999999997</v>
      </c>
      <c r="AR1042" s="497">
        <f>SUM(AR1038:AR1041)</f>
        <v>-66.761999999999986</v>
      </c>
      <c r="AS1042" s="497">
        <f>SUM(AS1038:AS1041)</f>
        <v>207.75699999999995</v>
      </c>
      <c r="AT1042" s="497">
        <f>SUM(AT1038:AT1041)</f>
        <v>325.83500000000009</v>
      </c>
      <c r="AU1042" s="497">
        <f>SUM(AU1038:AU1041)</f>
        <v>839.95600000000024</v>
      </c>
      <c r="AV1042" s="499">
        <f t="shared" si="1936"/>
        <v>1306.7860000000001</v>
      </c>
      <c r="AW1042" s="497">
        <f t="shared" ref="AW1042:BF1042" si="1937">SUM(AW1038:AW1041)</f>
        <v>-56.658000000000015</v>
      </c>
      <c r="AX1042" s="497">
        <f t="shared" si="1937"/>
        <v>-272.44300000000004</v>
      </c>
      <c r="AY1042" s="497">
        <f t="shared" si="1937"/>
        <v>-47.518999999999693</v>
      </c>
      <c r="AZ1042" s="497">
        <f t="shared" si="1937"/>
        <v>10.409999999999663</v>
      </c>
      <c r="BA1042" s="499">
        <f t="shared" si="1937"/>
        <v>-366.21000000000004</v>
      </c>
      <c r="BB1042" s="497">
        <f t="shared" si="1937"/>
        <v>-54.935000000000016</v>
      </c>
      <c r="BC1042" s="497">
        <f t="shared" si="1937"/>
        <v>-46.335000000000022</v>
      </c>
      <c r="BD1042" s="497">
        <f t="shared" si="1937"/>
        <v>-69.837999999999937</v>
      </c>
      <c r="BE1042" s="497">
        <f t="shared" si="1937"/>
        <v>-4.268000000000078</v>
      </c>
      <c r="BF1042" s="499">
        <f t="shared" si="1937"/>
        <v>-175.37600000000006</v>
      </c>
      <c r="BG1042" s="497">
        <f t="shared" ref="BG1042:BP1042" si="1938">SUM(BG1038:BG1041)</f>
        <v>-57.229000000000021</v>
      </c>
      <c r="BH1042" s="497">
        <f t="shared" si="1938"/>
        <v>-64.227999999999867</v>
      </c>
      <c r="BI1042" s="497">
        <f t="shared" si="1938"/>
        <v>-57.068000000000197</v>
      </c>
      <c r="BJ1042" s="497">
        <f t="shared" si="1938"/>
        <v>-21.198999999999955</v>
      </c>
      <c r="BK1042" s="499">
        <f t="shared" si="1938"/>
        <v>-199.72400000000005</v>
      </c>
      <c r="BL1042" s="497">
        <f t="shared" si="1938"/>
        <v>409.642</v>
      </c>
      <c r="BM1042" s="497">
        <f t="shared" si="1938"/>
        <v>-31.357000000000042</v>
      </c>
      <c r="BN1042" s="497">
        <f t="shared" si="1938"/>
        <v>-120.79499999999973</v>
      </c>
      <c r="BO1042" s="497">
        <f t="shared" si="1938"/>
        <v>-356.73700000000031</v>
      </c>
      <c r="BP1042" s="499">
        <f t="shared" si="1938"/>
        <v>-99.247000000000185</v>
      </c>
      <c r="BQ1042" s="497">
        <f t="shared" ref="BQ1042:CG1042" si="1939">SUM(BQ1038:BQ1041)</f>
        <v>-24.172999999999998</v>
      </c>
      <c r="BR1042" s="497">
        <f t="shared" si="1939"/>
        <v>-84.701000000000064</v>
      </c>
      <c r="BS1042" s="497">
        <f t="shared" si="1939"/>
        <v>-88.039999999999935</v>
      </c>
      <c r="BT1042" s="497">
        <f t="shared" si="1939"/>
        <v>58.653750000000215</v>
      </c>
      <c r="BU1042" s="3435">
        <f t="shared" si="1939"/>
        <v>-138.26024999999979</v>
      </c>
      <c r="BV1042" s="497">
        <f t="shared" si="1939"/>
        <v>-23.85801688453159</v>
      </c>
      <c r="BW1042" s="497">
        <f t="shared" si="1939"/>
        <v>-23.831317751719425</v>
      </c>
      <c r="BX1042" s="497">
        <f t="shared" si="1939"/>
        <v>538.15285786868424</v>
      </c>
      <c r="BY1042" s="497">
        <f t="shared" si="1939"/>
        <v>-23.779479758370158</v>
      </c>
      <c r="BZ1042" s="499">
        <f t="shared" ref="BZ1042" si="1940">SUM(BZ1038:BZ1041)</f>
        <v>466.68404347406312</v>
      </c>
      <c r="CA1042" s="499">
        <f t="shared" si="1939"/>
        <v>-35.273956525936512</v>
      </c>
      <c r="CB1042" s="499">
        <f t="shared" si="1939"/>
        <v>-35.273956525936512</v>
      </c>
      <c r="CC1042" s="499">
        <f t="shared" si="1939"/>
        <v>-1290.3780000000002</v>
      </c>
      <c r="CD1042" s="499">
        <f t="shared" si="1939"/>
        <v>-21.5</v>
      </c>
      <c r="CE1042" s="499">
        <f t="shared" si="1939"/>
        <v>-21.5</v>
      </c>
      <c r="CF1042" s="499">
        <f t="shared" si="1939"/>
        <v>-21.5</v>
      </c>
      <c r="CG1042" s="499">
        <f t="shared" si="1939"/>
        <v>-21.5</v>
      </c>
      <c r="CH1042" s="621"/>
      <c r="CI1042" s="621"/>
      <c r="CJ1042" s="621"/>
      <c r="CK1042" s="621"/>
      <c r="CL1042" s="621"/>
      <c r="CM1042" s="965"/>
      <c r="CN1042" s="965">
        <f t="shared" si="1932"/>
        <v>466.68404347406306</v>
      </c>
      <c r="CO1042" s="965">
        <f t="shared" si="1933"/>
        <v>-466.68404347406306</v>
      </c>
      <c r="CP1042" s="986" t="str">
        <f t="shared" si="1865"/>
        <v>Cash from financing activities</v>
      </c>
      <c r="CQ1042" s="497">
        <f t="shared" si="1866"/>
        <v>1178.193</v>
      </c>
      <c r="CR1042" s="497">
        <f t="shared" si="1867"/>
        <v>216.21799999999996</v>
      </c>
      <c r="CS1042" s="497">
        <f t="shared" si="1868"/>
        <v>-438.17</v>
      </c>
      <c r="CT1042" s="497">
        <f t="shared" si="1869"/>
        <v>92.858000000000089</v>
      </c>
      <c r="CU1042" s="497">
        <f t="shared" si="1870"/>
        <v>385.24799999999999</v>
      </c>
      <c r="CV1042" s="497">
        <f t="shared" si="1871"/>
        <v>-80.852999999999895</v>
      </c>
      <c r="CW1042" s="497">
        <f t="shared" si="1872"/>
        <v>-168.90799999999993</v>
      </c>
      <c r="CX1042" s="497">
        <f t="shared" si="1873"/>
        <v>142.40999999999997</v>
      </c>
      <c r="CY1042" s="497">
        <f t="shared" si="1874"/>
        <v>1306.7860000000001</v>
      </c>
      <c r="CZ1042" s="497">
        <f t="shared" si="1875"/>
        <v>-366.21000000000004</v>
      </c>
      <c r="DA1042" s="497">
        <f t="shared" si="1876"/>
        <v>-175.37600000000006</v>
      </c>
      <c r="DB1042" s="497">
        <f t="shared" si="1877"/>
        <v>-199.72400000000005</v>
      </c>
      <c r="DC1042" s="497">
        <f t="shared" si="1878"/>
        <v>-99.247000000000185</v>
      </c>
      <c r="DD1042" s="497">
        <f t="shared" si="1879"/>
        <v>-138.26024999999979</v>
      </c>
      <c r="DE1042" s="497">
        <f t="shared" si="1880"/>
        <v>466.68404347406312</v>
      </c>
      <c r="DF1042" s="497">
        <f t="shared" si="1881"/>
        <v>-35.273956525936512</v>
      </c>
      <c r="DG1042" s="1921">
        <f t="shared" si="1882"/>
        <v>-35.273956525936512</v>
      </c>
      <c r="DH1042" s="620"/>
      <c r="DI1042" s="620"/>
      <c r="DJ1042" s="620"/>
      <c r="DK1042" s="620"/>
      <c r="DL1042" s="620"/>
      <c r="DM1042" s="620"/>
      <c r="DN1042" s="500"/>
      <c r="DO1042" s="537"/>
      <c r="DY1042" s="354"/>
      <c r="DZ1042" s="354"/>
    </row>
    <row r="1043" spans="1:130" ht="12" customHeight="1">
      <c r="A1043" s="912"/>
      <c r="B1043" s="319"/>
      <c r="C1043" s="319"/>
      <c r="D1043" s="468"/>
      <c r="E1043" s="469"/>
      <c r="F1043" s="469"/>
      <c r="G1043" s="469"/>
      <c r="H1043" s="470"/>
      <c r="I1043" s="469"/>
      <c r="J1043" s="469"/>
      <c r="K1043" s="469"/>
      <c r="L1043" s="469"/>
      <c r="M1043" s="470"/>
      <c r="N1043" s="469"/>
      <c r="O1043" s="469"/>
      <c r="P1043" s="469"/>
      <c r="Q1043" s="469"/>
      <c r="R1043" s="470"/>
      <c r="S1043" s="469"/>
      <c r="T1043" s="469"/>
      <c r="U1043" s="469"/>
      <c r="V1043" s="469"/>
      <c r="W1043" s="470"/>
      <c r="X1043" s="469"/>
      <c r="Y1043" s="469"/>
      <c r="Z1043" s="469"/>
      <c r="AA1043" s="469"/>
      <c r="AB1043" s="470"/>
      <c r="AC1043" s="469"/>
      <c r="AD1043" s="469"/>
      <c r="AE1043" s="469"/>
      <c r="AF1043" s="469"/>
      <c r="AG1043" s="470"/>
      <c r="AH1043" s="469"/>
      <c r="AI1043" s="469"/>
      <c r="AJ1043" s="469"/>
      <c r="AK1043" s="469"/>
      <c r="AL1043" s="470"/>
      <c r="AM1043" s="469"/>
      <c r="AN1043" s="469"/>
      <c r="AO1043" s="469"/>
      <c r="AP1043" s="469"/>
      <c r="AQ1043" s="470"/>
      <c r="AR1043" s="469"/>
      <c r="AS1043" s="469"/>
      <c r="AT1043" s="469"/>
      <c r="AU1043" s="469"/>
      <c r="AV1043" s="470"/>
      <c r="AW1043" s="469"/>
      <c r="AX1043" s="469"/>
      <c r="AY1043" s="469"/>
      <c r="AZ1043" s="469"/>
      <c r="BA1043" s="470"/>
      <c r="BB1043" s="469"/>
      <c r="BC1043" s="469"/>
      <c r="BD1043" s="469"/>
      <c r="BE1043" s="3140"/>
      <c r="BF1043" s="470"/>
      <c r="BG1043" s="468"/>
      <c r="BH1043" s="469"/>
      <c r="BI1043" s="469"/>
      <c r="BJ1043" s="3140"/>
      <c r="BK1043" s="470"/>
      <c r="BL1043" s="469"/>
      <c r="BM1043" s="469"/>
      <c r="BN1043" s="469"/>
      <c r="BO1043" s="2351"/>
      <c r="BP1043" s="470"/>
      <c r="BQ1043" s="469"/>
      <c r="BR1043" s="469"/>
      <c r="BS1043" s="469"/>
      <c r="BT1043" s="2351"/>
      <c r="BU1043" s="3322"/>
      <c r="BV1043" s="469"/>
      <c r="BW1043" s="469"/>
      <c r="BX1043" s="469"/>
      <c r="BY1043" s="2351"/>
      <c r="BZ1043" s="470"/>
      <c r="CA1043" s="470"/>
      <c r="CB1043" s="470"/>
      <c r="CC1043" s="470"/>
      <c r="CD1043" s="470"/>
      <c r="CE1043" s="470"/>
      <c r="CF1043" s="470"/>
      <c r="CG1043" s="470"/>
      <c r="CH1043" s="469"/>
      <c r="CI1043" s="469"/>
      <c r="CJ1043" s="469"/>
      <c r="CK1043" s="469"/>
      <c r="CL1043" s="469"/>
      <c r="CM1043" s="469"/>
      <c r="CN1043" s="469"/>
      <c r="CO1043" s="469"/>
      <c r="CP1043" s="912"/>
      <c r="CQ1043" s="465"/>
      <c r="CR1043" s="465"/>
      <c r="CS1043" s="465"/>
      <c r="CT1043" s="465"/>
      <c r="CU1043" s="465"/>
      <c r="CV1043" s="465"/>
      <c r="CW1043" s="465"/>
      <c r="CX1043" s="465"/>
      <c r="CY1043" s="465"/>
      <c r="CZ1043" s="465"/>
      <c r="DA1043" s="465"/>
      <c r="DB1043" s="465"/>
      <c r="DC1043" s="465"/>
      <c r="DD1043" s="465"/>
      <c r="DE1043" s="465"/>
      <c r="DF1043" s="465"/>
      <c r="DG1043" s="1797"/>
      <c r="DH1043" s="311"/>
      <c r="DI1043" s="311"/>
      <c r="DJ1043" s="311"/>
      <c r="DK1043" s="311"/>
      <c r="DL1043" s="311"/>
      <c r="DM1043" s="311"/>
      <c r="DN1043" s="311"/>
      <c r="DO1043" s="226"/>
      <c r="DY1043" s="469"/>
      <c r="DZ1043" s="469"/>
    </row>
    <row r="1044" spans="1:130" ht="12" hidden="1" customHeight="1" outlineLevel="1">
      <c r="A1044" s="3922" t="s">
        <v>1953</v>
      </c>
      <c r="B1044" s="222"/>
      <c r="C1044" s="222"/>
      <c r="D1044" s="468"/>
      <c r="E1044" s="469"/>
      <c r="F1044" s="469"/>
      <c r="G1044" s="469"/>
      <c r="H1044" s="470"/>
      <c r="I1044" s="469"/>
      <c r="J1044" s="469"/>
      <c r="K1044" s="469"/>
      <c r="L1044" s="469"/>
      <c r="M1044" s="470"/>
      <c r="N1044" s="469"/>
      <c r="O1044" s="469"/>
      <c r="P1044" s="469"/>
      <c r="Q1044" s="469">
        <v>0.67100000000000004</v>
      </c>
      <c r="R1044" s="466">
        <f>SUM(N1044:Q1044)</f>
        <v>0.67100000000000004</v>
      </c>
      <c r="S1044" s="469">
        <f>217.866-S1013</f>
        <v>1.5999999999999943</v>
      </c>
      <c r="T1044" s="469">
        <f>239.978-S1044-T1013-S1013</f>
        <v>0</v>
      </c>
      <c r="U1044" s="469">
        <f>271.806-T1044-S1044-U1013-T1013-S1013</f>
        <v>0</v>
      </c>
      <c r="V1044" s="469">
        <f>303.035-U1044-T1044-V1013-U1013-T1013-S1013-S1044</f>
        <v>5.6843418860808015E-14</v>
      </c>
      <c r="W1044" s="373">
        <f>SUM(S1044:V1044)</f>
        <v>1.6000000000000512</v>
      </c>
      <c r="X1044" s="469"/>
      <c r="Y1044" s="469"/>
      <c r="Z1044" s="469"/>
      <c r="AA1044" s="469"/>
      <c r="AB1044" s="470"/>
      <c r="AC1044" s="469"/>
      <c r="AD1044" s="469"/>
      <c r="AE1044" s="469"/>
      <c r="AF1044" s="469"/>
      <c r="AG1044" s="470"/>
      <c r="AH1044" s="469"/>
      <c r="AI1044" s="469"/>
      <c r="AJ1044" s="469"/>
      <c r="AK1044" s="469"/>
      <c r="AL1044" s="470"/>
      <c r="AM1044" s="469"/>
      <c r="AN1044" s="469"/>
      <c r="AO1044" s="469"/>
      <c r="AP1044" s="469"/>
      <c r="AQ1044" s="470"/>
      <c r="AR1044" s="469"/>
      <c r="AS1044" s="469"/>
      <c r="AT1044" s="469"/>
      <c r="AU1044" s="469"/>
      <c r="AV1044" s="470"/>
      <c r="AW1044" s="469"/>
      <c r="AX1044" s="469"/>
      <c r="AY1044" s="469"/>
      <c r="AZ1044" s="469"/>
      <c r="BA1044" s="470"/>
      <c r="BB1044" s="469"/>
      <c r="BC1044" s="469"/>
      <c r="BD1044" s="469"/>
      <c r="BE1044" s="469"/>
      <c r="BF1044" s="470"/>
      <c r="BG1044" s="468"/>
      <c r="BH1044" s="469"/>
      <c r="BI1044" s="469"/>
      <c r="BJ1044" s="469"/>
      <c r="BK1044" s="470"/>
      <c r="BL1044" s="469">
        <v>0</v>
      </c>
      <c r="BM1044" s="469">
        <v>0</v>
      </c>
      <c r="BN1044" s="469">
        <v>0</v>
      </c>
      <c r="BO1044" s="2351">
        <f>-27.796+598.057</f>
        <v>570.26099999999997</v>
      </c>
      <c r="BP1044" s="470">
        <f>SUM(BL1044:BO1044)</f>
        <v>570.26099999999997</v>
      </c>
      <c r="BQ1044" s="469">
        <v>0.375</v>
      </c>
      <c r="BR1044" s="469"/>
      <c r="BS1044" s="469">
        <f>0-BQ1044-BR1044</f>
        <v>-0.375</v>
      </c>
      <c r="BT1044" s="2351"/>
      <c r="BU1044" s="3322">
        <f>SUM(BQ1044:BT1044)</f>
        <v>0</v>
      </c>
      <c r="BV1044" s="469">
        <v>0</v>
      </c>
      <c r="BW1044" s="469">
        <v>0</v>
      </c>
      <c r="BX1044" s="469">
        <v>0</v>
      </c>
      <c r="BY1044" s="469">
        <v>0</v>
      </c>
      <c r="BZ1044" s="3322">
        <f>SUM(BV1044:BY1044)</f>
        <v>0</v>
      </c>
      <c r="CA1044" s="3942">
        <v>0</v>
      </c>
      <c r="CB1044" s="3942">
        <v>0</v>
      </c>
      <c r="CC1044" s="470"/>
      <c r="CD1044" s="470"/>
      <c r="CE1044" s="470"/>
      <c r="CF1044" s="470"/>
      <c r="CG1044" s="470"/>
      <c r="CH1044" s="469"/>
      <c r="CI1044" s="469"/>
      <c r="CJ1044" s="469"/>
      <c r="CK1044" s="469"/>
      <c r="CL1044" s="469"/>
      <c r="CM1044" s="965"/>
      <c r="CN1044" s="965">
        <f t="shared" ref="CN1044:CN1046" si="1941">SUM(BV1044:BY1044)</f>
        <v>0</v>
      </c>
      <c r="CO1044" s="965">
        <f t="shared" ref="CO1044:CO1046" si="1942">CM1044-CN1044</f>
        <v>0</v>
      </c>
      <c r="CP1044" s="912" t="str">
        <f t="shared" si="1865"/>
        <v>Adjustments</v>
      </c>
      <c r="CQ1044" s="465">
        <f t="shared" si="1866"/>
        <v>0</v>
      </c>
      <c r="CR1044" s="465">
        <f t="shared" si="1867"/>
        <v>0</v>
      </c>
      <c r="CS1044" s="465">
        <f t="shared" si="1868"/>
        <v>0.67100000000000004</v>
      </c>
      <c r="CT1044" s="465">
        <f t="shared" si="1869"/>
        <v>1.6000000000000512</v>
      </c>
      <c r="CU1044" s="465">
        <f t="shared" si="1870"/>
        <v>0</v>
      </c>
      <c r="CV1044" s="465">
        <f t="shared" si="1871"/>
        <v>0</v>
      </c>
      <c r="CW1044" s="465">
        <f t="shared" si="1872"/>
        <v>0</v>
      </c>
      <c r="CX1044" s="465">
        <f t="shared" si="1873"/>
        <v>0</v>
      </c>
      <c r="CY1044" s="465">
        <f t="shared" si="1874"/>
        <v>0</v>
      </c>
      <c r="CZ1044" s="465">
        <f t="shared" si="1875"/>
        <v>0</v>
      </c>
      <c r="DA1044" s="465">
        <f t="shared" si="1876"/>
        <v>0</v>
      </c>
      <c r="DB1044" s="465">
        <f t="shared" si="1877"/>
        <v>0</v>
      </c>
      <c r="DC1044" s="465">
        <f t="shared" si="1878"/>
        <v>570.26099999999997</v>
      </c>
      <c r="DD1044" s="465">
        <f t="shared" si="1879"/>
        <v>0</v>
      </c>
      <c r="DE1044" s="465">
        <f t="shared" si="1880"/>
        <v>0</v>
      </c>
      <c r="DF1044" s="465">
        <f t="shared" si="1881"/>
        <v>0</v>
      </c>
      <c r="DG1044" s="1797">
        <f t="shared" si="1882"/>
        <v>0</v>
      </c>
      <c r="DH1044" s="311"/>
      <c r="DI1044" s="311"/>
      <c r="DJ1044" s="311"/>
      <c r="DK1044" s="311"/>
      <c r="DL1044" s="311"/>
      <c r="DM1044" s="311"/>
      <c r="DN1044" s="311"/>
      <c r="DO1044" s="226"/>
      <c r="DY1044" s="469"/>
      <c r="DZ1044" s="469"/>
    </row>
    <row r="1045" spans="1:130" ht="12" hidden="1" customHeight="1" outlineLevel="1">
      <c r="A1045" s="912"/>
      <c r="B1045" s="222"/>
      <c r="C1045" s="222"/>
      <c r="D1045" s="468"/>
      <c r="E1045" s="469"/>
      <c r="F1045" s="469"/>
      <c r="G1045" s="469"/>
      <c r="H1045" s="470"/>
      <c r="I1045" s="469"/>
      <c r="J1045" s="469"/>
      <c r="K1045" s="469"/>
      <c r="L1045" s="469"/>
      <c r="M1045" s="470"/>
      <c r="N1045" s="469"/>
      <c r="O1045" s="469"/>
      <c r="P1045" s="469"/>
      <c r="Q1045" s="469"/>
      <c r="R1045" s="470"/>
      <c r="S1045" s="469"/>
      <c r="T1045" s="469"/>
      <c r="U1045" s="469"/>
      <c r="V1045" s="469"/>
      <c r="W1045" s="470"/>
      <c r="X1045" s="469"/>
      <c r="Y1045" s="469"/>
      <c r="Z1045" s="469"/>
      <c r="AA1045" s="469"/>
      <c r="AB1045" s="470"/>
      <c r="AC1045" s="469"/>
      <c r="AD1045" s="469"/>
      <c r="AE1045" s="469"/>
      <c r="AF1045" s="469"/>
      <c r="AG1045" s="470"/>
      <c r="AH1045" s="469"/>
      <c r="AI1045" s="469"/>
      <c r="AJ1045" s="469"/>
      <c r="AK1045" s="469"/>
      <c r="AL1045" s="470"/>
      <c r="AM1045" s="469"/>
      <c r="AN1045" s="469"/>
      <c r="AO1045" s="469"/>
      <c r="AP1045" s="469"/>
      <c r="AQ1045" s="470"/>
      <c r="AR1045" s="469"/>
      <c r="AS1045" s="469"/>
      <c r="AT1045" s="469"/>
      <c r="AU1045" s="469"/>
      <c r="AV1045" s="470"/>
      <c r="AW1045" s="469"/>
      <c r="AX1045" s="469"/>
      <c r="AY1045" s="469"/>
      <c r="AZ1045" s="469"/>
      <c r="BA1045" s="470"/>
      <c r="BB1045" s="469"/>
      <c r="BC1045" s="469"/>
      <c r="BD1045" s="469"/>
      <c r="BE1045" s="469"/>
      <c r="BF1045" s="470"/>
      <c r="BG1045" s="468"/>
      <c r="BH1045" s="469"/>
      <c r="BI1045" s="469"/>
      <c r="BJ1045" s="469"/>
      <c r="BK1045" s="470"/>
      <c r="BL1045" s="469"/>
      <c r="BM1045" s="469"/>
      <c r="BN1045" s="469"/>
      <c r="BO1045" s="2351"/>
      <c r="BP1045" s="470"/>
      <c r="BQ1045" s="469"/>
      <c r="BR1045" s="469"/>
      <c r="BS1045" s="469"/>
      <c r="BT1045" s="2351"/>
      <c r="BU1045" s="3322"/>
      <c r="BV1045" s="469"/>
      <c r="BW1045" s="469"/>
      <c r="BX1045" s="469"/>
      <c r="BY1045" s="469"/>
      <c r="BZ1045" s="3322"/>
      <c r="CA1045" s="470"/>
      <c r="CB1045" s="470"/>
      <c r="CC1045" s="470"/>
      <c r="CD1045" s="470"/>
      <c r="CE1045" s="470"/>
      <c r="CF1045" s="470"/>
      <c r="CG1045" s="470"/>
      <c r="CH1045" s="469"/>
      <c r="CI1045" s="469"/>
      <c r="CJ1045" s="469"/>
      <c r="CK1045" s="469"/>
      <c r="CL1045" s="469"/>
      <c r="CM1045" s="965"/>
      <c r="CN1045" s="965">
        <f t="shared" si="1941"/>
        <v>0</v>
      </c>
      <c r="CO1045" s="965">
        <f t="shared" si="1942"/>
        <v>0</v>
      </c>
      <c r="CP1045" s="912"/>
      <c r="CQ1045" s="465"/>
      <c r="CR1045" s="465"/>
      <c r="CS1045" s="465"/>
      <c r="CT1045" s="465"/>
      <c r="CU1045" s="465"/>
      <c r="CV1045" s="465"/>
      <c r="CW1045" s="465"/>
      <c r="CX1045" s="465"/>
      <c r="CY1045" s="465"/>
      <c r="CZ1045" s="465"/>
      <c r="DA1045" s="465"/>
      <c r="DB1045" s="465"/>
      <c r="DC1045" s="465"/>
      <c r="DD1045" s="465"/>
      <c r="DE1045" s="465"/>
      <c r="DF1045" s="465"/>
      <c r="DG1045" s="1797"/>
      <c r="DH1045" s="311"/>
      <c r="DI1045" s="311"/>
      <c r="DJ1045" s="311"/>
      <c r="DK1045" s="311"/>
      <c r="DL1045" s="311"/>
      <c r="DM1045" s="311"/>
      <c r="DN1045" s="311"/>
      <c r="DO1045" s="226"/>
      <c r="DY1045" s="469"/>
      <c r="DZ1045" s="469"/>
    </row>
    <row r="1046" spans="1:130" ht="12" customHeight="1" collapsed="1">
      <c r="A1046" s="996" t="s">
        <v>1231</v>
      </c>
      <c r="B1046" s="844"/>
      <c r="C1046" s="844"/>
      <c r="D1046" s="733">
        <f t="shared" ref="D1046:I1046" si="1943">D1028+D1035+D1042+D1044</f>
        <v>-14.374999999999996</v>
      </c>
      <c r="E1046" s="883">
        <f t="shared" si="1943"/>
        <v>10.712000000000018</v>
      </c>
      <c r="F1046" s="883">
        <f t="shared" si="1943"/>
        <v>40.629000000000019</v>
      </c>
      <c r="G1046" s="883">
        <f t="shared" si="1943"/>
        <v>35.543999999999897</v>
      </c>
      <c r="H1046" s="886">
        <f t="shared" si="1943"/>
        <v>72.510000000000218</v>
      </c>
      <c r="I1046" s="883">
        <f t="shared" si="1943"/>
        <v>-23.905000000000001</v>
      </c>
      <c r="J1046" s="883">
        <f t="shared" ref="J1046:AP1046" si="1944">J1028+J1035+J1042+J1044</f>
        <v>12.002999999999929</v>
      </c>
      <c r="K1046" s="883">
        <f t="shared" si="1944"/>
        <v>-8.97199999999998</v>
      </c>
      <c r="L1046" s="883">
        <f t="shared" si="1944"/>
        <v>48.556999999999988</v>
      </c>
      <c r="M1046" s="886">
        <f t="shared" si="1944"/>
        <v>27.682999999999993</v>
      </c>
      <c r="N1046" s="883">
        <f t="shared" si="1944"/>
        <v>-10.954999999999949</v>
      </c>
      <c r="O1046" s="883">
        <f t="shared" si="1944"/>
        <v>-8.1089999999999876</v>
      </c>
      <c r="P1046" s="883">
        <f t="shared" si="1944"/>
        <v>0.89299999999995805</v>
      </c>
      <c r="Q1046" s="883">
        <f t="shared" si="1944"/>
        <v>-0.83800000000018504</v>
      </c>
      <c r="R1046" s="886">
        <f t="shared" si="1944"/>
        <v>-19.009000000000121</v>
      </c>
      <c r="S1046" s="883">
        <f t="shared" si="1944"/>
        <v>-12.325000000000127</v>
      </c>
      <c r="T1046" s="883">
        <f t="shared" si="1944"/>
        <v>2.3100000000001231</v>
      </c>
      <c r="U1046" s="883">
        <f t="shared" si="1944"/>
        <v>-6.5370000000000541</v>
      </c>
      <c r="V1046" s="883">
        <f t="shared" si="1944"/>
        <v>12.856000000000051</v>
      </c>
      <c r="W1046" s="886">
        <f t="shared" si="1944"/>
        <v>-3.6960000000000264</v>
      </c>
      <c r="X1046" s="883">
        <f t="shared" si="1944"/>
        <v>-13.172999999999959</v>
      </c>
      <c r="Y1046" s="883">
        <f t="shared" si="1944"/>
        <v>-3.7910000000000679</v>
      </c>
      <c r="Z1046" s="883">
        <f t="shared" si="1944"/>
        <v>-25.163999999999959</v>
      </c>
      <c r="AA1046" s="883">
        <f t="shared" si="1944"/>
        <v>-25.420999999999857</v>
      </c>
      <c r="AB1046" s="886">
        <f t="shared" si="1944"/>
        <v>-67.548999999999808</v>
      </c>
      <c r="AC1046" s="883">
        <f t="shared" si="1944"/>
        <v>1.5999999999984027E-2</v>
      </c>
      <c r="AD1046" s="883">
        <f t="shared" si="1944"/>
        <v>-4.5219999999999931</v>
      </c>
      <c r="AE1046" s="883">
        <f t="shared" si="1944"/>
        <v>-4.5850000000000222</v>
      </c>
      <c r="AF1046" s="883">
        <f>AF1028+AF1035+AF1042+AF1044</f>
        <v>4.1410000000001759</v>
      </c>
      <c r="AG1046" s="886">
        <f t="shared" si="1944"/>
        <v>-4.9499999999998749</v>
      </c>
      <c r="AH1046" s="883">
        <f t="shared" si="1944"/>
        <v>14.999999999999986</v>
      </c>
      <c r="AI1046" s="883">
        <f t="shared" si="1944"/>
        <v>-8.0289999999999822</v>
      </c>
      <c r="AJ1046" s="883">
        <f t="shared" si="1944"/>
        <v>-7.4979999999998341</v>
      </c>
      <c r="AK1046" s="883">
        <f t="shared" si="1944"/>
        <v>52.947999999999865</v>
      </c>
      <c r="AL1046" s="886">
        <f>AL1028+AL1035+AL1042+AL1044</f>
        <v>52.421000000000049</v>
      </c>
      <c r="AM1046" s="883">
        <f t="shared" si="1944"/>
        <v>28.225000000000001</v>
      </c>
      <c r="AN1046" s="883">
        <f t="shared" si="1944"/>
        <v>1.9319999999999666</v>
      </c>
      <c r="AO1046" s="883">
        <f t="shared" si="1944"/>
        <v>11.338000000000015</v>
      </c>
      <c r="AP1046" s="883">
        <f t="shared" si="1944"/>
        <v>-8.3620000000000516</v>
      </c>
      <c r="AQ1046" s="886">
        <f t="shared" ref="AQ1046:BF1046" si="1945">AQ1028+AQ1035+AQ1042+AQ1044</f>
        <v>33.132999999999953</v>
      </c>
      <c r="AR1046" s="883">
        <f t="shared" si="1945"/>
        <v>-22.041999999999987</v>
      </c>
      <c r="AS1046" s="883">
        <f t="shared" si="1945"/>
        <v>203.74099999999993</v>
      </c>
      <c r="AT1046" s="883">
        <f t="shared" si="1945"/>
        <v>-16.683999999999912</v>
      </c>
      <c r="AU1046" s="883">
        <f t="shared" si="1945"/>
        <v>-150.94299999999998</v>
      </c>
      <c r="AV1046" s="886">
        <f t="shared" si="1945"/>
        <v>14.071999999999889</v>
      </c>
      <c r="AW1046" s="883">
        <f t="shared" si="1945"/>
        <v>165.52599999999995</v>
      </c>
      <c r="AX1046" s="883">
        <f t="shared" si="1945"/>
        <v>-175.74200000000002</v>
      </c>
      <c r="AY1046" s="883">
        <f t="shared" si="1945"/>
        <v>-16.808999999999699</v>
      </c>
      <c r="AZ1046" s="883">
        <f t="shared" si="1945"/>
        <v>12.034999999999698</v>
      </c>
      <c r="BA1046" s="886">
        <f t="shared" si="1945"/>
        <v>-14.990000000000009</v>
      </c>
      <c r="BB1046" s="883">
        <f t="shared" si="1945"/>
        <v>-14.960000000000022</v>
      </c>
      <c r="BC1046" s="883">
        <f t="shared" si="1945"/>
        <v>-0.36599999999999966</v>
      </c>
      <c r="BD1046" s="883">
        <f t="shared" si="1945"/>
        <v>-41.601999999999947</v>
      </c>
      <c r="BE1046" s="883">
        <f t="shared" si="1945"/>
        <v>24.430999999999891</v>
      </c>
      <c r="BF1046" s="886">
        <f t="shared" si="1945"/>
        <v>-32.497000000000071</v>
      </c>
      <c r="BG1046" s="883">
        <f t="shared" ref="BG1046:BP1046" si="1946">BG1028+BG1035+BG1042+BG1044</f>
        <v>-14.544000000000018</v>
      </c>
      <c r="BH1046" s="883">
        <f t="shared" si="1946"/>
        <v>-6.2739999999998659</v>
      </c>
      <c r="BI1046" s="883">
        <f t="shared" si="1946"/>
        <v>0.52199999999986346</v>
      </c>
      <c r="BJ1046" s="883">
        <f t="shared" si="1946"/>
        <v>33.775999999999982</v>
      </c>
      <c r="BK1046" s="886">
        <f t="shared" si="1946"/>
        <v>13.479999999999961</v>
      </c>
      <c r="BL1046" s="883">
        <f t="shared" si="1946"/>
        <v>457.38</v>
      </c>
      <c r="BM1046" s="883">
        <f>BM1028+BM1035+BM1042+BM1044</f>
        <v>12.076999999999941</v>
      </c>
      <c r="BN1046" s="883">
        <f t="shared" si="1946"/>
        <v>-468.58999999999975</v>
      </c>
      <c r="BO1046" s="883">
        <f t="shared" si="1946"/>
        <v>34.173999999999637</v>
      </c>
      <c r="BP1046" s="886">
        <f t="shared" si="1946"/>
        <v>35.040999999999826</v>
      </c>
      <c r="BQ1046" s="883">
        <f t="shared" ref="BQ1046:BU1046" si="1947">BQ1028+BQ1035+BQ1042+BQ1044</f>
        <v>-26.854999999999986</v>
      </c>
      <c r="BR1046" s="883">
        <f>BR1028+BR1035+BR1042+BR1044</f>
        <v>-4.0440000000000538</v>
      </c>
      <c r="BS1046" s="883">
        <f t="shared" si="1947"/>
        <v>-4.1309999999999718</v>
      </c>
      <c r="BT1046" s="883">
        <f t="shared" si="1947"/>
        <v>44.268000000000143</v>
      </c>
      <c r="BU1046" s="3436">
        <f t="shared" si="1947"/>
        <v>9.2380000000001417</v>
      </c>
      <c r="BV1046" s="883">
        <f t="shared" ref="BV1046:BZ1046" si="1948">BV1028+BV1035+BV1042+BV1044</f>
        <v>95.249418501798246</v>
      </c>
      <c r="BW1046" s="883">
        <f t="shared" si="1948"/>
        <v>50.716110985853064</v>
      </c>
      <c r="BX1046" s="883">
        <f t="shared" si="1948"/>
        <v>-224.38679431729804</v>
      </c>
      <c r="BY1046" s="883">
        <f t="shared" si="1948"/>
        <v>81.899946891017763</v>
      </c>
      <c r="BZ1046" s="3436">
        <f t="shared" si="1948"/>
        <v>3.4786820613709892</v>
      </c>
      <c r="CA1046" s="886">
        <f t="shared" ref="CA1046:CG1046" si="1949">CA1028+CA1035+CA1042+CA1044</f>
        <v>359.6978911464476</v>
      </c>
      <c r="CB1046" s="886">
        <f t="shared" si="1949"/>
        <v>364.65433136309599</v>
      </c>
      <c r="CC1046" s="886">
        <f t="shared" si="1949"/>
        <v>-1410.7457425746777</v>
      </c>
      <c r="CD1046" s="886">
        <f t="shared" si="1949"/>
        <v>-174.69833185129261</v>
      </c>
      <c r="CE1046" s="886">
        <f t="shared" si="1949"/>
        <v>-159.9924072954696</v>
      </c>
      <c r="CF1046" s="886">
        <f t="shared" si="1949"/>
        <v>-144.86797850338061</v>
      </c>
      <c r="CG1046" s="886">
        <f t="shared" si="1949"/>
        <v>-129.31527252659936</v>
      </c>
      <c r="CH1046" s="883"/>
      <c r="CI1046" s="883"/>
      <c r="CJ1046" s="883"/>
      <c r="CK1046" s="883"/>
      <c r="CL1046" s="883"/>
      <c r="CM1046" s="965"/>
      <c r="CN1046" s="965">
        <f t="shared" si="1941"/>
        <v>3.4786820613710319</v>
      </c>
      <c r="CO1046" s="965">
        <f t="shared" si="1942"/>
        <v>-3.4786820613710319</v>
      </c>
      <c r="CP1046" s="996" t="str">
        <f t="shared" si="1865"/>
        <v>Net Increase in Cash &amp; Equivalents</v>
      </c>
      <c r="CQ1046" s="883">
        <f t="shared" si="1866"/>
        <v>72.510000000000218</v>
      </c>
      <c r="CR1046" s="883">
        <f t="shared" si="1867"/>
        <v>27.682999999999993</v>
      </c>
      <c r="CS1046" s="883">
        <f t="shared" si="1868"/>
        <v>-19.009000000000121</v>
      </c>
      <c r="CT1046" s="883">
        <f t="shared" si="1869"/>
        <v>-3.6960000000000264</v>
      </c>
      <c r="CU1046" s="883">
        <f t="shared" si="1870"/>
        <v>-67.548999999999808</v>
      </c>
      <c r="CV1046" s="883">
        <f t="shared" si="1871"/>
        <v>-4.9499999999998749</v>
      </c>
      <c r="CW1046" s="883">
        <f t="shared" si="1872"/>
        <v>52.421000000000049</v>
      </c>
      <c r="CX1046" s="883">
        <f t="shared" si="1873"/>
        <v>33.132999999999953</v>
      </c>
      <c r="CY1046" s="883">
        <f t="shared" si="1874"/>
        <v>14.071999999999889</v>
      </c>
      <c r="CZ1046" s="883">
        <f t="shared" si="1875"/>
        <v>-14.990000000000009</v>
      </c>
      <c r="DA1046" s="883">
        <f t="shared" si="1876"/>
        <v>-32.497000000000071</v>
      </c>
      <c r="DB1046" s="883">
        <f t="shared" si="1877"/>
        <v>13.479999999999961</v>
      </c>
      <c r="DC1046" s="883">
        <f t="shared" si="1878"/>
        <v>35.040999999999826</v>
      </c>
      <c r="DD1046" s="883">
        <f t="shared" si="1879"/>
        <v>9.2380000000001417</v>
      </c>
      <c r="DE1046" s="883">
        <f t="shared" si="1880"/>
        <v>3.4786820613709892</v>
      </c>
      <c r="DF1046" s="883">
        <f t="shared" si="1881"/>
        <v>359.6978911464476</v>
      </c>
      <c r="DG1046" s="1923">
        <f t="shared" si="1882"/>
        <v>364.65433136309599</v>
      </c>
      <c r="DH1046" s="883"/>
      <c r="DI1046" s="883"/>
      <c r="DJ1046" s="883"/>
      <c r="DK1046" s="883"/>
      <c r="DL1046" s="883"/>
      <c r="DM1046" s="883"/>
      <c r="DN1046" s="883"/>
      <c r="DO1046" s="887"/>
      <c r="DY1046" s="883"/>
      <c r="DZ1046" s="883"/>
    </row>
    <row r="1047" spans="1:130" ht="12" customHeight="1">
      <c r="A1047" s="993" t="s">
        <v>694</v>
      </c>
      <c r="B1047" s="875"/>
      <c r="C1047" s="875"/>
      <c r="D1047" s="363">
        <v>88.212999999999994</v>
      </c>
      <c r="E1047" s="201">
        <f>D1053</f>
        <v>73.837999999999994</v>
      </c>
      <c r="F1047" s="201">
        <f>E1053</f>
        <v>84.550000000000011</v>
      </c>
      <c r="G1047" s="201">
        <f>F1053</f>
        <v>125.17900000000003</v>
      </c>
      <c r="H1047" s="373">
        <f>D1047</f>
        <v>88.212999999999994</v>
      </c>
      <c r="I1047" s="201">
        <f>H1053</f>
        <v>160.72300000000021</v>
      </c>
      <c r="J1047" s="201">
        <f>I1053</f>
        <v>136.81800000000021</v>
      </c>
      <c r="K1047" s="201">
        <f>J1053</f>
        <v>148.82100000000014</v>
      </c>
      <c r="L1047" s="201">
        <f>K1053</f>
        <v>139.84900000000016</v>
      </c>
      <c r="M1047" s="373">
        <f>H1053</f>
        <v>160.72300000000021</v>
      </c>
      <c r="N1047" s="201">
        <f>M1053</f>
        <v>188.40600000000015</v>
      </c>
      <c r="O1047" s="201">
        <f>N1053</f>
        <v>177.45100000000019</v>
      </c>
      <c r="P1047" s="201">
        <f>O1053</f>
        <v>169.34200000000021</v>
      </c>
      <c r="Q1047" s="201">
        <f>P1053</f>
        <v>170.23500000000018</v>
      </c>
      <c r="R1047" s="373">
        <f>M1053</f>
        <v>188.40600000000015</v>
      </c>
      <c r="S1047" s="201">
        <f>R1053</f>
        <v>169.39699999999999</v>
      </c>
      <c r="T1047" s="201">
        <f>S1053</f>
        <v>157.07199999999986</v>
      </c>
      <c r="U1047" s="201">
        <f>T1053</f>
        <v>159.38199999999998</v>
      </c>
      <c r="V1047" s="201">
        <f>U1053</f>
        <v>152.84499999999991</v>
      </c>
      <c r="W1047" s="373">
        <f>R1053</f>
        <v>169.39699999999999</v>
      </c>
      <c r="X1047" s="201">
        <f>W1053</f>
        <v>165.70099999999996</v>
      </c>
      <c r="Y1047" s="201">
        <f>X1053</f>
        <v>152.52800000000002</v>
      </c>
      <c r="Z1047" s="201">
        <f>Y1053</f>
        <v>148.73699999999997</v>
      </c>
      <c r="AA1047" s="201">
        <f>Z1053</f>
        <v>123.57300000000001</v>
      </c>
      <c r="AB1047" s="373">
        <f>W1053</f>
        <v>165.70099999999996</v>
      </c>
      <c r="AC1047" s="201">
        <f>AB1053</f>
        <v>98.152000000000157</v>
      </c>
      <c r="AD1047" s="201">
        <f>AC1053</f>
        <v>98.168000000000148</v>
      </c>
      <c r="AE1047" s="201">
        <f>AD1053</f>
        <v>93.646000000000157</v>
      </c>
      <c r="AF1047" s="201">
        <f>AE1053</f>
        <v>89.061000000000135</v>
      </c>
      <c r="AG1047" s="373">
        <f>AB1053</f>
        <v>98.152000000000157</v>
      </c>
      <c r="AH1047" s="374">
        <f>AG1053</f>
        <v>93.202000000000311</v>
      </c>
      <c r="AI1047" s="374">
        <f>AH1053</f>
        <v>108.2020000000003</v>
      </c>
      <c r="AJ1047" s="374">
        <f>AI1053</f>
        <v>100.17300000000031</v>
      </c>
      <c r="AK1047" s="374">
        <f>AJ1053</f>
        <v>92.67500000000048</v>
      </c>
      <c r="AL1047" s="375">
        <f>AG1053</f>
        <v>93.202000000000311</v>
      </c>
      <c r="AM1047" s="374">
        <f>AL1053</f>
        <v>145.62300000000036</v>
      </c>
      <c r="AN1047" s="374">
        <f>AM1053</f>
        <v>173.84800000000035</v>
      </c>
      <c r="AO1047" s="374">
        <f>AN1053</f>
        <v>175.78000000000031</v>
      </c>
      <c r="AP1047" s="374">
        <f>AO1053</f>
        <v>187.11800000000034</v>
      </c>
      <c r="AQ1047" s="375">
        <f>AL1053</f>
        <v>145.62300000000036</v>
      </c>
      <c r="AR1047" s="374">
        <f>AQ1053</f>
        <v>178.75600000000031</v>
      </c>
      <c r="AS1047" s="374">
        <f>AR1053</f>
        <v>156.71400000000034</v>
      </c>
      <c r="AT1047" s="374">
        <f>AS1053</f>
        <v>360.45500000000027</v>
      </c>
      <c r="AU1047" s="374">
        <f>AT1053</f>
        <v>343.77100000000036</v>
      </c>
      <c r="AV1047" s="375">
        <f>AQ1053</f>
        <v>178.75600000000031</v>
      </c>
      <c r="AW1047" s="374">
        <f>AV1053</f>
        <v>192.8280000000002</v>
      </c>
      <c r="AX1047" s="374">
        <f>AW1053</f>
        <v>358.35400000000016</v>
      </c>
      <c r="AY1047" s="374">
        <f>AX1053</f>
        <v>182.61200000000014</v>
      </c>
      <c r="AZ1047" s="374">
        <f>AY1053</f>
        <v>165.80300000000045</v>
      </c>
      <c r="BA1047" s="375">
        <f>AV1053</f>
        <v>192.8280000000002</v>
      </c>
      <c r="BB1047" s="374">
        <f>BA1053</f>
        <v>177.83800000000019</v>
      </c>
      <c r="BC1047" s="374">
        <f>BB1053</f>
        <v>162.87800000000016</v>
      </c>
      <c r="BD1047" s="374">
        <f>BC1053</f>
        <v>162.51200000000017</v>
      </c>
      <c r="BE1047" s="374">
        <f>BD1053</f>
        <v>120.91000000000022</v>
      </c>
      <c r="BF1047" s="375">
        <f>BA1053</f>
        <v>177.83800000000019</v>
      </c>
      <c r="BG1047" s="374">
        <f>BF1053</f>
        <v>145.34100000000012</v>
      </c>
      <c r="BH1047" s="374">
        <f>BG1053</f>
        <v>130.79700000000011</v>
      </c>
      <c r="BI1047" s="374">
        <f>BH1053</f>
        <v>124.52300000000025</v>
      </c>
      <c r="BJ1047" s="374">
        <f>BI1053</f>
        <v>125.04500000000012</v>
      </c>
      <c r="BK1047" s="375">
        <f>BF1053</f>
        <v>145.34100000000012</v>
      </c>
      <c r="BL1047" s="374">
        <f>BK1053</f>
        <v>158.82100000000008</v>
      </c>
      <c r="BM1047" s="374">
        <f>BL1053</f>
        <v>616.20100000000002</v>
      </c>
      <c r="BN1047" s="374">
        <f>BM1053</f>
        <v>628.27800000000002</v>
      </c>
      <c r="BO1047" s="374">
        <f>BN1053</f>
        <v>159.68800000000027</v>
      </c>
      <c r="BP1047" s="375">
        <f>BK1053</f>
        <v>158.82100000000008</v>
      </c>
      <c r="BQ1047" s="374">
        <f>BP1053</f>
        <v>193.86199999999991</v>
      </c>
      <c r="BR1047" s="374">
        <f>BQ1053</f>
        <v>167.00699999999992</v>
      </c>
      <c r="BS1047" s="374">
        <f>BR1053</f>
        <v>162.96299999999985</v>
      </c>
      <c r="BT1047" s="374">
        <f>BS1053</f>
        <v>158.83199999999988</v>
      </c>
      <c r="BU1047" s="3325">
        <f>BP1053</f>
        <v>193.86199999999991</v>
      </c>
      <c r="BV1047" s="374">
        <f>BU1053</f>
        <v>203.10000000000005</v>
      </c>
      <c r="BW1047" s="374">
        <f t="shared" ref="BW1047:BY1047" si="1950">BV1053</f>
        <v>298.34941850179831</v>
      </c>
      <c r="BX1047" s="374">
        <f t="shared" si="1950"/>
        <v>349.06552948765136</v>
      </c>
      <c r="BY1047" s="374">
        <f t="shared" si="1950"/>
        <v>124.67873517035332</v>
      </c>
      <c r="BZ1047" s="3325">
        <f>BU1053</f>
        <v>203.10000000000005</v>
      </c>
      <c r="CA1047" s="375">
        <f t="shared" ref="CA1047:CG1047" si="1951">BZ1053</f>
        <v>206.57868206137104</v>
      </c>
      <c r="CB1047" s="375">
        <f t="shared" si="1951"/>
        <v>566.27657320781861</v>
      </c>
      <c r="CC1047" s="375">
        <f t="shared" si="1951"/>
        <v>930.93090457091466</v>
      </c>
      <c r="CD1047" s="375">
        <f t="shared" si="1951"/>
        <v>0</v>
      </c>
      <c r="CE1047" s="375">
        <f t="shared" si="1951"/>
        <v>0</v>
      </c>
      <c r="CF1047" s="375">
        <f t="shared" si="1951"/>
        <v>0</v>
      </c>
      <c r="CG1047" s="375">
        <f t="shared" si="1951"/>
        <v>0</v>
      </c>
      <c r="CH1047" s="878"/>
      <c r="CI1047" s="878"/>
      <c r="CJ1047" s="878"/>
      <c r="CK1047" s="878"/>
      <c r="CL1047" s="878"/>
      <c r="CM1047" s="965"/>
      <c r="CN1047" s="965"/>
      <c r="CO1047" s="965"/>
      <c r="CP1047" s="993" t="str">
        <f t="shared" si="1865"/>
        <v>Cash &amp; Equivalents - Beginning</v>
      </c>
      <c r="CQ1047" s="374">
        <f t="shared" si="1866"/>
        <v>88.212999999999994</v>
      </c>
      <c r="CR1047" s="374">
        <f t="shared" si="1867"/>
        <v>160.72300000000021</v>
      </c>
      <c r="CS1047" s="374">
        <f t="shared" si="1868"/>
        <v>188.40600000000015</v>
      </c>
      <c r="CT1047" s="374">
        <f t="shared" si="1869"/>
        <v>169.39699999999999</v>
      </c>
      <c r="CU1047" s="374">
        <f t="shared" si="1870"/>
        <v>165.70099999999996</v>
      </c>
      <c r="CV1047" s="374">
        <f t="shared" si="1871"/>
        <v>98.152000000000157</v>
      </c>
      <c r="CW1047" s="374">
        <f t="shared" si="1872"/>
        <v>93.202000000000311</v>
      </c>
      <c r="CX1047" s="374">
        <f t="shared" si="1873"/>
        <v>145.62300000000036</v>
      </c>
      <c r="CY1047" s="374">
        <f t="shared" si="1874"/>
        <v>178.75600000000031</v>
      </c>
      <c r="CZ1047" s="374">
        <f t="shared" si="1875"/>
        <v>192.8280000000002</v>
      </c>
      <c r="DA1047" s="374">
        <f t="shared" si="1876"/>
        <v>177.83800000000019</v>
      </c>
      <c r="DB1047" s="374">
        <f t="shared" si="1877"/>
        <v>145.34100000000012</v>
      </c>
      <c r="DC1047" s="374">
        <f t="shared" si="1878"/>
        <v>158.82100000000008</v>
      </c>
      <c r="DD1047" s="374">
        <f t="shared" si="1879"/>
        <v>193.86199999999991</v>
      </c>
      <c r="DE1047" s="374">
        <f t="shared" si="1880"/>
        <v>203.10000000000005</v>
      </c>
      <c r="DF1047" s="374">
        <f t="shared" si="1881"/>
        <v>206.57868206137104</v>
      </c>
      <c r="DG1047" s="1802">
        <f t="shared" si="1882"/>
        <v>566.27657320781861</v>
      </c>
      <c r="DH1047" s="104"/>
      <c r="DI1047" s="379"/>
      <c r="DJ1047" s="379"/>
      <c r="DK1047" s="379"/>
      <c r="DL1047" s="379"/>
      <c r="DM1047" s="379"/>
      <c r="DN1047" s="500"/>
      <c r="DO1047" s="537"/>
      <c r="DY1047" s="201"/>
      <c r="DZ1047" s="201"/>
    </row>
    <row r="1048" spans="1:130" ht="12" customHeight="1">
      <c r="A1048" s="381" t="s">
        <v>1174</v>
      </c>
      <c r="B1048" s="2206"/>
      <c r="C1048" s="2206"/>
      <c r="D1048" s="1582">
        <f t="shared" ref="D1048:L1048" si="1952">D1046+D1047</f>
        <v>73.837999999999994</v>
      </c>
      <c r="E1048" s="980">
        <f t="shared" si="1952"/>
        <v>84.550000000000011</v>
      </c>
      <c r="F1048" s="980">
        <f t="shared" si="1952"/>
        <v>125.17900000000003</v>
      </c>
      <c r="G1048" s="980">
        <f t="shared" si="1952"/>
        <v>160.72299999999993</v>
      </c>
      <c r="H1048" s="979">
        <f t="shared" si="1952"/>
        <v>160.72300000000021</v>
      </c>
      <c r="I1048" s="980">
        <f t="shared" si="1952"/>
        <v>136.81800000000021</v>
      </c>
      <c r="J1048" s="980">
        <f t="shared" si="1952"/>
        <v>148.82100000000014</v>
      </c>
      <c r="K1048" s="980">
        <f t="shared" si="1952"/>
        <v>139.84900000000016</v>
      </c>
      <c r="L1048" s="980">
        <f t="shared" si="1952"/>
        <v>188.40600000000015</v>
      </c>
      <c r="M1048" s="979">
        <f>L1048</f>
        <v>188.40600000000015</v>
      </c>
      <c r="N1048" s="980">
        <f>N1046+N1047</f>
        <v>177.45100000000019</v>
      </c>
      <c r="O1048" s="980">
        <f>O1046+O1047</f>
        <v>169.34200000000021</v>
      </c>
      <c r="P1048" s="980">
        <f>P1046+P1047</f>
        <v>170.23500000000018</v>
      </c>
      <c r="Q1048" s="980">
        <f>Q1046+Q1047</f>
        <v>169.39699999999999</v>
      </c>
      <c r="R1048" s="979">
        <f>Q1048</f>
        <v>169.39699999999999</v>
      </c>
      <c r="S1048" s="980">
        <f>S1046+S1047</f>
        <v>157.07199999999986</v>
      </c>
      <c r="T1048" s="980">
        <f>T1046+T1047</f>
        <v>159.38199999999998</v>
      </c>
      <c r="U1048" s="980">
        <f>U1046+U1047</f>
        <v>152.84499999999991</v>
      </c>
      <c r="V1048" s="980">
        <f>V1046+V1047</f>
        <v>165.70099999999996</v>
      </c>
      <c r="W1048" s="979">
        <f>V1048</f>
        <v>165.70099999999996</v>
      </c>
      <c r="X1048" s="980">
        <f>X1046+X1047</f>
        <v>152.52800000000002</v>
      </c>
      <c r="Y1048" s="980">
        <f>Y1046+Y1047</f>
        <v>148.73699999999997</v>
      </c>
      <c r="Z1048" s="980">
        <f>Z1046+Z1047</f>
        <v>123.57300000000001</v>
      </c>
      <c r="AA1048" s="980">
        <f>AA1046+AA1047</f>
        <v>98.152000000000157</v>
      </c>
      <c r="AB1048" s="979">
        <f>AA1048</f>
        <v>98.152000000000157</v>
      </c>
      <c r="AC1048" s="980">
        <f>AC1046+AC1047</f>
        <v>98.168000000000148</v>
      </c>
      <c r="AD1048" s="980">
        <f>AD1046+AD1047</f>
        <v>93.646000000000157</v>
      </c>
      <c r="AE1048" s="980">
        <f>AE1046+AE1047</f>
        <v>89.061000000000135</v>
      </c>
      <c r="AF1048" s="980">
        <f>AF1046+AF1047</f>
        <v>93.202000000000311</v>
      </c>
      <c r="AG1048" s="979">
        <f>AF1048</f>
        <v>93.202000000000311</v>
      </c>
      <c r="AH1048" s="980">
        <f t="shared" ref="AH1048:AR1048" si="1953">AH1046+AH1047</f>
        <v>108.2020000000003</v>
      </c>
      <c r="AI1048" s="980">
        <f t="shared" si="1953"/>
        <v>100.17300000000031</v>
      </c>
      <c r="AJ1048" s="980">
        <f t="shared" si="1953"/>
        <v>92.67500000000048</v>
      </c>
      <c r="AK1048" s="980">
        <f t="shared" si="1953"/>
        <v>145.62300000000033</v>
      </c>
      <c r="AL1048" s="979">
        <f t="shared" si="1953"/>
        <v>145.62300000000036</v>
      </c>
      <c r="AM1048" s="980">
        <f t="shared" si="1953"/>
        <v>173.84800000000035</v>
      </c>
      <c r="AN1048" s="980">
        <f t="shared" si="1953"/>
        <v>175.78000000000031</v>
      </c>
      <c r="AO1048" s="980">
        <f t="shared" si="1953"/>
        <v>187.11800000000034</v>
      </c>
      <c r="AP1048" s="980">
        <f t="shared" si="1953"/>
        <v>178.75600000000028</v>
      </c>
      <c r="AQ1048" s="979">
        <f t="shared" si="1953"/>
        <v>178.75600000000031</v>
      </c>
      <c r="AR1048" s="980">
        <f t="shared" si="1953"/>
        <v>156.71400000000034</v>
      </c>
      <c r="AS1048" s="980">
        <f t="shared" ref="AS1048:CB1048" si="1954">AS1046+AS1047</f>
        <v>360.45500000000027</v>
      </c>
      <c r="AT1048" s="980">
        <f t="shared" si="1954"/>
        <v>343.77100000000036</v>
      </c>
      <c r="AU1048" s="980">
        <f t="shared" si="1954"/>
        <v>192.82800000000037</v>
      </c>
      <c r="AV1048" s="979">
        <f t="shared" si="1954"/>
        <v>192.8280000000002</v>
      </c>
      <c r="AW1048" s="980">
        <f t="shared" si="1954"/>
        <v>358.35400000000016</v>
      </c>
      <c r="AX1048" s="980">
        <f t="shared" si="1954"/>
        <v>182.61200000000014</v>
      </c>
      <c r="AY1048" s="980">
        <f t="shared" si="1954"/>
        <v>165.80300000000045</v>
      </c>
      <c r="AZ1048" s="980">
        <f>AZ1046+AZ1047</f>
        <v>177.83800000000014</v>
      </c>
      <c r="BA1048" s="979">
        <f>BA1046+BA1047</f>
        <v>177.83800000000019</v>
      </c>
      <c r="BB1048" s="980">
        <f t="shared" si="1954"/>
        <v>162.87800000000016</v>
      </c>
      <c r="BC1048" s="980">
        <f t="shared" si="1954"/>
        <v>162.51200000000017</v>
      </c>
      <c r="BD1048" s="980">
        <f t="shared" si="1954"/>
        <v>120.91000000000022</v>
      </c>
      <c r="BE1048" s="980">
        <f t="shared" si="1954"/>
        <v>145.34100000000012</v>
      </c>
      <c r="BF1048" s="979">
        <f t="shared" si="1954"/>
        <v>145.34100000000012</v>
      </c>
      <c r="BG1048" s="980">
        <f>BG1046+BG1047</f>
        <v>130.79700000000011</v>
      </c>
      <c r="BH1048" s="980">
        <f>BH1046+BH1047</f>
        <v>124.52300000000025</v>
      </c>
      <c r="BI1048" s="980">
        <f>BI1046+BI1047</f>
        <v>125.04500000000012</v>
      </c>
      <c r="BJ1048" s="980">
        <f>BJ1046+BJ1047</f>
        <v>158.82100000000008</v>
      </c>
      <c r="BK1048" s="979">
        <f t="shared" si="1954"/>
        <v>158.82100000000008</v>
      </c>
      <c r="BL1048" s="980">
        <f t="shared" ref="BL1048:BT1048" si="1955">BL1046+BL1047</f>
        <v>616.20100000000002</v>
      </c>
      <c r="BM1048" s="980">
        <f t="shared" si="1955"/>
        <v>628.27800000000002</v>
      </c>
      <c r="BN1048" s="980">
        <f t="shared" si="1955"/>
        <v>159.68800000000027</v>
      </c>
      <c r="BO1048" s="980">
        <f t="shared" si="1955"/>
        <v>193.86199999999991</v>
      </c>
      <c r="BP1048" s="979">
        <f t="shared" si="1955"/>
        <v>193.86199999999991</v>
      </c>
      <c r="BQ1048" s="980">
        <f t="shared" si="1955"/>
        <v>167.00699999999992</v>
      </c>
      <c r="BR1048" s="980">
        <f t="shared" si="1955"/>
        <v>162.96299999999985</v>
      </c>
      <c r="BS1048" s="980">
        <f t="shared" si="1955"/>
        <v>158.83199999999988</v>
      </c>
      <c r="BT1048" s="980">
        <f t="shared" si="1955"/>
        <v>203.10000000000002</v>
      </c>
      <c r="BU1048" s="3353">
        <f>BU1046+BU1047</f>
        <v>203.10000000000005</v>
      </c>
      <c r="BV1048" s="980">
        <f t="shared" ref="BV1048:BY1048" si="1956">BV1046+BV1047</f>
        <v>298.34941850179831</v>
      </c>
      <c r="BW1048" s="980">
        <f t="shared" si="1956"/>
        <v>349.06552948765136</v>
      </c>
      <c r="BX1048" s="980">
        <f t="shared" si="1956"/>
        <v>124.67873517035332</v>
      </c>
      <c r="BY1048" s="980">
        <f t="shared" si="1956"/>
        <v>206.57868206137107</v>
      </c>
      <c r="BZ1048" s="3353">
        <f>BZ1046+BZ1047</f>
        <v>206.57868206137104</v>
      </c>
      <c r="CA1048" s="979">
        <f t="shared" si="1954"/>
        <v>566.27657320781861</v>
      </c>
      <c r="CB1048" s="979">
        <f t="shared" si="1954"/>
        <v>930.93090457091466</v>
      </c>
      <c r="CC1048" s="979">
        <f>CC1046+CC1047</f>
        <v>-479.81483800376304</v>
      </c>
      <c r="CD1048" s="979">
        <f>CD1046+CD1047</f>
        <v>-174.69833185129261</v>
      </c>
      <c r="CE1048" s="979">
        <f>CE1046+CE1047</f>
        <v>-159.9924072954696</v>
      </c>
      <c r="CF1048" s="979">
        <f>CF1046+CF1047</f>
        <v>-144.86797850338061</v>
      </c>
      <c r="CG1048" s="979">
        <f>CG1046+CG1047</f>
        <v>-129.31527252659936</v>
      </c>
      <c r="CH1048" s="620"/>
      <c r="CI1048" s="620"/>
      <c r="CJ1048" s="620"/>
      <c r="CK1048" s="620"/>
      <c r="CL1048" s="620"/>
      <c r="CM1048" s="965"/>
      <c r="CN1048" s="965"/>
      <c r="CO1048" s="965"/>
      <c r="CP1048" s="381" t="str">
        <f t="shared" si="1865"/>
        <v>Cash &amp; Equivalents - Ending</v>
      </c>
      <c r="CQ1048" s="980">
        <f t="shared" si="1866"/>
        <v>160.72300000000021</v>
      </c>
      <c r="CR1048" s="980">
        <f t="shared" si="1867"/>
        <v>188.40600000000015</v>
      </c>
      <c r="CS1048" s="980">
        <f t="shared" si="1868"/>
        <v>169.39699999999999</v>
      </c>
      <c r="CT1048" s="980">
        <f t="shared" si="1869"/>
        <v>165.70099999999996</v>
      </c>
      <c r="CU1048" s="980">
        <f t="shared" si="1870"/>
        <v>98.152000000000157</v>
      </c>
      <c r="CV1048" s="980">
        <f t="shared" si="1871"/>
        <v>93.202000000000311</v>
      </c>
      <c r="CW1048" s="980">
        <f t="shared" si="1872"/>
        <v>145.62300000000036</v>
      </c>
      <c r="CX1048" s="980">
        <f t="shared" si="1873"/>
        <v>178.75600000000031</v>
      </c>
      <c r="CY1048" s="980">
        <f t="shared" si="1874"/>
        <v>192.8280000000002</v>
      </c>
      <c r="CZ1048" s="980">
        <f t="shared" si="1875"/>
        <v>177.83800000000019</v>
      </c>
      <c r="DA1048" s="980">
        <f t="shared" si="1876"/>
        <v>145.34100000000012</v>
      </c>
      <c r="DB1048" s="980">
        <f t="shared" si="1877"/>
        <v>158.82100000000008</v>
      </c>
      <c r="DC1048" s="980">
        <f t="shared" si="1878"/>
        <v>193.86199999999991</v>
      </c>
      <c r="DD1048" s="980">
        <f t="shared" si="1879"/>
        <v>203.10000000000005</v>
      </c>
      <c r="DE1048" s="980">
        <f t="shared" si="1880"/>
        <v>206.57868206137104</v>
      </c>
      <c r="DF1048" s="980">
        <f t="shared" si="1881"/>
        <v>566.27657320781861</v>
      </c>
      <c r="DG1048" s="1837">
        <f t="shared" si="1882"/>
        <v>930.93090457091466</v>
      </c>
      <c r="DH1048" s="620"/>
      <c r="DI1048" s="620"/>
      <c r="DJ1048" s="620"/>
      <c r="DK1048" s="620"/>
      <c r="DL1048" s="620"/>
      <c r="DM1048" s="620"/>
      <c r="DN1048" s="620"/>
      <c r="DO1048" s="401"/>
      <c r="DY1048" s="352"/>
      <c r="DZ1048" s="352"/>
    </row>
    <row r="1049" spans="1:130" ht="12" customHeight="1">
      <c r="A1049" s="222"/>
      <c r="B1049" s="222"/>
      <c r="C1049" s="222"/>
      <c r="D1049" s="360"/>
      <c r="E1049" s="871"/>
      <c r="F1049" s="871"/>
      <c r="G1049" s="871"/>
      <c r="H1049" s="304"/>
      <c r="I1049" s="305"/>
      <c r="J1049" s="871"/>
      <c r="K1049" s="871"/>
      <c r="L1049" s="871"/>
      <c r="M1049" s="304"/>
      <c r="N1049" s="305"/>
      <c r="O1049" s="871"/>
      <c r="P1049" s="871"/>
      <c r="Q1049" s="871"/>
      <c r="R1049" s="304"/>
      <c r="S1049" s="305"/>
      <c r="T1049" s="871"/>
      <c r="U1049" s="871"/>
      <c r="V1049" s="871"/>
      <c r="W1049" s="304"/>
      <c r="X1049" s="871"/>
      <c r="Y1049" s="871"/>
      <c r="Z1049" s="871"/>
      <c r="AA1049" s="871"/>
      <c r="AB1049" s="305"/>
      <c r="AC1049" s="871"/>
      <c r="AD1049" s="871"/>
      <c r="AE1049" s="871"/>
      <c r="AF1049" s="871"/>
      <c r="AG1049" s="305"/>
      <c r="AH1049" s="305"/>
      <c r="AI1049" s="305"/>
      <c r="AJ1049" s="305"/>
      <c r="AK1049" s="305"/>
      <c r="AL1049" s="305"/>
      <c r="AM1049" s="305"/>
      <c r="AN1049" s="305"/>
      <c r="AO1049" s="305"/>
      <c r="AP1049" s="305"/>
      <c r="AQ1049" s="305"/>
      <c r="AR1049" s="305"/>
      <c r="AS1049" s="305"/>
      <c r="AT1049" s="305"/>
      <c r="AU1049" s="305"/>
      <c r="AV1049" s="305"/>
      <c r="AW1049" s="305"/>
      <c r="AX1049" s="305"/>
      <c r="AY1049" s="305"/>
      <c r="AZ1049" s="305"/>
      <c r="BA1049" s="305"/>
      <c r="BB1049" s="305"/>
      <c r="BC1049" s="305"/>
      <c r="BD1049" s="305"/>
      <c r="BE1049" s="3139"/>
      <c r="BF1049" s="305"/>
      <c r="BG1049" s="305"/>
      <c r="BH1049" s="305"/>
      <c r="BI1049" s="305"/>
      <c r="BJ1049" s="305"/>
      <c r="BK1049" s="305"/>
      <c r="BL1049" s="305"/>
      <c r="BM1049" s="305"/>
      <c r="BN1049" s="305"/>
      <c r="BO1049" s="305"/>
      <c r="BP1049" s="305"/>
      <c r="BQ1049" s="305"/>
      <c r="BR1049" s="872"/>
      <c r="BS1049" s="872"/>
      <c r="BT1049" s="305"/>
      <c r="BU1049" s="3437"/>
      <c r="BV1049" s="305"/>
      <c r="BW1049" s="305"/>
      <c r="BX1049" s="305"/>
      <c r="BY1049" s="305"/>
      <c r="BZ1049" s="3015"/>
      <c r="CA1049" s="305"/>
      <c r="CB1049" s="305"/>
      <c r="CC1049" s="305"/>
      <c r="CD1049" s="305"/>
      <c r="CE1049" s="305"/>
      <c r="CF1049" s="305"/>
      <c r="CG1049" s="305"/>
      <c r="CH1049" s="305"/>
      <c r="CI1049" s="305"/>
      <c r="CJ1049" s="305"/>
      <c r="CK1049" s="305"/>
      <c r="CL1049" s="305"/>
      <c r="CM1049" s="305"/>
      <c r="CN1049" s="305"/>
      <c r="CO1049" s="305"/>
      <c r="CP1049" s="222"/>
      <c r="CQ1049" s="222"/>
      <c r="CR1049" s="222"/>
      <c r="CS1049" s="222"/>
      <c r="CT1049" s="222"/>
      <c r="CU1049" s="222"/>
      <c r="CV1049" s="222"/>
      <c r="CW1049" s="222"/>
      <c r="CX1049" s="222"/>
      <c r="CY1049" s="222"/>
      <c r="CZ1049" s="222"/>
      <c r="DA1049" s="222"/>
      <c r="DB1049" s="222"/>
      <c r="DC1049" s="222"/>
      <c r="DD1049" s="222"/>
      <c r="DE1049" s="222"/>
      <c r="DF1049" s="222"/>
      <c r="DG1049" s="222"/>
      <c r="DH1049" s="222"/>
      <c r="DI1049" s="222"/>
      <c r="DJ1049" s="222"/>
      <c r="DK1049" s="222"/>
      <c r="DL1049" s="222"/>
      <c r="DM1049" s="222"/>
      <c r="DN1049" s="222"/>
      <c r="DO1049" s="226"/>
      <c r="DY1049" s="305"/>
      <c r="DZ1049" s="305"/>
    </row>
    <row r="1050" spans="1:130" ht="12" customHeight="1">
      <c r="A1050" s="1005"/>
      <c r="B1050" s="233"/>
      <c r="C1050" s="233"/>
      <c r="D1050" s="278"/>
      <c r="E1050" s="890"/>
      <c r="F1050" s="890"/>
      <c r="G1050" s="890"/>
      <c r="H1050" s="304"/>
      <c r="I1050" s="279"/>
      <c r="J1050" s="890"/>
      <c r="K1050" s="890"/>
      <c r="L1050" s="890"/>
      <c r="M1050" s="687"/>
      <c r="N1050" s="279"/>
      <c r="O1050" s="890"/>
      <c r="P1050" s="890"/>
      <c r="Q1050" s="890"/>
      <c r="R1050" s="687"/>
      <c r="S1050" s="279"/>
      <c r="T1050" s="890"/>
      <c r="U1050" s="890"/>
      <c r="V1050" s="890"/>
      <c r="W1050" s="687"/>
      <c r="X1050" s="890"/>
      <c r="Y1050" s="890"/>
      <c r="Z1050" s="890"/>
      <c r="AA1050" s="890"/>
      <c r="AB1050" s="684"/>
      <c r="AC1050" s="890"/>
      <c r="AD1050" s="890"/>
      <c r="AE1050" s="890"/>
      <c r="AF1050" s="890"/>
      <c r="AG1050" s="684"/>
      <c r="AH1050" s="684"/>
      <c r="AI1050" s="684"/>
      <c r="AJ1050" s="684"/>
      <c r="AK1050" s="684"/>
      <c r="AL1050" s="305"/>
      <c r="AM1050" s="305"/>
      <c r="AN1050" s="305"/>
      <c r="AO1050" s="305"/>
      <c r="AP1050" s="305"/>
      <c r="AQ1050" s="305"/>
      <c r="AR1050" s="305"/>
      <c r="AS1050" s="305"/>
      <c r="AT1050" s="305"/>
      <c r="AU1050" s="305"/>
      <c r="AV1050" s="1388"/>
      <c r="AW1050" s="305"/>
      <c r="AX1050" s="305"/>
      <c r="AY1050" s="305"/>
      <c r="AZ1050" s="305"/>
      <c r="BA1050" s="305"/>
      <c r="BB1050" s="305"/>
      <c r="BC1050" s="305"/>
      <c r="BD1050" s="305"/>
      <c r="BE1050" s="3139"/>
      <c r="BF1050" s="305"/>
      <c r="BG1050" s="305"/>
      <c r="BH1050" s="305"/>
      <c r="BI1050" s="305"/>
      <c r="BJ1050" s="305"/>
      <c r="BK1050" s="305"/>
      <c r="BL1050" s="305"/>
      <c r="BM1050" s="305"/>
      <c r="BN1050" s="305"/>
      <c r="BO1050" s="305"/>
      <c r="BP1050" s="305"/>
      <c r="BQ1050" s="305"/>
      <c r="BR1050" s="305"/>
      <c r="BS1050" s="305"/>
      <c r="BT1050" s="305"/>
      <c r="BU1050" s="3437"/>
      <c r="BV1050" s="305"/>
      <c r="BW1050" s="305"/>
      <c r="BX1050" s="305"/>
      <c r="BY1050" s="305"/>
      <c r="BZ1050" s="360"/>
      <c r="CA1050" s="305"/>
      <c r="CB1050" s="305"/>
      <c r="CC1050" s="305"/>
      <c r="CD1050" s="305"/>
      <c r="CE1050" s="305"/>
      <c r="CF1050" s="305"/>
      <c r="CG1050" s="305"/>
      <c r="CH1050" s="305"/>
      <c r="CI1050" s="305"/>
      <c r="CJ1050" s="305"/>
      <c r="CK1050" s="305"/>
      <c r="CL1050" s="305"/>
      <c r="CM1050" s="305"/>
      <c r="CN1050" s="305"/>
      <c r="CO1050" s="305"/>
      <c r="CP1050" s="1005"/>
      <c r="CQ1050" s="222"/>
      <c r="CR1050" s="222"/>
      <c r="CS1050" s="222"/>
      <c r="CT1050" s="222"/>
      <c r="CU1050" s="222"/>
      <c r="CV1050" s="222"/>
      <c r="CW1050" s="222"/>
      <c r="CX1050" s="222"/>
      <c r="CY1050" s="222"/>
      <c r="CZ1050" s="222"/>
      <c r="DA1050" s="222"/>
      <c r="DB1050" s="222"/>
      <c r="DC1050" s="222"/>
      <c r="DD1050" s="222"/>
      <c r="DE1050" s="222"/>
      <c r="DF1050" s="222"/>
      <c r="DG1050" s="222"/>
      <c r="DH1050" s="222"/>
      <c r="DI1050" s="222"/>
      <c r="DJ1050" s="222"/>
      <c r="DK1050" s="222"/>
      <c r="DL1050" s="222"/>
      <c r="DM1050" s="222"/>
      <c r="DN1050" s="222"/>
      <c r="DO1050" s="226"/>
      <c r="DY1050" s="305"/>
      <c r="DZ1050" s="305"/>
    </row>
    <row r="1051" spans="1:130" ht="12" customHeight="1">
      <c r="A1051" s="235" t="s">
        <v>989</v>
      </c>
      <c r="B1051" s="236"/>
      <c r="C1051" s="236"/>
      <c r="D1051" s="237" t="str">
        <f t="shared" ref="D1051:AH1051" si="1957">D6</f>
        <v>1Q04</v>
      </c>
      <c r="E1051" s="109" t="str">
        <f t="shared" si="1957"/>
        <v>2Q04</v>
      </c>
      <c r="F1051" s="109" t="str">
        <f t="shared" si="1957"/>
        <v>3Q04</v>
      </c>
      <c r="G1051" s="109" t="str">
        <f t="shared" si="1957"/>
        <v>4Q04</v>
      </c>
      <c r="H1051" s="110">
        <f t="shared" si="1957"/>
        <v>2004</v>
      </c>
      <c r="I1051" s="109" t="str">
        <f t="shared" si="1957"/>
        <v>1Q05</v>
      </c>
      <c r="J1051" s="109" t="str">
        <f t="shared" si="1957"/>
        <v>2Q05</v>
      </c>
      <c r="K1051" s="109" t="str">
        <f t="shared" si="1957"/>
        <v>3Q05</v>
      </c>
      <c r="L1051" s="109" t="str">
        <f t="shared" si="1957"/>
        <v>4Q05</v>
      </c>
      <c r="M1051" s="110">
        <f t="shared" si="1957"/>
        <v>2005</v>
      </c>
      <c r="N1051" s="109" t="str">
        <f t="shared" si="1957"/>
        <v>1Q06</v>
      </c>
      <c r="O1051" s="109" t="str">
        <f t="shared" si="1957"/>
        <v>2Q06</v>
      </c>
      <c r="P1051" s="109" t="str">
        <f t="shared" si="1957"/>
        <v>3Q06</v>
      </c>
      <c r="Q1051" s="109" t="str">
        <f t="shared" si="1957"/>
        <v>4Q06</v>
      </c>
      <c r="R1051" s="110">
        <f t="shared" si="1957"/>
        <v>2006</v>
      </c>
      <c r="S1051" s="109" t="str">
        <f t="shared" si="1957"/>
        <v>1Q07</v>
      </c>
      <c r="T1051" s="109" t="str">
        <f t="shared" si="1957"/>
        <v>2Q07</v>
      </c>
      <c r="U1051" s="109" t="str">
        <f t="shared" si="1957"/>
        <v>3Q07</v>
      </c>
      <c r="V1051" s="109" t="str">
        <f t="shared" si="1957"/>
        <v>4Q07</v>
      </c>
      <c r="W1051" s="110">
        <f t="shared" si="1957"/>
        <v>2007</v>
      </c>
      <c r="X1051" s="109" t="str">
        <f t="shared" si="1957"/>
        <v>1Q08</v>
      </c>
      <c r="Y1051" s="109" t="str">
        <f t="shared" si="1957"/>
        <v>2Q08</v>
      </c>
      <c r="Z1051" s="109" t="str">
        <f t="shared" si="1957"/>
        <v>3Q08</v>
      </c>
      <c r="AA1051" s="109" t="str">
        <f t="shared" si="1957"/>
        <v>4Q08</v>
      </c>
      <c r="AB1051" s="110">
        <f t="shared" si="1957"/>
        <v>2008</v>
      </c>
      <c r="AC1051" s="109" t="str">
        <f t="shared" si="1957"/>
        <v>1Q09</v>
      </c>
      <c r="AD1051" s="109" t="str">
        <f t="shared" si="1957"/>
        <v>2Q09</v>
      </c>
      <c r="AE1051" s="109" t="str">
        <f t="shared" si="1957"/>
        <v>3Q09</v>
      </c>
      <c r="AF1051" s="109" t="str">
        <f t="shared" si="1957"/>
        <v>4Q09</v>
      </c>
      <c r="AG1051" s="110">
        <f t="shared" si="1957"/>
        <v>2009</v>
      </c>
      <c r="AH1051" s="109" t="str">
        <f t="shared" si="1957"/>
        <v>1Q10</v>
      </c>
      <c r="AI1051" s="109" t="str">
        <f t="shared" ref="AI1051:CG1051" si="1958">AI$6</f>
        <v>2Q10</v>
      </c>
      <c r="AJ1051" s="109" t="str">
        <f t="shared" si="1958"/>
        <v>3Q10</v>
      </c>
      <c r="AK1051" s="109" t="str">
        <f t="shared" si="1958"/>
        <v>4Q10</v>
      </c>
      <c r="AL1051" s="110">
        <f t="shared" si="1958"/>
        <v>2010</v>
      </c>
      <c r="AM1051" s="109" t="str">
        <f t="shared" si="1958"/>
        <v>1Q11</v>
      </c>
      <c r="AN1051" s="109" t="str">
        <f t="shared" si="1958"/>
        <v>2Q11</v>
      </c>
      <c r="AO1051" s="109" t="str">
        <f t="shared" si="1958"/>
        <v>3Q11</v>
      </c>
      <c r="AP1051" s="109" t="str">
        <f t="shared" si="1958"/>
        <v>4Q11</v>
      </c>
      <c r="AQ1051" s="110">
        <f t="shared" si="1958"/>
        <v>2011</v>
      </c>
      <c r="AR1051" s="109" t="str">
        <f t="shared" si="1958"/>
        <v>1Q12</v>
      </c>
      <c r="AS1051" s="109" t="str">
        <f t="shared" si="1958"/>
        <v>2Q12</v>
      </c>
      <c r="AT1051" s="109" t="str">
        <f t="shared" si="1958"/>
        <v>3Q12</v>
      </c>
      <c r="AU1051" s="109" t="str">
        <f t="shared" si="1958"/>
        <v>4Q12</v>
      </c>
      <c r="AV1051" s="110">
        <f t="shared" si="1958"/>
        <v>2012</v>
      </c>
      <c r="AW1051" s="109" t="str">
        <f t="shared" si="1958"/>
        <v>1Q13</v>
      </c>
      <c r="AX1051" s="109" t="str">
        <f t="shared" si="1958"/>
        <v>2Q13</v>
      </c>
      <c r="AY1051" s="109" t="str">
        <f t="shared" si="1958"/>
        <v>3Q13</v>
      </c>
      <c r="AZ1051" s="109" t="str">
        <f t="shared" si="1958"/>
        <v>4Q13</v>
      </c>
      <c r="BA1051" s="110">
        <f t="shared" si="1958"/>
        <v>2013</v>
      </c>
      <c r="BB1051" s="109" t="str">
        <f t="shared" si="1958"/>
        <v>1Q14</v>
      </c>
      <c r="BC1051" s="109" t="str">
        <f t="shared" si="1958"/>
        <v>2Q14</v>
      </c>
      <c r="BD1051" s="109" t="str">
        <f t="shared" si="1958"/>
        <v>3Q14</v>
      </c>
      <c r="BE1051" s="109" t="str">
        <f t="shared" si="1958"/>
        <v>4Q14</v>
      </c>
      <c r="BF1051" s="110">
        <f t="shared" si="1958"/>
        <v>2014</v>
      </c>
      <c r="BG1051" s="109" t="str">
        <f t="shared" si="1958"/>
        <v>1Q15</v>
      </c>
      <c r="BH1051" s="109" t="str">
        <f t="shared" si="1958"/>
        <v>2Q15</v>
      </c>
      <c r="BI1051" s="109" t="str">
        <f t="shared" si="1958"/>
        <v>3Q15</v>
      </c>
      <c r="BJ1051" s="109" t="str">
        <f t="shared" si="1958"/>
        <v>4Q15</v>
      </c>
      <c r="BK1051" s="110">
        <f t="shared" si="1958"/>
        <v>2015</v>
      </c>
      <c r="BL1051" s="109" t="str">
        <f t="shared" si="1958"/>
        <v>1Q16</v>
      </c>
      <c r="BM1051" s="109" t="str">
        <f t="shared" si="1958"/>
        <v>2Q16</v>
      </c>
      <c r="BN1051" s="109" t="str">
        <f t="shared" si="1958"/>
        <v>3Q16</v>
      </c>
      <c r="BO1051" s="109" t="str">
        <f t="shared" si="1958"/>
        <v>4Q16</v>
      </c>
      <c r="BP1051" s="110">
        <f t="shared" si="1958"/>
        <v>2016</v>
      </c>
      <c r="BQ1051" s="109" t="str">
        <f t="shared" si="1958"/>
        <v>1Q17</v>
      </c>
      <c r="BR1051" s="109" t="str">
        <f t="shared" si="1958"/>
        <v>2Q17</v>
      </c>
      <c r="BS1051" s="109" t="str">
        <f t="shared" si="1958"/>
        <v>3Q17</v>
      </c>
      <c r="BT1051" s="109" t="str">
        <f t="shared" si="1958"/>
        <v>4Q17A</v>
      </c>
      <c r="BU1051" s="3347" t="str">
        <f t="shared" si="1958"/>
        <v>2017A</v>
      </c>
      <c r="BV1051" s="109" t="str">
        <f t="shared" si="1958"/>
        <v>1Q18E</v>
      </c>
      <c r="BW1051" s="109" t="str">
        <f t="shared" si="1958"/>
        <v>2Q18E</v>
      </c>
      <c r="BX1051" s="109" t="str">
        <f t="shared" si="1958"/>
        <v>3Q18E</v>
      </c>
      <c r="BY1051" s="109" t="str">
        <f t="shared" si="1958"/>
        <v>4Q18E</v>
      </c>
      <c r="BZ1051" s="110" t="str">
        <f t="shared" si="1958"/>
        <v>2018E</v>
      </c>
      <c r="CA1051" s="110" t="str">
        <f t="shared" si="1958"/>
        <v>2019E</v>
      </c>
      <c r="CB1051" s="110" t="str">
        <f t="shared" si="1958"/>
        <v>2020E</v>
      </c>
      <c r="CC1051" s="110" t="str">
        <f t="shared" si="1958"/>
        <v>2021E</v>
      </c>
      <c r="CD1051" s="110" t="str">
        <f t="shared" si="1958"/>
        <v>2022E</v>
      </c>
      <c r="CE1051" s="110" t="str">
        <f t="shared" si="1958"/>
        <v>2023E</v>
      </c>
      <c r="CF1051" s="110" t="str">
        <f t="shared" si="1958"/>
        <v>2024E</v>
      </c>
      <c r="CG1051" s="110" t="str">
        <f t="shared" si="1958"/>
        <v>2025E</v>
      </c>
      <c r="CH1051" s="247"/>
      <c r="CI1051" s="247"/>
      <c r="CJ1051" s="247"/>
      <c r="CK1051" s="247"/>
      <c r="CL1051" s="247"/>
      <c r="CM1051" s="247"/>
      <c r="CN1051" s="247"/>
      <c r="CO1051" s="247"/>
      <c r="CP1051" s="235" t="str">
        <f t="shared" ref="CP1051:CP1125" si="1959">A1051</f>
        <v>BALANCE SHEET ($ in millions)</v>
      </c>
      <c r="CQ1051" s="109">
        <f t="shared" ref="CQ1051:CQ1125" si="1960">H1051</f>
        <v>2004</v>
      </c>
      <c r="CR1051" s="109">
        <f t="shared" ref="CR1051:CR1125" si="1961">M1051</f>
        <v>2005</v>
      </c>
      <c r="CS1051" s="109">
        <f t="shared" ref="CS1051:CS1125" si="1962">R1051</f>
        <v>2006</v>
      </c>
      <c r="CT1051" s="109">
        <f t="shared" ref="CT1051:CT1125" si="1963">W1051</f>
        <v>2007</v>
      </c>
      <c r="CU1051" s="109">
        <f t="shared" ref="CU1051:CU1125" si="1964">AB1051</f>
        <v>2008</v>
      </c>
      <c r="CV1051" s="109">
        <f t="shared" ref="CV1051:CV1125" si="1965">AG1051</f>
        <v>2009</v>
      </c>
      <c r="CW1051" s="109">
        <f t="shared" ref="CW1051:CW1125" si="1966">AL1051</f>
        <v>2010</v>
      </c>
      <c r="CX1051" s="109">
        <f t="shared" ref="CX1051:CX1125" si="1967">AQ1051</f>
        <v>2011</v>
      </c>
      <c r="CY1051" s="109">
        <f t="shared" ref="CY1051:CY1125" si="1968">AV1051</f>
        <v>2012</v>
      </c>
      <c r="CZ1051" s="109">
        <f t="shared" ref="CZ1051:CZ1125" si="1969">BA1051</f>
        <v>2013</v>
      </c>
      <c r="DA1051" s="109">
        <f t="shared" ref="DA1051:DA1125" si="1970">BF1051</f>
        <v>2014</v>
      </c>
      <c r="DB1051" s="109">
        <f t="shared" ref="DB1051:DB1125" si="1971">BK1051</f>
        <v>2015</v>
      </c>
      <c r="DC1051" s="109">
        <f t="shared" ref="DC1051:DC1125" si="1972">BP1051</f>
        <v>2016</v>
      </c>
      <c r="DD1051" s="109" t="str">
        <f t="shared" ref="DD1051:DD1125" si="1973">BU1051</f>
        <v>2017A</v>
      </c>
      <c r="DE1051" s="109" t="str">
        <f t="shared" ref="DE1051:DE1125" si="1974">BZ1051</f>
        <v>2018E</v>
      </c>
      <c r="DF1051" s="109" t="str">
        <f t="shared" ref="DF1051:DF1125" si="1975">CA1051</f>
        <v>2019E</v>
      </c>
      <c r="DG1051" s="1772" t="str">
        <f t="shared" ref="DG1051:DG1125" si="1976">CB1051</f>
        <v>2020E</v>
      </c>
      <c r="DH1051" s="239"/>
      <c r="DI1051" s="240"/>
      <c r="DJ1051" s="240"/>
      <c r="DK1051" s="240"/>
      <c r="DL1051" s="240"/>
      <c r="DM1051" s="240"/>
      <c r="DN1051" s="240"/>
      <c r="DO1051" s="226"/>
      <c r="DY1051" s="244"/>
      <c r="DZ1051" s="244"/>
    </row>
    <row r="1052" spans="1:130" ht="12" customHeight="1">
      <c r="A1052" s="977" t="s">
        <v>630</v>
      </c>
      <c r="B1052" s="445"/>
      <c r="C1052" s="445"/>
      <c r="D1052" s="360"/>
      <c r="E1052" s="871"/>
      <c r="F1052" s="871"/>
      <c r="G1052" s="871"/>
      <c r="H1052" s="304"/>
      <c r="I1052" s="305"/>
      <c r="J1052" s="871"/>
      <c r="K1052" s="871"/>
      <c r="L1052" s="871"/>
      <c r="M1052" s="304"/>
      <c r="N1052" s="305"/>
      <c r="O1052" s="871"/>
      <c r="P1052" s="871"/>
      <c r="Q1052" s="871"/>
      <c r="R1052" s="304"/>
      <c r="S1052" s="305"/>
      <c r="T1052" s="871"/>
      <c r="U1052" s="871"/>
      <c r="V1052" s="871"/>
      <c r="W1052" s="304"/>
      <c r="X1052" s="871"/>
      <c r="Y1052" s="871"/>
      <c r="Z1052" s="871"/>
      <c r="AA1052" s="871"/>
      <c r="AB1052" s="304"/>
      <c r="AC1052" s="871"/>
      <c r="AD1052" s="871"/>
      <c r="AE1052" s="871"/>
      <c r="AF1052" s="871"/>
      <c r="AG1052" s="304"/>
      <c r="AH1052" s="305"/>
      <c r="AI1052" s="305"/>
      <c r="AJ1052" s="305"/>
      <c r="AK1052" s="305"/>
      <c r="AL1052" s="304"/>
      <c r="AM1052" s="305"/>
      <c r="AN1052" s="305"/>
      <c r="AO1052" s="305"/>
      <c r="AP1052" s="305"/>
      <c r="AQ1052" s="304"/>
      <c r="AR1052" s="305"/>
      <c r="AS1052" s="305"/>
      <c r="AT1052" s="305"/>
      <c r="AU1052" s="305"/>
      <c r="AV1052" s="304"/>
      <c r="AW1052" s="305"/>
      <c r="AX1052" s="305"/>
      <c r="AY1052" s="305"/>
      <c r="AZ1052" s="305"/>
      <c r="BA1052" s="1550"/>
      <c r="BB1052" s="305"/>
      <c r="BC1052" s="305"/>
      <c r="BD1052" s="305"/>
      <c r="BE1052" s="305"/>
      <c r="BF1052" s="304"/>
      <c r="BG1052" s="360"/>
      <c r="BH1052" s="305"/>
      <c r="BI1052" s="305"/>
      <c r="BJ1052" s="306"/>
      <c r="BK1052" s="304"/>
      <c r="BL1052" s="305"/>
      <c r="BM1052" s="305"/>
      <c r="BN1052" s="305"/>
      <c r="BO1052" s="306"/>
      <c r="BP1052" s="304"/>
      <c r="BQ1052" s="305"/>
      <c r="BR1052" s="872"/>
      <c r="BS1052" s="305"/>
      <c r="BT1052" s="306"/>
      <c r="BU1052" s="3434"/>
      <c r="BV1052" s="305"/>
      <c r="BW1052" s="305"/>
      <c r="BX1052" s="305"/>
      <c r="BY1052" s="305"/>
      <c r="BZ1052" s="304"/>
      <c r="CA1052" s="304"/>
      <c r="CB1052" s="304"/>
      <c r="CC1052" s="304"/>
      <c r="CD1052" s="304"/>
      <c r="CE1052" s="304"/>
      <c r="CF1052" s="304"/>
      <c r="CG1052" s="304"/>
      <c r="CH1052" s="305"/>
      <c r="CI1052" s="305"/>
      <c r="CJ1052" s="305"/>
      <c r="CK1052" s="305"/>
      <c r="CL1052" s="305"/>
      <c r="CM1052" s="305"/>
      <c r="CN1052" s="305"/>
      <c r="CO1052" s="305"/>
      <c r="CP1052" s="977" t="str">
        <f t="shared" si="1959"/>
        <v>Assets</v>
      </c>
      <c r="CQ1052" s="222"/>
      <c r="CR1052" s="222"/>
      <c r="CS1052" s="222"/>
      <c r="CT1052" s="222"/>
      <c r="CU1052" s="222"/>
      <c r="CV1052" s="222"/>
      <c r="CW1052" s="222"/>
      <c r="CX1052" s="222"/>
      <c r="CY1052" s="222"/>
      <c r="CZ1052" s="222"/>
      <c r="DA1052" s="222"/>
      <c r="DB1052" s="222"/>
      <c r="DC1052" s="222"/>
      <c r="DD1052" s="222"/>
      <c r="DE1052" s="222"/>
      <c r="DF1052" s="222"/>
      <c r="DG1052" s="1576"/>
      <c r="DH1052" s="222"/>
      <c r="DI1052" s="222"/>
      <c r="DJ1052" s="222"/>
      <c r="DK1052" s="222"/>
      <c r="DL1052" s="222"/>
      <c r="DM1052" s="222"/>
      <c r="DN1052" s="222"/>
      <c r="DO1052" s="226"/>
      <c r="DY1052" s="305"/>
      <c r="DZ1052" s="305"/>
    </row>
    <row r="1053" spans="1:130" ht="12" customHeight="1">
      <c r="A1053" s="993" t="s">
        <v>492</v>
      </c>
      <c r="B1053" s="875"/>
      <c r="C1053" s="875"/>
      <c r="D1053" s="582">
        <f>IF(D1048&lt;0,0,D1048)</f>
        <v>73.837999999999994</v>
      </c>
      <c r="E1053" s="621">
        <f t="shared" ref="E1053:Y1053" si="1977">IF(E1048&lt;0,0,E1048)</f>
        <v>84.550000000000011</v>
      </c>
      <c r="F1053" s="621">
        <f t="shared" si="1977"/>
        <v>125.17900000000003</v>
      </c>
      <c r="G1053" s="621">
        <f t="shared" si="1977"/>
        <v>160.72299999999993</v>
      </c>
      <c r="H1053" s="585">
        <f t="shared" si="1977"/>
        <v>160.72300000000021</v>
      </c>
      <c r="I1053" s="621">
        <f t="shared" si="1977"/>
        <v>136.81800000000021</v>
      </c>
      <c r="J1053" s="621">
        <f t="shared" si="1977"/>
        <v>148.82100000000014</v>
      </c>
      <c r="K1053" s="621">
        <f t="shared" si="1977"/>
        <v>139.84900000000016</v>
      </c>
      <c r="L1053" s="621">
        <f t="shared" si="1977"/>
        <v>188.40600000000015</v>
      </c>
      <c r="M1053" s="585">
        <f t="shared" si="1977"/>
        <v>188.40600000000015</v>
      </c>
      <c r="N1053" s="621">
        <f t="shared" si="1977"/>
        <v>177.45100000000019</v>
      </c>
      <c r="O1053" s="621">
        <f t="shared" si="1977"/>
        <v>169.34200000000021</v>
      </c>
      <c r="P1053" s="621">
        <f t="shared" si="1977"/>
        <v>170.23500000000018</v>
      </c>
      <c r="Q1053" s="621">
        <f t="shared" si="1977"/>
        <v>169.39699999999999</v>
      </c>
      <c r="R1053" s="585">
        <f t="shared" si="1977"/>
        <v>169.39699999999999</v>
      </c>
      <c r="S1053" s="621">
        <f t="shared" si="1977"/>
        <v>157.07199999999986</v>
      </c>
      <c r="T1053" s="621">
        <f t="shared" si="1977"/>
        <v>159.38199999999998</v>
      </c>
      <c r="U1053" s="621">
        <f t="shared" si="1977"/>
        <v>152.84499999999991</v>
      </c>
      <c r="V1053" s="621">
        <f t="shared" si="1977"/>
        <v>165.70099999999996</v>
      </c>
      <c r="W1053" s="585">
        <f t="shared" si="1977"/>
        <v>165.70099999999996</v>
      </c>
      <c r="X1053" s="621">
        <f t="shared" si="1977"/>
        <v>152.52800000000002</v>
      </c>
      <c r="Y1053" s="621">
        <f t="shared" si="1977"/>
        <v>148.73699999999997</v>
      </c>
      <c r="Z1053" s="621">
        <f t="shared" ref="Z1053:BJ1053" si="1978">IF(Z1048&lt;0,0,Z1048)</f>
        <v>123.57300000000001</v>
      </c>
      <c r="AA1053" s="621">
        <f t="shared" si="1978"/>
        <v>98.152000000000157</v>
      </c>
      <c r="AB1053" s="810">
        <f t="shared" si="1978"/>
        <v>98.152000000000157</v>
      </c>
      <c r="AC1053" s="620">
        <f t="shared" si="1978"/>
        <v>98.168000000000148</v>
      </c>
      <c r="AD1053" s="620">
        <f t="shared" si="1978"/>
        <v>93.646000000000157</v>
      </c>
      <c r="AE1053" s="620">
        <f t="shared" si="1978"/>
        <v>89.061000000000135</v>
      </c>
      <c r="AF1053" s="620">
        <f t="shared" si="1978"/>
        <v>93.202000000000311</v>
      </c>
      <c r="AG1053" s="810">
        <f t="shared" si="1978"/>
        <v>93.202000000000311</v>
      </c>
      <c r="AH1053" s="620">
        <f t="shared" si="1978"/>
        <v>108.2020000000003</v>
      </c>
      <c r="AI1053" s="620">
        <f t="shared" si="1978"/>
        <v>100.17300000000031</v>
      </c>
      <c r="AJ1053" s="620">
        <f t="shared" si="1978"/>
        <v>92.67500000000048</v>
      </c>
      <c r="AK1053" s="620">
        <f t="shared" si="1978"/>
        <v>145.62300000000033</v>
      </c>
      <c r="AL1053" s="810">
        <f t="shared" si="1978"/>
        <v>145.62300000000036</v>
      </c>
      <c r="AM1053" s="620">
        <f t="shared" si="1978"/>
        <v>173.84800000000035</v>
      </c>
      <c r="AN1053" s="620">
        <f t="shared" si="1978"/>
        <v>175.78000000000031</v>
      </c>
      <c r="AO1053" s="620">
        <f t="shared" si="1978"/>
        <v>187.11800000000034</v>
      </c>
      <c r="AP1053" s="620">
        <f t="shared" si="1978"/>
        <v>178.75600000000028</v>
      </c>
      <c r="AQ1053" s="810">
        <f t="shared" si="1978"/>
        <v>178.75600000000031</v>
      </c>
      <c r="AR1053" s="620">
        <f t="shared" si="1978"/>
        <v>156.71400000000034</v>
      </c>
      <c r="AS1053" s="620">
        <f t="shared" si="1978"/>
        <v>360.45500000000027</v>
      </c>
      <c r="AT1053" s="620">
        <f>IF(AT1048&lt;0,0,AT1048)</f>
        <v>343.77100000000036</v>
      </c>
      <c r="AU1053" s="620">
        <f t="shared" si="1978"/>
        <v>192.82800000000037</v>
      </c>
      <c r="AV1053" s="810">
        <f t="shared" si="1978"/>
        <v>192.8280000000002</v>
      </c>
      <c r="AW1053" s="620">
        <f t="shared" si="1978"/>
        <v>358.35400000000016</v>
      </c>
      <c r="AX1053" s="620">
        <f t="shared" si="1978"/>
        <v>182.61200000000014</v>
      </c>
      <c r="AY1053" s="620">
        <f t="shared" si="1978"/>
        <v>165.80300000000045</v>
      </c>
      <c r="AZ1053" s="620">
        <f>IF(AZ1048&lt;0,0,AZ1048)</f>
        <v>177.83800000000014</v>
      </c>
      <c r="BA1053" s="810">
        <f>IF(BA1048&lt;0,0,BA1048)</f>
        <v>177.83800000000019</v>
      </c>
      <c r="BB1053" s="620">
        <f>IF(BB1048&lt;0,0,BB1048)</f>
        <v>162.87800000000016</v>
      </c>
      <c r="BC1053" s="620">
        <f t="shared" si="1978"/>
        <v>162.51200000000017</v>
      </c>
      <c r="BD1053" s="620">
        <f t="shared" si="1978"/>
        <v>120.91000000000022</v>
      </c>
      <c r="BE1053" s="620">
        <f t="shared" si="1978"/>
        <v>145.34100000000012</v>
      </c>
      <c r="BF1053" s="810">
        <f t="shared" si="1978"/>
        <v>145.34100000000012</v>
      </c>
      <c r="BG1053" s="620">
        <f t="shared" si="1978"/>
        <v>130.79700000000011</v>
      </c>
      <c r="BH1053" s="620">
        <f t="shared" ref="BH1053:BK1053" si="1979">IF(BH1048&lt;0,0,BH1048)</f>
        <v>124.52300000000025</v>
      </c>
      <c r="BI1053" s="620">
        <f>IF(BI1048&lt;0,0,BI1048)</f>
        <v>125.04500000000012</v>
      </c>
      <c r="BJ1053" s="620">
        <f t="shared" si="1978"/>
        <v>158.82100000000008</v>
      </c>
      <c r="BK1053" s="810">
        <f t="shared" si="1979"/>
        <v>158.82100000000008</v>
      </c>
      <c r="BL1053" s="620">
        <f>IF(BL1048&lt;0,0,BL1048)</f>
        <v>616.20100000000002</v>
      </c>
      <c r="BM1053" s="620">
        <f>IF(BM1048&lt;0,0,BM1048)</f>
        <v>628.27800000000002</v>
      </c>
      <c r="BN1053" s="620">
        <f t="shared" ref="BN1053" si="1980">IF(BN1048&lt;0,0,BN1048)</f>
        <v>159.68800000000027</v>
      </c>
      <c r="BO1053" s="620">
        <f>IF(BO1048&lt;0,0,BO1048)</f>
        <v>193.86199999999991</v>
      </c>
      <c r="BP1053" s="810">
        <f t="shared" ref="BP1053:BU1053" si="1981">IF(BP1048&lt;0,0,BP1048)</f>
        <v>193.86199999999991</v>
      </c>
      <c r="BQ1053" s="620">
        <f t="shared" si="1981"/>
        <v>167.00699999999992</v>
      </c>
      <c r="BR1053" s="620">
        <f>IF(BR1048&lt;0,0,BR1048)</f>
        <v>162.96299999999985</v>
      </c>
      <c r="BS1053" s="620">
        <f t="shared" si="1981"/>
        <v>158.83199999999988</v>
      </c>
      <c r="BT1053" s="620">
        <f t="shared" si="1981"/>
        <v>203.10000000000002</v>
      </c>
      <c r="BU1053" s="3943">
        <f t="shared" si="1981"/>
        <v>203.10000000000005</v>
      </c>
      <c r="BV1053" s="620">
        <f t="shared" ref="BV1053:BZ1053" si="1982">IF(BV1048&lt;0,0,BV1048)</f>
        <v>298.34941850179831</v>
      </c>
      <c r="BW1053" s="620">
        <f t="shared" si="1982"/>
        <v>349.06552948765136</v>
      </c>
      <c r="BX1053" s="620">
        <f t="shared" si="1982"/>
        <v>124.67873517035332</v>
      </c>
      <c r="BY1053" s="620">
        <f t="shared" si="1982"/>
        <v>206.57868206137107</v>
      </c>
      <c r="BZ1053" s="4013">
        <f t="shared" si="1982"/>
        <v>206.57868206137104</v>
      </c>
      <c r="CA1053" s="810">
        <f t="shared" ref="CA1053:CG1053" si="1983">IF(CA1048&lt;0,0,CA1048)</f>
        <v>566.27657320781861</v>
      </c>
      <c r="CB1053" s="810">
        <f t="shared" si="1983"/>
        <v>930.93090457091466</v>
      </c>
      <c r="CC1053" s="810">
        <f t="shared" si="1983"/>
        <v>0</v>
      </c>
      <c r="CD1053" s="810">
        <f t="shared" si="1983"/>
        <v>0</v>
      </c>
      <c r="CE1053" s="810">
        <f t="shared" si="1983"/>
        <v>0</v>
      </c>
      <c r="CF1053" s="810">
        <f t="shared" si="1983"/>
        <v>0</v>
      </c>
      <c r="CG1053" s="810">
        <f t="shared" si="1983"/>
        <v>0</v>
      </c>
      <c r="CH1053" s="621"/>
      <c r="CI1053" s="621"/>
      <c r="CJ1053" s="621"/>
      <c r="CK1053" s="621"/>
      <c r="CL1053" s="621"/>
      <c r="CM1053" s="621"/>
      <c r="CN1053" s="621">
        <f>BY1053</f>
        <v>206.57868206137107</v>
      </c>
      <c r="CO1053" s="965">
        <f t="shared" ref="CO1053:CO1061" si="1984">CM1053-CN1053</f>
        <v>-206.57868206137107</v>
      </c>
      <c r="CP1053" s="993" t="str">
        <f t="shared" si="1959"/>
        <v>Cash and cash equivalents</v>
      </c>
      <c r="CQ1053" s="620">
        <f t="shared" si="1960"/>
        <v>160.72300000000021</v>
      </c>
      <c r="CR1053" s="620">
        <f t="shared" si="1961"/>
        <v>188.40600000000015</v>
      </c>
      <c r="CS1053" s="620">
        <f t="shared" si="1962"/>
        <v>169.39699999999999</v>
      </c>
      <c r="CT1053" s="620">
        <f t="shared" si="1963"/>
        <v>165.70099999999996</v>
      </c>
      <c r="CU1053" s="620">
        <f t="shared" si="1964"/>
        <v>98.152000000000157</v>
      </c>
      <c r="CV1053" s="620">
        <f t="shared" si="1965"/>
        <v>93.202000000000311</v>
      </c>
      <c r="CW1053" s="620">
        <f t="shared" si="1966"/>
        <v>145.62300000000036</v>
      </c>
      <c r="CX1053" s="620">
        <f t="shared" si="1967"/>
        <v>178.75600000000031</v>
      </c>
      <c r="CY1053" s="620">
        <f t="shared" si="1968"/>
        <v>192.8280000000002</v>
      </c>
      <c r="CZ1053" s="620">
        <f t="shared" si="1969"/>
        <v>177.83800000000019</v>
      </c>
      <c r="DA1053" s="620">
        <f t="shared" si="1970"/>
        <v>145.34100000000012</v>
      </c>
      <c r="DB1053" s="620">
        <f t="shared" si="1971"/>
        <v>158.82100000000008</v>
      </c>
      <c r="DC1053" s="620">
        <f t="shared" si="1972"/>
        <v>193.86199999999991</v>
      </c>
      <c r="DD1053" s="620">
        <f t="shared" si="1973"/>
        <v>203.10000000000005</v>
      </c>
      <c r="DE1053" s="620">
        <f t="shared" si="1974"/>
        <v>206.57868206137104</v>
      </c>
      <c r="DF1053" s="620">
        <f t="shared" si="1975"/>
        <v>566.27657320781861</v>
      </c>
      <c r="DG1053" s="809">
        <f t="shared" si="1976"/>
        <v>930.93090457091466</v>
      </c>
      <c r="DH1053" s="620"/>
      <c r="DI1053" s="620"/>
      <c r="DJ1053" s="620"/>
      <c r="DK1053" s="620"/>
      <c r="DL1053" s="620"/>
      <c r="DM1053" s="620"/>
      <c r="DN1053" s="500"/>
      <c r="DO1053" s="389"/>
      <c r="DY1053" s="620"/>
      <c r="DZ1053" s="620"/>
    </row>
    <row r="1054" spans="1:130" ht="12" customHeight="1">
      <c r="A1054" s="994" t="s">
        <v>1043</v>
      </c>
      <c r="B1054" s="552"/>
      <c r="C1054" s="552"/>
      <c r="D1054" s="327">
        <v>14.946999999999999</v>
      </c>
      <c r="E1054" s="328">
        <v>17.437999999999999</v>
      </c>
      <c r="F1054" s="328">
        <v>22.007999999999999</v>
      </c>
      <c r="G1054" s="328">
        <v>6.6189999999999998</v>
      </c>
      <c r="H1054" s="346">
        <f>+G1054</f>
        <v>6.6189999999999998</v>
      </c>
      <c r="I1054" s="328">
        <v>11.295999999999999</v>
      </c>
      <c r="J1054" s="328">
        <v>12.654</v>
      </c>
      <c r="K1054" s="328">
        <v>16.297999999999998</v>
      </c>
      <c r="L1054" s="328">
        <v>8.4120000000000008</v>
      </c>
      <c r="M1054" s="346">
        <f>+L1054</f>
        <v>8.4120000000000008</v>
      </c>
      <c r="N1054" s="328">
        <v>11.321</v>
      </c>
      <c r="O1054" s="328">
        <v>12.346</v>
      </c>
      <c r="P1054" s="328">
        <v>19.18</v>
      </c>
      <c r="Q1054" s="328">
        <v>12.603999999999999</v>
      </c>
      <c r="R1054" s="346">
        <f>+Q1054</f>
        <v>12.603999999999999</v>
      </c>
      <c r="S1054" s="328">
        <v>41.03</v>
      </c>
      <c r="T1054" s="328">
        <v>42.597000000000001</v>
      </c>
      <c r="U1054" s="328">
        <v>57.512</v>
      </c>
      <c r="V1054" s="328">
        <v>52.244</v>
      </c>
      <c r="W1054" s="346">
        <f>+V1054</f>
        <v>52.244</v>
      </c>
      <c r="X1054" s="328">
        <v>52.250999999999998</v>
      </c>
      <c r="Y1054" s="328">
        <v>51.783999999999999</v>
      </c>
      <c r="Z1054" s="328">
        <v>24.683</v>
      </c>
      <c r="AA1054" s="328">
        <v>24.309000000000001</v>
      </c>
      <c r="AB1054" s="346">
        <f>+AA1054</f>
        <v>24.309000000000001</v>
      </c>
      <c r="AC1054" s="328">
        <v>23.614999999999998</v>
      </c>
      <c r="AD1054" s="328">
        <v>26.600999999999999</v>
      </c>
      <c r="AE1054" s="328">
        <v>31.076000000000001</v>
      </c>
      <c r="AF1054" s="328">
        <v>16.167999999999999</v>
      </c>
      <c r="AG1054" s="346">
        <f>+AF1054</f>
        <v>16.167999999999999</v>
      </c>
      <c r="AH1054" s="328">
        <v>14.016</v>
      </c>
      <c r="AI1054" s="328">
        <v>15.614000000000001</v>
      </c>
      <c r="AJ1054" s="328">
        <v>20.902000000000001</v>
      </c>
      <c r="AK1054" s="328">
        <v>19.494</v>
      </c>
      <c r="AL1054" s="346">
        <f t="shared" ref="AL1054:AL1059" si="1985">AK1054</f>
        <v>19.494</v>
      </c>
      <c r="AM1054" s="328">
        <v>16.736000000000001</v>
      </c>
      <c r="AN1054" s="328">
        <v>18.86</v>
      </c>
      <c r="AO1054" s="328">
        <v>22.692</v>
      </c>
      <c r="AP1054" s="328">
        <v>15.753</v>
      </c>
      <c r="AQ1054" s="346">
        <f t="shared" ref="AQ1054:AQ1059" si="1986">AP1054</f>
        <v>15.753</v>
      </c>
      <c r="AR1054" s="328">
        <v>14.047000000000001</v>
      </c>
      <c r="AS1054" s="328">
        <v>17.170000000000002</v>
      </c>
      <c r="AT1054" s="328">
        <f>21.555+364.249</f>
        <v>385.80400000000003</v>
      </c>
      <c r="AU1054" s="328">
        <v>22.9</v>
      </c>
      <c r="AV1054" s="346">
        <f t="shared" ref="AV1054:AV1059" si="1987">AU1054</f>
        <v>22.9</v>
      </c>
      <c r="AW1054" s="328">
        <v>25.004999999999999</v>
      </c>
      <c r="AX1054" s="328">
        <v>23.576000000000001</v>
      </c>
      <c r="AY1054" s="328">
        <v>27.190999999999999</v>
      </c>
      <c r="AZ1054" s="328">
        <v>20.686</v>
      </c>
      <c r="BA1054" s="346">
        <f t="shared" ref="BA1054:BA1059" si="1988">AZ1054</f>
        <v>20.686</v>
      </c>
      <c r="BB1054" s="328">
        <v>30.952999999999999</v>
      </c>
      <c r="BC1054" s="328">
        <v>28.513000000000002</v>
      </c>
      <c r="BD1054" s="328">
        <v>25.163</v>
      </c>
      <c r="BE1054" s="328">
        <v>18.106999999999999</v>
      </c>
      <c r="BF1054" s="346">
        <f t="shared" ref="BF1054:BF1059" si="1989">BE1054</f>
        <v>18.106999999999999</v>
      </c>
      <c r="BG1054" s="328">
        <v>21.465</v>
      </c>
      <c r="BH1054" s="328">
        <v>21.486000000000001</v>
      </c>
      <c r="BI1054" s="328">
        <v>24.734000000000002</v>
      </c>
      <c r="BJ1054" s="328">
        <v>19.03</v>
      </c>
      <c r="BK1054" s="346">
        <f t="shared" ref="BK1054:BK1059" si="1990">BJ1054</f>
        <v>19.03</v>
      </c>
      <c r="BL1054" s="328">
        <v>22.375</v>
      </c>
      <c r="BM1054" s="328">
        <v>20.719000000000001</v>
      </c>
      <c r="BN1054" s="328">
        <v>23.292000000000002</v>
      </c>
      <c r="BO1054" s="328">
        <v>16.488</v>
      </c>
      <c r="BP1054" s="346">
        <f t="shared" ref="BP1054:BP1059" si="1991">BO1054</f>
        <v>16.488</v>
      </c>
      <c r="BQ1054" s="328">
        <v>22.047000000000001</v>
      </c>
      <c r="BR1054" s="328">
        <v>21.64</v>
      </c>
      <c r="BS1054" s="328">
        <v>26.704999999999998</v>
      </c>
      <c r="BT1054" s="347">
        <f t="shared" ref="BT1054:BT1059" si="1992">BS1054</f>
        <v>26.704999999999998</v>
      </c>
      <c r="BU1054" s="3944">
        <f t="shared" ref="BU1054:BV1059" si="1993">BT1054</f>
        <v>26.704999999999998</v>
      </c>
      <c r="BV1054" s="347">
        <f t="shared" si="1993"/>
        <v>26.704999999999998</v>
      </c>
      <c r="BW1054" s="347">
        <f t="shared" ref="BW1054:BW1059" si="1994">BV1054</f>
        <v>26.704999999999998</v>
      </c>
      <c r="BX1054" s="347">
        <f t="shared" ref="BX1054:BX1059" si="1995">BW1054</f>
        <v>26.704999999999998</v>
      </c>
      <c r="BY1054" s="347">
        <f t="shared" ref="BY1054:BZ1059" si="1996">BX1054</f>
        <v>26.704999999999998</v>
      </c>
      <c r="BZ1054" s="4014">
        <f t="shared" si="1996"/>
        <v>26.704999999999998</v>
      </c>
      <c r="CA1054" s="346">
        <f t="shared" ref="CA1054:CB1059" si="1997">BZ1054</f>
        <v>26.704999999999998</v>
      </c>
      <c r="CB1054" s="346">
        <f t="shared" si="1997"/>
        <v>26.704999999999998</v>
      </c>
      <c r="CC1054" s="346">
        <f t="shared" ref="CC1054:CC1059" si="1998">CB1054</f>
        <v>26.704999999999998</v>
      </c>
      <c r="CD1054" s="346">
        <f t="shared" ref="CD1054:CD1059" si="1999">CC1054</f>
        <v>26.704999999999998</v>
      </c>
      <c r="CE1054" s="346">
        <f t="shared" ref="CE1054:CE1059" si="2000">CD1054</f>
        <v>26.704999999999998</v>
      </c>
      <c r="CF1054" s="346">
        <f t="shared" ref="CF1054:CF1059" si="2001">CE1054</f>
        <v>26.704999999999998</v>
      </c>
      <c r="CG1054" s="346">
        <f t="shared" ref="CG1054:CG1059" si="2002">CF1054</f>
        <v>26.704999999999998</v>
      </c>
      <c r="CH1054" s="347"/>
      <c r="CI1054" s="347"/>
      <c r="CJ1054" s="347"/>
      <c r="CK1054" s="347"/>
      <c r="CL1054" s="347"/>
      <c r="CM1054" s="621"/>
      <c r="CN1054" s="621">
        <f t="shared" ref="CN1054:CN1059" si="2003">BY1054</f>
        <v>26.704999999999998</v>
      </c>
      <c r="CO1054" s="965">
        <f t="shared" si="1984"/>
        <v>-26.704999999999998</v>
      </c>
      <c r="CP1054" s="994" t="str">
        <f t="shared" si="1959"/>
        <v>Restricted cash</v>
      </c>
      <c r="CQ1054" s="347">
        <f t="shared" si="1960"/>
        <v>6.6189999999999998</v>
      </c>
      <c r="CR1054" s="347">
        <f t="shared" si="1961"/>
        <v>8.4120000000000008</v>
      </c>
      <c r="CS1054" s="347">
        <f t="shared" si="1962"/>
        <v>12.603999999999999</v>
      </c>
      <c r="CT1054" s="347">
        <f t="shared" si="1963"/>
        <v>52.244</v>
      </c>
      <c r="CU1054" s="347">
        <f t="shared" si="1964"/>
        <v>24.309000000000001</v>
      </c>
      <c r="CV1054" s="347">
        <f t="shared" si="1965"/>
        <v>16.167999999999999</v>
      </c>
      <c r="CW1054" s="347">
        <f t="shared" si="1966"/>
        <v>19.494</v>
      </c>
      <c r="CX1054" s="347">
        <f t="shared" si="1967"/>
        <v>15.753</v>
      </c>
      <c r="CY1054" s="347">
        <f t="shared" si="1968"/>
        <v>22.9</v>
      </c>
      <c r="CZ1054" s="347">
        <f t="shared" si="1969"/>
        <v>20.686</v>
      </c>
      <c r="DA1054" s="347">
        <f t="shared" si="1970"/>
        <v>18.106999999999999</v>
      </c>
      <c r="DB1054" s="347">
        <f t="shared" si="1971"/>
        <v>19.03</v>
      </c>
      <c r="DC1054" s="347">
        <f t="shared" si="1972"/>
        <v>16.488</v>
      </c>
      <c r="DD1054" s="347">
        <f t="shared" si="1973"/>
        <v>26.704999999999998</v>
      </c>
      <c r="DE1054" s="347">
        <f t="shared" si="1974"/>
        <v>26.704999999999998</v>
      </c>
      <c r="DF1054" s="347">
        <f t="shared" si="1975"/>
        <v>26.704999999999998</v>
      </c>
      <c r="DG1054" s="1795">
        <f t="shared" si="1976"/>
        <v>26.704999999999998</v>
      </c>
      <c r="DH1054" s="290"/>
      <c r="DI1054" s="290"/>
      <c r="DJ1054" s="290"/>
      <c r="DK1054" s="290"/>
      <c r="DL1054" s="290"/>
      <c r="DM1054" s="290"/>
      <c r="DN1054" s="492"/>
      <c r="DO1054" s="389"/>
      <c r="DY1054" s="347"/>
      <c r="DZ1054" s="347"/>
    </row>
    <row r="1055" spans="1:130" ht="12" customHeight="1">
      <c r="A1055" s="994" t="s">
        <v>1022</v>
      </c>
      <c r="B1055" s="552"/>
      <c r="C1055" s="552"/>
      <c r="D1055" s="327">
        <v>14.435</v>
      </c>
      <c r="E1055" s="328">
        <v>16.076000000000001</v>
      </c>
      <c r="F1055" s="328">
        <v>22.376999999999999</v>
      </c>
      <c r="G1055" s="328">
        <v>29.263000000000002</v>
      </c>
      <c r="H1055" s="346">
        <f>+G1055</f>
        <v>29.263000000000002</v>
      </c>
      <c r="I1055" s="328">
        <v>25.059000000000001</v>
      </c>
      <c r="J1055" s="328">
        <v>22.178999999999998</v>
      </c>
      <c r="K1055" s="328">
        <v>24.175000000000001</v>
      </c>
      <c r="L1055" s="328">
        <v>25.706</v>
      </c>
      <c r="M1055" s="346">
        <f>+L1055</f>
        <v>25.706</v>
      </c>
      <c r="N1055" s="328">
        <v>24.067</v>
      </c>
      <c r="O1055" s="328">
        <v>25.504000000000001</v>
      </c>
      <c r="P1055" s="328">
        <v>24.831</v>
      </c>
      <c r="Q1055" s="328">
        <v>26.274999999999999</v>
      </c>
      <c r="R1055" s="346">
        <f>+Q1055</f>
        <v>26.274999999999999</v>
      </c>
      <c r="S1055" s="328">
        <v>23.206</v>
      </c>
      <c r="T1055" s="328">
        <v>21.565999999999999</v>
      </c>
      <c r="U1055" s="328">
        <v>24.978999999999999</v>
      </c>
      <c r="V1055" s="328">
        <v>23.602</v>
      </c>
      <c r="W1055" s="346">
        <f>+V1055</f>
        <v>23.602</v>
      </c>
      <c r="X1055" s="328">
        <v>22.59</v>
      </c>
      <c r="Y1055" s="328">
        <v>19.384</v>
      </c>
      <c r="Z1055" s="328">
        <v>21.145</v>
      </c>
      <c r="AA1055" s="328">
        <v>21.375</v>
      </c>
      <c r="AB1055" s="346">
        <f>+AA1055</f>
        <v>21.375</v>
      </c>
      <c r="AC1055" s="328">
        <v>21.815000000000001</v>
      </c>
      <c r="AD1055" s="328">
        <v>21.202999999999999</v>
      </c>
      <c r="AE1055" s="328">
        <v>18.686</v>
      </c>
      <c r="AF1055" s="328">
        <v>18.584</v>
      </c>
      <c r="AG1055" s="346">
        <f>AF1055</f>
        <v>18.584</v>
      </c>
      <c r="AH1055" s="328">
        <v>46.651000000000003</v>
      </c>
      <c r="AI1055" s="328">
        <v>44.043999999999997</v>
      </c>
      <c r="AJ1055" s="328">
        <v>44.415999999999997</v>
      </c>
      <c r="AK1055" s="328">
        <v>47.942</v>
      </c>
      <c r="AL1055" s="346">
        <f t="shared" si="1985"/>
        <v>47.942</v>
      </c>
      <c r="AM1055" s="328">
        <v>44.3</v>
      </c>
      <c r="AN1055" s="328">
        <v>46.036000000000001</v>
      </c>
      <c r="AO1055" s="328">
        <v>47.145000000000003</v>
      </c>
      <c r="AP1055" s="328">
        <v>58.588999999999999</v>
      </c>
      <c r="AQ1055" s="346">
        <f t="shared" si="1986"/>
        <v>58.588999999999999</v>
      </c>
      <c r="AR1055" s="328">
        <v>57.085999999999999</v>
      </c>
      <c r="AS1055" s="328">
        <v>59.598999999999997</v>
      </c>
      <c r="AT1055" s="328">
        <v>56.353999999999999</v>
      </c>
      <c r="AU1055" s="328">
        <v>62.04</v>
      </c>
      <c r="AV1055" s="346">
        <f t="shared" si="1987"/>
        <v>62.04</v>
      </c>
      <c r="AW1055" s="328">
        <v>59.963999999999999</v>
      </c>
      <c r="AX1055" s="328">
        <v>59.426000000000002</v>
      </c>
      <c r="AY1055" s="328">
        <v>57.395000000000003</v>
      </c>
      <c r="AZ1055" s="328">
        <v>65.569000000000003</v>
      </c>
      <c r="BA1055" s="346">
        <f t="shared" si="1988"/>
        <v>65.569000000000003</v>
      </c>
      <c r="BB1055" s="328">
        <v>61.063000000000002</v>
      </c>
      <c r="BC1055" s="328">
        <v>64.619</v>
      </c>
      <c r="BD1055" s="328">
        <v>26.873000000000001</v>
      </c>
      <c r="BE1055" s="328">
        <v>27.234999999999999</v>
      </c>
      <c r="BF1055" s="346">
        <f t="shared" si="1989"/>
        <v>27.234999999999999</v>
      </c>
      <c r="BG1055" s="328">
        <v>30.655000000000001</v>
      </c>
      <c r="BH1055" s="328">
        <v>28.728000000000002</v>
      </c>
      <c r="BI1055" s="328">
        <v>25.175999999999998</v>
      </c>
      <c r="BJ1055" s="328">
        <v>25.289000000000001</v>
      </c>
      <c r="BK1055" s="346">
        <f t="shared" si="1990"/>
        <v>25.289000000000001</v>
      </c>
      <c r="BL1055" s="328">
        <v>24.056000000000001</v>
      </c>
      <c r="BM1055" s="328">
        <v>26.765000000000001</v>
      </c>
      <c r="BN1055" s="328">
        <v>26.936</v>
      </c>
      <c r="BO1055" s="328">
        <v>30.370999999999999</v>
      </c>
      <c r="BP1055" s="346">
        <f t="shared" si="1991"/>
        <v>30.370999999999999</v>
      </c>
      <c r="BQ1055" s="328">
        <v>28.05</v>
      </c>
      <c r="BR1055" s="328">
        <v>29.962</v>
      </c>
      <c r="BS1055" s="328">
        <v>33.536000000000001</v>
      </c>
      <c r="BT1055" s="347">
        <f t="shared" si="1992"/>
        <v>33.536000000000001</v>
      </c>
      <c r="BU1055" s="3944">
        <f t="shared" si="1993"/>
        <v>33.536000000000001</v>
      </c>
      <c r="BV1055" s="347">
        <f t="shared" si="1993"/>
        <v>33.536000000000001</v>
      </c>
      <c r="BW1055" s="347">
        <f t="shared" si="1994"/>
        <v>33.536000000000001</v>
      </c>
      <c r="BX1055" s="347">
        <f t="shared" si="1995"/>
        <v>33.536000000000001</v>
      </c>
      <c r="BY1055" s="347">
        <f t="shared" si="1996"/>
        <v>33.536000000000001</v>
      </c>
      <c r="BZ1055" s="4014">
        <f t="shared" si="1996"/>
        <v>33.536000000000001</v>
      </c>
      <c r="CA1055" s="346">
        <f t="shared" si="1997"/>
        <v>33.536000000000001</v>
      </c>
      <c r="CB1055" s="346">
        <f t="shared" si="1997"/>
        <v>33.536000000000001</v>
      </c>
      <c r="CC1055" s="346">
        <f t="shared" si="1998"/>
        <v>33.536000000000001</v>
      </c>
      <c r="CD1055" s="346">
        <f t="shared" si="1999"/>
        <v>33.536000000000001</v>
      </c>
      <c r="CE1055" s="346">
        <f t="shared" si="2000"/>
        <v>33.536000000000001</v>
      </c>
      <c r="CF1055" s="346">
        <f t="shared" si="2001"/>
        <v>33.536000000000001</v>
      </c>
      <c r="CG1055" s="346">
        <f t="shared" si="2002"/>
        <v>33.536000000000001</v>
      </c>
      <c r="CH1055" s="347"/>
      <c r="CI1055" s="347"/>
      <c r="CJ1055" s="347"/>
      <c r="CK1055" s="347"/>
      <c r="CL1055" s="347"/>
      <c r="CM1055" s="621"/>
      <c r="CN1055" s="621">
        <f t="shared" si="2003"/>
        <v>33.536000000000001</v>
      </c>
      <c r="CO1055" s="965">
        <f t="shared" si="1984"/>
        <v>-33.536000000000001</v>
      </c>
      <c r="CP1055" s="994" t="str">
        <f t="shared" si="1959"/>
        <v>Accounts receivable, net</v>
      </c>
      <c r="CQ1055" s="347">
        <f t="shared" si="1960"/>
        <v>29.263000000000002</v>
      </c>
      <c r="CR1055" s="347">
        <f t="shared" si="1961"/>
        <v>25.706</v>
      </c>
      <c r="CS1055" s="347">
        <f t="shared" si="1962"/>
        <v>26.274999999999999</v>
      </c>
      <c r="CT1055" s="347">
        <f t="shared" si="1963"/>
        <v>23.602</v>
      </c>
      <c r="CU1055" s="347">
        <f t="shared" si="1964"/>
        <v>21.375</v>
      </c>
      <c r="CV1055" s="347">
        <f t="shared" si="1965"/>
        <v>18.584</v>
      </c>
      <c r="CW1055" s="347">
        <f t="shared" si="1966"/>
        <v>47.942</v>
      </c>
      <c r="CX1055" s="347">
        <f t="shared" si="1967"/>
        <v>58.588999999999999</v>
      </c>
      <c r="CY1055" s="347">
        <f t="shared" si="1968"/>
        <v>62.04</v>
      </c>
      <c r="CZ1055" s="347">
        <f t="shared" si="1969"/>
        <v>65.569000000000003</v>
      </c>
      <c r="DA1055" s="347">
        <f t="shared" si="1970"/>
        <v>27.234999999999999</v>
      </c>
      <c r="DB1055" s="347">
        <f t="shared" si="1971"/>
        <v>25.289000000000001</v>
      </c>
      <c r="DC1055" s="347">
        <f t="shared" si="1972"/>
        <v>30.370999999999999</v>
      </c>
      <c r="DD1055" s="347">
        <f t="shared" si="1973"/>
        <v>33.536000000000001</v>
      </c>
      <c r="DE1055" s="347">
        <f t="shared" si="1974"/>
        <v>33.536000000000001</v>
      </c>
      <c r="DF1055" s="347">
        <f t="shared" si="1975"/>
        <v>33.536000000000001</v>
      </c>
      <c r="DG1055" s="1795">
        <f t="shared" si="1976"/>
        <v>33.536000000000001</v>
      </c>
      <c r="DH1055" s="290"/>
      <c r="DI1055" s="290"/>
      <c r="DJ1055" s="290"/>
      <c r="DK1055" s="290"/>
      <c r="DL1055" s="290"/>
      <c r="DM1055" s="290"/>
      <c r="DN1055" s="492"/>
      <c r="DO1055" s="389"/>
      <c r="DY1055" s="347"/>
      <c r="DZ1055" s="347"/>
    </row>
    <row r="1056" spans="1:130" ht="12" customHeight="1">
      <c r="A1056" s="994" t="s">
        <v>642</v>
      </c>
      <c r="B1056" s="552"/>
      <c r="C1056" s="552"/>
      <c r="D1056" s="327">
        <v>4.4969999999999999</v>
      </c>
      <c r="E1056" s="328">
        <v>4.7249999999999996</v>
      </c>
      <c r="F1056" s="328">
        <v>10.782</v>
      </c>
      <c r="G1056" s="328">
        <v>12.597</v>
      </c>
      <c r="H1056" s="346">
        <f>+G1056</f>
        <v>12.597</v>
      </c>
      <c r="I1056" s="328">
        <v>11.457000000000001</v>
      </c>
      <c r="J1056" s="328">
        <v>11.429</v>
      </c>
      <c r="K1056" s="328">
        <v>10.929</v>
      </c>
      <c r="L1056" s="328">
        <v>14.401999999999999</v>
      </c>
      <c r="M1056" s="346">
        <f>+L1056</f>
        <v>14.401999999999999</v>
      </c>
      <c r="N1056" s="328">
        <v>13.718999999999999</v>
      </c>
      <c r="O1056" s="328">
        <v>14.693</v>
      </c>
      <c r="P1056" s="328">
        <v>10.912000000000001</v>
      </c>
      <c r="Q1056" s="328">
        <v>11.037000000000001</v>
      </c>
      <c r="R1056" s="346">
        <f>+Q1056</f>
        <v>11.037000000000001</v>
      </c>
      <c r="S1056" s="328">
        <v>10.521000000000001</v>
      </c>
      <c r="T1056" s="328">
        <v>10.848000000000001</v>
      </c>
      <c r="U1056" s="328">
        <v>10.067</v>
      </c>
      <c r="V1056" s="328">
        <v>11.269</v>
      </c>
      <c r="W1056" s="346">
        <f>+V1056</f>
        <v>11.269</v>
      </c>
      <c r="X1056" s="328">
        <v>10.448</v>
      </c>
      <c r="Y1056" s="328">
        <v>10.692</v>
      </c>
      <c r="Z1056" s="328">
        <v>9.8030000000000008</v>
      </c>
      <c r="AA1056" s="328">
        <v>11.324999999999999</v>
      </c>
      <c r="AB1056" s="346">
        <f>+AA1056</f>
        <v>11.324999999999999</v>
      </c>
      <c r="AC1056" s="328">
        <v>9.75</v>
      </c>
      <c r="AD1056" s="328">
        <v>10.349</v>
      </c>
      <c r="AE1056" s="328">
        <v>9.61</v>
      </c>
      <c r="AF1056" s="328">
        <v>11.391999999999999</v>
      </c>
      <c r="AG1056" s="346">
        <f>+AF1056</f>
        <v>11.391999999999999</v>
      </c>
      <c r="AH1056" s="328">
        <v>14.476000000000001</v>
      </c>
      <c r="AI1056" s="328">
        <v>16.108000000000001</v>
      </c>
      <c r="AJ1056" s="328">
        <v>15.071</v>
      </c>
      <c r="AK1056" s="328">
        <v>16.029</v>
      </c>
      <c r="AL1056" s="346">
        <f t="shared" si="1985"/>
        <v>16.029</v>
      </c>
      <c r="AM1056" s="328">
        <v>14.57</v>
      </c>
      <c r="AN1056" s="328">
        <v>14.628</v>
      </c>
      <c r="AO1056" s="328">
        <v>14.321</v>
      </c>
      <c r="AP1056" s="328">
        <v>17.492999999999999</v>
      </c>
      <c r="AQ1056" s="346">
        <f t="shared" si="1986"/>
        <v>17.492999999999999</v>
      </c>
      <c r="AR1056" s="328">
        <v>16.923999999999999</v>
      </c>
      <c r="AS1056" s="328">
        <v>18.584</v>
      </c>
      <c r="AT1056" s="328">
        <v>16.71</v>
      </c>
      <c r="AU1056" s="328">
        <v>18.617999999999999</v>
      </c>
      <c r="AV1056" s="346">
        <f t="shared" si="1987"/>
        <v>18.617999999999999</v>
      </c>
      <c r="AW1056" s="328">
        <v>18.405999999999999</v>
      </c>
      <c r="AX1056" s="328">
        <v>19.567</v>
      </c>
      <c r="AY1056" s="328">
        <v>18.163</v>
      </c>
      <c r="AZ1056" s="328">
        <v>19.719000000000001</v>
      </c>
      <c r="BA1056" s="346">
        <f t="shared" si="1988"/>
        <v>19.719000000000001</v>
      </c>
      <c r="BB1056" s="328">
        <v>18.495999999999999</v>
      </c>
      <c r="BC1056" s="328">
        <v>19.722999999999999</v>
      </c>
      <c r="BD1056" s="328">
        <v>16.041</v>
      </c>
      <c r="BE1056" s="328">
        <v>15.161</v>
      </c>
      <c r="BF1056" s="346">
        <f t="shared" si="1989"/>
        <v>15.161</v>
      </c>
      <c r="BG1056" s="328">
        <v>14.192</v>
      </c>
      <c r="BH1056" s="328">
        <v>14.566000000000001</v>
      </c>
      <c r="BI1056" s="328">
        <v>15.106</v>
      </c>
      <c r="BJ1056" s="328">
        <v>15.462</v>
      </c>
      <c r="BK1056" s="346">
        <f t="shared" si="1990"/>
        <v>15.462</v>
      </c>
      <c r="BL1056" s="328">
        <v>15.137</v>
      </c>
      <c r="BM1056" s="328">
        <v>15.361000000000001</v>
      </c>
      <c r="BN1056" s="328">
        <v>15.749000000000001</v>
      </c>
      <c r="BO1056" s="328">
        <v>18.568000000000001</v>
      </c>
      <c r="BP1056" s="346">
        <f t="shared" si="1991"/>
        <v>18.568000000000001</v>
      </c>
      <c r="BQ1056" s="328">
        <v>17.965</v>
      </c>
      <c r="BR1056" s="328">
        <v>19.123999999999999</v>
      </c>
      <c r="BS1056" s="328">
        <v>17.815999999999999</v>
      </c>
      <c r="BT1056" s="347">
        <f t="shared" si="1992"/>
        <v>17.815999999999999</v>
      </c>
      <c r="BU1056" s="3944">
        <f t="shared" si="1993"/>
        <v>17.815999999999999</v>
      </c>
      <c r="BV1056" s="347">
        <f t="shared" si="1993"/>
        <v>17.815999999999999</v>
      </c>
      <c r="BW1056" s="347">
        <f t="shared" si="1994"/>
        <v>17.815999999999999</v>
      </c>
      <c r="BX1056" s="347">
        <f t="shared" si="1995"/>
        <v>17.815999999999999</v>
      </c>
      <c r="BY1056" s="347">
        <f t="shared" si="1996"/>
        <v>17.815999999999999</v>
      </c>
      <c r="BZ1056" s="4014">
        <f t="shared" si="1996"/>
        <v>17.815999999999999</v>
      </c>
      <c r="CA1056" s="346">
        <f t="shared" si="1997"/>
        <v>17.815999999999999</v>
      </c>
      <c r="CB1056" s="346">
        <f t="shared" si="1997"/>
        <v>17.815999999999999</v>
      </c>
      <c r="CC1056" s="346">
        <f t="shared" si="1998"/>
        <v>17.815999999999999</v>
      </c>
      <c r="CD1056" s="346">
        <f t="shared" si="1999"/>
        <v>17.815999999999999</v>
      </c>
      <c r="CE1056" s="346">
        <f t="shared" si="2000"/>
        <v>17.815999999999999</v>
      </c>
      <c r="CF1056" s="346">
        <f t="shared" si="2001"/>
        <v>17.815999999999999</v>
      </c>
      <c r="CG1056" s="346">
        <f t="shared" si="2002"/>
        <v>17.815999999999999</v>
      </c>
      <c r="CH1056" s="347"/>
      <c r="CI1056" s="347"/>
      <c r="CJ1056" s="347"/>
      <c r="CK1056" s="347"/>
      <c r="CL1056" s="347"/>
      <c r="CM1056" s="621"/>
      <c r="CN1056" s="621">
        <f t="shared" si="2003"/>
        <v>17.815999999999999</v>
      </c>
      <c r="CO1056" s="965">
        <f t="shared" si="1984"/>
        <v>-17.815999999999999</v>
      </c>
      <c r="CP1056" s="994" t="str">
        <f t="shared" si="1959"/>
        <v>Inventories</v>
      </c>
      <c r="CQ1056" s="347">
        <f t="shared" si="1960"/>
        <v>12.597</v>
      </c>
      <c r="CR1056" s="347">
        <f t="shared" si="1961"/>
        <v>14.401999999999999</v>
      </c>
      <c r="CS1056" s="347">
        <f t="shared" si="1962"/>
        <v>11.037000000000001</v>
      </c>
      <c r="CT1056" s="347">
        <f t="shared" si="1963"/>
        <v>11.269</v>
      </c>
      <c r="CU1056" s="347">
        <f t="shared" si="1964"/>
        <v>11.324999999999999</v>
      </c>
      <c r="CV1056" s="347">
        <f t="shared" si="1965"/>
        <v>11.391999999999999</v>
      </c>
      <c r="CW1056" s="347">
        <f t="shared" si="1966"/>
        <v>16.029</v>
      </c>
      <c r="CX1056" s="347">
        <f t="shared" si="1967"/>
        <v>17.492999999999999</v>
      </c>
      <c r="CY1056" s="347">
        <f t="shared" si="1968"/>
        <v>18.617999999999999</v>
      </c>
      <c r="CZ1056" s="347">
        <f t="shared" si="1969"/>
        <v>19.719000000000001</v>
      </c>
      <c r="DA1056" s="347">
        <f t="shared" si="1970"/>
        <v>15.161</v>
      </c>
      <c r="DB1056" s="347">
        <f t="shared" si="1971"/>
        <v>15.462</v>
      </c>
      <c r="DC1056" s="347">
        <f t="shared" si="1972"/>
        <v>18.568000000000001</v>
      </c>
      <c r="DD1056" s="347">
        <f t="shared" si="1973"/>
        <v>17.815999999999999</v>
      </c>
      <c r="DE1056" s="347">
        <f t="shared" si="1974"/>
        <v>17.815999999999999</v>
      </c>
      <c r="DF1056" s="347">
        <f t="shared" si="1975"/>
        <v>17.815999999999999</v>
      </c>
      <c r="DG1056" s="1795">
        <f t="shared" si="1976"/>
        <v>17.815999999999999</v>
      </c>
      <c r="DH1056" s="290"/>
      <c r="DI1056" s="290"/>
      <c r="DJ1056" s="290"/>
      <c r="DK1056" s="290"/>
      <c r="DL1056" s="290"/>
      <c r="DM1056" s="290"/>
      <c r="DN1056" s="492"/>
      <c r="DO1056" s="389"/>
      <c r="DY1056" s="347"/>
      <c r="DZ1056" s="347"/>
    </row>
    <row r="1057" spans="1:130" ht="12" customHeight="1">
      <c r="A1057" s="994" t="s">
        <v>1023</v>
      </c>
      <c r="B1057" s="552"/>
      <c r="C1057" s="552"/>
      <c r="D1057" s="327">
        <v>18.302</v>
      </c>
      <c r="E1057" s="328">
        <v>17.007999999999999</v>
      </c>
      <c r="F1057" s="328">
        <v>31.303999999999998</v>
      </c>
      <c r="G1057" s="328">
        <v>32.137999999999998</v>
      </c>
      <c r="H1057" s="346">
        <f>+G1057</f>
        <v>32.137999999999998</v>
      </c>
      <c r="I1057" s="328">
        <v>33.706000000000003</v>
      </c>
      <c r="J1057" s="328">
        <v>37.53</v>
      </c>
      <c r="K1057" s="328">
        <v>35.366999999999997</v>
      </c>
      <c r="L1057" s="328">
        <f>37.237+4.313</f>
        <v>41.550000000000004</v>
      </c>
      <c r="M1057" s="346">
        <f>+L1057</f>
        <v>41.550000000000004</v>
      </c>
      <c r="N1057" s="328">
        <f>39.28+4.313</f>
        <v>43.593000000000004</v>
      </c>
      <c r="O1057" s="328">
        <v>45.908000000000001</v>
      </c>
      <c r="P1057" s="328">
        <v>65.855000000000004</v>
      </c>
      <c r="Q1057" s="328">
        <v>42.417000000000002</v>
      </c>
      <c r="R1057" s="346">
        <f>+Q1057</f>
        <v>42.417000000000002</v>
      </c>
      <c r="S1057" s="328">
        <v>43.219000000000001</v>
      </c>
      <c r="T1057" s="328">
        <v>46.393000000000001</v>
      </c>
      <c r="U1057" s="328">
        <v>37.075000000000003</v>
      </c>
      <c r="V1057" s="328">
        <v>39.896000000000001</v>
      </c>
      <c r="W1057" s="346">
        <f>+V1057</f>
        <v>39.896000000000001</v>
      </c>
      <c r="X1057" s="328">
        <v>33.232999999999997</v>
      </c>
      <c r="Y1057" s="328">
        <v>38.395000000000003</v>
      </c>
      <c r="Z1057" s="328">
        <v>40.703000000000003</v>
      </c>
      <c r="AA1057" s="328">
        <v>40.415999999999997</v>
      </c>
      <c r="AB1057" s="346">
        <f>+AA1057</f>
        <v>40.415999999999997</v>
      </c>
      <c r="AC1057" s="328">
        <v>39.982999999999997</v>
      </c>
      <c r="AD1057" s="328">
        <v>44.384999999999998</v>
      </c>
      <c r="AE1057" s="328">
        <v>38.707999999999998</v>
      </c>
      <c r="AF1057" s="328">
        <v>24.818000000000001</v>
      </c>
      <c r="AG1057" s="346">
        <f>+AF1057</f>
        <v>24.818000000000001</v>
      </c>
      <c r="AH1057" s="328">
        <v>33.482999999999997</v>
      </c>
      <c r="AI1057" s="328">
        <v>36.259</v>
      </c>
      <c r="AJ1057" s="328">
        <v>41.506</v>
      </c>
      <c r="AK1057" s="328">
        <v>37.39</v>
      </c>
      <c r="AL1057" s="346">
        <f t="shared" si="1985"/>
        <v>37.39</v>
      </c>
      <c r="AM1057" s="328">
        <v>31.652000000000001</v>
      </c>
      <c r="AN1057" s="328">
        <v>40.197000000000003</v>
      </c>
      <c r="AO1057" s="328">
        <v>53.151000000000003</v>
      </c>
      <c r="AP1057" s="328">
        <v>47.465000000000003</v>
      </c>
      <c r="AQ1057" s="346">
        <f t="shared" si="1986"/>
        <v>47.465000000000003</v>
      </c>
      <c r="AR1057" s="328">
        <v>47.56</v>
      </c>
      <c r="AS1057" s="328">
        <v>52.058999999999997</v>
      </c>
      <c r="AT1057" s="328">
        <v>60.075000000000003</v>
      </c>
      <c r="AU1057" s="328">
        <v>48.709000000000003</v>
      </c>
      <c r="AV1057" s="346">
        <f t="shared" si="1987"/>
        <v>48.709000000000003</v>
      </c>
      <c r="AW1057" s="328">
        <v>89.918999999999997</v>
      </c>
      <c r="AX1057" s="328">
        <v>48.451000000000001</v>
      </c>
      <c r="AY1057" s="328">
        <v>50.191000000000003</v>
      </c>
      <c r="AZ1057" s="328">
        <v>42.46</v>
      </c>
      <c r="BA1057" s="346">
        <f t="shared" si="1988"/>
        <v>42.46</v>
      </c>
      <c r="BB1057" s="328">
        <v>44.347999999999999</v>
      </c>
      <c r="BC1057" s="328">
        <v>54.679000000000002</v>
      </c>
      <c r="BD1057" s="328">
        <v>37.598999999999997</v>
      </c>
      <c r="BE1057" s="328">
        <v>32.944000000000003</v>
      </c>
      <c r="BF1057" s="346">
        <f t="shared" si="1989"/>
        <v>32.944000000000003</v>
      </c>
      <c r="BG1057" s="328">
        <v>33.561</v>
      </c>
      <c r="BH1057" s="328">
        <v>41.375999999999998</v>
      </c>
      <c r="BI1057" s="328">
        <v>38.106999999999999</v>
      </c>
      <c r="BJ1057" s="328">
        <v>37.25</v>
      </c>
      <c r="BK1057" s="346">
        <f t="shared" si="1990"/>
        <v>37.25</v>
      </c>
      <c r="BL1057" s="328">
        <v>34.359000000000002</v>
      </c>
      <c r="BM1057" s="328">
        <v>43.139000000000003</v>
      </c>
      <c r="BN1057" s="328">
        <v>43.466999999999999</v>
      </c>
      <c r="BO1057" s="328">
        <v>46.213999999999999</v>
      </c>
      <c r="BP1057" s="346">
        <f t="shared" si="1991"/>
        <v>46.213999999999999</v>
      </c>
      <c r="BQ1057" s="328">
        <v>47.847000000000001</v>
      </c>
      <c r="BR1057" s="328">
        <v>45.472000000000001</v>
      </c>
      <c r="BS1057" s="328">
        <v>45.673000000000002</v>
      </c>
      <c r="BT1057" s="347">
        <f t="shared" si="1992"/>
        <v>45.673000000000002</v>
      </c>
      <c r="BU1057" s="3944">
        <f t="shared" si="1993"/>
        <v>45.673000000000002</v>
      </c>
      <c r="BV1057" s="347">
        <f t="shared" si="1993"/>
        <v>45.673000000000002</v>
      </c>
      <c r="BW1057" s="347">
        <f t="shared" si="1994"/>
        <v>45.673000000000002</v>
      </c>
      <c r="BX1057" s="347">
        <f t="shared" si="1995"/>
        <v>45.673000000000002</v>
      </c>
      <c r="BY1057" s="347">
        <f t="shared" si="1996"/>
        <v>45.673000000000002</v>
      </c>
      <c r="BZ1057" s="4014">
        <f t="shared" si="1996"/>
        <v>45.673000000000002</v>
      </c>
      <c r="CA1057" s="346">
        <f t="shared" si="1997"/>
        <v>45.673000000000002</v>
      </c>
      <c r="CB1057" s="346">
        <f t="shared" si="1997"/>
        <v>45.673000000000002</v>
      </c>
      <c r="CC1057" s="346">
        <f t="shared" si="1998"/>
        <v>45.673000000000002</v>
      </c>
      <c r="CD1057" s="346">
        <f t="shared" si="1999"/>
        <v>45.673000000000002</v>
      </c>
      <c r="CE1057" s="346">
        <f t="shared" si="2000"/>
        <v>45.673000000000002</v>
      </c>
      <c r="CF1057" s="346">
        <f t="shared" si="2001"/>
        <v>45.673000000000002</v>
      </c>
      <c r="CG1057" s="346">
        <f t="shared" si="2002"/>
        <v>45.673000000000002</v>
      </c>
      <c r="CH1057" s="347"/>
      <c r="CI1057" s="347"/>
      <c r="CJ1057" s="347"/>
      <c r="CK1057" s="347"/>
      <c r="CL1057" s="347"/>
      <c r="CM1057" s="621"/>
      <c r="CN1057" s="621">
        <f t="shared" si="2003"/>
        <v>45.673000000000002</v>
      </c>
      <c r="CO1057" s="965">
        <f t="shared" si="1984"/>
        <v>-45.673000000000002</v>
      </c>
      <c r="CP1057" s="994" t="str">
        <f t="shared" si="1959"/>
        <v>Prepaid expenses and other</v>
      </c>
      <c r="CQ1057" s="347">
        <f t="shared" si="1960"/>
        <v>32.137999999999998</v>
      </c>
      <c r="CR1057" s="347">
        <f t="shared" si="1961"/>
        <v>41.550000000000004</v>
      </c>
      <c r="CS1057" s="347">
        <f t="shared" si="1962"/>
        <v>42.417000000000002</v>
      </c>
      <c r="CT1057" s="347">
        <f t="shared" si="1963"/>
        <v>39.896000000000001</v>
      </c>
      <c r="CU1057" s="347">
        <f t="shared" si="1964"/>
        <v>40.415999999999997</v>
      </c>
      <c r="CV1057" s="347">
        <f t="shared" si="1965"/>
        <v>24.818000000000001</v>
      </c>
      <c r="CW1057" s="347">
        <f t="shared" si="1966"/>
        <v>37.39</v>
      </c>
      <c r="CX1057" s="347">
        <f t="shared" si="1967"/>
        <v>47.465000000000003</v>
      </c>
      <c r="CY1057" s="347">
        <f t="shared" si="1968"/>
        <v>48.709000000000003</v>
      </c>
      <c r="CZ1057" s="347">
        <f t="shared" si="1969"/>
        <v>42.46</v>
      </c>
      <c r="DA1057" s="347">
        <f t="shared" si="1970"/>
        <v>32.944000000000003</v>
      </c>
      <c r="DB1057" s="347">
        <f t="shared" si="1971"/>
        <v>37.25</v>
      </c>
      <c r="DC1057" s="347">
        <f t="shared" si="1972"/>
        <v>46.213999999999999</v>
      </c>
      <c r="DD1057" s="347">
        <f t="shared" si="1973"/>
        <v>45.673000000000002</v>
      </c>
      <c r="DE1057" s="347">
        <f t="shared" si="1974"/>
        <v>45.673000000000002</v>
      </c>
      <c r="DF1057" s="347">
        <f t="shared" si="1975"/>
        <v>45.673000000000002</v>
      </c>
      <c r="DG1057" s="1795">
        <f t="shared" si="1976"/>
        <v>45.673000000000002</v>
      </c>
      <c r="DH1057" s="290"/>
      <c r="DI1057" s="290"/>
      <c r="DJ1057" s="290"/>
      <c r="DK1057" s="290"/>
      <c r="DL1057" s="290"/>
      <c r="DM1057" s="290"/>
      <c r="DN1057" s="492"/>
      <c r="DO1057" s="389"/>
      <c r="DY1057" s="347"/>
      <c r="DZ1057" s="347"/>
    </row>
    <row r="1058" spans="1:130" ht="12" customHeight="1">
      <c r="A1058" s="1790" t="s">
        <v>1044</v>
      </c>
      <c r="B1058" s="429"/>
      <c r="C1058" s="429"/>
      <c r="D1058" s="2060">
        <v>0</v>
      </c>
      <c r="E1058" s="637">
        <v>0</v>
      </c>
      <c r="F1058" s="637">
        <v>0</v>
      </c>
      <c r="G1058" s="637">
        <v>0</v>
      </c>
      <c r="H1058" s="735">
        <f>G1058</f>
        <v>0</v>
      </c>
      <c r="I1058" s="637">
        <v>0</v>
      </c>
      <c r="J1058" s="637">
        <v>0</v>
      </c>
      <c r="K1058" s="290">
        <f>+J1058</f>
        <v>0</v>
      </c>
      <c r="L1058" s="637">
        <v>0</v>
      </c>
      <c r="M1058" s="735">
        <f>L1058</f>
        <v>0</v>
      </c>
      <c r="N1058" s="637">
        <v>0</v>
      </c>
      <c r="O1058" s="637">
        <v>0</v>
      </c>
      <c r="P1058" s="637">
        <f>645.939</f>
        <v>645.93899999999996</v>
      </c>
      <c r="Q1058" s="637">
        <v>102.977</v>
      </c>
      <c r="R1058" s="735">
        <f>Q1058</f>
        <v>102.977</v>
      </c>
      <c r="S1058" s="637">
        <v>23.187999999999999</v>
      </c>
      <c r="T1058" s="637">
        <v>23.187999999999999</v>
      </c>
      <c r="U1058" s="637">
        <v>23.187999999999999</v>
      </c>
      <c r="V1058" s="637">
        <v>23.187999999999999</v>
      </c>
      <c r="W1058" s="735">
        <f>V1058</f>
        <v>23.187999999999999</v>
      </c>
      <c r="X1058" s="637">
        <v>24.132000000000001</v>
      </c>
      <c r="Y1058" s="637">
        <v>24.731999999999999</v>
      </c>
      <c r="Z1058" s="637">
        <v>24.061</v>
      </c>
      <c r="AA1058" s="637">
        <v>0.85299999999999998</v>
      </c>
      <c r="AB1058" s="735">
        <f>AA1058</f>
        <v>0.85299999999999998</v>
      </c>
      <c r="AC1058" s="637">
        <v>0.77</v>
      </c>
      <c r="AD1058" s="637">
        <v>0.45900000000000002</v>
      </c>
      <c r="AE1058" s="637">
        <v>0.36299999999999999</v>
      </c>
      <c r="AF1058" s="637">
        <v>0</v>
      </c>
      <c r="AG1058" s="735">
        <f>AF1058</f>
        <v>0</v>
      </c>
      <c r="AH1058" s="290">
        <v>0</v>
      </c>
      <c r="AI1058" s="637">
        <f>AH1058</f>
        <v>0</v>
      </c>
      <c r="AJ1058" s="637">
        <f>AI1058</f>
        <v>0</v>
      </c>
      <c r="AK1058" s="637">
        <v>0</v>
      </c>
      <c r="AL1058" s="735">
        <f t="shared" si="1985"/>
        <v>0</v>
      </c>
      <c r="AM1058" s="290">
        <v>0</v>
      </c>
      <c r="AN1058" s="637">
        <v>0</v>
      </c>
      <c r="AO1058" s="637">
        <v>0</v>
      </c>
      <c r="AP1058" s="637">
        <v>0</v>
      </c>
      <c r="AQ1058" s="735">
        <f t="shared" si="1986"/>
        <v>0</v>
      </c>
      <c r="AR1058" s="290">
        <v>0</v>
      </c>
      <c r="AS1058" s="637">
        <v>0</v>
      </c>
      <c r="AT1058" s="637">
        <v>0</v>
      </c>
      <c r="AU1058" s="637">
        <v>0</v>
      </c>
      <c r="AV1058" s="735">
        <f t="shared" si="1987"/>
        <v>0</v>
      </c>
      <c r="AW1058" s="637">
        <v>0</v>
      </c>
      <c r="AX1058" s="637">
        <f>AW1058</f>
        <v>0</v>
      </c>
      <c r="AY1058" s="637">
        <v>0</v>
      </c>
      <c r="AZ1058" s="637">
        <v>0</v>
      </c>
      <c r="BA1058" s="735">
        <f t="shared" si="1988"/>
        <v>0</v>
      </c>
      <c r="BB1058" s="637">
        <v>0</v>
      </c>
      <c r="BC1058" s="637">
        <v>0</v>
      </c>
      <c r="BD1058" s="637">
        <v>0</v>
      </c>
      <c r="BE1058" s="637">
        <v>0</v>
      </c>
      <c r="BF1058" s="735">
        <f t="shared" si="1989"/>
        <v>0</v>
      </c>
      <c r="BG1058" s="637">
        <v>0</v>
      </c>
      <c r="BH1058" s="637">
        <v>0</v>
      </c>
      <c r="BI1058" s="637">
        <v>0</v>
      </c>
      <c r="BJ1058" s="328">
        <v>0</v>
      </c>
      <c r="BK1058" s="735">
        <f t="shared" si="1990"/>
        <v>0</v>
      </c>
      <c r="BL1058" s="328">
        <f>BK1058</f>
        <v>0</v>
      </c>
      <c r="BM1058" s="637">
        <v>0</v>
      </c>
      <c r="BN1058" s="328">
        <v>0</v>
      </c>
      <c r="BO1058" s="328">
        <v>0</v>
      </c>
      <c r="BP1058" s="735">
        <f t="shared" si="1991"/>
        <v>0</v>
      </c>
      <c r="BQ1058" s="328">
        <v>0</v>
      </c>
      <c r="BR1058" s="328">
        <v>0</v>
      </c>
      <c r="BS1058" s="328">
        <v>0</v>
      </c>
      <c r="BT1058" s="290">
        <f t="shared" si="1992"/>
        <v>0</v>
      </c>
      <c r="BU1058" s="3945">
        <f t="shared" si="1993"/>
        <v>0</v>
      </c>
      <c r="BV1058" s="290">
        <f t="shared" si="1993"/>
        <v>0</v>
      </c>
      <c r="BW1058" s="290">
        <f t="shared" si="1994"/>
        <v>0</v>
      </c>
      <c r="BX1058" s="290">
        <f t="shared" si="1995"/>
        <v>0</v>
      </c>
      <c r="BY1058" s="290">
        <f t="shared" si="1996"/>
        <v>0</v>
      </c>
      <c r="BZ1058" s="4017">
        <f t="shared" si="1996"/>
        <v>0</v>
      </c>
      <c r="CA1058" s="735">
        <f t="shared" si="1997"/>
        <v>0</v>
      </c>
      <c r="CB1058" s="735">
        <f t="shared" si="1997"/>
        <v>0</v>
      </c>
      <c r="CC1058" s="735">
        <f t="shared" si="1998"/>
        <v>0</v>
      </c>
      <c r="CD1058" s="735">
        <f t="shared" si="1999"/>
        <v>0</v>
      </c>
      <c r="CE1058" s="735">
        <f t="shared" si="2000"/>
        <v>0</v>
      </c>
      <c r="CF1058" s="735">
        <f t="shared" si="2001"/>
        <v>0</v>
      </c>
      <c r="CG1058" s="735">
        <f t="shared" si="2002"/>
        <v>0</v>
      </c>
      <c r="CH1058" s="290"/>
      <c r="CI1058" s="290"/>
      <c r="CJ1058" s="290"/>
      <c r="CK1058" s="290"/>
      <c r="CL1058" s="290"/>
      <c r="CM1058" s="621"/>
      <c r="CN1058" s="621">
        <f t="shared" si="2003"/>
        <v>0</v>
      </c>
      <c r="CO1058" s="965">
        <f t="shared" si="1984"/>
        <v>0</v>
      </c>
      <c r="CP1058" s="1790" t="str">
        <f t="shared" si="1959"/>
        <v>Assets held for sale</v>
      </c>
      <c r="CQ1058" s="290">
        <f t="shared" si="1960"/>
        <v>0</v>
      </c>
      <c r="CR1058" s="290">
        <f t="shared" si="1961"/>
        <v>0</v>
      </c>
      <c r="CS1058" s="290">
        <f t="shared" si="1962"/>
        <v>102.977</v>
      </c>
      <c r="CT1058" s="290">
        <f t="shared" si="1963"/>
        <v>23.187999999999999</v>
      </c>
      <c r="CU1058" s="290">
        <f t="shared" si="1964"/>
        <v>0.85299999999999998</v>
      </c>
      <c r="CV1058" s="290">
        <f t="shared" si="1965"/>
        <v>0</v>
      </c>
      <c r="CW1058" s="290">
        <f t="shared" si="1966"/>
        <v>0</v>
      </c>
      <c r="CX1058" s="290">
        <f t="shared" si="1967"/>
        <v>0</v>
      </c>
      <c r="CY1058" s="290">
        <f t="shared" si="1968"/>
        <v>0</v>
      </c>
      <c r="CZ1058" s="290">
        <f t="shared" si="1969"/>
        <v>0</v>
      </c>
      <c r="DA1058" s="290">
        <f t="shared" si="1970"/>
        <v>0</v>
      </c>
      <c r="DB1058" s="290">
        <f t="shared" si="1971"/>
        <v>0</v>
      </c>
      <c r="DC1058" s="290">
        <f t="shared" si="1972"/>
        <v>0</v>
      </c>
      <c r="DD1058" s="290">
        <f t="shared" si="1973"/>
        <v>0</v>
      </c>
      <c r="DE1058" s="290">
        <f t="shared" si="1974"/>
        <v>0</v>
      </c>
      <c r="DF1058" s="290">
        <f t="shared" si="1975"/>
        <v>0</v>
      </c>
      <c r="DG1058" s="2061">
        <f t="shared" si="1976"/>
        <v>0</v>
      </c>
      <c r="DH1058" s="290"/>
      <c r="DI1058" s="290"/>
      <c r="DJ1058" s="290"/>
      <c r="DK1058" s="290"/>
      <c r="DL1058" s="290"/>
      <c r="DM1058" s="290"/>
      <c r="DN1058" s="290"/>
      <c r="DO1058" s="291"/>
      <c r="DY1058" s="290"/>
      <c r="DZ1058" s="290"/>
    </row>
    <row r="1059" spans="1:130" ht="12" customHeight="1">
      <c r="A1059" s="994" t="s">
        <v>1045</v>
      </c>
      <c r="B1059" s="552"/>
      <c r="C1059" s="552"/>
      <c r="D1059" s="327">
        <v>9.2230000000000008</v>
      </c>
      <c r="E1059" s="328">
        <v>12.827</v>
      </c>
      <c r="F1059" s="328">
        <f>0.859+6.765</f>
        <v>7.6239999999999997</v>
      </c>
      <c r="G1059" s="328">
        <f>16.004+4.711</f>
        <v>20.715000000000003</v>
      </c>
      <c r="H1059" s="346">
        <f>G1059</f>
        <v>20.715000000000003</v>
      </c>
      <c r="I1059" s="328">
        <v>4.234</v>
      </c>
      <c r="J1059" s="328">
        <f>5.07+0.703</f>
        <v>5.7730000000000006</v>
      </c>
      <c r="K1059" s="328">
        <f>4.412+7.667</f>
        <v>12.079000000000001</v>
      </c>
      <c r="L1059" s="328">
        <f>7.002+2.683</f>
        <v>9.6849999999999987</v>
      </c>
      <c r="M1059" s="346">
        <f>L1059</f>
        <v>9.6849999999999987</v>
      </c>
      <c r="N1059" s="328">
        <v>2.5089999999999999</v>
      </c>
      <c r="O1059" s="328">
        <f>2.601+23.015</f>
        <v>25.616</v>
      </c>
      <c r="P1059" s="328">
        <f>21.893+2.672</f>
        <v>24.565000000000001</v>
      </c>
      <c r="Q1059" s="328">
        <f>8.286+1.685</f>
        <v>9.9710000000000001</v>
      </c>
      <c r="R1059" s="346">
        <f>Q1059</f>
        <v>9.9710000000000001</v>
      </c>
      <c r="S1059" s="328">
        <v>2.2549999999999999</v>
      </c>
      <c r="T1059" s="328">
        <f>10.697+1.684</f>
        <v>12.380999999999998</v>
      </c>
      <c r="U1059" s="328">
        <f>0.682+1.596</f>
        <v>2.278</v>
      </c>
      <c r="V1059" s="328">
        <f>17.969+5.259</f>
        <v>23.228000000000002</v>
      </c>
      <c r="W1059" s="346">
        <f>V1059</f>
        <v>23.228000000000002</v>
      </c>
      <c r="X1059" s="328">
        <f>9.986+5.34</f>
        <v>15.326000000000001</v>
      </c>
      <c r="Y1059" s="328">
        <f>10.97+5.737</f>
        <v>16.707000000000001</v>
      </c>
      <c r="Z1059" s="328">
        <f>12.393+5.931</f>
        <v>18.324000000000002</v>
      </c>
      <c r="AA1059" s="328">
        <f>15.115+2.903</f>
        <v>18.018000000000001</v>
      </c>
      <c r="AB1059" s="346">
        <f>AA1059</f>
        <v>18.018000000000001</v>
      </c>
      <c r="AC1059" s="328">
        <f>11.125+3.293</f>
        <v>14.417999999999999</v>
      </c>
      <c r="AD1059" s="328">
        <f>9.299+5.11</f>
        <v>14.408999999999999</v>
      </c>
      <c r="AE1059" s="328">
        <f>11.681+5.103</f>
        <v>16.783999999999999</v>
      </c>
      <c r="AF1059" s="328">
        <f>20.807+7.766</f>
        <v>28.573</v>
      </c>
      <c r="AG1059" s="346">
        <f>AF1059</f>
        <v>28.573</v>
      </c>
      <c r="AH1059" s="328">
        <v>9.1080000000000005</v>
      </c>
      <c r="AI1059" s="328">
        <f>3.105+8.868</f>
        <v>11.973000000000001</v>
      </c>
      <c r="AJ1059" s="328">
        <f>5.246+9.807</f>
        <v>15.053000000000001</v>
      </c>
      <c r="AK1059" s="328">
        <f>5.249+8.149</f>
        <v>13.398</v>
      </c>
      <c r="AL1059" s="346">
        <f t="shared" si="1985"/>
        <v>13.398</v>
      </c>
      <c r="AM1059" s="328">
        <f>5.043+8.269</f>
        <v>13.312000000000001</v>
      </c>
      <c r="AN1059" s="328">
        <v>9.6340000000000003</v>
      </c>
      <c r="AO1059" s="328">
        <v>9.1129999999999995</v>
      </c>
      <c r="AP1059" s="328">
        <f>3.268+21.57</f>
        <v>24.838000000000001</v>
      </c>
      <c r="AQ1059" s="346">
        <f t="shared" si="1986"/>
        <v>24.838000000000001</v>
      </c>
      <c r="AR1059" s="328">
        <f>2.361+18.545</f>
        <v>20.906000000000002</v>
      </c>
      <c r="AS1059" s="328">
        <f>3.319+15.693</f>
        <v>19.012</v>
      </c>
      <c r="AT1059" s="328">
        <f>6.452+24.122</f>
        <v>30.573999999999998</v>
      </c>
      <c r="AU1059" s="328">
        <f>2.875+7.623</f>
        <v>10.498000000000001</v>
      </c>
      <c r="AV1059" s="346">
        <f t="shared" si="1987"/>
        <v>10.498000000000001</v>
      </c>
      <c r="AW1059" s="328">
        <f>1.498+8.216</f>
        <v>9.7139999999999986</v>
      </c>
      <c r="AX1059" s="328">
        <f>1.643+7.796</f>
        <v>9.4390000000000001</v>
      </c>
      <c r="AY1059" s="328">
        <f>1.636+4.491</f>
        <v>6.1269999999999998</v>
      </c>
      <c r="AZ1059" s="328">
        <f>1.143+7.265</f>
        <v>8.4079999999999995</v>
      </c>
      <c r="BA1059" s="346">
        <f t="shared" si="1988"/>
        <v>8.4079999999999995</v>
      </c>
      <c r="BB1059" s="328">
        <f>1.177+5.486</f>
        <v>6.6630000000000003</v>
      </c>
      <c r="BC1059" s="328">
        <f>1.189+5.417</f>
        <v>6.6059999999999999</v>
      </c>
      <c r="BD1059" s="328">
        <f>0.738+3.127</f>
        <v>3.8649999999999998</v>
      </c>
      <c r="BE1059" s="328">
        <f>1.243+1.919</f>
        <v>3.1619999999999999</v>
      </c>
      <c r="BF1059" s="346">
        <f t="shared" si="1989"/>
        <v>3.1619999999999999</v>
      </c>
      <c r="BG1059" s="328">
        <f>1.247+0.117</f>
        <v>1.3640000000000001</v>
      </c>
      <c r="BH1059" s="328">
        <v>0.20200000000000001</v>
      </c>
      <c r="BI1059" s="328">
        <v>0</v>
      </c>
      <c r="BJ1059" s="328">
        <v>1.38</v>
      </c>
      <c r="BK1059" s="346">
        <f t="shared" si="1990"/>
        <v>1.38</v>
      </c>
      <c r="BL1059" s="328">
        <v>0.55600000000000005</v>
      </c>
      <c r="BM1059" s="328">
        <v>1.615</v>
      </c>
      <c r="BN1059" s="328">
        <v>1.1679999999999999</v>
      </c>
      <c r="BO1059" s="328">
        <v>2.444</v>
      </c>
      <c r="BP1059" s="346">
        <f t="shared" si="1991"/>
        <v>2.444</v>
      </c>
      <c r="BQ1059" s="328">
        <v>0.92700000000000005</v>
      </c>
      <c r="BR1059" s="328">
        <v>0.58199999999999996</v>
      </c>
      <c r="BS1059" s="328">
        <v>0.22500000000000001</v>
      </c>
      <c r="BT1059" s="347">
        <f t="shared" si="1992"/>
        <v>0.22500000000000001</v>
      </c>
      <c r="BU1059" s="3944">
        <f t="shared" si="1993"/>
        <v>0.22500000000000001</v>
      </c>
      <c r="BV1059" s="347">
        <f t="shared" si="1993"/>
        <v>0.22500000000000001</v>
      </c>
      <c r="BW1059" s="347">
        <f t="shared" si="1994"/>
        <v>0.22500000000000001</v>
      </c>
      <c r="BX1059" s="347">
        <f t="shared" si="1995"/>
        <v>0.22500000000000001</v>
      </c>
      <c r="BY1059" s="347">
        <f t="shared" si="1996"/>
        <v>0.22500000000000001</v>
      </c>
      <c r="BZ1059" s="4014">
        <f t="shared" si="1996"/>
        <v>0.22500000000000001</v>
      </c>
      <c r="CA1059" s="346">
        <f t="shared" si="1997"/>
        <v>0.22500000000000001</v>
      </c>
      <c r="CB1059" s="346">
        <f t="shared" si="1997"/>
        <v>0.22500000000000001</v>
      </c>
      <c r="CC1059" s="346">
        <f t="shared" si="1998"/>
        <v>0.22500000000000001</v>
      </c>
      <c r="CD1059" s="346">
        <f t="shared" si="1999"/>
        <v>0.22500000000000001</v>
      </c>
      <c r="CE1059" s="346">
        <f t="shared" si="2000"/>
        <v>0.22500000000000001</v>
      </c>
      <c r="CF1059" s="346">
        <f t="shared" si="2001"/>
        <v>0.22500000000000001</v>
      </c>
      <c r="CG1059" s="346">
        <f t="shared" si="2002"/>
        <v>0.22500000000000001</v>
      </c>
      <c r="CH1059" s="467"/>
      <c r="CI1059" s="467"/>
      <c r="CJ1059" s="467"/>
      <c r="CK1059" s="467"/>
      <c r="CL1059" s="467"/>
      <c r="CM1059" s="621"/>
      <c r="CN1059" s="621">
        <f t="shared" si="2003"/>
        <v>0.22500000000000001</v>
      </c>
      <c r="CO1059" s="965">
        <f t="shared" si="1984"/>
        <v>-0.22500000000000001</v>
      </c>
      <c r="CP1059" s="994" t="str">
        <f t="shared" si="1959"/>
        <v>Income taxes receivable / deferred</v>
      </c>
      <c r="CQ1059" s="347">
        <f t="shared" si="1960"/>
        <v>20.715000000000003</v>
      </c>
      <c r="CR1059" s="347">
        <f t="shared" si="1961"/>
        <v>9.6849999999999987</v>
      </c>
      <c r="CS1059" s="347">
        <f t="shared" si="1962"/>
        <v>9.9710000000000001</v>
      </c>
      <c r="CT1059" s="347">
        <f t="shared" si="1963"/>
        <v>23.228000000000002</v>
      </c>
      <c r="CU1059" s="347">
        <f t="shared" si="1964"/>
        <v>18.018000000000001</v>
      </c>
      <c r="CV1059" s="347">
        <f t="shared" si="1965"/>
        <v>28.573</v>
      </c>
      <c r="CW1059" s="347">
        <f t="shared" si="1966"/>
        <v>13.398</v>
      </c>
      <c r="CX1059" s="347">
        <f t="shared" si="1967"/>
        <v>24.838000000000001</v>
      </c>
      <c r="CY1059" s="347">
        <f t="shared" si="1968"/>
        <v>10.498000000000001</v>
      </c>
      <c r="CZ1059" s="347">
        <f t="shared" si="1969"/>
        <v>8.4079999999999995</v>
      </c>
      <c r="DA1059" s="347">
        <f t="shared" si="1970"/>
        <v>3.1619999999999999</v>
      </c>
      <c r="DB1059" s="347">
        <f t="shared" si="1971"/>
        <v>1.38</v>
      </c>
      <c r="DC1059" s="347">
        <f t="shared" si="1972"/>
        <v>2.444</v>
      </c>
      <c r="DD1059" s="347">
        <f t="shared" si="1973"/>
        <v>0.22500000000000001</v>
      </c>
      <c r="DE1059" s="347">
        <f t="shared" si="1974"/>
        <v>0.22500000000000001</v>
      </c>
      <c r="DF1059" s="347">
        <f t="shared" si="1975"/>
        <v>0.22500000000000001</v>
      </c>
      <c r="DG1059" s="1795">
        <f t="shared" si="1976"/>
        <v>0.22500000000000001</v>
      </c>
      <c r="DH1059" s="290"/>
      <c r="DI1059" s="290"/>
      <c r="DJ1059" s="290"/>
      <c r="DK1059" s="290"/>
      <c r="DL1059" s="290"/>
      <c r="DM1059" s="290"/>
      <c r="DN1059" s="492"/>
      <c r="DO1059" s="389"/>
      <c r="DY1059" s="347"/>
      <c r="DZ1059" s="347"/>
    </row>
    <row r="1060" spans="1:130" ht="4.5" customHeight="1">
      <c r="A1060" s="1784"/>
      <c r="B1060" s="293"/>
      <c r="C1060" s="293"/>
      <c r="D1060" s="294" t="s">
        <v>343</v>
      </c>
      <c r="E1060" s="295" t="s">
        <v>343</v>
      </c>
      <c r="F1060" s="295" t="s">
        <v>343</v>
      </c>
      <c r="G1060" s="295" t="s">
        <v>343</v>
      </c>
      <c r="H1060" s="296" t="s">
        <v>343</v>
      </c>
      <c r="I1060" s="295" t="s">
        <v>343</v>
      </c>
      <c r="J1060" s="295" t="s">
        <v>343</v>
      </c>
      <c r="K1060" s="295" t="s">
        <v>343</v>
      </c>
      <c r="L1060" s="295" t="s">
        <v>343</v>
      </c>
      <c r="M1060" s="296" t="s">
        <v>343</v>
      </c>
      <c r="N1060" s="295" t="s">
        <v>343</v>
      </c>
      <c r="O1060" s="295" t="s">
        <v>343</v>
      </c>
      <c r="P1060" s="295" t="s">
        <v>343</v>
      </c>
      <c r="Q1060" s="295" t="s">
        <v>343</v>
      </c>
      <c r="R1060" s="296" t="s">
        <v>343</v>
      </c>
      <c r="S1060" s="295" t="s">
        <v>343</v>
      </c>
      <c r="T1060" s="295" t="s">
        <v>343</v>
      </c>
      <c r="U1060" s="295" t="s">
        <v>343</v>
      </c>
      <c r="V1060" s="295" t="s">
        <v>343</v>
      </c>
      <c r="W1060" s="296" t="s">
        <v>343</v>
      </c>
      <c r="X1060" s="295" t="s">
        <v>343</v>
      </c>
      <c r="Y1060" s="295" t="s">
        <v>343</v>
      </c>
      <c r="Z1060" s="295" t="s">
        <v>343</v>
      </c>
      <c r="AA1060" s="295" t="s">
        <v>343</v>
      </c>
      <c r="AB1060" s="296" t="s">
        <v>343</v>
      </c>
      <c r="AC1060" s="295" t="s">
        <v>343</v>
      </c>
      <c r="AD1060" s="295" t="s">
        <v>343</v>
      </c>
      <c r="AE1060" s="295" t="s">
        <v>343</v>
      </c>
      <c r="AF1060" s="295" t="s">
        <v>343</v>
      </c>
      <c r="AG1060" s="296" t="s">
        <v>343</v>
      </c>
      <c r="AH1060" s="295" t="s">
        <v>343</v>
      </c>
      <c r="AI1060" s="295" t="s">
        <v>343</v>
      </c>
      <c r="AJ1060" s="295" t="s">
        <v>343</v>
      </c>
      <c r="AK1060" s="295" t="s">
        <v>343</v>
      </c>
      <c r="AL1060" s="296" t="s">
        <v>343</v>
      </c>
      <c r="AM1060" s="295" t="s">
        <v>343</v>
      </c>
      <c r="AN1060" s="295" t="s">
        <v>343</v>
      </c>
      <c r="AO1060" s="295" t="s">
        <v>343</v>
      </c>
      <c r="AP1060" s="295" t="s">
        <v>343</v>
      </c>
      <c r="AQ1060" s="296" t="s">
        <v>343</v>
      </c>
      <c r="AR1060" s="295" t="s">
        <v>343</v>
      </c>
      <c r="AS1060" s="295" t="s">
        <v>343</v>
      </c>
      <c r="AT1060" s="295" t="s">
        <v>343</v>
      </c>
      <c r="AU1060" s="295" t="s">
        <v>343</v>
      </c>
      <c r="AV1060" s="296" t="s">
        <v>343</v>
      </c>
      <c r="AW1060" s="295" t="s">
        <v>343</v>
      </c>
      <c r="AX1060" s="295" t="s">
        <v>343</v>
      </c>
      <c r="AY1060" s="295" t="s">
        <v>343</v>
      </c>
      <c r="AZ1060" s="295" t="s">
        <v>343</v>
      </c>
      <c r="BA1060" s="296" t="s">
        <v>343</v>
      </c>
      <c r="BB1060" s="295" t="s">
        <v>343</v>
      </c>
      <c r="BC1060" s="295" t="s">
        <v>343</v>
      </c>
      <c r="BD1060" s="295" t="s">
        <v>343</v>
      </c>
      <c r="BE1060" s="295" t="s">
        <v>343</v>
      </c>
      <c r="BF1060" s="296" t="s">
        <v>343</v>
      </c>
      <c r="BG1060" s="295" t="s">
        <v>343</v>
      </c>
      <c r="BH1060" s="295" t="s">
        <v>343</v>
      </c>
      <c r="BI1060" s="295" t="s">
        <v>343</v>
      </c>
      <c r="BJ1060" s="295" t="s">
        <v>343</v>
      </c>
      <c r="BK1060" s="296" t="s">
        <v>343</v>
      </c>
      <c r="BL1060" s="295" t="s">
        <v>343</v>
      </c>
      <c r="BM1060" s="295" t="s">
        <v>343</v>
      </c>
      <c r="BN1060" s="295" t="s">
        <v>343</v>
      </c>
      <c r="BO1060" s="295" t="s">
        <v>343</v>
      </c>
      <c r="BP1060" s="296" t="s">
        <v>343</v>
      </c>
      <c r="BQ1060" s="295" t="s">
        <v>343</v>
      </c>
      <c r="BR1060" s="295" t="s">
        <v>343</v>
      </c>
      <c r="BS1060" s="295" t="s">
        <v>343</v>
      </c>
      <c r="BT1060" s="295" t="s">
        <v>343</v>
      </c>
      <c r="BU1060" s="3946" t="s">
        <v>343</v>
      </c>
      <c r="BV1060" s="295" t="s">
        <v>343</v>
      </c>
      <c r="BW1060" s="295" t="s">
        <v>343</v>
      </c>
      <c r="BX1060" s="295" t="s">
        <v>343</v>
      </c>
      <c r="BY1060" s="295" t="s">
        <v>343</v>
      </c>
      <c r="BZ1060" s="296" t="s">
        <v>343</v>
      </c>
      <c r="CA1060" s="297" t="s">
        <v>343</v>
      </c>
      <c r="CB1060" s="297" t="s">
        <v>343</v>
      </c>
      <c r="CC1060" s="297" t="s">
        <v>343</v>
      </c>
      <c r="CD1060" s="297" t="s">
        <v>343</v>
      </c>
      <c r="CE1060" s="297" t="s">
        <v>343</v>
      </c>
      <c r="CF1060" s="297" t="s">
        <v>343</v>
      </c>
      <c r="CG1060" s="297" t="s">
        <v>343</v>
      </c>
      <c r="CH1060" s="295"/>
      <c r="CI1060" s="295"/>
      <c r="CJ1060" s="295"/>
      <c r="CK1060" s="295"/>
      <c r="CL1060" s="295"/>
      <c r="CM1060" s="295"/>
      <c r="CN1060" s="295"/>
      <c r="CO1060" s="965">
        <f t="shared" si="1984"/>
        <v>0</v>
      </c>
      <c r="CP1060" s="1784"/>
      <c r="CQ1060" s="295" t="str">
        <f t="shared" si="1960"/>
        <v xml:space="preserve">                </v>
      </c>
      <c r="CR1060" s="295" t="str">
        <f t="shared" si="1961"/>
        <v xml:space="preserve">                </v>
      </c>
      <c r="CS1060" s="295" t="str">
        <f t="shared" si="1962"/>
        <v xml:space="preserve">                </v>
      </c>
      <c r="CT1060" s="295" t="str">
        <f t="shared" si="1963"/>
        <v xml:space="preserve">                </v>
      </c>
      <c r="CU1060" s="295" t="str">
        <f t="shared" si="1964"/>
        <v xml:space="preserve">                </v>
      </c>
      <c r="CV1060" s="295" t="str">
        <f t="shared" si="1965"/>
        <v xml:space="preserve">                </v>
      </c>
      <c r="CW1060" s="295" t="str">
        <f t="shared" si="1966"/>
        <v xml:space="preserve">                </v>
      </c>
      <c r="CX1060" s="295" t="str">
        <f t="shared" si="1967"/>
        <v xml:space="preserve">                </v>
      </c>
      <c r="CY1060" s="295" t="str">
        <f t="shared" si="1968"/>
        <v xml:space="preserve">                </v>
      </c>
      <c r="CZ1060" s="295" t="str">
        <f t="shared" si="1969"/>
        <v xml:space="preserve">                </v>
      </c>
      <c r="DA1060" s="295" t="str">
        <f t="shared" si="1970"/>
        <v xml:space="preserve">                </v>
      </c>
      <c r="DB1060" s="295" t="str">
        <f t="shared" si="1971"/>
        <v xml:space="preserve">                </v>
      </c>
      <c r="DC1060" s="295" t="str">
        <f t="shared" si="1972"/>
        <v xml:space="preserve">                </v>
      </c>
      <c r="DD1060" s="295" t="str">
        <f t="shared" si="1973"/>
        <v xml:space="preserve">                </v>
      </c>
      <c r="DE1060" s="295" t="str">
        <f t="shared" si="1974"/>
        <v xml:space="preserve">                </v>
      </c>
      <c r="DF1060" s="295" t="str">
        <f t="shared" si="1975"/>
        <v xml:space="preserve">                </v>
      </c>
      <c r="DG1060" s="297" t="str">
        <f t="shared" si="1976"/>
        <v xml:space="preserve">                </v>
      </c>
      <c r="DH1060" s="298"/>
      <c r="DI1060" s="299"/>
      <c r="DJ1060" s="299"/>
      <c r="DK1060" s="299"/>
      <c r="DL1060" s="299"/>
      <c r="DM1060" s="299"/>
      <c r="DN1060" s="299"/>
      <c r="DO1060" s="300"/>
      <c r="DY1060" s="295"/>
      <c r="DZ1060" s="295"/>
    </row>
    <row r="1061" spans="1:130" ht="12" customHeight="1">
      <c r="A1061" s="400" t="s">
        <v>1638</v>
      </c>
      <c r="B1061" s="891"/>
      <c r="C1061" s="891"/>
      <c r="D1061" s="582">
        <f t="shared" ref="D1061:J1061" si="2004">SUM(D1053:D1059)</f>
        <v>135.24200000000002</v>
      </c>
      <c r="E1061" s="621">
        <f t="shared" si="2004"/>
        <v>152.62400000000002</v>
      </c>
      <c r="F1061" s="621">
        <f t="shared" si="2004"/>
        <v>219.27400000000006</v>
      </c>
      <c r="G1061" s="621">
        <f t="shared" si="2004"/>
        <v>262.05499999999995</v>
      </c>
      <c r="H1061" s="585">
        <f t="shared" si="2004"/>
        <v>262.05500000000023</v>
      </c>
      <c r="I1061" s="621">
        <f t="shared" si="2004"/>
        <v>222.57000000000019</v>
      </c>
      <c r="J1061" s="621">
        <f t="shared" si="2004"/>
        <v>238.38600000000014</v>
      </c>
      <c r="K1061" s="621">
        <f t="shared" ref="K1061:AG1061" si="2005">SUM(K1053:K1059)</f>
        <v>238.69700000000017</v>
      </c>
      <c r="L1061" s="621">
        <f t="shared" si="2005"/>
        <v>288.16100000000012</v>
      </c>
      <c r="M1061" s="585">
        <f t="shared" si="2005"/>
        <v>288.16100000000012</v>
      </c>
      <c r="N1061" s="621">
        <f t="shared" si="2005"/>
        <v>272.6600000000002</v>
      </c>
      <c r="O1061" s="621">
        <f t="shared" si="2005"/>
        <v>293.40900000000022</v>
      </c>
      <c r="P1061" s="621">
        <f t="shared" si="2005"/>
        <v>961.51700000000028</v>
      </c>
      <c r="Q1061" s="621">
        <f t="shared" si="2005"/>
        <v>374.678</v>
      </c>
      <c r="R1061" s="585">
        <f t="shared" si="2005"/>
        <v>374.678</v>
      </c>
      <c r="S1061" s="621">
        <f t="shared" si="2005"/>
        <v>300.49099999999981</v>
      </c>
      <c r="T1061" s="621">
        <f t="shared" si="2005"/>
        <v>316.35499999999996</v>
      </c>
      <c r="U1061" s="621">
        <f t="shared" si="2005"/>
        <v>307.9439999999999</v>
      </c>
      <c r="V1061" s="621">
        <f t="shared" si="2005"/>
        <v>339.12799999999999</v>
      </c>
      <c r="W1061" s="585">
        <f t="shared" si="2005"/>
        <v>339.12799999999999</v>
      </c>
      <c r="X1061" s="621">
        <f t="shared" si="2005"/>
        <v>310.50800000000004</v>
      </c>
      <c r="Y1061" s="621">
        <f t="shared" si="2005"/>
        <v>310.43099999999993</v>
      </c>
      <c r="Z1061" s="621">
        <f t="shared" si="2005"/>
        <v>262.29200000000003</v>
      </c>
      <c r="AA1061" s="621">
        <f t="shared" si="2005"/>
        <v>214.44800000000015</v>
      </c>
      <c r="AB1061" s="585">
        <f t="shared" si="2005"/>
        <v>214.44800000000015</v>
      </c>
      <c r="AC1061" s="621">
        <f t="shared" si="2005"/>
        <v>208.51900000000018</v>
      </c>
      <c r="AD1061" s="621">
        <f t="shared" si="2005"/>
        <v>211.05200000000013</v>
      </c>
      <c r="AE1061" s="621">
        <f t="shared" si="2005"/>
        <v>204.28800000000015</v>
      </c>
      <c r="AF1061" s="621">
        <f t="shared" si="2005"/>
        <v>192.73700000000034</v>
      </c>
      <c r="AG1061" s="585">
        <f t="shared" si="2005"/>
        <v>192.73700000000034</v>
      </c>
      <c r="AH1061" s="621">
        <f t="shared" ref="AH1061:AU1061" si="2006">SUM(AH1053:AH1059)</f>
        <v>225.93600000000032</v>
      </c>
      <c r="AI1061" s="621">
        <f t="shared" si="2006"/>
        <v>224.17100000000033</v>
      </c>
      <c r="AJ1061" s="621">
        <f t="shared" si="2006"/>
        <v>229.62300000000047</v>
      </c>
      <c r="AK1061" s="621">
        <f t="shared" si="2006"/>
        <v>279.87600000000037</v>
      </c>
      <c r="AL1061" s="585">
        <f t="shared" si="2006"/>
        <v>279.87600000000037</v>
      </c>
      <c r="AM1061" s="621">
        <f t="shared" si="2006"/>
        <v>294.41800000000035</v>
      </c>
      <c r="AN1061" s="621">
        <f t="shared" si="2006"/>
        <v>305.13500000000033</v>
      </c>
      <c r="AO1061" s="621">
        <f t="shared" si="2006"/>
        <v>333.54000000000036</v>
      </c>
      <c r="AP1061" s="621">
        <f t="shared" si="2006"/>
        <v>342.89400000000029</v>
      </c>
      <c r="AQ1061" s="585">
        <f>SUM(AQ1053:AQ1059)</f>
        <v>342.89400000000029</v>
      </c>
      <c r="AR1061" s="621">
        <f t="shared" si="2006"/>
        <v>313.23700000000036</v>
      </c>
      <c r="AS1061" s="621">
        <f t="shared" si="2006"/>
        <v>526.87900000000036</v>
      </c>
      <c r="AT1061" s="621">
        <f t="shared" si="2006"/>
        <v>893.28800000000047</v>
      </c>
      <c r="AU1061" s="621">
        <f t="shared" si="2006"/>
        <v>355.59300000000036</v>
      </c>
      <c r="AV1061" s="585">
        <f t="shared" ref="AV1061:BG1061" si="2007">SUM(AV1053:AV1059)</f>
        <v>355.59300000000019</v>
      </c>
      <c r="AW1061" s="621">
        <f t="shared" si="2007"/>
        <v>561.36200000000008</v>
      </c>
      <c r="AX1061" s="621">
        <f t="shared" si="2007"/>
        <v>343.0710000000002</v>
      </c>
      <c r="AY1061" s="621">
        <f t="shared" si="2007"/>
        <v>324.87000000000052</v>
      </c>
      <c r="AZ1061" s="621">
        <f t="shared" si="2007"/>
        <v>334.68000000000012</v>
      </c>
      <c r="BA1061" s="585">
        <f t="shared" si="2007"/>
        <v>334.68000000000018</v>
      </c>
      <c r="BB1061" s="621">
        <f t="shared" si="2007"/>
        <v>324.40100000000018</v>
      </c>
      <c r="BC1061" s="621">
        <f t="shared" si="2007"/>
        <v>336.65200000000016</v>
      </c>
      <c r="BD1061" s="621">
        <f t="shared" si="2007"/>
        <v>230.45100000000022</v>
      </c>
      <c r="BE1061" s="621">
        <f t="shared" si="2007"/>
        <v>241.95000000000013</v>
      </c>
      <c r="BF1061" s="585">
        <f t="shared" si="2007"/>
        <v>241.95000000000013</v>
      </c>
      <c r="BG1061" s="621">
        <f t="shared" si="2007"/>
        <v>232.03400000000013</v>
      </c>
      <c r="BH1061" s="621">
        <f t="shared" ref="BH1061:BP1061" si="2008">SUM(BH1053:BH1059)</f>
        <v>230.88100000000026</v>
      </c>
      <c r="BI1061" s="621">
        <f t="shared" si="2008"/>
        <v>228.16800000000009</v>
      </c>
      <c r="BJ1061" s="621">
        <f t="shared" si="2008"/>
        <v>257.23200000000008</v>
      </c>
      <c r="BK1061" s="585">
        <f t="shared" si="2008"/>
        <v>257.23200000000008</v>
      </c>
      <c r="BL1061" s="621">
        <f t="shared" si="2008"/>
        <v>712.68400000000008</v>
      </c>
      <c r="BM1061" s="621">
        <f>SUM(BM1053:BM1059)</f>
        <v>735.87700000000007</v>
      </c>
      <c r="BN1061" s="621">
        <f t="shared" ref="BN1061" si="2009">SUM(BN1053:BN1059)</f>
        <v>270.3000000000003</v>
      </c>
      <c r="BO1061" s="621">
        <f t="shared" si="2008"/>
        <v>307.94699999999995</v>
      </c>
      <c r="BP1061" s="585">
        <f t="shared" si="2008"/>
        <v>307.94699999999995</v>
      </c>
      <c r="BQ1061" s="621">
        <f t="shared" ref="BQ1061:CG1061" si="2010">SUM(BQ1053:BQ1059)</f>
        <v>283.84299999999996</v>
      </c>
      <c r="BR1061" s="621">
        <f t="shared" si="2010"/>
        <v>279.74299999999982</v>
      </c>
      <c r="BS1061" s="621">
        <f t="shared" si="2010"/>
        <v>282.78699999999992</v>
      </c>
      <c r="BT1061" s="621">
        <f t="shared" si="2010"/>
        <v>327.05500000000001</v>
      </c>
      <c r="BU1061" s="3947">
        <f t="shared" si="2010"/>
        <v>327.05500000000006</v>
      </c>
      <c r="BV1061" s="621">
        <f t="shared" ref="BV1061:BZ1061" si="2011">SUM(BV1053:BV1059)</f>
        <v>422.3044185017983</v>
      </c>
      <c r="BW1061" s="621">
        <f t="shared" si="2011"/>
        <v>473.02052948765134</v>
      </c>
      <c r="BX1061" s="621">
        <f t="shared" si="2011"/>
        <v>248.6337351703533</v>
      </c>
      <c r="BY1061" s="621">
        <f t="shared" si="2011"/>
        <v>330.53368206137105</v>
      </c>
      <c r="BZ1061" s="3121">
        <f t="shared" si="2011"/>
        <v>330.53368206137105</v>
      </c>
      <c r="CA1061" s="585">
        <f t="shared" si="2010"/>
        <v>690.23157320781877</v>
      </c>
      <c r="CB1061" s="585">
        <f t="shared" si="2010"/>
        <v>1054.8859045709146</v>
      </c>
      <c r="CC1061" s="585">
        <f t="shared" si="2010"/>
        <v>123.955</v>
      </c>
      <c r="CD1061" s="585">
        <f t="shared" si="2010"/>
        <v>123.955</v>
      </c>
      <c r="CE1061" s="585">
        <f t="shared" si="2010"/>
        <v>123.955</v>
      </c>
      <c r="CF1061" s="585">
        <f t="shared" si="2010"/>
        <v>123.955</v>
      </c>
      <c r="CG1061" s="585">
        <f t="shared" si="2010"/>
        <v>123.955</v>
      </c>
      <c r="CH1061" s="621"/>
      <c r="CI1061" s="621"/>
      <c r="CJ1061" s="621"/>
      <c r="CK1061" s="621"/>
      <c r="CL1061" s="621"/>
      <c r="CM1061" s="621"/>
      <c r="CN1061" s="621">
        <f>BY1061</f>
        <v>330.53368206137105</v>
      </c>
      <c r="CO1061" s="965">
        <f t="shared" si="1984"/>
        <v>-330.53368206137105</v>
      </c>
      <c r="CP1061" s="400" t="str">
        <f t="shared" si="1959"/>
        <v>Total Current Assets</v>
      </c>
      <c r="CQ1061" s="621">
        <f t="shared" si="1960"/>
        <v>262.05500000000023</v>
      </c>
      <c r="CR1061" s="621">
        <f t="shared" si="1961"/>
        <v>288.16100000000012</v>
      </c>
      <c r="CS1061" s="621">
        <f t="shared" si="1962"/>
        <v>374.678</v>
      </c>
      <c r="CT1061" s="621">
        <f t="shared" si="1963"/>
        <v>339.12799999999999</v>
      </c>
      <c r="CU1061" s="621">
        <f t="shared" si="1964"/>
        <v>214.44800000000015</v>
      </c>
      <c r="CV1061" s="621">
        <f t="shared" si="1965"/>
        <v>192.73700000000034</v>
      </c>
      <c r="CW1061" s="621">
        <f t="shared" si="1966"/>
        <v>279.87600000000037</v>
      </c>
      <c r="CX1061" s="621">
        <f t="shared" si="1967"/>
        <v>342.89400000000029</v>
      </c>
      <c r="CY1061" s="621">
        <f t="shared" si="1968"/>
        <v>355.59300000000019</v>
      </c>
      <c r="CZ1061" s="621">
        <f t="shared" si="1969"/>
        <v>334.68000000000018</v>
      </c>
      <c r="DA1061" s="621">
        <f t="shared" si="1970"/>
        <v>241.95000000000013</v>
      </c>
      <c r="DB1061" s="621">
        <f t="shared" si="1971"/>
        <v>257.23200000000008</v>
      </c>
      <c r="DC1061" s="621">
        <f t="shared" si="1972"/>
        <v>307.94699999999995</v>
      </c>
      <c r="DD1061" s="621">
        <f t="shared" si="1973"/>
        <v>327.05500000000006</v>
      </c>
      <c r="DE1061" s="621">
        <f t="shared" si="1974"/>
        <v>330.53368206137105</v>
      </c>
      <c r="DF1061" s="621">
        <f t="shared" si="1975"/>
        <v>690.23157320781877</v>
      </c>
      <c r="DG1061" s="842">
        <f t="shared" si="1976"/>
        <v>1054.8859045709146</v>
      </c>
      <c r="DH1061" s="620"/>
      <c r="DI1061" s="620"/>
      <c r="DJ1061" s="620"/>
      <c r="DK1061" s="620"/>
      <c r="DL1061" s="620"/>
      <c r="DM1061" s="620"/>
      <c r="DN1061" s="814"/>
      <c r="DO1061" s="401"/>
      <c r="DY1061" s="621"/>
      <c r="DZ1061" s="621"/>
    </row>
    <row r="1062" spans="1:130" ht="12" customHeight="1">
      <c r="A1062" s="400"/>
      <c r="B1062" s="891"/>
      <c r="C1062" s="891"/>
      <c r="D1062" s="667"/>
      <c r="E1062" s="622"/>
      <c r="F1062" s="622"/>
      <c r="G1062" s="622"/>
      <c r="H1062" s="586"/>
      <c r="I1062" s="622"/>
      <c r="J1062" s="622"/>
      <c r="K1062" s="622"/>
      <c r="L1062" s="622"/>
      <c r="M1062" s="586"/>
      <c r="N1062" s="622"/>
      <c r="O1062" s="622"/>
      <c r="P1062" s="622"/>
      <c r="Q1062" s="622"/>
      <c r="R1062" s="586"/>
      <c r="S1062" s="622"/>
      <c r="T1062" s="622"/>
      <c r="U1062" s="622"/>
      <c r="V1062" s="622"/>
      <c r="W1062" s="586"/>
      <c r="X1062" s="622"/>
      <c r="Y1062" s="622"/>
      <c r="Z1062" s="622"/>
      <c r="AA1062" s="622"/>
      <c r="AB1062" s="586"/>
      <c r="AC1062" s="622"/>
      <c r="AD1062" s="622"/>
      <c r="AE1062" s="622"/>
      <c r="AF1062" s="622"/>
      <c r="AG1062" s="586"/>
      <c r="AH1062" s="622"/>
      <c r="AI1062" s="622"/>
      <c r="AJ1062" s="622"/>
      <c r="AK1062" s="622"/>
      <c r="AL1062" s="586"/>
      <c r="AM1062" s="622"/>
      <c r="AN1062" s="622"/>
      <c r="AO1062" s="622"/>
      <c r="AP1062" s="622"/>
      <c r="AQ1062" s="586"/>
      <c r="AR1062" s="622"/>
      <c r="AS1062" s="622"/>
      <c r="AT1062" s="622"/>
      <c r="AU1062" s="622"/>
      <c r="AV1062" s="586"/>
      <c r="AW1062" s="622"/>
      <c r="AX1062" s="622"/>
      <c r="AY1062" s="622"/>
      <c r="AZ1062" s="622"/>
      <c r="BA1062" s="586"/>
      <c r="BB1062" s="622"/>
      <c r="BC1062" s="622"/>
      <c r="BD1062" s="622"/>
      <c r="BE1062" s="622"/>
      <c r="BF1062" s="586"/>
      <c r="BG1062" s="622"/>
      <c r="BH1062" s="622"/>
      <c r="BI1062" s="622"/>
      <c r="BJ1062" s="622"/>
      <c r="BK1062" s="586"/>
      <c r="BL1062" s="622"/>
      <c r="BM1062" s="622"/>
      <c r="BN1062" s="622"/>
      <c r="BO1062" s="622"/>
      <c r="BP1062" s="586"/>
      <c r="BQ1062" s="622"/>
      <c r="BR1062" s="872"/>
      <c r="BS1062" s="622"/>
      <c r="BT1062" s="622"/>
      <c r="BU1062" s="3356"/>
      <c r="BV1062" s="622"/>
      <c r="BW1062" s="622"/>
      <c r="BX1062" s="622"/>
      <c r="BY1062" s="622"/>
      <c r="BZ1062" s="3121"/>
      <c r="CA1062" s="586"/>
      <c r="CB1062" s="586"/>
      <c r="CC1062" s="586"/>
      <c r="CD1062" s="586"/>
      <c r="CE1062" s="586"/>
      <c r="CF1062" s="586"/>
      <c r="CG1062" s="586"/>
      <c r="CH1062" s="622"/>
      <c r="CI1062" s="622"/>
      <c r="CJ1062" s="622"/>
      <c r="CK1062" s="622"/>
      <c r="CL1062" s="622"/>
      <c r="CM1062" s="622"/>
      <c r="CN1062" s="622"/>
      <c r="CO1062" s="622"/>
      <c r="CP1062" s="400"/>
      <c r="CQ1062" s="621"/>
      <c r="CR1062" s="621"/>
      <c r="CS1062" s="621"/>
      <c r="CT1062" s="621"/>
      <c r="CU1062" s="621"/>
      <c r="CV1062" s="621"/>
      <c r="CW1062" s="621"/>
      <c r="CX1062" s="621"/>
      <c r="CY1062" s="621"/>
      <c r="CZ1062" s="621"/>
      <c r="DA1062" s="621"/>
      <c r="DB1062" s="621"/>
      <c r="DC1062" s="621"/>
      <c r="DD1062" s="621"/>
      <c r="DE1062" s="621"/>
      <c r="DF1062" s="621"/>
      <c r="DG1062" s="842"/>
      <c r="DH1062" s="620"/>
      <c r="DI1062" s="620"/>
      <c r="DJ1062" s="620"/>
      <c r="DK1062" s="620"/>
      <c r="DL1062" s="620"/>
      <c r="DM1062" s="620"/>
      <c r="DN1062" s="814"/>
      <c r="DO1062" s="401"/>
      <c r="DY1062" s="622"/>
      <c r="DZ1062" s="622"/>
    </row>
    <row r="1063" spans="1:130" ht="12" customHeight="1">
      <c r="A1063" s="981" t="s">
        <v>1328</v>
      </c>
      <c r="B1063" s="222"/>
      <c r="C1063" s="222"/>
      <c r="D1063" s="667">
        <f>1708-D1032-D1031</f>
        <v>1738.691</v>
      </c>
      <c r="E1063" s="621">
        <f>D1063-E1032-E1031</f>
        <v>1956.396</v>
      </c>
      <c r="F1063" s="621">
        <f>E1063-F1032-F1031</f>
        <v>2944.1790000000001</v>
      </c>
      <c r="G1063" s="622">
        <v>3120.4110000000001</v>
      </c>
      <c r="H1063" s="585">
        <f>G1063</f>
        <v>3120.4110000000001</v>
      </c>
      <c r="I1063" s="621">
        <f>H1063-I1032-I1031</f>
        <v>3234.4810000000002</v>
      </c>
      <c r="J1063" s="621">
        <f>I1063-J1032-J1031</f>
        <v>3373.509</v>
      </c>
      <c r="K1063" s="621">
        <f>J1063-K1032-K1031</f>
        <v>3516.0880000000002</v>
      </c>
      <c r="L1063" s="621">
        <f>K1063-L1032-L1031</f>
        <v>3738.855</v>
      </c>
      <c r="M1063" s="585">
        <f>L1063</f>
        <v>3738.855</v>
      </c>
      <c r="N1063" s="621">
        <f>M1063-N1032-N1031</f>
        <v>3949.0729999999999</v>
      </c>
      <c r="O1063" s="621">
        <f>N1063-O1032-O1031</f>
        <v>4025.0070000000001</v>
      </c>
      <c r="P1063" s="621">
        <f>O1063-P1032-P1031</f>
        <v>4105.8990000000003</v>
      </c>
      <c r="Q1063" s="621">
        <f>P1063-Q1032-Q1031</f>
        <v>3770.6910000000003</v>
      </c>
      <c r="R1063" s="585">
        <f>Q1063</f>
        <v>3770.6910000000003</v>
      </c>
      <c r="S1063" s="621">
        <f>R1063-S1032-S1031</f>
        <v>3894.5010000000002</v>
      </c>
      <c r="T1063" s="621">
        <f>S1063-T1032-T1031</f>
        <v>3967.82</v>
      </c>
      <c r="U1063" s="621">
        <f>T1063-U1032-U1031</f>
        <v>4055.3090000000002</v>
      </c>
      <c r="V1063" s="621">
        <f>U1063-V1032-V1031</f>
        <v>4148.4890000000005</v>
      </c>
      <c r="W1063" s="585">
        <f>V1063</f>
        <v>4148.4890000000005</v>
      </c>
      <c r="X1063" s="621">
        <f>W1063-X1032-X1031</f>
        <v>4316.6440000000002</v>
      </c>
      <c r="Y1063" s="621">
        <f>X1063-Y1032-Y1031</f>
        <v>4517.2260000000006</v>
      </c>
      <c r="Z1063" s="621">
        <f>Y1063-Z1032-Z1031</f>
        <v>4707.9850000000006</v>
      </c>
      <c r="AA1063" s="621">
        <f>Z1063-AA1032-AA1031</f>
        <v>4815.8890000000001</v>
      </c>
      <c r="AB1063" s="585">
        <f>AA1063</f>
        <v>4815.8890000000001</v>
      </c>
      <c r="AC1063" s="621">
        <f>AB1063-AC1032-AC1031</f>
        <v>4913.58</v>
      </c>
      <c r="AD1063" s="621">
        <f>AC1063-AD1032-AD1031</f>
        <v>4954.0680000000002</v>
      </c>
      <c r="AE1063" s="621">
        <f>AD1063-AE1032-AE1031</f>
        <v>4969.2020000000002</v>
      </c>
      <c r="AF1063" s="621">
        <v>4420.0730000000003</v>
      </c>
      <c r="AG1063" s="585">
        <f>AF1063</f>
        <v>4420.0730000000003</v>
      </c>
      <c r="AH1063" s="622">
        <v>6226.2659999999996</v>
      </c>
      <c r="AI1063" s="622">
        <v>6223.317</v>
      </c>
      <c r="AJ1063" s="622">
        <v>5287.9350000000004</v>
      </c>
      <c r="AK1063" s="622">
        <v>5299.6949999999997</v>
      </c>
      <c r="AL1063" s="585">
        <f>AK1063</f>
        <v>5299.6949999999997</v>
      </c>
      <c r="AM1063" s="622">
        <v>5219.6930000000002</v>
      </c>
      <c r="AN1063" s="622">
        <v>5222.4080000000004</v>
      </c>
      <c r="AO1063" s="622">
        <v>5242.8370000000004</v>
      </c>
      <c r="AP1063" s="622">
        <v>5519.2359999999999</v>
      </c>
      <c r="AQ1063" s="585">
        <f>AP1063</f>
        <v>5519.2359999999999</v>
      </c>
      <c r="AR1063" s="622">
        <v>5551.2830000000004</v>
      </c>
      <c r="AS1063" s="622">
        <v>5581.0569999999998</v>
      </c>
      <c r="AT1063" s="622">
        <v>5598.5929999999998</v>
      </c>
      <c r="AU1063" s="622">
        <v>5750.2179999999998</v>
      </c>
      <c r="AV1063" s="585">
        <f>AU1063</f>
        <v>5750.2179999999998</v>
      </c>
      <c r="AW1063" s="622">
        <v>5792.93</v>
      </c>
      <c r="AX1063" s="622">
        <v>5764.3530000000001</v>
      </c>
      <c r="AY1063" s="622">
        <v>5782.973</v>
      </c>
      <c r="AZ1063" s="622">
        <v>5803.2740000000003</v>
      </c>
      <c r="BA1063" s="585">
        <f>AZ1063</f>
        <v>5803.2740000000003</v>
      </c>
      <c r="BB1063" s="622">
        <v>5820.3419999999996</v>
      </c>
      <c r="BC1063" s="622">
        <v>5847.7960000000003</v>
      </c>
      <c r="BD1063" s="622">
        <v>4092.665</v>
      </c>
      <c r="BE1063" s="622">
        <v>4131.0259999999998</v>
      </c>
      <c r="BF1063" s="585">
        <f>BE1063</f>
        <v>4131.0259999999998</v>
      </c>
      <c r="BG1063" s="622">
        <v>4138.9530000000004</v>
      </c>
      <c r="BH1063" s="622">
        <v>4154.3469999999998</v>
      </c>
      <c r="BI1063" s="622">
        <v>4176.95</v>
      </c>
      <c r="BJ1063" s="622">
        <v>4210.3559999999998</v>
      </c>
      <c r="BK1063" s="585">
        <f>BJ1063</f>
        <v>4210.3559999999998</v>
      </c>
      <c r="BL1063" s="622">
        <v>4237.9830000000002</v>
      </c>
      <c r="BM1063" s="622">
        <v>4266.951</v>
      </c>
      <c r="BN1063" s="622">
        <v>4378.03</v>
      </c>
      <c r="BO1063" s="622">
        <v>4736.92</v>
      </c>
      <c r="BP1063" s="585">
        <f>BO1063</f>
        <v>4736.92</v>
      </c>
      <c r="BQ1063" s="622">
        <v>4814.5360000000001</v>
      </c>
      <c r="BR1063" s="622">
        <v>4783.6540000000005</v>
      </c>
      <c r="BS1063" s="622">
        <v>4816.1229999999996</v>
      </c>
      <c r="BT1063" s="621">
        <f>BS1063-BT1032-BT1031</f>
        <v>4845.1229999999996</v>
      </c>
      <c r="BU1063" s="3356">
        <f>BT1063</f>
        <v>4845.1229999999996</v>
      </c>
      <c r="BV1063" s="621">
        <f>BU1063-BV1032-BV1031</f>
        <v>4840.1229999999996</v>
      </c>
      <c r="BW1063" s="621">
        <f t="shared" ref="BW1063" si="2012">BV1063-BW1032-BW1031</f>
        <v>4877.6229999999996</v>
      </c>
      <c r="BX1063" s="621">
        <f>BW1063-BX1032-BX1031+BX1112</f>
        <v>6670.6729999999998</v>
      </c>
      <c r="BY1063" s="621">
        <f>BX1063-BY1032-BY1031+BY1112-BX1112</f>
        <v>6709.7507499999992</v>
      </c>
      <c r="BZ1063" s="3121">
        <f>BY1063</f>
        <v>6709.7507499999992</v>
      </c>
      <c r="CA1063" s="585">
        <f t="shared" ref="CA1063:CB1063" si="2013">BZ1063-CA1032-CA1031+CA1112-BZ1112</f>
        <v>6865.9577135999998</v>
      </c>
      <c r="CB1063" s="585">
        <f t="shared" si="2013"/>
        <v>7021.9044749048498</v>
      </c>
      <c r="CC1063" s="585">
        <f t="shared" ref="CC1063:CG1063" si="2014">CB1063-CC1032-CC1031</f>
        <v>7171.9044749048498</v>
      </c>
      <c r="CD1063" s="585">
        <f t="shared" si="2014"/>
        <v>7321.9044749048498</v>
      </c>
      <c r="CE1063" s="585">
        <f t="shared" si="2014"/>
        <v>7471.9044749048498</v>
      </c>
      <c r="CF1063" s="585">
        <f t="shared" si="2014"/>
        <v>7621.9044749048498</v>
      </c>
      <c r="CG1063" s="585">
        <f t="shared" si="2014"/>
        <v>7771.9044749048498</v>
      </c>
      <c r="CH1063" s="621"/>
      <c r="CI1063" s="621"/>
      <c r="CJ1063" s="621"/>
      <c r="CK1063" s="621"/>
      <c r="CL1063" s="621"/>
      <c r="CM1063" s="621"/>
      <c r="CN1063" s="621">
        <f t="shared" ref="CN1063:CN1064" si="2015">BY1063</f>
        <v>6709.7507499999992</v>
      </c>
      <c r="CO1063" s="965">
        <f t="shared" ref="CO1063:CO1066" si="2016">CM1063-CN1063</f>
        <v>-6709.7507499999992</v>
      </c>
      <c r="CP1063" s="981" t="str">
        <f t="shared" si="1959"/>
        <v>Gross PP&amp;E</v>
      </c>
      <c r="CQ1063" s="621">
        <f t="shared" si="1960"/>
        <v>3120.4110000000001</v>
      </c>
      <c r="CR1063" s="621">
        <f t="shared" si="1961"/>
        <v>3738.855</v>
      </c>
      <c r="CS1063" s="621">
        <f t="shared" si="1962"/>
        <v>3770.6910000000003</v>
      </c>
      <c r="CT1063" s="621">
        <f t="shared" si="1963"/>
        <v>4148.4890000000005</v>
      </c>
      <c r="CU1063" s="621">
        <f t="shared" si="1964"/>
        <v>4815.8890000000001</v>
      </c>
      <c r="CV1063" s="621">
        <f t="shared" si="1965"/>
        <v>4420.0730000000003</v>
      </c>
      <c r="CW1063" s="621">
        <f t="shared" si="1966"/>
        <v>5299.6949999999997</v>
      </c>
      <c r="CX1063" s="621">
        <f t="shared" si="1967"/>
        <v>5519.2359999999999</v>
      </c>
      <c r="CY1063" s="621">
        <f t="shared" si="1968"/>
        <v>5750.2179999999998</v>
      </c>
      <c r="CZ1063" s="621">
        <f t="shared" si="1969"/>
        <v>5803.2740000000003</v>
      </c>
      <c r="DA1063" s="621">
        <f t="shared" si="1970"/>
        <v>4131.0259999999998</v>
      </c>
      <c r="DB1063" s="621">
        <f t="shared" si="1971"/>
        <v>4210.3559999999998</v>
      </c>
      <c r="DC1063" s="621">
        <f t="shared" si="1972"/>
        <v>4736.92</v>
      </c>
      <c r="DD1063" s="621">
        <f t="shared" si="1973"/>
        <v>4845.1229999999996</v>
      </c>
      <c r="DE1063" s="621">
        <f t="shared" si="1974"/>
        <v>6709.7507499999992</v>
      </c>
      <c r="DF1063" s="621">
        <f t="shared" si="1975"/>
        <v>6865.9577135999998</v>
      </c>
      <c r="DG1063" s="842">
        <f t="shared" si="1976"/>
        <v>7021.9044749048498</v>
      </c>
      <c r="DH1063" s="620"/>
      <c r="DI1063" s="620"/>
      <c r="DJ1063" s="620"/>
      <c r="DK1063" s="620"/>
      <c r="DL1063" s="620"/>
      <c r="DM1063" s="620"/>
      <c r="DN1063" s="222"/>
      <c r="DO1063" s="226"/>
      <c r="DY1063" s="621"/>
      <c r="DZ1063" s="621"/>
    </row>
    <row r="1064" spans="1:130" ht="12" customHeight="1">
      <c r="A1064" s="981" t="s">
        <v>1046</v>
      </c>
      <c r="B1064" s="222"/>
      <c r="C1064" s="222"/>
      <c r="D1064" s="468">
        <f>950.472-D1063</f>
        <v>-788.21900000000005</v>
      </c>
      <c r="E1064" s="469">
        <f>1096.401-E1063</f>
        <v>-859.99499999999989</v>
      </c>
      <c r="F1064" s="469">
        <f>2157.591-F1063</f>
        <v>-786.58800000000019</v>
      </c>
      <c r="G1064" s="328">
        <v>-843.34400000000005</v>
      </c>
      <c r="H1064" s="466">
        <f>G1064</f>
        <v>-843.34400000000005</v>
      </c>
      <c r="I1064" s="469">
        <f>2375.006-I1063</f>
        <v>-859.47500000000036</v>
      </c>
      <c r="J1064" s="469">
        <f>2469.443-J1063</f>
        <v>-904.0659999999998</v>
      </c>
      <c r="K1064" s="469">
        <f>2580.173-K1063</f>
        <v>-935.91500000000042</v>
      </c>
      <c r="L1064" s="469">
        <f>2734.485-L1063</f>
        <v>-1004.3699999999999</v>
      </c>
      <c r="M1064" s="466">
        <f>L1064</f>
        <v>-1004.3699999999999</v>
      </c>
      <c r="N1064" s="469">
        <f>2822.623-N1063</f>
        <v>-1126.4499999999998</v>
      </c>
      <c r="O1064" s="469">
        <f>2786.62-O1063</f>
        <v>-1238.3870000000002</v>
      </c>
      <c r="P1064" s="469">
        <f>2063.582-P1063</f>
        <v>-2042.3170000000005</v>
      </c>
      <c r="Q1064" s="469">
        <f>2129.445-Q1063</f>
        <v>-1641.2460000000001</v>
      </c>
      <c r="R1064" s="466">
        <f>Q1064</f>
        <v>-1641.2460000000001</v>
      </c>
      <c r="S1064" s="469">
        <f>2549.17-S1063</f>
        <v>-1345.3310000000001</v>
      </c>
      <c r="T1064" s="469">
        <f>2572.332-T1063</f>
        <v>-1395.4880000000003</v>
      </c>
      <c r="U1064" s="469">
        <f>2634.073-U1063</f>
        <v>-1421.2360000000003</v>
      </c>
      <c r="V1064" s="469">
        <f>2716.036-V1063</f>
        <v>-1432.4530000000004</v>
      </c>
      <c r="W1064" s="466">
        <f>V1064</f>
        <v>-1432.4530000000004</v>
      </c>
      <c r="X1064" s="469">
        <f>2848.2-X1063</f>
        <v>-1468.4440000000004</v>
      </c>
      <c r="Y1064" s="469">
        <f>3048.83-Y1063</f>
        <v>-1468.3960000000006</v>
      </c>
      <c r="Z1064" s="469">
        <f>3205.548-Z1063</f>
        <v>-1502.4370000000008</v>
      </c>
      <c r="AA1064" s="469">
        <f>3249.254-AA1063</f>
        <v>-1566.6350000000002</v>
      </c>
      <c r="AB1064" s="466">
        <f>AA1064</f>
        <v>-1566.6350000000002</v>
      </c>
      <c r="AC1064" s="328">
        <f>3232.283-AC1063</f>
        <v>-1681.297</v>
      </c>
      <c r="AD1064" s="328">
        <f>3209.368-AD1063</f>
        <v>-1744.7000000000003</v>
      </c>
      <c r="AE1064" s="328">
        <f>3183.27-AE1063</f>
        <v>-1785.9320000000002</v>
      </c>
      <c r="AF1064" s="328">
        <v>-1260.896</v>
      </c>
      <c r="AG1064" s="466">
        <f>AF1064</f>
        <v>-1260.896</v>
      </c>
      <c r="AH1064" s="469">
        <f>-1725.493</f>
        <v>-1725.4929999999999</v>
      </c>
      <c r="AI1064" s="469">
        <v>-1759.8810000000001</v>
      </c>
      <c r="AJ1064" s="469">
        <v>-1784.521</v>
      </c>
      <c r="AK1064" s="469">
        <v>-1827.7619999999999</v>
      </c>
      <c r="AL1064" s="346">
        <f>AK1064</f>
        <v>-1827.7619999999999</v>
      </c>
      <c r="AM1064" s="328">
        <v>-1866.7429999999999</v>
      </c>
      <c r="AN1064" s="328">
        <v>-1906.816</v>
      </c>
      <c r="AO1064" s="328">
        <v>-1946.441</v>
      </c>
      <c r="AP1064" s="469">
        <v>-1977.1279999999999</v>
      </c>
      <c r="AQ1064" s="346">
        <f>AP1064</f>
        <v>-1977.1279999999999</v>
      </c>
      <c r="AR1064" s="328">
        <v>-2025.3789999999999</v>
      </c>
      <c r="AS1064" s="328">
        <v>-2060.6489999999999</v>
      </c>
      <c r="AT1064" s="328">
        <v>-2100.5529999999999</v>
      </c>
      <c r="AU1064" s="328">
        <v>-2125.23</v>
      </c>
      <c r="AV1064" s="346">
        <f>AU1064</f>
        <v>-2125.23</v>
      </c>
      <c r="AW1064" s="328">
        <v>-2180.422</v>
      </c>
      <c r="AX1064" s="328">
        <v>-2214.1750000000002</v>
      </c>
      <c r="AY1064" s="328">
        <v>-2257.4270000000001</v>
      </c>
      <c r="AZ1064" s="328">
        <v>-2297.6610000000001</v>
      </c>
      <c r="BA1064" s="346">
        <f>AZ1064</f>
        <v>-2297.6610000000001</v>
      </c>
      <c r="BB1064" s="328">
        <v>-2354.777</v>
      </c>
      <c r="BC1064" s="328">
        <v>-2403.3470000000002</v>
      </c>
      <c r="BD1064" s="328">
        <v>-1813.8109999999999</v>
      </c>
      <c r="BE1064" s="328">
        <v>-1844.9179999999999</v>
      </c>
      <c r="BF1064" s="346">
        <f>BE1064</f>
        <v>-1844.9179999999999</v>
      </c>
      <c r="BG1064" s="328">
        <v>-1888.1569999999999</v>
      </c>
      <c r="BH1064" s="328">
        <v>-1914.048</v>
      </c>
      <c r="BI1064" s="328">
        <v>-1951.307</v>
      </c>
      <c r="BJ1064" s="328">
        <v>-1985.0139999999999</v>
      </c>
      <c r="BK1064" s="346">
        <f>BJ1064</f>
        <v>-1985.0139999999999</v>
      </c>
      <c r="BL1064" s="328">
        <v>-2027.501</v>
      </c>
      <c r="BM1064" s="328">
        <v>-2060.7350000000001</v>
      </c>
      <c r="BN1064" s="328">
        <v>-2115.4</v>
      </c>
      <c r="BO1064" s="328">
        <v>-2131.7510000000002</v>
      </c>
      <c r="BP1064" s="346">
        <f>BO1064</f>
        <v>-2131.7510000000002</v>
      </c>
      <c r="BQ1064" s="328">
        <v>-2180.5839999999998</v>
      </c>
      <c r="BR1064" s="328">
        <v>-2216.0569999999998</v>
      </c>
      <c r="BS1064" s="328">
        <v>-2260.0070000000001</v>
      </c>
      <c r="BT1064" s="347">
        <f>+BS1064-BT67</f>
        <v>-2315.8009999999999</v>
      </c>
      <c r="BU1064" s="3352">
        <f>BT1064</f>
        <v>-2315.8009999999999</v>
      </c>
      <c r="BV1064" s="347">
        <f>+BU1064-BV67</f>
        <v>-2370.2649999999999</v>
      </c>
      <c r="BW1064" s="347">
        <f>+BV1064-BW67</f>
        <v>-2423.328</v>
      </c>
      <c r="BX1064" s="347">
        <f>+BW1064-BX67</f>
        <v>-2482.4512500000001</v>
      </c>
      <c r="BY1064" s="347">
        <f>+BX1064-BY67</f>
        <v>-2542.1675</v>
      </c>
      <c r="BZ1064" s="4014">
        <f>BY1064</f>
        <v>-2542.1675</v>
      </c>
      <c r="CA1064" s="346">
        <f t="shared" ref="CA1064:CG1064" si="2017">+BZ1064-CA67</f>
        <v>-2775.4825363999998</v>
      </c>
      <c r="CB1064" s="346">
        <f t="shared" si="2017"/>
        <v>-3009.0577750951497</v>
      </c>
      <c r="CC1064" s="346">
        <f t="shared" si="2017"/>
        <v>-3242.6330137902996</v>
      </c>
      <c r="CD1064" s="346">
        <f t="shared" si="2017"/>
        <v>-3476.2082524854495</v>
      </c>
      <c r="CE1064" s="346">
        <f t="shared" si="2017"/>
        <v>-3709.7834911805994</v>
      </c>
      <c r="CF1064" s="346">
        <f t="shared" si="2017"/>
        <v>-3943.3587298757493</v>
      </c>
      <c r="CG1064" s="346">
        <f t="shared" si="2017"/>
        <v>-4176.9339685708992</v>
      </c>
      <c r="CH1064" s="467"/>
      <c r="CI1064" s="467"/>
      <c r="CJ1064" s="467"/>
      <c r="CK1064" s="467"/>
      <c r="CL1064" s="467"/>
      <c r="CM1064" s="621"/>
      <c r="CN1064" s="621">
        <f t="shared" si="2015"/>
        <v>-2542.1675</v>
      </c>
      <c r="CO1064" s="965">
        <f t="shared" si="2016"/>
        <v>2542.1675</v>
      </c>
      <c r="CP1064" s="981" t="str">
        <f t="shared" si="1959"/>
        <v>Accumulated depreciation</v>
      </c>
      <c r="CQ1064" s="347">
        <f t="shared" si="1960"/>
        <v>-843.34400000000005</v>
      </c>
      <c r="CR1064" s="347">
        <f t="shared" si="1961"/>
        <v>-1004.3699999999999</v>
      </c>
      <c r="CS1064" s="347">
        <f t="shared" si="1962"/>
        <v>-1641.2460000000001</v>
      </c>
      <c r="CT1064" s="347">
        <f t="shared" si="1963"/>
        <v>-1432.4530000000004</v>
      </c>
      <c r="CU1064" s="347">
        <f t="shared" si="1964"/>
        <v>-1566.6350000000002</v>
      </c>
      <c r="CV1064" s="347">
        <f t="shared" si="1965"/>
        <v>-1260.896</v>
      </c>
      <c r="CW1064" s="347">
        <f t="shared" si="1966"/>
        <v>-1827.7619999999999</v>
      </c>
      <c r="CX1064" s="347">
        <f t="shared" si="1967"/>
        <v>-1977.1279999999999</v>
      </c>
      <c r="CY1064" s="347">
        <f t="shared" si="1968"/>
        <v>-2125.23</v>
      </c>
      <c r="CZ1064" s="347">
        <f t="shared" si="1969"/>
        <v>-2297.6610000000001</v>
      </c>
      <c r="DA1064" s="347">
        <f t="shared" si="1970"/>
        <v>-1844.9179999999999</v>
      </c>
      <c r="DB1064" s="347">
        <f t="shared" si="1971"/>
        <v>-1985.0139999999999</v>
      </c>
      <c r="DC1064" s="347">
        <f t="shared" si="1972"/>
        <v>-2131.7510000000002</v>
      </c>
      <c r="DD1064" s="347">
        <f t="shared" si="1973"/>
        <v>-2315.8009999999999</v>
      </c>
      <c r="DE1064" s="347">
        <f t="shared" si="1974"/>
        <v>-2542.1675</v>
      </c>
      <c r="DF1064" s="347">
        <f t="shared" si="1975"/>
        <v>-2775.4825363999998</v>
      </c>
      <c r="DG1064" s="1795">
        <f t="shared" si="1976"/>
        <v>-3009.0577750951497</v>
      </c>
      <c r="DH1064" s="290"/>
      <c r="DI1064" s="290"/>
      <c r="DJ1064" s="290"/>
      <c r="DK1064" s="290"/>
      <c r="DL1064" s="290"/>
      <c r="DM1064" s="290"/>
      <c r="DN1064" s="222"/>
      <c r="DO1064" s="226"/>
      <c r="DY1064" s="347"/>
      <c r="DZ1064" s="347"/>
    </row>
    <row r="1065" spans="1:130" ht="4.5" customHeight="1">
      <c r="A1065" s="1784"/>
      <c r="B1065" s="293"/>
      <c r="C1065" s="293"/>
      <c r="D1065" s="294" t="s">
        <v>343</v>
      </c>
      <c r="E1065" s="295" t="s">
        <v>343</v>
      </c>
      <c r="F1065" s="295" t="s">
        <v>343</v>
      </c>
      <c r="G1065" s="295" t="s">
        <v>343</v>
      </c>
      <c r="H1065" s="296" t="s">
        <v>343</v>
      </c>
      <c r="I1065" s="295" t="s">
        <v>343</v>
      </c>
      <c r="J1065" s="295" t="s">
        <v>343</v>
      </c>
      <c r="K1065" s="295" t="s">
        <v>343</v>
      </c>
      <c r="L1065" s="295" t="s">
        <v>343</v>
      </c>
      <c r="M1065" s="296" t="s">
        <v>343</v>
      </c>
      <c r="N1065" s="295" t="s">
        <v>343</v>
      </c>
      <c r="O1065" s="295" t="s">
        <v>343</v>
      </c>
      <c r="P1065" s="295" t="s">
        <v>343</v>
      </c>
      <c r="Q1065" s="295" t="s">
        <v>343</v>
      </c>
      <c r="R1065" s="296" t="s">
        <v>343</v>
      </c>
      <c r="S1065" s="295" t="s">
        <v>343</v>
      </c>
      <c r="T1065" s="295" t="s">
        <v>343</v>
      </c>
      <c r="U1065" s="295" t="s">
        <v>343</v>
      </c>
      <c r="V1065" s="295" t="s">
        <v>343</v>
      </c>
      <c r="W1065" s="296" t="s">
        <v>343</v>
      </c>
      <c r="X1065" s="295" t="s">
        <v>343</v>
      </c>
      <c r="Y1065" s="295" t="s">
        <v>343</v>
      </c>
      <c r="Z1065" s="295" t="s">
        <v>343</v>
      </c>
      <c r="AA1065" s="295" t="s">
        <v>343</v>
      </c>
      <c r="AB1065" s="296" t="s">
        <v>343</v>
      </c>
      <c r="AC1065" s="295" t="s">
        <v>343</v>
      </c>
      <c r="AD1065" s="295" t="s">
        <v>343</v>
      </c>
      <c r="AE1065" s="295" t="s">
        <v>343</v>
      </c>
      <c r="AF1065" s="295" t="s">
        <v>343</v>
      </c>
      <c r="AG1065" s="296" t="s">
        <v>343</v>
      </c>
      <c r="AH1065" s="295" t="s">
        <v>343</v>
      </c>
      <c r="AI1065" s="295" t="s">
        <v>343</v>
      </c>
      <c r="AJ1065" s="295" t="s">
        <v>343</v>
      </c>
      <c r="AK1065" s="295" t="s">
        <v>343</v>
      </c>
      <c r="AL1065" s="296" t="s">
        <v>343</v>
      </c>
      <c r="AM1065" s="295" t="s">
        <v>343</v>
      </c>
      <c r="AN1065" s="295" t="s">
        <v>343</v>
      </c>
      <c r="AO1065" s="295" t="s">
        <v>343</v>
      </c>
      <c r="AP1065" s="295" t="s">
        <v>343</v>
      </c>
      <c r="AQ1065" s="296" t="s">
        <v>343</v>
      </c>
      <c r="AR1065" s="295" t="s">
        <v>343</v>
      </c>
      <c r="AS1065" s="295" t="s">
        <v>343</v>
      </c>
      <c r="AT1065" s="295" t="s">
        <v>343</v>
      </c>
      <c r="AU1065" s="295" t="s">
        <v>343</v>
      </c>
      <c r="AV1065" s="296" t="s">
        <v>343</v>
      </c>
      <c r="AW1065" s="295" t="s">
        <v>343</v>
      </c>
      <c r="AX1065" s="295" t="s">
        <v>343</v>
      </c>
      <c r="AY1065" s="295" t="s">
        <v>343</v>
      </c>
      <c r="AZ1065" s="295" t="s">
        <v>343</v>
      </c>
      <c r="BA1065" s="296" t="s">
        <v>343</v>
      </c>
      <c r="BB1065" s="295" t="s">
        <v>343</v>
      </c>
      <c r="BC1065" s="295" t="s">
        <v>343</v>
      </c>
      <c r="BD1065" s="295" t="s">
        <v>343</v>
      </c>
      <c r="BE1065" s="295" t="s">
        <v>343</v>
      </c>
      <c r="BF1065" s="296" t="s">
        <v>343</v>
      </c>
      <c r="BG1065" s="295" t="s">
        <v>343</v>
      </c>
      <c r="BH1065" s="295" t="s">
        <v>343</v>
      </c>
      <c r="BI1065" s="295" t="s">
        <v>343</v>
      </c>
      <c r="BJ1065" s="295" t="s">
        <v>343</v>
      </c>
      <c r="BK1065" s="296" t="s">
        <v>343</v>
      </c>
      <c r="BL1065" s="295" t="s">
        <v>343</v>
      </c>
      <c r="BM1065" s="295" t="s">
        <v>343</v>
      </c>
      <c r="BN1065" s="295" t="s">
        <v>343</v>
      </c>
      <c r="BO1065" s="295" t="s">
        <v>343</v>
      </c>
      <c r="BP1065" s="296" t="s">
        <v>343</v>
      </c>
      <c r="BQ1065" s="295" t="s">
        <v>343</v>
      </c>
      <c r="BR1065" s="295" t="s">
        <v>343</v>
      </c>
      <c r="BS1065" s="295" t="s">
        <v>343</v>
      </c>
      <c r="BT1065" s="295" t="s">
        <v>343</v>
      </c>
      <c r="BU1065" s="3314" t="s">
        <v>343</v>
      </c>
      <c r="BV1065" s="295" t="s">
        <v>343</v>
      </c>
      <c r="BW1065" s="295" t="s">
        <v>343</v>
      </c>
      <c r="BX1065" s="295" t="s">
        <v>343</v>
      </c>
      <c r="BY1065" s="295" t="s">
        <v>343</v>
      </c>
      <c r="BZ1065" s="296" t="s">
        <v>343</v>
      </c>
      <c r="CA1065" s="297" t="s">
        <v>343</v>
      </c>
      <c r="CB1065" s="297" t="s">
        <v>343</v>
      </c>
      <c r="CC1065" s="297" t="s">
        <v>343</v>
      </c>
      <c r="CD1065" s="297" t="s">
        <v>343</v>
      </c>
      <c r="CE1065" s="297" t="s">
        <v>343</v>
      </c>
      <c r="CF1065" s="297" t="s">
        <v>343</v>
      </c>
      <c r="CG1065" s="297" t="s">
        <v>343</v>
      </c>
      <c r="CH1065" s="295"/>
      <c r="CI1065" s="295"/>
      <c r="CJ1065" s="295"/>
      <c r="CK1065" s="295"/>
      <c r="CL1065" s="295"/>
      <c r="CM1065" s="295"/>
      <c r="CN1065" s="295"/>
      <c r="CO1065" s="965">
        <f t="shared" si="2016"/>
        <v>0</v>
      </c>
      <c r="CP1065" s="1784"/>
      <c r="CQ1065" s="295" t="str">
        <f t="shared" si="1960"/>
        <v xml:space="preserve">                </v>
      </c>
      <c r="CR1065" s="295" t="str">
        <f t="shared" si="1961"/>
        <v xml:space="preserve">                </v>
      </c>
      <c r="CS1065" s="295" t="str">
        <f t="shared" si="1962"/>
        <v xml:space="preserve">                </v>
      </c>
      <c r="CT1065" s="295" t="str">
        <f t="shared" si="1963"/>
        <v xml:space="preserve">                </v>
      </c>
      <c r="CU1065" s="295" t="str">
        <f t="shared" si="1964"/>
        <v xml:space="preserve">                </v>
      </c>
      <c r="CV1065" s="295" t="str">
        <f t="shared" si="1965"/>
        <v xml:space="preserve">                </v>
      </c>
      <c r="CW1065" s="295" t="str">
        <f t="shared" si="1966"/>
        <v xml:space="preserve">                </v>
      </c>
      <c r="CX1065" s="295" t="str">
        <f t="shared" si="1967"/>
        <v xml:space="preserve">                </v>
      </c>
      <c r="CY1065" s="295" t="str">
        <f t="shared" si="1968"/>
        <v xml:space="preserve">                </v>
      </c>
      <c r="CZ1065" s="295" t="str">
        <f t="shared" si="1969"/>
        <v xml:space="preserve">                </v>
      </c>
      <c r="DA1065" s="295" t="str">
        <f t="shared" si="1970"/>
        <v xml:space="preserve">                </v>
      </c>
      <c r="DB1065" s="295" t="str">
        <f t="shared" si="1971"/>
        <v xml:space="preserve">                </v>
      </c>
      <c r="DC1065" s="295" t="str">
        <f t="shared" si="1972"/>
        <v xml:space="preserve">                </v>
      </c>
      <c r="DD1065" s="295" t="str">
        <f t="shared" si="1973"/>
        <v xml:space="preserve">                </v>
      </c>
      <c r="DE1065" s="295" t="str">
        <f t="shared" si="1974"/>
        <v xml:space="preserve">                </v>
      </c>
      <c r="DF1065" s="295" t="str">
        <f t="shared" si="1975"/>
        <v xml:space="preserve">                </v>
      </c>
      <c r="DG1065" s="297" t="str">
        <f t="shared" si="1976"/>
        <v xml:space="preserve">                </v>
      </c>
      <c r="DH1065" s="298"/>
      <c r="DI1065" s="299"/>
      <c r="DJ1065" s="299"/>
      <c r="DK1065" s="299"/>
      <c r="DL1065" s="299"/>
      <c r="DM1065" s="299"/>
      <c r="DN1065" s="299"/>
      <c r="DO1065" s="300"/>
      <c r="DY1065" s="295"/>
      <c r="DZ1065" s="295"/>
    </row>
    <row r="1066" spans="1:130" ht="12" customHeight="1">
      <c r="A1066" s="1000" t="s">
        <v>1247</v>
      </c>
      <c r="B1066" s="875"/>
      <c r="C1066" s="875"/>
      <c r="D1066" s="582">
        <f>SUM(D1063:D1064)</f>
        <v>950.47199999999998</v>
      </c>
      <c r="E1066" s="621">
        <f>SUM(E1063:E1064)</f>
        <v>1096.4010000000001</v>
      </c>
      <c r="F1066" s="621">
        <f>SUM(F1063:F1064)</f>
        <v>2157.5909999999999</v>
      </c>
      <c r="G1066" s="621">
        <f>SUM(G1063:G1064)</f>
        <v>2277.067</v>
      </c>
      <c r="H1066" s="346">
        <f>G1066</f>
        <v>2277.067</v>
      </c>
      <c r="I1066" s="621">
        <f>SUM(I1063:I1064)</f>
        <v>2375.0059999999999</v>
      </c>
      <c r="J1066" s="621">
        <f>SUM(J1063:J1064)</f>
        <v>2469.4430000000002</v>
      </c>
      <c r="K1066" s="621">
        <f>SUM(K1063:K1064)</f>
        <v>2580.1729999999998</v>
      </c>
      <c r="L1066" s="621">
        <f>SUM(L1063:L1064)</f>
        <v>2734.4850000000001</v>
      </c>
      <c r="M1066" s="346">
        <f>L1066</f>
        <v>2734.4850000000001</v>
      </c>
      <c r="N1066" s="621">
        <f>SUM(N1063:N1064)</f>
        <v>2822.623</v>
      </c>
      <c r="O1066" s="621">
        <f>SUM(O1063:O1064)</f>
        <v>2786.62</v>
      </c>
      <c r="P1066" s="621">
        <f>SUM(P1063:P1064)</f>
        <v>2063.5819999999999</v>
      </c>
      <c r="Q1066" s="621">
        <f>SUM(Q1063:Q1064)</f>
        <v>2129.4450000000002</v>
      </c>
      <c r="R1066" s="346">
        <f>Q1066</f>
        <v>2129.4450000000002</v>
      </c>
      <c r="S1066" s="621">
        <f>SUM(S1063:S1064)</f>
        <v>2549.17</v>
      </c>
      <c r="T1066" s="621">
        <f>SUM(T1063:T1064)</f>
        <v>2572.3319999999999</v>
      </c>
      <c r="U1066" s="621">
        <f>SUM(U1063:U1064)</f>
        <v>2634.0729999999999</v>
      </c>
      <c r="V1066" s="621">
        <f>SUM(V1063:V1064)</f>
        <v>2716.0360000000001</v>
      </c>
      <c r="W1066" s="346">
        <f>V1066</f>
        <v>2716.0360000000001</v>
      </c>
      <c r="X1066" s="621">
        <f>SUM(X1063:X1064)</f>
        <v>2848.2</v>
      </c>
      <c r="Y1066" s="621">
        <f>SUM(Y1063:Y1064)</f>
        <v>3048.83</v>
      </c>
      <c r="Z1066" s="621">
        <f>SUM(Z1063:Z1064)</f>
        <v>3205.5479999999998</v>
      </c>
      <c r="AA1066" s="621">
        <f>SUM(AA1063:AA1064)</f>
        <v>3249.2539999999999</v>
      </c>
      <c r="AB1066" s="346">
        <f>AA1066</f>
        <v>3249.2539999999999</v>
      </c>
      <c r="AC1066" s="621">
        <f>SUM(AC1063:AC1064)</f>
        <v>3232.2829999999999</v>
      </c>
      <c r="AD1066" s="621">
        <f>SUM(AD1063:AD1064)</f>
        <v>3209.3679999999999</v>
      </c>
      <c r="AE1066" s="621">
        <f>SUM(AE1063:AE1064)</f>
        <v>3183.27</v>
      </c>
      <c r="AF1066" s="621">
        <f>SUM(AF1063:AF1064)</f>
        <v>3159.1770000000006</v>
      </c>
      <c r="AG1066" s="346">
        <f>AF1066</f>
        <v>3159.1770000000006</v>
      </c>
      <c r="AH1066" s="347">
        <f>SUM(AH1063:AH1064)</f>
        <v>4500.7729999999992</v>
      </c>
      <c r="AI1066" s="347">
        <f>SUM(AI1063:AI1064)</f>
        <v>4463.4359999999997</v>
      </c>
      <c r="AJ1066" s="347">
        <f>SUM(AJ1063:AJ1064)</f>
        <v>3503.4140000000007</v>
      </c>
      <c r="AK1066" s="347">
        <f>SUM(AK1063:AK1064)</f>
        <v>3471.933</v>
      </c>
      <c r="AL1066" s="346">
        <f>AK1066</f>
        <v>3471.933</v>
      </c>
      <c r="AM1066" s="621">
        <f>SUM(AM1063:AM1064)</f>
        <v>3352.9500000000003</v>
      </c>
      <c r="AN1066" s="621">
        <f>SUM(AN1063:AN1064)</f>
        <v>3315.5920000000006</v>
      </c>
      <c r="AO1066" s="621">
        <f>SUM(AO1063:AO1064)</f>
        <v>3296.3960000000006</v>
      </c>
      <c r="AP1066" s="347">
        <f>SUM(AP1063:AP1064)</f>
        <v>3542.1080000000002</v>
      </c>
      <c r="AQ1066" s="346">
        <f>AP1066</f>
        <v>3542.1080000000002</v>
      </c>
      <c r="AR1066" s="621">
        <f>SUM(AR1063:AR1064)</f>
        <v>3525.9040000000005</v>
      </c>
      <c r="AS1066" s="621">
        <f>SUM(AS1063:AS1064)</f>
        <v>3520.4079999999999</v>
      </c>
      <c r="AT1066" s="621">
        <f>SUM(AT1063:AT1064)</f>
        <v>3498.04</v>
      </c>
      <c r="AU1066" s="621">
        <f>SUM(AU1063:AU1064)</f>
        <v>3624.9879999999998</v>
      </c>
      <c r="AV1066" s="346">
        <f>AU1066</f>
        <v>3624.9879999999998</v>
      </c>
      <c r="AW1066" s="621">
        <f>SUM(AW1063:AW1064)</f>
        <v>3612.5080000000003</v>
      </c>
      <c r="AX1066" s="621">
        <f>SUM(AX1063:AX1064)</f>
        <v>3550.1779999999999</v>
      </c>
      <c r="AY1066" s="621">
        <f>SUM(AY1063:AY1064)</f>
        <v>3525.5459999999998</v>
      </c>
      <c r="AZ1066" s="621">
        <f>SUM(AZ1063:AZ1064)</f>
        <v>3505.6130000000003</v>
      </c>
      <c r="BA1066" s="346">
        <f>AZ1066</f>
        <v>3505.6130000000003</v>
      </c>
      <c r="BB1066" s="621">
        <f>SUM(BB1063:BB1064)</f>
        <v>3465.5649999999996</v>
      </c>
      <c r="BC1066" s="621">
        <f>SUM(BC1063:BC1064)</f>
        <v>3444.4490000000001</v>
      </c>
      <c r="BD1066" s="621">
        <f>SUM(BD1063:BD1064)</f>
        <v>2278.8540000000003</v>
      </c>
      <c r="BE1066" s="621">
        <f>SUM(BE1063:BE1064)</f>
        <v>2286.1080000000002</v>
      </c>
      <c r="BF1066" s="346">
        <f>BE1066</f>
        <v>2286.1080000000002</v>
      </c>
      <c r="BG1066" s="621">
        <f>SUM(BG1063:BG1064)</f>
        <v>2250.7960000000003</v>
      </c>
      <c r="BH1066" s="621">
        <f>SUM(BH1063:BH1064)</f>
        <v>2240.299</v>
      </c>
      <c r="BI1066" s="621">
        <f>SUM(BI1063:BI1064)</f>
        <v>2225.643</v>
      </c>
      <c r="BJ1066" s="621">
        <f>SUM(BJ1063:BJ1064)</f>
        <v>2225.3419999999996</v>
      </c>
      <c r="BK1066" s="346">
        <f>BJ1066</f>
        <v>2225.3419999999996</v>
      </c>
      <c r="BL1066" s="621">
        <f>SUM(BL1063:BL1064)</f>
        <v>2210.482</v>
      </c>
      <c r="BM1066" s="621">
        <f>SUM(BM1063:BM1064)</f>
        <v>2206.2159999999999</v>
      </c>
      <c r="BN1066" s="621">
        <f>SUM(BN1063:BN1064)</f>
        <v>2262.6299999999997</v>
      </c>
      <c r="BO1066" s="621">
        <f>SUM(BO1063:BO1064)</f>
        <v>2605.1689999999999</v>
      </c>
      <c r="BP1066" s="346">
        <f>BO1066</f>
        <v>2605.1689999999999</v>
      </c>
      <c r="BQ1066" s="621">
        <f>SUM(BQ1063:BQ1064)</f>
        <v>2633.9520000000002</v>
      </c>
      <c r="BR1066" s="621">
        <f>SUM(BR1063:BR1064)</f>
        <v>2567.5970000000007</v>
      </c>
      <c r="BS1066" s="621">
        <f>SUM(BS1063:BS1064)</f>
        <v>2556.1159999999995</v>
      </c>
      <c r="BT1066" s="621">
        <f>SUM(BT1063:BT1064)</f>
        <v>2529.3219999999997</v>
      </c>
      <c r="BU1066" s="3352">
        <f>BT1066</f>
        <v>2529.3219999999997</v>
      </c>
      <c r="BV1066" s="621">
        <f>SUM(BV1063:BV1064)</f>
        <v>2469.8579999999997</v>
      </c>
      <c r="BW1066" s="621">
        <f t="shared" ref="BW1066:BY1066" si="2018">SUM(BW1063:BW1064)</f>
        <v>2454.2949999999996</v>
      </c>
      <c r="BX1066" s="621">
        <f t="shared" si="2018"/>
        <v>4188.2217499999997</v>
      </c>
      <c r="BY1066" s="621">
        <f t="shared" si="2018"/>
        <v>4167.5832499999997</v>
      </c>
      <c r="BZ1066" s="3121">
        <f>BY1066</f>
        <v>4167.5832499999997</v>
      </c>
      <c r="CA1066" s="585">
        <f t="shared" ref="CA1066:CG1066" si="2019">SUM(CA1063:CA1064)</f>
        <v>4090.4751772</v>
      </c>
      <c r="CB1066" s="585">
        <f t="shared" si="2019"/>
        <v>4012.8466998097001</v>
      </c>
      <c r="CC1066" s="585">
        <f t="shared" si="2019"/>
        <v>3929.2714611145502</v>
      </c>
      <c r="CD1066" s="585">
        <f t="shared" si="2019"/>
        <v>3845.6962224194003</v>
      </c>
      <c r="CE1066" s="585">
        <f t="shared" si="2019"/>
        <v>3762.1209837242504</v>
      </c>
      <c r="CF1066" s="585">
        <f t="shared" si="2019"/>
        <v>3678.5457450291005</v>
      </c>
      <c r="CG1066" s="585">
        <f t="shared" si="2019"/>
        <v>3594.9705063339507</v>
      </c>
      <c r="CH1066" s="621"/>
      <c r="CI1066" s="621"/>
      <c r="CJ1066" s="621"/>
      <c r="CK1066" s="621"/>
      <c r="CL1066" s="621"/>
      <c r="CM1066" s="621"/>
      <c r="CN1066" s="621">
        <f>BY1066</f>
        <v>4167.5832499999997</v>
      </c>
      <c r="CO1066" s="965">
        <f t="shared" si="2016"/>
        <v>-4167.5832499999997</v>
      </c>
      <c r="CP1066" s="1000" t="str">
        <f t="shared" si="1959"/>
        <v>Net PP&amp;E</v>
      </c>
      <c r="CQ1066" s="621">
        <f t="shared" si="1960"/>
        <v>2277.067</v>
      </c>
      <c r="CR1066" s="621">
        <f t="shared" si="1961"/>
        <v>2734.4850000000001</v>
      </c>
      <c r="CS1066" s="621">
        <f t="shared" si="1962"/>
        <v>2129.4450000000002</v>
      </c>
      <c r="CT1066" s="621">
        <f t="shared" si="1963"/>
        <v>2716.0360000000001</v>
      </c>
      <c r="CU1066" s="621">
        <f t="shared" si="1964"/>
        <v>3249.2539999999999</v>
      </c>
      <c r="CV1066" s="621">
        <f t="shared" si="1965"/>
        <v>3159.1770000000006</v>
      </c>
      <c r="CW1066" s="621">
        <f t="shared" si="1966"/>
        <v>3471.933</v>
      </c>
      <c r="CX1066" s="621">
        <f t="shared" si="1967"/>
        <v>3542.1080000000002</v>
      </c>
      <c r="CY1066" s="621">
        <f t="shared" si="1968"/>
        <v>3624.9879999999998</v>
      </c>
      <c r="CZ1066" s="621">
        <f t="shared" si="1969"/>
        <v>3505.6130000000003</v>
      </c>
      <c r="DA1066" s="621">
        <f t="shared" si="1970"/>
        <v>2286.1080000000002</v>
      </c>
      <c r="DB1066" s="621">
        <f t="shared" si="1971"/>
        <v>2225.3419999999996</v>
      </c>
      <c r="DC1066" s="621">
        <f t="shared" si="1972"/>
        <v>2605.1689999999999</v>
      </c>
      <c r="DD1066" s="621">
        <f t="shared" si="1973"/>
        <v>2529.3219999999997</v>
      </c>
      <c r="DE1066" s="621">
        <f t="shared" si="1974"/>
        <v>4167.5832499999997</v>
      </c>
      <c r="DF1066" s="621">
        <f t="shared" si="1975"/>
        <v>4090.4751772</v>
      </c>
      <c r="DG1066" s="842">
        <f t="shared" si="1976"/>
        <v>4012.8466998097001</v>
      </c>
      <c r="DH1066" s="620"/>
      <c r="DI1066" s="620"/>
      <c r="DJ1066" s="620"/>
      <c r="DK1066" s="620"/>
      <c r="DL1066" s="620"/>
      <c r="DM1066" s="620"/>
      <c r="DN1066" s="500"/>
      <c r="DO1066" s="537"/>
      <c r="DY1066" s="347"/>
      <c r="DZ1066" s="347"/>
    </row>
    <row r="1067" spans="1:130" ht="12" customHeight="1">
      <c r="A1067" s="912"/>
      <c r="B1067" s="222"/>
      <c r="C1067" s="222"/>
      <c r="D1067" s="468"/>
      <c r="E1067" s="469"/>
      <c r="F1067" s="469"/>
      <c r="G1067" s="469"/>
      <c r="H1067" s="470"/>
      <c r="I1067" s="469"/>
      <c r="J1067" s="469"/>
      <c r="K1067" s="469"/>
      <c r="L1067" s="469"/>
      <c r="M1067" s="470"/>
      <c r="N1067" s="469"/>
      <c r="O1067" s="469"/>
      <c r="P1067" s="469"/>
      <c r="Q1067" s="469"/>
      <c r="R1067" s="470"/>
      <c r="S1067" s="469"/>
      <c r="T1067" s="469"/>
      <c r="U1067" s="469"/>
      <c r="V1067" s="469"/>
      <c r="W1067" s="470"/>
      <c r="X1067" s="469"/>
      <c r="Y1067" s="469"/>
      <c r="Z1067" s="469"/>
      <c r="AA1067" s="469"/>
      <c r="AB1067" s="470"/>
      <c r="AC1067" s="469"/>
      <c r="AD1067" s="469"/>
      <c r="AE1067" s="469"/>
      <c r="AF1067" s="469"/>
      <c r="AG1067" s="470"/>
      <c r="AH1067" s="469"/>
      <c r="AI1067" s="469"/>
      <c r="AJ1067" s="469"/>
      <c r="AK1067" s="469"/>
      <c r="AL1067" s="470"/>
      <c r="AM1067" s="469"/>
      <c r="AN1067" s="469"/>
      <c r="AO1067" s="469"/>
      <c r="AP1067" s="469"/>
      <c r="AQ1067" s="470"/>
      <c r="AR1067" s="469"/>
      <c r="AS1067" s="469"/>
      <c r="AT1067" s="469"/>
      <c r="AU1067" s="469"/>
      <c r="AV1067" s="470"/>
      <c r="AW1067" s="469"/>
      <c r="AX1067" s="469"/>
      <c r="AY1067" s="469"/>
      <c r="AZ1067" s="469"/>
      <c r="BA1067" s="470"/>
      <c r="BB1067" s="469"/>
      <c r="BC1067" s="469"/>
      <c r="BD1067" s="469"/>
      <c r="BE1067" s="469"/>
      <c r="BF1067" s="470"/>
      <c r="BG1067" s="469"/>
      <c r="BH1067" s="469"/>
      <c r="BI1067" s="469"/>
      <c r="BJ1067" s="469"/>
      <c r="BK1067" s="470"/>
      <c r="BL1067" s="469"/>
      <c r="BM1067" s="469"/>
      <c r="BN1067" s="469"/>
      <c r="BO1067" s="469"/>
      <c r="BP1067" s="470"/>
      <c r="BQ1067" s="469"/>
      <c r="BR1067" s="469"/>
      <c r="BS1067" s="469"/>
      <c r="BT1067" s="469"/>
      <c r="BU1067" s="3322"/>
      <c r="BV1067" s="469"/>
      <c r="BW1067" s="469"/>
      <c r="BX1067" s="469"/>
      <c r="BY1067" s="469"/>
      <c r="BZ1067" s="4018"/>
      <c r="CA1067" s="470"/>
      <c r="CB1067" s="470"/>
      <c r="CC1067" s="470"/>
      <c r="CD1067" s="470"/>
      <c r="CE1067" s="470"/>
      <c r="CF1067" s="470"/>
      <c r="CG1067" s="470"/>
      <c r="CH1067" s="469"/>
      <c r="CI1067" s="469"/>
      <c r="CJ1067" s="469"/>
      <c r="CK1067" s="469"/>
      <c r="CL1067" s="469"/>
      <c r="CM1067" s="469"/>
      <c r="CN1067" s="469"/>
      <c r="CO1067" s="469"/>
      <c r="CP1067" s="912"/>
      <c r="CQ1067" s="465"/>
      <c r="CR1067" s="465"/>
      <c r="CS1067" s="465"/>
      <c r="CT1067" s="465"/>
      <c r="CU1067" s="465"/>
      <c r="CV1067" s="465"/>
      <c r="CW1067" s="465"/>
      <c r="CX1067" s="465"/>
      <c r="CY1067" s="465"/>
      <c r="CZ1067" s="465"/>
      <c r="DA1067" s="465"/>
      <c r="DB1067" s="465"/>
      <c r="DC1067" s="465"/>
      <c r="DD1067" s="465"/>
      <c r="DE1067" s="465"/>
      <c r="DF1067" s="465"/>
      <c r="DG1067" s="1797"/>
      <c r="DH1067" s="311"/>
      <c r="DI1067" s="311"/>
      <c r="DJ1067" s="311"/>
      <c r="DK1067" s="311"/>
      <c r="DL1067" s="311"/>
      <c r="DM1067" s="311"/>
      <c r="DN1067" s="311"/>
      <c r="DO1067" s="226"/>
      <c r="DY1067" s="469"/>
      <c r="DZ1067" s="469"/>
    </row>
    <row r="1068" spans="1:130" ht="12" customHeight="1">
      <c r="A1068" s="996" t="s">
        <v>1172</v>
      </c>
      <c r="B1068" s="844"/>
      <c r="C1068" s="844"/>
      <c r="D1068" s="2059">
        <v>272.33100000000002</v>
      </c>
      <c r="E1068" s="731">
        <v>281.89400000000001</v>
      </c>
      <c r="F1068" s="731">
        <v>300.14699999999999</v>
      </c>
      <c r="G1068" s="731">
        <v>330.48599999999999</v>
      </c>
      <c r="H1068" s="886">
        <f>G1068</f>
        <v>330.48599999999999</v>
      </c>
      <c r="I1068" s="731">
        <v>343.34800000000001</v>
      </c>
      <c r="J1068" s="731">
        <v>355.26799999999997</v>
      </c>
      <c r="K1068" s="731">
        <v>377.286</v>
      </c>
      <c r="L1068" s="731">
        <v>388.37200000000001</v>
      </c>
      <c r="M1068" s="886">
        <f>L1068</f>
        <v>388.37200000000001</v>
      </c>
      <c r="N1068" s="883">
        <f>M1068-(N1015+N1016)-N1033</f>
        <v>390.10500000000002</v>
      </c>
      <c r="O1068" s="731">
        <v>384.82400000000001</v>
      </c>
      <c r="P1068" s="731">
        <v>393.13099999999997</v>
      </c>
      <c r="Q1068" s="731">
        <v>385.75099999999998</v>
      </c>
      <c r="R1068" s="886">
        <f>Q1068</f>
        <v>385.75099999999998</v>
      </c>
      <c r="S1068" s="731">
        <v>393.16</v>
      </c>
      <c r="T1068" s="731">
        <v>387.839</v>
      </c>
      <c r="U1068" s="731">
        <v>398.15800000000002</v>
      </c>
      <c r="V1068" s="731">
        <v>393.61599999999999</v>
      </c>
      <c r="W1068" s="886">
        <f>V1068</f>
        <v>393.61599999999999</v>
      </c>
      <c r="X1068" s="731">
        <v>397.04599999999999</v>
      </c>
      <c r="Y1068" s="731">
        <v>401.74799999999999</v>
      </c>
      <c r="Z1068" s="731">
        <v>414.70400000000001</v>
      </c>
      <c r="AA1068" s="731">
        <v>419.38900000000001</v>
      </c>
      <c r="AB1068" s="886">
        <f>AA1068</f>
        <v>419.38900000000001</v>
      </c>
      <c r="AC1068" s="731">
        <v>418.08300000000003</v>
      </c>
      <c r="AD1068" s="731">
        <v>423.90600000000001</v>
      </c>
      <c r="AE1068" s="731">
        <v>438.11799999999999</v>
      </c>
      <c r="AF1068" s="731">
        <v>394.22</v>
      </c>
      <c r="AG1068" s="886">
        <f>AF1068</f>
        <v>394.22</v>
      </c>
      <c r="AH1068" s="731">
        <v>5.1349999999999998</v>
      </c>
      <c r="AI1068" s="731">
        <v>5.0410000000000004</v>
      </c>
      <c r="AJ1068" s="731">
        <v>4.8479999999999999</v>
      </c>
      <c r="AK1068" s="731">
        <v>5.1849999999999996</v>
      </c>
      <c r="AL1068" s="886">
        <f>AK1068</f>
        <v>5.1849999999999996</v>
      </c>
      <c r="AM1068" s="731">
        <v>0</v>
      </c>
      <c r="AN1068" s="731">
        <v>0</v>
      </c>
      <c r="AO1068" s="731">
        <v>0</v>
      </c>
      <c r="AP1068" s="731">
        <f>AO1068-(AP1015+AP1016)-AP1033</f>
        <v>0</v>
      </c>
      <c r="AQ1068" s="886">
        <f>AP1068</f>
        <v>0</v>
      </c>
      <c r="AR1068" s="731">
        <v>0</v>
      </c>
      <c r="AS1068" s="731">
        <v>0</v>
      </c>
      <c r="AT1068" s="731">
        <v>0</v>
      </c>
      <c r="AU1068" s="731">
        <v>0</v>
      </c>
      <c r="AV1068" s="886">
        <f>AU1068</f>
        <v>0</v>
      </c>
      <c r="AW1068" s="731">
        <v>0</v>
      </c>
      <c r="AX1068" s="731">
        <f>AW1068-(AX1015+AX1016)-AX1033</f>
        <v>0</v>
      </c>
      <c r="AY1068" s="731">
        <v>0</v>
      </c>
      <c r="AZ1068" s="731">
        <v>0</v>
      </c>
      <c r="BA1068" s="886">
        <f>AZ1068</f>
        <v>0</v>
      </c>
      <c r="BB1068" s="731">
        <v>0</v>
      </c>
      <c r="BC1068" s="731">
        <v>0</v>
      </c>
      <c r="BD1068" s="731">
        <v>221.4</v>
      </c>
      <c r="BE1068" s="731">
        <v>222.71700000000001</v>
      </c>
      <c r="BF1068" s="886">
        <f>BE1068</f>
        <v>222.71700000000001</v>
      </c>
      <c r="BG1068" s="731">
        <v>226.732</v>
      </c>
      <c r="BH1068" s="731">
        <v>232.708</v>
      </c>
      <c r="BI1068" s="731">
        <v>251.13300000000001</v>
      </c>
      <c r="BJ1068" s="622">
        <v>244.62100000000001</v>
      </c>
      <c r="BK1068" s="886">
        <f>BJ1068</f>
        <v>244.62100000000001</v>
      </c>
      <c r="BL1068" s="622">
        <v>253.59800000000001</v>
      </c>
      <c r="BM1068" s="731">
        <v>272.29199999999997</v>
      </c>
      <c r="BN1068" s="622">
        <v>0</v>
      </c>
      <c r="BO1068" s="622">
        <v>0</v>
      </c>
      <c r="BP1068" s="886">
        <f>BO1068</f>
        <v>0</v>
      </c>
      <c r="BQ1068" s="622">
        <v>0</v>
      </c>
      <c r="BR1068" s="622">
        <v>0</v>
      </c>
      <c r="BS1068" s="622">
        <v>0</v>
      </c>
      <c r="BT1068" s="883">
        <f>BS1068-(BT1015+BT1016)-BT1033</f>
        <v>0</v>
      </c>
      <c r="BU1068" s="3436">
        <f>BT1068</f>
        <v>0</v>
      </c>
      <c r="BV1068" s="883">
        <f>BU1068-(BV1015+BV1016)-BV1033</f>
        <v>0</v>
      </c>
      <c r="BW1068" s="883">
        <f t="shared" ref="BW1068:BY1068" si="2020">BV1068-(BW1015+BW1016)-BW1033</f>
        <v>0</v>
      </c>
      <c r="BX1068" s="883">
        <f t="shared" si="2020"/>
        <v>0</v>
      </c>
      <c r="BY1068" s="883">
        <f t="shared" si="2020"/>
        <v>0</v>
      </c>
      <c r="BZ1068" s="4019">
        <f>BY1068</f>
        <v>0</v>
      </c>
      <c r="CA1068" s="886">
        <f t="shared" ref="CA1068:CG1068" si="2021">BZ1068-(CA1015+CA1016)-CA1033</f>
        <v>0</v>
      </c>
      <c r="CB1068" s="886">
        <f t="shared" si="2021"/>
        <v>0</v>
      </c>
      <c r="CC1068" s="886">
        <f t="shared" si="2021"/>
        <v>0</v>
      </c>
      <c r="CD1068" s="886">
        <f t="shared" si="2021"/>
        <v>0</v>
      </c>
      <c r="CE1068" s="886">
        <f t="shared" si="2021"/>
        <v>0</v>
      </c>
      <c r="CF1068" s="886">
        <f t="shared" si="2021"/>
        <v>0</v>
      </c>
      <c r="CG1068" s="886">
        <f t="shared" si="2021"/>
        <v>0</v>
      </c>
      <c r="CH1068" s="883"/>
      <c r="CI1068" s="883"/>
      <c r="CJ1068" s="883"/>
      <c r="CK1068" s="883"/>
      <c r="CL1068" s="883"/>
      <c r="CM1068" s="621"/>
      <c r="CN1068" s="621">
        <f t="shared" ref="CN1068:CN1070" si="2022">BY1068</f>
        <v>0</v>
      </c>
      <c r="CO1068" s="965">
        <f t="shared" ref="CO1068:CO1072" si="2023">CM1068-CN1068</f>
        <v>0</v>
      </c>
      <c r="CP1068" s="996" t="str">
        <f t="shared" si="1959"/>
        <v>Investments in unconsol subs, net</v>
      </c>
      <c r="CQ1068" s="883">
        <f t="shared" si="1960"/>
        <v>330.48599999999999</v>
      </c>
      <c r="CR1068" s="883">
        <f t="shared" si="1961"/>
        <v>388.37200000000001</v>
      </c>
      <c r="CS1068" s="883">
        <f t="shared" si="1962"/>
        <v>385.75099999999998</v>
      </c>
      <c r="CT1068" s="883">
        <f t="shared" si="1963"/>
        <v>393.61599999999999</v>
      </c>
      <c r="CU1068" s="883">
        <f t="shared" si="1964"/>
        <v>419.38900000000001</v>
      </c>
      <c r="CV1068" s="883">
        <f t="shared" si="1965"/>
        <v>394.22</v>
      </c>
      <c r="CW1068" s="883">
        <f t="shared" si="1966"/>
        <v>5.1849999999999996</v>
      </c>
      <c r="CX1068" s="883">
        <f t="shared" si="1967"/>
        <v>0</v>
      </c>
      <c r="CY1068" s="883">
        <f t="shared" si="1968"/>
        <v>0</v>
      </c>
      <c r="CZ1068" s="883">
        <f t="shared" si="1969"/>
        <v>0</v>
      </c>
      <c r="DA1068" s="883">
        <f t="shared" si="1970"/>
        <v>222.71700000000001</v>
      </c>
      <c r="DB1068" s="883">
        <f t="shared" si="1971"/>
        <v>244.62100000000001</v>
      </c>
      <c r="DC1068" s="883">
        <f t="shared" si="1972"/>
        <v>0</v>
      </c>
      <c r="DD1068" s="883">
        <f t="shared" si="1973"/>
        <v>0</v>
      </c>
      <c r="DE1068" s="883">
        <f t="shared" si="1974"/>
        <v>0</v>
      </c>
      <c r="DF1068" s="883">
        <f t="shared" si="1975"/>
        <v>0</v>
      </c>
      <c r="DG1068" s="1923">
        <f t="shared" si="1976"/>
        <v>0</v>
      </c>
      <c r="DH1068" s="883"/>
      <c r="DI1068" s="883"/>
      <c r="DJ1068" s="883"/>
      <c r="DK1068" s="883"/>
      <c r="DL1068" s="883"/>
      <c r="DM1068" s="883"/>
      <c r="DN1068" s="883"/>
      <c r="DO1068" s="887"/>
      <c r="DY1068" s="883"/>
      <c r="DZ1068" s="883"/>
    </row>
    <row r="1069" spans="1:130" ht="12" customHeight="1">
      <c r="A1069" s="993" t="s">
        <v>1173</v>
      </c>
      <c r="B1069" s="875"/>
      <c r="C1069" s="875"/>
      <c r="D1069" s="327">
        <v>55.962000000000003</v>
      </c>
      <c r="E1069" s="328">
        <v>49.084000000000003</v>
      </c>
      <c r="F1069" s="328">
        <v>104.05500000000001</v>
      </c>
      <c r="G1069" s="328">
        <v>112.867</v>
      </c>
      <c r="H1069" s="346">
        <f>G1069</f>
        <v>112.867</v>
      </c>
      <c r="I1069" s="328">
        <v>110.042</v>
      </c>
      <c r="J1069" s="328">
        <v>111.952</v>
      </c>
      <c r="K1069" s="328">
        <v>101.816</v>
      </c>
      <c r="L1069" s="328">
        <v>102.90900000000001</v>
      </c>
      <c r="M1069" s="346">
        <f>L1069</f>
        <v>102.90900000000001</v>
      </c>
      <c r="N1069" s="328">
        <v>108.23699999999999</v>
      </c>
      <c r="O1069" s="328">
        <v>109.01300000000001</v>
      </c>
      <c r="P1069" s="328">
        <v>104.345</v>
      </c>
      <c r="Q1069" s="328">
        <v>100.46899999999999</v>
      </c>
      <c r="R1069" s="346">
        <f>Q1069</f>
        <v>100.46899999999999</v>
      </c>
      <c r="S1069" s="328">
        <v>89.459000000000003</v>
      </c>
      <c r="T1069" s="328">
        <v>98.531999999999996</v>
      </c>
      <c r="U1069" s="328">
        <v>88.448999999999998</v>
      </c>
      <c r="V1069" s="328">
        <v>96.515000000000001</v>
      </c>
      <c r="W1069" s="346">
        <f>V1069</f>
        <v>96.515000000000001</v>
      </c>
      <c r="X1069" s="328">
        <v>95.828999999999994</v>
      </c>
      <c r="Y1069" s="328">
        <v>101.212</v>
      </c>
      <c r="Z1069" s="328">
        <v>99.247</v>
      </c>
      <c r="AA1069" s="328">
        <v>86.596999999999994</v>
      </c>
      <c r="AB1069" s="346">
        <f>AA1069</f>
        <v>86.596999999999994</v>
      </c>
      <c r="AC1069" s="328">
        <v>83.897999999999996</v>
      </c>
      <c r="AD1069" s="328">
        <v>83.224000000000004</v>
      </c>
      <c r="AE1069" s="328">
        <v>79.069999999999993</v>
      </c>
      <c r="AF1069" s="328">
        <f>78.121</f>
        <v>78.120999999999995</v>
      </c>
      <c r="AG1069" s="346">
        <f>AF1069</f>
        <v>78.120999999999995</v>
      </c>
      <c r="AH1069" s="328">
        <v>111.943</v>
      </c>
      <c r="AI1069" s="328">
        <f>108.757</f>
        <v>108.75700000000001</v>
      </c>
      <c r="AJ1069" s="328">
        <f>112.15+924.46</f>
        <v>1036.6100000000001</v>
      </c>
      <c r="AK1069" s="328">
        <f>1119.403+38.451+48.168+65.24</f>
        <v>1271.2619999999999</v>
      </c>
      <c r="AL1069" s="346">
        <f>AK1069</f>
        <v>1271.2619999999999</v>
      </c>
      <c r="AM1069" s="328">
        <f>1122.396+33.573+48.08+74.69</f>
        <v>1278.739</v>
      </c>
      <c r="AN1069" s="328">
        <f>75.046+1119.938+31.927+47.999</f>
        <v>1274.9100000000001</v>
      </c>
      <c r="AO1069" s="328">
        <f>1119.845+30.322+20.984+77.084</f>
        <v>1248.2349999999999</v>
      </c>
      <c r="AP1069" s="328">
        <f>1089.819+32.099+21.367+67.173</f>
        <v>1210.4579999999999</v>
      </c>
      <c r="AQ1069" s="346">
        <f>AP1069</f>
        <v>1210.4579999999999</v>
      </c>
      <c r="AR1069" s="328">
        <f>1090.028+30.047+21.367+66.545</f>
        <v>1207.9870000000001</v>
      </c>
      <c r="AS1069" s="328">
        <f>1090.198+28.309+21.367+66.837</f>
        <v>1206.711</v>
      </c>
      <c r="AT1069" s="328">
        <f>1090.467+28.948+21.366+70.058</f>
        <v>1210.8390000000002</v>
      </c>
      <c r="AU1069" s="328">
        <f>331.77+85.468+21.382+98.425</f>
        <v>537.04499999999996</v>
      </c>
      <c r="AV1069" s="346">
        <f>AU1069</f>
        <v>537.04499999999996</v>
      </c>
      <c r="AW1069" s="328">
        <f>79.187+99.715</f>
        <v>178.90199999999999</v>
      </c>
      <c r="AX1069" s="328">
        <f>82.451+82.954</f>
        <v>165.40499999999997</v>
      </c>
      <c r="AY1069" s="328">
        <f>82.241+62.415</f>
        <v>144.65600000000001</v>
      </c>
      <c r="AZ1069" s="328">
        <f>84.209+61.259</f>
        <v>145.46800000000002</v>
      </c>
      <c r="BA1069" s="346">
        <f>AZ1069</f>
        <v>145.46800000000002</v>
      </c>
      <c r="BB1069" s="328">
        <f>79.744+62.999</f>
        <v>142.74299999999999</v>
      </c>
      <c r="BC1069" s="328">
        <f>74.494+64.022</f>
        <v>138.51600000000002</v>
      </c>
      <c r="BD1069" s="328">
        <f>60.679+49.977</f>
        <v>110.65600000000001</v>
      </c>
      <c r="BE1069" s="328">
        <f>56.54+52.05</f>
        <v>108.59</v>
      </c>
      <c r="BF1069" s="346">
        <f>BE1069</f>
        <v>108.59</v>
      </c>
      <c r="BG1069" s="328">
        <f>52.033+52.303</f>
        <v>104.336</v>
      </c>
      <c r="BH1069" s="328">
        <f>50.075+59.298</f>
        <v>109.373</v>
      </c>
      <c r="BI1069" s="328">
        <f>54.946+49.724</f>
        <v>104.66999999999999</v>
      </c>
      <c r="BJ1069" s="622">
        <v>48.341000000000001</v>
      </c>
      <c r="BK1069" s="346">
        <f>BJ1069</f>
        <v>48.341000000000001</v>
      </c>
      <c r="BL1069" s="622">
        <v>48.947000000000003</v>
      </c>
      <c r="BM1069" s="328">
        <v>47.540999999999997</v>
      </c>
      <c r="BN1069" s="622">
        <v>51.765999999999998</v>
      </c>
      <c r="BO1069" s="622">
        <v>49.204999999999998</v>
      </c>
      <c r="BP1069" s="346">
        <f>BO1069</f>
        <v>49.204999999999998</v>
      </c>
      <c r="BQ1069" s="622">
        <v>83.468000000000004</v>
      </c>
      <c r="BR1069" s="622">
        <v>80.400000000000006</v>
      </c>
      <c r="BS1069" s="622">
        <v>81.626000000000005</v>
      </c>
      <c r="BT1069" s="3925">
        <f>BS1069-BT1017-BT1023</f>
        <v>141.726</v>
      </c>
      <c r="BU1069" s="3352">
        <f>BT1069</f>
        <v>141.726</v>
      </c>
      <c r="BV1069" s="347">
        <f>BU1069-BV1017</f>
        <v>141.726</v>
      </c>
      <c r="BW1069" s="347">
        <f t="shared" ref="BW1069:BY1069" si="2024">BV1069-BW1017</f>
        <v>141.726</v>
      </c>
      <c r="BX1069" s="347">
        <f t="shared" si="2024"/>
        <v>141.726</v>
      </c>
      <c r="BY1069" s="347">
        <f t="shared" si="2024"/>
        <v>141.726</v>
      </c>
      <c r="BZ1069" s="4014">
        <f>BY1069</f>
        <v>141.726</v>
      </c>
      <c r="CA1069" s="346">
        <f t="shared" ref="CA1069:CG1069" si="2025">BZ1069-CA1017</f>
        <v>141.726</v>
      </c>
      <c r="CB1069" s="346">
        <f t="shared" si="2025"/>
        <v>141.726</v>
      </c>
      <c r="CC1069" s="346">
        <f t="shared" si="2025"/>
        <v>141.726</v>
      </c>
      <c r="CD1069" s="346">
        <f t="shared" si="2025"/>
        <v>141.726</v>
      </c>
      <c r="CE1069" s="346">
        <f t="shared" si="2025"/>
        <v>141.726</v>
      </c>
      <c r="CF1069" s="346">
        <f t="shared" si="2025"/>
        <v>141.726</v>
      </c>
      <c r="CG1069" s="346">
        <f t="shared" si="2025"/>
        <v>141.726</v>
      </c>
      <c r="CH1069" s="347"/>
      <c r="CI1069" s="347"/>
      <c r="CJ1069" s="347"/>
      <c r="CK1069" s="347"/>
      <c r="CL1069" s="347"/>
      <c r="CM1069" s="621"/>
      <c r="CN1069" s="621">
        <f t="shared" si="2022"/>
        <v>141.726</v>
      </c>
      <c r="CO1069" s="965">
        <f t="shared" si="2023"/>
        <v>-141.726</v>
      </c>
      <c r="CP1069" s="993" t="str">
        <f t="shared" si="1959"/>
        <v>Other assets, net</v>
      </c>
      <c r="CQ1069" s="347">
        <f t="shared" si="1960"/>
        <v>112.867</v>
      </c>
      <c r="CR1069" s="347">
        <f t="shared" si="1961"/>
        <v>102.90900000000001</v>
      </c>
      <c r="CS1069" s="347">
        <f t="shared" si="1962"/>
        <v>100.46899999999999</v>
      </c>
      <c r="CT1069" s="347">
        <f t="shared" si="1963"/>
        <v>96.515000000000001</v>
      </c>
      <c r="CU1069" s="347">
        <f t="shared" si="1964"/>
        <v>86.596999999999994</v>
      </c>
      <c r="CV1069" s="347">
        <f t="shared" si="1965"/>
        <v>78.120999999999995</v>
      </c>
      <c r="CW1069" s="347">
        <f t="shared" si="1966"/>
        <v>1271.2619999999999</v>
      </c>
      <c r="CX1069" s="347">
        <f t="shared" si="1967"/>
        <v>1210.4579999999999</v>
      </c>
      <c r="CY1069" s="347">
        <f t="shared" si="1968"/>
        <v>537.04499999999996</v>
      </c>
      <c r="CZ1069" s="347">
        <f t="shared" si="1969"/>
        <v>145.46800000000002</v>
      </c>
      <c r="DA1069" s="347">
        <f t="shared" si="1970"/>
        <v>108.59</v>
      </c>
      <c r="DB1069" s="347">
        <f t="shared" si="1971"/>
        <v>48.341000000000001</v>
      </c>
      <c r="DC1069" s="347">
        <f t="shared" si="1972"/>
        <v>49.204999999999998</v>
      </c>
      <c r="DD1069" s="347">
        <f t="shared" si="1973"/>
        <v>141.726</v>
      </c>
      <c r="DE1069" s="347">
        <f t="shared" si="1974"/>
        <v>141.726</v>
      </c>
      <c r="DF1069" s="347">
        <f t="shared" si="1975"/>
        <v>141.726</v>
      </c>
      <c r="DG1069" s="1795">
        <f t="shared" si="1976"/>
        <v>141.726</v>
      </c>
      <c r="DH1069" s="290"/>
      <c r="DI1069" s="290"/>
      <c r="DJ1069" s="290"/>
      <c r="DK1069" s="290"/>
      <c r="DL1069" s="290"/>
      <c r="DM1069" s="290"/>
      <c r="DN1069" s="500"/>
      <c r="DO1069" s="537"/>
      <c r="DY1069" s="347"/>
      <c r="DZ1069" s="347"/>
    </row>
    <row r="1070" spans="1:130" ht="12" customHeight="1">
      <c r="A1070" s="993" t="s">
        <v>312</v>
      </c>
      <c r="B1070" s="875"/>
      <c r="C1070" s="875"/>
      <c r="D1070" s="327">
        <v>449.51</v>
      </c>
      <c r="E1070" s="328">
        <f>477.648+23.181</f>
        <v>500.82900000000001</v>
      </c>
      <c r="F1070" s="328">
        <f>532.393+403.548</f>
        <v>935.94100000000003</v>
      </c>
      <c r="G1070" s="328">
        <f>532.351+404.206</f>
        <v>936.55700000000002</v>
      </c>
      <c r="H1070" s="346">
        <f>+G1070</f>
        <v>936.55700000000002</v>
      </c>
      <c r="I1070" s="328">
        <f>506.905+404.206</f>
        <v>911.11099999999999</v>
      </c>
      <c r="J1070" s="328">
        <f>506.883+404.206</f>
        <v>911.08899999999994</v>
      </c>
      <c r="K1070" s="328">
        <f>506.86+404.206</f>
        <v>911.06600000000003</v>
      </c>
      <c r="L1070" s="328">
        <f>506.838+404.206</f>
        <v>911.0440000000001</v>
      </c>
      <c r="M1070" s="346">
        <f>+L1070</f>
        <v>911.0440000000001</v>
      </c>
      <c r="N1070" s="328">
        <f>506.815+404.206</f>
        <v>911.02099999999996</v>
      </c>
      <c r="O1070" s="328">
        <f>506.793+404.206</f>
        <v>910.99900000000002</v>
      </c>
      <c r="P1070" s="328">
        <f>506.77+404.206</f>
        <v>910.976</v>
      </c>
      <c r="Q1070" s="328">
        <f>506.75+404.206</f>
        <v>910.95600000000002</v>
      </c>
      <c r="R1070" s="346">
        <f>+Q1070</f>
        <v>910.95600000000002</v>
      </c>
      <c r="S1070" s="328">
        <f>541.46+404.206</f>
        <v>945.66600000000005</v>
      </c>
      <c r="T1070" s="328">
        <f>541.385+404.206</f>
        <v>945.59100000000001</v>
      </c>
      <c r="U1070" s="328">
        <f>538.115+404.206</f>
        <v>942.32100000000003</v>
      </c>
      <c r="V1070" s="328">
        <f>538.095+404.206</f>
        <v>942.30100000000004</v>
      </c>
      <c r="W1070" s="346">
        <f>+V1070</f>
        <v>942.30100000000004</v>
      </c>
      <c r="X1070" s="328">
        <f>502.923+404.206</f>
        <v>907.12900000000002</v>
      </c>
      <c r="Y1070" s="328">
        <f>502.903+404.206</f>
        <v>907.10900000000004</v>
      </c>
      <c r="Z1070" s="328">
        <f>502.883+404.206</f>
        <v>907.08899999999994</v>
      </c>
      <c r="AA1070" s="328">
        <f>422.163+213.576</f>
        <v>635.73900000000003</v>
      </c>
      <c r="AB1070" s="346">
        <f>+AA1070</f>
        <v>635.73900000000003</v>
      </c>
      <c r="AC1070" s="328">
        <f>422.143+213.576</f>
        <v>635.71899999999994</v>
      </c>
      <c r="AD1070" s="328">
        <f>422.124+213.576</f>
        <v>635.70000000000005</v>
      </c>
      <c r="AE1070" s="328">
        <f>422.126+213.576</f>
        <v>635.702</v>
      </c>
      <c r="AF1070" s="328">
        <f>422.126+213.576</f>
        <v>635.702</v>
      </c>
      <c r="AG1070" s="346">
        <f>+AF1070</f>
        <v>635.702</v>
      </c>
      <c r="AH1070" s="328">
        <f>422.126+213.576</f>
        <v>635.702</v>
      </c>
      <c r="AI1070" s="328">
        <f>422.126+213.576</f>
        <v>635.702</v>
      </c>
      <c r="AJ1070" s="328">
        <f>422.126+213.576</f>
        <v>635.702</v>
      </c>
      <c r="AK1070" s="328">
        <f>460.714+213.576</f>
        <v>674.29</v>
      </c>
      <c r="AL1070" s="346">
        <f>AK1070</f>
        <v>674.29</v>
      </c>
      <c r="AM1070" s="328">
        <f>528.755+213.576</f>
        <v>742.33100000000002</v>
      </c>
      <c r="AN1070" s="328">
        <f>527.322+213.576</f>
        <v>740.89800000000002</v>
      </c>
      <c r="AO1070" s="328">
        <f>547.075+213.576</f>
        <v>760.65100000000007</v>
      </c>
      <c r="AP1070" s="328">
        <f>574.018+213.576</f>
        <v>787.59400000000005</v>
      </c>
      <c r="AQ1070" s="346">
        <f>AP1070</f>
        <v>787.59400000000005</v>
      </c>
      <c r="AR1070" s="328">
        <f>572.712+213.576</f>
        <v>786.28800000000001</v>
      </c>
      <c r="AS1070" s="328">
        <f>571.374+213.576</f>
        <v>784.95</v>
      </c>
      <c r="AT1070" s="328">
        <f>569.909+213.576</f>
        <v>783.48500000000001</v>
      </c>
      <c r="AU1070" s="328">
        <f>1119.638+694.929</f>
        <v>1814.567</v>
      </c>
      <c r="AV1070" s="346">
        <f>AU1070</f>
        <v>1814.567</v>
      </c>
      <c r="AW1070" s="328">
        <f>1107.284+694.929</f>
        <v>1802.2130000000002</v>
      </c>
      <c r="AX1070" s="328">
        <f>1095.494+694.929</f>
        <v>1790.4229999999998</v>
      </c>
      <c r="AY1070" s="328">
        <f>1083.08+694.929</f>
        <v>1778.009</v>
      </c>
      <c r="AZ1070" s="328">
        <f>1070.66+685.31</f>
        <v>1755.97</v>
      </c>
      <c r="BA1070" s="346">
        <f>AZ1070</f>
        <v>1755.97</v>
      </c>
      <c r="BB1070" s="328">
        <f>1062.072+685.31</f>
        <v>1747.3819999999998</v>
      </c>
      <c r="BC1070" s="328">
        <f>1051.484+685.31</f>
        <v>1736.7939999999999</v>
      </c>
      <c r="BD1070" s="328">
        <f>982.91+685.31</f>
        <v>1668.2199999999998</v>
      </c>
      <c r="BE1070" s="328">
        <f>934.249+685.31</f>
        <v>1619.559</v>
      </c>
      <c r="BF1070" s="346">
        <f>BE1070</f>
        <v>1619.559</v>
      </c>
      <c r="BG1070" s="328">
        <f>927.576+685.31</f>
        <v>1612.886</v>
      </c>
      <c r="BH1070" s="328">
        <f>920.902+685.31</f>
        <v>1606.212</v>
      </c>
      <c r="BI1070" s="328">
        <f>914.228+685.31</f>
        <v>1599.538</v>
      </c>
      <c r="BJ1070" s="328">
        <f>890.054+685.31</f>
        <v>1575.364</v>
      </c>
      <c r="BK1070" s="346">
        <f>BJ1070</f>
        <v>1575.364</v>
      </c>
      <c r="BL1070" s="328">
        <f>886.062+685.31</f>
        <v>1571.3719999999998</v>
      </c>
      <c r="BM1070" s="328">
        <f>882.084+685.31</f>
        <v>1567.3939999999998</v>
      </c>
      <c r="BN1070" s="328">
        <f>878.105+993.853</f>
        <v>1871.9580000000001</v>
      </c>
      <c r="BO1070" s="328">
        <f>881.954+826.476</f>
        <v>1708.4299999999998</v>
      </c>
      <c r="BP1070" s="346">
        <f>BO1070</f>
        <v>1708.4299999999998</v>
      </c>
      <c r="BQ1070" s="328">
        <f>854.342+826.291</f>
        <v>1680.633</v>
      </c>
      <c r="BR1070" s="328">
        <f>850.547+890.236</f>
        <v>1740.7829999999999</v>
      </c>
      <c r="BS1070" s="328">
        <f>846.616+888.224</f>
        <v>1734.8400000000001</v>
      </c>
      <c r="BT1070" s="347">
        <f>BS1070-BT1021-BT1024</f>
        <v>1732.2950000000001</v>
      </c>
      <c r="BU1070" s="3352">
        <f>BT1070</f>
        <v>1732.2950000000001</v>
      </c>
      <c r="BV1070" s="347">
        <f>BU1070-BV1021-BV1024</f>
        <v>1715.7327180918278</v>
      </c>
      <c r="BW1070" s="347">
        <f t="shared" ref="BW1070:BY1070" si="2026">BV1070-BW1021-BW1024</f>
        <v>1700.1109580453074</v>
      </c>
      <c r="BX1070" s="347">
        <f t="shared" si="2026"/>
        <v>1678.4391306573823</v>
      </c>
      <c r="BY1070" s="347">
        <f t="shared" si="2026"/>
        <v>1654.4413211955537</v>
      </c>
      <c r="BZ1070" s="4014">
        <f>BY1070</f>
        <v>1654.4413211955537</v>
      </c>
      <c r="CA1070" s="346">
        <f t="shared" ref="CA1070:CG1070" si="2027">BZ1070-CA1021-CA1024</f>
        <v>1563.0836140392862</v>
      </c>
      <c r="CB1070" s="346">
        <f t="shared" si="2027"/>
        <v>1470.4109602649992</v>
      </c>
      <c r="CC1070" s="346">
        <f t="shared" si="2027"/>
        <v>1460.9089602649992</v>
      </c>
      <c r="CD1070" s="346">
        <f t="shared" si="2027"/>
        <v>1451.4069602649993</v>
      </c>
      <c r="CE1070" s="346">
        <f t="shared" si="2027"/>
        <v>1441.9049602649993</v>
      </c>
      <c r="CF1070" s="346">
        <f t="shared" si="2027"/>
        <v>1432.4029602649994</v>
      </c>
      <c r="CG1070" s="346">
        <f t="shared" si="2027"/>
        <v>1422.9009602649994</v>
      </c>
      <c r="CH1070" s="467"/>
      <c r="CI1070" s="467"/>
      <c r="CJ1070" s="467"/>
      <c r="CK1070" s="467"/>
      <c r="CL1070" s="467"/>
      <c r="CM1070" s="621"/>
      <c r="CN1070" s="621">
        <f t="shared" si="2022"/>
        <v>1654.4413211955537</v>
      </c>
      <c r="CO1070" s="965">
        <f t="shared" si="2023"/>
        <v>-1654.4413211955537</v>
      </c>
      <c r="CP1070" s="993" t="str">
        <f t="shared" si="1959"/>
        <v>Intangible assets and goodwill, net</v>
      </c>
      <c r="CQ1070" s="347">
        <f t="shared" si="1960"/>
        <v>936.55700000000002</v>
      </c>
      <c r="CR1070" s="347">
        <f t="shared" si="1961"/>
        <v>911.0440000000001</v>
      </c>
      <c r="CS1070" s="347">
        <f t="shared" si="1962"/>
        <v>910.95600000000002</v>
      </c>
      <c r="CT1070" s="347">
        <f t="shared" si="1963"/>
        <v>942.30100000000004</v>
      </c>
      <c r="CU1070" s="347">
        <f t="shared" si="1964"/>
        <v>635.73900000000003</v>
      </c>
      <c r="CV1070" s="347">
        <f t="shared" si="1965"/>
        <v>635.702</v>
      </c>
      <c r="CW1070" s="347">
        <f t="shared" si="1966"/>
        <v>674.29</v>
      </c>
      <c r="CX1070" s="347">
        <f t="shared" si="1967"/>
        <v>787.59400000000005</v>
      </c>
      <c r="CY1070" s="347">
        <f t="shared" si="1968"/>
        <v>1814.567</v>
      </c>
      <c r="CZ1070" s="347">
        <f t="shared" si="1969"/>
        <v>1755.97</v>
      </c>
      <c r="DA1070" s="347">
        <f t="shared" si="1970"/>
        <v>1619.559</v>
      </c>
      <c r="DB1070" s="347">
        <f t="shared" si="1971"/>
        <v>1575.364</v>
      </c>
      <c r="DC1070" s="347">
        <f t="shared" si="1972"/>
        <v>1708.4299999999998</v>
      </c>
      <c r="DD1070" s="347">
        <f t="shared" si="1973"/>
        <v>1732.2950000000001</v>
      </c>
      <c r="DE1070" s="347">
        <f t="shared" si="1974"/>
        <v>1654.4413211955537</v>
      </c>
      <c r="DF1070" s="347">
        <f t="shared" si="1975"/>
        <v>1563.0836140392862</v>
      </c>
      <c r="DG1070" s="1795">
        <f t="shared" si="1976"/>
        <v>1470.4109602649992</v>
      </c>
      <c r="DH1070" s="290"/>
      <c r="DI1070" s="290"/>
      <c r="DJ1070" s="290"/>
      <c r="DK1070" s="290"/>
      <c r="DL1070" s="290"/>
      <c r="DM1070" s="290"/>
      <c r="DN1070" s="500"/>
      <c r="DO1070" s="537"/>
      <c r="DY1070" s="347"/>
      <c r="DZ1070" s="347"/>
    </row>
    <row r="1071" spans="1:130" ht="4.5" customHeight="1">
      <c r="A1071" s="1784"/>
      <c r="B1071" s="293"/>
      <c r="C1071" s="293"/>
      <c r="D1071" s="294" t="s">
        <v>343</v>
      </c>
      <c r="E1071" s="295" t="s">
        <v>343</v>
      </c>
      <c r="F1071" s="295" t="s">
        <v>343</v>
      </c>
      <c r="G1071" s="295" t="s">
        <v>343</v>
      </c>
      <c r="H1071" s="296" t="s">
        <v>343</v>
      </c>
      <c r="I1071" s="295" t="s">
        <v>343</v>
      </c>
      <c r="J1071" s="295" t="s">
        <v>343</v>
      </c>
      <c r="K1071" s="295" t="s">
        <v>343</v>
      </c>
      <c r="L1071" s="295" t="s">
        <v>343</v>
      </c>
      <c r="M1071" s="296" t="s">
        <v>343</v>
      </c>
      <c r="N1071" s="295" t="s">
        <v>343</v>
      </c>
      <c r="O1071" s="295" t="s">
        <v>343</v>
      </c>
      <c r="P1071" s="295" t="s">
        <v>343</v>
      </c>
      <c r="Q1071" s="295" t="s">
        <v>343</v>
      </c>
      <c r="R1071" s="296" t="s">
        <v>343</v>
      </c>
      <c r="S1071" s="295" t="s">
        <v>343</v>
      </c>
      <c r="T1071" s="295" t="s">
        <v>343</v>
      </c>
      <c r="U1071" s="295" t="s">
        <v>343</v>
      </c>
      <c r="V1071" s="295" t="s">
        <v>343</v>
      </c>
      <c r="W1071" s="296" t="s">
        <v>343</v>
      </c>
      <c r="X1071" s="295" t="s">
        <v>343</v>
      </c>
      <c r="Y1071" s="295" t="s">
        <v>343</v>
      </c>
      <c r="Z1071" s="295" t="s">
        <v>343</v>
      </c>
      <c r="AA1071" s="295" t="s">
        <v>343</v>
      </c>
      <c r="AB1071" s="296" t="s">
        <v>343</v>
      </c>
      <c r="AC1071" s="295" t="s">
        <v>343</v>
      </c>
      <c r="AD1071" s="295" t="s">
        <v>343</v>
      </c>
      <c r="AE1071" s="295" t="s">
        <v>343</v>
      </c>
      <c r="AF1071" s="295" t="s">
        <v>343</v>
      </c>
      <c r="AG1071" s="296" t="s">
        <v>343</v>
      </c>
      <c r="AH1071" s="295" t="s">
        <v>343</v>
      </c>
      <c r="AI1071" s="295" t="s">
        <v>343</v>
      </c>
      <c r="AJ1071" s="295" t="s">
        <v>343</v>
      </c>
      <c r="AK1071" s="295" t="s">
        <v>343</v>
      </c>
      <c r="AL1071" s="296" t="s">
        <v>343</v>
      </c>
      <c r="AM1071" s="295" t="s">
        <v>343</v>
      </c>
      <c r="AN1071" s="295" t="s">
        <v>343</v>
      </c>
      <c r="AO1071" s="295" t="s">
        <v>343</v>
      </c>
      <c r="AP1071" s="295" t="s">
        <v>343</v>
      </c>
      <c r="AQ1071" s="296" t="s">
        <v>343</v>
      </c>
      <c r="AR1071" s="295" t="s">
        <v>343</v>
      </c>
      <c r="AS1071" s="295" t="s">
        <v>343</v>
      </c>
      <c r="AT1071" s="295" t="s">
        <v>343</v>
      </c>
      <c r="AU1071" s="295" t="s">
        <v>343</v>
      </c>
      <c r="AV1071" s="296" t="s">
        <v>343</v>
      </c>
      <c r="AW1071" s="295" t="s">
        <v>343</v>
      </c>
      <c r="AX1071" s="295" t="s">
        <v>343</v>
      </c>
      <c r="AY1071" s="295" t="s">
        <v>343</v>
      </c>
      <c r="AZ1071" s="295" t="s">
        <v>343</v>
      </c>
      <c r="BA1071" s="296" t="s">
        <v>343</v>
      </c>
      <c r="BB1071" s="295" t="s">
        <v>343</v>
      </c>
      <c r="BC1071" s="295" t="s">
        <v>343</v>
      </c>
      <c r="BD1071" s="295" t="s">
        <v>343</v>
      </c>
      <c r="BE1071" s="295" t="s">
        <v>343</v>
      </c>
      <c r="BF1071" s="296" t="s">
        <v>343</v>
      </c>
      <c r="BG1071" s="295" t="s">
        <v>343</v>
      </c>
      <c r="BH1071" s="295" t="s">
        <v>343</v>
      </c>
      <c r="BI1071" s="295" t="s">
        <v>343</v>
      </c>
      <c r="BJ1071" s="295" t="s">
        <v>343</v>
      </c>
      <c r="BK1071" s="296" t="s">
        <v>343</v>
      </c>
      <c r="BL1071" s="295" t="s">
        <v>343</v>
      </c>
      <c r="BM1071" s="295" t="s">
        <v>343</v>
      </c>
      <c r="BN1071" s="295" t="s">
        <v>343</v>
      </c>
      <c r="BO1071" s="295" t="s">
        <v>343</v>
      </c>
      <c r="BP1071" s="296" t="s">
        <v>343</v>
      </c>
      <c r="BQ1071" s="295" t="s">
        <v>343</v>
      </c>
      <c r="BR1071" s="295" t="s">
        <v>343</v>
      </c>
      <c r="BS1071" s="295" t="s">
        <v>343</v>
      </c>
      <c r="BT1071" s="295" t="s">
        <v>343</v>
      </c>
      <c r="BU1071" s="3314" t="s">
        <v>343</v>
      </c>
      <c r="BV1071" s="295" t="s">
        <v>343</v>
      </c>
      <c r="BW1071" s="295" t="s">
        <v>343</v>
      </c>
      <c r="BX1071" s="295" t="s">
        <v>343</v>
      </c>
      <c r="BY1071" s="295" t="s">
        <v>343</v>
      </c>
      <c r="BZ1071" s="296" t="s">
        <v>343</v>
      </c>
      <c r="CA1071" s="297" t="s">
        <v>343</v>
      </c>
      <c r="CB1071" s="297" t="s">
        <v>343</v>
      </c>
      <c r="CC1071" s="297" t="s">
        <v>343</v>
      </c>
      <c r="CD1071" s="297" t="s">
        <v>343</v>
      </c>
      <c r="CE1071" s="297" t="s">
        <v>343</v>
      </c>
      <c r="CF1071" s="297" t="s">
        <v>343</v>
      </c>
      <c r="CG1071" s="297" t="s">
        <v>343</v>
      </c>
      <c r="CH1071" s="295"/>
      <c r="CI1071" s="295"/>
      <c r="CJ1071" s="295"/>
      <c r="CK1071" s="295"/>
      <c r="CL1071" s="295"/>
      <c r="CM1071" s="295"/>
      <c r="CN1071" s="295"/>
      <c r="CO1071" s="965">
        <f t="shared" si="2023"/>
        <v>0</v>
      </c>
      <c r="CP1071" s="1784"/>
      <c r="CQ1071" s="295" t="str">
        <f t="shared" si="1960"/>
        <v xml:space="preserve">                </v>
      </c>
      <c r="CR1071" s="295" t="str">
        <f t="shared" si="1961"/>
        <v xml:space="preserve">                </v>
      </c>
      <c r="CS1071" s="295" t="str">
        <f t="shared" si="1962"/>
        <v xml:space="preserve">                </v>
      </c>
      <c r="CT1071" s="295" t="str">
        <f t="shared" si="1963"/>
        <v xml:space="preserve">                </v>
      </c>
      <c r="CU1071" s="295" t="str">
        <f t="shared" si="1964"/>
        <v xml:space="preserve">                </v>
      </c>
      <c r="CV1071" s="295" t="str">
        <f t="shared" si="1965"/>
        <v xml:space="preserve">                </v>
      </c>
      <c r="CW1071" s="295" t="str">
        <f t="shared" si="1966"/>
        <v xml:space="preserve">                </v>
      </c>
      <c r="CX1071" s="295" t="str">
        <f t="shared" si="1967"/>
        <v xml:space="preserve">                </v>
      </c>
      <c r="CY1071" s="295" t="str">
        <f t="shared" si="1968"/>
        <v xml:space="preserve">                </v>
      </c>
      <c r="CZ1071" s="295" t="str">
        <f t="shared" si="1969"/>
        <v xml:space="preserve">                </v>
      </c>
      <c r="DA1071" s="295" t="str">
        <f t="shared" si="1970"/>
        <v xml:space="preserve">                </v>
      </c>
      <c r="DB1071" s="295" t="str">
        <f t="shared" si="1971"/>
        <v xml:space="preserve">                </v>
      </c>
      <c r="DC1071" s="295" t="str">
        <f t="shared" si="1972"/>
        <v xml:space="preserve">                </v>
      </c>
      <c r="DD1071" s="295" t="str">
        <f t="shared" si="1973"/>
        <v xml:space="preserve">                </v>
      </c>
      <c r="DE1071" s="295" t="str">
        <f t="shared" si="1974"/>
        <v xml:space="preserve">                </v>
      </c>
      <c r="DF1071" s="295" t="str">
        <f t="shared" si="1975"/>
        <v xml:space="preserve">                </v>
      </c>
      <c r="DG1071" s="297" t="str">
        <f t="shared" si="1976"/>
        <v xml:space="preserve">                </v>
      </c>
      <c r="DH1071" s="298"/>
      <c r="DI1071" s="299"/>
      <c r="DJ1071" s="299"/>
      <c r="DK1071" s="299"/>
      <c r="DL1071" s="299"/>
      <c r="DM1071" s="299"/>
      <c r="DN1071" s="299"/>
      <c r="DO1071" s="300"/>
      <c r="DY1071" s="295"/>
      <c r="DZ1071" s="295"/>
    </row>
    <row r="1072" spans="1:130" ht="12" customHeight="1">
      <c r="A1072" s="1001" t="s">
        <v>1177</v>
      </c>
      <c r="B1072" s="530"/>
      <c r="C1072" s="530"/>
      <c r="D1072" s="353">
        <f>D1061+SUM(D1066:D1070)</f>
        <v>1863.5169999999998</v>
      </c>
      <c r="E1072" s="354">
        <f t="shared" ref="E1072:J1072" si="2028">E1061+SUM(E1066:E1070)</f>
        <v>2080.8320000000003</v>
      </c>
      <c r="F1072" s="354">
        <f t="shared" si="2028"/>
        <v>3717.0079999999994</v>
      </c>
      <c r="G1072" s="354">
        <f t="shared" si="2028"/>
        <v>3919.0319999999997</v>
      </c>
      <c r="H1072" s="355">
        <f t="shared" si="2028"/>
        <v>3919.0320000000002</v>
      </c>
      <c r="I1072" s="354">
        <f t="shared" si="2028"/>
        <v>3962.0769999999998</v>
      </c>
      <c r="J1072" s="354">
        <f t="shared" si="2028"/>
        <v>4086.1380000000004</v>
      </c>
      <c r="K1072" s="354">
        <f t="shared" ref="K1072:AU1072" si="2029">K1061+SUM(K1066:K1070)</f>
        <v>4209.0379999999996</v>
      </c>
      <c r="L1072" s="354">
        <f t="shared" si="2029"/>
        <v>4424.9710000000005</v>
      </c>
      <c r="M1072" s="355">
        <f t="shared" si="2029"/>
        <v>4424.9710000000005</v>
      </c>
      <c r="N1072" s="354">
        <f t="shared" si="2029"/>
        <v>4504.6459999999997</v>
      </c>
      <c r="O1072" s="354">
        <f t="shared" si="2029"/>
        <v>4484.8650000000007</v>
      </c>
      <c r="P1072" s="354">
        <f t="shared" si="2029"/>
        <v>4433.5509999999995</v>
      </c>
      <c r="Q1072" s="354">
        <f t="shared" si="2029"/>
        <v>3901.299</v>
      </c>
      <c r="R1072" s="355">
        <f t="shared" si="2029"/>
        <v>3901.299</v>
      </c>
      <c r="S1072" s="354">
        <f t="shared" si="2029"/>
        <v>4277.9459999999999</v>
      </c>
      <c r="T1072" s="354">
        <f t="shared" si="2029"/>
        <v>4320.6489999999994</v>
      </c>
      <c r="U1072" s="354">
        <f t="shared" si="2029"/>
        <v>4370.9449999999997</v>
      </c>
      <c r="V1072" s="354">
        <f t="shared" si="2029"/>
        <v>4487.5959999999995</v>
      </c>
      <c r="W1072" s="355">
        <f t="shared" si="2029"/>
        <v>4487.5959999999995</v>
      </c>
      <c r="X1072" s="354">
        <f t="shared" si="2029"/>
        <v>4558.7119999999995</v>
      </c>
      <c r="Y1072" s="354">
        <f t="shared" si="2029"/>
        <v>4769.33</v>
      </c>
      <c r="Z1072" s="354">
        <f t="shared" si="2029"/>
        <v>4888.88</v>
      </c>
      <c r="AA1072" s="354">
        <f t="shared" si="2029"/>
        <v>4605.4270000000006</v>
      </c>
      <c r="AB1072" s="355">
        <f t="shared" si="2029"/>
        <v>4605.4270000000006</v>
      </c>
      <c r="AC1072" s="354">
        <f t="shared" si="2029"/>
        <v>4578.5020000000004</v>
      </c>
      <c r="AD1072" s="354">
        <f t="shared" si="2029"/>
        <v>4563.25</v>
      </c>
      <c r="AE1072" s="354">
        <f t="shared" si="2029"/>
        <v>4540.4480000000003</v>
      </c>
      <c r="AF1072" s="354">
        <f t="shared" si="2029"/>
        <v>4459.9570000000012</v>
      </c>
      <c r="AG1072" s="355">
        <f t="shared" si="2029"/>
        <v>4459.9570000000012</v>
      </c>
      <c r="AH1072" s="354">
        <f t="shared" si="2029"/>
        <v>5479.4890000000005</v>
      </c>
      <c r="AI1072" s="354">
        <f t="shared" si="2029"/>
        <v>5437.107</v>
      </c>
      <c r="AJ1072" s="354">
        <f t="shared" si="2029"/>
        <v>5410.1970000000019</v>
      </c>
      <c r="AK1072" s="354">
        <f t="shared" si="2029"/>
        <v>5702.5460000000003</v>
      </c>
      <c r="AL1072" s="355">
        <f>AL1061+SUM(AL1066:AL1070)</f>
        <v>5702.5460000000003</v>
      </c>
      <c r="AM1072" s="354">
        <f t="shared" si="2029"/>
        <v>5668.438000000001</v>
      </c>
      <c r="AN1072" s="354">
        <f t="shared" si="2029"/>
        <v>5636.5350000000008</v>
      </c>
      <c r="AO1072" s="354">
        <f t="shared" si="2029"/>
        <v>5638.8220000000001</v>
      </c>
      <c r="AP1072" s="354">
        <f t="shared" si="2029"/>
        <v>5883.0540000000001</v>
      </c>
      <c r="AQ1072" s="355">
        <f>AQ1061+SUM(AQ1066:AQ1070)</f>
        <v>5883.0540000000001</v>
      </c>
      <c r="AR1072" s="354">
        <f t="shared" si="2029"/>
        <v>5833.4160000000002</v>
      </c>
      <c r="AS1072" s="354">
        <f t="shared" si="2029"/>
        <v>6038.9480000000003</v>
      </c>
      <c r="AT1072" s="354">
        <f t="shared" si="2029"/>
        <v>6385.652</v>
      </c>
      <c r="AU1072" s="354">
        <f t="shared" si="2029"/>
        <v>6332.1930000000002</v>
      </c>
      <c r="AV1072" s="355">
        <f t="shared" ref="AV1072:BG1072" si="2030">AV1061+SUM(AV1066:AV1070)</f>
        <v>6332.1929999999993</v>
      </c>
      <c r="AW1072" s="354">
        <f t="shared" si="2030"/>
        <v>6154.9850000000006</v>
      </c>
      <c r="AX1072" s="354">
        <f t="shared" si="2030"/>
        <v>5849.0769999999993</v>
      </c>
      <c r="AY1072" s="354">
        <f t="shared" si="2030"/>
        <v>5773.0810000000001</v>
      </c>
      <c r="AZ1072" s="354">
        <f t="shared" si="2030"/>
        <v>5741.7310000000007</v>
      </c>
      <c r="BA1072" s="355">
        <f t="shared" si="2030"/>
        <v>5741.7310000000007</v>
      </c>
      <c r="BB1072" s="354">
        <f t="shared" si="2030"/>
        <v>5680.0909999999994</v>
      </c>
      <c r="BC1072" s="354">
        <f t="shared" si="2030"/>
        <v>5656.4110000000001</v>
      </c>
      <c r="BD1072" s="354">
        <f t="shared" si="2030"/>
        <v>4509.5810000000001</v>
      </c>
      <c r="BE1072" s="354">
        <f t="shared" si="2030"/>
        <v>4478.924</v>
      </c>
      <c r="BF1072" s="355">
        <f t="shared" si="2030"/>
        <v>4478.924</v>
      </c>
      <c r="BG1072" s="354">
        <f t="shared" si="2030"/>
        <v>4426.7840000000006</v>
      </c>
      <c r="BH1072" s="354">
        <f t="shared" ref="BH1072:BP1072" si="2031">BH1061+SUM(BH1066:BH1070)</f>
        <v>4419.4730000000009</v>
      </c>
      <c r="BI1072" s="354">
        <f t="shared" si="2031"/>
        <v>4409.152</v>
      </c>
      <c r="BJ1072" s="354">
        <f t="shared" si="2031"/>
        <v>4350.8999999999996</v>
      </c>
      <c r="BK1072" s="355">
        <f t="shared" si="2031"/>
        <v>4350.8999999999996</v>
      </c>
      <c r="BL1072" s="354">
        <f t="shared" si="2031"/>
        <v>4797.0829999999996</v>
      </c>
      <c r="BM1072" s="354">
        <f>BM1061+SUM(BM1066:BM1070)</f>
        <v>4829.32</v>
      </c>
      <c r="BN1072" s="354">
        <f t="shared" ref="BN1072" si="2032">BN1061+SUM(BN1066:BN1070)</f>
        <v>4456.6539999999995</v>
      </c>
      <c r="BO1072" s="354">
        <f t="shared" si="2031"/>
        <v>4670.7510000000002</v>
      </c>
      <c r="BP1072" s="355">
        <f t="shared" si="2031"/>
        <v>4670.7510000000002</v>
      </c>
      <c r="BQ1072" s="354">
        <f t="shared" ref="BQ1072:BR1072" si="2033">BQ1061+SUM(BQ1066:BQ1070)</f>
        <v>4681.8959999999997</v>
      </c>
      <c r="BR1072" s="354">
        <f t="shared" si="2033"/>
        <v>4668.5230000000001</v>
      </c>
      <c r="BS1072" s="354">
        <f t="shared" ref="BS1072:CB1072" si="2034">BS1061+SUM(BS1066:BS1070)</f>
        <v>4655.3690000000006</v>
      </c>
      <c r="BT1072" s="354">
        <f t="shared" si="2034"/>
        <v>4730.3980000000001</v>
      </c>
      <c r="BU1072" s="3387">
        <f t="shared" si="2034"/>
        <v>4730.3980000000001</v>
      </c>
      <c r="BV1072" s="354">
        <f t="shared" ref="BV1072:BZ1072" si="2035">BV1061+SUM(BV1066:BV1070)</f>
        <v>4749.621136593626</v>
      </c>
      <c r="BW1072" s="354">
        <f t="shared" si="2035"/>
        <v>4769.1524875329587</v>
      </c>
      <c r="BX1072" s="354">
        <f t="shared" si="2035"/>
        <v>6257.0206158277351</v>
      </c>
      <c r="BY1072" s="354">
        <f t="shared" si="2035"/>
        <v>6294.2842532569239</v>
      </c>
      <c r="BZ1072" s="355">
        <f t="shared" si="2035"/>
        <v>6294.2842532569239</v>
      </c>
      <c r="CA1072" s="355">
        <f t="shared" si="2034"/>
        <v>6485.5163644471049</v>
      </c>
      <c r="CB1072" s="355">
        <f t="shared" si="2034"/>
        <v>6679.8695646456126</v>
      </c>
      <c r="CC1072" s="355">
        <f t="shared" ref="CC1072:CG1072" si="2036">CC1061+SUM(CC1066:CC1070)</f>
        <v>5655.8614213795499</v>
      </c>
      <c r="CD1072" s="355">
        <f t="shared" si="2036"/>
        <v>5562.7841826843996</v>
      </c>
      <c r="CE1072" s="355">
        <f t="shared" si="2036"/>
        <v>5469.7069439892493</v>
      </c>
      <c r="CF1072" s="355">
        <f t="shared" si="2036"/>
        <v>5376.6297052940999</v>
      </c>
      <c r="CG1072" s="355">
        <f t="shared" si="2036"/>
        <v>5283.5524665989506</v>
      </c>
      <c r="CH1072" s="621"/>
      <c r="CI1072" s="621"/>
      <c r="CJ1072" s="621"/>
      <c r="CK1072" s="621"/>
      <c r="CL1072" s="621"/>
      <c r="CM1072" s="621"/>
      <c r="CN1072" s="621">
        <f>BY1072</f>
        <v>6294.2842532569239</v>
      </c>
      <c r="CO1072" s="965">
        <f t="shared" si="2023"/>
        <v>-6294.2842532569239</v>
      </c>
      <c r="CP1072" s="1001" t="str">
        <f t="shared" si="1959"/>
        <v>Total Assets</v>
      </c>
      <c r="CQ1072" s="354">
        <f t="shared" si="1960"/>
        <v>3919.0320000000002</v>
      </c>
      <c r="CR1072" s="354">
        <f t="shared" si="1961"/>
        <v>4424.9710000000005</v>
      </c>
      <c r="CS1072" s="354">
        <f t="shared" si="1962"/>
        <v>3901.299</v>
      </c>
      <c r="CT1072" s="354">
        <f t="shared" si="1963"/>
        <v>4487.5959999999995</v>
      </c>
      <c r="CU1072" s="354">
        <f t="shared" si="1964"/>
        <v>4605.4270000000006</v>
      </c>
      <c r="CV1072" s="354">
        <f t="shared" si="1965"/>
        <v>4459.9570000000012</v>
      </c>
      <c r="CW1072" s="354">
        <f t="shared" si="1966"/>
        <v>5702.5460000000003</v>
      </c>
      <c r="CX1072" s="354">
        <f t="shared" si="1967"/>
        <v>5883.0540000000001</v>
      </c>
      <c r="CY1072" s="354">
        <f t="shared" si="1968"/>
        <v>6332.1929999999993</v>
      </c>
      <c r="CZ1072" s="354">
        <f t="shared" si="1969"/>
        <v>5741.7310000000007</v>
      </c>
      <c r="DA1072" s="354">
        <f t="shared" si="1970"/>
        <v>4478.924</v>
      </c>
      <c r="DB1072" s="354">
        <f t="shared" si="1971"/>
        <v>4350.8999999999996</v>
      </c>
      <c r="DC1072" s="354">
        <f t="shared" si="1972"/>
        <v>4670.7510000000002</v>
      </c>
      <c r="DD1072" s="354">
        <f t="shared" si="1973"/>
        <v>4730.3980000000001</v>
      </c>
      <c r="DE1072" s="354">
        <f t="shared" si="1974"/>
        <v>6294.2842532569239</v>
      </c>
      <c r="DF1072" s="354">
        <f t="shared" si="1975"/>
        <v>6485.5163644471049</v>
      </c>
      <c r="DG1072" s="1838">
        <f t="shared" si="1976"/>
        <v>6679.8695646456126</v>
      </c>
      <c r="DH1072" s="620"/>
      <c r="DI1072" s="500"/>
      <c r="DJ1072" s="500"/>
      <c r="DK1072" s="500"/>
      <c r="DL1072" s="500"/>
      <c r="DM1072" s="500"/>
      <c r="DN1072" s="500"/>
      <c r="DO1072" s="537"/>
      <c r="DY1072" s="354"/>
      <c r="DZ1072" s="354"/>
    </row>
    <row r="1073" spans="1:130" ht="12" customHeight="1">
      <c r="A1073" s="912"/>
      <c r="B1073" s="222"/>
      <c r="C1073" s="222"/>
      <c r="D1073" s="326"/>
      <c r="E1073" s="328"/>
      <c r="F1073" s="469"/>
      <c r="G1073" s="469"/>
      <c r="H1073" s="470"/>
      <c r="I1073" s="331"/>
      <c r="J1073" s="331"/>
      <c r="K1073" s="469"/>
      <c r="L1073" s="469"/>
      <c r="M1073" s="470"/>
      <c r="N1073" s="331"/>
      <c r="O1073" s="331"/>
      <c r="P1073" s="469"/>
      <c r="Q1073" s="469"/>
      <c r="R1073" s="470"/>
      <c r="S1073" s="331"/>
      <c r="T1073" s="331"/>
      <c r="U1073" s="469"/>
      <c r="V1073" s="469"/>
      <c r="W1073" s="470"/>
      <c r="X1073" s="469"/>
      <c r="Y1073" s="469"/>
      <c r="Z1073" s="469"/>
      <c r="AA1073" s="469"/>
      <c r="AB1073" s="470"/>
      <c r="AC1073" s="469"/>
      <c r="AD1073" s="469"/>
      <c r="AE1073" s="469"/>
      <c r="AF1073" s="469"/>
      <c r="AG1073" s="470"/>
      <c r="AH1073" s="469"/>
      <c r="AI1073" s="469"/>
      <c r="AJ1073" s="469"/>
      <c r="AK1073" s="469"/>
      <c r="AL1073" s="892"/>
      <c r="AM1073" s="331"/>
      <c r="AN1073" s="331"/>
      <c r="AO1073" s="331"/>
      <c r="AP1073" s="469"/>
      <c r="AQ1073" s="892"/>
      <c r="AR1073" s="331"/>
      <c r="AS1073" s="331"/>
      <c r="AT1073" s="331"/>
      <c r="AU1073" s="331"/>
      <c r="AV1073" s="892"/>
      <c r="AW1073" s="331"/>
      <c r="AX1073" s="331"/>
      <c r="AY1073" s="331"/>
      <c r="AZ1073" s="331"/>
      <c r="BA1073" s="892"/>
      <c r="BB1073" s="331"/>
      <c r="BC1073" s="331"/>
      <c r="BD1073" s="331"/>
      <c r="BE1073" s="331"/>
      <c r="BF1073" s="892"/>
      <c r="BG1073" s="331"/>
      <c r="BH1073" s="331"/>
      <c r="BI1073" s="331"/>
      <c r="BJ1073" s="331"/>
      <c r="BK1073" s="892"/>
      <c r="BL1073" s="331"/>
      <c r="BM1073" s="331"/>
      <c r="BN1073" s="331"/>
      <c r="BO1073" s="331"/>
      <c r="BP1073" s="892"/>
      <c r="BQ1073" s="331"/>
      <c r="BR1073" s="872"/>
      <c r="BS1073" s="331"/>
      <c r="BT1073" s="331"/>
      <c r="BU1073" s="3439"/>
      <c r="BV1073" s="331"/>
      <c r="BW1073" s="331"/>
      <c r="BX1073" s="331"/>
      <c r="BY1073" s="331"/>
      <c r="BZ1073" s="4020"/>
      <c r="CA1073" s="892"/>
      <c r="CB1073" s="892"/>
      <c r="CC1073" s="892"/>
      <c r="CD1073" s="892"/>
      <c r="CE1073" s="892"/>
      <c r="CF1073" s="892"/>
      <c r="CG1073" s="892"/>
      <c r="CH1073" s="469"/>
      <c r="CI1073" s="469"/>
      <c r="CJ1073" s="469"/>
      <c r="CK1073" s="469"/>
      <c r="CL1073" s="469"/>
      <c r="CM1073" s="469"/>
      <c r="CN1073" s="469"/>
      <c r="CO1073" s="469"/>
      <c r="CP1073" s="912"/>
      <c r="CQ1073" s="1768"/>
      <c r="CR1073" s="1768"/>
      <c r="CS1073" s="1768"/>
      <c r="CT1073" s="1768"/>
      <c r="CU1073" s="1768"/>
      <c r="CV1073" s="1768"/>
      <c r="CW1073" s="1768"/>
      <c r="CX1073" s="1768"/>
      <c r="CY1073" s="1768"/>
      <c r="CZ1073" s="1768"/>
      <c r="DA1073" s="1768"/>
      <c r="DB1073" s="1768"/>
      <c r="DC1073" s="1768"/>
      <c r="DD1073" s="1768"/>
      <c r="DE1073" s="1768"/>
      <c r="DF1073" s="1768"/>
      <c r="DG1073" s="1917"/>
      <c r="DH1073" s="222"/>
      <c r="DI1073" s="222"/>
      <c r="DJ1073" s="222"/>
      <c r="DK1073" s="222"/>
      <c r="DL1073" s="222"/>
      <c r="DM1073" s="222"/>
      <c r="DN1073" s="222"/>
      <c r="DO1073" s="226"/>
      <c r="DY1073" s="331"/>
      <c r="DZ1073" s="331"/>
    </row>
    <row r="1074" spans="1:130" ht="12" customHeight="1">
      <c r="A1074" s="1002" t="s">
        <v>169</v>
      </c>
      <c r="B1074" s="445"/>
      <c r="C1074" s="445"/>
      <c r="D1074" s="468"/>
      <c r="E1074" s="469"/>
      <c r="F1074" s="469"/>
      <c r="G1074" s="469"/>
      <c r="H1074" s="470"/>
      <c r="I1074" s="469"/>
      <c r="J1074" s="469"/>
      <c r="K1074" s="469"/>
      <c r="L1074" s="469"/>
      <c r="M1074" s="470"/>
      <c r="N1074" s="469"/>
      <c r="O1074" s="469"/>
      <c r="P1074" s="469"/>
      <c r="Q1074" s="469"/>
      <c r="R1074" s="470"/>
      <c r="S1074" s="469"/>
      <c r="T1074" s="469"/>
      <c r="U1074" s="469"/>
      <c r="V1074" s="469"/>
      <c r="W1074" s="470"/>
      <c r="X1074" s="469"/>
      <c r="Y1074" s="469"/>
      <c r="Z1074" s="469"/>
      <c r="AA1074" s="469"/>
      <c r="AB1074" s="470"/>
      <c r="AC1074" s="469"/>
      <c r="AD1074" s="469"/>
      <c r="AE1074" s="469"/>
      <c r="AF1074" s="469"/>
      <c r="AG1074" s="470"/>
      <c r="AH1074" s="469"/>
      <c r="AI1074" s="469"/>
      <c r="AJ1074" s="469"/>
      <c r="AK1074" s="469"/>
      <c r="AL1074" s="470"/>
      <c r="AM1074" s="469"/>
      <c r="AN1074" s="469"/>
      <c r="AO1074" s="469"/>
      <c r="AP1074" s="469"/>
      <c r="AQ1074" s="470"/>
      <c r="AR1074" s="469"/>
      <c r="AS1074" s="469"/>
      <c r="AT1074" s="469"/>
      <c r="AU1074" s="469"/>
      <c r="AV1074" s="470"/>
      <c r="AW1074" s="469"/>
      <c r="AX1074" s="469"/>
      <c r="AY1074" s="469"/>
      <c r="AZ1074" s="469"/>
      <c r="BA1074" s="470"/>
      <c r="BB1074" s="469"/>
      <c r="BC1074" s="469"/>
      <c r="BD1074" s="469"/>
      <c r="BE1074" s="469"/>
      <c r="BF1074" s="470"/>
      <c r="BG1074" s="469"/>
      <c r="BH1074" s="469"/>
      <c r="BI1074" s="469"/>
      <c r="BJ1074" s="469"/>
      <c r="BK1074" s="470"/>
      <c r="BL1074" s="469"/>
      <c r="BM1074" s="469"/>
      <c r="BN1074" s="469"/>
      <c r="BO1074" s="469"/>
      <c r="BP1074" s="470"/>
      <c r="BQ1074" s="469"/>
      <c r="BR1074" s="469"/>
      <c r="BS1074" s="469"/>
      <c r="BT1074" s="469"/>
      <c r="BU1074" s="3322"/>
      <c r="BV1074" s="469"/>
      <c r="BW1074" s="469"/>
      <c r="BX1074" s="469"/>
      <c r="BY1074" s="469"/>
      <c r="BZ1074" s="4018"/>
      <c r="CA1074" s="470"/>
      <c r="CB1074" s="470"/>
      <c r="CC1074" s="470"/>
      <c r="CD1074" s="470"/>
      <c r="CE1074" s="470"/>
      <c r="CF1074" s="470"/>
      <c r="CG1074" s="470"/>
      <c r="CH1074" s="469"/>
      <c r="CI1074" s="469"/>
      <c r="CJ1074" s="469"/>
      <c r="CK1074" s="469"/>
      <c r="CL1074" s="469"/>
      <c r="CM1074" s="469"/>
      <c r="CN1074" s="469"/>
      <c r="CO1074" s="469"/>
      <c r="CP1074" s="1002" t="str">
        <f t="shared" si="1959"/>
        <v>Liabilities</v>
      </c>
      <c r="CQ1074" s="465"/>
      <c r="CR1074" s="465"/>
      <c r="CS1074" s="465"/>
      <c r="CT1074" s="465"/>
      <c r="CU1074" s="465"/>
      <c r="CV1074" s="465"/>
      <c r="CW1074" s="465"/>
      <c r="CX1074" s="465"/>
      <c r="CY1074" s="465"/>
      <c r="CZ1074" s="465"/>
      <c r="DA1074" s="465"/>
      <c r="DB1074" s="465"/>
      <c r="DC1074" s="465"/>
      <c r="DD1074" s="465"/>
      <c r="DE1074" s="465"/>
      <c r="DF1074" s="465"/>
      <c r="DG1074" s="1797"/>
      <c r="DH1074" s="222"/>
      <c r="DI1074" s="222"/>
      <c r="DJ1074" s="222"/>
      <c r="DK1074" s="222"/>
      <c r="DL1074" s="222"/>
      <c r="DM1074" s="222"/>
      <c r="DN1074" s="222"/>
      <c r="DO1074" s="226"/>
      <c r="DY1074" s="469"/>
      <c r="DZ1074" s="469"/>
    </row>
    <row r="1075" spans="1:130" ht="12" customHeight="1">
      <c r="A1075" s="994" t="s">
        <v>313</v>
      </c>
      <c r="B1075" s="552"/>
      <c r="C1075" s="552"/>
      <c r="D1075" s="667">
        <v>24.579000000000001</v>
      </c>
      <c r="E1075" s="622">
        <v>31.125</v>
      </c>
      <c r="F1075" s="622">
        <v>61.247999999999998</v>
      </c>
      <c r="G1075" s="622">
        <v>69.935000000000002</v>
      </c>
      <c r="H1075" s="585">
        <f>G1075</f>
        <v>69.935000000000002</v>
      </c>
      <c r="I1075" s="622">
        <v>56.543999999999997</v>
      </c>
      <c r="J1075" s="622">
        <v>58.771999999999998</v>
      </c>
      <c r="K1075" s="622">
        <v>64.247</v>
      </c>
      <c r="L1075" s="622">
        <v>92.555999999999997</v>
      </c>
      <c r="M1075" s="585">
        <f>L1075</f>
        <v>92.555999999999997</v>
      </c>
      <c r="N1075" s="622">
        <v>75.634</v>
      </c>
      <c r="O1075" s="622">
        <v>80.632000000000005</v>
      </c>
      <c r="P1075" s="622">
        <v>63.210999999999999</v>
      </c>
      <c r="Q1075" s="622">
        <v>77.531999999999996</v>
      </c>
      <c r="R1075" s="585">
        <f>Q1075</f>
        <v>77.531999999999996</v>
      </c>
      <c r="S1075" s="622">
        <v>60.125999999999998</v>
      </c>
      <c r="T1075" s="622">
        <v>58.451999999999998</v>
      </c>
      <c r="U1075" s="622">
        <v>51.097000000000001</v>
      </c>
      <c r="V1075" s="622">
        <v>74.072999999999993</v>
      </c>
      <c r="W1075" s="585">
        <f>V1075</f>
        <v>74.072999999999993</v>
      </c>
      <c r="X1075" s="622">
        <v>53.972000000000001</v>
      </c>
      <c r="Y1075" s="622">
        <v>63.948999999999998</v>
      </c>
      <c r="Z1075" s="622">
        <v>41.319000000000003</v>
      </c>
      <c r="AA1075" s="622">
        <v>50.128</v>
      </c>
      <c r="AB1075" s="585">
        <f>AA1075</f>
        <v>50.128</v>
      </c>
      <c r="AC1075" s="622">
        <v>36.029000000000003</v>
      </c>
      <c r="AD1075" s="622">
        <v>37.177999999999997</v>
      </c>
      <c r="AE1075" s="622">
        <v>39.594999999999999</v>
      </c>
      <c r="AF1075" s="622">
        <v>39.127000000000002</v>
      </c>
      <c r="AG1075" s="585">
        <f>AF1075</f>
        <v>39.127000000000002</v>
      </c>
      <c r="AH1075" s="622">
        <v>45.378</v>
      </c>
      <c r="AI1075" s="622">
        <v>50.582000000000001</v>
      </c>
      <c r="AJ1075" s="622">
        <v>52.408000000000001</v>
      </c>
      <c r="AK1075" s="622">
        <v>49.545999999999999</v>
      </c>
      <c r="AL1075" s="585">
        <f>AK1075</f>
        <v>49.545999999999999</v>
      </c>
      <c r="AM1075" s="622">
        <v>53.215000000000003</v>
      </c>
      <c r="AN1075" s="622">
        <v>44.954999999999998</v>
      </c>
      <c r="AO1075" s="622">
        <v>55.226999999999997</v>
      </c>
      <c r="AP1075" s="622">
        <v>98.015000000000001</v>
      </c>
      <c r="AQ1075" s="585">
        <f>AP1075</f>
        <v>98.015000000000001</v>
      </c>
      <c r="AR1075" s="622">
        <v>78.89</v>
      </c>
      <c r="AS1075" s="622">
        <v>88.789000000000001</v>
      </c>
      <c r="AT1075" s="622">
        <v>86.555000000000007</v>
      </c>
      <c r="AU1075" s="622">
        <v>91.21</v>
      </c>
      <c r="AV1075" s="585">
        <f>AU1075</f>
        <v>91.21</v>
      </c>
      <c r="AW1075" s="622">
        <v>106.681</v>
      </c>
      <c r="AX1075" s="622">
        <v>102.063</v>
      </c>
      <c r="AY1075" s="622">
        <v>72.364000000000004</v>
      </c>
      <c r="AZ1075" s="622">
        <v>75.477999999999994</v>
      </c>
      <c r="BA1075" s="585">
        <f>AZ1075</f>
        <v>75.477999999999994</v>
      </c>
      <c r="BB1075" s="622">
        <v>68.816999999999993</v>
      </c>
      <c r="BC1075" s="622">
        <v>68.789000000000001</v>
      </c>
      <c r="BD1075" s="622">
        <v>68.635999999999996</v>
      </c>
      <c r="BE1075" s="622">
        <v>85.088999999999999</v>
      </c>
      <c r="BF1075" s="585">
        <f>BE1075</f>
        <v>85.088999999999999</v>
      </c>
      <c r="BG1075" s="622">
        <v>56.470999999999997</v>
      </c>
      <c r="BH1075" s="622">
        <v>60.74</v>
      </c>
      <c r="BI1075" s="622">
        <v>59.837000000000003</v>
      </c>
      <c r="BJ1075" s="622">
        <v>75.802999999999997</v>
      </c>
      <c r="BK1075" s="585">
        <f>BJ1075</f>
        <v>75.802999999999997</v>
      </c>
      <c r="BL1075" s="622">
        <v>67.177000000000007</v>
      </c>
      <c r="BM1075" s="622">
        <v>72.486000000000004</v>
      </c>
      <c r="BN1075" s="622">
        <v>88.141000000000005</v>
      </c>
      <c r="BO1075" s="622">
        <v>84.085999999999999</v>
      </c>
      <c r="BP1075" s="585">
        <f t="shared" ref="BP1075:BP1077" si="2037">BO1075</f>
        <v>84.085999999999999</v>
      </c>
      <c r="BQ1075" s="622">
        <v>69.319999999999993</v>
      </c>
      <c r="BR1075" s="622">
        <v>79.998999999999995</v>
      </c>
      <c r="BS1075" s="622">
        <v>80.131</v>
      </c>
      <c r="BT1075" s="621">
        <f t="shared" ref="BT1075:BT1077" si="2038">BS1075</f>
        <v>80.131</v>
      </c>
      <c r="BU1075" s="3356">
        <f t="shared" ref="BU1075:BV1077" si="2039">BT1075</f>
        <v>80.131</v>
      </c>
      <c r="BV1075" s="621">
        <f t="shared" si="2039"/>
        <v>80.131</v>
      </c>
      <c r="BW1075" s="621">
        <f t="shared" ref="BW1075:BW1077" si="2040">BV1075</f>
        <v>80.131</v>
      </c>
      <c r="BX1075" s="621">
        <f t="shared" ref="BX1075:BX1077" si="2041">BW1075</f>
        <v>80.131</v>
      </c>
      <c r="BY1075" s="621">
        <f t="shared" ref="BY1075:BZ1077" si="2042">BX1075</f>
        <v>80.131</v>
      </c>
      <c r="BZ1075" s="3121">
        <f t="shared" si="2042"/>
        <v>80.131</v>
      </c>
      <c r="CA1075" s="585">
        <f t="shared" ref="CA1075:CB1077" si="2043">BZ1075</f>
        <v>80.131</v>
      </c>
      <c r="CB1075" s="585">
        <f t="shared" si="2043"/>
        <v>80.131</v>
      </c>
      <c r="CC1075" s="585">
        <f t="shared" ref="CC1075:CG1077" si="2044">CB1075</f>
        <v>80.131</v>
      </c>
      <c r="CD1075" s="585">
        <f t="shared" si="2044"/>
        <v>80.131</v>
      </c>
      <c r="CE1075" s="585">
        <f t="shared" si="2044"/>
        <v>80.131</v>
      </c>
      <c r="CF1075" s="585">
        <f t="shared" si="2044"/>
        <v>80.131</v>
      </c>
      <c r="CG1075" s="585">
        <f t="shared" si="2044"/>
        <v>80.131</v>
      </c>
      <c r="CH1075" s="621"/>
      <c r="CI1075" s="621"/>
      <c r="CJ1075" s="621"/>
      <c r="CK1075" s="621"/>
      <c r="CL1075" s="621"/>
      <c r="CM1075" s="621"/>
      <c r="CN1075" s="621">
        <f t="shared" ref="CN1075:CN1077" si="2045">BY1075</f>
        <v>80.131</v>
      </c>
      <c r="CO1075" s="965">
        <f t="shared" ref="CO1075:CO1079" si="2046">CM1075-CN1075</f>
        <v>-80.131</v>
      </c>
      <c r="CP1075" s="994" t="str">
        <f t="shared" si="1959"/>
        <v>Accounts payable</v>
      </c>
      <c r="CQ1075" s="621">
        <f t="shared" si="1960"/>
        <v>69.935000000000002</v>
      </c>
      <c r="CR1075" s="621">
        <f t="shared" si="1961"/>
        <v>92.555999999999997</v>
      </c>
      <c r="CS1075" s="621">
        <f t="shared" si="1962"/>
        <v>77.531999999999996</v>
      </c>
      <c r="CT1075" s="621">
        <f t="shared" si="1963"/>
        <v>74.072999999999993</v>
      </c>
      <c r="CU1075" s="621">
        <f t="shared" si="1964"/>
        <v>50.128</v>
      </c>
      <c r="CV1075" s="621">
        <f t="shared" si="1965"/>
        <v>39.127000000000002</v>
      </c>
      <c r="CW1075" s="621">
        <f t="shared" si="1966"/>
        <v>49.545999999999999</v>
      </c>
      <c r="CX1075" s="621">
        <f t="shared" si="1967"/>
        <v>98.015000000000001</v>
      </c>
      <c r="CY1075" s="621">
        <f t="shared" si="1968"/>
        <v>91.21</v>
      </c>
      <c r="CZ1075" s="621">
        <f t="shared" si="1969"/>
        <v>75.477999999999994</v>
      </c>
      <c r="DA1075" s="621">
        <f t="shared" si="1970"/>
        <v>85.088999999999999</v>
      </c>
      <c r="DB1075" s="621">
        <f t="shared" si="1971"/>
        <v>75.802999999999997</v>
      </c>
      <c r="DC1075" s="621">
        <f t="shared" si="1972"/>
        <v>84.085999999999999</v>
      </c>
      <c r="DD1075" s="621">
        <f t="shared" si="1973"/>
        <v>80.131</v>
      </c>
      <c r="DE1075" s="621">
        <f t="shared" si="1974"/>
        <v>80.131</v>
      </c>
      <c r="DF1075" s="621">
        <f t="shared" si="1975"/>
        <v>80.131</v>
      </c>
      <c r="DG1075" s="842">
        <f t="shared" si="1976"/>
        <v>80.131</v>
      </c>
      <c r="DH1075" s="620"/>
      <c r="DI1075" s="620"/>
      <c r="DJ1075" s="620"/>
      <c r="DK1075" s="620"/>
      <c r="DL1075" s="620"/>
      <c r="DM1075" s="620"/>
      <c r="DN1075" s="492"/>
      <c r="DO1075" s="389"/>
      <c r="DY1075" s="621"/>
      <c r="DZ1075" s="621"/>
    </row>
    <row r="1076" spans="1:130" ht="12" customHeight="1">
      <c r="A1076" s="996" t="s">
        <v>314</v>
      </c>
      <c r="B1076" s="844"/>
      <c r="C1076" s="844"/>
      <c r="D1076" s="2060">
        <v>5.5970000000000004</v>
      </c>
      <c r="E1076" s="637">
        <v>7.5330000000000004</v>
      </c>
      <c r="F1076" s="637">
        <v>35.537999999999997</v>
      </c>
      <c r="G1076" s="637">
        <v>49.337000000000003</v>
      </c>
      <c r="H1076" s="735">
        <f>G1076</f>
        <v>49.337000000000003</v>
      </c>
      <c r="I1076" s="637">
        <v>87.778000000000006</v>
      </c>
      <c r="J1076" s="637">
        <v>86.155000000000001</v>
      </c>
      <c r="K1076" s="637">
        <v>99.075999999999993</v>
      </c>
      <c r="L1076" s="637">
        <v>128.136</v>
      </c>
      <c r="M1076" s="735">
        <f>L1076</f>
        <v>128.136</v>
      </c>
      <c r="N1076" s="637">
        <v>66.084999999999994</v>
      </c>
      <c r="O1076" s="637">
        <v>41.351999999999997</v>
      </c>
      <c r="P1076" s="637">
        <v>22.413</v>
      </c>
      <c r="Q1076" s="637">
        <v>23.515999999999998</v>
      </c>
      <c r="R1076" s="735">
        <f>Q1076</f>
        <v>23.515999999999998</v>
      </c>
      <c r="S1076" s="637">
        <v>35.225000000000001</v>
      </c>
      <c r="T1076" s="637">
        <v>25.722999999999999</v>
      </c>
      <c r="U1076" s="637">
        <v>48.790999999999997</v>
      </c>
      <c r="V1076" s="637">
        <v>72.215000000000003</v>
      </c>
      <c r="W1076" s="735">
        <f>V1076</f>
        <v>72.215000000000003</v>
      </c>
      <c r="X1076" s="637">
        <v>92.153999999999996</v>
      </c>
      <c r="Y1076" s="637">
        <v>138.02600000000001</v>
      </c>
      <c r="Z1076" s="637">
        <v>145.07499999999999</v>
      </c>
      <c r="AA1076" s="637">
        <v>118.88800000000001</v>
      </c>
      <c r="AB1076" s="735">
        <f>AA1076</f>
        <v>118.88800000000001</v>
      </c>
      <c r="AC1076" s="637">
        <v>58.015000000000001</v>
      </c>
      <c r="AD1076" s="637">
        <v>38.720999999999997</v>
      </c>
      <c r="AE1076" s="637">
        <v>35.927999999999997</v>
      </c>
      <c r="AF1076" s="637">
        <v>34.128</v>
      </c>
      <c r="AG1076" s="735">
        <f>AF1076</f>
        <v>34.128</v>
      </c>
      <c r="AH1076" s="637">
        <v>3.633</v>
      </c>
      <c r="AI1076" s="637">
        <v>3.714</v>
      </c>
      <c r="AJ1076" s="637">
        <v>3.8719999999999999</v>
      </c>
      <c r="AK1076" s="637">
        <v>7.6369999999999996</v>
      </c>
      <c r="AL1076" s="735">
        <f>AK1076</f>
        <v>7.6369999999999996</v>
      </c>
      <c r="AM1076" s="637">
        <v>0</v>
      </c>
      <c r="AN1076" s="637">
        <v>0</v>
      </c>
      <c r="AO1076" s="637">
        <v>0</v>
      </c>
      <c r="AP1076" s="637">
        <v>0</v>
      </c>
      <c r="AQ1076" s="735">
        <f>AP1076</f>
        <v>0</v>
      </c>
      <c r="AR1076" s="637">
        <f>AQ1076</f>
        <v>0</v>
      </c>
      <c r="AS1076" s="637">
        <v>0</v>
      </c>
      <c r="AT1076" s="637">
        <v>0</v>
      </c>
      <c r="AU1076" s="637">
        <v>0</v>
      </c>
      <c r="AV1076" s="735">
        <f>AU1076</f>
        <v>0</v>
      </c>
      <c r="AW1076" s="637">
        <v>0</v>
      </c>
      <c r="AX1076" s="637">
        <v>0</v>
      </c>
      <c r="AY1076" s="637">
        <v>0</v>
      </c>
      <c r="AZ1076" s="637">
        <v>0</v>
      </c>
      <c r="BA1076" s="735">
        <f>AZ1076</f>
        <v>0</v>
      </c>
      <c r="BB1076" s="637">
        <v>0</v>
      </c>
      <c r="BC1076" s="637">
        <v>0</v>
      </c>
      <c r="BD1076" s="637">
        <v>0</v>
      </c>
      <c r="BE1076" s="637">
        <v>0</v>
      </c>
      <c r="BF1076" s="735">
        <f>BE1076</f>
        <v>0</v>
      </c>
      <c r="BG1076" s="637">
        <v>0</v>
      </c>
      <c r="BH1076" s="637">
        <v>0</v>
      </c>
      <c r="BI1076" s="637">
        <v>0</v>
      </c>
      <c r="BJ1076" s="637">
        <v>0</v>
      </c>
      <c r="BK1076" s="735">
        <f>BJ1076</f>
        <v>0</v>
      </c>
      <c r="BL1076" s="637">
        <f>BK1076</f>
        <v>0</v>
      </c>
      <c r="BM1076" s="637">
        <v>0</v>
      </c>
      <c r="BN1076" s="637">
        <v>0</v>
      </c>
      <c r="BO1076" s="637">
        <v>0</v>
      </c>
      <c r="BP1076" s="735">
        <f t="shared" si="2037"/>
        <v>0</v>
      </c>
      <c r="BQ1076" s="637">
        <v>0</v>
      </c>
      <c r="BR1076" s="637">
        <v>0</v>
      </c>
      <c r="BS1076" s="637">
        <v>0</v>
      </c>
      <c r="BT1076" s="290">
        <f t="shared" si="2038"/>
        <v>0</v>
      </c>
      <c r="BU1076" s="3438">
        <f t="shared" si="2039"/>
        <v>0</v>
      </c>
      <c r="BV1076" s="290">
        <f t="shared" si="2039"/>
        <v>0</v>
      </c>
      <c r="BW1076" s="290">
        <f t="shared" si="2040"/>
        <v>0</v>
      </c>
      <c r="BX1076" s="290">
        <f t="shared" si="2041"/>
        <v>0</v>
      </c>
      <c r="BY1076" s="290">
        <f t="shared" si="2042"/>
        <v>0</v>
      </c>
      <c r="BZ1076" s="4017">
        <f t="shared" si="2042"/>
        <v>0</v>
      </c>
      <c r="CA1076" s="735">
        <f t="shared" si="2043"/>
        <v>0</v>
      </c>
      <c r="CB1076" s="735">
        <f t="shared" si="2043"/>
        <v>0</v>
      </c>
      <c r="CC1076" s="735">
        <f t="shared" si="2044"/>
        <v>0</v>
      </c>
      <c r="CD1076" s="735">
        <f t="shared" si="2044"/>
        <v>0</v>
      </c>
      <c r="CE1076" s="735">
        <f t="shared" si="2044"/>
        <v>0</v>
      </c>
      <c r="CF1076" s="735">
        <f t="shared" si="2044"/>
        <v>0</v>
      </c>
      <c r="CG1076" s="735">
        <f t="shared" si="2044"/>
        <v>0</v>
      </c>
      <c r="CH1076" s="290"/>
      <c r="CI1076" s="290"/>
      <c r="CJ1076" s="290"/>
      <c r="CK1076" s="290"/>
      <c r="CL1076" s="290"/>
      <c r="CM1076" s="621"/>
      <c r="CN1076" s="621">
        <f t="shared" si="2045"/>
        <v>0</v>
      </c>
      <c r="CO1076" s="965">
        <f t="shared" si="2046"/>
        <v>0</v>
      </c>
      <c r="CP1076" s="996" t="str">
        <f t="shared" si="1959"/>
        <v>Construction payables</v>
      </c>
      <c r="CQ1076" s="290">
        <f t="shared" si="1960"/>
        <v>49.337000000000003</v>
      </c>
      <c r="CR1076" s="290">
        <f t="shared" si="1961"/>
        <v>128.136</v>
      </c>
      <c r="CS1076" s="290">
        <f t="shared" si="1962"/>
        <v>23.515999999999998</v>
      </c>
      <c r="CT1076" s="290">
        <f t="shared" si="1963"/>
        <v>72.215000000000003</v>
      </c>
      <c r="CU1076" s="290">
        <f t="shared" si="1964"/>
        <v>118.88800000000001</v>
      </c>
      <c r="CV1076" s="290">
        <f t="shared" si="1965"/>
        <v>34.128</v>
      </c>
      <c r="CW1076" s="290">
        <f t="shared" si="1966"/>
        <v>7.6369999999999996</v>
      </c>
      <c r="CX1076" s="290">
        <f t="shared" si="1967"/>
        <v>0</v>
      </c>
      <c r="CY1076" s="290">
        <f t="shared" si="1968"/>
        <v>0</v>
      </c>
      <c r="CZ1076" s="290">
        <f t="shared" si="1969"/>
        <v>0</v>
      </c>
      <c r="DA1076" s="290">
        <f t="shared" si="1970"/>
        <v>0</v>
      </c>
      <c r="DB1076" s="290">
        <f t="shared" si="1971"/>
        <v>0</v>
      </c>
      <c r="DC1076" s="290">
        <f t="shared" si="1972"/>
        <v>0</v>
      </c>
      <c r="DD1076" s="290">
        <f t="shared" si="1973"/>
        <v>0</v>
      </c>
      <c r="DE1076" s="290">
        <f t="shared" si="1974"/>
        <v>0</v>
      </c>
      <c r="DF1076" s="290">
        <f t="shared" si="1975"/>
        <v>0</v>
      </c>
      <c r="DG1076" s="2061">
        <f t="shared" si="1976"/>
        <v>0</v>
      </c>
      <c r="DH1076" s="290"/>
      <c r="DI1076" s="290"/>
      <c r="DJ1076" s="290"/>
      <c r="DK1076" s="290"/>
      <c r="DL1076" s="290"/>
      <c r="DM1076" s="290"/>
      <c r="DN1076" s="883"/>
      <c r="DO1076" s="887"/>
      <c r="DY1076" s="290"/>
      <c r="DZ1076" s="290"/>
    </row>
    <row r="1077" spans="1:130" ht="12" customHeight="1">
      <c r="A1077" s="994" t="s">
        <v>1498</v>
      </c>
      <c r="B1077" s="875"/>
      <c r="C1077" s="875"/>
      <c r="D1077" s="327">
        <f>37.222+20.037+30.773+35.907+35.5+9.855</f>
        <v>169.29399999999998</v>
      </c>
      <c r="E1077" s="328">
        <f>42.264+18.857+33.033+39.76+7.291</f>
        <v>141.20499999999998</v>
      </c>
      <c r="F1077" s="328">
        <f>68.909+35.887+57.569+54.874</f>
        <v>217.239</v>
      </c>
      <c r="G1077" s="328">
        <f>73.832+20.764+58.312+44.442</f>
        <v>197.35</v>
      </c>
      <c r="H1077" s="346">
        <f>G1077</f>
        <v>197.35</v>
      </c>
      <c r="I1077" s="328">
        <f>71.597+33.855+52.049+54.641+11.956</f>
        <v>224.09799999999998</v>
      </c>
      <c r="J1077" s="328">
        <f>72.732+20.535+55.655+54.086</f>
        <v>203.00799999999998</v>
      </c>
      <c r="K1077" s="328">
        <f>71.96+31.516+61.75+60.769+1.909</f>
        <v>227.904</v>
      </c>
      <c r="L1077" s="328">
        <f>78.005+15.762+62.825+56.813</f>
        <v>213.40499999999997</v>
      </c>
      <c r="M1077" s="346">
        <f>L1077</f>
        <v>213.40499999999997</v>
      </c>
      <c r="N1077" s="328">
        <f>67.209+34.825+58.865+68.582+26.33+13</f>
        <v>268.81099999999998</v>
      </c>
      <c r="O1077" s="328">
        <f>70.084+22.086+60.563+71.982+23.121</f>
        <v>247.83600000000001</v>
      </c>
      <c r="P1077" s="328">
        <f>73.074+33.821+66.729+80.606+16.031+28.046+111.99</f>
        <v>410.29699999999997</v>
      </c>
      <c r="Q1077" s="328">
        <f>72.162+20.62+64.085+65.532+2.993</f>
        <v>225.392</v>
      </c>
      <c r="R1077" s="346">
        <f>Q1077</f>
        <v>225.392</v>
      </c>
      <c r="S1077" s="328">
        <f>61.091+31.93+60.837+104.673+8.147</f>
        <v>266.678</v>
      </c>
      <c r="T1077" s="328">
        <f>64.713+17.715+60.871+98.837</f>
        <v>242.13600000000002</v>
      </c>
      <c r="U1077" s="328">
        <f>67.658+23.169+67.644+105.731</f>
        <v>264.202</v>
      </c>
      <c r="V1077" s="328">
        <f>65.272+17.597+60.717+89.629</f>
        <v>233.21500000000003</v>
      </c>
      <c r="W1077" s="346">
        <f>V1077</f>
        <v>233.21500000000003</v>
      </c>
      <c r="X1077" s="328">
        <f>58.232+22.209+55.256+94.494</f>
        <v>230.191</v>
      </c>
      <c r="Y1077" s="328">
        <f>59.588+16.32+52.247+99.566</f>
        <v>227.721</v>
      </c>
      <c r="Z1077" s="328">
        <f>58.13+23.102+53.733+71.42</f>
        <v>206.38499999999999</v>
      </c>
      <c r="AA1077" s="328">
        <f>54.176+14.514+55.009+59.992</f>
        <v>183.691</v>
      </c>
      <c r="AB1077" s="346">
        <f>AA1077</f>
        <v>183.691</v>
      </c>
      <c r="AC1077" s="328">
        <f>58.493+20.82+48.398+60.133</f>
        <v>187.84400000000002</v>
      </c>
      <c r="AD1077" s="328">
        <f>59.478+13.976+47.455+61.855</f>
        <v>182.76400000000001</v>
      </c>
      <c r="AE1077" s="328">
        <f>57.175+17.857+53.064+67.835</f>
        <v>195.93099999999998</v>
      </c>
      <c r="AF1077" s="328">
        <f>174.577+46.875</f>
        <v>221.452</v>
      </c>
      <c r="AG1077" s="346">
        <f>AF1077</f>
        <v>221.452</v>
      </c>
      <c r="AH1077" s="328">
        <f>2.208+245.898</f>
        <v>248.10599999999999</v>
      </c>
      <c r="AI1077" s="328">
        <v>252.922</v>
      </c>
      <c r="AJ1077" s="328">
        <v>269.464</v>
      </c>
      <c r="AK1077" s="328">
        <f>279.779+6.504+243.059</f>
        <v>529.34199999999998</v>
      </c>
      <c r="AL1077" s="346">
        <f>AK1077</f>
        <v>529.34199999999998</v>
      </c>
      <c r="AM1077" s="328">
        <f>247.409+6.443+291.622</f>
        <v>545.47400000000005</v>
      </c>
      <c r="AN1077" s="328">
        <f>248.128+0.34+284.28</f>
        <v>532.74799999999993</v>
      </c>
      <c r="AO1077" s="328">
        <f>305.45+3.122+221.912</f>
        <v>530.48400000000004</v>
      </c>
      <c r="AP1077" s="328">
        <f>295.459+5.63+29.686</f>
        <v>330.77499999999998</v>
      </c>
      <c r="AQ1077" s="346">
        <f>AP1077</f>
        <v>330.77499999999998</v>
      </c>
      <c r="AR1077" s="328">
        <f>314.748+5.877+30.605</f>
        <v>351.23</v>
      </c>
      <c r="AS1077" s="328">
        <f>317.315+0.867+31.621</f>
        <v>349.803</v>
      </c>
      <c r="AT1077" s="328">
        <f>345.448+0.515+32.354</f>
        <v>378.31699999999995</v>
      </c>
      <c r="AU1077" s="328">
        <f>61.57+364.542+8.129+225.113</f>
        <v>659.35400000000004</v>
      </c>
      <c r="AV1077" s="346">
        <f>AU1077</f>
        <v>659.35400000000004</v>
      </c>
      <c r="AW1077" s="328">
        <f>200.759+412.894+0.656+7.116</f>
        <v>621.42499999999995</v>
      </c>
      <c r="AX1077" s="328">
        <f>50.759+370.776+7.433</f>
        <v>428.96800000000002</v>
      </c>
      <c r="AY1077" s="328">
        <f>29.759+362.525+7.925</f>
        <v>400.209</v>
      </c>
      <c r="AZ1077" s="328">
        <f>33.559+341.947+2.879</f>
        <v>378.38499999999999</v>
      </c>
      <c r="BA1077" s="346">
        <f>AZ1077</f>
        <v>378.38499999999999</v>
      </c>
      <c r="BB1077" s="328">
        <f>31.497+339.369+2.588</f>
        <v>373.45400000000006</v>
      </c>
      <c r="BC1077" s="328">
        <f>31.496+341.835+5.777</f>
        <v>379.10799999999995</v>
      </c>
      <c r="BD1077" s="328">
        <f>27.693+251.109+2.849</f>
        <v>281.65100000000001</v>
      </c>
      <c r="BE1077" s="328">
        <f>239.266+3.087+29.753</f>
        <v>272.10599999999999</v>
      </c>
      <c r="BF1077" s="346">
        <f>BE1077</f>
        <v>272.10599999999999</v>
      </c>
      <c r="BG1077" s="328">
        <f>246.899+3.007+27.688</f>
        <v>277.59399999999999</v>
      </c>
      <c r="BH1077" s="328">
        <f>248.331+3.458+27.688</f>
        <v>279.47699999999998</v>
      </c>
      <c r="BI1077" s="328">
        <f>27.688+262.923+3.098</f>
        <v>293.709</v>
      </c>
      <c r="BJ1077" s="328">
        <f>29.75+249.518</f>
        <v>279.26800000000003</v>
      </c>
      <c r="BK1077" s="346">
        <f>BJ1077</f>
        <v>279.26800000000003</v>
      </c>
      <c r="BL1077" s="328">
        <f>27.688+243.117</f>
        <v>270.80500000000001</v>
      </c>
      <c r="BM1077" s="328">
        <f>29.75+257.908</f>
        <v>287.65800000000002</v>
      </c>
      <c r="BN1077" s="328">
        <f>30.25+270.712</f>
        <v>300.96199999999999</v>
      </c>
      <c r="BO1077" s="328">
        <f>30.336+251.082</f>
        <v>281.41800000000001</v>
      </c>
      <c r="BP1077" s="346">
        <f t="shared" si="2037"/>
        <v>281.41800000000001</v>
      </c>
      <c r="BQ1077" s="328">
        <f>266.986+23.983</f>
        <v>290.96899999999999</v>
      </c>
      <c r="BR1077" s="328">
        <f>23.987+247.372</f>
        <v>271.35900000000004</v>
      </c>
      <c r="BS1077" s="328">
        <f>283.112+23.981</f>
        <v>307.09300000000002</v>
      </c>
      <c r="BT1077" s="347">
        <f t="shared" si="2038"/>
        <v>307.09300000000002</v>
      </c>
      <c r="BU1077" s="3352">
        <f t="shared" si="2039"/>
        <v>307.09300000000002</v>
      </c>
      <c r="BV1077" s="347">
        <f t="shared" si="2039"/>
        <v>307.09300000000002</v>
      </c>
      <c r="BW1077" s="347">
        <f t="shared" si="2040"/>
        <v>307.09300000000002</v>
      </c>
      <c r="BX1077" s="347">
        <f t="shared" si="2041"/>
        <v>307.09300000000002</v>
      </c>
      <c r="BY1077" s="347">
        <f t="shared" si="2042"/>
        <v>307.09300000000002</v>
      </c>
      <c r="BZ1077" s="4014">
        <f t="shared" si="2042"/>
        <v>307.09300000000002</v>
      </c>
      <c r="CA1077" s="346">
        <f t="shared" si="2043"/>
        <v>307.09300000000002</v>
      </c>
      <c r="CB1077" s="346">
        <f t="shared" si="2043"/>
        <v>307.09300000000002</v>
      </c>
      <c r="CC1077" s="346">
        <f t="shared" si="2044"/>
        <v>307.09300000000002</v>
      </c>
      <c r="CD1077" s="346">
        <f t="shared" si="2044"/>
        <v>307.09300000000002</v>
      </c>
      <c r="CE1077" s="346">
        <f t="shared" si="2044"/>
        <v>307.09300000000002</v>
      </c>
      <c r="CF1077" s="346">
        <f t="shared" si="2044"/>
        <v>307.09300000000002</v>
      </c>
      <c r="CG1077" s="346">
        <f t="shared" si="2044"/>
        <v>307.09300000000002</v>
      </c>
      <c r="CH1077" s="467"/>
      <c r="CI1077" s="467"/>
      <c r="CJ1077" s="467"/>
      <c r="CK1077" s="467"/>
      <c r="CL1077" s="467"/>
      <c r="CM1077" s="621"/>
      <c r="CN1077" s="621">
        <f t="shared" si="2045"/>
        <v>307.09300000000002</v>
      </c>
      <c r="CO1077" s="965">
        <f t="shared" si="2046"/>
        <v>-307.09300000000002</v>
      </c>
      <c r="CP1077" s="994" t="str">
        <f t="shared" si="1959"/>
        <v>Accrued liabilities and other</v>
      </c>
      <c r="CQ1077" s="347">
        <f t="shared" si="1960"/>
        <v>197.35</v>
      </c>
      <c r="CR1077" s="347">
        <f t="shared" si="1961"/>
        <v>213.40499999999997</v>
      </c>
      <c r="CS1077" s="347">
        <f t="shared" si="1962"/>
        <v>225.392</v>
      </c>
      <c r="CT1077" s="347">
        <f t="shared" si="1963"/>
        <v>233.21500000000003</v>
      </c>
      <c r="CU1077" s="347">
        <f t="shared" si="1964"/>
        <v>183.691</v>
      </c>
      <c r="CV1077" s="347">
        <f t="shared" si="1965"/>
        <v>221.452</v>
      </c>
      <c r="CW1077" s="347">
        <f t="shared" si="1966"/>
        <v>529.34199999999998</v>
      </c>
      <c r="CX1077" s="347">
        <f t="shared" si="1967"/>
        <v>330.77499999999998</v>
      </c>
      <c r="CY1077" s="347">
        <f t="shared" si="1968"/>
        <v>659.35400000000004</v>
      </c>
      <c r="CZ1077" s="347">
        <f t="shared" si="1969"/>
        <v>378.38499999999999</v>
      </c>
      <c r="DA1077" s="347">
        <f t="shared" si="1970"/>
        <v>272.10599999999999</v>
      </c>
      <c r="DB1077" s="347">
        <f t="shared" si="1971"/>
        <v>279.26800000000003</v>
      </c>
      <c r="DC1077" s="347">
        <f t="shared" si="1972"/>
        <v>281.41800000000001</v>
      </c>
      <c r="DD1077" s="347">
        <f t="shared" si="1973"/>
        <v>307.09300000000002</v>
      </c>
      <c r="DE1077" s="347">
        <f t="shared" si="1974"/>
        <v>307.09300000000002</v>
      </c>
      <c r="DF1077" s="347">
        <f t="shared" si="1975"/>
        <v>307.09300000000002</v>
      </c>
      <c r="DG1077" s="1795">
        <f t="shared" si="1976"/>
        <v>307.09300000000002</v>
      </c>
      <c r="DH1077" s="290"/>
      <c r="DI1077" s="290"/>
      <c r="DJ1077" s="290"/>
      <c r="DK1077" s="290"/>
      <c r="DL1077" s="290"/>
      <c r="DM1077" s="290"/>
      <c r="DN1077" s="500"/>
      <c r="DO1077" s="537"/>
      <c r="DY1077" s="347"/>
      <c r="DZ1077" s="347"/>
    </row>
    <row r="1078" spans="1:130" ht="4.5" customHeight="1">
      <c r="A1078" s="1784"/>
      <c r="B1078" s="293"/>
      <c r="C1078" s="293"/>
      <c r="D1078" s="294" t="s">
        <v>343</v>
      </c>
      <c r="E1078" s="295" t="s">
        <v>343</v>
      </c>
      <c r="F1078" s="295" t="s">
        <v>343</v>
      </c>
      <c r="G1078" s="295" t="s">
        <v>343</v>
      </c>
      <c r="H1078" s="296" t="s">
        <v>343</v>
      </c>
      <c r="I1078" s="295" t="s">
        <v>343</v>
      </c>
      <c r="J1078" s="295" t="s">
        <v>343</v>
      </c>
      <c r="K1078" s="295" t="s">
        <v>343</v>
      </c>
      <c r="L1078" s="295" t="s">
        <v>343</v>
      </c>
      <c r="M1078" s="296" t="s">
        <v>343</v>
      </c>
      <c r="N1078" s="295" t="s">
        <v>343</v>
      </c>
      <c r="O1078" s="295" t="s">
        <v>343</v>
      </c>
      <c r="P1078" s="295" t="s">
        <v>343</v>
      </c>
      <c r="Q1078" s="295" t="s">
        <v>343</v>
      </c>
      <c r="R1078" s="296" t="s">
        <v>343</v>
      </c>
      <c r="S1078" s="295" t="s">
        <v>343</v>
      </c>
      <c r="T1078" s="295" t="s">
        <v>343</v>
      </c>
      <c r="U1078" s="295" t="s">
        <v>343</v>
      </c>
      <c r="V1078" s="295" t="s">
        <v>343</v>
      </c>
      <c r="W1078" s="296" t="s">
        <v>343</v>
      </c>
      <c r="X1078" s="295" t="s">
        <v>343</v>
      </c>
      <c r="Y1078" s="295" t="s">
        <v>343</v>
      </c>
      <c r="Z1078" s="295" t="s">
        <v>343</v>
      </c>
      <c r="AA1078" s="295" t="s">
        <v>343</v>
      </c>
      <c r="AB1078" s="296" t="s">
        <v>343</v>
      </c>
      <c r="AC1078" s="295" t="s">
        <v>343</v>
      </c>
      <c r="AD1078" s="295" t="s">
        <v>343</v>
      </c>
      <c r="AE1078" s="295" t="s">
        <v>343</v>
      </c>
      <c r="AF1078" s="295" t="s">
        <v>343</v>
      </c>
      <c r="AG1078" s="296" t="s">
        <v>343</v>
      </c>
      <c r="AH1078" s="295" t="s">
        <v>343</v>
      </c>
      <c r="AI1078" s="295" t="s">
        <v>343</v>
      </c>
      <c r="AJ1078" s="295" t="s">
        <v>343</v>
      </c>
      <c r="AK1078" s="295" t="s">
        <v>343</v>
      </c>
      <c r="AL1078" s="296" t="s">
        <v>343</v>
      </c>
      <c r="AM1078" s="295" t="s">
        <v>343</v>
      </c>
      <c r="AN1078" s="295" t="s">
        <v>343</v>
      </c>
      <c r="AO1078" s="295" t="s">
        <v>343</v>
      </c>
      <c r="AP1078" s="295" t="s">
        <v>343</v>
      </c>
      <c r="AQ1078" s="296" t="s">
        <v>343</v>
      </c>
      <c r="AR1078" s="295" t="s">
        <v>343</v>
      </c>
      <c r="AS1078" s="295" t="s">
        <v>343</v>
      </c>
      <c r="AT1078" s="295" t="s">
        <v>343</v>
      </c>
      <c r="AU1078" s="295" t="s">
        <v>343</v>
      </c>
      <c r="AV1078" s="296" t="s">
        <v>343</v>
      </c>
      <c r="AW1078" s="295" t="s">
        <v>343</v>
      </c>
      <c r="AX1078" s="295" t="s">
        <v>343</v>
      </c>
      <c r="AY1078" s="295" t="s">
        <v>343</v>
      </c>
      <c r="AZ1078" s="295" t="s">
        <v>343</v>
      </c>
      <c r="BA1078" s="296" t="s">
        <v>343</v>
      </c>
      <c r="BB1078" s="295" t="s">
        <v>343</v>
      </c>
      <c r="BC1078" s="295" t="s">
        <v>343</v>
      </c>
      <c r="BD1078" s="295" t="s">
        <v>343</v>
      </c>
      <c r="BE1078" s="295" t="s">
        <v>343</v>
      </c>
      <c r="BF1078" s="296" t="s">
        <v>343</v>
      </c>
      <c r="BG1078" s="295" t="s">
        <v>343</v>
      </c>
      <c r="BH1078" s="295" t="s">
        <v>343</v>
      </c>
      <c r="BI1078" s="295" t="s">
        <v>343</v>
      </c>
      <c r="BJ1078" s="295" t="s">
        <v>343</v>
      </c>
      <c r="BK1078" s="296" t="s">
        <v>343</v>
      </c>
      <c r="BL1078" s="295" t="s">
        <v>343</v>
      </c>
      <c r="BM1078" s="295" t="s">
        <v>343</v>
      </c>
      <c r="BN1078" s="295" t="s">
        <v>343</v>
      </c>
      <c r="BO1078" s="295" t="s">
        <v>343</v>
      </c>
      <c r="BP1078" s="296" t="s">
        <v>343</v>
      </c>
      <c r="BQ1078" s="295" t="s">
        <v>343</v>
      </c>
      <c r="BR1078" s="295" t="s">
        <v>343</v>
      </c>
      <c r="BS1078" s="295" t="s">
        <v>343</v>
      </c>
      <c r="BT1078" s="295" t="s">
        <v>343</v>
      </c>
      <c r="BU1078" s="3314" t="s">
        <v>343</v>
      </c>
      <c r="BV1078" s="295" t="s">
        <v>343</v>
      </c>
      <c r="BW1078" s="295" t="s">
        <v>343</v>
      </c>
      <c r="BX1078" s="295" t="s">
        <v>343</v>
      </c>
      <c r="BY1078" s="295" t="s">
        <v>343</v>
      </c>
      <c r="BZ1078" s="296" t="s">
        <v>343</v>
      </c>
      <c r="CA1078" s="297" t="s">
        <v>343</v>
      </c>
      <c r="CB1078" s="297" t="s">
        <v>343</v>
      </c>
      <c r="CC1078" s="297" t="s">
        <v>343</v>
      </c>
      <c r="CD1078" s="297" t="s">
        <v>343</v>
      </c>
      <c r="CE1078" s="297" t="s">
        <v>343</v>
      </c>
      <c r="CF1078" s="297" t="s">
        <v>343</v>
      </c>
      <c r="CG1078" s="297" t="s">
        <v>343</v>
      </c>
      <c r="CH1078" s="295"/>
      <c r="CI1078" s="295"/>
      <c r="CJ1078" s="295"/>
      <c r="CK1078" s="295"/>
      <c r="CL1078" s="295"/>
      <c r="CM1078" s="295"/>
      <c r="CN1078" s="295"/>
      <c r="CO1078" s="965">
        <f t="shared" si="2046"/>
        <v>0</v>
      </c>
      <c r="CP1078" s="1784"/>
      <c r="CQ1078" s="295" t="str">
        <f t="shared" si="1960"/>
        <v xml:space="preserve">                </v>
      </c>
      <c r="CR1078" s="295" t="str">
        <f t="shared" si="1961"/>
        <v xml:space="preserve">                </v>
      </c>
      <c r="CS1078" s="295" t="str">
        <f t="shared" si="1962"/>
        <v xml:space="preserve">                </v>
      </c>
      <c r="CT1078" s="295" t="str">
        <f t="shared" si="1963"/>
        <v xml:space="preserve">                </v>
      </c>
      <c r="CU1078" s="295" t="str">
        <f t="shared" si="1964"/>
        <v xml:space="preserve">                </v>
      </c>
      <c r="CV1078" s="295" t="str">
        <f t="shared" si="1965"/>
        <v xml:space="preserve">                </v>
      </c>
      <c r="CW1078" s="295" t="str">
        <f t="shared" si="1966"/>
        <v xml:space="preserve">                </v>
      </c>
      <c r="CX1078" s="295" t="str">
        <f t="shared" si="1967"/>
        <v xml:space="preserve">                </v>
      </c>
      <c r="CY1078" s="295" t="str">
        <f t="shared" si="1968"/>
        <v xml:space="preserve">                </v>
      </c>
      <c r="CZ1078" s="295" t="str">
        <f t="shared" si="1969"/>
        <v xml:space="preserve">                </v>
      </c>
      <c r="DA1078" s="295" t="str">
        <f t="shared" si="1970"/>
        <v xml:space="preserve">                </v>
      </c>
      <c r="DB1078" s="295" t="str">
        <f t="shared" si="1971"/>
        <v xml:space="preserve">                </v>
      </c>
      <c r="DC1078" s="295" t="str">
        <f t="shared" si="1972"/>
        <v xml:space="preserve">                </v>
      </c>
      <c r="DD1078" s="295" t="str">
        <f t="shared" si="1973"/>
        <v xml:space="preserve">                </v>
      </c>
      <c r="DE1078" s="295" t="str">
        <f t="shared" si="1974"/>
        <v xml:space="preserve">                </v>
      </c>
      <c r="DF1078" s="295" t="str">
        <f t="shared" si="1975"/>
        <v xml:space="preserve">                </v>
      </c>
      <c r="DG1078" s="297" t="str">
        <f t="shared" si="1976"/>
        <v xml:space="preserve">                </v>
      </c>
      <c r="DH1078" s="298"/>
      <c r="DI1078" s="299"/>
      <c r="DJ1078" s="299"/>
      <c r="DK1078" s="299"/>
      <c r="DL1078" s="299"/>
      <c r="DM1078" s="299"/>
      <c r="DN1078" s="299"/>
      <c r="DO1078" s="300"/>
      <c r="DY1078" s="295"/>
      <c r="DZ1078" s="295"/>
    </row>
    <row r="1079" spans="1:130" ht="12" customHeight="1">
      <c r="A1079" s="993" t="s">
        <v>1568</v>
      </c>
      <c r="B1079" s="875"/>
      <c r="C1079" s="875"/>
      <c r="D1079" s="582">
        <f>SUM(D1075:D1077)</f>
        <v>199.46999999999997</v>
      </c>
      <c r="E1079" s="621">
        <f t="shared" ref="E1079:J1079" si="2047">SUM(E1075:E1077)</f>
        <v>179.863</v>
      </c>
      <c r="F1079" s="621">
        <f t="shared" si="2047"/>
        <v>314.02499999999998</v>
      </c>
      <c r="G1079" s="621">
        <f t="shared" si="2047"/>
        <v>316.62200000000001</v>
      </c>
      <c r="H1079" s="585">
        <f t="shared" si="2047"/>
        <v>316.62200000000001</v>
      </c>
      <c r="I1079" s="621">
        <f t="shared" si="2047"/>
        <v>368.41999999999996</v>
      </c>
      <c r="J1079" s="621">
        <f t="shared" si="2047"/>
        <v>347.93499999999995</v>
      </c>
      <c r="K1079" s="621">
        <f t="shared" ref="K1079:AG1079" si="2048">SUM(K1075:K1077)</f>
        <v>391.22699999999998</v>
      </c>
      <c r="L1079" s="621">
        <f t="shared" si="2048"/>
        <v>434.09699999999998</v>
      </c>
      <c r="M1079" s="585">
        <f t="shared" si="2048"/>
        <v>434.09699999999998</v>
      </c>
      <c r="N1079" s="621">
        <f t="shared" si="2048"/>
        <v>410.53</v>
      </c>
      <c r="O1079" s="621">
        <f t="shared" si="2048"/>
        <v>369.82000000000005</v>
      </c>
      <c r="P1079" s="621">
        <f t="shared" si="2048"/>
        <v>495.92099999999994</v>
      </c>
      <c r="Q1079" s="621">
        <f t="shared" si="2048"/>
        <v>326.44</v>
      </c>
      <c r="R1079" s="585">
        <f t="shared" si="2048"/>
        <v>326.44</v>
      </c>
      <c r="S1079" s="621">
        <f t="shared" si="2048"/>
        <v>362.029</v>
      </c>
      <c r="T1079" s="621">
        <f t="shared" si="2048"/>
        <v>326.31100000000004</v>
      </c>
      <c r="U1079" s="621">
        <f t="shared" si="2048"/>
        <v>364.09000000000003</v>
      </c>
      <c r="V1079" s="621">
        <f t="shared" si="2048"/>
        <v>379.50300000000004</v>
      </c>
      <c r="W1079" s="585">
        <f t="shared" si="2048"/>
        <v>379.50300000000004</v>
      </c>
      <c r="X1079" s="621">
        <f t="shared" si="2048"/>
        <v>376.31700000000001</v>
      </c>
      <c r="Y1079" s="621">
        <f t="shared" si="2048"/>
        <v>429.69600000000003</v>
      </c>
      <c r="Z1079" s="621">
        <f t="shared" si="2048"/>
        <v>392.779</v>
      </c>
      <c r="AA1079" s="621">
        <f t="shared" si="2048"/>
        <v>352.70699999999999</v>
      </c>
      <c r="AB1079" s="585">
        <f t="shared" si="2048"/>
        <v>352.70699999999999</v>
      </c>
      <c r="AC1079" s="621">
        <f t="shared" si="2048"/>
        <v>281.88800000000003</v>
      </c>
      <c r="AD1079" s="621">
        <f t="shared" si="2048"/>
        <v>258.66300000000001</v>
      </c>
      <c r="AE1079" s="621">
        <f t="shared" si="2048"/>
        <v>271.45399999999995</v>
      </c>
      <c r="AF1079" s="621">
        <f t="shared" si="2048"/>
        <v>294.70699999999999</v>
      </c>
      <c r="AG1079" s="585">
        <f t="shared" si="2048"/>
        <v>294.70699999999999</v>
      </c>
      <c r="AH1079" s="621">
        <f t="shared" ref="AH1079:AU1079" si="2049">SUM(AH1075:AH1077)</f>
        <v>297.11700000000002</v>
      </c>
      <c r="AI1079" s="621">
        <f t="shared" si="2049"/>
        <v>307.21800000000002</v>
      </c>
      <c r="AJ1079" s="621">
        <f t="shared" si="2049"/>
        <v>325.74400000000003</v>
      </c>
      <c r="AK1079" s="621">
        <f t="shared" si="2049"/>
        <v>586.52499999999998</v>
      </c>
      <c r="AL1079" s="585">
        <f t="shared" si="2049"/>
        <v>586.52499999999998</v>
      </c>
      <c r="AM1079" s="621">
        <f t="shared" si="2049"/>
        <v>598.68900000000008</v>
      </c>
      <c r="AN1079" s="621">
        <f t="shared" si="2049"/>
        <v>577.70299999999997</v>
      </c>
      <c r="AO1079" s="621">
        <f t="shared" si="2049"/>
        <v>585.71100000000001</v>
      </c>
      <c r="AP1079" s="621">
        <f t="shared" si="2049"/>
        <v>428.78999999999996</v>
      </c>
      <c r="AQ1079" s="585">
        <f>SUM(AQ1075:AQ1077)</f>
        <v>428.78999999999996</v>
      </c>
      <c r="AR1079" s="621">
        <f t="shared" si="2049"/>
        <v>430.12</v>
      </c>
      <c r="AS1079" s="621">
        <f t="shared" si="2049"/>
        <v>438.59199999999998</v>
      </c>
      <c r="AT1079" s="621">
        <f t="shared" si="2049"/>
        <v>464.87199999999996</v>
      </c>
      <c r="AU1079" s="621">
        <f t="shared" si="2049"/>
        <v>750.56400000000008</v>
      </c>
      <c r="AV1079" s="585">
        <f t="shared" ref="AV1079:BG1079" si="2050">SUM(AV1075:AV1077)</f>
        <v>750.56400000000008</v>
      </c>
      <c r="AW1079" s="621">
        <f t="shared" si="2050"/>
        <v>728.10599999999999</v>
      </c>
      <c r="AX1079" s="621">
        <f t="shared" si="2050"/>
        <v>531.03100000000006</v>
      </c>
      <c r="AY1079" s="621">
        <f t="shared" si="2050"/>
        <v>472.57299999999998</v>
      </c>
      <c r="AZ1079" s="621">
        <f t="shared" si="2050"/>
        <v>453.863</v>
      </c>
      <c r="BA1079" s="585">
        <f t="shared" si="2050"/>
        <v>453.863</v>
      </c>
      <c r="BB1079" s="621">
        <f t="shared" si="2050"/>
        <v>442.27100000000007</v>
      </c>
      <c r="BC1079" s="621">
        <f t="shared" si="2050"/>
        <v>447.89699999999993</v>
      </c>
      <c r="BD1079" s="621">
        <f t="shared" si="2050"/>
        <v>350.28700000000003</v>
      </c>
      <c r="BE1079" s="621">
        <f t="shared" si="2050"/>
        <v>357.19499999999999</v>
      </c>
      <c r="BF1079" s="585">
        <f t="shared" si="2050"/>
        <v>357.19499999999999</v>
      </c>
      <c r="BG1079" s="621">
        <f t="shared" si="2050"/>
        <v>334.065</v>
      </c>
      <c r="BH1079" s="621">
        <f t="shared" ref="BH1079:BP1079" si="2051">SUM(BH1075:BH1077)</f>
        <v>340.21699999999998</v>
      </c>
      <c r="BI1079" s="621">
        <f t="shared" si="2051"/>
        <v>353.54599999999999</v>
      </c>
      <c r="BJ1079" s="621">
        <f t="shared" si="2051"/>
        <v>355.07100000000003</v>
      </c>
      <c r="BK1079" s="585">
        <f t="shared" si="2051"/>
        <v>355.07100000000003</v>
      </c>
      <c r="BL1079" s="621">
        <f t="shared" si="2051"/>
        <v>337.98200000000003</v>
      </c>
      <c r="BM1079" s="621">
        <f>SUM(BM1075:BM1077)</f>
        <v>360.14400000000001</v>
      </c>
      <c r="BN1079" s="621">
        <f t="shared" ref="BN1079" si="2052">SUM(BN1075:BN1077)</f>
        <v>389.10300000000001</v>
      </c>
      <c r="BO1079" s="621">
        <f t="shared" si="2051"/>
        <v>365.50400000000002</v>
      </c>
      <c r="BP1079" s="585">
        <f t="shared" si="2051"/>
        <v>365.50400000000002</v>
      </c>
      <c r="BQ1079" s="621">
        <f t="shared" ref="BQ1079:BR1079" si="2053">SUM(BQ1075:BQ1077)</f>
        <v>360.28899999999999</v>
      </c>
      <c r="BR1079" s="621">
        <f t="shared" si="2053"/>
        <v>351.35800000000006</v>
      </c>
      <c r="BS1079" s="621">
        <f t="shared" ref="BS1079:CB1079" si="2054">SUM(BS1075:BS1077)</f>
        <v>387.22400000000005</v>
      </c>
      <c r="BT1079" s="621">
        <f t="shared" si="2054"/>
        <v>387.22400000000005</v>
      </c>
      <c r="BU1079" s="3356">
        <f t="shared" si="2054"/>
        <v>387.22400000000005</v>
      </c>
      <c r="BV1079" s="621">
        <f t="shared" ref="BV1079:BZ1079" si="2055">SUM(BV1075:BV1077)</f>
        <v>387.22400000000005</v>
      </c>
      <c r="BW1079" s="621">
        <f t="shared" si="2055"/>
        <v>387.22400000000005</v>
      </c>
      <c r="BX1079" s="621">
        <f t="shared" si="2055"/>
        <v>387.22400000000005</v>
      </c>
      <c r="BY1079" s="621">
        <f t="shared" si="2055"/>
        <v>387.22400000000005</v>
      </c>
      <c r="BZ1079" s="3121">
        <f t="shared" si="2055"/>
        <v>387.22400000000005</v>
      </c>
      <c r="CA1079" s="585">
        <f t="shared" si="2054"/>
        <v>387.22400000000005</v>
      </c>
      <c r="CB1079" s="585">
        <f t="shared" si="2054"/>
        <v>387.22400000000005</v>
      </c>
      <c r="CC1079" s="585">
        <f>SUM(CC1075:CC1077)</f>
        <v>387.22400000000005</v>
      </c>
      <c r="CD1079" s="585">
        <f>SUM(CD1075:CD1077)</f>
        <v>387.22400000000005</v>
      </c>
      <c r="CE1079" s="585">
        <f>SUM(CE1075:CE1077)</f>
        <v>387.22400000000005</v>
      </c>
      <c r="CF1079" s="585">
        <f>SUM(CF1075:CF1077)</f>
        <v>387.22400000000005</v>
      </c>
      <c r="CG1079" s="585">
        <f>SUM(CG1075:CG1077)</f>
        <v>387.22400000000005</v>
      </c>
      <c r="CH1079" s="621"/>
      <c r="CI1079" s="621"/>
      <c r="CJ1079" s="621"/>
      <c r="CK1079" s="621"/>
      <c r="CL1079" s="621"/>
      <c r="CM1079" s="621"/>
      <c r="CN1079" s="621">
        <f>BY1079</f>
        <v>387.22400000000005</v>
      </c>
      <c r="CO1079" s="965">
        <f t="shared" si="2046"/>
        <v>-387.22400000000005</v>
      </c>
      <c r="CP1079" s="993" t="str">
        <f t="shared" si="1959"/>
        <v>Total current liabilities</v>
      </c>
      <c r="CQ1079" s="621">
        <f t="shared" si="1960"/>
        <v>316.62200000000001</v>
      </c>
      <c r="CR1079" s="621">
        <f t="shared" si="1961"/>
        <v>434.09699999999998</v>
      </c>
      <c r="CS1079" s="621">
        <f t="shared" si="1962"/>
        <v>326.44</v>
      </c>
      <c r="CT1079" s="621">
        <f t="shared" si="1963"/>
        <v>379.50300000000004</v>
      </c>
      <c r="CU1079" s="621">
        <f t="shared" si="1964"/>
        <v>352.70699999999999</v>
      </c>
      <c r="CV1079" s="621">
        <f t="shared" si="1965"/>
        <v>294.70699999999999</v>
      </c>
      <c r="CW1079" s="621">
        <f t="shared" si="1966"/>
        <v>586.52499999999998</v>
      </c>
      <c r="CX1079" s="621">
        <f t="shared" si="1967"/>
        <v>428.78999999999996</v>
      </c>
      <c r="CY1079" s="621">
        <f t="shared" si="1968"/>
        <v>750.56400000000008</v>
      </c>
      <c r="CZ1079" s="621">
        <f t="shared" si="1969"/>
        <v>453.863</v>
      </c>
      <c r="DA1079" s="621">
        <f t="shared" si="1970"/>
        <v>357.19499999999999</v>
      </c>
      <c r="DB1079" s="621">
        <f t="shared" si="1971"/>
        <v>355.07100000000003</v>
      </c>
      <c r="DC1079" s="621">
        <f t="shared" si="1972"/>
        <v>365.50400000000002</v>
      </c>
      <c r="DD1079" s="621">
        <f t="shared" si="1973"/>
        <v>387.22400000000005</v>
      </c>
      <c r="DE1079" s="621">
        <f t="shared" si="1974"/>
        <v>387.22400000000005</v>
      </c>
      <c r="DF1079" s="621">
        <f t="shared" si="1975"/>
        <v>387.22400000000005</v>
      </c>
      <c r="DG1079" s="842">
        <f t="shared" si="1976"/>
        <v>387.22400000000005</v>
      </c>
      <c r="DH1079" s="620"/>
      <c r="DI1079" s="620"/>
      <c r="DJ1079" s="620"/>
      <c r="DK1079" s="620"/>
      <c r="DL1079" s="620"/>
      <c r="DM1079" s="620"/>
      <c r="DN1079" s="500"/>
      <c r="DO1079" s="537"/>
      <c r="DY1079" s="621"/>
      <c r="DZ1079" s="621"/>
    </row>
    <row r="1080" spans="1:130" ht="12" customHeight="1">
      <c r="A1080" s="912"/>
      <c r="B1080" s="222"/>
      <c r="C1080" s="222"/>
      <c r="D1080" s="468"/>
      <c r="E1080" s="469"/>
      <c r="F1080" s="469"/>
      <c r="G1080" s="469"/>
      <c r="H1080" s="470"/>
      <c r="I1080" s="469"/>
      <c r="J1080" s="469"/>
      <c r="K1080" s="469"/>
      <c r="L1080" s="469"/>
      <c r="M1080" s="470"/>
      <c r="N1080" s="469"/>
      <c r="O1080" s="469"/>
      <c r="P1080" s="469"/>
      <c r="Q1080" s="469"/>
      <c r="R1080" s="470"/>
      <c r="S1080" s="469"/>
      <c r="T1080" s="469"/>
      <c r="U1080" s="469"/>
      <c r="V1080" s="469"/>
      <c r="W1080" s="470"/>
      <c r="X1080" s="469"/>
      <c r="Y1080" s="469"/>
      <c r="Z1080" s="469"/>
      <c r="AA1080" s="469"/>
      <c r="AB1080" s="470"/>
      <c r="AC1080" s="469"/>
      <c r="AD1080" s="469"/>
      <c r="AE1080" s="469"/>
      <c r="AF1080" s="469"/>
      <c r="AG1080" s="470"/>
      <c r="AH1080" s="469"/>
      <c r="AI1080" s="469"/>
      <c r="AJ1080" s="469"/>
      <c r="AK1080" s="469"/>
      <c r="AL1080" s="470"/>
      <c r="AM1080" s="469"/>
      <c r="AN1080" s="469"/>
      <c r="AO1080" s="469"/>
      <c r="AP1080" s="469"/>
      <c r="AQ1080" s="470"/>
      <c r="AR1080" s="469"/>
      <c r="AS1080" s="469"/>
      <c r="AT1080" s="469"/>
      <c r="AU1080" s="469"/>
      <c r="AV1080" s="470"/>
      <c r="AW1080" s="469"/>
      <c r="AX1080" s="469"/>
      <c r="AY1080" s="469"/>
      <c r="AZ1080" s="469"/>
      <c r="BA1080" s="470"/>
      <c r="BB1080" s="469"/>
      <c r="BC1080" s="469"/>
      <c r="BD1080" s="469"/>
      <c r="BE1080" s="469"/>
      <c r="BF1080" s="470"/>
      <c r="BG1080" s="469"/>
      <c r="BH1080" s="469"/>
      <c r="BI1080" s="469"/>
      <c r="BJ1080" s="469"/>
      <c r="BK1080" s="470"/>
      <c r="BL1080" s="469"/>
      <c r="BM1080" s="469"/>
      <c r="BN1080" s="469"/>
      <c r="BO1080" s="469"/>
      <c r="BP1080" s="470"/>
      <c r="BQ1080" s="469"/>
      <c r="BR1080" s="469"/>
      <c r="BS1080" s="469"/>
      <c r="BT1080" s="469"/>
      <c r="BU1080" s="3959"/>
      <c r="BV1080" s="468"/>
      <c r="BW1080" s="469"/>
      <c r="BX1080" s="469"/>
      <c r="BY1080" s="469"/>
      <c r="BZ1080" s="4018"/>
      <c r="CA1080" s="470"/>
      <c r="CB1080" s="470"/>
      <c r="CC1080" s="470"/>
      <c r="CD1080" s="470"/>
      <c r="CE1080" s="470"/>
      <c r="CF1080" s="470"/>
      <c r="CG1080" s="470"/>
      <c r="CH1080" s="469"/>
      <c r="CI1080" s="469"/>
      <c r="CJ1080" s="469"/>
      <c r="CK1080" s="469"/>
      <c r="CL1080" s="469"/>
      <c r="CM1080" s="469"/>
      <c r="CN1080" s="469"/>
      <c r="CO1080" s="469"/>
      <c r="CP1080" s="912"/>
      <c r="CQ1080" s="465"/>
      <c r="CR1080" s="465"/>
      <c r="CS1080" s="465"/>
      <c r="CT1080" s="465"/>
      <c r="CU1080" s="465"/>
      <c r="CV1080" s="465"/>
      <c r="CW1080" s="465"/>
      <c r="CX1080" s="465"/>
      <c r="CY1080" s="465"/>
      <c r="CZ1080" s="465"/>
      <c r="DA1080" s="465"/>
      <c r="DB1080" s="465"/>
      <c r="DC1080" s="465"/>
      <c r="DD1080" s="465"/>
      <c r="DE1080" s="465"/>
      <c r="DF1080" s="465"/>
      <c r="DG1080" s="1797"/>
      <c r="DH1080" s="222"/>
      <c r="DI1080" s="222"/>
      <c r="DJ1080" s="222"/>
      <c r="DK1080" s="222"/>
      <c r="DL1080" s="222"/>
      <c r="DM1080" s="222"/>
      <c r="DN1080" s="222"/>
      <c r="DO1080" s="226"/>
      <c r="DY1080" s="469"/>
      <c r="DZ1080" s="469"/>
    </row>
    <row r="1081" spans="1:130" ht="12" customHeight="1">
      <c r="A1081" s="1918" t="s">
        <v>1597</v>
      </c>
      <c r="B1081" s="222"/>
      <c r="C1081" s="222"/>
      <c r="D1081" s="468"/>
      <c r="E1081" s="469"/>
      <c r="F1081" s="469"/>
      <c r="G1081" s="469"/>
      <c r="H1081" s="470"/>
      <c r="I1081" s="469"/>
      <c r="J1081" s="469"/>
      <c r="K1081" s="469"/>
      <c r="L1081" s="469"/>
      <c r="M1081" s="470"/>
      <c r="N1081" s="469"/>
      <c r="O1081" s="469"/>
      <c r="P1081" s="469"/>
      <c r="Q1081" s="469"/>
      <c r="R1081" s="470"/>
      <c r="S1081" s="469"/>
      <c r="T1081" s="469"/>
      <c r="U1081" s="469"/>
      <c r="V1081" s="469"/>
      <c r="W1081" s="470"/>
      <c r="X1081" s="469"/>
      <c r="Y1081" s="469"/>
      <c r="Z1081" s="469"/>
      <c r="AA1081" s="469"/>
      <c r="AB1081" s="470"/>
      <c r="AC1081" s="469"/>
      <c r="AD1081" s="469"/>
      <c r="AE1081" s="469"/>
      <c r="AF1081" s="469"/>
      <c r="AG1081" s="470"/>
      <c r="AH1081" s="469"/>
      <c r="AI1081" s="469"/>
      <c r="AJ1081" s="469"/>
      <c r="AK1081" s="469"/>
      <c r="AL1081" s="470"/>
      <c r="AM1081" s="469"/>
      <c r="AN1081" s="469"/>
      <c r="AO1081" s="469"/>
      <c r="AP1081" s="469"/>
      <c r="AQ1081" s="470"/>
      <c r="AR1081" s="469"/>
      <c r="AS1081" s="469"/>
      <c r="AT1081" s="469"/>
      <c r="AU1081" s="469"/>
      <c r="AV1081" s="470"/>
      <c r="AW1081" s="469"/>
      <c r="AX1081" s="469"/>
      <c r="AY1081" s="469"/>
      <c r="AZ1081" s="469"/>
      <c r="BA1081" s="470"/>
      <c r="BB1081" s="469"/>
      <c r="BC1081" s="469"/>
      <c r="BD1081" s="469"/>
      <c r="BE1081" s="469"/>
      <c r="BF1081" s="470"/>
      <c r="BG1081" s="469"/>
      <c r="BH1081" s="469"/>
      <c r="BI1081" s="469"/>
      <c r="BJ1081" s="469"/>
      <c r="BK1081" s="470"/>
      <c r="BL1081" s="469"/>
      <c r="BM1081" s="469"/>
      <c r="BN1081" s="469"/>
      <c r="BO1081" s="469"/>
      <c r="BP1081" s="470"/>
      <c r="BQ1081" s="469"/>
      <c r="BR1081" s="469"/>
      <c r="BS1081" s="469"/>
      <c r="BT1081" s="3948"/>
      <c r="BV1081" s="468"/>
      <c r="BW1081" s="469"/>
      <c r="BX1081" s="469"/>
      <c r="BY1081" s="3441"/>
      <c r="BZ1081" s="4018"/>
      <c r="CA1081" s="470"/>
      <c r="CB1081" s="470"/>
      <c r="CC1081" s="470"/>
      <c r="CD1081" s="470"/>
      <c r="CE1081" s="470"/>
      <c r="CF1081" s="470"/>
      <c r="CG1081" s="470"/>
      <c r="CH1081" s="469"/>
      <c r="CI1081" s="469"/>
      <c r="CJ1081" s="469"/>
      <c r="CK1081" s="469"/>
      <c r="CL1081" s="469"/>
      <c r="CM1081" s="469"/>
      <c r="CN1081" s="469"/>
      <c r="CO1081" s="469"/>
      <c r="CP1081" s="1918" t="str">
        <f t="shared" si="1959"/>
        <v>Long-Term Debt</v>
      </c>
      <c r="CQ1081" s="465"/>
      <c r="CR1081" s="465"/>
      <c r="CS1081" s="465"/>
      <c r="CT1081" s="465"/>
      <c r="CU1081" s="465"/>
      <c r="CV1081" s="465"/>
      <c r="CW1081" s="465"/>
      <c r="CX1081" s="465"/>
      <c r="CY1081" s="465"/>
      <c r="CZ1081" s="465"/>
      <c r="DA1081" s="465"/>
      <c r="DB1081" s="465"/>
      <c r="DC1081" s="465"/>
      <c r="DD1081" s="465"/>
      <c r="DE1081" s="465"/>
      <c r="DF1081" s="465"/>
      <c r="DG1081" s="1797"/>
      <c r="DH1081" s="222"/>
      <c r="DI1081" s="222"/>
      <c r="DJ1081" s="222"/>
      <c r="DK1081" s="222"/>
      <c r="DL1081" s="222"/>
      <c r="DM1081" s="222"/>
      <c r="DN1081" s="222"/>
      <c r="DO1081" s="226"/>
      <c r="DY1081" s="469"/>
      <c r="DZ1081" s="469"/>
    </row>
    <row r="1082" spans="1:130" ht="12" hidden="1" customHeight="1" outlineLevel="1">
      <c r="A1082" s="1882" t="s">
        <v>722</v>
      </c>
      <c r="B1082" s="670"/>
      <c r="C1082" s="670"/>
      <c r="D1082" s="377">
        <f>(1075.557+2.47)-SUM(D1093:D1106)</f>
        <v>314.22699999999998</v>
      </c>
      <c r="E1082" s="376">
        <f>1270.461+0.477-SUM(E1093:E1106)</f>
        <v>157.13800000000015</v>
      </c>
      <c r="F1082" s="376">
        <f>2179.044+5.484-SUM(F1093:F1106)</f>
        <v>1070.7279999999998</v>
      </c>
      <c r="G1082" s="376">
        <v>1180</v>
      </c>
      <c r="H1082" s="346">
        <f t="shared" ref="H1082:H1099" si="2056">G1082</f>
        <v>1180</v>
      </c>
      <c r="I1082" s="376">
        <f>637+496</f>
        <v>1133</v>
      </c>
      <c r="J1082" s="376">
        <f>2352.099+5.705-SUM(J1093:J1106)</f>
        <v>1232.44</v>
      </c>
      <c r="K1082" s="376">
        <f>967+494</f>
        <v>1461</v>
      </c>
      <c r="L1082" s="376">
        <v>1626.8</v>
      </c>
      <c r="M1082" s="346">
        <f t="shared" ref="M1082:M1099" si="2057">L1082</f>
        <v>1626.8</v>
      </c>
      <c r="N1082" s="376">
        <f>2592.006-SUM(N1093:N1100)</f>
        <v>1426.4059999999999</v>
      </c>
      <c r="O1082" s="376">
        <f>2592.006-SUM(O1093:O1100)</f>
        <v>1426.4059999999999</v>
      </c>
      <c r="P1082" s="376">
        <f>2570-SUM(P1093:P1100)</f>
        <v>1404.4</v>
      </c>
      <c r="Q1082" s="376">
        <v>973.3</v>
      </c>
      <c r="R1082" s="346">
        <f t="shared" ref="R1082:R1100" si="2058">Q1082</f>
        <v>973.3</v>
      </c>
      <c r="S1082" s="376">
        <f>2155.978+5.557-SUM(S1093:S1100)-S1106</f>
        <v>996.26900000000001</v>
      </c>
      <c r="T1082" s="376">
        <f>1300.8</f>
        <v>1300.8</v>
      </c>
      <c r="U1082" s="376">
        <f>1294.2</f>
        <v>1294.2</v>
      </c>
      <c r="V1082" s="376">
        <f>1352.9</f>
        <v>1352.9</v>
      </c>
      <c r="W1082" s="346">
        <f>V1082</f>
        <v>1352.9</v>
      </c>
      <c r="X1082" s="376">
        <f>1460.1</f>
        <v>1460.1</v>
      </c>
      <c r="Y1082" s="376">
        <f>1605</f>
        <v>1605</v>
      </c>
      <c r="Z1082" s="376">
        <f>1750.268</f>
        <v>1750.268</v>
      </c>
      <c r="AA1082" s="376">
        <v>1881.115</v>
      </c>
      <c r="AB1082" s="346">
        <f>AA1082</f>
        <v>1881.115</v>
      </c>
      <c r="AC1082" s="376">
        <v>1942.6</v>
      </c>
      <c r="AD1082" s="376">
        <v>1967.8130000000001</v>
      </c>
      <c r="AE1082" s="376">
        <v>1953.5</v>
      </c>
      <c r="AF1082" s="376">
        <v>1916.9</v>
      </c>
      <c r="AG1082" s="346">
        <f>AF1082</f>
        <v>1916.9</v>
      </c>
      <c r="AH1082" s="328">
        <v>1927.1</v>
      </c>
      <c r="AI1082" s="328">
        <v>1892.4</v>
      </c>
      <c r="AJ1082" s="328">
        <v>1727.8</v>
      </c>
      <c r="AK1082" s="328">
        <f>1425-AK1083</f>
        <v>876.2</v>
      </c>
      <c r="AL1082" s="373">
        <f>AK1082</f>
        <v>876.2</v>
      </c>
      <c r="AM1082" s="328">
        <f>1425-AM1083</f>
        <v>876.2</v>
      </c>
      <c r="AN1082" s="328">
        <f>1425-AN1083</f>
        <v>1095</v>
      </c>
      <c r="AO1082" s="328">
        <f>1423.147-AO1083</f>
        <v>1093.1469999999999</v>
      </c>
      <c r="AP1082" s="328"/>
      <c r="AQ1082" s="373"/>
      <c r="AR1082" s="328"/>
      <c r="AS1082" s="328"/>
      <c r="AT1082" s="328"/>
      <c r="AU1082" s="328"/>
      <c r="AV1082" s="432"/>
      <c r="AW1082" s="328"/>
      <c r="AX1082" s="328"/>
      <c r="AY1082" s="328"/>
      <c r="AZ1082" s="328"/>
      <c r="BA1082" s="432"/>
      <c r="BB1082" s="328"/>
      <c r="BC1082" s="328"/>
      <c r="BD1082" s="328"/>
      <c r="BE1082" s="328"/>
      <c r="BF1082" s="432"/>
      <c r="BG1082" s="328"/>
      <c r="BH1082" s="328"/>
      <c r="BI1082" s="328"/>
      <c r="BJ1082" s="328"/>
      <c r="BK1082" s="432"/>
      <c r="BL1082" s="328"/>
      <c r="BM1082" s="328"/>
      <c r="BN1082" s="328"/>
      <c r="BO1082" s="328"/>
      <c r="BP1082" s="432"/>
      <c r="BQ1082" s="328"/>
      <c r="BR1082" s="328"/>
      <c r="BS1082" s="328"/>
      <c r="BT1082" s="328"/>
      <c r="BU1082" s="3960"/>
      <c r="BV1082" s="327"/>
      <c r="BW1082" s="328"/>
      <c r="BX1082" s="328"/>
      <c r="BY1082" s="328"/>
      <c r="BZ1082" s="3066"/>
      <c r="CA1082" s="432"/>
      <c r="CB1082" s="432"/>
      <c r="CC1082" s="432"/>
      <c r="CD1082" s="432"/>
      <c r="CE1082" s="432"/>
      <c r="CF1082" s="432"/>
      <c r="CG1082" s="432"/>
      <c r="CH1082" s="374"/>
      <c r="CI1082" s="374"/>
      <c r="CJ1082" s="374"/>
      <c r="CK1082" s="374"/>
      <c r="CL1082" s="374"/>
      <c r="CM1082" s="374"/>
      <c r="CN1082" s="374"/>
      <c r="CO1082" s="374"/>
      <c r="CP1082" s="1882" t="str">
        <f t="shared" si="1959"/>
        <v>Bank Credit Facility (extended)</v>
      </c>
      <c r="CQ1082" s="347">
        <f t="shared" si="1960"/>
        <v>1180</v>
      </c>
      <c r="CR1082" s="347">
        <f t="shared" si="1961"/>
        <v>1626.8</v>
      </c>
      <c r="CS1082" s="347">
        <f t="shared" si="1962"/>
        <v>973.3</v>
      </c>
      <c r="CT1082" s="347">
        <f t="shared" si="1963"/>
        <v>1352.9</v>
      </c>
      <c r="CU1082" s="347">
        <f t="shared" si="1964"/>
        <v>1881.115</v>
      </c>
      <c r="CV1082" s="347">
        <f t="shared" si="1965"/>
        <v>1916.9</v>
      </c>
      <c r="CW1082" s="347">
        <f t="shared" si="1966"/>
        <v>876.2</v>
      </c>
      <c r="CX1082" s="347">
        <f t="shared" si="1967"/>
        <v>0</v>
      </c>
      <c r="CY1082" s="347">
        <f t="shared" si="1968"/>
        <v>0</v>
      </c>
      <c r="CZ1082" s="347">
        <f t="shared" si="1969"/>
        <v>0</v>
      </c>
      <c r="DA1082" s="347">
        <f t="shared" si="1970"/>
        <v>0</v>
      </c>
      <c r="DB1082" s="347">
        <f t="shared" si="1971"/>
        <v>0</v>
      </c>
      <c r="DC1082" s="347">
        <f t="shared" si="1972"/>
        <v>0</v>
      </c>
      <c r="DD1082" s="347">
        <f t="shared" si="1973"/>
        <v>0</v>
      </c>
      <c r="DE1082" s="347">
        <f t="shared" si="1974"/>
        <v>0</v>
      </c>
      <c r="DF1082" s="347">
        <f t="shared" si="1975"/>
        <v>0</v>
      </c>
      <c r="DG1082" s="1795">
        <f t="shared" si="1976"/>
        <v>0</v>
      </c>
      <c r="DH1082" s="897"/>
      <c r="DI1082" s="897"/>
      <c r="DJ1082" s="897"/>
      <c r="DK1082" s="897"/>
      <c r="DL1082" s="897"/>
      <c r="DM1082" s="897"/>
      <c r="DN1082" s="897"/>
      <c r="DO1082" s="898"/>
      <c r="DY1082" s="376"/>
      <c r="DZ1082" s="376"/>
    </row>
    <row r="1083" spans="1:130" ht="12" hidden="1" customHeight="1" outlineLevel="1">
      <c r="A1083" s="1882" t="s">
        <v>281</v>
      </c>
      <c r="B1083" s="670"/>
      <c r="C1083" s="670"/>
      <c r="D1083" s="377"/>
      <c r="E1083" s="376"/>
      <c r="F1083" s="376"/>
      <c r="G1083" s="376"/>
      <c r="H1083" s="346"/>
      <c r="I1083" s="376"/>
      <c r="J1083" s="376"/>
      <c r="K1083" s="376"/>
      <c r="L1083" s="376"/>
      <c r="M1083" s="346"/>
      <c r="N1083" s="376"/>
      <c r="O1083" s="376"/>
      <c r="P1083" s="376"/>
      <c r="Q1083" s="376"/>
      <c r="R1083" s="346"/>
      <c r="S1083" s="376"/>
      <c r="T1083" s="376"/>
      <c r="U1083" s="376"/>
      <c r="V1083" s="376"/>
      <c r="W1083" s="346"/>
      <c r="X1083" s="376"/>
      <c r="Y1083" s="376"/>
      <c r="Z1083" s="376"/>
      <c r="AA1083" s="376"/>
      <c r="AB1083" s="346"/>
      <c r="AC1083" s="376"/>
      <c r="AD1083" s="376"/>
      <c r="AE1083" s="376"/>
      <c r="AF1083" s="376"/>
      <c r="AG1083" s="346"/>
      <c r="AH1083" s="328"/>
      <c r="AI1083" s="328"/>
      <c r="AJ1083" s="328"/>
      <c r="AK1083" s="328">
        <v>548.79999999999995</v>
      </c>
      <c r="AL1083" s="373">
        <f>AK1083</f>
        <v>548.79999999999995</v>
      </c>
      <c r="AM1083" s="347">
        <f>AL1083</f>
        <v>548.79999999999995</v>
      </c>
      <c r="AN1083" s="328">
        <v>330</v>
      </c>
      <c r="AO1083" s="347">
        <f>AN1083</f>
        <v>330</v>
      </c>
      <c r="AP1083" s="328">
        <v>0</v>
      </c>
      <c r="AQ1083" s="373"/>
      <c r="AR1083" s="347"/>
      <c r="AS1083" s="328"/>
      <c r="AT1083" s="347"/>
      <c r="AU1083" s="328"/>
      <c r="AV1083" s="432"/>
      <c r="AW1083" s="347"/>
      <c r="AX1083" s="328"/>
      <c r="AY1083" s="328"/>
      <c r="AZ1083" s="328"/>
      <c r="BA1083" s="432"/>
      <c r="BB1083" s="347"/>
      <c r="BC1083" s="328"/>
      <c r="BD1083" s="347"/>
      <c r="BE1083" s="328"/>
      <c r="BF1083" s="432"/>
      <c r="BG1083" s="347"/>
      <c r="BH1083" s="347"/>
      <c r="BI1083" s="347"/>
      <c r="BJ1083" s="328"/>
      <c r="BK1083" s="432"/>
      <c r="BL1083" s="347"/>
      <c r="BM1083" s="347"/>
      <c r="BN1083" s="328"/>
      <c r="BO1083" s="328"/>
      <c r="BP1083" s="432"/>
      <c r="BQ1083" s="347"/>
      <c r="BR1083" s="347"/>
      <c r="BS1083" s="347"/>
      <c r="BT1083" s="328"/>
      <c r="BU1083" s="3960"/>
      <c r="BV1083" s="329"/>
      <c r="BW1083" s="347"/>
      <c r="BX1083" s="347"/>
      <c r="BY1083" s="328"/>
      <c r="BZ1083" s="3066"/>
      <c r="CA1083" s="432"/>
      <c r="CB1083" s="432"/>
      <c r="CC1083" s="432"/>
      <c r="CD1083" s="432"/>
      <c r="CE1083" s="432"/>
      <c r="CF1083" s="432"/>
      <c r="CG1083" s="432"/>
      <c r="CH1083" s="374"/>
      <c r="CI1083" s="374"/>
      <c r="CJ1083" s="374"/>
      <c r="CK1083" s="374"/>
      <c r="CL1083" s="374"/>
      <c r="CM1083" s="374"/>
      <c r="CN1083" s="374"/>
      <c r="CO1083" s="374"/>
      <c r="CP1083" s="1882" t="str">
        <f t="shared" si="1959"/>
        <v>Bank Credit Facility (non-extended)</v>
      </c>
      <c r="CQ1083" s="347">
        <f t="shared" si="1960"/>
        <v>0</v>
      </c>
      <c r="CR1083" s="347">
        <f t="shared" si="1961"/>
        <v>0</v>
      </c>
      <c r="CS1083" s="347">
        <f t="shared" si="1962"/>
        <v>0</v>
      </c>
      <c r="CT1083" s="347">
        <f t="shared" si="1963"/>
        <v>0</v>
      </c>
      <c r="CU1083" s="347">
        <f t="shared" si="1964"/>
        <v>0</v>
      </c>
      <c r="CV1083" s="347">
        <f t="shared" si="1965"/>
        <v>0</v>
      </c>
      <c r="CW1083" s="347">
        <f t="shared" si="1966"/>
        <v>548.79999999999995</v>
      </c>
      <c r="CX1083" s="347">
        <f t="shared" si="1967"/>
        <v>0</v>
      </c>
      <c r="CY1083" s="347">
        <f t="shared" si="1968"/>
        <v>0</v>
      </c>
      <c r="CZ1083" s="347">
        <f t="shared" si="1969"/>
        <v>0</v>
      </c>
      <c r="DA1083" s="347">
        <f t="shared" si="1970"/>
        <v>0</v>
      </c>
      <c r="DB1083" s="347">
        <f t="shared" si="1971"/>
        <v>0</v>
      </c>
      <c r="DC1083" s="347">
        <f t="shared" si="1972"/>
        <v>0</v>
      </c>
      <c r="DD1083" s="347">
        <f t="shared" si="1973"/>
        <v>0</v>
      </c>
      <c r="DE1083" s="347">
        <f t="shared" si="1974"/>
        <v>0</v>
      </c>
      <c r="DF1083" s="347">
        <f t="shared" si="1975"/>
        <v>0</v>
      </c>
      <c r="DG1083" s="1795">
        <f t="shared" si="1976"/>
        <v>0</v>
      </c>
      <c r="DH1083" s="897"/>
      <c r="DI1083" s="897"/>
      <c r="DJ1083" s="897"/>
      <c r="DK1083" s="897"/>
      <c r="DL1083" s="897"/>
      <c r="DM1083" s="897"/>
      <c r="DN1083" s="897"/>
      <c r="DO1083" s="898"/>
      <c r="DY1083" s="376"/>
      <c r="DZ1083" s="376"/>
    </row>
    <row r="1084" spans="1:130" ht="12" customHeight="1" collapsed="1">
      <c r="A1084" s="1882" t="s">
        <v>308</v>
      </c>
      <c r="B1084" s="670"/>
      <c r="C1084" s="670"/>
      <c r="D1084" s="377"/>
      <c r="E1084" s="376"/>
      <c r="F1084" s="376"/>
      <c r="G1084" s="376"/>
      <c r="H1084" s="346"/>
      <c r="I1084" s="376"/>
      <c r="J1084" s="376"/>
      <c r="K1084" s="376"/>
      <c r="L1084" s="376"/>
      <c r="M1084" s="346"/>
      <c r="N1084" s="376"/>
      <c r="O1084" s="376"/>
      <c r="P1084" s="376"/>
      <c r="Q1084" s="376"/>
      <c r="R1084" s="346"/>
      <c r="S1084" s="376"/>
      <c r="T1084" s="376"/>
      <c r="U1084" s="376"/>
      <c r="V1084" s="376"/>
      <c r="W1084" s="346"/>
      <c r="X1084" s="376"/>
      <c r="Y1084" s="376"/>
      <c r="Z1084" s="376"/>
      <c r="AA1084" s="376"/>
      <c r="AB1084" s="346"/>
      <c r="AC1084" s="376"/>
      <c r="AD1084" s="376"/>
      <c r="AE1084" s="376"/>
      <c r="AF1084" s="376"/>
      <c r="AG1084" s="346"/>
      <c r="AH1084" s="328"/>
      <c r="AI1084" s="328"/>
      <c r="AJ1084" s="328"/>
      <c r="AK1084" s="328"/>
      <c r="AL1084" s="373"/>
      <c r="AM1084" s="347"/>
      <c r="AN1084" s="328"/>
      <c r="AO1084" s="347"/>
      <c r="AP1084" s="328">
        <f>1632.75-AP1086-AP1087</f>
        <v>807.75</v>
      </c>
      <c r="AQ1084" s="373">
        <f>AP1084</f>
        <v>807.75</v>
      </c>
      <c r="AR1084" s="328">
        <f>1583.125-AR1086-AR1087</f>
        <v>768.75</v>
      </c>
      <c r="AS1084" s="328">
        <f>1448.8-AS1086-AS1087</f>
        <v>629.53699999999992</v>
      </c>
      <c r="AT1084" s="328">
        <f>1438.975-AT1086-AT1087</f>
        <v>623.79299999999989</v>
      </c>
      <c r="AU1084" s="328">
        <f>1474.85-AU1087-AU1086</f>
        <v>668.21499999999992</v>
      </c>
      <c r="AV1084" s="373">
        <f>AU1084</f>
        <v>668.21499999999992</v>
      </c>
      <c r="AW1084" s="328">
        <f>1445.025-AW1087-AW1086</f>
        <v>667.33000000000015</v>
      </c>
      <c r="AX1084" s="328">
        <f>1408-AX1087-AX1086</f>
        <v>646.75</v>
      </c>
      <c r="AY1084" s="328">
        <f>1447.9-AY1088-AY1089-AY1090-AY1087</f>
        <v>4.5000000000000906</v>
      </c>
      <c r="AZ1084" s="328">
        <f>1467.725-AZ1087-AZ1086-AZ1088-AZ1089-AZ1090</f>
        <v>4.2329999999999472</v>
      </c>
      <c r="BA1084" s="373">
        <f>AZ1084</f>
        <v>4.2329999999999472</v>
      </c>
      <c r="BB1084" s="328">
        <f>1431.95-BB1087-BB1086-BB1088-BB1089-BB1090</f>
        <v>4.0730000000000928</v>
      </c>
      <c r="BC1084" s="328">
        <f>1408.5-BC1087-BC1086-BC1088-BC1089-BC1090</f>
        <v>3.9100000000000819</v>
      </c>
      <c r="BD1084" s="328">
        <f>1374.325-BD1087-BD1086-BD1088-BD1089-BD1090</f>
        <v>3.75</v>
      </c>
      <c r="BE1084" s="328">
        <f>1387.425-BE1087-BE1086-BE1088-BE1089-BE1090</f>
        <v>0</v>
      </c>
      <c r="BF1084" s="373">
        <f>BE1084</f>
        <v>0</v>
      </c>
      <c r="BG1084" s="347">
        <f>+BF1084</f>
        <v>0</v>
      </c>
      <c r="BH1084" s="347">
        <f>+BG1084</f>
        <v>0</v>
      </c>
      <c r="BI1084" s="347">
        <f>+BH1084</f>
        <v>0</v>
      </c>
      <c r="BJ1084" s="328">
        <f>1209.725-BJ1087-BJ1086-BJ1088-BJ1089-BJ1090</f>
        <v>0</v>
      </c>
      <c r="BK1084" s="373">
        <f>BJ1084</f>
        <v>0</v>
      </c>
      <c r="BL1084" s="347">
        <f>+BK1084</f>
        <v>0</v>
      </c>
      <c r="BM1084" s="347">
        <f>+BL1084</f>
        <v>0</v>
      </c>
      <c r="BN1084" s="347">
        <f>+BM1084</f>
        <v>0</v>
      </c>
      <c r="BO1084" s="347">
        <f>+BN1084</f>
        <v>0</v>
      </c>
      <c r="BP1084" s="373">
        <f>BO1084</f>
        <v>0</v>
      </c>
      <c r="BQ1084" s="347">
        <f>+BP1084</f>
        <v>0</v>
      </c>
      <c r="BR1084" s="347">
        <f>+BQ1084</f>
        <v>0</v>
      </c>
      <c r="BS1084" s="3992">
        <f>+BR1084</f>
        <v>0</v>
      </c>
      <c r="BT1084" s="347">
        <f>+BS1084</f>
        <v>0</v>
      </c>
      <c r="BU1084" s="3326">
        <f t="shared" ref="BU1084:CG1084" si="2059">BT1084</f>
        <v>0</v>
      </c>
      <c r="BV1084" s="347">
        <f>+BU1084</f>
        <v>0</v>
      </c>
      <c r="BW1084" s="347">
        <f t="shared" ref="BW1084:BY1084" si="2060">+BV1084</f>
        <v>0</v>
      </c>
      <c r="BX1084" s="347">
        <f t="shared" si="2060"/>
        <v>0</v>
      </c>
      <c r="BY1084" s="347">
        <f t="shared" si="2060"/>
        <v>0</v>
      </c>
      <c r="BZ1084" s="3066">
        <f t="shared" si="2059"/>
        <v>0</v>
      </c>
      <c r="CA1084" s="373">
        <f t="shared" si="2059"/>
        <v>0</v>
      </c>
      <c r="CB1084" s="373">
        <f t="shared" si="2059"/>
        <v>0</v>
      </c>
      <c r="CC1084" s="373">
        <f t="shared" si="2059"/>
        <v>0</v>
      </c>
      <c r="CD1084" s="373">
        <f t="shared" si="2059"/>
        <v>0</v>
      </c>
      <c r="CE1084" s="373">
        <f t="shared" si="2059"/>
        <v>0</v>
      </c>
      <c r="CF1084" s="373">
        <f t="shared" si="2059"/>
        <v>0</v>
      </c>
      <c r="CG1084" s="373">
        <f t="shared" si="2059"/>
        <v>0</v>
      </c>
      <c r="CH1084" s="374"/>
      <c r="CI1084" s="374"/>
      <c r="CJ1084" s="374"/>
      <c r="CK1084" s="374"/>
      <c r="CL1084" s="374"/>
      <c r="CM1084" s="621"/>
      <c r="CN1084" s="621">
        <f t="shared" ref="CN1084:CN1106" si="2061">BY1084</f>
        <v>0</v>
      </c>
      <c r="CO1084" s="965">
        <f t="shared" ref="CO1084:CO1114" si="2062">CM1084-CN1084</f>
        <v>0</v>
      </c>
      <c r="CP1084" s="1882" t="str">
        <f t="shared" si="1959"/>
        <v>Revolving Facility</v>
      </c>
      <c r="CQ1084" s="347">
        <f t="shared" si="1960"/>
        <v>0</v>
      </c>
      <c r="CR1084" s="347">
        <f t="shared" si="1961"/>
        <v>0</v>
      </c>
      <c r="CS1084" s="347">
        <f t="shared" si="1962"/>
        <v>0</v>
      </c>
      <c r="CT1084" s="347">
        <f t="shared" si="1963"/>
        <v>0</v>
      </c>
      <c r="CU1084" s="347">
        <f t="shared" si="1964"/>
        <v>0</v>
      </c>
      <c r="CV1084" s="347">
        <f t="shared" si="1965"/>
        <v>0</v>
      </c>
      <c r="CW1084" s="347">
        <f t="shared" si="1966"/>
        <v>0</v>
      </c>
      <c r="CX1084" s="347">
        <f t="shared" si="1967"/>
        <v>807.75</v>
      </c>
      <c r="CY1084" s="347">
        <f t="shared" si="1968"/>
        <v>668.21499999999992</v>
      </c>
      <c r="CZ1084" s="347">
        <f t="shared" si="1969"/>
        <v>4.2329999999999472</v>
      </c>
      <c r="DA1084" s="347">
        <f t="shared" si="1970"/>
        <v>0</v>
      </c>
      <c r="DB1084" s="347">
        <f t="shared" si="1971"/>
        <v>0</v>
      </c>
      <c r="DC1084" s="347">
        <f t="shared" si="1972"/>
        <v>0</v>
      </c>
      <c r="DD1084" s="347">
        <f t="shared" si="1973"/>
        <v>0</v>
      </c>
      <c r="DE1084" s="347">
        <f t="shared" si="1974"/>
        <v>0</v>
      </c>
      <c r="DF1084" s="347">
        <f t="shared" si="1975"/>
        <v>0</v>
      </c>
      <c r="DG1084" s="1795">
        <f t="shared" si="1976"/>
        <v>0</v>
      </c>
      <c r="DH1084" s="897"/>
      <c r="DI1084" s="897"/>
      <c r="DJ1084" s="897"/>
      <c r="DK1084" s="897"/>
      <c r="DL1084" s="897"/>
      <c r="DM1084" s="897"/>
      <c r="DN1084" s="897"/>
      <c r="DO1084" s="898"/>
      <c r="DY1084" s="374"/>
      <c r="DZ1084" s="374"/>
    </row>
    <row r="1085" spans="1:130" ht="12" customHeight="1">
      <c r="A1085" s="1882" t="s">
        <v>1496</v>
      </c>
      <c r="B1085" s="670"/>
      <c r="C1085" s="670"/>
      <c r="D1085" s="377"/>
      <c r="E1085" s="376"/>
      <c r="F1085" s="376"/>
      <c r="G1085" s="376"/>
      <c r="H1085" s="346"/>
      <c r="I1085" s="376"/>
      <c r="J1085" s="376"/>
      <c r="K1085" s="376"/>
      <c r="L1085" s="376"/>
      <c r="M1085" s="346"/>
      <c r="N1085" s="376"/>
      <c r="O1085" s="376"/>
      <c r="P1085" s="376"/>
      <c r="Q1085" s="376"/>
      <c r="R1085" s="346"/>
      <c r="S1085" s="376"/>
      <c r="T1085" s="376"/>
      <c r="U1085" s="376"/>
      <c r="V1085" s="376"/>
      <c r="W1085" s="346"/>
      <c r="X1085" s="376"/>
      <c r="Y1085" s="376"/>
      <c r="Z1085" s="376"/>
      <c r="AA1085" s="376"/>
      <c r="AB1085" s="346"/>
      <c r="AC1085" s="376"/>
      <c r="AD1085" s="376"/>
      <c r="AE1085" s="376"/>
      <c r="AF1085" s="376"/>
      <c r="AG1085" s="346"/>
      <c r="AH1085" s="328"/>
      <c r="AI1085" s="328"/>
      <c r="AJ1085" s="328"/>
      <c r="AK1085" s="328"/>
      <c r="AL1085" s="373"/>
      <c r="AM1085" s="347"/>
      <c r="AN1085" s="328"/>
      <c r="AO1085" s="347"/>
      <c r="AP1085" s="328"/>
      <c r="AQ1085" s="373"/>
      <c r="AR1085" s="328"/>
      <c r="AS1085" s="328"/>
      <c r="AT1085" s="328"/>
      <c r="AU1085" s="328"/>
      <c r="AV1085" s="373"/>
      <c r="AW1085" s="328"/>
      <c r="AX1085" s="328"/>
      <c r="AY1085" s="328"/>
      <c r="AZ1085" s="328"/>
      <c r="BA1085" s="373"/>
      <c r="BB1085" s="347"/>
      <c r="BC1085" s="347"/>
      <c r="BD1085" s="347"/>
      <c r="BE1085" s="347"/>
      <c r="BF1085" s="373"/>
      <c r="BG1085" s="347"/>
      <c r="BH1085" s="347"/>
      <c r="BI1085" s="347"/>
      <c r="BJ1085" s="347"/>
      <c r="BK1085" s="373"/>
      <c r="BL1085" s="347"/>
      <c r="BM1085" s="347"/>
      <c r="BN1085" s="347"/>
      <c r="BO1085" s="347"/>
      <c r="BP1085" s="373"/>
      <c r="BQ1085" s="347"/>
      <c r="BR1085" s="347"/>
      <c r="BS1085" s="3992"/>
      <c r="BT1085" s="347"/>
      <c r="BU1085" s="3326"/>
      <c r="BV1085" s="347"/>
      <c r="BW1085" s="347"/>
      <c r="BX1085" s="347"/>
      <c r="BY1085" s="347"/>
      <c r="BZ1085" s="3066"/>
      <c r="CA1085" s="373"/>
      <c r="CB1085" s="373"/>
      <c r="CC1085" s="373"/>
      <c r="CD1085" s="373"/>
      <c r="CE1085" s="373"/>
      <c r="CF1085" s="373"/>
      <c r="CG1085" s="373"/>
      <c r="CH1085" s="374"/>
      <c r="CI1085" s="374"/>
      <c r="CJ1085" s="374"/>
      <c r="CK1085" s="374"/>
      <c r="CL1085" s="374"/>
      <c r="CM1085" s="621"/>
      <c r="CN1085" s="621">
        <f t="shared" si="2061"/>
        <v>0</v>
      </c>
      <c r="CO1085" s="965">
        <f t="shared" si="2062"/>
        <v>0</v>
      </c>
      <c r="CP1085" s="1882" t="str">
        <f t="shared" si="1959"/>
        <v>Extended Revolving Facility</v>
      </c>
      <c r="CQ1085" s="347"/>
      <c r="CR1085" s="347"/>
      <c r="CS1085" s="347"/>
      <c r="CT1085" s="347"/>
      <c r="CU1085" s="347"/>
      <c r="CV1085" s="347"/>
      <c r="CW1085" s="347"/>
      <c r="CX1085" s="347"/>
      <c r="CY1085" s="347"/>
      <c r="CZ1085" s="347"/>
      <c r="DA1085" s="347"/>
      <c r="DB1085" s="347"/>
      <c r="DC1085" s="347"/>
      <c r="DD1085" s="347"/>
      <c r="DE1085" s="347"/>
      <c r="DF1085" s="347"/>
      <c r="DG1085" s="1795"/>
      <c r="DH1085" s="897"/>
      <c r="DI1085" s="897"/>
      <c r="DJ1085" s="897"/>
      <c r="DK1085" s="897"/>
      <c r="DL1085" s="897"/>
      <c r="DM1085" s="897"/>
      <c r="DN1085" s="897"/>
      <c r="DO1085" s="898"/>
      <c r="DY1085" s="374"/>
      <c r="DZ1085" s="374"/>
    </row>
    <row r="1086" spans="1:130" ht="12" customHeight="1">
      <c r="A1086" s="1882" t="s">
        <v>676</v>
      </c>
      <c r="B1086" s="670"/>
      <c r="C1086" s="670"/>
      <c r="D1086" s="377"/>
      <c r="E1086" s="376"/>
      <c r="F1086" s="376"/>
      <c r="G1086" s="376"/>
      <c r="H1086" s="346"/>
      <c r="I1086" s="376"/>
      <c r="J1086" s="376"/>
      <c r="K1086" s="376"/>
      <c r="L1086" s="376"/>
      <c r="M1086" s="346"/>
      <c r="N1086" s="376"/>
      <c r="O1086" s="376"/>
      <c r="P1086" s="376"/>
      <c r="Q1086" s="376"/>
      <c r="R1086" s="346"/>
      <c r="S1086" s="376"/>
      <c r="T1086" s="376"/>
      <c r="U1086" s="376"/>
      <c r="V1086" s="376"/>
      <c r="W1086" s="346"/>
      <c r="X1086" s="376"/>
      <c r="Y1086" s="376"/>
      <c r="Z1086" s="376"/>
      <c r="AA1086" s="376"/>
      <c r="AB1086" s="346"/>
      <c r="AC1086" s="376"/>
      <c r="AD1086" s="376"/>
      <c r="AE1086" s="376"/>
      <c r="AF1086" s="376"/>
      <c r="AG1086" s="346"/>
      <c r="AH1086" s="328"/>
      <c r="AI1086" s="328"/>
      <c r="AJ1086" s="328"/>
      <c r="AK1086" s="328">
        <v>500</v>
      </c>
      <c r="AL1086" s="373">
        <f>AK1086</f>
        <v>500</v>
      </c>
      <c r="AM1086" s="347">
        <f>$AK$1086-0.0125*$AK$1086</f>
        <v>493.75</v>
      </c>
      <c r="AN1086" s="347">
        <f>AM1086-0.0125*$AK$1086</f>
        <v>487.5</v>
      </c>
      <c r="AO1086" s="347">
        <f>AN1086-0.0125*$AK$1086</f>
        <v>481.25</v>
      </c>
      <c r="AP1086" s="328">
        <f>AO1086-0.0125*$AK$1086</f>
        <v>475</v>
      </c>
      <c r="AQ1086" s="373">
        <f t="shared" ref="AQ1086:AQ1101" si="2063">AP1086</f>
        <v>475</v>
      </c>
      <c r="AR1086" s="328">
        <f>AQ1086-0.0125*$AK$1086</f>
        <v>468.75</v>
      </c>
      <c r="AS1086" s="328">
        <v>462.5</v>
      </c>
      <c r="AT1086" s="328">
        <v>456.25</v>
      </c>
      <c r="AU1086" s="328">
        <v>450</v>
      </c>
      <c r="AV1086" s="373">
        <f>AU1086</f>
        <v>450</v>
      </c>
      <c r="AW1086" s="328">
        <v>443.75</v>
      </c>
      <c r="AX1086" s="328">
        <v>437.5</v>
      </c>
      <c r="AY1086" s="328"/>
      <c r="AZ1086" s="328"/>
      <c r="BA1086" s="373">
        <f t="shared" ref="BA1086:BA1111" si="2064">AZ1086</f>
        <v>0</v>
      </c>
      <c r="BB1086" s="328">
        <v>0</v>
      </c>
      <c r="BC1086" s="328">
        <v>0</v>
      </c>
      <c r="BD1086" s="328">
        <v>0</v>
      </c>
      <c r="BE1086" s="328">
        <v>0</v>
      </c>
      <c r="BF1086" s="373">
        <f>BE1086</f>
        <v>0</v>
      </c>
      <c r="BG1086" s="328">
        <v>0</v>
      </c>
      <c r="BH1086" s="328">
        <v>0</v>
      </c>
      <c r="BI1086" s="328">
        <v>0</v>
      </c>
      <c r="BJ1086" s="328">
        <v>0</v>
      </c>
      <c r="BK1086" s="373">
        <f>BJ1086</f>
        <v>0</v>
      </c>
      <c r="BL1086" s="328">
        <v>0</v>
      </c>
      <c r="BM1086" s="328">
        <v>0</v>
      </c>
      <c r="BN1086" s="328">
        <v>0</v>
      </c>
      <c r="BO1086" s="328">
        <v>0</v>
      </c>
      <c r="BP1086" s="373">
        <f>BO1086</f>
        <v>0</v>
      </c>
      <c r="BQ1086" s="328">
        <v>0</v>
      </c>
      <c r="BR1086" s="328">
        <v>0</v>
      </c>
      <c r="BS1086" s="328">
        <v>0</v>
      </c>
      <c r="BT1086" s="328">
        <v>0</v>
      </c>
      <c r="BU1086" s="3326">
        <f>BT1086</f>
        <v>0</v>
      </c>
      <c r="BV1086" s="328">
        <v>0</v>
      </c>
      <c r="BW1086" s="328">
        <v>0</v>
      </c>
      <c r="BX1086" s="328">
        <v>0</v>
      </c>
      <c r="BY1086" s="328">
        <v>0</v>
      </c>
      <c r="BZ1086" s="4014">
        <f>BY1086</f>
        <v>0</v>
      </c>
      <c r="CA1086" s="893">
        <v>0</v>
      </c>
      <c r="CB1086" s="893">
        <v>0</v>
      </c>
      <c r="CC1086" s="893">
        <v>0</v>
      </c>
      <c r="CD1086" s="893">
        <v>0</v>
      </c>
      <c r="CE1086" s="893">
        <v>0</v>
      </c>
      <c r="CF1086" s="893">
        <v>0</v>
      </c>
      <c r="CG1086" s="893">
        <v>0</v>
      </c>
      <c r="CH1086" s="374"/>
      <c r="CI1086" s="374"/>
      <c r="CJ1086" s="374"/>
      <c r="CK1086" s="374"/>
      <c r="CL1086" s="374"/>
      <c r="CM1086" s="621"/>
      <c r="CN1086" s="621">
        <f t="shared" si="2061"/>
        <v>0</v>
      </c>
      <c r="CO1086" s="965">
        <f t="shared" si="2062"/>
        <v>0</v>
      </c>
      <c r="CP1086" s="1882" t="str">
        <f t="shared" si="1959"/>
        <v>Term Loan</v>
      </c>
      <c r="CQ1086" s="347">
        <f t="shared" si="1960"/>
        <v>0</v>
      </c>
      <c r="CR1086" s="347">
        <f t="shared" si="1961"/>
        <v>0</v>
      </c>
      <c r="CS1086" s="347">
        <f t="shared" si="1962"/>
        <v>0</v>
      </c>
      <c r="CT1086" s="347">
        <f t="shared" si="1963"/>
        <v>0</v>
      </c>
      <c r="CU1086" s="347">
        <f t="shared" si="1964"/>
        <v>0</v>
      </c>
      <c r="CV1086" s="347">
        <f t="shared" si="1965"/>
        <v>0</v>
      </c>
      <c r="CW1086" s="347">
        <f t="shared" si="1966"/>
        <v>500</v>
      </c>
      <c r="CX1086" s="347">
        <f t="shared" si="1967"/>
        <v>475</v>
      </c>
      <c r="CY1086" s="347">
        <f t="shared" si="1968"/>
        <v>450</v>
      </c>
      <c r="CZ1086" s="347">
        <f t="shared" si="1969"/>
        <v>0</v>
      </c>
      <c r="DA1086" s="347">
        <f t="shared" si="1970"/>
        <v>0</v>
      </c>
      <c r="DB1086" s="347">
        <f t="shared" si="1971"/>
        <v>0</v>
      </c>
      <c r="DC1086" s="347">
        <f t="shared" si="1972"/>
        <v>0</v>
      </c>
      <c r="DD1086" s="347">
        <f t="shared" si="1973"/>
        <v>0</v>
      </c>
      <c r="DE1086" s="347">
        <f t="shared" si="1974"/>
        <v>0</v>
      </c>
      <c r="DF1086" s="347">
        <f t="shared" si="1975"/>
        <v>0</v>
      </c>
      <c r="DG1086" s="1795">
        <f t="shared" si="1976"/>
        <v>0</v>
      </c>
      <c r="DH1086" s="897"/>
      <c r="DI1086" s="897"/>
      <c r="DJ1086" s="897"/>
      <c r="DK1086" s="897"/>
      <c r="DL1086" s="897"/>
      <c r="DM1086" s="897"/>
      <c r="DN1086" s="897"/>
      <c r="DO1086" s="898"/>
      <c r="DY1086" s="374"/>
      <c r="DZ1086" s="374"/>
    </row>
    <row r="1087" spans="1:130" ht="12" customHeight="1">
      <c r="A1087" s="1882" t="s">
        <v>598</v>
      </c>
      <c r="B1087" s="670"/>
      <c r="C1087" s="670"/>
      <c r="D1087" s="377"/>
      <c r="E1087" s="376"/>
      <c r="F1087" s="376"/>
      <c r="G1087" s="376"/>
      <c r="H1087" s="346"/>
      <c r="I1087" s="376"/>
      <c r="J1087" s="376"/>
      <c r="K1087" s="376"/>
      <c r="L1087" s="376"/>
      <c r="M1087" s="346"/>
      <c r="N1087" s="376"/>
      <c r="O1087" s="376"/>
      <c r="P1087" s="376"/>
      <c r="Q1087" s="376"/>
      <c r="R1087" s="346"/>
      <c r="S1087" s="376"/>
      <c r="T1087" s="376"/>
      <c r="U1087" s="376"/>
      <c r="V1087" s="376"/>
      <c r="W1087" s="346"/>
      <c r="X1087" s="376"/>
      <c r="Y1087" s="376"/>
      <c r="Z1087" s="376"/>
      <c r="AA1087" s="376"/>
      <c r="AB1087" s="346"/>
      <c r="AC1087" s="376"/>
      <c r="AD1087" s="376"/>
      <c r="AE1087" s="376"/>
      <c r="AF1087" s="376"/>
      <c r="AG1087" s="346"/>
      <c r="AH1087" s="328"/>
      <c r="AI1087" s="328"/>
      <c r="AJ1087" s="328"/>
      <c r="AK1087" s="328"/>
      <c r="AL1087" s="373"/>
      <c r="AM1087" s="347"/>
      <c r="AN1087" s="328"/>
      <c r="AO1087" s="347"/>
      <c r="AP1087" s="328">
        <v>350</v>
      </c>
      <c r="AQ1087" s="373">
        <f t="shared" si="2063"/>
        <v>350</v>
      </c>
      <c r="AR1087" s="328">
        <f>AQ1087-0.0125*$AP$1087</f>
        <v>345.625</v>
      </c>
      <c r="AS1087" s="328">
        <f>331.713+25.05</f>
        <v>356.76300000000003</v>
      </c>
      <c r="AT1087" s="328">
        <f>336.875+22.057</f>
        <v>358.93200000000002</v>
      </c>
      <c r="AU1087" s="328">
        <f>332.5+24.135</f>
        <v>356.63499999999999</v>
      </c>
      <c r="AV1087" s="373">
        <f>AU1087</f>
        <v>356.63499999999999</v>
      </c>
      <c r="AW1087" s="328">
        <f>328.125+5.82</f>
        <v>333.94499999999999</v>
      </c>
      <c r="AX1087" s="328">
        <v>323.75</v>
      </c>
      <c r="AY1087" s="328">
        <v>3.4</v>
      </c>
      <c r="AZ1087" s="328">
        <v>23.867000000000001</v>
      </c>
      <c r="BA1087" s="373">
        <f t="shared" si="2064"/>
        <v>23.867000000000001</v>
      </c>
      <c r="BB1087" s="328">
        <v>8.6270000000000007</v>
      </c>
      <c r="BC1087" s="328">
        <v>0</v>
      </c>
      <c r="BD1087" s="328">
        <v>11.2</v>
      </c>
      <c r="BE1087" s="328">
        <v>25.3</v>
      </c>
      <c r="BF1087" s="373">
        <f>BE1087</f>
        <v>25.3</v>
      </c>
      <c r="BG1087" s="328">
        <v>8.6999999999999993</v>
      </c>
      <c r="BH1087" s="328">
        <v>24.5</v>
      </c>
      <c r="BI1087" s="328">
        <v>20.7</v>
      </c>
      <c r="BJ1087" s="328">
        <v>55.7</v>
      </c>
      <c r="BK1087" s="373">
        <f>BJ1087</f>
        <v>55.7</v>
      </c>
      <c r="BL1087" s="328">
        <v>0</v>
      </c>
      <c r="BM1087" s="328">
        <v>0</v>
      </c>
      <c r="BN1087" s="328">
        <v>42</v>
      </c>
      <c r="BO1087" s="328">
        <v>46.1</v>
      </c>
      <c r="BP1087" s="373">
        <f t="shared" ref="BP1087" si="2065">BO1087</f>
        <v>46.1</v>
      </c>
      <c r="BQ1087" s="328">
        <v>40.299999999999997</v>
      </c>
      <c r="BR1087" s="3494">
        <v>72.5</v>
      </c>
      <c r="BS1087" s="328">
        <v>35.700000000000003</v>
      </c>
      <c r="BT1087" s="347">
        <f>BS1087</f>
        <v>35.700000000000003</v>
      </c>
      <c r="BU1087" s="3326">
        <f t="shared" ref="BU1087:BV1087" si="2066">BT1087</f>
        <v>35.700000000000003</v>
      </c>
      <c r="BV1087" s="347">
        <f t="shared" si="2066"/>
        <v>35.700000000000003</v>
      </c>
      <c r="BW1087" s="347">
        <f t="shared" ref="BW1087" si="2067">BV1087</f>
        <v>35.700000000000003</v>
      </c>
      <c r="BX1087" s="347">
        <f t="shared" ref="BX1087" si="2068">BW1087</f>
        <v>35.700000000000003</v>
      </c>
      <c r="BY1087" s="347">
        <f t="shared" ref="BY1087:BZ1087" si="2069">BX1087</f>
        <v>35.700000000000003</v>
      </c>
      <c r="BZ1087" s="3066">
        <f t="shared" si="2069"/>
        <v>35.700000000000003</v>
      </c>
      <c r="CA1087" s="373">
        <f>BZ1087</f>
        <v>35.700000000000003</v>
      </c>
      <c r="CB1087" s="373">
        <f>CA1087</f>
        <v>35.700000000000003</v>
      </c>
      <c r="CC1087" s="893">
        <v>0</v>
      </c>
      <c r="CD1087" s="893">
        <v>0</v>
      </c>
      <c r="CE1087" s="893">
        <v>0</v>
      </c>
      <c r="CF1087" s="893">
        <v>0</v>
      </c>
      <c r="CG1087" s="893">
        <v>0</v>
      </c>
      <c r="CH1087" s="374"/>
      <c r="CI1087" s="374"/>
      <c r="CJ1087" s="374"/>
      <c r="CK1087" s="374"/>
      <c r="CL1087" s="374"/>
      <c r="CM1087" s="621"/>
      <c r="CN1087" s="621">
        <f t="shared" si="2061"/>
        <v>35.700000000000003</v>
      </c>
      <c r="CO1087" s="965">
        <f t="shared" si="2062"/>
        <v>-35.700000000000003</v>
      </c>
      <c r="CP1087" s="1882" t="str">
        <f t="shared" si="1959"/>
        <v>Incremental Term Loan</v>
      </c>
      <c r="CQ1087" s="347">
        <f t="shared" si="1960"/>
        <v>0</v>
      </c>
      <c r="CR1087" s="347">
        <f t="shared" si="1961"/>
        <v>0</v>
      </c>
      <c r="CS1087" s="347">
        <f t="shared" si="1962"/>
        <v>0</v>
      </c>
      <c r="CT1087" s="347">
        <f t="shared" si="1963"/>
        <v>0</v>
      </c>
      <c r="CU1087" s="347">
        <f t="shared" si="1964"/>
        <v>0</v>
      </c>
      <c r="CV1087" s="347">
        <f t="shared" si="1965"/>
        <v>0</v>
      </c>
      <c r="CW1087" s="347">
        <f t="shared" si="1966"/>
        <v>0</v>
      </c>
      <c r="CX1087" s="347">
        <f t="shared" si="1967"/>
        <v>350</v>
      </c>
      <c r="CY1087" s="347">
        <f t="shared" si="1968"/>
        <v>356.63499999999999</v>
      </c>
      <c r="CZ1087" s="347">
        <f t="shared" si="1969"/>
        <v>23.867000000000001</v>
      </c>
      <c r="DA1087" s="347">
        <f t="shared" si="1970"/>
        <v>25.3</v>
      </c>
      <c r="DB1087" s="347">
        <f t="shared" si="1971"/>
        <v>55.7</v>
      </c>
      <c r="DC1087" s="347">
        <f t="shared" si="1972"/>
        <v>46.1</v>
      </c>
      <c r="DD1087" s="347">
        <f t="shared" si="1973"/>
        <v>35.700000000000003</v>
      </c>
      <c r="DE1087" s="347">
        <f t="shared" si="1974"/>
        <v>35.700000000000003</v>
      </c>
      <c r="DF1087" s="347">
        <f t="shared" si="1975"/>
        <v>35.700000000000003</v>
      </c>
      <c r="DG1087" s="1795">
        <f t="shared" si="1976"/>
        <v>35.700000000000003</v>
      </c>
      <c r="DH1087" s="897"/>
      <c r="DI1087" s="897"/>
      <c r="DJ1087" s="897"/>
      <c r="DK1087" s="897"/>
      <c r="DL1087" s="897"/>
      <c r="DM1087" s="897"/>
      <c r="DN1087" s="897"/>
      <c r="DO1087" s="898"/>
      <c r="DY1087" s="374"/>
      <c r="DZ1087" s="374"/>
    </row>
    <row r="1088" spans="1:130" ht="12" customHeight="1">
      <c r="A1088" s="3303" t="s">
        <v>1914</v>
      </c>
      <c r="B1088" s="670"/>
      <c r="C1088" s="670"/>
      <c r="D1088" s="377"/>
      <c r="E1088" s="376"/>
      <c r="F1088" s="376"/>
      <c r="G1088" s="376"/>
      <c r="H1088" s="346"/>
      <c r="I1088" s="376"/>
      <c r="J1088" s="376"/>
      <c r="K1088" s="376"/>
      <c r="L1088" s="376"/>
      <c r="M1088" s="346"/>
      <c r="N1088" s="376"/>
      <c r="O1088" s="376"/>
      <c r="P1088" s="376"/>
      <c r="Q1088" s="376"/>
      <c r="R1088" s="346"/>
      <c r="S1088" s="376"/>
      <c r="T1088" s="376"/>
      <c r="U1088" s="376"/>
      <c r="V1088" s="376"/>
      <c r="W1088" s="346"/>
      <c r="X1088" s="376"/>
      <c r="Y1088" s="376"/>
      <c r="Z1088" s="376"/>
      <c r="AA1088" s="376"/>
      <c r="AB1088" s="346"/>
      <c r="AC1088" s="376"/>
      <c r="AD1088" s="376"/>
      <c r="AE1088" s="376"/>
      <c r="AF1088" s="376"/>
      <c r="AG1088" s="346"/>
      <c r="AH1088" s="328"/>
      <c r="AI1088" s="328"/>
      <c r="AJ1088" s="328"/>
      <c r="AK1088" s="328"/>
      <c r="AL1088" s="373"/>
      <c r="AM1088" s="347"/>
      <c r="AN1088" s="328"/>
      <c r="AO1088" s="347"/>
      <c r="AP1088" s="328"/>
      <c r="AQ1088" s="373"/>
      <c r="AR1088" s="328"/>
      <c r="AS1088" s="328"/>
      <c r="AT1088" s="328"/>
      <c r="AU1088" s="328"/>
      <c r="AV1088" s="373"/>
      <c r="AW1088" s="328"/>
      <c r="AX1088" s="328"/>
      <c r="AY1088" s="328">
        <v>290</v>
      </c>
      <c r="AZ1088" s="328">
        <v>295</v>
      </c>
      <c r="BA1088" s="373">
        <f t="shared" si="2064"/>
        <v>295</v>
      </c>
      <c r="BB1088" s="328">
        <v>280</v>
      </c>
      <c r="BC1088" s="328">
        <v>296.08999999999997</v>
      </c>
      <c r="BD1088" s="328">
        <v>266.25</v>
      </c>
      <c r="BE1088" s="328">
        <v>300</v>
      </c>
      <c r="BF1088" s="373">
        <f>BE1088</f>
        <v>300</v>
      </c>
      <c r="BG1088" s="328">
        <v>280</v>
      </c>
      <c r="BH1088" s="328">
        <v>60</v>
      </c>
      <c r="BI1088" s="328">
        <v>70</v>
      </c>
      <c r="BJ1088" s="328">
        <v>240</v>
      </c>
      <c r="BK1088" s="373">
        <f>BJ1088</f>
        <v>240</v>
      </c>
      <c r="BL1088" s="328">
        <v>0</v>
      </c>
      <c r="BM1088" s="3143">
        <v>0</v>
      </c>
      <c r="BN1088" s="3143">
        <v>0</v>
      </c>
      <c r="BO1088" s="3143">
        <v>245</v>
      </c>
      <c r="BP1088" s="373">
        <f>BO1088</f>
        <v>245</v>
      </c>
      <c r="BQ1088" s="3143">
        <v>240</v>
      </c>
      <c r="BR1088" s="3494">
        <v>145</v>
      </c>
      <c r="BS1088" s="328">
        <v>135</v>
      </c>
      <c r="BT1088" s="4051">
        <f>3120-BT1087-SUM(BT1089:BT1112)</f>
        <v>213.04200000000037</v>
      </c>
      <c r="BU1088" s="3066">
        <f>BT1088</f>
        <v>213.04200000000037</v>
      </c>
      <c r="BV1088" s="347">
        <f>+BU1088</f>
        <v>213.04200000000037</v>
      </c>
      <c r="BW1088" s="347">
        <f t="shared" ref="BW1088:BY1088" si="2070">+BV1088</f>
        <v>213.04200000000037</v>
      </c>
      <c r="BX1088" s="3494">
        <v>775</v>
      </c>
      <c r="BY1088" s="347">
        <f t="shared" si="2070"/>
        <v>775</v>
      </c>
      <c r="BZ1088" s="3066">
        <f>BY1088</f>
        <v>775</v>
      </c>
      <c r="CA1088" s="346">
        <f t="shared" ref="CA1088:CG1088" si="2071">+BZ1088</f>
        <v>775</v>
      </c>
      <c r="CB1088" s="346">
        <f t="shared" si="2071"/>
        <v>775</v>
      </c>
      <c r="CC1088" s="346">
        <f t="shared" si="2071"/>
        <v>775</v>
      </c>
      <c r="CD1088" s="346">
        <f t="shared" si="2071"/>
        <v>775</v>
      </c>
      <c r="CE1088" s="346">
        <f t="shared" si="2071"/>
        <v>775</v>
      </c>
      <c r="CF1088" s="346">
        <f t="shared" si="2071"/>
        <v>775</v>
      </c>
      <c r="CG1088" s="346">
        <f t="shared" si="2071"/>
        <v>775</v>
      </c>
      <c r="CH1088" s="374"/>
      <c r="CI1088" s="374"/>
      <c r="CJ1088" s="374"/>
      <c r="CK1088" s="374"/>
      <c r="CL1088" s="374"/>
      <c r="CM1088" s="621"/>
      <c r="CN1088" s="621">
        <f t="shared" si="2061"/>
        <v>775</v>
      </c>
      <c r="CO1088" s="965">
        <f t="shared" si="2062"/>
        <v>-775</v>
      </c>
      <c r="CP1088" s="1882" t="str">
        <f t="shared" si="1959"/>
        <v>$775m Revolving Credit Facility</v>
      </c>
      <c r="CQ1088" s="347"/>
      <c r="CR1088" s="347"/>
      <c r="CS1088" s="347"/>
      <c r="CT1088" s="347"/>
      <c r="CU1088" s="347"/>
      <c r="CV1088" s="347"/>
      <c r="CW1088" s="347"/>
      <c r="CX1088" s="347"/>
      <c r="CY1088" s="347"/>
      <c r="CZ1088" s="347"/>
      <c r="DA1088" s="347"/>
      <c r="DB1088" s="347"/>
      <c r="DC1088" s="347"/>
      <c r="DD1088" s="347"/>
      <c r="DE1088" s="347"/>
      <c r="DF1088" s="347"/>
      <c r="DG1088" s="1795"/>
      <c r="DH1088" s="897"/>
      <c r="DI1088" s="897"/>
      <c r="DJ1088" s="897"/>
      <c r="DK1088" s="897"/>
      <c r="DL1088" s="897"/>
      <c r="DM1088" s="897"/>
      <c r="DN1088" s="897"/>
      <c r="DO1088" s="898"/>
      <c r="DY1088" s="374"/>
      <c r="DZ1088" s="374"/>
    </row>
    <row r="1089" spans="1:130" ht="12" customHeight="1">
      <c r="A1089" s="1882" t="s">
        <v>1495</v>
      </c>
      <c r="B1089" s="670"/>
      <c r="C1089" s="670"/>
      <c r="D1089" s="377"/>
      <c r="E1089" s="376"/>
      <c r="F1089" s="376"/>
      <c r="G1089" s="376"/>
      <c r="H1089" s="346"/>
      <c r="I1089" s="376"/>
      <c r="J1089" s="376"/>
      <c r="K1089" s="376"/>
      <c r="L1089" s="376"/>
      <c r="M1089" s="346"/>
      <c r="N1089" s="376"/>
      <c r="O1089" s="376"/>
      <c r="P1089" s="376"/>
      <c r="Q1089" s="376"/>
      <c r="R1089" s="346"/>
      <c r="S1089" s="376"/>
      <c r="T1089" s="376"/>
      <c r="U1089" s="376"/>
      <c r="V1089" s="376"/>
      <c r="W1089" s="346"/>
      <c r="X1089" s="376"/>
      <c r="Y1089" s="376"/>
      <c r="Z1089" s="376"/>
      <c r="AA1089" s="376"/>
      <c r="AB1089" s="346"/>
      <c r="AC1089" s="376"/>
      <c r="AD1089" s="376"/>
      <c r="AE1089" s="376"/>
      <c r="AF1089" s="376"/>
      <c r="AG1089" s="346"/>
      <c r="AH1089" s="328"/>
      <c r="AI1089" s="328"/>
      <c r="AJ1089" s="328"/>
      <c r="AK1089" s="328"/>
      <c r="AL1089" s="373"/>
      <c r="AM1089" s="347"/>
      <c r="AN1089" s="328"/>
      <c r="AO1089" s="347"/>
      <c r="AP1089" s="328"/>
      <c r="AQ1089" s="373">
        <f t="shared" si="2063"/>
        <v>0</v>
      </c>
      <c r="AR1089" s="328">
        <f>AQ1089</f>
        <v>0</v>
      </c>
      <c r="AS1089" s="328">
        <f>AR1089</f>
        <v>0</v>
      </c>
      <c r="AT1089" s="328">
        <v>0</v>
      </c>
      <c r="AU1089" s="328">
        <v>0</v>
      </c>
      <c r="AV1089" s="373">
        <f>AU1089</f>
        <v>0</v>
      </c>
      <c r="AW1089" s="328">
        <v>0</v>
      </c>
      <c r="AX1089" s="328">
        <v>0</v>
      </c>
      <c r="AY1089" s="328">
        <v>250</v>
      </c>
      <c r="AZ1089" s="328">
        <v>246.875</v>
      </c>
      <c r="BA1089" s="373">
        <f t="shared" si="2064"/>
        <v>246.875</v>
      </c>
      <c r="BB1089" s="328">
        <v>243.75</v>
      </c>
      <c r="BC1089" s="328">
        <v>237.5</v>
      </c>
      <c r="BD1089" s="328">
        <v>234.375</v>
      </c>
      <c r="BE1089" s="328">
        <v>221.375</v>
      </c>
      <c r="BF1089" s="373">
        <f>+BE1089</f>
        <v>221.375</v>
      </c>
      <c r="BG1089" s="328">
        <v>218.25</v>
      </c>
      <c r="BH1089" s="328">
        <v>206.5</v>
      </c>
      <c r="BI1089" s="328">
        <v>195.27500000000001</v>
      </c>
      <c r="BJ1089" s="328">
        <v>183.27500000000001</v>
      </c>
      <c r="BK1089" s="373">
        <f>+BJ1089</f>
        <v>183.27500000000001</v>
      </c>
      <c r="BL1089" s="328">
        <v>177.02500000000001</v>
      </c>
      <c r="BM1089" s="328">
        <v>177.02500000000001</v>
      </c>
      <c r="BN1089" s="328">
        <v>225</v>
      </c>
      <c r="BO1089" s="3143">
        <v>222.18799999999999</v>
      </c>
      <c r="BP1089" s="373">
        <f>+BO1089</f>
        <v>222.18799999999999</v>
      </c>
      <c r="BQ1089" s="3143">
        <v>219.375</v>
      </c>
      <c r="BR1089" s="3494">
        <v>216.56200000000001</v>
      </c>
      <c r="BS1089" s="328">
        <v>213.75</v>
      </c>
      <c r="BT1089" s="3484">
        <f>BS1089-(0.05/4)*$AY$1089</f>
        <v>210.625</v>
      </c>
      <c r="BU1089" s="3326">
        <f>+BT1089</f>
        <v>210.625</v>
      </c>
      <c r="BV1089" s="3484">
        <f>BU1089-(0.05/4)*$AY$1089</f>
        <v>207.5</v>
      </c>
      <c r="BW1089" s="3484">
        <f t="shared" ref="BW1089:BY1089" si="2072">BV1089-(0.05/4)*$AY$1089</f>
        <v>204.375</v>
      </c>
      <c r="BX1089" s="3484">
        <f t="shared" si="2072"/>
        <v>201.25</v>
      </c>
      <c r="BY1089" s="3484">
        <f t="shared" si="2072"/>
        <v>198.125</v>
      </c>
      <c r="BZ1089" s="3066">
        <f>+BY1089</f>
        <v>198.125</v>
      </c>
      <c r="CA1089" s="3485">
        <f>BZ1089-(0.05)*$AY$1089</f>
        <v>185.625</v>
      </c>
      <c r="CB1089" s="3485">
        <f t="shared" ref="CB1089:CG1089" si="2073">CA1089-(0.05)*$AY$1089</f>
        <v>173.125</v>
      </c>
      <c r="CC1089" s="2391">
        <f t="shared" si="2073"/>
        <v>160.625</v>
      </c>
      <c r="CD1089" s="2391">
        <f t="shared" si="2073"/>
        <v>148.125</v>
      </c>
      <c r="CE1089" s="2391">
        <f t="shared" si="2073"/>
        <v>135.625</v>
      </c>
      <c r="CF1089" s="2391">
        <f t="shared" si="2073"/>
        <v>123.125</v>
      </c>
      <c r="CG1089" s="2391">
        <f t="shared" si="2073"/>
        <v>110.625</v>
      </c>
      <c r="CH1089" s="374"/>
      <c r="CI1089" s="374"/>
      <c r="CJ1089" s="374"/>
      <c r="CK1089" s="374"/>
      <c r="CL1089" s="374"/>
      <c r="CM1089" s="621"/>
      <c r="CN1089" s="621">
        <f t="shared" si="2061"/>
        <v>198.125</v>
      </c>
      <c r="CO1089" s="965">
        <f t="shared" si="2062"/>
        <v>-198.125</v>
      </c>
      <c r="CP1089" s="1882" t="str">
        <f t="shared" si="1959"/>
        <v>$250m Term Loan A due 2018</v>
      </c>
      <c r="CQ1089" s="347"/>
      <c r="CR1089" s="347"/>
      <c r="CS1089" s="347"/>
      <c r="CT1089" s="347"/>
      <c r="CU1089" s="347"/>
      <c r="CV1089" s="347"/>
      <c r="CW1089" s="347"/>
      <c r="CX1089" s="347"/>
      <c r="CY1089" s="347"/>
      <c r="CZ1089" s="347"/>
      <c r="DA1089" s="347"/>
      <c r="DB1089" s="347"/>
      <c r="DC1089" s="347"/>
      <c r="DD1089" s="347"/>
      <c r="DE1089" s="347"/>
      <c r="DF1089" s="347"/>
      <c r="DG1089" s="1795"/>
      <c r="DH1089" s="897"/>
      <c r="DI1089" s="897"/>
      <c r="DJ1089" s="897"/>
      <c r="DK1089" s="897"/>
      <c r="DL1089" s="897"/>
      <c r="DM1089" s="897"/>
      <c r="DN1089" s="897"/>
      <c r="DO1089" s="898"/>
      <c r="DY1089" s="374"/>
      <c r="DZ1089" s="374"/>
    </row>
    <row r="1090" spans="1:130" ht="12" customHeight="1">
      <c r="A1090" s="1882" t="s">
        <v>1497</v>
      </c>
      <c r="B1090" s="670"/>
      <c r="C1090" s="670"/>
      <c r="D1090" s="377"/>
      <c r="E1090" s="376"/>
      <c r="F1090" s="376"/>
      <c r="G1090" s="376"/>
      <c r="H1090" s="346"/>
      <c r="I1090" s="376"/>
      <c r="J1090" s="376"/>
      <c r="K1090" s="376"/>
      <c r="L1090" s="376"/>
      <c r="M1090" s="346"/>
      <c r="N1090" s="376"/>
      <c r="O1090" s="376"/>
      <c r="P1090" s="376"/>
      <c r="Q1090" s="376"/>
      <c r="R1090" s="346"/>
      <c r="S1090" s="376"/>
      <c r="T1090" s="376"/>
      <c r="U1090" s="376"/>
      <c r="V1090" s="376"/>
      <c r="W1090" s="346"/>
      <c r="X1090" s="376"/>
      <c r="Y1090" s="376"/>
      <c r="Z1090" s="376"/>
      <c r="AA1090" s="376"/>
      <c r="AB1090" s="346"/>
      <c r="AC1090" s="376"/>
      <c r="AD1090" s="376"/>
      <c r="AE1090" s="376"/>
      <c r="AF1090" s="376"/>
      <c r="AG1090" s="346"/>
      <c r="AH1090" s="328"/>
      <c r="AI1090" s="328"/>
      <c r="AJ1090" s="328"/>
      <c r="AK1090" s="328"/>
      <c r="AL1090" s="373"/>
      <c r="AM1090" s="347"/>
      <c r="AN1090" s="328"/>
      <c r="AO1090" s="347"/>
      <c r="AP1090" s="328"/>
      <c r="AQ1090" s="373">
        <f t="shared" si="2063"/>
        <v>0</v>
      </c>
      <c r="AR1090" s="328">
        <f>AQ1090</f>
        <v>0</v>
      </c>
      <c r="AS1090" s="328">
        <f>AR1090</f>
        <v>0</v>
      </c>
      <c r="AT1090" s="328">
        <v>0</v>
      </c>
      <c r="AU1090" s="328">
        <v>0</v>
      </c>
      <c r="AV1090" s="373">
        <f>AU1090</f>
        <v>0</v>
      </c>
      <c r="AW1090" s="328">
        <v>0</v>
      </c>
      <c r="AX1090" s="328">
        <v>0</v>
      </c>
      <c r="AY1090" s="328">
        <v>900</v>
      </c>
      <c r="AZ1090" s="328">
        <v>897.75</v>
      </c>
      <c r="BA1090" s="373">
        <f t="shared" si="2064"/>
        <v>897.75</v>
      </c>
      <c r="BB1090" s="328">
        <v>895.5</v>
      </c>
      <c r="BC1090" s="328">
        <v>871</v>
      </c>
      <c r="BD1090" s="328">
        <v>858.75</v>
      </c>
      <c r="BE1090" s="328">
        <v>840.75</v>
      </c>
      <c r="BF1090" s="373">
        <f>+BE1090</f>
        <v>840.75</v>
      </c>
      <c r="BG1090" s="328">
        <v>838.5</v>
      </c>
      <c r="BH1090" s="328">
        <v>813</v>
      </c>
      <c r="BI1090" s="328">
        <v>778.75</v>
      </c>
      <c r="BJ1090" s="328">
        <v>730.75</v>
      </c>
      <c r="BK1090" s="373">
        <f>+BJ1090</f>
        <v>730.75</v>
      </c>
      <c r="BL1090" s="328">
        <v>726.25</v>
      </c>
      <c r="BM1090" s="328">
        <v>726.25</v>
      </c>
      <c r="BN1090" s="328">
        <v>274</v>
      </c>
      <c r="BO1090" s="3143">
        <v>271.75</v>
      </c>
      <c r="BP1090" s="373">
        <f>+BO1090</f>
        <v>271.75</v>
      </c>
      <c r="BQ1090" s="3143">
        <v>0</v>
      </c>
      <c r="BR1090" s="3494">
        <v>0</v>
      </c>
      <c r="BS1090" s="328">
        <v>0</v>
      </c>
      <c r="BT1090" s="347">
        <f t="shared" ref="BT1090:BT1092" si="2074">+BS1090</f>
        <v>0</v>
      </c>
      <c r="BU1090" s="3066">
        <f>+BT1090</f>
        <v>0</v>
      </c>
      <c r="BV1090" s="347">
        <f t="shared" ref="BV1090:BV1092" si="2075">+BU1090</f>
        <v>0</v>
      </c>
      <c r="BW1090" s="347">
        <f t="shared" ref="BW1090:BW1092" si="2076">+BV1090</f>
        <v>0</v>
      </c>
      <c r="BX1090" s="347">
        <f t="shared" ref="BX1090:BX1092" si="2077">+BW1090</f>
        <v>0</v>
      </c>
      <c r="BY1090" s="347">
        <f t="shared" ref="BY1090:BY1092" si="2078">+BX1090</f>
        <v>0</v>
      </c>
      <c r="BZ1090" s="3066">
        <f>+BY1090</f>
        <v>0</v>
      </c>
      <c r="CA1090" s="3066">
        <f t="shared" ref="CA1090" si="2079">+BZ1090</f>
        <v>0</v>
      </c>
      <c r="CB1090" s="3066">
        <f t="shared" ref="CB1090" si="2080">+CA1090</f>
        <v>0</v>
      </c>
      <c r="CC1090" s="2391">
        <f t="shared" ref="CC1090:CG1090" si="2081">CB1090-(0.01)*$AY$1090</f>
        <v>-9</v>
      </c>
      <c r="CD1090" s="2391">
        <f t="shared" si="2081"/>
        <v>-18</v>
      </c>
      <c r="CE1090" s="2391">
        <f t="shared" si="2081"/>
        <v>-27</v>
      </c>
      <c r="CF1090" s="2391">
        <f t="shared" si="2081"/>
        <v>-36</v>
      </c>
      <c r="CG1090" s="2391">
        <f t="shared" si="2081"/>
        <v>-45</v>
      </c>
      <c r="CH1090" s="374"/>
      <c r="CI1090" s="374"/>
      <c r="CJ1090" s="374"/>
      <c r="CK1090" s="374"/>
      <c r="CL1090" s="374"/>
      <c r="CM1090" s="621"/>
      <c r="CN1090" s="621">
        <f t="shared" si="2061"/>
        <v>0</v>
      </c>
      <c r="CO1090" s="965">
        <f t="shared" si="2062"/>
        <v>0</v>
      </c>
      <c r="CP1090" s="1882" t="str">
        <f t="shared" si="1959"/>
        <v>$1.0B Term Loan B due 2020</v>
      </c>
      <c r="CQ1090" s="347"/>
      <c r="CR1090" s="347"/>
      <c r="CS1090" s="347"/>
      <c r="CT1090" s="347"/>
      <c r="CU1090" s="347"/>
      <c r="CV1090" s="347"/>
      <c r="CW1090" s="347"/>
      <c r="CX1090" s="347"/>
      <c r="CY1090" s="347"/>
      <c r="CZ1090" s="347"/>
      <c r="DA1090" s="347"/>
      <c r="DB1090" s="347"/>
      <c r="DC1090" s="347"/>
      <c r="DD1090" s="347"/>
      <c r="DE1090" s="347"/>
      <c r="DF1090" s="347"/>
      <c r="DG1090" s="1795"/>
      <c r="DH1090" s="897"/>
      <c r="DI1090" s="897"/>
      <c r="DJ1090" s="897"/>
      <c r="DK1090" s="897"/>
      <c r="DL1090" s="897"/>
      <c r="DM1090" s="897"/>
      <c r="DN1090" s="897"/>
      <c r="DO1090" s="898"/>
      <c r="DY1090" s="374"/>
      <c r="DZ1090" s="374"/>
    </row>
    <row r="1091" spans="1:130" ht="12" customHeight="1">
      <c r="A1091" s="3303" t="s">
        <v>1913</v>
      </c>
      <c r="B1091" s="670"/>
      <c r="C1091" s="670"/>
      <c r="D1091" s="377"/>
      <c r="E1091" s="376"/>
      <c r="F1091" s="376"/>
      <c r="G1091" s="376"/>
      <c r="H1091" s="346"/>
      <c r="I1091" s="376"/>
      <c r="J1091" s="376"/>
      <c r="K1091" s="376"/>
      <c r="L1091" s="376"/>
      <c r="M1091" s="346"/>
      <c r="N1091" s="376"/>
      <c r="O1091" s="376"/>
      <c r="P1091" s="376"/>
      <c r="Q1091" s="376"/>
      <c r="R1091" s="346"/>
      <c r="S1091" s="376"/>
      <c r="T1091" s="376"/>
      <c r="U1091" s="376"/>
      <c r="V1091" s="376"/>
      <c r="W1091" s="346"/>
      <c r="X1091" s="376"/>
      <c r="Y1091" s="376"/>
      <c r="Z1091" s="376"/>
      <c r="AA1091" s="376"/>
      <c r="AB1091" s="346"/>
      <c r="AC1091" s="376"/>
      <c r="AD1091" s="376"/>
      <c r="AE1091" s="376"/>
      <c r="AF1091" s="376"/>
      <c r="AG1091" s="346"/>
      <c r="AH1091" s="328"/>
      <c r="AI1091" s="328"/>
      <c r="AJ1091" s="328"/>
      <c r="AK1091" s="328"/>
      <c r="AL1091" s="373"/>
      <c r="AM1091" s="347"/>
      <c r="AN1091" s="328"/>
      <c r="AO1091" s="347"/>
      <c r="AP1091" s="328"/>
      <c r="AQ1091" s="373"/>
      <c r="AR1091" s="328"/>
      <c r="AS1091" s="328"/>
      <c r="AT1091" s="328"/>
      <c r="AU1091" s="328"/>
      <c r="AV1091" s="373"/>
      <c r="AW1091" s="328"/>
      <c r="AX1091" s="328"/>
      <c r="AY1091" s="328"/>
      <c r="AZ1091" s="328"/>
      <c r="BA1091" s="373"/>
      <c r="BB1091" s="328"/>
      <c r="BC1091" s="328"/>
      <c r="BD1091" s="328"/>
      <c r="BE1091" s="328"/>
      <c r="BF1091" s="373"/>
      <c r="BG1091" s="328"/>
      <c r="BH1091" s="328"/>
      <c r="BI1091" s="328"/>
      <c r="BJ1091" s="328"/>
      <c r="BK1091" s="373"/>
      <c r="BL1091" s="328"/>
      <c r="BM1091" s="328"/>
      <c r="BN1091" s="328">
        <v>1000</v>
      </c>
      <c r="BO1091" s="3143">
        <v>997.5</v>
      </c>
      <c r="BP1091" s="373">
        <f>+BO1091</f>
        <v>997.5</v>
      </c>
      <c r="BQ1091" s="3143">
        <v>0</v>
      </c>
      <c r="BR1091" s="3494">
        <v>0</v>
      </c>
      <c r="BS1091" s="328">
        <v>0</v>
      </c>
      <c r="BT1091" s="347">
        <f t="shared" si="2074"/>
        <v>0</v>
      </c>
      <c r="BU1091" s="3066">
        <f>+BT1091</f>
        <v>0</v>
      </c>
      <c r="BV1091" s="347">
        <f t="shared" si="2075"/>
        <v>0</v>
      </c>
      <c r="BW1091" s="347">
        <f t="shared" si="2076"/>
        <v>0</v>
      </c>
      <c r="BX1091" s="347">
        <f t="shared" si="2077"/>
        <v>0</v>
      </c>
      <c r="BY1091" s="347">
        <f t="shared" si="2078"/>
        <v>0</v>
      </c>
      <c r="BZ1091" s="3066">
        <f>+BY1091</f>
        <v>0</v>
      </c>
      <c r="CA1091" s="3066">
        <f t="shared" ref="CA1091:CG1091" si="2082">+BZ1091</f>
        <v>0</v>
      </c>
      <c r="CB1091" s="3066">
        <f t="shared" si="2082"/>
        <v>0</v>
      </c>
      <c r="CC1091" s="2391">
        <f t="shared" si="2082"/>
        <v>0</v>
      </c>
      <c r="CD1091" s="2391">
        <f t="shared" si="2082"/>
        <v>0</v>
      </c>
      <c r="CE1091" s="2391">
        <f t="shared" si="2082"/>
        <v>0</v>
      </c>
      <c r="CF1091" s="2391">
        <f t="shared" si="2082"/>
        <v>0</v>
      </c>
      <c r="CG1091" s="2391">
        <f t="shared" si="2082"/>
        <v>0</v>
      </c>
      <c r="CH1091" s="374"/>
      <c r="CI1091" s="374"/>
      <c r="CJ1091" s="374"/>
      <c r="CK1091" s="374"/>
      <c r="CL1091" s="374"/>
      <c r="CM1091" s="621"/>
      <c r="CN1091" s="621">
        <f t="shared" si="2061"/>
        <v>0</v>
      </c>
      <c r="CO1091" s="965">
        <f t="shared" si="2062"/>
        <v>0</v>
      </c>
      <c r="CP1091" s="1882"/>
      <c r="CQ1091" s="347"/>
      <c r="CR1091" s="347"/>
      <c r="CS1091" s="347"/>
      <c r="CT1091" s="347"/>
      <c r="CU1091" s="347"/>
      <c r="CV1091" s="347"/>
      <c r="CW1091" s="347"/>
      <c r="CX1091" s="347"/>
      <c r="CY1091" s="347"/>
      <c r="CZ1091" s="347"/>
      <c r="DA1091" s="347"/>
      <c r="DB1091" s="347"/>
      <c r="DC1091" s="347"/>
      <c r="DD1091" s="347"/>
      <c r="DE1091" s="347"/>
      <c r="DF1091" s="347"/>
      <c r="DG1091" s="1795"/>
      <c r="DH1091" s="897"/>
      <c r="DI1091" s="897"/>
      <c r="DJ1091" s="897"/>
      <c r="DK1091" s="897"/>
      <c r="DL1091" s="897"/>
      <c r="DM1091" s="897"/>
      <c r="DN1091" s="897"/>
      <c r="DO1091" s="898"/>
      <c r="DY1091" s="374"/>
      <c r="DZ1091" s="374"/>
    </row>
    <row r="1092" spans="1:130" s="3924" customFormat="1" ht="12" customHeight="1">
      <c r="A1092" s="3303" t="s">
        <v>1954</v>
      </c>
      <c r="B1092" s="670"/>
      <c r="C1092" s="670"/>
      <c r="D1092" s="377"/>
      <c r="E1092" s="376"/>
      <c r="F1092" s="376"/>
      <c r="G1092" s="376"/>
      <c r="H1092" s="346"/>
      <c r="I1092" s="376"/>
      <c r="J1092" s="376"/>
      <c r="K1092" s="376"/>
      <c r="L1092" s="376"/>
      <c r="M1092" s="346"/>
      <c r="N1092" s="376"/>
      <c r="O1092" s="376"/>
      <c r="P1092" s="376"/>
      <c r="Q1092" s="376"/>
      <c r="R1092" s="346"/>
      <c r="S1092" s="376"/>
      <c r="T1092" s="376"/>
      <c r="U1092" s="376"/>
      <c r="V1092" s="376"/>
      <c r="W1092" s="346"/>
      <c r="X1092" s="376"/>
      <c r="Y1092" s="376"/>
      <c r="Z1092" s="376"/>
      <c r="AA1092" s="376"/>
      <c r="AB1092" s="346"/>
      <c r="AC1092" s="376"/>
      <c r="AD1092" s="376"/>
      <c r="AE1092" s="376"/>
      <c r="AF1092" s="376"/>
      <c r="AG1092" s="346"/>
      <c r="AH1092" s="328"/>
      <c r="AI1092" s="328"/>
      <c r="AJ1092" s="328"/>
      <c r="AK1092" s="328"/>
      <c r="AL1092" s="373"/>
      <c r="AM1092" s="347"/>
      <c r="AN1092" s="328"/>
      <c r="AO1092" s="347"/>
      <c r="AP1092" s="328"/>
      <c r="AQ1092" s="373"/>
      <c r="AR1092" s="328"/>
      <c r="AS1092" s="328"/>
      <c r="AT1092" s="328"/>
      <c r="AU1092" s="328"/>
      <c r="AV1092" s="373"/>
      <c r="AW1092" s="328"/>
      <c r="AX1092" s="328"/>
      <c r="AY1092" s="328"/>
      <c r="AZ1092" s="328"/>
      <c r="BA1092" s="373"/>
      <c r="BB1092" s="328"/>
      <c r="BC1092" s="328"/>
      <c r="BD1092" s="328"/>
      <c r="BE1092" s="328"/>
      <c r="BF1092" s="373"/>
      <c r="BG1092" s="328"/>
      <c r="BH1092" s="328"/>
      <c r="BI1092" s="328"/>
      <c r="BJ1092" s="328"/>
      <c r="BK1092" s="373"/>
      <c r="BL1092" s="328"/>
      <c r="BM1092" s="328"/>
      <c r="BN1092" s="328"/>
      <c r="BO1092" s="3143"/>
      <c r="BP1092" s="373"/>
      <c r="BQ1092" s="3494">
        <v>1264.5</v>
      </c>
      <c r="BR1092" s="3494">
        <v>1256.3389999999999</v>
      </c>
      <c r="BS1092" s="328">
        <v>1233.1780000000001</v>
      </c>
      <c r="BT1092" s="347">
        <f t="shared" si="2074"/>
        <v>1233.1780000000001</v>
      </c>
      <c r="BU1092" s="3066">
        <f>+BT1092</f>
        <v>1233.1780000000001</v>
      </c>
      <c r="BV1092" s="347">
        <f t="shared" si="2075"/>
        <v>1233.1780000000001</v>
      </c>
      <c r="BW1092" s="347">
        <f t="shared" si="2076"/>
        <v>1233.1780000000001</v>
      </c>
      <c r="BX1092" s="347">
        <f t="shared" si="2077"/>
        <v>1233.1780000000001</v>
      </c>
      <c r="BY1092" s="347">
        <f t="shared" si="2078"/>
        <v>1233.1780000000001</v>
      </c>
      <c r="BZ1092" s="3066">
        <f>+BY1092</f>
        <v>1233.1780000000001</v>
      </c>
      <c r="CA1092" s="3066">
        <f t="shared" ref="CA1092" si="2083">+BZ1092</f>
        <v>1233.1780000000001</v>
      </c>
      <c r="CB1092" s="3066">
        <f t="shared" ref="CB1092" si="2084">+CA1092</f>
        <v>1233.1780000000001</v>
      </c>
      <c r="CC1092" s="2391"/>
      <c r="CD1092" s="2391"/>
      <c r="CE1092" s="2391"/>
      <c r="CF1092" s="2391"/>
      <c r="CG1092" s="2391"/>
      <c r="CH1092" s="374"/>
      <c r="CI1092" s="374"/>
      <c r="CJ1092" s="374"/>
      <c r="CK1092" s="374"/>
      <c r="CL1092" s="374"/>
      <c r="CM1092" s="621"/>
      <c r="CN1092" s="621">
        <f t="shared" si="2061"/>
        <v>1233.1780000000001</v>
      </c>
      <c r="CO1092" s="965">
        <f t="shared" si="2062"/>
        <v>-1233.1780000000001</v>
      </c>
      <c r="CP1092" s="1882"/>
      <c r="CQ1092" s="347"/>
      <c r="CR1092" s="347"/>
      <c r="CS1092" s="347"/>
      <c r="CT1092" s="347"/>
      <c r="CU1092" s="347"/>
      <c r="CV1092" s="347"/>
      <c r="CW1092" s="347"/>
      <c r="CX1092" s="347"/>
      <c r="CY1092" s="347"/>
      <c r="CZ1092" s="347"/>
      <c r="DA1092" s="347"/>
      <c r="DB1092" s="347"/>
      <c r="DC1092" s="347"/>
      <c r="DD1092" s="347"/>
      <c r="DE1092" s="347"/>
      <c r="DF1092" s="347"/>
      <c r="DG1092" s="1795"/>
      <c r="DH1092" s="897"/>
      <c r="DI1092" s="897"/>
      <c r="DJ1092" s="897"/>
      <c r="DK1092" s="897"/>
      <c r="DL1092" s="897"/>
      <c r="DM1092" s="897"/>
      <c r="DN1092" s="897"/>
      <c r="DO1092" s="898"/>
      <c r="DP1092"/>
      <c r="DQ1092"/>
      <c r="DR1092"/>
      <c r="DS1092"/>
      <c r="DT1092"/>
      <c r="DU1092"/>
      <c r="DY1092" s="374"/>
      <c r="DZ1092" s="374"/>
    </row>
    <row r="1093" spans="1:130" ht="12" hidden="1" customHeight="1" outlineLevel="1">
      <c r="A1093" s="90" t="s">
        <v>327</v>
      </c>
      <c r="B1093" s="552"/>
      <c r="C1093" s="552"/>
      <c r="D1093" s="377">
        <v>200</v>
      </c>
      <c r="E1093" s="376">
        <v>200</v>
      </c>
      <c r="F1093" s="374">
        <f t="shared" ref="F1093:G1099" si="2085">E1093</f>
        <v>200</v>
      </c>
      <c r="G1093" s="376">
        <v>200</v>
      </c>
      <c r="H1093" s="346">
        <f t="shared" si="2056"/>
        <v>200</v>
      </c>
      <c r="I1093" s="374">
        <f t="shared" ref="I1093:I1099" si="2086">H1093</f>
        <v>200</v>
      </c>
      <c r="J1093" s="374">
        <f t="shared" ref="J1093:J1099" si="2087">I1093</f>
        <v>200</v>
      </c>
      <c r="K1093" s="376">
        <v>0</v>
      </c>
      <c r="L1093" s="376">
        <v>0</v>
      </c>
      <c r="M1093" s="346">
        <f t="shared" si="2057"/>
        <v>0</v>
      </c>
      <c r="N1093" s="376">
        <v>0</v>
      </c>
      <c r="O1093" s="376">
        <v>0</v>
      </c>
      <c r="P1093" s="376">
        <v>0</v>
      </c>
      <c r="Q1093" s="376">
        <v>0</v>
      </c>
      <c r="R1093" s="346">
        <f t="shared" si="2058"/>
        <v>0</v>
      </c>
      <c r="S1093" s="374">
        <f t="shared" ref="S1093:S1100" si="2088">R1093</f>
        <v>0</v>
      </c>
      <c r="T1093" s="374">
        <f>S1093</f>
        <v>0</v>
      </c>
      <c r="U1093" s="374">
        <f t="shared" ref="U1093:U1100" si="2089">T1093</f>
        <v>0</v>
      </c>
      <c r="V1093" s="374">
        <f t="shared" ref="V1093:W1096" si="2090">U1093</f>
        <v>0</v>
      </c>
      <c r="W1093" s="346">
        <f t="shared" si="2090"/>
        <v>0</v>
      </c>
      <c r="X1093" s="374">
        <f t="shared" ref="X1093:Y1096" si="2091">W1093</f>
        <v>0</v>
      </c>
      <c r="Y1093" s="374">
        <f t="shared" si="2091"/>
        <v>0</v>
      </c>
      <c r="Z1093" s="374">
        <f t="shared" ref="Z1093:AA1096" si="2092">Y1093</f>
        <v>0</v>
      </c>
      <c r="AA1093" s="374">
        <f t="shared" si="2092"/>
        <v>0</v>
      </c>
      <c r="AB1093" s="346">
        <f t="shared" ref="AB1093:AB1106" si="2093">AA1093</f>
        <v>0</v>
      </c>
      <c r="AC1093" s="376">
        <f>AB1093</f>
        <v>0</v>
      </c>
      <c r="AD1093" s="376">
        <v>0</v>
      </c>
      <c r="AE1093" s="376">
        <v>0</v>
      </c>
      <c r="AF1093" s="374">
        <f t="shared" ref="AF1093:AH1095" si="2094">AE1093</f>
        <v>0</v>
      </c>
      <c r="AG1093" s="346">
        <f t="shared" si="2094"/>
        <v>0</v>
      </c>
      <c r="AH1093" s="347">
        <f t="shared" si="2094"/>
        <v>0</v>
      </c>
      <c r="AI1093" s="347">
        <f t="shared" ref="AI1093:AL1100" si="2095">AH1093</f>
        <v>0</v>
      </c>
      <c r="AJ1093" s="347">
        <f t="shared" si="2095"/>
        <v>0</v>
      </c>
      <c r="AK1093" s="328">
        <f t="shared" si="2095"/>
        <v>0</v>
      </c>
      <c r="AL1093" s="373">
        <f t="shared" si="2095"/>
        <v>0</v>
      </c>
      <c r="AM1093" s="347">
        <f t="shared" ref="AM1093:AP1096" si="2096">AL1093</f>
        <v>0</v>
      </c>
      <c r="AN1093" s="347">
        <f t="shared" si="2096"/>
        <v>0</v>
      </c>
      <c r="AO1093" s="347">
        <f t="shared" si="2096"/>
        <v>0</v>
      </c>
      <c r="AP1093" s="328">
        <f t="shared" si="2096"/>
        <v>0</v>
      </c>
      <c r="AQ1093" s="373">
        <f t="shared" si="2063"/>
        <v>0</v>
      </c>
      <c r="AR1093" s="328">
        <f t="shared" ref="AR1093:AS1096" si="2097">AQ1093</f>
        <v>0</v>
      </c>
      <c r="AS1093" s="328">
        <f t="shared" si="2097"/>
        <v>0</v>
      </c>
      <c r="AT1093" s="328">
        <v>0</v>
      </c>
      <c r="AU1093" s="2390">
        <v>0</v>
      </c>
      <c r="AV1093" s="373">
        <f t="shared" ref="AV1093:BG1093" si="2098">AU1093</f>
        <v>0</v>
      </c>
      <c r="AW1093" s="328">
        <v>0</v>
      </c>
      <c r="AX1093" s="2389">
        <f t="shared" si="2098"/>
        <v>0</v>
      </c>
      <c r="AY1093" s="347">
        <f t="shared" si="2098"/>
        <v>0</v>
      </c>
      <c r="AZ1093" s="347">
        <f>AY1093</f>
        <v>0</v>
      </c>
      <c r="BA1093" s="373">
        <f t="shared" si="2064"/>
        <v>0</v>
      </c>
      <c r="BB1093" s="347">
        <f t="shared" si="2098"/>
        <v>0</v>
      </c>
      <c r="BC1093" s="347">
        <f t="shared" si="2098"/>
        <v>0</v>
      </c>
      <c r="BD1093" s="347">
        <f t="shared" si="2098"/>
        <v>0</v>
      </c>
      <c r="BE1093" s="347">
        <f t="shared" si="2098"/>
        <v>0</v>
      </c>
      <c r="BF1093" s="373">
        <f t="shared" si="2098"/>
        <v>0</v>
      </c>
      <c r="BG1093" s="347">
        <f t="shared" si="2098"/>
        <v>0</v>
      </c>
      <c r="BH1093" s="347">
        <f t="shared" ref="BH1093:BK1109" si="2099">BG1093</f>
        <v>0</v>
      </c>
      <c r="BI1093" s="347">
        <f t="shared" si="2099"/>
        <v>0</v>
      </c>
      <c r="BJ1093" s="347">
        <f t="shared" si="2099"/>
        <v>0</v>
      </c>
      <c r="BK1093" s="373">
        <f t="shared" si="2099"/>
        <v>0</v>
      </c>
      <c r="BL1093" s="347">
        <f t="shared" ref="BL1093:BN1100" si="2100">BK1093</f>
        <v>0</v>
      </c>
      <c r="BM1093" s="347">
        <f t="shared" si="2100"/>
        <v>0</v>
      </c>
      <c r="BN1093" s="347">
        <f t="shared" si="2100"/>
        <v>0</v>
      </c>
      <c r="BO1093" s="347">
        <f t="shared" ref="BO1093:BP1109" si="2101">BN1093</f>
        <v>0</v>
      </c>
      <c r="BP1093" s="373">
        <f t="shared" si="2101"/>
        <v>0</v>
      </c>
      <c r="BQ1093" s="347">
        <f t="shared" ref="BQ1093:BQ1101" si="2102">BP1093</f>
        <v>0</v>
      </c>
      <c r="BR1093" s="347">
        <f t="shared" ref="BR1093:BS1101" si="2103">BQ1093</f>
        <v>0</v>
      </c>
      <c r="BS1093" s="3992">
        <f t="shared" si="2103"/>
        <v>0</v>
      </c>
      <c r="BT1093" s="347">
        <f t="shared" ref="BT1093:BT1101" si="2104">BS1093</f>
        <v>0</v>
      </c>
      <c r="BU1093" s="3326">
        <f t="shared" ref="BU1093:BV1108" si="2105">BT1093</f>
        <v>0</v>
      </c>
      <c r="BV1093" s="347">
        <f t="shared" si="2105"/>
        <v>0</v>
      </c>
      <c r="BW1093" s="347">
        <f t="shared" ref="BW1093:BW1101" si="2106">BV1093</f>
        <v>0</v>
      </c>
      <c r="BX1093" s="347">
        <f t="shared" ref="BX1093:BX1101" si="2107">BW1093</f>
        <v>0</v>
      </c>
      <c r="BY1093" s="347">
        <f t="shared" ref="BY1093:BZ1108" si="2108">BX1093</f>
        <v>0</v>
      </c>
      <c r="BZ1093" s="3326">
        <f t="shared" si="2108"/>
        <v>0</v>
      </c>
      <c r="CA1093" s="373">
        <f>BZ1093</f>
        <v>0</v>
      </c>
      <c r="CB1093" s="373">
        <f>CA1093</f>
        <v>0</v>
      </c>
      <c r="CC1093" s="373">
        <f t="shared" ref="CC1093:CG1103" si="2109">CB1093</f>
        <v>0</v>
      </c>
      <c r="CD1093" s="373">
        <f t="shared" si="2109"/>
        <v>0</v>
      </c>
      <c r="CE1093" s="373">
        <f t="shared" si="2109"/>
        <v>0</v>
      </c>
      <c r="CF1093" s="373">
        <f t="shared" si="2109"/>
        <v>0</v>
      </c>
      <c r="CG1093" s="373">
        <f t="shared" si="2109"/>
        <v>0</v>
      </c>
      <c r="CH1093" s="374"/>
      <c r="CI1093" s="374"/>
      <c r="CJ1093" s="374"/>
      <c r="CK1093" s="374"/>
      <c r="CL1093" s="374"/>
      <c r="CM1093" s="621"/>
      <c r="CN1093" s="621">
        <f t="shared" si="2061"/>
        <v>0</v>
      </c>
      <c r="CO1093" s="965">
        <f t="shared" si="2062"/>
        <v>0</v>
      </c>
      <c r="CP1093" s="90" t="str">
        <f t="shared" si="1959"/>
        <v>9.25% Senior Notes due August 2009</v>
      </c>
      <c r="CQ1093" s="347">
        <f t="shared" si="1960"/>
        <v>200</v>
      </c>
      <c r="CR1093" s="347">
        <f t="shared" si="1961"/>
        <v>0</v>
      </c>
      <c r="CS1093" s="347">
        <f t="shared" si="1962"/>
        <v>0</v>
      </c>
      <c r="CT1093" s="347">
        <f t="shared" si="1963"/>
        <v>0</v>
      </c>
      <c r="CU1093" s="347">
        <f t="shared" si="1964"/>
        <v>0</v>
      </c>
      <c r="CV1093" s="347">
        <f t="shared" si="1965"/>
        <v>0</v>
      </c>
      <c r="CW1093" s="347">
        <f t="shared" si="1966"/>
        <v>0</v>
      </c>
      <c r="CX1093" s="347">
        <f t="shared" si="1967"/>
        <v>0</v>
      </c>
      <c r="CY1093" s="347">
        <f t="shared" si="1968"/>
        <v>0</v>
      </c>
      <c r="CZ1093" s="347">
        <f t="shared" si="1969"/>
        <v>0</v>
      </c>
      <c r="DA1093" s="347">
        <f t="shared" si="1970"/>
        <v>0</v>
      </c>
      <c r="DB1093" s="347">
        <f t="shared" si="1971"/>
        <v>0</v>
      </c>
      <c r="DC1093" s="347">
        <f t="shared" si="1972"/>
        <v>0</v>
      </c>
      <c r="DD1093" s="347">
        <f t="shared" si="1973"/>
        <v>0</v>
      </c>
      <c r="DE1093" s="347">
        <f t="shared" si="1974"/>
        <v>0</v>
      </c>
      <c r="DF1093" s="347">
        <f t="shared" si="1975"/>
        <v>0</v>
      </c>
      <c r="DG1093" s="1795">
        <f t="shared" si="1976"/>
        <v>0</v>
      </c>
      <c r="DH1093" s="894"/>
      <c r="DI1093" s="894"/>
      <c r="DJ1093" s="894"/>
      <c r="DK1093" s="894"/>
      <c r="DL1093" s="894"/>
      <c r="DM1093" s="894"/>
      <c r="DN1093" s="876"/>
      <c r="DO1093" s="389"/>
      <c r="DY1093" s="374"/>
      <c r="DZ1093" s="374"/>
    </row>
    <row r="1094" spans="1:130" ht="12" hidden="1" customHeight="1" outlineLevel="1">
      <c r="A1094" s="90" t="s">
        <v>787</v>
      </c>
      <c r="B1094" s="552"/>
      <c r="C1094" s="552"/>
      <c r="D1094" s="377">
        <v>0</v>
      </c>
      <c r="E1094" s="376">
        <v>0</v>
      </c>
      <c r="F1094" s="374">
        <f t="shared" si="2085"/>
        <v>0</v>
      </c>
      <c r="G1094" s="376">
        <v>0</v>
      </c>
      <c r="H1094" s="346">
        <f t="shared" si="2056"/>
        <v>0</v>
      </c>
      <c r="I1094" s="376">
        <v>0</v>
      </c>
      <c r="J1094" s="376">
        <v>0</v>
      </c>
      <c r="K1094" s="376">
        <v>0</v>
      </c>
      <c r="L1094" s="376">
        <v>0</v>
      </c>
      <c r="M1094" s="346">
        <f t="shared" si="2057"/>
        <v>0</v>
      </c>
      <c r="N1094" s="376">
        <v>0</v>
      </c>
      <c r="O1094" s="376">
        <v>0</v>
      </c>
      <c r="P1094" s="376">
        <v>0</v>
      </c>
      <c r="Q1094" s="376">
        <v>0</v>
      </c>
      <c r="R1094" s="346">
        <f t="shared" si="2058"/>
        <v>0</v>
      </c>
      <c r="S1094" s="374">
        <f t="shared" si="2088"/>
        <v>0</v>
      </c>
      <c r="T1094" s="374">
        <f>S1094</f>
        <v>0</v>
      </c>
      <c r="U1094" s="374">
        <f t="shared" si="2089"/>
        <v>0</v>
      </c>
      <c r="V1094" s="374">
        <f t="shared" si="2090"/>
        <v>0</v>
      </c>
      <c r="W1094" s="346">
        <f t="shared" si="2090"/>
        <v>0</v>
      </c>
      <c r="X1094" s="374">
        <f t="shared" si="2091"/>
        <v>0</v>
      </c>
      <c r="Y1094" s="374">
        <f t="shared" si="2091"/>
        <v>0</v>
      </c>
      <c r="Z1094" s="374">
        <f t="shared" si="2092"/>
        <v>0</v>
      </c>
      <c r="AA1094" s="374">
        <f t="shared" si="2092"/>
        <v>0</v>
      </c>
      <c r="AB1094" s="346">
        <f t="shared" si="2093"/>
        <v>0</v>
      </c>
      <c r="AC1094" s="376">
        <f>AB1094</f>
        <v>0</v>
      </c>
      <c r="AD1094" s="376">
        <v>0</v>
      </c>
      <c r="AE1094" s="376">
        <v>0</v>
      </c>
      <c r="AF1094" s="374">
        <f t="shared" si="2094"/>
        <v>0</v>
      </c>
      <c r="AG1094" s="346">
        <f t="shared" si="2094"/>
        <v>0</v>
      </c>
      <c r="AH1094" s="347">
        <f t="shared" si="2094"/>
        <v>0</v>
      </c>
      <c r="AI1094" s="347">
        <f t="shared" si="2095"/>
        <v>0</v>
      </c>
      <c r="AJ1094" s="347">
        <f t="shared" si="2095"/>
        <v>0</v>
      </c>
      <c r="AK1094" s="328">
        <f t="shared" si="2095"/>
        <v>0</v>
      </c>
      <c r="AL1094" s="373">
        <f t="shared" si="2095"/>
        <v>0</v>
      </c>
      <c r="AM1094" s="347">
        <f t="shared" si="2096"/>
        <v>0</v>
      </c>
      <c r="AN1094" s="347">
        <f t="shared" si="2096"/>
        <v>0</v>
      </c>
      <c r="AO1094" s="347">
        <f t="shared" si="2096"/>
        <v>0</v>
      </c>
      <c r="AP1094" s="328">
        <f t="shared" si="2096"/>
        <v>0</v>
      </c>
      <c r="AQ1094" s="373">
        <f t="shared" si="2063"/>
        <v>0</v>
      </c>
      <c r="AR1094" s="328">
        <f t="shared" si="2097"/>
        <v>0</v>
      </c>
      <c r="AS1094" s="328">
        <f t="shared" si="2097"/>
        <v>0</v>
      </c>
      <c r="AT1094" s="328">
        <v>0</v>
      </c>
      <c r="AU1094" s="2390">
        <v>0</v>
      </c>
      <c r="AV1094" s="373">
        <f t="shared" ref="AV1094:BG1094" si="2110">AU1094</f>
        <v>0</v>
      </c>
      <c r="AW1094" s="328">
        <v>0</v>
      </c>
      <c r="AX1094" s="2389">
        <f t="shared" si="2110"/>
        <v>0</v>
      </c>
      <c r="AY1094" s="347">
        <f t="shared" si="2110"/>
        <v>0</v>
      </c>
      <c r="AZ1094" s="347">
        <f t="shared" ref="AZ1094:AZ1099" si="2111">AY1094</f>
        <v>0</v>
      </c>
      <c r="BA1094" s="373">
        <f t="shared" si="2064"/>
        <v>0</v>
      </c>
      <c r="BB1094" s="347">
        <f t="shared" si="2110"/>
        <v>0</v>
      </c>
      <c r="BC1094" s="347">
        <f t="shared" si="2110"/>
        <v>0</v>
      </c>
      <c r="BD1094" s="347">
        <f t="shared" si="2110"/>
        <v>0</v>
      </c>
      <c r="BE1094" s="347">
        <f t="shared" si="2110"/>
        <v>0</v>
      </c>
      <c r="BF1094" s="373">
        <f t="shared" si="2110"/>
        <v>0</v>
      </c>
      <c r="BG1094" s="347">
        <f t="shared" si="2110"/>
        <v>0</v>
      </c>
      <c r="BH1094" s="347">
        <f t="shared" si="2099"/>
        <v>0</v>
      </c>
      <c r="BI1094" s="347">
        <f t="shared" si="2099"/>
        <v>0</v>
      </c>
      <c r="BJ1094" s="347">
        <f t="shared" si="2099"/>
        <v>0</v>
      </c>
      <c r="BK1094" s="373">
        <f t="shared" si="2099"/>
        <v>0</v>
      </c>
      <c r="BL1094" s="347">
        <f t="shared" si="2100"/>
        <v>0</v>
      </c>
      <c r="BM1094" s="347">
        <f t="shared" si="2100"/>
        <v>0</v>
      </c>
      <c r="BN1094" s="347">
        <f t="shared" si="2100"/>
        <v>0</v>
      </c>
      <c r="BO1094" s="347">
        <f t="shared" si="2101"/>
        <v>0</v>
      </c>
      <c r="BP1094" s="373">
        <f t="shared" si="2101"/>
        <v>0</v>
      </c>
      <c r="BQ1094" s="347">
        <f t="shared" si="2102"/>
        <v>0</v>
      </c>
      <c r="BR1094" s="347">
        <f t="shared" si="2103"/>
        <v>0</v>
      </c>
      <c r="BS1094" s="3992">
        <f t="shared" si="2103"/>
        <v>0</v>
      </c>
      <c r="BT1094" s="347">
        <f t="shared" si="2104"/>
        <v>0</v>
      </c>
      <c r="BU1094" s="3326">
        <f t="shared" si="2105"/>
        <v>0</v>
      </c>
      <c r="BV1094" s="347">
        <f t="shared" si="2105"/>
        <v>0</v>
      </c>
      <c r="BW1094" s="347">
        <f t="shared" si="2106"/>
        <v>0</v>
      </c>
      <c r="BX1094" s="347">
        <f t="shared" si="2107"/>
        <v>0</v>
      </c>
      <c r="BY1094" s="347">
        <f t="shared" si="2108"/>
        <v>0</v>
      </c>
      <c r="BZ1094" s="3326">
        <f t="shared" si="2108"/>
        <v>0</v>
      </c>
      <c r="CA1094" s="373">
        <f t="shared" ref="CA1094:CB1108" si="2112">BZ1094</f>
        <v>0</v>
      </c>
      <c r="CB1094" s="373">
        <f t="shared" si="2112"/>
        <v>0</v>
      </c>
      <c r="CC1094" s="373">
        <f t="shared" si="2109"/>
        <v>0</v>
      </c>
      <c r="CD1094" s="373">
        <f t="shared" si="2109"/>
        <v>0</v>
      </c>
      <c r="CE1094" s="373">
        <f t="shared" si="2109"/>
        <v>0</v>
      </c>
      <c r="CF1094" s="373">
        <f t="shared" si="2109"/>
        <v>0</v>
      </c>
      <c r="CG1094" s="373">
        <f t="shared" si="2109"/>
        <v>0</v>
      </c>
      <c r="CH1094" s="374"/>
      <c r="CI1094" s="374"/>
      <c r="CJ1094" s="374"/>
      <c r="CK1094" s="374"/>
      <c r="CL1094" s="374"/>
      <c r="CM1094" s="621"/>
      <c r="CN1094" s="621">
        <f t="shared" si="2061"/>
        <v>0</v>
      </c>
      <c r="CO1094" s="965">
        <f t="shared" si="2062"/>
        <v>0</v>
      </c>
      <c r="CP1094" s="90" t="str">
        <f t="shared" si="1959"/>
        <v>9.25% Senior Notes due 2003</v>
      </c>
      <c r="CQ1094" s="347">
        <f t="shared" si="1960"/>
        <v>0</v>
      </c>
      <c r="CR1094" s="347">
        <f t="shared" si="1961"/>
        <v>0</v>
      </c>
      <c r="CS1094" s="347">
        <f t="shared" si="1962"/>
        <v>0</v>
      </c>
      <c r="CT1094" s="347">
        <f t="shared" si="1963"/>
        <v>0</v>
      </c>
      <c r="CU1094" s="347">
        <f t="shared" si="1964"/>
        <v>0</v>
      </c>
      <c r="CV1094" s="347">
        <f t="shared" si="1965"/>
        <v>0</v>
      </c>
      <c r="CW1094" s="347">
        <f t="shared" si="1966"/>
        <v>0</v>
      </c>
      <c r="CX1094" s="347">
        <f t="shared" si="1967"/>
        <v>0</v>
      </c>
      <c r="CY1094" s="347">
        <f t="shared" si="1968"/>
        <v>0</v>
      </c>
      <c r="CZ1094" s="347">
        <f t="shared" si="1969"/>
        <v>0</v>
      </c>
      <c r="DA1094" s="347">
        <f t="shared" si="1970"/>
        <v>0</v>
      </c>
      <c r="DB1094" s="347">
        <f t="shared" si="1971"/>
        <v>0</v>
      </c>
      <c r="DC1094" s="347">
        <f t="shared" si="1972"/>
        <v>0</v>
      </c>
      <c r="DD1094" s="347">
        <f t="shared" si="1973"/>
        <v>0</v>
      </c>
      <c r="DE1094" s="347">
        <f t="shared" si="1974"/>
        <v>0</v>
      </c>
      <c r="DF1094" s="347">
        <f t="shared" si="1975"/>
        <v>0</v>
      </c>
      <c r="DG1094" s="1795">
        <f t="shared" si="1976"/>
        <v>0</v>
      </c>
      <c r="DH1094" s="894"/>
      <c r="DI1094" s="894"/>
      <c r="DJ1094" s="894"/>
      <c r="DK1094" s="894"/>
      <c r="DL1094" s="894"/>
      <c r="DM1094" s="894"/>
      <c r="DN1094" s="876"/>
      <c r="DO1094" s="389"/>
      <c r="DY1094" s="374"/>
      <c r="DZ1094" s="374"/>
    </row>
    <row r="1095" spans="1:130" ht="12" hidden="1" customHeight="1" outlineLevel="1">
      <c r="A1095" s="90" t="s">
        <v>788</v>
      </c>
      <c r="B1095" s="552"/>
      <c r="C1095" s="552"/>
      <c r="D1095" s="377">
        <v>0</v>
      </c>
      <c r="E1095" s="376">
        <v>0</v>
      </c>
      <c r="F1095" s="374">
        <f t="shared" si="2085"/>
        <v>0</v>
      </c>
      <c r="G1095" s="376">
        <v>0</v>
      </c>
      <c r="H1095" s="346">
        <f t="shared" si="2056"/>
        <v>0</v>
      </c>
      <c r="I1095" s="376">
        <v>0</v>
      </c>
      <c r="J1095" s="376">
        <v>0</v>
      </c>
      <c r="K1095" s="376">
        <v>0</v>
      </c>
      <c r="L1095" s="376">
        <v>0</v>
      </c>
      <c r="M1095" s="346">
        <f t="shared" si="2057"/>
        <v>0</v>
      </c>
      <c r="N1095" s="376">
        <v>0</v>
      </c>
      <c r="O1095" s="376">
        <v>0</v>
      </c>
      <c r="P1095" s="376">
        <v>0</v>
      </c>
      <c r="Q1095" s="376">
        <v>0</v>
      </c>
      <c r="R1095" s="346">
        <f t="shared" si="2058"/>
        <v>0</v>
      </c>
      <c r="S1095" s="374">
        <f t="shared" si="2088"/>
        <v>0</v>
      </c>
      <c r="T1095" s="374">
        <f>S1095</f>
        <v>0</v>
      </c>
      <c r="U1095" s="374">
        <f t="shared" si="2089"/>
        <v>0</v>
      </c>
      <c r="V1095" s="374">
        <f t="shared" si="2090"/>
        <v>0</v>
      </c>
      <c r="W1095" s="346">
        <f t="shared" si="2090"/>
        <v>0</v>
      </c>
      <c r="X1095" s="374">
        <f t="shared" si="2091"/>
        <v>0</v>
      </c>
      <c r="Y1095" s="374">
        <f t="shared" si="2091"/>
        <v>0</v>
      </c>
      <c r="Z1095" s="374">
        <f t="shared" si="2092"/>
        <v>0</v>
      </c>
      <c r="AA1095" s="374">
        <f t="shared" si="2092"/>
        <v>0</v>
      </c>
      <c r="AB1095" s="346">
        <f t="shared" si="2093"/>
        <v>0</v>
      </c>
      <c r="AC1095" s="376">
        <f>AB1095</f>
        <v>0</v>
      </c>
      <c r="AD1095" s="376">
        <v>0</v>
      </c>
      <c r="AE1095" s="376">
        <v>0</v>
      </c>
      <c r="AF1095" s="374">
        <f t="shared" si="2094"/>
        <v>0</v>
      </c>
      <c r="AG1095" s="346">
        <f t="shared" si="2094"/>
        <v>0</v>
      </c>
      <c r="AH1095" s="347">
        <f t="shared" si="2094"/>
        <v>0</v>
      </c>
      <c r="AI1095" s="347">
        <f t="shared" si="2095"/>
        <v>0</v>
      </c>
      <c r="AJ1095" s="347">
        <f t="shared" si="2095"/>
        <v>0</v>
      </c>
      <c r="AK1095" s="328">
        <f t="shared" si="2095"/>
        <v>0</v>
      </c>
      <c r="AL1095" s="373">
        <f t="shared" si="2095"/>
        <v>0</v>
      </c>
      <c r="AM1095" s="347">
        <f t="shared" si="2096"/>
        <v>0</v>
      </c>
      <c r="AN1095" s="347">
        <f t="shared" si="2096"/>
        <v>0</v>
      </c>
      <c r="AO1095" s="347">
        <f t="shared" si="2096"/>
        <v>0</v>
      </c>
      <c r="AP1095" s="328">
        <f t="shared" si="2096"/>
        <v>0</v>
      </c>
      <c r="AQ1095" s="373">
        <f t="shared" si="2063"/>
        <v>0</v>
      </c>
      <c r="AR1095" s="328">
        <f t="shared" si="2097"/>
        <v>0</v>
      </c>
      <c r="AS1095" s="328">
        <f t="shared" si="2097"/>
        <v>0</v>
      </c>
      <c r="AT1095" s="328">
        <v>0</v>
      </c>
      <c r="AU1095" s="2390">
        <v>0</v>
      </c>
      <c r="AV1095" s="373">
        <f t="shared" ref="AV1095:BG1095" si="2113">AU1095</f>
        <v>0</v>
      </c>
      <c r="AW1095" s="328">
        <v>0</v>
      </c>
      <c r="AX1095" s="2389">
        <f t="shared" si="2113"/>
        <v>0</v>
      </c>
      <c r="AY1095" s="347">
        <f t="shared" si="2113"/>
        <v>0</v>
      </c>
      <c r="AZ1095" s="347">
        <f t="shared" si="2111"/>
        <v>0</v>
      </c>
      <c r="BA1095" s="373">
        <f t="shared" si="2064"/>
        <v>0</v>
      </c>
      <c r="BB1095" s="347">
        <f t="shared" si="2113"/>
        <v>0</v>
      </c>
      <c r="BC1095" s="347">
        <f t="shared" si="2113"/>
        <v>0</v>
      </c>
      <c r="BD1095" s="347">
        <f t="shared" si="2113"/>
        <v>0</v>
      </c>
      <c r="BE1095" s="347">
        <f t="shared" si="2113"/>
        <v>0</v>
      </c>
      <c r="BF1095" s="373">
        <f t="shared" si="2113"/>
        <v>0</v>
      </c>
      <c r="BG1095" s="347">
        <f t="shared" si="2113"/>
        <v>0</v>
      </c>
      <c r="BH1095" s="347">
        <f t="shared" si="2099"/>
        <v>0</v>
      </c>
      <c r="BI1095" s="347">
        <f t="shared" si="2099"/>
        <v>0</v>
      </c>
      <c r="BJ1095" s="347">
        <f t="shared" si="2099"/>
        <v>0</v>
      </c>
      <c r="BK1095" s="373">
        <f t="shared" si="2099"/>
        <v>0</v>
      </c>
      <c r="BL1095" s="347">
        <f t="shared" si="2100"/>
        <v>0</v>
      </c>
      <c r="BM1095" s="347">
        <f t="shared" si="2100"/>
        <v>0</v>
      </c>
      <c r="BN1095" s="347">
        <f t="shared" si="2100"/>
        <v>0</v>
      </c>
      <c r="BO1095" s="347">
        <f t="shared" si="2101"/>
        <v>0</v>
      </c>
      <c r="BP1095" s="373">
        <f t="shared" si="2101"/>
        <v>0</v>
      </c>
      <c r="BQ1095" s="347">
        <f t="shared" si="2102"/>
        <v>0</v>
      </c>
      <c r="BR1095" s="347">
        <f t="shared" si="2103"/>
        <v>0</v>
      </c>
      <c r="BS1095" s="3992">
        <f t="shared" si="2103"/>
        <v>0</v>
      </c>
      <c r="BT1095" s="347">
        <f t="shared" si="2104"/>
        <v>0</v>
      </c>
      <c r="BU1095" s="3326">
        <f t="shared" si="2105"/>
        <v>0</v>
      </c>
      <c r="BV1095" s="347">
        <f t="shared" si="2105"/>
        <v>0</v>
      </c>
      <c r="BW1095" s="347">
        <f t="shared" si="2106"/>
        <v>0</v>
      </c>
      <c r="BX1095" s="347">
        <f t="shared" si="2107"/>
        <v>0</v>
      </c>
      <c r="BY1095" s="347">
        <f t="shared" si="2108"/>
        <v>0</v>
      </c>
      <c r="BZ1095" s="3326">
        <f t="shared" si="2108"/>
        <v>0</v>
      </c>
      <c r="CA1095" s="373">
        <f t="shared" si="2112"/>
        <v>0</v>
      </c>
      <c r="CB1095" s="373">
        <f t="shared" si="2112"/>
        <v>0</v>
      </c>
      <c r="CC1095" s="373">
        <f t="shared" si="2109"/>
        <v>0</v>
      </c>
      <c r="CD1095" s="373">
        <f t="shared" si="2109"/>
        <v>0</v>
      </c>
      <c r="CE1095" s="373">
        <f t="shared" si="2109"/>
        <v>0</v>
      </c>
      <c r="CF1095" s="373">
        <f t="shared" si="2109"/>
        <v>0</v>
      </c>
      <c r="CG1095" s="373">
        <f t="shared" si="2109"/>
        <v>0</v>
      </c>
      <c r="CH1095" s="374"/>
      <c r="CI1095" s="374"/>
      <c r="CJ1095" s="374"/>
      <c r="CK1095" s="374"/>
      <c r="CL1095" s="374"/>
      <c r="CM1095" s="621"/>
      <c r="CN1095" s="621">
        <f t="shared" si="2061"/>
        <v>0</v>
      </c>
      <c r="CO1095" s="965">
        <f t="shared" si="2062"/>
        <v>0</v>
      </c>
      <c r="CP1095" s="90" t="str">
        <f t="shared" si="1959"/>
        <v>9.50% Senior Subordinated Notes due 2007</v>
      </c>
      <c r="CQ1095" s="347">
        <f t="shared" si="1960"/>
        <v>0</v>
      </c>
      <c r="CR1095" s="347">
        <f t="shared" si="1961"/>
        <v>0</v>
      </c>
      <c r="CS1095" s="347">
        <f t="shared" si="1962"/>
        <v>0</v>
      </c>
      <c r="CT1095" s="347">
        <f t="shared" si="1963"/>
        <v>0</v>
      </c>
      <c r="CU1095" s="347">
        <f t="shared" si="1964"/>
        <v>0</v>
      </c>
      <c r="CV1095" s="347">
        <f t="shared" si="1965"/>
        <v>0</v>
      </c>
      <c r="CW1095" s="347">
        <f t="shared" si="1966"/>
        <v>0</v>
      </c>
      <c r="CX1095" s="347">
        <f t="shared" si="1967"/>
        <v>0</v>
      </c>
      <c r="CY1095" s="347">
        <f t="shared" si="1968"/>
        <v>0</v>
      </c>
      <c r="CZ1095" s="347">
        <f t="shared" si="1969"/>
        <v>0</v>
      </c>
      <c r="DA1095" s="347">
        <f t="shared" si="1970"/>
        <v>0</v>
      </c>
      <c r="DB1095" s="347">
        <f t="shared" si="1971"/>
        <v>0</v>
      </c>
      <c r="DC1095" s="347">
        <f t="shared" si="1972"/>
        <v>0</v>
      </c>
      <c r="DD1095" s="347">
        <f t="shared" si="1973"/>
        <v>0</v>
      </c>
      <c r="DE1095" s="347">
        <f t="shared" si="1974"/>
        <v>0</v>
      </c>
      <c r="DF1095" s="347">
        <f t="shared" si="1975"/>
        <v>0</v>
      </c>
      <c r="DG1095" s="1795">
        <f t="shared" si="1976"/>
        <v>0</v>
      </c>
      <c r="DH1095" s="894"/>
      <c r="DI1095" s="894"/>
      <c r="DJ1095" s="894"/>
      <c r="DK1095" s="894"/>
      <c r="DL1095" s="894"/>
      <c r="DM1095" s="894"/>
      <c r="DN1095" s="876"/>
      <c r="DO1095" s="389"/>
      <c r="DY1095" s="374"/>
      <c r="DZ1095" s="374"/>
    </row>
    <row r="1096" spans="1:130" ht="12" hidden="1" customHeight="1" outlineLevel="1">
      <c r="A1096" s="90" t="s">
        <v>734</v>
      </c>
      <c r="B1096" s="552"/>
      <c r="C1096" s="552"/>
      <c r="D1096" s="377">
        <v>250</v>
      </c>
      <c r="E1096" s="374">
        <f>D1096</f>
        <v>250</v>
      </c>
      <c r="F1096" s="374">
        <f t="shared" si="2085"/>
        <v>250</v>
      </c>
      <c r="G1096" s="374">
        <f>F1096</f>
        <v>250</v>
      </c>
      <c r="H1096" s="346">
        <f t="shared" si="2056"/>
        <v>250</v>
      </c>
      <c r="I1096" s="374">
        <f t="shared" si="2086"/>
        <v>250</v>
      </c>
      <c r="J1096" s="374">
        <f t="shared" si="2087"/>
        <v>250</v>
      </c>
      <c r="K1096" s="374">
        <f t="shared" ref="K1096:L1099" si="2114">J1096</f>
        <v>250</v>
      </c>
      <c r="L1096" s="374">
        <f t="shared" si="2114"/>
        <v>250</v>
      </c>
      <c r="M1096" s="346">
        <f t="shared" si="2057"/>
        <v>250</v>
      </c>
      <c r="N1096" s="374">
        <f t="shared" ref="N1096:O1099" si="2115">M1096</f>
        <v>250</v>
      </c>
      <c r="O1096" s="374">
        <f t="shared" si="2115"/>
        <v>250</v>
      </c>
      <c r="P1096" s="374">
        <f>O1096</f>
        <v>250</v>
      </c>
      <c r="Q1096" s="374">
        <f>P1096</f>
        <v>250</v>
      </c>
      <c r="R1096" s="346">
        <f t="shared" si="2058"/>
        <v>250</v>
      </c>
      <c r="S1096" s="374">
        <f t="shared" si="2088"/>
        <v>250</v>
      </c>
      <c r="T1096" s="376">
        <v>0</v>
      </c>
      <c r="U1096" s="374">
        <f t="shared" si="2089"/>
        <v>0</v>
      </c>
      <c r="V1096" s="374">
        <f t="shared" si="2090"/>
        <v>0</v>
      </c>
      <c r="W1096" s="346">
        <f t="shared" si="2090"/>
        <v>0</v>
      </c>
      <c r="X1096" s="374">
        <f t="shared" si="2091"/>
        <v>0</v>
      </c>
      <c r="Y1096" s="374">
        <f t="shared" si="2091"/>
        <v>0</v>
      </c>
      <c r="Z1096" s="374">
        <f t="shared" si="2092"/>
        <v>0</v>
      </c>
      <c r="AA1096" s="374">
        <f t="shared" si="2092"/>
        <v>0</v>
      </c>
      <c r="AB1096" s="346">
        <f t="shared" si="2093"/>
        <v>0</v>
      </c>
      <c r="AC1096" s="376">
        <f>AB1096</f>
        <v>0</v>
      </c>
      <c r="AD1096" s="376">
        <v>0</v>
      </c>
      <c r="AE1096" s="376">
        <v>0</v>
      </c>
      <c r="AF1096" s="374">
        <f t="shared" ref="AF1096:AH1100" si="2116">AE1096</f>
        <v>0</v>
      </c>
      <c r="AG1096" s="346">
        <f t="shared" si="2116"/>
        <v>0</v>
      </c>
      <c r="AH1096" s="347">
        <f t="shared" si="2116"/>
        <v>0</v>
      </c>
      <c r="AI1096" s="347">
        <f t="shared" si="2095"/>
        <v>0</v>
      </c>
      <c r="AJ1096" s="347">
        <f t="shared" si="2095"/>
        <v>0</v>
      </c>
      <c r="AK1096" s="328">
        <f t="shared" si="2095"/>
        <v>0</v>
      </c>
      <c r="AL1096" s="373">
        <f t="shared" si="2095"/>
        <v>0</v>
      </c>
      <c r="AM1096" s="347">
        <f t="shared" si="2096"/>
        <v>0</v>
      </c>
      <c r="AN1096" s="347">
        <f t="shared" si="2096"/>
        <v>0</v>
      </c>
      <c r="AO1096" s="347">
        <f t="shared" si="2096"/>
        <v>0</v>
      </c>
      <c r="AP1096" s="328">
        <f t="shared" si="2096"/>
        <v>0</v>
      </c>
      <c r="AQ1096" s="373">
        <f t="shared" si="2063"/>
        <v>0</v>
      </c>
      <c r="AR1096" s="328">
        <f t="shared" si="2097"/>
        <v>0</v>
      </c>
      <c r="AS1096" s="328">
        <f t="shared" si="2097"/>
        <v>0</v>
      </c>
      <c r="AT1096" s="328">
        <v>0</v>
      </c>
      <c r="AU1096" s="2390">
        <v>0</v>
      </c>
      <c r="AV1096" s="373">
        <f t="shared" ref="AV1096:BG1096" si="2117">AU1096</f>
        <v>0</v>
      </c>
      <c r="AW1096" s="328">
        <v>0</v>
      </c>
      <c r="AX1096" s="2389">
        <f t="shared" si="2117"/>
        <v>0</v>
      </c>
      <c r="AY1096" s="347">
        <f t="shared" si="2117"/>
        <v>0</v>
      </c>
      <c r="AZ1096" s="347">
        <f t="shared" si="2111"/>
        <v>0</v>
      </c>
      <c r="BA1096" s="373">
        <f t="shared" si="2064"/>
        <v>0</v>
      </c>
      <c r="BB1096" s="347">
        <f t="shared" si="2117"/>
        <v>0</v>
      </c>
      <c r="BC1096" s="347">
        <f t="shared" si="2117"/>
        <v>0</v>
      </c>
      <c r="BD1096" s="347">
        <f t="shared" si="2117"/>
        <v>0</v>
      </c>
      <c r="BE1096" s="347">
        <f t="shared" si="2117"/>
        <v>0</v>
      </c>
      <c r="BF1096" s="373">
        <f t="shared" si="2117"/>
        <v>0</v>
      </c>
      <c r="BG1096" s="347">
        <f t="shared" si="2117"/>
        <v>0</v>
      </c>
      <c r="BH1096" s="347">
        <f t="shared" si="2099"/>
        <v>0</v>
      </c>
      <c r="BI1096" s="347">
        <f t="shared" si="2099"/>
        <v>0</v>
      </c>
      <c r="BJ1096" s="347">
        <f t="shared" si="2099"/>
        <v>0</v>
      </c>
      <c r="BK1096" s="373">
        <f t="shared" si="2099"/>
        <v>0</v>
      </c>
      <c r="BL1096" s="347">
        <f t="shared" si="2100"/>
        <v>0</v>
      </c>
      <c r="BM1096" s="347">
        <f t="shared" si="2100"/>
        <v>0</v>
      </c>
      <c r="BN1096" s="347">
        <f t="shared" si="2100"/>
        <v>0</v>
      </c>
      <c r="BO1096" s="347">
        <f t="shared" si="2101"/>
        <v>0</v>
      </c>
      <c r="BP1096" s="373">
        <f t="shared" si="2101"/>
        <v>0</v>
      </c>
      <c r="BQ1096" s="347">
        <f t="shared" si="2102"/>
        <v>0</v>
      </c>
      <c r="BR1096" s="347">
        <f t="shared" si="2103"/>
        <v>0</v>
      </c>
      <c r="BS1096" s="3992">
        <f t="shared" si="2103"/>
        <v>0</v>
      </c>
      <c r="BT1096" s="347">
        <f t="shared" si="2104"/>
        <v>0</v>
      </c>
      <c r="BU1096" s="3326">
        <f t="shared" si="2105"/>
        <v>0</v>
      </c>
      <c r="BV1096" s="347">
        <f t="shared" si="2105"/>
        <v>0</v>
      </c>
      <c r="BW1096" s="347">
        <f t="shared" si="2106"/>
        <v>0</v>
      </c>
      <c r="BX1096" s="347">
        <f t="shared" si="2107"/>
        <v>0</v>
      </c>
      <c r="BY1096" s="347">
        <f t="shared" si="2108"/>
        <v>0</v>
      </c>
      <c r="BZ1096" s="3326">
        <f t="shared" si="2108"/>
        <v>0</v>
      </c>
      <c r="CA1096" s="373">
        <f t="shared" si="2112"/>
        <v>0</v>
      </c>
      <c r="CB1096" s="373">
        <f t="shared" si="2112"/>
        <v>0</v>
      </c>
      <c r="CC1096" s="373">
        <f t="shared" si="2109"/>
        <v>0</v>
      </c>
      <c r="CD1096" s="373">
        <f t="shared" si="2109"/>
        <v>0</v>
      </c>
      <c r="CE1096" s="373">
        <f t="shared" si="2109"/>
        <v>0</v>
      </c>
      <c r="CF1096" s="373">
        <f t="shared" si="2109"/>
        <v>0</v>
      </c>
      <c r="CG1096" s="373">
        <f t="shared" si="2109"/>
        <v>0</v>
      </c>
      <c r="CH1096" s="374"/>
      <c r="CI1096" s="374"/>
      <c r="CJ1096" s="374"/>
      <c r="CK1096" s="374"/>
      <c r="CL1096" s="374"/>
      <c r="CM1096" s="621"/>
      <c r="CN1096" s="621">
        <f t="shared" si="2061"/>
        <v>0</v>
      </c>
      <c r="CO1096" s="965">
        <f t="shared" si="2062"/>
        <v>0</v>
      </c>
      <c r="CP1096" s="90" t="str">
        <f t="shared" si="1959"/>
        <v>8.75% Senior Subordinated Notes due 2012</v>
      </c>
      <c r="CQ1096" s="347">
        <f t="shared" si="1960"/>
        <v>250</v>
      </c>
      <c r="CR1096" s="347">
        <f t="shared" si="1961"/>
        <v>250</v>
      </c>
      <c r="CS1096" s="347">
        <f t="shared" si="1962"/>
        <v>250</v>
      </c>
      <c r="CT1096" s="347">
        <f t="shared" si="1963"/>
        <v>0</v>
      </c>
      <c r="CU1096" s="347">
        <f t="shared" si="1964"/>
        <v>0</v>
      </c>
      <c r="CV1096" s="347">
        <f t="shared" si="1965"/>
        <v>0</v>
      </c>
      <c r="CW1096" s="347">
        <f t="shared" si="1966"/>
        <v>0</v>
      </c>
      <c r="CX1096" s="347">
        <f t="shared" si="1967"/>
        <v>0</v>
      </c>
      <c r="CY1096" s="347">
        <f t="shared" si="1968"/>
        <v>0</v>
      </c>
      <c r="CZ1096" s="347">
        <f t="shared" si="1969"/>
        <v>0</v>
      </c>
      <c r="DA1096" s="347">
        <f t="shared" si="1970"/>
        <v>0</v>
      </c>
      <c r="DB1096" s="347">
        <f t="shared" si="1971"/>
        <v>0</v>
      </c>
      <c r="DC1096" s="347">
        <f t="shared" si="1972"/>
        <v>0</v>
      </c>
      <c r="DD1096" s="347">
        <f t="shared" si="1973"/>
        <v>0</v>
      </c>
      <c r="DE1096" s="347">
        <f t="shared" si="1974"/>
        <v>0</v>
      </c>
      <c r="DF1096" s="347">
        <f t="shared" si="1975"/>
        <v>0</v>
      </c>
      <c r="DG1096" s="1795">
        <f t="shared" si="1976"/>
        <v>0</v>
      </c>
      <c r="DH1096" s="894"/>
      <c r="DI1096" s="894"/>
      <c r="DJ1096" s="894"/>
      <c r="DK1096" s="894"/>
      <c r="DL1096" s="894"/>
      <c r="DM1096" s="894"/>
      <c r="DN1096" s="876"/>
      <c r="DO1096" s="389"/>
      <c r="DY1096" s="374"/>
      <c r="DZ1096" s="374"/>
    </row>
    <row r="1097" spans="1:130" ht="12" hidden="1" customHeight="1" outlineLevel="1">
      <c r="A1097" s="90" t="s">
        <v>735</v>
      </c>
      <c r="B1097" s="552"/>
      <c r="C1097" s="552"/>
      <c r="D1097" s="377">
        <v>300</v>
      </c>
      <c r="E1097" s="374">
        <f>D1097</f>
        <v>300</v>
      </c>
      <c r="F1097" s="374">
        <f t="shared" si="2085"/>
        <v>300</v>
      </c>
      <c r="G1097" s="374">
        <f>F1097</f>
        <v>300</v>
      </c>
      <c r="H1097" s="346">
        <f t="shared" si="2056"/>
        <v>300</v>
      </c>
      <c r="I1097" s="374">
        <f t="shared" si="2086"/>
        <v>300</v>
      </c>
      <c r="J1097" s="374">
        <f t="shared" si="2087"/>
        <v>300</v>
      </c>
      <c r="K1097" s="374">
        <f t="shared" si="2114"/>
        <v>300</v>
      </c>
      <c r="L1097" s="374">
        <f t="shared" si="2114"/>
        <v>300</v>
      </c>
      <c r="M1097" s="346">
        <f t="shared" si="2057"/>
        <v>300</v>
      </c>
      <c r="N1097" s="374">
        <f t="shared" si="2115"/>
        <v>300</v>
      </c>
      <c r="O1097" s="374">
        <f t="shared" si="2115"/>
        <v>300</v>
      </c>
      <c r="P1097" s="374">
        <f>O1097</f>
        <v>300</v>
      </c>
      <c r="Q1097" s="374">
        <f>P1097</f>
        <v>300</v>
      </c>
      <c r="R1097" s="346">
        <f t="shared" si="2058"/>
        <v>300</v>
      </c>
      <c r="S1097" s="374">
        <f t="shared" si="2088"/>
        <v>300</v>
      </c>
      <c r="T1097" s="374">
        <f>S1097</f>
        <v>300</v>
      </c>
      <c r="U1097" s="374">
        <f t="shared" si="2089"/>
        <v>300</v>
      </c>
      <c r="V1097" s="376">
        <v>300</v>
      </c>
      <c r="W1097" s="346">
        <f>V1097</f>
        <v>300</v>
      </c>
      <c r="X1097" s="376">
        <v>283.19499999999999</v>
      </c>
      <c r="Y1097" s="376">
        <v>268.90499999999997</v>
      </c>
      <c r="Z1097" s="376">
        <v>260.65499999999997</v>
      </c>
      <c r="AA1097" s="376">
        <v>203.53</v>
      </c>
      <c r="AB1097" s="346">
        <f t="shared" si="2093"/>
        <v>203.53</v>
      </c>
      <c r="AC1097" s="376">
        <v>193.01900000000001</v>
      </c>
      <c r="AD1097" s="376">
        <v>167.83199999999999</v>
      </c>
      <c r="AE1097" s="376">
        <v>158.83199999999999</v>
      </c>
      <c r="AF1097" s="376">
        <v>158.83199999999999</v>
      </c>
      <c r="AG1097" s="346">
        <f t="shared" si="2116"/>
        <v>158.83199999999999</v>
      </c>
      <c r="AH1097" s="328">
        <v>158.83199999999999</v>
      </c>
      <c r="AI1097" s="328">
        <v>158.83199999999999</v>
      </c>
      <c r="AJ1097" s="328">
        <v>158.83199999999999</v>
      </c>
      <c r="AK1097" s="328">
        <v>0</v>
      </c>
      <c r="AL1097" s="373">
        <f t="shared" si="2095"/>
        <v>0</v>
      </c>
      <c r="AM1097" s="328">
        <v>0</v>
      </c>
      <c r="AN1097" s="347">
        <f t="shared" ref="AN1097:AP1098" si="2118">AM1097</f>
        <v>0</v>
      </c>
      <c r="AO1097" s="347">
        <f t="shared" si="2118"/>
        <v>0</v>
      </c>
      <c r="AP1097" s="328">
        <f t="shared" si="2118"/>
        <v>0</v>
      </c>
      <c r="AQ1097" s="373">
        <f t="shared" si="2063"/>
        <v>0</v>
      </c>
      <c r="AR1097" s="328">
        <v>0</v>
      </c>
      <c r="AS1097" s="328">
        <f>AR1097</f>
        <v>0</v>
      </c>
      <c r="AT1097" s="328">
        <v>0</v>
      </c>
      <c r="AU1097" s="2390">
        <v>0</v>
      </c>
      <c r="AV1097" s="373">
        <f>AU1097</f>
        <v>0</v>
      </c>
      <c r="AW1097" s="328">
        <v>0</v>
      </c>
      <c r="AX1097" s="2389">
        <f>AW1097</f>
        <v>0</v>
      </c>
      <c r="AY1097" s="347">
        <f>AX1097</f>
        <v>0</v>
      </c>
      <c r="AZ1097" s="347">
        <f t="shared" si="2111"/>
        <v>0</v>
      </c>
      <c r="BA1097" s="373">
        <f t="shared" si="2064"/>
        <v>0</v>
      </c>
      <c r="BB1097" s="347">
        <v>0</v>
      </c>
      <c r="BC1097" s="347">
        <f>BB1097</f>
        <v>0</v>
      </c>
      <c r="BD1097" s="347">
        <f>BC1097</f>
        <v>0</v>
      </c>
      <c r="BE1097" s="347">
        <f>BD1097</f>
        <v>0</v>
      </c>
      <c r="BF1097" s="373">
        <f>BE1097</f>
        <v>0</v>
      </c>
      <c r="BG1097" s="347">
        <f>BF1097</f>
        <v>0</v>
      </c>
      <c r="BH1097" s="347">
        <f t="shared" si="2099"/>
        <v>0</v>
      </c>
      <c r="BI1097" s="347">
        <f t="shared" si="2099"/>
        <v>0</v>
      </c>
      <c r="BJ1097" s="347">
        <f>BI1097</f>
        <v>0</v>
      </c>
      <c r="BK1097" s="373">
        <f>BJ1097</f>
        <v>0</v>
      </c>
      <c r="BL1097" s="347">
        <f t="shared" si="2100"/>
        <v>0</v>
      </c>
      <c r="BM1097" s="347">
        <f t="shared" si="2100"/>
        <v>0</v>
      </c>
      <c r="BN1097" s="347">
        <f t="shared" si="2100"/>
        <v>0</v>
      </c>
      <c r="BO1097" s="347">
        <f t="shared" si="2101"/>
        <v>0</v>
      </c>
      <c r="BP1097" s="373">
        <f>BO1097</f>
        <v>0</v>
      </c>
      <c r="BQ1097" s="347">
        <f t="shared" si="2102"/>
        <v>0</v>
      </c>
      <c r="BR1097" s="347">
        <f t="shared" si="2103"/>
        <v>0</v>
      </c>
      <c r="BS1097" s="3992">
        <f t="shared" si="2103"/>
        <v>0</v>
      </c>
      <c r="BT1097" s="347">
        <f t="shared" si="2104"/>
        <v>0</v>
      </c>
      <c r="BU1097" s="3326">
        <f>BT1097</f>
        <v>0</v>
      </c>
      <c r="BV1097" s="347">
        <f>BU1097</f>
        <v>0</v>
      </c>
      <c r="BW1097" s="347">
        <f t="shared" si="2106"/>
        <v>0</v>
      </c>
      <c r="BX1097" s="347">
        <f t="shared" si="2107"/>
        <v>0</v>
      </c>
      <c r="BY1097" s="347">
        <f t="shared" si="2108"/>
        <v>0</v>
      </c>
      <c r="BZ1097" s="3326">
        <f>BY1097</f>
        <v>0</v>
      </c>
      <c r="CA1097" s="373">
        <f t="shared" si="2112"/>
        <v>0</v>
      </c>
      <c r="CB1097" s="373">
        <f t="shared" si="2112"/>
        <v>0</v>
      </c>
      <c r="CC1097" s="373">
        <f t="shared" si="2109"/>
        <v>0</v>
      </c>
      <c r="CD1097" s="373">
        <f t="shared" si="2109"/>
        <v>0</v>
      </c>
      <c r="CE1097" s="373">
        <f t="shared" si="2109"/>
        <v>0</v>
      </c>
      <c r="CF1097" s="373">
        <f t="shared" si="2109"/>
        <v>0</v>
      </c>
      <c r="CG1097" s="373">
        <f t="shared" si="2109"/>
        <v>0</v>
      </c>
      <c r="CH1097" s="374"/>
      <c r="CI1097" s="374"/>
      <c r="CJ1097" s="374"/>
      <c r="CK1097" s="374"/>
      <c r="CL1097" s="374"/>
      <c r="CM1097" s="621"/>
      <c r="CN1097" s="621">
        <f t="shared" si="2061"/>
        <v>0</v>
      </c>
      <c r="CO1097" s="965">
        <f t="shared" si="2062"/>
        <v>0</v>
      </c>
      <c r="CP1097" s="90" t="str">
        <f t="shared" si="1959"/>
        <v>7.75% Senior Subordinated Notes due 2012</v>
      </c>
      <c r="CQ1097" s="347">
        <f t="shared" si="1960"/>
        <v>300</v>
      </c>
      <c r="CR1097" s="347">
        <f t="shared" si="1961"/>
        <v>300</v>
      </c>
      <c r="CS1097" s="347">
        <f t="shared" si="1962"/>
        <v>300</v>
      </c>
      <c r="CT1097" s="347">
        <f t="shared" si="1963"/>
        <v>300</v>
      </c>
      <c r="CU1097" s="347">
        <f t="shared" si="1964"/>
        <v>203.53</v>
      </c>
      <c r="CV1097" s="347">
        <f t="shared" si="1965"/>
        <v>158.83199999999999</v>
      </c>
      <c r="CW1097" s="347">
        <f t="shared" si="1966"/>
        <v>0</v>
      </c>
      <c r="CX1097" s="347">
        <f t="shared" si="1967"/>
        <v>0</v>
      </c>
      <c r="CY1097" s="347">
        <f t="shared" si="1968"/>
        <v>0</v>
      </c>
      <c r="CZ1097" s="347">
        <f t="shared" si="1969"/>
        <v>0</v>
      </c>
      <c r="DA1097" s="347">
        <f t="shared" si="1970"/>
        <v>0</v>
      </c>
      <c r="DB1097" s="347">
        <f t="shared" si="1971"/>
        <v>0</v>
      </c>
      <c r="DC1097" s="347">
        <f t="shared" si="1972"/>
        <v>0</v>
      </c>
      <c r="DD1097" s="347">
        <f t="shared" si="1973"/>
        <v>0</v>
      </c>
      <c r="DE1097" s="347">
        <f t="shared" si="1974"/>
        <v>0</v>
      </c>
      <c r="DF1097" s="347">
        <f t="shared" si="1975"/>
        <v>0</v>
      </c>
      <c r="DG1097" s="1795">
        <f t="shared" si="1976"/>
        <v>0</v>
      </c>
      <c r="DH1097" s="894"/>
      <c r="DI1097" s="894"/>
      <c r="DJ1097" s="894"/>
      <c r="DK1097" s="894"/>
      <c r="DL1097" s="894"/>
      <c r="DM1097" s="894"/>
      <c r="DN1097" s="876"/>
      <c r="DO1097" s="389"/>
      <c r="DY1097" s="374"/>
      <c r="DZ1097" s="374"/>
    </row>
    <row r="1098" spans="1:130" ht="12" hidden="1" customHeight="1" outlineLevel="1">
      <c r="A1098" s="90" t="s">
        <v>1668</v>
      </c>
      <c r="B1098" s="552"/>
      <c r="C1098" s="552"/>
      <c r="D1098" s="377">
        <v>15.6</v>
      </c>
      <c r="E1098" s="374">
        <f>D1098</f>
        <v>15.6</v>
      </c>
      <c r="F1098" s="374">
        <f t="shared" si="2085"/>
        <v>15.6</v>
      </c>
      <c r="G1098" s="374">
        <f t="shared" si="2085"/>
        <v>15.6</v>
      </c>
      <c r="H1098" s="346">
        <f t="shared" si="2056"/>
        <v>15.6</v>
      </c>
      <c r="I1098" s="374">
        <f t="shared" si="2086"/>
        <v>15.6</v>
      </c>
      <c r="J1098" s="374">
        <f t="shared" si="2087"/>
        <v>15.6</v>
      </c>
      <c r="K1098" s="374">
        <f t="shared" si="2114"/>
        <v>15.6</v>
      </c>
      <c r="L1098" s="374">
        <f t="shared" si="2114"/>
        <v>15.6</v>
      </c>
      <c r="M1098" s="346">
        <f t="shared" si="2057"/>
        <v>15.6</v>
      </c>
      <c r="N1098" s="374">
        <f t="shared" si="2115"/>
        <v>15.6</v>
      </c>
      <c r="O1098" s="374">
        <f t="shared" si="2115"/>
        <v>15.6</v>
      </c>
      <c r="P1098" s="374">
        <f>O1098</f>
        <v>15.6</v>
      </c>
      <c r="Q1098" s="376">
        <v>14.16</v>
      </c>
      <c r="R1098" s="346">
        <f t="shared" si="2058"/>
        <v>14.16</v>
      </c>
      <c r="S1098" s="374">
        <f t="shared" si="2088"/>
        <v>14.16</v>
      </c>
      <c r="T1098" s="376">
        <v>13.888999999999999</v>
      </c>
      <c r="U1098" s="376">
        <v>13.752000000000001</v>
      </c>
      <c r="V1098" s="376">
        <v>13.657999999999999</v>
      </c>
      <c r="W1098" s="346">
        <f>V1098</f>
        <v>13.657999999999999</v>
      </c>
      <c r="X1098" s="376">
        <v>13.468</v>
      </c>
      <c r="Y1098" s="376">
        <v>13.324</v>
      </c>
      <c r="Z1098" s="376">
        <v>13.177</v>
      </c>
      <c r="AA1098" s="376">
        <v>13.029</v>
      </c>
      <c r="AB1098" s="346">
        <f t="shared" si="2093"/>
        <v>13.029</v>
      </c>
      <c r="AC1098" s="376">
        <v>12.879</v>
      </c>
      <c r="AD1098" s="376">
        <v>12.725</v>
      </c>
      <c r="AE1098" s="376">
        <v>12.571</v>
      </c>
      <c r="AF1098" s="374">
        <v>0</v>
      </c>
      <c r="AG1098" s="346">
        <f t="shared" si="2116"/>
        <v>0</v>
      </c>
      <c r="AH1098" s="347">
        <f t="shared" si="2116"/>
        <v>0</v>
      </c>
      <c r="AI1098" s="347">
        <f t="shared" si="2095"/>
        <v>0</v>
      </c>
      <c r="AJ1098" s="347">
        <f t="shared" si="2095"/>
        <v>0</v>
      </c>
      <c r="AK1098" s="328">
        <f t="shared" si="2095"/>
        <v>0</v>
      </c>
      <c r="AL1098" s="373">
        <f t="shared" si="2095"/>
        <v>0</v>
      </c>
      <c r="AM1098" s="347">
        <f>AL1098</f>
        <v>0</v>
      </c>
      <c r="AN1098" s="347">
        <f t="shared" si="2118"/>
        <v>0</v>
      </c>
      <c r="AO1098" s="347">
        <f t="shared" si="2118"/>
        <v>0</v>
      </c>
      <c r="AP1098" s="328">
        <f t="shared" si="2118"/>
        <v>0</v>
      </c>
      <c r="AQ1098" s="373">
        <f t="shared" si="2063"/>
        <v>0</v>
      </c>
      <c r="AR1098" s="328">
        <f>AQ1098</f>
        <v>0</v>
      </c>
      <c r="AS1098" s="328">
        <f>AR1098</f>
        <v>0</v>
      </c>
      <c r="AT1098" s="328">
        <v>0</v>
      </c>
      <c r="AU1098" s="2390">
        <v>0</v>
      </c>
      <c r="AV1098" s="373">
        <f t="shared" ref="AV1098:BG1098" si="2119">AU1098</f>
        <v>0</v>
      </c>
      <c r="AW1098" s="328">
        <v>0</v>
      </c>
      <c r="AX1098" s="2389">
        <f t="shared" si="2119"/>
        <v>0</v>
      </c>
      <c r="AY1098" s="347">
        <f t="shared" si="2119"/>
        <v>0</v>
      </c>
      <c r="AZ1098" s="347">
        <f t="shared" si="2111"/>
        <v>0</v>
      </c>
      <c r="BA1098" s="373">
        <f t="shared" si="2064"/>
        <v>0</v>
      </c>
      <c r="BB1098" s="347">
        <f t="shared" si="2119"/>
        <v>0</v>
      </c>
      <c r="BC1098" s="347">
        <f t="shared" si="2119"/>
        <v>0</v>
      </c>
      <c r="BD1098" s="347">
        <f t="shared" si="2119"/>
        <v>0</v>
      </c>
      <c r="BE1098" s="347">
        <f t="shared" si="2119"/>
        <v>0</v>
      </c>
      <c r="BF1098" s="373">
        <f t="shared" si="2119"/>
        <v>0</v>
      </c>
      <c r="BG1098" s="347">
        <f t="shared" si="2119"/>
        <v>0</v>
      </c>
      <c r="BH1098" s="347">
        <f t="shared" si="2099"/>
        <v>0</v>
      </c>
      <c r="BI1098" s="347">
        <f t="shared" si="2099"/>
        <v>0</v>
      </c>
      <c r="BJ1098" s="347">
        <f t="shared" si="2099"/>
        <v>0</v>
      </c>
      <c r="BK1098" s="373">
        <f t="shared" si="2099"/>
        <v>0</v>
      </c>
      <c r="BL1098" s="347">
        <f t="shared" si="2100"/>
        <v>0</v>
      </c>
      <c r="BM1098" s="347">
        <f t="shared" si="2100"/>
        <v>0</v>
      </c>
      <c r="BN1098" s="347">
        <f t="shared" si="2100"/>
        <v>0</v>
      </c>
      <c r="BO1098" s="347">
        <f t="shared" si="2101"/>
        <v>0</v>
      </c>
      <c r="BP1098" s="373">
        <f t="shared" si="2101"/>
        <v>0</v>
      </c>
      <c r="BQ1098" s="347">
        <f t="shared" si="2102"/>
        <v>0</v>
      </c>
      <c r="BR1098" s="347">
        <f t="shared" si="2103"/>
        <v>0</v>
      </c>
      <c r="BS1098" s="3992">
        <f t="shared" si="2103"/>
        <v>0</v>
      </c>
      <c r="BT1098" s="347">
        <f t="shared" si="2104"/>
        <v>0</v>
      </c>
      <c r="BU1098" s="3326">
        <f t="shared" si="2105"/>
        <v>0</v>
      </c>
      <c r="BV1098" s="347">
        <f t="shared" si="2105"/>
        <v>0</v>
      </c>
      <c r="BW1098" s="347">
        <f t="shared" si="2106"/>
        <v>0</v>
      </c>
      <c r="BX1098" s="347">
        <f t="shared" si="2107"/>
        <v>0</v>
      </c>
      <c r="BY1098" s="347">
        <f t="shared" si="2108"/>
        <v>0</v>
      </c>
      <c r="BZ1098" s="3326">
        <f t="shared" si="2108"/>
        <v>0</v>
      </c>
      <c r="CA1098" s="373">
        <f t="shared" si="2112"/>
        <v>0</v>
      </c>
      <c r="CB1098" s="373">
        <f t="shared" si="2112"/>
        <v>0</v>
      </c>
      <c r="CC1098" s="373">
        <f t="shared" si="2109"/>
        <v>0</v>
      </c>
      <c r="CD1098" s="373">
        <f t="shared" si="2109"/>
        <v>0</v>
      </c>
      <c r="CE1098" s="373">
        <f t="shared" si="2109"/>
        <v>0</v>
      </c>
      <c r="CF1098" s="373">
        <f t="shared" si="2109"/>
        <v>0</v>
      </c>
      <c r="CG1098" s="373">
        <f t="shared" si="2109"/>
        <v>0</v>
      </c>
      <c r="CH1098" s="374"/>
      <c r="CI1098" s="374"/>
      <c r="CJ1098" s="374"/>
      <c r="CK1098" s="374"/>
      <c r="CL1098" s="374"/>
      <c r="CM1098" s="621"/>
      <c r="CN1098" s="621">
        <f t="shared" si="2061"/>
        <v>0</v>
      </c>
      <c r="CO1098" s="965">
        <f t="shared" si="2062"/>
        <v>0</v>
      </c>
      <c r="CP1098" s="90" t="str">
        <f t="shared" si="1959"/>
        <v>5.7% Notes due March 2013</v>
      </c>
      <c r="CQ1098" s="347">
        <f t="shared" si="1960"/>
        <v>15.6</v>
      </c>
      <c r="CR1098" s="347">
        <f t="shared" si="1961"/>
        <v>15.6</v>
      </c>
      <c r="CS1098" s="347">
        <f t="shared" si="1962"/>
        <v>14.16</v>
      </c>
      <c r="CT1098" s="347">
        <f t="shared" si="1963"/>
        <v>13.657999999999999</v>
      </c>
      <c r="CU1098" s="347">
        <f t="shared" si="1964"/>
        <v>13.029</v>
      </c>
      <c r="CV1098" s="347">
        <f t="shared" si="1965"/>
        <v>0</v>
      </c>
      <c r="CW1098" s="347">
        <f t="shared" si="1966"/>
        <v>0</v>
      </c>
      <c r="CX1098" s="347">
        <f t="shared" si="1967"/>
        <v>0</v>
      </c>
      <c r="CY1098" s="347">
        <f t="shared" si="1968"/>
        <v>0</v>
      </c>
      <c r="CZ1098" s="347">
        <f t="shared" si="1969"/>
        <v>0</v>
      </c>
      <c r="DA1098" s="347">
        <f t="shared" si="1970"/>
        <v>0</v>
      </c>
      <c r="DB1098" s="347">
        <f t="shared" si="1971"/>
        <v>0</v>
      </c>
      <c r="DC1098" s="347">
        <f t="shared" si="1972"/>
        <v>0</v>
      </c>
      <c r="DD1098" s="347">
        <f t="shared" si="1973"/>
        <v>0</v>
      </c>
      <c r="DE1098" s="347">
        <f t="shared" si="1974"/>
        <v>0</v>
      </c>
      <c r="DF1098" s="347">
        <f t="shared" si="1975"/>
        <v>0</v>
      </c>
      <c r="DG1098" s="1795">
        <f t="shared" si="1976"/>
        <v>0</v>
      </c>
      <c r="DH1098" s="894"/>
      <c r="DI1098" s="894"/>
      <c r="DJ1098" s="894"/>
      <c r="DK1098" s="894"/>
      <c r="DL1098" s="894"/>
      <c r="DM1098" s="894"/>
      <c r="DN1098" s="876"/>
      <c r="DO1098" s="389"/>
      <c r="DY1098" s="374"/>
      <c r="DZ1098" s="374"/>
    </row>
    <row r="1099" spans="1:130" ht="12" customHeight="1" collapsed="1">
      <c r="A1099" s="90" t="s">
        <v>691</v>
      </c>
      <c r="B1099" s="552"/>
      <c r="C1099" s="552"/>
      <c r="D1099" s="377"/>
      <c r="E1099" s="376">
        <v>350</v>
      </c>
      <c r="F1099" s="374">
        <f t="shared" si="2085"/>
        <v>350</v>
      </c>
      <c r="G1099" s="374">
        <f>F1099</f>
        <v>350</v>
      </c>
      <c r="H1099" s="346">
        <f t="shared" si="2056"/>
        <v>350</v>
      </c>
      <c r="I1099" s="374">
        <f t="shared" si="2086"/>
        <v>350</v>
      </c>
      <c r="J1099" s="374">
        <f t="shared" si="2087"/>
        <v>350</v>
      </c>
      <c r="K1099" s="374">
        <f t="shared" si="2114"/>
        <v>350</v>
      </c>
      <c r="L1099" s="374">
        <f t="shared" si="2114"/>
        <v>350</v>
      </c>
      <c r="M1099" s="346">
        <f t="shared" si="2057"/>
        <v>350</v>
      </c>
      <c r="N1099" s="374">
        <f t="shared" si="2115"/>
        <v>350</v>
      </c>
      <c r="O1099" s="374">
        <f t="shared" si="2115"/>
        <v>350</v>
      </c>
      <c r="P1099" s="374">
        <f>O1099</f>
        <v>350</v>
      </c>
      <c r="Q1099" s="374">
        <f>P1099</f>
        <v>350</v>
      </c>
      <c r="R1099" s="346">
        <f t="shared" si="2058"/>
        <v>350</v>
      </c>
      <c r="S1099" s="374">
        <f t="shared" si="2088"/>
        <v>350</v>
      </c>
      <c r="T1099" s="374">
        <f>S1099</f>
        <v>350</v>
      </c>
      <c r="U1099" s="374">
        <f t="shared" si="2089"/>
        <v>350</v>
      </c>
      <c r="V1099" s="376">
        <v>350</v>
      </c>
      <c r="W1099" s="346">
        <f>V1099</f>
        <v>350</v>
      </c>
      <c r="X1099" s="376">
        <v>350</v>
      </c>
      <c r="Y1099" s="376">
        <v>350</v>
      </c>
      <c r="Z1099" s="376">
        <v>350</v>
      </c>
      <c r="AA1099" s="376">
        <v>300</v>
      </c>
      <c r="AB1099" s="346">
        <f t="shared" si="2093"/>
        <v>300</v>
      </c>
      <c r="AC1099" s="376">
        <f>AB1099</f>
        <v>300</v>
      </c>
      <c r="AD1099" s="376">
        <v>291</v>
      </c>
      <c r="AE1099" s="376">
        <v>279.61799999999999</v>
      </c>
      <c r="AF1099" s="376">
        <v>248.66800000000001</v>
      </c>
      <c r="AG1099" s="346">
        <f t="shared" si="2116"/>
        <v>248.66800000000001</v>
      </c>
      <c r="AH1099" s="328">
        <v>233.16800000000001</v>
      </c>
      <c r="AI1099" s="328">
        <v>215.66800000000001</v>
      </c>
      <c r="AJ1099" s="328">
        <v>215.66800000000001</v>
      </c>
      <c r="AK1099" s="328">
        <v>215.66800000000001</v>
      </c>
      <c r="AL1099" s="373">
        <f t="shared" si="2095"/>
        <v>215.66800000000001</v>
      </c>
      <c r="AM1099" s="328">
        <v>215.66800000000001</v>
      </c>
      <c r="AN1099" s="328">
        <v>215.66800000000001</v>
      </c>
      <c r="AO1099" s="328">
        <v>215.66800000000001</v>
      </c>
      <c r="AP1099" s="328">
        <v>215.66800000000001</v>
      </c>
      <c r="AQ1099" s="373">
        <f t="shared" si="2063"/>
        <v>215.66800000000001</v>
      </c>
      <c r="AR1099" s="328">
        <v>215.66800000000001</v>
      </c>
      <c r="AS1099" s="328">
        <v>215.66800000000001</v>
      </c>
      <c r="AT1099" s="328">
        <v>215.66800000000001</v>
      </c>
      <c r="AU1099" s="328">
        <v>215.66800000000001</v>
      </c>
      <c r="AV1099" s="373">
        <f>AU1099</f>
        <v>215.66800000000001</v>
      </c>
      <c r="AW1099" s="328">
        <v>215.66800000000001</v>
      </c>
      <c r="AX1099" s="328">
        <v>0</v>
      </c>
      <c r="AY1099" s="328">
        <f>AX1099</f>
        <v>0</v>
      </c>
      <c r="AZ1099" s="328">
        <f t="shared" si="2111"/>
        <v>0</v>
      </c>
      <c r="BA1099" s="373">
        <f t="shared" si="2064"/>
        <v>0</v>
      </c>
      <c r="BB1099" s="328">
        <v>0</v>
      </c>
      <c r="BC1099" s="328">
        <v>0</v>
      </c>
      <c r="BD1099" s="347">
        <v>0</v>
      </c>
      <c r="BE1099" s="347">
        <v>0</v>
      </c>
      <c r="BF1099" s="373">
        <f t="shared" ref="BF1099:BG1102" si="2120">BE1099</f>
        <v>0</v>
      </c>
      <c r="BG1099" s="347">
        <f t="shared" si="2120"/>
        <v>0</v>
      </c>
      <c r="BH1099" s="347">
        <f t="shared" si="2099"/>
        <v>0</v>
      </c>
      <c r="BI1099" s="347">
        <f t="shared" si="2099"/>
        <v>0</v>
      </c>
      <c r="BJ1099" s="347">
        <v>0</v>
      </c>
      <c r="BK1099" s="373">
        <f t="shared" si="2099"/>
        <v>0</v>
      </c>
      <c r="BL1099" s="3143">
        <v>0</v>
      </c>
      <c r="BM1099" s="347">
        <f t="shared" si="2100"/>
        <v>0</v>
      </c>
      <c r="BN1099" s="347">
        <f t="shared" si="2100"/>
        <v>0</v>
      </c>
      <c r="BO1099" s="347">
        <f t="shared" si="2101"/>
        <v>0</v>
      </c>
      <c r="BP1099" s="373">
        <f t="shared" si="2101"/>
        <v>0</v>
      </c>
      <c r="BQ1099" s="347">
        <f t="shared" si="2102"/>
        <v>0</v>
      </c>
      <c r="BR1099" s="347">
        <f t="shared" si="2103"/>
        <v>0</v>
      </c>
      <c r="BS1099" s="3992">
        <f t="shared" si="2103"/>
        <v>0</v>
      </c>
      <c r="BT1099" s="347">
        <f t="shared" si="2104"/>
        <v>0</v>
      </c>
      <c r="BU1099" s="3326">
        <f t="shared" si="2105"/>
        <v>0</v>
      </c>
      <c r="BV1099" s="347">
        <f t="shared" si="2105"/>
        <v>0</v>
      </c>
      <c r="BW1099" s="347">
        <f t="shared" si="2106"/>
        <v>0</v>
      </c>
      <c r="BX1099" s="347">
        <f t="shared" si="2107"/>
        <v>0</v>
      </c>
      <c r="BY1099" s="347">
        <f t="shared" si="2108"/>
        <v>0</v>
      </c>
      <c r="BZ1099" s="3326">
        <f t="shared" si="2108"/>
        <v>0</v>
      </c>
      <c r="CA1099" s="373">
        <f t="shared" si="2112"/>
        <v>0</v>
      </c>
      <c r="CB1099" s="373">
        <f t="shared" si="2112"/>
        <v>0</v>
      </c>
      <c r="CC1099" s="373">
        <f t="shared" si="2109"/>
        <v>0</v>
      </c>
      <c r="CD1099" s="373">
        <f t="shared" si="2109"/>
        <v>0</v>
      </c>
      <c r="CE1099" s="373">
        <f t="shared" si="2109"/>
        <v>0</v>
      </c>
      <c r="CF1099" s="373">
        <f t="shared" si="2109"/>
        <v>0</v>
      </c>
      <c r="CG1099" s="373">
        <f t="shared" si="2109"/>
        <v>0</v>
      </c>
      <c r="CH1099" s="374"/>
      <c r="CI1099" s="374"/>
      <c r="CJ1099" s="374"/>
      <c r="CK1099" s="374"/>
      <c r="CL1099" s="374"/>
      <c r="CM1099" s="621"/>
      <c r="CN1099" s="621">
        <f t="shared" si="2061"/>
        <v>0</v>
      </c>
      <c r="CO1099" s="965">
        <f t="shared" si="2062"/>
        <v>0</v>
      </c>
      <c r="CP1099" s="90" t="str">
        <f t="shared" si="1959"/>
        <v>6.75% Senior Subordinated Notes due 2014</v>
      </c>
      <c r="CQ1099" s="347">
        <f t="shared" si="1960"/>
        <v>350</v>
      </c>
      <c r="CR1099" s="347">
        <f t="shared" si="1961"/>
        <v>350</v>
      </c>
      <c r="CS1099" s="347">
        <f t="shared" si="1962"/>
        <v>350</v>
      </c>
      <c r="CT1099" s="347">
        <f t="shared" si="1963"/>
        <v>350</v>
      </c>
      <c r="CU1099" s="347">
        <f t="shared" si="1964"/>
        <v>300</v>
      </c>
      <c r="CV1099" s="347">
        <f t="shared" si="1965"/>
        <v>248.66800000000001</v>
      </c>
      <c r="CW1099" s="347">
        <f t="shared" si="1966"/>
        <v>215.66800000000001</v>
      </c>
      <c r="CX1099" s="347">
        <f t="shared" si="1967"/>
        <v>215.66800000000001</v>
      </c>
      <c r="CY1099" s="347">
        <f t="shared" si="1968"/>
        <v>215.66800000000001</v>
      </c>
      <c r="CZ1099" s="347">
        <f t="shared" si="1969"/>
        <v>0</v>
      </c>
      <c r="DA1099" s="347">
        <f t="shared" si="1970"/>
        <v>0</v>
      </c>
      <c r="DB1099" s="347">
        <f t="shared" si="1971"/>
        <v>0</v>
      </c>
      <c r="DC1099" s="347">
        <f t="shared" si="1972"/>
        <v>0</v>
      </c>
      <c r="DD1099" s="347">
        <f t="shared" si="1973"/>
        <v>0</v>
      </c>
      <c r="DE1099" s="347">
        <f t="shared" si="1974"/>
        <v>0</v>
      </c>
      <c r="DF1099" s="347">
        <f t="shared" si="1975"/>
        <v>0</v>
      </c>
      <c r="DG1099" s="1795">
        <f t="shared" si="1976"/>
        <v>0</v>
      </c>
      <c r="DH1099" s="894"/>
      <c r="DI1099" s="894"/>
      <c r="DJ1099" s="894"/>
      <c r="DK1099" s="894"/>
      <c r="DL1099" s="894"/>
      <c r="DM1099" s="894"/>
      <c r="DN1099" s="876"/>
      <c r="DO1099" s="389"/>
      <c r="DY1099" s="374"/>
      <c r="DZ1099" s="374"/>
    </row>
    <row r="1100" spans="1:130" ht="12" customHeight="1">
      <c r="A1100" s="90" t="s">
        <v>229</v>
      </c>
      <c r="B1100" s="552"/>
      <c r="C1100" s="552"/>
      <c r="D1100" s="377"/>
      <c r="E1100" s="376"/>
      <c r="F1100" s="376"/>
      <c r="G1100" s="376"/>
      <c r="H1100" s="893"/>
      <c r="I1100" s="376"/>
      <c r="J1100" s="376"/>
      <c r="K1100" s="376"/>
      <c r="L1100" s="376"/>
      <c r="M1100" s="893"/>
      <c r="N1100" s="376">
        <v>250</v>
      </c>
      <c r="O1100" s="374">
        <f>N1100</f>
        <v>250</v>
      </c>
      <c r="P1100" s="374">
        <f>O1100</f>
        <v>250</v>
      </c>
      <c r="Q1100" s="374">
        <f>P1100</f>
        <v>250</v>
      </c>
      <c r="R1100" s="346">
        <f t="shared" si="2058"/>
        <v>250</v>
      </c>
      <c r="S1100" s="374">
        <f t="shared" si="2088"/>
        <v>250</v>
      </c>
      <c r="T1100" s="374">
        <f>S1100</f>
        <v>250</v>
      </c>
      <c r="U1100" s="374">
        <f t="shared" si="2089"/>
        <v>250</v>
      </c>
      <c r="V1100" s="376">
        <v>250</v>
      </c>
      <c r="W1100" s="346">
        <f>V1100</f>
        <v>250</v>
      </c>
      <c r="X1100" s="376">
        <v>250</v>
      </c>
      <c r="Y1100" s="376">
        <v>250</v>
      </c>
      <c r="Z1100" s="376">
        <v>250</v>
      </c>
      <c r="AA1100" s="376">
        <v>250</v>
      </c>
      <c r="AB1100" s="346">
        <f t="shared" si="2093"/>
        <v>250</v>
      </c>
      <c r="AC1100" s="376">
        <f>AB1100</f>
        <v>250</v>
      </c>
      <c r="AD1100" s="376">
        <f>AC1100</f>
        <v>250</v>
      </c>
      <c r="AE1100" s="376">
        <v>240.75</v>
      </c>
      <c r="AF1100" s="376">
        <v>240.75</v>
      </c>
      <c r="AG1100" s="346">
        <f t="shared" si="2116"/>
        <v>240.75</v>
      </c>
      <c r="AH1100" s="328">
        <v>240.75</v>
      </c>
      <c r="AI1100" s="328">
        <v>240.75</v>
      </c>
      <c r="AJ1100" s="328">
        <v>240.75</v>
      </c>
      <c r="AK1100" s="328">
        <v>240.75</v>
      </c>
      <c r="AL1100" s="373">
        <f t="shared" si="2095"/>
        <v>240.75</v>
      </c>
      <c r="AM1100" s="328">
        <v>240.75</v>
      </c>
      <c r="AN1100" s="328">
        <v>240.75</v>
      </c>
      <c r="AO1100" s="328">
        <v>240.75</v>
      </c>
      <c r="AP1100" s="328">
        <v>240.75</v>
      </c>
      <c r="AQ1100" s="373">
        <f t="shared" si="2063"/>
        <v>240.75</v>
      </c>
      <c r="AR1100" s="328">
        <v>240.75</v>
      </c>
      <c r="AS1100" s="328">
        <f>AR1100</f>
        <v>240.75</v>
      </c>
      <c r="AT1100" s="328">
        <v>240.75</v>
      </c>
      <c r="AU1100" s="328">
        <v>240.75</v>
      </c>
      <c r="AV1100" s="373">
        <f t="shared" ref="AV1100:AV1111" si="2121">AU1100</f>
        <v>240.75</v>
      </c>
      <c r="AW1100" s="328">
        <v>240.75</v>
      </c>
      <c r="AX1100" s="328">
        <v>240.75</v>
      </c>
      <c r="AY1100" s="328">
        <v>0</v>
      </c>
      <c r="AZ1100" s="328">
        <v>0</v>
      </c>
      <c r="BA1100" s="373">
        <f t="shared" si="2064"/>
        <v>0</v>
      </c>
      <c r="BB1100" s="328">
        <v>0</v>
      </c>
      <c r="BC1100" s="328">
        <v>0</v>
      </c>
      <c r="BD1100" s="347">
        <v>0</v>
      </c>
      <c r="BE1100" s="347">
        <v>0</v>
      </c>
      <c r="BF1100" s="373">
        <f t="shared" si="2120"/>
        <v>0</v>
      </c>
      <c r="BG1100" s="347">
        <f t="shared" si="2120"/>
        <v>0</v>
      </c>
      <c r="BH1100" s="347">
        <f t="shared" si="2099"/>
        <v>0</v>
      </c>
      <c r="BI1100" s="347">
        <f t="shared" si="2099"/>
        <v>0</v>
      </c>
      <c r="BJ1100" s="347">
        <v>0</v>
      </c>
      <c r="BK1100" s="373">
        <f t="shared" si="2099"/>
        <v>0</v>
      </c>
      <c r="BL1100" s="3143">
        <v>0</v>
      </c>
      <c r="BM1100" s="347">
        <f t="shared" si="2100"/>
        <v>0</v>
      </c>
      <c r="BN1100" s="347">
        <f t="shared" si="2100"/>
        <v>0</v>
      </c>
      <c r="BO1100" s="347">
        <f t="shared" si="2101"/>
        <v>0</v>
      </c>
      <c r="BP1100" s="373">
        <f t="shared" si="2101"/>
        <v>0</v>
      </c>
      <c r="BQ1100" s="347">
        <f t="shared" si="2102"/>
        <v>0</v>
      </c>
      <c r="BR1100" s="347">
        <f t="shared" si="2103"/>
        <v>0</v>
      </c>
      <c r="BS1100" s="3992">
        <f t="shared" si="2103"/>
        <v>0</v>
      </c>
      <c r="BT1100" s="347">
        <f t="shared" si="2104"/>
        <v>0</v>
      </c>
      <c r="BU1100" s="3326">
        <f t="shared" si="2105"/>
        <v>0</v>
      </c>
      <c r="BV1100" s="347">
        <f t="shared" si="2105"/>
        <v>0</v>
      </c>
      <c r="BW1100" s="347">
        <f t="shared" si="2106"/>
        <v>0</v>
      </c>
      <c r="BX1100" s="347">
        <f t="shared" si="2107"/>
        <v>0</v>
      </c>
      <c r="BY1100" s="347">
        <f t="shared" si="2108"/>
        <v>0</v>
      </c>
      <c r="BZ1100" s="3326">
        <f t="shared" si="2108"/>
        <v>0</v>
      </c>
      <c r="CA1100" s="373">
        <f t="shared" si="2112"/>
        <v>0</v>
      </c>
      <c r="CB1100" s="373">
        <f t="shared" si="2112"/>
        <v>0</v>
      </c>
      <c r="CC1100" s="373">
        <f t="shared" si="2109"/>
        <v>0</v>
      </c>
      <c r="CD1100" s="373">
        <f t="shared" si="2109"/>
        <v>0</v>
      </c>
      <c r="CE1100" s="373">
        <f t="shared" si="2109"/>
        <v>0</v>
      </c>
      <c r="CF1100" s="373">
        <f t="shared" si="2109"/>
        <v>0</v>
      </c>
      <c r="CG1100" s="373">
        <f t="shared" si="2109"/>
        <v>0</v>
      </c>
      <c r="CH1100" s="374"/>
      <c r="CI1100" s="374"/>
      <c r="CJ1100" s="374"/>
      <c r="CK1100" s="374"/>
      <c r="CL1100" s="374"/>
      <c r="CM1100" s="621"/>
      <c r="CN1100" s="621">
        <f t="shared" si="2061"/>
        <v>0</v>
      </c>
      <c r="CO1100" s="965">
        <f t="shared" si="2062"/>
        <v>0</v>
      </c>
      <c r="CP1100" s="90" t="str">
        <f t="shared" si="1959"/>
        <v>7.125% Senior Subordinated Notes due 2016</v>
      </c>
      <c r="CQ1100" s="347">
        <f t="shared" si="1960"/>
        <v>0</v>
      </c>
      <c r="CR1100" s="347">
        <f t="shared" si="1961"/>
        <v>0</v>
      </c>
      <c r="CS1100" s="347">
        <f t="shared" si="1962"/>
        <v>250</v>
      </c>
      <c r="CT1100" s="347">
        <f t="shared" si="1963"/>
        <v>250</v>
      </c>
      <c r="CU1100" s="347">
        <f t="shared" si="1964"/>
        <v>250</v>
      </c>
      <c r="CV1100" s="347">
        <f t="shared" si="1965"/>
        <v>240.75</v>
      </c>
      <c r="CW1100" s="347">
        <f t="shared" si="1966"/>
        <v>240.75</v>
      </c>
      <c r="CX1100" s="347">
        <f t="shared" si="1967"/>
        <v>240.75</v>
      </c>
      <c r="CY1100" s="347">
        <f t="shared" si="1968"/>
        <v>240.75</v>
      </c>
      <c r="CZ1100" s="347">
        <f t="shared" si="1969"/>
        <v>0</v>
      </c>
      <c r="DA1100" s="347">
        <f t="shared" si="1970"/>
        <v>0</v>
      </c>
      <c r="DB1100" s="347">
        <f t="shared" si="1971"/>
        <v>0</v>
      </c>
      <c r="DC1100" s="347">
        <f t="shared" si="1972"/>
        <v>0</v>
      </c>
      <c r="DD1100" s="347">
        <f t="shared" si="1973"/>
        <v>0</v>
      </c>
      <c r="DE1100" s="347">
        <f t="shared" si="1974"/>
        <v>0</v>
      </c>
      <c r="DF1100" s="347">
        <f t="shared" si="1975"/>
        <v>0</v>
      </c>
      <c r="DG1100" s="1795">
        <f t="shared" si="1976"/>
        <v>0</v>
      </c>
      <c r="DH1100" s="894"/>
      <c r="DI1100" s="894"/>
      <c r="DJ1100" s="894"/>
      <c r="DK1100" s="894"/>
      <c r="DL1100" s="894"/>
      <c r="DM1100" s="894"/>
      <c r="DN1100" s="876"/>
      <c r="DO1100" s="389"/>
      <c r="DY1100" s="374"/>
      <c r="DZ1100" s="374"/>
    </row>
    <row r="1101" spans="1:130" ht="12" customHeight="1">
      <c r="A1101" s="90" t="s">
        <v>236</v>
      </c>
      <c r="B1101" s="552"/>
      <c r="C1101" s="552"/>
      <c r="D1101" s="377"/>
      <c r="E1101" s="376"/>
      <c r="F1101" s="376"/>
      <c r="G1101" s="376"/>
      <c r="H1101" s="893"/>
      <c r="I1101" s="376"/>
      <c r="J1101" s="376"/>
      <c r="K1101" s="376"/>
      <c r="L1101" s="376"/>
      <c r="M1101" s="893"/>
      <c r="N1101" s="376"/>
      <c r="O1101" s="374"/>
      <c r="P1101" s="374"/>
      <c r="Q1101" s="374"/>
      <c r="R1101" s="346"/>
      <c r="S1101" s="374"/>
      <c r="T1101" s="374"/>
      <c r="U1101" s="374"/>
      <c r="V1101" s="376"/>
      <c r="W1101" s="346"/>
      <c r="X1101" s="376"/>
      <c r="Y1101" s="376"/>
      <c r="Z1101" s="376"/>
      <c r="AA1101" s="376"/>
      <c r="AB1101" s="346"/>
      <c r="AC1101" s="376"/>
      <c r="AD1101" s="376"/>
      <c r="AE1101" s="376"/>
      <c r="AF1101" s="376"/>
      <c r="AG1101" s="346"/>
      <c r="AH1101" s="328"/>
      <c r="AI1101" s="328"/>
      <c r="AJ1101" s="328"/>
      <c r="AK1101" s="328">
        <v>500</v>
      </c>
      <c r="AL1101" s="373">
        <f>AK1101</f>
        <v>500</v>
      </c>
      <c r="AM1101" s="328">
        <v>500</v>
      </c>
      <c r="AN1101" s="328">
        <v>500</v>
      </c>
      <c r="AO1101" s="328">
        <v>500</v>
      </c>
      <c r="AP1101" s="328">
        <v>500</v>
      </c>
      <c r="AQ1101" s="373">
        <f t="shared" si="2063"/>
        <v>500</v>
      </c>
      <c r="AR1101" s="328">
        <v>500</v>
      </c>
      <c r="AS1101" s="328">
        <v>500</v>
      </c>
      <c r="AT1101" s="328">
        <v>500</v>
      </c>
      <c r="AU1101" s="328">
        <v>500</v>
      </c>
      <c r="AV1101" s="373">
        <f t="shared" si="2121"/>
        <v>500</v>
      </c>
      <c r="AW1101" s="328">
        <v>500</v>
      </c>
      <c r="AX1101" s="328">
        <v>500</v>
      </c>
      <c r="AY1101" s="328">
        <v>500</v>
      </c>
      <c r="AZ1101" s="328">
        <v>500</v>
      </c>
      <c r="BA1101" s="373">
        <f t="shared" si="2064"/>
        <v>500</v>
      </c>
      <c r="BB1101" s="328">
        <v>500</v>
      </c>
      <c r="BC1101" s="2791">
        <v>500</v>
      </c>
      <c r="BD1101" s="328">
        <v>500</v>
      </c>
      <c r="BE1101" s="328">
        <v>500</v>
      </c>
      <c r="BF1101" s="373">
        <f t="shared" si="2120"/>
        <v>500</v>
      </c>
      <c r="BG1101" s="3143">
        <v>500</v>
      </c>
      <c r="BH1101" s="3143">
        <v>0</v>
      </c>
      <c r="BI1101" s="328">
        <v>0</v>
      </c>
      <c r="BJ1101" s="328">
        <v>0</v>
      </c>
      <c r="BK1101" s="373">
        <f t="shared" si="2099"/>
        <v>0</v>
      </c>
      <c r="BL1101" s="3143">
        <v>0</v>
      </c>
      <c r="BM1101" s="3143">
        <v>0</v>
      </c>
      <c r="BN1101" s="3143">
        <v>0</v>
      </c>
      <c r="BO1101" s="347">
        <f t="shared" si="2101"/>
        <v>0</v>
      </c>
      <c r="BP1101" s="373">
        <f t="shared" si="2101"/>
        <v>0</v>
      </c>
      <c r="BQ1101" s="347">
        <f t="shared" si="2102"/>
        <v>0</v>
      </c>
      <c r="BR1101" s="347">
        <f t="shared" si="2103"/>
        <v>0</v>
      </c>
      <c r="BS1101" s="328">
        <f t="shared" si="2103"/>
        <v>0</v>
      </c>
      <c r="BT1101" s="347">
        <f t="shared" si="2104"/>
        <v>0</v>
      </c>
      <c r="BU1101" s="3326">
        <f t="shared" si="2105"/>
        <v>0</v>
      </c>
      <c r="BV1101" s="347">
        <f t="shared" si="2105"/>
        <v>0</v>
      </c>
      <c r="BW1101" s="347">
        <f t="shared" si="2106"/>
        <v>0</v>
      </c>
      <c r="BX1101" s="347">
        <f t="shared" si="2107"/>
        <v>0</v>
      </c>
      <c r="BY1101" s="347">
        <f t="shared" si="2108"/>
        <v>0</v>
      </c>
      <c r="BZ1101" s="3326">
        <f t="shared" si="2108"/>
        <v>0</v>
      </c>
      <c r="CA1101" s="373">
        <f t="shared" si="2112"/>
        <v>0</v>
      </c>
      <c r="CB1101" s="373">
        <f t="shared" si="2112"/>
        <v>0</v>
      </c>
      <c r="CC1101" s="373">
        <f t="shared" si="2109"/>
        <v>0</v>
      </c>
      <c r="CD1101" s="373">
        <f t="shared" si="2109"/>
        <v>0</v>
      </c>
      <c r="CE1101" s="373">
        <f t="shared" si="2109"/>
        <v>0</v>
      </c>
      <c r="CF1101" s="373">
        <f t="shared" si="2109"/>
        <v>0</v>
      </c>
      <c r="CG1101" s="373">
        <f t="shared" si="2109"/>
        <v>0</v>
      </c>
      <c r="CH1101" s="374"/>
      <c r="CI1101" s="374"/>
      <c r="CJ1101" s="374"/>
      <c r="CK1101" s="374"/>
      <c r="CL1101" s="374"/>
      <c r="CM1101" s="621"/>
      <c r="CN1101" s="621">
        <f t="shared" si="2061"/>
        <v>0</v>
      </c>
      <c r="CO1101" s="965">
        <f t="shared" si="2062"/>
        <v>0</v>
      </c>
      <c r="CP1101" s="90" t="str">
        <f t="shared" si="1959"/>
        <v>9.125% Senior Subordinated Notes due 2018</v>
      </c>
      <c r="CQ1101" s="347">
        <f t="shared" si="1960"/>
        <v>0</v>
      </c>
      <c r="CR1101" s="347">
        <f t="shared" si="1961"/>
        <v>0</v>
      </c>
      <c r="CS1101" s="347">
        <f t="shared" si="1962"/>
        <v>0</v>
      </c>
      <c r="CT1101" s="347">
        <f t="shared" si="1963"/>
        <v>0</v>
      </c>
      <c r="CU1101" s="347">
        <f t="shared" si="1964"/>
        <v>0</v>
      </c>
      <c r="CV1101" s="347">
        <f t="shared" si="1965"/>
        <v>0</v>
      </c>
      <c r="CW1101" s="347">
        <f t="shared" si="1966"/>
        <v>500</v>
      </c>
      <c r="CX1101" s="347">
        <f t="shared" si="1967"/>
        <v>500</v>
      </c>
      <c r="CY1101" s="347">
        <f t="shared" si="1968"/>
        <v>500</v>
      </c>
      <c r="CZ1101" s="347">
        <f t="shared" si="1969"/>
        <v>500</v>
      </c>
      <c r="DA1101" s="347">
        <f t="shared" si="1970"/>
        <v>500</v>
      </c>
      <c r="DB1101" s="347">
        <f t="shared" si="1971"/>
        <v>0</v>
      </c>
      <c r="DC1101" s="347">
        <f t="shared" si="1972"/>
        <v>0</v>
      </c>
      <c r="DD1101" s="347">
        <f t="shared" si="1973"/>
        <v>0</v>
      </c>
      <c r="DE1101" s="347">
        <f t="shared" si="1974"/>
        <v>0</v>
      </c>
      <c r="DF1101" s="347">
        <f t="shared" si="1975"/>
        <v>0</v>
      </c>
      <c r="DG1101" s="1795">
        <f t="shared" si="1976"/>
        <v>0</v>
      </c>
      <c r="DH1101" s="894"/>
      <c r="DI1101" s="894"/>
      <c r="DJ1101" s="894"/>
      <c r="DK1101" s="894"/>
      <c r="DL1101" s="894"/>
      <c r="DM1101" s="894"/>
      <c r="DN1101" s="876"/>
      <c r="DO1101" s="389"/>
      <c r="DY1101" s="374"/>
      <c r="DZ1101" s="374"/>
    </row>
    <row r="1102" spans="1:130" ht="12" customHeight="1">
      <c r="A1102" s="90" t="s">
        <v>700</v>
      </c>
      <c r="B1102" s="552"/>
      <c r="C1102" s="552"/>
      <c r="D1102" s="377"/>
      <c r="E1102" s="376"/>
      <c r="F1102" s="376"/>
      <c r="G1102" s="376"/>
      <c r="H1102" s="893"/>
      <c r="I1102" s="376"/>
      <c r="J1102" s="376"/>
      <c r="K1102" s="376"/>
      <c r="L1102" s="376"/>
      <c r="M1102" s="893"/>
      <c r="N1102" s="376"/>
      <c r="O1102" s="374"/>
      <c r="P1102" s="374"/>
      <c r="Q1102" s="374"/>
      <c r="R1102" s="346"/>
      <c r="S1102" s="374"/>
      <c r="T1102" s="374"/>
      <c r="U1102" s="374"/>
      <c r="V1102" s="376"/>
      <c r="W1102" s="346"/>
      <c r="X1102" s="376"/>
      <c r="Y1102" s="376"/>
      <c r="Z1102" s="376"/>
      <c r="AA1102" s="376"/>
      <c r="AB1102" s="346"/>
      <c r="AC1102" s="376"/>
      <c r="AD1102" s="376"/>
      <c r="AE1102" s="376"/>
      <c r="AF1102" s="376"/>
      <c r="AG1102" s="346"/>
      <c r="AH1102" s="328"/>
      <c r="AI1102" s="328"/>
      <c r="AJ1102" s="328"/>
      <c r="AK1102" s="328"/>
      <c r="AL1102" s="373"/>
      <c r="AM1102" s="328"/>
      <c r="AN1102" s="328"/>
      <c r="AO1102" s="328"/>
      <c r="AP1102" s="328"/>
      <c r="AQ1102" s="373"/>
      <c r="AR1102" s="328">
        <v>0</v>
      </c>
      <c r="AS1102" s="328">
        <v>350</v>
      </c>
      <c r="AT1102" s="328">
        <v>350</v>
      </c>
      <c r="AU1102" s="328">
        <v>350</v>
      </c>
      <c r="AV1102" s="373">
        <f t="shared" si="2121"/>
        <v>350</v>
      </c>
      <c r="AW1102" s="328">
        <v>350</v>
      </c>
      <c r="AX1102" s="328">
        <v>350</v>
      </c>
      <c r="AY1102" s="328">
        <v>350</v>
      </c>
      <c r="AZ1102" s="328">
        <v>350</v>
      </c>
      <c r="BA1102" s="373">
        <f t="shared" si="2064"/>
        <v>350</v>
      </c>
      <c r="BB1102" s="328">
        <v>350</v>
      </c>
      <c r="BC1102" s="2791">
        <v>350</v>
      </c>
      <c r="BD1102" s="328">
        <v>350</v>
      </c>
      <c r="BE1102" s="328">
        <v>350</v>
      </c>
      <c r="BF1102" s="373">
        <f t="shared" si="2120"/>
        <v>350</v>
      </c>
      <c r="BG1102" s="3143">
        <v>350</v>
      </c>
      <c r="BH1102" s="3143">
        <v>350</v>
      </c>
      <c r="BI1102" s="3143">
        <v>350</v>
      </c>
      <c r="BJ1102" s="328">
        <v>350</v>
      </c>
      <c r="BK1102" s="373">
        <f t="shared" si="2099"/>
        <v>350</v>
      </c>
      <c r="BL1102" s="328">
        <v>350</v>
      </c>
      <c r="BM1102" s="328">
        <v>350</v>
      </c>
      <c r="BN1102" s="3143">
        <v>0</v>
      </c>
      <c r="BO1102" s="347">
        <f t="shared" si="2101"/>
        <v>0</v>
      </c>
      <c r="BP1102" s="373">
        <f t="shared" si="2101"/>
        <v>0</v>
      </c>
      <c r="BQ1102" s="3143">
        <v>0</v>
      </c>
      <c r="BR1102" s="3143">
        <v>0</v>
      </c>
      <c r="BS1102" s="328">
        <v>0</v>
      </c>
      <c r="BT1102" s="347">
        <v>0</v>
      </c>
      <c r="BU1102" s="3326">
        <f t="shared" si="2105"/>
        <v>0</v>
      </c>
      <c r="BV1102" s="3143">
        <v>0</v>
      </c>
      <c r="BW1102" s="3143">
        <v>0</v>
      </c>
      <c r="BX1102" s="3143">
        <v>0</v>
      </c>
      <c r="BY1102" s="3143">
        <v>0</v>
      </c>
      <c r="BZ1102" s="3326">
        <f t="shared" si="2108"/>
        <v>0</v>
      </c>
      <c r="CA1102" s="373">
        <f t="shared" si="2112"/>
        <v>0</v>
      </c>
      <c r="CB1102" s="373">
        <f t="shared" si="2112"/>
        <v>0</v>
      </c>
      <c r="CC1102" s="373">
        <f t="shared" si="2109"/>
        <v>0</v>
      </c>
      <c r="CD1102" s="373">
        <f t="shared" si="2109"/>
        <v>0</v>
      </c>
      <c r="CE1102" s="373">
        <f t="shared" si="2109"/>
        <v>0</v>
      </c>
      <c r="CF1102" s="373">
        <f t="shared" si="2109"/>
        <v>0</v>
      </c>
      <c r="CG1102" s="373">
        <f t="shared" si="2109"/>
        <v>0</v>
      </c>
      <c r="CH1102" s="374"/>
      <c r="CI1102" s="374"/>
      <c r="CJ1102" s="374"/>
      <c r="CK1102" s="374"/>
      <c r="CL1102" s="374"/>
      <c r="CM1102" s="621"/>
      <c r="CN1102" s="621">
        <f t="shared" si="2061"/>
        <v>0</v>
      </c>
      <c r="CO1102" s="965">
        <f t="shared" si="2062"/>
        <v>0</v>
      </c>
      <c r="CP1102" s="90" t="str">
        <f t="shared" si="1959"/>
        <v>9.0% Senior Subordinated Notes due 2020</v>
      </c>
      <c r="CQ1102" s="347">
        <f t="shared" si="1960"/>
        <v>0</v>
      </c>
      <c r="CR1102" s="347">
        <f t="shared" si="1961"/>
        <v>0</v>
      </c>
      <c r="CS1102" s="347">
        <f t="shared" si="1962"/>
        <v>0</v>
      </c>
      <c r="CT1102" s="347">
        <f t="shared" si="1963"/>
        <v>0</v>
      </c>
      <c r="CU1102" s="347">
        <f t="shared" si="1964"/>
        <v>0</v>
      </c>
      <c r="CV1102" s="347">
        <f t="shared" si="1965"/>
        <v>0</v>
      </c>
      <c r="CW1102" s="347">
        <f t="shared" si="1966"/>
        <v>0</v>
      </c>
      <c r="CX1102" s="347">
        <f t="shared" si="1967"/>
        <v>0</v>
      </c>
      <c r="CY1102" s="347">
        <f t="shared" si="1968"/>
        <v>350</v>
      </c>
      <c r="CZ1102" s="347">
        <f t="shared" si="1969"/>
        <v>350</v>
      </c>
      <c r="DA1102" s="347">
        <f t="shared" si="1970"/>
        <v>350</v>
      </c>
      <c r="DB1102" s="347">
        <f t="shared" si="1971"/>
        <v>350</v>
      </c>
      <c r="DC1102" s="347">
        <f t="shared" si="1972"/>
        <v>0</v>
      </c>
      <c r="DD1102" s="347">
        <f t="shared" si="1973"/>
        <v>0</v>
      </c>
      <c r="DE1102" s="347">
        <f t="shared" si="1974"/>
        <v>0</v>
      </c>
      <c r="DF1102" s="347">
        <f t="shared" si="1975"/>
        <v>0</v>
      </c>
      <c r="DG1102" s="1795">
        <f t="shared" si="1976"/>
        <v>0</v>
      </c>
      <c r="DH1102" s="894"/>
      <c r="DI1102" s="894"/>
      <c r="DJ1102" s="894"/>
      <c r="DK1102" s="894"/>
      <c r="DL1102" s="894"/>
      <c r="DM1102" s="894"/>
      <c r="DN1102" s="876"/>
      <c r="DO1102" s="389"/>
      <c r="DY1102" s="374"/>
      <c r="DZ1102" s="374"/>
    </row>
    <row r="1103" spans="1:130" ht="12" customHeight="1">
      <c r="A1103" s="3146" t="s">
        <v>1823</v>
      </c>
      <c r="B1103" s="552"/>
      <c r="C1103" s="552"/>
      <c r="D1103" s="377"/>
      <c r="E1103" s="376"/>
      <c r="F1103" s="376"/>
      <c r="G1103" s="376"/>
      <c r="H1103" s="893"/>
      <c r="I1103" s="376"/>
      <c r="J1103" s="376"/>
      <c r="K1103" s="376"/>
      <c r="L1103" s="376"/>
      <c r="M1103" s="893"/>
      <c r="N1103" s="376"/>
      <c r="O1103" s="374"/>
      <c r="P1103" s="374"/>
      <c r="Q1103" s="374"/>
      <c r="R1103" s="346"/>
      <c r="S1103" s="374"/>
      <c r="T1103" s="374"/>
      <c r="U1103" s="374"/>
      <c r="V1103" s="376"/>
      <c r="W1103" s="346"/>
      <c r="X1103" s="376"/>
      <c r="Y1103" s="376"/>
      <c r="Z1103" s="376"/>
      <c r="AA1103" s="376"/>
      <c r="AB1103" s="346"/>
      <c r="AC1103" s="376"/>
      <c r="AD1103" s="376"/>
      <c r="AE1103" s="376"/>
      <c r="AF1103" s="376"/>
      <c r="AG1103" s="346"/>
      <c r="AH1103" s="328"/>
      <c r="AI1103" s="328"/>
      <c r="AJ1103" s="328"/>
      <c r="AK1103" s="328"/>
      <c r="AL1103" s="373"/>
      <c r="AM1103" s="328"/>
      <c r="AN1103" s="328"/>
      <c r="AO1103" s="328"/>
      <c r="AP1103" s="328"/>
      <c r="AQ1103" s="373"/>
      <c r="AR1103" s="328"/>
      <c r="AS1103" s="328"/>
      <c r="AT1103" s="328"/>
      <c r="AU1103" s="328"/>
      <c r="AV1103" s="373"/>
      <c r="AW1103" s="328"/>
      <c r="AX1103" s="328"/>
      <c r="AY1103" s="328"/>
      <c r="AZ1103" s="328"/>
      <c r="BA1103" s="373"/>
      <c r="BB1103" s="328"/>
      <c r="BC1103" s="2791"/>
      <c r="BD1103" s="328"/>
      <c r="BE1103" s="328"/>
      <c r="BF1103" s="373"/>
      <c r="BG1103" s="3143"/>
      <c r="BH1103" s="3143">
        <v>750</v>
      </c>
      <c r="BI1103" s="3143">
        <v>750</v>
      </c>
      <c r="BJ1103" s="328">
        <v>750</v>
      </c>
      <c r="BK1103" s="373">
        <f>BJ1103</f>
        <v>750</v>
      </c>
      <c r="BL1103" s="328">
        <v>750</v>
      </c>
      <c r="BM1103" s="328">
        <v>750</v>
      </c>
      <c r="BN1103" s="328">
        <v>750</v>
      </c>
      <c r="BO1103" s="328">
        <v>750</v>
      </c>
      <c r="BP1103" s="373">
        <f t="shared" ref="BP1103:CB1103" si="2122">BO1103</f>
        <v>750</v>
      </c>
      <c r="BQ1103" s="328">
        <v>750</v>
      </c>
      <c r="BR1103" s="328">
        <v>750</v>
      </c>
      <c r="BS1103" s="328">
        <v>750</v>
      </c>
      <c r="BT1103" s="347">
        <f>BS1103</f>
        <v>750</v>
      </c>
      <c r="BU1103" s="3326">
        <f t="shared" si="2122"/>
        <v>750</v>
      </c>
      <c r="BV1103" s="347">
        <f>BU1103</f>
        <v>750</v>
      </c>
      <c r="BW1103" s="347">
        <f t="shared" ref="BW1103:BY1103" si="2123">BV1103</f>
        <v>750</v>
      </c>
      <c r="BX1103" s="347">
        <f t="shared" si="2123"/>
        <v>750</v>
      </c>
      <c r="BY1103" s="347">
        <f t="shared" si="2123"/>
        <v>750</v>
      </c>
      <c r="BZ1103" s="3326">
        <f t="shared" si="2122"/>
        <v>750</v>
      </c>
      <c r="CA1103" s="373">
        <f t="shared" si="2122"/>
        <v>750</v>
      </c>
      <c r="CB1103" s="373">
        <f t="shared" si="2122"/>
        <v>750</v>
      </c>
      <c r="CC1103" s="373">
        <f t="shared" si="2109"/>
        <v>750</v>
      </c>
      <c r="CD1103" s="373">
        <f t="shared" si="2109"/>
        <v>750</v>
      </c>
      <c r="CE1103" s="373">
        <f t="shared" si="2109"/>
        <v>750</v>
      </c>
      <c r="CF1103" s="373">
        <f t="shared" si="2109"/>
        <v>750</v>
      </c>
      <c r="CG1103" s="373">
        <f t="shared" si="2109"/>
        <v>750</v>
      </c>
      <c r="CH1103" s="374"/>
      <c r="CI1103" s="374"/>
      <c r="CJ1103" s="374"/>
      <c r="CK1103" s="374"/>
      <c r="CL1103" s="374"/>
      <c r="CM1103" s="621"/>
      <c r="CN1103" s="621">
        <f t="shared" si="2061"/>
        <v>750</v>
      </c>
      <c r="CO1103" s="965">
        <f t="shared" si="2062"/>
        <v>-750</v>
      </c>
      <c r="CP1103" s="90" t="str">
        <f t="shared" si="1959"/>
        <v>6.875% Senior Notes due 2023</v>
      </c>
      <c r="CQ1103" s="347"/>
      <c r="CR1103" s="347"/>
      <c r="CS1103" s="347"/>
      <c r="CT1103" s="347"/>
      <c r="CU1103" s="347"/>
      <c r="CV1103" s="347"/>
      <c r="CW1103" s="347"/>
      <c r="CX1103" s="347"/>
      <c r="CY1103" s="347"/>
      <c r="CZ1103" s="347"/>
      <c r="DA1103" s="347"/>
      <c r="DB1103" s="347"/>
      <c r="DC1103" s="347"/>
      <c r="DD1103" s="347"/>
      <c r="DE1103" s="347"/>
      <c r="DF1103" s="347"/>
      <c r="DG1103" s="1795"/>
      <c r="DH1103" s="894"/>
      <c r="DI1103" s="894"/>
      <c r="DJ1103" s="894"/>
      <c r="DK1103" s="894"/>
      <c r="DL1103" s="894"/>
      <c r="DM1103" s="894"/>
      <c r="DN1103" s="876"/>
      <c r="DO1103" s="389"/>
      <c r="DY1103" s="374"/>
      <c r="DZ1103" s="374"/>
    </row>
    <row r="1104" spans="1:130" ht="12" customHeight="1">
      <c r="A1104" s="90" t="s">
        <v>773</v>
      </c>
      <c r="B1104" s="552"/>
      <c r="C1104" s="552"/>
      <c r="D1104" s="377"/>
      <c r="E1104" s="376"/>
      <c r="F1104" s="376"/>
      <c r="G1104" s="376"/>
      <c r="H1104" s="893"/>
      <c r="I1104" s="376"/>
      <c r="J1104" s="376"/>
      <c r="K1104" s="376"/>
      <c r="L1104" s="376"/>
      <c r="M1104" s="893"/>
      <c r="N1104" s="376"/>
      <c r="O1104" s="376"/>
      <c r="P1104" s="376"/>
      <c r="Q1104" s="376"/>
      <c r="R1104" s="893"/>
      <c r="S1104" s="376"/>
      <c r="T1104" s="376"/>
      <c r="U1104" s="376"/>
      <c r="V1104" s="376"/>
      <c r="W1104" s="346">
        <f>V1104</f>
        <v>0</v>
      </c>
      <c r="X1104" s="374">
        <f t="shared" ref="X1104:Z1106" si="2124">W1104</f>
        <v>0</v>
      </c>
      <c r="Y1104" s="374">
        <f t="shared" si="2124"/>
        <v>0</v>
      </c>
      <c r="Z1104" s="374">
        <f t="shared" si="2124"/>
        <v>0</v>
      </c>
      <c r="AA1104" s="374">
        <f>Z1104</f>
        <v>0</v>
      </c>
      <c r="AB1104" s="346">
        <f t="shared" si="2093"/>
        <v>0</v>
      </c>
      <c r="AC1104" s="376">
        <f>AB1104</f>
        <v>0</v>
      </c>
      <c r="AD1104" s="376">
        <f>AC1104</f>
        <v>0</v>
      </c>
      <c r="AE1104" s="376">
        <f>AD1104</f>
        <v>0</v>
      </c>
      <c r="AF1104" s="374">
        <f>AE1104</f>
        <v>0</v>
      </c>
      <c r="AG1104" s="346">
        <f>AF1104</f>
        <v>0</v>
      </c>
      <c r="AH1104" s="328">
        <v>630.28899999999999</v>
      </c>
      <c r="AI1104" s="347">
        <f>AI979</f>
        <v>626.87199999999996</v>
      </c>
      <c r="AJ1104" s="347">
        <f>AJ979</f>
        <v>820.76</v>
      </c>
      <c r="AK1104" s="328">
        <f>AK979</f>
        <v>825.57599999999991</v>
      </c>
      <c r="AL1104" s="373">
        <f>AK1104</f>
        <v>825.57599999999991</v>
      </c>
      <c r="AM1104" s="328">
        <f>400+400+28.7</f>
        <v>828.7</v>
      </c>
      <c r="AN1104" s="328">
        <v>820</v>
      </c>
      <c r="AO1104" s="328">
        <v>806.5</v>
      </c>
      <c r="AP1104" s="328">
        <f>40.2+398+393.5</f>
        <v>831.7</v>
      </c>
      <c r="AQ1104" s="373">
        <f>AP1104</f>
        <v>831.7</v>
      </c>
      <c r="AR1104" s="328">
        <f>22.5+398+393.5</f>
        <v>814</v>
      </c>
      <c r="AS1104" s="328">
        <f>24.2+398+393.5</f>
        <v>815.7</v>
      </c>
      <c r="AT1104" s="328">
        <f>13.7+398+393.5</f>
        <v>805.2</v>
      </c>
      <c r="AU1104" s="328">
        <f>20+398+393.5</f>
        <v>811.5</v>
      </c>
      <c r="AV1104" s="373">
        <f t="shared" si="2121"/>
        <v>811.5</v>
      </c>
      <c r="AW1104" s="328">
        <f>14+398+393.5</f>
        <v>805.5</v>
      </c>
      <c r="AX1104" s="328">
        <f>4.4+398+393.5</f>
        <v>795.9</v>
      </c>
      <c r="AY1104" s="328">
        <f>16.3+358.2+393.5</f>
        <v>768</v>
      </c>
      <c r="AZ1104" s="328">
        <f>39.9+380+393.5</f>
        <v>813.4</v>
      </c>
      <c r="BA1104" s="373">
        <f t="shared" si="2064"/>
        <v>813.4</v>
      </c>
      <c r="BB1104" s="328">
        <f>36.7+379.05+393.5</f>
        <v>809.25</v>
      </c>
      <c r="BC1104" s="328">
        <f>33.1+378.1+393.5</f>
        <v>804.7</v>
      </c>
      <c r="BD1104" s="328">
        <v>0</v>
      </c>
      <c r="BE1104" s="328">
        <v>0</v>
      </c>
      <c r="BF1104" s="373">
        <f t="shared" ref="BF1104:BF1111" si="2125">BE1104</f>
        <v>0</v>
      </c>
      <c r="BG1104" s="328">
        <v>0</v>
      </c>
      <c r="BH1104" s="328">
        <v>0</v>
      </c>
      <c r="BI1104" s="328">
        <v>0</v>
      </c>
      <c r="BJ1104" s="328">
        <v>0</v>
      </c>
      <c r="BK1104" s="373">
        <f t="shared" si="2099"/>
        <v>0</v>
      </c>
      <c r="BL1104" s="328">
        <v>0</v>
      </c>
      <c r="BM1104" s="328">
        <v>0</v>
      </c>
      <c r="BN1104" s="3143">
        <v>0</v>
      </c>
      <c r="BO1104" s="328">
        <v>0</v>
      </c>
      <c r="BP1104" s="373">
        <f t="shared" si="2101"/>
        <v>0</v>
      </c>
      <c r="BQ1104" s="328">
        <v>0</v>
      </c>
      <c r="BR1104" s="328">
        <v>0</v>
      </c>
      <c r="BS1104" s="328">
        <v>0</v>
      </c>
      <c r="BT1104" s="328">
        <v>0</v>
      </c>
      <c r="BU1104" s="3326">
        <f t="shared" si="2105"/>
        <v>0</v>
      </c>
      <c r="BV1104" s="328">
        <v>0</v>
      </c>
      <c r="BW1104" s="328">
        <v>0</v>
      </c>
      <c r="BX1104" s="328">
        <v>0</v>
      </c>
      <c r="BY1104" s="328">
        <v>0</v>
      </c>
      <c r="BZ1104" s="3326">
        <f t="shared" si="2108"/>
        <v>0</v>
      </c>
      <c r="CA1104" s="3105">
        <v>0</v>
      </c>
      <c r="CB1104" s="3105">
        <v>0</v>
      </c>
      <c r="CC1104" s="3105">
        <v>0</v>
      </c>
      <c r="CD1104" s="3105">
        <v>0</v>
      </c>
      <c r="CE1104" s="3105">
        <v>0</v>
      </c>
      <c r="CF1104" s="3105">
        <v>0</v>
      </c>
      <c r="CG1104" s="3105">
        <v>0</v>
      </c>
      <c r="CH1104" s="374"/>
      <c r="CI1104" s="374"/>
      <c r="CJ1104" s="374"/>
      <c r="CK1104" s="374"/>
      <c r="CL1104" s="374"/>
      <c r="CM1104" s="621"/>
      <c r="CN1104" s="621">
        <f t="shared" si="2061"/>
        <v>0</v>
      </c>
      <c r="CO1104" s="965">
        <f t="shared" si="2062"/>
        <v>0</v>
      </c>
      <c r="CP1104" s="90" t="str">
        <f t="shared" si="1959"/>
        <v>Borgata</v>
      </c>
      <c r="CQ1104" s="347">
        <f t="shared" si="1960"/>
        <v>0</v>
      </c>
      <c r="CR1104" s="347">
        <f t="shared" si="1961"/>
        <v>0</v>
      </c>
      <c r="CS1104" s="347">
        <f t="shared" si="1962"/>
        <v>0</v>
      </c>
      <c r="CT1104" s="347">
        <f t="shared" si="1963"/>
        <v>0</v>
      </c>
      <c r="CU1104" s="347">
        <f t="shared" si="1964"/>
        <v>0</v>
      </c>
      <c r="CV1104" s="347">
        <f t="shared" si="1965"/>
        <v>0</v>
      </c>
      <c r="CW1104" s="347">
        <f t="shared" si="1966"/>
        <v>825.57599999999991</v>
      </c>
      <c r="CX1104" s="347">
        <f t="shared" si="1967"/>
        <v>831.7</v>
      </c>
      <c r="CY1104" s="347">
        <f t="shared" si="1968"/>
        <v>811.5</v>
      </c>
      <c r="CZ1104" s="347">
        <f t="shared" si="1969"/>
        <v>813.4</v>
      </c>
      <c r="DA1104" s="347">
        <f t="shared" si="1970"/>
        <v>0</v>
      </c>
      <c r="DB1104" s="347">
        <f t="shared" si="1971"/>
        <v>0</v>
      </c>
      <c r="DC1104" s="347">
        <f t="shared" si="1972"/>
        <v>0</v>
      </c>
      <c r="DD1104" s="347">
        <f t="shared" si="1973"/>
        <v>0</v>
      </c>
      <c r="DE1104" s="347">
        <f t="shared" si="1974"/>
        <v>0</v>
      </c>
      <c r="DF1104" s="347">
        <f t="shared" si="1975"/>
        <v>0</v>
      </c>
      <c r="DG1104" s="1795">
        <f t="shared" si="1976"/>
        <v>0</v>
      </c>
      <c r="DH1104" s="894"/>
      <c r="DI1104" s="894"/>
      <c r="DJ1104" s="894"/>
      <c r="DK1104" s="894"/>
      <c r="DL1104" s="894"/>
      <c r="DM1104" s="894"/>
      <c r="DN1104" s="876"/>
      <c r="DO1104" s="389"/>
      <c r="DY1104" s="374"/>
      <c r="DZ1104" s="374"/>
    </row>
    <row r="1105" spans="1:130" ht="12" customHeight="1">
      <c r="A1105" s="90" t="s">
        <v>1280</v>
      </c>
      <c r="B1105" s="552"/>
      <c r="C1105" s="552"/>
      <c r="D1105" s="377"/>
      <c r="E1105" s="376"/>
      <c r="F1105" s="376"/>
      <c r="G1105" s="376"/>
      <c r="H1105" s="893"/>
      <c r="I1105" s="376"/>
      <c r="J1105" s="376"/>
      <c r="K1105" s="376"/>
      <c r="L1105" s="376"/>
      <c r="M1105" s="893"/>
      <c r="N1105" s="376"/>
      <c r="O1105" s="376"/>
      <c r="P1105" s="376"/>
      <c r="Q1105" s="376"/>
      <c r="R1105" s="893"/>
      <c r="S1105" s="376"/>
      <c r="T1105" s="376"/>
      <c r="U1105" s="376"/>
      <c r="V1105" s="376"/>
      <c r="W1105" s="346"/>
      <c r="X1105" s="374"/>
      <c r="Y1105" s="374"/>
      <c r="Z1105" s="374"/>
      <c r="AA1105" s="374"/>
      <c r="AB1105" s="346"/>
      <c r="AC1105" s="376"/>
      <c r="AD1105" s="376"/>
      <c r="AE1105" s="376"/>
      <c r="AF1105" s="374"/>
      <c r="AG1105" s="346"/>
      <c r="AH1105" s="328"/>
      <c r="AI1105" s="347"/>
      <c r="AJ1105" s="347"/>
      <c r="AK1105" s="328"/>
      <c r="AL1105" s="373"/>
      <c r="AM1105" s="328">
        <f>-9.485-3.813-8.953-2.591-9.387</f>
        <v>-34.228999999999999</v>
      </c>
      <c r="AN1105" s="328">
        <f>-3.644-2.531-8.558-9.171-9.175</f>
        <v>-33.079000000000001</v>
      </c>
      <c r="AO1105" s="328">
        <f>-8.866-3.449-8.099-2.429-8.797</f>
        <v>-31.64</v>
      </c>
      <c r="AP1105" s="328">
        <f>-4.318-15.273-5.637-16.255</f>
        <v>-41.483000000000004</v>
      </c>
      <c r="AQ1105" s="373">
        <f>AP1105</f>
        <v>-41.483000000000004</v>
      </c>
      <c r="AR1105" s="328">
        <f>-11.66-27.881</f>
        <v>-39.540999999999997</v>
      </c>
      <c r="AS1105" s="328">
        <f>-10.95-36.502</f>
        <v>-47.451999999999998</v>
      </c>
      <c r="AT1105" s="328">
        <f>-10.243-34.912</f>
        <v>-45.155000000000001</v>
      </c>
      <c r="AU1105" s="328">
        <f>-42.298-24.082</f>
        <v>-66.38</v>
      </c>
      <c r="AV1105" s="373">
        <f t="shared" si="2121"/>
        <v>-66.38</v>
      </c>
      <c r="AW1105" s="328">
        <f>-37.97-22.708</f>
        <v>-60.677999999999997</v>
      </c>
      <c r="AX1105" s="328">
        <f>+-33.626-21.376</f>
        <v>-55.001999999999995</v>
      </c>
      <c r="AY1105" s="328">
        <f>-25.391-21.793</f>
        <v>-47.183999999999997</v>
      </c>
      <c r="AZ1105" s="328">
        <f>-31.933-7.893</f>
        <v>-39.826000000000001</v>
      </c>
      <c r="BA1105" s="373">
        <f t="shared" si="2064"/>
        <v>-39.826000000000001</v>
      </c>
      <c r="BB1105" s="328">
        <f>-26.046-12.054</f>
        <v>-38.1</v>
      </c>
      <c r="BC1105" s="2791">
        <f>+-23.902-11.456</f>
        <v>-35.358000000000004</v>
      </c>
      <c r="BD1105" s="328">
        <f>-16.978-5.155</f>
        <v>-22.133000000000003</v>
      </c>
      <c r="BE1105" s="328">
        <f>-15.332-4.845</f>
        <v>-20.177</v>
      </c>
      <c r="BF1105" s="373">
        <f t="shared" si="2125"/>
        <v>-20.177</v>
      </c>
      <c r="BG1105" s="328">
        <f>+-14.045-4.536</f>
        <v>-18.581</v>
      </c>
      <c r="BH1105" s="328">
        <v>-12.516999999999999</v>
      </c>
      <c r="BI1105" s="328">
        <v>-11.11</v>
      </c>
      <c r="BJ1105" s="328">
        <f>-2.702-50.224</f>
        <v>-52.925999999999995</v>
      </c>
      <c r="BK1105" s="373">
        <f t="shared" si="2099"/>
        <v>-52.925999999999995</v>
      </c>
      <c r="BL1105" s="328">
        <f>-2.288-58.613</f>
        <v>-60.900999999999996</v>
      </c>
      <c r="BM1105" s="328">
        <f>+-2.152-53.786</f>
        <v>-55.938000000000002</v>
      </c>
      <c r="BN1105" s="3143">
        <f>-52.401-1.986</f>
        <v>-54.387</v>
      </c>
      <c r="BO1105" s="3143">
        <f>-1.888-51.786</f>
        <v>-53.673999999999999</v>
      </c>
      <c r="BP1105" s="373">
        <f t="shared" si="2101"/>
        <v>-53.673999999999999</v>
      </c>
      <c r="BQ1105" s="3143">
        <f>-1.791-51.403</f>
        <v>-53.193999999999996</v>
      </c>
      <c r="BR1105" s="3494">
        <f>-1.719-49.39</f>
        <v>-51.109000000000002</v>
      </c>
      <c r="BS1105" s="328">
        <f>-1.613-46.951</f>
        <v>-48.564</v>
      </c>
      <c r="BT1105" s="347">
        <f>BS1105</f>
        <v>-48.564</v>
      </c>
      <c r="BU1105" s="3326">
        <f t="shared" si="2105"/>
        <v>-48.564</v>
      </c>
      <c r="BV1105" s="347">
        <f t="shared" ref="BV1105:BV1106" si="2126">BU1105</f>
        <v>-48.564</v>
      </c>
      <c r="BW1105" s="347">
        <f t="shared" ref="BW1105:BW1106" si="2127">BV1105</f>
        <v>-48.564</v>
      </c>
      <c r="BX1105" s="347">
        <f t="shared" ref="BX1105:BX1106" si="2128">BW1105</f>
        <v>-48.564</v>
      </c>
      <c r="BY1105" s="347">
        <f t="shared" ref="BY1105:BY1106" si="2129">BX1105</f>
        <v>-48.564</v>
      </c>
      <c r="BZ1105" s="3326">
        <f t="shared" si="2108"/>
        <v>-48.564</v>
      </c>
      <c r="CA1105" s="373">
        <f t="shared" si="2112"/>
        <v>-48.564</v>
      </c>
      <c r="CB1105" s="373">
        <f t="shared" si="2112"/>
        <v>-48.564</v>
      </c>
      <c r="CC1105" s="373">
        <f t="shared" ref="CC1105:CG1106" si="2130">CB1105</f>
        <v>-48.564</v>
      </c>
      <c r="CD1105" s="373">
        <f t="shared" si="2130"/>
        <v>-48.564</v>
      </c>
      <c r="CE1105" s="373">
        <f t="shared" si="2130"/>
        <v>-48.564</v>
      </c>
      <c r="CF1105" s="373">
        <f t="shared" si="2130"/>
        <v>-48.564</v>
      </c>
      <c r="CG1105" s="373">
        <f t="shared" si="2130"/>
        <v>-48.564</v>
      </c>
      <c r="CH1105" s="1430"/>
      <c r="CI1105" s="374"/>
      <c r="CJ1105" s="374"/>
      <c r="CK1105" s="374"/>
      <c r="CL1105" s="374"/>
      <c r="CM1105" s="621"/>
      <c r="CN1105" s="621">
        <f t="shared" si="2061"/>
        <v>-48.564</v>
      </c>
      <c r="CO1105" s="965">
        <f t="shared" si="2062"/>
        <v>48.564</v>
      </c>
      <c r="CP1105" s="90" t="str">
        <f t="shared" si="1959"/>
        <v>Unamortized Discounts / Fees</v>
      </c>
      <c r="CQ1105" s="347">
        <f t="shared" si="1960"/>
        <v>0</v>
      </c>
      <c r="CR1105" s="347">
        <f t="shared" si="1961"/>
        <v>0</v>
      </c>
      <c r="CS1105" s="347">
        <f t="shared" si="1962"/>
        <v>0</v>
      </c>
      <c r="CT1105" s="347">
        <f t="shared" si="1963"/>
        <v>0</v>
      </c>
      <c r="CU1105" s="347">
        <f t="shared" si="1964"/>
        <v>0</v>
      </c>
      <c r="CV1105" s="347">
        <f t="shared" si="1965"/>
        <v>0</v>
      </c>
      <c r="CW1105" s="347">
        <f t="shared" si="1966"/>
        <v>0</v>
      </c>
      <c r="CX1105" s="347">
        <f t="shared" si="1967"/>
        <v>-41.483000000000004</v>
      </c>
      <c r="CY1105" s="347">
        <f t="shared" si="1968"/>
        <v>-66.38</v>
      </c>
      <c r="CZ1105" s="347">
        <f t="shared" si="1969"/>
        <v>-39.826000000000001</v>
      </c>
      <c r="DA1105" s="347">
        <f t="shared" si="1970"/>
        <v>-20.177</v>
      </c>
      <c r="DB1105" s="347">
        <f t="shared" si="1971"/>
        <v>-52.925999999999995</v>
      </c>
      <c r="DC1105" s="347">
        <f t="shared" si="1972"/>
        <v>-53.673999999999999</v>
      </c>
      <c r="DD1105" s="347">
        <f t="shared" si="1973"/>
        <v>-48.564</v>
      </c>
      <c r="DE1105" s="347">
        <f t="shared" si="1974"/>
        <v>-48.564</v>
      </c>
      <c r="DF1105" s="347">
        <f t="shared" si="1975"/>
        <v>-48.564</v>
      </c>
      <c r="DG1105" s="1795">
        <f t="shared" si="1976"/>
        <v>-48.564</v>
      </c>
      <c r="DH1105" s="894"/>
      <c r="DI1105" s="894"/>
      <c r="DJ1105" s="894"/>
      <c r="DK1105" s="894"/>
      <c r="DL1105" s="894"/>
      <c r="DM1105" s="894"/>
      <c r="DN1105" s="876"/>
      <c r="DO1105" s="389"/>
      <c r="DY1105" s="374"/>
      <c r="DZ1105" s="374"/>
    </row>
    <row r="1106" spans="1:130" ht="12" customHeight="1">
      <c r="A1106" s="90" t="s">
        <v>328</v>
      </c>
      <c r="B1106" s="552"/>
      <c r="C1106" s="552"/>
      <c r="D1106" s="377">
        <v>-1.8</v>
      </c>
      <c r="E1106" s="374">
        <f>D1106</f>
        <v>-1.8</v>
      </c>
      <c r="F1106" s="374">
        <f>E1106</f>
        <v>-1.8</v>
      </c>
      <c r="G1106" s="374">
        <f>-0.892+30.917-G1098</f>
        <v>14.425000000000002</v>
      </c>
      <c r="H1106" s="346">
        <f>G1106</f>
        <v>14.425000000000002</v>
      </c>
      <c r="I1106" s="374">
        <f>2252.675+5.689-SUM(I1082:I1100)</f>
        <v>9.7640000000001237</v>
      </c>
      <c r="J1106" s="374">
        <f>I1106</f>
        <v>9.7640000000001237</v>
      </c>
      <c r="K1106" s="376">
        <f>2387.3+5.758-SUM(K1082:K1100)</f>
        <v>16.458000000000084</v>
      </c>
      <c r="L1106" s="376">
        <f>30.235+1.489-L1098</f>
        <v>16.124000000000002</v>
      </c>
      <c r="M1106" s="346">
        <f>L1106</f>
        <v>16.124000000000002</v>
      </c>
      <c r="N1106" s="376">
        <f>2592.006+5.741-SUM(N1082:N1104)</f>
        <v>5.7409999999999854</v>
      </c>
      <c r="O1106" s="376">
        <f>20.985+2589.138-SUM(O1082:O1104)</f>
        <v>18.117000000000189</v>
      </c>
      <c r="P1106" s="376">
        <f>2554.2+20.939-SUM(P1082:P1100)</f>
        <v>5.1389999999996689</v>
      </c>
      <c r="Q1106" s="376">
        <v>1.1060000000000001</v>
      </c>
      <c r="R1106" s="346">
        <f>Q1106</f>
        <v>1.1060000000000001</v>
      </c>
      <c r="S1106" s="374">
        <f>R1106</f>
        <v>1.1060000000000001</v>
      </c>
      <c r="T1106" s="376">
        <v>0</v>
      </c>
      <c r="U1106" s="374">
        <f>T1106</f>
        <v>0</v>
      </c>
      <c r="V1106" s="374">
        <f>U1106</f>
        <v>0</v>
      </c>
      <c r="W1106" s="346">
        <f>V1106</f>
        <v>0</v>
      </c>
      <c r="X1106" s="374">
        <f t="shared" si="2124"/>
        <v>0</v>
      </c>
      <c r="Y1106" s="374">
        <f t="shared" si="2124"/>
        <v>0</v>
      </c>
      <c r="Z1106" s="374">
        <f t="shared" si="2124"/>
        <v>0</v>
      </c>
      <c r="AA1106" s="374">
        <f>Z1106</f>
        <v>0</v>
      </c>
      <c r="AB1106" s="346">
        <f t="shared" si="2093"/>
        <v>0</v>
      </c>
      <c r="AC1106" s="376">
        <f>AB1106</f>
        <v>0</v>
      </c>
      <c r="AD1106" s="376">
        <f>AC1106</f>
        <v>0</v>
      </c>
      <c r="AE1106" s="376">
        <f>AD1106</f>
        <v>0</v>
      </c>
      <c r="AF1106" s="376">
        <v>12.413</v>
      </c>
      <c r="AG1106" s="346">
        <f>AF1106</f>
        <v>12.413</v>
      </c>
      <c r="AH1106" s="328">
        <v>12.254</v>
      </c>
      <c r="AI1106" s="328">
        <v>12.092000000000001</v>
      </c>
      <c r="AJ1106" s="328">
        <v>11.928000000000001</v>
      </c>
      <c r="AK1106" s="328">
        <v>11.760999999999999</v>
      </c>
      <c r="AL1106" s="373">
        <f>AK1106</f>
        <v>11.760999999999999</v>
      </c>
      <c r="AM1106" s="328">
        <v>11.593</v>
      </c>
      <c r="AN1106" s="328">
        <v>11.420999999999999</v>
      </c>
      <c r="AO1106" s="328">
        <v>11.247999999999999</v>
      </c>
      <c r="AP1106" s="328">
        <v>11.071</v>
      </c>
      <c r="AQ1106" s="373">
        <f>AP1106</f>
        <v>11.071</v>
      </c>
      <c r="AR1106" s="328">
        <v>10.893000000000001</v>
      </c>
      <c r="AS1106" s="328">
        <v>10.71</v>
      </c>
      <c r="AT1106" s="328">
        <f>10.528</f>
        <v>10.528</v>
      </c>
      <c r="AU1106" s="328">
        <f>0.494-61.57</f>
        <v>-61.076000000000001</v>
      </c>
      <c r="AV1106" s="373">
        <f t="shared" si="2121"/>
        <v>-61.076000000000001</v>
      </c>
      <c r="AW1106" s="328">
        <f>0.019-200.759</f>
        <v>-200.73999999999998</v>
      </c>
      <c r="AX1106" s="328">
        <f>0.017-50.759</f>
        <v>-50.741999999999997</v>
      </c>
      <c r="AY1106" s="328">
        <f>0.014-29.759</f>
        <v>-29.745000000000001</v>
      </c>
      <c r="AZ1106" s="328">
        <f>0.012-33.559</f>
        <v>-33.546999999999997</v>
      </c>
      <c r="BA1106" s="373">
        <f t="shared" si="2064"/>
        <v>-33.546999999999997</v>
      </c>
      <c r="BB1106" s="328">
        <f>0.011-31.497</f>
        <v>-31.486000000000001</v>
      </c>
      <c r="BC1106" s="2791">
        <f>0.008-31.496</f>
        <v>-31.488</v>
      </c>
      <c r="BD1106" s="328">
        <f>0.006-27.693</f>
        <v>-27.687000000000001</v>
      </c>
      <c r="BE1106" s="328">
        <f>0.003-29.753</f>
        <v>-29.75</v>
      </c>
      <c r="BF1106" s="373">
        <f t="shared" si="2125"/>
        <v>-29.75</v>
      </c>
      <c r="BG1106" s="328">
        <f>0.001-27.688</f>
        <v>-27.686999999999998</v>
      </c>
      <c r="BH1106" s="328">
        <v>-27.687999999999999</v>
      </c>
      <c r="BI1106" s="328">
        <v>-27.687999999999999</v>
      </c>
      <c r="BJ1106" s="328">
        <v>-29.75</v>
      </c>
      <c r="BK1106" s="373">
        <f t="shared" si="2099"/>
        <v>-29.75</v>
      </c>
      <c r="BL1106" s="328">
        <f>-27.688</f>
        <v>-27.687999999999999</v>
      </c>
      <c r="BM1106" s="328">
        <v>-29.75</v>
      </c>
      <c r="BN1106" s="3143">
        <v>-30.25</v>
      </c>
      <c r="BO1106" s="3143">
        <v>-30.335999999999999</v>
      </c>
      <c r="BP1106" s="373">
        <f t="shared" si="2101"/>
        <v>-30.335999999999999</v>
      </c>
      <c r="BQ1106" s="3143">
        <v>-23.983000000000001</v>
      </c>
      <c r="BR1106" s="3494">
        <v>-23.986999999999998</v>
      </c>
      <c r="BS1106" s="328">
        <v>-23.981000000000002</v>
      </c>
      <c r="BT1106" s="347">
        <f>BS1106</f>
        <v>-23.981000000000002</v>
      </c>
      <c r="BU1106" s="3326">
        <f t="shared" si="2105"/>
        <v>-23.981000000000002</v>
      </c>
      <c r="BV1106" s="347">
        <f t="shared" si="2126"/>
        <v>-23.981000000000002</v>
      </c>
      <c r="BW1106" s="347">
        <f t="shared" si="2127"/>
        <v>-23.981000000000002</v>
      </c>
      <c r="BX1106" s="347">
        <f t="shared" si="2128"/>
        <v>-23.981000000000002</v>
      </c>
      <c r="BY1106" s="347">
        <f t="shared" si="2129"/>
        <v>-23.981000000000002</v>
      </c>
      <c r="BZ1106" s="3326">
        <f t="shared" si="2108"/>
        <v>-23.981000000000002</v>
      </c>
      <c r="CA1106" s="373">
        <f t="shared" si="2112"/>
        <v>-23.981000000000002</v>
      </c>
      <c r="CB1106" s="373">
        <f t="shared" si="2112"/>
        <v>-23.981000000000002</v>
      </c>
      <c r="CC1106" s="373">
        <f t="shared" si="2130"/>
        <v>-23.981000000000002</v>
      </c>
      <c r="CD1106" s="373">
        <f t="shared" si="2130"/>
        <v>-23.981000000000002</v>
      </c>
      <c r="CE1106" s="373">
        <f t="shared" si="2130"/>
        <v>-23.981000000000002</v>
      </c>
      <c r="CF1106" s="373">
        <f t="shared" si="2130"/>
        <v>-23.981000000000002</v>
      </c>
      <c r="CG1106" s="373">
        <f t="shared" si="2130"/>
        <v>-23.981000000000002</v>
      </c>
      <c r="CH1106" s="452"/>
      <c r="CI1106" s="452"/>
      <c r="CJ1106" s="452"/>
      <c r="CK1106" s="452"/>
      <c r="CL1106" s="452"/>
      <c r="CM1106" s="621"/>
      <c r="CN1106" s="621">
        <f t="shared" si="2061"/>
        <v>-23.981000000000002</v>
      </c>
      <c r="CO1106" s="965">
        <f t="shared" si="2062"/>
        <v>23.981000000000002</v>
      </c>
      <c r="CP1106" s="90" t="str">
        <f t="shared" si="1959"/>
        <v>Market Value of Interest Rate Swaps &amp; Other</v>
      </c>
      <c r="CQ1106" s="347">
        <f t="shared" si="1960"/>
        <v>14.425000000000002</v>
      </c>
      <c r="CR1106" s="347">
        <f t="shared" si="1961"/>
        <v>16.124000000000002</v>
      </c>
      <c r="CS1106" s="347">
        <f t="shared" si="1962"/>
        <v>1.1060000000000001</v>
      </c>
      <c r="CT1106" s="347">
        <f t="shared" si="1963"/>
        <v>0</v>
      </c>
      <c r="CU1106" s="347">
        <f t="shared" si="1964"/>
        <v>0</v>
      </c>
      <c r="CV1106" s="347">
        <f t="shared" si="1965"/>
        <v>12.413</v>
      </c>
      <c r="CW1106" s="347">
        <f t="shared" si="1966"/>
        <v>11.760999999999999</v>
      </c>
      <c r="CX1106" s="347">
        <f t="shared" si="1967"/>
        <v>11.071</v>
      </c>
      <c r="CY1106" s="347">
        <f t="shared" si="1968"/>
        <v>-61.076000000000001</v>
      </c>
      <c r="CZ1106" s="347">
        <f t="shared" si="1969"/>
        <v>-33.546999999999997</v>
      </c>
      <c r="DA1106" s="347">
        <f t="shared" si="1970"/>
        <v>-29.75</v>
      </c>
      <c r="DB1106" s="347">
        <f t="shared" si="1971"/>
        <v>-29.75</v>
      </c>
      <c r="DC1106" s="347">
        <f t="shared" si="1972"/>
        <v>-30.335999999999999</v>
      </c>
      <c r="DD1106" s="347">
        <f t="shared" si="1973"/>
        <v>-23.981000000000002</v>
      </c>
      <c r="DE1106" s="347">
        <f t="shared" si="1974"/>
        <v>-23.981000000000002</v>
      </c>
      <c r="DF1106" s="347">
        <f t="shared" si="1975"/>
        <v>-23.981000000000002</v>
      </c>
      <c r="DG1106" s="1795">
        <f t="shared" si="1976"/>
        <v>-23.981000000000002</v>
      </c>
      <c r="DH1106" s="894"/>
      <c r="DI1106" s="894"/>
      <c r="DJ1106" s="894"/>
      <c r="DK1106" s="894"/>
      <c r="DL1106" s="894"/>
      <c r="DM1106" s="894"/>
      <c r="DN1106" s="876"/>
      <c r="DO1106" s="389"/>
      <c r="DY1106" s="374"/>
      <c r="DZ1106" s="374"/>
    </row>
    <row r="1107" spans="1:130" ht="12" customHeight="1">
      <c r="A1107" s="90" t="s">
        <v>518</v>
      </c>
      <c r="B1107" s="552"/>
      <c r="C1107" s="552"/>
      <c r="D1107" s="377"/>
      <c r="E1107" s="374"/>
      <c r="F1107" s="374"/>
      <c r="G1107" s="374"/>
      <c r="H1107" s="346"/>
      <c r="I1107" s="374"/>
      <c r="J1107" s="374"/>
      <c r="K1107" s="376"/>
      <c r="L1107" s="376"/>
      <c r="M1107" s="346"/>
      <c r="N1107" s="376"/>
      <c r="O1107" s="376"/>
      <c r="P1107" s="376"/>
      <c r="Q1107" s="376"/>
      <c r="R1107" s="346"/>
      <c r="S1107" s="374"/>
      <c r="T1107" s="376"/>
      <c r="U1107" s="374"/>
      <c r="V1107" s="374"/>
      <c r="W1107" s="346"/>
      <c r="X1107" s="374"/>
      <c r="Y1107" s="374"/>
      <c r="Z1107" s="374"/>
      <c r="AA1107" s="374"/>
      <c r="AB1107" s="346"/>
      <c r="AC1107" s="376"/>
      <c r="AD1107" s="376"/>
      <c r="AE1107" s="376"/>
      <c r="AF1107" s="376"/>
      <c r="AG1107" s="346"/>
      <c r="AH1107" s="328"/>
      <c r="AI1107" s="328"/>
      <c r="AJ1107" s="328"/>
      <c r="AK1107" s="328"/>
      <c r="AL1107" s="373"/>
      <c r="AM1107" s="328"/>
      <c r="AN1107" s="328"/>
      <c r="AO1107" s="328"/>
      <c r="AP1107" s="328"/>
      <c r="AQ1107" s="373"/>
      <c r="AR1107" s="328"/>
      <c r="AS1107" s="328"/>
      <c r="AT1107" s="328"/>
      <c r="AU1107" s="328">
        <v>854.4</v>
      </c>
      <c r="AV1107" s="373">
        <f t="shared" si="2121"/>
        <v>854.4</v>
      </c>
      <c r="AW1107" s="328">
        <v>843.73800000000006</v>
      </c>
      <c r="AX1107" s="328">
        <f>832.775</f>
        <v>832.77499999999998</v>
      </c>
      <c r="AY1107" s="328">
        <v>826.21299999999997</v>
      </c>
      <c r="AZ1107" s="328">
        <v>802.15</v>
      </c>
      <c r="BA1107" s="373">
        <f t="shared" si="2064"/>
        <v>802.15</v>
      </c>
      <c r="BB1107" s="328">
        <v>786.625</v>
      </c>
      <c r="BC1107" s="2791">
        <v>768.16300000000001</v>
      </c>
      <c r="BD1107" s="328">
        <v>760.9</v>
      </c>
      <c r="BE1107" s="328">
        <v>742.4</v>
      </c>
      <c r="BF1107" s="373">
        <f t="shared" si="2125"/>
        <v>742.4</v>
      </c>
      <c r="BG1107" s="328">
        <v>725.17499999999995</v>
      </c>
      <c r="BH1107" s="328">
        <v>690.01300000000003</v>
      </c>
      <c r="BI1107" s="328">
        <v>668.95</v>
      </c>
      <c r="BJ1107" s="328">
        <v>662.75</v>
      </c>
      <c r="BK1107" s="373">
        <f t="shared" si="2099"/>
        <v>662.75</v>
      </c>
      <c r="BL1107" s="328">
        <f>643.255</f>
        <v>643.255</v>
      </c>
      <c r="BM1107" s="328">
        <v>610.52499999999998</v>
      </c>
      <c r="BN1107" s="3143">
        <v>0</v>
      </c>
      <c r="BO1107" s="3143">
        <v>0</v>
      </c>
      <c r="BP1107" s="373">
        <f t="shared" si="2101"/>
        <v>0</v>
      </c>
      <c r="BQ1107" s="3143">
        <v>0</v>
      </c>
      <c r="BR1107" s="3494">
        <v>0</v>
      </c>
      <c r="BS1107" s="328">
        <v>0</v>
      </c>
      <c r="BT1107" s="3143">
        <v>0</v>
      </c>
      <c r="BU1107" s="3326">
        <f t="shared" si="2105"/>
        <v>0</v>
      </c>
      <c r="BV1107" s="347">
        <v>0</v>
      </c>
      <c r="BW1107" s="347">
        <v>0</v>
      </c>
      <c r="BX1107" s="347">
        <v>0</v>
      </c>
      <c r="BY1107" s="347">
        <v>0</v>
      </c>
      <c r="BZ1107" s="3326">
        <f t="shared" si="2108"/>
        <v>0</v>
      </c>
      <c r="CA1107" s="373">
        <v>0</v>
      </c>
      <c r="CB1107" s="373">
        <v>0</v>
      </c>
      <c r="CC1107" s="373">
        <v>0</v>
      </c>
      <c r="CD1107" s="373">
        <v>0</v>
      </c>
      <c r="CE1107" s="373">
        <v>0</v>
      </c>
      <c r="CF1107" s="373">
        <v>0</v>
      </c>
      <c r="CG1107" s="373">
        <v>0</v>
      </c>
      <c r="CH1107" s="452"/>
      <c r="CI1107" s="452"/>
      <c r="CJ1107" s="452"/>
      <c r="CK1107" s="452"/>
      <c r="CL1107" s="452"/>
      <c r="CM1107" s="621"/>
      <c r="CN1107" s="621">
        <f>BY1107</f>
        <v>0</v>
      </c>
      <c r="CO1107" s="965">
        <f t="shared" si="2062"/>
        <v>0</v>
      </c>
      <c r="CP1107" s="90" t="str">
        <f t="shared" si="1959"/>
        <v>$825M Peninsula Term Loan due 11/2017</v>
      </c>
      <c r="CQ1107" s="347"/>
      <c r="CR1107" s="347"/>
      <c r="CS1107" s="347"/>
      <c r="CT1107" s="347"/>
      <c r="CU1107" s="347"/>
      <c r="CV1107" s="347"/>
      <c r="CW1107" s="347"/>
      <c r="CX1107" s="347"/>
      <c r="CY1107" s="347"/>
      <c r="CZ1107" s="347">
        <f t="shared" si="1969"/>
        <v>802.15</v>
      </c>
      <c r="DA1107" s="347">
        <f t="shared" si="1970"/>
        <v>742.4</v>
      </c>
      <c r="DB1107" s="347">
        <f t="shared" si="1971"/>
        <v>662.75</v>
      </c>
      <c r="DC1107" s="347">
        <f t="shared" si="1972"/>
        <v>0</v>
      </c>
      <c r="DD1107" s="347">
        <f t="shared" si="1973"/>
        <v>0</v>
      </c>
      <c r="DE1107" s="347">
        <f t="shared" si="1974"/>
        <v>0</v>
      </c>
      <c r="DF1107" s="347">
        <f t="shared" si="1975"/>
        <v>0</v>
      </c>
      <c r="DG1107" s="1795">
        <f t="shared" si="1976"/>
        <v>0</v>
      </c>
      <c r="DH1107" s="894"/>
      <c r="DI1107" s="894"/>
      <c r="DJ1107" s="894"/>
      <c r="DK1107" s="894"/>
      <c r="DL1107" s="894"/>
      <c r="DM1107" s="894"/>
      <c r="DN1107" s="876"/>
      <c r="DO1107" s="389"/>
      <c r="DY1107" s="374"/>
      <c r="DZ1107" s="374"/>
    </row>
    <row r="1108" spans="1:130" ht="12" customHeight="1">
      <c r="A1108" s="90" t="s">
        <v>519</v>
      </c>
      <c r="B1108" s="552"/>
      <c r="C1108" s="552"/>
      <c r="D1108" s="377"/>
      <c r="E1108" s="374"/>
      <c r="F1108" s="374"/>
      <c r="G1108" s="374"/>
      <c r="H1108" s="346"/>
      <c r="I1108" s="374"/>
      <c r="J1108" s="374"/>
      <c r="K1108" s="376"/>
      <c r="L1108" s="376"/>
      <c r="M1108" s="346"/>
      <c r="N1108" s="376"/>
      <c r="O1108" s="376"/>
      <c r="P1108" s="376"/>
      <c r="Q1108" s="376"/>
      <c r="R1108" s="346"/>
      <c r="S1108" s="374"/>
      <c r="T1108" s="376"/>
      <c r="U1108" s="374"/>
      <c r="V1108" s="374"/>
      <c r="W1108" s="346"/>
      <c r="X1108" s="374"/>
      <c r="Y1108" s="374"/>
      <c r="Z1108" s="374"/>
      <c r="AA1108" s="374"/>
      <c r="AB1108" s="346"/>
      <c r="AC1108" s="376"/>
      <c r="AD1108" s="376"/>
      <c r="AE1108" s="376"/>
      <c r="AF1108" s="376"/>
      <c r="AG1108" s="346"/>
      <c r="AH1108" s="328"/>
      <c r="AI1108" s="328"/>
      <c r="AJ1108" s="328"/>
      <c r="AK1108" s="328"/>
      <c r="AL1108" s="373"/>
      <c r="AM1108" s="328"/>
      <c r="AN1108" s="328"/>
      <c r="AO1108" s="328"/>
      <c r="AP1108" s="328"/>
      <c r="AQ1108" s="373"/>
      <c r="AR1108" s="328"/>
      <c r="AS1108" s="328"/>
      <c r="AT1108" s="328"/>
      <c r="AU1108" s="328">
        <v>0</v>
      </c>
      <c r="AV1108" s="373">
        <f t="shared" si="2121"/>
        <v>0</v>
      </c>
      <c r="AW1108" s="328">
        <v>0</v>
      </c>
      <c r="AX1108" s="328">
        <v>0</v>
      </c>
      <c r="AY1108" s="328">
        <v>0</v>
      </c>
      <c r="AZ1108" s="328">
        <v>0</v>
      </c>
      <c r="BA1108" s="373">
        <f t="shared" si="2064"/>
        <v>0</v>
      </c>
      <c r="BB1108" s="328">
        <v>0</v>
      </c>
      <c r="BC1108" s="328">
        <v>0</v>
      </c>
      <c r="BD1108" s="328">
        <v>0</v>
      </c>
      <c r="BE1108" s="328">
        <v>0</v>
      </c>
      <c r="BF1108" s="373">
        <f t="shared" si="2125"/>
        <v>0</v>
      </c>
      <c r="BG1108" s="328">
        <v>0</v>
      </c>
      <c r="BH1108" s="328">
        <v>0</v>
      </c>
      <c r="BI1108" s="328">
        <v>0</v>
      </c>
      <c r="BJ1108" s="328">
        <v>0</v>
      </c>
      <c r="BK1108" s="373">
        <f t="shared" si="2099"/>
        <v>0</v>
      </c>
      <c r="BL1108" s="347">
        <f t="shared" ref="BL1108:BQ1108" si="2131">BK1108</f>
        <v>0</v>
      </c>
      <c r="BM1108" s="347">
        <f t="shared" si="2131"/>
        <v>0</v>
      </c>
      <c r="BN1108" s="3143">
        <v>0</v>
      </c>
      <c r="BO1108" s="347">
        <f t="shared" si="2131"/>
        <v>0</v>
      </c>
      <c r="BP1108" s="373">
        <f t="shared" si="2101"/>
        <v>0</v>
      </c>
      <c r="BQ1108" s="347">
        <f t="shared" si="2131"/>
        <v>0</v>
      </c>
      <c r="BR1108" s="3494">
        <v>0</v>
      </c>
      <c r="BS1108" s="328">
        <v>0</v>
      </c>
      <c r="BT1108" s="347">
        <f>BS1108</f>
        <v>0</v>
      </c>
      <c r="BU1108" s="3326">
        <f t="shared" si="2105"/>
        <v>0</v>
      </c>
      <c r="BV1108" s="347">
        <f>BU1108</f>
        <v>0</v>
      </c>
      <c r="BW1108" s="347">
        <f t="shared" ref="BW1108:BY1108" si="2132">BV1108</f>
        <v>0</v>
      </c>
      <c r="BX1108" s="347">
        <f t="shared" si="2132"/>
        <v>0</v>
      </c>
      <c r="BY1108" s="347">
        <f t="shared" si="2132"/>
        <v>0</v>
      </c>
      <c r="BZ1108" s="3326">
        <f t="shared" si="2108"/>
        <v>0</v>
      </c>
      <c r="CA1108" s="1802">
        <f t="shared" si="2112"/>
        <v>0</v>
      </c>
      <c r="CB1108" s="1802">
        <f t="shared" si="2112"/>
        <v>0</v>
      </c>
      <c r="CC1108" s="1802">
        <f t="shared" ref="CC1108:CG1110" si="2133">CB1108</f>
        <v>0</v>
      </c>
      <c r="CD1108" s="1802">
        <f t="shared" si="2133"/>
        <v>0</v>
      </c>
      <c r="CE1108" s="1802">
        <f t="shared" si="2133"/>
        <v>0</v>
      </c>
      <c r="CF1108" s="1802">
        <f t="shared" si="2133"/>
        <v>0</v>
      </c>
      <c r="CG1108" s="1802">
        <f t="shared" si="2133"/>
        <v>0</v>
      </c>
      <c r="CH1108" s="452"/>
      <c r="CI1108" s="452"/>
      <c r="CJ1108" s="452"/>
      <c r="CK1108" s="452"/>
      <c r="CL1108" s="452"/>
      <c r="CM1108" s="621"/>
      <c r="CN1108" s="621">
        <f>BY1108</f>
        <v>0</v>
      </c>
      <c r="CO1108" s="965">
        <f t="shared" si="2062"/>
        <v>0</v>
      </c>
      <c r="CP1108" s="90" t="str">
        <f t="shared" si="1959"/>
        <v>$50M Peninsula Revolver due 11/2017</v>
      </c>
      <c r="CQ1108" s="347"/>
      <c r="CR1108" s="347"/>
      <c r="CS1108" s="347"/>
      <c r="CT1108" s="347"/>
      <c r="CU1108" s="347"/>
      <c r="CV1108" s="347"/>
      <c r="CW1108" s="347"/>
      <c r="CX1108" s="347"/>
      <c r="CY1108" s="347"/>
      <c r="CZ1108" s="347">
        <f t="shared" si="1969"/>
        <v>0</v>
      </c>
      <c r="DA1108" s="347">
        <f t="shared" si="1970"/>
        <v>0</v>
      </c>
      <c r="DB1108" s="347">
        <f t="shared" si="1971"/>
        <v>0</v>
      </c>
      <c r="DC1108" s="347">
        <f t="shared" si="1972"/>
        <v>0</v>
      </c>
      <c r="DD1108" s="347">
        <f t="shared" si="1973"/>
        <v>0</v>
      </c>
      <c r="DE1108" s="347">
        <f t="shared" si="1974"/>
        <v>0</v>
      </c>
      <c r="DF1108" s="347">
        <f t="shared" si="1975"/>
        <v>0</v>
      </c>
      <c r="DG1108" s="1795">
        <f t="shared" si="1976"/>
        <v>0</v>
      </c>
      <c r="DH1108" s="894"/>
      <c r="DI1108" s="894"/>
      <c r="DJ1108" s="894"/>
      <c r="DK1108" s="894"/>
      <c r="DL1108" s="894"/>
      <c r="DM1108" s="894"/>
      <c r="DN1108" s="876"/>
      <c r="DO1108" s="389"/>
      <c r="DY1108" s="374"/>
      <c r="DZ1108" s="374"/>
    </row>
    <row r="1109" spans="1:130" ht="12" customHeight="1">
      <c r="A1109" s="90" t="s">
        <v>1601</v>
      </c>
      <c r="B1109" s="552"/>
      <c r="C1109" s="552"/>
      <c r="D1109" s="377"/>
      <c r="E1109" s="376"/>
      <c r="F1109" s="376"/>
      <c r="G1109" s="376"/>
      <c r="H1109" s="893"/>
      <c r="I1109" s="376"/>
      <c r="J1109" s="376"/>
      <c r="K1109" s="376"/>
      <c r="L1109" s="376"/>
      <c r="M1109" s="893"/>
      <c r="N1109" s="376"/>
      <c r="O1109" s="376"/>
      <c r="P1109" s="376"/>
      <c r="Q1109" s="376"/>
      <c r="R1109" s="893"/>
      <c r="S1109" s="376"/>
      <c r="T1109" s="376"/>
      <c r="U1109" s="376"/>
      <c r="V1109" s="376"/>
      <c r="W1109" s="346"/>
      <c r="X1109" s="374"/>
      <c r="Y1109" s="374"/>
      <c r="Z1109" s="374"/>
      <c r="AA1109" s="374"/>
      <c r="AB1109" s="346"/>
      <c r="AC1109" s="376"/>
      <c r="AD1109" s="376"/>
      <c r="AE1109" s="376"/>
      <c r="AF1109" s="374"/>
      <c r="AG1109" s="346"/>
      <c r="AH1109" s="328"/>
      <c r="AI1109" s="347"/>
      <c r="AJ1109" s="347"/>
      <c r="AK1109" s="328"/>
      <c r="AL1109" s="373"/>
      <c r="AM1109" s="328"/>
      <c r="AN1109" s="328"/>
      <c r="AO1109" s="328"/>
      <c r="AP1109" s="328"/>
      <c r="AQ1109" s="373"/>
      <c r="AR1109" s="328"/>
      <c r="AS1109" s="328"/>
      <c r="AT1109" s="328">
        <v>350</v>
      </c>
      <c r="AU1109" s="328">
        <v>350</v>
      </c>
      <c r="AV1109" s="373">
        <f t="shared" si="2121"/>
        <v>350</v>
      </c>
      <c r="AW1109" s="328">
        <v>350</v>
      </c>
      <c r="AX1109" s="328">
        <v>350</v>
      </c>
      <c r="AY1109" s="328">
        <v>350</v>
      </c>
      <c r="AZ1109" s="328">
        <v>350</v>
      </c>
      <c r="BA1109" s="373">
        <f t="shared" si="2064"/>
        <v>350</v>
      </c>
      <c r="BB1109" s="328">
        <v>350</v>
      </c>
      <c r="BC1109" s="328">
        <v>350</v>
      </c>
      <c r="BD1109" s="328">
        <v>350</v>
      </c>
      <c r="BE1109" s="328">
        <v>350</v>
      </c>
      <c r="BF1109" s="373">
        <f t="shared" si="2125"/>
        <v>350</v>
      </c>
      <c r="BG1109" s="328">
        <v>350</v>
      </c>
      <c r="BH1109" s="328">
        <v>350</v>
      </c>
      <c r="BI1109" s="328">
        <v>350</v>
      </c>
      <c r="BJ1109" s="328">
        <v>350</v>
      </c>
      <c r="BK1109" s="373">
        <f t="shared" si="2099"/>
        <v>350</v>
      </c>
      <c r="BL1109" s="328">
        <v>350</v>
      </c>
      <c r="BM1109" s="328">
        <v>350</v>
      </c>
      <c r="BN1109" s="3143">
        <v>0</v>
      </c>
      <c r="BO1109" s="347">
        <v>0</v>
      </c>
      <c r="BP1109" s="373">
        <f t="shared" si="2101"/>
        <v>0</v>
      </c>
      <c r="BQ1109" s="347">
        <v>0</v>
      </c>
      <c r="BR1109" s="3494">
        <v>0</v>
      </c>
      <c r="BS1109" s="328">
        <v>0</v>
      </c>
      <c r="BT1109" s="347">
        <v>0</v>
      </c>
      <c r="BU1109" s="3326">
        <f>BT1109</f>
        <v>0</v>
      </c>
      <c r="BV1109" s="3143">
        <v>0</v>
      </c>
      <c r="BW1109" s="3143">
        <v>0</v>
      </c>
      <c r="BX1109" s="3143">
        <v>0</v>
      </c>
      <c r="BY1109" s="3143">
        <v>0</v>
      </c>
      <c r="BZ1109" s="3326">
        <f>BY1109</f>
        <v>0</v>
      </c>
      <c r="CA1109" s="373">
        <f t="shared" ref="CA1109:CB1110" si="2134">BZ1109</f>
        <v>0</v>
      </c>
      <c r="CB1109" s="373">
        <f t="shared" si="2134"/>
        <v>0</v>
      </c>
      <c r="CC1109" s="373">
        <f t="shared" si="2133"/>
        <v>0</v>
      </c>
      <c r="CD1109" s="373">
        <f t="shared" si="2133"/>
        <v>0</v>
      </c>
      <c r="CE1109" s="373">
        <f t="shared" si="2133"/>
        <v>0</v>
      </c>
      <c r="CF1109" s="373">
        <f t="shared" si="2133"/>
        <v>0</v>
      </c>
      <c r="CG1109" s="373">
        <f t="shared" si="2133"/>
        <v>0</v>
      </c>
      <c r="CH1109" s="452"/>
      <c r="CI1109" s="452"/>
      <c r="CJ1109" s="452"/>
      <c r="CK1109" s="452"/>
      <c r="CL1109" s="452"/>
      <c r="CM1109" s="621"/>
      <c r="CN1109" s="621">
        <f>BY1109</f>
        <v>0</v>
      </c>
      <c r="CO1109" s="965">
        <f t="shared" si="2062"/>
        <v>0</v>
      </c>
      <c r="CP1109" s="90"/>
      <c r="CQ1109" s="347"/>
      <c r="CR1109" s="347"/>
      <c r="CS1109" s="347"/>
      <c r="CT1109" s="347"/>
      <c r="CU1109" s="347"/>
      <c r="CV1109" s="347"/>
      <c r="CW1109" s="347"/>
      <c r="CX1109" s="347"/>
      <c r="CY1109" s="347"/>
      <c r="CZ1109" s="347"/>
      <c r="DA1109" s="347"/>
      <c r="DB1109" s="347"/>
      <c r="DC1109" s="347"/>
      <c r="DD1109" s="347"/>
      <c r="DE1109" s="347"/>
      <c r="DF1109" s="347"/>
      <c r="DG1109" s="1795"/>
      <c r="DH1109" s="894"/>
      <c r="DI1109" s="894"/>
      <c r="DJ1109" s="894"/>
      <c r="DK1109" s="894"/>
      <c r="DL1109" s="894"/>
      <c r="DM1109" s="894"/>
      <c r="DN1109" s="876"/>
      <c r="DO1109" s="389"/>
      <c r="DY1109" s="374"/>
      <c r="DZ1109" s="374"/>
    </row>
    <row r="1110" spans="1:130" ht="12" customHeight="1">
      <c r="A1110" s="3146" t="s">
        <v>1866</v>
      </c>
      <c r="B1110" s="552"/>
      <c r="C1110" s="552"/>
      <c r="D1110" s="377"/>
      <c r="E1110" s="376"/>
      <c r="F1110" s="376"/>
      <c r="G1110" s="376"/>
      <c r="H1110" s="893"/>
      <c r="I1110" s="376"/>
      <c r="J1110" s="376"/>
      <c r="K1110" s="376"/>
      <c r="L1110" s="376"/>
      <c r="M1110" s="893"/>
      <c r="N1110" s="376"/>
      <c r="O1110" s="376"/>
      <c r="P1110" s="376"/>
      <c r="Q1110" s="376"/>
      <c r="R1110" s="893"/>
      <c r="S1110" s="376"/>
      <c r="T1110" s="376"/>
      <c r="U1110" s="376"/>
      <c r="V1110" s="376"/>
      <c r="W1110" s="346"/>
      <c r="X1110" s="374"/>
      <c r="Y1110" s="374"/>
      <c r="Z1110" s="374"/>
      <c r="AA1110" s="374"/>
      <c r="AB1110" s="346"/>
      <c r="AC1110" s="376"/>
      <c r="AD1110" s="376"/>
      <c r="AE1110" s="376"/>
      <c r="AF1110" s="374"/>
      <c r="AG1110" s="346"/>
      <c r="AH1110" s="328"/>
      <c r="AI1110" s="347"/>
      <c r="AJ1110" s="347"/>
      <c r="AK1110" s="328"/>
      <c r="AL1110" s="373"/>
      <c r="AM1110" s="328"/>
      <c r="AN1110" s="328"/>
      <c r="AO1110" s="328"/>
      <c r="AP1110" s="328"/>
      <c r="AQ1110" s="373"/>
      <c r="AR1110" s="328"/>
      <c r="AS1110" s="328"/>
      <c r="AT1110" s="328"/>
      <c r="AU1110" s="328"/>
      <c r="AV1110" s="373"/>
      <c r="AW1110" s="328"/>
      <c r="AX1110" s="328"/>
      <c r="AY1110" s="328"/>
      <c r="AZ1110" s="328"/>
      <c r="BA1110" s="373"/>
      <c r="BB1110" s="328"/>
      <c r="BC1110" s="328"/>
      <c r="BD1110" s="328"/>
      <c r="BE1110" s="328"/>
      <c r="BF1110" s="373"/>
      <c r="BG1110" s="328"/>
      <c r="BH1110" s="328"/>
      <c r="BI1110" s="328"/>
      <c r="BJ1110" s="328"/>
      <c r="BK1110" s="373"/>
      <c r="BL1110" s="3143">
        <v>749.97</v>
      </c>
      <c r="BM1110" s="3143">
        <v>750</v>
      </c>
      <c r="BN1110" s="328">
        <v>750</v>
      </c>
      <c r="BO1110" s="328">
        <v>750</v>
      </c>
      <c r="BP1110" s="373">
        <f t="shared" ref="BP1110:BV1110" si="2135">BO1110</f>
        <v>750</v>
      </c>
      <c r="BQ1110" s="328">
        <v>750</v>
      </c>
      <c r="BR1110" s="328">
        <v>750</v>
      </c>
      <c r="BS1110" s="328">
        <v>750</v>
      </c>
      <c r="BT1110" s="347">
        <f>BS1110</f>
        <v>750</v>
      </c>
      <c r="BU1110" s="3326">
        <f>BT1110</f>
        <v>750</v>
      </c>
      <c r="BV1110" s="347">
        <f t="shared" si="2135"/>
        <v>750</v>
      </c>
      <c r="BW1110" s="347">
        <f t="shared" ref="BW1110" si="2136">BV1110</f>
        <v>750</v>
      </c>
      <c r="BX1110" s="347">
        <f t="shared" ref="BX1110" si="2137">BW1110</f>
        <v>750</v>
      </c>
      <c r="BY1110" s="347">
        <f t="shared" ref="BY1110" si="2138">BX1110</f>
        <v>750</v>
      </c>
      <c r="BZ1110" s="3326">
        <f>BY1110</f>
        <v>750</v>
      </c>
      <c r="CA1110" s="373">
        <f t="shared" si="2134"/>
        <v>750</v>
      </c>
      <c r="CB1110" s="373">
        <f t="shared" si="2134"/>
        <v>750</v>
      </c>
      <c r="CC1110" s="1802">
        <f t="shared" si="2133"/>
        <v>750</v>
      </c>
      <c r="CD1110" s="1802">
        <f t="shared" si="2133"/>
        <v>750</v>
      </c>
      <c r="CE1110" s="1802">
        <f t="shared" si="2133"/>
        <v>750</v>
      </c>
      <c r="CF1110" s="1802">
        <f t="shared" si="2133"/>
        <v>750</v>
      </c>
      <c r="CG1110" s="1802">
        <f t="shared" si="2133"/>
        <v>750</v>
      </c>
      <c r="CH1110" s="452"/>
      <c r="CI1110" s="452"/>
      <c r="CJ1110" s="452"/>
      <c r="CK1110" s="452"/>
      <c r="CL1110" s="452"/>
      <c r="CM1110" s="621"/>
      <c r="CN1110" s="621">
        <f>BY1110</f>
        <v>750</v>
      </c>
      <c r="CO1110" s="965">
        <f t="shared" si="2062"/>
        <v>-750</v>
      </c>
      <c r="CP1110" s="90"/>
      <c r="CQ1110" s="347"/>
      <c r="CR1110" s="347"/>
      <c r="CS1110" s="347"/>
      <c r="CT1110" s="347"/>
      <c r="CU1110" s="347"/>
      <c r="CV1110" s="347"/>
      <c r="CW1110" s="347"/>
      <c r="CX1110" s="347"/>
      <c r="CY1110" s="347"/>
      <c r="CZ1110" s="347"/>
      <c r="DA1110" s="347"/>
      <c r="DB1110" s="347"/>
      <c r="DC1110" s="347"/>
      <c r="DD1110" s="347"/>
      <c r="DE1110" s="347"/>
      <c r="DF1110" s="347"/>
      <c r="DG1110" s="1795"/>
      <c r="DH1110" s="894"/>
      <c r="DI1110" s="894"/>
      <c r="DJ1110" s="894"/>
      <c r="DK1110" s="894"/>
      <c r="DL1110" s="894"/>
      <c r="DM1110" s="894"/>
      <c r="DN1110" s="876"/>
      <c r="DO1110" s="389"/>
      <c r="DY1110" s="374"/>
      <c r="DZ1110" s="374"/>
    </row>
    <row r="1111" spans="1:130" ht="12" customHeight="1">
      <c r="A1111" s="90" t="s">
        <v>636</v>
      </c>
      <c r="B1111" s="552"/>
      <c r="C1111" s="552"/>
      <c r="D1111" s="377"/>
      <c r="E1111" s="374"/>
      <c r="F1111" s="374"/>
      <c r="G1111" s="374"/>
      <c r="H1111" s="346"/>
      <c r="I1111" s="374"/>
      <c r="J1111" s="374"/>
      <c r="K1111" s="376"/>
      <c r="L1111" s="376"/>
      <c r="M1111" s="346"/>
      <c r="N1111" s="376"/>
      <c r="O1111" s="376"/>
      <c r="P1111" s="376"/>
      <c r="Q1111" s="376"/>
      <c r="R1111" s="346"/>
      <c r="S1111" s="374"/>
      <c r="T1111" s="376"/>
      <c r="U1111" s="374"/>
      <c r="V1111" s="374"/>
      <c r="W1111" s="346"/>
      <c r="X1111" s="374"/>
      <c r="Y1111" s="374"/>
      <c r="Z1111" s="374"/>
      <c r="AA1111" s="374"/>
      <c r="AB1111" s="346"/>
      <c r="AC1111" s="376"/>
      <c r="AD1111" s="376"/>
      <c r="AE1111" s="376"/>
      <c r="AF1111" s="376"/>
      <c r="AG1111" s="346"/>
      <c r="AH1111" s="328"/>
      <c r="AI1111" s="328"/>
      <c r="AJ1111" s="328"/>
      <c r="AK1111" s="328"/>
      <c r="AL1111" s="373"/>
      <c r="AM1111" s="328"/>
      <c r="AN1111" s="328"/>
      <c r="AO1111" s="328"/>
      <c r="AP1111" s="328"/>
      <c r="AQ1111" s="373"/>
      <c r="AR1111" s="328"/>
      <c r="AS1111" s="328"/>
      <c r="AT1111" s="328"/>
      <c r="AU1111" s="328">
        <v>158.14099999999999</v>
      </c>
      <c r="AV1111" s="373">
        <f t="shared" si="2121"/>
        <v>158.14099999999999</v>
      </c>
      <c r="AW1111" s="328">
        <f>147.8</f>
        <v>147.80000000000001</v>
      </c>
      <c r="AX1111" s="328">
        <f>147.8</f>
        <v>147.80000000000001</v>
      </c>
      <c r="AY1111" s="328">
        <f>147.8</f>
        <v>147.80000000000001</v>
      </c>
      <c r="AZ1111" s="328">
        <f>143.03</f>
        <v>143.03</v>
      </c>
      <c r="BA1111" s="373">
        <f t="shared" si="2064"/>
        <v>143.03</v>
      </c>
      <c r="BB1111" s="328">
        <f>143.03</f>
        <v>143.03</v>
      </c>
      <c r="BC1111" s="328">
        <v>147.32</v>
      </c>
      <c r="BD1111" s="328">
        <v>147.32</v>
      </c>
      <c r="BE1111" s="328">
        <v>151.74</v>
      </c>
      <c r="BF1111" s="373">
        <f t="shared" si="2125"/>
        <v>151.74</v>
      </c>
      <c r="BG1111" s="328">
        <v>151.74</v>
      </c>
      <c r="BH1111" s="328">
        <v>157.81</v>
      </c>
      <c r="BI1111" s="328">
        <f>149.553+8.257</f>
        <v>157.81</v>
      </c>
      <c r="BJ1111" s="328">
        <v>0</v>
      </c>
      <c r="BK1111" s="373">
        <f>BJ1111</f>
        <v>0</v>
      </c>
      <c r="BL1111" s="328">
        <v>0</v>
      </c>
      <c r="BM1111" s="328">
        <v>0</v>
      </c>
      <c r="BN1111" s="328">
        <v>0.63500000000000001</v>
      </c>
      <c r="BO1111" s="328">
        <v>0.59099999999999997</v>
      </c>
      <c r="BP1111" s="373">
        <f>BO1111</f>
        <v>0.59099999999999997</v>
      </c>
      <c r="BQ1111" s="328">
        <v>0.54600000000000004</v>
      </c>
      <c r="BR1111" s="328">
        <v>0.54600000000000004</v>
      </c>
      <c r="BS1111" s="328">
        <v>0.503</v>
      </c>
      <c r="BT1111" s="328">
        <v>0</v>
      </c>
      <c r="BU1111" s="3326">
        <f>BT1111</f>
        <v>0</v>
      </c>
      <c r="BV1111" s="328">
        <v>0</v>
      </c>
      <c r="BW1111" s="328">
        <v>0</v>
      </c>
      <c r="BX1111" s="328">
        <v>0</v>
      </c>
      <c r="BY1111" s="328">
        <v>0</v>
      </c>
      <c r="BZ1111" s="3326">
        <f>BY1111</f>
        <v>0</v>
      </c>
      <c r="CA1111" s="1802">
        <f t="shared" ref="CA1111:CG1111" si="2139">+BZ1111*1.1</f>
        <v>0</v>
      </c>
      <c r="CB1111" s="1802">
        <f t="shared" si="2139"/>
        <v>0</v>
      </c>
      <c r="CC1111" s="1802">
        <f t="shared" si="2139"/>
        <v>0</v>
      </c>
      <c r="CD1111" s="1802">
        <f t="shared" si="2139"/>
        <v>0</v>
      </c>
      <c r="CE1111" s="1802">
        <f t="shared" si="2139"/>
        <v>0</v>
      </c>
      <c r="CF1111" s="1802">
        <f t="shared" si="2139"/>
        <v>0</v>
      </c>
      <c r="CG1111" s="1802">
        <f t="shared" si="2139"/>
        <v>0</v>
      </c>
      <c r="CH1111" s="452"/>
      <c r="CI1111" s="452"/>
      <c r="CJ1111" s="452"/>
      <c r="CK1111" s="452"/>
      <c r="CL1111" s="452"/>
      <c r="CM1111" s="621"/>
      <c r="CN1111" s="621">
        <f>BY1111</f>
        <v>0</v>
      </c>
      <c r="CO1111" s="965">
        <f t="shared" si="2062"/>
        <v>0</v>
      </c>
      <c r="CP1111" s="90" t="str">
        <f t="shared" si="1959"/>
        <v>HoldCo Promissory Note</v>
      </c>
      <c r="CQ1111" s="347"/>
      <c r="CR1111" s="347"/>
      <c r="CS1111" s="347"/>
      <c r="CT1111" s="347"/>
      <c r="CU1111" s="347"/>
      <c r="CV1111" s="347"/>
      <c r="CW1111" s="347"/>
      <c r="CX1111" s="347"/>
      <c r="CY1111" s="347"/>
      <c r="CZ1111" s="347">
        <f t="shared" si="1969"/>
        <v>143.03</v>
      </c>
      <c r="DA1111" s="347">
        <f t="shared" si="1970"/>
        <v>151.74</v>
      </c>
      <c r="DB1111" s="347">
        <f t="shared" si="1971"/>
        <v>0</v>
      </c>
      <c r="DC1111" s="347">
        <f t="shared" si="1972"/>
        <v>0.59099999999999997</v>
      </c>
      <c r="DD1111" s="347">
        <f t="shared" si="1973"/>
        <v>0</v>
      </c>
      <c r="DE1111" s="347">
        <f t="shared" si="1974"/>
        <v>0</v>
      </c>
      <c r="DF1111" s="347">
        <f t="shared" si="1975"/>
        <v>0</v>
      </c>
      <c r="DG1111" s="1795">
        <f t="shared" si="1976"/>
        <v>0</v>
      </c>
      <c r="DH1111" s="894"/>
      <c r="DI1111" s="894"/>
      <c r="DJ1111" s="894"/>
      <c r="DK1111" s="894"/>
      <c r="DL1111" s="894"/>
      <c r="DM1111" s="894"/>
      <c r="DN1111" s="876"/>
      <c r="DO1111" s="389"/>
      <c r="DY1111" s="374"/>
      <c r="DZ1111" s="374"/>
    </row>
    <row r="1112" spans="1:130" s="4061" customFormat="1" ht="12" customHeight="1">
      <c r="A1112" s="3146" t="s">
        <v>1987</v>
      </c>
      <c r="B1112" s="552"/>
      <c r="C1112" s="552"/>
      <c r="D1112" s="377"/>
      <c r="E1112" s="374"/>
      <c r="F1112" s="374"/>
      <c r="G1112" s="374"/>
      <c r="H1112" s="346"/>
      <c r="I1112" s="374"/>
      <c r="J1112" s="374"/>
      <c r="K1112" s="376"/>
      <c r="L1112" s="376"/>
      <c r="M1112" s="346"/>
      <c r="N1112" s="376"/>
      <c r="O1112" s="376"/>
      <c r="P1112" s="376"/>
      <c r="Q1112" s="376"/>
      <c r="R1112" s="346"/>
      <c r="S1112" s="374"/>
      <c r="T1112" s="376"/>
      <c r="U1112" s="374"/>
      <c r="V1112" s="374"/>
      <c r="W1112" s="346"/>
      <c r="X1112" s="374"/>
      <c r="Y1112" s="374"/>
      <c r="Z1112" s="374"/>
      <c r="AA1112" s="374"/>
      <c r="AB1112" s="346"/>
      <c r="AC1112" s="376"/>
      <c r="AD1112" s="376"/>
      <c r="AE1112" s="376"/>
      <c r="AF1112" s="376"/>
      <c r="AG1112" s="346"/>
      <c r="AH1112" s="328"/>
      <c r="AI1112" s="328"/>
      <c r="AJ1112" s="328"/>
      <c r="AK1112" s="328"/>
      <c r="AL1112" s="373"/>
      <c r="AM1112" s="328"/>
      <c r="AN1112" s="328"/>
      <c r="AO1112" s="328"/>
      <c r="AP1112" s="328"/>
      <c r="AQ1112" s="373"/>
      <c r="AR1112" s="328"/>
      <c r="AS1112" s="328"/>
      <c r="AT1112" s="328"/>
      <c r="AU1112" s="328"/>
      <c r="AV1112" s="373"/>
      <c r="AW1112" s="328"/>
      <c r="AX1112" s="328"/>
      <c r="AY1112" s="328"/>
      <c r="AZ1112" s="328"/>
      <c r="BA1112" s="373"/>
      <c r="BB1112" s="328"/>
      <c r="BC1112" s="328"/>
      <c r="BD1112" s="328"/>
      <c r="BE1112" s="328"/>
      <c r="BF1112" s="373"/>
      <c r="BG1112" s="328"/>
      <c r="BH1112" s="328"/>
      <c r="BI1112" s="328"/>
      <c r="BJ1112" s="328"/>
      <c r="BK1112" s="373"/>
      <c r="BL1112" s="328"/>
      <c r="BM1112" s="328"/>
      <c r="BN1112" s="328"/>
      <c r="BO1112" s="328"/>
      <c r="BP1112" s="373"/>
      <c r="BQ1112" s="328"/>
      <c r="BR1112" s="328"/>
      <c r="BS1112" s="328"/>
      <c r="BT1112" s="328"/>
      <c r="BU1112" s="3326"/>
      <c r="BV1112" s="328"/>
      <c r="BW1112" s="328"/>
      <c r="BX1112" s="328">
        <f>8.5*(98.1+7.2)</f>
        <v>895.05</v>
      </c>
      <c r="BY1112" s="3986">
        <f>+BX1112-BY743</f>
        <v>891.62774999999999</v>
      </c>
      <c r="BZ1112" s="3326">
        <f>+BY1112</f>
        <v>891.62774999999999</v>
      </c>
      <c r="CA1112" s="4139">
        <f t="shared" ref="CA1112:CB1112" si="2140">+BZ1112-CA743</f>
        <v>877.83471359999999</v>
      </c>
      <c r="CB1112" s="4139">
        <f t="shared" si="2140"/>
        <v>863.78147490485003</v>
      </c>
      <c r="CC1112" s="1802"/>
      <c r="CD1112" s="1802"/>
      <c r="CE1112" s="1802"/>
      <c r="CF1112" s="1802"/>
      <c r="CG1112" s="1802"/>
      <c r="CH1112" s="452"/>
      <c r="CI1112" s="452"/>
      <c r="CJ1112" s="452"/>
      <c r="CK1112" s="452"/>
      <c r="CL1112" s="452"/>
      <c r="CM1112" s="621"/>
      <c r="CN1112" s="621"/>
      <c r="CO1112" s="965"/>
      <c r="CP1112" s="90"/>
      <c r="CQ1112" s="347"/>
      <c r="CR1112" s="347"/>
      <c r="CS1112" s="347"/>
      <c r="CT1112" s="347"/>
      <c r="CU1112" s="347"/>
      <c r="CV1112" s="347"/>
      <c r="CW1112" s="347"/>
      <c r="CX1112" s="347"/>
      <c r="CY1112" s="347"/>
      <c r="CZ1112" s="347"/>
      <c r="DA1112" s="347"/>
      <c r="DB1112" s="347"/>
      <c r="DC1112" s="347"/>
      <c r="DD1112" s="347"/>
      <c r="DE1112" s="347"/>
      <c r="DF1112" s="347"/>
      <c r="DG1112" s="1795"/>
      <c r="DH1112" s="894"/>
      <c r="DI1112" s="894"/>
      <c r="DJ1112" s="894"/>
      <c r="DK1112" s="894"/>
      <c r="DL1112" s="894"/>
      <c r="DM1112" s="894"/>
      <c r="DN1112" s="876"/>
      <c r="DO1112" s="389"/>
      <c r="DP1112"/>
      <c r="DQ1112"/>
      <c r="DR1112"/>
      <c r="DS1112"/>
      <c r="DT1112"/>
      <c r="DU1112"/>
      <c r="DY1112" s="374"/>
      <c r="DZ1112" s="374"/>
    </row>
    <row r="1113" spans="1:130" ht="4.5" customHeight="1">
      <c r="A1113" s="1784"/>
      <c r="B1113" s="293"/>
      <c r="C1113" s="293"/>
      <c r="D1113" s="294" t="s">
        <v>343</v>
      </c>
      <c r="E1113" s="295" t="s">
        <v>343</v>
      </c>
      <c r="F1113" s="295" t="s">
        <v>343</v>
      </c>
      <c r="G1113" s="295" t="s">
        <v>343</v>
      </c>
      <c r="H1113" s="296" t="s">
        <v>343</v>
      </c>
      <c r="I1113" s="295" t="s">
        <v>343</v>
      </c>
      <c r="J1113" s="295" t="s">
        <v>343</v>
      </c>
      <c r="K1113" s="295" t="s">
        <v>343</v>
      </c>
      <c r="L1113" s="295" t="s">
        <v>343</v>
      </c>
      <c r="M1113" s="296" t="s">
        <v>343</v>
      </c>
      <c r="N1113" s="295" t="s">
        <v>343</v>
      </c>
      <c r="O1113" s="295" t="s">
        <v>343</v>
      </c>
      <c r="P1113" s="295" t="s">
        <v>343</v>
      </c>
      <c r="Q1113" s="295" t="s">
        <v>343</v>
      </c>
      <c r="R1113" s="296" t="s">
        <v>343</v>
      </c>
      <c r="S1113" s="295" t="s">
        <v>343</v>
      </c>
      <c r="T1113" s="295" t="s">
        <v>343</v>
      </c>
      <c r="U1113" s="295" t="s">
        <v>343</v>
      </c>
      <c r="V1113" s="295" t="s">
        <v>343</v>
      </c>
      <c r="W1113" s="296" t="s">
        <v>343</v>
      </c>
      <c r="X1113" s="295" t="s">
        <v>343</v>
      </c>
      <c r="Y1113" s="295" t="s">
        <v>343</v>
      </c>
      <c r="Z1113" s="295" t="s">
        <v>343</v>
      </c>
      <c r="AA1113" s="295" t="s">
        <v>343</v>
      </c>
      <c r="AB1113" s="296" t="s">
        <v>343</v>
      </c>
      <c r="AC1113" s="295" t="s">
        <v>343</v>
      </c>
      <c r="AD1113" s="295" t="s">
        <v>343</v>
      </c>
      <c r="AE1113" s="295" t="s">
        <v>343</v>
      </c>
      <c r="AF1113" s="295" t="s">
        <v>343</v>
      </c>
      <c r="AG1113" s="296" t="s">
        <v>343</v>
      </c>
      <c r="AH1113" s="295" t="s">
        <v>343</v>
      </c>
      <c r="AI1113" s="295" t="s">
        <v>343</v>
      </c>
      <c r="AJ1113" s="295" t="s">
        <v>343</v>
      </c>
      <c r="AK1113" s="295" t="s">
        <v>343</v>
      </c>
      <c r="AL1113" s="296" t="s">
        <v>343</v>
      </c>
      <c r="AM1113" s="295" t="s">
        <v>343</v>
      </c>
      <c r="AN1113" s="295" t="s">
        <v>343</v>
      </c>
      <c r="AO1113" s="295" t="s">
        <v>343</v>
      </c>
      <c r="AP1113" s="295" t="s">
        <v>343</v>
      </c>
      <c r="AQ1113" s="296" t="s">
        <v>343</v>
      </c>
      <c r="AR1113" s="295" t="s">
        <v>343</v>
      </c>
      <c r="AS1113" s="295" t="s">
        <v>343</v>
      </c>
      <c r="AT1113" s="295" t="s">
        <v>343</v>
      </c>
      <c r="AU1113" s="295" t="s">
        <v>343</v>
      </c>
      <c r="AV1113" s="296" t="s">
        <v>343</v>
      </c>
      <c r="AW1113" s="295" t="s">
        <v>343</v>
      </c>
      <c r="AX1113" s="295" t="s">
        <v>343</v>
      </c>
      <c r="AY1113" s="295" t="s">
        <v>343</v>
      </c>
      <c r="AZ1113" s="295" t="s">
        <v>343</v>
      </c>
      <c r="BA1113" s="296" t="s">
        <v>343</v>
      </c>
      <c r="BB1113" s="295" t="s">
        <v>343</v>
      </c>
      <c r="BC1113" s="295" t="s">
        <v>343</v>
      </c>
      <c r="BD1113" s="295" t="s">
        <v>343</v>
      </c>
      <c r="BE1113" s="295" t="s">
        <v>343</v>
      </c>
      <c r="BF1113" s="296" t="s">
        <v>343</v>
      </c>
      <c r="BG1113" s="295" t="s">
        <v>343</v>
      </c>
      <c r="BH1113" s="295" t="s">
        <v>343</v>
      </c>
      <c r="BI1113" s="295" t="s">
        <v>343</v>
      </c>
      <c r="BJ1113" s="295" t="s">
        <v>343</v>
      </c>
      <c r="BK1113" s="296" t="s">
        <v>343</v>
      </c>
      <c r="BL1113" s="295" t="s">
        <v>343</v>
      </c>
      <c r="BM1113" s="295" t="s">
        <v>343</v>
      </c>
      <c r="BN1113" s="295" t="s">
        <v>343</v>
      </c>
      <c r="BO1113" s="295" t="s">
        <v>343</v>
      </c>
      <c r="BP1113" s="296" t="s">
        <v>343</v>
      </c>
      <c r="BQ1113" s="295" t="s">
        <v>343</v>
      </c>
      <c r="BR1113" s="295" t="s">
        <v>343</v>
      </c>
      <c r="BS1113" s="295" t="s">
        <v>343</v>
      </c>
      <c r="BT1113" s="295" t="s">
        <v>343</v>
      </c>
      <c r="BU1113" s="3314" t="s">
        <v>343</v>
      </c>
      <c r="BV1113" s="295" t="s">
        <v>343</v>
      </c>
      <c r="BW1113" s="295" t="s">
        <v>343</v>
      </c>
      <c r="BX1113" s="295" t="s">
        <v>343</v>
      </c>
      <c r="BY1113" s="295" t="s">
        <v>343</v>
      </c>
      <c r="BZ1113" s="3314" t="s">
        <v>343</v>
      </c>
      <c r="CA1113" s="297" t="s">
        <v>343</v>
      </c>
      <c r="CB1113" s="297" t="s">
        <v>343</v>
      </c>
      <c r="CC1113" s="297" t="s">
        <v>343</v>
      </c>
      <c r="CD1113" s="297" t="s">
        <v>343</v>
      </c>
      <c r="CE1113" s="297" t="s">
        <v>343</v>
      </c>
      <c r="CF1113" s="297" t="s">
        <v>343</v>
      </c>
      <c r="CG1113" s="297" t="s">
        <v>343</v>
      </c>
      <c r="CH1113" s="295"/>
      <c r="CI1113" s="295"/>
      <c r="CJ1113" s="295"/>
      <c r="CK1113" s="295"/>
      <c r="CL1113" s="295"/>
      <c r="CM1113" s="295"/>
      <c r="CN1113" s="295"/>
      <c r="CO1113" s="965">
        <f t="shared" si="2062"/>
        <v>0</v>
      </c>
      <c r="CP1113" s="1784"/>
      <c r="CQ1113" s="295" t="str">
        <f t="shared" si="1960"/>
        <v xml:space="preserve">                </v>
      </c>
      <c r="CR1113" s="295" t="str">
        <f t="shared" si="1961"/>
        <v xml:space="preserve">                </v>
      </c>
      <c r="CS1113" s="295" t="str">
        <f t="shared" si="1962"/>
        <v xml:space="preserve">                </v>
      </c>
      <c r="CT1113" s="295" t="str">
        <f t="shared" si="1963"/>
        <v xml:space="preserve">                </v>
      </c>
      <c r="CU1113" s="295" t="str">
        <f t="shared" si="1964"/>
        <v xml:space="preserve">                </v>
      </c>
      <c r="CV1113" s="295" t="str">
        <f t="shared" si="1965"/>
        <v xml:space="preserve">                </v>
      </c>
      <c r="CW1113" s="295" t="str">
        <f t="shared" si="1966"/>
        <v xml:space="preserve">                </v>
      </c>
      <c r="CX1113" s="295" t="str">
        <f t="shared" si="1967"/>
        <v xml:space="preserve">                </v>
      </c>
      <c r="CY1113" s="295" t="str">
        <f t="shared" si="1968"/>
        <v xml:space="preserve">                </v>
      </c>
      <c r="CZ1113" s="295" t="str">
        <f t="shared" si="1969"/>
        <v xml:space="preserve">                </v>
      </c>
      <c r="DA1113" s="295" t="str">
        <f t="shared" si="1970"/>
        <v xml:space="preserve">                </v>
      </c>
      <c r="DB1113" s="295" t="str">
        <f t="shared" si="1971"/>
        <v xml:space="preserve">                </v>
      </c>
      <c r="DC1113" s="295" t="str">
        <f t="shared" si="1972"/>
        <v xml:space="preserve">                </v>
      </c>
      <c r="DD1113" s="295" t="str">
        <f t="shared" si="1973"/>
        <v xml:space="preserve">                </v>
      </c>
      <c r="DE1113" s="295" t="str">
        <f t="shared" si="1974"/>
        <v xml:space="preserve">                </v>
      </c>
      <c r="DF1113" s="295" t="str">
        <f t="shared" si="1975"/>
        <v xml:space="preserve">                </v>
      </c>
      <c r="DG1113" s="297" t="str">
        <f t="shared" si="1976"/>
        <v xml:space="preserve">                </v>
      </c>
      <c r="DH1113" s="298"/>
      <c r="DI1113" s="299"/>
      <c r="DJ1113" s="299"/>
      <c r="DK1113" s="299"/>
      <c r="DL1113" s="299"/>
      <c r="DM1113" s="299"/>
      <c r="DN1113" s="299"/>
      <c r="DO1113" s="300"/>
      <c r="DY1113" s="295"/>
      <c r="DZ1113" s="295"/>
    </row>
    <row r="1114" spans="1:130" ht="12" customHeight="1">
      <c r="A1114" s="994" t="s">
        <v>1569</v>
      </c>
      <c r="B1114" s="552"/>
      <c r="C1114" s="552"/>
      <c r="D1114" s="464">
        <f>SUM(D1082:D1106)</f>
        <v>1078.0269999999998</v>
      </c>
      <c r="E1114" s="465">
        <f>SUM(E1082:E1106)</f>
        <v>1270.9380000000003</v>
      </c>
      <c r="F1114" s="465">
        <f>SUM(F1082:F1106)</f>
        <v>2184.5279999999993</v>
      </c>
      <c r="G1114" s="465">
        <f>SUM(G1082:G1106)</f>
        <v>2310.0250000000001</v>
      </c>
      <c r="H1114" s="346">
        <f>G1114</f>
        <v>2310.0250000000001</v>
      </c>
      <c r="I1114" s="464">
        <f>SUM(I1082:I1106)</f>
        <v>2258.364</v>
      </c>
      <c r="J1114" s="465">
        <f>SUM(J1082:J1106)</f>
        <v>2357.8040000000001</v>
      </c>
      <c r="K1114" s="465">
        <f>SUM(K1082:K1106)</f>
        <v>2393.058</v>
      </c>
      <c r="L1114" s="465">
        <f>SUM(L1082:L1106)</f>
        <v>2558.5239999999999</v>
      </c>
      <c r="M1114" s="346">
        <f>L1114</f>
        <v>2558.5239999999999</v>
      </c>
      <c r="N1114" s="464">
        <f>SUM(N1082:N1106)</f>
        <v>2597.7469999999998</v>
      </c>
      <c r="O1114" s="465">
        <f>SUM(O1082:O1106)</f>
        <v>2610.123</v>
      </c>
      <c r="P1114" s="465">
        <f>SUM(P1082:P1106)</f>
        <v>2575.1389999999997</v>
      </c>
      <c r="Q1114" s="465">
        <f>SUM(Q1082:Q1106)</f>
        <v>2138.5660000000003</v>
      </c>
      <c r="R1114" s="346">
        <f>Q1114</f>
        <v>2138.5660000000003</v>
      </c>
      <c r="S1114" s="464">
        <f>SUM(S1082:S1106)</f>
        <v>2161.5350000000003</v>
      </c>
      <c r="T1114" s="465">
        <f>SUM(T1082:T1106)</f>
        <v>2214.6889999999999</v>
      </c>
      <c r="U1114" s="465">
        <f>SUM(U1082:U1106)</f>
        <v>2207.9520000000002</v>
      </c>
      <c r="V1114" s="465">
        <f>SUM(V1082:V1106)</f>
        <v>2266.558</v>
      </c>
      <c r="W1114" s="346">
        <f>V1114</f>
        <v>2266.558</v>
      </c>
      <c r="X1114" s="464">
        <f>SUM(X1082:X1106)</f>
        <v>2356.7629999999999</v>
      </c>
      <c r="Y1114" s="465">
        <f>SUM(Y1082:Y1106)</f>
        <v>2487.2290000000003</v>
      </c>
      <c r="Z1114" s="465">
        <f>SUM(Z1082:Z1106)</f>
        <v>2624.1</v>
      </c>
      <c r="AA1114" s="465">
        <f>SUM(AA1082:AA1106)</f>
        <v>2647.674</v>
      </c>
      <c r="AB1114" s="346">
        <f>AA1114</f>
        <v>2647.674</v>
      </c>
      <c r="AC1114" s="464">
        <f>SUM(AC1082:AC1106)</f>
        <v>2698.4979999999996</v>
      </c>
      <c r="AD1114" s="465">
        <f>SUM(AD1082:AD1106)</f>
        <v>2689.37</v>
      </c>
      <c r="AE1114" s="465">
        <f>SUM(AE1082:AE1106)</f>
        <v>2645.2709999999997</v>
      </c>
      <c r="AF1114" s="465">
        <f>SUM(AF1082:AF1106)</f>
        <v>2577.5630000000001</v>
      </c>
      <c r="AG1114" s="346">
        <f>AF1114</f>
        <v>2577.5630000000001</v>
      </c>
      <c r="AH1114" s="347">
        <f>SUM(AH1082:AH1106)</f>
        <v>3202.393</v>
      </c>
      <c r="AI1114" s="347">
        <f>SUM(AI1082:AI1106)</f>
        <v>3146.614</v>
      </c>
      <c r="AJ1114" s="347">
        <f>SUM(AJ1082:AJ1106)</f>
        <v>3175.7380000000003</v>
      </c>
      <c r="AK1114" s="347">
        <f>SUM(AK1099:AK1106)+SUM(AK1082:AK1083)</f>
        <v>3218.7550000000001</v>
      </c>
      <c r="AL1114" s="346">
        <f>AK1114</f>
        <v>3218.7550000000001</v>
      </c>
      <c r="AM1114" s="465">
        <f>SUM(AM1099:AM1106)+SUM(AM1082:AM1083)</f>
        <v>3187.482</v>
      </c>
      <c r="AN1114" s="465">
        <f>SUM(AN1099:AN1106)+SUM(AN1082:AN1083)</f>
        <v>3179.76</v>
      </c>
      <c r="AO1114" s="465">
        <f>SUM(AO1099:AO1106)+SUM(AO1082:AO1083)</f>
        <v>3165.6729999999998</v>
      </c>
      <c r="AP1114" s="347">
        <f>SUM(AP1082:AP1106)</f>
        <v>3390.4560000000001</v>
      </c>
      <c r="AQ1114" s="346">
        <f>AP1114</f>
        <v>3390.4560000000001</v>
      </c>
      <c r="AR1114" s="465">
        <f>SUM(AR1082:AR1106)</f>
        <v>3324.895</v>
      </c>
      <c r="AS1114" s="465">
        <f>SUM(AS1082:AS1106)</f>
        <v>3534.1759999999995</v>
      </c>
      <c r="AT1114" s="465">
        <f>SUM(AT1082:AT1111)</f>
        <v>3865.9659999999994</v>
      </c>
      <c r="AU1114" s="465">
        <f>SUM(AU1082:AU1111)</f>
        <v>4827.8529999999992</v>
      </c>
      <c r="AV1114" s="346">
        <f>AU1114</f>
        <v>4827.8529999999992</v>
      </c>
      <c r="AW1114" s="465">
        <f>SUM(AW1082:AW1111)</f>
        <v>4637.063000000001</v>
      </c>
      <c r="AX1114" s="465">
        <f>SUM(AX1082:AX1111)</f>
        <v>4519.4810000000007</v>
      </c>
      <c r="AY1114" s="465">
        <f>SUM(AY1082:AY1111)</f>
        <v>4312.9840000000004</v>
      </c>
      <c r="AZ1114" s="465">
        <f>SUM(AZ1082:AZ1111)</f>
        <v>4352.9319999999998</v>
      </c>
      <c r="BA1114" s="346">
        <f>AZ1114</f>
        <v>4352.9319999999998</v>
      </c>
      <c r="BB1114" s="465">
        <f>SUM(BB1082:BB1111)</f>
        <v>4301.2689999999993</v>
      </c>
      <c r="BC1114" s="465">
        <f>SUM(BC1082:BC1111)</f>
        <v>4261.8369999999995</v>
      </c>
      <c r="BD1114" s="465">
        <f>SUM(BD1082:BD1111)</f>
        <v>3432.7250000000004</v>
      </c>
      <c r="BE1114" s="465">
        <f>SUM(BE1082:BE1111)</f>
        <v>3431.6379999999999</v>
      </c>
      <c r="BF1114" s="346">
        <f>BE1114</f>
        <v>3431.6379999999999</v>
      </c>
      <c r="BG1114" s="465">
        <f t="shared" ref="BG1114:BW1114" si="2141">SUM(BG1082:BG1113)</f>
        <v>3376.0969999999998</v>
      </c>
      <c r="BH1114" s="465">
        <f t="shared" si="2141"/>
        <v>3361.6179999999999</v>
      </c>
      <c r="BI1114" s="465">
        <f t="shared" si="2141"/>
        <v>3302.6869999999994</v>
      </c>
      <c r="BJ1114" s="465">
        <f t="shared" si="2141"/>
        <v>3239.799</v>
      </c>
      <c r="BK1114" s="346">
        <f t="shared" si="2141"/>
        <v>3239.799</v>
      </c>
      <c r="BL1114" s="465">
        <f t="shared" si="2141"/>
        <v>3657.9110000000001</v>
      </c>
      <c r="BM1114" s="465">
        <f t="shared" si="2141"/>
        <v>3628.1120000000001</v>
      </c>
      <c r="BN1114" s="465">
        <f t="shared" si="2141"/>
        <v>2956.998</v>
      </c>
      <c r="BO1114" s="465">
        <f t="shared" si="2141"/>
        <v>3199.1190000000001</v>
      </c>
      <c r="BP1114" s="346">
        <f t="shared" si="2141"/>
        <v>3199.1190000000001</v>
      </c>
      <c r="BQ1114" s="465">
        <f t="shared" si="2141"/>
        <v>3187.5439999999999</v>
      </c>
      <c r="BR1114" s="465">
        <f t="shared" si="2141"/>
        <v>3115.8509999999997</v>
      </c>
      <c r="BS1114" s="465">
        <f t="shared" si="2141"/>
        <v>3045.5860000000002</v>
      </c>
      <c r="BT1114" s="465">
        <f t="shared" si="2141"/>
        <v>3120.0000000000005</v>
      </c>
      <c r="BU1114" s="3352">
        <f t="shared" si="2141"/>
        <v>3120.0000000000005</v>
      </c>
      <c r="BV1114" s="465">
        <f t="shared" si="2141"/>
        <v>3116.8750000000005</v>
      </c>
      <c r="BW1114" s="465">
        <f t="shared" si="2141"/>
        <v>3113.7500000000005</v>
      </c>
      <c r="BX1114" s="465">
        <f>SUM(BX1082:BX1113)</f>
        <v>4567.6329999999998</v>
      </c>
      <c r="BY1114" s="465">
        <f t="shared" ref="BY1114:CB1114" si="2142">SUM(BY1082:BY1113)</f>
        <v>4561.0857500000002</v>
      </c>
      <c r="BZ1114" s="3352">
        <f t="shared" si="2142"/>
        <v>4561.0857500000002</v>
      </c>
      <c r="CA1114" s="346">
        <f t="shared" si="2142"/>
        <v>4534.7927135999998</v>
      </c>
      <c r="CB1114" s="346">
        <f t="shared" si="2142"/>
        <v>4508.2394749048499</v>
      </c>
      <c r="CC1114" s="346">
        <f>SUM(CC1082:CC1111)</f>
        <v>2354.08</v>
      </c>
      <c r="CD1114" s="346">
        <f>SUM(CD1082:CD1111)</f>
        <v>2332.58</v>
      </c>
      <c r="CE1114" s="346">
        <f>SUM(CE1082:CE1111)</f>
        <v>2311.08</v>
      </c>
      <c r="CF1114" s="346">
        <f>SUM(CF1082:CF1111)</f>
        <v>2289.58</v>
      </c>
      <c r="CG1114" s="346">
        <f>SUM(CG1082:CG1111)</f>
        <v>2268.08</v>
      </c>
      <c r="CH1114" s="465"/>
      <c r="CI1114" s="465"/>
      <c r="CJ1114" s="465"/>
      <c r="CK1114" s="465"/>
      <c r="CL1114" s="465"/>
      <c r="CM1114" s="621"/>
      <c r="CN1114" s="621">
        <f>BY1114</f>
        <v>4561.0857500000002</v>
      </c>
      <c r="CO1114" s="965">
        <f t="shared" si="2062"/>
        <v>-4561.0857500000002</v>
      </c>
      <c r="CP1114" s="994" t="str">
        <f t="shared" si="1959"/>
        <v>Long-term debt</v>
      </c>
      <c r="CQ1114" s="465">
        <f t="shared" si="1960"/>
        <v>2310.0250000000001</v>
      </c>
      <c r="CR1114" s="465">
        <f t="shared" si="1961"/>
        <v>2558.5239999999999</v>
      </c>
      <c r="CS1114" s="465">
        <f t="shared" si="1962"/>
        <v>2138.5660000000003</v>
      </c>
      <c r="CT1114" s="465">
        <f t="shared" si="1963"/>
        <v>2266.558</v>
      </c>
      <c r="CU1114" s="465">
        <f t="shared" si="1964"/>
        <v>2647.674</v>
      </c>
      <c r="CV1114" s="465">
        <f t="shared" si="1965"/>
        <v>2577.5630000000001</v>
      </c>
      <c r="CW1114" s="465">
        <f t="shared" si="1966"/>
        <v>3218.7550000000001</v>
      </c>
      <c r="CX1114" s="465">
        <f t="shared" si="1967"/>
        <v>3390.4560000000001</v>
      </c>
      <c r="CY1114" s="465">
        <f t="shared" si="1968"/>
        <v>4827.8529999999992</v>
      </c>
      <c r="CZ1114" s="465">
        <f t="shared" si="1969"/>
        <v>4352.9319999999998</v>
      </c>
      <c r="DA1114" s="465">
        <f t="shared" si="1970"/>
        <v>3431.6379999999999</v>
      </c>
      <c r="DB1114" s="465">
        <f t="shared" si="1971"/>
        <v>3239.799</v>
      </c>
      <c r="DC1114" s="465">
        <f t="shared" si="1972"/>
        <v>3199.1190000000001</v>
      </c>
      <c r="DD1114" s="465">
        <f t="shared" si="1973"/>
        <v>3120.0000000000005</v>
      </c>
      <c r="DE1114" s="465">
        <f t="shared" si="1974"/>
        <v>4561.0857500000002</v>
      </c>
      <c r="DF1114" s="465">
        <f t="shared" si="1975"/>
        <v>4534.7927135999998</v>
      </c>
      <c r="DG1114" s="1797">
        <f t="shared" si="1976"/>
        <v>4508.2394749048499</v>
      </c>
      <c r="DH1114" s="222"/>
      <c r="DI1114" s="222"/>
      <c r="DJ1114" s="222"/>
      <c r="DK1114" s="222"/>
      <c r="DL1114" s="222"/>
      <c r="DM1114" s="222"/>
      <c r="DN1114" s="222"/>
      <c r="DO1114" s="226"/>
      <c r="DY1114" s="347"/>
      <c r="DZ1114" s="347"/>
    </row>
    <row r="1115" spans="1:130" ht="12" customHeight="1">
      <c r="A1115" s="994"/>
      <c r="B1115" s="552"/>
      <c r="C1115" s="552"/>
      <c r="D1115" s="377"/>
      <c r="E1115" s="376"/>
      <c r="F1115" s="376"/>
      <c r="G1115" s="376"/>
      <c r="H1115" s="893"/>
      <c r="I1115" s="376"/>
      <c r="J1115" s="376"/>
      <c r="K1115" s="376"/>
      <c r="L1115" s="376"/>
      <c r="M1115" s="893"/>
      <c r="N1115" s="376"/>
      <c r="O1115" s="376"/>
      <c r="P1115" s="376"/>
      <c r="Q1115" s="376"/>
      <c r="R1115" s="893"/>
      <c r="S1115" s="376"/>
      <c r="T1115" s="376"/>
      <c r="U1115" s="376"/>
      <c r="V1115" s="376"/>
      <c r="W1115" s="893"/>
      <c r="X1115" s="376"/>
      <c r="Y1115" s="376"/>
      <c r="Z1115" s="376"/>
      <c r="AA1115" s="376"/>
      <c r="AB1115" s="893"/>
      <c r="AC1115" s="376"/>
      <c r="AD1115" s="376"/>
      <c r="AE1115" s="376"/>
      <c r="AF1115" s="376"/>
      <c r="AG1115" s="893"/>
      <c r="AH1115" s="328"/>
      <c r="AI1115" s="328"/>
      <c r="AJ1115" s="328"/>
      <c r="AK1115" s="328"/>
      <c r="AL1115" s="432"/>
      <c r="AM1115" s="376"/>
      <c r="AN1115" s="376"/>
      <c r="AO1115" s="376"/>
      <c r="AP1115" s="328"/>
      <c r="AQ1115" s="432"/>
      <c r="AR1115" s="376"/>
      <c r="AS1115" s="376"/>
      <c r="AT1115" s="376"/>
      <c r="AU1115" s="376"/>
      <c r="AV1115" s="432"/>
      <c r="AW1115" s="376"/>
      <c r="AX1115" s="376"/>
      <c r="AY1115" s="376"/>
      <c r="AZ1115" s="376"/>
      <c r="BA1115" s="432"/>
      <c r="BB1115" s="376"/>
      <c r="BC1115" s="376"/>
      <c r="BD1115" s="376"/>
      <c r="BE1115" s="376"/>
      <c r="BF1115" s="432"/>
      <c r="BG1115" s="376"/>
      <c r="BH1115" s="376"/>
      <c r="BI1115" s="376"/>
      <c r="BJ1115" s="376"/>
      <c r="BK1115" s="432"/>
      <c r="BL1115" s="376"/>
      <c r="BM1115" s="376"/>
      <c r="BN1115" s="376"/>
      <c r="BO1115" s="376"/>
      <c r="BP1115" s="432"/>
      <c r="BQ1115" s="376"/>
      <c r="BR1115" s="376"/>
      <c r="BS1115" s="376"/>
      <c r="BT1115" s="376"/>
      <c r="BU1115" s="3326"/>
      <c r="BV1115" s="376"/>
      <c r="BW1115" s="376"/>
      <c r="BX1115" s="376"/>
      <c r="BY1115" s="376"/>
      <c r="BZ1115" s="3326"/>
      <c r="CA1115" s="432"/>
      <c r="CB1115" s="432"/>
      <c r="CC1115" s="432"/>
      <c r="CD1115" s="432"/>
      <c r="CE1115" s="432"/>
      <c r="CF1115" s="432"/>
      <c r="CG1115" s="432"/>
      <c r="CH1115" s="376"/>
      <c r="CI1115" s="376"/>
      <c r="CJ1115" s="376"/>
      <c r="CK1115" s="376"/>
      <c r="CL1115" s="376"/>
      <c r="CM1115" s="376"/>
      <c r="CN1115" s="376"/>
      <c r="CO1115" s="376"/>
      <c r="CP1115" s="994"/>
      <c r="CQ1115" s="374"/>
      <c r="CR1115" s="374"/>
      <c r="CS1115" s="374"/>
      <c r="CT1115" s="374"/>
      <c r="CU1115" s="374"/>
      <c r="CV1115" s="374"/>
      <c r="CW1115" s="374"/>
      <c r="CX1115" s="374"/>
      <c r="CY1115" s="374"/>
      <c r="CZ1115" s="374"/>
      <c r="DA1115" s="374"/>
      <c r="DB1115" s="374"/>
      <c r="DC1115" s="374"/>
      <c r="DD1115" s="374"/>
      <c r="DE1115" s="374"/>
      <c r="DF1115" s="374"/>
      <c r="DG1115" s="1802"/>
      <c r="DH1115" s="876"/>
      <c r="DI1115" s="876"/>
      <c r="DJ1115" s="876"/>
      <c r="DK1115" s="876"/>
      <c r="DL1115" s="876"/>
      <c r="DM1115" s="876"/>
      <c r="DN1115" s="876"/>
      <c r="DO1115" s="389"/>
      <c r="DY1115" s="376"/>
      <c r="DZ1115" s="376"/>
    </row>
    <row r="1116" spans="1:130" ht="12" customHeight="1">
      <c r="A1116" s="994" t="s">
        <v>1570</v>
      </c>
      <c r="B1116" s="552"/>
      <c r="C1116" s="552"/>
      <c r="D1116" s="368">
        <v>130.31299999999999</v>
      </c>
      <c r="E1116" s="366">
        <v>140.62</v>
      </c>
      <c r="F1116" s="366">
        <v>326.03100000000001</v>
      </c>
      <c r="G1116" s="366">
        <v>348.61500000000001</v>
      </c>
      <c r="H1116" s="585">
        <f>G1116</f>
        <v>348.61500000000001</v>
      </c>
      <c r="I1116" s="366">
        <v>347.21499999999997</v>
      </c>
      <c r="J1116" s="366">
        <v>337.62599999999998</v>
      </c>
      <c r="K1116" s="366">
        <v>342.72</v>
      </c>
      <c r="L1116" s="366">
        <v>334.346</v>
      </c>
      <c r="M1116" s="585">
        <f>L1116</f>
        <v>334.346</v>
      </c>
      <c r="N1116" s="366">
        <v>334.685</v>
      </c>
      <c r="O1116" s="366">
        <v>326.96800000000002</v>
      </c>
      <c r="P1116" s="366">
        <v>317.55</v>
      </c>
      <c r="Q1116" s="366">
        <f>301.639+24.702</f>
        <v>326.34100000000001</v>
      </c>
      <c r="R1116" s="585">
        <f>Q1116</f>
        <v>326.34100000000001</v>
      </c>
      <c r="S1116" s="366">
        <f>366.424+34.941+27.251</f>
        <v>428.61599999999999</v>
      </c>
      <c r="T1116" s="366">
        <f>364.712+35.994+26.67</f>
        <v>427.37600000000003</v>
      </c>
      <c r="U1116" s="366">
        <f>353.299+37.899+35.997</f>
        <v>427.19499999999999</v>
      </c>
      <c r="V1116" s="366">
        <f>365.37+39.361+51.398</f>
        <v>456.12900000000002</v>
      </c>
      <c r="W1116" s="585">
        <f>V1116</f>
        <v>456.12900000000002</v>
      </c>
      <c r="X1116" s="366">
        <f>331.215+40.569+77.153+46.648</f>
        <v>495.58500000000004</v>
      </c>
      <c r="Y1116" s="366">
        <f>347.485+41.614+108.772</f>
        <v>497.87099999999998</v>
      </c>
      <c r="Z1116" s="366">
        <f>354.278+42.754+107.758</f>
        <v>504.79</v>
      </c>
      <c r="AA1116" s="366">
        <f>313.743+37.321+110.46</f>
        <v>461.52399999999994</v>
      </c>
      <c r="AB1116" s="585">
        <f>AA1116</f>
        <v>461.52399999999994</v>
      </c>
      <c r="AC1116" s="366">
        <f>304.412+40.392+57.373+65.625</f>
        <v>467.80199999999996</v>
      </c>
      <c r="AD1116" s="366">
        <f>312.997+40.309+62.761+56.25</f>
        <v>472.31700000000006</v>
      </c>
      <c r="AE1116" s="366">
        <f>319.198+40.556+66.205+46.875</f>
        <v>472.83399999999995</v>
      </c>
      <c r="AF1116" s="366">
        <f>335.159+32.703+63.456</f>
        <v>431.31799999999998</v>
      </c>
      <c r="AG1116" s="585">
        <f>AF1116</f>
        <v>431.31799999999998</v>
      </c>
      <c r="AH1116" s="328">
        <f>350.561+43.435+78.626</f>
        <v>472.62199999999996</v>
      </c>
      <c r="AI1116" s="328">
        <f>355.863+44.104+73.02</f>
        <v>472.98699999999997</v>
      </c>
      <c r="AJ1116" s="328">
        <f>70.362+44.467+368.462</f>
        <v>483.291</v>
      </c>
      <c r="AK1116" s="328">
        <f>360.342+44.813+85.859</f>
        <v>491.01399999999995</v>
      </c>
      <c r="AL1116" s="346">
        <f>AK1116</f>
        <v>491.01399999999995</v>
      </c>
      <c r="AM1116" s="328">
        <f>360.134+45.741+79.124</f>
        <v>484.99900000000002</v>
      </c>
      <c r="AN1116" s="328">
        <f>73.77+362.899+47.194</f>
        <v>483.863</v>
      </c>
      <c r="AO1116" s="328">
        <f>364.295+46.882+72.369</f>
        <v>483.54600000000005</v>
      </c>
      <c r="AP1116" s="328">
        <f>379.958+45.598+71.193+192.98</f>
        <v>689.72900000000004</v>
      </c>
      <c r="AQ1116" s="346">
        <f>AP1116</f>
        <v>689.72900000000004</v>
      </c>
      <c r="AR1116" s="328">
        <f>385.611+42.379+71.724+192.73</f>
        <v>692.44399999999996</v>
      </c>
      <c r="AS1116" s="328">
        <f>384.143+31.842+69.616+192.479</f>
        <v>678.07999999999993</v>
      </c>
      <c r="AT1116" s="328">
        <f>387.081+33.471+68.202+192.225</f>
        <v>680.97900000000004</v>
      </c>
      <c r="AU1116" s="328">
        <f>139.943+43.457+103.249</f>
        <v>286.649</v>
      </c>
      <c r="AV1116" s="346">
        <f>AU1116</f>
        <v>286.649</v>
      </c>
      <c r="AW1116" s="328">
        <f>149.193+25.906+109.432</f>
        <v>284.53100000000001</v>
      </c>
      <c r="AX1116" s="328">
        <f>150.754+26.26+95.493</f>
        <v>272.50699999999995</v>
      </c>
      <c r="AY1116" s="328">
        <f>153.445+26.63+96.977</f>
        <v>277.05200000000002</v>
      </c>
      <c r="AZ1116" s="328">
        <f>155.218+42.188+87.093</f>
        <v>284.49900000000002</v>
      </c>
      <c r="BA1116" s="346">
        <f>AZ1116</f>
        <v>284.49900000000002</v>
      </c>
      <c r="BB1116" s="328">
        <f>158.294+42.793+88.645</f>
        <v>289.73200000000003</v>
      </c>
      <c r="BC1116" s="328">
        <f>164.452+38.083+88.344</f>
        <v>290.87900000000002</v>
      </c>
      <c r="BD1116" s="328">
        <f>154.449+28.706+80.807</f>
        <v>263.96199999999999</v>
      </c>
      <c r="BE1116" s="328">
        <f>142.263+28.651+81.09</f>
        <v>252.00400000000002</v>
      </c>
      <c r="BF1116" s="346">
        <f>BE1116</f>
        <v>252.00400000000002</v>
      </c>
      <c r="BG1116" s="328">
        <f>148.387+5.649+83.711</f>
        <v>237.74700000000001</v>
      </c>
      <c r="BH1116" s="328">
        <f>154.182+5.584+83.403</f>
        <v>243.16899999999998</v>
      </c>
      <c r="BI1116" s="328">
        <f>159.421+3.071+84.256</f>
        <v>246.74799999999999</v>
      </c>
      <c r="BJ1116" s="328">
        <f>162.189+3.085+82.745</f>
        <v>248.01900000000001</v>
      </c>
      <c r="BK1116" s="346">
        <f t="shared" ref="BK1116:CB1116" si="2143">BJ1116</f>
        <v>248.01900000000001</v>
      </c>
      <c r="BL1116" s="328">
        <f>168.708+3.149+85.734</f>
        <v>257.59100000000001</v>
      </c>
      <c r="BM1116" s="328">
        <f>175.452+3.212+85.361</f>
        <v>264.02499999999998</v>
      </c>
      <c r="BN1116" s="328">
        <f>98.814+3.275+85.438</f>
        <v>187.52699999999999</v>
      </c>
      <c r="BO1116" s="328">
        <f>83.98+3.307+84.715</f>
        <v>172.00200000000001</v>
      </c>
      <c r="BP1116" s="346">
        <f t="shared" si="2143"/>
        <v>172.00200000000001</v>
      </c>
      <c r="BQ1116" s="328">
        <f>83.362+3.338+61.656</f>
        <v>148.35599999999999</v>
      </c>
      <c r="BR1116" s="328">
        <f>111.918+3.373+61.706</f>
        <v>176.99700000000001</v>
      </c>
      <c r="BS1116" s="328">
        <f>123.176+3.408+61.865</f>
        <v>188.44900000000001</v>
      </c>
      <c r="BT1116" s="347">
        <f>BS1116</f>
        <v>188.44900000000001</v>
      </c>
      <c r="BU1116" s="3352">
        <f t="shared" si="2143"/>
        <v>188.44900000000001</v>
      </c>
      <c r="BV1116" s="347">
        <f>BU1116</f>
        <v>188.44900000000001</v>
      </c>
      <c r="BW1116" s="347">
        <f t="shared" ref="BW1116:BY1116" si="2144">BV1116</f>
        <v>188.44900000000001</v>
      </c>
      <c r="BX1116" s="347">
        <f t="shared" si="2144"/>
        <v>188.44900000000001</v>
      </c>
      <c r="BY1116" s="347">
        <f t="shared" si="2144"/>
        <v>188.44900000000001</v>
      </c>
      <c r="BZ1116" s="3352">
        <f t="shared" si="2143"/>
        <v>188.44900000000001</v>
      </c>
      <c r="CA1116" s="346">
        <f t="shared" si="2143"/>
        <v>188.44900000000001</v>
      </c>
      <c r="CB1116" s="346">
        <f t="shared" si="2143"/>
        <v>188.44900000000001</v>
      </c>
      <c r="CC1116" s="346">
        <f>CB1116</f>
        <v>188.44900000000001</v>
      </c>
      <c r="CD1116" s="346">
        <f>CC1116</f>
        <v>188.44900000000001</v>
      </c>
      <c r="CE1116" s="346">
        <f>CD1116</f>
        <v>188.44900000000001</v>
      </c>
      <c r="CF1116" s="346">
        <f>CE1116</f>
        <v>188.44900000000001</v>
      </c>
      <c r="CG1116" s="346">
        <f>CF1116</f>
        <v>188.44900000000001</v>
      </c>
      <c r="CH1116" s="369"/>
      <c r="CI1116" s="369"/>
      <c r="CJ1116" s="369"/>
      <c r="CK1116" s="369"/>
      <c r="CL1116" s="369"/>
      <c r="CM1116" s="621"/>
      <c r="CN1116" s="621">
        <f>BY1116</f>
        <v>188.44900000000001</v>
      </c>
      <c r="CO1116" s="965">
        <f t="shared" ref="CO1116" si="2145">CM1116-CN1116</f>
        <v>-188.44900000000001</v>
      </c>
      <c r="CP1116" s="994" t="str">
        <f t="shared" si="1959"/>
        <v>Other liabilities</v>
      </c>
      <c r="CQ1116" s="347">
        <f t="shared" si="1960"/>
        <v>348.61500000000001</v>
      </c>
      <c r="CR1116" s="347">
        <f t="shared" si="1961"/>
        <v>334.346</v>
      </c>
      <c r="CS1116" s="347">
        <f t="shared" si="1962"/>
        <v>326.34100000000001</v>
      </c>
      <c r="CT1116" s="347">
        <f t="shared" si="1963"/>
        <v>456.12900000000002</v>
      </c>
      <c r="CU1116" s="347">
        <f t="shared" si="1964"/>
        <v>461.52399999999994</v>
      </c>
      <c r="CV1116" s="347">
        <f t="shared" si="1965"/>
        <v>431.31799999999998</v>
      </c>
      <c r="CW1116" s="347">
        <f t="shared" si="1966"/>
        <v>491.01399999999995</v>
      </c>
      <c r="CX1116" s="347">
        <f t="shared" si="1967"/>
        <v>689.72900000000004</v>
      </c>
      <c r="CY1116" s="347">
        <f t="shared" si="1968"/>
        <v>286.649</v>
      </c>
      <c r="CZ1116" s="347">
        <f t="shared" si="1969"/>
        <v>284.49900000000002</v>
      </c>
      <c r="DA1116" s="347">
        <f t="shared" si="1970"/>
        <v>252.00400000000002</v>
      </c>
      <c r="DB1116" s="347">
        <f t="shared" si="1971"/>
        <v>248.01900000000001</v>
      </c>
      <c r="DC1116" s="347">
        <f t="shared" si="1972"/>
        <v>172.00200000000001</v>
      </c>
      <c r="DD1116" s="347">
        <f t="shared" si="1973"/>
        <v>188.44900000000001</v>
      </c>
      <c r="DE1116" s="347">
        <f t="shared" si="1974"/>
        <v>188.44900000000001</v>
      </c>
      <c r="DF1116" s="347">
        <f t="shared" si="1975"/>
        <v>188.44900000000001</v>
      </c>
      <c r="DG1116" s="1795">
        <f t="shared" si="1976"/>
        <v>188.44900000000001</v>
      </c>
      <c r="DH1116" s="371"/>
      <c r="DI1116" s="371"/>
      <c r="DJ1116" s="371"/>
      <c r="DK1116" s="371"/>
      <c r="DL1116" s="371"/>
      <c r="DM1116" s="371"/>
      <c r="DN1116" s="876"/>
      <c r="DO1116" s="389"/>
      <c r="DY1116" s="347"/>
      <c r="DZ1116" s="347"/>
    </row>
    <row r="1117" spans="1:130" ht="12" customHeight="1">
      <c r="A1117" s="912"/>
      <c r="B1117" s="222"/>
      <c r="C1117" s="222"/>
      <c r="D1117" s="468"/>
      <c r="E1117" s="469"/>
      <c r="F1117" s="469"/>
      <c r="G1117" s="469"/>
      <c r="H1117" s="470"/>
      <c r="I1117" s="469"/>
      <c r="J1117" s="469"/>
      <c r="K1117" s="469"/>
      <c r="L1117" s="469"/>
      <c r="M1117" s="470"/>
      <c r="N1117" s="469"/>
      <c r="O1117" s="469"/>
      <c r="P1117" s="469"/>
      <c r="Q1117" s="469"/>
      <c r="R1117" s="470"/>
      <c r="S1117" s="469"/>
      <c r="T1117" s="469"/>
      <c r="U1117" s="469"/>
      <c r="V1117" s="469"/>
      <c r="W1117" s="470"/>
      <c r="X1117" s="469"/>
      <c r="Y1117" s="469"/>
      <c r="Z1117" s="469"/>
      <c r="AA1117" s="469"/>
      <c r="AB1117" s="470"/>
      <c r="AC1117" s="469"/>
      <c r="AD1117" s="469"/>
      <c r="AE1117" s="469"/>
      <c r="AF1117" s="469"/>
      <c r="AG1117" s="470"/>
      <c r="AH1117" s="469"/>
      <c r="AI1117" s="469"/>
      <c r="AJ1117" s="469"/>
      <c r="AK1117" s="469"/>
      <c r="AL1117" s="470"/>
      <c r="AM1117" s="469"/>
      <c r="AN1117" s="469"/>
      <c r="AO1117" s="469"/>
      <c r="AP1117" s="469"/>
      <c r="AQ1117" s="470"/>
      <c r="AR1117" s="469"/>
      <c r="AS1117" s="469"/>
      <c r="AT1117" s="469"/>
      <c r="AU1117" s="469"/>
      <c r="AV1117" s="470"/>
      <c r="AW1117" s="469"/>
      <c r="AX1117" s="469"/>
      <c r="AY1117" s="469"/>
      <c r="AZ1117" s="469"/>
      <c r="BA1117" s="470"/>
      <c r="BB1117" s="469"/>
      <c r="BC1117" s="469"/>
      <c r="BD1117" s="469"/>
      <c r="BE1117" s="469"/>
      <c r="BF1117" s="470"/>
      <c r="BG1117" s="469"/>
      <c r="BH1117" s="469"/>
      <c r="BI1117" s="469"/>
      <c r="BJ1117" s="469"/>
      <c r="BK1117" s="470"/>
      <c r="BL1117" s="469"/>
      <c r="BM1117" s="469"/>
      <c r="BN1117" s="469"/>
      <c r="BO1117" s="469"/>
      <c r="BP1117" s="470"/>
      <c r="BQ1117" s="469"/>
      <c r="BR1117" s="469"/>
      <c r="BS1117" s="469"/>
      <c r="BT1117" s="469"/>
      <c r="BU1117" s="3322"/>
      <c r="BV1117" s="469"/>
      <c r="BW1117" s="469"/>
      <c r="BX1117" s="469"/>
      <c r="BY1117" s="469"/>
      <c r="BZ1117" s="3322"/>
      <c r="CA1117" s="470"/>
      <c r="CB1117" s="470"/>
      <c r="CC1117" s="470"/>
      <c r="CD1117" s="470"/>
      <c r="CE1117" s="470"/>
      <c r="CF1117" s="470"/>
      <c r="CG1117" s="470"/>
      <c r="CH1117" s="469"/>
      <c r="CI1117" s="469"/>
      <c r="CJ1117" s="469"/>
      <c r="CK1117" s="469"/>
      <c r="CL1117" s="469"/>
      <c r="CM1117" s="469"/>
      <c r="CN1117" s="469"/>
      <c r="CO1117" s="469"/>
      <c r="CP1117" s="912"/>
      <c r="CQ1117" s="465"/>
      <c r="CR1117" s="465"/>
      <c r="CS1117" s="465"/>
      <c r="CT1117" s="465"/>
      <c r="CU1117" s="465"/>
      <c r="CV1117" s="465"/>
      <c r="CW1117" s="465"/>
      <c r="CX1117" s="465"/>
      <c r="CY1117" s="465"/>
      <c r="CZ1117" s="465"/>
      <c r="DA1117" s="465"/>
      <c r="DB1117" s="465"/>
      <c r="DC1117" s="465"/>
      <c r="DD1117" s="465"/>
      <c r="DE1117" s="465"/>
      <c r="DF1117" s="465"/>
      <c r="DG1117" s="1797"/>
      <c r="DH1117" s="319"/>
      <c r="DI1117" s="319"/>
      <c r="DJ1117" s="319"/>
      <c r="DK1117" s="319"/>
      <c r="DL1117" s="319"/>
      <c r="DM1117" s="319"/>
      <c r="DN1117" s="319"/>
      <c r="DO1117" s="226"/>
      <c r="DY1117" s="469"/>
      <c r="DZ1117" s="469"/>
    </row>
    <row r="1118" spans="1:130" ht="12" customHeight="1">
      <c r="A1118" s="912" t="s">
        <v>690</v>
      </c>
      <c r="B1118" s="222"/>
      <c r="C1118" s="222"/>
      <c r="D1118" s="468"/>
      <c r="E1118" s="469"/>
      <c r="F1118" s="469"/>
      <c r="G1118" s="469"/>
      <c r="H1118" s="470"/>
      <c r="I1118" s="469"/>
      <c r="J1118" s="469"/>
      <c r="K1118" s="469"/>
      <c r="L1118" s="469"/>
      <c r="M1118" s="470"/>
      <c r="N1118" s="469"/>
      <c r="O1118" s="469"/>
      <c r="P1118" s="469"/>
      <c r="Q1118" s="469"/>
      <c r="R1118" s="470"/>
      <c r="S1118" s="469"/>
      <c r="T1118" s="469"/>
      <c r="U1118" s="469"/>
      <c r="V1118" s="469"/>
      <c r="W1118" s="470"/>
      <c r="X1118" s="469"/>
      <c r="Y1118" s="469"/>
      <c r="Z1118" s="469"/>
      <c r="AA1118" s="469"/>
      <c r="AB1118" s="470"/>
      <c r="AC1118" s="469"/>
      <c r="AD1118" s="469"/>
      <c r="AE1118" s="469"/>
      <c r="AF1118" s="469"/>
      <c r="AG1118" s="470"/>
      <c r="AH1118" s="469"/>
      <c r="AI1118" s="469"/>
      <c r="AJ1118" s="469"/>
      <c r="AK1118" s="469"/>
      <c r="AL1118" s="470"/>
      <c r="AM1118" s="469"/>
      <c r="AN1118" s="469"/>
      <c r="AO1118" s="469"/>
      <c r="AP1118" s="469"/>
      <c r="AQ1118" s="470"/>
      <c r="AR1118" s="469"/>
      <c r="AS1118" s="469"/>
      <c r="AT1118" s="469"/>
      <c r="AU1118" s="469"/>
      <c r="AV1118" s="470"/>
      <c r="AW1118" s="469"/>
      <c r="AX1118" s="469"/>
      <c r="AY1118" s="469"/>
      <c r="AZ1118" s="469"/>
      <c r="BA1118" s="470"/>
      <c r="BB1118" s="469"/>
      <c r="BC1118" s="469"/>
      <c r="BD1118" s="469"/>
      <c r="BE1118" s="469"/>
      <c r="BF1118" s="470"/>
      <c r="BG1118" s="469"/>
      <c r="BH1118" s="469"/>
      <c r="BI1118" s="469"/>
      <c r="BJ1118" s="469"/>
      <c r="BK1118" s="470"/>
      <c r="BL1118" s="469"/>
      <c r="BM1118" s="469"/>
      <c r="BN1118" s="469"/>
      <c r="BO1118" s="469"/>
      <c r="BP1118" s="470"/>
      <c r="BQ1118" s="469"/>
      <c r="BR1118" s="469"/>
      <c r="BS1118" s="469"/>
      <c r="BT1118" s="469"/>
      <c r="BU1118" s="3322"/>
      <c r="BV1118" s="469"/>
      <c r="BW1118" s="469"/>
      <c r="BX1118" s="469"/>
      <c r="BY1118" s="469"/>
      <c r="BZ1118" s="3322"/>
      <c r="CA1118" s="470"/>
      <c r="CB1118" s="470"/>
      <c r="CC1118" s="470"/>
      <c r="CD1118" s="470"/>
      <c r="CE1118" s="470"/>
      <c r="CF1118" s="470"/>
      <c r="CG1118" s="470"/>
      <c r="CH1118" s="469"/>
      <c r="CI1118" s="469"/>
      <c r="CJ1118" s="469"/>
      <c r="CK1118" s="469"/>
      <c r="CL1118" s="469"/>
      <c r="CM1118" s="469"/>
      <c r="CN1118" s="469"/>
      <c r="CO1118" s="469"/>
      <c r="CP1118" s="912" t="str">
        <f t="shared" si="1959"/>
        <v>Shareholders' Equity</v>
      </c>
      <c r="CQ1118" s="465"/>
      <c r="CR1118" s="465"/>
      <c r="CS1118" s="465"/>
      <c r="CT1118" s="465"/>
      <c r="CU1118" s="465"/>
      <c r="CV1118" s="465"/>
      <c r="CW1118" s="465"/>
      <c r="CX1118" s="465"/>
      <c r="CY1118" s="465"/>
      <c r="CZ1118" s="465"/>
      <c r="DA1118" s="465"/>
      <c r="DB1118" s="465"/>
      <c r="DC1118" s="465"/>
      <c r="DD1118" s="465"/>
      <c r="DE1118" s="465"/>
      <c r="DF1118" s="465"/>
      <c r="DG1118" s="1797"/>
      <c r="DH1118" s="319"/>
      <c r="DI1118" s="319"/>
      <c r="DJ1118" s="319"/>
      <c r="DK1118" s="319"/>
      <c r="DL1118" s="319"/>
      <c r="DM1118" s="319"/>
      <c r="DN1118" s="319"/>
      <c r="DO1118" s="226"/>
      <c r="DY1118" s="469"/>
      <c r="DZ1118" s="469"/>
    </row>
    <row r="1119" spans="1:130" ht="12" customHeight="1">
      <c r="A1119" s="1003" t="s">
        <v>479</v>
      </c>
      <c r="B1119" s="222"/>
      <c r="C1119" s="222"/>
      <c r="D1119" s="368">
        <v>0.65500000000000003</v>
      </c>
      <c r="E1119" s="366">
        <v>0.67300000000000004</v>
      </c>
      <c r="F1119" s="366">
        <v>0.87</v>
      </c>
      <c r="G1119" s="366">
        <v>0.875</v>
      </c>
      <c r="H1119" s="585">
        <f>G1119</f>
        <v>0.875</v>
      </c>
      <c r="I1119" s="366">
        <v>0.88</v>
      </c>
      <c r="J1119" s="366">
        <v>0.88600000000000001</v>
      </c>
      <c r="K1119" s="366">
        <v>0.89200000000000002</v>
      </c>
      <c r="L1119" s="366">
        <v>0.89300000000000002</v>
      </c>
      <c r="M1119" s="585">
        <f>L1119</f>
        <v>0.89300000000000002</v>
      </c>
      <c r="N1119" s="366">
        <v>0.89400000000000002</v>
      </c>
      <c r="O1119" s="366">
        <v>0.89800000000000002</v>
      </c>
      <c r="P1119" s="366">
        <v>0.86399999999999999</v>
      </c>
      <c r="Q1119" s="366">
        <v>0.871</v>
      </c>
      <c r="R1119" s="585">
        <f>Q1119</f>
        <v>0.871</v>
      </c>
      <c r="S1119" s="366">
        <v>0.873</v>
      </c>
      <c r="T1119" s="366">
        <v>0.876</v>
      </c>
      <c r="U1119" s="366">
        <v>0.877</v>
      </c>
      <c r="V1119" s="366">
        <v>0.877</v>
      </c>
      <c r="W1119" s="585">
        <f>V1119</f>
        <v>0.877</v>
      </c>
      <c r="X1119" s="366">
        <v>0.878</v>
      </c>
      <c r="Y1119" s="366">
        <v>0.878</v>
      </c>
      <c r="Z1119" s="366">
        <v>0.878</v>
      </c>
      <c r="AA1119" s="366">
        <v>0.878</v>
      </c>
      <c r="AB1119" s="585">
        <f>AA1119</f>
        <v>0.878</v>
      </c>
      <c r="AC1119" s="366">
        <v>0.86299999999999999</v>
      </c>
      <c r="AD1119" s="366">
        <v>0.86099999999999999</v>
      </c>
      <c r="AE1119" s="366">
        <v>0.86099999999999999</v>
      </c>
      <c r="AF1119" s="366">
        <v>0.86099999999999999</v>
      </c>
      <c r="AG1119" s="585">
        <f>AF1119</f>
        <v>0.86099999999999999</v>
      </c>
      <c r="AH1119" s="622">
        <v>0.86099999999999999</v>
      </c>
      <c r="AI1119" s="622">
        <v>0.86199999999999999</v>
      </c>
      <c r="AJ1119" s="622">
        <v>0.86199999999999999</v>
      </c>
      <c r="AK1119" s="622">
        <v>0.86199999999999999</v>
      </c>
      <c r="AL1119" s="370">
        <f>AK1119</f>
        <v>0.86199999999999999</v>
      </c>
      <c r="AM1119" s="622">
        <v>0.86199999999999999</v>
      </c>
      <c r="AN1119" s="622">
        <v>0.86299999999999999</v>
      </c>
      <c r="AO1119" s="622">
        <v>0.86299999999999999</v>
      </c>
      <c r="AP1119" s="622">
        <v>0.86299999999999999</v>
      </c>
      <c r="AQ1119" s="370">
        <f>AP1119</f>
        <v>0.86299999999999999</v>
      </c>
      <c r="AR1119" s="622">
        <v>0.86299999999999999</v>
      </c>
      <c r="AS1119" s="622">
        <v>0.86299999999999999</v>
      </c>
      <c r="AT1119" s="622">
        <v>0.86299999999999999</v>
      </c>
      <c r="AU1119" s="622">
        <v>0.86899999999999999</v>
      </c>
      <c r="AV1119" s="370">
        <f>AU1119</f>
        <v>0.86899999999999999</v>
      </c>
      <c r="AW1119" s="622">
        <v>0.86899999999999999</v>
      </c>
      <c r="AX1119" s="622">
        <v>0.88800000000000001</v>
      </c>
      <c r="AY1119" s="622">
        <v>1.0780000000000001</v>
      </c>
      <c r="AZ1119" s="622">
        <v>1.0820000000000001</v>
      </c>
      <c r="BA1119" s="370">
        <f>AZ1119</f>
        <v>1.0820000000000001</v>
      </c>
      <c r="BB1119" s="622">
        <v>1.083</v>
      </c>
      <c r="BC1119" s="622">
        <v>1.0840000000000001</v>
      </c>
      <c r="BD1119" s="622">
        <v>1.0840000000000001</v>
      </c>
      <c r="BE1119" s="622">
        <v>1.093</v>
      </c>
      <c r="BF1119" s="370">
        <f>BE1119</f>
        <v>1.093</v>
      </c>
      <c r="BG1119" s="622">
        <v>1.1040000000000001</v>
      </c>
      <c r="BH1119" s="622">
        <v>1.105</v>
      </c>
      <c r="BI1119" s="622">
        <v>1.1100000000000001</v>
      </c>
      <c r="BJ1119" s="622">
        <v>1.117</v>
      </c>
      <c r="BK1119" s="370">
        <f t="shared" ref="BK1119:CB1119" si="2146">BJ1119</f>
        <v>1.117</v>
      </c>
      <c r="BL1119" s="622">
        <v>1.1200000000000001</v>
      </c>
      <c r="BM1119" s="622">
        <v>1.123</v>
      </c>
      <c r="BN1119" s="622">
        <v>1.125</v>
      </c>
      <c r="BO1119" s="622">
        <v>1.129</v>
      </c>
      <c r="BP1119" s="370">
        <f t="shared" si="2146"/>
        <v>1.129</v>
      </c>
      <c r="BQ1119" s="622">
        <v>1.1319999999999999</v>
      </c>
      <c r="BR1119" s="622">
        <v>1.129</v>
      </c>
      <c r="BS1119" s="622">
        <v>1.1259999999999999</v>
      </c>
      <c r="BT1119" s="621">
        <f>BS1119</f>
        <v>1.1259999999999999</v>
      </c>
      <c r="BU1119" s="3329">
        <f t="shared" si="2146"/>
        <v>1.1259999999999999</v>
      </c>
      <c r="BV1119" s="621">
        <f>BU1119</f>
        <v>1.1259999999999999</v>
      </c>
      <c r="BW1119" s="621">
        <f t="shared" ref="BW1119:BY1119" si="2147">BV1119</f>
        <v>1.1259999999999999</v>
      </c>
      <c r="BX1119" s="621">
        <f t="shared" si="2147"/>
        <v>1.1259999999999999</v>
      </c>
      <c r="BY1119" s="621">
        <f t="shared" si="2147"/>
        <v>1.1259999999999999</v>
      </c>
      <c r="BZ1119" s="3329">
        <f t="shared" si="2146"/>
        <v>1.1259999999999999</v>
      </c>
      <c r="CA1119" s="370">
        <f t="shared" si="2146"/>
        <v>1.1259999999999999</v>
      </c>
      <c r="CB1119" s="370">
        <f t="shared" si="2146"/>
        <v>1.1259999999999999</v>
      </c>
      <c r="CC1119" s="370">
        <f>CB1119</f>
        <v>1.1259999999999999</v>
      </c>
      <c r="CD1119" s="370">
        <f>CC1119</f>
        <v>1.1259999999999999</v>
      </c>
      <c r="CE1119" s="370">
        <f>CD1119</f>
        <v>1.1259999999999999</v>
      </c>
      <c r="CF1119" s="370">
        <f>CE1119</f>
        <v>1.1259999999999999</v>
      </c>
      <c r="CG1119" s="370">
        <f>CF1119</f>
        <v>1.1259999999999999</v>
      </c>
      <c r="CH1119" s="369"/>
      <c r="CI1119" s="369"/>
      <c r="CJ1119" s="369"/>
      <c r="CK1119" s="369"/>
      <c r="CL1119" s="369"/>
      <c r="CM1119" s="621"/>
      <c r="CN1119" s="621">
        <f t="shared" ref="CN1119:CN1122" si="2148">BY1119</f>
        <v>1.1259999999999999</v>
      </c>
      <c r="CO1119" s="965">
        <f t="shared" ref="CO1119:CO1124" si="2149">CM1119-CN1119</f>
        <v>-1.1259999999999999</v>
      </c>
      <c r="CP1119" s="1003" t="str">
        <f t="shared" si="1959"/>
        <v>Common Stock</v>
      </c>
      <c r="CQ1119" s="621">
        <f t="shared" si="1960"/>
        <v>0.875</v>
      </c>
      <c r="CR1119" s="621">
        <f t="shared" si="1961"/>
        <v>0.89300000000000002</v>
      </c>
      <c r="CS1119" s="621">
        <f t="shared" si="1962"/>
        <v>0.871</v>
      </c>
      <c r="CT1119" s="621">
        <f t="shared" si="1963"/>
        <v>0.877</v>
      </c>
      <c r="CU1119" s="621">
        <f t="shared" si="1964"/>
        <v>0.878</v>
      </c>
      <c r="CV1119" s="621">
        <f t="shared" si="1965"/>
        <v>0.86099999999999999</v>
      </c>
      <c r="CW1119" s="621">
        <f t="shared" si="1966"/>
        <v>0.86199999999999999</v>
      </c>
      <c r="CX1119" s="621">
        <f t="shared" si="1967"/>
        <v>0.86299999999999999</v>
      </c>
      <c r="CY1119" s="621">
        <f t="shared" si="1968"/>
        <v>0.86899999999999999</v>
      </c>
      <c r="CZ1119" s="621">
        <f t="shared" si="1969"/>
        <v>1.0820000000000001</v>
      </c>
      <c r="DA1119" s="621">
        <f t="shared" si="1970"/>
        <v>1.093</v>
      </c>
      <c r="DB1119" s="621">
        <f t="shared" si="1971"/>
        <v>1.117</v>
      </c>
      <c r="DC1119" s="621">
        <f t="shared" si="1972"/>
        <v>1.129</v>
      </c>
      <c r="DD1119" s="621">
        <f t="shared" si="1973"/>
        <v>1.1259999999999999</v>
      </c>
      <c r="DE1119" s="621">
        <f t="shared" si="1974"/>
        <v>1.1259999999999999</v>
      </c>
      <c r="DF1119" s="621">
        <f t="shared" si="1975"/>
        <v>1.1259999999999999</v>
      </c>
      <c r="DG1119" s="842">
        <f t="shared" si="1976"/>
        <v>1.1259999999999999</v>
      </c>
      <c r="DH1119" s="371"/>
      <c r="DI1119" s="371"/>
      <c r="DJ1119" s="371"/>
      <c r="DK1119" s="371"/>
      <c r="DL1119" s="371"/>
      <c r="DM1119" s="371"/>
      <c r="DN1119" s="319"/>
      <c r="DO1119" s="226"/>
      <c r="DY1119" s="369"/>
      <c r="DZ1119" s="369"/>
    </row>
    <row r="1120" spans="1:130" ht="12" customHeight="1">
      <c r="A1120" s="1003" t="s">
        <v>1329</v>
      </c>
      <c r="B1120" s="222"/>
      <c r="C1120" s="222"/>
      <c r="D1120" s="377">
        <v>167.732</v>
      </c>
      <c r="E1120" s="376">
        <v>189.386</v>
      </c>
      <c r="F1120" s="376">
        <v>563.61300000000006</v>
      </c>
      <c r="G1120" s="376">
        <v>574.72299999999996</v>
      </c>
      <c r="H1120" s="346">
        <f>G1120</f>
        <v>574.72299999999996</v>
      </c>
      <c r="I1120" s="376">
        <v>585.85799999999995</v>
      </c>
      <c r="J1120" s="376">
        <v>602.71400000000006</v>
      </c>
      <c r="K1120" s="376">
        <v>617.09100000000001</v>
      </c>
      <c r="L1120" s="376">
        <v>619.85199999999998</v>
      </c>
      <c r="M1120" s="346">
        <f>L1120</f>
        <v>619.85199999999998</v>
      </c>
      <c r="N1120" s="376">
        <v>629.15200000000004</v>
      </c>
      <c r="O1120" s="376">
        <v>645.53499999999997</v>
      </c>
      <c r="P1120" s="376">
        <v>540.80799999999999</v>
      </c>
      <c r="Q1120" s="376">
        <v>561.298</v>
      </c>
      <c r="R1120" s="346">
        <f>Q1120</f>
        <v>561.298</v>
      </c>
      <c r="S1120" s="376">
        <v>572.59900000000005</v>
      </c>
      <c r="T1120" s="376">
        <v>588.13599999999997</v>
      </c>
      <c r="U1120" s="376">
        <v>594.298</v>
      </c>
      <c r="V1120" s="376">
        <v>599.75099999999998</v>
      </c>
      <c r="W1120" s="346">
        <f>V1120</f>
        <v>599.75099999999998</v>
      </c>
      <c r="X1120" s="376">
        <v>603.87300000000005</v>
      </c>
      <c r="Y1120" s="376">
        <v>607.23400000000004</v>
      </c>
      <c r="Z1120" s="376">
        <v>610.67700000000002</v>
      </c>
      <c r="AA1120" s="376">
        <v>616.30399999999997</v>
      </c>
      <c r="AB1120" s="346">
        <f>AA1120</f>
        <v>616.30399999999997</v>
      </c>
      <c r="AC1120" s="376">
        <v>612.90499999999997</v>
      </c>
      <c r="AD1120" s="376">
        <v>615.44500000000005</v>
      </c>
      <c r="AE1120" s="376">
        <v>618.59699999999998</v>
      </c>
      <c r="AF1120" s="376">
        <v>623.03499999999997</v>
      </c>
      <c r="AG1120" s="346">
        <f>AF1120</f>
        <v>623.03499999999997</v>
      </c>
      <c r="AH1120" s="376">
        <v>625.98599999999999</v>
      </c>
      <c r="AI1120" s="376">
        <v>629.34699999999998</v>
      </c>
      <c r="AJ1120" s="376">
        <v>631.75900000000001</v>
      </c>
      <c r="AK1120" s="376">
        <v>635.02800000000002</v>
      </c>
      <c r="AL1120" s="373">
        <f>AK1120</f>
        <v>635.02800000000002</v>
      </c>
      <c r="AM1120" s="376">
        <v>638.89300000000003</v>
      </c>
      <c r="AN1120" s="376">
        <v>640.66099999999994</v>
      </c>
      <c r="AO1120" s="376">
        <v>642.24300000000005</v>
      </c>
      <c r="AP1120" s="376">
        <v>644.17399999999998</v>
      </c>
      <c r="AQ1120" s="373">
        <f>AP1120</f>
        <v>644.17399999999998</v>
      </c>
      <c r="AR1120" s="376">
        <v>647.13699999999994</v>
      </c>
      <c r="AS1120" s="376">
        <v>649.94399999999996</v>
      </c>
      <c r="AT1120" s="376">
        <v>651.50800000000004</v>
      </c>
      <c r="AU1120" s="376">
        <v>655.69399999999996</v>
      </c>
      <c r="AV1120" s="373">
        <f>AU1120</f>
        <v>655.69399999999996</v>
      </c>
      <c r="AW1120" s="376">
        <v>659.78</v>
      </c>
      <c r="AX1120" s="376">
        <v>675.45399999999995</v>
      </c>
      <c r="AY1120" s="376">
        <v>894.22199999999998</v>
      </c>
      <c r="AZ1120" s="376">
        <v>902.49599999999998</v>
      </c>
      <c r="BA1120" s="373">
        <f>AZ1120</f>
        <v>902.49599999999998</v>
      </c>
      <c r="BB1120" s="376">
        <v>909.53300000000002</v>
      </c>
      <c r="BC1120" s="376">
        <v>913.10199999999998</v>
      </c>
      <c r="BD1120" s="376">
        <v>914.39099999999996</v>
      </c>
      <c r="BE1120" s="376">
        <v>922.11199999999997</v>
      </c>
      <c r="BF1120" s="373">
        <f>BE1120</f>
        <v>922.11199999999997</v>
      </c>
      <c r="BG1120" s="376">
        <v>927.51499999999999</v>
      </c>
      <c r="BH1120" s="376">
        <v>930.56700000000001</v>
      </c>
      <c r="BI1120" s="376">
        <v>936.197</v>
      </c>
      <c r="BJ1120" s="376">
        <v>945.04100000000005</v>
      </c>
      <c r="BK1120" s="373">
        <f>BJ1120</f>
        <v>945.04100000000005</v>
      </c>
      <c r="BL1120" s="376">
        <v>946.91399999999999</v>
      </c>
      <c r="BM1120" s="376">
        <v>950.51400000000001</v>
      </c>
      <c r="BN1120" s="376">
        <v>953.51099999999997</v>
      </c>
      <c r="BO1120" s="376">
        <v>953.44</v>
      </c>
      <c r="BP1120" s="373">
        <f>BO1120</f>
        <v>953.44</v>
      </c>
      <c r="BQ1120" s="376">
        <v>953.23099999999999</v>
      </c>
      <c r="BR1120" s="376">
        <v>948.38400000000001</v>
      </c>
      <c r="BS1120" s="376">
        <v>941.14200000000005</v>
      </c>
      <c r="BT1120" s="374">
        <f>BS1120+BT65+BT1027+BT1039</f>
        <v>865.36725000000001</v>
      </c>
      <c r="BU1120" s="3326">
        <f>BT1120</f>
        <v>865.36725000000001</v>
      </c>
      <c r="BV1120" s="374">
        <f>BU1120+BV65+BV1027+BV1039</f>
        <v>856.55025000000001</v>
      </c>
      <c r="BW1120" s="374">
        <f>BV1120+BW65+BW1027+BW1039</f>
        <v>850.39724999999999</v>
      </c>
      <c r="BX1120" s="374">
        <f>BW1120+BX65+BX1027+BX1039</f>
        <v>840.87924999999996</v>
      </c>
      <c r="BY1120" s="374">
        <f>BX1120+BY65+BY1027+BY1039</f>
        <v>835.18025</v>
      </c>
      <c r="BZ1120" s="3326">
        <f>BY1120</f>
        <v>835.18025</v>
      </c>
      <c r="CA1120" s="373">
        <f>BZ1120+CA65+CA1027+CA1039</f>
        <v>864.99324999999999</v>
      </c>
      <c r="CB1120" s="373">
        <f>CA1120+CB65+CB1027+CB1039</f>
        <v>894.80624999999998</v>
      </c>
      <c r="CC1120" s="373">
        <f>CB1120+CC65</f>
        <v>914.61924999999997</v>
      </c>
      <c r="CD1120" s="373">
        <f>CC1120+CD65</f>
        <v>934.43224999999995</v>
      </c>
      <c r="CE1120" s="373">
        <f>CD1120+CE65</f>
        <v>954.24524999999994</v>
      </c>
      <c r="CF1120" s="373">
        <f>CE1120+CF65</f>
        <v>974.05824999999993</v>
      </c>
      <c r="CG1120" s="373">
        <f>CF1120+CG65</f>
        <v>993.87124999999992</v>
      </c>
      <c r="CH1120" s="374"/>
      <c r="CI1120" s="374"/>
      <c r="CJ1120" s="374"/>
      <c r="CK1120" s="374"/>
      <c r="CL1120" s="374"/>
      <c r="CM1120" s="621"/>
      <c r="CN1120" s="621">
        <f t="shared" si="2148"/>
        <v>835.18025</v>
      </c>
      <c r="CO1120" s="965">
        <f t="shared" si="2149"/>
        <v>-835.18025</v>
      </c>
      <c r="CP1120" s="1003" t="str">
        <f t="shared" si="1959"/>
        <v>Additional Paid-In Capital</v>
      </c>
      <c r="CQ1120" s="374">
        <f t="shared" si="1960"/>
        <v>574.72299999999996</v>
      </c>
      <c r="CR1120" s="374">
        <f t="shared" si="1961"/>
        <v>619.85199999999998</v>
      </c>
      <c r="CS1120" s="374">
        <f t="shared" si="1962"/>
        <v>561.298</v>
      </c>
      <c r="CT1120" s="374">
        <f t="shared" si="1963"/>
        <v>599.75099999999998</v>
      </c>
      <c r="CU1120" s="374">
        <f t="shared" si="1964"/>
        <v>616.30399999999997</v>
      </c>
      <c r="CV1120" s="374">
        <f t="shared" si="1965"/>
        <v>623.03499999999997</v>
      </c>
      <c r="CW1120" s="374">
        <f t="shared" si="1966"/>
        <v>635.02800000000002</v>
      </c>
      <c r="CX1120" s="374">
        <f t="shared" si="1967"/>
        <v>644.17399999999998</v>
      </c>
      <c r="CY1120" s="374">
        <f t="shared" si="1968"/>
        <v>655.69399999999996</v>
      </c>
      <c r="CZ1120" s="374">
        <f t="shared" si="1969"/>
        <v>902.49599999999998</v>
      </c>
      <c r="DA1120" s="374">
        <f t="shared" si="1970"/>
        <v>922.11199999999997</v>
      </c>
      <c r="DB1120" s="374">
        <f t="shared" si="1971"/>
        <v>945.04100000000005</v>
      </c>
      <c r="DC1120" s="374">
        <f t="shared" si="1972"/>
        <v>953.44</v>
      </c>
      <c r="DD1120" s="374">
        <f t="shared" si="1973"/>
        <v>865.36725000000001</v>
      </c>
      <c r="DE1120" s="374">
        <f t="shared" si="1974"/>
        <v>835.18025</v>
      </c>
      <c r="DF1120" s="374">
        <f t="shared" si="1975"/>
        <v>864.99324999999999</v>
      </c>
      <c r="DG1120" s="1802">
        <f t="shared" si="1976"/>
        <v>894.80624999999998</v>
      </c>
      <c r="DH1120" s="894"/>
      <c r="DI1120" s="894"/>
      <c r="DJ1120" s="894"/>
      <c r="DK1120" s="894"/>
      <c r="DL1120" s="894"/>
      <c r="DM1120" s="894"/>
      <c r="DN1120" s="319"/>
      <c r="DO1120" s="226"/>
      <c r="DY1120" s="374"/>
      <c r="DZ1120" s="374"/>
    </row>
    <row r="1121" spans="1:130" ht="12" customHeight="1">
      <c r="A1121" s="1003" t="s">
        <v>902</v>
      </c>
      <c r="B1121" s="222"/>
      <c r="C1121" s="222"/>
      <c r="D1121" s="377">
        <v>291.91699999999997</v>
      </c>
      <c r="E1121" s="376">
        <v>302.43299999999999</v>
      </c>
      <c r="F1121" s="376">
        <v>330.60899999999998</v>
      </c>
      <c r="G1121" s="376">
        <v>370.089</v>
      </c>
      <c r="H1121" s="346">
        <f>G1121</f>
        <v>370.089</v>
      </c>
      <c r="I1121" s="376">
        <v>402.71699999999998</v>
      </c>
      <c r="J1121" s="376">
        <v>440.30900000000003</v>
      </c>
      <c r="K1121" s="376">
        <v>462.17700000000002</v>
      </c>
      <c r="L1121" s="376">
        <v>473.964</v>
      </c>
      <c r="M1121" s="346">
        <f>L1121</f>
        <v>473.964</v>
      </c>
      <c r="N1121" s="376">
        <v>526.04200000000003</v>
      </c>
      <c r="O1121" s="376">
        <v>524.09500000000003</v>
      </c>
      <c r="P1121" s="376">
        <v>499.50799999999998</v>
      </c>
      <c r="Q1121" s="376">
        <v>544.08000000000004</v>
      </c>
      <c r="R1121" s="346">
        <f>Q1121</f>
        <v>544.08000000000004</v>
      </c>
      <c r="S1121" s="376">
        <v>749.94899999999996</v>
      </c>
      <c r="T1121" s="376">
        <v>758.95399999999995</v>
      </c>
      <c r="U1121" s="376">
        <v>777.62599999999998</v>
      </c>
      <c r="V1121" s="376">
        <v>795.69299999999998</v>
      </c>
      <c r="W1121" s="346">
        <f>V1121</f>
        <v>795.69299999999998</v>
      </c>
      <c r="X1121" s="376">
        <v>749.94299999999998</v>
      </c>
      <c r="Y1121" s="376">
        <v>758.43399999999997</v>
      </c>
      <c r="Z1121" s="376">
        <v>767.13199999999995</v>
      </c>
      <c r="AA1121" s="376">
        <v>546.35799999999995</v>
      </c>
      <c r="AB1121" s="346">
        <f>AA1121</f>
        <v>546.35799999999995</v>
      </c>
      <c r="AC1121" s="376">
        <v>532.53</v>
      </c>
      <c r="AD1121" s="376">
        <v>545.30799999999999</v>
      </c>
      <c r="AE1121" s="376">
        <v>551.62300000000005</v>
      </c>
      <c r="AF1121" s="376">
        <v>550.59900000000005</v>
      </c>
      <c r="AG1121" s="346">
        <f>AF1121</f>
        <v>550.59900000000005</v>
      </c>
      <c r="AH1121" s="376">
        <v>559.03399999999999</v>
      </c>
      <c r="AI1121" s="376">
        <v>562.41600000000005</v>
      </c>
      <c r="AJ1121" s="376">
        <v>568.00699999999995</v>
      </c>
      <c r="AK1121" s="376">
        <v>560.90899999999999</v>
      </c>
      <c r="AL1121" s="373">
        <f>AK1121</f>
        <v>560.90899999999999</v>
      </c>
      <c r="AM1121" s="376">
        <v>557.38800000000003</v>
      </c>
      <c r="AN1121" s="376">
        <v>554.43700000000001</v>
      </c>
      <c r="AO1121" s="376">
        <v>557.54600000000005</v>
      </c>
      <c r="AP1121" s="376">
        <v>557.05499999999995</v>
      </c>
      <c r="AQ1121" s="373">
        <f>AP1121</f>
        <v>557.05499999999995</v>
      </c>
      <c r="AR1121" s="376">
        <v>562.90700000000004</v>
      </c>
      <c r="AS1121" s="376">
        <v>563.88400000000001</v>
      </c>
      <c r="AT1121" s="376">
        <v>548.08799999999997</v>
      </c>
      <c r="AU1121" s="376">
        <v>-351.81</v>
      </c>
      <c r="AV1121" s="373">
        <f>AU1121</f>
        <v>-351.81</v>
      </c>
      <c r="AW1121" s="376">
        <v>-359.09399999999999</v>
      </c>
      <c r="AX1121" s="376">
        <v>-347.46699999999998</v>
      </c>
      <c r="AY1121" s="376">
        <v>-384.73399999999998</v>
      </c>
      <c r="AZ1121" s="376">
        <v>-432.07400000000001</v>
      </c>
      <c r="BA1121" s="373">
        <f>AZ1121</f>
        <v>-432.07400000000001</v>
      </c>
      <c r="BB1121" s="376">
        <v>-438.25599999999997</v>
      </c>
      <c r="BC1121" s="376">
        <v>-437.58699999999999</v>
      </c>
      <c r="BD1121" s="376">
        <v>-452.69200000000001</v>
      </c>
      <c r="BE1121" s="376">
        <v>-485.11500000000001</v>
      </c>
      <c r="BF1121" s="373">
        <f>BE1121</f>
        <v>-485.11500000000001</v>
      </c>
      <c r="BG1121" s="376">
        <v>-450.012</v>
      </c>
      <c r="BH1121" s="376">
        <v>-456.43700000000001</v>
      </c>
      <c r="BI1121" s="376">
        <v>-431.012</v>
      </c>
      <c r="BJ1121" s="376">
        <v>-437.88099999999997</v>
      </c>
      <c r="BK1121" s="373">
        <f>BJ1121</f>
        <v>-437.88099999999997</v>
      </c>
      <c r="BL1121" s="376">
        <v>-404.69099999999997</v>
      </c>
      <c r="BM1121" s="376">
        <v>-374.66899999999998</v>
      </c>
      <c r="BN1121" s="376">
        <v>-32.097999999999999</v>
      </c>
      <c r="BO1121" s="376">
        <v>-19.878</v>
      </c>
      <c r="BP1121" s="373">
        <f>BO1121</f>
        <v>-19.878</v>
      </c>
      <c r="BQ1121" s="376">
        <v>31.388000000000002</v>
      </c>
      <c r="BR1121" s="376">
        <v>74.313000000000002</v>
      </c>
      <c r="BS1121" s="376">
        <v>91.656000000000006</v>
      </c>
      <c r="BT1121" s="374">
        <f>BS1121+BT86-BT83+BT1040+BT1041</f>
        <v>168.04575</v>
      </c>
      <c r="BU1121" s="3326">
        <f>BT1121</f>
        <v>168.04575</v>
      </c>
      <c r="BV1121" s="374">
        <f>BU1121+BV86-BV83+BV1040+BV1041</f>
        <v>199.2108865936259</v>
      </c>
      <c r="BW1121" s="374">
        <f>BV1121+BW86-BW83+BW1040+BW1041</f>
        <v>228.02023753295867</v>
      </c>
      <c r="BX1121" s="374">
        <f>BW1121+BX86-BX83+BX1040+BX1041</f>
        <v>271.52336582773609</v>
      </c>
      <c r="BY1121" s="374">
        <f>BX1121+BY86-BY83+BY1040+BY1041</f>
        <v>321.03325325692526</v>
      </c>
      <c r="BZ1121" s="3326">
        <f>BY1121</f>
        <v>321.03325325692526</v>
      </c>
      <c r="CA1121" s="373">
        <f>BZ1121+CA86-CA83+CA1040+CA1041</f>
        <v>508.74540084710537</v>
      </c>
      <c r="CB1121" s="373">
        <f>CA1121+CB86-CB83+CB1040+CB1041</f>
        <v>699.83883974076434</v>
      </c>
      <c r="CC1121" s="373">
        <f>CB1121+CC86-CC83+CC1040</f>
        <v>456.5808584709369</v>
      </c>
      <c r="CD1121" s="373">
        <f>CC1121+CD86-CD83+CD1040</f>
        <v>180.49228792449441</v>
      </c>
      <c r="CE1121" s="373">
        <f>CD1121+CE86-CE83+CE1040</f>
        <v>-80.890358066125088</v>
      </c>
      <c r="CF1121" s="373">
        <f>CE1121+CF86-CF83+CF1040</f>
        <v>-327.14857526465562</v>
      </c>
      <c r="CG1121" s="373">
        <f>CF1121+CG86-CG83+CG1040</f>
        <v>-557.85408648640487</v>
      </c>
      <c r="CH1121" s="374"/>
      <c r="CI1121" s="374"/>
      <c r="CJ1121" s="374"/>
      <c r="CK1121" s="374"/>
      <c r="CL1121" s="374"/>
      <c r="CM1121" s="621"/>
      <c r="CN1121" s="621">
        <f t="shared" si="2148"/>
        <v>321.03325325692526</v>
      </c>
      <c r="CO1121" s="965">
        <f t="shared" si="2149"/>
        <v>-321.03325325692526</v>
      </c>
      <c r="CP1121" s="1003" t="str">
        <f t="shared" si="1959"/>
        <v>Retained Earnings</v>
      </c>
      <c r="CQ1121" s="374">
        <f t="shared" si="1960"/>
        <v>370.089</v>
      </c>
      <c r="CR1121" s="374">
        <f t="shared" si="1961"/>
        <v>473.964</v>
      </c>
      <c r="CS1121" s="374">
        <f t="shared" si="1962"/>
        <v>544.08000000000004</v>
      </c>
      <c r="CT1121" s="374">
        <f t="shared" si="1963"/>
        <v>795.69299999999998</v>
      </c>
      <c r="CU1121" s="374">
        <f t="shared" si="1964"/>
        <v>546.35799999999995</v>
      </c>
      <c r="CV1121" s="374">
        <f t="shared" si="1965"/>
        <v>550.59900000000005</v>
      </c>
      <c r="CW1121" s="374">
        <f t="shared" si="1966"/>
        <v>560.90899999999999</v>
      </c>
      <c r="CX1121" s="374">
        <f t="shared" si="1967"/>
        <v>557.05499999999995</v>
      </c>
      <c r="CY1121" s="374">
        <f t="shared" si="1968"/>
        <v>-351.81</v>
      </c>
      <c r="CZ1121" s="374">
        <f t="shared" si="1969"/>
        <v>-432.07400000000001</v>
      </c>
      <c r="DA1121" s="374">
        <f t="shared" si="1970"/>
        <v>-485.11500000000001</v>
      </c>
      <c r="DB1121" s="374">
        <f t="shared" si="1971"/>
        <v>-437.88099999999997</v>
      </c>
      <c r="DC1121" s="374">
        <f t="shared" si="1972"/>
        <v>-19.878</v>
      </c>
      <c r="DD1121" s="374">
        <f t="shared" si="1973"/>
        <v>168.04575</v>
      </c>
      <c r="DE1121" s="374">
        <f t="shared" si="1974"/>
        <v>321.03325325692526</v>
      </c>
      <c r="DF1121" s="374">
        <f t="shared" si="1975"/>
        <v>508.74540084710537</v>
      </c>
      <c r="DG1121" s="1802">
        <f t="shared" si="1976"/>
        <v>699.83883974076434</v>
      </c>
      <c r="DH1121" s="894"/>
      <c r="DI1121" s="894"/>
      <c r="DJ1121" s="894"/>
      <c r="DK1121" s="894"/>
      <c r="DL1121" s="894"/>
      <c r="DM1121" s="894"/>
      <c r="DN1121" s="319"/>
      <c r="DO1121" s="226"/>
      <c r="DY1121" s="374"/>
      <c r="DZ1121" s="374"/>
    </row>
    <row r="1122" spans="1:130" ht="12" customHeight="1">
      <c r="A1122" s="2062" t="s">
        <v>1567</v>
      </c>
      <c r="B1122" s="319"/>
      <c r="C1122" s="319"/>
      <c r="D1122" s="440">
        <v>-4.5970000000000004</v>
      </c>
      <c r="E1122" s="387">
        <v>-3.081</v>
      </c>
      <c r="F1122" s="387">
        <v>-2.6680000000000001</v>
      </c>
      <c r="G1122" s="387">
        <v>-1.917</v>
      </c>
      <c r="H1122" s="735">
        <f>G1122</f>
        <v>-1.917</v>
      </c>
      <c r="I1122" s="387">
        <v>-1.377</v>
      </c>
      <c r="J1122" s="387">
        <v>-1.1359999999999999</v>
      </c>
      <c r="K1122" s="387">
        <v>1.873</v>
      </c>
      <c r="L1122" s="387">
        <v>3.2949999999999999</v>
      </c>
      <c r="M1122" s="735">
        <f>L1122</f>
        <v>3.2949999999999999</v>
      </c>
      <c r="N1122" s="387">
        <v>5.5960000000000001</v>
      </c>
      <c r="O1122" s="387">
        <v>7.4260000000000002</v>
      </c>
      <c r="P1122" s="387">
        <v>3.7610000000000001</v>
      </c>
      <c r="Q1122" s="387">
        <v>3.7029999999999998</v>
      </c>
      <c r="R1122" s="735">
        <f>Q1122</f>
        <v>3.7029999999999998</v>
      </c>
      <c r="S1122" s="387">
        <v>2.3450000000000002</v>
      </c>
      <c r="T1122" s="387">
        <v>4.3070000000000004</v>
      </c>
      <c r="U1122" s="387">
        <v>-1.093</v>
      </c>
      <c r="V1122" s="387">
        <v>-10.914999999999999</v>
      </c>
      <c r="W1122" s="735">
        <f>V1122</f>
        <v>-10.914999999999999</v>
      </c>
      <c r="X1122" s="387">
        <v>-24.646999999999998</v>
      </c>
      <c r="Y1122" s="387">
        <v>-12.012</v>
      </c>
      <c r="Z1122" s="387">
        <v>-11.476000000000001</v>
      </c>
      <c r="AA1122" s="387">
        <v>-20.018000000000001</v>
      </c>
      <c r="AB1122" s="735">
        <f>AA1122</f>
        <v>-20.018000000000001</v>
      </c>
      <c r="AC1122" s="387">
        <v>-15.984</v>
      </c>
      <c r="AD1122" s="387">
        <v>-18.713999999999999</v>
      </c>
      <c r="AE1122" s="387">
        <v>-20.192</v>
      </c>
      <c r="AF1122" s="387">
        <v>-18.126000000000001</v>
      </c>
      <c r="AG1122" s="735">
        <f>AF1122</f>
        <v>-18.126000000000001</v>
      </c>
      <c r="AH1122" s="637">
        <v>-16.861000000000001</v>
      </c>
      <c r="AI1122" s="637">
        <v>-13.715999999999999</v>
      </c>
      <c r="AJ1122" s="637">
        <v>-11.284000000000001</v>
      </c>
      <c r="AK1122" s="637">
        <v>-7.5940000000000003</v>
      </c>
      <c r="AL1122" s="2063">
        <f>AK1122</f>
        <v>-7.5940000000000003</v>
      </c>
      <c r="AM1122" s="637">
        <f>-3.886</f>
        <v>-3.8860000000000001</v>
      </c>
      <c r="AN1122" s="637">
        <v>0</v>
      </c>
      <c r="AO1122" s="637">
        <v>0</v>
      </c>
      <c r="AP1122" s="637">
        <f>AO1122</f>
        <v>0</v>
      </c>
      <c r="AQ1122" s="2063">
        <f>AP1122</f>
        <v>0</v>
      </c>
      <c r="AR1122" s="637">
        <v>0</v>
      </c>
      <c r="AS1122" s="637">
        <v>0</v>
      </c>
      <c r="AT1122" s="637">
        <v>0</v>
      </c>
      <c r="AU1122" s="637">
        <v>-0.96199999999999997</v>
      </c>
      <c r="AV1122" s="2063">
        <f>AU1122</f>
        <v>-0.96199999999999997</v>
      </c>
      <c r="AW1122" s="637">
        <v>-0.66700000000000004</v>
      </c>
      <c r="AX1122" s="637">
        <v>-0.84599999999999997</v>
      </c>
      <c r="AY1122" s="637">
        <v>-0.79500000000000004</v>
      </c>
      <c r="AZ1122" s="637">
        <v>-1.5169999999999999</v>
      </c>
      <c r="BA1122" s="2063">
        <f>AZ1122</f>
        <v>-1.5169999999999999</v>
      </c>
      <c r="BB1122" s="637">
        <v>-0.97799999999999998</v>
      </c>
      <c r="BC1122" s="637">
        <v>-0.90700000000000003</v>
      </c>
      <c r="BD1122" s="637">
        <v>-0.22600000000000001</v>
      </c>
      <c r="BE1122" s="637">
        <v>-5.2999999999999999E-2</v>
      </c>
      <c r="BF1122" s="2063">
        <f>BE1122</f>
        <v>-5.2999999999999999E-2</v>
      </c>
      <c r="BG1122" s="637">
        <v>0.218</v>
      </c>
      <c r="BH1122" s="637">
        <v>-0.81599999999999995</v>
      </c>
      <c r="BI1122" s="637">
        <v>-0.17399999999999999</v>
      </c>
      <c r="BJ1122" s="637">
        <v>-0.316</v>
      </c>
      <c r="BK1122" s="2063">
        <f>BJ1122</f>
        <v>-0.316</v>
      </c>
      <c r="BL1122" s="637">
        <v>0.20599999999999999</v>
      </c>
      <c r="BM1122" s="637">
        <v>2.1000000000000001E-2</v>
      </c>
      <c r="BN1122" s="637">
        <v>0.438</v>
      </c>
      <c r="BO1122" s="637">
        <v>-0.61499999999999999</v>
      </c>
      <c r="BP1122" s="2063">
        <f>BO1122</f>
        <v>-0.61499999999999999</v>
      </c>
      <c r="BQ1122" s="637">
        <v>-4.3999999999999997E-2</v>
      </c>
      <c r="BR1122" s="637">
        <v>0.49099999999999999</v>
      </c>
      <c r="BS1122" s="637">
        <v>0.186</v>
      </c>
      <c r="BT1122" s="290">
        <f>BS1122</f>
        <v>0.186</v>
      </c>
      <c r="BU1122" s="3337">
        <f>BT1122</f>
        <v>0.186</v>
      </c>
      <c r="BV1122" s="290">
        <f>BU1122</f>
        <v>0.186</v>
      </c>
      <c r="BW1122" s="290">
        <f t="shared" ref="BW1122:BY1122" si="2150">BV1122</f>
        <v>0.186</v>
      </c>
      <c r="BX1122" s="290">
        <f t="shared" si="2150"/>
        <v>0.186</v>
      </c>
      <c r="BY1122" s="290">
        <f t="shared" si="2150"/>
        <v>0.186</v>
      </c>
      <c r="BZ1122" s="3337">
        <f>BY1122</f>
        <v>0.186</v>
      </c>
      <c r="CA1122" s="2063">
        <f t="shared" ref="CA1122:CG1122" si="2151">BZ1122</f>
        <v>0.186</v>
      </c>
      <c r="CB1122" s="2063">
        <f t="shared" si="2151"/>
        <v>0.186</v>
      </c>
      <c r="CC1122" s="2063">
        <f t="shared" si="2151"/>
        <v>0.186</v>
      </c>
      <c r="CD1122" s="2063">
        <f t="shared" si="2151"/>
        <v>0.186</v>
      </c>
      <c r="CE1122" s="2063">
        <f t="shared" si="2151"/>
        <v>0.186</v>
      </c>
      <c r="CF1122" s="2063">
        <f t="shared" si="2151"/>
        <v>0.186</v>
      </c>
      <c r="CG1122" s="2063">
        <f t="shared" si="2151"/>
        <v>0.186</v>
      </c>
      <c r="CH1122" s="2064"/>
      <c r="CI1122" s="2064"/>
      <c r="CJ1122" s="2064"/>
      <c r="CK1122" s="2064"/>
      <c r="CL1122" s="2064"/>
      <c r="CM1122" s="621"/>
      <c r="CN1122" s="621">
        <f t="shared" si="2148"/>
        <v>0.186</v>
      </c>
      <c r="CO1122" s="965">
        <f t="shared" si="2149"/>
        <v>-0.186</v>
      </c>
      <c r="CP1122" s="2062" t="str">
        <f t="shared" si="1959"/>
        <v>Accumulated other losses, net</v>
      </c>
      <c r="CQ1122" s="290">
        <f t="shared" si="1960"/>
        <v>-1.917</v>
      </c>
      <c r="CR1122" s="290">
        <f t="shared" si="1961"/>
        <v>3.2949999999999999</v>
      </c>
      <c r="CS1122" s="290">
        <f t="shared" si="1962"/>
        <v>3.7029999999999998</v>
      </c>
      <c r="CT1122" s="290">
        <f t="shared" si="1963"/>
        <v>-10.914999999999999</v>
      </c>
      <c r="CU1122" s="290">
        <f t="shared" si="1964"/>
        <v>-20.018000000000001</v>
      </c>
      <c r="CV1122" s="290">
        <f t="shared" si="1965"/>
        <v>-18.126000000000001</v>
      </c>
      <c r="CW1122" s="290">
        <f t="shared" si="1966"/>
        <v>-7.5940000000000003</v>
      </c>
      <c r="CX1122" s="290">
        <f t="shared" si="1967"/>
        <v>0</v>
      </c>
      <c r="CY1122" s="290">
        <f t="shared" si="1968"/>
        <v>-0.96199999999999997</v>
      </c>
      <c r="CZ1122" s="290">
        <f t="shared" si="1969"/>
        <v>-1.5169999999999999</v>
      </c>
      <c r="DA1122" s="290">
        <f t="shared" si="1970"/>
        <v>-5.2999999999999999E-2</v>
      </c>
      <c r="DB1122" s="290">
        <f t="shared" si="1971"/>
        <v>-0.316</v>
      </c>
      <c r="DC1122" s="290">
        <f t="shared" si="1972"/>
        <v>-0.61499999999999999</v>
      </c>
      <c r="DD1122" s="290">
        <f t="shared" si="1973"/>
        <v>0.186</v>
      </c>
      <c r="DE1122" s="290">
        <f t="shared" si="1974"/>
        <v>0.186</v>
      </c>
      <c r="DF1122" s="290">
        <f t="shared" si="1975"/>
        <v>0.186</v>
      </c>
      <c r="DG1122" s="2061">
        <f t="shared" si="1976"/>
        <v>0.186</v>
      </c>
      <c r="DH1122" s="894"/>
      <c r="DI1122" s="894"/>
      <c r="DJ1122" s="894"/>
      <c r="DK1122" s="894"/>
      <c r="DL1122" s="894"/>
      <c r="DM1122" s="894"/>
      <c r="DN1122" s="319"/>
      <c r="DO1122" s="320"/>
      <c r="DY1122" s="894"/>
      <c r="DZ1122" s="894"/>
    </row>
    <row r="1123" spans="1:130" ht="4.5" customHeight="1">
      <c r="A1123" s="1784"/>
      <c r="B1123" s="293"/>
      <c r="C1123" s="293"/>
      <c r="D1123" s="294" t="s">
        <v>343</v>
      </c>
      <c r="E1123" s="295" t="s">
        <v>343</v>
      </c>
      <c r="F1123" s="295" t="s">
        <v>343</v>
      </c>
      <c r="G1123" s="295" t="s">
        <v>343</v>
      </c>
      <c r="H1123" s="296" t="s">
        <v>343</v>
      </c>
      <c r="I1123" s="295" t="s">
        <v>343</v>
      </c>
      <c r="J1123" s="295" t="s">
        <v>343</v>
      </c>
      <c r="K1123" s="295" t="s">
        <v>343</v>
      </c>
      <c r="L1123" s="295" t="s">
        <v>343</v>
      </c>
      <c r="M1123" s="296" t="s">
        <v>343</v>
      </c>
      <c r="N1123" s="295" t="s">
        <v>343</v>
      </c>
      <c r="O1123" s="295" t="s">
        <v>343</v>
      </c>
      <c r="P1123" s="295" t="s">
        <v>343</v>
      </c>
      <c r="Q1123" s="295" t="s">
        <v>343</v>
      </c>
      <c r="R1123" s="296" t="s">
        <v>343</v>
      </c>
      <c r="S1123" s="295" t="s">
        <v>343</v>
      </c>
      <c r="T1123" s="295" t="s">
        <v>343</v>
      </c>
      <c r="U1123" s="295" t="s">
        <v>343</v>
      </c>
      <c r="V1123" s="295" t="s">
        <v>343</v>
      </c>
      <c r="W1123" s="296" t="s">
        <v>343</v>
      </c>
      <c r="X1123" s="295" t="s">
        <v>343</v>
      </c>
      <c r="Y1123" s="295" t="s">
        <v>343</v>
      </c>
      <c r="Z1123" s="295" t="s">
        <v>343</v>
      </c>
      <c r="AA1123" s="295" t="s">
        <v>343</v>
      </c>
      <c r="AB1123" s="296" t="s">
        <v>343</v>
      </c>
      <c r="AC1123" s="295" t="s">
        <v>343</v>
      </c>
      <c r="AD1123" s="295" t="s">
        <v>343</v>
      </c>
      <c r="AE1123" s="295" t="s">
        <v>343</v>
      </c>
      <c r="AF1123" s="295" t="s">
        <v>343</v>
      </c>
      <c r="AG1123" s="296" t="s">
        <v>343</v>
      </c>
      <c r="AH1123" s="295" t="s">
        <v>343</v>
      </c>
      <c r="AI1123" s="295" t="s">
        <v>343</v>
      </c>
      <c r="AJ1123" s="295" t="s">
        <v>343</v>
      </c>
      <c r="AK1123" s="295" t="s">
        <v>343</v>
      </c>
      <c r="AL1123" s="296" t="s">
        <v>343</v>
      </c>
      <c r="AM1123" s="295" t="s">
        <v>343</v>
      </c>
      <c r="AN1123" s="295" t="s">
        <v>343</v>
      </c>
      <c r="AO1123" s="295" t="s">
        <v>343</v>
      </c>
      <c r="AP1123" s="295" t="s">
        <v>343</v>
      </c>
      <c r="AQ1123" s="296" t="s">
        <v>343</v>
      </c>
      <c r="AR1123" s="295" t="s">
        <v>343</v>
      </c>
      <c r="AS1123" s="295" t="s">
        <v>343</v>
      </c>
      <c r="AT1123" s="295" t="s">
        <v>343</v>
      </c>
      <c r="AU1123" s="295" t="s">
        <v>343</v>
      </c>
      <c r="AV1123" s="296" t="s">
        <v>343</v>
      </c>
      <c r="AW1123" s="295" t="s">
        <v>343</v>
      </c>
      <c r="AX1123" s="295" t="s">
        <v>343</v>
      </c>
      <c r="AY1123" s="295" t="s">
        <v>343</v>
      </c>
      <c r="AZ1123" s="295" t="s">
        <v>343</v>
      </c>
      <c r="BA1123" s="296" t="s">
        <v>343</v>
      </c>
      <c r="BB1123" s="295" t="s">
        <v>343</v>
      </c>
      <c r="BC1123" s="295" t="s">
        <v>343</v>
      </c>
      <c r="BD1123" s="295" t="s">
        <v>343</v>
      </c>
      <c r="BE1123" s="295" t="s">
        <v>343</v>
      </c>
      <c r="BF1123" s="296" t="s">
        <v>343</v>
      </c>
      <c r="BG1123" s="295" t="s">
        <v>343</v>
      </c>
      <c r="BH1123" s="295" t="s">
        <v>343</v>
      </c>
      <c r="BI1123" s="295" t="s">
        <v>343</v>
      </c>
      <c r="BJ1123" s="295" t="s">
        <v>343</v>
      </c>
      <c r="BK1123" s="296" t="s">
        <v>343</v>
      </c>
      <c r="BL1123" s="295" t="s">
        <v>343</v>
      </c>
      <c r="BM1123" s="295" t="s">
        <v>343</v>
      </c>
      <c r="BN1123" s="295" t="s">
        <v>343</v>
      </c>
      <c r="BO1123" s="295" t="s">
        <v>343</v>
      </c>
      <c r="BP1123" s="296" t="s">
        <v>343</v>
      </c>
      <c r="BQ1123" s="295" t="s">
        <v>343</v>
      </c>
      <c r="BR1123" s="295" t="s">
        <v>343</v>
      </c>
      <c r="BS1123" s="295" t="s">
        <v>343</v>
      </c>
      <c r="BT1123" s="295" t="s">
        <v>343</v>
      </c>
      <c r="BU1123" s="3314" t="s">
        <v>343</v>
      </c>
      <c r="BV1123" s="295" t="s">
        <v>343</v>
      </c>
      <c r="BW1123" s="295" t="s">
        <v>343</v>
      </c>
      <c r="BX1123" s="295" t="s">
        <v>343</v>
      </c>
      <c r="BY1123" s="295" t="s">
        <v>343</v>
      </c>
      <c r="BZ1123" s="3314" t="s">
        <v>343</v>
      </c>
      <c r="CA1123" s="297" t="s">
        <v>343</v>
      </c>
      <c r="CB1123" s="297" t="s">
        <v>343</v>
      </c>
      <c r="CC1123" s="297" t="s">
        <v>343</v>
      </c>
      <c r="CD1123" s="297" t="s">
        <v>343</v>
      </c>
      <c r="CE1123" s="297" t="s">
        <v>343</v>
      </c>
      <c r="CF1123" s="297" t="s">
        <v>343</v>
      </c>
      <c r="CG1123" s="297" t="s">
        <v>343</v>
      </c>
      <c r="CH1123" s="295"/>
      <c r="CI1123" s="295"/>
      <c r="CJ1123" s="295"/>
      <c r="CK1123" s="295"/>
      <c r="CL1123" s="295"/>
      <c r="CM1123" s="295"/>
      <c r="CN1123" s="295"/>
      <c r="CO1123" s="965">
        <f t="shared" si="2149"/>
        <v>0</v>
      </c>
      <c r="CP1123" s="1784"/>
      <c r="CQ1123" s="295" t="str">
        <f t="shared" si="1960"/>
        <v xml:space="preserve">                </v>
      </c>
      <c r="CR1123" s="295" t="str">
        <f t="shared" si="1961"/>
        <v xml:space="preserve">                </v>
      </c>
      <c r="CS1123" s="295" t="str">
        <f t="shared" si="1962"/>
        <v xml:space="preserve">                </v>
      </c>
      <c r="CT1123" s="295" t="str">
        <f t="shared" si="1963"/>
        <v xml:space="preserve">                </v>
      </c>
      <c r="CU1123" s="295" t="str">
        <f t="shared" si="1964"/>
        <v xml:space="preserve">                </v>
      </c>
      <c r="CV1123" s="295" t="str">
        <f t="shared" si="1965"/>
        <v xml:space="preserve">                </v>
      </c>
      <c r="CW1123" s="295" t="str">
        <f t="shared" si="1966"/>
        <v xml:space="preserve">                </v>
      </c>
      <c r="CX1123" s="295" t="str">
        <f t="shared" si="1967"/>
        <v xml:space="preserve">                </v>
      </c>
      <c r="CY1123" s="295" t="str">
        <f t="shared" si="1968"/>
        <v xml:space="preserve">                </v>
      </c>
      <c r="CZ1123" s="295" t="str">
        <f t="shared" si="1969"/>
        <v xml:space="preserve">                </v>
      </c>
      <c r="DA1123" s="295" t="str">
        <f t="shared" si="1970"/>
        <v xml:space="preserve">                </v>
      </c>
      <c r="DB1123" s="295" t="str">
        <f t="shared" si="1971"/>
        <v xml:space="preserve">                </v>
      </c>
      <c r="DC1123" s="295" t="str">
        <f t="shared" si="1972"/>
        <v xml:space="preserve">                </v>
      </c>
      <c r="DD1123" s="295" t="str">
        <f t="shared" si="1973"/>
        <v xml:space="preserve">                </v>
      </c>
      <c r="DE1123" s="295" t="str">
        <f t="shared" si="1974"/>
        <v xml:space="preserve">                </v>
      </c>
      <c r="DF1123" s="295" t="str">
        <f t="shared" si="1975"/>
        <v xml:space="preserve">                </v>
      </c>
      <c r="DG1123" s="297" t="str">
        <f t="shared" si="1976"/>
        <v xml:space="preserve">                </v>
      </c>
      <c r="DH1123" s="298"/>
      <c r="DI1123" s="299"/>
      <c r="DJ1123" s="299"/>
      <c r="DK1123" s="299"/>
      <c r="DL1123" s="299"/>
      <c r="DM1123" s="299"/>
      <c r="DN1123" s="299"/>
      <c r="DO1123" s="300"/>
      <c r="DY1123" s="295"/>
      <c r="DZ1123" s="295"/>
    </row>
    <row r="1124" spans="1:130" ht="12" customHeight="1">
      <c r="A1124" s="993" t="s">
        <v>170</v>
      </c>
      <c r="B1124" s="875"/>
      <c r="C1124" s="875"/>
      <c r="D1124" s="582">
        <f>SUM(D1119:D1122)</f>
        <v>455.70699999999999</v>
      </c>
      <c r="E1124" s="621">
        <f t="shared" ref="E1124:J1124" si="2152">SUM(E1119:E1122)</f>
        <v>489.41099999999994</v>
      </c>
      <c r="F1124" s="621">
        <f t="shared" si="2152"/>
        <v>892.42400000000009</v>
      </c>
      <c r="G1124" s="621">
        <f t="shared" si="2152"/>
        <v>943.76999999999987</v>
      </c>
      <c r="H1124" s="585">
        <f t="shared" si="2152"/>
        <v>943.76999999999987</v>
      </c>
      <c r="I1124" s="621">
        <f t="shared" si="2152"/>
        <v>988.07799999999997</v>
      </c>
      <c r="J1124" s="621">
        <f t="shared" si="2152"/>
        <v>1042.7730000000001</v>
      </c>
      <c r="K1124" s="621">
        <f t="shared" ref="K1124:AH1124" si="2153">SUM(K1119:K1122)</f>
        <v>1082.0330000000001</v>
      </c>
      <c r="L1124" s="621">
        <f t="shared" si="2153"/>
        <v>1098.0040000000001</v>
      </c>
      <c r="M1124" s="585">
        <f t="shared" si="2153"/>
        <v>1098.0040000000001</v>
      </c>
      <c r="N1124" s="621">
        <f t="shared" si="2153"/>
        <v>1161.6840000000002</v>
      </c>
      <c r="O1124" s="621">
        <f t="shared" si="2153"/>
        <v>1177.954</v>
      </c>
      <c r="P1124" s="621">
        <f t="shared" si="2153"/>
        <v>1044.941</v>
      </c>
      <c r="Q1124" s="621">
        <f t="shared" si="2153"/>
        <v>1109.952</v>
      </c>
      <c r="R1124" s="585">
        <f t="shared" si="2153"/>
        <v>1109.952</v>
      </c>
      <c r="S1124" s="621">
        <f t="shared" si="2153"/>
        <v>1325.7660000000001</v>
      </c>
      <c r="T1124" s="621">
        <f t="shared" si="2153"/>
        <v>1352.2729999999999</v>
      </c>
      <c r="U1124" s="621">
        <f t="shared" si="2153"/>
        <v>1371.7079999999999</v>
      </c>
      <c r="V1124" s="621">
        <f t="shared" si="2153"/>
        <v>1385.4059999999999</v>
      </c>
      <c r="W1124" s="585">
        <f t="shared" si="2153"/>
        <v>1385.4059999999999</v>
      </c>
      <c r="X1124" s="621">
        <f t="shared" si="2153"/>
        <v>1330.047</v>
      </c>
      <c r="Y1124" s="621">
        <f t="shared" si="2153"/>
        <v>1354.5340000000001</v>
      </c>
      <c r="Z1124" s="621">
        <f t="shared" si="2153"/>
        <v>1367.2109999999998</v>
      </c>
      <c r="AA1124" s="621">
        <f t="shared" si="2153"/>
        <v>1143.5219999999999</v>
      </c>
      <c r="AB1124" s="585">
        <f t="shared" si="2153"/>
        <v>1143.5219999999999</v>
      </c>
      <c r="AC1124" s="621">
        <f t="shared" si="2153"/>
        <v>1130.3140000000001</v>
      </c>
      <c r="AD1124" s="621">
        <f t="shared" si="2153"/>
        <v>1142.9000000000001</v>
      </c>
      <c r="AE1124" s="621">
        <f t="shared" si="2153"/>
        <v>1150.8890000000001</v>
      </c>
      <c r="AF1124" s="621">
        <f t="shared" si="2153"/>
        <v>1156.3689999999999</v>
      </c>
      <c r="AG1124" s="585">
        <f t="shared" si="2153"/>
        <v>1156.3689999999999</v>
      </c>
      <c r="AH1124" s="621">
        <f t="shared" si="2153"/>
        <v>1169.0199999999998</v>
      </c>
      <c r="AI1124" s="621">
        <f t="shared" ref="AI1124:AU1124" si="2154">SUM(AI1119:AI1122)</f>
        <v>1178.9090000000001</v>
      </c>
      <c r="AJ1124" s="621">
        <f t="shared" si="2154"/>
        <v>1189.3439999999998</v>
      </c>
      <c r="AK1124" s="621">
        <f>SUM(AK1119:AK1122)</f>
        <v>1189.2049999999999</v>
      </c>
      <c r="AL1124" s="585">
        <f t="shared" si="2154"/>
        <v>1189.2049999999999</v>
      </c>
      <c r="AM1124" s="621">
        <f t="shared" si="2154"/>
        <v>1193.2570000000001</v>
      </c>
      <c r="AN1124" s="621">
        <f t="shared" si="2154"/>
        <v>1195.961</v>
      </c>
      <c r="AO1124" s="621">
        <f t="shared" si="2154"/>
        <v>1200.652</v>
      </c>
      <c r="AP1124" s="621">
        <f t="shared" si="2154"/>
        <v>1202.0920000000001</v>
      </c>
      <c r="AQ1124" s="585">
        <f>SUM(AQ1119:AQ1122)</f>
        <v>1202.0920000000001</v>
      </c>
      <c r="AR1124" s="621">
        <f t="shared" si="2154"/>
        <v>1210.9070000000002</v>
      </c>
      <c r="AS1124" s="621">
        <f t="shared" si="2154"/>
        <v>1214.691</v>
      </c>
      <c r="AT1124" s="621">
        <f t="shared" si="2154"/>
        <v>1200.4590000000001</v>
      </c>
      <c r="AU1124" s="621">
        <f t="shared" si="2154"/>
        <v>303.791</v>
      </c>
      <c r="AV1124" s="585">
        <f t="shared" ref="AV1124:BG1124" si="2155">SUM(AV1119:AV1122)</f>
        <v>303.791</v>
      </c>
      <c r="AW1124" s="621">
        <f t="shared" si="2155"/>
        <v>300.88800000000003</v>
      </c>
      <c r="AX1124" s="621">
        <f t="shared" si="2155"/>
        <v>328.029</v>
      </c>
      <c r="AY1124" s="621">
        <f t="shared" si="2155"/>
        <v>509.77099999999996</v>
      </c>
      <c r="AZ1124" s="621">
        <f t="shared" si="2155"/>
        <v>469.98699999999997</v>
      </c>
      <c r="BA1124" s="585">
        <f t="shared" si="2155"/>
        <v>469.98699999999997</v>
      </c>
      <c r="BB1124" s="621">
        <f t="shared" si="2155"/>
        <v>471.38200000000001</v>
      </c>
      <c r="BC1124" s="621">
        <f t="shared" si="2155"/>
        <v>475.69199999999995</v>
      </c>
      <c r="BD1124" s="621">
        <f t="shared" si="2155"/>
        <v>462.5569999999999</v>
      </c>
      <c r="BE1124" s="621">
        <f t="shared" si="2155"/>
        <v>438.03699999999992</v>
      </c>
      <c r="BF1124" s="585">
        <f t="shared" si="2155"/>
        <v>438.03699999999992</v>
      </c>
      <c r="BG1124" s="621">
        <f t="shared" si="2155"/>
        <v>478.82500000000005</v>
      </c>
      <c r="BH1124" s="621">
        <f t="shared" ref="BH1124:BP1124" si="2156">SUM(BH1119:BH1122)</f>
        <v>474.41900000000004</v>
      </c>
      <c r="BI1124" s="621">
        <f t="shared" si="2156"/>
        <v>506.12100000000004</v>
      </c>
      <c r="BJ1124" s="621">
        <f t="shared" si="2156"/>
        <v>507.96100000000007</v>
      </c>
      <c r="BK1124" s="585">
        <f t="shared" si="2156"/>
        <v>507.96100000000007</v>
      </c>
      <c r="BL1124" s="688">
        <f t="shared" si="2156"/>
        <v>543.54900000000009</v>
      </c>
      <c r="BM1124" s="621">
        <f t="shared" si="2156"/>
        <v>576.98900000000003</v>
      </c>
      <c r="BN1124" s="621">
        <f t="shared" ref="BN1124" si="2157">SUM(BN1119:BN1122)</f>
        <v>922.976</v>
      </c>
      <c r="BO1124" s="621">
        <f t="shared" si="2156"/>
        <v>934.07600000000002</v>
      </c>
      <c r="BP1124" s="585">
        <f t="shared" si="2156"/>
        <v>934.07600000000002</v>
      </c>
      <c r="BQ1124" s="621">
        <f t="shared" ref="BQ1124:BR1124" si="2158">SUM(BQ1119:BQ1122)</f>
        <v>985.70699999999999</v>
      </c>
      <c r="BR1124" s="621">
        <f t="shared" si="2158"/>
        <v>1024.317</v>
      </c>
      <c r="BS1124" s="621">
        <f t="shared" ref="BS1124:CB1124" si="2159">SUM(BS1119:BS1122)</f>
        <v>1034.1099999999999</v>
      </c>
      <c r="BT1124" s="621">
        <f t="shared" si="2159"/>
        <v>1034.7249999999999</v>
      </c>
      <c r="BU1124" s="3356">
        <f t="shared" si="2159"/>
        <v>1034.7249999999999</v>
      </c>
      <c r="BV1124" s="621">
        <f t="shared" ref="BV1124:BZ1124" si="2160">SUM(BV1119:BV1122)</f>
        <v>1057.0731365936258</v>
      </c>
      <c r="BW1124" s="621">
        <f t="shared" si="2160"/>
        <v>1079.7294875329585</v>
      </c>
      <c r="BX1124" s="621">
        <f t="shared" si="2160"/>
        <v>1113.714615827736</v>
      </c>
      <c r="BY1124" s="621">
        <f t="shared" si="2160"/>
        <v>1157.525503256925</v>
      </c>
      <c r="BZ1124" s="3356">
        <f t="shared" si="2160"/>
        <v>1157.525503256925</v>
      </c>
      <c r="CA1124" s="585">
        <f t="shared" si="2159"/>
        <v>1375.0506508471053</v>
      </c>
      <c r="CB1124" s="585">
        <f t="shared" si="2159"/>
        <v>1595.9570897407641</v>
      </c>
      <c r="CC1124" s="585">
        <f>SUM(CC1119:CC1122)</f>
        <v>1372.5121084709367</v>
      </c>
      <c r="CD1124" s="585">
        <f>SUM(CD1119:CD1122)</f>
        <v>1116.2365379244943</v>
      </c>
      <c r="CE1124" s="585">
        <f>SUM(CE1119:CE1122)</f>
        <v>874.66689193387481</v>
      </c>
      <c r="CF1124" s="585">
        <f>SUM(CF1119:CF1122)</f>
        <v>648.22167473534432</v>
      </c>
      <c r="CG1124" s="585">
        <f>SUM(CG1119:CG1122)</f>
        <v>437.32916351359501</v>
      </c>
      <c r="CH1124" s="621"/>
      <c r="CI1124" s="621"/>
      <c r="CJ1124" s="621"/>
      <c r="CK1124" s="621"/>
      <c r="CL1124" s="621"/>
      <c r="CM1124" s="621"/>
      <c r="CN1124" s="621">
        <f>BY1124</f>
        <v>1157.525503256925</v>
      </c>
      <c r="CO1124" s="965">
        <f t="shared" si="2149"/>
        <v>-1157.525503256925</v>
      </c>
      <c r="CP1124" s="993" t="str">
        <f t="shared" si="1959"/>
        <v>Total Shareholders' Equity</v>
      </c>
      <c r="CQ1124" s="621">
        <f t="shared" si="1960"/>
        <v>943.76999999999987</v>
      </c>
      <c r="CR1124" s="621">
        <f t="shared" si="1961"/>
        <v>1098.0040000000001</v>
      </c>
      <c r="CS1124" s="621">
        <f t="shared" si="1962"/>
        <v>1109.952</v>
      </c>
      <c r="CT1124" s="621">
        <f t="shared" si="1963"/>
        <v>1385.4059999999999</v>
      </c>
      <c r="CU1124" s="621">
        <f t="shared" si="1964"/>
        <v>1143.5219999999999</v>
      </c>
      <c r="CV1124" s="621">
        <f t="shared" si="1965"/>
        <v>1156.3689999999999</v>
      </c>
      <c r="CW1124" s="621">
        <f t="shared" si="1966"/>
        <v>1189.2049999999999</v>
      </c>
      <c r="CX1124" s="621">
        <f t="shared" si="1967"/>
        <v>1202.0920000000001</v>
      </c>
      <c r="CY1124" s="621">
        <f t="shared" si="1968"/>
        <v>303.791</v>
      </c>
      <c r="CZ1124" s="621">
        <f t="shared" si="1969"/>
        <v>469.98699999999997</v>
      </c>
      <c r="DA1124" s="621">
        <f t="shared" si="1970"/>
        <v>438.03699999999992</v>
      </c>
      <c r="DB1124" s="621">
        <f t="shared" si="1971"/>
        <v>507.96100000000007</v>
      </c>
      <c r="DC1124" s="621">
        <f t="shared" si="1972"/>
        <v>934.07600000000002</v>
      </c>
      <c r="DD1124" s="621">
        <f t="shared" si="1973"/>
        <v>1034.7249999999999</v>
      </c>
      <c r="DE1124" s="621">
        <f t="shared" si="1974"/>
        <v>1157.525503256925</v>
      </c>
      <c r="DF1124" s="621">
        <f t="shared" si="1975"/>
        <v>1375.0506508471053</v>
      </c>
      <c r="DG1124" s="842">
        <f t="shared" si="1976"/>
        <v>1595.9570897407641</v>
      </c>
      <c r="DH1124" s="620"/>
      <c r="DI1124" s="620"/>
      <c r="DJ1124" s="620"/>
      <c r="DK1124" s="620"/>
      <c r="DL1124" s="620"/>
      <c r="DM1124" s="620"/>
      <c r="DN1124" s="500"/>
      <c r="DO1124" s="537"/>
      <c r="DY1124" s="621"/>
      <c r="DZ1124" s="621"/>
    </row>
    <row r="1125" spans="1:130" ht="12" customHeight="1">
      <c r="A1125" s="1003" t="s">
        <v>1539</v>
      </c>
      <c r="B1125" s="875"/>
      <c r="C1125" s="875"/>
      <c r="D1125" s="582"/>
      <c r="E1125" s="621"/>
      <c r="F1125" s="621"/>
      <c r="G1125" s="621"/>
      <c r="H1125" s="585"/>
      <c r="I1125" s="621"/>
      <c r="J1125" s="621"/>
      <c r="K1125" s="621"/>
      <c r="L1125" s="621"/>
      <c r="M1125" s="585"/>
      <c r="N1125" s="621"/>
      <c r="O1125" s="621"/>
      <c r="P1125" s="621"/>
      <c r="Q1125" s="621"/>
      <c r="R1125" s="585"/>
      <c r="S1125" s="621"/>
      <c r="T1125" s="621"/>
      <c r="U1125" s="621"/>
      <c r="V1125" s="621"/>
      <c r="W1125" s="585"/>
      <c r="X1125" s="621"/>
      <c r="Y1125" s="621"/>
      <c r="Z1125" s="621"/>
      <c r="AA1125" s="621"/>
      <c r="AB1125" s="585"/>
      <c r="AC1125" s="621"/>
      <c r="AD1125" s="621"/>
      <c r="AE1125" s="621"/>
      <c r="AF1125" s="621"/>
      <c r="AG1125" s="585"/>
      <c r="AH1125" s="622">
        <v>338.33699999999999</v>
      </c>
      <c r="AI1125" s="622">
        <v>331.37900000000002</v>
      </c>
      <c r="AJ1125" s="622">
        <v>236.08</v>
      </c>
      <c r="AK1125" s="622">
        <v>217.047</v>
      </c>
      <c r="AL1125" s="585">
        <f>AK1125</f>
        <v>217.047</v>
      </c>
      <c r="AM1125" s="622">
        <v>204.011</v>
      </c>
      <c r="AN1125" s="622">
        <v>199.24799999999999</v>
      </c>
      <c r="AO1125" s="622">
        <v>203.24</v>
      </c>
      <c r="AP1125" s="622">
        <v>171.98699999999999</v>
      </c>
      <c r="AQ1125" s="585">
        <f>AP1125</f>
        <v>171.98699999999999</v>
      </c>
      <c r="AR1125" s="622">
        <v>175.05</v>
      </c>
      <c r="AS1125" s="622">
        <v>173.40899999999999</v>
      </c>
      <c r="AT1125" s="622">
        <v>173.376</v>
      </c>
      <c r="AU1125" s="622">
        <v>163.33600000000001</v>
      </c>
      <c r="AV1125" s="585">
        <f>AU1125</f>
        <v>163.33600000000001</v>
      </c>
      <c r="AW1125" s="622">
        <v>204.39699999999999</v>
      </c>
      <c r="AX1125" s="622">
        <v>198.029</v>
      </c>
      <c r="AY1125" s="622">
        <v>200.70099999999999</v>
      </c>
      <c r="AZ1125" s="622">
        <v>180.45</v>
      </c>
      <c r="BA1125" s="585">
        <f>AZ1125</f>
        <v>180.45</v>
      </c>
      <c r="BB1125" s="622">
        <v>175.43700000000001</v>
      </c>
      <c r="BC1125" s="622">
        <v>180.10599999999999</v>
      </c>
      <c r="BD1125" s="622">
        <v>0.05</v>
      </c>
      <c r="BE1125" s="622">
        <v>0.05</v>
      </c>
      <c r="BF1125" s="585">
        <f>BE1125</f>
        <v>0.05</v>
      </c>
      <c r="BG1125" s="622">
        <v>0.05</v>
      </c>
      <c r="BH1125" s="622">
        <v>0.05</v>
      </c>
      <c r="BI1125" s="622">
        <v>0.05</v>
      </c>
      <c r="BJ1125" s="622">
        <v>0.05</v>
      </c>
      <c r="BK1125" s="585">
        <f>BJ1125</f>
        <v>0.05</v>
      </c>
      <c r="BL1125" s="622">
        <v>0.05</v>
      </c>
      <c r="BM1125" s="622">
        <v>0.05</v>
      </c>
      <c r="BN1125" s="622">
        <v>0.05</v>
      </c>
      <c r="BO1125" s="622">
        <v>0.05</v>
      </c>
      <c r="BP1125" s="585">
        <f>BO1125</f>
        <v>0.05</v>
      </c>
      <c r="BQ1125" s="622">
        <v>0</v>
      </c>
      <c r="BR1125" s="622">
        <v>0</v>
      </c>
      <c r="BS1125" s="621">
        <f>BR1125-BS85</f>
        <v>0</v>
      </c>
      <c r="BT1125" s="621">
        <f>BS1125-BT85</f>
        <v>0</v>
      </c>
      <c r="BU1125" s="3356">
        <f>BT1125</f>
        <v>0</v>
      </c>
      <c r="BV1125" s="621">
        <f>BU1125-BV85</f>
        <v>0</v>
      </c>
      <c r="BW1125" s="621">
        <f>BV1125-BW85</f>
        <v>0</v>
      </c>
      <c r="BX1125" s="621">
        <f>BW1125-BX85</f>
        <v>0</v>
      </c>
      <c r="BY1125" s="621">
        <f>BX1125-BY85</f>
        <v>0</v>
      </c>
      <c r="BZ1125" s="3356">
        <f>BY1125</f>
        <v>0</v>
      </c>
      <c r="CA1125" s="585">
        <f t="shared" ref="CA1125:CG1125" si="2161">BZ1125-CA85</f>
        <v>0</v>
      </c>
      <c r="CB1125" s="585">
        <f t="shared" si="2161"/>
        <v>0</v>
      </c>
      <c r="CC1125" s="585">
        <f t="shared" si="2161"/>
        <v>0</v>
      </c>
      <c r="CD1125" s="585">
        <f t="shared" si="2161"/>
        <v>0</v>
      </c>
      <c r="CE1125" s="585">
        <f t="shared" si="2161"/>
        <v>0</v>
      </c>
      <c r="CF1125" s="585">
        <f t="shared" si="2161"/>
        <v>0</v>
      </c>
      <c r="CG1125" s="585">
        <f t="shared" si="2161"/>
        <v>0</v>
      </c>
      <c r="CH1125" s="621"/>
      <c r="CI1125" s="621"/>
      <c r="CJ1125" s="621"/>
      <c r="CK1125" s="621"/>
      <c r="CL1125" s="621"/>
      <c r="CM1125" s="621"/>
      <c r="CN1125" s="621"/>
      <c r="CO1125" s="621"/>
      <c r="CP1125" s="1003" t="str">
        <f t="shared" si="1959"/>
        <v>Noncontrolling interest</v>
      </c>
      <c r="CQ1125" s="621">
        <f t="shared" si="1960"/>
        <v>0</v>
      </c>
      <c r="CR1125" s="621">
        <f t="shared" si="1961"/>
        <v>0</v>
      </c>
      <c r="CS1125" s="621">
        <f t="shared" si="1962"/>
        <v>0</v>
      </c>
      <c r="CT1125" s="621">
        <f t="shared" si="1963"/>
        <v>0</v>
      </c>
      <c r="CU1125" s="621">
        <f t="shared" si="1964"/>
        <v>0</v>
      </c>
      <c r="CV1125" s="621">
        <f t="shared" si="1965"/>
        <v>0</v>
      </c>
      <c r="CW1125" s="621">
        <f t="shared" si="1966"/>
        <v>217.047</v>
      </c>
      <c r="CX1125" s="621">
        <f t="shared" si="1967"/>
        <v>171.98699999999999</v>
      </c>
      <c r="CY1125" s="621">
        <f t="shared" si="1968"/>
        <v>163.33600000000001</v>
      </c>
      <c r="CZ1125" s="621">
        <f t="shared" si="1969"/>
        <v>180.45</v>
      </c>
      <c r="DA1125" s="621">
        <f t="shared" si="1970"/>
        <v>0.05</v>
      </c>
      <c r="DB1125" s="621">
        <f t="shared" si="1971"/>
        <v>0.05</v>
      </c>
      <c r="DC1125" s="621">
        <f t="shared" si="1972"/>
        <v>0.05</v>
      </c>
      <c r="DD1125" s="621">
        <f t="shared" si="1973"/>
        <v>0</v>
      </c>
      <c r="DE1125" s="621">
        <f t="shared" si="1974"/>
        <v>0</v>
      </c>
      <c r="DF1125" s="621">
        <f t="shared" si="1975"/>
        <v>0</v>
      </c>
      <c r="DG1125" s="842">
        <f t="shared" si="1976"/>
        <v>0</v>
      </c>
      <c r="DH1125" s="620"/>
      <c r="DI1125" s="620"/>
      <c r="DJ1125" s="620"/>
      <c r="DK1125" s="620"/>
      <c r="DL1125" s="620"/>
      <c r="DM1125" s="620"/>
      <c r="DN1125" s="500"/>
      <c r="DO1125" s="537"/>
      <c r="DY1125" s="621"/>
      <c r="DZ1125" s="621"/>
    </row>
    <row r="1126" spans="1:130" ht="12" customHeight="1">
      <c r="A1126" s="912"/>
      <c r="B1126" s="222"/>
      <c r="C1126" s="222"/>
      <c r="D1126" s="468"/>
      <c r="E1126" s="469"/>
      <c r="F1126" s="469"/>
      <c r="G1126" s="469"/>
      <c r="H1126" s="470"/>
      <c r="I1126" s="469"/>
      <c r="J1126" s="469"/>
      <c r="K1126" s="469"/>
      <c r="L1126" s="469"/>
      <c r="M1126" s="470"/>
      <c r="N1126" s="469"/>
      <c r="O1126" s="469"/>
      <c r="P1126" s="469"/>
      <c r="Q1126" s="469"/>
      <c r="R1126" s="470"/>
      <c r="S1126" s="469"/>
      <c r="T1126" s="469"/>
      <c r="U1126" s="469"/>
      <c r="V1126" s="469"/>
      <c r="W1126" s="470"/>
      <c r="X1126" s="469"/>
      <c r="Y1126" s="469"/>
      <c r="Z1126" s="469"/>
      <c r="AA1126" s="469"/>
      <c r="AB1126" s="470"/>
      <c r="AC1126" s="469"/>
      <c r="AD1126" s="469"/>
      <c r="AE1126" s="469"/>
      <c r="AF1126" s="469"/>
      <c r="AG1126" s="470"/>
      <c r="AH1126" s="469"/>
      <c r="AI1126" s="469"/>
      <c r="AJ1126" s="469"/>
      <c r="AK1126" s="469"/>
      <c r="AL1126" s="470"/>
      <c r="AM1126" s="469"/>
      <c r="AN1126" s="469"/>
      <c r="AO1126" s="469"/>
      <c r="AP1126" s="469"/>
      <c r="AQ1126" s="470"/>
      <c r="AR1126" s="469"/>
      <c r="AS1126" s="469"/>
      <c r="AT1126" s="469"/>
      <c r="AU1126" s="469"/>
      <c r="AV1126" s="470"/>
      <c r="AW1126" s="469"/>
      <c r="AX1126" s="469"/>
      <c r="AY1126" s="469"/>
      <c r="AZ1126" s="469"/>
      <c r="BA1126" s="470"/>
      <c r="BB1126" s="469"/>
      <c r="BC1126" s="469"/>
      <c r="BD1126" s="469"/>
      <c r="BE1126" s="469"/>
      <c r="BF1126" s="470"/>
      <c r="BG1126" s="469"/>
      <c r="BH1126" s="469"/>
      <c r="BI1126" s="469"/>
      <c r="BJ1126" s="469"/>
      <c r="BK1126" s="470"/>
      <c r="BL1126" s="469"/>
      <c r="BM1126" s="469"/>
      <c r="BN1126" s="469"/>
      <c r="BO1126" s="469"/>
      <c r="BP1126" s="470"/>
      <c r="BQ1126" s="469"/>
      <c r="BR1126" s="469"/>
      <c r="BS1126" s="469"/>
      <c r="BT1126" s="469"/>
      <c r="BU1126" s="3322"/>
      <c r="BV1126" s="469"/>
      <c r="BW1126" s="469"/>
      <c r="BX1126" s="469"/>
      <c r="BY1126" s="469"/>
      <c r="BZ1126" s="3322"/>
      <c r="CA1126" s="470"/>
      <c r="CB1126" s="470"/>
      <c r="CC1126" s="470"/>
      <c r="CD1126" s="470"/>
      <c r="CE1126" s="470"/>
      <c r="CF1126" s="470"/>
      <c r="CG1126" s="470"/>
      <c r="CH1126" s="469"/>
      <c r="CI1126" s="469"/>
      <c r="CJ1126" s="469"/>
      <c r="CK1126" s="469"/>
      <c r="CL1126" s="469"/>
      <c r="CM1126" s="469"/>
      <c r="CN1126" s="469"/>
      <c r="CO1126" s="469"/>
      <c r="CP1126" s="912"/>
      <c r="CQ1126" s="465"/>
      <c r="CR1126" s="465"/>
      <c r="CS1126" s="465"/>
      <c r="CT1126" s="465"/>
      <c r="CU1126" s="465"/>
      <c r="CV1126" s="465"/>
      <c r="CW1126" s="465"/>
      <c r="CX1126" s="465"/>
      <c r="CY1126" s="465"/>
      <c r="CZ1126" s="465"/>
      <c r="DA1126" s="465"/>
      <c r="DB1126" s="465"/>
      <c r="DC1126" s="465"/>
      <c r="DD1126" s="465"/>
      <c r="DE1126" s="465"/>
      <c r="DF1126" s="465"/>
      <c r="DG1126" s="1797"/>
      <c r="DH1126" s="319"/>
      <c r="DI1126" s="319"/>
      <c r="DJ1126" s="319"/>
      <c r="DK1126" s="319"/>
      <c r="DL1126" s="319"/>
      <c r="DM1126" s="319"/>
      <c r="DN1126" s="319"/>
      <c r="DO1126" s="226"/>
      <c r="DY1126" s="469"/>
      <c r="DZ1126" s="469"/>
    </row>
    <row r="1127" spans="1:130" ht="12" customHeight="1">
      <c r="A1127" s="997" t="s">
        <v>1087</v>
      </c>
      <c r="B1127" s="1004"/>
      <c r="C1127" s="1004"/>
      <c r="D1127" s="1677">
        <f t="shared" ref="D1127:AI1127" si="2162">SUM(D1079,D1114,D1116,D1124,D1125)</f>
        <v>1863.5169999999998</v>
      </c>
      <c r="E1127" s="1678">
        <f t="shared" si="2162"/>
        <v>2080.8320000000003</v>
      </c>
      <c r="F1127" s="1678">
        <f t="shared" si="2162"/>
        <v>3717.0079999999994</v>
      </c>
      <c r="G1127" s="1678">
        <f t="shared" si="2162"/>
        <v>3919.0319999999997</v>
      </c>
      <c r="H1127" s="1679">
        <f t="shared" si="2162"/>
        <v>3919.0319999999997</v>
      </c>
      <c r="I1127" s="1678">
        <f t="shared" si="2162"/>
        <v>3962.0770000000002</v>
      </c>
      <c r="J1127" s="1678">
        <f t="shared" si="2162"/>
        <v>4086.1379999999999</v>
      </c>
      <c r="K1127" s="1678">
        <f t="shared" si="2162"/>
        <v>4209.0380000000005</v>
      </c>
      <c r="L1127" s="1678">
        <f t="shared" si="2162"/>
        <v>4424.9710000000005</v>
      </c>
      <c r="M1127" s="1679">
        <f t="shared" si="2162"/>
        <v>4424.9710000000005</v>
      </c>
      <c r="N1127" s="1678">
        <f t="shared" si="2162"/>
        <v>4504.6460000000006</v>
      </c>
      <c r="O1127" s="1678">
        <f t="shared" si="2162"/>
        <v>4484.8649999999998</v>
      </c>
      <c r="P1127" s="1678">
        <f t="shared" si="2162"/>
        <v>4433.5509999999995</v>
      </c>
      <c r="Q1127" s="1678">
        <f t="shared" si="2162"/>
        <v>3901.299</v>
      </c>
      <c r="R1127" s="1679">
        <f t="shared" si="2162"/>
        <v>3901.299</v>
      </c>
      <c r="S1127" s="1678">
        <f t="shared" si="2162"/>
        <v>4277.9459999999999</v>
      </c>
      <c r="T1127" s="1678">
        <f t="shared" si="2162"/>
        <v>4320.6490000000003</v>
      </c>
      <c r="U1127" s="1678">
        <f t="shared" si="2162"/>
        <v>4370.9450000000006</v>
      </c>
      <c r="V1127" s="1678">
        <f t="shared" si="2162"/>
        <v>4487.5959999999995</v>
      </c>
      <c r="W1127" s="1679">
        <f t="shared" si="2162"/>
        <v>4487.5959999999995</v>
      </c>
      <c r="X1127" s="1678">
        <f t="shared" si="2162"/>
        <v>4558.7119999999995</v>
      </c>
      <c r="Y1127" s="1678">
        <f t="shared" si="2162"/>
        <v>4769.33</v>
      </c>
      <c r="Z1127" s="1678">
        <f t="shared" si="2162"/>
        <v>4888.8799999999992</v>
      </c>
      <c r="AA1127" s="1678">
        <f t="shared" si="2162"/>
        <v>4605.4269999999997</v>
      </c>
      <c r="AB1127" s="998">
        <f t="shared" si="2162"/>
        <v>4605.4269999999997</v>
      </c>
      <c r="AC1127" s="999">
        <f t="shared" si="2162"/>
        <v>4578.5019999999995</v>
      </c>
      <c r="AD1127" s="999">
        <f t="shared" si="2162"/>
        <v>4563.25</v>
      </c>
      <c r="AE1127" s="999">
        <f t="shared" si="2162"/>
        <v>4540.4479999999994</v>
      </c>
      <c r="AF1127" s="999">
        <f t="shared" si="2162"/>
        <v>4459.9569999999994</v>
      </c>
      <c r="AG1127" s="998">
        <f t="shared" si="2162"/>
        <v>4459.9569999999994</v>
      </c>
      <c r="AH1127" s="999">
        <f t="shared" si="2162"/>
        <v>5479.4889999999996</v>
      </c>
      <c r="AI1127" s="999">
        <f t="shared" si="2162"/>
        <v>5437.107</v>
      </c>
      <c r="AJ1127" s="999">
        <f t="shared" ref="AJ1127:CB1127" si="2163">SUM(AJ1079,AJ1114,AJ1116,AJ1124,AJ1125)</f>
        <v>5410.1970000000001</v>
      </c>
      <c r="AK1127" s="999">
        <f t="shared" si="2163"/>
        <v>5702.5459999999994</v>
      </c>
      <c r="AL1127" s="998">
        <f t="shared" si="2163"/>
        <v>5702.5459999999994</v>
      </c>
      <c r="AM1127" s="999">
        <f t="shared" si="2163"/>
        <v>5668.4380000000001</v>
      </c>
      <c r="AN1127" s="999">
        <f t="shared" si="2163"/>
        <v>5636.5349999999999</v>
      </c>
      <c r="AO1127" s="999">
        <f t="shared" si="2163"/>
        <v>5638.8220000000001</v>
      </c>
      <c r="AP1127" s="999">
        <f t="shared" si="2163"/>
        <v>5883.054000000001</v>
      </c>
      <c r="AQ1127" s="998">
        <f t="shared" si="2163"/>
        <v>5883.054000000001</v>
      </c>
      <c r="AR1127" s="999">
        <f t="shared" si="2163"/>
        <v>5833.4160000000002</v>
      </c>
      <c r="AS1127" s="999">
        <f t="shared" si="2163"/>
        <v>6038.9479999999994</v>
      </c>
      <c r="AT1127" s="999">
        <f t="shared" si="2163"/>
        <v>6385.652</v>
      </c>
      <c r="AU1127" s="999">
        <f t="shared" si="2163"/>
        <v>6332.1930000000002</v>
      </c>
      <c r="AV1127" s="998">
        <f t="shared" si="2163"/>
        <v>6332.1930000000002</v>
      </c>
      <c r="AW1127" s="999">
        <f t="shared" si="2163"/>
        <v>6154.9850000000006</v>
      </c>
      <c r="AX1127" s="999">
        <f t="shared" si="2163"/>
        <v>5849.0770000000011</v>
      </c>
      <c r="AY1127" s="999">
        <f t="shared" si="2163"/>
        <v>5773.0810000000001</v>
      </c>
      <c r="AZ1127" s="999">
        <f>SUM(AZ1079,AZ1114,AZ1116,AZ1124,AZ1125)</f>
        <v>5741.7309999999998</v>
      </c>
      <c r="BA1127" s="998">
        <f>SUM(BA1079,BA1114,BA1116,BA1124,BA1125)</f>
        <v>5741.7309999999998</v>
      </c>
      <c r="BB1127" s="999">
        <f t="shared" si="2163"/>
        <v>5680.0909999999985</v>
      </c>
      <c r="BC1127" s="999">
        <f t="shared" si="2163"/>
        <v>5656.4109999999991</v>
      </c>
      <c r="BD1127" s="999">
        <f t="shared" si="2163"/>
        <v>4509.581000000001</v>
      </c>
      <c r="BE1127" s="999">
        <f t="shared" si="2163"/>
        <v>4478.924</v>
      </c>
      <c r="BF1127" s="998">
        <f t="shared" si="2163"/>
        <v>4478.924</v>
      </c>
      <c r="BG1127" s="999">
        <f t="shared" si="2163"/>
        <v>4426.7839999999997</v>
      </c>
      <c r="BH1127" s="999">
        <f t="shared" ref="BH1127:BP1127" si="2164">SUM(BH1079,BH1114,BH1116,BH1124,BH1125)</f>
        <v>4419.473</v>
      </c>
      <c r="BI1127" s="999">
        <f t="shared" si="2164"/>
        <v>4409.1519999999991</v>
      </c>
      <c r="BJ1127" s="999">
        <f t="shared" si="2164"/>
        <v>4350.9000000000005</v>
      </c>
      <c r="BK1127" s="998">
        <f t="shared" si="2164"/>
        <v>4350.9000000000005</v>
      </c>
      <c r="BL1127" s="999">
        <f t="shared" si="2164"/>
        <v>4797.0830000000005</v>
      </c>
      <c r="BM1127" s="999">
        <f t="shared" si="2164"/>
        <v>4829.3200000000006</v>
      </c>
      <c r="BN1127" s="999">
        <f t="shared" ref="BN1127" si="2165">SUM(BN1079,BN1114,BN1116,BN1124,BN1125)</f>
        <v>4456.6540000000005</v>
      </c>
      <c r="BO1127" s="999">
        <f t="shared" si="2164"/>
        <v>4670.7510000000002</v>
      </c>
      <c r="BP1127" s="998">
        <f t="shared" si="2164"/>
        <v>4670.7510000000002</v>
      </c>
      <c r="BQ1127" s="999">
        <f t="shared" ref="BQ1127:BV1127" si="2166">SUM(BQ1079,BQ1114,BQ1116,BQ1124,BQ1125)</f>
        <v>4681.8959999999997</v>
      </c>
      <c r="BR1127" s="999">
        <f>SUM(BR1079,BR1114,BR1116,BR1124,BR1125)</f>
        <v>4668.5229999999992</v>
      </c>
      <c r="BS1127" s="999">
        <f t="shared" si="2166"/>
        <v>4655.3690000000006</v>
      </c>
      <c r="BT1127" s="999">
        <f t="shared" si="2166"/>
        <v>4730.398000000001</v>
      </c>
      <c r="BU1127" s="3440">
        <f t="shared" si="2166"/>
        <v>4730.398000000001</v>
      </c>
      <c r="BV1127" s="999">
        <f t="shared" si="2166"/>
        <v>4749.6211365936269</v>
      </c>
      <c r="BW1127" s="999">
        <f t="shared" ref="BW1127:BY1127" si="2167">SUM(BW1079,BW1114,BW1116,BW1124,BW1125)</f>
        <v>4769.1524875329596</v>
      </c>
      <c r="BX1127" s="999">
        <f t="shared" si="2167"/>
        <v>6257.020615827736</v>
      </c>
      <c r="BY1127" s="999">
        <f t="shared" si="2167"/>
        <v>6294.2842532569248</v>
      </c>
      <c r="BZ1127" s="3440">
        <f>SUM(BZ1079,BZ1114,BZ1116,BZ1124,BZ1125)</f>
        <v>6294.2842532569248</v>
      </c>
      <c r="CA1127" s="998">
        <f t="shared" si="2163"/>
        <v>6485.5163644471049</v>
      </c>
      <c r="CB1127" s="998">
        <f t="shared" si="2163"/>
        <v>6679.8695646456135</v>
      </c>
      <c r="CC1127" s="998">
        <f>SUM(CC1079,CC1114,CC1116,CC1124,CC1125)</f>
        <v>4302.2651084709369</v>
      </c>
      <c r="CD1127" s="998">
        <f>SUM(CD1079,CD1114,CD1116,CD1124,CD1125)</f>
        <v>4024.4895379244945</v>
      </c>
      <c r="CE1127" s="998">
        <f>SUM(CE1079,CE1114,CE1116,CE1124,CE1125)</f>
        <v>3761.4198919338751</v>
      </c>
      <c r="CF1127" s="998">
        <f>SUM(CF1079,CF1114,CF1116,CF1124,CF1125)</f>
        <v>3513.4746747353447</v>
      </c>
      <c r="CG1127" s="998">
        <f>SUM(CG1079,CG1114,CG1116,CG1124,CG1125)</f>
        <v>3281.0821635135953</v>
      </c>
      <c r="CH1127" s="621"/>
      <c r="CI1127" s="621"/>
      <c r="CJ1127" s="621"/>
      <c r="CK1127" s="621"/>
      <c r="CL1127" s="621"/>
      <c r="CM1127" s="621"/>
      <c r="CN1127" s="621">
        <f>BY1127</f>
        <v>6294.2842532569248</v>
      </c>
      <c r="CO1127" s="965">
        <f t="shared" ref="CO1127" si="2168">CM1127-CN1127</f>
        <v>-6294.2842532569248</v>
      </c>
      <c r="CP1127" s="997" t="str">
        <f>A1127</f>
        <v>Total Liabilities and Equity</v>
      </c>
      <c r="CQ1127" s="999">
        <f>H1127</f>
        <v>3919.0319999999997</v>
      </c>
      <c r="CR1127" s="999">
        <f>M1127</f>
        <v>4424.9710000000005</v>
      </c>
      <c r="CS1127" s="999">
        <f>R1127</f>
        <v>3901.299</v>
      </c>
      <c r="CT1127" s="999">
        <f>W1127</f>
        <v>4487.5959999999995</v>
      </c>
      <c r="CU1127" s="999">
        <f>AB1127</f>
        <v>4605.4269999999997</v>
      </c>
      <c r="CV1127" s="999">
        <f>AG1127</f>
        <v>4459.9569999999994</v>
      </c>
      <c r="CW1127" s="999">
        <f>AL1127</f>
        <v>5702.5459999999994</v>
      </c>
      <c r="CX1127" s="999">
        <f>AQ1127</f>
        <v>5883.054000000001</v>
      </c>
      <c r="CY1127" s="999">
        <f>AV1127</f>
        <v>6332.1930000000002</v>
      </c>
      <c r="CZ1127" s="999">
        <f>BA1127</f>
        <v>5741.7309999999998</v>
      </c>
      <c r="DA1127" s="999">
        <f>BF1127</f>
        <v>4478.924</v>
      </c>
      <c r="DB1127" s="999">
        <f>BK1127</f>
        <v>4350.9000000000005</v>
      </c>
      <c r="DC1127" s="999">
        <f>BP1127</f>
        <v>4670.7510000000002</v>
      </c>
      <c r="DD1127" s="999">
        <f>BU1127</f>
        <v>4730.398000000001</v>
      </c>
      <c r="DE1127" s="999">
        <f>BZ1127</f>
        <v>6294.2842532569248</v>
      </c>
      <c r="DF1127" s="999">
        <f>CA1127</f>
        <v>6485.5163644471049</v>
      </c>
      <c r="DG1127" s="1919">
        <f>CB1127</f>
        <v>6679.8695646456135</v>
      </c>
      <c r="DH1127" s="620"/>
      <c r="DI1127" s="500"/>
      <c r="DJ1127" s="500"/>
      <c r="DK1127" s="500"/>
      <c r="DL1127" s="500"/>
      <c r="DM1127" s="500"/>
      <c r="DN1127" s="500"/>
      <c r="DO1127" s="537"/>
      <c r="DY1127" s="352"/>
      <c r="DZ1127" s="352"/>
    </row>
    <row r="1128" spans="1:130" ht="12" customHeight="1">
      <c r="A1128" s="819"/>
      <c r="B1128" s="819"/>
      <c r="C1128" s="819"/>
      <c r="D1128" s="469"/>
      <c r="E1128" s="469"/>
      <c r="F1128" s="469"/>
      <c r="G1128" s="469"/>
      <c r="H1128" s="469"/>
      <c r="I1128" s="469"/>
      <c r="J1128" s="469"/>
      <c r="K1128" s="469"/>
      <c r="L1128" s="469"/>
      <c r="M1128" s="469"/>
      <c r="N1128" s="469"/>
      <c r="O1128" s="469"/>
      <c r="P1128" s="469"/>
      <c r="Q1128" s="469"/>
      <c r="R1128" s="469"/>
      <c r="S1128" s="469"/>
      <c r="T1128" s="469"/>
      <c r="U1128" s="469"/>
      <c r="V1128" s="469"/>
      <c r="W1128" s="469"/>
      <c r="X1128" s="469"/>
      <c r="Y1128" s="469"/>
      <c r="Z1128" s="469"/>
      <c r="AA1128" s="469"/>
      <c r="AB1128" s="469"/>
      <c r="AC1128" s="469"/>
      <c r="AD1128" s="469"/>
      <c r="AE1128" s="469"/>
      <c r="AF1128" s="469"/>
      <c r="AG1128" s="469"/>
      <c r="AH1128" s="469"/>
      <c r="AI1128" s="469"/>
      <c r="AJ1128" s="469"/>
      <c r="AK1128" s="469"/>
      <c r="AL1128" s="469"/>
      <c r="AM1128" s="469"/>
      <c r="AN1128" s="469"/>
      <c r="AO1128" s="469"/>
      <c r="AP1128" s="469"/>
      <c r="AQ1128" s="469"/>
      <c r="AR1128" s="469"/>
      <c r="AS1128" s="469"/>
      <c r="AT1128" s="469"/>
      <c r="AU1128" s="469"/>
      <c r="AV1128" s="469"/>
      <c r="AW1128" s="469"/>
      <c r="AX1128" s="469"/>
      <c r="AY1128" s="469"/>
      <c r="AZ1128" s="469"/>
      <c r="BA1128" s="469"/>
      <c r="BB1128" s="469"/>
      <c r="BC1128" s="469"/>
      <c r="BD1128" s="469"/>
      <c r="BE1128" s="469"/>
      <c r="BF1128" s="469"/>
      <c r="BG1128" s="469"/>
      <c r="BH1128" s="469"/>
      <c r="BI1128" s="469"/>
      <c r="BJ1128" s="469"/>
      <c r="BK1128" s="469"/>
      <c r="BL1128" s="469"/>
      <c r="BM1128" s="469"/>
      <c r="BN1128" s="469"/>
      <c r="BO1128" s="469"/>
      <c r="BP1128" s="469"/>
      <c r="BQ1128" s="469"/>
      <c r="BR1128" s="469"/>
      <c r="BS1128" s="469"/>
      <c r="BT1128" s="469"/>
      <c r="BU1128" s="3441"/>
      <c r="BV1128" s="469"/>
      <c r="BW1128" s="469"/>
      <c r="BX1128" s="469"/>
      <c r="BY1128" s="4052"/>
      <c r="BZ1128" s="469"/>
      <c r="CA1128" s="469"/>
      <c r="CB1128" s="469"/>
      <c r="CC1128" s="469"/>
      <c r="CD1128" s="469"/>
      <c r="CE1128" s="469"/>
      <c r="CF1128" s="469"/>
      <c r="CG1128" s="469"/>
      <c r="CH1128" s="469"/>
      <c r="CI1128" s="469"/>
      <c r="CJ1128" s="469"/>
      <c r="CK1128" s="469"/>
      <c r="CL1128" s="469"/>
      <c r="CM1128" s="469"/>
      <c r="CN1128" s="469"/>
      <c r="CO1128" s="469"/>
      <c r="CP1128" s="819"/>
      <c r="CQ1128" s="465"/>
      <c r="CR1128" s="465"/>
      <c r="CS1128" s="465"/>
      <c r="CT1128" s="465"/>
      <c r="CU1128" s="465"/>
      <c r="CV1128" s="465"/>
      <c r="CW1128" s="465"/>
      <c r="CX1128" s="465"/>
      <c r="CY1128" s="465"/>
      <c r="CZ1128" s="465"/>
      <c r="DA1128" s="465"/>
      <c r="DB1128" s="465"/>
      <c r="DC1128" s="465"/>
      <c r="DD1128" s="465"/>
      <c r="DE1128" s="465"/>
      <c r="DF1128" s="465"/>
      <c r="DG1128" s="465"/>
      <c r="DH1128" s="222"/>
      <c r="DI1128" s="222"/>
      <c r="DJ1128" s="222"/>
      <c r="DK1128" s="222"/>
      <c r="DL1128" s="222"/>
      <c r="DM1128" s="222"/>
      <c r="DN1128" s="222"/>
      <c r="DO1128" s="226"/>
      <c r="DY1128" s="469"/>
      <c r="DZ1128" s="469"/>
    </row>
    <row r="1129" spans="1:130" s="1404" customFormat="1" ht="12" customHeight="1">
      <c r="A1129" s="3132" t="s">
        <v>462</v>
      </c>
      <c r="B1129" s="3132"/>
      <c r="C1129" s="3132"/>
      <c r="D1129" s="3133">
        <f t="shared" ref="D1129:AI1129" si="2169">ABS(D1072-D1127)</f>
        <v>0</v>
      </c>
      <c r="E1129" s="3133">
        <f t="shared" si="2169"/>
        <v>0</v>
      </c>
      <c r="F1129" s="3133">
        <f t="shared" si="2169"/>
        <v>0</v>
      </c>
      <c r="G1129" s="3133">
        <f t="shared" si="2169"/>
        <v>0</v>
      </c>
      <c r="H1129" s="3133">
        <f t="shared" si="2169"/>
        <v>4.5474735088646412E-13</v>
      </c>
      <c r="I1129" s="3133">
        <f t="shared" si="2169"/>
        <v>4.5474735088646412E-13</v>
      </c>
      <c r="J1129" s="3133">
        <f t="shared" si="2169"/>
        <v>4.5474735088646412E-13</v>
      </c>
      <c r="K1129" s="3133">
        <f t="shared" si="2169"/>
        <v>9.0949470177292824E-13</v>
      </c>
      <c r="L1129" s="3133">
        <f t="shared" si="2169"/>
        <v>0</v>
      </c>
      <c r="M1129" s="3133">
        <f t="shared" si="2169"/>
        <v>0</v>
      </c>
      <c r="N1129" s="3133">
        <f t="shared" si="2169"/>
        <v>9.0949470177292824E-13</v>
      </c>
      <c r="O1129" s="3133">
        <f t="shared" si="2169"/>
        <v>9.0949470177292824E-13</v>
      </c>
      <c r="P1129" s="3133">
        <f t="shared" si="2169"/>
        <v>0</v>
      </c>
      <c r="Q1129" s="3133">
        <f t="shared" si="2169"/>
        <v>0</v>
      </c>
      <c r="R1129" s="3133">
        <f t="shared" si="2169"/>
        <v>0</v>
      </c>
      <c r="S1129" s="3133">
        <f t="shared" si="2169"/>
        <v>0</v>
      </c>
      <c r="T1129" s="3133">
        <f t="shared" si="2169"/>
        <v>9.0949470177292824E-13</v>
      </c>
      <c r="U1129" s="3133">
        <f t="shared" si="2169"/>
        <v>9.0949470177292824E-13</v>
      </c>
      <c r="V1129" s="3133">
        <f t="shared" si="2169"/>
        <v>0</v>
      </c>
      <c r="W1129" s="3133">
        <f t="shared" si="2169"/>
        <v>0</v>
      </c>
      <c r="X1129" s="3133">
        <f t="shared" si="2169"/>
        <v>0</v>
      </c>
      <c r="Y1129" s="3133">
        <f t="shared" si="2169"/>
        <v>0</v>
      </c>
      <c r="Z1129" s="3133">
        <f t="shared" si="2169"/>
        <v>9.0949470177292824E-13</v>
      </c>
      <c r="AA1129" s="3133">
        <f t="shared" si="2169"/>
        <v>9.0949470177292824E-13</v>
      </c>
      <c r="AB1129" s="3133">
        <f t="shared" si="2169"/>
        <v>9.0949470177292824E-13</v>
      </c>
      <c r="AC1129" s="3133">
        <f t="shared" si="2169"/>
        <v>9.0949470177292824E-13</v>
      </c>
      <c r="AD1129" s="3133">
        <f t="shared" si="2169"/>
        <v>0</v>
      </c>
      <c r="AE1129" s="3133">
        <f t="shared" si="2169"/>
        <v>9.0949470177292824E-13</v>
      </c>
      <c r="AF1129" s="3133">
        <f t="shared" si="2169"/>
        <v>1.8189894035458565E-12</v>
      </c>
      <c r="AG1129" s="3133">
        <f t="shared" si="2169"/>
        <v>1.8189894035458565E-12</v>
      </c>
      <c r="AH1129" s="3133">
        <f t="shared" si="2169"/>
        <v>9.0949470177292824E-13</v>
      </c>
      <c r="AI1129" s="3133">
        <f t="shared" si="2169"/>
        <v>0</v>
      </c>
      <c r="AJ1129" s="3133">
        <f t="shared" ref="AJ1129:BL1129" si="2170">ABS(AJ1072-AJ1127)</f>
        <v>1.8189894035458565E-12</v>
      </c>
      <c r="AK1129" s="3133">
        <f t="shared" si="2170"/>
        <v>9.0949470177292824E-13</v>
      </c>
      <c r="AL1129" s="3133">
        <f t="shared" si="2170"/>
        <v>9.0949470177292824E-13</v>
      </c>
      <c r="AM1129" s="3133">
        <f t="shared" si="2170"/>
        <v>9.0949470177292824E-13</v>
      </c>
      <c r="AN1129" s="3133">
        <f t="shared" si="2170"/>
        <v>9.0949470177292824E-13</v>
      </c>
      <c r="AO1129" s="3133">
        <f t="shared" si="2170"/>
        <v>0</v>
      </c>
      <c r="AP1129" s="3133">
        <f t="shared" si="2170"/>
        <v>9.0949470177292824E-13</v>
      </c>
      <c r="AQ1129" s="3133">
        <f t="shared" si="2170"/>
        <v>9.0949470177292824E-13</v>
      </c>
      <c r="AR1129" s="3133">
        <f t="shared" si="2170"/>
        <v>0</v>
      </c>
      <c r="AS1129" s="3133">
        <f t="shared" si="2170"/>
        <v>9.0949470177292824E-13</v>
      </c>
      <c r="AT1129" s="3133">
        <f t="shared" si="2170"/>
        <v>0</v>
      </c>
      <c r="AU1129" s="3133">
        <f t="shared" si="2170"/>
        <v>0</v>
      </c>
      <c r="AV1129" s="3133">
        <f t="shared" si="2170"/>
        <v>9.0949470177292824E-13</v>
      </c>
      <c r="AW1129" s="3133">
        <f t="shared" si="2170"/>
        <v>0</v>
      </c>
      <c r="AX1129" s="3133">
        <f t="shared" si="2170"/>
        <v>1.8189894035458565E-12</v>
      </c>
      <c r="AY1129" s="3133">
        <f t="shared" si="2170"/>
        <v>0</v>
      </c>
      <c r="AZ1129" s="3133">
        <f>ABS(AZ1072-AZ1127)</f>
        <v>9.0949470177292824E-13</v>
      </c>
      <c r="BA1129" s="3133">
        <f>ABS(BA1072-BA1127)</f>
        <v>9.0949470177292824E-13</v>
      </c>
      <c r="BB1129" s="3133">
        <f t="shared" si="2170"/>
        <v>9.0949470177292824E-13</v>
      </c>
      <c r="BC1129" s="3133">
        <f t="shared" si="2170"/>
        <v>9.0949470177292824E-13</v>
      </c>
      <c r="BD1129" s="3133">
        <f t="shared" si="2170"/>
        <v>9.0949470177292824E-13</v>
      </c>
      <c r="BE1129" s="3133">
        <f>ABS(BE1072-BE1127)</f>
        <v>0</v>
      </c>
      <c r="BF1129" s="3133">
        <f t="shared" si="2170"/>
        <v>0</v>
      </c>
      <c r="BG1129" s="3133">
        <f t="shared" si="2170"/>
        <v>9.0949470177292824E-13</v>
      </c>
      <c r="BH1129" s="3133">
        <f t="shared" si="2170"/>
        <v>9.0949470177292824E-13</v>
      </c>
      <c r="BI1129" s="3133">
        <f t="shared" si="2170"/>
        <v>9.0949470177292824E-13</v>
      </c>
      <c r="BJ1129" s="3133">
        <f>ABS(BJ1072-BJ1127)</f>
        <v>9.0949470177292824E-13</v>
      </c>
      <c r="BK1129" s="3133">
        <f t="shared" si="2170"/>
        <v>9.0949470177292824E-13</v>
      </c>
      <c r="BL1129" s="3133">
        <f t="shared" si="2170"/>
        <v>9.0949470177292824E-13</v>
      </c>
      <c r="BM1129" s="3133">
        <f t="shared" ref="BM1129:BU1129" si="2171">ABS(BM1072-BM1127)</f>
        <v>9.0949470177292824E-13</v>
      </c>
      <c r="BN1129" s="3133">
        <f>ABS(BN1072-BN1127)</f>
        <v>9.0949470177292824E-13</v>
      </c>
      <c r="BO1129" s="3133">
        <f>ABS(BO1072-BO1127)</f>
        <v>0</v>
      </c>
      <c r="BP1129" s="3133">
        <f t="shared" si="2171"/>
        <v>0</v>
      </c>
      <c r="BQ1129" s="3133">
        <f>ABS(BQ1072-BQ1127)</f>
        <v>0</v>
      </c>
      <c r="BR1129" s="3133">
        <f t="shared" si="2171"/>
        <v>9.0949470177292824E-13</v>
      </c>
      <c r="BS1129" s="3133">
        <f t="shared" si="2171"/>
        <v>0</v>
      </c>
      <c r="BT1129" s="3133">
        <f t="shared" si="2171"/>
        <v>9.0949470177292824E-13</v>
      </c>
      <c r="BU1129" s="3442">
        <f t="shared" si="2171"/>
        <v>9.0949470177292824E-13</v>
      </c>
      <c r="BV1129" s="3133">
        <f>ABS(BV1072-BV1127)</f>
        <v>9.0949470177292824E-13</v>
      </c>
      <c r="BW1129" s="3133">
        <f t="shared" ref="BW1129:BY1129" si="2172">ABS(BW1072-BW1127)</f>
        <v>9.0949470177292824E-13</v>
      </c>
      <c r="BX1129" s="3133">
        <f t="shared" si="2172"/>
        <v>9.0949470177292824E-13</v>
      </c>
      <c r="BY1129" s="3133">
        <f t="shared" si="2172"/>
        <v>9.0949470177292824E-13</v>
      </c>
      <c r="BZ1129" s="3133">
        <f t="shared" ref="BZ1129:CG1129" si="2173">ABS(BZ1072-BZ1127)</f>
        <v>9.0949470177292824E-13</v>
      </c>
      <c r="CA1129" s="3133">
        <f t="shared" si="2173"/>
        <v>0</v>
      </c>
      <c r="CB1129" s="3133">
        <f t="shared" si="2173"/>
        <v>9.0949470177292824E-13</v>
      </c>
      <c r="CC1129" s="3133">
        <f t="shared" si="2173"/>
        <v>1353.5963129086131</v>
      </c>
      <c r="CD1129" s="3133">
        <f t="shared" si="2173"/>
        <v>1538.2946447599052</v>
      </c>
      <c r="CE1129" s="3133">
        <f t="shared" si="2173"/>
        <v>1708.2870520553743</v>
      </c>
      <c r="CF1129" s="3133">
        <f t="shared" si="2173"/>
        <v>1863.1550305587552</v>
      </c>
      <c r="CG1129" s="3133">
        <f t="shared" si="2173"/>
        <v>2002.4703030853552</v>
      </c>
      <c r="CH1129" s="1766"/>
      <c r="CI1129" s="1766"/>
      <c r="CJ1129" s="1766"/>
      <c r="CK1129" s="1766"/>
      <c r="CL1129" s="1766"/>
      <c r="CM1129" s="1766"/>
      <c r="CN1129" s="1766"/>
      <c r="CO1129" s="1766"/>
      <c r="CP1129" s="3132" t="str">
        <f>A1129</f>
        <v>Check</v>
      </c>
      <c r="CQ1129" s="3133">
        <f>H1129</f>
        <v>4.5474735088646412E-13</v>
      </c>
      <c r="CR1129" s="3133">
        <f>M1129</f>
        <v>0</v>
      </c>
      <c r="CS1129" s="3133">
        <f>R1129</f>
        <v>0</v>
      </c>
      <c r="CT1129" s="3133">
        <f>W1129</f>
        <v>0</v>
      </c>
      <c r="CU1129" s="3133">
        <f>AB1129</f>
        <v>9.0949470177292824E-13</v>
      </c>
      <c r="CV1129" s="3133">
        <f>AG1129</f>
        <v>1.8189894035458565E-12</v>
      </c>
      <c r="CW1129" s="3133">
        <f>AL1129</f>
        <v>9.0949470177292824E-13</v>
      </c>
      <c r="CX1129" s="3133">
        <f>AQ1129</f>
        <v>9.0949470177292824E-13</v>
      </c>
      <c r="CY1129" s="3133">
        <f>AV1129</f>
        <v>9.0949470177292824E-13</v>
      </c>
      <c r="CZ1129" s="3133">
        <f>BA1129</f>
        <v>9.0949470177292824E-13</v>
      </c>
      <c r="DA1129" s="3133">
        <f>BF1129</f>
        <v>0</v>
      </c>
      <c r="DB1129" s="3133">
        <f>BK1129</f>
        <v>9.0949470177292824E-13</v>
      </c>
      <c r="DC1129" s="3133">
        <f>BP1129</f>
        <v>0</v>
      </c>
      <c r="DD1129" s="3133">
        <f>BU1129</f>
        <v>9.0949470177292824E-13</v>
      </c>
      <c r="DE1129" s="3133">
        <f>BZ1129</f>
        <v>9.0949470177292824E-13</v>
      </c>
      <c r="DF1129" s="3133">
        <f>CA1129</f>
        <v>0</v>
      </c>
      <c r="DG1129" s="3133">
        <f>CB1129</f>
        <v>9.0949470177292824E-13</v>
      </c>
      <c r="DH1129" s="1766"/>
      <c r="DI1129" s="1766"/>
      <c r="DJ1129" s="1766"/>
      <c r="DK1129" s="1766"/>
      <c r="DL1129" s="1766"/>
      <c r="DM1129" s="1766"/>
      <c r="DN1129" s="1766"/>
      <c r="DO1129" s="3134"/>
      <c r="DP1129"/>
      <c r="DQ1129"/>
      <c r="DR1129"/>
      <c r="DS1129"/>
      <c r="DT1129"/>
      <c r="DU1129"/>
      <c r="DY1129" s="3472"/>
      <c r="DZ1129" s="3472"/>
    </row>
    <row r="1130" spans="1:130" ht="12" customHeight="1">
      <c r="A1130" s="445"/>
      <c r="B1130" s="445"/>
      <c r="C1130" s="445"/>
      <c r="D1130" s="1676"/>
      <c r="E1130" s="1676"/>
      <c r="F1130" s="1676"/>
      <c r="G1130" s="1676"/>
      <c r="H1130" s="1676"/>
      <c r="I1130" s="1676"/>
      <c r="J1130" s="1676"/>
      <c r="K1130" s="1676"/>
      <c r="L1130" s="1676"/>
      <c r="M1130" s="1676"/>
      <c r="N1130" s="1676"/>
      <c r="O1130" s="1676"/>
      <c r="P1130" s="1676"/>
      <c r="Q1130" s="1676"/>
      <c r="R1130" s="1676"/>
      <c r="S1130" s="1676"/>
      <c r="T1130" s="1676"/>
      <c r="U1130" s="1676"/>
      <c r="V1130" s="1676"/>
      <c r="W1130" s="1676"/>
      <c r="X1130" s="1676"/>
      <c r="Y1130" s="1676"/>
      <c r="Z1130" s="1676"/>
      <c r="AA1130" s="1676"/>
      <c r="AB1130" s="1676"/>
      <c r="AC1130" s="1676"/>
      <c r="AD1130" s="1676"/>
      <c r="AE1130" s="1676"/>
      <c r="AF1130" s="1676"/>
      <c r="AG1130" s="1676"/>
      <c r="AH1130" s="1676"/>
      <c r="AI1130" s="1676"/>
      <c r="AJ1130" s="1676"/>
      <c r="AK1130" s="1676"/>
      <c r="AL1130" s="1676"/>
      <c r="AM1130" s="1676"/>
      <c r="AN1130" s="1676"/>
      <c r="AO1130" s="1676"/>
      <c r="AP1130" s="1676"/>
      <c r="AQ1130" s="1676"/>
      <c r="AR1130" s="1676"/>
      <c r="AS1130" s="1676"/>
      <c r="AT1130" s="1676"/>
      <c r="AU1130" s="1676"/>
      <c r="AV1130" s="1676"/>
      <c r="AW1130" s="1676"/>
      <c r="AX1130" s="1676"/>
      <c r="AY1130" s="1676"/>
      <c r="AZ1130" s="1676"/>
      <c r="BA1130" s="1676"/>
      <c r="BB1130" s="1676"/>
      <c r="BC1130" s="1676"/>
      <c r="BD1130" s="1676"/>
      <c r="BE1130" s="1676"/>
      <c r="BF1130" s="1676"/>
      <c r="BG1130" s="1676"/>
      <c r="BH1130" s="1676"/>
      <c r="BI1130" s="1676"/>
      <c r="BJ1130" s="1676"/>
      <c r="BK1130" s="1676"/>
      <c r="BL1130" s="1676"/>
      <c r="BM1130" s="1676"/>
      <c r="BN1130" s="1676"/>
      <c r="BO1130" s="1676"/>
      <c r="BP1130" s="1676"/>
      <c r="BQ1130" s="1676"/>
      <c r="BR1130" s="1676"/>
      <c r="BS1130" s="1676"/>
      <c r="BT1130" s="1676"/>
      <c r="BU1130" s="1676"/>
      <c r="BV1130" s="1676"/>
      <c r="BW1130" s="1676"/>
      <c r="BX1130" s="1676"/>
      <c r="BY1130" s="4053"/>
      <c r="BZ1130" s="1676"/>
      <c r="CA1130" s="1676"/>
      <c r="CB1130" s="1676"/>
      <c r="CC1130" s="1676"/>
      <c r="CD1130" s="1676"/>
      <c r="CE1130" s="1676"/>
      <c r="CF1130" s="1676"/>
      <c r="CG1130" s="1676"/>
      <c r="CH1130" s="637"/>
      <c r="CI1130" s="637"/>
      <c r="CJ1130" s="637"/>
      <c r="CK1130" s="637"/>
      <c r="CL1130" s="637"/>
      <c r="CM1130" s="637"/>
      <c r="CN1130" s="637"/>
      <c r="CO1130" s="637"/>
      <c r="CP1130" s="445"/>
      <c r="CQ1130" s="1769"/>
      <c r="CR1130" s="1769"/>
      <c r="CS1130" s="1769"/>
      <c r="CT1130" s="1769"/>
      <c r="CU1130" s="1769"/>
      <c r="CV1130" s="1769"/>
      <c r="CW1130" s="1769"/>
      <c r="CX1130" s="1769"/>
      <c r="CY1130" s="1769"/>
      <c r="CZ1130" s="1769"/>
      <c r="DA1130" s="1769"/>
      <c r="DB1130" s="1769"/>
      <c r="DC1130" s="1769"/>
      <c r="DD1130" s="1769"/>
      <c r="DE1130" s="1769"/>
      <c r="DF1130" s="1769"/>
      <c r="DG1130" s="1769"/>
      <c r="DH1130" s="290"/>
      <c r="DI1130" s="290"/>
      <c r="DJ1130" s="290"/>
      <c r="DK1130" s="290"/>
      <c r="DL1130" s="290"/>
      <c r="DM1130" s="290"/>
      <c r="DN1130" s="290"/>
      <c r="DO1130" s="226"/>
      <c r="DY1130" s="1676"/>
      <c r="DZ1130" s="1676"/>
    </row>
    <row r="1131" spans="1:130" ht="12" customHeight="1">
      <c r="A1131" s="235" t="s">
        <v>861</v>
      </c>
      <c r="B1131" s="236"/>
      <c r="C1131" s="236"/>
      <c r="D1131" s="237"/>
      <c r="E1131" s="109"/>
      <c r="F1131" s="109"/>
      <c r="G1131" s="109"/>
      <c r="H1131" s="110"/>
      <c r="I1131" s="109"/>
      <c r="J1131" s="109"/>
      <c r="K1131" s="109"/>
      <c r="L1131" s="109"/>
      <c r="M1131" s="110"/>
      <c r="N1131" s="109"/>
      <c r="O1131" s="109"/>
      <c r="P1131" s="109"/>
      <c r="Q1131" s="109"/>
      <c r="R1131" s="110"/>
      <c r="S1131" s="109"/>
      <c r="T1131" s="109"/>
      <c r="U1131" s="109"/>
      <c r="V1131" s="109"/>
      <c r="W1131" s="110"/>
      <c r="X1131" s="109"/>
      <c r="Y1131" s="109"/>
      <c r="Z1131" s="109"/>
      <c r="AA1131" s="109"/>
      <c r="AB1131" s="110">
        <f t="shared" ref="AB1131:AH1131" si="2174">AB6</f>
        <v>2008</v>
      </c>
      <c r="AC1131" s="109" t="str">
        <f t="shared" si="2174"/>
        <v>1Q09</v>
      </c>
      <c r="AD1131" s="109" t="str">
        <f t="shared" si="2174"/>
        <v>2Q09</v>
      </c>
      <c r="AE1131" s="109" t="str">
        <f t="shared" si="2174"/>
        <v>3Q09</v>
      </c>
      <c r="AF1131" s="109" t="str">
        <f t="shared" si="2174"/>
        <v>4Q09</v>
      </c>
      <c r="AG1131" s="110">
        <f t="shared" si="2174"/>
        <v>2009</v>
      </c>
      <c r="AH1131" s="109" t="str">
        <f t="shared" si="2174"/>
        <v>1Q10</v>
      </c>
      <c r="AI1131" s="109" t="str">
        <f t="shared" ref="AI1131:CG1131" si="2175">AI$6</f>
        <v>2Q10</v>
      </c>
      <c r="AJ1131" s="109" t="str">
        <f t="shared" si="2175"/>
        <v>3Q10</v>
      </c>
      <c r="AK1131" s="109" t="str">
        <f t="shared" si="2175"/>
        <v>4Q10</v>
      </c>
      <c r="AL1131" s="110">
        <f t="shared" si="2175"/>
        <v>2010</v>
      </c>
      <c r="AM1131" s="109" t="str">
        <f t="shared" si="2175"/>
        <v>1Q11</v>
      </c>
      <c r="AN1131" s="109" t="str">
        <f t="shared" si="2175"/>
        <v>2Q11</v>
      </c>
      <c r="AO1131" s="109" t="str">
        <f t="shared" si="2175"/>
        <v>3Q11</v>
      </c>
      <c r="AP1131" s="109" t="str">
        <f t="shared" si="2175"/>
        <v>4Q11</v>
      </c>
      <c r="AQ1131" s="110">
        <f t="shared" si="2175"/>
        <v>2011</v>
      </c>
      <c r="AR1131" s="109" t="str">
        <f t="shared" si="2175"/>
        <v>1Q12</v>
      </c>
      <c r="AS1131" s="109" t="str">
        <f t="shared" si="2175"/>
        <v>2Q12</v>
      </c>
      <c r="AT1131" s="109" t="str">
        <f t="shared" si="2175"/>
        <v>3Q12</v>
      </c>
      <c r="AU1131" s="109" t="str">
        <f t="shared" si="2175"/>
        <v>4Q12</v>
      </c>
      <c r="AV1131" s="110">
        <f t="shared" si="2175"/>
        <v>2012</v>
      </c>
      <c r="AW1131" s="109" t="str">
        <f t="shared" si="2175"/>
        <v>1Q13</v>
      </c>
      <c r="AX1131" s="109" t="str">
        <f t="shared" si="2175"/>
        <v>2Q13</v>
      </c>
      <c r="AY1131" s="109" t="str">
        <f t="shared" si="2175"/>
        <v>3Q13</v>
      </c>
      <c r="AZ1131" s="109" t="str">
        <f t="shared" si="2175"/>
        <v>4Q13</v>
      </c>
      <c r="BA1131" s="110">
        <f t="shared" si="2175"/>
        <v>2013</v>
      </c>
      <c r="BB1131" s="109" t="str">
        <f t="shared" si="2175"/>
        <v>1Q14</v>
      </c>
      <c r="BC1131" s="109" t="str">
        <f t="shared" si="2175"/>
        <v>2Q14</v>
      </c>
      <c r="BD1131" s="109" t="str">
        <f t="shared" si="2175"/>
        <v>3Q14</v>
      </c>
      <c r="BE1131" s="109" t="str">
        <f t="shared" si="2175"/>
        <v>4Q14</v>
      </c>
      <c r="BF1131" s="110">
        <f t="shared" si="2175"/>
        <v>2014</v>
      </c>
      <c r="BG1131" s="109" t="str">
        <f t="shared" si="2175"/>
        <v>1Q15</v>
      </c>
      <c r="BH1131" s="109" t="str">
        <f t="shared" si="2175"/>
        <v>2Q15</v>
      </c>
      <c r="BI1131" s="109" t="str">
        <f t="shared" si="2175"/>
        <v>3Q15</v>
      </c>
      <c r="BJ1131" s="109" t="str">
        <f t="shared" si="2175"/>
        <v>4Q15</v>
      </c>
      <c r="BK1131" s="110">
        <f t="shared" si="2175"/>
        <v>2015</v>
      </c>
      <c r="BL1131" s="109" t="str">
        <f t="shared" si="2175"/>
        <v>1Q16</v>
      </c>
      <c r="BM1131" s="109" t="str">
        <f t="shared" si="2175"/>
        <v>2Q16</v>
      </c>
      <c r="BN1131" s="109" t="str">
        <f t="shared" si="2175"/>
        <v>3Q16</v>
      </c>
      <c r="BO1131" s="109" t="str">
        <f t="shared" si="2175"/>
        <v>4Q16</v>
      </c>
      <c r="BP1131" s="110">
        <f t="shared" si="2175"/>
        <v>2016</v>
      </c>
      <c r="BQ1131" s="109" t="str">
        <f t="shared" si="2175"/>
        <v>1Q17</v>
      </c>
      <c r="BR1131" s="109" t="str">
        <f t="shared" si="2175"/>
        <v>2Q17</v>
      </c>
      <c r="BS1131" s="109" t="str">
        <f t="shared" si="2175"/>
        <v>3Q17</v>
      </c>
      <c r="BT1131" s="109" t="str">
        <f t="shared" si="2175"/>
        <v>4Q17A</v>
      </c>
      <c r="BU1131" s="3347" t="str">
        <f t="shared" si="2175"/>
        <v>2017A</v>
      </c>
      <c r="BV1131" s="109" t="str">
        <f t="shared" si="2175"/>
        <v>1Q18E</v>
      </c>
      <c r="BW1131" s="109" t="str">
        <f t="shared" si="2175"/>
        <v>2Q18E</v>
      </c>
      <c r="BX1131" s="109" t="str">
        <f t="shared" si="2175"/>
        <v>3Q18E</v>
      </c>
      <c r="BY1131" s="109" t="str">
        <f t="shared" si="2175"/>
        <v>4Q18E</v>
      </c>
      <c r="BZ1131" s="110" t="str">
        <f t="shared" si="2175"/>
        <v>2018E</v>
      </c>
      <c r="CA1131" s="110" t="str">
        <f t="shared" si="2175"/>
        <v>2019E</v>
      </c>
      <c r="CB1131" s="110" t="str">
        <f t="shared" si="2175"/>
        <v>2020E</v>
      </c>
      <c r="CC1131" s="110" t="str">
        <f t="shared" si="2175"/>
        <v>2021E</v>
      </c>
      <c r="CD1131" s="110" t="str">
        <f t="shared" si="2175"/>
        <v>2022E</v>
      </c>
      <c r="CE1131" s="110" t="str">
        <f t="shared" si="2175"/>
        <v>2023E</v>
      </c>
      <c r="CF1131" s="110" t="str">
        <f t="shared" si="2175"/>
        <v>2024E</v>
      </c>
      <c r="CG1131" s="110" t="str">
        <f t="shared" si="2175"/>
        <v>2025E</v>
      </c>
      <c r="CH1131" s="247"/>
      <c r="CI1131" s="247"/>
      <c r="CJ1131" s="247"/>
      <c r="CK1131" s="247"/>
      <c r="CL1131" s="247"/>
      <c r="CM1131" s="247"/>
      <c r="CN1131" s="247"/>
      <c r="CO1131" s="247"/>
      <c r="CP1131" s="235" t="str">
        <f>A1131</f>
        <v>DEBT / INTEREST SCHEDULE</v>
      </c>
      <c r="CQ1131" s="109"/>
      <c r="CR1131" s="109"/>
      <c r="CS1131" s="109"/>
      <c r="CT1131" s="109"/>
      <c r="CU1131" s="109"/>
      <c r="CV1131" s="109"/>
      <c r="CW1131" s="109"/>
      <c r="CX1131" s="109"/>
      <c r="CY1131" s="109"/>
      <c r="CZ1131" s="109"/>
      <c r="DA1131" s="109"/>
      <c r="DB1131" s="109"/>
      <c r="DC1131" s="109"/>
      <c r="DD1131" s="109"/>
      <c r="DE1131" s="109"/>
      <c r="DF1131" s="109"/>
      <c r="DG1131" s="1772"/>
      <c r="DH1131" s="239"/>
      <c r="DI1131" s="240"/>
      <c r="DJ1131" s="240"/>
      <c r="DK1131" s="240"/>
      <c r="DL1131" s="240"/>
      <c r="DM1131" s="240"/>
      <c r="DN1131" s="240"/>
      <c r="DO1131" s="226"/>
      <c r="DY1131" s="244"/>
      <c r="DZ1131" s="244"/>
    </row>
    <row r="1132" spans="1:130" ht="12" customHeight="1">
      <c r="A1132" s="895"/>
      <c r="B1132" s="242"/>
      <c r="C1132" s="242"/>
      <c r="D1132" s="360"/>
      <c r="E1132" s="871"/>
      <c r="F1132" s="871"/>
      <c r="G1132" s="871"/>
      <c r="H1132" s="302"/>
      <c r="I1132" s="305"/>
      <c r="J1132" s="871"/>
      <c r="K1132" s="871"/>
      <c r="L1132" s="871"/>
      <c r="M1132" s="302"/>
      <c r="N1132" s="305"/>
      <c r="O1132" s="871"/>
      <c r="P1132" s="871"/>
      <c r="Q1132" s="871"/>
      <c r="R1132" s="302"/>
      <c r="S1132" s="305"/>
      <c r="T1132" s="871"/>
      <c r="U1132" s="871"/>
      <c r="V1132" s="871"/>
      <c r="W1132" s="302"/>
      <c r="X1132" s="871"/>
      <c r="Y1132" s="871"/>
      <c r="Z1132" s="871"/>
      <c r="AA1132" s="871"/>
      <c r="AB1132" s="302"/>
      <c r="AC1132" s="871"/>
      <c r="AD1132" s="871"/>
      <c r="AE1132" s="871"/>
      <c r="AF1132" s="871"/>
      <c r="AG1132" s="302"/>
      <c r="AH1132" s="303"/>
      <c r="AI1132" s="303"/>
      <c r="AJ1132" s="303"/>
      <c r="AK1132" s="303"/>
      <c r="AL1132" s="304"/>
      <c r="AM1132" s="305"/>
      <c r="AN1132" s="305"/>
      <c r="AO1132" s="305"/>
      <c r="AP1132" s="305"/>
      <c r="AQ1132" s="304"/>
      <c r="AR1132" s="305"/>
      <c r="AS1132" s="305"/>
      <c r="AT1132" s="305"/>
      <c r="AU1132" s="305"/>
      <c r="AV1132" s="304"/>
      <c r="AW1132" s="305"/>
      <c r="AX1132" s="305"/>
      <c r="AY1132" s="305"/>
      <c r="AZ1132" s="305"/>
      <c r="BA1132" s="304"/>
      <c r="BB1132" s="305"/>
      <c r="BC1132" s="305"/>
      <c r="BD1132" s="305"/>
      <c r="BE1132" s="305"/>
      <c r="BF1132" s="304"/>
      <c r="BG1132" s="3015"/>
      <c r="BH1132" s="3016"/>
      <c r="BI1132" s="3016"/>
      <c r="BJ1132" s="3017"/>
      <c r="BK1132" s="304"/>
      <c r="BL1132" s="3016"/>
      <c r="BM1132" s="3016"/>
      <c r="BN1132" s="3016"/>
      <c r="BO1132" s="3017"/>
      <c r="BP1132" s="304"/>
      <c r="BQ1132" s="3016"/>
      <c r="BR1132" s="3016"/>
      <c r="BS1132" s="3016"/>
      <c r="BT1132" s="3017"/>
      <c r="BU1132" s="3434"/>
      <c r="BV1132" s="3016"/>
      <c r="BW1132" s="3016"/>
      <c r="BX1132" s="3016"/>
      <c r="BY1132" s="3016"/>
      <c r="BZ1132" s="304"/>
      <c r="CA1132" s="304"/>
      <c r="CB1132" s="304"/>
      <c r="CC1132" s="304"/>
      <c r="CD1132" s="304"/>
      <c r="CE1132" s="304"/>
      <c r="CF1132" s="304"/>
      <c r="CG1132" s="304"/>
      <c r="CH1132" s="305"/>
      <c r="CI1132" s="305"/>
      <c r="CJ1132" s="305"/>
      <c r="CK1132" s="305"/>
      <c r="CL1132" s="305"/>
      <c r="CM1132" s="305"/>
      <c r="CN1132" s="305"/>
      <c r="CO1132" s="305"/>
      <c r="CP1132" s="1924"/>
      <c r="CQ1132" s="222"/>
      <c r="CR1132" s="222"/>
      <c r="CS1132" s="222"/>
      <c r="CT1132" s="222"/>
      <c r="CU1132" s="222"/>
      <c r="CV1132" s="222"/>
      <c r="CW1132" s="222"/>
      <c r="CX1132" s="222"/>
      <c r="CY1132" s="222"/>
      <c r="CZ1132" s="222"/>
      <c r="DA1132" s="222"/>
      <c r="DB1132" s="222"/>
      <c r="DC1132" s="222"/>
      <c r="DD1132" s="222"/>
      <c r="DE1132" s="222"/>
      <c r="DF1132" s="222"/>
      <c r="DG1132" s="1576"/>
      <c r="DH1132" s="222"/>
      <c r="DI1132" s="222"/>
      <c r="DJ1132" s="222"/>
      <c r="DK1132" s="222"/>
      <c r="DL1132" s="222"/>
      <c r="DM1132" s="222"/>
      <c r="DN1132" s="222"/>
      <c r="DO1132" s="226"/>
      <c r="DY1132" s="305"/>
      <c r="DZ1132" s="305"/>
    </row>
    <row r="1133" spans="1:130" ht="12" customHeight="1">
      <c r="A1133" s="242" t="s">
        <v>44</v>
      </c>
      <c r="B1133" s="242"/>
      <c r="C1133" s="242"/>
      <c r="D1133" s="360"/>
      <c r="E1133" s="871"/>
      <c r="F1133" s="871"/>
      <c r="G1133" s="871"/>
      <c r="H1133" s="302"/>
      <c r="I1133" s="305"/>
      <c r="J1133" s="871"/>
      <c r="K1133" s="871"/>
      <c r="L1133" s="871"/>
      <c r="M1133" s="302"/>
      <c r="N1133" s="305"/>
      <c r="O1133" s="871"/>
      <c r="P1133" s="871"/>
      <c r="Q1133" s="871"/>
      <c r="R1133" s="302"/>
      <c r="S1133" s="305"/>
      <c r="T1133" s="871"/>
      <c r="U1133" s="871"/>
      <c r="V1133" s="871"/>
      <c r="W1133" s="302"/>
      <c r="X1133" s="871"/>
      <c r="Y1133" s="871"/>
      <c r="Z1133" s="871"/>
      <c r="AA1133" s="871"/>
      <c r="AB1133" s="302"/>
      <c r="AC1133" s="871"/>
      <c r="AD1133" s="871"/>
      <c r="AE1133" s="871"/>
      <c r="AF1133" s="871"/>
      <c r="AG1133" s="302"/>
      <c r="AH1133" s="303"/>
      <c r="AI1133" s="303"/>
      <c r="AJ1133" s="328"/>
      <c r="AK1133" s="303"/>
      <c r="AL1133" s="304"/>
      <c r="AM1133" s="305"/>
      <c r="AN1133" s="305"/>
      <c r="AO1133" s="305"/>
      <c r="AP1133" s="222"/>
      <c r="AQ1133" s="304"/>
      <c r="AR1133" s="305"/>
      <c r="AS1133" s="305"/>
      <c r="AT1133" s="305"/>
      <c r="AU1133" s="222"/>
      <c r="AV1133" s="304"/>
      <c r="AW1133" s="305"/>
      <c r="AX1133" s="1628"/>
      <c r="AY1133" s="305"/>
      <c r="AZ1133" s="222"/>
      <c r="BA1133" s="304"/>
      <c r="BB1133" s="305"/>
      <c r="BC1133" s="305"/>
      <c r="BD1133" s="305"/>
      <c r="BE1133" s="222"/>
      <c r="BF1133" s="304"/>
      <c r="BG1133" s="360"/>
      <c r="BH1133" s="305"/>
      <c r="BI1133" s="305"/>
      <c r="BJ1133" s="306"/>
      <c r="BK1133" s="304"/>
      <c r="BL1133" s="305"/>
      <c r="BM1133" s="305"/>
      <c r="BN1133" s="305"/>
      <c r="BO1133" s="306"/>
      <c r="BP1133" s="304"/>
      <c r="BQ1133" s="305"/>
      <c r="BR1133" s="305"/>
      <c r="BS1133" s="305"/>
      <c r="BT1133" s="306"/>
      <c r="BU1133" s="3434"/>
      <c r="BV1133" s="305"/>
      <c r="BW1133" s="305"/>
      <c r="BX1133" s="305"/>
      <c r="BY1133" s="305"/>
      <c r="BZ1133" s="304"/>
      <c r="CA1133" s="304"/>
      <c r="CB1133" s="304"/>
      <c r="CC1133" s="304"/>
      <c r="CD1133" s="304"/>
      <c r="CE1133" s="304"/>
      <c r="CF1133" s="304"/>
      <c r="CG1133" s="304"/>
      <c r="CH1133" s="305"/>
      <c r="CI1133" s="305"/>
      <c r="CJ1133" s="305"/>
      <c r="CK1133" s="305"/>
      <c r="CL1133" s="305"/>
      <c r="CM1133" s="305"/>
      <c r="CN1133" s="305"/>
      <c r="CO1133" s="305"/>
      <c r="CP1133" s="977" t="str">
        <f t="shared" ref="CP1133:CP1211" si="2176">A1133</f>
        <v>Ending Debt</v>
      </c>
      <c r="CQ1133" s="222"/>
      <c r="CR1133" s="222"/>
      <c r="CS1133" s="222"/>
      <c r="CT1133" s="222"/>
      <c r="CU1133" s="222"/>
      <c r="CV1133" s="222"/>
      <c r="CW1133" s="222"/>
      <c r="CX1133" s="222"/>
      <c r="CY1133" s="222"/>
      <c r="CZ1133" s="222"/>
      <c r="DA1133" s="222"/>
      <c r="DB1133" s="222"/>
      <c r="DC1133" s="222"/>
      <c r="DD1133" s="222"/>
      <c r="DE1133" s="222"/>
      <c r="DF1133" s="222"/>
      <c r="DG1133" s="1576"/>
      <c r="DH1133" s="222"/>
      <c r="DI1133" s="222"/>
      <c r="DJ1133" s="222"/>
      <c r="DK1133" s="222"/>
      <c r="DL1133" s="222"/>
      <c r="DM1133" s="222"/>
      <c r="DN1133" s="222"/>
      <c r="DO1133" s="226"/>
      <c r="DY1133" s="305"/>
      <c r="DZ1133" s="305"/>
    </row>
    <row r="1134" spans="1:130" ht="12" customHeight="1">
      <c r="A1134" s="895"/>
      <c r="B1134" s="242"/>
      <c r="C1134" s="242"/>
      <c r="D1134" s="360"/>
      <c r="E1134" s="871"/>
      <c r="F1134" s="871"/>
      <c r="G1134" s="871"/>
      <c r="H1134" s="302"/>
      <c r="I1134" s="305"/>
      <c r="J1134" s="871"/>
      <c r="K1134" s="871"/>
      <c r="L1134" s="871"/>
      <c r="M1134" s="302"/>
      <c r="N1134" s="305"/>
      <c r="O1134" s="871"/>
      <c r="P1134" s="871"/>
      <c r="Q1134" s="871"/>
      <c r="R1134" s="302"/>
      <c r="S1134" s="305"/>
      <c r="T1134" s="871"/>
      <c r="U1134" s="871"/>
      <c r="V1134" s="871"/>
      <c r="W1134" s="302"/>
      <c r="X1134" s="871"/>
      <c r="Y1134" s="871"/>
      <c r="Z1134" s="871"/>
      <c r="AA1134" s="899"/>
      <c r="AB1134" s="302"/>
      <c r="AC1134" s="871"/>
      <c r="AD1134" s="871"/>
      <c r="AE1134" s="871"/>
      <c r="AF1134" s="871"/>
      <c r="AG1134" s="302"/>
      <c r="AH1134" s="303"/>
      <c r="AI1134" s="303"/>
      <c r="AJ1134" s="303"/>
      <c r="AK1134" s="328"/>
      <c r="AL1134" s="304"/>
      <c r="AM1134" s="305"/>
      <c r="AN1134" s="305"/>
      <c r="AO1134" s="305"/>
      <c r="AP1134" s="1628"/>
      <c r="AQ1134" s="304"/>
      <c r="AR1134" s="305"/>
      <c r="AS1134" s="305"/>
      <c r="AT1134" s="305"/>
      <c r="AU1134" s="305"/>
      <c r="AV1134" s="304"/>
      <c r="AW1134" s="305"/>
      <c r="AX1134" s="305"/>
      <c r="AY1134" s="305"/>
      <c r="AZ1134" s="305"/>
      <c r="BA1134" s="304"/>
      <c r="BB1134" s="305"/>
      <c r="BC1134" s="305"/>
      <c r="BD1134" s="305"/>
      <c r="BE1134" s="305"/>
      <c r="BF1134" s="304"/>
      <c r="BG1134" s="360"/>
      <c r="BH1134" s="305"/>
      <c r="BI1134" s="305"/>
      <c r="BJ1134" s="306"/>
      <c r="BK1134" s="304"/>
      <c r="BL1134" s="305"/>
      <c r="BM1134" s="305"/>
      <c r="BN1134" s="305"/>
      <c r="BO1134" s="306"/>
      <c r="BP1134" s="304"/>
      <c r="BQ1134" s="305"/>
      <c r="BR1134" s="305"/>
      <c r="BS1134" s="305"/>
      <c r="BT1134" s="306"/>
      <c r="BU1134" s="3434"/>
      <c r="BV1134" s="305"/>
      <c r="BW1134" s="305"/>
      <c r="BX1134" s="305"/>
      <c r="BY1134" s="305"/>
      <c r="BZ1134" s="304"/>
      <c r="CA1134" s="304"/>
      <c r="CB1134" s="304"/>
      <c r="CC1134" s="304"/>
      <c r="CD1134" s="304"/>
      <c r="CE1134" s="304"/>
      <c r="CF1134" s="304"/>
      <c r="CG1134" s="304"/>
      <c r="CH1134" s="305"/>
      <c r="CI1134" s="305"/>
      <c r="CJ1134" s="305"/>
      <c r="CK1134" s="305"/>
      <c r="CL1134" s="305"/>
      <c r="CM1134" s="305"/>
      <c r="CN1134" s="305"/>
      <c r="CO1134" s="305"/>
      <c r="CP1134" s="1924"/>
      <c r="CQ1134" s="222"/>
      <c r="CR1134" s="222"/>
      <c r="CS1134" s="222"/>
      <c r="CT1134" s="222"/>
      <c r="CU1134" s="222"/>
      <c r="CV1134" s="222"/>
      <c r="CW1134" s="222"/>
      <c r="CX1134" s="222"/>
      <c r="CY1134" s="222"/>
      <c r="CZ1134" s="222"/>
      <c r="DA1134" s="222"/>
      <c r="DB1134" s="222"/>
      <c r="DC1134" s="222"/>
      <c r="DD1134" s="222"/>
      <c r="DE1134" s="222"/>
      <c r="DF1134" s="222"/>
      <c r="DG1134" s="1576"/>
      <c r="DH1134" s="222"/>
      <c r="DI1134" s="222"/>
      <c r="DJ1134" s="222"/>
      <c r="DK1134" s="222"/>
      <c r="DL1134" s="222"/>
      <c r="DM1134" s="222"/>
      <c r="DN1134" s="222"/>
      <c r="DO1134" s="226"/>
      <c r="DY1134" s="305"/>
      <c r="DZ1134" s="305"/>
    </row>
    <row r="1135" spans="1:130" ht="12" customHeight="1">
      <c r="A1135" s="445" t="s">
        <v>233</v>
      </c>
      <c r="B1135" s="242"/>
      <c r="C1135" s="242"/>
      <c r="D1135" s="900">
        <v>1.1211E-2</v>
      </c>
      <c r="E1135" s="901">
        <v>1.3093E-2</v>
      </c>
      <c r="F1135" s="901">
        <v>1.7558000000000001E-2</v>
      </c>
      <c r="G1135" s="901">
        <v>2.2988999999999999E-2</v>
      </c>
      <c r="H1135" s="902">
        <f>AVERAGE(D1135:G1135)</f>
        <v>1.6212749999999998E-2</v>
      </c>
      <c r="I1135" s="901">
        <v>2.8410000000000001E-2</v>
      </c>
      <c r="J1135" s="901">
        <v>3.286E-2</v>
      </c>
      <c r="K1135" s="901">
        <v>3.78E-2</v>
      </c>
      <c r="L1135" s="901">
        <v>4.3366700000000001E-2</v>
      </c>
      <c r="M1135" s="902">
        <f>AVERAGE(I1135:L1135)</f>
        <v>3.5609175E-2</v>
      </c>
      <c r="N1135" s="901">
        <v>4.7678999999999999E-2</v>
      </c>
      <c r="O1135" s="901">
        <v>5.2198000000000001E-2</v>
      </c>
      <c r="P1135" s="901">
        <v>5.4330158730158729E-2</v>
      </c>
      <c r="Q1135" s="901">
        <v>5.3688E-2</v>
      </c>
      <c r="R1135" s="902">
        <f>AVERAGE(N1135:Q1135)</f>
        <v>5.1973789682539684E-2</v>
      </c>
      <c r="S1135" s="901">
        <v>5.3554838709677498E-2</v>
      </c>
      <c r="T1135" s="901">
        <v>5.3589062500000097E-2</v>
      </c>
      <c r="U1135" s="901">
        <v>5.3920000000000003E-2</v>
      </c>
      <c r="V1135" s="901">
        <v>5.0306456249999992E-2</v>
      </c>
      <c r="W1135" s="902">
        <f>AVERAGE(U1135:V1135)</f>
        <v>5.2113228124999994E-2</v>
      </c>
      <c r="X1135" s="901">
        <v>3.2835723076923097E-2</v>
      </c>
      <c r="Y1135" s="901">
        <v>2.7508000000000001E-2</v>
      </c>
      <c r="Z1135" s="901">
        <v>2.9080000000000002E-2</v>
      </c>
      <c r="AA1135" s="901">
        <v>2.7224000000000002E-2</v>
      </c>
      <c r="AB1135" s="902">
        <f>AVERAGE(X1135:AA1135)</f>
        <v>2.9161930769230772E-2</v>
      </c>
      <c r="AC1135" s="903">
        <v>1.24E-2</v>
      </c>
      <c r="AD1135" s="903">
        <v>8.4779999999999994E-3</v>
      </c>
      <c r="AE1135" s="903">
        <v>4.1260000000000003E-3</v>
      </c>
      <c r="AF1135" s="903">
        <v>2.6809999999999998E-3</v>
      </c>
      <c r="AG1135" s="902">
        <f>AVERAGE(AC1135:AF1135)</f>
        <v>6.9212500000000003E-3</v>
      </c>
      <c r="AH1135" s="901">
        <v>2.5000000000000001E-3</v>
      </c>
      <c r="AI1135" s="901">
        <v>3.7499999999999999E-3</v>
      </c>
      <c r="AJ1135" s="901">
        <v>3.0000000000000001E-3</v>
      </c>
      <c r="AK1135" s="901">
        <v>3.0000000000000001E-3</v>
      </c>
      <c r="AL1135" s="902">
        <f>AVERAGE(AH1135:AK1135)</f>
        <v>3.0625000000000001E-3</v>
      </c>
      <c r="AM1135" s="901">
        <v>2.5000000000000001E-3</v>
      </c>
      <c r="AN1135" s="901">
        <v>2.5000000000000001E-3</v>
      </c>
      <c r="AO1135" s="901">
        <v>3.3E-3</v>
      </c>
      <c r="AP1135" s="901">
        <v>5.0000000000000001E-3</v>
      </c>
      <c r="AQ1135" s="902">
        <f>AVERAGE(AM1135:AP1135)</f>
        <v>3.3249999999999998E-3</v>
      </c>
      <c r="AR1135" s="901">
        <v>5.0000000000000001E-3</v>
      </c>
      <c r="AS1135" s="901">
        <v>5.0000000000000001E-3</v>
      </c>
      <c r="AT1135" s="901">
        <v>5.0000000000000001E-3</v>
      </c>
      <c r="AU1135" s="901">
        <v>5.0000000000000001E-3</v>
      </c>
      <c r="AV1135" s="902">
        <f>AVERAGE(AR1135:AU1135)</f>
        <v>5.0000000000000001E-3</v>
      </c>
      <c r="AW1135" s="901">
        <v>5.0000000000000001E-3</v>
      </c>
      <c r="AX1135" s="901">
        <v>5.0000000000000001E-3</v>
      </c>
      <c r="AY1135" s="901">
        <v>5.0000000000000001E-3</v>
      </c>
      <c r="AZ1135" s="901">
        <v>5.0000000000000001E-3</v>
      </c>
      <c r="BA1135" s="902">
        <f>AVERAGE(AW1135:AZ1135)</f>
        <v>5.0000000000000001E-3</v>
      </c>
      <c r="BB1135" s="901">
        <v>3.2500000000000003E-3</v>
      </c>
      <c r="BC1135" s="901">
        <v>3.2500000000000003E-3</v>
      </c>
      <c r="BD1135" s="901">
        <v>3.2500000000000003E-3</v>
      </c>
      <c r="BE1135" s="901">
        <v>3.2500000000000003E-3</v>
      </c>
      <c r="BF1135" s="902">
        <f>AVERAGE(BB1135:BE1135)</f>
        <v>3.2500000000000003E-3</v>
      </c>
      <c r="BG1135" s="900">
        <v>3.7499999999999999E-3</v>
      </c>
      <c r="BH1135" s="901">
        <v>3.7499999999999999E-3</v>
      </c>
      <c r="BI1135" s="901">
        <v>3.7499999999999999E-3</v>
      </c>
      <c r="BJ1135" s="2988">
        <v>6.2500000000000003E-3</v>
      </c>
      <c r="BK1135" s="902">
        <f>AVERAGE(BG1135:BJ1135)</f>
        <v>4.3750000000000004E-3</v>
      </c>
      <c r="BL1135" s="901">
        <v>6.2500000000000003E-3</v>
      </c>
      <c r="BM1135" s="901">
        <v>6.2500000000000003E-3</v>
      </c>
      <c r="BN1135" s="901">
        <v>6.2500000000000003E-3</v>
      </c>
      <c r="BO1135" s="901">
        <v>8.7500000000000008E-3</v>
      </c>
      <c r="BP1135" s="902">
        <f>AVERAGE(BL1135:BO1135)</f>
        <v>6.8750000000000009E-3</v>
      </c>
      <c r="BQ1135" s="901">
        <v>1.125E-2</v>
      </c>
      <c r="BR1135" s="901">
        <v>1.375E-2</v>
      </c>
      <c r="BS1135" s="901">
        <v>1.375E-2</v>
      </c>
      <c r="BT1135" s="901">
        <v>1.6250000000000001E-2</v>
      </c>
      <c r="BU1135" s="3443">
        <f>AVERAGE(BQ1135:BT1135)</f>
        <v>1.375E-2</v>
      </c>
      <c r="BV1135" s="901">
        <v>1.8749999999999999E-2</v>
      </c>
      <c r="BW1135" s="901">
        <v>2.1250000000000002E-2</v>
      </c>
      <c r="BX1135" s="901">
        <v>2.375E-2</v>
      </c>
      <c r="BY1135" s="901">
        <v>2.6249999999999999E-2</v>
      </c>
      <c r="BZ1135" s="3443">
        <f>AVERAGE(BV1135:BY1135)</f>
        <v>2.2499999999999999E-2</v>
      </c>
      <c r="CA1135" s="3251">
        <f>+BY1135+0.0025</f>
        <v>2.8749999999999998E-2</v>
      </c>
      <c r="CB1135" s="3251">
        <f>+CA1135+0.0025</f>
        <v>3.1249999999999997E-2</v>
      </c>
      <c r="CC1135" s="3207">
        <f>+CB1135</f>
        <v>3.1249999999999997E-2</v>
      </c>
      <c r="CD1135" s="3207">
        <f>+CC1135</f>
        <v>3.1249999999999997E-2</v>
      </c>
      <c r="CE1135" s="3207">
        <f>+CD1135</f>
        <v>3.1249999999999997E-2</v>
      </c>
      <c r="CF1135" s="3207">
        <f>+CE1135</f>
        <v>3.1249999999999997E-2</v>
      </c>
      <c r="CG1135" s="3207">
        <f>+CF1135</f>
        <v>3.1249999999999997E-2</v>
      </c>
      <c r="CH1135" s="904"/>
      <c r="CI1135" s="904"/>
      <c r="CJ1135" s="904"/>
      <c r="CK1135" s="904"/>
      <c r="CL1135" s="904"/>
      <c r="CM1135" s="904"/>
      <c r="CN1135" s="904"/>
      <c r="CO1135" s="904"/>
      <c r="CP1135" s="981" t="str">
        <f t="shared" si="2176"/>
        <v>LIBOR</v>
      </c>
      <c r="CQ1135" s="904">
        <f t="shared" ref="CQ1135:CQ1211" si="2177">H1135</f>
        <v>1.6212749999999998E-2</v>
      </c>
      <c r="CR1135" s="904">
        <f t="shared" ref="CR1135:CR1211" si="2178">M1135</f>
        <v>3.5609175E-2</v>
      </c>
      <c r="CS1135" s="904">
        <f t="shared" ref="CS1135:CS1211" si="2179">R1135</f>
        <v>5.1973789682539684E-2</v>
      </c>
      <c r="CT1135" s="904">
        <f t="shared" ref="CT1135:CT1211" si="2180">W1135</f>
        <v>5.2113228124999994E-2</v>
      </c>
      <c r="CU1135" s="904">
        <f t="shared" ref="CU1135:CU1211" si="2181">AB1135</f>
        <v>2.9161930769230772E-2</v>
      </c>
      <c r="CV1135" s="904">
        <f t="shared" ref="CV1135:CV1211" si="2182">AG1135</f>
        <v>6.9212500000000003E-3</v>
      </c>
      <c r="CW1135" s="904">
        <f t="shared" ref="CW1135:CW1211" si="2183">AL1135</f>
        <v>3.0625000000000001E-3</v>
      </c>
      <c r="CX1135" s="904">
        <f t="shared" ref="CX1135:CX1211" si="2184">AQ1135</f>
        <v>3.3249999999999998E-3</v>
      </c>
      <c r="CY1135" s="904">
        <f t="shared" ref="CY1135:CY1211" si="2185">AV1135</f>
        <v>5.0000000000000001E-3</v>
      </c>
      <c r="CZ1135" s="904">
        <f t="shared" ref="CZ1135:CZ1211" si="2186">BA1135</f>
        <v>5.0000000000000001E-3</v>
      </c>
      <c r="DA1135" s="904">
        <f t="shared" ref="DA1135:DA1211" si="2187">BF1135</f>
        <v>3.2500000000000003E-3</v>
      </c>
      <c r="DB1135" s="904">
        <f t="shared" ref="DB1135:DB1211" si="2188">BK1135</f>
        <v>4.3750000000000004E-3</v>
      </c>
      <c r="DC1135" s="904">
        <f t="shared" ref="DC1135:DC1211" si="2189">BP1135</f>
        <v>6.8750000000000009E-3</v>
      </c>
      <c r="DD1135" s="904">
        <f t="shared" ref="DD1135:DD1211" si="2190">BU1135</f>
        <v>1.375E-2</v>
      </c>
      <c r="DE1135" s="904">
        <f t="shared" ref="DE1135:DE1211" si="2191">BZ1135</f>
        <v>2.2499999999999999E-2</v>
      </c>
      <c r="DF1135" s="904">
        <f t="shared" ref="DF1135:DF1211" si="2192">CA1135</f>
        <v>2.8749999999999998E-2</v>
      </c>
      <c r="DG1135" s="1925">
        <f t="shared" ref="DG1135:DG1211" si="2193">CB1135</f>
        <v>3.1249999999999997E-2</v>
      </c>
      <c r="DH1135" s="222"/>
      <c r="DI1135" s="222"/>
      <c r="DJ1135" s="222"/>
      <c r="DK1135" s="222"/>
      <c r="DL1135" s="222"/>
      <c r="DM1135" s="222"/>
      <c r="DN1135" s="222"/>
      <c r="DO1135" s="226"/>
      <c r="DY1135" s="906"/>
      <c r="DZ1135" s="906"/>
    </row>
    <row r="1136" spans="1:130" ht="12" customHeight="1">
      <c r="A1136" s="445" t="s">
        <v>234</v>
      </c>
      <c r="B1136" s="242"/>
      <c r="C1136" s="242"/>
      <c r="D1136" s="905">
        <f>D1135+$B1138</f>
        <v>2.1211000000000001E-2</v>
      </c>
      <c r="E1136" s="906">
        <f>E1135+$B1138</f>
        <v>2.3093000000000002E-2</v>
      </c>
      <c r="F1136" s="906">
        <f>F1135+$B1138</f>
        <v>2.7557999999999999E-2</v>
      </c>
      <c r="G1136" s="906">
        <f>G1135+$B1138</f>
        <v>3.2988999999999997E-2</v>
      </c>
      <c r="H1136" s="902">
        <f>AVERAGE(D1136:G1136)</f>
        <v>2.621275E-2</v>
      </c>
      <c r="I1136" s="906">
        <f>I1135+$B1138</f>
        <v>3.841E-2</v>
      </c>
      <c r="J1136" s="906">
        <f>J1135+$B1138</f>
        <v>4.2860000000000002E-2</v>
      </c>
      <c r="K1136" s="906">
        <f>K1135+$B1138</f>
        <v>4.7800000000000002E-2</v>
      </c>
      <c r="L1136" s="906">
        <f>L1135+$B1138</f>
        <v>5.3366700000000003E-2</v>
      </c>
      <c r="M1136" s="902">
        <f>AVERAGE(I1136:L1136)</f>
        <v>4.5609175000000002E-2</v>
      </c>
      <c r="N1136" s="906">
        <f>N1135+$B1138</f>
        <v>5.7679000000000001E-2</v>
      </c>
      <c r="O1136" s="906">
        <f>O1135+$B1138</f>
        <v>6.2198000000000003E-2</v>
      </c>
      <c r="P1136" s="906">
        <f>P1135+$B1138</f>
        <v>6.4330158730158724E-2</v>
      </c>
      <c r="Q1136" s="906">
        <f>Q1135+$B1138</f>
        <v>6.3687999999999995E-2</v>
      </c>
      <c r="R1136" s="902">
        <f>AVERAGE(N1136:Q1136)</f>
        <v>6.1973789682539686E-2</v>
      </c>
      <c r="S1136" s="906">
        <f>S1135+$B1138</f>
        <v>6.35548387096775E-2</v>
      </c>
      <c r="T1136" s="906">
        <f>T1135+$B1138</f>
        <v>6.3589062500000099E-2</v>
      </c>
      <c r="U1136" s="906">
        <f>U1135+$B1139+IF(U1281&gt;3.5,0.0025,0)+IF(U1281&gt;4,0.00125,0)+IF(U1281&gt;4.5,0.00125,0)+IF(U1281&gt;5,0.0025,0)+IF(U1281&gt;5.5,0.0025,0)</f>
        <v>8.8919999999999999E-2</v>
      </c>
      <c r="V1136" s="906">
        <f>V1135+$B1139+IF(V1281&gt;3.5,0.0025,0)+IF(V1281&gt;4,0.00125,0)+IF(V1281&gt;4.5,0.00125,0)+IF(V1281&gt;5,0.0025,0)+IF(V1281&gt;5.5,0.0025,0)</f>
        <v>8.5306456249999996E-2</v>
      </c>
      <c r="W1136" s="902">
        <f>AVERAGE(S1136:V1136)</f>
        <v>7.5342589364919402E-2</v>
      </c>
      <c r="X1136" s="906">
        <f>X1135+$B1139+IF(X1281&gt;3.5,0.0025,0)+IF(X1281&gt;4,0.00125,0)+IF(X1281&gt;4.5,0.00125,0)+IF(X1281&gt;5,0.0025,0)+IF(X1281&gt;5.5,0.0025,0)</f>
        <v>6.7835723076923093E-2</v>
      </c>
      <c r="Y1136" s="906">
        <f>Y1135+$B1139+IF(Y1281&gt;3.5,0.0025,0)+IF(Y1281&gt;4,0.00125,0)+IF(Y1281&gt;4.5,0.00125,0)+IF(Y1281&gt;5,0.0025,0)+IF(Y1281&gt;5.5,0.0025,0)</f>
        <v>6.2508000000000008E-2</v>
      </c>
      <c r="Z1136" s="906">
        <f>Z1135+$B1139+IF(Z1281&gt;3.5,0.0025,0)+IF(Z1281&gt;4,0.00125,0)+IF(Z1281&gt;4.5,0.00125,0)+IF(Z1281&gt;5,0.0025,0)+IF(Z1281&gt;5.5,0.0025,0)</f>
        <v>6.4079999999999998E-2</v>
      </c>
      <c r="AA1136" s="906">
        <f>AA1135+$B1139+IF(AA1281&gt;3.5,0.0025,0)+IF(AA1281&gt;4,0.00125,0)+IF(AA1281&gt;4.5,0.00125,0)+IF(AA1281&gt;5,0.0025,0)+IF(AA1281&gt;5.5,0.0025,0)</f>
        <v>6.2224000000000002E-2</v>
      </c>
      <c r="AB1136" s="902">
        <f>AVERAGE(X1136:AA1136)</f>
        <v>6.4161930769230768E-2</v>
      </c>
      <c r="AC1136" s="906">
        <f>AC1135+$B1139+IF(AC1281&gt;3.5,0.0025,0)+IF(AC1281&gt;4,0.00125,0)+IF(AC1281&gt;4.5,0.00125,0)+IF(AC1281&gt;5,0.0025,0)+IF(AC1281&gt;5.5,0.0025,0)</f>
        <v>4.7400000000000005E-2</v>
      </c>
      <c r="AD1136" s="906">
        <f>AD1135+$B1139+IF(AD1281&gt;3.5,0.0025,0)+IF(AD1281&gt;4,0.00125,0)+IF(AD1281&gt;4.5,0.00125,0)+IF(AD1281&gt;5,0.0025,0)+IF(AD1281&gt;5.5,0.0025,0)</f>
        <v>4.3478000000000003E-2</v>
      </c>
      <c r="AE1136" s="906">
        <f>AE1135+$B1139+IF(AE1281&gt;3.5,0.0025,0)+IF(AE1281&gt;4,0.00125,0)+IF(AE1281&gt;4.5,0.00125,0)+IF(AE1281&gt;5,0.0025,0)+IF(AE1281&gt;5.5,0.0025,0)</f>
        <v>3.9126000000000001E-2</v>
      </c>
      <c r="AF1136" s="906">
        <f>AF1135+$B1139+IF(AF1281&gt;3.5,0.0025,0)+IF(AF1281&gt;4,0.00125,0)+IF(AF1281&gt;4.5,0.00125,0)+IF(AF1281&gt;5,0.0025,0)+IF(AF1281&gt;5.5,0.0025,0)</f>
        <v>3.7681000000000006E-2</v>
      </c>
      <c r="AG1136" s="902">
        <f>AVERAGE(AC1136:AF1136)</f>
        <v>4.1921250000000007E-2</v>
      </c>
      <c r="AH1136" s="906">
        <f>AH1135+$B1139+IF(AG1281&gt;3.5,0.0025,0)+IF(AG1281&gt;4,0.00125,0)+IF(AG1281&gt;4.5,0.00125,0)+IF(AG1281&gt;5,0.0025,0)+IF(AG1281&gt;5.5,0.0025,0)</f>
        <v>3.7500000000000006E-2</v>
      </c>
      <c r="AI1136" s="906">
        <f>AI1135+$B1139+IF(AH1281&gt;3.5,0.0025,0)+IF(AH1281&gt;4,0.00125,0)+IF(AH1281&gt;4.5,0.00125,0)+IF(AH1281&gt;5,0.0025,0)+IF(AH1281&gt;5.5,0.0025,0)</f>
        <v>3.8750000000000007E-2</v>
      </c>
      <c r="AJ1136" s="906">
        <f>AJ1135+$B1139+IF(AI1281&gt;3.5,0.0025,0)+IF(AI1281&gt;4,0.00125,0)+IF(AI1281&gt;4.5,0.00125,0)+IF(AI1281&gt;5,0.0025,0)+IF(AI1281&gt;5.5,0.0025,0)</f>
        <v>3.8000000000000006E-2</v>
      </c>
      <c r="AK1136" s="906">
        <f>AK1135+$B1139+IF(AJ1281&gt;3.5,0.0025,0)+IF(AJ1281&gt;4,0.00125,0)+IF(AJ1281&gt;4.5,0.00125,0)+IF(AJ1281&gt;5,0.0025,0)+IF(AJ1281&gt;5.5,0.0025,0)</f>
        <v>3.8000000000000006E-2</v>
      </c>
      <c r="AL1136" s="902">
        <f>AVERAGE(AH1136:AK1136)</f>
        <v>3.8062500000000006E-2</v>
      </c>
      <c r="AM1136" s="906">
        <f>AM1135+$B1139+IF(AL1281&gt;3.5,0.0025,0)+IF(AL1281&gt;4,0.00125,0)+IF(AL1281&gt;4.5,0.00125,0)+IF(AL1281&gt;5,0.0025,0)+IF(AL1281&gt;5.5,0.0025,0)</f>
        <v>3.7500000000000006E-2</v>
      </c>
      <c r="AN1136" s="906">
        <f>AN1135+$B1139+IF(AM1281&gt;4.5,0.0025,0)+IF(AM1281&gt;5,0.0025,0)+IF(AM1281&gt;5.5,0.0025,0)+IF(AM1281&gt;6,0.0025,0)</f>
        <v>4.7500000000000014E-2</v>
      </c>
      <c r="AO1136" s="906">
        <f>AO1135+$B1139+IF(AN1281&gt;3.5,0.0025,0)+IF(AN1281&gt;4,0.00125,0)+IF(AN1281&gt;4.5,0.00125,0)+IF(AN1281&gt;5,0.0025,0)+IF(AN1281&gt;5.5,0.0025,0)</f>
        <v>4.830000000000001E-2</v>
      </c>
      <c r="AP1136" s="906">
        <f>AP1135+$B1139+IF(AO1281&gt;3.5,0.0025,0)+IF(AO1281&gt;4,0.00125,0)+IF(AO1281&gt;4.5,0.00125,0)+IF(AO1281&gt;5,0.0025,0)+IF(AO1281&gt;5.5,0.0025,0)</f>
        <v>5.000000000000001E-2</v>
      </c>
      <c r="AQ1136" s="902">
        <f>AVERAGE(AM1136:AP1136)</f>
        <v>4.5825000000000012E-2</v>
      </c>
      <c r="AR1136" s="906"/>
      <c r="AS1136" s="906"/>
      <c r="AT1136" s="906"/>
      <c r="AU1136" s="906"/>
      <c r="AV1136" s="902">
        <f>AV1135+$B1139+IF(AQ1281&gt;3.5,0.0025,0)+IF(AQ1281&gt;4,0.00125,0)+IF(AQ1281&gt;4.5,0.00125,0)+IF(AQ1281&gt;5,0.0025,0)+IF(AQ1281&gt;5.5,0.0025,0)</f>
        <v>0.04</v>
      </c>
      <c r="AW1136" s="906"/>
      <c r="AX1136" s="906"/>
      <c r="AY1136" s="906"/>
      <c r="AZ1136" s="906"/>
      <c r="BA1136" s="902">
        <f>BA1135+$B1139+IF(AV1281&gt;3.5,0.0025,0)+IF(AV1281&gt;4,0.00125,0)+IF(AV1281&gt;4.5,0.00125,0)+IF(AV1281&gt;5,0.0025,0)+IF(AV1281&gt;5.5,0.0025,0)</f>
        <v>0.04</v>
      </c>
      <c r="BB1136" s="906"/>
      <c r="BC1136" s="906"/>
      <c r="BD1136" s="906"/>
      <c r="BE1136" s="906"/>
      <c r="BF1136" s="902">
        <f>BF1135+$B1139+IF(BA1281&gt;3.5,0.0025,0)+IF(BA1281&gt;4,0.00125,0)+IF(BA1281&gt;4.5,0.00125,0)+IF(BA1281&gt;5,0.0025,0)+IF(BA1281&gt;5.5,0.0025,0)</f>
        <v>3.8250000000000006E-2</v>
      </c>
      <c r="BG1136" s="905"/>
      <c r="BH1136" s="906"/>
      <c r="BI1136" s="906"/>
      <c r="BJ1136" s="1926"/>
      <c r="BK1136" s="902"/>
      <c r="BL1136" s="906"/>
      <c r="BM1136" s="906"/>
      <c r="BN1136" s="906"/>
      <c r="BO1136" s="1926"/>
      <c r="BP1136" s="902"/>
      <c r="BQ1136" s="906"/>
      <c r="BR1136" s="906"/>
      <c r="BS1136" s="906"/>
      <c r="BT1136" s="1926"/>
      <c r="BU1136" s="3443"/>
      <c r="BV1136" s="906"/>
      <c r="BW1136" s="906"/>
      <c r="BX1136" s="906"/>
      <c r="BY1136" s="906"/>
      <c r="BZ1136" s="902"/>
      <c r="CA1136" s="902"/>
      <c r="CB1136" s="902"/>
      <c r="CC1136" s="902"/>
      <c r="CD1136" s="902"/>
      <c r="CE1136" s="902"/>
      <c r="CF1136" s="902"/>
      <c r="CG1136" s="902"/>
      <c r="CH1136" s="906"/>
      <c r="CI1136" s="906"/>
      <c r="CJ1136" s="906"/>
      <c r="CK1136" s="906"/>
      <c r="CL1136" s="906"/>
      <c r="CM1136" s="906"/>
      <c r="CN1136" s="906"/>
      <c r="CO1136" s="906"/>
      <c r="CP1136" s="981" t="str">
        <f t="shared" si="2176"/>
        <v>Interest on Revolver</v>
      </c>
      <c r="CQ1136" s="906">
        <f t="shared" si="2177"/>
        <v>2.621275E-2</v>
      </c>
      <c r="CR1136" s="906">
        <f t="shared" si="2178"/>
        <v>4.5609175000000002E-2</v>
      </c>
      <c r="CS1136" s="906">
        <f t="shared" si="2179"/>
        <v>6.1973789682539686E-2</v>
      </c>
      <c r="CT1136" s="906">
        <f t="shared" si="2180"/>
        <v>7.5342589364919402E-2</v>
      </c>
      <c r="CU1136" s="906">
        <f t="shared" si="2181"/>
        <v>6.4161930769230768E-2</v>
      </c>
      <c r="CV1136" s="906">
        <f t="shared" si="2182"/>
        <v>4.1921250000000007E-2</v>
      </c>
      <c r="CW1136" s="906">
        <f t="shared" si="2183"/>
        <v>3.8062500000000006E-2</v>
      </c>
      <c r="CX1136" s="906">
        <f t="shared" si="2184"/>
        <v>4.5825000000000012E-2</v>
      </c>
      <c r="CY1136" s="906">
        <f t="shared" si="2185"/>
        <v>0.04</v>
      </c>
      <c r="CZ1136" s="906">
        <f t="shared" si="2186"/>
        <v>0.04</v>
      </c>
      <c r="DA1136" s="906">
        <f t="shared" si="2187"/>
        <v>3.8250000000000006E-2</v>
      </c>
      <c r="DB1136" s="906">
        <f t="shared" si="2188"/>
        <v>0</v>
      </c>
      <c r="DC1136" s="906">
        <f t="shared" si="2189"/>
        <v>0</v>
      </c>
      <c r="DD1136" s="906">
        <f t="shared" si="2190"/>
        <v>0</v>
      </c>
      <c r="DE1136" s="906">
        <f t="shared" si="2191"/>
        <v>0</v>
      </c>
      <c r="DF1136" s="906">
        <f t="shared" si="2192"/>
        <v>0</v>
      </c>
      <c r="DG1136" s="1926">
        <f t="shared" si="2193"/>
        <v>0</v>
      </c>
      <c r="DH1136" s="222"/>
      <c r="DI1136" s="222"/>
      <c r="DJ1136" s="222"/>
      <c r="DK1136" s="222"/>
      <c r="DL1136" s="222"/>
      <c r="DM1136" s="222"/>
      <c r="DN1136" s="222"/>
      <c r="DO1136" s="226"/>
      <c r="DY1136" s="906"/>
      <c r="DZ1136" s="906"/>
    </row>
    <row r="1137" spans="1:130" ht="12" customHeight="1">
      <c r="A1137" s="445"/>
      <c r="B1137" s="242"/>
      <c r="C1137" s="242"/>
      <c r="D1137" s="360"/>
      <c r="E1137" s="871"/>
      <c r="F1137" s="871"/>
      <c r="G1137" s="871"/>
      <c r="H1137" s="302"/>
      <c r="I1137" s="305"/>
      <c r="J1137" s="871"/>
      <c r="K1137" s="871"/>
      <c r="L1137" s="871"/>
      <c r="M1137" s="302"/>
      <c r="N1137" s="305"/>
      <c r="O1137" s="871"/>
      <c r="P1137" s="871"/>
      <c r="Q1137" s="871"/>
      <c r="R1137" s="302"/>
      <c r="S1137" s="305"/>
      <c r="T1137" s="871"/>
      <c r="U1137" s="871"/>
      <c r="V1137" s="871"/>
      <c r="W1137" s="302"/>
      <c r="X1137" s="871"/>
      <c r="Y1137" s="871"/>
      <c r="Z1137" s="889"/>
      <c r="AA1137" s="871"/>
      <c r="AB1137" s="302"/>
      <c r="AC1137" s="871"/>
      <c r="AD1137" s="871"/>
      <c r="AE1137" s="871"/>
      <c r="AF1137" s="871"/>
      <c r="AG1137" s="302"/>
      <c r="AH1137" s="303"/>
      <c r="AI1137" s="901"/>
      <c r="AJ1137" s="303"/>
      <c r="AK1137" s="303"/>
      <c r="AL1137" s="304"/>
      <c r="AM1137" s="305"/>
      <c r="AN1137" s="305"/>
      <c r="AO1137" s="305"/>
      <c r="AP1137" s="305"/>
      <c r="AQ1137" s="304"/>
      <c r="AR1137" s="305"/>
      <c r="AS1137" s="305"/>
      <c r="AT1137" s="305"/>
      <c r="AU1137" s="305"/>
      <c r="AV1137" s="304"/>
      <c r="AW1137" s="305"/>
      <c r="AX1137" s="305"/>
      <c r="AY1137" s="305"/>
      <c r="AZ1137" s="305"/>
      <c r="BA1137" s="304"/>
      <c r="BB1137" s="305"/>
      <c r="BC1137" s="305"/>
      <c r="BD1137" s="305"/>
      <c r="BE1137" s="305"/>
      <c r="BF1137" s="304"/>
      <c r="BG1137" s="360"/>
      <c r="BH1137" s="305"/>
      <c r="BI1137" s="305"/>
      <c r="BJ1137" s="306"/>
      <c r="BK1137" s="304"/>
      <c r="BL1137" s="305"/>
      <c r="BM1137" s="305"/>
      <c r="BN1137" s="305"/>
      <c r="BO1137" s="306"/>
      <c r="BP1137" s="304"/>
      <c r="BQ1137" s="305"/>
      <c r="BR1137" s="305"/>
      <c r="BS1137" s="305"/>
      <c r="BT1137" s="306"/>
      <c r="BU1137" s="3434"/>
      <c r="BV1137" s="305"/>
      <c r="BW1137" s="305"/>
      <c r="BX1137" s="305"/>
      <c r="BY1137" s="305"/>
      <c r="BZ1137" s="304"/>
      <c r="CA1137" s="304"/>
      <c r="CB1137" s="304"/>
      <c r="CC1137" s="304"/>
      <c r="CD1137" s="304"/>
      <c r="CE1137" s="304"/>
      <c r="CF1137" s="304"/>
      <c r="CG1137" s="304"/>
      <c r="CH1137" s="248"/>
      <c r="CI1137" s="1375" t="s">
        <v>1244</v>
      </c>
      <c r="CJ1137" s="305"/>
      <c r="CK1137" s="305"/>
      <c r="CL1137" s="305"/>
      <c r="CM1137" s="305"/>
      <c r="CN1137" s="305"/>
      <c r="CO1137" s="305"/>
      <c r="CP1137" s="981"/>
      <c r="CQ1137" s="222"/>
      <c r="CR1137" s="222"/>
      <c r="CS1137" s="222"/>
      <c r="CT1137" s="222"/>
      <c r="CU1137" s="222"/>
      <c r="CV1137" s="222"/>
      <c r="CW1137" s="222"/>
      <c r="CX1137" s="222"/>
      <c r="CY1137" s="222"/>
      <c r="CZ1137" s="222"/>
      <c r="DA1137" s="222"/>
      <c r="DB1137" s="222"/>
      <c r="DC1137" s="222"/>
      <c r="DD1137" s="222"/>
      <c r="DE1137" s="222"/>
      <c r="DF1137" s="222"/>
      <c r="DG1137" s="1576"/>
      <c r="DH1137" s="222"/>
      <c r="DI1137" s="222"/>
      <c r="DJ1137" s="222"/>
      <c r="DK1137" s="222"/>
      <c r="DL1137" s="222"/>
      <c r="DM1137" s="222"/>
      <c r="DN1137" s="222"/>
      <c r="DO1137" s="226"/>
      <c r="DY1137" s="305"/>
      <c r="DZ1137" s="305"/>
    </row>
    <row r="1138" spans="1:130" ht="12" customHeight="1">
      <c r="A1138" s="896" t="s">
        <v>334</v>
      </c>
      <c r="B1138" s="907">
        <v>0.01</v>
      </c>
      <c r="C1138" s="907"/>
      <c r="D1138" s="329">
        <f>AVERAGE(D1082:D1082)*D1136/4</f>
        <v>1.6662672242499998</v>
      </c>
      <c r="E1138" s="347">
        <f>AVERAGE(D1082:E1082)*E1136/4</f>
        <v>1.3606539931250006</v>
      </c>
      <c r="F1138" s="347">
        <f>F1082*F1136/4</f>
        <v>7.376780555999999</v>
      </c>
      <c r="G1138" s="347">
        <f>AVERAGE(F1082:G1082)*G1136/4</f>
        <v>9.2811582489999989</v>
      </c>
      <c r="H1138" s="585">
        <f>SUM(D1138:G1138)</f>
        <v>19.684860022374998</v>
      </c>
      <c r="I1138" s="347">
        <f>AVERAGE(H1082:I1082)*I1136/4</f>
        <v>11.105291250000001</v>
      </c>
      <c r="J1138" s="347">
        <f>AVERAGE(I1082:J1082)*J1136/4</f>
        <v>12.672844800000002</v>
      </c>
      <c r="K1138" s="347">
        <f>(J1082+2*K1082)/3*K1136/4</f>
        <v>16.548519333333335</v>
      </c>
      <c r="L1138" s="347">
        <f>AVERAGE(K1082:L1082)*L1136/4</f>
        <v>20.598212032500001</v>
      </c>
      <c r="M1138" s="585">
        <f>SUM(I1138:L1138)</f>
        <v>60.924867415833333</v>
      </c>
      <c r="N1138" s="347">
        <f>(M1082+N1082*2)/3*N1136/4</f>
        <v>21.531628379000001</v>
      </c>
      <c r="O1138" s="347">
        <f>AVERAGE(N1082:O1082)*O1136/4</f>
        <v>22.179900097000001</v>
      </c>
      <c r="P1138" s="347">
        <f>AVERAGE(O1082:P1082)*P1136/4</f>
        <v>22.763274914285713</v>
      </c>
      <c r="Q1138" s="347">
        <f>AVERAGE(P1082:Q1082)*Q1136/4</f>
        <v>18.928869699999996</v>
      </c>
      <c r="R1138" s="585">
        <f>SUM(N1138:Q1138)</f>
        <v>85.403673090285707</v>
      </c>
      <c r="S1138" s="347">
        <f>AVERAGE(R1082:S1082)*S1136/4</f>
        <v>15.6469550153226</v>
      </c>
      <c r="T1138" s="347">
        <f>AVERAGE(T1082)*T1136/4</f>
        <v>20.679163125000031</v>
      </c>
      <c r="U1138" s="347"/>
      <c r="V1138" s="347"/>
      <c r="W1138" s="585">
        <f t="shared" ref="W1138:W1154" si="2194">SUM(S1138:V1138)</f>
        <v>36.326118140322635</v>
      </c>
      <c r="X1138" s="347"/>
      <c r="Y1138" s="347"/>
      <c r="Z1138" s="347"/>
      <c r="AA1138" s="347"/>
      <c r="AB1138" s="585"/>
      <c r="AC1138" s="347"/>
      <c r="AD1138" s="347"/>
      <c r="AE1138" s="347"/>
      <c r="AF1138" s="347"/>
      <c r="AG1138" s="585"/>
      <c r="AH1138" s="621"/>
      <c r="AI1138" s="621"/>
      <c r="AJ1138" s="621"/>
      <c r="AK1138" s="621"/>
      <c r="AL1138" s="585"/>
      <c r="AM1138" s="621"/>
      <c r="AN1138" s="621"/>
      <c r="AO1138" s="621"/>
      <c r="AP1138" s="621"/>
      <c r="AQ1138" s="585"/>
      <c r="AR1138" s="621"/>
      <c r="AS1138" s="621"/>
      <c r="AT1138" s="621"/>
      <c r="AU1138" s="621"/>
      <c r="AV1138" s="346"/>
      <c r="AW1138" s="621"/>
      <c r="AX1138" s="621"/>
      <c r="AY1138" s="621"/>
      <c r="AZ1138" s="621"/>
      <c r="BA1138" s="346"/>
      <c r="BB1138" s="621"/>
      <c r="BC1138" s="621"/>
      <c r="BD1138" s="621"/>
      <c r="BE1138" s="621"/>
      <c r="BF1138" s="346"/>
      <c r="BG1138" s="329"/>
      <c r="BH1138" s="347"/>
      <c r="BI1138" s="347"/>
      <c r="BJ1138" s="1795"/>
      <c r="BK1138" s="346"/>
      <c r="BL1138" s="347"/>
      <c r="BM1138" s="347"/>
      <c r="BN1138" s="347"/>
      <c r="BO1138" s="1795"/>
      <c r="BP1138" s="346"/>
      <c r="BQ1138" s="347"/>
      <c r="BR1138" s="347"/>
      <c r="BS1138" s="347"/>
      <c r="BT1138" s="1795"/>
      <c r="BU1138" s="3352"/>
      <c r="BV1138" s="347"/>
      <c r="BW1138" s="347"/>
      <c r="BX1138" s="347"/>
      <c r="BY1138" s="347"/>
      <c r="BZ1138" s="346"/>
      <c r="CA1138" s="346"/>
      <c r="CB1138" s="346"/>
      <c r="CC1138" s="346"/>
      <c r="CD1138" s="346"/>
      <c r="CE1138" s="346"/>
      <c r="CF1138" s="346"/>
      <c r="CG1138" s="346"/>
      <c r="CH1138" s="909"/>
      <c r="CI1138" s="1377">
        <v>100</v>
      </c>
      <c r="CJ1138" s="907">
        <v>5.1299999999999998E-2</v>
      </c>
      <c r="CK1138" s="907"/>
      <c r="CL1138" s="907"/>
      <c r="CM1138" s="907"/>
      <c r="CN1138" s="907"/>
      <c r="CO1138" s="907"/>
      <c r="CP1138" s="1882" t="str">
        <f t="shared" si="2176"/>
        <v>Bank Credit Facility (pre-2007 refinance)</v>
      </c>
      <c r="CQ1138" s="621">
        <f t="shared" si="2177"/>
        <v>19.684860022374998</v>
      </c>
      <c r="CR1138" s="621">
        <f t="shared" si="2178"/>
        <v>60.924867415833333</v>
      </c>
      <c r="CS1138" s="621">
        <f t="shared" si="2179"/>
        <v>85.403673090285707</v>
      </c>
      <c r="CT1138" s="621">
        <f t="shared" si="2180"/>
        <v>36.326118140322635</v>
      </c>
      <c r="CU1138" s="621">
        <f t="shared" si="2181"/>
        <v>0</v>
      </c>
      <c r="CV1138" s="621">
        <f t="shared" si="2182"/>
        <v>0</v>
      </c>
      <c r="CW1138" s="621">
        <f t="shared" si="2183"/>
        <v>0</v>
      </c>
      <c r="CX1138" s="621">
        <f t="shared" si="2184"/>
        <v>0</v>
      </c>
      <c r="CY1138" s="621">
        <f t="shared" si="2185"/>
        <v>0</v>
      </c>
      <c r="CZ1138" s="621">
        <f t="shared" si="2186"/>
        <v>0</v>
      </c>
      <c r="DA1138" s="621">
        <f t="shared" si="2187"/>
        <v>0</v>
      </c>
      <c r="DB1138" s="621">
        <f t="shared" si="2188"/>
        <v>0</v>
      </c>
      <c r="DC1138" s="621">
        <f t="shared" si="2189"/>
        <v>0</v>
      </c>
      <c r="DD1138" s="621">
        <f t="shared" si="2190"/>
        <v>0</v>
      </c>
      <c r="DE1138" s="621">
        <f t="shared" si="2191"/>
        <v>0</v>
      </c>
      <c r="DF1138" s="621">
        <f t="shared" si="2192"/>
        <v>0</v>
      </c>
      <c r="DG1138" s="842">
        <f t="shared" si="2193"/>
        <v>0</v>
      </c>
      <c r="DH1138" s="908"/>
      <c r="DI1138" s="908"/>
      <c r="DJ1138" s="908"/>
      <c r="DK1138" s="908"/>
      <c r="DL1138" s="908"/>
      <c r="DM1138" s="908"/>
      <c r="DN1138" s="311"/>
      <c r="DO1138" s="312"/>
      <c r="DY1138" s="347"/>
      <c r="DZ1138" s="347"/>
    </row>
    <row r="1139" spans="1:130" ht="12" customHeight="1">
      <c r="A1139" s="896" t="s">
        <v>1279</v>
      </c>
      <c r="B1139" s="907">
        <v>3.5000000000000003E-2</v>
      </c>
      <c r="C1139" s="907"/>
      <c r="D1139" s="329"/>
      <c r="E1139" s="347"/>
      <c r="F1139" s="347"/>
      <c r="G1139" s="347"/>
      <c r="H1139" s="585"/>
      <c r="I1139" s="347"/>
      <c r="J1139" s="347"/>
      <c r="K1139" s="347"/>
      <c r="L1139" s="347"/>
      <c r="M1139" s="585"/>
      <c r="N1139" s="347"/>
      <c r="O1139" s="347"/>
      <c r="P1139" s="347"/>
      <c r="Q1139" s="347"/>
      <c r="R1139" s="585"/>
      <c r="S1139" s="347"/>
      <c r="T1139" s="347"/>
      <c r="U1139" s="347">
        <f>AVERAGE(T$1082:U$1082)*AVERAGE(T$1136:U$1136)/4</f>
        <v>24.735063574218767</v>
      </c>
      <c r="V1139" s="347">
        <f>AVERAGE(U$1082:V$1082)*AVERAGE(U$1136:V$1136)/4</f>
        <v>28.824678271210942</v>
      </c>
      <c r="W1139" s="585">
        <f t="shared" si="2194"/>
        <v>53.559741845429713</v>
      </c>
      <c r="X1139" s="347">
        <f>AVERAGE(W$1082:X$1082)*AVERAGE(V$1136,X$1136)/4</f>
        <v>26.924309402914666</v>
      </c>
      <c r="Y1139" s="347">
        <f>AVERAGE(X$1082:Y$1082)*AVERAGE(X$1136:Y$1136)/4</f>
        <v>24.96978410019231</v>
      </c>
      <c r="Z1139" s="347">
        <f>AVERAGE(Y$1082:Z$1082)*AVERAGE(Y$1136:Z$1136)/4</f>
        <v>26.546041599000002</v>
      </c>
      <c r="AA1139" s="347">
        <f>AVERAGE(Z$1082:AA$1082)*AVERAGE(Z$1136:AA$1136)/4</f>
        <v>28.666137401999997</v>
      </c>
      <c r="AB1139" s="585">
        <f t="shared" ref="AB1139:AB1156" si="2195">SUM(X1139:AA1139)</f>
        <v>107.10627250410698</v>
      </c>
      <c r="AC1139" s="347">
        <f>AVERAGE(AB$1082:AC$1082)*AVERAGE(AA$1136,AC$1136)/4</f>
        <v>26.1981833225</v>
      </c>
      <c r="AD1139" s="347">
        <f>AVERAGE(AC$1082:AD$1082)*AVERAGE(AC$1136:AD$1136)/4</f>
        <v>22.210657038375004</v>
      </c>
      <c r="AE1139" s="347">
        <f>AVERAGE(AD$1082:AE$1082)*AVERAGE(AD$1136:AE$1136)/4</f>
        <v>20.244758690750004</v>
      </c>
      <c r="AF1139" s="347">
        <f>AVERAGE(AE$1082:AF$1082)*AVERAGE(AE$1136:AF$1136)/4</f>
        <v>18.579613300000005</v>
      </c>
      <c r="AG1139" s="585">
        <f>SUM(AC1139:AF1139)</f>
        <v>87.233212351625014</v>
      </c>
      <c r="AH1139" s="347">
        <f>AVERAGE(AG$1082:AH$1082)*AVERAGE(AF$1136,AH$1136)/4</f>
        <v>18.062235250000004</v>
      </c>
      <c r="AI1139" s="347">
        <f>AVERAGE(AH$1082:AI$1082)*AVERAGE(AH$1136:AI$1136)/4</f>
        <v>18.202304687500003</v>
      </c>
      <c r="AJ1139" s="347">
        <f>AVERAGE(AI$1082:AJ$1082)*AVERAGE(AI$1136:AJ$1136)/4</f>
        <v>17.365646875000003</v>
      </c>
      <c r="AK1139" s="347">
        <f>AVERAGE(AJ$1082:AK$1082)*AVERAGE(AJ$1136:AK$1136)/4</f>
        <v>12.369000000000002</v>
      </c>
      <c r="AL1139" s="585">
        <f>SUM(AH1139:AK1139)</f>
        <v>65.999186812500014</v>
      </c>
      <c r="AM1139" s="347">
        <f>(AM1135+$B$1139)/4*AM1082</f>
        <v>8.2143750000000022</v>
      </c>
      <c r="AN1139" s="347">
        <f>(AN1135+$B$1139)/4*AN1082</f>
        <v>10.265625000000002</v>
      </c>
      <c r="AO1139" s="347">
        <f>(AO1135+$B$1139)/4*AO1082</f>
        <v>10.466882524999999</v>
      </c>
      <c r="AP1139" s="347">
        <f>(AP1135+$B$1139)/4*AP1082</f>
        <v>0</v>
      </c>
      <c r="AQ1139" s="585">
        <f>SUM(AM1139:AP1139)</f>
        <v>28.946882525000003</v>
      </c>
      <c r="AR1139" s="347">
        <f>(AR1135+$B$1139)/4*AR1082</f>
        <v>0</v>
      </c>
      <c r="AS1139" s="347">
        <f>(AS1135+$B$1139)/4*AS1082</f>
        <v>0</v>
      </c>
      <c r="AT1139" s="347">
        <f>(AT1135+$B$1139)/4*AT1082</f>
        <v>0</v>
      </c>
      <c r="AU1139" s="347">
        <f>(AU1135+$B$1139)/4*AU1082</f>
        <v>0</v>
      </c>
      <c r="AV1139" s="346">
        <f>SUM(AR1139:AU1139)</f>
        <v>0</v>
      </c>
      <c r="AW1139" s="347">
        <f>(AW1135+$B$1139)/4*AW1082</f>
        <v>0</v>
      </c>
      <c r="AX1139" s="347">
        <f>(AX1135+$B$1139)/4*AX1082</f>
        <v>0</v>
      </c>
      <c r="AY1139" s="347">
        <f>(AY1135+$B$1139)/4*AY1082</f>
        <v>0</v>
      </c>
      <c r="AZ1139" s="347">
        <f>(AZ1135+$B$1139)/4*AZ1082</f>
        <v>0</v>
      </c>
      <c r="BA1139" s="346">
        <f>SUM(AW1139:AZ1139)</f>
        <v>0</v>
      </c>
      <c r="BB1139" s="347">
        <f>(BB1135+$B$1139)/4*BB1082</f>
        <v>0</v>
      </c>
      <c r="BC1139" s="347">
        <f>(BC1135+$B$1139)/4*BC1082</f>
        <v>0</v>
      </c>
      <c r="BD1139" s="347">
        <f>(BD1135+$B$1139)/4*BD1082</f>
        <v>0</v>
      </c>
      <c r="BE1139" s="347">
        <f>(BE1135+$B$1139)/4*BE1082</f>
        <v>0</v>
      </c>
      <c r="BF1139" s="346">
        <f>SUM(BB1139:BE1139)</f>
        <v>0</v>
      </c>
      <c r="BG1139" s="329">
        <f>(BG1135+$B$1139)/4*BG1082</f>
        <v>0</v>
      </c>
      <c r="BH1139" s="347">
        <f>(BH1135+$B$1139)/4*BH1082</f>
        <v>0</v>
      </c>
      <c r="BI1139" s="347">
        <f>(BI1135+$B$1139)/4*BI1082</f>
        <v>0</v>
      </c>
      <c r="BJ1139" s="1795">
        <f>(BJ1135+$B$1139)/4*BJ1082</f>
        <v>0</v>
      </c>
      <c r="BK1139" s="346">
        <f t="shared" ref="BK1139:BK1146" si="2196">SUM(BG1139:BJ1139)</f>
        <v>0</v>
      </c>
      <c r="BL1139" s="347">
        <f>(BL1135+$B$1139)/4*BL1082</f>
        <v>0</v>
      </c>
      <c r="BM1139" s="347">
        <f>(BM1135+$B$1139)/4*BM1082</f>
        <v>0</v>
      </c>
      <c r="BN1139" s="347">
        <f>(BN1135+$B$1139)/4*BN1082</f>
        <v>0</v>
      </c>
      <c r="BO1139" s="1795">
        <f>(BO1135+$B$1139)/4*BO1082</f>
        <v>0</v>
      </c>
      <c r="BP1139" s="346">
        <f t="shared" ref="BP1139:BP1170" si="2197">SUM(BL1139:BO1139)</f>
        <v>0</v>
      </c>
      <c r="BQ1139" s="347">
        <f>(BQ1135+$B$1139)/4*BQ1082</f>
        <v>0</v>
      </c>
      <c r="BR1139" s="347">
        <f>(BR1135+$B$1139)/4*BR1082</f>
        <v>0</v>
      </c>
      <c r="BS1139" s="347">
        <f>(BS1135+$B$1139)/4*BS1082</f>
        <v>0</v>
      </c>
      <c r="BT1139" s="1795">
        <f>(BT1135+$B$1139)/4*BT1082</f>
        <v>0</v>
      </c>
      <c r="BU1139" s="3352">
        <f t="shared" ref="BU1139:BU1170" si="2198">SUM(BQ1139:BT1139)</f>
        <v>0</v>
      </c>
      <c r="BV1139" s="347">
        <f>(BV1135+$B$1139)/4*BV1082</f>
        <v>0</v>
      </c>
      <c r="BW1139" s="347">
        <f t="shared" ref="BW1139:BY1139" si="2199">(BW1135+$B$1139)/4*BW1082</f>
        <v>0</v>
      </c>
      <c r="BX1139" s="347">
        <f t="shared" si="2199"/>
        <v>0</v>
      </c>
      <c r="BY1139" s="347">
        <f t="shared" si="2199"/>
        <v>0</v>
      </c>
      <c r="BZ1139" s="4014">
        <f t="shared" ref="BZ1139:BZ1170" si="2200">SUM(BV1139:BY1139)</f>
        <v>0</v>
      </c>
      <c r="CA1139" s="346">
        <f t="shared" ref="CA1139:CG1139" si="2201">(CA1135+$B$1139)/1*CA1082</f>
        <v>0</v>
      </c>
      <c r="CB1139" s="346">
        <f t="shared" si="2201"/>
        <v>0</v>
      </c>
      <c r="CC1139" s="346">
        <f t="shared" si="2201"/>
        <v>0</v>
      </c>
      <c r="CD1139" s="346">
        <f t="shared" si="2201"/>
        <v>0</v>
      </c>
      <c r="CE1139" s="346">
        <f t="shared" si="2201"/>
        <v>0</v>
      </c>
      <c r="CF1139" s="346">
        <f t="shared" si="2201"/>
        <v>0</v>
      </c>
      <c r="CG1139" s="346">
        <f t="shared" si="2201"/>
        <v>0</v>
      </c>
      <c r="CH1139" s="909"/>
      <c r="CI1139" s="1377">
        <v>200</v>
      </c>
      <c r="CJ1139" s="907">
        <v>5.1400000000000001E-2</v>
      </c>
      <c r="CK1139" s="907"/>
      <c r="CL1139" s="907"/>
      <c r="CM1139" s="331"/>
      <c r="CN1139" s="331">
        <f>SUM(BV1139:BY1139)</f>
        <v>0</v>
      </c>
      <c r="CO1139" s="965">
        <f t="shared" ref="CO1139:CO1172" si="2202">CM1139-CN1139</f>
        <v>0</v>
      </c>
      <c r="CP1139" s="1882" t="str">
        <f t="shared" si="2176"/>
        <v>Bank Credit Facility (post Dec '10 refi)</v>
      </c>
      <c r="CQ1139" s="347">
        <f t="shared" si="2177"/>
        <v>0</v>
      </c>
      <c r="CR1139" s="347">
        <f t="shared" si="2178"/>
        <v>0</v>
      </c>
      <c r="CS1139" s="347">
        <f t="shared" si="2179"/>
        <v>0</v>
      </c>
      <c r="CT1139" s="347">
        <f t="shared" si="2180"/>
        <v>53.559741845429713</v>
      </c>
      <c r="CU1139" s="347">
        <f t="shared" si="2181"/>
        <v>107.10627250410698</v>
      </c>
      <c r="CV1139" s="347">
        <f t="shared" si="2182"/>
        <v>87.233212351625014</v>
      </c>
      <c r="CW1139" s="347">
        <f t="shared" si="2183"/>
        <v>65.999186812500014</v>
      </c>
      <c r="CX1139" s="347">
        <f t="shared" si="2184"/>
        <v>28.946882525000003</v>
      </c>
      <c r="CY1139" s="347">
        <f t="shared" si="2185"/>
        <v>0</v>
      </c>
      <c r="CZ1139" s="347">
        <f t="shared" si="2186"/>
        <v>0</v>
      </c>
      <c r="DA1139" s="347">
        <f t="shared" si="2187"/>
        <v>0</v>
      </c>
      <c r="DB1139" s="347">
        <f t="shared" si="2188"/>
        <v>0</v>
      </c>
      <c r="DC1139" s="347">
        <f t="shared" si="2189"/>
        <v>0</v>
      </c>
      <c r="DD1139" s="347">
        <f t="shared" si="2190"/>
        <v>0</v>
      </c>
      <c r="DE1139" s="347">
        <f t="shared" si="2191"/>
        <v>0</v>
      </c>
      <c r="DF1139" s="347">
        <f t="shared" si="2192"/>
        <v>0</v>
      </c>
      <c r="DG1139" s="1795">
        <f t="shared" si="2193"/>
        <v>0</v>
      </c>
      <c r="DH1139" s="908"/>
      <c r="DI1139" s="908"/>
      <c r="DJ1139" s="908"/>
      <c r="DK1139" s="908"/>
      <c r="DL1139" s="908"/>
      <c r="DM1139" s="908"/>
      <c r="DN1139" s="311"/>
      <c r="DO1139" s="312"/>
      <c r="DY1139" s="347"/>
      <c r="DZ1139" s="347"/>
    </row>
    <row r="1140" spans="1:130" ht="12" customHeight="1">
      <c r="A1140" s="896" t="s">
        <v>281</v>
      </c>
      <c r="B1140" s="907">
        <v>1.6250000000000001E-2</v>
      </c>
      <c r="C1140" s="907"/>
      <c r="D1140" s="329"/>
      <c r="E1140" s="347"/>
      <c r="F1140" s="347"/>
      <c r="G1140" s="347"/>
      <c r="H1140" s="585"/>
      <c r="I1140" s="347"/>
      <c r="J1140" s="347"/>
      <c r="K1140" s="347"/>
      <c r="L1140" s="347"/>
      <c r="M1140" s="585"/>
      <c r="N1140" s="347"/>
      <c r="O1140" s="347"/>
      <c r="P1140" s="347"/>
      <c r="Q1140" s="347"/>
      <c r="R1140" s="585"/>
      <c r="S1140" s="347"/>
      <c r="T1140" s="347"/>
      <c r="U1140" s="347"/>
      <c r="V1140" s="347"/>
      <c r="W1140" s="585"/>
      <c r="X1140" s="347"/>
      <c r="Y1140" s="347"/>
      <c r="Z1140" s="347"/>
      <c r="AA1140" s="347"/>
      <c r="AB1140" s="585"/>
      <c r="AC1140" s="347"/>
      <c r="AD1140" s="347"/>
      <c r="AE1140" s="347"/>
      <c r="AF1140" s="347"/>
      <c r="AG1140" s="585"/>
      <c r="AH1140" s="347"/>
      <c r="AI1140" s="347"/>
      <c r="AJ1140" s="347"/>
      <c r="AK1140" s="347">
        <f>(AK1135+$B$1140)/4*AK1083</f>
        <v>2.6410999999999998</v>
      </c>
      <c r="AL1140" s="585">
        <f>SUM(AH1140:AK1140)</f>
        <v>2.6410999999999998</v>
      </c>
      <c r="AM1140" s="347">
        <f>(AM1135+$B$1140)/4*AM1083</f>
        <v>2.5724999999999998</v>
      </c>
      <c r="AN1140" s="347">
        <f>(AN1135+$B$1140)/4*AN1083</f>
        <v>1.546875</v>
      </c>
      <c r="AO1140" s="347">
        <f>(AO1135+$B$1140)/4*AO1083</f>
        <v>1.6128750000000001</v>
      </c>
      <c r="AP1140" s="347">
        <f>(AP1135+$B$1140)/4*AP1083</f>
        <v>0</v>
      </c>
      <c r="AQ1140" s="585">
        <f>SUM(AM1140:AP1140)</f>
        <v>5.7322499999999996</v>
      </c>
      <c r="AR1140" s="347">
        <f>(AR1135+$B$1140)/4*AR1083</f>
        <v>0</v>
      </c>
      <c r="AS1140" s="347">
        <f>(AS1135+$B$1140)/4*AS1083</f>
        <v>0</v>
      </c>
      <c r="AT1140" s="347">
        <f>(AT1135+$B$1140)/4*AT1083</f>
        <v>0</v>
      </c>
      <c r="AU1140" s="347">
        <f>(AU1135+$B$1140)/4*AU1083</f>
        <v>0</v>
      </c>
      <c r="AV1140" s="346">
        <f t="shared" ref="AV1140:AV1164" si="2203">SUM(AR1140:AU1140)</f>
        <v>0</v>
      </c>
      <c r="AW1140" s="347">
        <f>(AW1135+$B$1140)/4*AW1083</f>
        <v>0</v>
      </c>
      <c r="AX1140" s="347">
        <f>(AX1135+$B$1140)/4*AX1083</f>
        <v>0</v>
      </c>
      <c r="AY1140" s="347">
        <f>(AY1135+$B$1140)/4*AY1083</f>
        <v>0</v>
      </c>
      <c r="AZ1140" s="347">
        <f>(AZ1135+$B$1140)/4*AZ1083</f>
        <v>0</v>
      </c>
      <c r="BA1140" s="346">
        <f t="shared" ref="BA1140:BA1164" si="2204">SUM(AW1140:AZ1140)</f>
        <v>0</v>
      </c>
      <c r="BB1140" s="347">
        <f>(BB1135+$B$1140)/4*BB1083</f>
        <v>0</v>
      </c>
      <c r="BC1140" s="347">
        <f>(BC1135+$B$1140)/4*BC1083</f>
        <v>0</v>
      </c>
      <c r="BD1140" s="347">
        <f>(BD1135+$B$1140)/4*BD1083</f>
        <v>0</v>
      </c>
      <c r="BE1140" s="347">
        <f>(BE1135+$B$1140)/4*BE1083</f>
        <v>0</v>
      </c>
      <c r="BF1140" s="346">
        <f t="shared" ref="BF1140:BF1164" si="2205">SUM(BB1140:BE1140)</f>
        <v>0</v>
      </c>
      <c r="BG1140" s="329">
        <f>(BG1135+$B$1140)/4*BG1083</f>
        <v>0</v>
      </c>
      <c r="BH1140" s="347">
        <f>(BH1135+$B$1140)/4*BH1083</f>
        <v>0</v>
      </c>
      <c r="BI1140" s="347">
        <f>(BI1135+$B$1140)/4*BI1083</f>
        <v>0</v>
      </c>
      <c r="BJ1140" s="1795">
        <f>(BJ1135+$B$1140)/4*BJ1083</f>
        <v>0</v>
      </c>
      <c r="BK1140" s="346">
        <f t="shared" si="2196"/>
        <v>0</v>
      </c>
      <c r="BL1140" s="347">
        <f>(BL1135+$B$1140)/4*BL1083</f>
        <v>0</v>
      </c>
      <c r="BM1140" s="347">
        <f>(BM1135+$B$1140)/4*BM1083</f>
        <v>0</v>
      </c>
      <c r="BN1140" s="347">
        <f>(BN1135+$B$1140)/4*BN1083</f>
        <v>0</v>
      </c>
      <c r="BO1140" s="1795">
        <f>(BO1135+$B$1140)/4*BO1083</f>
        <v>0</v>
      </c>
      <c r="BP1140" s="346">
        <f t="shared" si="2197"/>
        <v>0</v>
      </c>
      <c r="BQ1140" s="347">
        <f>(BQ1135+$B$1140)/4*BQ1083</f>
        <v>0</v>
      </c>
      <c r="BR1140" s="347">
        <f>(BR1135+$B$1140)/4*BR1083</f>
        <v>0</v>
      </c>
      <c r="BS1140" s="347">
        <f>(BS1135+$B$1140)/4*BS1083</f>
        <v>0</v>
      </c>
      <c r="BT1140" s="1795">
        <f>(BT1135+$B$1140)/4*BT1083</f>
        <v>0</v>
      </c>
      <c r="BU1140" s="3352">
        <f t="shared" si="2198"/>
        <v>0</v>
      </c>
      <c r="BV1140" s="347">
        <f>(BV1135+$B$1140)/4*BV1083</f>
        <v>0</v>
      </c>
      <c r="BW1140" s="347">
        <f t="shared" ref="BW1140:BY1140" si="2206">(BW1135+$B$1140)/4*BW1083</f>
        <v>0</v>
      </c>
      <c r="BX1140" s="347">
        <f t="shared" si="2206"/>
        <v>0</v>
      </c>
      <c r="BY1140" s="347">
        <f t="shared" si="2206"/>
        <v>0</v>
      </c>
      <c r="BZ1140" s="4014">
        <f t="shared" si="2200"/>
        <v>0</v>
      </c>
      <c r="CA1140" s="346">
        <f t="shared" ref="CA1140:CG1140" si="2207">(CA1135+$B$1140)/1*CA1083</f>
        <v>0</v>
      </c>
      <c r="CB1140" s="346">
        <f t="shared" si="2207"/>
        <v>0</v>
      </c>
      <c r="CC1140" s="346">
        <f t="shared" si="2207"/>
        <v>0</v>
      </c>
      <c r="CD1140" s="346">
        <f t="shared" si="2207"/>
        <v>0</v>
      </c>
      <c r="CE1140" s="346">
        <f t="shared" si="2207"/>
        <v>0</v>
      </c>
      <c r="CF1140" s="346">
        <f t="shared" si="2207"/>
        <v>0</v>
      </c>
      <c r="CG1140" s="346">
        <f t="shared" si="2207"/>
        <v>0</v>
      </c>
      <c r="CH1140" s="909"/>
      <c r="CI1140" s="1377"/>
      <c r="CJ1140" s="907"/>
      <c r="CK1140" s="907"/>
      <c r="CL1140" s="907"/>
      <c r="CM1140" s="331"/>
      <c r="CN1140" s="331">
        <f t="shared" ref="CN1140:CN1172" si="2208">SUM(BV1140:BY1140)</f>
        <v>0</v>
      </c>
      <c r="CO1140" s="965">
        <f t="shared" si="2202"/>
        <v>0</v>
      </c>
      <c r="CP1140" s="1882" t="str">
        <f t="shared" si="2176"/>
        <v>Bank Credit Facility (non-extended)</v>
      </c>
      <c r="CQ1140" s="347">
        <f t="shared" si="2177"/>
        <v>0</v>
      </c>
      <c r="CR1140" s="347">
        <f t="shared" si="2178"/>
        <v>0</v>
      </c>
      <c r="CS1140" s="347">
        <f t="shared" si="2179"/>
        <v>0</v>
      </c>
      <c r="CT1140" s="347">
        <f t="shared" si="2180"/>
        <v>0</v>
      </c>
      <c r="CU1140" s="347">
        <f t="shared" si="2181"/>
        <v>0</v>
      </c>
      <c r="CV1140" s="347">
        <f t="shared" si="2182"/>
        <v>0</v>
      </c>
      <c r="CW1140" s="347">
        <f t="shared" si="2183"/>
        <v>2.6410999999999998</v>
      </c>
      <c r="CX1140" s="347">
        <f t="shared" si="2184"/>
        <v>5.7322499999999996</v>
      </c>
      <c r="CY1140" s="347">
        <f t="shared" si="2185"/>
        <v>0</v>
      </c>
      <c r="CZ1140" s="347">
        <f t="shared" si="2186"/>
        <v>0</v>
      </c>
      <c r="DA1140" s="347">
        <f t="shared" si="2187"/>
        <v>0</v>
      </c>
      <c r="DB1140" s="347">
        <f t="shared" si="2188"/>
        <v>0</v>
      </c>
      <c r="DC1140" s="347">
        <f t="shared" si="2189"/>
        <v>0</v>
      </c>
      <c r="DD1140" s="347">
        <f t="shared" si="2190"/>
        <v>0</v>
      </c>
      <c r="DE1140" s="347">
        <f t="shared" si="2191"/>
        <v>0</v>
      </c>
      <c r="DF1140" s="347">
        <f t="shared" si="2192"/>
        <v>0</v>
      </c>
      <c r="DG1140" s="1795">
        <f t="shared" si="2193"/>
        <v>0</v>
      </c>
      <c r="DH1140" s="908"/>
      <c r="DI1140" s="908"/>
      <c r="DJ1140" s="908"/>
      <c r="DK1140" s="908"/>
      <c r="DL1140" s="908"/>
      <c r="DM1140" s="908"/>
      <c r="DN1140" s="311"/>
      <c r="DO1140" s="312"/>
      <c r="DY1140" s="347"/>
      <c r="DZ1140" s="347"/>
    </row>
    <row r="1141" spans="1:130" ht="12" customHeight="1">
      <c r="A1141" s="896" t="s">
        <v>308</v>
      </c>
      <c r="B1141" s="907">
        <v>3.5000000000000003E-2</v>
      </c>
      <c r="C1141" s="907"/>
      <c r="D1141" s="329"/>
      <c r="E1141" s="347"/>
      <c r="F1141" s="347"/>
      <c r="G1141" s="347"/>
      <c r="H1141" s="585"/>
      <c r="I1141" s="347"/>
      <c r="J1141" s="347"/>
      <c r="K1141" s="347"/>
      <c r="L1141" s="347"/>
      <c r="M1141" s="585"/>
      <c r="N1141" s="347"/>
      <c r="O1141" s="347"/>
      <c r="P1141" s="347"/>
      <c r="Q1141" s="347"/>
      <c r="R1141" s="585"/>
      <c r="S1141" s="347"/>
      <c r="T1141" s="347"/>
      <c r="U1141" s="347"/>
      <c r="V1141" s="347"/>
      <c r="W1141" s="585"/>
      <c r="X1141" s="347"/>
      <c r="Y1141" s="347"/>
      <c r="Z1141" s="347"/>
      <c r="AA1141" s="347"/>
      <c r="AB1141" s="585"/>
      <c r="AC1141" s="347"/>
      <c r="AD1141" s="347"/>
      <c r="AE1141" s="347"/>
      <c r="AF1141" s="347"/>
      <c r="AG1141" s="585"/>
      <c r="AH1141" s="347"/>
      <c r="AI1141" s="347"/>
      <c r="AJ1141" s="347"/>
      <c r="AK1141" s="347"/>
      <c r="AL1141" s="585"/>
      <c r="AM1141" s="347"/>
      <c r="AN1141" s="347"/>
      <c r="AO1141" s="347"/>
      <c r="AP1141" s="347">
        <f>AP1084*(AP1135+$B$1141)/4</f>
        <v>8.0775000000000006</v>
      </c>
      <c r="AQ1141" s="585">
        <f>SUM(AP1141)</f>
        <v>8.0775000000000006</v>
      </c>
      <c r="AR1141" s="347">
        <f>AR1084*(AR1135+$B$1141)/4</f>
        <v>7.6875</v>
      </c>
      <c r="AS1141" s="347">
        <f>AS1084*(AS1135+$B$1141)/4</f>
        <v>6.2953699999999992</v>
      </c>
      <c r="AT1141" s="347">
        <f>AT1084*(AT1135+$B$1141)/4</f>
        <v>6.2379299999999986</v>
      </c>
      <c r="AU1141" s="347">
        <f>AU1084*(AU1135+$B$1141)/4</f>
        <v>6.6821499999999991</v>
      </c>
      <c r="AV1141" s="346">
        <f t="shared" si="2203"/>
        <v>26.902949999999997</v>
      </c>
      <c r="AW1141" s="347">
        <f>AW1084*(AW1135+$B$1141)/4</f>
        <v>6.673300000000002</v>
      </c>
      <c r="AX1141" s="347">
        <f>AX1084*(AX1135+$B$1141)/4</f>
        <v>6.4675000000000002</v>
      </c>
      <c r="AY1141" s="347">
        <f>AY1084*(AY1135+$B$1141)/4</f>
        <v>4.5000000000000907E-2</v>
      </c>
      <c r="AZ1141" s="347">
        <f>AZ1084*(AZ1135+$B$1141)/4</f>
        <v>4.2329999999999472E-2</v>
      </c>
      <c r="BA1141" s="346">
        <f t="shared" si="2204"/>
        <v>13.228130000000004</v>
      </c>
      <c r="BB1141" s="347">
        <f>BB1084*(BB1135+$B$1141)/4</f>
        <v>3.8948062500000893E-2</v>
      </c>
      <c r="BC1141" s="347">
        <f>BC1084*(BC1135+$B$1141)/4</f>
        <v>3.7389375000000787E-2</v>
      </c>
      <c r="BD1141" s="347">
        <f>BD1084*(BD1135+$B$1141)/4</f>
        <v>3.5859375000000006E-2</v>
      </c>
      <c r="BE1141" s="347">
        <f>BE1084*(BE1135+$B$1141)/4</f>
        <v>0</v>
      </c>
      <c r="BF1141" s="346">
        <f t="shared" si="2205"/>
        <v>0.11219681250000169</v>
      </c>
      <c r="BG1141" s="329">
        <f>BG1084*(BG1135+$B$1141)/4</f>
        <v>0</v>
      </c>
      <c r="BH1141" s="347">
        <f>BH1084*(BH1135+$B$1141)/4</f>
        <v>0</v>
      </c>
      <c r="BI1141" s="347">
        <f>BI1084*(BI1135+$B$1141)/4</f>
        <v>0</v>
      </c>
      <c r="BJ1141" s="1795">
        <f>BJ1084*(BJ1135+$B$1141)/4</f>
        <v>0</v>
      </c>
      <c r="BK1141" s="346">
        <f t="shared" si="2196"/>
        <v>0</v>
      </c>
      <c r="BL1141" s="347">
        <f>BL1084*(BL1135+$B$1141)/4</f>
        <v>0</v>
      </c>
      <c r="BM1141" s="347">
        <f>BM1084*(BM1135+$B$1141)/4</f>
        <v>0</v>
      </c>
      <c r="BN1141" s="347">
        <f>BN1084*(BN1135+$B$1141)/4</f>
        <v>0</v>
      </c>
      <c r="BO1141" s="1795">
        <f>BO1084*(BO1135+$B$1141)/4</f>
        <v>0</v>
      </c>
      <c r="BP1141" s="346">
        <f t="shared" si="2197"/>
        <v>0</v>
      </c>
      <c r="BQ1141" s="347">
        <f>BQ1084*(BQ1135+$B$1141)/4</f>
        <v>0</v>
      </c>
      <c r="BR1141" s="347">
        <f>BR1084*(BR1135+$B$1141)/4</f>
        <v>0</v>
      </c>
      <c r="BS1141" s="347">
        <f>BS1084*(BS1135+$B$1141)/4</f>
        <v>0</v>
      </c>
      <c r="BT1141" s="1795">
        <f>BT1084*(BT1135+$B$1141)/4</f>
        <v>0</v>
      </c>
      <c r="BU1141" s="3352">
        <f t="shared" si="2198"/>
        <v>0</v>
      </c>
      <c r="BV1141" s="347">
        <f>BV1084*(BV1135+$B$1141)/4</f>
        <v>0</v>
      </c>
      <c r="BW1141" s="347">
        <f t="shared" ref="BW1141:BY1141" si="2209">BW1084*(BW1135+$B$1141)/4</f>
        <v>0</v>
      </c>
      <c r="BX1141" s="347">
        <f t="shared" si="2209"/>
        <v>0</v>
      </c>
      <c r="BY1141" s="347">
        <f t="shared" si="2209"/>
        <v>0</v>
      </c>
      <c r="BZ1141" s="4014">
        <f t="shared" si="2200"/>
        <v>0</v>
      </c>
      <c r="CA1141" s="346">
        <f t="shared" ref="CA1141:CG1141" si="2210">CA1084*(CA1135+$B$1141)/1</f>
        <v>0</v>
      </c>
      <c r="CB1141" s="346">
        <f t="shared" si="2210"/>
        <v>0</v>
      </c>
      <c r="CC1141" s="346">
        <f t="shared" si="2210"/>
        <v>0</v>
      </c>
      <c r="CD1141" s="346">
        <f t="shared" si="2210"/>
        <v>0</v>
      </c>
      <c r="CE1141" s="346">
        <f t="shared" si="2210"/>
        <v>0</v>
      </c>
      <c r="CF1141" s="346">
        <f t="shared" si="2210"/>
        <v>0</v>
      </c>
      <c r="CG1141" s="346">
        <f t="shared" si="2210"/>
        <v>0</v>
      </c>
      <c r="CH1141" s="909"/>
      <c r="CI1141" s="1377"/>
      <c r="CJ1141" s="907"/>
      <c r="CK1141" s="907"/>
      <c r="CL1141" s="907"/>
      <c r="CM1141" s="331"/>
      <c r="CN1141" s="331">
        <f t="shared" si="2208"/>
        <v>0</v>
      </c>
      <c r="CO1141" s="965">
        <f t="shared" si="2202"/>
        <v>0</v>
      </c>
      <c r="CP1141" s="1882" t="str">
        <f t="shared" si="2176"/>
        <v>Revolving Facility</v>
      </c>
      <c r="CQ1141" s="347">
        <f t="shared" si="2177"/>
        <v>0</v>
      </c>
      <c r="CR1141" s="347">
        <f t="shared" si="2178"/>
        <v>0</v>
      </c>
      <c r="CS1141" s="347">
        <f t="shared" si="2179"/>
        <v>0</v>
      </c>
      <c r="CT1141" s="347">
        <f t="shared" si="2180"/>
        <v>0</v>
      </c>
      <c r="CU1141" s="347">
        <f t="shared" si="2181"/>
        <v>0</v>
      </c>
      <c r="CV1141" s="347">
        <f t="shared" si="2182"/>
        <v>0</v>
      </c>
      <c r="CW1141" s="347">
        <f t="shared" si="2183"/>
        <v>0</v>
      </c>
      <c r="CX1141" s="347">
        <f t="shared" si="2184"/>
        <v>8.0775000000000006</v>
      </c>
      <c r="CY1141" s="347">
        <f t="shared" si="2185"/>
        <v>26.902949999999997</v>
      </c>
      <c r="CZ1141" s="347">
        <f t="shared" si="2186"/>
        <v>13.228130000000004</v>
      </c>
      <c r="DA1141" s="347">
        <f t="shared" si="2187"/>
        <v>0.11219681250000169</v>
      </c>
      <c r="DB1141" s="347">
        <f t="shared" si="2188"/>
        <v>0</v>
      </c>
      <c r="DC1141" s="347">
        <f t="shared" si="2189"/>
        <v>0</v>
      </c>
      <c r="DD1141" s="347">
        <f t="shared" si="2190"/>
        <v>0</v>
      </c>
      <c r="DE1141" s="347">
        <f t="shared" si="2191"/>
        <v>0</v>
      </c>
      <c r="DF1141" s="347">
        <f t="shared" si="2192"/>
        <v>0</v>
      </c>
      <c r="DG1141" s="1795">
        <f t="shared" si="2193"/>
        <v>0</v>
      </c>
      <c r="DH1141" s="908"/>
      <c r="DI1141" s="908"/>
      <c r="DJ1141" s="908"/>
      <c r="DK1141" s="908"/>
      <c r="DL1141" s="908"/>
      <c r="DM1141" s="908"/>
      <c r="DN1141" s="311"/>
      <c r="DO1141" s="312"/>
      <c r="DY1141" s="347"/>
      <c r="DZ1141" s="347"/>
    </row>
    <row r="1142" spans="1:130" ht="12" customHeight="1">
      <c r="A1142" s="896" t="s">
        <v>676</v>
      </c>
      <c r="B1142" s="907">
        <v>3.5000000000000003E-2</v>
      </c>
      <c r="C1142" s="907"/>
      <c r="D1142" s="329"/>
      <c r="E1142" s="347"/>
      <c r="F1142" s="347"/>
      <c r="G1142" s="347"/>
      <c r="H1142" s="585"/>
      <c r="I1142" s="347"/>
      <c r="J1142" s="347"/>
      <c r="K1142" s="347"/>
      <c r="L1142" s="347"/>
      <c r="M1142" s="585"/>
      <c r="N1142" s="347"/>
      <c r="O1142" s="347"/>
      <c r="P1142" s="347"/>
      <c r="Q1142" s="347"/>
      <c r="R1142" s="585"/>
      <c r="S1142" s="347"/>
      <c r="T1142" s="347"/>
      <c r="U1142" s="347"/>
      <c r="V1142" s="347"/>
      <c r="W1142" s="585"/>
      <c r="X1142" s="347"/>
      <c r="Y1142" s="347"/>
      <c r="Z1142" s="347"/>
      <c r="AA1142" s="347"/>
      <c r="AB1142" s="585"/>
      <c r="AC1142" s="347"/>
      <c r="AD1142" s="347"/>
      <c r="AE1142" s="347"/>
      <c r="AF1142" s="347"/>
      <c r="AG1142" s="585"/>
      <c r="AH1142" s="347"/>
      <c r="AI1142" s="347"/>
      <c r="AJ1142" s="347"/>
      <c r="AK1142" s="347"/>
      <c r="AL1142" s="585"/>
      <c r="AM1142" s="347"/>
      <c r="AN1142" s="347"/>
      <c r="AO1142" s="347"/>
      <c r="AP1142" s="347">
        <f>AO1086*($B$1142+AP1135)/4</f>
        <v>4.8125</v>
      </c>
      <c r="AQ1142" s="585">
        <f>SUM(AP1142)</f>
        <v>4.8125</v>
      </c>
      <c r="AR1142" s="347">
        <f>AQ1086*($B$1142+AR1135)/4</f>
        <v>4.75</v>
      </c>
      <c r="AS1142" s="347">
        <f>AR1086*($B$1142+AS1135)/4</f>
        <v>4.6875</v>
      </c>
      <c r="AT1142" s="347">
        <f>AS1086*($B$1142+AT1135)/4</f>
        <v>4.625</v>
      </c>
      <c r="AU1142" s="347">
        <f>AT1086*($B$1142+AU1135)/4</f>
        <v>4.5625</v>
      </c>
      <c r="AV1142" s="346">
        <f t="shared" si="2203"/>
        <v>18.625</v>
      </c>
      <c r="AW1142" s="347">
        <f>AV1086*($B$1142+AW1135)/4</f>
        <v>4.5</v>
      </c>
      <c r="AX1142" s="347">
        <f>AW1086*($B$1142+AX1135)/4</f>
        <v>4.4375</v>
      </c>
      <c r="AY1142" s="347">
        <f>AY1086*($B$1142+AY1135)/4</f>
        <v>0</v>
      </c>
      <c r="AZ1142" s="347">
        <f>AZ1086*($B$1142+AZ1135)/4</f>
        <v>0</v>
      </c>
      <c r="BA1142" s="346">
        <f t="shared" si="2204"/>
        <v>8.9375</v>
      </c>
      <c r="BB1142" s="347">
        <f>BB1086*($B$1142+BB1135)/4</f>
        <v>0</v>
      </c>
      <c r="BC1142" s="347">
        <f>BB1086*($B$1142+BC1135)/4</f>
        <v>0</v>
      </c>
      <c r="BD1142" s="347">
        <f>BC1086*($B$1142+BD1135)/4</f>
        <v>0</v>
      </c>
      <c r="BE1142" s="347">
        <f>BD1086*($B$1142+BE1135)/4</f>
        <v>0</v>
      </c>
      <c r="BF1142" s="346">
        <f t="shared" si="2205"/>
        <v>0</v>
      </c>
      <c r="BG1142" s="329">
        <f>BG1086*($B$1142+BG1135)/4</f>
        <v>0</v>
      </c>
      <c r="BH1142" s="347">
        <f>BG1086*($B$1142+BH1135)/4</f>
        <v>0</v>
      </c>
      <c r="BI1142" s="347">
        <f>BH1086*($B$1142+BI1135)/4</f>
        <v>0</v>
      </c>
      <c r="BJ1142" s="1795">
        <f>BI1086*($B$1142+BJ1135)/4</f>
        <v>0</v>
      </c>
      <c r="BK1142" s="346">
        <f t="shared" si="2196"/>
        <v>0</v>
      </c>
      <c r="BL1142" s="347">
        <f>BK1086*($B$1142+BL1135)/4</f>
        <v>0</v>
      </c>
      <c r="BM1142" s="347">
        <f>BL1086*($B$1142+BM1135)/4</f>
        <v>0</v>
      </c>
      <c r="BN1142" s="347">
        <f>BM1086*($B$1142+BN1135)/4</f>
        <v>0</v>
      </c>
      <c r="BO1142" s="1795">
        <f>BN1086*($B$1142+BO1135)/4</f>
        <v>0</v>
      </c>
      <c r="BP1142" s="346">
        <f t="shared" si="2197"/>
        <v>0</v>
      </c>
      <c r="BQ1142" s="347">
        <f>BP1086*($B$1142+BQ1135)/4</f>
        <v>0</v>
      </c>
      <c r="BR1142" s="347">
        <f>BQ1086*($B$1142+BR1135)/4</f>
        <v>0</v>
      </c>
      <c r="BS1142" s="347">
        <f>BR1086*($B$1142+BS1135)/4</f>
        <v>0</v>
      </c>
      <c r="BT1142" s="1795">
        <f>BS1086*($B$1142+BT1135)/4</f>
        <v>0</v>
      </c>
      <c r="BU1142" s="3352">
        <f t="shared" si="2198"/>
        <v>0</v>
      </c>
      <c r="BV1142" s="347">
        <f>BU1086*($B$1142+BV1135)/4</f>
        <v>0</v>
      </c>
      <c r="BW1142" s="347">
        <f t="shared" ref="BW1142:BY1142" si="2211">BV1086*($B$1142+BW1135)/4</f>
        <v>0</v>
      </c>
      <c r="BX1142" s="347">
        <f t="shared" si="2211"/>
        <v>0</v>
      </c>
      <c r="BY1142" s="347">
        <f t="shared" si="2211"/>
        <v>0</v>
      </c>
      <c r="BZ1142" s="4014">
        <f t="shared" si="2200"/>
        <v>0</v>
      </c>
      <c r="CA1142" s="346">
        <f t="shared" ref="CA1142:CG1142" si="2212">BZ1086*($B$1142+CA1135)/1</f>
        <v>0</v>
      </c>
      <c r="CB1142" s="346">
        <f t="shared" si="2212"/>
        <v>0</v>
      </c>
      <c r="CC1142" s="346">
        <f t="shared" si="2212"/>
        <v>0</v>
      </c>
      <c r="CD1142" s="346">
        <f t="shared" si="2212"/>
        <v>0</v>
      </c>
      <c r="CE1142" s="346">
        <f t="shared" si="2212"/>
        <v>0</v>
      </c>
      <c r="CF1142" s="346">
        <f t="shared" si="2212"/>
        <v>0</v>
      </c>
      <c r="CG1142" s="346">
        <f t="shared" si="2212"/>
        <v>0</v>
      </c>
      <c r="CH1142" s="909"/>
      <c r="CI1142" s="1377"/>
      <c r="CJ1142" s="907"/>
      <c r="CK1142" s="907"/>
      <c r="CL1142" s="907"/>
      <c r="CM1142" s="331"/>
      <c r="CN1142" s="331">
        <f t="shared" si="2208"/>
        <v>0</v>
      </c>
      <c r="CO1142" s="965">
        <f t="shared" si="2202"/>
        <v>0</v>
      </c>
      <c r="CP1142" s="1882" t="str">
        <f t="shared" si="2176"/>
        <v>Term Loan</v>
      </c>
      <c r="CQ1142" s="347">
        <f t="shared" si="2177"/>
        <v>0</v>
      </c>
      <c r="CR1142" s="347">
        <f t="shared" si="2178"/>
        <v>0</v>
      </c>
      <c r="CS1142" s="347">
        <f t="shared" si="2179"/>
        <v>0</v>
      </c>
      <c r="CT1142" s="347">
        <f t="shared" si="2180"/>
        <v>0</v>
      </c>
      <c r="CU1142" s="347">
        <f t="shared" si="2181"/>
        <v>0</v>
      </c>
      <c r="CV1142" s="347">
        <f t="shared" si="2182"/>
        <v>0</v>
      </c>
      <c r="CW1142" s="347">
        <f t="shared" si="2183"/>
        <v>0</v>
      </c>
      <c r="CX1142" s="347">
        <f t="shared" si="2184"/>
        <v>4.8125</v>
      </c>
      <c r="CY1142" s="347">
        <f t="shared" si="2185"/>
        <v>18.625</v>
      </c>
      <c r="CZ1142" s="347">
        <f t="shared" si="2186"/>
        <v>8.9375</v>
      </c>
      <c r="DA1142" s="347">
        <f t="shared" si="2187"/>
        <v>0</v>
      </c>
      <c r="DB1142" s="347">
        <f t="shared" si="2188"/>
        <v>0</v>
      </c>
      <c r="DC1142" s="347">
        <f t="shared" si="2189"/>
        <v>0</v>
      </c>
      <c r="DD1142" s="347">
        <f t="shared" si="2190"/>
        <v>0</v>
      </c>
      <c r="DE1142" s="347">
        <f t="shared" si="2191"/>
        <v>0</v>
      </c>
      <c r="DF1142" s="347">
        <f t="shared" si="2192"/>
        <v>0</v>
      </c>
      <c r="DG1142" s="1795">
        <f t="shared" si="2193"/>
        <v>0</v>
      </c>
      <c r="DH1142" s="908"/>
      <c r="DI1142" s="908"/>
      <c r="DJ1142" s="908"/>
      <c r="DK1142" s="908"/>
      <c r="DL1142" s="908"/>
      <c r="DM1142" s="908"/>
      <c r="DN1142" s="311"/>
      <c r="DO1142" s="312"/>
      <c r="DY1142" s="347"/>
      <c r="DZ1142" s="347"/>
    </row>
    <row r="1143" spans="1:130" ht="12" customHeight="1">
      <c r="A1143" s="896" t="s">
        <v>747</v>
      </c>
      <c r="B1143" s="907">
        <v>4.7500000000000001E-2</v>
      </c>
      <c r="C1143" s="907"/>
      <c r="D1143" s="329"/>
      <c r="E1143" s="347"/>
      <c r="F1143" s="347"/>
      <c r="G1143" s="347"/>
      <c r="H1143" s="585"/>
      <c r="I1143" s="347"/>
      <c r="J1143" s="347"/>
      <c r="K1143" s="347"/>
      <c r="L1143" s="347"/>
      <c r="M1143" s="585"/>
      <c r="N1143" s="347"/>
      <c r="O1143" s="347"/>
      <c r="P1143" s="347"/>
      <c r="Q1143" s="347"/>
      <c r="R1143" s="585"/>
      <c r="S1143" s="347"/>
      <c r="T1143" s="347"/>
      <c r="U1143" s="347"/>
      <c r="V1143" s="347"/>
      <c r="W1143" s="585"/>
      <c r="X1143" s="347"/>
      <c r="Y1143" s="347"/>
      <c r="Z1143" s="347"/>
      <c r="AA1143" s="347"/>
      <c r="AB1143" s="585"/>
      <c r="AC1143" s="347"/>
      <c r="AD1143" s="347"/>
      <c r="AE1143" s="347"/>
      <c r="AF1143" s="347"/>
      <c r="AG1143" s="585"/>
      <c r="AH1143" s="347"/>
      <c r="AI1143" s="347"/>
      <c r="AJ1143" s="347"/>
      <c r="AK1143" s="347"/>
      <c r="AL1143" s="585"/>
      <c r="AM1143" s="347"/>
      <c r="AN1143" s="347"/>
      <c r="AO1143" s="347"/>
      <c r="AP1143" s="347">
        <f>AP1087*($B$1143+0.0125)/4</f>
        <v>5.25</v>
      </c>
      <c r="AQ1143" s="585">
        <f>SUM(AP1143)</f>
        <v>5.25</v>
      </c>
      <c r="AR1143" s="347">
        <f>AR1087*($B$1143+0.0125)/4</f>
        <v>5.1843750000000002</v>
      </c>
      <c r="AS1143" s="347">
        <f>AS1087*($B$1143+0.0125)/4</f>
        <v>5.351445</v>
      </c>
      <c r="AT1143" s="347">
        <f>AT1087*($B$1143+0.0125)/4</f>
        <v>5.3839800000000002</v>
      </c>
      <c r="AU1143" s="347">
        <f>AU1087*($B$1143+0.0125)/4</f>
        <v>5.3495249999999999</v>
      </c>
      <c r="AV1143" s="346">
        <f t="shared" si="2203"/>
        <v>21.269325000000002</v>
      </c>
      <c r="AW1143" s="347">
        <f>AW1087*($B$1143+0.0125)/4</f>
        <v>5.0091749999999999</v>
      </c>
      <c r="AX1143" s="347">
        <f>AX1087*($B$1143+0.0125)/4</f>
        <v>4.8562500000000002</v>
      </c>
      <c r="AY1143" s="347">
        <f>AY1087*($B$1143+0.0125)/4</f>
        <v>5.0999999999999997E-2</v>
      </c>
      <c r="AZ1143" s="347">
        <f>AZ1087*($B$1143+0.0125)/4</f>
        <v>0.35800500000000002</v>
      </c>
      <c r="BA1143" s="346">
        <f t="shared" si="2204"/>
        <v>10.274430000000001</v>
      </c>
      <c r="BB1143" s="347">
        <f>BB1087*($B$1143+0.0125)/4</f>
        <v>0.12940499999999999</v>
      </c>
      <c r="BC1143" s="347">
        <f>BC1087*($B$1143+0.0125)/4</f>
        <v>0</v>
      </c>
      <c r="BD1143" s="347">
        <f>BD1087*($B$1143+0.0125)/4</f>
        <v>0.16799999999999998</v>
      </c>
      <c r="BE1143" s="347">
        <f>BE1087*($B$1143+0.0125)/4</f>
        <v>0.3795</v>
      </c>
      <c r="BF1143" s="346">
        <f t="shared" si="2205"/>
        <v>0.67690499999999998</v>
      </c>
      <c r="BG1143" s="329">
        <f>BG1087*($B$1143+0.0125)/4</f>
        <v>0.13049999999999998</v>
      </c>
      <c r="BH1143" s="347">
        <f>BH1087*($B$1143+0.0125)/4</f>
        <v>0.36749999999999999</v>
      </c>
      <c r="BI1143" s="347">
        <f>BI1087*($B$1143+0.0125)/4</f>
        <v>0.3105</v>
      </c>
      <c r="BJ1143" s="1795">
        <f>BJ1087*($B$1143+0.0125)/4</f>
        <v>0.83550000000000002</v>
      </c>
      <c r="BK1143" s="346">
        <f t="shared" si="2196"/>
        <v>1.6440000000000001</v>
      </c>
      <c r="BL1143" s="347">
        <f>BL1087*($B$1143+0.0125)/4</f>
        <v>0</v>
      </c>
      <c r="BM1143" s="347">
        <f>BM1087*($B$1143+0.0125)/4</f>
        <v>0</v>
      </c>
      <c r="BN1143" s="347">
        <f>BN1087*($B$1143+0.0125)/4</f>
        <v>0.63</v>
      </c>
      <c r="BO1143" s="1795">
        <f>BO1087*($B$1143+0.0125)/4</f>
        <v>0.6915</v>
      </c>
      <c r="BP1143" s="346">
        <f t="shared" si="2197"/>
        <v>1.3214999999999999</v>
      </c>
      <c r="BQ1143" s="347">
        <f>BQ1087*($B$1143+0.0125)/4</f>
        <v>0.60449999999999993</v>
      </c>
      <c r="BR1143" s="347">
        <f>BR1087*($B$1143+0.0125)/4</f>
        <v>1.0874999999999999</v>
      </c>
      <c r="BS1143" s="347">
        <f>BS1087*($B$1143+0.0125)/4</f>
        <v>0.53549999999999998</v>
      </c>
      <c r="BT1143" s="1795">
        <f>BT1087*($B$1143+0.0125)/4</f>
        <v>0.53549999999999998</v>
      </c>
      <c r="BU1143" s="3352">
        <f t="shared" si="2198"/>
        <v>2.7629999999999995</v>
      </c>
      <c r="BV1143" s="347">
        <f>BV1087*($B$1143+0.0125)/4</f>
        <v>0.53549999999999998</v>
      </c>
      <c r="BW1143" s="347">
        <f t="shared" ref="BW1143:BY1143" si="2213">BW1087*($B$1143+0.0125)/4</f>
        <v>0.53549999999999998</v>
      </c>
      <c r="BX1143" s="347">
        <f t="shared" si="2213"/>
        <v>0.53549999999999998</v>
      </c>
      <c r="BY1143" s="347">
        <f t="shared" si="2213"/>
        <v>0.53549999999999998</v>
      </c>
      <c r="BZ1143" s="4014">
        <f t="shared" si="2200"/>
        <v>2.1419999999999999</v>
      </c>
      <c r="CA1143" s="346">
        <f t="shared" ref="CA1143:CG1143" si="2214">CA1087*($B$1143+0.0125)/1</f>
        <v>2.1419999999999999</v>
      </c>
      <c r="CB1143" s="346">
        <f t="shared" si="2214"/>
        <v>2.1419999999999999</v>
      </c>
      <c r="CC1143" s="346">
        <f t="shared" si="2214"/>
        <v>0</v>
      </c>
      <c r="CD1143" s="346">
        <f t="shared" si="2214"/>
        <v>0</v>
      </c>
      <c r="CE1143" s="346">
        <f t="shared" si="2214"/>
        <v>0</v>
      </c>
      <c r="CF1143" s="346">
        <f t="shared" si="2214"/>
        <v>0</v>
      </c>
      <c r="CG1143" s="346">
        <f t="shared" si="2214"/>
        <v>0</v>
      </c>
      <c r="CH1143" s="909"/>
      <c r="CI1143" s="1377"/>
      <c r="CJ1143" s="907"/>
      <c r="CK1143" s="907"/>
      <c r="CL1143" s="907"/>
      <c r="CM1143" s="331"/>
      <c r="CN1143" s="331">
        <f t="shared" si="2208"/>
        <v>2.1419999999999999</v>
      </c>
      <c r="CO1143" s="965">
        <f t="shared" si="2202"/>
        <v>-2.1419999999999999</v>
      </c>
      <c r="CP1143" s="1882" t="str">
        <f t="shared" si="2176"/>
        <v>Increased Term Loan</v>
      </c>
      <c r="CQ1143" s="347">
        <f t="shared" si="2177"/>
        <v>0</v>
      </c>
      <c r="CR1143" s="347">
        <f t="shared" si="2178"/>
        <v>0</v>
      </c>
      <c r="CS1143" s="347">
        <f t="shared" si="2179"/>
        <v>0</v>
      </c>
      <c r="CT1143" s="347">
        <f t="shared" si="2180"/>
        <v>0</v>
      </c>
      <c r="CU1143" s="347">
        <f t="shared" si="2181"/>
        <v>0</v>
      </c>
      <c r="CV1143" s="347">
        <f t="shared" si="2182"/>
        <v>0</v>
      </c>
      <c r="CW1143" s="347">
        <f t="shared" si="2183"/>
        <v>0</v>
      </c>
      <c r="CX1143" s="347">
        <f t="shared" si="2184"/>
        <v>5.25</v>
      </c>
      <c r="CY1143" s="347">
        <f t="shared" si="2185"/>
        <v>21.269325000000002</v>
      </c>
      <c r="CZ1143" s="347">
        <f t="shared" si="2186"/>
        <v>10.274430000000001</v>
      </c>
      <c r="DA1143" s="347">
        <f t="shared" si="2187"/>
        <v>0.67690499999999998</v>
      </c>
      <c r="DB1143" s="347">
        <f t="shared" si="2188"/>
        <v>1.6440000000000001</v>
      </c>
      <c r="DC1143" s="347">
        <f t="shared" si="2189"/>
        <v>1.3214999999999999</v>
      </c>
      <c r="DD1143" s="347">
        <f t="shared" si="2190"/>
        <v>2.7629999999999995</v>
      </c>
      <c r="DE1143" s="347">
        <f t="shared" si="2191"/>
        <v>2.1419999999999999</v>
      </c>
      <c r="DF1143" s="347">
        <f t="shared" si="2192"/>
        <v>2.1419999999999999</v>
      </c>
      <c r="DG1143" s="1795">
        <f t="shared" si="2193"/>
        <v>2.1419999999999999</v>
      </c>
      <c r="DH1143" s="908"/>
      <c r="DI1143" s="908"/>
      <c r="DJ1143" s="908"/>
      <c r="DK1143" s="908"/>
      <c r="DL1143" s="908"/>
      <c r="DM1143" s="908"/>
      <c r="DN1143" s="311"/>
      <c r="DO1143" s="312"/>
      <c r="DY1143" s="347"/>
      <c r="DZ1143" s="347"/>
    </row>
    <row r="1144" spans="1:130" ht="12" customHeight="1">
      <c r="A1144" s="1882" t="s">
        <v>1494</v>
      </c>
      <c r="B1144" s="907">
        <v>2.2499999999999999E-2</v>
      </c>
      <c r="C1144" s="907"/>
      <c r="D1144" s="329"/>
      <c r="E1144" s="347"/>
      <c r="F1144" s="347"/>
      <c r="G1144" s="347"/>
      <c r="H1144" s="585"/>
      <c r="I1144" s="347"/>
      <c r="J1144" s="347"/>
      <c r="K1144" s="347"/>
      <c r="L1144" s="347"/>
      <c r="M1144" s="585"/>
      <c r="N1144" s="347"/>
      <c r="O1144" s="347"/>
      <c r="P1144" s="347"/>
      <c r="Q1144" s="347"/>
      <c r="R1144" s="585"/>
      <c r="S1144" s="347"/>
      <c r="T1144" s="347"/>
      <c r="U1144" s="347"/>
      <c r="V1144" s="347"/>
      <c r="W1144" s="585"/>
      <c r="X1144" s="347"/>
      <c r="Y1144" s="347"/>
      <c r="Z1144" s="347"/>
      <c r="AA1144" s="347"/>
      <c r="AB1144" s="585"/>
      <c r="AC1144" s="347"/>
      <c r="AD1144" s="347"/>
      <c r="AE1144" s="347"/>
      <c r="AF1144" s="347"/>
      <c r="AG1144" s="585"/>
      <c r="AH1144" s="347"/>
      <c r="AI1144" s="347"/>
      <c r="AJ1144" s="347"/>
      <c r="AK1144" s="347"/>
      <c r="AL1144" s="585"/>
      <c r="AM1144" s="347"/>
      <c r="AN1144" s="347"/>
      <c r="AO1144" s="347"/>
      <c r="AP1144" s="347"/>
      <c r="AQ1144" s="585"/>
      <c r="AR1144" s="347"/>
      <c r="AS1144" s="347"/>
      <c r="AT1144" s="347"/>
      <c r="AU1144" s="347"/>
      <c r="AV1144" s="346"/>
      <c r="AW1144" s="347"/>
      <c r="AX1144" s="347"/>
      <c r="AY1144" s="347">
        <f>AY1088*($B$1144+AY1135)/4</f>
        <v>1.9937499999999999</v>
      </c>
      <c r="AZ1144" s="347">
        <f>AZ1088*($B$1144+AZ1135)/4</f>
        <v>2.0281250000000002</v>
      </c>
      <c r="BA1144" s="346">
        <f t="shared" si="2204"/>
        <v>4.0218749999999996</v>
      </c>
      <c r="BB1144" s="347">
        <f>BB1088*($B$1144+BB1135)/4</f>
        <v>1.8025</v>
      </c>
      <c r="BC1144" s="347">
        <f>BC1088*($B$1144+BC1135)/4</f>
        <v>1.9060793749999998</v>
      </c>
      <c r="BD1144" s="347">
        <f>BD1088*($B$1144+BD1135)/4</f>
        <v>1.7139843749999999</v>
      </c>
      <c r="BE1144" s="347">
        <f>BE1088*($B$1144+BE1135)/4</f>
        <v>1.9312499999999999</v>
      </c>
      <c r="BF1144" s="346">
        <f t="shared" si="2205"/>
        <v>7.3538137500000005</v>
      </c>
      <c r="BG1144" s="329">
        <f>BG1088*($B$1144+BG1135)/4</f>
        <v>1.8374999999999999</v>
      </c>
      <c r="BH1144" s="347">
        <f>BH1088*($B$1144+BH1135)/4</f>
        <v>0.39374999999999999</v>
      </c>
      <c r="BI1144" s="347">
        <f>BI1088*($B$1144+BI1135)/4</f>
        <v>0.45937499999999998</v>
      </c>
      <c r="BJ1144" s="1795">
        <f>BJ1088*($B$1144+BJ1135)/4</f>
        <v>1.7249999999999999</v>
      </c>
      <c r="BK1144" s="346">
        <f t="shared" si="2196"/>
        <v>4.4156249999999995</v>
      </c>
      <c r="BL1144" s="347">
        <f>AVERAGE(BL1088,BK1088)*($B$1145+BL1135)/4</f>
        <v>0.86249999999999993</v>
      </c>
      <c r="BM1144" s="347">
        <f>AVERAGE(BM1088,BL1088)*($B$1145+BM1135)/4</f>
        <v>0</v>
      </c>
      <c r="BN1144" s="347">
        <f>AVERAGE(BN1088,BM1088)*($B$1145+BN1135)/4</f>
        <v>0</v>
      </c>
      <c r="BO1144" s="1795">
        <f>AVERAGE(BO1088,BN1088)*($B$1145+BO1135)/4</f>
        <v>0.95703125</v>
      </c>
      <c r="BP1144" s="346">
        <f t="shared" si="2197"/>
        <v>1.8195312499999998</v>
      </c>
      <c r="BQ1144" s="347">
        <f>AVERAGE(BQ1088,BP1088)*($B$1145+BQ1135)/4</f>
        <v>2.0460937500000003</v>
      </c>
      <c r="BR1144" s="347">
        <f>+BQ1144</f>
        <v>2.0460937500000003</v>
      </c>
      <c r="BS1144" s="347">
        <f>+BR1144</f>
        <v>2.0460937500000003</v>
      </c>
      <c r="BT1144" s="1795">
        <f>+BS1144</f>
        <v>2.0460937500000003</v>
      </c>
      <c r="BU1144" s="3352">
        <f t="shared" si="2198"/>
        <v>8.1843750000000011</v>
      </c>
      <c r="BV1144" s="347">
        <f>AVERAGE(BV1088,BU1088)*($B$1145+BV1135)/4</f>
        <v>2.1969956250000036</v>
      </c>
      <c r="BW1144" s="347">
        <f t="shared" ref="BW1144:BY1144" si="2215">+BV1144</f>
        <v>2.1969956250000036</v>
      </c>
      <c r="BX1144" s="347">
        <f t="shared" si="2215"/>
        <v>2.1969956250000036</v>
      </c>
      <c r="BY1144" s="347">
        <f t="shared" si="2215"/>
        <v>2.1969956250000036</v>
      </c>
      <c r="BZ1144" s="4021">
        <f t="shared" si="2200"/>
        <v>8.7879825000000142</v>
      </c>
      <c r="CA1144" s="329">
        <f>AVERAGE(CA1088,BZ1088)*($B$1145+CA1135)</f>
        <v>39.71875</v>
      </c>
      <c r="CB1144" s="346">
        <f>AVERAGE(CB1088,CA1088)*($B$1145+CB1135)</f>
        <v>41.656249999999993</v>
      </c>
      <c r="CC1144" s="346">
        <f>CC1088*($B$1144+CC1135)</f>
        <v>41.656249999999993</v>
      </c>
      <c r="CD1144" s="346">
        <f>CD1088*($B$1144+CD1135)</f>
        <v>41.656249999999993</v>
      </c>
      <c r="CE1144" s="346">
        <f>CE1088*($B$1144+CE1135)</f>
        <v>41.656249999999993</v>
      </c>
      <c r="CF1144" s="346">
        <f>CF1088*($B$1144+CF1135)</f>
        <v>41.656249999999993</v>
      </c>
      <c r="CG1144" s="346">
        <f>CG1088*($B$1144+CG1135)</f>
        <v>41.656249999999993</v>
      </c>
      <c r="CH1144" s="909"/>
      <c r="CI1144" s="1377"/>
      <c r="CJ1144" s="907"/>
      <c r="CK1144" s="907"/>
      <c r="CL1144" s="907"/>
      <c r="CM1144" s="331"/>
      <c r="CN1144" s="331">
        <f t="shared" si="2208"/>
        <v>8.7879825000000142</v>
      </c>
      <c r="CO1144" s="965">
        <f t="shared" si="2202"/>
        <v>-8.7879825000000142</v>
      </c>
      <c r="CP1144" s="1882"/>
      <c r="CQ1144" s="347"/>
      <c r="CR1144" s="347"/>
      <c r="CS1144" s="347"/>
      <c r="CT1144" s="347"/>
      <c r="CU1144" s="347"/>
      <c r="CV1144" s="347"/>
      <c r="CW1144" s="347"/>
      <c r="CX1144" s="347"/>
      <c r="CY1144" s="347"/>
      <c r="CZ1144" s="347"/>
      <c r="DA1144" s="347"/>
      <c r="DB1144" s="347"/>
      <c r="DC1144" s="347"/>
      <c r="DD1144" s="347"/>
      <c r="DE1144" s="347"/>
      <c r="DF1144" s="347"/>
      <c r="DG1144" s="1795"/>
      <c r="DH1144" s="908"/>
      <c r="DI1144" s="908"/>
      <c r="DJ1144" s="908"/>
      <c r="DK1144" s="908"/>
      <c r="DL1144" s="908"/>
      <c r="DM1144" s="908"/>
      <c r="DN1144" s="311"/>
      <c r="DO1144" s="312"/>
      <c r="DY1144" s="347"/>
      <c r="DZ1144" s="347"/>
    </row>
    <row r="1145" spans="1:130" ht="12" customHeight="1">
      <c r="A1145" s="1882" t="s">
        <v>1495</v>
      </c>
      <c r="B1145" s="907">
        <v>2.2499999999999999E-2</v>
      </c>
      <c r="C1145" s="907"/>
      <c r="D1145" s="329"/>
      <c r="E1145" s="347"/>
      <c r="F1145" s="347"/>
      <c r="G1145" s="347"/>
      <c r="H1145" s="585"/>
      <c r="I1145" s="347"/>
      <c r="J1145" s="347"/>
      <c r="K1145" s="347"/>
      <c r="L1145" s="347"/>
      <c r="M1145" s="585"/>
      <c r="N1145" s="347"/>
      <c r="O1145" s="347"/>
      <c r="P1145" s="347"/>
      <c r="Q1145" s="347"/>
      <c r="R1145" s="585"/>
      <c r="S1145" s="347"/>
      <c r="T1145" s="347"/>
      <c r="U1145" s="347"/>
      <c r="V1145" s="347"/>
      <c r="W1145" s="585"/>
      <c r="X1145" s="347"/>
      <c r="Y1145" s="347"/>
      <c r="Z1145" s="347"/>
      <c r="AA1145" s="347"/>
      <c r="AB1145" s="585"/>
      <c r="AC1145" s="347"/>
      <c r="AD1145" s="347"/>
      <c r="AE1145" s="347"/>
      <c r="AF1145" s="347"/>
      <c r="AG1145" s="585"/>
      <c r="AH1145" s="347"/>
      <c r="AI1145" s="347"/>
      <c r="AJ1145" s="347"/>
      <c r="AK1145" s="347"/>
      <c r="AL1145" s="585"/>
      <c r="AM1145" s="347"/>
      <c r="AN1145" s="347"/>
      <c r="AO1145" s="347"/>
      <c r="AP1145" s="347"/>
      <c r="AQ1145" s="585"/>
      <c r="AR1145" s="347">
        <f>AR1089*($B$1145+AR1135)/4</f>
        <v>0</v>
      </c>
      <c r="AS1145" s="347">
        <f>AS1089*($B$1145+AS1135)/4</f>
        <v>0</v>
      </c>
      <c r="AT1145" s="347">
        <f>AT1089*($B$1145+AT1135)/4</f>
        <v>0</v>
      </c>
      <c r="AU1145" s="347">
        <f>AU1089*($B$1145+AU1135)/4</f>
        <v>0</v>
      </c>
      <c r="AV1145" s="346">
        <f t="shared" si="2203"/>
        <v>0</v>
      </c>
      <c r="AW1145" s="347">
        <f>AW1089*($B$1145+AW1135)/4</f>
        <v>0</v>
      </c>
      <c r="AX1145" s="347">
        <f>AX1089*($B$1145+AX1135)/4</f>
        <v>0</v>
      </c>
      <c r="AY1145" s="347">
        <f>AY1089*($B$1145+AY1135)/4</f>
        <v>1.71875</v>
      </c>
      <c r="AZ1145" s="347">
        <f>AZ1089*($B$1145+AZ1135)/4</f>
        <v>1.697265625</v>
      </c>
      <c r="BA1145" s="346">
        <f t="shared" si="2204"/>
        <v>3.416015625</v>
      </c>
      <c r="BB1145" s="347">
        <f>BB1089*($B$1145+BB1135)/4</f>
        <v>1.569140625</v>
      </c>
      <c r="BC1145" s="347">
        <f>BC1089*($B$1145+BC1135)/4</f>
        <v>1.5289062499999999</v>
      </c>
      <c r="BD1145" s="347">
        <f>BD1089*($B$1145+BD1135)/4</f>
        <v>1.5087890625</v>
      </c>
      <c r="BE1145" s="347">
        <f>BE1089*($B$1145+BE1135)/4</f>
        <v>1.4251015624999999</v>
      </c>
      <c r="BF1145" s="346">
        <f t="shared" si="2205"/>
        <v>6.0319374999999997</v>
      </c>
      <c r="BG1145" s="347">
        <f>BG1089*($B$1145+BG1135)/4</f>
        <v>1.4322656249999999</v>
      </c>
      <c r="BH1145" s="347">
        <f>BH1089*($B$1145+BH1135)/4</f>
        <v>1.3551562499999998</v>
      </c>
      <c r="BI1145" s="347">
        <f>BI1089*($B$1145+BI1135)/4</f>
        <v>1.2814921875</v>
      </c>
      <c r="BJ1145" s="347">
        <f>BJ1089*($B$1145+BJ1135)/4</f>
        <v>1.3172890625</v>
      </c>
      <c r="BK1145" s="346">
        <f t="shared" si="2196"/>
        <v>5.3862031249999998</v>
      </c>
      <c r="BL1145" s="347">
        <f>AVERAGE(BL1089,BK1089)*($B$1145+BL1135)/4</f>
        <v>1.294828125</v>
      </c>
      <c r="BM1145" s="347">
        <f>AVERAGE(BM1089,BL1089)*($B$1145+BM1135)/4</f>
        <v>1.2723671875</v>
      </c>
      <c r="BN1145" s="347">
        <f>AVERAGE(BN1089,BM1089)*($B$1145+BN1135)/4</f>
        <v>1.4447773437499998</v>
      </c>
      <c r="BO1145" s="347">
        <f>AVERAGE(BO1089,BN1089)*($B$1145+BO1135)/4</f>
        <v>1.746828125</v>
      </c>
      <c r="BP1145" s="346">
        <f t="shared" si="2197"/>
        <v>5.7588007812500006</v>
      </c>
      <c r="BQ1145" s="347">
        <f>AVERAGE(BQ1089,BP1089)*($B$1145+BQ1135)/4</f>
        <v>1.8628439062500002</v>
      </c>
      <c r="BR1145" s="347">
        <f>AVERAGE(BR1089,BQ1089)*($B$1145+BR1135)/4</f>
        <v>1.9753395312499999</v>
      </c>
      <c r="BS1145" s="347">
        <f>AVERAGE(BS1089,BR1089)*($B$1145+BS1135)/4</f>
        <v>1.9498512499999998</v>
      </c>
      <c r="BT1145" s="347">
        <f>AVERAGE(BT1089,BS1089)*($B$1145+BT1135)/4</f>
        <v>2.0555664062500001</v>
      </c>
      <c r="BU1145" s="3352">
        <f t="shared" si="2198"/>
        <v>7.8436010937499994</v>
      </c>
      <c r="BV1145" s="347">
        <f>AVERAGE(BV1089,BU1089)*($B$1145+BV1135)/4</f>
        <v>2.1559570312499998</v>
      </c>
      <c r="BW1145" s="347">
        <f t="shared" ref="BW1145:BY1145" si="2216">AVERAGE(BW1089,BV1089)*($B$1145+BW1135)/4</f>
        <v>2.25244140625</v>
      </c>
      <c r="BX1145" s="347">
        <f t="shared" si="2216"/>
        <v>2.3450195312500002</v>
      </c>
      <c r="BY1145" s="347">
        <f t="shared" si="2216"/>
        <v>2.4336914062499999</v>
      </c>
      <c r="BZ1145" s="4014">
        <f t="shared" si="2200"/>
        <v>9.1871093750000004</v>
      </c>
      <c r="CA1145" s="346">
        <f>AVERAGE(CA1089,BZ1089)*($B$1145+CA1135)</f>
        <v>9.8335937499999986</v>
      </c>
      <c r="CB1145" s="346">
        <f>AVERAGE(CB1089,CA1089)*($B$1145+CB1135)</f>
        <v>9.6414062499999993</v>
      </c>
      <c r="CC1145" s="346">
        <f>CC1089*($B$1145+CC1135)</f>
        <v>8.6335937499999993</v>
      </c>
      <c r="CD1145" s="346">
        <f>CD1089*($B$1145+CD1135)</f>
        <v>7.9617187499999993</v>
      </c>
      <c r="CE1145" s="346">
        <f>CE1089*($B$1145+CE1135)</f>
        <v>7.2898437499999993</v>
      </c>
      <c r="CF1145" s="346">
        <f>CF1089*($B$1145+CF1135)</f>
        <v>6.6179687499999993</v>
      </c>
      <c r="CG1145" s="346">
        <f>CG1089*($B$1145+CG1135)</f>
        <v>5.9460937499999993</v>
      </c>
      <c r="CH1145" s="909"/>
      <c r="CI1145" s="1377"/>
      <c r="CJ1145" s="907"/>
      <c r="CK1145" s="907"/>
      <c r="CL1145" s="907"/>
      <c r="CM1145" s="331"/>
      <c r="CN1145" s="331">
        <f t="shared" si="2208"/>
        <v>9.1871093750000004</v>
      </c>
      <c r="CO1145" s="965">
        <f t="shared" si="2202"/>
        <v>-9.1871093750000004</v>
      </c>
      <c r="CP1145" s="1882"/>
      <c r="CQ1145" s="347"/>
      <c r="CR1145" s="347"/>
      <c r="CS1145" s="347"/>
      <c r="CT1145" s="347"/>
      <c r="CU1145" s="347"/>
      <c r="CV1145" s="347"/>
      <c r="CW1145" s="347"/>
      <c r="CX1145" s="347"/>
      <c r="CY1145" s="347"/>
      <c r="CZ1145" s="347"/>
      <c r="DA1145" s="347"/>
      <c r="DB1145" s="347"/>
      <c r="DC1145" s="347"/>
      <c r="DD1145" s="347"/>
      <c r="DE1145" s="347"/>
      <c r="DF1145" s="347"/>
      <c r="DG1145" s="1795"/>
      <c r="DH1145" s="908"/>
      <c r="DI1145" s="908"/>
      <c r="DJ1145" s="908"/>
      <c r="DK1145" s="908"/>
      <c r="DL1145" s="908"/>
      <c r="DM1145" s="908"/>
      <c r="DN1145" s="311"/>
      <c r="DO1145" s="312"/>
      <c r="DY1145" s="347"/>
      <c r="DZ1145" s="347"/>
    </row>
    <row r="1146" spans="1:130" s="2252" customFormat="1" ht="12" customHeight="1">
      <c r="A1146" s="3303" t="s">
        <v>1497</v>
      </c>
      <c r="B1146" s="907">
        <v>0.03</v>
      </c>
      <c r="C1146" s="907"/>
      <c r="D1146" s="329"/>
      <c r="E1146" s="347"/>
      <c r="F1146" s="347"/>
      <c r="G1146" s="347"/>
      <c r="H1146" s="585"/>
      <c r="I1146" s="347"/>
      <c r="J1146" s="347"/>
      <c r="K1146" s="347"/>
      <c r="L1146" s="347"/>
      <c r="M1146" s="585"/>
      <c r="N1146" s="347"/>
      <c r="O1146" s="347"/>
      <c r="P1146" s="347"/>
      <c r="Q1146" s="347"/>
      <c r="R1146" s="585"/>
      <c r="S1146" s="347"/>
      <c r="T1146" s="347"/>
      <c r="U1146" s="347"/>
      <c r="V1146" s="347"/>
      <c r="W1146" s="585"/>
      <c r="X1146" s="347"/>
      <c r="Y1146" s="347"/>
      <c r="Z1146" s="347"/>
      <c r="AA1146" s="347"/>
      <c r="AB1146" s="585"/>
      <c r="AC1146" s="347"/>
      <c r="AD1146" s="347"/>
      <c r="AE1146" s="347"/>
      <c r="AF1146" s="347"/>
      <c r="AG1146" s="585"/>
      <c r="AH1146" s="347"/>
      <c r="AI1146" s="347"/>
      <c r="AJ1146" s="347"/>
      <c r="AK1146" s="347"/>
      <c r="AL1146" s="585"/>
      <c r="AM1146" s="347"/>
      <c r="AN1146" s="347"/>
      <c r="AO1146" s="347"/>
      <c r="AP1146" s="347"/>
      <c r="AQ1146" s="585"/>
      <c r="AR1146" s="347">
        <f>AR1090*($B$1146+AR1136)/4</f>
        <v>0</v>
      </c>
      <c r="AS1146" s="347">
        <f>AS1090*($B$1146+AS1136)/4</f>
        <v>0</v>
      </c>
      <c r="AT1146" s="347">
        <f>AT1090*($B$1146+AT1136)/4</f>
        <v>0</v>
      </c>
      <c r="AU1146" s="347">
        <f>AU1090*($B$1146+AU1136)/4</f>
        <v>0</v>
      </c>
      <c r="AV1146" s="346">
        <f t="shared" si="2203"/>
        <v>0</v>
      </c>
      <c r="AW1146" s="347">
        <f>AW1090*($B$1146+AW1136)/4</f>
        <v>0</v>
      </c>
      <c r="AX1146" s="347">
        <f>AX1090*($B$1146+AX1136)/4</f>
        <v>0</v>
      </c>
      <c r="AY1146" s="347">
        <f>AY1090*($B$1146+MAX(0.01,AY1135))/4</f>
        <v>9</v>
      </c>
      <c r="AZ1146" s="347">
        <f>AZ1090*($B$1146+MAX(0.01,AZ1135))/4</f>
        <v>8.9775000000000009</v>
      </c>
      <c r="BA1146" s="346">
        <f t="shared" si="2204"/>
        <v>17.977499999999999</v>
      </c>
      <c r="BB1146" s="347">
        <f>BB1090*($B$1146+MAX(0.01,BB1135))/4</f>
        <v>8.9550000000000001</v>
      </c>
      <c r="BC1146" s="347">
        <f>BC1090*($B$1146+MAX(0.01,BC1135))/4</f>
        <v>8.7100000000000009</v>
      </c>
      <c r="BD1146" s="347">
        <f>BD1090*($B$1146+MAX(0.01,BD1135))/4</f>
        <v>8.5875000000000004</v>
      </c>
      <c r="BE1146" s="347">
        <f>BE1090*($B$1146+MAX(0.01,BE1135))/4</f>
        <v>8.4075000000000006</v>
      </c>
      <c r="BF1146" s="346">
        <f t="shared" si="2205"/>
        <v>34.659999999999997</v>
      </c>
      <c r="BG1146" s="347">
        <f>BG1090*($B$1146+MAX(0.01,BG1135))/4</f>
        <v>8.3849999999999998</v>
      </c>
      <c r="BH1146" s="347">
        <f>BH1090*($B$1146+MAX(0.01,BH1135))/4</f>
        <v>8.1300000000000008</v>
      </c>
      <c r="BI1146" s="347">
        <f>BI1090*($B$1146+MAX(0.01,BI1135))/4</f>
        <v>7.7875000000000005</v>
      </c>
      <c r="BJ1146" s="347">
        <f>BJ1090*($B$1146+MAX(0.01,BJ1135))/4</f>
        <v>7.3075000000000001</v>
      </c>
      <c r="BK1146" s="346">
        <f t="shared" si="2196"/>
        <v>31.610000000000003</v>
      </c>
      <c r="BL1146" s="347">
        <f>AVERAGE(BL1090,BK1090)*($B$1146+MAX(0.01,BL1135))/4</f>
        <v>7.2850000000000001</v>
      </c>
      <c r="BM1146" s="347">
        <f>AVERAGE(BM1090,BL1090)*($B$1146+MAX(0.01,BM1135))/4</f>
        <v>7.2625000000000002</v>
      </c>
      <c r="BN1146" s="347">
        <f>AVERAGE(BN1090,BM1090)*($B$1146+MAX(0.01,BN1135))/4</f>
        <v>5.0012499999999998</v>
      </c>
      <c r="BO1146" s="347">
        <f>AVERAGE(BO1090,BN1090)*($B$1146+MAX(0.01,BO1135))/4</f>
        <v>2.7287500000000002</v>
      </c>
      <c r="BP1146" s="346">
        <f t="shared" si="2197"/>
        <v>22.2775</v>
      </c>
      <c r="BQ1146" s="347">
        <f>AVERAGE(BQ1090,BP1090)*($B$1146+MAX(0.01,BQ1135))/4</f>
        <v>1.4012109374999999</v>
      </c>
      <c r="BR1146" s="3925">
        <f>(BQ1090*($B$1146+MAX(0.01,BR1135))/4)*(3/92)</f>
        <v>0</v>
      </c>
      <c r="BS1146" s="347">
        <f>AVERAGE(BS1090,BR1090)*($B$1146+MAX(0.01,BS1135))/4</f>
        <v>0</v>
      </c>
      <c r="BT1146" s="347">
        <f>AVERAGE(BT1090,BS1090)*($B$1146+MAX(0.01,BT1135))/4</f>
        <v>0</v>
      </c>
      <c r="BU1146" s="3352">
        <f>SUM(BQ1146:BT1146)</f>
        <v>1.4012109374999999</v>
      </c>
      <c r="BV1146" s="347">
        <f>AVERAGE(BV1090,BU1090)*($B$1146+MAX(0.01,BV1135))/4</f>
        <v>0</v>
      </c>
      <c r="BW1146" s="347">
        <f t="shared" ref="BW1146:BY1146" si="2217">AVERAGE(BW1090,BV1090)*($B$1146+MAX(0.01,BW1135))/4</f>
        <v>0</v>
      </c>
      <c r="BX1146" s="347">
        <f t="shared" si="2217"/>
        <v>0</v>
      </c>
      <c r="BY1146" s="347">
        <f t="shared" si="2217"/>
        <v>0</v>
      </c>
      <c r="BZ1146" s="4014">
        <f>SUM(BV1146:BY1146)</f>
        <v>0</v>
      </c>
      <c r="CA1146" s="346">
        <f>AVERAGE(CA1090,BZ1090)*($C$1146+MAX(0.01,CA1135))</f>
        <v>0</v>
      </c>
      <c r="CB1146" s="346">
        <f t="shared" ref="CB1146" si="2218">AVERAGE(CB1090,CA1090)*($C$1146+MAX(0.01,CB1135))</f>
        <v>0</v>
      </c>
      <c r="CC1146" s="346">
        <f>CC1090*($B$1146+MAX(CC1135,0.01))</f>
        <v>-0.55125000000000002</v>
      </c>
      <c r="CD1146" s="346">
        <f>CD1090*($B$1146+MAX(CD1135,0.01))</f>
        <v>-1.1025</v>
      </c>
      <c r="CE1146" s="346">
        <f>CE1090*($B$1146+MAX(CE1135,0.01))</f>
        <v>-1.6537500000000001</v>
      </c>
      <c r="CF1146" s="346">
        <f>CF1090*($B$1146+MAX(CF1135,0.01))</f>
        <v>-2.2050000000000001</v>
      </c>
      <c r="CG1146" s="346">
        <f>CG1090*($B$1146+MAX(CG1135,0.01))</f>
        <v>-2.7562500000000001</v>
      </c>
      <c r="CH1146" s="3926"/>
      <c r="CI1146" s="1377"/>
      <c r="CJ1146" s="907"/>
      <c r="CK1146" s="907"/>
      <c r="CL1146" s="907"/>
      <c r="CM1146" s="331"/>
      <c r="CN1146" s="331">
        <f t="shared" si="2208"/>
        <v>0</v>
      </c>
      <c r="CO1146" s="965">
        <f t="shared" si="2202"/>
        <v>0</v>
      </c>
      <c r="CP1146" s="1882"/>
      <c r="CQ1146" s="347"/>
      <c r="CR1146" s="347"/>
      <c r="CS1146" s="347"/>
      <c r="CT1146" s="347"/>
      <c r="CU1146" s="347"/>
      <c r="CV1146" s="347"/>
      <c r="CW1146" s="347"/>
      <c r="CX1146" s="347"/>
      <c r="CY1146" s="347"/>
      <c r="CZ1146" s="347"/>
      <c r="DA1146" s="347"/>
      <c r="DB1146" s="347"/>
      <c r="DC1146" s="347"/>
      <c r="DD1146" s="347"/>
      <c r="DE1146" s="347"/>
      <c r="DF1146" s="347"/>
      <c r="DG1146" s="1795"/>
      <c r="DH1146" s="908"/>
      <c r="DI1146" s="908"/>
      <c r="DJ1146" s="908"/>
      <c r="DK1146" s="908"/>
      <c r="DL1146" s="908"/>
      <c r="DM1146" s="908"/>
      <c r="DN1146" s="311"/>
      <c r="DO1146" s="858"/>
      <c r="DP1146"/>
      <c r="DQ1146"/>
      <c r="DR1146"/>
      <c r="DS1146"/>
      <c r="DT1146"/>
      <c r="DU1146"/>
      <c r="DY1146" s="347"/>
      <c r="DZ1146" s="347"/>
    </row>
    <row r="1147" spans="1:130" s="2252" customFormat="1" ht="12" customHeight="1">
      <c r="A1147" s="3303" t="s">
        <v>1913</v>
      </c>
      <c r="B1147" s="907">
        <v>0.03</v>
      </c>
      <c r="C1147" s="907"/>
      <c r="D1147" s="329"/>
      <c r="E1147" s="347"/>
      <c r="F1147" s="347"/>
      <c r="G1147" s="347"/>
      <c r="H1147" s="585"/>
      <c r="I1147" s="347"/>
      <c r="J1147" s="347"/>
      <c r="K1147" s="347"/>
      <c r="L1147" s="347"/>
      <c r="M1147" s="585"/>
      <c r="N1147" s="347"/>
      <c r="O1147" s="347"/>
      <c r="P1147" s="347"/>
      <c r="Q1147" s="347"/>
      <c r="R1147" s="585"/>
      <c r="S1147" s="347"/>
      <c r="T1147" s="347"/>
      <c r="U1147" s="347"/>
      <c r="V1147" s="347"/>
      <c r="W1147" s="585"/>
      <c r="X1147" s="347"/>
      <c r="Y1147" s="347"/>
      <c r="Z1147" s="347"/>
      <c r="AA1147" s="347"/>
      <c r="AB1147" s="585"/>
      <c r="AC1147" s="347"/>
      <c r="AD1147" s="347"/>
      <c r="AE1147" s="347"/>
      <c r="AF1147" s="347"/>
      <c r="AG1147" s="585"/>
      <c r="AH1147" s="347"/>
      <c r="AI1147" s="347"/>
      <c r="AJ1147" s="347"/>
      <c r="AK1147" s="347"/>
      <c r="AL1147" s="585"/>
      <c r="AM1147" s="347"/>
      <c r="AN1147" s="347"/>
      <c r="AO1147" s="347"/>
      <c r="AP1147" s="347"/>
      <c r="AQ1147" s="585"/>
      <c r="AR1147" s="347"/>
      <c r="AS1147" s="347"/>
      <c r="AT1147" s="347"/>
      <c r="AU1147" s="347"/>
      <c r="AV1147" s="346"/>
      <c r="AW1147" s="347"/>
      <c r="AX1147" s="347"/>
      <c r="AY1147" s="347"/>
      <c r="AZ1147" s="347"/>
      <c r="BA1147" s="346"/>
      <c r="BB1147" s="347"/>
      <c r="BC1147" s="347"/>
      <c r="BD1147" s="347"/>
      <c r="BE1147" s="347"/>
      <c r="BF1147" s="346"/>
      <c r="BG1147" s="347"/>
      <c r="BH1147" s="347"/>
      <c r="BI1147" s="347"/>
      <c r="BJ1147" s="347"/>
      <c r="BK1147" s="346"/>
      <c r="BL1147" s="347"/>
      <c r="BM1147" s="347"/>
      <c r="BN1147" s="347"/>
      <c r="BO1147" s="347">
        <f>AVERAGE(BO1091,BN1091)*($B$1145+BO1135)/4</f>
        <v>7.802734375</v>
      </c>
      <c r="BP1147" s="346">
        <f t="shared" si="2197"/>
        <v>7.802734375</v>
      </c>
      <c r="BQ1147" s="347">
        <f>AVERAGE(BQ1091,BP1091)*($B$1147+BQ1135)/4</f>
        <v>5.1433593749999993</v>
      </c>
      <c r="BR1147" s="3925">
        <f>(BQ1091*($B$1147+BR1135)/4)*(3/92)</f>
        <v>0</v>
      </c>
      <c r="BS1147" s="347">
        <f>AVERAGE(BS1091,BR1091)*($C$1147+BS1135)/4</f>
        <v>0</v>
      </c>
      <c r="BT1147" s="347">
        <f>AVERAGE(BT1091,BS1091)*($C$1147+BT1135)/4</f>
        <v>0</v>
      </c>
      <c r="BU1147" s="3352">
        <f>SUM(BQ1147:BT1147)</f>
        <v>5.1433593749999993</v>
      </c>
      <c r="BV1147" s="347">
        <f t="shared" ref="BV1147" si="2219">AVERAGE(BV1091,BU1091)*($C$1147+BV1135)/4</f>
        <v>0</v>
      </c>
      <c r="BW1147" s="347">
        <f t="shared" ref="BW1147" si="2220">AVERAGE(BW1091,BV1091)*($C$1147+BW1135)/4</f>
        <v>0</v>
      </c>
      <c r="BX1147" s="347">
        <f t="shared" ref="BX1147" si="2221">AVERAGE(BX1091,BW1091)*($C$1147+BX1135)/4</f>
        <v>0</v>
      </c>
      <c r="BY1147" s="347">
        <f t="shared" ref="BY1147" si="2222">AVERAGE(BY1091,BX1091)*($C$1147+BY1135)/4</f>
        <v>0</v>
      </c>
      <c r="BZ1147" s="4014">
        <f>SUM(BV1147:BY1147)</f>
        <v>0</v>
      </c>
      <c r="CA1147" s="346">
        <f t="shared" ref="CA1147:CB1147" si="2223">AVERAGE(CA1091,BZ1091)*($C$1147+CA1135)</f>
        <v>0</v>
      </c>
      <c r="CB1147" s="346">
        <f t="shared" si="2223"/>
        <v>0</v>
      </c>
      <c r="CC1147" s="346"/>
      <c r="CD1147" s="346"/>
      <c r="CE1147" s="346"/>
      <c r="CF1147" s="346"/>
      <c r="CG1147" s="346"/>
      <c r="CH1147" s="3926"/>
      <c r="CI1147" s="1377"/>
      <c r="CJ1147" s="907"/>
      <c r="CK1147" s="907"/>
      <c r="CL1147" s="907"/>
      <c r="CM1147" s="331"/>
      <c r="CN1147" s="331">
        <f t="shared" si="2208"/>
        <v>0</v>
      </c>
      <c r="CO1147" s="965">
        <f t="shared" si="2202"/>
        <v>0</v>
      </c>
      <c r="CP1147" s="1882"/>
      <c r="CQ1147" s="347"/>
      <c r="CR1147" s="347"/>
      <c r="CS1147" s="347"/>
      <c r="CT1147" s="347"/>
      <c r="CU1147" s="347"/>
      <c r="CV1147" s="347"/>
      <c r="CW1147" s="347"/>
      <c r="CX1147" s="347"/>
      <c r="CY1147" s="347"/>
      <c r="CZ1147" s="347"/>
      <c r="DA1147" s="347"/>
      <c r="DB1147" s="347"/>
      <c r="DC1147" s="347"/>
      <c r="DD1147" s="347"/>
      <c r="DE1147" s="347"/>
      <c r="DF1147" s="347"/>
      <c r="DG1147" s="1795"/>
      <c r="DH1147" s="908"/>
      <c r="DI1147" s="908"/>
      <c r="DJ1147" s="908"/>
      <c r="DK1147" s="908"/>
      <c r="DL1147" s="908"/>
      <c r="DM1147" s="908"/>
      <c r="DN1147" s="311"/>
      <c r="DO1147" s="858"/>
      <c r="DP1147"/>
      <c r="DQ1147"/>
      <c r="DR1147"/>
      <c r="DS1147"/>
      <c r="DT1147"/>
      <c r="DU1147"/>
      <c r="DY1147" s="347"/>
      <c r="DZ1147" s="347"/>
    </row>
    <row r="1148" spans="1:130" s="2252" customFormat="1" ht="12" customHeight="1">
      <c r="A1148" s="3303" t="s">
        <v>1954</v>
      </c>
      <c r="B1148" s="907">
        <v>2.5000000000000001E-2</v>
      </c>
      <c r="C1148" s="907"/>
      <c r="D1148" s="329"/>
      <c r="E1148" s="347"/>
      <c r="F1148" s="347"/>
      <c r="G1148" s="347"/>
      <c r="H1148" s="585"/>
      <c r="I1148" s="347"/>
      <c r="J1148" s="347"/>
      <c r="K1148" s="347"/>
      <c r="L1148" s="347"/>
      <c r="M1148" s="585"/>
      <c r="N1148" s="347"/>
      <c r="O1148" s="347"/>
      <c r="P1148" s="347"/>
      <c r="Q1148" s="347"/>
      <c r="R1148" s="585"/>
      <c r="S1148" s="347"/>
      <c r="T1148" s="347"/>
      <c r="U1148" s="347"/>
      <c r="V1148" s="347"/>
      <c r="W1148" s="585"/>
      <c r="X1148" s="347"/>
      <c r="Y1148" s="347"/>
      <c r="Z1148" s="347"/>
      <c r="AA1148" s="347"/>
      <c r="AB1148" s="585"/>
      <c r="AC1148" s="347"/>
      <c r="AD1148" s="347"/>
      <c r="AE1148" s="347"/>
      <c r="AF1148" s="347"/>
      <c r="AG1148" s="585"/>
      <c r="AH1148" s="347"/>
      <c r="AI1148" s="347"/>
      <c r="AJ1148" s="347"/>
      <c r="AK1148" s="347"/>
      <c r="AL1148" s="585"/>
      <c r="AM1148" s="347"/>
      <c r="AN1148" s="347"/>
      <c r="AO1148" s="347"/>
      <c r="AP1148" s="347"/>
      <c r="AQ1148" s="585"/>
      <c r="AR1148" s="347"/>
      <c r="AS1148" s="347"/>
      <c r="AT1148" s="347"/>
      <c r="AU1148" s="347"/>
      <c r="AV1148" s="346"/>
      <c r="AW1148" s="347"/>
      <c r="AX1148" s="347"/>
      <c r="AY1148" s="347"/>
      <c r="AZ1148" s="347"/>
      <c r="BA1148" s="346"/>
      <c r="BB1148" s="347"/>
      <c r="BC1148" s="347"/>
      <c r="BD1148" s="347"/>
      <c r="BE1148" s="347"/>
      <c r="BF1148" s="346"/>
      <c r="BG1148" s="347"/>
      <c r="BH1148" s="347"/>
      <c r="BI1148" s="347"/>
      <c r="BJ1148" s="347"/>
      <c r="BK1148" s="346"/>
      <c r="BL1148" s="347"/>
      <c r="BM1148" s="347"/>
      <c r="BN1148" s="347"/>
      <c r="BO1148" s="347"/>
      <c r="BP1148" s="346"/>
      <c r="BQ1148" s="347"/>
      <c r="BR1148" s="3925">
        <f>((BR1092)*($B$1148+BR1135)/4)*(89/92)</f>
        <v>11.773910669157608</v>
      </c>
      <c r="BS1148" s="347">
        <f>AVERAGE(BS1092,BR1092)*($B$1148+BS1135)/4</f>
        <v>12.058597968749998</v>
      </c>
      <c r="BT1148" s="347">
        <f>AVERAGE(BT1092,BS1092)*($B$1148+BT1135)/4</f>
        <v>12.717148125000001</v>
      </c>
      <c r="BU1148" s="3352">
        <f>SUM(BQ1148:BT1148)</f>
        <v>36.54965676290761</v>
      </c>
      <c r="BV1148" s="347">
        <f t="shared" ref="BV1148" si="2224">AVERAGE(BV1092,BU1092)*($B$1148+BV1135)/4</f>
        <v>13.487884375</v>
      </c>
      <c r="BW1148" s="347">
        <f t="shared" ref="BW1148" si="2225">AVERAGE(BW1092,BV1092)*($B$1148+BW1135)/4</f>
        <v>14.258620625000001</v>
      </c>
      <c r="BX1148" s="347">
        <f t="shared" ref="BX1148" si="2226">AVERAGE(BX1092,BW1092)*($B$1148+BX1135)/4</f>
        <v>15.029356875000001</v>
      </c>
      <c r="BY1148" s="347">
        <f t="shared" ref="BY1148" si="2227">AVERAGE(BY1092,BX1092)*($B$1148+BY1135)/4</f>
        <v>15.800093125000002</v>
      </c>
      <c r="BZ1148" s="4014">
        <f>SUM(BV1148:BY1148)</f>
        <v>58.575955000000008</v>
      </c>
      <c r="CA1148" s="346">
        <f t="shared" ref="CA1148:CB1148" si="2228">AVERAGE(CA1092,BZ1092)*($B$1148+CA1135)</f>
        <v>66.28331750000001</v>
      </c>
      <c r="CB1148" s="346">
        <f t="shared" si="2228"/>
        <v>69.366262500000005</v>
      </c>
      <c r="CC1148" s="346"/>
      <c r="CD1148" s="346"/>
      <c r="CE1148" s="346"/>
      <c r="CF1148" s="346"/>
      <c r="CG1148" s="346"/>
      <c r="CH1148" s="3926"/>
      <c r="CI1148" s="1377"/>
      <c r="CJ1148" s="907"/>
      <c r="CK1148" s="907"/>
      <c r="CL1148" s="907"/>
      <c r="CM1148" s="331"/>
      <c r="CN1148" s="331">
        <f t="shared" si="2208"/>
        <v>58.575955000000008</v>
      </c>
      <c r="CO1148" s="965">
        <f t="shared" si="2202"/>
        <v>-58.575955000000008</v>
      </c>
      <c r="CP1148" s="1882"/>
      <c r="CQ1148" s="347"/>
      <c r="CR1148" s="347"/>
      <c r="CS1148" s="347"/>
      <c r="CT1148" s="347"/>
      <c r="CU1148" s="347"/>
      <c r="CV1148" s="347"/>
      <c r="CW1148" s="347"/>
      <c r="CX1148" s="347"/>
      <c r="CY1148" s="347"/>
      <c r="CZ1148" s="347"/>
      <c r="DA1148" s="347"/>
      <c r="DB1148" s="347"/>
      <c r="DC1148" s="347"/>
      <c r="DD1148" s="347"/>
      <c r="DE1148" s="347"/>
      <c r="DF1148" s="347"/>
      <c r="DG1148" s="1795"/>
      <c r="DH1148" s="908"/>
      <c r="DI1148" s="908"/>
      <c r="DJ1148" s="908"/>
      <c r="DK1148" s="908"/>
      <c r="DL1148" s="908"/>
      <c r="DM1148" s="908"/>
      <c r="DN1148" s="311"/>
      <c r="DO1148" s="858"/>
      <c r="DP1148"/>
      <c r="DQ1148"/>
      <c r="DR1148"/>
      <c r="DS1148"/>
      <c r="DT1148"/>
      <c r="DU1148"/>
      <c r="DY1148" s="347"/>
      <c r="DZ1148" s="347"/>
    </row>
    <row r="1149" spans="1:130" ht="12" hidden="1" customHeight="1" outlineLevel="1">
      <c r="A1149" s="633" t="s">
        <v>24</v>
      </c>
      <c r="B1149" s="907">
        <v>9.2499999999999999E-2</v>
      </c>
      <c r="C1149" s="907"/>
      <c r="D1149" s="329">
        <f t="shared" ref="D1149:D1154" si="2229">AVERAGE(D1093:D1093)*$B1149/4</f>
        <v>4.625</v>
      </c>
      <c r="E1149" s="347">
        <f t="shared" ref="E1149:G1154" si="2230">AVERAGE(D1093:E1093)*$B1149/4</f>
        <v>4.625</v>
      </c>
      <c r="F1149" s="347">
        <f t="shared" si="2230"/>
        <v>4.625</v>
      </c>
      <c r="G1149" s="347">
        <f t="shared" si="2230"/>
        <v>4.625</v>
      </c>
      <c r="H1149" s="346">
        <f t="shared" ref="H1149:H1162" si="2231">SUM(D1149:G1149)</f>
        <v>18.5</v>
      </c>
      <c r="I1149" s="347">
        <f t="shared" ref="I1149:J1155" si="2232">AVERAGE(H1093:I1093)*$B1149/4</f>
        <v>4.625</v>
      </c>
      <c r="J1149" s="347">
        <f t="shared" si="2232"/>
        <v>4.625</v>
      </c>
      <c r="K1149" s="347">
        <f>J1093*$B1149/4/3</f>
        <v>1.5416666666666667</v>
      </c>
      <c r="L1149" s="347">
        <f t="shared" ref="L1149:L1155" si="2233">AVERAGE(K1093:L1093)*$B1149/4</f>
        <v>0</v>
      </c>
      <c r="M1149" s="346">
        <f t="shared" ref="M1149:M1155" si="2234">SUM(I1149:L1149)</f>
        <v>10.791666666666666</v>
      </c>
      <c r="N1149" s="347">
        <f t="shared" ref="N1149:Q1155" si="2235">AVERAGE(M1093:N1093)*$B1149/4</f>
        <v>0</v>
      </c>
      <c r="O1149" s="347">
        <f t="shared" si="2235"/>
        <v>0</v>
      </c>
      <c r="P1149" s="347">
        <f t="shared" si="2235"/>
        <v>0</v>
      </c>
      <c r="Q1149" s="347">
        <f t="shared" si="2235"/>
        <v>0</v>
      </c>
      <c r="R1149" s="346">
        <f t="shared" ref="R1149:R1156" si="2236">SUM(N1149:Q1149)</f>
        <v>0</v>
      </c>
      <c r="S1149" s="347">
        <f t="shared" ref="S1149:V1151" si="2237">AVERAGE(R1093:S1093)*$B1149/4</f>
        <v>0</v>
      </c>
      <c r="T1149" s="347">
        <f t="shared" si="2237"/>
        <v>0</v>
      </c>
      <c r="U1149" s="347">
        <f t="shared" si="2237"/>
        <v>0</v>
      </c>
      <c r="V1149" s="347">
        <f t="shared" si="2237"/>
        <v>0</v>
      </c>
      <c r="W1149" s="346">
        <f t="shared" si="2194"/>
        <v>0</v>
      </c>
      <c r="X1149" s="347">
        <f t="shared" ref="X1149:AA1152" si="2238">AVERAGE(W1093:X1093)*$B1149/4</f>
        <v>0</v>
      </c>
      <c r="Y1149" s="347">
        <f t="shared" si="2238"/>
        <v>0</v>
      </c>
      <c r="Z1149" s="347">
        <f t="shared" si="2238"/>
        <v>0</v>
      </c>
      <c r="AA1149" s="347">
        <f t="shared" si="2238"/>
        <v>0</v>
      </c>
      <c r="AB1149" s="346">
        <f t="shared" si="2195"/>
        <v>0</v>
      </c>
      <c r="AC1149" s="347">
        <f t="shared" ref="AC1149:AF1156" si="2239">AVERAGE(AB1093:AC1093)*$B1149/4</f>
        <v>0</v>
      </c>
      <c r="AD1149" s="347">
        <f t="shared" si="2239"/>
        <v>0</v>
      </c>
      <c r="AE1149" s="347">
        <f t="shared" si="2239"/>
        <v>0</v>
      </c>
      <c r="AF1149" s="347">
        <f t="shared" si="2239"/>
        <v>0</v>
      </c>
      <c r="AG1149" s="346">
        <f t="shared" ref="AG1149:AG1156" si="2240">SUM(AC1149:AF1149)</f>
        <v>0</v>
      </c>
      <c r="AH1149" s="347">
        <f t="shared" ref="AH1149:AK1156" si="2241">AVERAGE(AG1093:AH1093)*$B1149/4</f>
        <v>0</v>
      </c>
      <c r="AI1149" s="347">
        <f t="shared" si="2241"/>
        <v>0</v>
      </c>
      <c r="AJ1149" s="347">
        <f t="shared" si="2241"/>
        <v>0</v>
      </c>
      <c r="AK1149" s="347">
        <f t="shared" si="2241"/>
        <v>0</v>
      </c>
      <c r="AL1149" s="346">
        <f t="shared" ref="AL1149:AL1156" si="2242">SUM(AH1149:AK1149)</f>
        <v>0</v>
      </c>
      <c r="AM1149" s="347">
        <f t="shared" ref="AM1149:AP1156" si="2243">AVERAGE(AL1093:AM1093)*$B1149/4</f>
        <v>0</v>
      </c>
      <c r="AN1149" s="347">
        <f t="shared" si="2243"/>
        <v>0</v>
      </c>
      <c r="AO1149" s="347">
        <f t="shared" si="2243"/>
        <v>0</v>
      </c>
      <c r="AP1149" s="347">
        <f t="shared" si="2243"/>
        <v>0</v>
      </c>
      <c r="AQ1149" s="346">
        <f t="shared" ref="AQ1149:AQ1156" si="2244">SUM(AM1149:AP1149)</f>
        <v>0</v>
      </c>
      <c r="AR1149" s="347">
        <f t="shared" ref="AR1149:AU1157" si="2245">AVERAGE(AQ1093:AR1093)*$B1149/4</f>
        <v>0</v>
      </c>
      <c r="AS1149" s="347">
        <f t="shared" si="2245"/>
        <v>0</v>
      </c>
      <c r="AT1149" s="347">
        <f t="shared" si="2245"/>
        <v>0</v>
      </c>
      <c r="AU1149" s="347">
        <f t="shared" si="2245"/>
        <v>0</v>
      </c>
      <c r="AV1149" s="346">
        <f t="shared" si="2203"/>
        <v>0</v>
      </c>
      <c r="AW1149" s="347">
        <f t="shared" ref="AW1149:AZ1158" si="2246">AVERAGE(AV1093:AW1093)*$B1149/4</f>
        <v>0</v>
      </c>
      <c r="AX1149" s="347">
        <f t="shared" si="2246"/>
        <v>0</v>
      </c>
      <c r="AY1149" s="347">
        <f t="shared" si="2246"/>
        <v>0</v>
      </c>
      <c r="AZ1149" s="347">
        <f t="shared" si="2246"/>
        <v>0</v>
      </c>
      <c r="BA1149" s="346">
        <f t="shared" si="2204"/>
        <v>0</v>
      </c>
      <c r="BB1149" s="347">
        <f t="shared" ref="BB1149:BE1158" si="2247">AVERAGE(BA1093:BB1093)*$B1149/4</f>
        <v>0</v>
      </c>
      <c r="BC1149" s="347">
        <f t="shared" si="2247"/>
        <v>0</v>
      </c>
      <c r="BD1149" s="347">
        <f t="shared" si="2247"/>
        <v>0</v>
      </c>
      <c r="BE1149" s="347">
        <f t="shared" si="2247"/>
        <v>0</v>
      </c>
      <c r="BF1149" s="346">
        <f t="shared" si="2205"/>
        <v>0</v>
      </c>
      <c r="BG1149" s="329">
        <f t="shared" ref="BG1149:BJ1158" si="2248">AVERAGE(BF1093:BG1093)*$B1149/4</f>
        <v>0</v>
      </c>
      <c r="BH1149" s="347">
        <f t="shared" si="2248"/>
        <v>0</v>
      </c>
      <c r="BI1149" s="347">
        <f t="shared" si="2248"/>
        <v>0</v>
      </c>
      <c r="BJ1149" s="1795">
        <f t="shared" si="2248"/>
        <v>0</v>
      </c>
      <c r="BK1149" s="346">
        <f t="shared" ref="BK1149:BK1160" si="2249">SUM(BG1149:BJ1149)</f>
        <v>0</v>
      </c>
      <c r="BL1149" s="347">
        <f t="shared" ref="BL1149:BO1157" si="2250">AVERAGE(BK1093:BL1093)*$B1149/4</f>
        <v>0</v>
      </c>
      <c r="BM1149" s="347">
        <f t="shared" si="2250"/>
        <v>0</v>
      </c>
      <c r="BN1149" s="347">
        <f t="shared" si="2250"/>
        <v>0</v>
      </c>
      <c r="BO1149" s="1795">
        <f t="shared" si="2250"/>
        <v>0</v>
      </c>
      <c r="BP1149" s="346">
        <f t="shared" si="2197"/>
        <v>0</v>
      </c>
      <c r="BQ1149" s="347">
        <f t="shared" ref="BQ1149:BT1157" si="2251">AVERAGE(BP1093:BQ1093)*$B1149/4</f>
        <v>0</v>
      </c>
      <c r="BR1149" s="347">
        <f t="shared" si="2251"/>
        <v>0</v>
      </c>
      <c r="BS1149" s="347">
        <f t="shared" si="2251"/>
        <v>0</v>
      </c>
      <c r="BT1149" s="1795">
        <f t="shared" si="2251"/>
        <v>0</v>
      </c>
      <c r="BU1149" s="3352">
        <f t="shared" si="2198"/>
        <v>0</v>
      </c>
      <c r="BV1149" s="347">
        <f t="shared" ref="BV1149:BY1157" si="2252">AVERAGE(BU1093:BV1093)*$B1149/4</f>
        <v>0</v>
      </c>
      <c r="BW1149" s="347">
        <f t="shared" si="2252"/>
        <v>0</v>
      </c>
      <c r="BX1149" s="347">
        <f t="shared" si="2252"/>
        <v>0</v>
      </c>
      <c r="BY1149" s="347">
        <f t="shared" si="2252"/>
        <v>0</v>
      </c>
      <c r="BZ1149" s="4014">
        <f t="shared" si="2200"/>
        <v>0</v>
      </c>
      <c r="CA1149" s="346">
        <f t="shared" ref="CA1149:CG1149" si="2253">AVERAGE(BZ1093:CA1093)*$B1149/1</f>
        <v>0</v>
      </c>
      <c r="CB1149" s="346">
        <f t="shared" si="2253"/>
        <v>0</v>
      </c>
      <c r="CC1149" s="346">
        <f t="shared" si="2253"/>
        <v>0</v>
      </c>
      <c r="CD1149" s="346">
        <f t="shared" si="2253"/>
        <v>0</v>
      </c>
      <c r="CE1149" s="346">
        <f t="shared" si="2253"/>
        <v>0</v>
      </c>
      <c r="CF1149" s="346">
        <f t="shared" si="2253"/>
        <v>0</v>
      </c>
      <c r="CG1149" s="346">
        <f t="shared" si="2253"/>
        <v>0</v>
      </c>
      <c r="CH1149" s="3990"/>
      <c r="CI1149" s="1377">
        <v>200</v>
      </c>
      <c r="CJ1149" s="907">
        <v>5.1299999999999998E-2</v>
      </c>
      <c r="CK1149" s="907"/>
      <c r="CL1149" s="907"/>
      <c r="CM1149" s="331"/>
      <c r="CN1149" s="331">
        <f t="shared" si="2208"/>
        <v>0</v>
      </c>
      <c r="CO1149" s="965">
        <f t="shared" si="2202"/>
        <v>0</v>
      </c>
      <c r="CP1149" s="90" t="str">
        <f t="shared" si="2176"/>
        <v>9.25% Senior Notes due 2009</v>
      </c>
      <c r="CQ1149" s="347">
        <f t="shared" si="2177"/>
        <v>18.5</v>
      </c>
      <c r="CR1149" s="347">
        <f t="shared" si="2178"/>
        <v>10.791666666666666</v>
      </c>
      <c r="CS1149" s="347">
        <f t="shared" si="2179"/>
        <v>0</v>
      </c>
      <c r="CT1149" s="347">
        <f t="shared" si="2180"/>
        <v>0</v>
      </c>
      <c r="CU1149" s="347">
        <f t="shared" si="2181"/>
        <v>0</v>
      </c>
      <c r="CV1149" s="347">
        <f t="shared" si="2182"/>
        <v>0</v>
      </c>
      <c r="CW1149" s="347">
        <f t="shared" si="2183"/>
        <v>0</v>
      </c>
      <c r="CX1149" s="347">
        <f t="shared" si="2184"/>
        <v>0</v>
      </c>
      <c r="CY1149" s="347">
        <f t="shared" si="2185"/>
        <v>0</v>
      </c>
      <c r="CZ1149" s="347">
        <f t="shared" si="2186"/>
        <v>0</v>
      </c>
      <c r="DA1149" s="347">
        <f t="shared" si="2187"/>
        <v>0</v>
      </c>
      <c r="DB1149" s="347">
        <f t="shared" si="2188"/>
        <v>0</v>
      </c>
      <c r="DC1149" s="347">
        <f t="shared" si="2189"/>
        <v>0</v>
      </c>
      <c r="DD1149" s="347">
        <f t="shared" si="2190"/>
        <v>0</v>
      </c>
      <c r="DE1149" s="347">
        <f t="shared" si="2191"/>
        <v>0</v>
      </c>
      <c r="DF1149" s="347">
        <f t="shared" si="2192"/>
        <v>0</v>
      </c>
      <c r="DG1149" s="1795">
        <f t="shared" si="2193"/>
        <v>0</v>
      </c>
      <c r="DH1149" s="290"/>
      <c r="DI1149" s="290"/>
      <c r="DJ1149" s="290"/>
      <c r="DK1149" s="290"/>
      <c r="DL1149" s="290"/>
      <c r="DM1149" s="290"/>
      <c r="DN1149" s="500"/>
      <c r="DO1149" s="537"/>
      <c r="DY1149" s="347"/>
      <c r="DZ1149" s="347"/>
    </row>
    <row r="1150" spans="1:130" ht="12" hidden="1" customHeight="1" outlineLevel="1">
      <c r="A1150" s="633" t="s">
        <v>787</v>
      </c>
      <c r="B1150" s="907">
        <v>9.2499999999999999E-2</v>
      </c>
      <c r="C1150" s="907"/>
      <c r="D1150" s="329">
        <f t="shared" si="2229"/>
        <v>0</v>
      </c>
      <c r="E1150" s="347">
        <f t="shared" si="2230"/>
        <v>0</v>
      </c>
      <c r="F1150" s="347">
        <f t="shared" si="2230"/>
        <v>0</v>
      </c>
      <c r="G1150" s="347">
        <f t="shared" si="2230"/>
        <v>0</v>
      </c>
      <c r="H1150" s="346">
        <f t="shared" si="2231"/>
        <v>0</v>
      </c>
      <c r="I1150" s="347">
        <f t="shared" si="2232"/>
        <v>0</v>
      </c>
      <c r="J1150" s="347">
        <f t="shared" si="2232"/>
        <v>0</v>
      </c>
      <c r="K1150" s="347">
        <f t="shared" ref="K1150:K1155" si="2254">AVERAGE(J1094:K1094)*$B1150/4</f>
        <v>0</v>
      </c>
      <c r="L1150" s="347">
        <f t="shared" si="2233"/>
        <v>0</v>
      </c>
      <c r="M1150" s="346">
        <f t="shared" si="2234"/>
        <v>0</v>
      </c>
      <c r="N1150" s="347">
        <f t="shared" si="2235"/>
        <v>0</v>
      </c>
      <c r="O1150" s="347">
        <f t="shared" si="2235"/>
        <v>0</v>
      </c>
      <c r="P1150" s="347">
        <f t="shared" si="2235"/>
        <v>0</v>
      </c>
      <c r="Q1150" s="347">
        <f t="shared" si="2235"/>
        <v>0</v>
      </c>
      <c r="R1150" s="346">
        <f t="shared" si="2236"/>
        <v>0</v>
      </c>
      <c r="S1150" s="347">
        <f t="shared" si="2237"/>
        <v>0</v>
      </c>
      <c r="T1150" s="347">
        <f t="shared" si="2237"/>
        <v>0</v>
      </c>
      <c r="U1150" s="347">
        <f t="shared" si="2237"/>
        <v>0</v>
      </c>
      <c r="V1150" s="347">
        <f t="shared" si="2237"/>
        <v>0</v>
      </c>
      <c r="W1150" s="346">
        <f t="shared" si="2194"/>
        <v>0</v>
      </c>
      <c r="X1150" s="347">
        <f t="shared" si="2238"/>
        <v>0</v>
      </c>
      <c r="Y1150" s="347">
        <f t="shared" si="2238"/>
        <v>0</v>
      </c>
      <c r="Z1150" s="347">
        <f t="shared" si="2238"/>
        <v>0</v>
      </c>
      <c r="AA1150" s="347">
        <f t="shared" si="2238"/>
        <v>0</v>
      </c>
      <c r="AB1150" s="346">
        <f t="shared" si="2195"/>
        <v>0</v>
      </c>
      <c r="AC1150" s="347">
        <f t="shared" si="2239"/>
        <v>0</v>
      </c>
      <c r="AD1150" s="347">
        <f t="shared" si="2239"/>
        <v>0</v>
      </c>
      <c r="AE1150" s="347">
        <f t="shared" si="2239"/>
        <v>0</v>
      </c>
      <c r="AF1150" s="347">
        <f t="shared" si="2239"/>
        <v>0</v>
      </c>
      <c r="AG1150" s="346">
        <f t="shared" si="2240"/>
        <v>0</v>
      </c>
      <c r="AH1150" s="347">
        <f t="shared" si="2241"/>
        <v>0</v>
      </c>
      <c r="AI1150" s="347">
        <f t="shared" si="2241"/>
        <v>0</v>
      </c>
      <c r="AJ1150" s="347">
        <f t="shared" si="2241"/>
        <v>0</v>
      </c>
      <c r="AK1150" s="347">
        <f t="shared" si="2241"/>
        <v>0</v>
      </c>
      <c r="AL1150" s="346">
        <f t="shared" si="2242"/>
        <v>0</v>
      </c>
      <c r="AM1150" s="347">
        <f t="shared" si="2243"/>
        <v>0</v>
      </c>
      <c r="AN1150" s="347">
        <f t="shared" si="2243"/>
        <v>0</v>
      </c>
      <c r="AO1150" s="347">
        <f t="shared" si="2243"/>
        <v>0</v>
      </c>
      <c r="AP1150" s="347">
        <f t="shared" si="2243"/>
        <v>0</v>
      </c>
      <c r="AQ1150" s="346">
        <f t="shared" si="2244"/>
        <v>0</v>
      </c>
      <c r="AR1150" s="347">
        <f t="shared" si="2245"/>
        <v>0</v>
      </c>
      <c r="AS1150" s="347">
        <f t="shared" si="2245"/>
        <v>0</v>
      </c>
      <c r="AT1150" s="347">
        <f t="shared" si="2245"/>
        <v>0</v>
      </c>
      <c r="AU1150" s="347">
        <f t="shared" si="2245"/>
        <v>0</v>
      </c>
      <c r="AV1150" s="346">
        <f t="shared" si="2203"/>
        <v>0</v>
      </c>
      <c r="AW1150" s="347">
        <f t="shared" si="2246"/>
        <v>0</v>
      </c>
      <c r="AX1150" s="347">
        <f t="shared" si="2246"/>
        <v>0</v>
      </c>
      <c r="AY1150" s="347">
        <f t="shared" si="2246"/>
        <v>0</v>
      </c>
      <c r="AZ1150" s="347">
        <f t="shared" si="2246"/>
        <v>0</v>
      </c>
      <c r="BA1150" s="346">
        <f t="shared" si="2204"/>
        <v>0</v>
      </c>
      <c r="BB1150" s="347">
        <f t="shared" si="2247"/>
        <v>0</v>
      </c>
      <c r="BC1150" s="347">
        <f t="shared" si="2247"/>
        <v>0</v>
      </c>
      <c r="BD1150" s="347">
        <f t="shared" si="2247"/>
        <v>0</v>
      </c>
      <c r="BE1150" s="347">
        <f t="shared" si="2247"/>
        <v>0</v>
      </c>
      <c r="BF1150" s="346">
        <f t="shared" si="2205"/>
        <v>0</v>
      </c>
      <c r="BG1150" s="329">
        <f t="shared" si="2248"/>
        <v>0</v>
      </c>
      <c r="BH1150" s="347">
        <f t="shared" si="2248"/>
        <v>0</v>
      </c>
      <c r="BI1150" s="347">
        <f t="shared" si="2248"/>
        <v>0</v>
      </c>
      <c r="BJ1150" s="1795">
        <f t="shared" si="2248"/>
        <v>0</v>
      </c>
      <c r="BK1150" s="346">
        <f t="shared" si="2249"/>
        <v>0</v>
      </c>
      <c r="BL1150" s="347">
        <f t="shared" si="2250"/>
        <v>0</v>
      </c>
      <c r="BM1150" s="347">
        <f t="shared" si="2250"/>
        <v>0</v>
      </c>
      <c r="BN1150" s="347">
        <f t="shared" si="2250"/>
        <v>0</v>
      </c>
      <c r="BO1150" s="1795">
        <f t="shared" si="2250"/>
        <v>0</v>
      </c>
      <c r="BP1150" s="346">
        <f t="shared" si="2197"/>
        <v>0</v>
      </c>
      <c r="BQ1150" s="347">
        <f t="shared" si="2251"/>
        <v>0</v>
      </c>
      <c r="BR1150" s="347">
        <f t="shared" si="2251"/>
        <v>0</v>
      </c>
      <c r="BS1150" s="347">
        <f t="shared" si="2251"/>
        <v>0</v>
      </c>
      <c r="BT1150" s="1795">
        <f t="shared" si="2251"/>
        <v>0</v>
      </c>
      <c r="BU1150" s="3352">
        <f t="shared" si="2198"/>
        <v>0</v>
      </c>
      <c r="BV1150" s="347">
        <f t="shared" si="2252"/>
        <v>0</v>
      </c>
      <c r="BW1150" s="347">
        <f t="shared" si="2252"/>
        <v>0</v>
      </c>
      <c r="BX1150" s="347">
        <f t="shared" si="2252"/>
        <v>0</v>
      </c>
      <c r="BY1150" s="347">
        <f t="shared" si="2252"/>
        <v>0</v>
      </c>
      <c r="BZ1150" s="4014">
        <f t="shared" si="2200"/>
        <v>0</v>
      </c>
      <c r="CA1150" s="346">
        <f t="shared" ref="CA1150:CG1150" si="2255">AVERAGE(BZ1094:CA1094)*$B1150/1</f>
        <v>0</v>
      </c>
      <c r="CB1150" s="346">
        <f t="shared" si="2255"/>
        <v>0</v>
      </c>
      <c r="CC1150" s="346">
        <f t="shared" si="2255"/>
        <v>0</v>
      </c>
      <c r="CD1150" s="346">
        <f t="shared" si="2255"/>
        <v>0</v>
      </c>
      <c r="CE1150" s="346">
        <f t="shared" si="2255"/>
        <v>0</v>
      </c>
      <c r="CF1150" s="346">
        <f t="shared" si="2255"/>
        <v>0</v>
      </c>
      <c r="CG1150" s="346">
        <f t="shared" si="2255"/>
        <v>0</v>
      </c>
      <c r="CH1150" s="3990"/>
      <c r="CI1150" s="1378">
        <f>SUM(CI1138:CI1149)</f>
        <v>500</v>
      </c>
      <c r="CJ1150" s="3991">
        <f>(CJ1138*CI1138+CJ1139*CI1139+CJ1149*CI1149)/CI1150</f>
        <v>5.1340000000000004E-2</v>
      </c>
      <c r="CK1150" s="3991"/>
      <c r="CL1150" s="1376"/>
      <c r="CM1150" s="331"/>
      <c r="CN1150" s="331">
        <f t="shared" si="2208"/>
        <v>0</v>
      </c>
      <c r="CO1150" s="965">
        <f t="shared" si="2202"/>
        <v>0</v>
      </c>
      <c r="CP1150" s="90" t="str">
        <f t="shared" si="2176"/>
        <v>9.25% Senior Notes due 2003</v>
      </c>
      <c r="CQ1150" s="347">
        <f t="shared" si="2177"/>
        <v>0</v>
      </c>
      <c r="CR1150" s="347">
        <f t="shared" si="2178"/>
        <v>0</v>
      </c>
      <c r="CS1150" s="347">
        <f t="shared" si="2179"/>
        <v>0</v>
      </c>
      <c r="CT1150" s="347">
        <f t="shared" si="2180"/>
        <v>0</v>
      </c>
      <c r="CU1150" s="347">
        <f t="shared" si="2181"/>
        <v>0</v>
      </c>
      <c r="CV1150" s="347">
        <f t="shared" si="2182"/>
        <v>0</v>
      </c>
      <c r="CW1150" s="347">
        <f t="shared" si="2183"/>
        <v>0</v>
      </c>
      <c r="CX1150" s="347">
        <f t="shared" si="2184"/>
        <v>0</v>
      </c>
      <c r="CY1150" s="347">
        <f t="shared" si="2185"/>
        <v>0</v>
      </c>
      <c r="CZ1150" s="347">
        <f t="shared" si="2186"/>
        <v>0</v>
      </c>
      <c r="DA1150" s="347">
        <f t="shared" si="2187"/>
        <v>0</v>
      </c>
      <c r="DB1150" s="347">
        <f t="shared" si="2188"/>
        <v>0</v>
      </c>
      <c r="DC1150" s="347">
        <f t="shared" si="2189"/>
        <v>0</v>
      </c>
      <c r="DD1150" s="347">
        <f t="shared" si="2190"/>
        <v>0</v>
      </c>
      <c r="DE1150" s="347">
        <f t="shared" si="2191"/>
        <v>0</v>
      </c>
      <c r="DF1150" s="347">
        <f t="shared" si="2192"/>
        <v>0</v>
      </c>
      <c r="DG1150" s="1795">
        <f t="shared" si="2193"/>
        <v>0</v>
      </c>
      <c r="DH1150" s="290"/>
      <c r="DI1150" s="290"/>
      <c r="DJ1150" s="290"/>
      <c r="DK1150" s="290"/>
      <c r="DL1150" s="290"/>
      <c r="DM1150" s="290"/>
      <c r="DN1150" s="500"/>
      <c r="DO1150" s="537"/>
      <c r="DY1150" s="347"/>
      <c r="DZ1150" s="347"/>
    </row>
    <row r="1151" spans="1:130" ht="12" hidden="1" customHeight="1" outlineLevel="1">
      <c r="A1151" s="633" t="s">
        <v>788</v>
      </c>
      <c r="B1151" s="907">
        <v>9.5000000000000001E-2</v>
      </c>
      <c r="C1151" s="907"/>
      <c r="D1151" s="329">
        <f t="shared" si="2229"/>
        <v>0</v>
      </c>
      <c r="E1151" s="347">
        <f t="shared" si="2230"/>
        <v>0</v>
      </c>
      <c r="F1151" s="347">
        <f t="shared" si="2230"/>
        <v>0</v>
      </c>
      <c r="G1151" s="347">
        <f t="shared" si="2230"/>
        <v>0</v>
      </c>
      <c r="H1151" s="346">
        <f t="shared" si="2231"/>
        <v>0</v>
      </c>
      <c r="I1151" s="347">
        <f t="shared" si="2232"/>
        <v>0</v>
      </c>
      <c r="J1151" s="347">
        <f t="shared" si="2232"/>
        <v>0</v>
      </c>
      <c r="K1151" s="347">
        <f t="shared" si="2254"/>
        <v>0</v>
      </c>
      <c r="L1151" s="347">
        <f t="shared" si="2233"/>
        <v>0</v>
      </c>
      <c r="M1151" s="346">
        <f t="shared" si="2234"/>
        <v>0</v>
      </c>
      <c r="N1151" s="347">
        <f t="shared" si="2235"/>
        <v>0</v>
      </c>
      <c r="O1151" s="347">
        <f t="shared" si="2235"/>
        <v>0</v>
      </c>
      <c r="P1151" s="347">
        <f t="shared" si="2235"/>
        <v>0</v>
      </c>
      <c r="Q1151" s="347">
        <f t="shared" si="2235"/>
        <v>0</v>
      </c>
      <c r="R1151" s="346">
        <f t="shared" si="2236"/>
        <v>0</v>
      </c>
      <c r="S1151" s="347">
        <f t="shared" si="2237"/>
        <v>0</v>
      </c>
      <c r="T1151" s="347">
        <f t="shared" si="2237"/>
        <v>0</v>
      </c>
      <c r="U1151" s="347">
        <f t="shared" si="2237"/>
        <v>0</v>
      </c>
      <c r="V1151" s="347">
        <f t="shared" si="2237"/>
        <v>0</v>
      </c>
      <c r="W1151" s="346">
        <f t="shared" si="2194"/>
        <v>0</v>
      </c>
      <c r="X1151" s="347">
        <f t="shared" si="2238"/>
        <v>0</v>
      </c>
      <c r="Y1151" s="347">
        <f t="shared" si="2238"/>
        <v>0</v>
      </c>
      <c r="Z1151" s="347">
        <f t="shared" si="2238"/>
        <v>0</v>
      </c>
      <c r="AA1151" s="347">
        <f t="shared" si="2238"/>
        <v>0</v>
      </c>
      <c r="AB1151" s="346">
        <f t="shared" si="2195"/>
        <v>0</v>
      </c>
      <c r="AC1151" s="347">
        <f t="shared" si="2239"/>
        <v>0</v>
      </c>
      <c r="AD1151" s="347">
        <f t="shared" si="2239"/>
        <v>0</v>
      </c>
      <c r="AE1151" s="347">
        <f t="shared" si="2239"/>
        <v>0</v>
      </c>
      <c r="AF1151" s="347">
        <f t="shared" si="2239"/>
        <v>0</v>
      </c>
      <c r="AG1151" s="346">
        <f t="shared" si="2240"/>
        <v>0</v>
      </c>
      <c r="AH1151" s="347">
        <f t="shared" si="2241"/>
        <v>0</v>
      </c>
      <c r="AI1151" s="347">
        <f t="shared" si="2241"/>
        <v>0</v>
      </c>
      <c r="AJ1151" s="347">
        <f t="shared" si="2241"/>
        <v>0</v>
      </c>
      <c r="AK1151" s="347">
        <f t="shared" si="2241"/>
        <v>0</v>
      </c>
      <c r="AL1151" s="346">
        <f t="shared" si="2242"/>
        <v>0</v>
      </c>
      <c r="AM1151" s="347">
        <f t="shared" si="2243"/>
        <v>0</v>
      </c>
      <c r="AN1151" s="347">
        <f t="shared" si="2243"/>
        <v>0</v>
      </c>
      <c r="AO1151" s="347">
        <f t="shared" si="2243"/>
        <v>0</v>
      </c>
      <c r="AP1151" s="347">
        <f t="shared" si="2243"/>
        <v>0</v>
      </c>
      <c r="AQ1151" s="346">
        <f t="shared" si="2244"/>
        <v>0</v>
      </c>
      <c r="AR1151" s="347">
        <f t="shared" si="2245"/>
        <v>0</v>
      </c>
      <c r="AS1151" s="347">
        <f t="shared" si="2245"/>
        <v>0</v>
      </c>
      <c r="AT1151" s="347">
        <f t="shared" si="2245"/>
        <v>0</v>
      </c>
      <c r="AU1151" s="347">
        <f t="shared" si="2245"/>
        <v>0</v>
      </c>
      <c r="AV1151" s="346">
        <f t="shared" si="2203"/>
        <v>0</v>
      </c>
      <c r="AW1151" s="347">
        <f t="shared" si="2246"/>
        <v>0</v>
      </c>
      <c r="AX1151" s="347">
        <f t="shared" si="2246"/>
        <v>0</v>
      </c>
      <c r="AY1151" s="347">
        <f t="shared" si="2246"/>
        <v>0</v>
      </c>
      <c r="AZ1151" s="347">
        <f t="shared" si="2246"/>
        <v>0</v>
      </c>
      <c r="BA1151" s="346">
        <f t="shared" si="2204"/>
        <v>0</v>
      </c>
      <c r="BB1151" s="347">
        <f t="shared" si="2247"/>
        <v>0</v>
      </c>
      <c r="BC1151" s="347">
        <f t="shared" si="2247"/>
        <v>0</v>
      </c>
      <c r="BD1151" s="347">
        <f t="shared" si="2247"/>
        <v>0</v>
      </c>
      <c r="BE1151" s="347">
        <f t="shared" si="2247"/>
        <v>0</v>
      </c>
      <c r="BF1151" s="346">
        <f t="shared" si="2205"/>
        <v>0</v>
      </c>
      <c r="BG1151" s="329">
        <f t="shared" si="2248"/>
        <v>0</v>
      </c>
      <c r="BH1151" s="347">
        <f t="shared" si="2248"/>
        <v>0</v>
      </c>
      <c r="BI1151" s="347">
        <f t="shared" si="2248"/>
        <v>0</v>
      </c>
      <c r="BJ1151" s="1795">
        <f t="shared" si="2248"/>
        <v>0</v>
      </c>
      <c r="BK1151" s="346">
        <f t="shared" si="2249"/>
        <v>0</v>
      </c>
      <c r="BL1151" s="347">
        <f t="shared" si="2250"/>
        <v>0</v>
      </c>
      <c r="BM1151" s="347">
        <f t="shared" si="2250"/>
        <v>0</v>
      </c>
      <c r="BN1151" s="347">
        <f t="shared" si="2250"/>
        <v>0</v>
      </c>
      <c r="BO1151" s="1795">
        <f t="shared" si="2250"/>
        <v>0</v>
      </c>
      <c r="BP1151" s="346">
        <f t="shared" si="2197"/>
        <v>0</v>
      </c>
      <c r="BQ1151" s="347">
        <f t="shared" si="2251"/>
        <v>0</v>
      </c>
      <c r="BR1151" s="347">
        <f t="shared" si="2251"/>
        <v>0</v>
      </c>
      <c r="BS1151" s="347">
        <f t="shared" si="2251"/>
        <v>0</v>
      </c>
      <c r="BT1151" s="1795">
        <f t="shared" si="2251"/>
        <v>0</v>
      </c>
      <c r="BU1151" s="3352">
        <f t="shared" si="2198"/>
        <v>0</v>
      </c>
      <c r="BV1151" s="347">
        <f t="shared" si="2252"/>
        <v>0</v>
      </c>
      <c r="BW1151" s="347">
        <f t="shared" si="2252"/>
        <v>0</v>
      </c>
      <c r="BX1151" s="347">
        <f t="shared" si="2252"/>
        <v>0</v>
      </c>
      <c r="BY1151" s="347">
        <f t="shared" si="2252"/>
        <v>0</v>
      </c>
      <c r="BZ1151" s="4014">
        <f t="shared" si="2200"/>
        <v>0</v>
      </c>
      <c r="CA1151" s="346">
        <f t="shared" ref="CA1151:CG1151" si="2256">AVERAGE(BZ1095:CA1095)*$B1151/1</f>
        <v>0</v>
      </c>
      <c r="CB1151" s="346">
        <f t="shared" si="2256"/>
        <v>0</v>
      </c>
      <c r="CC1151" s="346">
        <f t="shared" si="2256"/>
        <v>0</v>
      </c>
      <c r="CD1151" s="346">
        <f t="shared" si="2256"/>
        <v>0</v>
      </c>
      <c r="CE1151" s="346">
        <f t="shared" si="2256"/>
        <v>0</v>
      </c>
      <c r="CF1151" s="346">
        <f t="shared" si="2256"/>
        <v>0</v>
      </c>
      <c r="CG1151" s="346">
        <f t="shared" si="2256"/>
        <v>0</v>
      </c>
      <c r="CH1151" s="3990"/>
      <c r="CI1151" s="3992"/>
      <c r="CJ1151" s="3992"/>
      <c r="CK1151" s="3992"/>
      <c r="CL1151" s="347"/>
      <c r="CM1151" s="331"/>
      <c r="CN1151" s="331">
        <f t="shared" si="2208"/>
        <v>0</v>
      </c>
      <c r="CO1151" s="965">
        <f t="shared" si="2202"/>
        <v>0</v>
      </c>
      <c r="CP1151" s="90" t="str">
        <f t="shared" si="2176"/>
        <v>9.50% Senior Subordinated Notes due 2007</v>
      </c>
      <c r="CQ1151" s="347">
        <f t="shared" si="2177"/>
        <v>0</v>
      </c>
      <c r="CR1151" s="347">
        <f t="shared" si="2178"/>
        <v>0</v>
      </c>
      <c r="CS1151" s="347">
        <f t="shared" si="2179"/>
        <v>0</v>
      </c>
      <c r="CT1151" s="347">
        <f t="shared" si="2180"/>
        <v>0</v>
      </c>
      <c r="CU1151" s="347">
        <f t="shared" si="2181"/>
        <v>0</v>
      </c>
      <c r="CV1151" s="347">
        <f t="shared" si="2182"/>
        <v>0</v>
      </c>
      <c r="CW1151" s="347">
        <f t="shared" si="2183"/>
        <v>0</v>
      </c>
      <c r="CX1151" s="347">
        <f t="shared" si="2184"/>
        <v>0</v>
      </c>
      <c r="CY1151" s="347">
        <f t="shared" si="2185"/>
        <v>0</v>
      </c>
      <c r="CZ1151" s="347">
        <f t="shared" si="2186"/>
        <v>0</v>
      </c>
      <c r="DA1151" s="347">
        <f t="shared" si="2187"/>
        <v>0</v>
      </c>
      <c r="DB1151" s="347">
        <f t="shared" si="2188"/>
        <v>0</v>
      </c>
      <c r="DC1151" s="347">
        <f t="shared" si="2189"/>
        <v>0</v>
      </c>
      <c r="DD1151" s="347">
        <f t="shared" si="2190"/>
        <v>0</v>
      </c>
      <c r="DE1151" s="347">
        <f t="shared" si="2191"/>
        <v>0</v>
      </c>
      <c r="DF1151" s="347">
        <f t="shared" si="2192"/>
        <v>0</v>
      </c>
      <c r="DG1151" s="1795">
        <f t="shared" si="2193"/>
        <v>0</v>
      </c>
      <c r="DH1151" s="290"/>
      <c r="DI1151" s="290"/>
      <c r="DJ1151" s="290"/>
      <c r="DK1151" s="290"/>
      <c r="DL1151" s="290"/>
      <c r="DM1151" s="290"/>
      <c r="DN1151" s="500"/>
      <c r="DO1151" s="537"/>
      <c r="DY1151" s="347"/>
      <c r="DZ1151" s="347"/>
    </row>
    <row r="1152" spans="1:130" ht="12" hidden="1" customHeight="1" outlineLevel="1">
      <c r="A1152" s="633" t="s">
        <v>734</v>
      </c>
      <c r="B1152" s="907">
        <v>8.7499999999999994E-2</v>
      </c>
      <c r="C1152" s="907"/>
      <c r="D1152" s="329">
        <f t="shared" si="2229"/>
        <v>5.46875</v>
      </c>
      <c r="E1152" s="347">
        <f t="shared" si="2230"/>
        <v>5.46875</v>
      </c>
      <c r="F1152" s="347">
        <f t="shared" si="2230"/>
        <v>5.46875</v>
      </c>
      <c r="G1152" s="347">
        <f t="shared" si="2230"/>
        <v>5.46875</v>
      </c>
      <c r="H1152" s="346">
        <f t="shared" si="2231"/>
        <v>21.875</v>
      </c>
      <c r="I1152" s="347">
        <f t="shared" si="2232"/>
        <v>5.46875</v>
      </c>
      <c r="J1152" s="347">
        <f t="shared" si="2232"/>
        <v>5.46875</v>
      </c>
      <c r="K1152" s="347">
        <f t="shared" si="2254"/>
        <v>5.46875</v>
      </c>
      <c r="L1152" s="347">
        <f t="shared" si="2233"/>
        <v>5.46875</v>
      </c>
      <c r="M1152" s="346">
        <f t="shared" si="2234"/>
        <v>21.875</v>
      </c>
      <c r="N1152" s="347">
        <f t="shared" si="2235"/>
        <v>5.46875</v>
      </c>
      <c r="O1152" s="347">
        <f t="shared" si="2235"/>
        <v>5.46875</v>
      </c>
      <c r="P1152" s="347">
        <f t="shared" si="2235"/>
        <v>5.46875</v>
      </c>
      <c r="Q1152" s="347">
        <f t="shared" si="2235"/>
        <v>5.46875</v>
      </c>
      <c r="R1152" s="346">
        <f t="shared" si="2236"/>
        <v>21.875</v>
      </c>
      <c r="S1152" s="347">
        <f>AVERAGE(R1096:S1096)*$B1152/4</f>
        <v>5.46875</v>
      </c>
      <c r="T1152" s="328">
        <v>0</v>
      </c>
      <c r="U1152" s="347">
        <f t="shared" ref="U1152:V1156" si="2257">AVERAGE(T1096:U1096)*$B1152/4</f>
        <v>0</v>
      </c>
      <c r="V1152" s="347">
        <f t="shared" si="2257"/>
        <v>0</v>
      </c>
      <c r="W1152" s="346">
        <f t="shared" si="2194"/>
        <v>5.46875</v>
      </c>
      <c r="X1152" s="347">
        <f t="shared" si="2238"/>
        <v>0</v>
      </c>
      <c r="Y1152" s="347">
        <f t="shared" si="2238"/>
        <v>0</v>
      </c>
      <c r="Z1152" s="347">
        <f t="shared" si="2238"/>
        <v>0</v>
      </c>
      <c r="AA1152" s="347">
        <f t="shared" si="2238"/>
        <v>0</v>
      </c>
      <c r="AB1152" s="346">
        <f t="shared" si="2195"/>
        <v>0</v>
      </c>
      <c r="AC1152" s="347">
        <f t="shared" si="2239"/>
        <v>0</v>
      </c>
      <c r="AD1152" s="347">
        <f t="shared" si="2239"/>
        <v>0</v>
      </c>
      <c r="AE1152" s="347">
        <f t="shared" si="2239"/>
        <v>0</v>
      </c>
      <c r="AF1152" s="347">
        <f t="shared" si="2239"/>
        <v>0</v>
      </c>
      <c r="AG1152" s="346">
        <f t="shared" si="2240"/>
        <v>0</v>
      </c>
      <c r="AH1152" s="347">
        <f t="shared" si="2241"/>
        <v>0</v>
      </c>
      <c r="AI1152" s="347">
        <f t="shared" si="2241"/>
        <v>0</v>
      </c>
      <c r="AJ1152" s="347">
        <f t="shared" si="2241"/>
        <v>0</v>
      </c>
      <c r="AK1152" s="347">
        <f t="shared" si="2241"/>
        <v>0</v>
      </c>
      <c r="AL1152" s="346">
        <f t="shared" si="2242"/>
        <v>0</v>
      </c>
      <c r="AM1152" s="347">
        <f t="shared" si="2243"/>
        <v>0</v>
      </c>
      <c r="AN1152" s="347">
        <f t="shared" si="2243"/>
        <v>0</v>
      </c>
      <c r="AO1152" s="347">
        <f t="shared" si="2243"/>
        <v>0</v>
      </c>
      <c r="AP1152" s="347">
        <f t="shared" si="2243"/>
        <v>0</v>
      </c>
      <c r="AQ1152" s="346">
        <f t="shared" si="2244"/>
        <v>0</v>
      </c>
      <c r="AR1152" s="347">
        <f t="shared" si="2245"/>
        <v>0</v>
      </c>
      <c r="AS1152" s="347">
        <f t="shared" si="2245"/>
        <v>0</v>
      </c>
      <c r="AT1152" s="347">
        <f t="shared" si="2245"/>
        <v>0</v>
      </c>
      <c r="AU1152" s="347">
        <f t="shared" si="2245"/>
        <v>0</v>
      </c>
      <c r="AV1152" s="346">
        <f t="shared" si="2203"/>
        <v>0</v>
      </c>
      <c r="AW1152" s="347">
        <f t="shared" si="2246"/>
        <v>0</v>
      </c>
      <c r="AX1152" s="347">
        <f t="shared" si="2246"/>
        <v>0</v>
      </c>
      <c r="AY1152" s="347">
        <f t="shared" si="2246"/>
        <v>0</v>
      </c>
      <c r="AZ1152" s="347">
        <f t="shared" si="2246"/>
        <v>0</v>
      </c>
      <c r="BA1152" s="346">
        <f t="shared" si="2204"/>
        <v>0</v>
      </c>
      <c r="BB1152" s="347">
        <f t="shared" si="2247"/>
        <v>0</v>
      </c>
      <c r="BC1152" s="347">
        <f t="shared" si="2247"/>
        <v>0</v>
      </c>
      <c r="BD1152" s="347">
        <f t="shared" si="2247"/>
        <v>0</v>
      </c>
      <c r="BE1152" s="347">
        <f t="shared" si="2247"/>
        <v>0</v>
      </c>
      <c r="BF1152" s="346">
        <f t="shared" si="2205"/>
        <v>0</v>
      </c>
      <c r="BG1152" s="329">
        <f t="shared" si="2248"/>
        <v>0</v>
      </c>
      <c r="BH1152" s="347">
        <f t="shared" si="2248"/>
        <v>0</v>
      </c>
      <c r="BI1152" s="347">
        <f t="shared" si="2248"/>
        <v>0</v>
      </c>
      <c r="BJ1152" s="1795">
        <f t="shared" si="2248"/>
        <v>0</v>
      </c>
      <c r="BK1152" s="346">
        <f t="shared" si="2249"/>
        <v>0</v>
      </c>
      <c r="BL1152" s="347">
        <f t="shared" si="2250"/>
        <v>0</v>
      </c>
      <c r="BM1152" s="347">
        <f t="shared" si="2250"/>
        <v>0</v>
      </c>
      <c r="BN1152" s="347">
        <f t="shared" si="2250"/>
        <v>0</v>
      </c>
      <c r="BO1152" s="1795">
        <f t="shared" si="2250"/>
        <v>0</v>
      </c>
      <c r="BP1152" s="346">
        <f t="shared" si="2197"/>
        <v>0</v>
      </c>
      <c r="BQ1152" s="347">
        <f t="shared" si="2251"/>
        <v>0</v>
      </c>
      <c r="BR1152" s="347">
        <f t="shared" si="2251"/>
        <v>0</v>
      </c>
      <c r="BS1152" s="347">
        <f t="shared" si="2251"/>
        <v>0</v>
      </c>
      <c r="BT1152" s="1795">
        <f t="shared" si="2251"/>
        <v>0</v>
      </c>
      <c r="BU1152" s="3352">
        <f t="shared" si="2198"/>
        <v>0</v>
      </c>
      <c r="BV1152" s="347">
        <f t="shared" si="2252"/>
        <v>0</v>
      </c>
      <c r="BW1152" s="347">
        <f t="shared" si="2252"/>
        <v>0</v>
      </c>
      <c r="BX1152" s="347">
        <f t="shared" si="2252"/>
        <v>0</v>
      </c>
      <c r="BY1152" s="347">
        <f t="shared" si="2252"/>
        <v>0</v>
      </c>
      <c r="BZ1152" s="4014">
        <f t="shared" si="2200"/>
        <v>0</v>
      </c>
      <c r="CA1152" s="346">
        <f t="shared" ref="CA1152:CG1152" si="2258">AVERAGE(BZ1096:CA1096)*$B1152/1</f>
        <v>0</v>
      </c>
      <c r="CB1152" s="346">
        <f t="shared" si="2258"/>
        <v>0</v>
      </c>
      <c r="CC1152" s="346">
        <f t="shared" si="2258"/>
        <v>0</v>
      </c>
      <c r="CD1152" s="346">
        <f t="shared" si="2258"/>
        <v>0</v>
      </c>
      <c r="CE1152" s="346">
        <f t="shared" si="2258"/>
        <v>0</v>
      </c>
      <c r="CF1152" s="346">
        <f t="shared" si="2258"/>
        <v>0</v>
      </c>
      <c r="CG1152" s="346">
        <f t="shared" si="2258"/>
        <v>0</v>
      </c>
      <c r="CH1152" s="3990"/>
      <c r="CI1152" s="3992">
        <f>CI1150*(CJ1150-AL1136)</f>
        <v>6.638749999999999</v>
      </c>
      <c r="CJ1152" s="3992">
        <f>CI1150*(CJ1150-AQ1136)</f>
        <v>2.7574999999999958</v>
      </c>
      <c r="CK1152" s="3992"/>
      <c r="CL1152" s="347"/>
      <c r="CM1152" s="331"/>
      <c r="CN1152" s="331">
        <f t="shared" si="2208"/>
        <v>0</v>
      </c>
      <c r="CO1152" s="965">
        <f t="shared" si="2202"/>
        <v>0</v>
      </c>
      <c r="CP1152" s="90" t="str">
        <f t="shared" si="2176"/>
        <v>8.75% Senior Subordinated Notes due 2012</v>
      </c>
      <c r="CQ1152" s="347">
        <f t="shared" si="2177"/>
        <v>21.875</v>
      </c>
      <c r="CR1152" s="347">
        <f t="shared" si="2178"/>
        <v>21.875</v>
      </c>
      <c r="CS1152" s="347">
        <f t="shared" si="2179"/>
        <v>21.875</v>
      </c>
      <c r="CT1152" s="347">
        <f t="shared" si="2180"/>
        <v>5.46875</v>
      </c>
      <c r="CU1152" s="347">
        <f t="shared" si="2181"/>
        <v>0</v>
      </c>
      <c r="CV1152" s="347">
        <f t="shared" si="2182"/>
        <v>0</v>
      </c>
      <c r="CW1152" s="347">
        <f t="shared" si="2183"/>
        <v>0</v>
      </c>
      <c r="CX1152" s="347">
        <f t="shared" si="2184"/>
        <v>0</v>
      </c>
      <c r="CY1152" s="347">
        <f t="shared" si="2185"/>
        <v>0</v>
      </c>
      <c r="CZ1152" s="347">
        <f t="shared" si="2186"/>
        <v>0</v>
      </c>
      <c r="DA1152" s="347">
        <f t="shared" si="2187"/>
        <v>0</v>
      </c>
      <c r="DB1152" s="347">
        <f t="shared" si="2188"/>
        <v>0</v>
      </c>
      <c r="DC1152" s="347">
        <f t="shared" si="2189"/>
        <v>0</v>
      </c>
      <c r="DD1152" s="347">
        <f t="shared" si="2190"/>
        <v>0</v>
      </c>
      <c r="DE1152" s="347">
        <f t="shared" si="2191"/>
        <v>0</v>
      </c>
      <c r="DF1152" s="347">
        <f t="shared" si="2192"/>
        <v>0</v>
      </c>
      <c r="DG1152" s="1795">
        <f t="shared" si="2193"/>
        <v>0</v>
      </c>
      <c r="DH1152" s="290"/>
      <c r="DI1152" s="290"/>
      <c r="DJ1152" s="290"/>
      <c r="DK1152" s="290"/>
      <c r="DL1152" s="290"/>
      <c r="DM1152" s="290"/>
      <c r="DN1152" s="500"/>
      <c r="DO1152" s="537"/>
      <c r="DY1152" s="347"/>
      <c r="DZ1152" s="347"/>
    </row>
    <row r="1153" spans="1:130" ht="12" hidden="1" customHeight="1" outlineLevel="1">
      <c r="A1153" s="633" t="s">
        <v>735</v>
      </c>
      <c r="B1153" s="907">
        <v>7.7499999999999999E-2</v>
      </c>
      <c r="C1153" s="907"/>
      <c r="D1153" s="329">
        <f t="shared" si="2229"/>
        <v>5.8125</v>
      </c>
      <c r="E1153" s="347">
        <f t="shared" si="2230"/>
        <v>5.8125</v>
      </c>
      <c r="F1153" s="347">
        <f t="shared" si="2230"/>
        <v>5.8125</v>
      </c>
      <c r="G1153" s="347">
        <f t="shared" si="2230"/>
        <v>5.8125</v>
      </c>
      <c r="H1153" s="346">
        <f t="shared" si="2231"/>
        <v>23.25</v>
      </c>
      <c r="I1153" s="347">
        <f t="shared" si="2232"/>
        <v>5.8125</v>
      </c>
      <c r="J1153" s="347">
        <f t="shared" si="2232"/>
        <v>5.8125</v>
      </c>
      <c r="K1153" s="347">
        <f t="shared" si="2254"/>
        <v>5.8125</v>
      </c>
      <c r="L1153" s="347">
        <f t="shared" si="2233"/>
        <v>5.8125</v>
      </c>
      <c r="M1153" s="346">
        <f t="shared" si="2234"/>
        <v>23.25</v>
      </c>
      <c r="N1153" s="347">
        <f t="shared" si="2235"/>
        <v>5.8125</v>
      </c>
      <c r="O1153" s="347">
        <f t="shared" si="2235"/>
        <v>5.8125</v>
      </c>
      <c r="P1153" s="347">
        <f t="shared" si="2235"/>
        <v>5.8125</v>
      </c>
      <c r="Q1153" s="347">
        <f t="shared" si="2235"/>
        <v>5.8125</v>
      </c>
      <c r="R1153" s="346">
        <f t="shared" si="2236"/>
        <v>23.25</v>
      </c>
      <c r="S1153" s="347">
        <f>AVERAGE(R1097:S1097)*$B1153/4</f>
        <v>5.8125</v>
      </c>
      <c r="T1153" s="347">
        <f>AVERAGE(S1097:T1097)*$B1153/4</f>
        <v>5.8125</v>
      </c>
      <c r="U1153" s="347">
        <f t="shared" si="2257"/>
        <v>5.8125</v>
      </c>
      <c r="V1153" s="347">
        <f t="shared" si="2257"/>
        <v>5.8125</v>
      </c>
      <c r="W1153" s="346">
        <f t="shared" si="2194"/>
        <v>23.25</v>
      </c>
      <c r="X1153" s="347">
        <f t="shared" ref="X1153:Z1156" si="2259">AVERAGE(W1097:X1097)*$B1153/4</f>
        <v>5.6497015624999998</v>
      </c>
      <c r="Y1153" s="347">
        <f t="shared" si="2259"/>
        <v>5.3484687499999994</v>
      </c>
      <c r="Z1153" s="347">
        <f t="shared" si="2259"/>
        <v>5.1301124999999992</v>
      </c>
      <c r="AA1153" s="347">
        <f>(Z1097/3+AA1097*2/3)*$B1153/4</f>
        <v>4.3123260416666662</v>
      </c>
      <c r="AB1153" s="346">
        <f t="shared" si="2195"/>
        <v>20.440608854166662</v>
      </c>
      <c r="AC1153" s="347">
        <f t="shared" si="2239"/>
        <v>3.8415684374999999</v>
      </c>
      <c r="AD1153" s="347">
        <f t="shared" si="2239"/>
        <v>3.4957440625</v>
      </c>
      <c r="AE1153" s="347">
        <f t="shared" si="2239"/>
        <v>3.1645574999999999</v>
      </c>
      <c r="AF1153" s="347">
        <f t="shared" si="2239"/>
        <v>3.0773699999999997</v>
      </c>
      <c r="AG1153" s="346">
        <f t="shared" si="2240"/>
        <v>13.57924</v>
      </c>
      <c r="AH1153" s="347">
        <f t="shared" si="2241"/>
        <v>3.0773699999999997</v>
      </c>
      <c r="AI1153" s="347">
        <f t="shared" si="2241"/>
        <v>3.0773699999999997</v>
      </c>
      <c r="AJ1153" s="347">
        <f t="shared" si="2241"/>
        <v>3.0773699999999997</v>
      </c>
      <c r="AK1153" s="347">
        <f t="shared" si="2241"/>
        <v>1.5386849999999999</v>
      </c>
      <c r="AL1153" s="346">
        <f t="shared" si="2242"/>
        <v>10.770794999999998</v>
      </c>
      <c r="AM1153" s="347">
        <f t="shared" si="2243"/>
        <v>0</v>
      </c>
      <c r="AN1153" s="347">
        <f t="shared" si="2243"/>
        <v>0</v>
      </c>
      <c r="AO1153" s="347">
        <f t="shared" si="2243"/>
        <v>0</v>
      </c>
      <c r="AP1153" s="347">
        <f t="shared" si="2243"/>
        <v>0</v>
      </c>
      <c r="AQ1153" s="346">
        <f t="shared" si="2244"/>
        <v>0</v>
      </c>
      <c r="AR1153" s="347">
        <f t="shared" si="2245"/>
        <v>0</v>
      </c>
      <c r="AS1153" s="347">
        <f t="shared" si="2245"/>
        <v>0</v>
      </c>
      <c r="AT1153" s="347">
        <f t="shared" si="2245"/>
        <v>0</v>
      </c>
      <c r="AU1153" s="347">
        <f t="shared" si="2245"/>
        <v>0</v>
      </c>
      <c r="AV1153" s="346">
        <f t="shared" si="2203"/>
        <v>0</v>
      </c>
      <c r="AW1153" s="347">
        <f t="shared" si="2246"/>
        <v>0</v>
      </c>
      <c r="AX1153" s="347">
        <f t="shared" si="2246"/>
        <v>0</v>
      </c>
      <c r="AY1153" s="347">
        <f t="shared" si="2246"/>
        <v>0</v>
      </c>
      <c r="AZ1153" s="347">
        <f t="shared" si="2246"/>
        <v>0</v>
      </c>
      <c r="BA1153" s="346">
        <f t="shared" si="2204"/>
        <v>0</v>
      </c>
      <c r="BB1153" s="347">
        <f t="shared" si="2247"/>
        <v>0</v>
      </c>
      <c r="BC1153" s="347">
        <f t="shared" si="2247"/>
        <v>0</v>
      </c>
      <c r="BD1153" s="347">
        <f t="shared" si="2247"/>
        <v>0</v>
      </c>
      <c r="BE1153" s="347">
        <f t="shared" si="2247"/>
        <v>0</v>
      </c>
      <c r="BF1153" s="346">
        <f t="shared" si="2205"/>
        <v>0</v>
      </c>
      <c r="BG1153" s="329">
        <f t="shared" si="2248"/>
        <v>0</v>
      </c>
      <c r="BH1153" s="347">
        <f t="shared" si="2248"/>
        <v>0</v>
      </c>
      <c r="BI1153" s="347">
        <f t="shared" si="2248"/>
        <v>0</v>
      </c>
      <c r="BJ1153" s="1795">
        <f t="shared" si="2248"/>
        <v>0</v>
      </c>
      <c r="BK1153" s="346">
        <f t="shared" si="2249"/>
        <v>0</v>
      </c>
      <c r="BL1153" s="347">
        <f t="shared" si="2250"/>
        <v>0</v>
      </c>
      <c r="BM1153" s="347">
        <f t="shared" si="2250"/>
        <v>0</v>
      </c>
      <c r="BN1153" s="347">
        <f t="shared" si="2250"/>
        <v>0</v>
      </c>
      <c r="BO1153" s="1795">
        <f t="shared" si="2250"/>
        <v>0</v>
      </c>
      <c r="BP1153" s="346">
        <f t="shared" si="2197"/>
        <v>0</v>
      </c>
      <c r="BQ1153" s="347">
        <f t="shared" si="2251"/>
        <v>0</v>
      </c>
      <c r="BR1153" s="347">
        <f t="shared" si="2251"/>
        <v>0</v>
      </c>
      <c r="BS1153" s="347">
        <f t="shared" si="2251"/>
        <v>0</v>
      </c>
      <c r="BT1153" s="1795">
        <f t="shared" si="2251"/>
        <v>0</v>
      </c>
      <c r="BU1153" s="3352">
        <f t="shared" si="2198"/>
        <v>0</v>
      </c>
      <c r="BV1153" s="347">
        <f t="shared" si="2252"/>
        <v>0</v>
      </c>
      <c r="BW1153" s="347">
        <f t="shared" si="2252"/>
        <v>0</v>
      </c>
      <c r="BX1153" s="347">
        <f t="shared" si="2252"/>
        <v>0</v>
      </c>
      <c r="BY1153" s="347">
        <f t="shared" si="2252"/>
        <v>0</v>
      </c>
      <c r="BZ1153" s="4014">
        <f t="shared" si="2200"/>
        <v>0</v>
      </c>
      <c r="CA1153" s="346">
        <f t="shared" ref="CA1153:CG1153" si="2260">AVERAGE(BZ1097:CA1097)*$B1153/1</f>
        <v>0</v>
      </c>
      <c r="CB1153" s="346">
        <f t="shared" si="2260"/>
        <v>0</v>
      </c>
      <c r="CC1153" s="346">
        <f t="shared" si="2260"/>
        <v>0</v>
      </c>
      <c r="CD1153" s="346">
        <f t="shared" si="2260"/>
        <v>0</v>
      </c>
      <c r="CE1153" s="346">
        <f t="shared" si="2260"/>
        <v>0</v>
      </c>
      <c r="CF1153" s="346">
        <f t="shared" si="2260"/>
        <v>0</v>
      </c>
      <c r="CG1153" s="346">
        <f t="shared" si="2260"/>
        <v>0</v>
      </c>
      <c r="CH1153" s="3990"/>
      <c r="CI1153" s="3992">
        <f>CI1152/4</f>
        <v>1.6596874999999998</v>
      </c>
      <c r="CJ1153" s="3992">
        <f>CJ1152/4</f>
        <v>0.68937499999999896</v>
      </c>
      <c r="CK1153" s="3992"/>
      <c r="CL1153" s="347"/>
      <c r="CM1153" s="331"/>
      <c r="CN1153" s="331">
        <f t="shared" si="2208"/>
        <v>0</v>
      </c>
      <c r="CO1153" s="965">
        <f t="shared" si="2202"/>
        <v>0</v>
      </c>
      <c r="CP1153" s="90" t="str">
        <f t="shared" si="2176"/>
        <v>7.75% Senior Subordinated Notes due 2012</v>
      </c>
      <c r="CQ1153" s="347">
        <f t="shared" si="2177"/>
        <v>23.25</v>
      </c>
      <c r="CR1153" s="347">
        <f t="shared" si="2178"/>
        <v>23.25</v>
      </c>
      <c r="CS1153" s="347">
        <f t="shared" si="2179"/>
        <v>23.25</v>
      </c>
      <c r="CT1153" s="347">
        <f t="shared" si="2180"/>
        <v>23.25</v>
      </c>
      <c r="CU1153" s="347">
        <f t="shared" si="2181"/>
        <v>20.440608854166662</v>
      </c>
      <c r="CV1153" s="347">
        <f t="shared" si="2182"/>
        <v>13.57924</v>
      </c>
      <c r="CW1153" s="347">
        <f t="shared" si="2183"/>
        <v>10.770794999999998</v>
      </c>
      <c r="CX1153" s="347">
        <f t="shared" si="2184"/>
        <v>0</v>
      </c>
      <c r="CY1153" s="347">
        <f t="shared" si="2185"/>
        <v>0</v>
      </c>
      <c r="CZ1153" s="347">
        <f t="shared" si="2186"/>
        <v>0</v>
      </c>
      <c r="DA1153" s="347">
        <f t="shared" si="2187"/>
        <v>0</v>
      </c>
      <c r="DB1153" s="347">
        <f t="shared" si="2188"/>
        <v>0</v>
      </c>
      <c r="DC1153" s="347">
        <f t="shared" si="2189"/>
        <v>0</v>
      </c>
      <c r="DD1153" s="347">
        <f t="shared" si="2190"/>
        <v>0</v>
      </c>
      <c r="DE1153" s="347">
        <f t="shared" si="2191"/>
        <v>0</v>
      </c>
      <c r="DF1153" s="347">
        <f t="shared" si="2192"/>
        <v>0</v>
      </c>
      <c r="DG1153" s="1795">
        <f t="shared" si="2193"/>
        <v>0</v>
      </c>
      <c r="DH1153" s="290"/>
      <c r="DI1153" s="290"/>
      <c r="DJ1153" s="290"/>
      <c r="DK1153" s="290"/>
      <c r="DL1153" s="290"/>
      <c r="DM1153" s="290"/>
      <c r="DN1153" s="500"/>
      <c r="DO1153" s="537"/>
      <c r="DY1153" s="347"/>
      <c r="DZ1153" s="347"/>
    </row>
    <row r="1154" spans="1:130" ht="12" hidden="1" customHeight="1" outlineLevel="1">
      <c r="A1154" s="633" t="s">
        <v>1668</v>
      </c>
      <c r="B1154" s="907">
        <v>5.7000000000000002E-2</v>
      </c>
      <c r="C1154" s="907"/>
      <c r="D1154" s="329">
        <f t="shared" si="2229"/>
        <v>0.2223</v>
      </c>
      <c r="E1154" s="347">
        <f t="shared" si="2230"/>
        <v>0.2223</v>
      </c>
      <c r="F1154" s="347">
        <f t="shared" si="2230"/>
        <v>0.2223</v>
      </c>
      <c r="G1154" s="347">
        <f t="shared" si="2230"/>
        <v>0.2223</v>
      </c>
      <c r="H1154" s="346">
        <f>SUM(D1154:G1154)</f>
        <v>0.88919999999999999</v>
      </c>
      <c r="I1154" s="347">
        <f t="shared" si="2232"/>
        <v>0.2223</v>
      </c>
      <c r="J1154" s="347">
        <f t="shared" si="2232"/>
        <v>0.2223</v>
      </c>
      <c r="K1154" s="347">
        <f t="shared" si="2254"/>
        <v>0.2223</v>
      </c>
      <c r="L1154" s="347">
        <f t="shared" si="2233"/>
        <v>0.2223</v>
      </c>
      <c r="M1154" s="346">
        <f t="shared" si="2234"/>
        <v>0.88919999999999999</v>
      </c>
      <c r="N1154" s="347">
        <f t="shared" si="2235"/>
        <v>0.2223</v>
      </c>
      <c r="O1154" s="347">
        <f t="shared" si="2235"/>
        <v>0.2223</v>
      </c>
      <c r="P1154" s="347">
        <f t="shared" si="2235"/>
        <v>0.2223</v>
      </c>
      <c r="Q1154" s="347">
        <f t="shared" si="2235"/>
        <v>0.21204000000000001</v>
      </c>
      <c r="R1154" s="346">
        <f t="shared" si="2236"/>
        <v>0.87894000000000005</v>
      </c>
      <c r="S1154" s="347">
        <f>AVERAGE(R1098:S1098)*$B1154/4</f>
        <v>0.20178000000000001</v>
      </c>
      <c r="T1154" s="347">
        <f>AVERAGE(S1098:T1098)*$B1154/4</f>
        <v>0.19984912500000002</v>
      </c>
      <c r="U1154" s="347">
        <f t="shared" si="2257"/>
        <v>0.196942125</v>
      </c>
      <c r="V1154" s="347">
        <f t="shared" si="2257"/>
        <v>0.19529625</v>
      </c>
      <c r="W1154" s="346">
        <f t="shared" si="2194"/>
        <v>0.79386749999999995</v>
      </c>
      <c r="X1154" s="347">
        <f t="shared" si="2259"/>
        <v>0.19327274999999999</v>
      </c>
      <c r="Y1154" s="347">
        <f t="shared" si="2259"/>
        <v>0.19089300000000001</v>
      </c>
      <c r="Z1154" s="347">
        <f t="shared" si="2259"/>
        <v>0.18881962499999999</v>
      </c>
      <c r="AA1154" s="347">
        <f>AVERAGE(Z1098:AA1098)*$B1154/4</f>
        <v>0.18671775000000002</v>
      </c>
      <c r="AB1154" s="346">
        <f t="shared" si="2195"/>
        <v>0.75970312500000003</v>
      </c>
      <c r="AC1154" s="347">
        <f t="shared" si="2239"/>
        <v>0.18459450000000002</v>
      </c>
      <c r="AD1154" s="347">
        <f t="shared" si="2239"/>
        <v>0.18242849999999999</v>
      </c>
      <c r="AE1154" s="347">
        <f t="shared" si="2239"/>
        <v>0.18023400000000001</v>
      </c>
      <c r="AF1154" s="347">
        <f t="shared" si="2239"/>
        <v>8.9568375000000006E-2</v>
      </c>
      <c r="AG1154" s="346">
        <f t="shared" si="2240"/>
        <v>0.63682537500000003</v>
      </c>
      <c r="AH1154" s="347">
        <f t="shared" si="2241"/>
        <v>0</v>
      </c>
      <c r="AI1154" s="347">
        <f t="shared" si="2241"/>
        <v>0</v>
      </c>
      <c r="AJ1154" s="347">
        <f t="shared" si="2241"/>
        <v>0</v>
      </c>
      <c r="AK1154" s="347">
        <f t="shared" si="2241"/>
        <v>0</v>
      </c>
      <c r="AL1154" s="346">
        <f t="shared" si="2242"/>
        <v>0</v>
      </c>
      <c r="AM1154" s="347">
        <f t="shared" si="2243"/>
        <v>0</v>
      </c>
      <c r="AN1154" s="347">
        <f t="shared" si="2243"/>
        <v>0</v>
      </c>
      <c r="AO1154" s="347">
        <f t="shared" si="2243"/>
        <v>0</v>
      </c>
      <c r="AP1154" s="347">
        <f t="shared" si="2243"/>
        <v>0</v>
      </c>
      <c r="AQ1154" s="346">
        <f t="shared" si="2244"/>
        <v>0</v>
      </c>
      <c r="AR1154" s="347">
        <f t="shared" si="2245"/>
        <v>0</v>
      </c>
      <c r="AS1154" s="347">
        <f t="shared" si="2245"/>
        <v>0</v>
      </c>
      <c r="AT1154" s="347">
        <f t="shared" si="2245"/>
        <v>0</v>
      </c>
      <c r="AU1154" s="347">
        <f t="shared" si="2245"/>
        <v>0</v>
      </c>
      <c r="AV1154" s="346">
        <f t="shared" si="2203"/>
        <v>0</v>
      </c>
      <c r="AW1154" s="347">
        <f t="shared" si="2246"/>
        <v>0</v>
      </c>
      <c r="AX1154" s="347">
        <f t="shared" si="2246"/>
        <v>0</v>
      </c>
      <c r="AY1154" s="347">
        <f t="shared" si="2246"/>
        <v>0</v>
      </c>
      <c r="AZ1154" s="347">
        <f t="shared" si="2246"/>
        <v>0</v>
      </c>
      <c r="BA1154" s="346">
        <f t="shared" si="2204"/>
        <v>0</v>
      </c>
      <c r="BB1154" s="347">
        <f t="shared" si="2247"/>
        <v>0</v>
      </c>
      <c r="BC1154" s="347">
        <f t="shared" si="2247"/>
        <v>0</v>
      </c>
      <c r="BD1154" s="347">
        <f t="shared" si="2247"/>
        <v>0</v>
      </c>
      <c r="BE1154" s="347">
        <f t="shared" si="2247"/>
        <v>0</v>
      </c>
      <c r="BF1154" s="346">
        <f t="shared" si="2205"/>
        <v>0</v>
      </c>
      <c r="BG1154" s="329">
        <f t="shared" si="2248"/>
        <v>0</v>
      </c>
      <c r="BH1154" s="347">
        <f t="shared" si="2248"/>
        <v>0</v>
      </c>
      <c r="BI1154" s="347">
        <f t="shared" si="2248"/>
        <v>0</v>
      </c>
      <c r="BJ1154" s="1795">
        <f t="shared" si="2248"/>
        <v>0</v>
      </c>
      <c r="BK1154" s="346">
        <f t="shared" si="2249"/>
        <v>0</v>
      </c>
      <c r="BL1154" s="347">
        <f t="shared" si="2250"/>
        <v>0</v>
      </c>
      <c r="BM1154" s="347">
        <f t="shared" si="2250"/>
        <v>0</v>
      </c>
      <c r="BN1154" s="347">
        <f t="shared" si="2250"/>
        <v>0</v>
      </c>
      <c r="BO1154" s="1795">
        <f t="shared" si="2250"/>
        <v>0</v>
      </c>
      <c r="BP1154" s="346">
        <f t="shared" si="2197"/>
        <v>0</v>
      </c>
      <c r="BQ1154" s="347">
        <f t="shared" si="2251"/>
        <v>0</v>
      </c>
      <c r="BR1154" s="347">
        <f t="shared" si="2251"/>
        <v>0</v>
      </c>
      <c r="BS1154" s="347">
        <f t="shared" si="2251"/>
        <v>0</v>
      </c>
      <c r="BT1154" s="1795">
        <f t="shared" si="2251"/>
        <v>0</v>
      </c>
      <c r="BU1154" s="3352">
        <f t="shared" si="2198"/>
        <v>0</v>
      </c>
      <c r="BV1154" s="347">
        <f t="shared" si="2252"/>
        <v>0</v>
      </c>
      <c r="BW1154" s="347">
        <f t="shared" si="2252"/>
        <v>0</v>
      </c>
      <c r="BX1154" s="347">
        <f t="shared" si="2252"/>
        <v>0</v>
      </c>
      <c r="BY1154" s="347">
        <f t="shared" si="2252"/>
        <v>0</v>
      </c>
      <c r="BZ1154" s="4014">
        <f t="shared" si="2200"/>
        <v>0</v>
      </c>
      <c r="CA1154" s="346">
        <f t="shared" ref="CA1154:CG1154" si="2261">AVERAGE(BZ1098:CA1098)*$B1154/1</f>
        <v>0</v>
      </c>
      <c r="CB1154" s="346">
        <f t="shared" si="2261"/>
        <v>0</v>
      </c>
      <c r="CC1154" s="346">
        <f t="shared" si="2261"/>
        <v>0</v>
      </c>
      <c r="CD1154" s="346">
        <f t="shared" si="2261"/>
        <v>0</v>
      </c>
      <c r="CE1154" s="346">
        <f t="shared" si="2261"/>
        <v>0</v>
      </c>
      <c r="CF1154" s="346">
        <f t="shared" si="2261"/>
        <v>0</v>
      </c>
      <c r="CG1154" s="346">
        <f t="shared" si="2261"/>
        <v>0</v>
      </c>
      <c r="CH1154" s="3992"/>
      <c r="CI1154" s="3992"/>
      <c r="CJ1154" s="3992"/>
      <c r="CK1154" s="3992"/>
      <c r="CL1154" s="347"/>
      <c r="CM1154" s="331"/>
      <c r="CN1154" s="331">
        <f t="shared" si="2208"/>
        <v>0</v>
      </c>
      <c r="CO1154" s="965">
        <f t="shared" si="2202"/>
        <v>0</v>
      </c>
      <c r="CP1154" s="90" t="str">
        <f t="shared" si="2176"/>
        <v>5.7% Notes due March 2013</v>
      </c>
      <c r="CQ1154" s="347">
        <f t="shared" si="2177"/>
        <v>0.88919999999999999</v>
      </c>
      <c r="CR1154" s="347">
        <f t="shared" si="2178"/>
        <v>0.88919999999999999</v>
      </c>
      <c r="CS1154" s="347">
        <f t="shared" si="2179"/>
        <v>0.87894000000000005</v>
      </c>
      <c r="CT1154" s="347">
        <f t="shared" si="2180"/>
        <v>0.79386749999999995</v>
      </c>
      <c r="CU1154" s="347">
        <f t="shared" si="2181"/>
        <v>0.75970312500000003</v>
      </c>
      <c r="CV1154" s="347">
        <f t="shared" si="2182"/>
        <v>0.63682537500000003</v>
      </c>
      <c r="CW1154" s="347">
        <f t="shared" si="2183"/>
        <v>0</v>
      </c>
      <c r="CX1154" s="347">
        <f t="shared" si="2184"/>
        <v>0</v>
      </c>
      <c r="CY1154" s="347">
        <f t="shared" si="2185"/>
        <v>0</v>
      </c>
      <c r="CZ1154" s="347">
        <f t="shared" si="2186"/>
        <v>0</v>
      </c>
      <c r="DA1154" s="347">
        <f t="shared" si="2187"/>
        <v>0</v>
      </c>
      <c r="DB1154" s="347">
        <f t="shared" si="2188"/>
        <v>0</v>
      </c>
      <c r="DC1154" s="347">
        <f t="shared" si="2189"/>
        <v>0</v>
      </c>
      <c r="DD1154" s="347">
        <f t="shared" si="2190"/>
        <v>0</v>
      </c>
      <c r="DE1154" s="347">
        <f t="shared" si="2191"/>
        <v>0</v>
      </c>
      <c r="DF1154" s="347">
        <f t="shared" si="2192"/>
        <v>0</v>
      </c>
      <c r="DG1154" s="1795">
        <f t="shared" si="2193"/>
        <v>0</v>
      </c>
      <c r="DH1154" s="290"/>
      <c r="DI1154" s="290"/>
      <c r="DJ1154" s="290"/>
      <c r="DK1154" s="290"/>
      <c r="DL1154" s="290"/>
      <c r="DM1154" s="290"/>
      <c r="DN1154" s="500"/>
      <c r="DO1154" s="537"/>
      <c r="DY1154" s="347"/>
      <c r="DZ1154" s="347"/>
    </row>
    <row r="1155" spans="1:130" ht="12" customHeight="1" collapsed="1">
      <c r="A1155" s="633" t="s">
        <v>691</v>
      </c>
      <c r="B1155" s="907">
        <v>6.7500000000000004E-2</v>
      </c>
      <c r="C1155" s="907"/>
      <c r="D1155" s="327"/>
      <c r="E1155" s="347">
        <f>E1099*$B1155/4*75/90</f>
        <v>4.921875</v>
      </c>
      <c r="F1155" s="347">
        <f>AVERAGE(E1099:F1099)*$B1155/4</f>
        <v>5.90625</v>
      </c>
      <c r="G1155" s="347">
        <f>AVERAGE(F1099:G1099)*$B1155/4</f>
        <v>5.90625</v>
      </c>
      <c r="H1155" s="346">
        <f>SUM(D1155:G1155)</f>
        <v>16.734375</v>
      </c>
      <c r="I1155" s="347">
        <f t="shared" si="2232"/>
        <v>5.90625</v>
      </c>
      <c r="J1155" s="347">
        <f t="shared" si="2232"/>
        <v>5.90625</v>
      </c>
      <c r="K1155" s="347">
        <f t="shared" si="2254"/>
        <v>5.90625</v>
      </c>
      <c r="L1155" s="347">
        <f t="shared" si="2233"/>
        <v>5.90625</v>
      </c>
      <c r="M1155" s="346">
        <f t="shared" si="2234"/>
        <v>23.625</v>
      </c>
      <c r="N1155" s="347">
        <f t="shared" si="2235"/>
        <v>5.90625</v>
      </c>
      <c r="O1155" s="347">
        <f t="shared" si="2235"/>
        <v>5.90625</v>
      </c>
      <c r="P1155" s="347">
        <f t="shared" si="2235"/>
        <v>5.90625</v>
      </c>
      <c r="Q1155" s="347">
        <f t="shared" si="2235"/>
        <v>5.90625</v>
      </c>
      <c r="R1155" s="346">
        <f t="shared" si="2236"/>
        <v>23.625</v>
      </c>
      <c r="S1155" s="347">
        <f>AVERAGE(R1099:S1099)*$B1155/4</f>
        <v>5.90625</v>
      </c>
      <c r="T1155" s="347">
        <f>AVERAGE(S1099:T1099)*$B1155/4</f>
        <v>5.90625</v>
      </c>
      <c r="U1155" s="347">
        <f t="shared" si="2257"/>
        <v>5.90625</v>
      </c>
      <c r="V1155" s="347">
        <f t="shared" si="2257"/>
        <v>5.90625</v>
      </c>
      <c r="W1155" s="346">
        <f t="shared" ref="W1155:W1162" si="2262">SUM(S1155:V1155)</f>
        <v>23.625</v>
      </c>
      <c r="X1155" s="347">
        <f t="shared" si="2259"/>
        <v>5.90625</v>
      </c>
      <c r="Y1155" s="347">
        <f t="shared" si="2259"/>
        <v>5.90625</v>
      </c>
      <c r="Z1155" s="347">
        <f t="shared" si="2259"/>
        <v>5.90625</v>
      </c>
      <c r="AA1155" s="347">
        <f>AVERAGE(Z1099:AA1099)*$B1155/4</f>
        <v>5.484375</v>
      </c>
      <c r="AB1155" s="346">
        <f t="shared" si="2195"/>
        <v>23.203125</v>
      </c>
      <c r="AC1155" s="347">
        <f t="shared" si="2239"/>
        <v>5.0625</v>
      </c>
      <c r="AD1155" s="347">
        <f t="shared" si="2239"/>
        <v>4.9865625000000007</v>
      </c>
      <c r="AE1155" s="347">
        <f t="shared" si="2239"/>
        <v>4.8145893749999997</v>
      </c>
      <c r="AF1155" s="347">
        <f t="shared" si="2239"/>
        <v>4.4574131250000004</v>
      </c>
      <c r="AG1155" s="346">
        <f t="shared" si="2240"/>
        <v>19.321065000000004</v>
      </c>
      <c r="AH1155" s="347">
        <f t="shared" si="2241"/>
        <v>4.06549125</v>
      </c>
      <c r="AI1155" s="347">
        <f t="shared" si="2241"/>
        <v>3.7870537500000006</v>
      </c>
      <c r="AJ1155" s="347">
        <f t="shared" si="2241"/>
        <v>3.6393975000000003</v>
      </c>
      <c r="AK1155" s="347">
        <f t="shared" si="2241"/>
        <v>3.6393975000000003</v>
      </c>
      <c r="AL1155" s="346">
        <f t="shared" si="2242"/>
        <v>15.131340000000002</v>
      </c>
      <c r="AM1155" s="347">
        <f t="shared" si="2243"/>
        <v>3.6393975000000003</v>
      </c>
      <c r="AN1155" s="347">
        <f t="shared" si="2243"/>
        <v>3.6393975000000003</v>
      </c>
      <c r="AO1155" s="347">
        <f t="shared" si="2243"/>
        <v>3.6393975000000003</v>
      </c>
      <c r="AP1155" s="347">
        <f t="shared" si="2243"/>
        <v>3.6393975000000003</v>
      </c>
      <c r="AQ1155" s="346">
        <f t="shared" si="2244"/>
        <v>14.557590000000001</v>
      </c>
      <c r="AR1155" s="347">
        <f t="shared" si="2245"/>
        <v>3.6393975000000003</v>
      </c>
      <c r="AS1155" s="347">
        <f t="shared" si="2245"/>
        <v>3.6393975000000003</v>
      </c>
      <c r="AT1155" s="347">
        <f t="shared" si="2245"/>
        <v>3.6393975000000003</v>
      </c>
      <c r="AU1155" s="347">
        <f t="shared" si="2245"/>
        <v>3.6393975000000003</v>
      </c>
      <c r="AV1155" s="346">
        <f t="shared" si="2203"/>
        <v>14.557590000000001</v>
      </c>
      <c r="AW1155" s="347">
        <f t="shared" si="2246"/>
        <v>3.6393975000000003</v>
      </c>
      <c r="AX1155" s="347">
        <f t="shared" si="2246"/>
        <v>1.8196987500000001</v>
      </c>
      <c r="AY1155" s="347">
        <f t="shared" si="2246"/>
        <v>0</v>
      </c>
      <c r="AZ1155" s="347">
        <f t="shared" si="2246"/>
        <v>0</v>
      </c>
      <c r="BA1155" s="346">
        <f t="shared" si="2204"/>
        <v>5.45909625</v>
      </c>
      <c r="BB1155" s="347">
        <f t="shared" si="2247"/>
        <v>0</v>
      </c>
      <c r="BC1155" s="347">
        <f t="shared" si="2247"/>
        <v>0</v>
      </c>
      <c r="BD1155" s="347">
        <f t="shared" si="2247"/>
        <v>0</v>
      </c>
      <c r="BE1155" s="347">
        <f t="shared" si="2247"/>
        <v>0</v>
      </c>
      <c r="BF1155" s="346">
        <f t="shared" si="2205"/>
        <v>0</v>
      </c>
      <c r="BG1155" s="329">
        <f t="shared" si="2248"/>
        <v>0</v>
      </c>
      <c r="BH1155" s="347">
        <f t="shared" si="2248"/>
        <v>0</v>
      </c>
      <c r="BI1155" s="347">
        <f t="shared" si="2248"/>
        <v>0</v>
      </c>
      <c r="BJ1155" s="1795">
        <f t="shared" si="2248"/>
        <v>0</v>
      </c>
      <c r="BK1155" s="346">
        <f t="shared" si="2249"/>
        <v>0</v>
      </c>
      <c r="BL1155" s="347">
        <f t="shared" si="2250"/>
        <v>0</v>
      </c>
      <c r="BM1155" s="347">
        <f t="shared" si="2250"/>
        <v>0</v>
      </c>
      <c r="BN1155" s="347">
        <f t="shared" si="2250"/>
        <v>0</v>
      </c>
      <c r="BO1155" s="1795">
        <f t="shared" si="2250"/>
        <v>0</v>
      </c>
      <c r="BP1155" s="346">
        <f t="shared" si="2197"/>
        <v>0</v>
      </c>
      <c r="BQ1155" s="347">
        <f t="shared" si="2251"/>
        <v>0</v>
      </c>
      <c r="BR1155" s="347">
        <f t="shared" si="2251"/>
        <v>0</v>
      </c>
      <c r="BS1155" s="347">
        <f t="shared" si="2251"/>
        <v>0</v>
      </c>
      <c r="BT1155" s="1795">
        <f t="shared" si="2251"/>
        <v>0</v>
      </c>
      <c r="BU1155" s="3352">
        <f t="shared" si="2198"/>
        <v>0</v>
      </c>
      <c r="BV1155" s="347">
        <f t="shared" si="2252"/>
        <v>0</v>
      </c>
      <c r="BW1155" s="347">
        <f t="shared" si="2252"/>
        <v>0</v>
      </c>
      <c r="BX1155" s="347">
        <f t="shared" si="2252"/>
        <v>0</v>
      </c>
      <c r="BY1155" s="347">
        <f t="shared" si="2252"/>
        <v>0</v>
      </c>
      <c r="BZ1155" s="4014">
        <f t="shared" si="2200"/>
        <v>0</v>
      </c>
      <c r="CA1155" s="346">
        <f t="shared" ref="CA1155:CG1155" si="2263">AVERAGE(BZ1099:CA1099)*$B1155/1</f>
        <v>0</v>
      </c>
      <c r="CB1155" s="346">
        <f t="shared" si="2263"/>
        <v>0</v>
      </c>
      <c r="CC1155" s="346">
        <f t="shared" si="2263"/>
        <v>0</v>
      </c>
      <c r="CD1155" s="346">
        <f t="shared" si="2263"/>
        <v>0</v>
      </c>
      <c r="CE1155" s="346">
        <f t="shared" si="2263"/>
        <v>0</v>
      </c>
      <c r="CF1155" s="346">
        <f t="shared" si="2263"/>
        <v>0</v>
      </c>
      <c r="CG1155" s="346">
        <f t="shared" si="2263"/>
        <v>0</v>
      </c>
      <c r="CH1155" s="3992"/>
      <c r="CI1155" s="3992"/>
      <c r="CJ1155" s="3992"/>
      <c r="CK1155" s="3992"/>
      <c r="CL1155" s="347"/>
      <c r="CM1155" s="331"/>
      <c r="CN1155" s="331">
        <f t="shared" si="2208"/>
        <v>0</v>
      </c>
      <c r="CO1155" s="965">
        <f t="shared" si="2202"/>
        <v>0</v>
      </c>
      <c r="CP1155" s="90" t="str">
        <f t="shared" si="2176"/>
        <v>6.75% Senior Subordinated Notes due 2014</v>
      </c>
      <c r="CQ1155" s="347">
        <f t="shared" si="2177"/>
        <v>16.734375</v>
      </c>
      <c r="CR1155" s="347">
        <f t="shared" si="2178"/>
        <v>23.625</v>
      </c>
      <c r="CS1155" s="347">
        <f t="shared" si="2179"/>
        <v>23.625</v>
      </c>
      <c r="CT1155" s="347">
        <f t="shared" si="2180"/>
        <v>23.625</v>
      </c>
      <c r="CU1155" s="347">
        <f t="shared" si="2181"/>
        <v>23.203125</v>
      </c>
      <c r="CV1155" s="347">
        <f t="shared" si="2182"/>
        <v>19.321065000000004</v>
      </c>
      <c r="CW1155" s="347">
        <f t="shared" si="2183"/>
        <v>15.131340000000002</v>
      </c>
      <c r="CX1155" s="347">
        <f t="shared" si="2184"/>
        <v>14.557590000000001</v>
      </c>
      <c r="CY1155" s="347">
        <f t="shared" si="2185"/>
        <v>14.557590000000001</v>
      </c>
      <c r="CZ1155" s="347">
        <f t="shared" si="2186"/>
        <v>5.45909625</v>
      </c>
      <c r="DA1155" s="347">
        <f t="shared" si="2187"/>
        <v>0</v>
      </c>
      <c r="DB1155" s="347">
        <f t="shared" si="2188"/>
        <v>0</v>
      </c>
      <c r="DC1155" s="347">
        <f t="shared" si="2189"/>
        <v>0</v>
      </c>
      <c r="DD1155" s="347">
        <f t="shared" si="2190"/>
        <v>0</v>
      </c>
      <c r="DE1155" s="347">
        <f t="shared" si="2191"/>
        <v>0</v>
      </c>
      <c r="DF1155" s="347">
        <f t="shared" si="2192"/>
        <v>0</v>
      </c>
      <c r="DG1155" s="1795">
        <f t="shared" si="2193"/>
        <v>0</v>
      </c>
      <c r="DH1155" s="290"/>
      <c r="DI1155" s="290"/>
      <c r="DJ1155" s="290"/>
      <c r="DK1155" s="290"/>
      <c r="DL1155" s="290"/>
      <c r="DM1155" s="290"/>
      <c r="DN1155" s="500"/>
      <c r="DO1155" s="537"/>
      <c r="DY1155" s="347"/>
      <c r="DZ1155" s="347"/>
    </row>
    <row r="1156" spans="1:130" ht="12" customHeight="1">
      <c r="A1156" s="633" t="s">
        <v>229</v>
      </c>
      <c r="B1156" s="907">
        <v>7.1249999999999994E-2</v>
      </c>
      <c r="C1156" s="907"/>
      <c r="D1156" s="327"/>
      <c r="E1156" s="328"/>
      <c r="F1156" s="328"/>
      <c r="G1156" s="328"/>
      <c r="H1156" s="893"/>
      <c r="I1156" s="328"/>
      <c r="J1156" s="328"/>
      <c r="K1156" s="328"/>
      <c r="L1156" s="328"/>
      <c r="M1156" s="893"/>
      <c r="N1156" s="347">
        <f>N1100*$B1156/4/3*2</f>
        <v>2.96875</v>
      </c>
      <c r="O1156" s="347">
        <f>AVERAGE(N1100:O1100)*$B1156/4</f>
        <v>4.453125</v>
      </c>
      <c r="P1156" s="347">
        <f>AVERAGE(O1100:P1100)*$B1156/4</f>
        <v>4.453125</v>
      </c>
      <c r="Q1156" s="347">
        <f>AVERAGE(P1100:Q1100)*$B1156/4</f>
        <v>4.453125</v>
      </c>
      <c r="R1156" s="346">
        <f t="shared" si="2236"/>
        <v>16.328125</v>
      </c>
      <c r="S1156" s="347">
        <f>AVERAGE(R1100:S1100)*$B1156/4</f>
        <v>4.453125</v>
      </c>
      <c r="T1156" s="347">
        <f>AVERAGE(S1100:T1100)*$B1156/4</f>
        <v>4.453125</v>
      </c>
      <c r="U1156" s="347">
        <f t="shared" si="2257"/>
        <v>4.453125</v>
      </c>
      <c r="V1156" s="347">
        <f t="shared" si="2257"/>
        <v>4.453125</v>
      </c>
      <c r="W1156" s="346">
        <f t="shared" si="2262"/>
        <v>17.8125</v>
      </c>
      <c r="X1156" s="347">
        <f t="shared" si="2259"/>
        <v>4.453125</v>
      </c>
      <c r="Y1156" s="347">
        <f t="shared" si="2259"/>
        <v>4.453125</v>
      </c>
      <c r="Z1156" s="347">
        <f t="shared" si="2259"/>
        <v>4.453125</v>
      </c>
      <c r="AA1156" s="347">
        <f>AVERAGE(Z1100:AA1100)*$B1156/4</f>
        <v>4.453125</v>
      </c>
      <c r="AB1156" s="346">
        <f t="shared" si="2195"/>
        <v>17.8125</v>
      </c>
      <c r="AC1156" s="347">
        <f t="shared" si="2239"/>
        <v>4.453125</v>
      </c>
      <c r="AD1156" s="347">
        <f t="shared" si="2239"/>
        <v>4.453125</v>
      </c>
      <c r="AE1156" s="347">
        <f t="shared" si="2239"/>
        <v>4.3707421874999994</v>
      </c>
      <c r="AF1156" s="347">
        <f t="shared" si="2239"/>
        <v>4.2883593749999998</v>
      </c>
      <c r="AG1156" s="346">
        <f t="shared" si="2240"/>
        <v>17.565351562499998</v>
      </c>
      <c r="AH1156" s="347">
        <f t="shared" si="2241"/>
        <v>4.2883593749999998</v>
      </c>
      <c r="AI1156" s="347">
        <f t="shared" si="2241"/>
        <v>4.2883593749999998</v>
      </c>
      <c r="AJ1156" s="347">
        <f t="shared" si="2241"/>
        <v>4.2883593749999998</v>
      </c>
      <c r="AK1156" s="347">
        <f t="shared" si="2241"/>
        <v>4.2883593749999998</v>
      </c>
      <c r="AL1156" s="346">
        <f t="shared" si="2242"/>
        <v>17.153437499999999</v>
      </c>
      <c r="AM1156" s="347">
        <f t="shared" si="2243"/>
        <v>4.2883593749999998</v>
      </c>
      <c r="AN1156" s="347">
        <f t="shared" si="2243"/>
        <v>4.2883593749999998</v>
      </c>
      <c r="AO1156" s="347">
        <f t="shared" si="2243"/>
        <v>4.2883593749999998</v>
      </c>
      <c r="AP1156" s="347">
        <f t="shared" si="2243"/>
        <v>4.2883593749999998</v>
      </c>
      <c r="AQ1156" s="346">
        <f t="shared" si="2244"/>
        <v>17.153437499999999</v>
      </c>
      <c r="AR1156" s="347">
        <f t="shared" si="2245"/>
        <v>4.2883593749999998</v>
      </c>
      <c r="AS1156" s="347">
        <f t="shared" si="2245"/>
        <v>4.2883593749999998</v>
      </c>
      <c r="AT1156" s="347">
        <f t="shared" si="2245"/>
        <v>4.2883593749999998</v>
      </c>
      <c r="AU1156" s="347">
        <f t="shared" si="2245"/>
        <v>4.2883593749999998</v>
      </c>
      <c r="AV1156" s="346">
        <f t="shared" si="2203"/>
        <v>17.153437499999999</v>
      </c>
      <c r="AW1156" s="347">
        <f t="shared" si="2246"/>
        <v>4.2883593749999998</v>
      </c>
      <c r="AX1156" s="347">
        <f t="shared" si="2246"/>
        <v>4.2883593749999998</v>
      </c>
      <c r="AY1156" s="347">
        <f t="shared" si="2246"/>
        <v>2.1441796874999999</v>
      </c>
      <c r="AZ1156" s="347">
        <f t="shared" si="2246"/>
        <v>0</v>
      </c>
      <c r="BA1156" s="346">
        <f t="shared" si="2204"/>
        <v>10.720898437499999</v>
      </c>
      <c r="BB1156" s="347">
        <f t="shared" si="2247"/>
        <v>0</v>
      </c>
      <c r="BC1156" s="347">
        <f t="shared" si="2247"/>
        <v>0</v>
      </c>
      <c r="BD1156" s="347">
        <f t="shared" si="2247"/>
        <v>0</v>
      </c>
      <c r="BE1156" s="347">
        <f t="shared" si="2247"/>
        <v>0</v>
      </c>
      <c r="BF1156" s="346">
        <f t="shared" si="2205"/>
        <v>0</v>
      </c>
      <c r="BG1156" s="329">
        <f t="shared" si="2248"/>
        <v>0</v>
      </c>
      <c r="BH1156" s="347">
        <f t="shared" si="2248"/>
        <v>0</v>
      </c>
      <c r="BI1156" s="347">
        <f t="shared" si="2248"/>
        <v>0</v>
      </c>
      <c r="BJ1156" s="1795">
        <f t="shared" si="2248"/>
        <v>0</v>
      </c>
      <c r="BK1156" s="346">
        <f t="shared" si="2249"/>
        <v>0</v>
      </c>
      <c r="BL1156" s="347">
        <f t="shared" si="2250"/>
        <v>0</v>
      </c>
      <c r="BM1156" s="347">
        <f t="shared" si="2250"/>
        <v>0</v>
      </c>
      <c r="BN1156" s="347">
        <f t="shared" si="2250"/>
        <v>0</v>
      </c>
      <c r="BO1156" s="1795">
        <f t="shared" si="2250"/>
        <v>0</v>
      </c>
      <c r="BP1156" s="346">
        <f t="shared" si="2197"/>
        <v>0</v>
      </c>
      <c r="BQ1156" s="347">
        <f t="shared" si="2251"/>
        <v>0</v>
      </c>
      <c r="BR1156" s="347">
        <f t="shared" si="2251"/>
        <v>0</v>
      </c>
      <c r="BS1156" s="347">
        <f t="shared" si="2251"/>
        <v>0</v>
      </c>
      <c r="BT1156" s="1795">
        <f t="shared" si="2251"/>
        <v>0</v>
      </c>
      <c r="BU1156" s="3352">
        <f t="shared" si="2198"/>
        <v>0</v>
      </c>
      <c r="BV1156" s="347">
        <f t="shared" si="2252"/>
        <v>0</v>
      </c>
      <c r="BW1156" s="347">
        <f t="shared" si="2252"/>
        <v>0</v>
      </c>
      <c r="BX1156" s="347">
        <f t="shared" si="2252"/>
        <v>0</v>
      </c>
      <c r="BY1156" s="347">
        <f t="shared" si="2252"/>
        <v>0</v>
      </c>
      <c r="BZ1156" s="4014">
        <f t="shared" si="2200"/>
        <v>0</v>
      </c>
      <c r="CA1156" s="346">
        <f t="shared" ref="CA1156:CG1156" si="2264">AVERAGE(BZ1100:CA1100)*$B1156/1</f>
        <v>0</v>
      </c>
      <c r="CB1156" s="346">
        <f t="shared" si="2264"/>
        <v>0</v>
      </c>
      <c r="CC1156" s="346">
        <f t="shared" si="2264"/>
        <v>0</v>
      </c>
      <c r="CD1156" s="346">
        <f t="shared" si="2264"/>
        <v>0</v>
      </c>
      <c r="CE1156" s="346">
        <f t="shared" si="2264"/>
        <v>0</v>
      </c>
      <c r="CF1156" s="346">
        <f t="shared" si="2264"/>
        <v>0</v>
      </c>
      <c r="CG1156" s="346">
        <f t="shared" si="2264"/>
        <v>0</v>
      </c>
      <c r="CH1156" s="3992"/>
      <c r="CI1156" s="3992"/>
      <c r="CJ1156" s="3992"/>
      <c r="CK1156" s="3992"/>
      <c r="CL1156" s="347"/>
      <c r="CM1156" s="331"/>
      <c r="CN1156" s="331">
        <f t="shared" si="2208"/>
        <v>0</v>
      </c>
      <c r="CO1156" s="965">
        <f t="shared" si="2202"/>
        <v>0</v>
      </c>
      <c r="CP1156" s="90" t="str">
        <f t="shared" si="2176"/>
        <v>7.125% Senior Subordinated Notes due 2016</v>
      </c>
      <c r="CQ1156" s="347">
        <f t="shared" si="2177"/>
        <v>0</v>
      </c>
      <c r="CR1156" s="347">
        <f t="shared" si="2178"/>
        <v>0</v>
      </c>
      <c r="CS1156" s="347">
        <f t="shared" si="2179"/>
        <v>16.328125</v>
      </c>
      <c r="CT1156" s="347">
        <f t="shared" si="2180"/>
        <v>17.8125</v>
      </c>
      <c r="CU1156" s="347">
        <f t="shared" si="2181"/>
        <v>17.8125</v>
      </c>
      <c r="CV1156" s="347">
        <f t="shared" si="2182"/>
        <v>17.565351562499998</v>
      </c>
      <c r="CW1156" s="347">
        <f t="shared" si="2183"/>
        <v>17.153437499999999</v>
      </c>
      <c r="CX1156" s="347">
        <f t="shared" si="2184"/>
        <v>17.153437499999999</v>
      </c>
      <c r="CY1156" s="347">
        <f t="shared" si="2185"/>
        <v>17.153437499999999</v>
      </c>
      <c r="CZ1156" s="347">
        <f t="shared" si="2186"/>
        <v>10.720898437499999</v>
      </c>
      <c r="DA1156" s="347">
        <f t="shared" si="2187"/>
        <v>0</v>
      </c>
      <c r="DB1156" s="347">
        <f t="shared" si="2188"/>
        <v>0</v>
      </c>
      <c r="DC1156" s="347">
        <f t="shared" si="2189"/>
        <v>0</v>
      </c>
      <c r="DD1156" s="347">
        <f t="shared" si="2190"/>
        <v>0</v>
      </c>
      <c r="DE1156" s="347">
        <f t="shared" si="2191"/>
        <v>0</v>
      </c>
      <c r="DF1156" s="347">
        <f t="shared" si="2192"/>
        <v>0</v>
      </c>
      <c r="DG1156" s="1795">
        <f t="shared" si="2193"/>
        <v>0</v>
      </c>
      <c r="DH1156" s="290"/>
      <c r="DI1156" s="290"/>
      <c r="DJ1156" s="290"/>
      <c r="DK1156" s="290"/>
      <c r="DL1156" s="290"/>
      <c r="DM1156" s="290"/>
      <c r="DN1156" s="500"/>
      <c r="DO1156" s="537"/>
      <c r="DY1156" s="347"/>
      <c r="DZ1156" s="347"/>
    </row>
    <row r="1157" spans="1:130" ht="12" customHeight="1">
      <c r="A1157" s="633" t="s">
        <v>1119</v>
      </c>
      <c r="B1157" s="907">
        <v>9.1249999999999998E-2</v>
      </c>
      <c r="C1157" s="907"/>
      <c r="D1157" s="327"/>
      <c r="E1157" s="328"/>
      <c r="F1157" s="328"/>
      <c r="G1157" s="328"/>
      <c r="H1157" s="893"/>
      <c r="I1157" s="328"/>
      <c r="J1157" s="328"/>
      <c r="K1157" s="328"/>
      <c r="L1157" s="328"/>
      <c r="M1157" s="893"/>
      <c r="N1157" s="347"/>
      <c r="O1157" s="347"/>
      <c r="P1157" s="347"/>
      <c r="Q1157" s="347"/>
      <c r="R1157" s="346"/>
      <c r="S1157" s="347"/>
      <c r="T1157" s="347"/>
      <c r="U1157" s="347"/>
      <c r="V1157" s="347"/>
      <c r="W1157" s="346"/>
      <c r="X1157" s="347"/>
      <c r="Y1157" s="347"/>
      <c r="Z1157" s="347"/>
      <c r="AA1157" s="347"/>
      <c r="AB1157" s="346"/>
      <c r="AC1157" s="347"/>
      <c r="AD1157" s="347"/>
      <c r="AE1157" s="347"/>
      <c r="AF1157" s="347"/>
      <c r="AG1157" s="346"/>
      <c r="AH1157" s="347"/>
      <c r="AI1157" s="347"/>
      <c r="AJ1157" s="347"/>
      <c r="AK1157" s="347"/>
      <c r="AL1157" s="346"/>
      <c r="AM1157" s="347">
        <f>AVERAGE(AM1101)*$B1157/4</f>
        <v>11.40625</v>
      </c>
      <c r="AN1157" s="347">
        <f>AVERAGE(AM1101:AN1101)*$B1157/4</f>
        <v>11.40625</v>
      </c>
      <c r="AO1157" s="347">
        <f>AVERAGE(AN1101:AO1101)*$B1157/4</f>
        <v>11.40625</v>
      </c>
      <c r="AP1157" s="347">
        <f>AVERAGE(AO1101:AP1101)*$B1157/4</f>
        <v>11.40625</v>
      </c>
      <c r="AQ1157" s="346">
        <f t="shared" ref="AQ1157:AQ1163" si="2265">SUM(AM1157:AP1157)</f>
        <v>45.625</v>
      </c>
      <c r="AR1157" s="347">
        <f t="shared" si="2245"/>
        <v>11.40625</v>
      </c>
      <c r="AS1157" s="347">
        <f t="shared" si="2245"/>
        <v>11.40625</v>
      </c>
      <c r="AT1157" s="347">
        <f t="shared" si="2245"/>
        <v>11.40625</v>
      </c>
      <c r="AU1157" s="347">
        <f t="shared" si="2245"/>
        <v>11.40625</v>
      </c>
      <c r="AV1157" s="346">
        <f t="shared" si="2203"/>
        <v>45.625</v>
      </c>
      <c r="AW1157" s="347">
        <f t="shared" si="2246"/>
        <v>11.40625</v>
      </c>
      <c r="AX1157" s="347">
        <f t="shared" si="2246"/>
        <v>11.40625</v>
      </c>
      <c r="AY1157" s="347">
        <f t="shared" si="2246"/>
        <v>11.40625</v>
      </c>
      <c r="AZ1157" s="347">
        <f t="shared" si="2246"/>
        <v>11.40625</v>
      </c>
      <c r="BA1157" s="346">
        <f t="shared" si="2204"/>
        <v>45.625</v>
      </c>
      <c r="BB1157" s="347">
        <f t="shared" si="2247"/>
        <v>11.40625</v>
      </c>
      <c r="BC1157" s="347">
        <f t="shared" si="2247"/>
        <v>11.40625</v>
      </c>
      <c r="BD1157" s="347">
        <f t="shared" si="2247"/>
        <v>11.40625</v>
      </c>
      <c r="BE1157" s="347">
        <f t="shared" si="2247"/>
        <v>11.40625</v>
      </c>
      <c r="BF1157" s="346">
        <f t="shared" si="2205"/>
        <v>45.625</v>
      </c>
      <c r="BG1157" s="329">
        <f t="shared" si="2248"/>
        <v>11.40625</v>
      </c>
      <c r="BH1157" s="347">
        <f t="shared" si="2248"/>
        <v>5.703125</v>
      </c>
      <c r="BI1157" s="347">
        <f t="shared" si="2248"/>
        <v>0</v>
      </c>
      <c r="BJ1157" s="1795">
        <f t="shared" si="2248"/>
        <v>0</v>
      </c>
      <c r="BK1157" s="346">
        <f t="shared" si="2249"/>
        <v>17.109375</v>
      </c>
      <c r="BL1157" s="347">
        <f t="shared" si="2250"/>
        <v>0</v>
      </c>
      <c r="BM1157" s="347">
        <f t="shared" si="2250"/>
        <v>0</v>
      </c>
      <c r="BN1157" s="347">
        <f t="shared" si="2250"/>
        <v>0</v>
      </c>
      <c r="BO1157" s="1795">
        <f t="shared" si="2250"/>
        <v>0</v>
      </c>
      <c r="BP1157" s="346">
        <f t="shared" si="2197"/>
        <v>0</v>
      </c>
      <c r="BQ1157" s="347">
        <f t="shared" si="2251"/>
        <v>0</v>
      </c>
      <c r="BR1157" s="347">
        <f t="shared" si="2251"/>
        <v>0</v>
      </c>
      <c r="BS1157" s="347">
        <f t="shared" si="2251"/>
        <v>0</v>
      </c>
      <c r="BT1157" s="1795">
        <f t="shared" si="2251"/>
        <v>0</v>
      </c>
      <c r="BU1157" s="3352">
        <f t="shared" si="2198"/>
        <v>0</v>
      </c>
      <c r="BV1157" s="347">
        <f t="shared" si="2252"/>
        <v>0</v>
      </c>
      <c r="BW1157" s="347">
        <f t="shared" si="2252"/>
        <v>0</v>
      </c>
      <c r="BX1157" s="347">
        <f t="shared" si="2252"/>
        <v>0</v>
      </c>
      <c r="BY1157" s="347">
        <f t="shared" si="2252"/>
        <v>0</v>
      </c>
      <c r="BZ1157" s="4014">
        <f t="shared" si="2200"/>
        <v>0</v>
      </c>
      <c r="CA1157" s="346">
        <f t="shared" ref="CA1157:CG1157" si="2266">AVERAGE(BZ1101:CA1101)*$B1157/1</f>
        <v>0</v>
      </c>
      <c r="CB1157" s="346">
        <f t="shared" si="2266"/>
        <v>0</v>
      </c>
      <c r="CC1157" s="346">
        <f t="shared" si="2266"/>
        <v>0</v>
      </c>
      <c r="CD1157" s="346">
        <f t="shared" si="2266"/>
        <v>0</v>
      </c>
      <c r="CE1157" s="346">
        <f t="shared" si="2266"/>
        <v>0</v>
      </c>
      <c r="CF1157" s="346">
        <f t="shared" si="2266"/>
        <v>0</v>
      </c>
      <c r="CG1157" s="346">
        <f t="shared" si="2266"/>
        <v>0</v>
      </c>
      <c r="CH1157" s="3992"/>
      <c r="CI1157" s="3992"/>
      <c r="CJ1157" s="3992"/>
      <c r="CK1157" s="3992"/>
      <c r="CL1157" s="347"/>
      <c r="CM1157" s="331"/>
      <c r="CN1157" s="331">
        <f t="shared" si="2208"/>
        <v>0</v>
      </c>
      <c r="CO1157" s="965">
        <f t="shared" si="2202"/>
        <v>0</v>
      </c>
      <c r="CP1157" s="90" t="str">
        <f t="shared" si="2176"/>
        <v>9.125% Senior Notes due 2018</v>
      </c>
      <c r="CQ1157" s="347">
        <f t="shared" si="2177"/>
        <v>0</v>
      </c>
      <c r="CR1157" s="347">
        <f t="shared" si="2178"/>
        <v>0</v>
      </c>
      <c r="CS1157" s="347">
        <f t="shared" si="2179"/>
        <v>0</v>
      </c>
      <c r="CT1157" s="347">
        <f t="shared" si="2180"/>
        <v>0</v>
      </c>
      <c r="CU1157" s="347">
        <f t="shared" si="2181"/>
        <v>0</v>
      </c>
      <c r="CV1157" s="347">
        <f t="shared" si="2182"/>
        <v>0</v>
      </c>
      <c r="CW1157" s="347">
        <f t="shared" si="2183"/>
        <v>0</v>
      </c>
      <c r="CX1157" s="347">
        <f t="shared" si="2184"/>
        <v>45.625</v>
      </c>
      <c r="CY1157" s="347">
        <f t="shared" si="2185"/>
        <v>45.625</v>
      </c>
      <c r="CZ1157" s="347">
        <f t="shared" si="2186"/>
        <v>45.625</v>
      </c>
      <c r="DA1157" s="347">
        <f t="shared" si="2187"/>
        <v>45.625</v>
      </c>
      <c r="DB1157" s="347">
        <f t="shared" si="2188"/>
        <v>17.109375</v>
      </c>
      <c r="DC1157" s="347">
        <f t="shared" si="2189"/>
        <v>0</v>
      </c>
      <c r="DD1157" s="347">
        <f t="shared" si="2190"/>
        <v>0</v>
      </c>
      <c r="DE1157" s="347">
        <f t="shared" si="2191"/>
        <v>0</v>
      </c>
      <c r="DF1157" s="347">
        <f t="shared" si="2192"/>
        <v>0</v>
      </c>
      <c r="DG1157" s="1795">
        <f t="shared" si="2193"/>
        <v>0</v>
      </c>
      <c r="DH1157" s="290"/>
      <c r="DI1157" s="290"/>
      <c r="DJ1157" s="290"/>
      <c r="DK1157" s="290"/>
      <c r="DL1157" s="290"/>
      <c r="DM1157" s="290"/>
      <c r="DN1157" s="500"/>
      <c r="DO1157" s="537"/>
      <c r="DY1157" s="347"/>
      <c r="DZ1157" s="347"/>
    </row>
    <row r="1158" spans="1:130" ht="12" customHeight="1">
      <c r="A1158" s="633" t="s">
        <v>700</v>
      </c>
      <c r="B1158" s="907">
        <v>0.09</v>
      </c>
      <c r="C1158" s="907"/>
      <c r="D1158" s="327"/>
      <c r="E1158" s="328"/>
      <c r="F1158" s="328"/>
      <c r="G1158" s="328"/>
      <c r="H1158" s="893"/>
      <c r="I1158" s="328"/>
      <c r="J1158" s="328"/>
      <c r="K1158" s="328"/>
      <c r="L1158" s="328"/>
      <c r="M1158" s="893"/>
      <c r="N1158" s="347"/>
      <c r="O1158" s="347"/>
      <c r="P1158" s="347"/>
      <c r="Q1158" s="347"/>
      <c r="R1158" s="346"/>
      <c r="S1158" s="347"/>
      <c r="T1158" s="347"/>
      <c r="U1158" s="347"/>
      <c r="V1158" s="347"/>
      <c r="W1158" s="346"/>
      <c r="X1158" s="347"/>
      <c r="Y1158" s="347"/>
      <c r="Z1158" s="347"/>
      <c r="AA1158" s="347"/>
      <c r="AB1158" s="346"/>
      <c r="AC1158" s="347"/>
      <c r="AD1158" s="347"/>
      <c r="AE1158" s="347"/>
      <c r="AF1158" s="347"/>
      <c r="AG1158" s="346"/>
      <c r="AH1158" s="347"/>
      <c r="AI1158" s="347"/>
      <c r="AJ1158" s="347"/>
      <c r="AK1158" s="347"/>
      <c r="AL1158" s="346"/>
      <c r="AM1158" s="347"/>
      <c r="AN1158" s="347"/>
      <c r="AO1158" s="347"/>
      <c r="AP1158" s="347"/>
      <c r="AQ1158" s="346"/>
      <c r="AR1158" s="347"/>
      <c r="AS1158" s="347">
        <f>AVERAGE(AR1102:AS1102)*$B1158/4</f>
        <v>3.9375</v>
      </c>
      <c r="AT1158" s="347">
        <f>AVERAGE(AS1102:AT1102)*$B1158/4</f>
        <v>7.875</v>
      </c>
      <c r="AU1158" s="347">
        <f>AVERAGE(AT1102:AU1102)*$B1158/4</f>
        <v>7.875</v>
      </c>
      <c r="AV1158" s="346">
        <f t="shared" si="2203"/>
        <v>19.6875</v>
      </c>
      <c r="AW1158" s="347">
        <f t="shared" si="2246"/>
        <v>7.875</v>
      </c>
      <c r="AX1158" s="347">
        <f t="shared" si="2246"/>
        <v>7.875</v>
      </c>
      <c r="AY1158" s="347">
        <f t="shared" si="2246"/>
        <v>7.875</v>
      </c>
      <c r="AZ1158" s="347">
        <f t="shared" si="2246"/>
        <v>7.875</v>
      </c>
      <c r="BA1158" s="346">
        <f t="shared" si="2204"/>
        <v>31.5</v>
      </c>
      <c r="BB1158" s="347">
        <f t="shared" si="2247"/>
        <v>7.875</v>
      </c>
      <c r="BC1158" s="347">
        <f t="shared" si="2247"/>
        <v>7.875</v>
      </c>
      <c r="BD1158" s="347">
        <f t="shared" si="2247"/>
        <v>7.875</v>
      </c>
      <c r="BE1158" s="347">
        <f t="shared" si="2247"/>
        <v>7.875</v>
      </c>
      <c r="BF1158" s="346">
        <f t="shared" si="2205"/>
        <v>31.5</v>
      </c>
      <c r="BG1158" s="329">
        <f t="shared" si="2248"/>
        <v>7.875</v>
      </c>
      <c r="BH1158" s="347">
        <f t="shared" si="2248"/>
        <v>7.875</v>
      </c>
      <c r="BI1158" s="347">
        <f t="shared" si="2248"/>
        <v>7.875</v>
      </c>
      <c r="BJ1158" s="1795">
        <f t="shared" si="2248"/>
        <v>7.875</v>
      </c>
      <c r="BK1158" s="346">
        <f t="shared" si="2249"/>
        <v>31.5</v>
      </c>
      <c r="BL1158" s="347">
        <f>AVERAGE(BK1102:BL1102)*$B1158/4</f>
        <v>7.875</v>
      </c>
      <c r="BM1158" s="347">
        <f>AVERAGE(BL1102:BM1102)*$B1158/4</f>
        <v>7.875</v>
      </c>
      <c r="BN1158" s="3252">
        <f>AVERAGE(BM1102)*$B1158/4*2/3</f>
        <v>5.25</v>
      </c>
      <c r="BO1158" s="1795">
        <f>AVERAGE(BN1102:BO1102)*$B1158/4</f>
        <v>0</v>
      </c>
      <c r="BP1158" s="346">
        <f t="shared" si="2197"/>
        <v>21</v>
      </c>
      <c r="BQ1158" s="3252">
        <f>AVERAGE(BP1102)*$B1158/4*2/3</f>
        <v>0</v>
      </c>
      <c r="BR1158" s="3252">
        <f>AVERAGE(BQ1102)*$B1158/4*2/3</f>
        <v>0</v>
      </c>
      <c r="BS1158" s="3252">
        <f>AVERAGE(BR1102)*$B1158/4*2/3</f>
        <v>0</v>
      </c>
      <c r="BT1158" s="1795">
        <f>AVERAGE(BS1102)*$B1158/4*2/3</f>
        <v>0</v>
      </c>
      <c r="BU1158" s="3352">
        <f t="shared" si="2198"/>
        <v>0</v>
      </c>
      <c r="BV1158" s="3252">
        <f>AVERAGE(BU1102)*$B1158/4*2/3</f>
        <v>0</v>
      </c>
      <c r="BW1158" s="3252">
        <f t="shared" ref="BW1158:BY1158" si="2267">AVERAGE(BV1102)*$B1158/4*2/3</f>
        <v>0</v>
      </c>
      <c r="BX1158" s="3252">
        <f t="shared" si="2267"/>
        <v>0</v>
      </c>
      <c r="BY1158" s="3252">
        <f t="shared" si="2267"/>
        <v>0</v>
      </c>
      <c r="BZ1158" s="4014">
        <f t="shared" si="2200"/>
        <v>0</v>
      </c>
      <c r="CA1158" s="346">
        <f t="shared" ref="CA1158:CG1158" si="2268">AVERAGE(BZ1102:CA1102)*$B1158/1</f>
        <v>0</v>
      </c>
      <c r="CB1158" s="346">
        <f t="shared" si="2268"/>
        <v>0</v>
      </c>
      <c r="CC1158" s="346">
        <f t="shared" si="2268"/>
        <v>0</v>
      </c>
      <c r="CD1158" s="346">
        <f t="shared" si="2268"/>
        <v>0</v>
      </c>
      <c r="CE1158" s="346">
        <f t="shared" si="2268"/>
        <v>0</v>
      </c>
      <c r="CF1158" s="346">
        <f t="shared" si="2268"/>
        <v>0</v>
      </c>
      <c r="CG1158" s="346">
        <f t="shared" si="2268"/>
        <v>0</v>
      </c>
      <c r="CH1158" s="3992"/>
      <c r="CI1158" s="3992"/>
      <c r="CJ1158" s="3992"/>
      <c r="CK1158" s="3992"/>
      <c r="CL1158" s="347"/>
      <c r="CM1158" s="331"/>
      <c r="CN1158" s="331">
        <f t="shared" si="2208"/>
        <v>0</v>
      </c>
      <c r="CO1158" s="965">
        <f t="shared" si="2202"/>
        <v>0</v>
      </c>
      <c r="CP1158" s="90" t="str">
        <f t="shared" si="2176"/>
        <v>9.0% Senior Subordinated Notes due 2020</v>
      </c>
      <c r="CQ1158" s="347">
        <f t="shared" si="2177"/>
        <v>0</v>
      </c>
      <c r="CR1158" s="347">
        <f t="shared" si="2178"/>
        <v>0</v>
      </c>
      <c r="CS1158" s="347">
        <f t="shared" si="2179"/>
        <v>0</v>
      </c>
      <c r="CT1158" s="347">
        <f t="shared" si="2180"/>
        <v>0</v>
      </c>
      <c r="CU1158" s="347">
        <f t="shared" si="2181"/>
        <v>0</v>
      </c>
      <c r="CV1158" s="347">
        <f t="shared" si="2182"/>
        <v>0</v>
      </c>
      <c r="CW1158" s="347">
        <f t="shared" si="2183"/>
        <v>0</v>
      </c>
      <c r="CX1158" s="347">
        <f t="shared" si="2184"/>
        <v>0</v>
      </c>
      <c r="CY1158" s="347">
        <f t="shared" si="2185"/>
        <v>19.6875</v>
      </c>
      <c r="CZ1158" s="347">
        <f t="shared" si="2186"/>
        <v>31.5</v>
      </c>
      <c r="DA1158" s="347">
        <f t="shared" si="2187"/>
        <v>31.5</v>
      </c>
      <c r="DB1158" s="347">
        <f t="shared" si="2188"/>
        <v>31.5</v>
      </c>
      <c r="DC1158" s="347">
        <f t="shared" si="2189"/>
        <v>21</v>
      </c>
      <c r="DD1158" s="347">
        <f t="shared" si="2190"/>
        <v>0</v>
      </c>
      <c r="DE1158" s="347">
        <f t="shared" si="2191"/>
        <v>0</v>
      </c>
      <c r="DF1158" s="347">
        <f t="shared" si="2192"/>
        <v>0</v>
      </c>
      <c r="DG1158" s="1795">
        <f t="shared" si="2193"/>
        <v>0</v>
      </c>
      <c r="DH1158" s="290"/>
      <c r="DI1158" s="290"/>
      <c r="DJ1158" s="290"/>
      <c r="DK1158" s="290"/>
      <c r="DL1158" s="290"/>
      <c r="DM1158" s="290"/>
      <c r="DN1158" s="500"/>
      <c r="DO1158" s="537"/>
      <c r="DY1158" s="347"/>
      <c r="DZ1158" s="347"/>
    </row>
    <row r="1159" spans="1:130" ht="12" customHeight="1">
      <c r="A1159" s="3146" t="s">
        <v>1823</v>
      </c>
      <c r="B1159" s="907">
        <v>6.8750000000000006E-2</v>
      </c>
      <c r="C1159" s="907"/>
      <c r="D1159" s="327"/>
      <c r="E1159" s="328"/>
      <c r="F1159" s="328"/>
      <c r="G1159" s="328"/>
      <c r="H1159" s="893"/>
      <c r="I1159" s="328"/>
      <c r="J1159" s="328"/>
      <c r="K1159" s="328"/>
      <c r="L1159" s="328"/>
      <c r="M1159" s="893"/>
      <c r="N1159" s="347"/>
      <c r="O1159" s="347"/>
      <c r="P1159" s="347"/>
      <c r="Q1159" s="347"/>
      <c r="R1159" s="346"/>
      <c r="S1159" s="347"/>
      <c r="T1159" s="347"/>
      <c r="U1159" s="347"/>
      <c r="V1159" s="347"/>
      <c r="W1159" s="346"/>
      <c r="X1159" s="347"/>
      <c r="Y1159" s="347"/>
      <c r="Z1159" s="347"/>
      <c r="AA1159" s="347"/>
      <c r="AB1159" s="346"/>
      <c r="AC1159" s="347"/>
      <c r="AD1159" s="347"/>
      <c r="AE1159" s="347"/>
      <c r="AF1159" s="347"/>
      <c r="AG1159" s="346"/>
      <c r="AH1159" s="347"/>
      <c r="AI1159" s="347"/>
      <c r="AJ1159" s="347"/>
      <c r="AK1159" s="347"/>
      <c r="AL1159" s="346"/>
      <c r="AM1159" s="347"/>
      <c r="AN1159" s="347"/>
      <c r="AO1159" s="347"/>
      <c r="AP1159" s="347"/>
      <c r="AQ1159" s="346"/>
      <c r="AR1159" s="347"/>
      <c r="AS1159" s="347"/>
      <c r="AT1159" s="347"/>
      <c r="AU1159" s="347"/>
      <c r="AV1159" s="346"/>
      <c r="AW1159" s="347"/>
      <c r="AX1159" s="347"/>
      <c r="AY1159" s="347"/>
      <c r="AZ1159" s="347"/>
      <c r="BA1159" s="346"/>
      <c r="BB1159" s="347"/>
      <c r="BC1159" s="347"/>
      <c r="BD1159" s="347"/>
      <c r="BE1159" s="347"/>
      <c r="BF1159" s="346"/>
      <c r="BG1159" s="329"/>
      <c r="BH1159" s="347">
        <f>AVERAGE(BG1103:BH1103)*$B1159/4</f>
        <v>12.890625000000002</v>
      </c>
      <c r="BI1159" s="347">
        <f>AVERAGE(BH1103:BI1103)*$B1159/4</f>
        <v>12.890625000000002</v>
      </c>
      <c r="BJ1159" s="1795">
        <f>AVERAGE(BI1103:BJ1103)*$B1159/4</f>
        <v>12.890625000000002</v>
      </c>
      <c r="BK1159" s="346">
        <f>SUM(BG1159:BJ1159)</f>
        <v>38.671875000000007</v>
      </c>
      <c r="BL1159" s="347">
        <f>AVERAGE(BK1103:BL1103)*$B1159/4</f>
        <v>12.890625000000002</v>
      </c>
      <c r="BM1159" s="347">
        <f>AVERAGE(BL1103:BM1103)*$B1159/4</f>
        <v>12.890625000000002</v>
      </c>
      <c r="BN1159" s="347">
        <f>AVERAGE(BM1103:BN1103)*$B1159/4</f>
        <v>12.890625000000002</v>
      </c>
      <c r="BO1159" s="1795">
        <f>AVERAGE(BN1103:BO1103)*$B1159/4</f>
        <v>12.890625000000002</v>
      </c>
      <c r="BP1159" s="346">
        <f>SUM(BL1159:BO1159)</f>
        <v>51.562500000000007</v>
      </c>
      <c r="BQ1159" s="347">
        <f>AVERAGE(BP1103:BQ1103)*$B1159/4</f>
        <v>12.890625000000002</v>
      </c>
      <c r="BR1159" s="347">
        <f>AVERAGE(BQ1103:BR1103)*$B1159/4</f>
        <v>12.890625000000002</v>
      </c>
      <c r="BS1159" s="347">
        <f>AVERAGE(BR1103:BS1103)*$B1159/4</f>
        <v>12.890625000000002</v>
      </c>
      <c r="BT1159" s="1795">
        <f>AVERAGE(BS1103:BT1103)*$B1159/4</f>
        <v>12.890625000000002</v>
      </c>
      <c r="BU1159" s="3352">
        <f>SUM(BQ1159:BT1159)</f>
        <v>51.562500000000007</v>
      </c>
      <c r="BV1159" s="347">
        <f>AVERAGE(BU1103:BV1103)*$B1159/4</f>
        <v>12.890625000000002</v>
      </c>
      <c r="BW1159" s="347">
        <f t="shared" ref="BW1159:BY1159" si="2269">AVERAGE(BV1103:BW1103)*$B1159/4</f>
        <v>12.890625000000002</v>
      </c>
      <c r="BX1159" s="347">
        <f t="shared" si="2269"/>
        <v>12.890625000000002</v>
      </c>
      <c r="BY1159" s="347">
        <f t="shared" si="2269"/>
        <v>12.890625000000002</v>
      </c>
      <c r="BZ1159" s="4014">
        <f>SUM(BV1159:BY1159)</f>
        <v>51.562500000000007</v>
      </c>
      <c r="CA1159" s="346">
        <f t="shared" ref="CA1159:CG1159" si="2270">AVERAGE(BZ1103:CA1103)*$B1159/1</f>
        <v>51.562500000000007</v>
      </c>
      <c r="CB1159" s="346">
        <f t="shared" si="2270"/>
        <v>51.562500000000007</v>
      </c>
      <c r="CC1159" s="346">
        <f t="shared" si="2270"/>
        <v>51.562500000000007</v>
      </c>
      <c r="CD1159" s="346">
        <f t="shared" si="2270"/>
        <v>51.562500000000007</v>
      </c>
      <c r="CE1159" s="346">
        <f t="shared" si="2270"/>
        <v>51.562500000000007</v>
      </c>
      <c r="CF1159" s="346">
        <f t="shared" si="2270"/>
        <v>51.562500000000007</v>
      </c>
      <c r="CG1159" s="346">
        <f t="shared" si="2270"/>
        <v>51.562500000000007</v>
      </c>
      <c r="CH1159" s="3992"/>
      <c r="CI1159" s="3992"/>
      <c r="CJ1159" s="3992"/>
      <c r="CK1159" s="3992"/>
      <c r="CL1159" s="347"/>
      <c r="CM1159" s="331"/>
      <c r="CN1159" s="331">
        <f t="shared" si="2208"/>
        <v>51.562500000000007</v>
      </c>
      <c r="CO1159" s="965">
        <f t="shared" si="2202"/>
        <v>-51.562500000000007</v>
      </c>
      <c r="CP1159" s="90"/>
      <c r="CQ1159" s="347"/>
      <c r="CR1159" s="347"/>
      <c r="CS1159" s="347"/>
      <c r="CT1159" s="347"/>
      <c r="CU1159" s="347"/>
      <c r="CV1159" s="347"/>
      <c r="CW1159" s="347"/>
      <c r="CX1159" s="347"/>
      <c r="CY1159" s="347"/>
      <c r="CZ1159" s="347"/>
      <c r="DA1159" s="347"/>
      <c r="DB1159" s="347"/>
      <c r="DC1159" s="347"/>
      <c r="DD1159" s="347"/>
      <c r="DE1159" s="347"/>
      <c r="DF1159" s="347"/>
      <c r="DG1159" s="1795"/>
      <c r="DH1159" s="290"/>
      <c r="DI1159" s="290"/>
      <c r="DJ1159" s="290"/>
      <c r="DK1159" s="290"/>
      <c r="DL1159" s="290"/>
      <c r="DM1159" s="290"/>
      <c r="DN1159" s="500"/>
      <c r="DO1159" s="537"/>
      <c r="DY1159" s="347"/>
      <c r="DZ1159" s="347"/>
    </row>
    <row r="1160" spans="1:130" ht="12" customHeight="1">
      <c r="A1160" s="633" t="s">
        <v>230</v>
      </c>
      <c r="B1160" s="907">
        <v>0.08</v>
      </c>
      <c r="C1160" s="907"/>
      <c r="D1160" s="327"/>
      <c r="E1160" s="328"/>
      <c r="F1160" s="328"/>
      <c r="G1160" s="328"/>
      <c r="H1160" s="893"/>
      <c r="I1160" s="328"/>
      <c r="J1160" s="328"/>
      <c r="K1160" s="328"/>
      <c r="L1160" s="328"/>
      <c r="M1160" s="893"/>
      <c r="N1160" s="328"/>
      <c r="O1160" s="328"/>
      <c r="P1160" s="328"/>
      <c r="Q1160" s="328"/>
      <c r="R1160" s="893"/>
      <c r="S1160" s="328"/>
      <c r="T1160" s="328"/>
      <c r="U1160" s="328"/>
      <c r="V1160" s="328"/>
      <c r="W1160" s="346">
        <f>SUM(S1160:V1160)</f>
        <v>0</v>
      </c>
      <c r="X1160" s="347">
        <f>AVERAGE(W1104:X1104)*$B1160/4</f>
        <v>0</v>
      </c>
      <c r="Y1160" s="347">
        <f>AVERAGE(X1104:Y1104)*$B1160/4</f>
        <v>0</v>
      </c>
      <c r="Z1160" s="347">
        <f>AVERAGE(Y1104:Z1104)*$B1160/4</f>
        <v>0</v>
      </c>
      <c r="AA1160" s="347">
        <f>AVERAGE(Z1104:AA1104)*$B1160/4</f>
        <v>0</v>
      </c>
      <c r="AB1160" s="346">
        <f>SUM(X1160:AA1160)</f>
        <v>0</v>
      </c>
      <c r="AC1160" s="347">
        <f>AVERAGE(AB1104:AC1104)*$B1160/4</f>
        <v>0</v>
      </c>
      <c r="AD1160" s="347">
        <f>AVERAGE(AC1104:AD1104)*$B1160/4</f>
        <v>0</v>
      </c>
      <c r="AE1160" s="347">
        <f>AVERAGE(AD1104:AE1104)*$B1160/4</f>
        <v>0</v>
      </c>
      <c r="AF1160" s="347">
        <f>AVERAGE(AE1104:AF1104)*$B1160/4</f>
        <v>0</v>
      </c>
      <c r="AG1160" s="346">
        <f>SUM(AC1160:AF1160)</f>
        <v>0</v>
      </c>
      <c r="AH1160" s="347"/>
      <c r="AI1160" s="347"/>
      <c r="AJ1160" s="347"/>
      <c r="AK1160" s="347"/>
      <c r="AL1160" s="346">
        <f>SUM(AH1160:AK1160)</f>
        <v>0</v>
      </c>
      <c r="AM1160" s="347"/>
      <c r="AN1160" s="347"/>
      <c r="AO1160" s="347"/>
      <c r="AP1160" s="347"/>
      <c r="AQ1160" s="346">
        <f t="shared" si="2265"/>
        <v>0</v>
      </c>
      <c r="AR1160" s="347"/>
      <c r="AS1160" s="347"/>
      <c r="AT1160" s="347"/>
      <c r="AU1160" s="347"/>
      <c r="AV1160" s="346">
        <f t="shared" si="2203"/>
        <v>0</v>
      </c>
      <c r="AW1160" s="347"/>
      <c r="AX1160" s="347"/>
      <c r="AY1160" s="347"/>
      <c r="AZ1160" s="347"/>
      <c r="BA1160" s="346">
        <f t="shared" si="2204"/>
        <v>0</v>
      </c>
      <c r="BB1160" s="347"/>
      <c r="BC1160" s="347"/>
      <c r="BD1160" s="347"/>
      <c r="BE1160" s="347"/>
      <c r="BF1160" s="346">
        <f t="shared" si="2205"/>
        <v>0</v>
      </c>
      <c r="BG1160" s="329"/>
      <c r="BH1160" s="347"/>
      <c r="BI1160" s="347"/>
      <c r="BJ1160" s="1795"/>
      <c r="BK1160" s="346">
        <f t="shared" si="2249"/>
        <v>0</v>
      </c>
      <c r="BL1160" s="347"/>
      <c r="BM1160" s="347"/>
      <c r="BN1160" s="347"/>
      <c r="BO1160" s="1795"/>
      <c r="BP1160" s="346">
        <f t="shared" si="2197"/>
        <v>0</v>
      </c>
      <c r="BQ1160" s="347"/>
      <c r="BR1160" s="347"/>
      <c r="BS1160" s="347"/>
      <c r="BT1160" s="1795"/>
      <c r="BU1160" s="3352">
        <f t="shared" si="2198"/>
        <v>0</v>
      </c>
      <c r="BV1160" s="347"/>
      <c r="BW1160" s="347"/>
      <c r="BX1160" s="347"/>
      <c r="BY1160" s="347"/>
      <c r="BZ1160" s="4014">
        <f t="shared" si="2200"/>
        <v>0</v>
      </c>
      <c r="CA1160" s="346"/>
      <c r="CB1160" s="346"/>
      <c r="CC1160" s="346"/>
      <c r="CD1160" s="346"/>
      <c r="CE1160" s="346"/>
      <c r="CF1160" s="346"/>
      <c r="CG1160" s="346"/>
      <c r="CH1160" s="3992"/>
      <c r="CI1160" s="3992"/>
      <c r="CJ1160" s="3992"/>
      <c r="CK1160" s="3992"/>
      <c r="CL1160" s="347"/>
      <c r="CM1160" s="331"/>
      <c r="CN1160" s="331">
        <f t="shared" si="2208"/>
        <v>0</v>
      </c>
      <c r="CO1160" s="965">
        <f t="shared" si="2202"/>
        <v>0</v>
      </c>
      <c r="CP1160" s="90" t="str">
        <f t="shared" si="2176"/>
        <v>North LV Locals Debt</v>
      </c>
      <c r="CQ1160" s="347">
        <f t="shared" si="2177"/>
        <v>0</v>
      </c>
      <c r="CR1160" s="347">
        <f t="shared" si="2178"/>
        <v>0</v>
      </c>
      <c r="CS1160" s="347">
        <f t="shared" si="2179"/>
        <v>0</v>
      </c>
      <c r="CT1160" s="347">
        <f t="shared" si="2180"/>
        <v>0</v>
      </c>
      <c r="CU1160" s="347">
        <f t="shared" si="2181"/>
        <v>0</v>
      </c>
      <c r="CV1160" s="347">
        <f t="shared" si="2182"/>
        <v>0</v>
      </c>
      <c r="CW1160" s="347">
        <f t="shared" si="2183"/>
        <v>0</v>
      </c>
      <c r="CX1160" s="347">
        <f t="shared" si="2184"/>
        <v>0</v>
      </c>
      <c r="CY1160" s="347">
        <f t="shared" si="2185"/>
        <v>0</v>
      </c>
      <c r="CZ1160" s="347">
        <f t="shared" si="2186"/>
        <v>0</v>
      </c>
      <c r="DA1160" s="347">
        <f t="shared" si="2187"/>
        <v>0</v>
      </c>
      <c r="DB1160" s="347">
        <f t="shared" si="2188"/>
        <v>0</v>
      </c>
      <c r="DC1160" s="347">
        <f t="shared" si="2189"/>
        <v>0</v>
      </c>
      <c r="DD1160" s="347">
        <f t="shared" si="2190"/>
        <v>0</v>
      </c>
      <c r="DE1160" s="347">
        <f t="shared" si="2191"/>
        <v>0</v>
      </c>
      <c r="DF1160" s="347">
        <f t="shared" si="2192"/>
        <v>0</v>
      </c>
      <c r="DG1160" s="1795">
        <f t="shared" si="2193"/>
        <v>0</v>
      </c>
      <c r="DH1160" s="290"/>
      <c r="DI1160" s="290"/>
      <c r="DJ1160" s="290"/>
      <c r="DK1160" s="290"/>
      <c r="DL1160" s="290"/>
      <c r="DM1160" s="290"/>
      <c r="DN1160" s="500"/>
      <c r="DO1160" s="537"/>
      <c r="DY1160" s="347"/>
      <c r="DZ1160" s="347"/>
    </row>
    <row r="1161" spans="1:130" ht="12" customHeight="1">
      <c r="A1161" s="633" t="s">
        <v>231</v>
      </c>
      <c r="B1161" s="303">
        <v>0.06</v>
      </c>
      <c r="C1161" s="303"/>
      <c r="D1161" s="329">
        <f>AVERAGE(D1106:D1106)*$B1161/4</f>
        <v>-2.7E-2</v>
      </c>
      <c r="E1161" s="347">
        <f>AVERAGE(D1106:E1106)*$B1161/4</f>
        <v>-2.7E-2</v>
      </c>
      <c r="F1161" s="347">
        <f>AVERAGE(E1106:F1106)*$B1161/4</f>
        <v>-2.7E-2</v>
      </c>
      <c r="G1161" s="347">
        <f>AVERAGE(F1106:G1106)*$B1161/4</f>
        <v>9.4687500000000008E-2</v>
      </c>
      <c r="H1161" s="346">
        <f t="shared" si="2231"/>
        <v>1.3687500000000005E-2</v>
      </c>
      <c r="I1161" s="347">
        <f>AVERAGE(H1106:I1106)*$B1161/4</f>
        <v>0.18141750000000095</v>
      </c>
      <c r="J1161" s="347">
        <f>AVERAGE(I1106:J1106)*$B1161/4</f>
        <v>0.14646000000000184</v>
      </c>
      <c r="K1161" s="347">
        <f>AVERAGE(J1106:K1106)*$B1161/4</f>
        <v>0.19666500000000156</v>
      </c>
      <c r="L1161" s="347">
        <f>AVERAGE(K1106:L1106)*$B1161/4</f>
        <v>0.24436500000000064</v>
      </c>
      <c r="M1161" s="346">
        <f>SUM(I1161:L1161)</f>
        <v>0.76890750000000496</v>
      </c>
      <c r="N1161" s="347">
        <f>AVERAGE(M1106:N1106)*$B1161/4</f>
        <v>0.1639874999999999</v>
      </c>
      <c r="O1161" s="347">
        <f>AVERAGE(N1106:O1106)*$B1161/4</f>
        <v>0.17893500000000132</v>
      </c>
      <c r="P1161" s="347">
        <f>AVERAGE(O1106:P1106)*$B1161/4</f>
        <v>0.17441999999999894</v>
      </c>
      <c r="Q1161" s="347">
        <f>AVERAGE(P1106:Q1106)*$B1161/4</f>
        <v>4.6837499999997513E-2</v>
      </c>
      <c r="R1161" s="346">
        <f>SUM(N1161:Q1161)</f>
        <v>0.56417999999999768</v>
      </c>
      <c r="S1161" s="347">
        <f>AVERAGE(R1106:S1106)*$B1161/4</f>
        <v>1.6590000000000001E-2</v>
      </c>
      <c r="T1161" s="347">
        <f>AVERAGE(S1106:T1106)*$B1161/4</f>
        <v>8.2950000000000003E-3</v>
      </c>
      <c r="U1161" s="347">
        <f>AVERAGE(T1106:U1106)*$B1161/4</f>
        <v>0</v>
      </c>
      <c r="V1161" s="347">
        <f>AVERAGE(U1106:V1106)*$B1161/4</f>
        <v>0</v>
      </c>
      <c r="W1161" s="346">
        <f t="shared" si="2262"/>
        <v>2.4885000000000001E-2</v>
      </c>
      <c r="X1161" s="347">
        <f>AVERAGE(W1106:X1106)*$B1161/4</f>
        <v>0</v>
      </c>
      <c r="Y1161" s="347">
        <f>AVERAGE(X1106:Y1106)*$B1161/4</f>
        <v>0</v>
      </c>
      <c r="Z1161" s="347">
        <f>AVERAGE(Y1106:Z1106)*$B1161/4</f>
        <v>0</v>
      </c>
      <c r="AA1161" s="347">
        <f>AVERAGE(Z1106:AA1106)*$B1161/4</f>
        <v>0</v>
      </c>
      <c r="AB1161" s="346">
        <f>SUM(X1161:AA1161)</f>
        <v>0</v>
      </c>
      <c r="AC1161" s="347">
        <f>AVERAGE(AB1106:AC1106)*$B1161/4</f>
        <v>0</v>
      </c>
      <c r="AD1161" s="347">
        <f>AVERAGE(AC1106:AD1106)*$B1161/4</f>
        <v>0</v>
      </c>
      <c r="AE1161" s="347">
        <f>AVERAGE(AD1106:AE1106)*$B1161/4</f>
        <v>0</v>
      </c>
      <c r="AF1161" s="347">
        <v>4.3</v>
      </c>
      <c r="AG1161" s="346">
        <f>SUM(AC1161:AF1161)</f>
        <v>4.3</v>
      </c>
      <c r="AH1161" s="347">
        <f>AVERAGE(AG1106:AH1106)*$B1161/4</f>
        <v>0.18500250000000001</v>
      </c>
      <c r="AI1161" s="347">
        <f>AVERAGE(AH1106:AI1106)*$B1161/4</f>
        <v>0.18259500000000001</v>
      </c>
      <c r="AJ1161" s="347">
        <f>AVERAGE(AI1106:AJ1106)*$B1161/4</f>
        <v>0.18015</v>
      </c>
      <c r="AK1161" s="347">
        <f>AVERAGE(AJ1106:AK1106)*$B1161/4</f>
        <v>0.17766750000000001</v>
      </c>
      <c r="AL1161" s="346">
        <f>SUM(AH1161:AK1161)</f>
        <v>0.72541500000000003</v>
      </c>
      <c r="AM1161" s="347">
        <f>AVERAGE(AL1106:AM1106)*$B1161/4</f>
        <v>0.17515499999999998</v>
      </c>
      <c r="AN1161" s="347">
        <f>AVERAGE(AM1106:AN1106)*$B1161/4</f>
        <v>0.17260499999999998</v>
      </c>
      <c r="AO1161" s="347">
        <f>AVERAGE(AN1106:AO1106)*$B1161/4</f>
        <v>0.17001749999999996</v>
      </c>
      <c r="AP1161" s="347">
        <f>AVERAGE(AO1106:AP1106)*$B1161/4</f>
        <v>0.1673925</v>
      </c>
      <c r="AQ1161" s="346">
        <f t="shared" si="2265"/>
        <v>0.68516999999999983</v>
      </c>
      <c r="AR1161" s="347">
        <f>AVERAGE(AQ1106:AR1106)*$B1161/4</f>
        <v>0.16472999999999999</v>
      </c>
      <c r="AS1161" s="347">
        <f>AVERAGE(AR1106:AS1106)*$B1161/4</f>
        <v>0.16202250000000001</v>
      </c>
      <c r="AT1161" s="347">
        <f>AVERAGE(AS1106:AT1106)*$B1161/4</f>
        <v>0.15928499999999998</v>
      </c>
      <c r="AU1161" s="347">
        <f>AVERAGE(AT1106:AU1106)*$B1161/4</f>
        <v>-0.37911</v>
      </c>
      <c r="AV1161" s="346">
        <f t="shared" si="2203"/>
        <v>0.10692750000000001</v>
      </c>
      <c r="AW1161" s="347">
        <f>AVERAGE(AV1106:AW1106)*$B1161/4</f>
        <v>-1.9636199999999997</v>
      </c>
      <c r="AX1161" s="347">
        <f>AVERAGE(AW1106:AX1106)*$B1161/4</f>
        <v>-1.8861149999999998</v>
      </c>
      <c r="AY1161" s="347">
        <f>AVERAGE(AX1106:AY1106)*$B1161/4</f>
        <v>-0.60365249999999993</v>
      </c>
      <c r="AZ1161" s="347">
        <f>AVERAGE(AY1106:AZ1106)*$B1161/4</f>
        <v>-0.47469</v>
      </c>
      <c r="BA1161" s="346">
        <f t="shared" si="2204"/>
        <v>-4.9280774999999997</v>
      </c>
      <c r="BB1161" s="347">
        <f>AVERAGE(BA1106:BB1106)*$B1161/4</f>
        <v>-0.4877475</v>
      </c>
      <c r="BC1161" s="347">
        <f>AVERAGE(BB1106:BC1106)*$B1161/4</f>
        <v>-0.47230500000000003</v>
      </c>
      <c r="BD1161" s="347">
        <f>AVERAGE(BC1106:BD1106)*$B1161/4</f>
        <v>-0.44381249999999994</v>
      </c>
      <c r="BE1161" s="347">
        <f>AVERAGE(BD1106:BE1106)*$B1161/4</f>
        <v>-0.43077749999999998</v>
      </c>
      <c r="BF1161" s="346">
        <f t="shared" si="2205"/>
        <v>-1.8346425</v>
      </c>
      <c r="BG1161" s="329">
        <f>AVERAGE(BF1106:BG1106)*$B1161/4</f>
        <v>-0.43077749999999998</v>
      </c>
      <c r="BH1161" s="347">
        <f>AVERAGE(BG1106:BH1106)*$B1161/4</f>
        <v>-0.41531249999999997</v>
      </c>
      <c r="BI1161" s="347">
        <f>AVERAGE(BH1106:BI1106)*$B1161/4</f>
        <v>-0.41531999999999997</v>
      </c>
      <c r="BJ1161" s="1795">
        <f>AVERAGE(BI1106:BJ1106)*$B1161/4</f>
        <v>-0.43078500000000003</v>
      </c>
      <c r="BK1161" s="346">
        <f t="shared" ref="BK1161:BK1170" si="2271">SUM(BG1161:BJ1161)</f>
        <v>-1.6921949999999999</v>
      </c>
      <c r="BL1161" s="347">
        <f>AVERAGE(BK1106:BL1106)*$B1161/4</f>
        <v>-0.43078500000000003</v>
      </c>
      <c r="BM1161" s="347">
        <f>AVERAGE(BL1106:BM1106)*$B1161/4</f>
        <v>-0.43078500000000003</v>
      </c>
      <c r="BN1161" s="347">
        <f>AVERAGE(BM1106:BN1106)*$B1161/4</f>
        <v>-0.44999999999999996</v>
      </c>
      <c r="BO1161" s="1795">
        <f>AVERAGE(BN1106:BO1106)*$B1161/4</f>
        <v>-0.45439499999999999</v>
      </c>
      <c r="BP1161" s="346">
        <f t="shared" si="2197"/>
        <v>-1.765965</v>
      </c>
      <c r="BQ1161" s="347">
        <f>AVERAGE(BP1106:BQ1106)*$B1161/4</f>
        <v>-0.40739249999999999</v>
      </c>
      <c r="BR1161" s="347">
        <f>AVERAGE(BQ1106:BR1106)*$B1161/4</f>
        <v>-0.35977499999999996</v>
      </c>
      <c r="BS1161" s="347">
        <f>AVERAGE(BR1106:BS1106)*$B1161/4</f>
        <v>-0.35976000000000002</v>
      </c>
      <c r="BT1161" s="1795">
        <f>AVERAGE(BS1106:BT1106)*$B1161/4</f>
        <v>-0.35971500000000001</v>
      </c>
      <c r="BU1161" s="3352">
        <f t="shared" si="2198"/>
        <v>-1.4866425000000001</v>
      </c>
      <c r="BV1161" s="347">
        <f>AVERAGE(BU1106:BV1106)*$B1161/4</f>
        <v>-0.35971500000000001</v>
      </c>
      <c r="BW1161" s="347">
        <f t="shared" ref="BW1161:BY1161" si="2272">AVERAGE(BV1106:BW1106)*$B1161/4</f>
        <v>-0.35971500000000001</v>
      </c>
      <c r="BX1161" s="347">
        <f t="shared" si="2272"/>
        <v>-0.35971500000000001</v>
      </c>
      <c r="BY1161" s="347">
        <f t="shared" si="2272"/>
        <v>-0.35971500000000001</v>
      </c>
      <c r="BZ1161" s="4014">
        <f t="shared" si="2200"/>
        <v>-1.43886</v>
      </c>
      <c r="CA1161" s="346">
        <f t="shared" ref="CA1161:CG1161" si="2273">AVERAGE(BZ1106:CA1106)*$B1161/1</f>
        <v>-1.43886</v>
      </c>
      <c r="CB1161" s="346">
        <f t="shared" si="2273"/>
        <v>-1.43886</v>
      </c>
      <c r="CC1161" s="346">
        <f t="shared" si="2273"/>
        <v>-1.43886</v>
      </c>
      <c r="CD1161" s="346">
        <f t="shared" si="2273"/>
        <v>-1.43886</v>
      </c>
      <c r="CE1161" s="346">
        <f t="shared" si="2273"/>
        <v>-1.43886</v>
      </c>
      <c r="CF1161" s="346">
        <f t="shared" si="2273"/>
        <v>-1.43886</v>
      </c>
      <c r="CG1161" s="346">
        <f t="shared" si="2273"/>
        <v>-1.43886</v>
      </c>
      <c r="CH1161" s="3992"/>
      <c r="CI1161" s="3992"/>
      <c r="CJ1161" s="3992"/>
      <c r="CK1161" s="3992"/>
      <c r="CL1161" s="347"/>
      <c r="CM1161" s="331"/>
      <c r="CN1161" s="331">
        <f t="shared" si="2208"/>
        <v>-1.43886</v>
      </c>
      <c r="CO1161" s="965">
        <f t="shared" si="2202"/>
        <v>1.43886</v>
      </c>
      <c r="CP1161" s="90" t="str">
        <f t="shared" si="2176"/>
        <v>Other Long-Term Debt</v>
      </c>
      <c r="CQ1161" s="347">
        <f t="shared" si="2177"/>
        <v>1.3687500000000005E-2</v>
      </c>
      <c r="CR1161" s="347">
        <f t="shared" si="2178"/>
        <v>0.76890750000000496</v>
      </c>
      <c r="CS1161" s="347">
        <f t="shared" si="2179"/>
        <v>0.56417999999999768</v>
      </c>
      <c r="CT1161" s="347">
        <f t="shared" si="2180"/>
        <v>2.4885000000000001E-2</v>
      </c>
      <c r="CU1161" s="347">
        <f t="shared" si="2181"/>
        <v>0</v>
      </c>
      <c r="CV1161" s="347">
        <f t="shared" si="2182"/>
        <v>4.3</v>
      </c>
      <c r="CW1161" s="347">
        <f t="shared" si="2183"/>
        <v>0.72541500000000003</v>
      </c>
      <c r="CX1161" s="347">
        <f t="shared" si="2184"/>
        <v>0.68516999999999983</v>
      </c>
      <c r="CY1161" s="347">
        <f t="shared" si="2185"/>
        <v>0.10692750000000001</v>
      </c>
      <c r="CZ1161" s="347">
        <f t="shared" si="2186"/>
        <v>-4.9280774999999997</v>
      </c>
      <c r="DA1161" s="347">
        <f t="shared" si="2187"/>
        <v>-1.8346425</v>
      </c>
      <c r="DB1161" s="347">
        <f t="shared" si="2188"/>
        <v>-1.6921949999999999</v>
      </c>
      <c r="DC1161" s="347">
        <f t="shared" si="2189"/>
        <v>-1.765965</v>
      </c>
      <c r="DD1161" s="347">
        <f t="shared" si="2190"/>
        <v>-1.4866425000000001</v>
      </c>
      <c r="DE1161" s="347">
        <f t="shared" si="2191"/>
        <v>-1.43886</v>
      </c>
      <c r="DF1161" s="347">
        <f t="shared" si="2192"/>
        <v>-1.43886</v>
      </c>
      <c r="DG1161" s="1795">
        <f t="shared" si="2193"/>
        <v>-1.43886</v>
      </c>
      <c r="DH1161" s="290"/>
      <c r="DI1161" s="290"/>
      <c r="DJ1161" s="290"/>
      <c r="DK1161" s="290"/>
      <c r="DL1161" s="290"/>
      <c r="DM1161" s="290"/>
      <c r="DN1161" s="500"/>
      <c r="DO1161" s="537"/>
      <c r="DY1161" s="347"/>
      <c r="DZ1161" s="347"/>
    </row>
    <row r="1162" spans="1:130" ht="12" customHeight="1">
      <c r="A1162" s="633" t="s">
        <v>232</v>
      </c>
      <c r="B1162" s="910"/>
      <c r="C1162" s="910"/>
      <c r="D1162" s="1486">
        <v>0</v>
      </c>
      <c r="E1162" s="328">
        <v>0</v>
      </c>
      <c r="F1162" s="328">
        <v>-1.9</v>
      </c>
      <c r="G1162" s="328">
        <v>-2.6</v>
      </c>
      <c r="H1162" s="346">
        <f t="shared" si="2231"/>
        <v>-4.5</v>
      </c>
      <c r="I1162" s="328">
        <v>-3.8</v>
      </c>
      <c r="J1162" s="328">
        <v>-5</v>
      </c>
      <c r="K1162" s="328">
        <v>-6.3</v>
      </c>
      <c r="L1162" s="328">
        <v>-7.7</v>
      </c>
      <c r="M1162" s="346">
        <f>SUM(I1162:L1162)</f>
        <v>-22.8</v>
      </c>
      <c r="N1162" s="328">
        <v>-2.2000000000000002</v>
      </c>
      <c r="O1162" s="328">
        <v>-2</v>
      </c>
      <c r="P1162" s="328">
        <v>-1.6</v>
      </c>
      <c r="Q1162" s="328">
        <f>-7.481-SUM(N1162:P1162)</f>
        <v>-1.6809999999999992</v>
      </c>
      <c r="R1162" s="346">
        <f>SUM(N1162:Q1162)</f>
        <v>-7.4809999999999999</v>
      </c>
      <c r="S1162" s="328">
        <v>-1.7</v>
      </c>
      <c r="T1162" s="328">
        <v>-4.5999999999999996</v>
      </c>
      <c r="U1162" s="328">
        <v>-5.3</v>
      </c>
      <c r="V1162" s="328">
        <v>-6.4</v>
      </c>
      <c r="W1162" s="346">
        <f t="shared" si="2262"/>
        <v>-18</v>
      </c>
      <c r="X1162" s="328">
        <v>-6.7</v>
      </c>
      <c r="Y1162" s="328">
        <v>-7.9</v>
      </c>
      <c r="Z1162" s="328">
        <v>-10.8</v>
      </c>
      <c r="AA1162" s="328">
        <v>-12.2</v>
      </c>
      <c r="AB1162" s="346">
        <f>SUM(X1162:AA1162)</f>
        <v>-37.6</v>
      </c>
      <c r="AC1162" s="328">
        <v>-0.378</v>
      </c>
      <c r="AD1162" s="328">
        <v>0</v>
      </c>
      <c r="AE1162" s="328">
        <v>0</v>
      </c>
      <c r="AF1162" s="347">
        <v>0</v>
      </c>
      <c r="AG1162" s="346">
        <f>SUM(AC1162:AF1162)</f>
        <v>-0.378</v>
      </c>
      <c r="AH1162" s="347">
        <f>AF1162</f>
        <v>0</v>
      </c>
      <c r="AI1162" s="347">
        <f>AH1162</f>
        <v>0</v>
      </c>
      <c r="AJ1162" s="347">
        <f>AI1162</f>
        <v>0</v>
      </c>
      <c r="AK1162" s="347">
        <f>AJ1162</f>
        <v>0</v>
      </c>
      <c r="AL1162" s="346">
        <f>SUM(AH1162:AK1162)</f>
        <v>0</v>
      </c>
      <c r="AM1162" s="347">
        <f>AK1162</f>
        <v>0</v>
      </c>
      <c r="AN1162" s="347">
        <f>AM1162</f>
        <v>0</v>
      </c>
      <c r="AO1162" s="347">
        <f>AN1162</f>
        <v>0</v>
      </c>
      <c r="AP1162" s="347">
        <f>AO1162</f>
        <v>0</v>
      </c>
      <c r="AQ1162" s="346">
        <f t="shared" si="2265"/>
        <v>0</v>
      </c>
      <c r="AR1162" s="347">
        <f>AQ1162</f>
        <v>0</v>
      </c>
      <c r="AS1162" s="347">
        <f>AR1162</f>
        <v>0</v>
      </c>
      <c r="AT1162" s="347">
        <v>0</v>
      </c>
      <c r="AU1162" s="347">
        <f>AT1162</f>
        <v>0</v>
      </c>
      <c r="AV1162" s="893">
        <f t="shared" si="2203"/>
        <v>0</v>
      </c>
      <c r="AW1162" s="347">
        <f>AV1162</f>
        <v>0</v>
      </c>
      <c r="AX1162" s="347">
        <f>AW1162</f>
        <v>0</v>
      </c>
      <c r="AY1162" s="347">
        <f>AX1162</f>
        <v>0</v>
      </c>
      <c r="AZ1162" s="347">
        <f>AY1162</f>
        <v>0</v>
      </c>
      <c r="BA1162" s="893">
        <f t="shared" si="2204"/>
        <v>0</v>
      </c>
      <c r="BB1162" s="347">
        <f>BA1162</f>
        <v>0</v>
      </c>
      <c r="BC1162" s="347">
        <f>BB1162</f>
        <v>0</v>
      </c>
      <c r="BD1162" s="347">
        <f>BC1162</f>
        <v>0</v>
      </c>
      <c r="BE1162" s="347">
        <f>BD1162</f>
        <v>0</v>
      </c>
      <c r="BF1162" s="893">
        <f t="shared" si="2205"/>
        <v>0</v>
      </c>
      <c r="BG1162" s="329">
        <f>BF1162</f>
        <v>0</v>
      </c>
      <c r="BH1162" s="347">
        <f>BG1162</f>
        <v>0</v>
      </c>
      <c r="BI1162" s="347">
        <f>BH1162</f>
        <v>0</v>
      </c>
      <c r="BJ1162" s="1795">
        <f>BI1162</f>
        <v>0</v>
      </c>
      <c r="BK1162" s="893">
        <f t="shared" si="2271"/>
        <v>0</v>
      </c>
      <c r="BL1162" s="347">
        <f>BK1162</f>
        <v>0</v>
      </c>
      <c r="BM1162" s="347">
        <f>BL1162</f>
        <v>0</v>
      </c>
      <c r="BN1162" s="347">
        <f>BM1162</f>
        <v>0</v>
      </c>
      <c r="BO1162" s="1795">
        <f>BN1162</f>
        <v>0</v>
      </c>
      <c r="BP1162" s="893">
        <f t="shared" si="2197"/>
        <v>0</v>
      </c>
      <c r="BQ1162" s="347">
        <f>BP1162</f>
        <v>0</v>
      </c>
      <c r="BR1162" s="347">
        <f>BQ1162</f>
        <v>0</v>
      </c>
      <c r="BS1162" s="347">
        <f>BR1162</f>
        <v>0</v>
      </c>
      <c r="BT1162" s="1795">
        <f>BS1162</f>
        <v>0</v>
      </c>
      <c r="BU1162" s="3352">
        <f t="shared" si="2198"/>
        <v>0</v>
      </c>
      <c r="BV1162" s="347">
        <f>BU1162</f>
        <v>0</v>
      </c>
      <c r="BW1162" s="347">
        <f t="shared" ref="BW1162:BY1162" si="2274">BV1162</f>
        <v>0</v>
      </c>
      <c r="BX1162" s="347">
        <f t="shared" si="2274"/>
        <v>0</v>
      </c>
      <c r="BY1162" s="347">
        <f t="shared" si="2274"/>
        <v>0</v>
      </c>
      <c r="BZ1162" s="4014">
        <f t="shared" si="2200"/>
        <v>0</v>
      </c>
      <c r="CA1162" s="346">
        <f t="shared" ref="CA1162:CG1162" si="2275">BZ1162</f>
        <v>0</v>
      </c>
      <c r="CB1162" s="346">
        <f t="shared" si="2275"/>
        <v>0</v>
      </c>
      <c r="CC1162" s="346">
        <f t="shared" si="2275"/>
        <v>0</v>
      </c>
      <c r="CD1162" s="346">
        <f t="shared" si="2275"/>
        <v>0</v>
      </c>
      <c r="CE1162" s="346">
        <f t="shared" si="2275"/>
        <v>0</v>
      </c>
      <c r="CF1162" s="346">
        <f t="shared" si="2275"/>
        <v>0</v>
      </c>
      <c r="CG1162" s="346">
        <f t="shared" si="2275"/>
        <v>0</v>
      </c>
      <c r="CH1162" s="328"/>
      <c r="CI1162" s="328"/>
      <c r="CJ1162" s="328"/>
      <c r="CK1162" s="328"/>
      <c r="CL1162" s="328"/>
      <c r="CM1162" s="331"/>
      <c r="CN1162" s="331">
        <f t="shared" si="2208"/>
        <v>0</v>
      </c>
      <c r="CO1162" s="965">
        <f t="shared" si="2202"/>
        <v>0</v>
      </c>
      <c r="CP1162" s="90" t="str">
        <f t="shared" si="2176"/>
        <v>Capitalized Interest</v>
      </c>
      <c r="CQ1162" s="347">
        <f t="shared" si="2177"/>
        <v>-4.5</v>
      </c>
      <c r="CR1162" s="347">
        <f t="shared" si="2178"/>
        <v>-22.8</v>
      </c>
      <c r="CS1162" s="347">
        <f t="shared" si="2179"/>
        <v>-7.4809999999999999</v>
      </c>
      <c r="CT1162" s="347">
        <f t="shared" si="2180"/>
        <v>-18</v>
      </c>
      <c r="CU1162" s="347">
        <f t="shared" si="2181"/>
        <v>-37.6</v>
      </c>
      <c r="CV1162" s="347">
        <f t="shared" si="2182"/>
        <v>-0.378</v>
      </c>
      <c r="CW1162" s="347">
        <f t="shared" si="2183"/>
        <v>0</v>
      </c>
      <c r="CX1162" s="347">
        <f t="shared" si="2184"/>
        <v>0</v>
      </c>
      <c r="CY1162" s="347">
        <f t="shared" si="2185"/>
        <v>0</v>
      </c>
      <c r="CZ1162" s="347">
        <f t="shared" si="2186"/>
        <v>0</v>
      </c>
      <c r="DA1162" s="347">
        <f t="shared" si="2187"/>
        <v>0</v>
      </c>
      <c r="DB1162" s="347">
        <f t="shared" si="2188"/>
        <v>0</v>
      </c>
      <c r="DC1162" s="347">
        <f t="shared" si="2189"/>
        <v>0</v>
      </c>
      <c r="DD1162" s="347">
        <f t="shared" si="2190"/>
        <v>0</v>
      </c>
      <c r="DE1162" s="347">
        <f t="shared" si="2191"/>
        <v>0</v>
      </c>
      <c r="DF1162" s="347">
        <f t="shared" si="2192"/>
        <v>0</v>
      </c>
      <c r="DG1162" s="1795">
        <f t="shared" si="2193"/>
        <v>0</v>
      </c>
      <c r="DH1162" s="290"/>
      <c r="DI1162" s="290"/>
      <c r="DJ1162" s="290"/>
      <c r="DK1162" s="290"/>
      <c r="DL1162" s="290"/>
      <c r="DM1162" s="290"/>
      <c r="DN1162" s="500"/>
      <c r="DO1162" s="537"/>
      <c r="DY1162" s="328"/>
      <c r="DZ1162" s="328"/>
    </row>
    <row r="1163" spans="1:130" ht="12" customHeight="1">
      <c r="A1163" s="633" t="s">
        <v>1544</v>
      </c>
      <c r="B1163" s="910"/>
      <c r="C1163" s="910"/>
      <c r="D1163" s="327"/>
      <c r="E1163" s="328"/>
      <c r="F1163" s="328"/>
      <c r="G1163" s="328"/>
      <c r="H1163" s="346"/>
      <c r="I1163" s="328"/>
      <c r="J1163" s="328"/>
      <c r="K1163" s="328"/>
      <c r="L1163" s="328"/>
      <c r="M1163" s="346"/>
      <c r="N1163" s="328"/>
      <c r="O1163" s="328"/>
      <c r="P1163" s="328"/>
      <c r="Q1163" s="328"/>
      <c r="R1163" s="346"/>
      <c r="S1163" s="328"/>
      <c r="T1163" s="328"/>
      <c r="U1163" s="328"/>
      <c r="V1163" s="328"/>
      <c r="W1163" s="346"/>
      <c r="X1163" s="328"/>
      <c r="Y1163" s="328"/>
      <c r="Z1163" s="328"/>
      <c r="AA1163" s="328"/>
      <c r="AB1163" s="346"/>
      <c r="AC1163" s="328"/>
      <c r="AD1163" s="328"/>
      <c r="AE1163" s="328"/>
      <c r="AF1163" s="347"/>
      <c r="AG1163" s="346"/>
      <c r="AH1163" s="328">
        <v>0.48399999999999999</v>
      </c>
      <c r="AI1163" s="347">
        <f>-AI941</f>
        <v>5.5880000000000001</v>
      </c>
      <c r="AJ1163" s="347">
        <f>-AJ941</f>
        <v>17.274999999999999</v>
      </c>
      <c r="AK1163" s="347">
        <f>-AK941</f>
        <v>21.791</v>
      </c>
      <c r="AL1163" s="346">
        <f>SUM(AH1163:AK1163)</f>
        <v>45.137999999999998</v>
      </c>
      <c r="AM1163" s="347">
        <f>-AM941</f>
        <v>17.283000000000001</v>
      </c>
      <c r="AN1163" s="347">
        <f>-AN941</f>
        <v>21.327999999999999</v>
      </c>
      <c r="AO1163" s="347">
        <f>-AO941</f>
        <v>20.995000000000001</v>
      </c>
      <c r="AP1163" s="347">
        <f>-AP941</f>
        <v>21.707999999999998</v>
      </c>
      <c r="AQ1163" s="346">
        <f t="shared" si="2265"/>
        <v>81.314000000000007</v>
      </c>
      <c r="AR1163" s="347">
        <f>-AR941</f>
        <v>20.481999999999999</v>
      </c>
      <c r="AS1163" s="347">
        <f>-AS941</f>
        <v>20.648</v>
      </c>
      <c r="AT1163" s="347">
        <f>-AT941</f>
        <v>20.754999999999999</v>
      </c>
      <c r="AU1163" s="347">
        <f>-AU941</f>
        <v>21.016999999999999</v>
      </c>
      <c r="AV1163" s="346">
        <f t="shared" si="2203"/>
        <v>82.901999999999987</v>
      </c>
      <c r="AW1163" s="347"/>
      <c r="AX1163" s="347"/>
      <c r="AY1163" s="347"/>
      <c r="AZ1163" s="347"/>
      <c r="BA1163" s="346"/>
      <c r="BB1163" s="347"/>
      <c r="BC1163" s="347"/>
      <c r="BD1163" s="347"/>
      <c r="BE1163" s="347"/>
      <c r="BF1163" s="346"/>
      <c r="BG1163" s="347"/>
      <c r="BH1163" s="347"/>
      <c r="BI1163" s="347"/>
      <c r="BJ1163" s="347"/>
      <c r="BK1163" s="346"/>
      <c r="BL1163" s="347"/>
      <c r="BM1163" s="347"/>
      <c r="BN1163" s="347"/>
      <c r="BO1163" s="347"/>
      <c r="BP1163" s="346"/>
      <c r="BQ1163" s="347"/>
      <c r="BR1163" s="347"/>
      <c r="BS1163" s="347"/>
      <c r="BT1163" s="347"/>
      <c r="BU1163" s="3352"/>
      <c r="BV1163" s="347"/>
      <c r="BW1163" s="347"/>
      <c r="BX1163" s="347"/>
      <c r="BY1163" s="347"/>
      <c r="BZ1163" s="4014"/>
      <c r="CA1163" s="346"/>
      <c r="CB1163" s="346"/>
      <c r="CC1163" s="346"/>
      <c r="CD1163" s="346"/>
      <c r="CE1163" s="346"/>
      <c r="CF1163" s="346"/>
      <c r="CG1163" s="346"/>
      <c r="CH1163" s="328"/>
      <c r="CI1163" s="328"/>
      <c r="CJ1163" s="328"/>
      <c r="CK1163" s="328"/>
      <c r="CL1163" s="328"/>
      <c r="CM1163" s="331"/>
      <c r="CN1163" s="331">
        <f t="shared" si="2208"/>
        <v>0</v>
      </c>
      <c r="CO1163" s="965">
        <f t="shared" si="2202"/>
        <v>0</v>
      </c>
      <c r="CP1163" s="90" t="str">
        <f t="shared" si="2176"/>
        <v>Borgata Interest</v>
      </c>
      <c r="CQ1163" s="347">
        <f t="shared" si="2177"/>
        <v>0</v>
      </c>
      <c r="CR1163" s="347">
        <f t="shared" si="2178"/>
        <v>0</v>
      </c>
      <c r="CS1163" s="347">
        <f t="shared" si="2179"/>
        <v>0</v>
      </c>
      <c r="CT1163" s="347">
        <f t="shared" si="2180"/>
        <v>0</v>
      </c>
      <c r="CU1163" s="347">
        <f t="shared" si="2181"/>
        <v>0</v>
      </c>
      <c r="CV1163" s="347">
        <f t="shared" si="2182"/>
        <v>0</v>
      </c>
      <c r="CW1163" s="347">
        <f t="shared" si="2183"/>
        <v>45.137999999999998</v>
      </c>
      <c r="CX1163" s="347">
        <f t="shared" si="2184"/>
        <v>81.314000000000007</v>
      </c>
      <c r="CY1163" s="347">
        <f t="shared" si="2185"/>
        <v>82.901999999999987</v>
      </c>
      <c r="CZ1163" s="347">
        <f t="shared" si="2186"/>
        <v>0</v>
      </c>
      <c r="DA1163" s="347">
        <f t="shared" si="2187"/>
        <v>0</v>
      </c>
      <c r="DB1163" s="347">
        <f t="shared" si="2188"/>
        <v>0</v>
      </c>
      <c r="DC1163" s="347">
        <f t="shared" si="2189"/>
        <v>0</v>
      </c>
      <c r="DD1163" s="347">
        <f t="shared" si="2190"/>
        <v>0</v>
      </c>
      <c r="DE1163" s="347">
        <f t="shared" si="2191"/>
        <v>0</v>
      </c>
      <c r="DF1163" s="347">
        <f t="shared" si="2192"/>
        <v>0</v>
      </c>
      <c r="DG1163" s="1795">
        <f t="shared" si="2193"/>
        <v>0</v>
      </c>
      <c r="DH1163" s="290"/>
      <c r="DI1163" s="290"/>
      <c r="DJ1163" s="290"/>
      <c r="DK1163" s="290"/>
      <c r="DL1163" s="290"/>
      <c r="DM1163" s="290"/>
      <c r="DN1163" s="500"/>
      <c r="DO1163" s="537"/>
      <c r="DY1163" s="347"/>
      <c r="DZ1163" s="347"/>
    </row>
    <row r="1164" spans="1:130" ht="12" customHeight="1">
      <c r="A1164" s="633" t="s">
        <v>518</v>
      </c>
      <c r="B1164" s="907">
        <v>3.2500000000000001E-2</v>
      </c>
      <c r="C1164" s="907"/>
      <c r="D1164" s="329"/>
      <c r="E1164" s="347"/>
      <c r="F1164" s="347"/>
      <c r="G1164" s="347"/>
      <c r="H1164" s="346"/>
      <c r="I1164" s="347"/>
      <c r="J1164" s="347"/>
      <c r="K1164" s="347"/>
      <c r="L1164" s="347"/>
      <c r="M1164" s="346"/>
      <c r="N1164" s="347"/>
      <c r="O1164" s="347"/>
      <c r="P1164" s="347"/>
      <c r="Q1164" s="347"/>
      <c r="R1164" s="346"/>
      <c r="S1164" s="347"/>
      <c r="T1164" s="347"/>
      <c r="U1164" s="347"/>
      <c r="V1164" s="347"/>
      <c r="W1164" s="346"/>
      <c r="X1164" s="347"/>
      <c r="Y1164" s="347"/>
      <c r="Z1164" s="347"/>
      <c r="AA1164" s="347"/>
      <c r="AB1164" s="346"/>
      <c r="AC1164" s="347"/>
      <c r="AD1164" s="347"/>
      <c r="AE1164" s="347"/>
      <c r="AF1164" s="347"/>
      <c r="AG1164" s="346"/>
      <c r="AH1164" s="347"/>
      <c r="AI1164" s="347"/>
      <c r="AJ1164" s="347"/>
      <c r="AK1164" s="347"/>
      <c r="AL1164" s="346"/>
      <c r="AM1164" s="347"/>
      <c r="AN1164" s="347"/>
      <c r="AO1164" s="347"/>
      <c r="AP1164" s="347"/>
      <c r="AQ1164" s="346"/>
      <c r="AR1164" s="347"/>
      <c r="AS1164" s="347"/>
      <c r="AT1164" s="347"/>
      <c r="AU1164" s="328">
        <f>(AU1107*(4.5%+1.25%)/4)*0.45</f>
        <v>5.5268999999999995</v>
      </c>
      <c r="AV1164" s="346">
        <f t="shared" si="2203"/>
        <v>5.5268999999999995</v>
      </c>
      <c r="AW1164" s="328">
        <f>AW1107*(4.5%+1.25%)/4</f>
        <v>12.12873375</v>
      </c>
      <c r="AX1164" s="347">
        <f>AX1107*($B1164+MAX(1%,AX$1135))/4</f>
        <v>8.8482343750000005</v>
      </c>
      <c r="AY1164" s="347">
        <f>AY1107*($B1164+MAX(1%,AY$1135))/4</f>
        <v>8.7785131249999999</v>
      </c>
      <c r="AZ1164" s="347">
        <f>AZ1107*($B1164+MAX(1%,AZ$1135))/4</f>
        <v>8.5228437499999998</v>
      </c>
      <c r="BA1164" s="346">
        <f t="shared" si="2204"/>
        <v>38.278324999999995</v>
      </c>
      <c r="BB1164" s="347">
        <f>BB1107*($B1164+MAX(1%,BB$1135))/4</f>
        <v>8.3578906250000014</v>
      </c>
      <c r="BC1164" s="347">
        <f>BC1107*($B1164+MAX(1%,BC$1135))/4</f>
        <v>8.161731875000001</v>
      </c>
      <c r="BD1164" s="347">
        <f>BD1107*($B1164+MAX(1%,BD$1135))/4</f>
        <v>8.0845625000000005</v>
      </c>
      <c r="BE1164" s="347">
        <f>BE1107*($B1164+MAX(1%,BE$1135))/4</f>
        <v>7.8879999999999999</v>
      </c>
      <c r="BF1164" s="346">
        <f t="shared" si="2205"/>
        <v>32.492185000000006</v>
      </c>
      <c r="BG1164" s="347">
        <f>BG1107*($B1164+MAX(1%,BG$1135))/4</f>
        <v>7.7049843750000004</v>
      </c>
      <c r="BH1164" s="347">
        <f>BH1107*($B1164+MAX(1%,BH$1135))/4</f>
        <v>7.331388125000001</v>
      </c>
      <c r="BI1164" s="347">
        <f>BI1107*($B1164+MAX(1%,BI$1135))/4</f>
        <v>7.1075937500000013</v>
      </c>
      <c r="BJ1164" s="347">
        <f>BJ1107*($B1164+MAX(1%,BJ$1135))/4</f>
        <v>7.0417187500000002</v>
      </c>
      <c r="BK1164" s="346">
        <f t="shared" si="2271"/>
        <v>29.185685000000007</v>
      </c>
      <c r="BL1164" s="347">
        <f>BL1107*($B1164+MAX(1%,BL$1135))/4</f>
        <v>6.8345843750000004</v>
      </c>
      <c r="BM1164" s="347">
        <f>BM1107*($B1164+MAX(1%,BM$1135))/4</f>
        <v>6.4868281250000006</v>
      </c>
      <c r="BN1164" s="347">
        <f>BN1107*($B1164+MAX(1%,BN$1135))/4</f>
        <v>0</v>
      </c>
      <c r="BO1164" s="347">
        <f>BO1107*($B1164+MAX(1%,BO$1135))/4</f>
        <v>0</v>
      </c>
      <c r="BP1164" s="346">
        <f t="shared" si="2197"/>
        <v>13.321412500000001</v>
      </c>
      <c r="BQ1164" s="347">
        <f>BQ1107*($B1164+MAX(1%,BQ$1135))/4</f>
        <v>0</v>
      </c>
      <c r="BR1164" s="347">
        <f>BR1107*($B1164+MAX(1%,BR$1135))/4</f>
        <v>0</v>
      </c>
      <c r="BS1164" s="347">
        <f>BS1107*($B1164+MAX(1%,BS$1135))/4</f>
        <v>0</v>
      </c>
      <c r="BT1164" s="347">
        <f>BT1107*($B1164+MAX(1%,BT$1135))/4</f>
        <v>0</v>
      </c>
      <c r="BU1164" s="3352">
        <f t="shared" si="2198"/>
        <v>0</v>
      </c>
      <c r="BV1164" s="347">
        <f>BV1107*($B1164+MAX(1%,BV$1135))/4</f>
        <v>0</v>
      </c>
      <c r="BW1164" s="347">
        <f t="shared" ref="BW1164:BY1164" si="2276">BW1107*($B1164+MAX(1%,BW$1135))/4</f>
        <v>0</v>
      </c>
      <c r="BX1164" s="347">
        <f t="shared" si="2276"/>
        <v>0</v>
      </c>
      <c r="BY1164" s="347">
        <f t="shared" si="2276"/>
        <v>0</v>
      </c>
      <c r="BZ1164" s="4014">
        <f t="shared" si="2200"/>
        <v>0</v>
      </c>
      <c r="CA1164" s="346">
        <f t="shared" ref="CA1164:CG1164" si="2277">CA1107*($B1164+MAX(1%,CA$1135))</f>
        <v>0</v>
      </c>
      <c r="CB1164" s="346">
        <f t="shared" si="2277"/>
        <v>0</v>
      </c>
      <c r="CC1164" s="346">
        <f t="shared" si="2277"/>
        <v>0</v>
      </c>
      <c r="CD1164" s="346">
        <f t="shared" si="2277"/>
        <v>0</v>
      </c>
      <c r="CE1164" s="346">
        <f t="shared" si="2277"/>
        <v>0</v>
      </c>
      <c r="CF1164" s="346">
        <f t="shared" si="2277"/>
        <v>0</v>
      </c>
      <c r="CG1164" s="346">
        <f t="shared" si="2277"/>
        <v>0</v>
      </c>
      <c r="CH1164" s="467"/>
      <c r="CI1164" s="467" t="s">
        <v>401</v>
      </c>
      <c r="CJ1164" s="467">
        <f>+BA727</f>
        <v>185.26899999999998</v>
      </c>
      <c r="CK1164" s="467"/>
      <c r="CL1164" s="467"/>
      <c r="CM1164" s="331"/>
      <c r="CN1164" s="331">
        <f t="shared" si="2208"/>
        <v>0</v>
      </c>
      <c r="CO1164" s="965">
        <f t="shared" si="2202"/>
        <v>0</v>
      </c>
      <c r="CP1164" s="90"/>
      <c r="CQ1164" s="347"/>
      <c r="CR1164" s="347"/>
      <c r="CS1164" s="347"/>
      <c r="CT1164" s="347"/>
      <c r="CU1164" s="347"/>
      <c r="CV1164" s="347"/>
      <c r="CW1164" s="347"/>
      <c r="CX1164" s="347"/>
      <c r="CY1164" s="347"/>
      <c r="CZ1164" s="347"/>
      <c r="DA1164" s="347"/>
      <c r="DB1164" s="347"/>
      <c r="DC1164" s="347"/>
      <c r="DD1164" s="347"/>
      <c r="DE1164" s="347"/>
      <c r="DF1164" s="347"/>
      <c r="DG1164" s="1795"/>
      <c r="DH1164" s="911"/>
      <c r="DI1164" s="911"/>
      <c r="DJ1164" s="911"/>
      <c r="DK1164" s="911"/>
      <c r="DL1164" s="911"/>
      <c r="DM1164" s="911"/>
      <c r="DN1164" s="500"/>
      <c r="DO1164" s="537"/>
      <c r="DY1164" s="347"/>
      <c r="DZ1164" s="347"/>
    </row>
    <row r="1165" spans="1:130" ht="12" customHeight="1">
      <c r="A1165" s="633" t="s">
        <v>519</v>
      </c>
      <c r="B1165" s="907">
        <v>0.04</v>
      </c>
      <c r="C1165" s="907"/>
      <c r="D1165" s="329"/>
      <c r="E1165" s="347"/>
      <c r="F1165" s="347"/>
      <c r="G1165" s="347"/>
      <c r="H1165" s="346"/>
      <c r="I1165" s="347"/>
      <c r="J1165" s="347"/>
      <c r="K1165" s="347"/>
      <c r="L1165" s="347"/>
      <c r="M1165" s="346"/>
      <c r="N1165" s="347"/>
      <c r="O1165" s="347"/>
      <c r="P1165" s="347"/>
      <c r="Q1165" s="347"/>
      <c r="R1165" s="346"/>
      <c r="S1165" s="347"/>
      <c r="T1165" s="347"/>
      <c r="U1165" s="347"/>
      <c r="V1165" s="347"/>
      <c r="W1165" s="346"/>
      <c r="X1165" s="347"/>
      <c r="Y1165" s="347"/>
      <c r="Z1165" s="347"/>
      <c r="AA1165" s="347"/>
      <c r="AB1165" s="346"/>
      <c r="AC1165" s="347"/>
      <c r="AD1165" s="347"/>
      <c r="AE1165" s="347"/>
      <c r="AF1165" s="347"/>
      <c r="AG1165" s="346"/>
      <c r="AH1165" s="347"/>
      <c r="AI1165" s="347"/>
      <c r="AJ1165" s="347"/>
      <c r="AK1165" s="347"/>
      <c r="AL1165" s="346"/>
      <c r="AM1165" s="347"/>
      <c r="AN1165" s="347"/>
      <c r="AO1165" s="347"/>
      <c r="AP1165" s="347"/>
      <c r="AQ1165" s="346"/>
      <c r="AR1165" s="347"/>
      <c r="AS1165" s="347"/>
      <c r="AT1165" s="347"/>
      <c r="AU1165" s="347">
        <f>(AU1108*($B1165+AU$1135)/4)*0.45</f>
        <v>0</v>
      </c>
      <c r="AV1165" s="346">
        <f>SUM(AR1165:AU1165)</f>
        <v>0</v>
      </c>
      <c r="AW1165" s="347">
        <f>AW1108*($B1165+AW$1135)/4</f>
        <v>0</v>
      </c>
      <c r="AX1165" s="347">
        <f>AX1108*($B1165+AX$1135)/4</f>
        <v>0</v>
      </c>
      <c r="AY1165" s="347">
        <f>AY1108*($B1165+AY$1135)/4</f>
        <v>0</v>
      </c>
      <c r="AZ1165" s="347">
        <f>AZ1108*($B1165+AZ$1135)/4</f>
        <v>0</v>
      </c>
      <c r="BA1165" s="346">
        <f>SUM(AW1165:AZ1165)</f>
        <v>0</v>
      </c>
      <c r="BB1165" s="347">
        <f>BB1108*($B1165+BB$1135)/4</f>
        <v>0</v>
      </c>
      <c r="BC1165" s="347">
        <f>BC1108*($B1165+BC$1135)/4</f>
        <v>0</v>
      </c>
      <c r="BD1165" s="347">
        <f>BD1108*($B1165+BD$1135)/4</f>
        <v>0</v>
      </c>
      <c r="BE1165" s="347">
        <f>BE1108*($B1165+BE$1135)/4</f>
        <v>0</v>
      </c>
      <c r="BF1165" s="346">
        <f>SUM(BB1165:BE1165)</f>
        <v>0</v>
      </c>
      <c r="BG1165" s="329">
        <f>BG1108*($B1165+BG$1135)/4</f>
        <v>0</v>
      </c>
      <c r="BH1165" s="347">
        <f>BH1108*($B1165+BH$1135)/4</f>
        <v>0</v>
      </c>
      <c r="BI1165" s="347">
        <f>BI1108*($B1165+BI$1135)/4</f>
        <v>0</v>
      </c>
      <c r="BJ1165" s="1795">
        <f>BJ1108*($B1165+BJ$1135)/4</f>
        <v>0</v>
      </c>
      <c r="BK1165" s="346">
        <f t="shared" si="2271"/>
        <v>0</v>
      </c>
      <c r="BL1165" s="347">
        <f>BL1108*($B1165+BL$1135)/4</f>
        <v>0</v>
      </c>
      <c r="BM1165" s="347">
        <f>BM1108*($B1165+BM$1135)/4</f>
        <v>0</v>
      </c>
      <c r="BN1165" s="347">
        <f>BN1108*($B1165+BN$1135)/4</f>
        <v>0</v>
      </c>
      <c r="BO1165" s="1795">
        <f>BO1108*($B1165+BO$1135)/4</f>
        <v>0</v>
      </c>
      <c r="BP1165" s="346">
        <f t="shared" si="2197"/>
        <v>0</v>
      </c>
      <c r="BQ1165" s="347">
        <f>BQ1108*($B1165+BQ$1135)/4</f>
        <v>0</v>
      </c>
      <c r="BR1165" s="347">
        <f>BR1108*($B1165+BR$1135)/4</f>
        <v>0</v>
      </c>
      <c r="BS1165" s="347">
        <f>BS1108*($B1165+BS$1135)/4</f>
        <v>0</v>
      </c>
      <c r="BT1165" s="1795">
        <f>BT1108*($B1165+BT$1135)/4</f>
        <v>0</v>
      </c>
      <c r="BU1165" s="3352">
        <f t="shared" si="2198"/>
        <v>0</v>
      </c>
      <c r="BV1165" s="347">
        <f>BV1108*($B1165+BV$1135)/4</f>
        <v>0</v>
      </c>
      <c r="BW1165" s="347">
        <f t="shared" ref="BW1165:BY1165" si="2278">BW1108*($B1165+BW$1135)/4</f>
        <v>0</v>
      </c>
      <c r="BX1165" s="347">
        <f t="shared" si="2278"/>
        <v>0</v>
      </c>
      <c r="BY1165" s="347">
        <f t="shared" si="2278"/>
        <v>0</v>
      </c>
      <c r="BZ1165" s="4014">
        <f t="shared" si="2200"/>
        <v>0</v>
      </c>
      <c r="CA1165" s="346">
        <f t="shared" ref="CA1165:CG1165" si="2279">CA1108*($B1165+CA$1135)</f>
        <v>0</v>
      </c>
      <c r="CB1165" s="346">
        <f t="shared" si="2279"/>
        <v>0</v>
      </c>
      <c r="CC1165" s="346">
        <f t="shared" si="2279"/>
        <v>0</v>
      </c>
      <c r="CD1165" s="346">
        <f t="shared" si="2279"/>
        <v>0</v>
      </c>
      <c r="CE1165" s="346">
        <f t="shared" si="2279"/>
        <v>0</v>
      </c>
      <c r="CF1165" s="346">
        <f t="shared" si="2279"/>
        <v>0</v>
      </c>
      <c r="CG1165" s="346">
        <f t="shared" si="2279"/>
        <v>0</v>
      </c>
      <c r="CH1165" s="467"/>
      <c r="CI1165" s="467" t="s">
        <v>521</v>
      </c>
      <c r="CJ1165" s="467">
        <f>-BA1192</f>
        <v>-87.851000000000013</v>
      </c>
      <c r="CK1165" s="467"/>
      <c r="CL1165" s="467"/>
      <c r="CM1165" s="331"/>
      <c r="CN1165" s="331">
        <f t="shared" si="2208"/>
        <v>0</v>
      </c>
      <c r="CO1165" s="965">
        <f t="shared" si="2202"/>
        <v>0</v>
      </c>
      <c r="CP1165" s="90"/>
      <c r="CQ1165" s="347"/>
      <c r="CR1165" s="347"/>
      <c r="CS1165" s="347"/>
      <c r="CT1165" s="347"/>
      <c r="CU1165" s="347"/>
      <c r="CV1165" s="347"/>
      <c r="CW1165" s="347"/>
      <c r="CX1165" s="347"/>
      <c r="CY1165" s="347"/>
      <c r="CZ1165" s="347"/>
      <c r="DA1165" s="347"/>
      <c r="DB1165" s="347"/>
      <c r="DC1165" s="347"/>
      <c r="DD1165" s="347"/>
      <c r="DE1165" s="347"/>
      <c r="DF1165" s="347"/>
      <c r="DG1165" s="1795"/>
      <c r="DH1165" s="911"/>
      <c r="DI1165" s="911"/>
      <c r="DJ1165" s="911"/>
      <c r="DK1165" s="911"/>
      <c r="DL1165" s="911"/>
      <c r="DM1165" s="911"/>
      <c r="DN1165" s="500"/>
      <c r="DO1165" s="537"/>
      <c r="DY1165" s="347"/>
      <c r="DZ1165" s="347"/>
    </row>
    <row r="1166" spans="1:130" ht="12" customHeight="1">
      <c r="A1166" s="633" t="s">
        <v>1601</v>
      </c>
      <c r="B1166" s="907">
        <v>8.3750000000000005E-2</v>
      </c>
      <c r="C1166" s="907"/>
      <c r="D1166" s="329"/>
      <c r="E1166" s="347"/>
      <c r="F1166" s="347"/>
      <c r="G1166" s="347"/>
      <c r="H1166" s="346"/>
      <c r="I1166" s="347"/>
      <c r="J1166" s="347"/>
      <c r="K1166" s="347"/>
      <c r="L1166" s="347"/>
      <c r="M1166" s="346"/>
      <c r="N1166" s="347"/>
      <c r="O1166" s="347"/>
      <c r="P1166" s="347"/>
      <c r="Q1166" s="347"/>
      <c r="R1166" s="346"/>
      <c r="S1166" s="347"/>
      <c r="T1166" s="347"/>
      <c r="U1166" s="347"/>
      <c r="V1166" s="347"/>
      <c r="W1166" s="346"/>
      <c r="X1166" s="347"/>
      <c r="Y1166" s="347"/>
      <c r="Z1166" s="347"/>
      <c r="AA1166" s="347"/>
      <c r="AB1166" s="346"/>
      <c r="AC1166" s="347"/>
      <c r="AD1166" s="347"/>
      <c r="AE1166" s="347"/>
      <c r="AF1166" s="347"/>
      <c r="AG1166" s="346"/>
      <c r="AH1166" s="347"/>
      <c r="AI1166" s="347"/>
      <c r="AJ1166" s="347"/>
      <c r="AK1166" s="347"/>
      <c r="AL1166" s="346"/>
      <c r="AM1166" s="347"/>
      <c r="AN1166" s="347"/>
      <c r="AO1166" s="347"/>
      <c r="AP1166" s="347"/>
      <c r="AQ1166" s="346"/>
      <c r="AR1166" s="347"/>
      <c r="AS1166" s="347"/>
      <c r="AT1166" s="347">
        <f>AVERAGE(AS1109:AT1109)*$B1166/4</f>
        <v>7.328125</v>
      </c>
      <c r="AU1166" s="347">
        <f>AVERAGE(AT1109:AU1109)*$B1166/4</f>
        <v>7.328125</v>
      </c>
      <c r="AV1166" s="346">
        <f>SUM(AR1166:AU1166)</f>
        <v>14.65625</v>
      </c>
      <c r="AW1166" s="347">
        <f>AVERAGE(AV1109:AW1109)*$B1166/4</f>
        <v>7.328125</v>
      </c>
      <c r="AX1166" s="347">
        <f>AVERAGE(AW1109:AX1109)*$B1166/4</f>
        <v>7.328125</v>
      </c>
      <c r="AY1166" s="347">
        <f>AVERAGE(AX1109:AY1109)*$B1166/4</f>
        <v>7.328125</v>
      </c>
      <c r="AZ1166" s="347">
        <f>AVERAGE(AY1109:AZ1109)*$B1166/4</f>
        <v>7.328125</v>
      </c>
      <c r="BA1166" s="346">
        <f>SUM(AW1166:AZ1166)</f>
        <v>29.3125</v>
      </c>
      <c r="BB1166" s="347">
        <f>AVERAGE(BA1109:BB1109)*$B1166/4</f>
        <v>7.328125</v>
      </c>
      <c r="BC1166" s="347">
        <f>AVERAGE(BB1109:BC1109)*$B1166/4</f>
        <v>7.328125</v>
      </c>
      <c r="BD1166" s="347">
        <f>AVERAGE(BC1109:BD1109)*$B1166/4</f>
        <v>7.328125</v>
      </c>
      <c r="BE1166" s="347">
        <f>AVERAGE(BD1109:BE1109)*$B1166/4</f>
        <v>7.328125</v>
      </c>
      <c r="BF1166" s="346">
        <f>SUM(BB1166:BE1166)</f>
        <v>29.3125</v>
      </c>
      <c r="BG1166" s="329">
        <f>AVERAGE(BF1109:BG1109)*$B1166/4</f>
        <v>7.328125</v>
      </c>
      <c r="BH1166" s="347">
        <f>AVERAGE(BG1109:BH1109)*$B1166/4</f>
        <v>7.328125</v>
      </c>
      <c r="BI1166" s="347">
        <f>AVERAGE(BH1109:BI1109)*$B1166/4</f>
        <v>7.328125</v>
      </c>
      <c r="BJ1166" s="1795">
        <f>AVERAGE(BI1109:BJ1109)*$B1166/4</f>
        <v>7.328125</v>
      </c>
      <c r="BK1166" s="346">
        <f t="shared" si="2271"/>
        <v>29.3125</v>
      </c>
      <c r="BL1166" s="347">
        <f>AVERAGE(BK1109:BL1109)*$B1166/4</f>
        <v>7.328125</v>
      </c>
      <c r="BM1166" s="347">
        <f>AVERAGE(BL1109:BM1109)*$B1166/4</f>
        <v>7.328125</v>
      </c>
      <c r="BN1166" s="3252">
        <f>AVERAGE(BM1109)*$B1166/4*2/3</f>
        <v>4.885416666666667</v>
      </c>
      <c r="BO1166" s="1795">
        <f>AVERAGE(BN1109:BO1109)*$B1166/4</f>
        <v>0</v>
      </c>
      <c r="BP1166" s="346">
        <f t="shared" si="2197"/>
        <v>19.541666666666668</v>
      </c>
      <c r="BQ1166" s="3252">
        <f>AVERAGE(BP1109)*$B1166/4*2/3</f>
        <v>0</v>
      </c>
      <c r="BR1166" s="3252">
        <f>AVERAGE(BQ1109)*$B1166/4*2/3</f>
        <v>0</v>
      </c>
      <c r="BS1166" s="3252">
        <f>AVERAGE(BR1109)*$B1166/4*2/3</f>
        <v>0</v>
      </c>
      <c r="BT1166" s="1795">
        <f>AVERAGE(BS1109)*$B1166/4*2/3</f>
        <v>0</v>
      </c>
      <c r="BU1166" s="3352">
        <f t="shared" si="2198"/>
        <v>0</v>
      </c>
      <c r="BV1166" s="3252">
        <f>AVERAGE(BU1109)*$B1166/4*2/3</f>
        <v>0</v>
      </c>
      <c r="BW1166" s="3252">
        <f t="shared" ref="BW1166:BY1166" si="2280">AVERAGE(BV1109)*$B1166/4*2/3</f>
        <v>0</v>
      </c>
      <c r="BX1166" s="3252">
        <f t="shared" si="2280"/>
        <v>0</v>
      </c>
      <c r="BY1166" s="3252">
        <f t="shared" si="2280"/>
        <v>0</v>
      </c>
      <c r="BZ1166" s="4014">
        <f t="shared" si="2200"/>
        <v>0</v>
      </c>
      <c r="CA1166" s="346">
        <f t="shared" ref="CA1166:CG1166" si="2281">AVERAGE(BZ1109,CA1109)*$B1166</f>
        <v>0</v>
      </c>
      <c r="CB1166" s="346">
        <f t="shared" si="2281"/>
        <v>0</v>
      </c>
      <c r="CC1166" s="346">
        <f t="shared" si="2281"/>
        <v>0</v>
      </c>
      <c r="CD1166" s="346">
        <f t="shared" si="2281"/>
        <v>0</v>
      </c>
      <c r="CE1166" s="346">
        <f t="shared" si="2281"/>
        <v>0</v>
      </c>
      <c r="CF1166" s="346">
        <f t="shared" si="2281"/>
        <v>0</v>
      </c>
      <c r="CG1166" s="346">
        <f t="shared" si="2281"/>
        <v>0</v>
      </c>
      <c r="CH1166" s="467"/>
      <c r="CI1166" s="467" t="s">
        <v>520</v>
      </c>
      <c r="CJ1166" s="467">
        <f>-SUM(BA1164:BA1168)</f>
        <v>-82.56582499999999</v>
      </c>
      <c r="CK1166" s="467"/>
      <c r="CL1166" s="467"/>
      <c r="CM1166" s="331"/>
      <c r="CN1166" s="331">
        <f t="shared" si="2208"/>
        <v>0</v>
      </c>
      <c r="CO1166" s="965">
        <f t="shared" si="2202"/>
        <v>0</v>
      </c>
      <c r="CP1166" s="90"/>
      <c r="CQ1166" s="347"/>
      <c r="CR1166" s="347"/>
      <c r="CS1166" s="347"/>
      <c r="CT1166" s="347"/>
      <c r="CU1166" s="347"/>
      <c r="CV1166" s="347"/>
      <c r="CW1166" s="347"/>
      <c r="CX1166" s="347"/>
      <c r="CY1166" s="347"/>
      <c r="CZ1166" s="347"/>
      <c r="DA1166" s="347"/>
      <c r="DB1166" s="347"/>
      <c r="DC1166" s="347"/>
      <c r="DD1166" s="347"/>
      <c r="DE1166" s="347"/>
      <c r="DF1166" s="347"/>
      <c r="DG1166" s="1795"/>
      <c r="DH1166" s="911"/>
      <c r="DI1166" s="911"/>
      <c r="DJ1166" s="911"/>
      <c r="DK1166" s="911"/>
      <c r="DL1166" s="911"/>
      <c r="DM1166" s="911"/>
      <c r="DN1166" s="500"/>
      <c r="DO1166" s="537"/>
      <c r="DY1166" s="347"/>
      <c r="DZ1166" s="347"/>
    </row>
    <row r="1167" spans="1:130" ht="12" customHeight="1">
      <c r="A1167" s="3146" t="s">
        <v>1866</v>
      </c>
      <c r="B1167" s="907">
        <v>6.3750000000000001E-2</v>
      </c>
      <c r="C1167" s="907"/>
      <c r="D1167" s="329"/>
      <c r="E1167" s="347"/>
      <c r="F1167" s="347"/>
      <c r="G1167" s="347"/>
      <c r="H1167" s="346"/>
      <c r="I1167" s="347"/>
      <c r="J1167" s="347"/>
      <c r="K1167" s="347"/>
      <c r="L1167" s="347"/>
      <c r="M1167" s="346"/>
      <c r="N1167" s="347"/>
      <c r="O1167" s="347"/>
      <c r="P1167" s="347"/>
      <c r="Q1167" s="347"/>
      <c r="R1167" s="346"/>
      <c r="S1167" s="347"/>
      <c r="T1167" s="347"/>
      <c r="U1167" s="347"/>
      <c r="V1167" s="347"/>
      <c r="W1167" s="346"/>
      <c r="X1167" s="347"/>
      <c r="Y1167" s="347"/>
      <c r="Z1167" s="347"/>
      <c r="AA1167" s="347"/>
      <c r="AB1167" s="346"/>
      <c r="AC1167" s="347"/>
      <c r="AD1167" s="347"/>
      <c r="AE1167" s="347"/>
      <c r="AF1167" s="347"/>
      <c r="AG1167" s="346"/>
      <c r="AH1167" s="347"/>
      <c r="AI1167" s="347"/>
      <c r="AJ1167" s="347"/>
      <c r="AK1167" s="347"/>
      <c r="AL1167" s="346"/>
      <c r="AM1167" s="347"/>
      <c r="AN1167" s="347"/>
      <c r="AO1167" s="347"/>
      <c r="AP1167" s="347"/>
      <c r="AQ1167" s="346"/>
      <c r="AR1167" s="347"/>
      <c r="AS1167" s="347"/>
      <c r="AT1167" s="347"/>
      <c r="AU1167" s="347"/>
      <c r="AV1167" s="346"/>
      <c r="AW1167" s="347"/>
      <c r="AX1167" s="347"/>
      <c r="AY1167" s="347"/>
      <c r="AZ1167" s="347"/>
      <c r="BA1167" s="346"/>
      <c r="BB1167" s="347"/>
      <c r="BC1167" s="347"/>
      <c r="BD1167" s="347"/>
      <c r="BE1167" s="347"/>
      <c r="BF1167" s="346"/>
      <c r="BG1167" s="329"/>
      <c r="BH1167" s="347"/>
      <c r="BI1167" s="347"/>
      <c r="BJ1167" s="1795"/>
      <c r="BK1167" s="346"/>
      <c r="BL1167" s="3252">
        <f>(AVERAGE(BK1110:BL1110)*$B1167/4)*(4/91)</f>
        <v>0.52539107142857155</v>
      </c>
      <c r="BM1167" s="347">
        <f>AVERAGE(BL1110:BM1110)*$B1167/4</f>
        <v>11.9528859375</v>
      </c>
      <c r="BN1167" s="347">
        <f>AVERAGE(BM1110:BN1110)*$B1167/4</f>
        <v>11.953125</v>
      </c>
      <c r="BO1167" s="1795">
        <f>AVERAGE(BN1110:BO1110)*$B1167/4</f>
        <v>11.953125</v>
      </c>
      <c r="BP1167" s="346">
        <f>SUM(BL1167:BO1167)</f>
        <v>36.384527008928572</v>
      </c>
      <c r="BQ1167" s="347">
        <f>AVERAGE(BP1110:BQ1110)*$B1167/4</f>
        <v>11.953125</v>
      </c>
      <c r="BR1167" s="347">
        <f>AVERAGE(BQ1110:BR1110)*$B1167/4</f>
        <v>11.953125</v>
      </c>
      <c r="BS1167" s="347">
        <f>AVERAGE(BR1110:BS1110)*$B1167/4</f>
        <v>11.953125</v>
      </c>
      <c r="BT1167" s="1795">
        <f>AVERAGE(BS1110:BT1110)*$B1167/4</f>
        <v>11.953125</v>
      </c>
      <c r="BU1167" s="3352">
        <f>SUM(BQ1167:BT1167)</f>
        <v>47.8125</v>
      </c>
      <c r="BV1167" s="347">
        <f>AVERAGE(BU1110:BV1110)*$B1167/4</f>
        <v>11.953125</v>
      </c>
      <c r="BW1167" s="347">
        <f t="shared" ref="BW1167:BY1167" si="2282">AVERAGE(BV1110:BW1110)*$B1167/4</f>
        <v>11.953125</v>
      </c>
      <c r="BX1167" s="347">
        <f t="shared" si="2282"/>
        <v>11.953125</v>
      </c>
      <c r="BY1167" s="347">
        <f t="shared" si="2282"/>
        <v>11.953125</v>
      </c>
      <c r="BZ1167" s="4014">
        <f>SUM(BV1167:BY1167)</f>
        <v>47.8125</v>
      </c>
      <c r="CA1167" s="346">
        <f>AVERAGE(BZ1110,CA1110)*$B1167</f>
        <v>47.8125</v>
      </c>
      <c r="CB1167" s="346">
        <f>AVERAGE(CA1110,CB1110)*$B1167</f>
        <v>47.8125</v>
      </c>
      <c r="CC1167" s="346"/>
      <c r="CD1167" s="346"/>
      <c r="CE1167" s="346"/>
      <c r="CF1167" s="346"/>
      <c r="CG1167" s="346"/>
      <c r="CH1167" s="467"/>
      <c r="CI1167" s="467"/>
      <c r="CJ1167" s="467"/>
      <c r="CK1167" s="467"/>
      <c r="CL1167" s="467"/>
      <c r="CM1167" s="331"/>
      <c r="CN1167" s="331">
        <f t="shared" si="2208"/>
        <v>47.8125</v>
      </c>
      <c r="CO1167" s="965">
        <f t="shared" si="2202"/>
        <v>-47.8125</v>
      </c>
      <c r="CP1167" s="90"/>
      <c r="CQ1167" s="347"/>
      <c r="CR1167" s="347"/>
      <c r="CS1167" s="347"/>
      <c r="CT1167" s="347"/>
      <c r="CU1167" s="347"/>
      <c r="CV1167" s="347"/>
      <c r="CW1167" s="347"/>
      <c r="CX1167" s="347"/>
      <c r="CY1167" s="347"/>
      <c r="CZ1167" s="347"/>
      <c r="DA1167" s="347"/>
      <c r="DB1167" s="347"/>
      <c r="DC1167" s="347"/>
      <c r="DD1167" s="347"/>
      <c r="DE1167" s="347"/>
      <c r="DF1167" s="347"/>
      <c r="DG1167" s="1795"/>
      <c r="DH1167" s="911"/>
      <c r="DI1167" s="911"/>
      <c r="DJ1167" s="911"/>
      <c r="DK1167" s="911"/>
      <c r="DL1167" s="911"/>
      <c r="DM1167" s="911"/>
      <c r="DN1167" s="500"/>
      <c r="DO1167" s="537"/>
      <c r="DY1167" s="347"/>
      <c r="DZ1167" s="347"/>
    </row>
    <row r="1168" spans="1:130" ht="12" customHeight="1">
      <c r="A1168" s="633" t="s">
        <v>608</v>
      </c>
      <c r="B1168" s="910"/>
      <c r="C1168" s="910"/>
      <c r="D1168" s="329"/>
      <c r="E1168" s="347"/>
      <c r="F1168" s="347"/>
      <c r="G1168" s="347"/>
      <c r="H1168" s="346"/>
      <c r="I1168" s="347"/>
      <c r="J1168" s="347"/>
      <c r="K1168" s="347"/>
      <c r="L1168" s="347"/>
      <c r="M1168" s="346"/>
      <c r="N1168" s="347"/>
      <c r="O1168" s="347"/>
      <c r="P1168" s="347"/>
      <c r="Q1168" s="347"/>
      <c r="R1168" s="346"/>
      <c r="S1168" s="347"/>
      <c r="T1168" s="347"/>
      <c r="U1168" s="347"/>
      <c r="V1168" s="347"/>
      <c r="W1168" s="346"/>
      <c r="X1168" s="347"/>
      <c r="Y1168" s="347"/>
      <c r="Z1168" s="347"/>
      <c r="AA1168" s="347"/>
      <c r="AB1168" s="346"/>
      <c r="AC1168" s="347"/>
      <c r="AD1168" s="347"/>
      <c r="AE1168" s="347"/>
      <c r="AF1168" s="347"/>
      <c r="AG1168" s="346"/>
      <c r="AH1168" s="347"/>
      <c r="AI1168" s="347"/>
      <c r="AJ1168" s="347"/>
      <c r="AK1168" s="347"/>
      <c r="AL1168" s="346"/>
      <c r="AM1168" s="347"/>
      <c r="AN1168" s="347"/>
      <c r="AO1168" s="347"/>
      <c r="AP1168" s="347"/>
      <c r="AQ1168" s="346"/>
      <c r="AR1168" s="347"/>
      <c r="AS1168" s="347"/>
      <c r="AT1168" s="347"/>
      <c r="AU1168" s="347">
        <v>0</v>
      </c>
      <c r="AV1168" s="346">
        <f>SUM(AR1168:AU1168)</f>
        <v>0</v>
      </c>
      <c r="AW1168" s="328">
        <v>3.6</v>
      </c>
      <c r="AX1168" s="328">
        <f>+AW1168+0.1</f>
        <v>3.7</v>
      </c>
      <c r="AY1168" s="328">
        <f>+AX1168+0.1</f>
        <v>3.8000000000000003</v>
      </c>
      <c r="AZ1168" s="328">
        <f>+AY1168+0.075</f>
        <v>3.8750000000000004</v>
      </c>
      <c r="BA1168" s="346">
        <f>SUM(AW1168:AZ1168)</f>
        <v>14.975000000000001</v>
      </c>
      <c r="BB1168" s="328">
        <f>+AZ1168+0.05</f>
        <v>3.9250000000000003</v>
      </c>
      <c r="BC1168" s="328">
        <f>+BB1168+0.05</f>
        <v>3.9750000000000001</v>
      </c>
      <c r="BD1168" s="328">
        <f>+BC1168+0.05</f>
        <v>4.0250000000000004</v>
      </c>
      <c r="BE1168" s="328">
        <f>+BD1168+0.05</f>
        <v>4.0750000000000002</v>
      </c>
      <c r="BF1168" s="346">
        <f>SUM(BB1168:BE1168)</f>
        <v>16</v>
      </c>
      <c r="BG1168" s="329">
        <f>BF1168/4</f>
        <v>4</v>
      </c>
      <c r="BH1168" s="347">
        <f>BG1168</f>
        <v>4</v>
      </c>
      <c r="BI1168" s="347">
        <f>BH1168</f>
        <v>4</v>
      </c>
      <c r="BJ1168" s="3250">
        <f>BI1168/2</f>
        <v>2</v>
      </c>
      <c r="BK1168" s="346">
        <f t="shared" si="2271"/>
        <v>14</v>
      </c>
      <c r="BL1168" s="3143">
        <v>0</v>
      </c>
      <c r="BM1168" s="347">
        <f t="shared" ref="BM1168:BO1168" si="2283">BL1168</f>
        <v>0</v>
      </c>
      <c r="BN1168" s="347">
        <f t="shared" si="2283"/>
        <v>0</v>
      </c>
      <c r="BO1168" s="1795">
        <f t="shared" si="2283"/>
        <v>0</v>
      </c>
      <c r="BP1168" s="346">
        <f t="shared" si="2197"/>
        <v>0</v>
      </c>
      <c r="BQ1168" s="347">
        <f>BP1168</f>
        <v>0</v>
      </c>
      <c r="BR1168" s="347">
        <f>BQ1168</f>
        <v>0</v>
      </c>
      <c r="BS1168" s="347">
        <f>BR1168</f>
        <v>0</v>
      </c>
      <c r="BT1168" s="1795">
        <f>BS1168</f>
        <v>0</v>
      </c>
      <c r="BU1168" s="3352">
        <f t="shared" si="2198"/>
        <v>0</v>
      </c>
      <c r="BV1168" s="347">
        <f>BU1168</f>
        <v>0</v>
      </c>
      <c r="BW1168" s="347">
        <f t="shared" ref="BW1168:BY1168" si="2284">BV1168</f>
        <v>0</v>
      </c>
      <c r="BX1168" s="347">
        <f t="shared" si="2284"/>
        <v>0</v>
      </c>
      <c r="BY1168" s="347">
        <f t="shared" si="2284"/>
        <v>0</v>
      </c>
      <c r="BZ1168" s="4014">
        <f t="shared" si="2200"/>
        <v>0</v>
      </c>
      <c r="CA1168" s="893">
        <f t="shared" ref="CA1168:CG1168" si="2285">+BZ1168</f>
        <v>0</v>
      </c>
      <c r="CB1168" s="893">
        <f t="shared" si="2285"/>
        <v>0</v>
      </c>
      <c r="CC1168" s="893">
        <f t="shared" si="2285"/>
        <v>0</v>
      </c>
      <c r="CD1168" s="893">
        <f t="shared" si="2285"/>
        <v>0</v>
      </c>
      <c r="CE1168" s="893">
        <f t="shared" si="2285"/>
        <v>0</v>
      </c>
      <c r="CF1168" s="893">
        <f t="shared" si="2285"/>
        <v>0</v>
      </c>
      <c r="CG1168" s="893">
        <f t="shared" si="2285"/>
        <v>0</v>
      </c>
      <c r="CH1168" s="467"/>
      <c r="CI1168" s="467" t="s">
        <v>1594</v>
      </c>
      <c r="CJ1168" s="467">
        <f>-CK1168*0.4</f>
        <v>-5.9408699999999897</v>
      </c>
      <c r="CK1168" s="467">
        <f>+CJ1164+CJ1165+CJ1166</f>
        <v>14.852174999999974</v>
      </c>
      <c r="CL1168" s="467"/>
      <c r="CM1168" s="331"/>
      <c r="CN1168" s="331">
        <f t="shared" si="2208"/>
        <v>0</v>
      </c>
      <c r="CO1168" s="965">
        <f t="shared" si="2202"/>
        <v>0</v>
      </c>
      <c r="CP1168" s="90"/>
      <c r="CQ1168" s="347"/>
      <c r="CR1168" s="347"/>
      <c r="CS1168" s="347"/>
      <c r="CT1168" s="347"/>
      <c r="CU1168" s="347"/>
      <c r="CV1168" s="347"/>
      <c r="CW1168" s="347"/>
      <c r="CX1168" s="347"/>
      <c r="CY1168" s="347"/>
      <c r="CZ1168" s="347"/>
      <c r="DA1168" s="347"/>
      <c r="DB1168" s="347"/>
      <c r="DC1168" s="347"/>
      <c r="DD1168" s="347"/>
      <c r="DE1168" s="347"/>
      <c r="DF1168" s="347"/>
      <c r="DG1168" s="1795"/>
      <c r="DH1168" s="911"/>
      <c r="DI1168" s="911"/>
      <c r="DJ1168" s="911"/>
      <c r="DK1168" s="911"/>
      <c r="DL1168" s="911"/>
      <c r="DM1168" s="911"/>
      <c r="DN1168" s="500"/>
      <c r="DO1168" s="537"/>
      <c r="DY1168" s="347"/>
      <c r="DZ1168" s="347"/>
    </row>
    <row r="1169" spans="1:130" s="4061" customFormat="1" ht="12" customHeight="1">
      <c r="A1169" s="633" t="s">
        <v>1986</v>
      </c>
      <c r="B1169" s="910"/>
      <c r="C1169" s="910"/>
      <c r="D1169" s="329"/>
      <c r="E1169" s="347"/>
      <c r="F1169" s="347"/>
      <c r="G1169" s="347"/>
      <c r="H1169" s="346"/>
      <c r="I1169" s="347"/>
      <c r="J1169" s="347"/>
      <c r="K1169" s="347"/>
      <c r="L1169" s="347"/>
      <c r="M1169" s="346"/>
      <c r="N1169" s="347"/>
      <c r="O1169" s="347"/>
      <c r="P1169" s="347"/>
      <c r="Q1169" s="347"/>
      <c r="R1169" s="346"/>
      <c r="S1169" s="347"/>
      <c r="T1169" s="347"/>
      <c r="U1169" s="347"/>
      <c r="V1169" s="347"/>
      <c r="W1169" s="346"/>
      <c r="X1169" s="347"/>
      <c r="Y1169" s="347"/>
      <c r="Z1169" s="347"/>
      <c r="AA1169" s="347"/>
      <c r="AB1169" s="346"/>
      <c r="AC1169" s="347"/>
      <c r="AD1169" s="347"/>
      <c r="AE1169" s="347"/>
      <c r="AF1169" s="347"/>
      <c r="AG1169" s="346"/>
      <c r="AH1169" s="347"/>
      <c r="AI1169" s="347"/>
      <c r="AJ1169" s="347"/>
      <c r="AK1169" s="347"/>
      <c r="AL1169" s="346"/>
      <c r="AM1169" s="347"/>
      <c r="AN1169" s="347"/>
      <c r="AO1169" s="347"/>
      <c r="AP1169" s="347"/>
      <c r="AQ1169" s="346"/>
      <c r="AR1169" s="347"/>
      <c r="AS1169" s="347"/>
      <c r="AT1169" s="347"/>
      <c r="AU1169" s="347"/>
      <c r="AV1169" s="346"/>
      <c r="AW1169" s="328"/>
      <c r="AX1169" s="328"/>
      <c r="AY1169" s="328"/>
      <c r="AZ1169" s="328"/>
      <c r="BA1169" s="346"/>
      <c r="BB1169" s="328"/>
      <c r="BC1169" s="328"/>
      <c r="BD1169" s="328"/>
      <c r="BE1169" s="328"/>
      <c r="BF1169" s="346"/>
      <c r="BG1169" s="347"/>
      <c r="BH1169" s="347"/>
      <c r="BI1169" s="347"/>
      <c r="BJ1169" s="3992"/>
      <c r="BK1169" s="346"/>
      <c r="BL1169" s="3143"/>
      <c r="BM1169" s="347"/>
      <c r="BN1169" s="347"/>
      <c r="BO1169" s="347"/>
      <c r="BP1169" s="346"/>
      <c r="BQ1169" s="347"/>
      <c r="BR1169" s="347"/>
      <c r="BS1169" s="347"/>
      <c r="BT1169" s="347"/>
      <c r="BU1169" s="3352"/>
      <c r="BV1169" s="347"/>
      <c r="BW1169" s="347"/>
      <c r="BX1169" s="347">
        <f>+BX742</f>
        <v>22.902749999999997</v>
      </c>
      <c r="BY1169" s="347">
        <f t="shared" ref="BY1169:CB1169" si="2286">+BY742</f>
        <v>22.902749999999997</v>
      </c>
      <c r="BZ1169" s="4014">
        <f t="shared" si="2286"/>
        <v>45.805499999999995</v>
      </c>
      <c r="CA1169" s="4014">
        <f t="shared" si="2286"/>
        <v>92.307243599999993</v>
      </c>
      <c r="CB1169" s="4014">
        <f t="shared" si="2286"/>
        <v>94.048597421387797</v>
      </c>
      <c r="CC1169" s="893"/>
      <c r="CD1169" s="893"/>
      <c r="CE1169" s="893"/>
      <c r="CF1169" s="893"/>
      <c r="CG1169" s="893"/>
      <c r="CH1169" s="467"/>
      <c r="CI1169" s="467"/>
      <c r="CJ1169" s="467"/>
      <c r="CK1169" s="467"/>
      <c r="CL1169" s="467"/>
      <c r="CM1169" s="331"/>
      <c r="CN1169" s="331"/>
      <c r="CO1169" s="965"/>
      <c r="CP1169" s="90"/>
      <c r="CQ1169" s="347"/>
      <c r="CR1169" s="347"/>
      <c r="CS1169" s="347"/>
      <c r="CT1169" s="347"/>
      <c r="CU1169" s="347"/>
      <c r="CV1169" s="347"/>
      <c r="CW1169" s="347"/>
      <c r="CX1169" s="347"/>
      <c r="CY1169" s="347"/>
      <c r="CZ1169" s="347"/>
      <c r="DA1169" s="347"/>
      <c r="DB1169" s="347"/>
      <c r="DC1169" s="347"/>
      <c r="DD1169" s="347"/>
      <c r="DE1169" s="347"/>
      <c r="DF1169" s="347"/>
      <c r="DG1169" s="1795"/>
      <c r="DH1169" s="911"/>
      <c r="DI1169" s="911"/>
      <c r="DJ1169" s="911"/>
      <c r="DK1169" s="911"/>
      <c r="DL1169" s="911"/>
      <c r="DM1169" s="911"/>
      <c r="DN1169" s="500"/>
      <c r="DO1169" s="537"/>
      <c r="DP1169"/>
      <c r="DQ1169"/>
      <c r="DR1169"/>
      <c r="DS1169"/>
      <c r="DT1169"/>
      <c r="DU1169"/>
      <c r="DY1169" s="347"/>
      <c r="DZ1169" s="347"/>
    </row>
    <row r="1170" spans="1:130" ht="12" customHeight="1">
      <c r="A1170" s="633" t="s">
        <v>1790</v>
      </c>
      <c r="B1170" s="910"/>
      <c r="C1170" s="910"/>
      <c r="D1170" s="329">
        <f t="shared" ref="D1170:AK1170" si="2287">-D73-SUM(D1138:D1168)</f>
        <v>7.4182775749999763E-2</v>
      </c>
      <c r="E1170" s="347">
        <f t="shared" si="2287"/>
        <v>-0.49707899312499748</v>
      </c>
      <c r="F1170" s="347">
        <f t="shared" si="2287"/>
        <v>3.299419443999998</v>
      </c>
      <c r="G1170" s="347">
        <f t="shared" si="2287"/>
        <v>2.7023542510000027</v>
      </c>
      <c r="H1170" s="346">
        <f t="shared" si="2287"/>
        <v>5.5788774776249994</v>
      </c>
      <c r="I1170" s="347">
        <f t="shared" si="2287"/>
        <v>2.5434912499999989</v>
      </c>
      <c r="J1170" s="347">
        <f t="shared" si="2287"/>
        <v>2.9088951999999964</v>
      </c>
      <c r="K1170" s="347">
        <f t="shared" si="2287"/>
        <v>2.2013489999999898</v>
      </c>
      <c r="L1170" s="347">
        <f t="shared" si="2287"/>
        <v>1.8606229674999959</v>
      </c>
      <c r="M1170" s="346">
        <f t="shared" si="2287"/>
        <v>9.5143584174999631</v>
      </c>
      <c r="N1170" s="347">
        <f t="shared" si="2287"/>
        <v>1.8958341210000142</v>
      </c>
      <c r="O1170" s="347">
        <f t="shared" si="2287"/>
        <v>2.0982399029999996</v>
      </c>
      <c r="P1170" s="347">
        <f t="shared" si="2287"/>
        <v>-5.7336199142857112</v>
      </c>
      <c r="Q1170" s="347">
        <f t="shared" si="2287"/>
        <v>-2.2333721999999909</v>
      </c>
      <c r="R1170" s="346">
        <f t="shared" si="2287"/>
        <v>-3.9729180902857024</v>
      </c>
      <c r="S1170" s="347">
        <f t="shared" si="2287"/>
        <v>0.74204998467740069</v>
      </c>
      <c r="T1170" s="347">
        <f t="shared" si="2287"/>
        <v>1.3378177499999708</v>
      </c>
      <c r="U1170" s="347">
        <f t="shared" si="2287"/>
        <v>-1.3138806992187639</v>
      </c>
      <c r="V1170" s="347">
        <f t="shared" si="2287"/>
        <v>-6.0538495212109424</v>
      </c>
      <c r="W1170" s="346">
        <f t="shared" si="2287"/>
        <v>-5.2878624857523562</v>
      </c>
      <c r="X1170" s="347">
        <f t="shared" si="2287"/>
        <v>-6.1736587154146605</v>
      </c>
      <c r="Y1170" s="347">
        <f t="shared" si="2287"/>
        <v>-5.8115208501923128</v>
      </c>
      <c r="Z1170" s="347">
        <f t="shared" si="2287"/>
        <v>-5.0803487240000003</v>
      </c>
      <c r="AA1170" s="347">
        <f t="shared" si="2287"/>
        <v>-5.5806811936666634</v>
      </c>
      <c r="AB1170" s="346">
        <f t="shared" si="2287"/>
        <v>-22.646209483273651</v>
      </c>
      <c r="AC1170" s="347">
        <f t="shared" si="2287"/>
        <v>5.9050287399999988</v>
      </c>
      <c r="AD1170" s="347">
        <f t="shared" si="2287"/>
        <v>0.90648289912499536</v>
      </c>
      <c r="AE1170" s="347">
        <f t="shared" si="2287"/>
        <v>-0.47588175325000037</v>
      </c>
      <c r="AF1170" s="347">
        <f t="shared" si="2287"/>
        <v>-1.7693241749999942</v>
      </c>
      <c r="AG1170" s="346">
        <f t="shared" si="2287"/>
        <v>4.5663057108749854</v>
      </c>
      <c r="AH1170" s="2058">
        <f t="shared" si="2287"/>
        <v>-1.1554583749999985</v>
      </c>
      <c r="AI1170" s="2058">
        <f t="shared" si="2287"/>
        <v>-0.4756828125000041</v>
      </c>
      <c r="AJ1170" s="2058">
        <f t="shared" si="2287"/>
        <v>-4.4923750000002372E-2</v>
      </c>
      <c r="AK1170" s="2058">
        <f t="shared" si="2287"/>
        <v>8.569790624999996</v>
      </c>
      <c r="AL1170" s="346">
        <f>SUM(AH1170:AK1170)</f>
        <v>6.893725687499991</v>
      </c>
      <c r="AM1170" s="2058">
        <f>-AM73-SUM(AM1138:AM1168)</f>
        <v>9.7069631250000015</v>
      </c>
      <c r="AN1170" s="2058">
        <f>-AN73-SUM(AN1138:AN1168)</f>
        <v>14.074888125000008</v>
      </c>
      <c r="AO1170" s="2058">
        <f>-AO73-SUM(AO1138:AO1168)</f>
        <v>7.4892181000000022</v>
      </c>
      <c r="AP1170" s="2058">
        <f>-AP73-SUM(AP1138:AP1168)</f>
        <v>7.3076006249999992</v>
      </c>
      <c r="AQ1170" s="346">
        <f>SUM(AM1170:AP1170)</f>
        <v>38.578669975000011</v>
      </c>
      <c r="AR1170" s="2058">
        <f>-AR73-SUM(AR1138:AR1168)</f>
        <v>6.2213881250000043</v>
      </c>
      <c r="AS1170" s="2058">
        <f>-AS73-SUM(AS1138:AS1168)</f>
        <v>3.9641556250000036</v>
      </c>
      <c r="AT1170" s="2058">
        <f>-AT73-SUM(AT1138:AT1168)</f>
        <v>2.1446731250000113</v>
      </c>
      <c r="AU1170" s="2058">
        <f>-AU73-SUM(AU1138:AU1168)</f>
        <v>9.4919031249999932</v>
      </c>
      <c r="AV1170" s="346">
        <f>SUM(AR1170:AU1170)</f>
        <v>21.822120000000012</v>
      </c>
      <c r="AW1170" s="2058">
        <f>-AW73-SUM(AW1138:AW1168)</f>
        <v>9.7152793750000086</v>
      </c>
      <c r="AX1170" s="2058">
        <f>-AX73-SUM(AX1138:AX1168)</f>
        <v>7.5591974999999962</v>
      </c>
      <c r="AY1170" s="2058">
        <f>-AY73-SUM(AY1138:AY1168)</f>
        <v>8.7630846874999975</v>
      </c>
      <c r="AZ1170" s="2058">
        <f>-AZ73-SUM(AZ1138:AZ1168)</f>
        <v>5.9642456249999967</v>
      </c>
      <c r="BA1170" s="346">
        <f>SUM(AW1170:AZ1170)</f>
        <v>32.001807187499999</v>
      </c>
      <c r="BB1170" s="2058">
        <f>-BB73-SUM(BB1138:BB1168)</f>
        <v>6.4004881875000024</v>
      </c>
      <c r="BC1170" s="2058">
        <f>-BC73-SUM(BC1138:BC1168)</f>
        <v>6.4438231249999944</v>
      </c>
      <c r="BD1170" s="2058">
        <f>-BD73-SUM(BD1138:BD1168)</f>
        <v>6.8107421874999972</v>
      </c>
      <c r="BE1170" s="2058">
        <f>-BE73-SUM(BE1138:BE1168)</f>
        <v>6.4160509374999961</v>
      </c>
      <c r="BF1170" s="346">
        <f>SUM(BB1170:BE1170)</f>
        <v>26.07110443749999</v>
      </c>
      <c r="BG1170" s="2058">
        <f>-BG73-SUM(BG1138:BG1168)</f>
        <v>6.7951525000000004</v>
      </c>
      <c r="BH1170" s="2058">
        <f>-BH73-SUM(BH1138:BH1168)</f>
        <v>1.7066431249999923</v>
      </c>
      <c r="BI1170" s="2058">
        <f>-BI73-SUM(BI1138:BI1168)</f>
        <v>7.4731090625000007</v>
      </c>
      <c r="BJ1170" s="2058">
        <f>-BJ73-SUM(BJ1138:BJ1168)</f>
        <v>5.6140271874999925</v>
      </c>
      <c r="BK1170" s="346">
        <f t="shared" si="2271"/>
        <v>21.588931874999986</v>
      </c>
      <c r="BL1170" s="2058">
        <f>-BL73-SUM(BL1138:BL1168)</f>
        <v>8.102731428571424</v>
      </c>
      <c r="BM1170" s="2058">
        <f>-BM73-SUM(BM1138:BM1168)</f>
        <v>6.2904537499999975</v>
      </c>
      <c r="BN1170" s="2058">
        <f>-BN73-SUM(BN1138:BN1168)</f>
        <v>12.547805989583338</v>
      </c>
      <c r="BO1170" s="2058">
        <f>-BO73-SUM(BO1138:BO1168)</f>
        <v>3.7658012500000027</v>
      </c>
      <c r="BP1170" s="346">
        <f t="shared" si="2197"/>
        <v>30.706792418154762</v>
      </c>
      <c r="BQ1170" s="2058">
        <f>-BQ73-SUM(BQ1138:BQ1168)</f>
        <v>7.7196345312499943</v>
      </c>
      <c r="BR1170" s="2058">
        <f>-BR73-SUM(BR1138:BR1168)</f>
        <v>0.90618104959239076</v>
      </c>
      <c r="BS1170" s="2058">
        <f>-BS73-SUM(BS1138:BS1168)</f>
        <v>1.7829670312500028</v>
      </c>
      <c r="BT1170" s="2058">
        <f>-BT73-SUM(BT1138:BT1168)</f>
        <v>1.1076567187499933</v>
      </c>
      <c r="BU1170" s="3352">
        <f t="shared" si="2198"/>
        <v>11.516439330842381</v>
      </c>
      <c r="BV1170" s="3494">
        <v>1</v>
      </c>
      <c r="BW1170" s="3494">
        <v>1</v>
      </c>
      <c r="BX1170" s="3494">
        <v>1</v>
      </c>
      <c r="BY1170" s="3494">
        <v>1</v>
      </c>
      <c r="BZ1170" s="4014">
        <f t="shared" si="2200"/>
        <v>4</v>
      </c>
      <c r="CA1170" s="3352">
        <f>+BZ1170</f>
        <v>4</v>
      </c>
      <c r="CB1170" s="3352">
        <f>+CA1170</f>
        <v>4</v>
      </c>
      <c r="CC1170" s="893">
        <v>30</v>
      </c>
      <c r="CD1170" s="893">
        <v>30</v>
      </c>
      <c r="CE1170" s="893">
        <v>30</v>
      </c>
      <c r="CF1170" s="893">
        <v>30</v>
      </c>
      <c r="CG1170" s="893">
        <v>30</v>
      </c>
      <c r="CH1170" s="467"/>
      <c r="CI1170" s="467"/>
      <c r="CJ1170" s="467"/>
      <c r="CK1170" s="467"/>
      <c r="CL1170" s="467"/>
      <c r="CM1170" s="331"/>
      <c r="CN1170" s="331">
        <f t="shared" si="2208"/>
        <v>4</v>
      </c>
      <c r="CO1170" s="965">
        <f t="shared" si="2202"/>
        <v>-4</v>
      </c>
      <c r="CP1170" s="90" t="str">
        <f>A1170</f>
        <v>Other</v>
      </c>
      <c r="CQ1170" s="347">
        <f>H1170</f>
        <v>5.5788774776249994</v>
      </c>
      <c r="CR1170" s="347">
        <f>M1170</f>
        <v>9.5143584174999631</v>
      </c>
      <c r="CS1170" s="347">
        <f>R1170</f>
        <v>-3.9729180902857024</v>
      </c>
      <c r="CT1170" s="347">
        <f>W1170</f>
        <v>-5.2878624857523562</v>
      </c>
      <c r="CU1170" s="347">
        <f>AB1170</f>
        <v>-22.646209483273651</v>
      </c>
      <c r="CV1170" s="347">
        <f>AG1170</f>
        <v>4.5663057108749854</v>
      </c>
      <c r="CW1170" s="347">
        <f>AL1170</f>
        <v>6.893725687499991</v>
      </c>
      <c r="CX1170" s="347">
        <f>AQ1170</f>
        <v>38.578669975000011</v>
      </c>
      <c r="CY1170" s="347">
        <f>AV1170</f>
        <v>21.822120000000012</v>
      </c>
      <c r="CZ1170" s="347">
        <f>BA1170</f>
        <v>32.001807187499999</v>
      </c>
      <c r="DA1170" s="347">
        <f>BF1170</f>
        <v>26.07110443749999</v>
      </c>
      <c r="DB1170" s="347">
        <f>BK1170</f>
        <v>21.588931874999986</v>
      </c>
      <c r="DC1170" s="347">
        <f>BP1170</f>
        <v>30.706792418154762</v>
      </c>
      <c r="DD1170" s="347">
        <f>BU1170</f>
        <v>11.516439330842381</v>
      </c>
      <c r="DE1170" s="347">
        <f>BZ1170</f>
        <v>4</v>
      </c>
      <c r="DF1170" s="347">
        <f>CA1170</f>
        <v>4</v>
      </c>
      <c r="DG1170" s="1795">
        <f>CB1170</f>
        <v>4</v>
      </c>
      <c r="DH1170" s="911"/>
      <c r="DI1170" s="911"/>
      <c r="DJ1170" s="911"/>
      <c r="DK1170" s="911"/>
      <c r="DL1170" s="911"/>
      <c r="DM1170" s="911"/>
      <c r="DN1170" s="500"/>
      <c r="DO1170" s="537"/>
      <c r="DY1170" s="347"/>
      <c r="DZ1170" s="347"/>
    </row>
    <row r="1171" spans="1:130" ht="4.5" customHeight="1">
      <c r="A1171" s="962"/>
      <c r="B1171" s="293"/>
      <c r="C1171" s="293"/>
      <c r="D1171" s="294" t="s">
        <v>343</v>
      </c>
      <c r="E1171" s="295" t="s">
        <v>343</v>
      </c>
      <c r="F1171" s="295" t="s">
        <v>343</v>
      </c>
      <c r="G1171" s="295" t="s">
        <v>343</v>
      </c>
      <c r="H1171" s="296" t="s">
        <v>343</v>
      </c>
      <c r="I1171" s="295" t="s">
        <v>343</v>
      </c>
      <c r="J1171" s="295" t="s">
        <v>343</v>
      </c>
      <c r="K1171" s="295" t="s">
        <v>343</v>
      </c>
      <c r="L1171" s="295" t="s">
        <v>343</v>
      </c>
      <c r="M1171" s="296" t="s">
        <v>343</v>
      </c>
      <c r="N1171" s="295" t="s">
        <v>343</v>
      </c>
      <c r="O1171" s="295" t="s">
        <v>343</v>
      </c>
      <c r="P1171" s="295" t="s">
        <v>343</v>
      </c>
      <c r="Q1171" s="295" t="s">
        <v>343</v>
      </c>
      <c r="R1171" s="296" t="s">
        <v>343</v>
      </c>
      <c r="S1171" s="295" t="s">
        <v>343</v>
      </c>
      <c r="T1171" s="295" t="s">
        <v>343</v>
      </c>
      <c r="U1171" s="295" t="s">
        <v>343</v>
      </c>
      <c r="V1171" s="295" t="s">
        <v>343</v>
      </c>
      <c r="W1171" s="296" t="s">
        <v>343</v>
      </c>
      <c r="X1171" s="295" t="s">
        <v>343</v>
      </c>
      <c r="Y1171" s="295" t="s">
        <v>343</v>
      </c>
      <c r="Z1171" s="295" t="s">
        <v>343</v>
      </c>
      <c r="AA1171" s="295" t="s">
        <v>343</v>
      </c>
      <c r="AB1171" s="296" t="s">
        <v>343</v>
      </c>
      <c r="AC1171" s="295" t="s">
        <v>343</v>
      </c>
      <c r="AD1171" s="295" t="s">
        <v>343</v>
      </c>
      <c r="AE1171" s="295" t="s">
        <v>343</v>
      </c>
      <c r="AF1171" s="295" t="s">
        <v>343</v>
      </c>
      <c r="AG1171" s="296" t="s">
        <v>343</v>
      </c>
      <c r="AH1171" s="295" t="s">
        <v>343</v>
      </c>
      <c r="AI1171" s="295" t="s">
        <v>343</v>
      </c>
      <c r="AJ1171" s="295" t="s">
        <v>343</v>
      </c>
      <c r="AK1171" s="295" t="s">
        <v>343</v>
      </c>
      <c r="AL1171" s="296" t="s">
        <v>343</v>
      </c>
      <c r="AM1171" s="295" t="s">
        <v>343</v>
      </c>
      <c r="AN1171" s="295" t="s">
        <v>343</v>
      </c>
      <c r="AO1171" s="295" t="s">
        <v>343</v>
      </c>
      <c r="AP1171" s="295" t="s">
        <v>343</v>
      </c>
      <c r="AQ1171" s="296" t="s">
        <v>343</v>
      </c>
      <c r="AR1171" s="295" t="s">
        <v>343</v>
      </c>
      <c r="AS1171" s="295" t="s">
        <v>343</v>
      </c>
      <c r="AT1171" s="295" t="s">
        <v>343</v>
      </c>
      <c r="AU1171" s="295" t="s">
        <v>343</v>
      </c>
      <c r="AV1171" s="296" t="s">
        <v>343</v>
      </c>
      <c r="AW1171" s="295" t="s">
        <v>343</v>
      </c>
      <c r="AX1171" s="295" t="s">
        <v>343</v>
      </c>
      <c r="AY1171" s="295" t="s">
        <v>343</v>
      </c>
      <c r="AZ1171" s="295" t="s">
        <v>343</v>
      </c>
      <c r="BA1171" s="296" t="s">
        <v>343</v>
      </c>
      <c r="BB1171" s="295" t="s">
        <v>343</v>
      </c>
      <c r="BC1171" s="295" t="s">
        <v>343</v>
      </c>
      <c r="BD1171" s="295" t="s">
        <v>343</v>
      </c>
      <c r="BE1171" s="295" t="s">
        <v>343</v>
      </c>
      <c r="BF1171" s="296" t="s">
        <v>343</v>
      </c>
      <c r="BG1171" s="294" t="s">
        <v>343</v>
      </c>
      <c r="BH1171" s="295" t="s">
        <v>343</v>
      </c>
      <c r="BI1171" s="295" t="s">
        <v>343</v>
      </c>
      <c r="BJ1171" s="297" t="s">
        <v>343</v>
      </c>
      <c r="BK1171" s="296" t="s">
        <v>343</v>
      </c>
      <c r="BL1171" s="295" t="s">
        <v>343</v>
      </c>
      <c r="BM1171" s="295" t="s">
        <v>343</v>
      </c>
      <c r="BN1171" s="295" t="s">
        <v>343</v>
      </c>
      <c r="BO1171" s="297" t="s">
        <v>343</v>
      </c>
      <c r="BP1171" s="294" t="s">
        <v>343</v>
      </c>
      <c r="BQ1171" s="294" t="s">
        <v>343</v>
      </c>
      <c r="BR1171" s="295" t="s">
        <v>343</v>
      </c>
      <c r="BS1171" s="295" t="s">
        <v>343</v>
      </c>
      <c r="BT1171" s="297" t="s">
        <v>343</v>
      </c>
      <c r="BU1171" s="3314" t="s">
        <v>343</v>
      </c>
      <c r="BV1171" s="295" t="s">
        <v>343</v>
      </c>
      <c r="BW1171" s="295" t="s">
        <v>343</v>
      </c>
      <c r="BX1171" s="295" t="s">
        <v>343</v>
      </c>
      <c r="BY1171" s="295" t="s">
        <v>343</v>
      </c>
      <c r="BZ1171" s="296" t="s">
        <v>343</v>
      </c>
      <c r="CA1171" s="297" t="s">
        <v>343</v>
      </c>
      <c r="CB1171" s="297" t="s">
        <v>343</v>
      </c>
      <c r="CC1171" s="297" t="s">
        <v>343</v>
      </c>
      <c r="CD1171" s="297" t="s">
        <v>343</v>
      </c>
      <c r="CE1171" s="297" t="s">
        <v>343</v>
      </c>
      <c r="CF1171" s="297" t="s">
        <v>343</v>
      </c>
      <c r="CG1171" s="297" t="s">
        <v>343</v>
      </c>
      <c r="CH1171" s="295"/>
      <c r="CI1171" s="295"/>
      <c r="CJ1171" s="295"/>
      <c r="CK1171" s="295"/>
      <c r="CL1171" s="295"/>
      <c r="CM1171" s="331"/>
      <c r="CN1171" s="331">
        <f t="shared" si="2208"/>
        <v>0</v>
      </c>
      <c r="CO1171" s="965">
        <f t="shared" si="2202"/>
        <v>0</v>
      </c>
      <c r="CP1171" s="1784"/>
      <c r="CQ1171" s="295" t="str">
        <f t="shared" si="2177"/>
        <v xml:space="preserve">                </v>
      </c>
      <c r="CR1171" s="295" t="str">
        <f t="shared" si="2178"/>
        <v xml:space="preserve">                </v>
      </c>
      <c r="CS1171" s="295" t="str">
        <f t="shared" si="2179"/>
        <v xml:space="preserve">                </v>
      </c>
      <c r="CT1171" s="295" t="str">
        <f t="shared" si="2180"/>
        <v xml:space="preserve">                </v>
      </c>
      <c r="CU1171" s="295" t="str">
        <f t="shared" si="2181"/>
        <v xml:space="preserve">                </v>
      </c>
      <c r="CV1171" s="295" t="str">
        <f t="shared" si="2182"/>
        <v xml:space="preserve">                </v>
      </c>
      <c r="CW1171" s="295" t="str">
        <f t="shared" si="2183"/>
        <v xml:space="preserve">                </v>
      </c>
      <c r="CX1171" s="295" t="str">
        <f t="shared" si="2184"/>
        <v xml:space="preserve">                </v>
      </c>
      <c r="CY1171" s="295" t="str">
        <f t="shared" si="2185"/>
        <v xml:space="preserve">                </v>
      </c>
      <c r="CZ1171" s="295" t="str">
        <f t="shared" si="2186"/>
        <v xml:space="preserve">                </v>
      </c>
      <c r="DA1171" s="295" t="str">
        <f t="shared" si="2187"/>
        <v xml:space="preserve">                </v>
      </c>
      <c r="DB1171" s="295" t="str">
        <f t="shared" si="2188"/>
        <v xml:space="preserve">                </v>
      </c>
      <c r="DC1171" s="295" t="str">
        <f t="shared" si="2189"/>
        <v xml:space="preserve">                </v>
      </c>
      <c r="DD1171" s="295" t="str">
        <f t="shared" si="2190"/>
        <v xml:space="preserve">                </v>
      </c>
      <c r="DE1171" s="295" t="str">
        <f t="shared" si="2191"/>
        <v xml:space="preserve">                </v>
      </c>
      <c r="DF1171" s="295" t="str">
        <f t="shared" si="2192"/>
        <v xml:space="preserve">                </v>
      </c>
      <c r="DG1171" s="297" t="str">
        <f t="shared" si="2193"/>
        <v xml:space="preserve">                </v>
      </c>
      <c r="DH1171" s="298"/>
      <c r="DI1171" s="299"/>
      <c r="DJ1171" s="299"/>
      <c r="DK1171" s="299"/>
      <c r="DL1171" s="299"/>
      <c r="DM1171" s="299"/>
      <c r="DN1171" s="299"/>
      <c r="DO1171" s="300"/>
      <c r="DY1171" s="295"/>
      <c r="DZ1171" s="295"/>
    </row>
    <row r="1172" spans="1:130" ht="12" customHeight="1">
      <c r="A1172" s="530" t="s">
        <v>333</v>
      </c>
      <c r="B1172" s="530"/>
      <c r="C1172" s="530"/>
      <c r="D1172" s="353">
        <f t="shared" ref="D1172:AT1172" si="2288">SUM(D1138:D1170)</f>
        <v>17.841999999999999</v>
      </c>
      <c r="E1172" s="354">
        <f t="shared" si="2288"/>
        <v>21.887</v>
      </c>
      <c r="F1172" s="354">
        <f t="shared" si="2288"/>
        <v>30.783999999999999</v>
      </c>
      <c r="G1172" s="354">
        <f t="shared" si="2288"/>
        <v>31.513000000000002</v>
      </c>
      <c r="H1172" s="355">
        <f t="shared" si="2288"/>
        <v>102.02600000000001</v>
      </c>
      <c r="I1172" s="354">
        <f t="shared" si="2288"/>
        <v>32.064999999999998</v>
      </c>
      <c r="J1172" s="354">
        <f t="shared" si="2288"/>
        <v>32.762999999999998</v>
      </c>
      <c r="K1172" s="354">
        <f t="shared" si="2288"/>
        <v>31.597999999999999</v>
      </c>
      <c r="L1172" s="354">
        <f t="shared" si="2288"/>
        <v>32.412999999999997</v>
      </c>
      <c r="M1172" s="355">
        <f t="shared" si="2288"/>
        <v>128.839</v>
      </c>
      <c r="N1172" s="354">
        <f t="shared" si="2288"/>
        <v>41.77</v>
      </c>
      <c r="O1172" s="354">
        <f t="shared" si="2288"/>
        <v>44.32</v>
      </c>
      <c r="P1172" s="354">
        <f t="shared" si="2288"/>
        <v>37.466999999999999</v>
      </c>
      <c r="Q1172" s="354">
        <f t="shared" si="2288"/>
        <v>36.914000000000001</v>
      </c>
      <c r="R1172" s="355">
        <f t="shared" si="2288"/>
        <v>160.471</v>
      </c>
      <c r="S1172" s="354">
        <f t="shared" si="2288"/>
        <v>36.548000000000002</v>
      </c>
      <c r="T1172" s="354">
        <f t="shared" si="2288"/>
        <v>33.796999999999997</v>
      </c>
      <c r="U1172" s="354">
        <f t="shared" si="2288"/>
        <v>34.49</v>
      </c>
      <c r="V1172" s="354">
        <f t="shared" si="2288"/>
        <v>32.738</v>
      </c>
      <c r="W1172" s="355">
        <f t="shared" si="2288"/>
        <v>137.57300000000001</v>
      </c>
      <c r="X1172" s="354">
        <f t="shared" si="2288"/>
        <v>30.253</v>
      </c>
      <c r="Y1172" s="354">
        <f t="shared" si="2288"/>
        <v>27.157</v>
      </c>
      <c r="Z1172" s="354">
        <f t="shared" si="2288"/>
        <v>26.344000000000001</v>
      </c>
      <c r="AA1172" s="354">
        <f t="shared" si="2288"/>
        <v>25.321999999999999</v>
      </c>
      <c r="AB1172" s="355">
        <f t="shared" si="2288"/>
        <v>109.07599999999999</v>
      </c>
      <c r="AC1172" s="354">
        <f t="shared" si="2288"/>
        <v>45.267000000000003</v>
      </c>
      <c r="AD1172" s="354">
        <f t="shared" si="2288"/>
        <v>36.234999999999999</v>
      </c>
      <c r="AE1172" s="354">
        <f t="shared" si="2288"/>
        <v>32.298999999999999</v>
      </c>
      <c r="AF1172" s="354">
        <f t="shared" si="2288"/>
        <v>33.023000000000003</v>
      </c>
      <c r="AG1172" s="355">
        <f t="shared" si="2288"/>
        <v>146.82400000000001</v>
      </c>
      <c r="AH1172" s="354">
        <f t="shared" si="2288"/>
        <v>29.007000000000001</v>
      </c>
      <c r="AI1172" s="354">
        <f t="shared" si="2288"/>
        <v>34.65</v>
      </c>
      <c r="AJ1172" s="354">
        <f t="shared" si="2288"/>
        <v>45.780999999999999</v>
      </c>
      <c r="AK1172" s="354">
        <f t="shared" si="2288"/>
        <v>55.015000000000001</v>
      </c>
      <c r="AL1172" s="355">
        <f t="shared" si="2288"/>
        <v>164.453</v>
      </c>
      <c r="AM1172" s="354">
        <f t="shared" si="2288"/>
        <v>57.286000000000001</v>
      </c>
      <c r="AN1172" s="354">
        <f t="shared" si="2288"/>
        <v>66.722000000000008</v>
      </c>
      <c r="AO1172" s="354">
        <f t="shared" si="2288"/>
        <v>60.067999999999998</v>
      </c>
      <c r="AP1172" s="354">
        <f t="shared" si="2288"/>
        <v>66.656999999999996</v>
      </c>
      <c r="AQ1172" s="355">
        <f t="shared" si="2288"/>
        <v>250.733</v>
      </c>
      <c r="AR1172" s="354">
        <f t="shared" si="2288"/>
        <v>63.824000000000005</v>
      </c>
      <c r="AS1172" s="354">
        <f t="shared" si="2288"/>
        <v>64.38</v>
      </c>
      <c r="AT1172" s="354">
        <f t="shared" si="2288"/>
        <v>73.843000000000004</v>
      </c>
      <c r="AU1172" s="354">
        <f>SUM(AU1138:AU1170)</f>
        <v>86.787999999999997</v>
      </c>
      <c r="AV1172" s="355">
        <f t="shared" ref="AV1172:CB1172" si="2289">SUM(AV1138:AV1170)</f>
        <v>288.83500000000004</v>
      </c>
      <c r="AW1172" s="354">
        <f t="shared" si="2289"/>
        <v>74.2</v>
      </c>
      <c r="AX1172" s="354">
        <f t="shared" si="2289"/>
        <v>66.7</v>
      </c>
      <c r="AY1172" s="354">
        <f t="shared" si="2289"/>
        <v>62.3</v>
      </c>
      <c r="AZ1172" s="354">
        <f t="shared" si="2289"/>
        <v>57.6</v>
      </c>
      <c r="BA1172" s="355">
        <f t="shared" si="2289"/>
        <v>260.8</v>
      </c>
      <c r="BB1172" s="354">
        <f t="shared" si="2289"/>
        <v>57.3</v>
      </c>
      <c r="BC1172" s="354">
        <f t="shared" si="2289"/>
        <v>56.9</v>
      </c>
      <c r="BD1172" s="354">
        <f t="shared" si="2289"/>
        <v>57.1</v>
      </c>
      <c r="BE1172" s="354">
        <f t="shared" si="2289"/>
        <v>56.701000000000001</v>
      </c>
      <c r="BF1172" s="355">
        <f t="shared" si="2289"/>
        <v>228.001</v>
      </c>
      <c r="BG1172" s="353">
        <f t="shared" si="2289"/>
        <v>56.463999999999999</v>
      </c>
      <c r="BH1172" s="354">
        <f t="shared" si="2289"/>
        <v>56.665999999999997</v>
      </c>
      <c r="BI1172" s="354">
        <f>SUM(BI1138:BI1170)</f>
        <v>56.097999999999999</v>
      </c>
      <c r="BJ1172" s="1838">
        <f>SUM(BJ1138:BJ1170)</f>
        <v>53.503999999999998</v>
      </c>
      <c r="BK1172" s="355">
        <f t="shared" si="2289"/>
        <v>222.732</v>
      </c>
      <c r="BL1172" s="354">
        <f t="shared" ref="BL1172:BT1172" si="2290">SUM(BL1138:BL1170)</f>
        <v>52.567999999999998</v>
      </c>
      <c r="BM1172" s="354">
        <f t="shared" si="2290"/>
        <v>60.927999999999997</v>
      </c>
      <c r="BN1172" s="354">
        <f t="shared" si="2290"/>
        <v>54.153000000000006</v>
      </c>
      <c r="BO1172" s="1838">
        <f t="shared" si="2290"/>
        <v>42.082000000000001</v>
      </c>
      <c r="BP1172" s="353">
        <f t="shared" si="2290"/>
        <v>209.73099999999999</v>
      </c>
      <c r="BQ1172" s="353">
        <f t="shared" si="2290"/>
        <v>43.213999999999999</v>
      </c>
      <c r="BR1172" s="354">
        <f t="shared" si="2290"/>
        <v>42.273000000000003</v>
      </c>
      <c r="BS1172" s="354">
        <f t="shared" si="2290"/>
        <v>42.856999999999999</v>
      </c>
      <c r="BT1172" s="1838">
        <f t="shared" si="2290"/>
        <v>42.945999999999998</v>
      </c>
      <c r="BU1172" s="3357">
        <f>SUM(BU1138:BU1170)</f>
        <v>171.29000000000002</v>
      </c>
      <c r="BV1172" s="353">
        <f t="shared" ref="BV1172:BY1172" si="2291">SUM(BV1138:BV1170)</f>
        <v>43.860372031250002</v>
      </c>
      <c r="BW1172" s="354">
        <f t="shared" si="2291"/>
        <v>44.727592656250003</v>
      </c>
      <c r="BX1172" s="354">
        <f t="shared" si="2291"/>
        <v>68.493657031249995</v>
      </c>
      <c r="BY1172" s="354">
        <f t="shared" si="2291"/>
        <v>69.353065156250011</v>
      </c>
      <c r="BZ1172" s="355">
        <f>SUM(BZ1138:BZ1170)</f>
        <v>226.43468687500001</v>
      </c>
      <c r="CA1172" s="355">
        <f t="shared" si="2289"/>
        <v>312.22104485</v>
      </c>
      <c r="CB1172" s="355">
        <f t="shared" si="2289"/>
        <v>318.79065617138781</v>
      </c>
      <c r="CC1172" s="355">
        <f>SUM(CC1138:CC1170)</f>
        <v>129.86223374999997</v>
      </c>
      <c r="CD1172" s="355">
        <f>SUM(CD1138:CD1170)</f>
        <v>128.63910874999999</v>
      </c>
      <c r="CE1172" s="355">
        <f>SUM(CE1138:CE1170)</f>
        <v>127.41598374999998</v>
      </c>
      <c r="CF1172" s="355">
        <f>SUM(CF1138:CF1170)</f>
        <v>126.19285875</v>
      </c>
      <c r="CG1172" s="355">
        <f>SUM(CG1138:CG1170)</f>
        <v>124.96973374999999</v>
      </c>
      <c r="CH1172" s="3064"/>
      <c r="CI1172" s="3064"/>
      <c r="CJ1172" s="3064">
        <f>+CJ1164+CJ1165+CJ1166+CJ1168</f>
        <v>8.9113049999999845</v>
      </c>
      <c r="CK1172" s="3064"/>
      <c r="CL1172" s="621"/>
      <c r="CM1172" s="331"/>
      <c r="CN1172" s="331">
        <f t="shared" si="2208"/>
        <v>226.43468687500001</v>
      </c>
      <c r="CO1172" s="965">
        <f t="shared" si="2202"/>
        <v>-226.43468687500001</v>
      </c>
      <c r="CP1172" s="1001" t="str">
        <f t="shared" si="2176"/>
        <v>Total Interest Expense</v>
      </c>
      <c r="CQ1172" s="354">
        <f t="shared" si="2177"/>
        <v>102.02600000000001</v>
      </c>
      <c r="CR1172" s="354">
        <f t="shared" si="2178"/>
        <v>128.839</v>
      </c>
      <c r="CS1172" s="354">
        <f t="shared" si="2179"/>
        <v>160.471</v>
      </c>
      <c r="CT1172" s="354">
        <f t="shared" si="2180"/>
        <v>137.57300000000001</v>
      </c>
      <c r="CU1172" s="354">
        <f t="shared" si="2181"/>
        <v>109.07599999999999</v>
      </c>
      <c r="CV1172" s="354">
        <f t="shared" si="2182"/>
        <v>146.82400000000001</v>
      </c>
      <c r="CW1172" s="354">
        <f t="shared" si="2183"/>
        <v>164.453</v>
      </c>
      <c r="CX1172" s="354">
        <f t="shared" si="2184"/>
        <v>250.733</v>
      </c>
      <c r="CY1172" s="354">
        <f t="shared" si="2185"/>
        <v>288.83500000000004</v>
      </c>
      <c r="CZ1172" s="354">
        <f t="shared" si="2186"/>
        <v>260.8</v>
      </c>
      <c r="DA1172" s="354">
        <f t="shared" si="2187"/>
        <v>228.001</v>
      </c>
      <c r="DB1172" s="354">
        <f t="shared" si="2188"/>
        <v>222.732</v>
      </c>
      <c r="DC1172" s="354">
        <f t="shared" si="2189"/>
        <v>209.73099999999999</v>
      </c>
      <c r="DD1172" s="354">
        <f t="shared" si="2190"/>
        <v>171.29000000000002</v>
      </c>
      <c r="DE1172" s="354">
        <f t="shared" si="2191"/>
        <v>226.43468687500001</v>
      </c>
      <c r="DF1172" s="354">
        <f t="shared" si="2192"/>
        <v>312.22104485</v>
      </c>
      <c r="DG1172" s="1838">
        <f t="shared" si="2193"/>
        <v>318.79065617138781</v>
      </c>
      <c r="DH1172" s="620"/>
      <c r="DI1172" s="620"/>
      <c r="DJ1172" s="620"/>
      <c r="DK1172" s="620"/>
      <c r="DL1172" s="620"/>
      <c r="DM1172" s="620"/>
      <c r="DN1172" s="500"/>
      <c r="DO1172" s="537"/>
      <c r="DY1172" s="354"/>
      <c r="DZ1172" s="354"/>
    </row>
    <row r="1173" spans="1:130" ht="12" customHeight="1">
      <c r="A1173" s="633"/>
      <c r="B1173" s="875"/>
      <c r="C1173" s="875"/>
      <c r="D1173" s="582"/>
      <c r="E1173" s="621"/>
      <c r="F1173" s="621"/>
      <c r="G1173" s="621"/>
      <c r="H1173" s="585"/>
      <c r="I1173" s="621"/>
      <c r="J1173" s="621"/>
      <c r="K1173" s="621"/>
      <c r="L1173" s="621"/>
      <c r="M1173" s="585"/>
      <c r="N1173" s="621"/>
      <c r="O1173" s="621"/>
      <c r="P1173" s="621"/>
      <c r="Q1173" s="621"/>
      <c r="R1173" s="585"/>
      <c r="S1173" s="621"/>
      <c r="T1173" s="621"/>
      <c r="U1173" s="621"/>
      <c r="V1173" s="621"/>
      <c r="W1173" s="585"/>
      <c r="X1173" s="621"/>
      <c r="Y1173" s="621"/>
      <c r="Z1173" s="621"/>
      <c r="AA1173" s="621"/>
      <c r="AB1173" s="585"/>
      <c r="AC1173" s="621"/>
      <c r="AD1173" s="621"/>
      <c r="AE1173" s="621"/>
      <c r="AF1173" s="621"/>
      <c r="AG1173" s="585"/>
      <c r="AH1173" s="621"/>
      <c r="AI1173" s="621"/>
      <c r="AJ1173" s="621"/>
      <c r="AK1173" s="621"/>
      <c r="AL1173" s="585"/>
      <c r="AM1173" s="621"/>
      <c r="AN1173" s="621"/>
      <c r="AO1173" s="621"/>
      <c r="AP1173" s="621"/>
      <c r="AQ1173" s="585"/>
      <c r="AR1173" s="621"/>
      <c r="AS1173" s="621"/>
      <c r="AT1173" s="621"/>
      <c r="AU1173" s="621"/>
      <c r="AV1173" s="585"/>
      <c r="AW1173" s="621"/>
      <c r="AX1173" s="621"/>
      <c r="AY1173" s="621"/>
      <c r="AZ1173" s="621"/>
      <c r="BA1173" s="585"/>
      <c r="BB1173" s="621"/>
      <c r="BC1173" s="621"/>
      <c r="BD1173" s="621"/>
      <c r="BE1173" s="621"/>
      <c r="BF1173" s="585"/>
      <c r="BG1173" s="582"/>
      <c r="BH1173" s="621"/>
      <c r="BI1173" s="621"/>
      <c r="BJ1173" s="842"/>
      <c r="BK1173" s="585"/>
      <c r="BL1173" s="621"/>
      <c r="BM1173" s="621"/>
      <c r="BN1173" s="621"/>
      <c r="BO1173" s="842"/>
      <c r="BP1173" s="434"/>
      <c r="BQ1173" s="621"/>
      <c r="BR1173" s="621"/>
      <c r="BS1173" s="621"/>
      <c r="BT1173" s="842"/>
      <c r="BU1173" s="3444"/>
      <c r="BV1173" s="621"/>
      <c r="BW1173" s="621"/>
      <c r="BX1173" s="621"/>
      <c r="BY1173" s="621"/>
      <c r="BZ1173" s="3121"/>
      <c r="CA1173" s="585"/>
      <c r="CB1173" s="585"/>
      <c r="CC1173" s="585"/>
      <c r="CD1173" s="585"/>
      <c r="CE1173" s="585"/>
      <c r="CF1173" s="585"/>
      <c r="CG1173" s="585"/>
      <c r="CH1173" s="3064"/>
      <c r="CI1173" s="467"/>
      <c r="CJ1173" s="3064"/>
      <c r="CK1173" s="3064"/>
      <c r="CL1173" s="621"/>
      <c r="CM1173" s="621"/>
      <c r="CN1173" s="621"/>
      <c r="CO1173" s="621"/>
      <c r="CP1173" s="90"/>
      <c r="CQ1173" s="621"/>
      <c r="CR1173" s="621"/>
      <c r="CS1173" s="621"/>
      <c r="CT1173" s="621"/>
      <c r="CU1173" s="621"/>
      <c r="CV1173" s="621"/>
      <c r="CW1173" s="621"/>
      <c r="CX1173" s="621"/>
      <c r="CY1173" s="621"/>
      <c r="CZ1173" s="621"/>
      <c r="DA1173" s="621"/>
      <c r="DB1173" s="621"/>
      <c r="DC1173" s="621"/>
      <c r="DD1173" s="621"/>
      <c r="DE1173" s="621"/>
      <c r="DF1173" s="621"/>
      <c r="DG1173" s="842"/>
      <c r="DH1173" s="620"/>
      <c r="DI1173" s="620"/>
      <c r="DJ1173" s="620"/>
      <c r="DK1173" s="620"/>
      <c r="DL1173" s="620"/>
      <c r="DM1173" s="620"/>
      <c r="DN1173" s="500"/>
      <c r="DO1173" s="537"/>
      <c r="DY1173" s="845"/>
      <c r="DZ1173" s="845"/>
    </row>
    <row r="1174" spans="1:130" ht="12" customHeight="1">
      <c r="A1174" s="275" t="s">
        <v>710</v>
      </c>
      <c r="B1174" s="222"/>
      <c r="C1174" s="222"/>
      <c r="D1174" s="360"/>
      <c r="E1174" s="305"/>
      <c r="F1174" s="305"/>
      <c r="G1174" s="305"/>
      <c r="H1174" s="304"/>
      <c r="I1174" s="305"/>
      <c r="J1174" s="305"/>
      <c r="K1174" s="305"/>
      <c r="L1174" s="305"/>
      <c r="M1174" s="304"/>
      <c r="N1174" s="305"/>
      <c r="O1174" s="305"/>
      <c r="P1174" s="305"/>
      <c r="Q1174" s="305"/>
      <c r="R1174" s="304"/>
      <c r="S1174" s="305"/>
      <c r="T1174" s="305"/>
      <c r="U1174" s="305"/>
      <c r="V1174" s="305"/>
      <c r="W1174" s="304"/>
      <c r="X1174" s="305"/>
      <c r="Y1174" s="305"/>
      <c r="Z1174" s="305"/>
      <c r="AA1174" s="305"/>
      <c r="AB1174" s="304"/>
      <c r="AC1174" s="305"/>
      <c r="AD1174" s="305"/>
      <c r="AE1174" s="305"/>
      <c r="AF1174" s="305"/>
      <c r="AG1174" s="304"/>
      <c r="AH1174" s="305"/>
      <c r="AI1174" s="305"/>
      <c r="AJ1174" s="305"/>
      <c r="AK1174" s="305"/>
      <c r="AL1174" s="304"/>
      <c r="AM1174" s="305"/>
      <c r="AN1174" s="305"/>
      <c r="AO1174" s="305"/>
      <c r="AP1174" s="305"/>
      <c r="AQ1174" s="304"/>
      <c r="AR1174" s="305"/>
      <c r="AS1174" s="305"/>
      <c r="AT1174" s="305"/>
      <c r="AU1174" s="305"/>
      <c r="AV1174" s="304"/>
      <c r="AW1174" s="305"/>
      <c r="AX1174" s="305"/>
      <c r="AY1174" s="305"/>
      <c r="AZ1174" s="305"/>
      <c r="BA1174" s="304"/>
      <c r="BB1174" s="305"/>
      <c r="BC1174" s="305"/>
      <c r="BD1174" s="305"/>
      <c r="BE1174" s="305"/>
      <c r="BF1174" s="304"/>
      <c r="BG1174" s="360"/>
      <c r="BH1174" s="305"/>
      <c r="BI1174" s="305"/>
      <c r="BJ1174" s="306"/>
      <c r="BK1174" s="304"/>
      <c r="BL1174" s="305"/>
      <c r="BM1174" s="305"/>
      <c r="BN1174" s="305"/>
      <c r="BO1174" s="306"/>
      <c r="BP1174" s="304"/>
      <c r="BQ1174" s="305"/>
      <c r="BR1174" s="305"/>
      <c r="BS1174" s="305"/>
      <c r="BT1174" s="306"/>
      <c r="BU1174" s="3434"/>
      <c r="BV1174" s="305"/>
      <c r="BW1174" s="305"/>
      <c r="BX1174" s="305"/>
      <c r="BY1174" s="305"/>
      <c r="BZ1174" s="4022"/>
      <c r="CA1174" s="304"/>
      <c r="CB1174" s="304"/>
      <c r="CC1174" s="304"/>
      <c r="CD1174" s="304"/>
      <c r="CE1174" s="304"/>
      <c r="CF1174" s="304"/>
      <c r="CG1174" s="304"/>
      <c r="CH1174" s="305"/>
      <c r="CI1174" s="467" t="s">
        <v>401</v>
      </c>
      <c r="CJ1174" s="305">
        <f>+CJ1164</f>
        <v>185.26899999999998</v>
      </c>
      <c r="CK1174" s="305"/>
      <c r="CL1174" s="305"/>
      <c r="CM1174" s="305"/>
      <c r="CN1174" s="305"/>
      <c r="CO1174" s="305"/>
      <c r="CP1174" s="1927" t="str">
        <f t="shared" si="2176"/>
        <v>Credit Facility</v>
      </c>
      <c r="CQ1174" s="222"/>
      <c r="CR1174" s="222"/>
      <c r="CS1174" s="222"/>
      <c r="CT1174" s="222"/>
      <c r="CU1174" s="222"/>
      <c r="CV1174" s="222"/>
      <c r="CW1174" s="222"/>
      <c r="CX1174" s="222"/>
      <c r="CY1174" s="222"/>
      <c r="CZ1174" s="222"/>
      <c r="DA1174" s="222"/>
      <c r="DB1174" s="222"/>
      <c r="DC1174" s="222"/>
      <c r="DD1174" s="222"/>
      <c r="DE1174" s="222"/>
      <c r="DF1174" s="222"/>
      <c r="DG1174" s="1576"/>
      <c r="DH1174" s="222"/>
      <c r="DI1174" s="222"/>
      <c r="DJ1174" s="222"/>
      <c r="DK1174" s="222"/>
      <c r="DL1174" s="222"/>
      <c r="DM1174" s="222"/>
      <c r="DN1174" s="222"/>
      <c r="DO1174" s="226"/>
      <c r="DY1174" s="305"/>
      <c r="DZ1174" s="305"/>
    </row>
    <row r="1175" spans="1:130" ht="12" customHeight="1">
      <c r="A1175" s="222" t="s">
        <v>711</v>
      </c>
      <c r="B1175" s="222"/>
      <c r="C1175" s="222"/>
      <c r="D1175" s="528"/>
      <c r="E1175" s="125"/>
      <c r="F1175" s="125"/>
      <c r="G1175" s="305"/>
      <c r="H1175" s="304"/>
      <c r="I1175" s="305"/>
      <c r="J1175" s="305"/>
      <c r="K1175" s="305"/>
      <c r="L1175" s="305"/>
      <c r="M1175" s="304"/>
      <c r="N1175" s="305"/>
      <c r="O1175" s="305"/>
      <c r="P1175" s="305"/>
      <c r="Q1175" s="305"/>
      <c r="R1175" s="304"/>
      <c r="S1175" s="305"/>
      <c r="T1175" s="305">
        <v>4000</v>
      </c>
      <c r="U1175" s="305">
        <v>4000</v>
      </c>
      <c r="V1175" s="305">
        <v>4000</v>
      </c>
      <c r="W1175" s="234">
        <f>V1175</f>
        <v>4000</v>
      </c>
      <c r="X1175" s="305">
        <v>4000</v>
      </c>
      <c r="Y1175" s="305">
        <v>4000</v>
      </c>
      <c r="Z1175" s="305">
        <v>4000</v>
      </c>
      <c r="AA1175" s="305">
        <v>4000</v>
      </c>
      <c r="AB1175" s="234">
        <f>AA1175</f>
        <v>4000</v>
      </c>
      <c r="AC1175" s="305">
        <v>4000</v>
      </c>
      <c r="AD1175" s="305">
        <v>4000</v>
      </c>
      <c r="AE1175" s="305">
        <v>4000</v>
      </c>
      <c r="AF1175" s="305">
        <v>3000</v>
      </c>
      <c r="AG1175" s="234">
        <f>AF1175</f>
        <v>3000</v>
      </c>
      <c r="AH1175" s="222">
        <f>AF1175</f>
        <v>3000</v>
      </c>
      <c r="AI1175" s="222">
        <f t="shared" ref="AI1175:AL1177" si="2292">AH1175</f>
        <v>3000</v>
      </c>
      <c r="AJ1175" s="222">
        <f t="shared" si="2292"/>
        <v>3000</v>
      </c>
      <c r="AK1175" s="222">
        <f t="shared" si="2292"/>
        <v>3000</v>
      </c>
      <c r="AL1175" s="234">
        <f t="shared" si="2292"/>
        <v>3000</v>
      </c>
      <c r="AM1175" s="305">
        <v>1500</v>
      </c>
      <c r="AN1175" s="222">
        <f>AM1175</f>
        <v>1500</v>
      </c>
      <c r="AO1175" s="305">
        <v>960</v>
      </c>
      <c r="AP1175" s="305">
        <v>960</v>
      </c>
      <c r="AQ1175" s="234">
        <f>AP1175</f>
        <v>960</v>
      </c>
      <c r="AR1175" s="305">
        <v>960</v>
      </c>
      <c r="AS1175" s="222">
        <f>AR1175</f>
        <v>960</v>
      </c>
      <c r="AT1175" s="222">
        <f>AS1175</f>
        <v>960</v>
      </c>
      <c r="AU1175" s="222">
        <f>AT1175</f>
        <v>960</v>
      </c>
      <c r="AV1175" s="234">
        <f>AU1175</f>
        <v>960</v>
      </c>
      <c r="AW1175" s="222">
        <f>AU1175</f>
        <v>960</v>
      </c>
      <c r="AX1175" s="222">
        <f>AW1175</f>
        <v>960</v>
      </c>
      <c r="AY1175" s="222">
        <f>AX1175</f>
        <v>960</v>
      </c>
      <c r="AZ1175" s="222">
        <f>AY1175</f>
        <v>960</v>
      </c>
      <c r="BA1175" s="234">
        <f>AZ1175</f>
        <v>960</v>
      </c>
      <c r="BB1175" s="222">
        <f>AZ1175</f>
        <v>960</v>
      </c>
      <c r="BC1175" s="222">
        <f>BB1175</f>
        <v>960</v>
      </c>
      <c r="BD1175" s="222">
        <f>BC1175</f>
        <v>960</v>
      </c>
      <c r="BE1175" s="222">
        <f>BD1175</f>
        <v>960</v>
      </c>
      <c r="BF1175" s="234">
        <f>BE1175</f>
        <v>960</v>
      </c>
      <c r="BG1175" s="912">
        <f>BE1175</f>
        <v>960</v>
      </c>
      <c r="BH1175" s="222">
        <f t="shared" ref="BH1175:CB1175" si="2293">BG1175</f>
        <v>960</v>
      </c>
      <c r="BI1175" s="222">
        <f t="shared" si="2293"/>
        <v>960</v>
      </c>
      <c r="BJ1175" s="1576">
        <f t="shared" si="2293"/>
        <v>960</v>
      </c>
      <c r="BK1175" s="234">
        <f t="shared" si="2293"/>
        <v>960</v>
      </c>
      <c r="BL1175" s="222">
        <f t="shared" si="2293"/>
        <v>960</v>
      </c>
      <c r="BM1175" s="222">
        <f t="shared" si="2293"/>
        <v>960</v>
      </c>
      <c r="BN1175" s="222">
        <f t="shared" si="2293"/>
        <v>960</v>
      </c>
      <c r="BO1175" s="1576">
        <f t="shared" si="2293"/>
        <v>960</v>
      </c>
      <c r="BP1175" s="234">
        <f t="shared" si="2293"/>
        <v>960</v>
      </c>
      <c r="BQ1175" s="222">
        <f>BP1175</f>
        <v>960</v>
      </c>
      <c r="BR1175" s="222">
        <f>BQ1175</f>
        <v>960</v>
      </c>
      <c r="BS1175" s="222">
        <f>BR1175</f>
        <v>960</v>
      </c>
      <c r="BT1175" s="1576">
        <f>BS1175</f>
        <v>960</v>
      </c>
      <c r="BU1175" s="3434">
        <f t="shared" si="2293"/>
        <v>960</v>
      </c>
      <c r="BV1175" s="222">
        <f>BU1175</f>
        <v>960</v>
      </c>
      <c r="BW1175" s="222">
        <f t="shared" ref="BW1175:BY1175" si="2294">BV1175</f>
        <v>960</v>
      </c>
      <c r="BX1175" s="222">
        <f t="shared" si="2294"/>
        <v>960</v>
      </c>
      <c r="BY1175" s="222">
        <f t="shared" si="2294"/>
        <v>960</v>
      </c>
      <c r="BZ1175" s="4022">
        <f t="shared" si="2293"/>
        <v>960</v>
      </c>
      <c r="CA1175" s="234">
        <f t="shared" si="2293"/>
        <v>960</v>
      </c>
      <c r="CB1175" s="234">
        <f t="shared" si="2293"/>
        <v>960</v>
      </c>
      <c r="CC1175" s="234">
        <f>CB1175</f>
        <v>960</v>
      </c>
      <c r="CD1175" s="234">
        <f>CC1175</f>
        <v>960</v>
      </c>
      <c r="CE1175" s="234">
        <f>CD1175</f>
        <v>960</v>
      </c>
      <c r="CF1175" s="234">
        <f>CE1175</f>
        <v>960</v>
      </c>
      <c r="CG1175" s="234">
        <f>CF1175</f>
        <v>960</v>
      </c>
      <c r="CH1175" s="305"/>
      <c r="CI1175" s="467" t="s">
        <v>520</v>
      </c>
      <c r="CJ1175" s="305">
        <f>+CJ1166</f>
        <v>-82.56582499999999</v>
      </c>
      <c r="CK1175" s="305"/>
      <c r="CL1175" s="305"/>
      <c r="CM1175" s="331"/>
      <c r="CN1175" s="331"/>
      <c r="CO1175" s="305"/>
      <c r="CP1175" s="912" t="str">
        <f t="shared" si="2176"/>
        <v>Total facility size</v>
      </c>
      <c r="CQ1175" s="222"/>
      <c r="CR1175" s="222"/>
      <c r="CS1175" s="222"/>
      <c r="CT1175" s="222">
        <f t="shared" si="2180"/>
        <v>4000</v>
      </c>
      <c r="CU1175" s="222">
        <f t="shared" si="2181"/>
        <v>4000</v>
      </c>
      <c r="CV1175" s="222">
        <f t="shared" si="2182"/>
        <v>3000</v>
      </c>
      <c r="CW1175" s="222">
        <f t="shared" si="2183"/>
        <v>3000</v>
      </c>
      <c r="CX1175" s="222">
        <f t="shared" si="2184"/>
        <v>960</v>
      </c>
      <c r="CY1175" s="222">
        <f t="shared" si="2185"/>
        <v>960</v>
      </c>
      <c r="CZ1175" s="222">
        <f t="shared" si="2186"/>
        <v>960</v>
      </c>
      <c r="DA1175" s="222">
        <f t="shared" si="2187"/>
        <v>960</v>
      </c>
      <c r="DB1175" s="222">
        <f t="shared" si="2188"/>
        <v>960</v>
      </c>
      <c r="DC1175" s="222">
        <f t="shared" si="2189"/>
        <v>960</v>
      </c>
      <c r="DD1175" s="222">
        <f t="shared" si="2190"/>
        <v>960</v>
      </c>
      <c r="DE1175" s="222">
        <f t="shared" si="2191"/>
        <v>960</v>
      </c>
      <c r="DF1175" s="222">
        <f t="shared" si="2192"/>
        <v>960</v>
      </c>
      <c r="DG1175" s="1576">
        <f t="shared" si="2193"/>
        <v>960</v>
      </c>
      <c r="DH1175" s="222"/>
      <c r="DI1175" s="222"/>
      <c r="DJ1175" s="222"/>
      <c r="DK1175" s="222"/>
      <c r="DL1175" s="222"/>
      <c r="DM1175" s="222"/>
      <c r="DN1175" s="222"/>
      <c r="DO1175" s="226"/>
      <c r="DY1175" s="222"/>
      <c r="DZ1175" s="222"/>
    </row>
    <row r="1176" spans="1:130" ht="12" customHeight="1">
      <c r="A1176" s="282" t="s">
        <v>712</v>
      </c>
      <c r="B1176" s="222"/>
      <c r="C1176" s="222"/>
      <c r="D1176" s="528"/>
      <c r="E1176" s="125"/>
      <c r="F1176" s="125"/>
      <c r="G1176" s="305"/>
      <c r="H1176" s="304"/>
      <c r="I1176" s="305"/>
      <c r="J1176" s="305"/>
      <c r="K1176" s="305"/>
      <c r="L1176" s="305"/>
      <c r="M1176" s="304"/>
      <c r="N1176" s="305"/>
      <c r="O1176" s="305"/>
      <c r="P1176" s="305"/>
      <c r="Q1176" s="305"/>
      <c r="R1176" s="304"/>
      <c r="S1176" s="305"/>
      <c r="T1176" s="222">
        <f>T1082</f>
        <v>1300.8</v>
      </c>
      <c r="U1176" s="222">
        <f>U1082</f>
        <v>1294.2</v>
      </c>
      <c r="V1176" s="222">
        <f>V1082</f>
        <v>1352.9</v>
      </c>
      <c r="W1176" s="234">
        <f>V1176</f>
        <v>1352.9</v>
      </c>
      <c r="X1176" s="222">
        <f>X1082</f>
        <v>1460.1</v>
      </c>
      <c r="Y1176" s="222">
        <f>Y1082</f>
        <v>1605</v>
      </c>
      <c r="Z1176" s="222">
        <f>Z1082</f>
        <v>1750.268</v>
      </c>
      <c r="AA1176" s="222">
        <f>AA1082</f>
        <v>1881.115</v>
      </c>
      <c r="AB1176" s="234">
        <f>AA1176</f>
        <v>1881.115</v>
      </c>
      <c r="AC1176" s="222">
        <f>AC1082</f>
        <v>1942.6</v>
      </c>
      <c r="AD1176" s="222">
        <f>AD1082</f>
        <v>1967.8130000000001</v>
      </c>
      <c r="AE1176" s="222">
        <f>AE1082</f>
        <v>1953.5</v>
      </c>
      <c r="AF1176" s="222">
        <f>AF1082</f>
        <v>1916.9</v>
      </c>
      <c r="AG1176" s="234">
        <f>AF1176</f>
        <v>1916.9</v>
      </c>
      <c r="AH1176" s="222">
        <f>AF1176</f>
        <v>1916.9</v>
      </c>
      <c r="AI1176" s="222">
        <f t="shared" si="2292"/>
        <v>1916.9</v>
      </c>
      <c r="AJ1176" s="222">
        <f t="shared" si="2292"/>
        <v>1916.9</v>
      </c>
      <c r="AK1176" s="222">
        <f t="shared" si="2292"/>
        <v>1916.9</v>
      </c>
      <c r="AL1176" s="234">
        <f t="shared" si="2292"/>
        <v>1916.9</v>
      </c>
      <c r="AM1176" s="222">
        <f>AM1082</f>
        <v>876.2</v>
      </c>
      <c r="AN1176" s="222">
        <f>AN1082</f>
        <v>1095</v>
      </c>
      <c r="AO1176" s="222">
        <f>AO1082</f>
        <v>1093.1469999999999</v>
      </c>
      <c r="AP1176" s="222">
        <f>AP1084</f>
        <v>807.75</v>
      </c>
      <c r="AQ1176" s="234">
        <f>AP1176</f>
        <v>807.75</v>
      </c>
      <c r="AR1176" s="222">
        <f>AR1084</f>
        <v>768.75</v>
      </c>
      <c r="AS1176" s="222">
        <f>AS1084</f>
        <v>629.53699999999992</v>
      </c>
      <c r="AT1176" s="222">
        <f>AT1084</f>
        <v>623.79299999999989</v>
      </c>
      <c r="AU1176" s="222">
        <f>AU1084</f>
        <v>668.21499999999992</v>
      </c>
      <c r="AV1176" s="234">
        <f>AU1176</f>
        <v>668.21499999999992</v>
      </c>
      <c r="AW1176" s="222">
        <f>AW1084</f>
        <v>667.33000000000015</v>
      </c>
      <c r="AX1176" s="222">
        <f>AX1084</f>
        <v>646.75</v>
      </c>
      <c r="AY1176" s="222">
        <f>AY1084</f>
        <v>4.5000000000000906</v>
      </c>
      <c r="AZ1176" s="222">
        <f>AZ1084</f>
        <v>4.2329999999999472</v>
      </c>
      <c r="BA1176" s="234">
        <f>AZ1176</f>
        <v>4.2329999999999472</v>
      </c>
      <c r="BB1176" s="222">
        <f>BB1084</f>
        <v>4.0730000000000928</v>
      </c>
      <c r="BC1176" s="222">
        <f>BC1084</f>
        <v>3.9100000000000819</v>
      </c>
      <c r="BD1176" s="222">
        <f>BD1084</f>
        <v>3.75</v>
      </c>
      <c r="BE1176" s="222">
        <f>BE1084</f>
        <v>0</v>
      </c>
      <c r="BF1176" s="234">
        <f>BE1176</f>
        <v>0</v>
      </c>
      <c r="BG1176" s="912">
        <f>BG1084</f>
        <v>0</v>
      </c>
      <c r="BH1176" s="222">
        <f>BH1084</f>
        <v>0</v>
      </c>
      <c r="BI1176" s="222">
        <f>BI1084</f>
        <v>0</v>
      </c>
      <c r="BJ1176" s="1576">
        <f>BJ1084</f>
        <v>0</v>
      </c>
      <c r="BK1176" s="234">
        <f>BJ1176</f>
        <v>0</v>
      </c>
      <c r="BL1176" s="222">
        <f>BL1084</f>
        <v>0</v>
      </c>
      <c r="BM1176" s="222">
        <f>BM1084</f>
        <v>0</v>
      </c>
      <c r="BN1176" s="222">
        <f>BN1084</f>
        <v>0</v>
      </c>
      <c r="BO1176" s="1576">
        <f>BO1084</f>
        <v>0</v>
      </c>
      <c r="BP1176" s="234">
        <f>BO1176</f>
        <v>0</v>
      </c>
      <c r="BQ1176" s="222">
        <f>BQ1084</f>
        <v>0</v>
      </c>
      <c r="BR1176" s="222">
        <f>BR1084</f>
        <v>0</v>
      </c>
      <c r="BS1176" s="222">
        <f>BS1084</f>
        <v>0</v>
      </c>
      <c r="BT1176" s="1576">
        <f>BT1084</f>
        <v>0</v>
      </c>
      <c r="BU1176" s="3434">
        <f>BT1176</f>
        <v>0</v>
      </c>
      <c r="BV1176" s="222">
        <f>BV1084</f>
        <v>0</v>
      </c>
      <c r="BW1176" s="222">
        <f t="shared" ref="BW1176:BY1176" si="2295">BW1084</f>
        <v>0</v>
      </c>
      <c r="BX1176" s="222">
        <f t="shared" si="2295"/>
        <v>0</v>
      </c>
      <c r="BY1176" s="222">
        <f t="shared" si="2295"/>
        <v>0</v>
      </c>
      <c r="BZ1176" s="4022">
        <f>BY1176</f>
        <v>0</v>
      </c>
      <c r="CA1176" s="234">
        <f t="shared" ref="CA1176:CG1176" si="2296">CA1084</f>
        <v>0</v>
      </c>
      <c r="CB1176" s="234">
        <f t="shared" si="2296"/>
        <v>0</v>
      </c>
      <c r="CC1176" s="234">
        <f t="shared" si="2296"/>
        <v>0</v>
      </c>
      <c r="CD1176" s="234">
        <f t="shared" si="2296"/>
        <v>0</v>
      </c>
      <c r="CE1176" s="234">
        <f t="shared" si="2296"/>
        <v>0</v>
      </c>
      <c r="CF1176" s="234">
        <f t="shared" si="2296"/>
        <v>0</v>
      </c>
      <c r="CG1176" s="234">
        <f t="shared" si="2296"/>
        <v>0</v>
      </c>
      <c r="CH1176" s="305"/>
      <c r="CI1176" s="467" t="s">
        <v>1594</v>
      </c>
      <c r="CJ1176" s="305">
        <f>+CJ1168</f>
        <v>-5.9408699999999897</v>
      </c>
      <c r="CK1176" s="305"/>
      <c r="CL1176" s="305"/>
      <c r="CM1176" s="331"/>
      <c r="CN1176" s="331"/>
      <c r="CO1176" s="305"/>
      <c r="CP1176" s="1003" t="str">
        <f t="shared" si="2176"/>
        <v>Borrowings</v>
      </c>
      <c r="CQ1176" s="222"/>
      <c r="CR1176" s="222"/>
      <c r="CS1176" s="222"/>
      <c r="CT1176" s="222">
        <f t="shared" si="2180"/>
        <v>1352.9</v>
      </c>
      <c r="CU1176" s="222">
        <f t="shared" si="2181"/>
        <v>1881.115</v>
      </c>
      <c r="CV1176" s="222">
        <f t="shared" si="2182"/>
        <v>1916.9</v>
      </c>
      <c r="CW1176" s="222">
        <f t="shared" si="2183"/>
        <v>1916.9</v>
      </c>
      <c r="CX1176" s="222">
        <f t="shared" si="2184"/>
        <v>807.75</v>
      </c>
      <c r="CY1176" s="222">
        <f t="shared" si="2185"/>
        <v>668.21499999999992</v>
      </c>
      <c r="CZ1176" s="222">
        <f t="shared" si="2186"/>
        <v>4.2329999999999472</v>
      </c>
      <c r="DA1176" s="222">
        <f t="shared" si="2187"/>
        <v>0</v>
      </c>
      <c r="DB1176" s="222">
        <f t="shared" si="2188"/>
        <v>0</v>
      </c>
      <c r="DC1176" s="222">
        <f t="shared" si="2189"/>
        <v>0</v>
      </c>
      <c r="DD1176" s="222">
        <f t="shared" si="2190"/>
        <v>0</v>
      </c>
      <c r="DE1176" s="222">
        <f t="shared" si="2191"/>
        <v>0</v>
      </c>
      <c r="DF1176" s="222">
        <f t="shared" si="2192"/>
        <v>0</v>
      </c>
      <c r="DG1176" s="1576">
        <f t="shared" si="2193"/>
        <v>0</v>
      </c>
      <c r="DH1176" s="222"/>
      <c r="DI1176" s="222"/>
      <c r="DJ1176" s="222"/>
      <c r="DK1176" s="222"/>
      <c r="DL1176" s="222"/>
      <c r="DM1176" s="222"/>
      <c r="DN1176" s="222"/>
      <c r="DO1176" s="226"/>
      <c r="DY1176" s="222"/>
      <c r="DZ1176" s="222"/>
    </row>
    <row r="1177" spans="1:130" ht="12" customHeight="1">
      <c r="A1177" s="282" t="s">
        <v>713</v>
      </c>
      <c r="B1177" s="222"/>
      <c r="C1177" s="222"/>
      <c r="D1177" s="912"/>
      <c r="E1177" s="305"/>
      <c r="F1177" s="125"/>
      <c r="G1177" s="305"/>
      <c r="H1177" s="304"/>
      <c r="I1177" s="305"/>
      <c r="J1177" s="305"/>
      <c r="K1177" s="305"/>
      <c r="L1177" s="305"/>
      <c r="M1177" s="304"/>
      <c r="N1177" s="305"/>
      <c r="O1177" s="305"/>
      <c r="P1177" s="305"/>
      <c r="Q1177" s="305"/>
      <c r="R1177" s="304"/>
      <c r="S1177" s="305"/>
      <c r="T1177" s="305">
        <v>0</v>
      </c>
      <c r="U1177" s="305">
        <v>0</v>
      </c>
      <c r="V1177" s="305">
        <v>12.4</v>
      </c>
      <c r="W1177" s="234">
        <f>V1177</f>
        <v>12.4</v>
      </c>
      <c r="X1177" s="305">
        <v>12</v>
      </c>
      <c r="Y1177" s="305">
        <v>12</v>
      </c>
      <c r="Z1177" s="305">
        <v>29.9</v>
      </c>
      <c r="AA1177" s="305">
        <v>29.9</v>
      </c>
      <c r="AB1177" s="234">
        <f>AA1177</f>
        <v>29.9</v>
      </c>
      <c r="AC1177" s="305">
        <v>97.1</v>
      </c>
      <c r="AD1177" s="305">
        <v>86.4</v>
      </c>
      <c r="AE1177" s="305">
        <v>76.099999999999994</v>
      </c>
      <c r="AF1177" s="305">
        <v>70.8</v>
      </c>
      <c r="AG1177" s="234">
        <f>AF1177</f>
        <v>70.8</v>
      </c>
      <c r="AH1177" s="1416">
        <f>AF1177</f>
        <v>70.8</v>
      </c>
      <c r="AI1177" s="1416">
        <f t="shared" si="2292"/>
        <v>70.8</v>
      </c>
      <c r="AJ1177" s="1416">
        <f t="shared" si="2292"/>
        <v>70.8</v>
      </c>
      <c r="AK1177" s="1416">
        <f t="shared" si="2292"/>
        <v>70.8</v>
      </c>
      <c r="AL1177" s="234">
        <f t="shared" si="2292"/>
        <v>70.8</v>
      </c>
      <c r="AM1177" s="1416">
        <v>0</v>
      </c>
      <c r="AN1177" s="222">
        <f>AM1177</f>
        <v>0</v>
      </c>
      <c r="AO1177" s="222">
        <v>15</v>
      </c>
      <c r="AP1177" s="222">
        <f>AO1177</f>
        <v>15</v>
      </c>
      <c r="AQ1177" s="234">
        <f>AP1177</f>
        <v>15</v>
      </c>
      <c r="AR1177" s="222">
        <v>15.5</v>
      </c>
      <c r="AS1177" s="222">
        <f>AR1177</f>
        <v>15.5</v>
      </c>
      <c r="AT1177" s="222">
        <f>AS1177</f>
        <v>15.5</v>
      </c>
      <c r="AU1177" s="222">
        <f>AT1177</f>
        <v>15.5</v>
      </c>
      <c r="AV1177" s="234">
        <f>AP1177</f>
        <v>15</v>
      </c>
      <c r="AW1177" s="222">
        <f>AU1177</f>
        <v>15.5</v>
      </c>
      <c r="AX1177" s="222">
        <f>AW1177</f>
        <v>15.5</v>
      </c>
      <c r="AY1177" s="222">
        <f>AX1177</f>
        <v>15.5</v>
      </c>
      <c r="AZ1177" s="222">
        <f>AY1177</f>
        <v>15.5</v>
      </c>
      <c r="BA1177" s="234">
        <f>AV1177</f>
        <v>15</v>
      </c>
      <c r="BB1177" s="222">
        <f>AZ1177</f>
        <v>15.5</v>
      </c>
      <c r="BC1177" s="222">
        <f>BB1177</f>
        <v>15.5</v>
      </c>
      <c r="BD1177" s="222">
        <f>BC1177</f>
        <v>15.5</v>
      </c>
      <c r="BE1177" s="222">
        <f>BD1177</f>
        <v>15.5</v>
      </c>
      <c r="BF1177" s="234">
        <f>BA1177</f>
        <v>15</v>
      </c>
      <c r="BG1177" s="912">
        <f>BE1177</f>
        <v>15.5</v>
      </c>
      <c r="BH1177" s="222">
        <f>BG1177</f>
        <v>15.5</v>
      </c>
      <c r="BI1177" s="222">
        <f>BH1177</f>
        <v>15.5</v>
      </c>
      <c r="BJ1177" s="1576">
        <f>BI1177</f>
        <v>15.5</v>
      </c>
      <c r="BK1177" s="234">
        <f>BF1177</f>
        <v>15</v>
      </c>
      <c r="BL1177" s="222">
        <f>BJ1177</f>
        <v>15.5</v>
      </c>
      <c r="BM1177" s="222">
        <f>BL1177</f>
        <v>15.5</v>
      </c>
      <c r="BN1177" s="222">
        <f>BM1177</f>
        <v>15.5</v>
      </c>
      <c r="BO1177" s="1576">
        <f>BN1177</f>
        <v>15.5</v>
      </c>
      <c r="BP1177" s="234">
        <f>BO1177</f>
        <v>15.5</v>
      </c>
      <c r="BQ1177" s="222">
        <f>BP1177</f>
        <v>15.5</v>
      </c>
      <c r="BR1177" s="222">
        <f>BQ1177</f>
        <v>15.5</v>
      </c>
      <c r="BS1177" s="222">
        <f>BR1177</f>
        <v>15.5</v>
      </c>
      <c r="BT1177" s="1576">
        <f>BS1177</f>
        <v>15.5</v>
      </c>
      <c r="BU1177" s="3434">
        <f>BT1177</f>
        <v>15.5</v>
      </c>
      <c r="BV1177" s="222">
        <f>BU1177</f>
        <v>15.5</v>
      </c>
      <c r="BW1177" s="222">
        <f t="shared" ref="BW1177:BY1177" si="2297">BV1177</f>
        <v>15.5</v>
      </c>
      <c r="BX1177" s="222">
        <f t="shared" si="2297"/>
        <v>15.5</v>
      </c>
      <c r="BY1177" s="222">
        <f t="shared" si="2297"/>
        <v>15.5</v>
      </c>
      <c r="BZ1177" s="4022">
        <f>BY1177</f>
        <v>15.5</v>
      </c>
      <c r="CA1177" s="234">
        <f t="shared" ref="CA1177:CG1177" si="2298">BZ1177</f>
        <v>15.5</v>
      </c>
      <c r="CB1177" s="234">
        <f t="shared" si="2298"/>
        <v>15.5</v>
      </c>
      <c r="CC1177" s="234">
        <f t="shared" si="2298"/>
        <v>15.5</v>
      </c>
      <c r="CD1177" s="234">
        <f t="shared" si="2298"/>
        <v>15.5</v>
      </c>
      <c r="CE1177" s="234">
        <f t="shared" si="2298"/>
        <v>15.5</v>
      </c>
      <c r="CF1177" s="234">
        <f t="shared" si="2298"/>
        <v>15.5</v>
      </c>
      <c r="CG1177" s="234">
        <f t="shared" si="2298"/>
        <v>15.5</v>
      </c>
      <c r="CH1177" s="305"/>
      <c r="CI1177" s="467" t="s">
        <v>522</v>
      </c>
      <c r="CJ1177" s="305">
        <f>-BA1204</f>
        <v>-15.094000000000001</v>
      </c>
      <c r="CK1177" s="305"/>
      <c r="CL1177" s="305"/>
      <c r="CM1177" s="331"/>
      <c r="CN1177" s="331"/>
      <c r="CO1177" s="305"/>
      <c r="CP1177" s="1003" t="str">
        <f t="shared" si="2176"/>
        <v>Letters of credit</v>
      </c>
      <c r="CQ1177" s="222"/>
      <c r="CR1177" s="222"/>
      <c r="CS1177" s="222"/>
      <c r="CT1177" s="222">
        <f t="shared" si="2180"/>
        <v>12.4</v>
      </c>
      <c r="CU1177" s="222">
        <f t="shared" si="2181"/>
        <v>29.9</v>
      </c>
      <c r="CV1177" s="222">
        <f t="shared" si="2182"/>
        <v>70.8</v>
      </c>
      <c r="CW1177" s="222">
        <f t="shared" si="2183"/>
        <v>70.8</v>
      </c>
      <c r="CX1177" s="222">
        <f t="shared" si="2184"/>
        <v>15</v>
      </c>
      <c r="CY1177" s="222">
        <f t="shared" si="2185"/>
        <v>15</v>
      </c>
      <c r="CZ1177" s="222">
        <f t="shared" si="2186"/>
        <v>15</v>
      </c>
      <c r="DA1177" s="222">
        <f t="shared" si="2187"/>
        <v>15</v>
      </c>
      <c r="DB1177" s="222">
        <f t="shared" si="2188"/>
        <v>15</v>
      </c>
      <c r="DC1177" s="222">
        <f t="shared" si="2189"/>
        <v>15.5</v>
      </c>
      <c r="DD1177" s="222">
        <f t="shared" si="2190"/>
        <v>15.5</v>
      </c>
      <c r="DE1177" s="222">
        <f t="shared" si="2191"/>
        <v>15.5</v>
      </c>
      <c r="DF1177" s="222">
        <f t="shared" si="2192"/>
        <v>15.5</v>
      </c>
      <c r="DG1177" s="1576">
        <f t="shared" si="2193"/>
        <v>15.5</v>
      </c>
      <c r="DH1177" s="222"/>
      <c r="DI1177" s="222"/>
      <c r="DJ1177" s="222"/>
      <c r="DK1177" s="222"/>
      <c r="DL1177" s="222"/>
      <c r="DM1177" s="222"/>
      <c r="DN1177" s="222"/>
      <c r="DO1177" s="226"/>
      <c r="DY1177" s="222"/>
      <c r="DZ1177" s="222"/>
    </row>
    <row r="1178" spans="1:130" ht="12" customHeight="1">
      <c r="A1178" s="222" t="s">
        <v>714</v>
      </c>
      <c r="B1178" s="222"/>
      <c r="C1178" s="222"/>
      <c r="D1178" s="360"/>
      <c r="E1178" s="305"/>
      <c r="F1178" s="305"/>
      <c r="G1178" s="305"/>
      <c r="H1178" s="304"/>
      <c r="I1178" s="305"/>
      <c r="J1178" s="305"/>
      <c r="K1178" s="305"/>
      <c r="L1178" s="305"/>
      <c r="M1178" s="304"/>
      <c r="N1178" s="305"/>
      <c r="O1178" s="305"/>
      <c r="P1178" s="305"/>
      <c r="Q1178" s="305"/>
      <c r="R1178" s="304"/>
      <c r="S1178" s="222"/>
      <c r="T1178" s="222">
        <f>T1175-T1176-T1177</f>
        <v>2699.2</v>
      </c>
      <c r="U1178" s="222">
        <f>U1175-U1176-U1177</f>
        <v>2705.8</v>
      </c>
      <c r="V1178" s="222">
        <f>V1175-V1176-V1177</f>
        <v>2634.7</v>
      </c>
      <c r="W1178" s="234">
        <f>V1178</f>
        <v>2634.7</v>
      </c>
      <c r="X1178" s="222">
        <f>X1175-X1176-X1177</f>
        <v>2527.9</v>
      </c>
      <c r="Y1178" s="222">
        <f>Y1175-Y1176-Y1177</f>
        <v>2383</v>
      </c>
      <c r="Z1178" s="222">
        <f>Z1175-Z1176-Z1177</f>
        <v>2219.8319999999999</v>
      </c>
      <c r="AA1178" s="222">
        <f>AA1175-AA1176-AA1177</f>
        <v>2088.9850000000001</v>
      </c>
      <c r="AB1178" s="234">
        <f>AA1178</f>
        <v>2088.9850000000001</v>
      </c>
      <c r="AC1178" s="222">
        <f>AC1175-AC1176-AC1177</f>
        <v>1960.3000000000002</v>
      </c>
      <c r="AD1178" s="222">
        <f>AD1175-AD1176-AD1177</f>
        <v>1945.7869999999998</v>
      </c>
      <c r="AE1178" s="222">
        <f>AE1175-AE1176-AE1177</f>
        <v>1970.4</v>
      </c>
      <c r="AF1178" s="222">
        <f>AF1175-AF1176-AF1177</f>
        <v>1012.3</v>
      </c>
      <c r="AG1178" s="234">
        <f>AF1178</f>
        <v>1012.3</v>
      </c>
      <c r="AH1178" s="222">
        <f>AH1175-AH1176-AH1177</f>
        <v>1012.3</v>
      </c>
      <c r="AI1178" s="222">
        <f>AI1175-AI1176-AI1177</f>
        <v>1012.3</v>
      </c>
      <c r="AJ1178" s="222">
        <f>AJ1175-AJ1176-AJ1177</f>
        <v>1012.3</v>
      </c>
      <c r="AK1178" s="222">
        <f>AK1175-AK1176-AK1177</f>
        <v>1012.3</v>
      </c>
      <c r="AL1178" s="234">
        <f>AK1178</f>
        <v>1012.3</v>
      </c>
      <c r="AM1178" s="222">
        <f>AM1175-AM1176-AM1177</f>
        <v>623.79999999999995</v>
      </c>
      <c r="AN1178" s="222">
        <f>AN1175-AN1176-AN1177</f>
        <v>405</v>
      </c>
      <c r="AO1178" s="222">
        <f>AO1175-AO1176-AO1177</f>
        <v>-148.14699999999993</v>
      </c>
      <c r="AP1178" s="222">
        <f>AP1175-AP1176-AP1177</f>
        <v>137.25</v>
      </c>
      <c r="AQ1178" s="234">
        <f>AP1178</f>
        <v>137.25</v>
      </c>
      <c r="AR1178" s="222">
        <f t="shared" ref="AR1178:CB1178" si="2299">AR1175-AR1176-AR1177</f>
        <v>175.75</v>
      </c>
      <c r="AS1178" s="222">
        <f t="shared" si="2299"/>
        <v>314.96300000000008</v>
      </c>
      <c r="AT1178" s="222">
        <f t="shared" si="2299"/>
        <v>320.70700000000011</v>
      </c>
      <c r="AU1178" s="222">
        <f t="shared" si="2299"/>
        <v>276.28500000000008</v>
      </c>
      <c r="AV1178" s="234">
        <f t="shared" si="2299"/>
        <v>276.78500000000008</v>
      </c>
      <c r="AW1178" s="222">
        <f t="shared" si="2299"/>
        <v>277.16999999999985</v>
      </c>
      <c r="AX1178" s="222">
        <f t="shared" si="2299"/>
        <v>297.75</v>
      </c>
      <c r="AY1178" s="222">
        <f t="shared" si="2299"/>
        <v>939.99999999999989</v>
      </c>
      <c r="AZ1178" s="222">
        <f t="shared" si="2299"/>
        <v>940.26700000000005</v>
      </c>
      <c r="BA1178" s="234">
        <f t="shared" si="2299"/>
        <v>940.76700000000005</v>
      </c>
      <c r="BB1178" s="222">
        <f t="shared" si="2299"/>
        <v>940.42699999999991</v>
      </c>
      <c r="BC1178" s="222">
        <f t="shared" si="2299"/>
        <v>940.58999999999992</v>
      </c>
      <c r="BD1178" s="222">
        <f t="shared" si="2299"/>
        <v>940.75</v>
      </c>
      <c r="BE1178" s="222">
        <f t="shared" si="2299"/>
        <v>944.5</v>
      </c>
      <c r="BF1178" s="234">
        <f t="shared" si="2299"/>
        <v>945</v>
      </c>
      <c r="BG1178" s="912">
        <f t="shared" ref="BG1178:BP1178" si="2300">BG1175-BG1176-BG1177</f>
        <v>944.5</v>
      </c>
      <c r="BH1178" s="222">
        <f t="shared" si="2300"/>
        <v>944.5</v>
      </c>
      <c r="BI1178" s="222">
        <f t="shared" si="2300"/>
        <v>944.5</v>
      </c>
      <c r="BJ1178" s="1576">
        <f t="shared" si="2300"/>
        <v>944.5</v>
      </c>
      <c r="BK1178" s="234">
        <f t="shared" si="2300"/>
        <v>945</v>
      </c>
      <c r="BL1178" s="222">
        <f t="shared" si="2300"/>
        <v>944.5</v>
      </c>
      <c r="BM1178" s="222">
        <f t="shared" si="2300"/>
        <v>944.5</v>
      </c>
      <c r="BN1178" s="222">
        <f t="shared" si="2300"/>
        <v>944.5</v>
      </c>
      <c r="BO1178" s="1576">
        <f t="shared" si="2300"/>
        <v>944.5</v>
      </c>
      <c r="BP1178" s="234">
        <f t="shared" si="2300"/>
        <v>944.5</v>
      </c>
      <c r="BQ1178" s="222">
        <f t="shared" ref="BQ1178:BV1178" si="2301">BQ1175-BQ1176-BQ1177</f>
        <v>944.5</v>
      </c>
      <c r="BR1178" s="222">
        <f t="shared" si="2301"/>
        <v>944.5</v>
      </c>
      <c r="BS1178" s="222">
        <f t="shared" si="2301"/>
        <v>944.5</v>
      </c>
      <c r="BT1178" s="1576">
        <f t="shared" si="2301"/>
        <v>944.5</v>
      </c>
      <c r="BU1178" s="3434">
        <f t="shared" si="2301"/>
        <v>944.5</v>
      </c>
      <c r="BV1178" s="222">
        <f t="shared" si="2301"/>
        <v>944.5</v>
      </c>
      <c r="BW1178" s="222">
        <f t="shared" ref="BW1178:BY1178" si="2302">BW1175-BW1176-BW1177</f>
        <v>944.5</v>
      </c>
      <c r="BX1178" s="222">
        <f t="shared" si="2302"/>
        <v>944.5</v>
      </c>
      <c r="BY1178" s="222">
        <f t="shared" si="2302"/>
        <v>944.5</v>
      </c>
      <c r="BZ1178" s="4022">
        <f>BZ1175-BZ1176-BZ1177</f>
        <v>944.5</v>
      </c>
      <c r="CA1178" s="1576">
        <f t="shared" si="2299"/>
        <v>944.5</v>
      </c>
      <c r="CB1178" s="1576">
        <f t="shared" si="2299"/>
        <v>944.5</v>
      </c>
      <c r="CC1178" s="1576">
        <f>CC1175-CC1176-CC1177</f>
        <v>944.5</v>
      </c>
      <c r="CD1178" s="1576">
        <f>CD1175-CD1176-CD1177</f>
        <v>944.5</v>
      </c>
      <c r="CE1178" s="1576">
        <f>CE1175-CE1176-CE1177</f>
        <v>944.5</v>
      </c>
      <c r="CF1178" s="1576">
        <f>CF1175-CF1176-CF1177</f>
        <v>944.5</v>
      </c>
      <c r="CG1178" s="1576">
        <f>CG1175-CG1176-CG1177</f>
        <v>944.5</v>
      </c>
      <c r="CH1178" s="305"/>
      <c r="CI1178" s="871" t="s">
        <v>1005</v>
      </c>
      <c r="CJ1178" s="871">
        <f>+SUM(CJ1174:CJ1177)</f>
        <v>81.668305000000004</v>
      </c>
      <c r="CK1178" s="305"/>
      <c r="CL1178" s="305"/>
      <c r="CM1178" s="331"/>
      <c r="CN1178" s="331"/>
      <c r="CO1178" s="305"/>
      <c r="CP1178" s="912" t="str">
        <f t="shared" si="2176"/>
        <v>Total availability</v>
      </c>
      <c r="CQ1178" s="222"/>
      <c r="CR1178" s="222"/>
      <c r="CS1178" s="222"/>
      <c r="CT1178" s="222">
        <f t="shared" si="2180"/>
        <v>2634.7</v>
      </c>
      <c r="CU1178" s="222">
        <f t="shared" si="2181"/>
        <v>2088.9850000000001</v>
      </c>
      <c r="CV1178" s="222">
        <f t="shared" si="2182"/>
        <v>1012.3</v>
      </c>
      <c r="CW1178" s="222">
        <f t="shared" si="2183"/>
        <v>1012.3</v>
      </c>
      <c r="CX1178" s="222">
        <f t="shared" si="2184"/>
        <v>137.25</v>
      </c>
      <c r="CY1178" s="222">
        <f t="shared" si="2185"/>
        <v>276.78500000000008</v>
      </c>
      <c r="CZ1178" s="222">
        <f t="shared" si="2186"/>
        <v>940.76700000000005</v>
      </c>
      <c r="DA1178" s="222">
        <f t="shared" si="2187"/>
        <v>945</v>
      </c>
      <c r="DB1178" s="222">
        <f t="shared" si="2188"/>
        <v>945</v>
      </c>
      <c r="DC1178" s="222">
        <f t="shared" si="2189"/>
        <v>944.5</v>
      </c>
      <c r="DD1178" s="222">
        <f t="shared" si="2190"/>
        <v>944.5</v>
      </c>
      <c r="DE1178" s="222">
        <f t="shared" si="2191"/>
        <v>944.5</v>
      </c>
      <c r="DF1178" s="222">
        <f t="shared" si="2192"/>
        <v>944.5</v>
      </c>
      <c r="DG1178" s="1576">
        <f t="shared" si="2193"/>
        <v>944.5</v>
      </c>
      <c r="DH1178" s="222"/>
      <c r="DI1178" s="222"/>
      <c r="DJ1178" s="222"/>
      <c r="DK1178" s="222"/>
      <c r="DL1178" s="222"/>
      <c r="DM1178" s="222"/>
      <c r="DN1178" s="222"/>
      <c r="DO1178" s="226"/>
      <c r="DY1178" s="222"/>
      <c r="DZ1178" s="222"/>
    </row>
    <row r="1179" spans="1:130" ht="12" hidden="1" customHeight="1" outlineLevel="1">
      <c r="A1179" s="268"/>
      <c r="B1179" s="222"/>
      <c r="C1179" s="222"/>
      <c r="D1179" s="360"/>
      <c r="E1179" s="305"/>
      <c r="F1179" s="305"/>
      <c r="G1179" s="305"/>
      <c r="H1179" s="304"/>
      <c r="I1179" s="305"/>
      <c r="J1179" s="305"/>
      <c r="K1179" s="305"/>
      <c r="L1179" s="305"/>
      <c r="M1179" s="304"/>
      <c r="N1179" s="305"/>
      <c r="O1179" s="305"/>
      <c r="P1179" s="305"/>
      <c r="Q1179" s="305"/>
      <c r="R1179" s="304"/>
      <c r="S1179" s="305"/>
      <c r="T1179" s="305"/>
      <c r="U1179" s="305"/>
      <c r="V1179" s="305"/>
      <c r="W1179" s="304"/>
      <c r="X1179" s="305"/>
      <c r="Y1179" s="305"/>
      <c r="Z1179" s="305"/>
      <c r="AA1179" s="305"/>
      <c r="AB1179" s="304"/>
      <c r="AC1179" s="305"/>
      <c r="AD1179" s="305"/>
      <c r="AE1179" s="305"/>
      <c r="AF1179" s="305"/>
      <c r="AG1179" s="304"/>
      <c r="AH1179" s="305"/>
      <c r="AI1179" s="305"/>
      <c r="AJ1179" s="305"/>
      <c r="AK1179" s="305"/>
      <c r="AL1179" s="304"/>
      <c r="AM1179" s="305"/>
      <c r="AN1179" s="305"/>
      <c r="AO1179" s="305"/>
      <c r="AP1179" s="305"/>
      <c r="AQ1179" s="304"/>
      <c r="AR1179" s="305"/>
      <c r="AS1179" s="305"/>
      <c r="AT1179" s="305"/>
      <c r="AU1179" s="305"/>
      <c r="AV1179" s="304"/>
      <c r="AW1179" s="305"/>
      <c r="AX1179" s="305"/>
      <c r="AY1179" s="305"/>
      <c r="AZ1179" s="305"/>
      <c r="BA1179" s="304"/>
      <c r="BB1179" s="305"/>
      <c r="BC1179" s="305"/>
      <c r="BD1179" s="305"/>
      <c r="BE1179" s="305"/>
      <c r="BF1179" s="304"/>
      <c r="BG1179" s="360"/>
      <c r="BH1179" s="305"/>
      <c r="BI1179" s="305"/>
      <c r="BJ1179" s="306"/>
      <c r="BK1179" s="304"/>
      <c r="BL1179" s="305"/>
      <c r="BM1179" s="305"/>
      <c r="BN1179" s="305"/>
      <c r="BO1179" s="306"/>
      <c r="BP1179" s="304"/>
      <c r="BQ1179" s="305"/>
      <c r="BR1179" s="305"/>
      <c r="BS1179" s="305"/>
      <c r="BT1179" s="306"/>
      <c r="BU1179" s="3434"/>
      <c r="BV1179" s="305"/>
      <c r="BW1179" s="305"/>
      <c r="BX1179" s="305"/>
      <c r="BY1179" s="305"/>
      <c r="BZ1179" s="304"/>
      <c r="CA1179" s="304"/>
      <c r="CB1179" s="304"/>
      <c r="CC1179" s="304"/>
      <c r="CD1179" s="304"/>
      <c r="CE1179" s="304"/>
      <c r="CF1179" s="304"/>
      <c r="CG1179" s="304"/>
      <c r="CH1179" s="305"/>
      <c r="CI1179" s="305"/>
      <c r="CJ1179" s="305"/>
      <c r="CK1179" s="305"/>
      <c r="CL1179" s="305"/>
      <c r="CM1179" s="331"/>
      <c r="CN1179" s="331"/>
      <c r="CO1179" s="305"/>
      <c r="CP1179" s="1918"/>
      <c r="CQ1179" s="222"/>
      <c r="CR1179" s="222"/>
      <c r="CS1179" s="222"/>
      <c r="CT1179" s="222"/>
      <c r="CU1179" s="222"/>
      <c r="CV1179" s="222"/>
      <c r="CW1179" s="222"/>
      <c r="CX1179" s="222"/>
      <c r="CY1179" s="222"/>
      <c r="CZ1179" s="222"/>
      <c r="DA1179" s="222"/>
      <c r="DB1179" s="222"/>
      <c r="DC1179" s="222"/>
      <c r="DD1179" s="222"/>
      <c r="DE1179" s="222"/>
      <c r="DF1179" s="222"/>
      <c r="DG1179" s="1576"/>
      <c r="DH1179" s="222"/>
      <c r="DI1179" s="222"/>
      <c r="DJ1179" s="222"/>
      <c r="DK1179" s="222"/>
      <c r="DL1179" s="222"/>
      <c r="DM1179" s="222"/>
      <c r="DN1179" s="222"/>
      <c r="DO1179" s="226"/>
      <c r="DY1179" s="305"/>
      <c r="DZ1179" s="305"/>
    </row>
    <row r="1180" spans="1:130" ht="12" hidden="1" customHeight="1" outlineLevel="1">
      <c r="A1180" s="875"/>
      <c r="B1180" s="875"/>
      <c r="C1180" s="875"/>
      <c r="D1180" s="473"/>
      <c r="E1180" s="474"/>
      <c r="F1180" s="474"/>
      <c r="G1180" s="474"/>
      <c r="H1180" s="475"/>
      <c r="I1180" s="474"/>
      <c r="J1180" s="474"/>
      <c r="K1180" s="474"/>
      <c r="L1180" s="474"/>
      <c r="M1180" s="475"/>
      <c r="N1180" s="474"/>
      <c r="O1180" s="474"/>
      <c r="P1180" s="474"/>
      <c r="Q1180" s="474"/>
      <c r="R1180" s="475"/>
      <c r="S1180" s="474"/>
      <c r="T1180" s="474"/>
      <c r="U1180" s="474"/>
      <c r="V1180" s="474"/>
      <c r="W1180" s="475"/>
      <c r="X1180" s="474"/>
      <c r="Y1180" s="474"/>
      <c r="Z1180" s="474"/>
      <c r="AA1180" s="474"/>
      <c r="AB1180" s="475"/>
      <c r="AC1180" s="474"/>
      <c r="AD1180" s="474"/>
      <c r="AE1180" s="474"/>
      <c r="AF1180" s="474"/>
      <c r="AG1180" s="475"/>
      <c r="AH1180" s="474"/>
      <c r="AI1180" s="474"/>
      <c r="AJ1180" s="474"/>
      <c r="AK1180" s="474"/>
      <c r="AL1180" s="475"/>
      <c r="AM1180" s="474"/>
      <c r="AN1180" s="474"/>
      <c r="AO1180" s="474"/>
      <c r="AP1180" s="474"/>
      <c r="AQ1180" s="475"/>
      <c r="AR1180" s="474"/>
      <c r="AS1180" s="474"/>
      <c r="AT1180" s="474"/>
      <c r="AU1180" s="474"/>
      <c r="AV1180" s="475"/>
      <c r="AW1180" s="474"/>
      <c r="AX1180" s="474"/>
      <c r="AY1180" s="474"/>
      <c r="AZ1180" s="474"/>
      <c r="BA1180" s="475"/>
      <c r="BB1180" s="474"/>
      <c r="BC1180" s="474"/>
      <c r="BD1180" s="474"/>
      <c r="BE1180" s="474"/>
      <c r="BF1180" s="475"/>
      <c r="BG1180" s="473"/>
      <c r="BH1180" s="474"/>
      <c r="BI1180" s="474"/>
      <c r="BJ1180" s="1928"/>
      <c r="BK1180" s="475"/>
      <c r="BL1180" s="474"/>
      <c r="BM1180" s="474"/>
      <c r="BN1180" s="474"/>
      <c r="BO1180" s="1928"/>
      <c r="BP1180" s="475"/>
      <c r="BQ1180" s="474"/>
      <c r="BR1180" s="474"/>
      <c r="BS1180" s="474"/>
      <c r="BT1180" s="1928"/>
      <c r="BU1180" s="3445"/>
      <c r="BV1180" s="474"/>
      <c r="BW1180" s="474"/>
      <c r="BX1180" s="474"/>
      <c r="BY1180" s="474"/>
      <c r="BZ1180" s="475"/>
      <c r="CA1180" s="475"/>
      <c r="CB1180" s="475"/>
      <c r="CC1180" s="475"/>
      <c r="CD1180" s="475"/>
      <c r="CE1180" s="475"/>
      <c r="CF1180" s="475"/>
      <c r="CG1180" s="475"/>
      <c r="CH1180" s="3993"/>
      <c r="CI1180" s="3993"/>
      <c r="CJ1180" s="3993"/>
      <c r="CK1180" s="3993"/>
      <c r="CL1180" s="474"/>
      <c r="CM1180" s="474"/>
      <c r="CN1180" s="474"/>
      <c r="CO1180" s="474"/>
      <c r="CP1180" s="993"/>
      <c r="CQ1180" s="474"/>
      <c r="CR1180" s="474"/>
      <c r="CS1180" s="474"/>
      <c r="CT1180" s="474"/>
      <c r="CU1180" s="474"/>
      <c r="CV1180" s="474"/>
      <c r="CW1180" s="474"/>
      <c r="CX1180" s="474"/>
      <c r="CY1180" s="474"/>
      <c r="CZ1180" s="474"/>
      <c r="DA1180" s="474"/>
      <c r="DB1180" s="474"/>
      <c r="DC1180" s="474"/>
      <c r="DD1180" s="474"/>
      <c r="DE1180" s="474"/>
      <c r="DF1180" s="474"/>
      <c r="DG1180" s="1928"/>
      <c r="DH1180" s="476"/>
      <c r="DI1180" s="476"/>
      <c r="DJ1180" s="476"/>
      <c r="DK1180" s="476"/>
      <c r="DL1180" s="476"/>
      <c r="DM1180" s="476"/>
      <c r="DN1180" s="476"/>
      <c r="DO1180" s="537"/>
      <c r="DY1180" s="474"/>
      <c r="DZ1180" s="474"/>
    </row>
    <row r="1181" spans="1:130" ht="12" hidden="1" customHeight="1" outlineLevel="1">
      <c r="A1181" s="875"/>
      <c r="B1181" s="875"/>
      <c r="C1181" s="875"/>
      <c r="D1181" s="473"/>
      <c r="E1181" s="474"/>
      <c r="F1181" s="474"/>
      <c r="G1181" s="474"/>
      <c r="H1181" s="475"/>
      <c r="I1181" s="474"/>
      <c r="J1181" s="474"/>
      <c r="K1181" s="474"/>
      <c r="L1181" s="474"/>
      <c r="M1181" s="475"/>
      <c r="N1181" s="474"/>
      <c r="O1181" s="474"/>
      <c r="P1181" s="474"/>
      <c r="Q1181" s="474"/>
      <c r="R1181" s="475"/>
      <c r="S1181" s="474"/>
      <c r="T1181" s="474"/>
      <c r="U1181" s="474"/>
      <c r="V1181" s="474"/>
      <c r="W1181" s="475"/>
      <c r="X1181" s="474"/>
      <c r="Y1181" s="474"/>
      <c r="Z1181" s="474"/>
      <c r="AA1181" s="474"/>
      <c r="AB1181" s="475"/>
      <c r="AC1181" s="474"/>
      <c r="AD1181" s="474"/>
      <c r="AE1181" s="474"/>
      <c r="AF1181" s="474"/>
      <c r="AG1181" s="475"/>
      <c r="AH1181" s="474"/>
      <c r="AI1181" s="474"/>
      <c r="AJ1181" s="474"/>
      <c r="AK1181" s="474"/>
      <c r="AL1181" s="475"/>
      <c r="AM1181" s="474"/>
      <c r="AN1181" s="474"/>
      <c r="AO1181" s="474"/>
      <c r="AP1181" s="474"/>
      <c r="AQ1181" s="475"/>
      <c r="AR1181" s="474"/>
      <c r="AS1181" s="474"/>
      <c r="AT1181" s="474"/>
      <c r="AU1181" s="474"/>
      <c r="AV1181" s="475"/>
      <c r="AW1181" s="474"/>
      <c r="AX1181" s="474"/>
      <c r="AY1181" s="474"/>
      <c r="AZ1181" s="474"/>
      <c r="BA1181" s="475"/>
      <c r="BB1181" s="474"/>
      <c r="BC1181" s="474"/>
      <c r="BD1181" s="474"/>
      <c r="BE1181" s="474"/>
      <c r="BF1181" s="475"/>
      <c r="BG1181" s="2989"/>
      <c r="BH1181" s="2990"/>
      <c r="BI1181" s="2990"/>
      <c r="BJ1181" s="2991"/>
      <c r="BK1181" s="475"/>
      <c r="BL1181" s="2990"/>
      <c r="BM1181" s="2990"/>
      <c r="BN1181" s="2990"/>
      <c r="BO1181" s="2991"/>
      <c r="BP1181" s="475"/>
      <c r="BQ1181" s="2990"/>
      <c r="BR1181" s="2990"/>
      <c r="BS1181" s="2990"/>
      <c r="BT1181" s="2991"/>
      <c r="BU1181" s="3445"/>
      <c r="BV1181" s="2990"/>
      <c r="BW1181" s="2990"/>
      <c r="BX1181" s="2990"/>
      <c r="BY1181" s="2990"/>
      <c r="BZ1181" s="1556"/>
      <c r="CA1181" s="1556"/>
      <c r="CB1181" s="1556"/>
      <c r="CC1181" s="1556"/>
      <c r="CD1181" s="1556"/>
      <c r="CE1181" s="1556"/>
      <c r="CF1181" s="1556"/>
      <c r="CG1181" s="1556"/>
      <c r="CH1181" s="3993"/>
      <c r="CI1181" s="3993"/>
      <c r="CJ1181" s="3993"/>
      <c r="CK1181" s="3993"/>
      <c r="CL1181" s="474"/>
      <c r="CM1181" s="474"/>
      <c r="CN1181" s="474"/>
      <c r="CO1181" s="474"/>
      <c r="CP1181" s="993"/>
      <c r="CQ1181" s="474"/>
      <c r="CR1181" s="474"/>
      <c r="CS1181" s="474"/>
      <c r="CT1181" s="474"/>
      <c r="CU1181" s="474"/>
      <c r="CV1181" s="474"/>
      <c r="CW1181" s="474"/>
      <c r="CX1181" s="474"/>
      <c r="CY1181" s="474"/>
      <c r="CZ1181" s="474"/>
      <c r="DA1181" s="474"/>
      <c r="DB1181" s="474"/>
      <c r="DC1181" s="474"/>
      <c r="DD1181" s="474"/>
      <c r="DE1181" s="474"/>
      <c r="DF1181" s="474"/>
      <c r="DG1181" s="1928"/>
      <c r="DH1181" s="476"/>
      <c r="DI1181" s="476"/>
      <c r="DJ1181" s="476"/>
      <c r="DK1181" s="476"/>
      <c r="DL1181" s="476"/>
      <c r="DM1181" s="476"/>
      <c r="DN1181" s="476"/>
      <c r="DO1181" s="537"/>
      <c r="DY1181" s="474"/>
      <c r="DZ1181" s="474"/>
    </row>
    <row r="1182" spans="1:130" ht="12" customHeight="1" collapsed="1">
      <c r="A1182" s="235" t="s">
        <v>1617</v>
      </c>
      <c r="B1182" s="236"/>
      <c r="C1182" s="236"/>
      <c r="D1182" s="237" t="s">
        <v>417</v>
      </c>
      <c r="E1182" s="109" t="s">
        <v>499</v>
      </c>
      <c r="F1182" s="109" t="s">
        <v>1563</v>
      </c>
      <c r="G1182" s="109" t="s">
        <v>1564</v>
      </c>
      <c r="H1182" s="110">
        <v>2004</v>
      </c>
      <c r="I1182" s="109" t="s">
        <v>1028</v>
      </c>
      <c r="J1182" s="109" t="s">
        <v>342</v>
      </c>
      <c r="K1182" s="109" t="s">
        <v>483</v>
      </c>
      <c r="L1182" s="109" t="s">
        <v>440</v>
      </c>
      <c r="M1182" s="110">
        <v>2005</v>
      </c>
      <c r="N1182" s="109" t="s">
        <v>903</v>
      </c>
      <c r="O1182" s="109" t="s">
        <v>764</v>
      </c>
      <c r="P1182" s="109" t="s">
        <v>677</v>
      </c>
      <c r="Q1182" s="109" t="s">
        <v>395</v>
      </c>
      <c r="R1182" s="110">
        <v>2006</v>
      </c>
      <c r="S1182" s="109" t="s">
        <v>1322</v>
      </c>
      <c r="T1182" s="109" t="s">
        <v>1303</v>
      </c>
      <c r="U1182" s="109" t="s">
        <v>645</v>
      </c>
      <c r="V1182" s="109" t="s">
        <v>1126</v>
      </c>
      <c r="W1182" s="110">
        <v>2007</v>
      </c>
      <c r="X1182" s="109" t="s">
        <v>1595</v>
      </c>
      <c r="Y1182" s="109" t="s">
        <v>530</v>
      </c>
      <c r="Z1182" s="109" t="s">
        <v>657</v>
      </c>
      <c r="AA1182" s="109" t="s">
        <v>1324</v>
      </c>
      <c r="AB1182" s="110">
        <v>2008</v>
      </c>
      <c r="AC1182" s="109" t="s">
        <v>216</v>
      </c>
      <c r="AD1182" s="109" t="s">
        <v>574</v>
      </c>
      <c r="AE1182" s="109" t="s">
        <v>575</v>
      </c>
      <c r="AF1182" s="109" t="s">
        <v>1720</v>
      </c>
      <c r="AG1182" s="110">
        <v>2009</v>
      </c>
      <c r="AH1182" s="109" t="str">
        <f>AH1131</f>
        <v>1Q10</v>
      </c>
      <c r="AI1182" s="109" t="str">
        <f t="shared" ref="AI1182:CG1182" si="2303">AI$6</f>
        <v>2Q10</v>
      </c>
      <c r="AJ1182" s="109" t="str">
        <f t="shared" si="2303"/>
        <v>3Q10</v>
      </c>
      <c r="AK1182" s="109" t="str">
        <f t="shared" si="2303"/>
        <v>4Q10</v>
      </c>
      <c r="AL1182" s="110">
        <f t="shared" si="2303"/>
        <v>2010</v>
      </c>
      <c r="AM1182" s="109" t="str">
        <f t="shared" si="2303"/>
        <v>1Q11</v>
      </c>
      <c r="AN1182" s="109" t="str">
        <f t="shared" si="2303"/>
        <v>2Q11</v>
      </c>
      <c r="AO1182" s="109" t="str">
        <f t="shared" si="2303"/>
        <v>3Q11</v>
      </c>
      <c r="AP1182" s="109" t="str">
        <f t="shared" si="2303"/>
        <v>4Q11</v>
      </c>
      <c r="AQ1182" s="110">
        <f t="shared" si="2303"/>
        <v>2011</v>
      </c>
      <c r="AR1182" s="109" t="str">
        <f t="shared" si="2303"/>
        <v>1Q12</v>
      </c>
      <c r="AS1182" s="109" t="str">
        <f t="shared" si="2303"/>
        <v>2Q12</v>
      </c>
      <c r="AT1182" s="109" t="str">
        <f t="shared" si="2303"/>
        <v>3Q12</v>
      </c>
      <c r="AU1182" s="109" t="str">
        <f t="shared" si="2303"/>
        <v>4Q12</v>
      </c>
      <c r="AV1182" s="110">
        <f t="shared" si="2303"/>
        <v>2012</v>
      </c>
      <c r="AW1182" s="109" t="str">
        <f t="shared" si="2303"/>
        <v>1Q13</v>
      </c>
      <c r="AX1182" s="109" t="str">
        <f t="shared" si="2303"/>
        <v>2Q13</v>
      </c>
      <c r="AY1182" s="109" t="str">
        <f t="shared" si="2303"/>
        <v>3Q13</v>
      </c>
      <c r="AZ1182" s="109" t="str">
        <f t="shared" si="2303"/>
        <v>4Q13</v>
      </c>
      <c r="BA1182" s="110">
        <f t="shared" si="2303"/>
        <v>2013</v>
      </c>
      <c r="BB1182" s="109" t="str">
        <f t="shared" si="2303"/>
        <v>1Q14</v>
      </c>
      <c r="BC1182" s="109" t="str">
        <f t="shared" si="2303"/>
        <v>2Q14</v>
      </c>
      <c r="BD1182" s="109" t="str">
        <f t="shared" si="2303"/>
        <v>3Q14</v>
      </c>
      <c r="BE1182" s="109" t="str">
        <f t="shared" si="2303"/>
        <v>4Q14</v>
      </c>
      <c r="BF1182" s="110">
        <f t="shared" si="2303"/>
        <v>2014</v>
      </c>
      <c r="BG1182" s="109" t="str">
        <f t="shared" si="2303"/>
        <v>1Q15</v>
      </c>
      <c r="BH1182" s="109" t="str">
        <f t="shared" si="2303"/>
        <v>2Q15</v>
      </c>
      <c r="BI1182" s="109" t="str">
        <f t="shared" si="2303"/>
        <v>3Q15</v>
      </c>
      <c r="BJ1182" s="109" t="str">
        <f t="shared" si="2303"/>
        <v>4Q15</v>
      </c>
      <c r="BK1182" s="110">
        <f t="shared" si="2303"/>
        <v>2015</v>
      </c>
      <c r="BL1182" s="109" t="str">
        <f t="shared" si="2303"/>
        <v>1Q16</v>
      </c>
      <c r="BM1182" s="109" t="str">
        <f t="shared" si="2303"/>
        <v>2Q16</v>
      </c>
      <c r="BN1182" s="109" t="str">
        <f t="shared" si="2303"/>
        <v>3Q16</v>
      </c>
      <c r="BO1182" s="109" t="str">
        <f t="shared" si="2303"/>
        <v>4Q16</v>
      </c>
      <c r="BP1182" s="110">
        <f t="shared" si="2303"/>
        <v>2016</v>
      </c>
      <c r="BQ1182" s="109" t="str">
        <f t="shared" si="2303"/>
        <v>1Q17</v>
      </c>
      <c r="BR1182" s="109" t="str">
        <f t="shared" si="2303"/>
        <v>2Q17</v>
      </c>
      <c r="BS1182" s="109" t="str">
        <f t="shared" si="2303"/>
        <v>3Q17</v>
      </c>
      <c r="BT1182" s="109" t="str">
        <f t="shared" si="2303"/>
        <v>4Q17A</v>
      </c>
      <c r="BU1182" s="3347" t="str">
        <f t="shared" si="2303"/>
        <v>2017A</v>
      </c>
      <c r="BV1182" s="109" t="str">
        <f t="shared" si="2303"/>
        <v>1Q18E</v>
      </c>
      <c r="BW1182" s="109" t="str">
        <f t="shared" si="2303"/>
        <v>2Q18E</v>
      </c>
      <c r="BX1182" s="109" t="str">
        <f t="shared" si="2303"/>
        <v>3Q18E</v>
      </c>
      <c r="BY1182" s="109" t="str">
        <f t="shared" si="2303"/>
        <v>4Q18E</v>
      </c>
      <c r="BZ1182" s="110" t="str">
        <f t="shared" si="2303"/>
        <v>2018E</v>
      </c>
      <c r="CA1182" s="110" t="str">
        <f t="shared" si="2303"/>
        <v>2019E</v>
      </c>
      <c r="CB1182" s="110" t="str">
        <f t="shared" si="2303"/>
        <v>2020E</v>
      </c>
      <c r="CC1182" s="110" t="str">
        <f t="shared" si="2303"/>
        <v>2021E</v>
      </c>
      <c r="CD1182" s="110" t="str">
        <f t="shared" si="2303"/>
        <v>2022E</v>
      </c>
      <c r="CE1182" s="110" t="str">
        <f t="shared" si="2303"/>
        <v>2023E</v>
      </c>
      <c r="CF1182" s="110" t="str">
        <f t="shared" si="2303"/>
        <v>2024E</v>
      </c>
      <c r="CG1182" s="110" t="str">
        <f t="shared" si="2303"/>
        <v>2025E</v>
      </c>
      <c r="CH1182" s="247"/>
      <c r="CI1182" s="247" t="s">
        <v>17</v>
      </c>
      <c r="CJ1182" s="247">
        <v>1550</v>
      </c>
      <c r="CK1182" s="247"/>
      <c r="CL1182" s="247"/>
      <c r="CM1182" s="247"/>
      <c r="CN1182" s="247"/>
      <c r="CO1182" s="247"/>
      <c r="CP1182" s="235" t="str">
        <f t="shared" si="2176"/>
        <v>OTHER STATISTICS</v>
      </c>
      <c r="CQ1182" s="109">
        <f t="shared" si="2177"/>
        <v>2004</v>
      </c>
      <c r="CR1182" s="109">
        <f t="shared" si="2178"/>
        <v>2005</v>
      </c>
      <c r="CS1182" s="109">
        <f t="shared" si="2179"/>
        <v>2006</v>
      </c>
      <c r="CT1182" s="109">
        <f t="shared" si="2180"/>
        <v>2007</v>
      </c>
      <c r="CU1182" s="109">
        <f t="shared" si="2181"/>
        <v>2008</v>
      </c>
      <c r="CV1182" s="109">
        <f t="shared" si="2182"/>
        <v>2009</v>
      </c>
      <c r="CW1182" s="109">
        <f t="shared" si="2183"/>
        <v>2010</v>
      </c>
      <c r="CX1182" s="109">
        <f t="shared" si="2184"/>
        <v>2011</v>
      </c>
      <c r="CY1182" s="109">
        <f t="shared" si="2185"/>
        <v>2012</v>
      </c>
      <c r="CZ1182" s="109">
        <f t="shared" si="2186"/>
        <v>2013</v>
      </c>
      <c r="DA1182" s="109">
        <f t="shared" si="2187"/>
        <v>2014</v>
      </c>
      <c r="DB1182" s="109">
        <f t="shared" si="2188"/>
        <v>2015</v>
      </c>
      <c r="DC1182" s="109">
        <f t="shared" si="2189"/>
        <v>2016</v>
      </c>
      <c r="DD1182" s="109" t="str">
        <f t="shared" si="2190"/>
        <v>2017A</v>
      </c>
      <c r="DE1182" s="109" t="str">
        <f t="shared" si="2191"/>
        <v>2018E</v>
      </c>
      <c r="DF1182" s="109" t="str">
        <f t="shared" si="2192"/>
        <v>2019E</v>
      </c>
      <c r="DG1182" s="1772" t="str">
        <f t="shared" si="2193"/>
        <v>2020E</v>
      </c>
      <c r="DH1182" s="239"/>
      <c r="DI1182" s="240"/>
      <c r="DJ1182" s="240"/>
      <c r="DK1182" s="240"/>
      <c r="DL1182" s="240"/>
      <c r="DM1182" s="240"/>
      <c r="DN1182" s="240"/>
      <c r="DO1182" s="226"/>
      <c r="DY1182" s="244"/>
      <c r="DZ1182" s="244"/>
    </row>
    <row r="1183" spans="1:130" ht="12" customHeight="1">
      <c r="A1183" s="844"/>
      <c r="B1183" s="844"/>
      <c r="C1183" s="844"/>
      <c r="D1183" s="913"/>
      <c r="E1183" s="914"/>
      <c r="F1183" s="914"/>
      <c r="G1183" s="914"/>
      <c r="H1183" s="915"/>
      <c r="I1183" s="914"/>
      <c r="J1183" s="914"/>
      <c r="K1183" s="914"/>
      <c r="L1183" s="914"/>
      <c r="M1183" s="915"/>
      <c r="N1183" s="914"/>
      <c r="O1183" s="914"/>
      <c r="P1183" s="914"/>
      <c r="Q1183" s="914"/>
      <c r="R1183" s="915"/>
      <c r="S1183" s="914"/>
      <c r="T1183" s="914"/>
      <c r="U1183" s="914"/>
      <c r="V1183" s="914"/>
      <c r="W1183" s="915"/>
      <c r="X1183" s="914"/>
      <c r="Y1183" s="914"/>
      <c r="Z1183" s="914"/>
      <c r="AA1183" s="914"/>
      <c r="AB1183" s="915"/>
      <c r="AC1183" s="914"/>
      <c r="AD1183" s="914"/>
      <c r="AE1183" s="914"/>
      <c r="AF1183" s="914"/>
      <c r="AG1183" s="915"/>
      <c r="AH1183" s="914"/>
      <c r="AI1183" s="914"/>
      <c r="AJ1183" s="914"/>
      <c r="AK1183" s="914"/>
      <c r="AL1183" s="915"/>
      <c r="AM1183" s="914"/>
      <c r="AN1183" s="914"/>
      <c r="AO1183" s="914"/>
      <c r="AP1183" s="914"/>
      <c r="AQ1183" s="915"/>
      <c r="AR1183" s="914"/>
      <c r="AS1183" s="914"/>
      <c r="AT1183" s="914"/>
      <c r="AU1183" s="914"/>
      <c r="AV1183" s="915"/>
      <c r="AW1183" s="914"/>
      <c r="AX1183" s="914"/>
      <c r="AY1183" s="914"/>
      <c r="AZ1183" s="914"/>
      <c r="BA1183" s="915"/>
      <c r="BB1183" s="914"/>
      <c r="BC1183" s="914"/>
      <c r="BD1183" s="914"/>
      <c r="BE1183" s="914"/>
      <c r="BF1183" s="1551"/>
      <c r="BG1183" s="2967"/>
      <c r="BH1183" s="2968"/>
      <c r="BI1183" s="2968"/>
      <c r="BJ1183" s="2969"/>
      <c r="BK1183" s="915"/>
      <c r="BL1183" s="2968"/>
      <c r="BM1183" s="2968"/>
      <c r="BN1183" s="2968"/>
      <c r="BO1183" s="2969"/>
      <c r="BP1183" s="915"/>
      <c r="BQ1183" s="2968"/>
      <c r="BR1183" s="2968"/>
      <c r="BS1183" s="2968"/>
      <c r="BT1183" s="2969"/>
      <c r="BU1183" s="3446"/>
      <c r="BV1183" s="2968"/>
      <c r="BW1183" s="2968"/>
      <c r="BX1183" s="2968"/>
      <c r="BY1183" s="2968"/>
      <c r="BZ1183" s="915"/>
      <c r="CA1183" s="915"/>
      <c r="CB1183" s="915"/>
      <c r="CC1183" s="915"/>
      <c r="CD1183" s="915"/>
      <c r="CE1183" s="915"/>
      <c r="CF1183" s="915"/>
      <c r="CG1183" s="915"/>
      <c r="CH1183" s="914"/>
      <c r="CI1183" s="914"/>
      <c r="CJ1183" s="1988">
        <f>+CJ1178/CJ1182</f>
        <v>5.2689229032258068E-2</v>
      </c>
      <c r="CK1183" s="914"/>
      <c r="CL1183" s="914"/>
      <c r="CM1183" s="914"/>
      <c r="CN1183" s="914"/>
      <c r="CO1183" s="914"/>
      <c r="CP1183" s="996"/>
      <c r="CQ1183" s="1770"/>
      <c r="CR1183" s="1770"/>
      <c r="CS1183" s="1770"/>
      <c r="CT1183" s="1770"/>
      <c r="CU1183" s="1770"/>
      <c r="CV1183" s="1770"/>
      <c r="CW1183" s="1770"/>
      <c r="CX1183" s="1770"/>
      <c r="CY1183" s="1770"/>
      <c r="CZ1183" s="1770"/>
      <c r="DA1183" s="1770"/>
      <c r="DB1183" s="1770"/>
      <c r="DC1183" s="1770"/>
      <c r="DD1183" s="1770"/>
      <c r="DE1183" s="1770"/>
      <c r="DF1183" s="1770"/>
      <c r="DG1183" s="1929"/>
      <c r="DH1183" s="850"/>
      <c r="DI1183" s="850"/>
      <c r="DJ1183" s="850"/>
      <c r="DK1183" s="850"/>
      <c r="DL1183" s="850"/>
      <c r="DM1183" s="850"/>
      <c r="DN1183" s="319"/>
      <c r="DO1183" s="320"/>
      <c r="DY1183" s="914"/>
      <c r="DZ1183" s="914"/>
    </row>
    <row r="1184" spans="1:130" ht="12" customHeight="1">
      <c r="A1184" s="242" t="s">
        <v>641</v>
      </c>
      <c r="B1184" s="445"/>
      <c r="C1184" s="445"/>
      <c r="D1184" s="596"/>
      <c r="E1184" s="570"/>
      <c r="F1184" s="570"/>
      <c r="G1184" s="570"/>
      <c r="H1184" s="569"/>
      <c r="I1184" s="570"/>
      <c r="J1184" s="570"/>
      <c r="K1184" s="570"/>
      <c r="L1184" s="570"/>
      <c r="M1184" s="569"/>
      <c r="N1184" s="570"/>
      <c r="O1184" s="570"/>
      <c r="P1184" s="570"/>
      <c r="Q1184" s="570"/>
      <c r="R1184" s="569"/>
      <c r="S1184" s="570"/>
      <c r="T1184" s="570"/>
      <c r="U1184" s="570"/>
      <c r="V1184" s="570"/>
      <c r="W1184" s="569"/>
      <c r="X1184" s="570"/>
      <c r="Y1184" s="570"/>
      <c r="Z1184" s="570"/>
      <c r="AA1184" s="570"/>
      <c r="AB1184" s="569"/>
      <c r="AC1184" s="570"/>
      <c r="AD1184" s="570"/>
      <c r="AE1184" s="570"/>
      <c r="AF1184" s="570"/>
      <c r="AG1184" s="569"/>
      <c r="AH1184" s="570"/>
      <c r="AI1184" s="570"/>
      <c r="AJ1184" s="570"/>
      <c r="AK1184" s="570"/>
      <c r="AL1184" s="569"/>
      <c r="AM1184" s="570"/>
      <c r="AN1184" s="570"/>
      <c r="AO1184" s="570"/>
      <c r="AP1184" s="570"/>
      <c r="AQ1184" s="569"/>
      <c r="AR1184" s="570"/>
      <c r="AS1184" s="570"/>
      <c r="AT1184" s="570"/>
      <c r="AU1184" s="570"/>
      <c r="AV1184" s="569"/>
      <c r="AW1184" s="570"/>
      <c r="AX1184" s="570"/>
      <c r="AY1184" s="570"/>
      <c r="AZ1184" s="570"/>
      <c r="BA1184" s="569"/>
      <c r="BB1184" s="570"/>
      <c r="BC1184" s="570"/>
      <c r="BD1184" s="570"/>
      <c r="BE1184" s="570"/>
      <c r="BF1184" s="569"/>
      <c r="BG1184" s="596"/>
      <c r="BH1184" s="570"/>
      <c r="BI1184" s="570"/>
      <c r="BJ1184" s="2807"/>
      <c r="BK1184" s="569"/>
      <c r="BL1184" s="570"/>
      <c r="BM1184" s="570"/>
      <c r="BN1184" s="570"/>
      <c r="BO1184" s="2807"/>
      <c r="BP1184" s="569"/>
      <c r="BQ1184" s="570"/>
      <c r="BR1184" s="570"/>
      <c r="BS1184" s="570"/>
      <c r="BT1184" s="2807"/>
      <c r="BU1184" s="3378"/>
      <c r="BV1184" s="570"/>
      <c r="BW1184" s="570"/>
      <c r="BX1184" s="570"/>
      <c r="BY1184" s="570"/>
      <c r="BZ1184" s="569"/>
      <c r="CA1184" s="569"/>
      <c r="CB1184" s="569"/>
      <c r="CC1184" s="569"/>
      <c r="CD1184" s="569"/>
      <c r="CE1184" s="569"/>
      <c r="CF1184" s="569"/>
      <c r="CG1184" s="569"/>
      <c r="CH1184" s="570"/>
      <c r="CI1184" s="570"/>
      <c r="CJ1184" s="570"/>
      <c r="CK1184" s="570"/>
      <c r="CL1184" s="570"/>
      <c r="CM1184" s="570"/>
      <c r="CN1184" s="570"/>
      <c r="CO1184" s="570"/>
      <c r="CP1184" s="977" t="str">
        <f t="shared" si="2176"/>
        <v>Depreciation Summary</v>
      </c>
      <c r="CQ1184" s="592"/>
      <c r="CR1184" s="592"/>
      <c r="CS1184" s="592"/>
      <c r="CT1184" s="592"/>
      <c r="CU1184" s="592"/>
      <c r="CV1184" s="592"/>
      <c r="CW1184" s="592"/>
      <c r="CX1184" s="592"/>
      <c r="CY1184" s="592"/>
      <c r="CZ1184" s="592"/>
      <c r="DA1184" s="592"/>
      <c r="DB1184" s="592"/>
      <c r="DC1184" s="592"/>
      <c r="DD1184" s="592"/>
      <c r="DE1184" s="592"/>
      <c r="DF1184" s="592"/>
      <c r="DG1184" s="1850"/>
      <c r="DH1184" s="570"/>
      <c r="DI1184" s="570"/>
      <c r="DJ1184" s="570"/>
      <c r="DK1184" s="570"/>
      <c r="DL1184" s="570"/>
      <c r="DM1184" s="570"/>
      <c r="DN1184" s="222"/>
      <c r="DO1184" s="226"/>
      <c r="DY1184" s="570"/>
      <c r="DZ1184" s="570"/>
    </row>
    <row r="1185" spans="1:132" ht="12" customHeight="1">
      <c r="A1185" s="282" t="s">
        <v>1538</v>
      </c>
      <c r="B1185" s="445"/>
      <c r="C1185" s="445"/>
      <c r="D1185" s="580">
        <f>D214</f>
        <v>3.6819999999999999</v>
      </c>
      <c r="E1185" s="581">
        <f>E214</f>
        <v>3.6869999999999998</v>
      </c>
      <c r="F1185" s="581">
        <f>F214</f>
        <v>3.6560000000000001</v>
      </c>
      <c r="G1185" s="581">
        <f>G214</f>
        <v>3.7069999999999999</v>
      </c>
      <c r="H1185" s="588">
        <f>SUM(D1185:G1185)</f>
        <v>14.731999999999999</v>
      </c>
      <c r="I1185" s="581">
        <f>I214</f>
        <v>3.6579999999999999</v>
      </c>
      <c r="J1185" s="581">
        <f>J214</f>
        <v>3.383</v>
      </c>
      <c r="K1185" s="581">
        <f>K214</f>
        <v>3.4249999999999998</v>
      </c>
      <c r="L1185" s="581">
        <f>L214</f>
        <v>3.4590000000000001</v>
      </c>
      <c r="M1185" s="588">
        <f>SUM(I1185:L1185)</f>
        <v>13.925000000000001</v>
      </c>
      <c r="N1185" s="581">
        <f>N214</f>
        <v>2.0249999999999999</v>
      </c>
      <c r="O1185" s="581">
        <f>O214</f>
        <v>2.0249999999999999</v>
      </c>
      <c r="P1185" s="581">
        <f>P214</f>
        <v>2.0249999999999999</v>
      </c>
      <c r="Q1185" s="581">
        <f>Q214</f>
        <v>2.0249999999999999</v>
      </c>
      <c r="R1185" s="588">
        <f>SUM(N1185:Q1185)</f>
        <v>8.1</v>
      </c>
      <c r="S1185" s="581"/>
      <c r="T1185" s="581"/>
      <c r="U1185" s="581"/>
      <c r="V1185" s="581"/>
      <c r="W1185" s="588"/>
      <c r="X1185" s="581"/>
      <c r="Y1185" s="581"/>
      <c r="Z1185" s="581"/>
      <c r="AA1185" s="581"/>
      <c r="AB1185" s="588"/>
      <c r="AC1185" s="581"/>
      <c r="AD1185" s="581"/>
      <c r="AE1185" s="581"/>
      <c r="AF1185" s="581"/>
      <c r="AG1185" s="588"/>
      <c r="AH1185" s="581"/>
      <c r="AI1185" s="581"/>
      <c r="AJ1185" s="581"/>
      <c r="AK1185" s="581"/>
      <c r="AL1185" s="588"/>
      <c r="AM1185" s="581"/>
      <c r="AN1185" s="581"/>
      <c r="AO1185" s="581"/>
      <c r="AP1185" s="581"/>
      <c r="AQ1185" s="588"/>
      <c r="AR1185" s="581"/>
      <c r="AS1185" s="581"/>
      <c r="AT1185" s="581"/>
      <c r="AU1185" s="581"/>
      <c r="AV1185" s="588"/>
      <c r="AW1185" s="581"/>
      <c r="AX1185" s="581"/>
      <c r="AY1185" s="581"/>
      <c r="AZ1185" s="581"/>
      <c r="BA1185" s="588"/>
      <c r="BB1185" s="570"/>
      <c r="BC1185" s="581"/>
      <c r="BD1185" s="581"/>
      <c r="BE1185" s="581"/>
      <c r="BF1185" s="588"/>
      <c r="BG1185" s="580"/>
      <c r="BH1185" s="581"/>
      <c r="BI1185" s="581"/>
      <c r="BJ1185" s="869"/>
      <c r="BK1185" s="588"/>
      <c r="BL1185" s="581"/>
      <c r="BM1185" s="581"/>
      <c r="BN1185" s="581"/>
      <c r="BO1185" s="869"/>
      <c r="BP1185" s="588"/>
      <c r="BQ1185" s="581"/>
      <c r="BR1185" s="581"/>
      <c r="BS1185" s="581"/>
      <c r="BT1185" s="869"/>
      <c r="BU1185" s="3376"/>
      <c r="BV1185" s="581"/>
      <c r="BW1185" s="581"/>
      <c r="BX1185" s="581"/>
      <c r="BY1185" s="581"/>
      <c r="BZ1185" s="588"/>
      <c r="CA1185" s="588"/>
      <c r="CB1185" s="588"/>
      <c r="CC1185" s="588"/>
      <c r="CD1185" s="588"/>
      <c r="CE1185" s="588"/>
      <c r="CF1185" s="588"/>
      <c r="CG1185" s="588"/>
      <c r="CH1185" s="2693"/>
      <c r="CI1185" s="2693"/>
      <c r="CJ1185" s="2693"/>
      <c r="CK1185" s="2693"/>
      <c r="CL1185" s="581"/>
      <c r="CM1185" s="581"/>
      <c r="CN1185" s="581"/>
      <c r="CO1185" s="581"/>
      <c r="CP1185" s="1003" t="str">
        <f t="shared" si="2176"/>
        <v>Stardust / Echelon</v>
      </c>
      <c r="CQ1185" s="581">
        <f t="shared" si="2177"/>
        <v>14.731999999999999</v>
      </c>
      <c r="CR1185" s="581">
        <f t="shared" si="2178"/>
        <v>13.925000000000001</v>
      </c>
      <c r="CS1185" s="581">
        <f t="shared" si="2179"/>
        <v>8.1</v>
      </c>
      <c r="CT1185" s="581">
        <f t="shared" si="2180"/>
        <v>0</v>
      </c>
      <c r="CU1185" s="581">
        <f t="shared" si="2181"/>
        <v>0</v>
      </c>
      <c r="CV1185" s="581">
        <f t="shared" si="2182"/>
        <v>0</v>
      </c>
      <c r="CW1185" s="581">
        <f t="shared" si="2183"/>
        <v>0</v>
      </c>
      <c r="CX1185" s="581">
        <f t="shared" si="2184"/>
        <v>0</v>
      </c>
      <c r="CY1185" s="581">
        <f t="shared" si="2185"/>
        <v>0</v>
      </c>
      <c r="CZ1185" s="581">
        <f t="shared" si="2186"/>
        <v>0</v>
      </c>
      <c r="DA1185" s="581">
        <f t="shared" si="2187"/>
        <v>0</v>
      </c>
      <c r="DB1185" s="581">
        <f t="shared" si="2188"/>
        <v>0</v>
      </c>
      <c r="DC1185" s="581">
        <f t="shared" si="2189"/>
        <v>0</v>
      </c>
      <c r="DD1185" s="581">
        <f t="shared" si="2190"/>
        <v>0</v>
      </c>
      <c r="DE1185" s="581">
        <f t="shared" si="2191"/>
        <v>0</v>
      </c>
      <c r="DF1185" s="581">
        <f t="shared" si="2192"/>
        <v>0</v>
      </c>
      <c r="DG1185" s="869">
        <f t="shared" si="2193"/>
        <v>0</v>
      </c>
      <c r="DH1185" s="589"/>
      <c r="DI1185" s="570"/>
      <c r="DJ1185" s="570"/>
      <c r="DK1185" s="570"/>
      <c r="DL1185" s="570"/>
      <c r="DM1185" s="570"/>
      <c r="DN1185" s="222"/>
      <c r="DO1185" s="226"/>
      <c r="DY1185" s="581"/>
      <c r="DZ1185" s="581"/>
    </row>
    <row r="1186" spans="1:132" ht="12" customHeight="1">
      <c r="A1186" s="282" t="s">
        <v>494</v>
      </c>
      <c r="B1186" s="445"/>
      <c r="C1186" s="445"/>
      <c r="D1186" s="625">
        <f>D316</f>
        <v>4.6790000000000003</v>
      </c>
      <c r="E1186" s="626">
        <f>E316</f>
        <v>4.7989999999999995</v>
      </c>
      <c r="F1186" s="626">
        <f>F316</f>
        <v>19.216999999999999</v>
      </c>
      <c r="G1186" s="626">
        <f>G316</f>
        <v>19.722000000000001</v>
      </c>
      <c r="H1186" s="788">
        <f>SUM(D1186:G1186)</f>
        <v>48.417000000000002</v>
      </c>
      <c r="I1186" s="626">
        <f>I316</f>
        <v>19.676000000000002</v>
      </c>
      <c r="J1186" s="626">
        <f>J316</f>
        <v>19.794</v>
      </c>
      <c r="K1186" s="626">
        <f>K316</f>
        <v>18.585999999999999</v>
      </c>
      <c r="L1186" s="626">
        <f>L316</f>
        <v>20.274999999999999</v>
      </c>
      <c r="M1186" s="788">
        <f>SUM(I1186:L1186)</f>
        <v>78.330999999999989</v>
      </c>
      <c r="N1186" s="626">
        <f>N316</f>
        <v>0</v>
      </c>
      <c r="O1186" s="626">
        <f>O316</f>
        <v>0</v>
      </c>
      <c r="P1186" s="626">
        <f>P316</f>
        <v>0</v>
      </c>
      <c r="Q1186" s="626">
        <f>Q316</f>
        <v>0</v>
      </c>
      <c r="R1186" s="788">
        <f>SUM(N1186:Q1186)</f>
        <v>0</v>
      </c>
      <c r="S1186" s="626">
        <f>S316</f>
        <v>0</v>
      </c>
      <c r="T1186" s="626">
        <f>T316</f>
        <v>0</v>
      </c>
      <c r="U1186" s="626">
        <f>U316</f>
        <v>0</v>
      </c>
      <c r="V1186" s="626">
        <f>V316</f>
        <v>0</v>
      </c>
      <c r="W1186" s="788">
        <f>SUM(S1186:V1186)</f>
        <v>0</v>
      </c>
      <c r="X1186" s="626">
        <f>X316</f>
        <v>0</v>
      </c>
      <c r="Y1186" s="626">
        <f>Y316</f>
        <v>0</v>
      </c>
      <c r="Z1186" s="626">
        <f>Z316</f>
        <v>0</v>
      </c>
      <c r="AA1186" s="626">
        <f>AA316</f>
        <v>0</v>
      </c>
      <c r="AB1186" s="788">
        <f>SUM(X1186:AA1186)</f>
        <v>0</v>
      </c>
      <c r="AC1186" s="626">
        <f>AC316</f>
        <v>0</v>
      </c>
      <c r="AD1186" s="626">
        <f>AD316</f>
        <v>0</v>
      </c>
      <c r="AE1186" s="626">
        <f>AE316</f>
        <v>0</v>
      </c>
      <c r="AF1186" s="626">
        <f>AF316</f>
        <v>0</v>
      </c>
      <c r="AG1186" s="788">
        <f>SUM(AC1186:AF1186)</f>
        <v>0</v>
      </c>
      <c r="AH1186" s="626">
        <f>AH316</f>
        <v>0</v>
      </c>
      <c r="AI1186" s="626">
        <f>AI316</f>
        <v>0</v>
      </c>
      <c r="AJ1186" s="626">
        <f>AJ316</f>
        <v>0</v>
      </c>
      <c r="AK1186" s="626">
        <f>AK316</f>
        <v>0</v>
      </c>
      <c r="AL1186" s="788">
        <f>SUM(AH1186:AK1186)</f>
        <v>0</v>
      </c>
      <c r="AM1186" s="626">
        <f>AM316</f>
        <v>0</v>
      </c>
      <c r="AN1186" s="626">
        <f>AN316</f>
        <v>0</v>
      </c>
      <c r="AO1186" s="626">
        <f>AO316</f>
        <v>0</v>
      </c>
      <c r="AP1186" s="626">
        <f>AP316</f>
        <v>0</v>
      </c>
      <c r="AQ1186" s="788">
        <f>SUM(AM1186:AP1186)</f>
        <v>0</v>
      </c>
      <c r="AR1186" s="626">
        <f>AM1186</f>
        <v>0</v>
      </c>
      <c r="AS1186" s="626">
        <f>AR1186</f>
        <v>0</v>
      </c>
      <c r="AT1186" s="626">
        <f>AS1186</f>
        <v>0</v>
      </c>
      <c r="AU1186" s="626">
        <f>AT1186</f>
        <v>0</v>
      </c>
      <c r="AV1186" s="788">
        <f>SUM(AR1186:AU1186)</f>
        <v>0</v>
      </c>
      <c r="AW1186" s="626">
        <f t="shared" ref="AW1186:AW1191" si="2304">AR1186</f>
        <v>0</v>
      </c>
      <c r="AX1186" s="626">
        <f t="shared" ref="AX1186:AZ1191" si="2305">AS1186</f>
        <v>0</v>
      </c>
      <c r="AY1186" s="626">
        <f t="shared" si="2305"/>
        <v>0</v>
      </c>
      <c r="AZ1186" s="626">
        <f t="shared" si="2305"/>
        <v>0</v>
      </c>
      <c r="BA1186" s="788">
        <f>SUM(AW1186:AZ1186)</f>
        <v>0</v>
      </c>
      <c r="BB1186" s="626">
        <f t="shared" ref="BB1186:BE1188" si="2306">AW1186</f>
        <v>0</v>
      </c>
      <c r="BC1186" s="626">
        <f t="shared" si="2306"/>
        <v>0</v>
      </c>
      <c r="BD1186" s="626">
        <f t="shared" si="2306"/>
        <v>0</v>
      </c>
      <c r="BE1186" s="626">
        <f t="shared" si="2306"/>
        <v>0</v>
      </c>
      <c r="BF1186" s="788">
        <f>SUM(BB1186:BE1186)</f>
        <v>0</v>
      </c>
      <c r="BG1186" s="625">
        <f t="shared" ref="BG1186:BI1188" si="2307">BB1186</f>
        <v>0</v>
      </c>
      <c r="BH1186" s="626">
        <f t="shared" si="2307"/>
        <v>0</v>
      </c>
      <c r="BI1186" s="626">
        <f t="shared" si="2307"/>
        <v>0</v>
      </c>
      <c r="BJ1186" s="1893">
        <f>BE1186</f>
        <v>0</v>
      </c>
      <c r="BK1186" s="788">
        <f>SUM(BG1186:BJ1186)</f>
        <v>0</v>
      </c>
      <c r="BL1186" s="626">
        <f t="shared" ref="BL1186:BM1188" si="2308">BG1186</f>
        <v>0</v>
      </c>
      <c r="BM1186" s="626">
        <f t="shared" si="2308"/>
        <v>0</v>
      </c>
      <c r="BN1186" s="626">
        <f t="shared" ref="BN1186:BO1188" si="2309">BI1186</f>
        <v>0</v>
      </c>
      <c r="BO1186" s="1893">
        <f t="shared" si="2309"/>
        <v>0</v>
      </c>
      <c r="BP1186" s="788">
        <f>SUM(BL1186:BO1186)</f>
        <v>0</v>
      </c>
      <c r="BQ1186" s="626">
        <f>BL1186</f>
        <v>0</v>
      </c>
      <c r="BR1186" s="626">
        <f>BM1186</f>
        <v>0</v>
      </c>
      <c r="BS1186" s="626">
        <f>BN1186</f>
        <v>0</v>
      </c>
      <c r="BT1186" s="1893">
        <f>BO1186</f>
        <v>0</v>
      </c>
      <c r="BU1186" s="3406">
        <f>SUM(BQ1186:BT1186)</f>
        <v>0</v>
      </c>
      <c r="BV1186" s="626">
        <f>BQ1186</f>
        <v>0</v>
      </c>
      <c r="BW1186" s="626">
        <f t="shared" ref="BW1186:BY1188" si="2310">BR1186</f>
        <v>0</v>
      </c>
      <c r="BX1186" s="626">
        <f>BS1186</f>
        <v>0</v>
      </c>
      <c r="BY1186" s="626">
        <f t="shared" si="2310"/>
        <v>0</v>
      </c>
      <c r="BZ1186" s="2503">
        <f>SUM(BV1186:BY1186)</f>
        <v>0</v>
      </c>
      <c r="CA1186" s="788">
        <f>BZ1186</f>
        <v>0</v>
      </c>
      <c r="CB1186" s="788">
        <f>CA1186</f>
        <v>0</v>
      </c>
      <c r="CC1186" s="788">
        <f t="shared" ref="CC1186:CG1188" si="2311">CB1186</f>
        <v>0</v>
      </c>
      <c r="CD1186" s="788">
        <f t="shared" si="2311"/>
        <v>0</v>
      </c>
      <c r="CE1186" s="788">
        <f t="shared" si="2311"/>
        <v>0</v>
      </c>
      <c r="CF1186" s="788">
        <f t="shared" si="2311"/>
        <v>0</v>
      </c>
      <c r="CG1186" s="788">
        <f t="shared" si="2311"/>
        <v>0</v>
      </c>
      <c r="CH1186" s="2694"/>
      <c r="CI1186" s="2694"/>
      <c r="CJ1186" s="2694"/>
      <c r="CK1186" s="2694"/>
      <c r="CL1186" s="626"/>
      <c r="CM1186" s="331"/>
      <c r="CN1186" s="331">
        <f t="shared" ref="CN1186:CN1195" si="2312">SUM(BV1186:BY1186)</f>
        <v>0</v>
      </c>
      <c r="CO1186" s="965">
        <f t="shared" ref="CO1186:CO1207" si="2313">CM1186-CN1186</f>
        <v>0</v>
      </c>
      <c r="CP1186" s="1003" t="str">
        <f t="shared" si="2176"/>
        <v>Las Vegas Locals</v>
      </c>
      <c r="CQ1186" s="626">
        <f t="shared" si="2177"/>
        <v>48.417000000000002</v>
      </c>
      <c r="CR1186" s="626">
        <f t="shared" si="2178"/>
        <v>78.330999999999989</v>
      </c>
      <c r="CS1186" s="626">
        <f t="shared" si="2179"/>
        <v>0</v>
      </c>
      <c r="CT1186" s="626">
        <f t="shared" si="2180"/>
        <v>0</v>
      </c>
      <c r="CU1186" s="626">
        <f t="shared" si="2181"/>
        <v>0</v>
      </c>
      <c r="CV1186" s="626">
        <f t="shared" si="2182"/>
        <v>0</v>
      </c>
      <c r="CW1186" s="626">
        <f t="shared" si="2183"/>
        <v>0</v>
      </c>
      <c r="CX1186" s="626">
        <f t="shared" si="2184"/>
        <v>0</v>
      </c>
      <c r="CY1186" s="626">
        <f t="shared" si="2185"/>
        <v>0</v>
      </c>
      <c r="CZ1186" s="626">
        <f t="shared" si="2186"/>
        <v>0</v>
      </c>
      <c r="DA1186" s="626">
        <f t="shared" si="2187"/>
        <v>0</v>
      </c>
      <c r="DB1186" s="626">
        <f t="shared" si="2188"/>
        <v>0</v>
      </c>
      <c r="DC1186" s="626">
        <f t="shared" si="2189"/>
        <v>0</v>
      </c>
      <c r="DD1186" s="626">
        <f t="shared" si="2190"/>
        <v>0</v>
      </c>
      <c r="DE1186" s="626">
        <f t="shared" si="2191"/>
        <v>0</v>
      </c>
      <c r="DF1186" s="626">
        <f t="shared" si="2192"/>
        <v>0</v>
      </c>
      <c r="DG1186" s="1893">
        <f t="shared" si="2193"/>
        <v>0</v>
      </c>
      <c r="DH1186" s="916"/>
      <c r="DI1186" s="570"/>
      <c r="DJ1186" s="570"/>
      <c r="DK1186" s="570"/>
      <c r="DL1186" s="570"/>
      <c r="DM1186" s="570"/>
      <c r="DN1186" s="222"/>
      <c r="DO1186" s="226"/>
      <c r="DY1186" s="626"/>
      <c r="DZ1186" s="626"/>
    </row>
    <row r="1187" spans="1:132" ht="12" customHeight="1">
      <c r="A1187" s="282" t="s">
        <v>396</v>
      </c>
      <c r="B1187" s="445"/>
      <c r="C1187" s="445"/>
      <c r="D1187" s="625">
        <f>D349</f>
        <v>3.7160000000000002</v>
      </c>
      <c r="E1187" s="626">
        <f>E349</f>
        <v>3.7130000000000001</v>
      </c>
      <c r="F1187" s="626">
        <f>F349</f>
        <v>3.8010000000000002</v>
      </c>
      <c r="G1187" s="626">
        <f>G349</f>
        <v>3.8650000000000002</v>
      </c>
      <c r="H1187" s="788">
        <f>SUM(D1187:G1187)</f>
        <v>15.095000000000001</v>
      </c>
      <c r="I1187" s="626">
        <f>I349</f>
        <v>3.7480000000000002</v>
      </c>
      <c r="J1187" s="626">
        <f>J349</f>
        <v>3.6110000000000002</v>
      </c>
      <c r="K1187" s="626">
        <f>K349</f>
        <v>3.8290000000000002</v>
      </c>
      <c r="L1187" s="626">
        <f>L349</f>
        <v>4.4210000000000003</v>
      </c>
      <c r="M1187" s="788">
        <f>SUM(I1187:L1187)</f>
        <v>15.609000000000002</v>
      </c>
      <c r="N1187" s="626">
        <f>N349</f>
        <v>0</v>
      </c>
      <c r="O1187" s="626">
        <f>O349</f>
        <v>0</v>
      </c>
      <c r="P1187" s="626">
        <f>P349</f>
        <v>0</v>
      </c>
      <c r="Q1187" s="626">
        <f>Q349</f>
        <v>0</v>
      </c>
      <c r="R1187" s="788">
        <f>SUM(N1187:Q1187)</f>
        <v>0</v>
      </c>
      <c r="S1187" s="626">
        <f>S349</f>
        <v>0</v>
      </c>
      <c r="T1187" s="626">
        <f>T349</f>
        <v>0</v>
      </c>
      <c r="U1187" s="626">
        <f>U349</f>
        <v>0</v>
      </c>
      <c r="V1187" s="626">
        <f>V349</f>
        <v>0</v>
      </c>
      <c r="W1187" s="788">
        <f>SUM(S1187:V1187)</f>
        <v>0</v>
      </c>
      <c r="X1187" s="626">
        <f>X349</f>
        <v>0</v>
      </c>
      <c r="Y1187" s="626">
        <f>Y349</f>
        <v>0</v>
      </c>
      <c r="Z1187" s="626">
        <f>Z349</f>
        <v>0</v>
      </c>
      <c r="AA1187" s="626">
        <f>AA349</f>
        <v>0</v>
      </c>
      <c r="AB1187" s="788">
        <f>SUM(X1187:AA1187)</f>
        <v>0</v>
      </c>
      <c r="AC1187" s="626">
        <f>AC349</f>
        <v>0</v>
      </c>
      <c r="AD1187" s="626">
        <f>AD349</f>
        <v>0</v>
      </c>
      <c r="AE1187" s="626">
        <f>AE349</f>
        <v>0</v>
      </c>
      <c r="AF1187" s="626">
        <f>AF349</f>
        <v>0</v>
      </c>
      <c r="AG1187" s="788">
        <f>SUM(AC1187:AF1187)</f>
        <v>0</v>
      </c>
      <c r="AH1187" s="626">
        <f>AH349</f>
        <v>0</v>
      </c>
      <c r="AI1187" s="626">
        <f>AI349</f>
        <v>0</v>
      </c>
      <c r="AJ1187" s="626">
        <f>AJ349</f>
        <v>0</v>
      </c>
      <c r="AK1187" s="626">
        <f>AK349</f>
        <v>0</v>
      </c>
      <c r="AL1187" s="788">
        <f>SUM(AH1187:AK1187)</f>
        <v>0</v>
      </c>
      <c r="AM1187" s="626">
        <f>AM349</f>
        <v>0</v>
      </c>
      <c r="AN1187" s="626">
        <f>AN349</f>
        <v>0</v>
      </c>
      <c r="AO1187" s="626">
        <f>AO349</f>
        <v>0</v>
      </c>
      <c r="AP1187" s="626">
        <f>AP349</f>
        <v>0</v>
      </c>
      <c r="AQ1187" s="788">
        <f>SUM(AM1187:AP1187)</f>
        <v>0</v>
      </c>
      <c r="AR1187" s="626">
        <f>AM1187</f>
        <v>0</v>
      </c>
      <c r="AS1187" s="626">
        <f t="shared" ref="AS1187:AU1188" si="2314">AR1187</f>
        <v>0</v>
      </c>
      <c r="AT1187" s="626">
        <f t="shared" si="2314"/>
        <v>0</v>
      </c>
      <c r="AU1187" s="626">
        <f t="shared" si="2314"/>
        <v>0</v>
      </c>
      <c r="AV1187" s="788">
        <f t="shared" ref="AV1187:AV1195" si="2315">SUM(AR1187:AU1187)</f>
        <v>0</v>
      </c>
      <c r="AW1187" s="626">
        <f t="shared" si="2304"/>
        <v>0</v>
      </c>
      <c r="AX1187" s="626">
        <f t="shared" si="2305"/>
        <v>0</v>
      </c>
      <c r="AY1187" s="626">
        <f t="shared" si="2305"/>
        <v>0</v>
      </c>
      <c r="AZ1187" s="626">
        <f t="shared" si="2305"/>
        <v>0</v>
      </c>
      <c r="BA1187" s="788">
        <f t="shared" ref="BA1187:BA1195" si="2316">SUM(AW1187:AZ1187)</f>
        <v>0</v>
      </c>
      <c r="BB1187" s="626">
        <f t="shared" si="2306"/>
        <v>0</v>
      </c>
      <c r="BC1187" s="626">
        <f t="shared" si="2306"/>
        <v>0</v>
      </c>
      <c r="BD1187" s="626">
        <f t="shared" si="2306"/>
        <v>0</v>
      </c>
      <c r="BE1187" s="626">
        <f t="shared" si="2306"/>
        <v>0</v>
      </c>
      <c r="BF1187" s="788">
        <f t="shared" ref="BF1187:BF1195" si="2317">SUM(BB1187:BE1187)</f>
        <v>0</v>
      </c>
      <c r="BG1187" s="625">
        <f t="shared" si="2307"/>
        <v>0</v>
      </c>
      <c r="BH1187" s="626">
        <f t="shared" si="2307"/>
        <v>0</v>
      </c>
      <c r="BI1187" s="626">
        <f t="shared" si="2307"/>
        <v>0</v>
      </c>
      <c r="BJ1187" s="1893">
        <f>BE1187</f>
        <v>0</v>
      </c>
      <c r="BK1187" s="788">
        <f>SUM(BG1187:BJ1187)</f>
        <v>0</v>
      </c>
      <c r="BL1187" s="626">
        <f t="shared" si="2308"/>
        <v>0</v>
      </c>
      <c r="BM1187" s="626">
        <f t="shared" si="2308"/>
        <v>0</v>
      </c>
      <c r="BN1187" s="626">
        <f t="shared" si="2309"/>
        <v>0</v>
      </c>
      <c r="BO1187" s="1893">
        <f t="shared" si="2309"/>
        <v>0</v>
      </c>
      <c r="BP1187" s="788">
        <f>SUM(BL1187:BO1187)</f>
        <v>0</v>
      </c>
      <c r="BQ1187" s="626">
        <f t="shared" ref="BQ1187:BV1188" si="2318">BL1187</f>
        <v>0</v>
      </c>
      <c r="BR1187" s="626">
        <f t="shared" si="2318"/>
        <v>0</v>
      </c>
      <c r="BS1187" s="626">
        <f>BN1187</f>
        <v>0</v>
      </c>
      <c r="BT1187" s="1893">
        <f t="shared" si="2318"/>
        <v>0</v>
      </c>
      <c r="BU1187" s="3406">
        <f>SUM(BQ1187:BT1187)</f>
        <v>0</v>
      </c>
      <c r="BV1187" s="626">
        <f t="shared" si="2318"/>
        <v>0</v>
      </c>
      <c r="BW1187" s="626">
        <f t="shared" si="2310"/>
        <v>0</v>
      </c>
      <c r="BX1187" s="626">
        <f>BS1187</f>
        <v>0</v>
      </c>
      <c r="BY1187" s="626">
        <f t="shared" si="2310"/>
        <v>0</v>
      </c>
      <c r="BZ1187" s="2503">
        <f>SUM(BV1187:BY1187)</f>
        <v>0</v>
      </c>
      <c r="CA1187" s="788">
        <f t="shared" ref="CA1187:CB1192" si="2319">BZ1187</f>
        <v>0</v>
      </c>
      <c r="CB1187" s="788">
        <f t="shared" si="2319"/>
        <v>0</v>
      </c>
      <c r="CC1187" s="788">
        <f t="shared" si="2311"/>
        <v>0</v>
      </c>
      <c r="CD1187" s="788">
        <f t="shared" si="2311"/>
        <v>0</v>
      </c>
      <c r="CE1187" s="788">
        <f t="shared" si="2311"/>
        <v>0</v>
      </c>
      <c r="CF1187" s="788">
        <f t="shared" si="2311"/>
        <v>0</v>
      </c>
      <c r="CG1187" s="788">
        <f t="shared" si="2311"/>
        <v>0</v>
      </c>
      <c r="CH1187" s="2694"/>
      <c r="CI1187" s="2694"/>
      <c r="CJ1187" s="2694"/>
      <c r="CK1187" s="2694"/>
      <c r="CL1187" s="626"/>
      <c r="CM1187" s="331"/>
      <c r="CN1187" s="331">
        <f t="shared" si="2312"/>
        <v>0</v>
      </c>
      <c r="CO1187" s="965">
        <f t="shared" si="2313"/>
        <v>0</v>
      </c>
      <c r="CP1187" s="1003" t="str">
        <f t="shared" si="2176"/>
        <v>Downtown Properties</v>
      </c>
      <c r="CQ1187" s="626">
        <f t="shared" si="2177"/>
        <v>15.095000000000001</v>
      </c>
      <c r="CR1187" s="626">
        <f t="shared" si="2178"/>
        <v>15.609000000000002</v>
      </c>
      <c r="CS1187" s="626">
        <f t="shared" si="2179"/>
        <v>0</v>
      </c>
      <c r="CT1187" s="626">
        <f t="shared" si="2180"/>
        <v>0</v>
      </c>
      <c r="CU1187" s="626">
        <f t="shared" si="2181"/>
        <v>0</v>
      </c>
      <c r="CV1187" s="626">
        <f t="shared" si="2182"/>
        <v>0</v>
      </c>
      <c r="CW1187" s="626">
        <f t="shared" si="2183"/>
        <v>0</v>
      </c>
      <c r="CX1187" s="626">
        <f t="shared" si="2184"/>
        <v>0</v>
      </c>
      <c r="CY1187" s="626">
        <f t="shared" si="2185"/>
        <v>0</v>
      </c>
      <c r="CZ1187" s="626">
        <f t="shared" si="2186"/>
        <v>0</v>
      </c>
      <c r="DA1187" s="626">
        <f t="shared" si="2187"/>
        <v>0</v>
      </c>
      <c r="DB1187" s="626">
        <f t="shared" si="2188"/>
        <v>0</v>
      </c>
      <c r="DC1187" s="626">
        <f t="shared" si="2189"/>
        <v>0</v>
      </c>
      <c r="DD1187" s="626">
        <f t="shared" si="2190"/>
        <v>0</v>
      </c>
      <c r="DE1187" s="626">
        <f t="shared" si="2191"/>
        <v>0</v>
      </c>
      <c r="DF1187" s="626">
        <f t="shared" si="2192"/>
        <v>0</v>
      </c>
      <c r="DG1187" s="1893">
        <f t="shared" si="2193"/>
        <v>0</v>
      </c>
      <c r="DH1187" s="916"/>
      <c r="DI1187" s="570"/>
      <c r="DJ1187" s="570"/>
      <c r="DK1187" s="570"/>
      <c r="DL1187" s="570"/>
      <c r="DM1187" s="570"/>
      <c r="DN1187" s="222"/>
      <c r="DO1187" s="226"/>
      <c r="DY1187" s="626"/>
      <c r="DZ1187" s="626"/>
    </row>
    <row r="1188" spans="1:132" ht="12" customHeight="1">
      <c r="A1188" s="282" t="s">
        <v>1589</v>
      </c>
      <c r="B1188" s="445"/>
      <c r="C1188" s="445"/>
      <c r="D1188" s="625">
        <f>D513</f>
        <v>11.543999999999999</v>
      </c>
      <c r="E1188" s="626">
        <f>E513</f>
        <v>14.554</v>
      </c>
      <c r="F1188" s="626">
        <f>F513</f>
        <v>14.311</v>
      </c>
      <c r="G1188" s="626">
        <f>G513</f>
        <v>14.739000000000001</v>
      </c>
      <c r="H1188" s="788">
        <f>SUM(D1188:G1188)</f>
        <v>55.147999999999996</v>
      </c>
      <c r="I1188" s="626">
        <f>I513</f>
        <v>15.196</v>
      </c>
      <c r="J1188" s="626">
        <f>J513</f>
        <v>16.146999999999998</v>
      </c>
      <c r="K1188" s="626">
        <f>K513</f>
        <v>14.983000000000001</v>
      </c>
      <c r="L1188" s="626">
        <f>L513</f>
        <v>15.988</v>
      </c>
      <c r="M1188" s="788">
        <f>SUM(I1188:L1188)</f>
        <v>62.313999999999993</v>
      </c>
      <c r="N1188" s="626">
        <f>N513</f>
        <v>0</v>
      </c>
      <c r="O1188" s="626">
        <f>O513</f>
        <v>0</v>
      </c>
      <c r="P1188" s="626">
        <f>P513</f>
        <v>0</v>
      </c>
      <c r="Q1188" s="626">
        <f>Q513</f>
        <v>0</v>
      </c>
      <c r="R1188" s="788">
        <f>SUM(N1188:Q1188)</f>
        <v>0</v>
      </c>
      <c r="S1188" s="626">
        <f>S513</f>
        <v>0</v>
      </c>
      <c r="T1188" s="626">
        <f>T513</f>
        <v>0</v>
      </c>
      <c r="U1188" s="626">
        <f>U513</f>
        <v>0</v>
      </c>
      <c r="V1188" s="626">
        <f>V513</f>
        <v>0</v>
      </c>
      <c r="W1188" s="788">
        <f>SUM(S1188:V1188)</f>
        <v>0</v>
      </c>
      <c r="X1188" s="626">
        <f>X513</f>
        <v>0</v>
      </c>
      <c r="Y1188" s="626">
        <f>Y513</f>
        <v>0</v>
      </c>
      <c r="Z1188" s="626">
        <f>Z513</f>
        <v>0</v>
      </c>
      <c r="AA1188" s="626">
        <f>AA513</f>
        <v>0</v>
      </c>
      <c r="AB1188" s="788">
        <f>SUM(X1188:AA1188)</f>
        <v>0</v>
      </c>
      <c r="AC1188" s="626">
        <f>AC513</f>
        <v>0</v>
      </c>
      <c r="AD1188" s="626">
        <f>AD513</f>
        <v>0</v>
      </c>
      <c r="AE1188" s="626">
        <f>AE513</f>
        <v>0</v>
      </c>
      <c r="AF1188" s="626">
        <f>AF513</f>
        <v>0</v>
      </c>
      <c r="AG1188" s="788">
        <f>SUM(AC1188:AF1188)</f>
        <v>0</v>
      </c>
      <c r="AH1188" s="626">
        <f>AH513</f>
        <v>0.48414071913892776</v>
      </c>
      <c r="AI1188" s="626">
        <f>AI513</f>
        <v>0.30321994630225757</v>
      </c>
      <c r="AJ1188" s="626">
        <f>AJ513</f>
        <v>0.470801853224323</v>
      </c>
      <c r="AK1188" s="626">
        <f>AK513</f>
        <v>0.22261765955124568</v>
      </c>
      <c r="AL1188" s="788">
        <f>SUM(AH1188:AK1188)</f>
        <v>1.480780178216754</v>
      </c>
      <c r="AM1188" s="626">
        <f>AM513</f>
        <v>-3.4117543317885413E-2</v>
      </c>
      <c r="AN1188" s="626">
        <f>AN513</f>
        <v>-0.21544550937998164</v>
      </c>
      <c r="AO1188" s="626">
        <f>AO513</f>
        <v>0</v>
      </c>
      <c r="AP1188" s="626">
        <f>AP513</f>
        <v>0</v>
      </c>
      <c r="AQ1188" s="788">
        <f>SUM(AM1188:AP1188)</f>
        <v>-0.24956305269786705</v>
      </c>
      <c r="AR1188" s="330">
        <v>0</v>
      </c>
      <c r="AS1188" s="626">
        <f t="shared" si="2314"/>
        <v>0</v>
      </c>
      <c r="AT1188" s="626">
        <f t="shared" si="2314"/>
        <v>0</v>
      </c>
      <c r="AU1188" s="626">
        <f t="shared" si="2314"/>
        <v>0</v>
      </c>
      <c r="AV1188" s="788">
        <f t="shared" si="2315"/>
        <v>0</v>
      </c>
      <c r="AW1188" s="626">
        <f t="shared" si="2304"/>
        <v>0</v>
      </c>
      <c r="AX1188" s="626">
        <f t="shared" si="2305"/>
        <v>0</v>
      </c>
      <c r="AY1188" s="626">
        <f t="shared" si="2305"/>
        <v>0</v>
      </c>
      <c r="AZ1188" s="626">
        <f t="shared" si="2305"/>
        <v>0</v>
      </c>
      <c r="BA1188" s="788">
        <f t="shared" si="2316"/>
        <v>0</v>
      </c>
      <c r="BB1188" s="626">
        <f t="shared" si="2306"/>
        <v>0</v>
      </c>
      <c r="BC1188" s="626">
        <f t="shared" si="2306"/>
        <v>0</v>
      </c>
      <c r="BD1188" s="626">
        <f t="shared" si="2306"/>
        <v>0</v>
      </c>
      <c r="BE1188" s="626">
        <f t="shared" si="2306"/>
        <v>0</v>
      </c>
      <c r="BF1188" s="788">
        <f t="shared" si="2317"/>
        <v>0</v>
      </c>
      <c r="BG1188" s="625">
        <f t="shared" si="2307"/>
        <v>0</v>
      </c>
      <c r="BH1188" s="626">
        <f t="shared" si="2307"/>
        <v>0</v>
      </c>
      <c r="BI1188" s="626">
        <f t="shared" si="2307"/>
        <v>0</v>
      </c>
      <c r="BJ1188" s="1893">
        <f>BE1188</f>
        <v>0</v>
      </c>
      <c r="BK1188" s="788">
        <f>SUM(BG1188:BJ1188)</f>
        <v>0</v>
      </c>
      <c r="BL1188" s="626">
        <f t="shared" si="2308"/>
        <v>0</v>
      </c>
      <c r="BM1188" s="626">
        <f t="shared" si="2308"/>
        <v>0</v>
      </c>
      <c r="BN1188" s="626">
        <f t="shared" si="2309"/>
        <v>0</v>
      </c>
      <c r="BO1188" s="1893">
        <f t="shared" si="2309"/>
        <v>0</v>
      </c>
      <c r="BP1188" s="788">
        <f>SUM(BL1188:BO1188)</f>
        <v>0</v>
      </c>
      <c r="BQ1188" s="626">
        <f t="shared" si="2318"/>
        <v>0</v>
      </c>
      <c r="BR1188" s="626">
        <f t="shared" si="2318"/>
        <v>0</v>
      </c>
      <c r="BS1188" s="626">
        <f>BN1188</f>
        <v>0</v>
      </c>
      <c r="BT1188" s="1893">
        <f t="shared" si="2318"/>
        <v>0</v>
      </c>
      <c r="BU1188" s="3406">
        <f>SUM(BQ1188:BT1188)</f>
        <v>0</v>
      </c>
      <c r="BV1188" s="626">
        <f t="shared" si="2318"/>
        <v>0</v>
      </c>
      <c r="BW1188" s="626">
        <f t="shared" si="2310"/>
        <v>0</v>
      </c>
      <c r="BX1188" s="626">
        <f>BS1188</f>
        <v>0</v>
      </c>
      <c r="BY1188" s="626">
        <f t="shared" si="2310"/>
        <v>0</v>
      </c>
      <c r="BZ1188" s="2503">
        <f>SUM(BV1188:BY1188)</f>
        <v>0</v>
      </c>
      <c r="CA1188" s="788">
        <f t="shared" si="2319"/>
        <v>0</v>
      </c>
      <c r="CB1188" s="788">
        <f t="shared" si="2319"/>
        <v>0</v>
      </c>
      <c r="CC1188" s="788">
        <f t="shared" si="2311"/>
        <v>0</v>
      </c>
      <c r="CD1188" s="788">
        <f t="shared" si="2311"/>
        <v>0</v>
      </c>
      <c r="CE1188" s="788">
        <f t="shared" si="2311"/>
        <v>0</v>
      </c>
      <c r="CF1188" s="788">
        <f t="shared" si="2311"/>
        <v>0</v>
      </c>
      <c r="CG1188" s="788">
        <f t="shared" si="2311"/>
        <v>0</v>
      </c>
      <c r="CH1188" s="2694"/>
      <c r="CI1188" s="2694"/>
      <c r="CJ1188" s="2694"/>
      <c r="CK1188" s="2694"/>
      <c r="CL1188" s="626"/>
      <c r="CM1188" s="331"/>
      <c r="CN1188" s="331">
        <f t="shared" si="2312"/>
        <v>0</v>
      </c>
      <c r="CO1188" s="965">
        <f t="shared" si="2313"/>
        <v>0</v>
      </c>
      <c r="CP1188" s="1003" t="str">
        <f t="shared" si="2176"/>
        <v>Central Region</v>
      </c>
      <c r="CQ1188" s="626">
        <f t="shared" si="2177"/>
        <v>55.147999999999996</v>
      </c>
      <c r="CR1188" s="626">
        <f t="shared" si="2178"/>
        <v>62.313999999999993</v>
      </c>
      <c r="CS1188" s="626">
        <f t="shared" si="2179"/>
        <v>0</v>
      </c>
      <c r="CT1188" s="626">
        <f t="shared" si="2180"/>
        <v>0</v>
      </c>
      <c r="CU1188" s="626">
        <f t="shared" si="2181"/>
        <v>0</v>
      </c>
      <c r="CV1188" s="626">
        <f t="shared" si="2182"/>
        <v>0</v>
      </c>
      <c r="CW1188" s="626">
        <f t="shared" si="2183"/>
        <v>1.480780178216754</v>
      </c>
      <c r="CX1188" s="626">
        <f t="shared" si="2184"/>
        <v>-0.24956305269786705</v>
      </c>
      <c r="CY1188" s="626">
        <f t="shared" si="2185"/>
        <v>0</v>
      </c>
      <c r="CZ1188" s="626">
        <f t="shared" si="2186"/>
        <v>0</v>
      </c>
      <c r="DA1188" s="626">
        <f t="shared" si="2187"/>
        <v>0</v>
      </c>
      <c r="DB1188" s="626">
        <f t="shared" si="2188"/>
        <v>0</v>
      </c>
      <c r="DC1188" s="626">
        <f t="shared" si="2189"/>
        <v>0</v>
      </c>
      <c r="DD1188" s="626">
        <f t="shared" si="2190"/>
        <v>0</v>
      </c>
      <c r="DE1188" s="626">
        <f t="shared" si="2191"/>
        <v>0</v>
      </c>
      <c r="DF1188" s="626">
        <f t="shared" si="2192"/>
        <v>0</v>
      </c>
      <c r="DG1188" s="1893">
        <f t="shared" si="2193"/>
        <v>0</v>
      </c>
      <c r="DH1188" s="916"/>
      <c r="DI1188" s="570"/>
      <c r="DJ1188" s="570"/>
      <c r="DK1188" s="570"/>
      <c r="DL1188" s="570"/>
      <c r="DM1188" s="570"/>
      <c r="DN1188" s="222"/>
      <c r="DO1188" s="226"/>
      <c r="DY1188" s="626"/>
      <c r="DZ1188" s="626"/>
    </row>
    <row r="1189" spans="1:132" ht="12" customHeight="1">
      <c r="A1189" s="282" t="s">
        <v>1537</v>
      </c>
      <c r="B1189" s="445"/>
      <c r="C1189" s="445"/>
      <c r="D1189" s="625"/>
      <c r="E1189" s="626"/>
      <c r="F1189" s="626"/>
      <c r="G1189" s="626"/>
      <c r="H1189" s="788"/>
      <c r="I1189" s="626"/>
      <c r="J1189" s="626"/>
      <c r="K1189" s="626"/>
      <c r="L1189" s="626"/>
      <c r="M1189" s="788"/>
      <c r="N1189" s="626"/>
      <c r="O1189" s="626"/>
      <c r="P1189" s="626"/>
      <c r="Q1189" s="626"/>
      <c r="R1189" s="788"/>
      <c r="S1189" s="626"/>
      <c r="T1189" s="626"/>
      <c r="U1189" s="626"/>
      <c r="V1189" s="626"/>
      <c r="W1189" s="788"/>
      <c r="X1189" s="626"/>
      <c r="Y1189" s="626"/>
      <c r="Z1189" s="626"/>
      <c r="AA1189" s="626"/>
      <c r="AB1189" s="788"/>
      <c r="AC1189" s="626"/>
      <c r="AD1189" s="626"/>
      <c r="AE1189" s="626"/>
      <c r="AF1189" s="626"/>
      <c r="AG1189" s="788"/>
      <c r="AH1189" s="626">
        <v>1.625</v>
      </c>
      <c r="AI1189" s="626">
        <f>AI936</f>
        <v>18.236000000000001</v>
      </c>
      <c r="AJ1189" s="626">
        <f t="shared" ref="AJ1189:AU1189" si="2320">AJ936</f>
        <v>16.452000000000002</v>
      </c>
      <c r="AK1189" s="626">
        <f t="shared" si="2320"/>
        <v>16.573</v>
      </c>
      <c r="AL1189" s="788">
        <f>SUM(AH1189:AK1189)</f>
        <v>52.886000000000003</v>
      </c>
      <c r="AM1189" s="626">
        <f t="shared" si="2320"/>
        <v>18.866</v>
      </c>
      <c r="AN1189" s="626">
        <f t="shared" si="2320"/>
        <v>16.547999999999998</v>
      </c>
      <c r="AO1189" s="626">
        <f t="shared" si="2320"/>
        <v>15.163</v>
      </c>
      <c r="AP1189" s="626">
        <f t="shared" si="2320"/>
        <v>14.86</v>
      </c>
      <c r="AQ1189" s="788">
        <f>SUM(AM1189:AP1189)</f>
        <v>65.436999999999998</v>
      </c>
      <c r="AR1189" s="626">
        <f t="shared" si="2320"/>
        <v>15.13</v>
      </c>
      <c r="AS1189" s="626">
        <f t="shared" si="2320"/>
        <v>16.013999999999999</v>
      </c>
      <c r="AT1189" s="626">
        <f t="shared" si="2320"/>
        <v>16.308</v>
      </c>
      <c r="AU1189" s="626">
        <f t="shared" si="2320"/>
        <v>16.811</v>
      </c>
      <c r="AV1189" s="788">
        <f t="shared" si="2315"/>
        <v>64.263000000000005</v>
      </c>
      <c r="AW1189" s="626"/>
      <c r="AX1189" s="626"/>
      <c r="AY1189" s="626"/>
      <c r="AZ1189" s="626"/>
      <c r="BA1189" s="788"/>
      <c r="BB1189" s="626"/>
      <c r="BC1189" s="626"/>
      <c r="BD1189" s="626"/>
      <c r="BE1189" s="2056"/>
      <c r="BF1189" s="788"/>
      <c r="BG1189" s="2970"/>
      <c r="BH1189" s="2056"/>
      <c r="BI1189" s="2056"/>
      <c r="BJ1189" s="2365"/>
      <c r="BK1189" s="788"/>
      <c r="BL1189" s="2056"/>
      <c r="BM1189" s="2056"/>
      <c r="BN1189" s="2056"/>
      <c r="BO1189" s="2365"/>
      <c r="BP1189" s="788"/>
      <c r="BQ1189" s="2056"/>
      <c r="BR1189" s="2056"/>
      <c r="BS1189" s="2056"/>
      <c r="BT1189" s="2365"/>
      <c r="BU1189" s="3406"/>
      <c r="BV1189" s="2056"/>
      <c r="BW1189" s="2056"/>
      <c r="BX1189" s="2056"/>
      <c r="BY1189" s="2056"/>
      <c r="BZ1189" s="2503"/>
      <c r="CA1189" s="2057"/>
      <c r="CB1189" s="2057"/>
      <c r="CC1189" s="2057"/>
      <c r="CD1189" s="2057"/>
      <c r="CE1189" s="2057"/>
      <c r="CF1189" s="2057"/>
      <c r="CG1189" s="2057"/>
      <c r="CH1189" s="2694"/>
      <c r="CI1189" s="2694"/>
      <c r="CJ1189" s="2694"/>
      <c r="CK1189" s="2694"/>
      <c r="CL1189" s="626"/>
      <c r="CM1189" s="331"/>
      <c r="CN1189" s="331">
        <f t="shared" si="2312"/>
        <v>0</v>
      </c>
      <c r="CO1189" s="965">
        <f t="shared" si="2313"/>
        <v>0</v>
      </c>
      <c r="CP1189" s="1003" t="str">
        <f t="shared" si="2176"/>
        <v>Atlantic City / Borgata</v>
      </c>
      <c r="CQ1189" s="626">
        <f t="shared" si="2177"/>
        <v>0</v>
      </c>
      <c r="CR1189" s="626">
        <f t="shared" si="2178"/>
        <v>0</v>
      </c>
      <c r="CS1189" s="626">
        <f t="shared" si="2179"/>
        <v>0</v>
      </c>
      <c r="CT1189" s="626">
        <f t="shared" si="2180"/>
        <v>0</v>
      </c>
      <c r="CU1189" s="626">
        <f t="shared" si="2181"/>
        <v>0</v>
      </c>
      <c r="CV1189" s="626">
        <f t="shared" si="2182"/>
        <v>0</v>
      </c>
      <c r="CW1189" s="626">
        <f t="shared" si="2183"/>
        <v>52.886000000000003</v>
      </c>
      <c r="CX1189" s="626">
        <f t="shared" si="2184"/>
        <v>65.436999999999998</v>
      </c>
      <c r="CY1189" s="626">
        <f t="shared" si="2185"/>
        <v>64.263000000000005</v>
      </c>
      <c r="CZ1189" s="626">
        <f t="shared" si="2186"/>
        <v>0</v>
      </c>
      <c r="DA1189" s="626">
        <f t="shared" si="2187"/>
        <v>0</v>
      </c>
      <c r="DB1189" s="626">
        <f t="shared" si="2188"/>
        <v>0</v>
      </c>
      <c r="DC1189" s="626">
        <f t="shared" si="2189"/>
        <v>0</v>
      </c>
      <c r="DD1189" s="626">
        <f t="shared" si="2190"/>
        <v>0</v>
      </c>
      <c r="DE1189" s="626">
        <f t="shared" si="2191"/>
        <v>0</v>
      </c>
      <c r="DF1189" s="626">
        <f t="shared" si="2192"/>
        <v>0</v>
      </c>
      <c r="DG1189" s="1893">
        <f t="shared" si="2193"/>
        <v>0</v>
      </c>
      <c r="DH1189" s="916"/>
      <c r="DI1189" s="570"/>
      <c r="DJ1189" s="570"/>
      <c r="DK1189" s="570"/>
      <c r="DL1189" s="570"/>
      <c r="DM1189" s="570"/>
      <c r="DN1189" s="222"/>
      <c r="DO1189" s="226"/>
      <c r="DY1189" s="626"/>
      <c r="DZ1189" s="626"/>
    </row>
    <row r="1190" spans="1:132" ht="12" customHeight="1">
      <c r="A1190" s="282" t="s">
        <v>1790</v>
      </c>
      <c r="B1190" s="445"/>
      <c r="C1190" s="445"/>
      <c r="D1190" s="625">
        <f>D1195-SUM(D1185:D1188)</f>
        <v>1.352999999999998</v>
      </c>
      <c r="E1190" s="626">
        <f>E1195-SUM(E1185:E1188)</f>
        <v>-0.16799999999999926</v>
      </c>
      <c r="F1190" s="626">
        <f>F1195-SUM(F1185:F1188)</f>
        <v>1.0700000000000003</v>
      </c>
      <c r="G1190" s="626">
        <f>G1195-SUM(G1185:G1188)</f>
        <v>1.1389999999999958</v>
      </c>
      <c r="H1190" s="788">
        <f>SUM(D1190:G1190)</f>
        <v>3.3939999999999948</v>
      </c>
      <c r="I1190" s="626">
        <f>I1195-SUM(I1185:I1188)</f>
        <v>1.448999999999991</v>
      </c>
      <c r="J1190" s="626">
        <f>J1195-SUM(J1185:J1188)</f>
        <v>1.5189999999999984</v>
      </c>
      <c r="K1190" s="626">
        <f>K1195-SUM(K1185:K1188)</f>
        <v>1.5039999999999978</v>
      </c>
      <c r="L1190" s="626">
        <f>L1195-SUM(L1185:L1188)</f>
        <v>1.5859999999999985</v>
      </c>
      <c r="M1190" s="788">
        <f>SUM(I1190:L1190)</f>
        <v>6.0579999999999856</v>
      </c>
      <c r="N1190" s="626">
        <f>N1195-SUM(N1185:N1188)</f>
        <v>52.419000000000004</v>
      </c>
      <c r="O1190" s="626">
        <f>O1195-SUM(O1185:O1188)</f>
        <v>52.562000000000005</v>
      </c>
      <c r="P1190" s="626">
        <f>P1195-SUM(P1185:P1188)</f>
        <v>41.274000000000001</v>
      </c>
      <c r="Q1190" s="626">
        <f>Q1195-SUM(Q1185:Q1188)</f>
        <v>40.285000000000004</v>
      </c>
      <c r="R1190" s="788">
        <f>SUM(N1190:Q1190)</f>
        <v>186.54</v>
      </c>
      <c r="S1190" s="626">
        <f>S1195-SUM(S1185:S1188)</f>
        <v>40.936</v>
      </c>
      <c r="T1190" s="626">
        <f>T1195-SUM(T1185:T1188)</f>
        <v>42.262</v>
      </c>
      <c r="U1190" s="626">
        <f>U1195-SUM(U1185:U1188)</f>
        <v>41.764000000000003</v>
      </c>
      <c r="V1190" s="626">
        <f>V1195-SUM(V1185:V1188)</f>
        <v>42.295000000000002</v>
      </c>
      <c r="W1190" s="788">
        <f>SUM(S1190:V1190)</f>
        <v>167.25700000000001</v>
      </c>
      <c r="X1190" s="626">
        <f>X1195-SUM(X1185:X1188)</f>
        <v>43.494</v>
      </c>
      <c r="Y1190" s="626">
        <f>Y1195-SUM(Y1185:Y1188)</f>
        <v>42.9</v>
      </c>
      <c r="Z1190" s="626">
        <f>Z1195-SUM(Z1185:Z1188)</f>
        <v>41.896999999999998</v>
      </c>
      <c r="AA1190" s="626">
        <f>AA1195-SUM(AA1185:AA1188)</f>
        <v>42.003999999999998</v>
      </c>
      <c r="AB1190" s="788">
        <f>SUM(X1190:AA1190)</f>
        <v>170.29499999999999</v>
      </c>
      <c r="AC1190" s="626">
        <f>AC1195-SUM(AC1185:AC1188)</f>
        <v>42.975999999999999</v>
      </c>
      <c r="AD1190" s="626">
        <f>AD1195-SUM(AD1185:AD1188)</f>
        <v>42.417999999999999</v>
      </c>
      <c r="AE1190" s="626">
        <f>AE1195-SUM(AE1185:AE1188)</f>
        <v>40.902999999999999</v>
      </c>
      <c r="AF1190" s="626">
        <f>AF1195-SUM(AF1185:AF1188)</f>
        <v>39.427999999999997</v>
      </c>
      <c r="AG1190" s="788">
        <f>SUM(AC1190:AF1190)</f>
        <v>165.72499999999999</v>
      </c>
      <c r="AH1190" s="626">
        <f>AH1195-SUM(AH1185:AH1189)</f>
        <v>37.936859280861071</v>
      </c>
      <c r="AI1190" s="626">
        <f>AI1195-SUM(AI1185:AI1189)</f>
        <v>36.868780053697748</v>
      </c>
      <c r="AJ1190" s="626">
        <f>AJ1195-SUM(AJ1185:AJ1189)</f>
        <v>35.528198146775679</v>
      </c>
      <c r="AK1190" s="626">
        <f>AK1195-SUM(AK1185:AK1189)</f>
        <v>34.57438234044875</v>
      </c>
      <c r="AL1190" s="788">
        <f>SUM(AH1190:AK1190)</f>
        <v>144.90821982178323</v>
      </c>
      <c r="AM1190" s="1976">
        <f>AM1195-SUM(AM1185:AM1189,AM1191:AM1192)</f>
        <v>31.75211754331789</v>
      </c>
      <c r="AN1190" s="1976">
        <f>AN1195-SUM(AN1185:AN1189,AN1191:AN1192)</f>
        <v>32.155445509379987</v>
      </c>
      <c r="AO1190" s="1976">
        <f>AO1195-SUM(AO1185:AO1189,AO1191:AO1192)</f>
        <v>30.870999999999999</v>
      </c>
      <c r="AP1190" s="1976">
        <f>AP1195-SUM(AP1185:AP1189,AP1191:AP1192)</f>
        <v>30.577000000000002</v>
      </c>
      <c r="AQ1190" s="788">
        <f>SUM(AM1190:AP1190)</f>
        <v>125.35556305269787</v>
      </c>
      <c r="AR1190" s="1976">
        <f>AR1195-SUM(AR1185:AR1189,AR1191:AR1192)</f>
        <v>30.084000000000003</v>
      </c>
      <c r="AS1190" s="1976">
        <f>AS1195-SUM(AS1185:AS1189,AS1191:AS1192)</f>
        <v>29.847000000000001</v>
      </c>
      <c r="AT1190" s="1976">
        <f>AT1195-SUM(AT1185:AT1189,AT1191:AT1192)</f>
        <v>29.300999999999998</v>
      </c>
      <c r="AU1190" s="1976">
        <f>AU1195-SUM(AU1185:AU1189,AU1191:AU1192)</f>
        <v>28.268999999999998</v>
      </c>
      <c r="AV1190" s="788">
        <f t="shared" si="2315"/>
        <v>117.501</v>
      </c>
      <c r="AW1190" s="1976">
        <f>AW1195-SUM(AW1185:AW1189,AW1191:AW1192)</f>
        <v>27.902999999999999</v>
      </c>
      <c r="AX1190" s="1976">
        <f>AX1195-SUM(AX1185:AX1189,AX1191:AX1192)</f>
        <v>27.731999999999996</v>
      </c>
      <c r="AY1190" s="1976">
        <f>AY1195-SUM(AY1185:AY1189,AY1191:AY1192)</f>
        <v>27.69</v>
      </c>
      <c r="AZ1190" s="1976">
        <f>AZ1195-SUM(AZ1185:AZ1189,AZ1191:AZ1192)</f>
        <v>28.323999999999998</v>
      </c>
      <c r="BA1190" s="788">
        <f t="shared" si="2316"/>
        <v>111.64899999999999</v>
      </c>
      <c r="BB1190" s="1976">
        <f>BB1195-SUM(BB1185:BB1189,BB1191:BB1192)</f>
        <v>29.035999999999998</v>
      </c>
      <c r="BC1190" s="1976">
        <f>BC1195-SUM(BC1185:BC1189,BC1191:BC1192)</f>
        <v>28.674999999999997</v>
      </c>
      <c r="BD1190" s="1976">
        <f>BD1195-SUM(BD1185:BD1189,BD1191:BD1192)</f>
        <v>28.656000000000002</v>
      </c>
      <c r="BE1190" s="1976">
        <f>BE1195-SUM(BE1185:BE1189,BE1191:BE1192)</f>
        <v>29.355</v>
      </c>
      <c r="BF1190" s="788">
        <f t="shared" si="2317"/>
        <v>115.72200000000001</v>
      </c>
      <c r="BG1190" s="1976">
        <f>BG1195-SUM(BG1185:BG1189,BG1191:BG1192)</f>
        <v>28.442</v>
      </c>
      <c r="BH1190" s="1976">
        <f>BH1195-SUM(BH1185:BH1189,BH1191:BH1192)</f>
        <v>29.863</v>
      </c>
      <c r="BI1190" s="1976">
        <f>BI1195-SUM(BI1185:BI1189,BI1191:BI1192)</f>
        <v>28.913999999999998</v>
      </c>
      <c r="BJ1190" s="1976">
        <f>BJ1195-SUM(BJ1185:BJ1189,BJ1191:BJ1192)</f>
        <v>29.790999999999997</v>
      </c>
      <c r="BK1190" s="788">
        <f>SUM(BG1190:BJ1190)</f>
        <v>117.00999999999999</v>
      </c>
      <c r="BL1190" s="1976">
        <f>BL1195-SUM(BL1185:BL1189,BL1191:BL1192)</f>
        <v>29.07</v>
      </c>
      <c r="BM1190" s="1976">
        <f>BM1195-SUM(BM1185:BM1189,BM1191:BM1192)</f>
        <v>29.57</v>
      </c>
      <c r="BN1190" s="1976">
        <f>BN1195-SUM(BN1185:BN1189,BN1191:BN1192)</f>
        <v>29.247999999999998</v>
      </c>
      <c r="BO1190" s="1976">
        <f>BO1195-SUM(BO1185:BO1189,BO1191:BO1192)</f>
        <v>33.715000000000003</v>
      </c>
      <c r="BP1190" s="788">
        <f>SUM(BL1190:BO1190)</f>
        <v>121.60300000000001</v>
      </c>
      <c r="BQ1190" s="1976">
        <f>BQ1195-SUM(BQ1185:BQ1189,BQ1191:BQ1192)</f>
        <v>35.283999999999999</v>
      </c>
      <c r="BR1190" s="1976">
        <f>BR1195-SUM(BR1185:BR1189,BR1191:BR1192)</f>
        <v>33.883000000000003</v>
      </c>
      <c r="BS1190" s="1976">
        <f>BS1195-SUM(BS1185:BS1189,BS1191:BS1192)</f>
        <v>36.521000000000001</v>
      </c>
      <c r="BT1190" s="1976">
        <f>BT1195-SUM(BT1185:BT1189,BT1191:BT1192)</f>
        <v>37.213999999999999</v>
      </c>
      <c r="BU1190" s="3406">
        <f>SUM(BQ1190:BT1190)</f>
        <v>142.90199999999999</v>
      </c>
      <c r="BV1190" s="3933">
        <f>BQ1190+0.5</f>
        <v>35.783999999999999</v>
      </c>
      <c r="BW1190" s="3933">
        <f t="shared" ref="BW1190:BY1190" si="2321">BR1190+0.5</f>
        <v>34.383000000000003</v>
      </c>
      <c r="BX1190" s="3933">
        <f t="shared" si="2321"/>
        <v>37.021000000000001</v>
      </c>
      <c r="BY1190" s="3933">
        <f t="shared" si="2321"/>
        <v>37.713999999999999</v>
      </c>
      <c r="BZ1190" s="2503">
        <f>SUM(BV1190:BY1190)</f>
        <v>144.90199999999999</v>
      </c>
      <c r="CA1190" s="2057">
        <f t="shared" si="2319"/>
        <v>144.90199999999999</v>
      </c>
      <c r="CB1190" s="2057">
        <f t="shared" si="2319"/>
        <v>144.90199999999999</v>
      </c>
      <c r="CC1190" s="2057">
        <f t="shared" ref="CC1190:CG1192" si="2322">CB1190</f>
        <v>144.90199999999999</v>
      </c>
      <c r="CD1190" s="2057">
        <f t="shared" si="2322"/>
        <v>144.90199999999999</v>
      </c>
      <c r="CE1190" s="2057">
        <f t="shared" si="2322"/>
        <v>144.90199999999999</v>
      </c>
      <c r="CF1190" s="2057">
        <f t="shared" si="2322"/>
        <v>144.90199999999999</v>
      </c>
      <c r="CG1190" s="2057">
        <f t="shared" si="2322"/>
        <v>144.90199999999999</v>
      </c>
      <c r="CH1190" s="2694"/>
      <c r="CI1190" s="2694"/>
      <c r="CJ1190" s="2694"/>
      <c r="CK1190" s="2694"/>
      <c r="CL1190" s="626"/>
      <c r="CM1190" s="331"/>
      <c r="CN1190" s="331">
        <f t="shared" si="2312"/>
        <v>144.90199999999999</v>
      </c>
      <c r="CO1190" s="965">
        <f t="shared" si="2313"/>
        <v>-144.90199999999999</v>
      </c>
      <c r="CP1190" s="1003" t="str">
        <f t="shared" si="2176"/>
        <v>Other</v>
      </c>
      <c r="CQ1190" s="626">
        <f t="shared" si="2177"/>
        <v>3.3939999999999948</v>
      </c>
      <c r="CR1190" s="626">
        <f t="shared" si="2178"/>
        <v>6.0579999999999856</v>
      </c>
      <c r="CS1190" s="626">
        <f t="shared" si="2179"/>
        <v>186.54</v>
      </c>
      <c r="CT1190" s="626">
        <f t="shared" si="2180"/>
        <v>167.25700000000001</v>
      </c>
      <c r="CU1190" s="626">
        <f t="shared" si="2181"/>
        <v>170.29499999999999</v>
      </c>
      <c r="CV1190" s="626">
        <f t="shared" si="2182"/>
        <v>165.72499999999999</v>
      </c>
      <c r="CW1190" s="626">
        <f t="shared" si="2183"/>
        <v>144.90821982178323</v>
      </c>
      <c r="CX1190" s="626">
        <f t="shared" si="2184"/>
        <v>125.35556305269787</v>
      </c>
      <c r="CY1190" s="626">
        <f t="shared" si="2185"/>
        <v>117.501</v>
      </c>
      <c r="CZ1190" s="626">
        <f t="shared" si="2186"/>
        <v>111.64899999999999</v>
      </c>
      <c r="DA1190" s="626">
        <f t="shared" si="2187"/>
        <v>115.72200000000001</v>
      </c>
      <c r="DB1190" s="626">
        <f t="shared" si="2188"/>
        <v>117.00999999999999</v>
      </c>
      <c r="DC1190" s="626">
        <f t="shared" si="2189"/>
        <v>121.60300000000001</v>
      </c>
      <c r="DD1190" s="626">
        <f t="shared" si="2190"/>
        <v>142.90199999999999</v>
      </c>
      <c r="DE1190" s="626">
        <f t="shared" si="2191"/>
        <v>144.90199999999999</v>
      </c>
      <c r="DF1190" s="626">
        <f t="shared" si="2192"/>
        <v>144.90199999999999</v>
      </c>
      <c r="DG1190" s="1893">
        <f t="shared" si="2193"/>
        <v>144.90199999999999</v>
      </c>
      <c r="DH1190" s="639"/>
      <c r="DI1190" s="570"/>
      <c r="DJ1190" s="570"/>
      <c r="DK1190" s="570"/>
      <c r="DL1190" s="570"/>
      <c r="DM1190" s="570"/>
      <c r="DN1190" s="222"/>
      <c r="DO1190" s="226"/>
      <c r="DY1190" s="626"/>
      <c r="DZ1190" s="626"/>
    </row>
    <row r="1191" spans="1:132" ht="12" customHeight="1">
      <c r="A1191" s="282" t="s">
        <v>1515</v>
      </c>
      <c r="B1191" s="445"/>
      <c r="C1191" s="445"/>
      <c r="D1191" s="625"/>
      <c r="E1191" s="626"/>
      <c r="F1191" s="626"/>
      <c r="G1191" s="626"/>
      <c r="H1191" s="788"/>
      <c r="I1191" s="626"/>
      <c r="J1191" s="626"/>
      <c r="K1191" s="626"/>
      <c r="L1191" s="626"/>
      <c r="M1191" s="788"/>
      <c r="N1191" s="626"/>
      <c r="O1191" s="626"/>
      <c r="P1191" s="626"/>
      <c r="Q1191" s="626"/>
      <c r="R1191" s="788"/>
      <c r="S1191" s="626"/>
      <c r="T1191" s="626"/>
      <c r="U1191" s="626"/>
      <c r="V1191" s="626"/>
      <c r="W1191" s="788"/>
      <c r="X1191" s="626"/>
      <c r="Y1191" s="626"/>
      <c r="Z1191" s="626"/>
      <c r="AA1191" s="626"/>
      <c r="AB1191" s="788"/>
      <c r="AC1191" s="626"/>
      <c r="AD1191" s="626"/>
      <c r="AE1191" s="626"/>
      <c r="AF1191" s="626"/>
      <c r="AG1191" s="788"/>
      <c r="AH1191" s="626"/>
      <c r="AI1191" s="626"/>
      <c r="AJ1191" s="626"/>
      <c r="AK1191" s="626"/>
      <c r="AL1191" s="788"/>
      <c r="AM1191" s="626"/>
      <c r="AN1191" s="626"/>
      <c r="AO1191" s="626"/>
      <c r="AP1191" s="330">
        <v>4.8</v>
      </c>
      <c r="AQ1191" s="1439">
        <v>20</v>
      </c>
      <c r="AR1191" s="330">
        <v>4.8</v>
      </c>
      <c r="AS1191" s="2056">
        <f>AR1191</f>
        <v>4.8</v>
      </c>
      <c r="AT1191" s="2056">
        <f>AS1191</f>
        <v>4.8</v>
      </c>
      <c r="AU1191" s="2056">
        <f>AT1191</f>
        <v>4.8</v>
      </c>
      <c r="AV1191" s="788">
        <f t="shared" si="2315"/>
        <v>19.2</v>
      </c>
      <c r="AW1191" s="2056">
        <f t="shared" si="2304"/>
        <v>4.8</v>
      </c>
      <c r="AX1191" s="2056">
        <f t="shared" si="2305"/>
        <v>4.8</v>
      </c>
      <c r="AY1191" s="2056">
        <f t="shared" si="2305"/>
        <v>4.8</v>
      </c>
      <c r="AZ1191" s="2056">
        <f t="shared" si="2305"/>
        <v>4.8</v>
      </c>
      <c r="BA1191" s="788">
        <f t="shared" si="2316"/>
        <v>19.2</v>
      </c>
      <c r="BB1191" s="2056">
        <f>AW1191</f>
        <v>4.8</v>
      </c>
      <c r="BC1191" s="2056">
        <f t="shared" ref="BC1191:BE1192" si="2323">+BB1191</f>
        <v>4.8</v>
      </c>
      <c r="BD1191" s="2056">
        <f t="shared" si="2323"/>
        <v>4.8</v>
      </c>
      <c r="BE1191" s="2056">
        <f t="shared" si="2323"/>
        <v>4.8</v>
      </c>
      <c r="BF1191" s="788">
        <f t="shared" si="2317"/>
        <v>19.2</v>
      </c>
      <c r="BG1191" s="3118">
        <v>5</v>
      </c>
      <c r="BH1191" s="3117">
        <f>+BG1191</f>
        <v>5</v>
      </c>
      <c r="BI1191" s="3117">
        <f>+BH1191</f>
        <v>5</v>
      </c>
      <c r="BJ1191" s="3117">
        <f>+BI1191</f>
        <v>5</v>
      </c>
      <c r="BK1191" s="788">
        <f>SUM(BG1191:BJ1191)</f>
        <v>20</v>
      </c>
      <c r="BL1191" s="3117">
        <f>+BJ1191</f>
        <v>5</v>
      </c>
      <c r="BM1191" s="3117">
        <f>+BL1191</f>
        <v>5</v>
      </c>
      <c r="BN1191" s="2056">
        <f t="shared" ref="BN1191:BO1192" si="2324">+BM1191</f>
        <v>5</v>
      </c>
      <c r="BO1191" s="2365">
        <f t="shared" si="2324"/>
        <v>5</v>
      </c>
      <c r="BP1191" s="788">
        <f>SUM(BL1191:BO1191)</f>
        <v>20</v>
      </c>
      <c r="BQ1191" s="2056">
        <f>+BO1191</f>
        <v>5</v>
      </c>
      <c r="BR1191" s="2056">
        <f>+BQ1191</f>
        <v>5</v>
      </c>
      <c r="BS1191" s="2056">
        <f>+BR1191</f>
        <v>5</v>
      </c>
      <c r="BT1191" s="2365">
        <f>+BS1191</f>
        <v>5</v>
      </c>
      <c r="BU1191" s="3406">
        <f>SUM(BQ1191:BT1191)</f>
        <v>20</v>
      </c>
      <c r="BV1191" s="2056">
        <f>BQ1191</f>
        <v>5</v>
      </c>
      <c r="BW1191" s="2056">
        <f t="shared" ref="BW1191:BY1192" si="2325">BR1191</f>
        <v>5</v>
      </c>
      <c r="BX1191" s="2056">
        <f>BS1191</f>
        <v>5</v>
      </c>
      <c r="BY1191" s="2056">
        <f t="shared" si="2325"/>
        <v>5</v>
      </c>
      <c r="BZ1191" s="2503">
        <f>SUM(BV1191:BY1191)</f>
        <v>20</v>
      </c>
      <c r="CA1191" s="2057">
        <f t="shared" si="2319"/>
        <v>20</v>
      </c>
      <c r="CB1191" s="2057">
        <f t="shared" si="2319"/>
        <v>20</v>
      </c>
      <c r="CC1191" s="2057">
        <f t="shared" si="2322"/>
        <v>20</v>
      </c>
      <c r="CD1191" s="2057">
        <f t="shared" si="2322"/>
        <v>20</v>
      </c>
      <c r="CE1191" s="2057">
        <f t="shared" si="2322"/>
        <v>20</v>
      </c>
      <c r="CF1191" s="2057">
        <f t="shared" si="2322"/>
        <v>20</v>
      </c>
      <c r="CG1191" s="2057">
        <f t="shared" si="2322"/>
        <v>20</v>
      </c>
      <c r="CH1191" s="1573"/>
      <c r="CI1191" s="1573"/>
      <c r="CJ1191" s="1573"/>
      <c r="CK1191" s="1573"/>
      <c r="CL1191" s="1573"/>
      <c r="CM1191" s="331"/>
      <c r="CN1191" s="331">
        <f t="shared" si="2312"/>
        <v>20</v>
      </c>
      <c r="CO1191" s="965">
        <f t="shared" si="2313"/>
        <v>-20</v>
      </c>
      <c r="CP1191" s="1003" t="str">
        <f t="shared" si="2176"/>
        <v>Imperial Palace</v>
      </c>
      <c r="CQ1191" s="626">
        <f t="shared" si="2177"/>
        <v>0</v>
      </c>
      <c r="CR1191" s="626">
        <f t="shared" si="2178"/>
        <v>0</v>
      </c>
      <c r="CS1191" s="626">
        <f t="shared" si="2179"/>
        <v>0</v>
      </c>
      <c r="CT1191" s="626">
        <f t="shared" si="2180"/>
        <v>0</v>
      </c>
      <c r="CU1191" s="626">
        <f t="shared" si="2181"/>
        <v>0</v>
      </c>
      <c r="CV1191" s="626">
        <f t="shared" si="2182"/>
        <v>0</v>
      </c>
      <c r="CW1191" s="626">
        <f t="shared" si="2183"/>
        <v>0</v>
      </c>
      <c r="CX1191" s="626">
        <f t="shared" si="2184"/>
        <v>20</v>
      </c>
      <c r="CY1191" s="626">
        <f t="shared" si="2185"/>
        <v>19.2</v>
      </c>
      <c r="CZ1191" s="626">
        <f t="shared" si="2186"/>
        <v>19.2</v>
      </c>
      <c r="DA1191" s="626">
        <f t="shared" si="2187"/>
        <v>19.2</v>
      </c>
      <c r="DB1191" s="626">
        <f t="shared" si="2188"/>
        <v>20</v>
      </c>
      <c r="DC1191" s="626">
        <f t="shared" si="2189"/>
        <v>20</v>
      </c>
      <c r="DD1191" s="626">
        <f t="shared" si="2190"/>
        <v>20</v>
      </c>
      <c r="DE1191" s="626">
        <f t="shared" si="2191"/>
        <v>20</v>
      </c>
      <c r="DF1191" s="626">
        <f t="shared" si="2192"/>
        <v>20</v>
      </c>
      <c r="DG1191" s="1893">
        <f t="shared" si="2193"/>
        <v>20</v>
      </c>
      <c r="DH1191" s="1574"/>
      <c r="DI1191" s="1575"/>
      <c r="DJ1191" s="1575"/>
      <c r="DK1191" s="1575"/>
      <c r="DL1191" s="1575"/>
      <c r="DM1191" s="1575"/>
      <c r="DN1191" s="275"/>
      <c r="DO1191" s="276"/>
      <c r="DY1191" s="626"/>
      <c r="DZ1191" s="626"/>
    </row>
    <row r="1192" spans="1:132" ht="12" customHeight="1">
      <c r="A1192" s="282" t="s">
        <v>517</v>
      </c>
      <c r="B1192" s="445"/>
      <c r="C1192" s="445"/>
      <c r="D1192" s="625"/>
      <c r="E1192" s="626"/>
      <c r="F1192" s="626"/>
      <c r="G1192" s="626"/>
      <c r="H1192" s="788"/>
      <c r="I1192" s="626"/>
      <c r="J1192" s="626"/>
      <c r="K1192" s="626"/>
      <c r="L1192" s="626"/>
      <c r="M1192" s="788"/>
      <c r="N1192" s="626"/>
      <c r="O1192" s="626"/>
      <c r="P1192" s="626"/>
      <c r="Q1192" s="626"/>
      <c r="R1192" s="788"/>
      <c r="S1192" s="626"/>
      <c r="T1192" s="626"/>
      <c r="U1192" s="626"/>
      <c r="V1192" s="626"/>
      <c r="W1192" s="788"/>
      <c r="X1192" s="626"/>
      <c r="Y1192" s="626"/>
      <c r="Z1192" s="626"/>
      <c r="AA1192" s="626"/>
      <c r="AB1192" s="788"/>
      <c r="AC1192" s="626"/>
      <c r="AD1192" s="626"/>
      <c r="AE1192" s="626"/>
      <c r="AF1192" s="626"/>
      <c r="AG1192" s="788"/>
      <c r="AH1192" s="626"/>
      <c r="AI1192" s="626"/>
      <c r="AJ1192" s="626"/>
      <c r="AK1192" s="626"/>
      <c r="AL1192" s="788"/>
      <c r="AM1192" s="626"/>
      <c r="AN1192" s="626"/>
      <c r="AO1192" s="626"/>
      <c r="AP1192" s="330"/>
      <c r="AQ1192" s="1439"/>
      <c r="AR1192" s="330"/>
      <c r="AS1192" s="626"/>
      <c r="AT1192" s="626"/>
      <c r="AU1192" s="330">
        <v>13.327</v>
      </c>
      <c r="AV1192" s="788">
        <f t="shared" si="2315"/>
        <v>13.327</v>
      </c>
      <c r="AW1192" s="330">
        <v>21.696999999999999</v>
      </c>
      <c r="AX1192" s="330">
        <v>22.268000000000001</v>
      </c>
      <c r="AY1192" s="330">
        <v>22.21</v>
      </c>
      <c r="AZ1192" s="330">
        <v>21.675999999999998</v>
      </c>
      <c r="BA1192" s="788">
        <f t="shared" si="2316"/>
        <v>87.851000000000013</v>
      </c>
      <c r="BB1192" s="330">
        <v>18.463999999999999</v>
      </c>
      <c r="BC1192" s="330">
        <v>18.324999999999999</v>
      </c>
      <c r="BD1192" s="330">
        <v>18.643999999999998</v>
      </c>
      <c r="BE1192" s="2056">
        <f t="shared" si="2323"/>
        <v>18.643999999999998</v>
      </c>
      <c r="BF1192" s="788">
        <f t="shared" si="2317"/>
        <v>74.076999999999998</v>
      </c>
      <c r="BG1192" s="3118">
        <v>18.5</v>
      </c>
      <c r="BH1192" s="3117">
        <v>17.100999999999999</v>
      </c>
      <c r="BI1192" s="3117">
        <v>17.431000000000001</v>
      </c>
      <c r="BJ1192" s="3117">
        <v>17.076000000000001</v>
      </c>
      <c r="BK1192" s="788">
        <f>SUM(BG1192:BJ1192)</f>
        <v>70.108000000000004</v>
      </c>
      <c r="BL1192" s="3117">
        <v>13.583</v>
      </c>
      <c r="BM1192" s="3117">
        <v>13.68</v>
      </c>
      <c r="BN1192" s="2056">
        <f t="shared" si="2324"/>
        <v>13.68</v>
      </c>
      <c r="BO1192" s="2365">
        <f t="shared" si="2324"/>
        <v>13.68</v>
      </c>
      <c r="BP1192" s="788">
        <f>SUM(BL1192:BO1192)</f>
        <v>54.622999999999998</v>
      </c>
      <c r="BQ1192" s="2056">
        <f>+BO1192</f>
        <v>13.68</v>
      </c>
      <c r="BR1192" s="2056">
        <f t="shared" ref="BR1192" si="2326">+BQ1192</f>
        <v>13.68</v>
      </c>
      <c r="BS1192" s="2056">
        <f>+BR1192</f>
        <v>13.68</v>
      </c>
      <c r="BT1192" s="2365">
        <f>+BS1192-0.1</f>
        <v>13.58</v>
      </c>
      <c r="BU1192" s="3406">
        <f>SUM(BQ1192:BT1192)</f>
        <v>54.62</v>
      </c>
      <c r="BV1192" s="2056">
        <f>BQ1192</f>
        <v>13.68</v>
      </c>
      <c r="BW1192" s="2056">
        <f t="shared" si="2325"/>
        <v>13.68</v>
      </c>
      <c r="BX1192" s="2056">
        <f>BS1192</f>
        <v>13.68</v>
      </c>
      <c r="BY1192" s="2056">
        <f t="shared" si="2325"/>
        <v>13.58</v>
      </c>
      <c r="BZ1192" s="2503">
        <f>SUM(BV1192:BY1192)</f>
        <v>54.62</v>
      </c>
      <c r="CA1192" s="2365">
        <f t="shared" si="2319"/>
        <v>54.62</v>
      </c>
      <c r="CB1192" s="2365">
        <f t="shared" si="2319"/>
        <v>54.62</v>
      </c>
      <c r="CC1192" s="2365">
        <f t="shared" si="2322"/>
        <v>54.62</v>
      </c>
      <c r="CD1192" s="2365">
        <f t="shared" si="2322"/>
        <v>54.62</v>
      </c>
      <c r="CE1192" s="2365">
        <f t="shared" si="2322"/>
        <v>54.62</v>
      </c>
      <c r="CF1192" s="2365">
        <f t="shared" si="2322"/>
        <v>54.62</v>
      </c>
      <c r="CG1192" s="2365">
        <f t="shared" si="2322"/>
        <v>54.62</v>
      </c>
      <c r="CH1192" s="1573"/>
      <c r="CI1192" s="1573"/>
      <c r="CJ1192" s="1573"/>
      <c r="CK1192" s="1573"/>
      <c r="CL1192" s="1573"/>
      <c r="CM1192" s="331"/>
      <c r="CN1192" s="331">
        <f t="shared" si="2312"/>
        <v>54.62</v>
      </c>
      <c r="CO1192" s="965">
        <f t="shared" si="2313"/>
        <v>-54.62</v>
      </c>
      <c r="CP1192" s="1003" t="str">
        <f t="shared" si="2176"/>
        <v>Peninsula Gaming</v>
      </c>
      <c r="CQ1192" s="626"/>
      <c r="CR1192" s="626"/>
      <c r="CS1192" s="626"/>
      <c r="CT1192" s="626"/>
      <c r="CU1192" s="626"/>
      <c r="CV1192" s="626"/>
      <c r="CW1192" s="626"/>
      <c r="CX1192" s="626"/>
      <c r="CY1192" s="626"/>
      <c r="CZ1192" s="626"/>
      <c r="DA1192" s="626"/>
      <c r="DB1192" s="626">
        <f t="shared" si="2188"/>
        <v>70.108000000000004</v>
      </c>
      <c r="DC1192" s="626">
        <f t="shared" si="2189"/>
        <v>54.622999999999998</v>
      </c>
      <c r="DD1192" s="626">
        <f t="shared" si="2190"/>
        <v>54.62</v>
      </c>
      <c r="DE1192" s="626">
        <f t="shared" si="2191"/>
        <v>54.62</v>
      </c>
      <c r="DF1192" s="626">
        <f t="shared" si="2192"/>
        <v>54.62</v>
      </c>
      <c r="DG1192" s="1893">
        <f t="shared" si="2193"/>
        <v>54.62</v>
      </c>
      <c r="DH1192" s="1574"/>
      <c r="DI1192" s="1575"/>
      <c r="DJ1192" s="1575"/>
      <c r="DK1192" s="1575"/>
      <c r="DL1192" s="1575"/>
      <c r="DM1192" s="1575"/>
      <c r="DN1192" s="275"/>
      <c r="DO1192" s="276"/>
      <c r="DY1192" s="626"/>
      <c r="DZ1192" s="626"/>
    </row>
    <row r="1193" spans="1:132" s="4061" customFormat="1" ht="12" customHeight="1">
      <c r="A1193" s="4140" t="s">
        <v>1993</v>
      </c>
      <c r="B1193" s="445"/>
      <c r="C1193" s="445"/>
      <c r="D1193" s="625"/>
      <c r="E1193" s="626"/>
      <c r="F1193" s="626"/>
      <c r="G1193" s="626"/>
      <c r="H1193" s="788"/>
      <c r="I1193" s="626"/>
      <c r="J1193" s="626"/>
      <c r="K1193" s="626"/>
      <c r="L1193" s="626"/>
      <c r="M1193" s="788"/>
      <c r="N1193" s="626"/>
      <c r="O1193" s="626"/>
      <c r="P1193" s="626"/>
      <c r="Q1193" s="626"/>
      <c r="R1193" s="788"/>
      <c r="S1193" s="626"/>
      <c r="T1193" s="626"/>
      <c r="U1193" s="626"/>
      <c r="V1193" s="626"/>
      <c r="W1193" s="788"/>
      <c r="X1193" s="626"/>
      <c r="Y1193" s="626"/>
      <c r="Z1193" s="626"/>
      <c r="AA1193" s="626"/>
      <c r="AB1193" s="788"/>
      <c r="AC1193" s="626"/>
      <c r="AD1193" s="626"/>
      <c r="AE1193" s="626"/>
      <c r="AF1193" s="626"/>
      <c r="AG1193" s="788"/>
      <c r="AH1193" s="626"/>
      <c r="AI1193" s="626"/>
      <c r="AJ1193" s="626"/>
      <c r="AK1193" s="626"/>
      <c r="AL1193" s="788"/>
      <c r="AM1193" s="626"/>
      <c r="AN1193" s="626"/>
      <c r="AO1193" s="626"/>
      <c r="AP1193" s="330"/>
      <c r="AQ1193" s="1439"/>
      <c r="AR1193" s="330"/>
      <c r="AS1193" s="626"/>
      <c r="AT1193" s="626"/>
      <c r="AU1193" s="330"/>
      <c r="AV1193" s="788"/>
      <c r="AW1193" s="330"/>
      <c r="AX1193" s="330"/>
      <c r="AY1193" s="330"/>
      <c r="AZ1193" s="330"/>
      <c r="BA1193" s="788"/>
      <c r="BB1193" s="330"/>
      <c r="BC1193" s="330"/>
      <c r="BD1193" s="330"/>
      <c r="BE1193" s="2056"/>
      <c r="BF1193" s="788"/>
      <c r="BG1193" s="3118"/>
      <c r="BH1193" s="3117"/>
      <c r="BI1193" s="3117"/>
      <c r="BJ1193" s="3117"/>
      <c r="BK1193" s="788"/>
      <c r="BL1193" s="3117"/>
      <c r="BM1193" s="3117"/>
      <c r="BN1193" s="2056"/>
      <c r="BO1193" s="2365"/>
      <c r="BP1193" s="788"/>
      <c r="BQ1193" s="2056"/>
      <c r="BR1193" s="2056"/>
      <c r="BS1193" s="2056"/>
      <c r="BT1193" s="2365"/>
      <c r="BU1193" s="3406"/>
      <c r="BV1193" s="2056"/>
      <c r="BW1193" s="2056"/>
      <c r="BX1193" s="2694">
        <f>+BX743</f>
        <v>3.42225</v>
      </c>
      <c r="BY1193" s="2694">
        <f t="shared" ref="BY1193:CB1193" si="2327">+BY743</f>
        <v>3.42225</v>
      </c>
      <c r="BZ1193" s="2503">
        <f t="shared" si="2327"/>
        <v>6.8445</v>
      </c>
      <c r="CA1193" s="2695">
        <f t="shared" si="2327"/>
        <v>13.7930364</v>
      </c>
      <c r="CB1193" s="2695">
        <f t="shared" si="2327"/>
        <v>14.053238695149901</v>
      </c>
      <c r="CC1193" s="2365"/>
      <c r="CD1193" s="2365"/>
      <c r="CE1193" s="2365"/>
      <c r="CF1193" s="2365"/>
      <c r="CG1193" s="2365"/>
      <c r="CH1193" s="1573"/>
      <c r="CI1193" s="1573"/>
      <c r="CJ1193" s="1573"/>
      <c r="CK1193" s="1573"/>
      <c r="CL1193" s="1573"/>
      <c r="CM1193" s="331"/>
      <c r="CN1193" s="331"/>
      <c r="CO1193" s="965"/>
      <c r="CP1193" s="1003"/>
      <c r="CQ1193" s="626"/>
      <c r="CR1193" s="626"/>
      <c r="CS1193" s="626"/>
      <c r="CT1193" s="626"/>
      <c r="CU1193" s="626"/>
      <c r="CV1193" s="626"/>
      <c r="CW1193" s="626"/>
      <c r="CX1193" s="626"/>
      <c r="CY1193" s="626"/>
      <c r="CZ1193" s="626"/>
      <c r="DA1193" s="626"/>
      <c r="DB1193" s="626"/>
      <c r="DC1193" s="626"/>
      <c r="DD1193" s="626"/>
      <c r="DE1193" s="626"/>
      <c r="DF1193" s="626"/>
      <c r="DG1193" s="1893"/>
      <c r="DH1193" s="1574"/>
      <c r="DI1193" s="1575"/>
      <c r="DJ1193" s="1575"/>
      <c r="DK1193" s="1575"/>
      <c r="DL1193" s="1575"/>
      <c r="DM1193" s="1575"/>
      <c r="DN1193" s="275"/>
      <c r="DO1193" s="276"/>
      <c r="DP1193"/>
      <c r="DQ1193"/>
      <c r="DR1193"/>
      <c r="DS1193"/>
      <c r="DT1193"/>
      <c r="DU1193"/>
      <c r="DY1193" s="626"/>
      <c r="DZ1193" s="626"/>
    </row>
    <row r="1194" spans="1:132" ht="4.5" customHeight="1">
      <c r="A1194" s="962"/>
      <c r="B1194" s="293"/>
      <c r="C1194" s="293"/>
      <c r="D1194" s="294" t="s">
        <v>343</v>
      </c>
      <c r="E1194" s="295" t="s">
        <v>343</v>
      </c>
      <c r="F1194" s="295" t="s">
        <v>343</v>
      </c>
      <c r="G1194" s="295" t="s">
        <v>343</v>
      </c>
      <c r="H1194" s="296" t="s">
        <v>343</v>
      </c>
      <c r="I1194" s="295" t="s">
        <v>343</v>
      </c>
      <c r="J1194" s="295" t="s">
        <v>343</v>
      </c>
      <c r="K1194" s="295" t="s">
        <v>343</v>
      </c>
      <c r="L1194" s="295" t="s">
        <v>343</v>
      </c>
      <c r="M1194" s="296" t="s">
        <v>343</v>
      </c>
      <c r="N1194" s="295" t="s">
        <v>343</v>
      </c>
      <c r="O1194" s="295" t="s">
        <v>343</v>
      </c>
      <c r="P1194" s="295" t="s">
        <v>343</v>
      </c>
      <c r="Q1194" s="295" t="s">
        <v>343</v>
      </c>
      <c r="R1194" s="296" t="s">
        <v>343</v>
      </c>
      <c r="S1194" s="295" t="s">
        <v>343</v>
      </c>
      <c r="T1194" s="295" t="s">
        <v>343</v>
      </c>
      <c r="U1194" s="295" t="s">
        <v>343</v>
      </c>
      <c r="V1194" s="295" t="s">
        <v>343</v>
      </c>
      <c r="W1194" s="296" t="s">
        <v>343</v>
      </c>
      <c r="X1194" s="295" t="s">
        <v>343</v>
      </c>
      <c r="Y1194" s="295" t="s">
        <v>343</v>
      </c>
      <c r="Z1194" s="295" t="s">
        <v>343</v>
      </c>
      <c r="AA1194" s="295" t="s">
        <v>343</v>
      </c>
      <c r="AB1194" s="296" t="s">
        <v>343</v>
      </c>
      <c r="AC1194" s="295" t="s">
        <v>343</v>
      </c>
      <c r="AD1194" s="295" t="s">
        <v>343</v>
      </c>
      <c r="AE1194" s="295" t="s">
        <v>343</v>
      </c>
      <c r="AF1194" s="295" t="s">
        <v>343</v>
      </c>
      <c r="AG1194" s="296" t="s">
        <v>343</v>
      </c>
      <c r="AH1194" s="295" t="s">
        <v>343</v>
      </c>
      <c r="AI1194" s="295" t="s">
        <v>343</v>
      </c>
      <c r="AJ1194" s="295" t="s">
        <v>343</v>
      </c>
      <c r="AK1194" s="295" t="s">
        <v>343</v>
      </c>
      <c r="AL1194" s="296" t="s">
        <v>343</v>
      </c>
      <c r="AM1194" s="295" t="s">
        <v>343</v>
      </c>
      <c r="AN1194" s="295" t="s">
        <v>343</v>
      </c>
      <c r="AO1194" s="295" t="s">
        <v>343</v>
      </c>
      <c r="AP1194" s="295" t="s">
        <v>343</v>
      </c>
      <c r="AQ1194" s="296" t="s">
        <v>343</v>
      </c>
      <c r="AR1194" s="295" t="s">
        <v>343</v>
      </c>
      <c r="AS1194" s="295" t="s">
        <v>343</v>
      </c>
      <c r="AT1194" s="295" t="s">
        <v>343</v>
      </c>
      <c r="AU1194" s="295" t="s">
        <v>343</v>
      </c>
      <c r="AV1194" s="296" t="s">
        <v>343</v>
      </c>
      <c r="AW1194" s="295" t="s">
        <v>343</v>
      </c>
      <c r="AX1194" s="295" t="s">
        <v>343</v>
      </c>
      <c r="AY1194" s="295" t="s">
        <v>343</v>
      </c>
      <c r="AZ1194" s="295" t="s">
        <v>343</v>
      </c>
      <c r="BA1194" s="296" t="s">
        <v>343</v>
      </c>
      <c r="BB1194" s="295" t="s">
        <v>343</v>
      </c>
      <c r="BC1194" s="295" t="s">
        <v>343</v>
      </c>
      <c r="BD1194" s="295" t="s">
        <v>343</v>
      </c>
      <c r="BE1194" s="295" t="s">
        <v>343</v>
      </c>
      <c r="BF1194" s="296" t="s">
        <v>343</v>
      </c>
      <c r="BG1194" s="294" t="s">
        <v>343</v>
      </c>
      <c r="BH1194" s="295" t="s">
        <v>343</v>
      </c>
      <c r="BI1194" s="295" t="s">
        <v>343</v>
      </c>
      <c r="BJ1194" s="297" t="s">
        <v>343</v>
      </c>
      <c r="BK1194" s="296" t="s">
        <v>343</v>
      </c>
      <c r="BL1194" s="295" t="s">
        <v>343</v>
      </c>
      <c r="BM1194" s="295" t="s">
        <v>343</v>
      </c>
      <c r="BN1194" s="295" t="s">
        <v>343</v>
      </c>
      <c r="BO1194" s="297" t="s">
        <v>343</v>
      </c>
      <c r="BP1194" s="296" t="s">
        <v>343</v>
      </c>
      <c r="BQ1194" s="295" t="s">
        <v>343</v>
      </c>
      <c r="BR1194" s="295" t="s">
        <v>343</v>
      </c>
      <c r="BS1194" s="295" t="s">
        <v>343</v>
      </c>
      <c r="BT1194" s="297" t="s">
        <v>343</v>
      </c>
      <c r="BU1194" s="3314" t="s">
        <v>343</v>
      </c>
      <c r="BV1194" s="295" t="s">
        <v>343</v>
      </c>
      <c r="BW1194" s="295" t="s">
        <v>343</v>
      </c>
      <c r="BX1194" s="295" t="s">
        <v>343</v>
      </c>
      <c r="BY1194" s="295" t="s">
        <v>343</v>
      </c>
      <c r="BZ1194" s="296" t="s">
        <v>343</v>
      </c>
      <c r="CA1194" s="297" t="s">
        <v>343</v>
      </c>
      <c r="CB1194" s="297" t="s">
        <v>343</v>
      </c>
      <c r="CC1194" s="297" t="s">
        <v>343</v>
      </c>
      <c r="CD1194" s="297" t="s">
        <v>343</v>
      </c>
      <c r="CE1194" s="297" t="s">
        <v>343</v>
      </c>
      <c r="CF1194" s="297" t="s">
        <v>343</v>
      </c>
      <c r="CG1194" s="297" t="s">
        <v>343</v>
      </c>
      <c r="CH1194" s="295"/>
      <c r="CI1194" s="295"/>
      <c r="CJ1194" s="295"/>
      <c r="CK1194" s="295"/>
      <c r="CL1194" s="295"/>
      <c r="CM1194" s="331"/>
      <c r="CN1194" s="331">
        <f t="shared" si="2312"/>
        <v>0</v>
      </c>
      <c r="CO1194" s="965">
        <f t="shared" si="2313"/>
        <v>0</v>
      </c>
      <c r="CP1194" s="1784"/>
      <c r="CQ1194" s="295" t="str">
        <f t="shared" si="2177"/>
        <v xml:space="preserve">                </v>
      </c>
      <c r="CR1194" s="295" t="str">
        <f t="shared" si="2178"/>
        <v xml:space="preserve">                </v>
      </c>
      <c r="CS1194" s="295" t="str">
        <f t="shared" si="2179"/>
        <v xml:space="preserve">                </v>
      </c>
      <c r="CT1194" s="295" t="str">
        <f t="shared" si="2180"/>
        <v xml:space="preserve">                </v>
      </c>
      <c r="CU1194" s="295" t="str">
        <f t="shared" si="2181"/>
        <v xml:space="preserve">                </v>
      </c>
      <c r="CV1194" s="295" t="str">
        <f t="shared" si="2182"/>
        <v xml:space="preserve">                </v>
      </c>
      <c r="CW1194" s="295" t="str">
        <f t="shared" si="2183"/>
        <v xml:space="preserve">                </v>
      </c>
      <c r="CX1194" s="295" t="str">
        <f t="shared" si="2184"/>
        <v xml:space="preserve">                </v>
      </c>
      <c r="CY1194" s="295" t="str">
        <f t="shared" si="2185"/>
        <v xml:space="preserve">                </v>
      </c>
      <c r="CZ1194" s="295" t="str">
        <f t="shared" si="2186"/>
        <v xml:space="preserve">                </v>
      </c>
      <c r="DA1194" s="295" t="str">
        <f t="shared" si="2187"/>
        <v xml:space="preserve">                </v>
      </c>
      <c r="DB1194" s="295" t="str">
        <f t="shared" si="2188"/>
        <v xml:space="preserve">                </v>
      </c>
      <c r="DC1194" s="295" t="str">
        <f t="shared" si="2189"/>
        <v xml:space="preserve">                </v>
      </c>
      <c r="DD1194" s="295" t="str">
        <f t="shared" si="2190"/>
        <v xml:space="preserve">                </v>
      </c>
      <c r="DE1194" s="295" t="str">
        <f t="shared" si="2191"/>
        <v xml:space="preserve">                </v>
      </c>
      <c r="DF1194" s="295" t="str">
        <f t="shared" si="2192"/>
        <v xml:space="preserve">                </v>
      </c>
      <c r="DG1194" s="297" t="str">
        <f t="shared" si="2193"/>
        <v xml:space="preserve">                </v>
      </c>
      <c r="DH1194" s="298"/>
      <c r="DI1194" s="299"/>
      <c r="DJ1194" s="299"/>
      <c r="DK1194" s="299"/>
      <c r="DL1194" s="299"/>
      <c r="DM1194" s="299"/>
      <c r="DN1194" s="299"/>
      <c r="DO1194" s="300"/>
      <c r="DY1194" s="295"/>
      <c r="DZ1194" s="295"/>
    </row>
    <row r="1195" spans="1:132" ht="12" customHeight="1">
      <c r="A1195" s="242" t="s">
        <v>1590</v>
      </c>
      <c r="B1195" s="242"/>
      <c r="C1195" s="242"/>
      <c r="D1195" s="553">
        <v>24.974</v>
      </c>
      <c r="E1195" s="554">
        <v>26.585000000000001</v>
      </c>
      <c r="F1195" s="554">
        <v>42.055</v>
      </c>
      <c r="G1195" s="554">
        <v>43.171999999999997</v>
      </c>
      <c r="H1195" s="556">
        <f>SUM(H1185:H1191)</f>
        <v>136.786</v>
      </c>
      <c r="I1195" s="554">
        <v>43.726999999999997</v>
      </c>
      <c r="J1195" s="554">
        <v>44.454000000000001</v>
      </c>
      <c r="K1195" s="554">
        <v>42.326999999999998</v>
      </c>
      <c r="L1195" s="554">
        <v>45.728999999999999</v>
      </c>
      <c r="M1195" s="556">
        <f>SUM(M1185:M1191)</f>
        <v>176.23699999999997</v>
      </c>
      <c r="N1195" s="554">
        <v>54.444000000000003</v>
      </c>
      <c r="O1195" s="554">
        <v>54.587000000000003</v>
      </c>
      <c r="P1195" s="554">
        <v>43.298999999999999</v>
      </c>
      <c r="Q1195" s="554">
        <v>42.31</v>
      </c>
      <c r="R1195" s="556">
        <f>SUM(R1185:R1191)</f>
        <v>194.64</v>
      </c>
      <c r="S1195" s="554">
        <v>40.936</v>
      </c>
      <c r="T1195" s="554">
        <v>42.262</v>
      </c>
      <c r="U1195" s="554">
        <v>41.764000000000003</v>
      </c>
      <c r="V1195" s="554">
        <v>42.295000000000002</v>
      </c>
      <c r="W1195" s="556">
        <f>SUM(W1185:W1191)</f>
        <v>167.25700000000001</v>
      </c>
      <c r="X1195" s="554">
        <v>43.494</v>
      </c>
      <c r="Y1195" s="554">
        <v>42.9</v>
      </c>
      <c r="Z1195" s="554">
        <v>41.896999999999998</v>
      </c>
      <c r="AA1195" s="554">
        <v>42.003999999999998</v>
      </c>
      <c r="AB1195" s="556">
        <f>SUM(AB1185:AB1191)</f>
        <v>170.29499999999999</v>
      </c>
      <c r="AC1195" s="554">
        <v>42.975999999999999</v>
      </c>
      <c r="AD1195" s="554">
        <v>42.417999999999999</v>
      </c>
      <c r="AE1195" s="554">
        <v>40.902999999999999</v>
      </c>
      <c r="AF1195" s="554">
        <v>39.427999999999997</v>
      </c>
      <c r="AG1195" s="556">
        <f>SUM(AG1185:AG1191)</f>
        <v>165.72499999999999</v>
      </c>
      <c r="AH1195" s="554">
        <v>40.045999999999999</v>
      </c>
      <c r="AI1195" s="554">
        <v>55.408000000000001</v>
      </c>
      <c r="AJ1195" s="554">
        <v>52.451000000000001</v>
      </c>
      <c r="AK1195" s="554">
        <v>51.37</v>
      </c>
      <c r="AL1195" s="556">
        <f>SUM(AL1185:AL1191)</f>
        <v>199.27499999999998</v>
      </c>
      <c r="AM1195" s="554">
        <v>50.584000000000003</v>
      </c>
      <c r="AN1195" s="554">
        <v>48.488</v>
      </c>
      <c r="AO1195" s="554">
        <v>46.033999999999999</v>
      </c>
      <c r="AP1195" s="554">
        <v>50.237000000000002</v>
      </c>
      <c r="AQ1195" s="556">
        <f>SUM(AQ1185:AQ1191)</f>
        <v>210.54300000000001</v>
      </c>
      <c r="AR1195" s="554">
        <v>50.014000000000003</v>
      </c>
      <c r="AS1195" s="554">
        <v>50.661000000000001</v>
      </c>
      <c r="AT1195" s="554">
        <v>50.408999999999999</v>
      </c>
      <c r="AU1195" s="554">
        <v>63.207000000000001</v>
      </c>
      <c r="AV1195" s="829">
        <f t="shared" si="2315"/>
        <v>214.291</v>
      </c>
      <c r="AW1195" s="554">
        <v>54.4</v>
      </c>
      <c r="AX1195" s="554">
        <v>54.8</v>
      </c>
      <c r="AY1195" s="554">
        <v>54.7</v>
      </c>
      <c r="AZ1195" s="554">
        <v>54.8</v>
      </c>
      <c r="BA1195" s="829">
        <f t="shared" si="2316"/>
        <v>218.7</v>
      </c>
      <c r="BB1195" s="2681">
        <v>52.3</v>
      </c>
      <c r="BC1195" s="2681">
        <v>51.8</v>
      </c>
      <c r="BD1195" s="2681">
        <v>52.1</v>
      </c>
      <c r="BE1195" s="2681">
        <v>52.798999999999999</v>
      </c>
      <c r="BF1195" s="829">
        <f t="shared" si="2317"/>
        <v>208.999</v>
      </c>
      <c r="BG1195" s="2681">
        <v>51.942</v>
      </c>
      <c r="BH1195" s="2681">
        <v>51.963999999999999</v>
      </c>
      <c r="BI1195" s="2681">
        <v>51.344999999999999</v>
      </c>
      <c r="BJ1195" s="2681">
        <v>51.866999999999997</v>
      </c>
      <c r="BK1195" s="829">
        <f>SUM(BG1195:BJ1195)</f>
        <v>207.11799999999999</v>
      </c>
      <c r="BL1195" s="2681">
        <v>47.652999999999999</v>
      </c>
      <c r="BM1195" s="2681">
        <v>48.25</v>
      </c>
      <c r="BN1195" s="2681">
        <v>47.927999999999997</v>
      </c>
      <c r="BO1195" s="2681">
        <v>52.395000000000003</v>
      </c>
      <c r="BP1195" s="829">
        <f>SUM(BL1195:BO1195)</f>
        <v>196.226</v>
      </c>
      <c r="BQ1195" s="2681">
        <v>53.963999999999999</v>
      </c>
      <c r="BR1195" s="2681">
        <v>52.563000000000002</v>
      </c>
      <c r="BS1195" s="2681">
        <v>55.201000000000001</v>
      </c>
      <c r="BT1195" s="2681">
        <v>55.793999999999997</v>
      </c>
      <c r="BU1195" s="3410">
        <f t="shared" ref="BU1195:CB1195" si="2328">SUM(BU1185:BU1194)</f>
        <v>217.52199999999999</v>
      </c>
      <c r="BV1195" s="557">
        <f t="shared" si="2328"/>
        <v>54.463999999999999</v>
      </c>
      <c r="BW1195" s="557">
        <f t="shared" si="2328"/>
        <v>53.063000000000002</v>
      </c>
      <c r="BX1195" s="557">
        <f t="shared" si="2328"/>
        <v>59.123249999999999</v>
      </c>
      <c r="BY1195" s="557">
        <f t="shared" si="2328"/>
        <v>59.716249999999995</v>
      </c>
      <c r="BZ1195" s="829">
        <f t="shared" si="2328"/>
        <v>226.3665</v>
      </c>
      <c r="CA1195" s="829">
        <f t="shared" si="2328"/>
        <v>233.3150364</v>
      </c>
      <c r="CB1195" s="829">
        <f t="shared" si="2328"/>
        <v>233.57523869514989</v>
      </c>
      <c r="CC1195" s="829">
        <f>CB1195</f>
        <v>233.57523869514989</v>
      </c>
      <c r="CD1195" s="829">
        <f>CC1195</f>
        <v>233.57523869514989</v>
      </c>
      <c r="CE1195" s="829">
        <f>CD1195</f>
        <v>233.57523869514989</v>
      </c>
      <c r="CF1195" s="829">
        <f>CE1195</f>
        <v>233.57523869514989</v>
      </c>
      <c r="CG1195" s="829">
        <f>CF1195</f>
        <v>233.57523869514989</v>
      </c>
      <c r="CH1195" s="557"/>
      <c r="CI1195" s="557"/>
      <c r="CJ1195" s="557"/>
      <c r="CK1195" s="557"/>
      <c r="CL1195" s="557"/>
      <c r="CM1195" s="331"/>
      <c r="CN1195" s="331">
        <f t="shared" si="2312"/>
        <v>226.3665</v>
      </c>
      <c r="CO1195" s="965">
        <f t="shared" si="2313"/>
        <v>-226.3665</v>
      </c>
      <c r="CP1195" s="977" t="str">
        <f t="shared" si="2176"/>
        <v>Total Depreciation</v>
      </c>
      <c r="CQ1195" s="557">
        <f t="shared" si="2177"/>
        <v>136.786</v>
      </c>
      <c r="CR1195" s="557">
        <f t="shared" si="2178"/>
        <v>176.23699999999997</v>
      </c>
      <c r="CS1195" s="557">
        <f t="shared" si="2179"/>
        <v>194.64</v>
      </c>
      <c r="CT1195" s="557">
        <f t="shared" si="2180"/>
        <v>167.25700000000001</v>
      </c>
      <c r="CU1195" s="557">
        <f t="shared" si="2181"/>
        <v>170.29499999999999</v>
      </c>
      <c r="CV1195" s="557">
        <f t="shared" si="2182"/>
        <v>165.72499999999999</v>
      </c>
      <c r="CW1195" s="557">
        <f t="shared" si="2183"/>
        <v>199.27499999999998</v>
      </c>
      <c r="CX1195" s="557">
        <f t="shared" si="2184"/>
        <v>210.54300000000001</v>
      </c>
      <c r="CY1195" s="557">
        <f t="shared" si="2185"/>
        <v>214.291</v>
      </c>
      <c r="CZ1195" s="557">
        <f t="shared" si="2186"/>
        <v>218.7</v>
      </c>
      <c r="DA1195" s="557">
        <f t="shared" si="2187"/>
        <v>208.999</v>
      </c>
      <c r="DB1195" s="557">
        <f t="shared" si="2188"/>
        <v>207.11799999999999</v>
      </c>
      <c r="DC1195" s="557">
        <f t="shared" si="2189"/>
        <v>196.226</v>
      </c>
      <c r="DD1195" s="557">
        <f t="shared" si="2190"/>
        <v>217.52199999999999</v>
      </c>
      <c r="DE1195" s="557">
        <f t="shared" si="2191"/>
        <v>226.3665</v>
      </c>
      <c r="DF1195" s="557">
        <f t="shared" si="2192"/>
        <v>233.3150364</v>
      </c>
      <c r="DG1195" s="1848">
        <f t="shared" si="2193"/>
        <v>233.57523869514989</v>
      </c>
      <c r="DH1195" s="690"/>
      <c r="DI1195" s="831"/>
      <c r="DJ1195" s="831"/>
      <c r="DK1195" s="831"/>
      <c r="DL1195" s="831"/>
      <c r="DM1195" s="831"/>
      <c r="DN1195" s="268"/>
      <c r="DO1195" s="269"/>
      <c r="DY1195" s="826"/>
      <c r="DZ1195" s="826"/>
    </row>
    <row r="1196" spans="1:132" ht="12" customHeight="1">
      <c r="A1196" s="445"/>
      <c r="B1196" s="445"/>
      <c r="C1196" s="445"/>
      <c r="D1196" s="584"/>
      <c r="E1196" s="583"/>
      <c r="F1196" s="583"/>
      <c r="G1196" s="583"/>
      <c r="H1196" s="587"/>
      <c r="I1196" s="583"/>
      <c r="J1196" s="583"/>
      <c r="K1196" s="583"/>
      <c r="L1196" s="583"/>
      <c r="M1196" s="587"/>
      <c r="N1196" s="583"/>
      <c r="O1196" s="583"/>
      <c r="P1196" s="583"/>
      <c r="Q1196" s="583"/>
      <c r="R1196" s="587"/>
      <c r="S1196" s="583"/>
      <c r="T1196" s="583"/>
      <c r="U1196" s="583"/>
      <c r="V1196" s="583"/>
      <c r="W1196" s="587"/>
      <c r="X1196" s="583"/>
      <c r="Y1196" s="583"/>
      <c r="Z1196" s="583"/>
      <c r="AA1196" s="583"/>
      <c r="AB1196" s="587"/>
      <c r="AC1196" s="583"/>
      <c r="AD1196" s="583"/>
      <c r="AE1196" s="583"/>
      <c r="AF1196" s="583"/>
      <c r="AG1196" s="587"/>
      <c r="AH1196" s="583"/>
      <c r="AI1196" s="583"/>
      <c r="AJ1196" s="583"/>
      <c r="AK1196" s="583"/>
      <c r="AL1196" s="587"/>
      <c r="AM1196" s="583"/>
      <c r="AN1196" s="583"/>
      <c r="AO1196" s="583"/>
      <c r="AP1196" s="583"/>
      <c r="AQ1196" s="587"/>
      <c r="AR1196" s="583"/>
      <c r="AS1196" s="583"/>
      <c r="AT1196" s="583"/>
      <c r="AU1196" s="583"/>
      <c r="AV1196" s="587"/>
      <c r="AW1196" s="583"/>
      <c r="AX1196" s="583"/>
      <c r="AY1196" s="583"/>
      <c r="AZ1196" s="583"/>
      <c r="BA1196" s="587"/>
      <c r="BB1196" s="583"/>
      <c r="BC1196" s="583"/>
      <c r="BD1196" s="583"/>
      <c r="BE1196" s="583"/>
      <c r="BF1196" s="587"/>
      <c r="BG1196" s="584"/>
      <c r="BH1196" s="583"/>
      <c r="BI1196" s="583"/>
      <c r="BJ1196" s="1298"/>
      <c r="BK1196" s="587"/>
      <c r="BL1196" s="583"/>
      <c r="BM1196" s="583"/>
      <c r="BN1196" s="583"/>
      <c r="BO1196" s="1298"/>
      <c r="BP1196" s="587"/>
      <c r="BQ1196" s="583"/>
      <c r="BR1196" s="583"/>
      <c r="BS1196" s="583"/>
      <c r="BT1196" s="1298"/>
      <c r="BU1196" s="3376"/>
      <c r="BV1196" s="583"/>
      <c r="BW1196" s="583"/>
      <c r="BX1196" s="583"/>
      <c r="BY1196" s="583"/>
      <c r="BZ1196" s="2696"/>
      <c r="CA1196" s="587"/>
      <c r="CB1196" s="587"/>
      <c r="CC1196" s="587"/>
      <c r="CD1196" s="587"/>
      <c r="CE1196" s="587"/>
      <c r="CF1196" s="587"/>
      <c r="CG1196" s="587"/>
      <c r="CH1196" s="583"/>
      <c r="CI1196" s="583"/>
      <c r="CJ1196" s="583"/>
      <c r="CK1196" s="583"/>
      <c r="CL1196" s="583"/>
      <c r="CM1196" s="583"/>
      <c r="CN1196" s="583"/>
      <c r="CO1196" s="965">
        <f t="shared" si="2313"/>
        <v>0</v>
      </c>
      <c r="CP1196" s="981"/>
      <c r="CQ1196" s="581"/>
      <c r="CR1196" s="581"/>
      <c r="CS1196" s="581"/>
      <c r="CT1196" s="581"/>
      <c r="CU1196" s="581"/>
      <c r="CV1196" s="581"/>
      <c r="CW1196" s="581"/>
      <c r="CX1196" s="581"/>
      <c r="CY1196" s="581"/>
      <c r="CZ1196" s="581"/>
      <c r="DA1196" s="581"/>
      <c r="DB1196" s="581"/>
      <c r="DC1196" s="581"/>
      <c r="DD1196" s="581"/>
      <c r="DE1196" s="581"/>
      <c r="DF1196" s="581"/>
      <c r="DG1196" s="869"/>
      <c r="DH1196" s="689"/>
      <c r="DI1196" s="570"/>
      <c r="DJ1196" s="570"/>
      <c r="DK1196" s="570"/>
      <c r="DL1196" s="570"/>
      <c r="DM1196" s="570"/>
      <c r="DN1196" s="222"/>
      <c r="DO1196" s="226"/>
      <c r="DY1196" s="583"/>
      <c r="DZ1196" s="583"/>
    </row>
    <row r="1197" spans="1:132" ht="12" customHeight="1">
      <c r="A1197" s="530" t="s">
        <v>1200</v>
      </c>
      <c r="B1197" s="530"/>
      <c r="C1197" s="530"/>
      <c r="D1197" s="625"/>
      <c r="E1197" s="626"/>
      <c r="F1197" s="330"/>
      <c r="G1197" s="626"/>
      <c r="H1197" s="917"/>
      <c r="I1197" s="626"/>
      <c r="J1197" s="626"/>
      <c r="K1197" s="626"/>
      <c r="L1197" s="626"/>
      <c r="M1197" s="917"/>
      <c r="N1197" s="626"/>
      <c r="O1197" s="626"/>
      <c r="P1197" s="626"/>
      <c r="Q1197" s="626"/>
      <c r="R1197" s="917"/>
      <c r="S1197" s="626"/>
      <c r="T1197" s="626"/>
      <c r="U1197" s="626"/>
      <c r="V1197" s="626"/>
      <c r="W1197" s="917"/>
      <c r="X1197" s="626"/>
      <c r="Y1197" s="626"/>
      <c r="Z1197" s="626"/>
      <c r="AA1197" s="918"/>
      <c r="AB1197" s="917"/>
      <c r="AC1197" s="918"/>
      <c r="AD1197" s="918"/>
      <c r="AE1197" s="918"/>
      <c r="AF1197" s="918"/>
      <c r="AG1197" s="917"/>
      <c r="AH1197" s="918"/>
      <c r="AI1197" s="918"/>
      <c r="AJ1197" s="918"/>
      <c r="AK1197" s="918"/>
      <c r="AL1197" s="917"/>
      <c r="AM1197" s="918"/>
      <c r="AN1197" s="918"/>
      <c r="AO1197" s="918"/>
      <c r="AP1197" s="918"/>
      <c r="AQ1197" s="917"/>
      <c r="AR1197" s="918"/>
      <c r="AS1197" s="918"/>
      <c r="AT1197" s="918"/>
      <c r="AU1197" s="918"/>
      <c r="AV1197" s="917"/>
      <c r="AW1197" s="918"/>
      <c r="AX1197" s="918"/>
      <c r="AY1197" s="918"/>
      <c r="AZ1197" s="918"/>
      <c r="BA1197" s="917"/>
      <c r="BB1197" s="918"/>
      <c r="BC1197" s="918"/>
      <c r="BD1197" s="918"/>
      <c r="BE1197" s="918"/>
      <c r="BF1197" s="917"/>
      <c r="BG1197" s="2971"/>
      <c r="BH1197" s="918"/>
      <c r="BI1197" s="918"/>
      <c r="BJ1197" s="1930"/>
      <c r="BK1197" s="917"/>
      <c r="BL1197" s="918"/>
      <c r="BM1197" s="918"/>
      <c r="BN1197" s="918"/>
      <c r="BO1197" s="1930"/>
      <c r="BP1197" s="917"/>
      <c r="BQ1197" s="918"/>
      <c r="BR1197" s="918"/>
      <c r="BS1197" s="918"/>
      <c r="BT1197" s="1930"/>
      <c r="BU1197" s="3447"/>
      <c r="BV1197" s="918"/>
      <c r="BW1197" s="918"/>
      <c r="BX1197" s="918"/>
      <c r="BY1197" s="918"/>
      <c r="BZ1197" s="4023"/>
      <c r="CA1197" s="917"/>
      <c r="CB1197" s="917"/>
      <c r="CC1197" s="917"/>
      <c r="CD1197" s="917"/>
      <c r="CE1197" s="917"/>
      <c r="CF1197" s="917"/>
      <c r="CG1197" s="917"/>
      <c r="CH1197" s="3994"/>
      <c r="CI1197" s="3994"/>
      <c r="CJ1197" s="3994"/>
      <c r="CK1197" s="3994"/>
      <c r="CL1197" s="918"/>
      <c r="CM1197" s="918"/>
      <c r="CN1197" s="918"/>
      <c r="CO1197" s="965">
        <f t="shared" si="2313"/>
        <v>0</v>
      </c>
      <c r="CP1197" s="1001" t="str">
        <f t="shared" si="2176"/>
        <v>Capital Expenditures</v>
      </c>
      <c r="CQ1197" s="918"/>
      <c r="CR1197" s="918"/>
      <c r="CS1197" s="918"/>
      <c r="CT1197" s="918"/>
      <c r="CU1197" s="918"/>
      <c r="CV1197" s="918"/>
      <c r="CW1197" s="918"/>
      <c r="CX1197" s="918"/>
      <c r="CY1197" s="918"/>
      <c r="CZ1197" s="918"/>
      <c r="DA1197" s="918"/>
      <c r="DB1197" s="918"/>
      <c r="DC1197" s="918"/>
      <c r="DD1197" s="918"/>
      <c r="DE1197" s="918"/>
      <c r="DF1197" s="918"/>
      <c r="DG1197" s="1930"/>
      <c r="DH1197" s="919"/>
      <c r="DI1197" s="919"/>
      <c r="DJ1197" s="919"/>
      <c r="DK1197" s="919"/>
      <c r="DL1197" s="919"/>
      <c r="DM1197" s="919"/>
      <c r="DN1197" s="222"/>
      <c r="DO1197" s="226"/>
      <c r="DY1197" s="918"/>
      <c r="DZ1197" s="918"/>
    </row>
    <row r="1198" spans="1:132" ht="12" customHeight="1">
      <c r="A1198" s="874" t="s">
        <v>752</v>
      </c>
      <c r="B1198" s="875"/>
      <c r="C1198" s="875"/>
      <c r="D1198" s="431">
        <f>D1207-D1202-D1199-D1201</f>
        <v>10.789859999999999</v>
      </c>
      <c r="E1198" s="435">
        <f>E1207-E1202-E1199</f>
        <v>30.228149999999999</v>
      </c>
      <c r="F1198" s="435">
        <f>F1207-F1202-F1199</f>
        <v>62.863209999999995</v>
      </c>
      <c r="G1198" s="435">
        <f>G1207-G1202-G1199</f>
        <v>112.94503999999998</v>
      </c>
      <c r="H1198" s="433">
        <f>+SUM(D1198:G1198)</f>
        <v>216.82625999999996</v>
      </c>
      <c r="I1198" s="435">
        <f>I1207-I1202-I1199</f>
        <v>97.063299999999998</v>
      </c>
      <c r="J1198" s="435">
        <f>J1207-J1202-J1199</f>
        <v>122.40050000000002</v>
      </c>
      <c r="K1198" s="435">
        <f>K1207-K1202-K1199</f>
        <v>126.48358</v>
      </c>
      <c r="L1198" s="435">
        <f>L1207-L1202-L1199</f>
        <v>177.80601999999993</v>
      </c>
      <c r="M1198" s="433">
        <f>+SUM(I1198:L1198)</f>
        <v>523.75339999999994</v>
      </c>
      <c r="N1198" s="435">
        <f>N1207-N1202-N1199</f>
        <v>125.82380999999999</v>
      </c>
      <c r="O1198" s="435">
        <f>O1207-O1202-O1199</f>
        <v>53.708019999999991</v>
      </c>
      <c r="P1198" s="435">
        <f>P1207-P1202-P1199</f>
        <v>58.671420000000026</v>
      </c>
      <c r="Q1198" s="435">
        <f>Q1207-Q1202-Q1199</f>
        <v>53.794920000000047</v>
      </c>
      <c r="R1198" s="433">
        <f>+SUM(N1198:Q1198)</f>
        <v>291.99817000000007</v>
      </c>
      <c r="S1198" s="435">
        <f>S1207-S1202-S1199</f>
        <v>27.395099999999999</v>
      </c>
      <c r="T1198" s="435">
        <f>T1207-T1202-T1199</f>
        <v>57.97726999999999</v>
      </c>
      <c r="U1198" s="435">
        <f>U1207-U1202-U1199</f>
        <v>72.787350000000004</v>
      </c>
      <c r="V1198" s="435">
        <f>V1207-V1202-V1199</f>
        <v>78.820710000000005</v>
      </c>
      <c r="W1198" s="433">
        <f>+SUM(S1198:V1198)</f>
        <v>236.98043000000001</v>
      </c>
      <c r="X1198" s="435">
        <f>X1207-X1202-X1199</f>
        <v>154.02145999999999</v>
      </c>
      <c r="Y1198" s="435">
        <f>Y1207-Y1202-Y1199</f>
        <v>186.75908000000001</v>
      </c>
      <c r="Z1198" s="435">
        <f>Z1207-Z1202-Z1199</f>
        <v>177.96534999999997</v>
      </c>
      <c r="AA1198" s="435">
        <f>AA1207-AA1202-AA1199</f>
        <v>95.225099999999969</v>
      </c>
      <c r="AB1198" s="433">
        <f>+SUM(X1198:AA1198)</f>
        <v>613.97098999999992</v>
      </c>
      <c r="AC1198" s="435">
        <f>AC1207-AC1202-AC1199</f>
        <v>75.270650000000003</v>
      </c>
      <c r="AD1198" s="435">
        <f>AD1207-AD1202-AD1199</f>
        <v>27.799499999999998</v>
      </c>
      <c r="AE1198" s="435">
        <f>AE1207-AE1202-AE1199</f>
        <v>3.1867099999999873</v>
      </c>
      <c r="AF1198" s="845">
        <f>157.557-49.2-AE1198-AD1198-AC1198</f>
        <v>2.1001399999999961</v>
      </c>
      <c r="AG1198" s="433">
        <f>+SUM(AC1198:AF1198)</f>
        <v>108.35699999999999</v>
      </c>
      <c r="AH1198" s="435">
        <f>-AH1032-AH1199</f>
        <v>21.567</v>
      </c>
      <c r="AI1198" s="845">
        <f>AI1207-AI1202-AI1199</f>
        <v>6.9140000000000015</v>
      </c>
      <c r="AJ1198" s="845">
        <f>AJ1207-AJ1202-AJ1199</f>
        <v>1.7411749999999984</v>
      </c>
      <c r="AK1198" s="845">
        <f>AK1207-AK1202-AK1199</f>
        <v>6.8903600000000083</v>
      </c>
      <c r="AL1198" s="433">
        <f>+SUM(AH1198:AK1198)</f>
        <v>37.112535000000008</v>
      </c>
      <c r="AM1198" s="845">
        <v>0</v>
      </c>
      <c r="AN1198" s="845">
        <v>0</v>
      </c>
      <c r="AO1198" s="845">
        <v>0</v>
      </c>
      <c r="AP1198" s="845">
        <v>4</v>
      </c>
      <c r="AQ1198" s="433">
        <f>+SUM(AM1198:AP1198)</f>
        <v>4</v>
      </c>
      <c r="AR1198" s="845">
        <f>32.8-AR1199-AR1200-AR1201-AR1202</f>
        <v>3.4999999999999964</v>
      </c>
      <c r="AS1198" s="845">
        <f>11.7+0.4-AR1198</f>
        <v>8.6000000000000032</v>
      </c>
      <c r="AT1198" s="845">
        <f>18.6+5-AR1198-AS1198</f>
        <v>11.500000000000002</v>
      </c>
      <c r="AU1198" s="845">
        <f>28-AR1198-AS1198-AT1198</f>
        <v>4.3999999999999986</v>
      </c>
      <c r="AV1198" s="433">
        <f>SUM(AR1198:AU1198)</f>
        <v>28</v>
      </c>
      <c r="AW1198" s="845">
        <f>22.6-AW1199-AW1200-AW1201-AW1202-AW1204</f>
        <v>0.30000000000000249</v>
      </c>
      <c r="AX1198" s="845">
        <f>0</f>
        <v>0</v>
      </c>
      <c r="AY1198" s="845">
        <v>0</v>
      </c>
      <c r="AZ1198" s="845">
        <v>0</v>
      </c>
      <c r="BA1198" s="434">
        <f>SUM(AW1198:AZ1198)</f>
        <v>0.30000000000000249</v>
      </c>
      <c r="BB1198" s="845">
        <v>0</v>
      </c>
      <c r="BC1198" s="845">
        <v>0</v>
      </c>
      <c r="BD1198" s="845">
        <v>0</v>
      </c>
      <c r="BE1198" s="845">
        <v>0</v>
      </c>
      <c r="BF1198" s="434">
        <f t="shared" ref="BF1198:BF1204" si="2329">SUM(BB1198:BE1198)</f>
        <v>0</v>
      </c>
      <c r="BG1198" s="845">
        <v>11.25</v>
      </c>
      <c r="BH1198" s="845">
        <v>11.25</v>
      </c>
      <c r="BI1198" s="845">
        <v>11.25</v>
      </c>
      <c r="BJ1198" s="845">
        <f>11.25+6</f>
        <v>17.25</v>
      </c>
      <c r="BK1198" s="2650">
        <f t="shared" ref="BK1198:BK1204" si="2330">SUM(BG1198:BJ1198)</f>
        <v>51</v>
      </c>
      <c r="BL1198" s="3192">
        <f>10.5+(39/3)</f>
        <v>23.5</v>
      </c>
      <c r="BM1198" s="3192">
        <f>10.5+(39/3)</f>
        <v>23.5</v>
      </c>
      <c r="BN1198" s="3192">
        <v>25</v>
      </c>
      <c r="BO1198" s="3192">
        <v>25</v>
      </c>
      <c r="BP1198" s="2650">
        <f t="shared" ref="BP1198:BP1204" si="2331">SUM(BL1198:BO1198)</f>
        <v>97</v>
      </c>
      <c r="BQ1198" s="3192">
        <v>15</v>
      </c>
      <c r="BR1198" s="3192">
        <v>13</v>
      </c>
      <c r="BS1198" s="3192">
        <v>10</v>
      </c>
      <c r="BT1198" s="3192">
        <v>8</v>
      </c>
      <c r="BU1198" s="3444">
        <f t="shared" ref="BU1198:BU1204" si="2332">SUM(BQ1198:BT1198)</f>
        <v>46</v>
      </c>
      <c r="BV1198" s="3192">
        <v>12.5</v>
      </c>
      <c r="BW1198" s="3192">
        <v>12.5</v>
      </c>
      <c r="BX1198" s="3192">
        <v>12.5</v>
      </c>
      <c r="BY1198" s="3192">
        <v>12.5</v>
      </c>
      <c r="BZ1198" s="2650">
        <f t="shared" ref="BZ1198:BZ1205" si="2333">SUM(BV1198:BY1198)</f>
        <v>50</v>
      </c>
      <c r="CA1198" s="433">
        <f t="shared" ref="CA1198:CG1198" si="2334">BZ1198</f>
        <v>50</v>
      </c>
      <c r="CB1198" s="433">
        <f t="shared" si="2334"/>
        <v>50</v>
      </c>
      <c r="CC1198" s="433">
        <f t="shared" si="2334"/>
        <v>50</v>
      </c>
      <c r="CD1198" s="433">
        <f t="shared" si="2334"/>
        <v>50</v>
      </c>
      <c r="CE1198" s="433">
        <f t="shared" si="2334"/>
        <v>50</v>
      </c>
      <c r="CF1198" s="433">
        <f t="shared" si="2334"/>
        <v>50</v>
      </c>
      <c r="CG1198" s="433">
        <f t="shared" si="2334"/>
        <v>50</v>
      </c>
      <c r="CH1198" s="2973"/>
      <c r="CI1198" s="2973"/>
      <c r="CJ1198" s="2973"/>
      <c r="CK1198" s="2973"/>
      <c r="CL1198" s="435"/>
      <c r="CM1198" s="331"/>
      <c r="CN1198" s="331">
        <f t="shared" ref="CN1198:CN1207" si="2335">SUM(BV1198:BY1198)</f>
        <v>50</v>
      </c>
      <c r="CO1198" s="965">
        <f t="shared" si="2313"/>
        <v>-50</v>
      </c>
      <c r="CP1198" s="995" t="str">
        <f t="shared" si="2176"/>
        <v>BYD Wholly-owned Growth / Project</v>
      </c>
      <c r="CQ1198" s="435">
        <f t="shared" si="2177"/>
        <v>216.82625999999996</v>
      </c>
      <c r="CR1198" s="435">
        <f t="shared" si="2178"/>
        <v>523.75339999999994</v>
      </c>
      <c r="CS1198" s="435">
        <f t="shared" si="2179"/>
        <v>291.99817000000007</v>
      </c>
      <c r="CT1198" s="435">
        <f t="shared" si="2180"/>
        <v>236.98043000000001</v>
      </c>
      <c r="CU1198" s="435">
        <f t="shared" si="2181"/>
        <v>613.97098999999992</v>
      </c>
      <c r="CV1198" s="435">
        <f t="shared" si="2182"/>
        <v>108.35699999999999</v>
      </c>
      <c r="CW1198" s="435">
        <f t="shared" si="2183"/>
        <v>37.112535000000008</v>
      </c>
      <c r="CX1198" s="435">
        <f t="shared" si="2184"/>
        <v>4</v>
      </c>
      <c r="CY1198" s="435">
        <f t="shared" si="2185"/>
        <v>28</v>
      </c>
      <c r="CZ1198" s="435">
        <f t="shared" si="2186"/>
        <v>0.30000000000000249</v>
      </c>
      <c r="DA1198" s="435">
        <f t="shared" si="2187"/>
        <v>0</v>
      </c>
      <c r="DB1198" s="435">
        <f t="shared" si="2188"/>
        <v>51</v>
      </c>
      <c r="DC1198" s="435">
        <f t="shared" si="2189"/>
        <v>97</v>
      </c>
      <c r="DD1198" s="435">
        <f t="shared" si="2190"/>
        <v>46</v>
      </c>
      <c r="DE1198" s="435">
        <f t="shared" si="2191"/>
        <v>50</v>
      </c>
      <c r="DF1198" s="435">
        <f t="shared" si="2192"/>
        <v>50</v>
      </c>
      <c r="DG1198" s="1822">
        <f t="shared" si="2193"/>
        <v>50</v>
      </c>
      <c r="DH1198" s="920"/>
      <c r="DI1198" s="921"/>
      <c r="DJ1198" s="921"/>
      <c r="DK1198" s="921"/>
      <c r="DL1198" s="921"/>
      <c r="DM1198" s="921"/>
      <c r="DN1198" s="222"/>
      <c r="DO1198" s="226"/>
      <c r="DY1198" s="2973"/>
      <c r="DZ1198" s="2973"/>
    </row>
    <row r="1199" spans="1:132" ht="12" customHeight="1">
      <c r="A1199" s="874" t="s">
        <v>753</v>
      </c>
      <c r="B1199" s="875"/>
      <c r="C1199" s="875"/>
      <c r="D1199" s="430">
        <f>0.03*D21</f>
        <v>9.9011399999999998</v>
      </c>
      <c r="E1199" s="845">
        <f>0.03*E21</f>
        <v>10.256849999999998</v>
      </c>
      <c r="F1199" s="845">
        <f>0.03*F21</f>
        <v>15.674789999999998</v>
      </c>
      <c r="G1199" s="845">
        <f>0.03*G21</f>
        <v>16.188960000000002</v>
      </c>
      <c r="H1199" s="433">
        <f>SUM(D1199:G1199)</f>
        <v>52.021740000000001</v>
      </c>
      <c r="I1199" s="845">
        <f>0.03*I21</f>
        <v>17.006699999999999</v>
      </c>
      <c r="J1199" s="845">
        <f>0.03*J21</f>
        <v>16.627499999999998</v>
      </c>
      <c r="K1199" s="845">
        <f>0.03*K21</f>
        <v>16.095420000000001</v>
      </c>
      <c r="L1199" s="845">
        <f>0.03*L21</f>
        <v>16.960979999999999</v>
      </c>
      <c r="M1199" s="433">
        <f>SUM(I1199:L1199)</f>
        <v>66.690599999999989</v>
      </c>
      <c r="N1199" s="845">
        <f>0.03*N21</f>
        <v>19.394189999999998</v>
      </c>
      <c r="O1199" s="845">
        <f>0.03*O21</f>
        <v>18.325979999999998</v>
      </c>
      <c r="P1199" s="845">
        <f>0.03*P21</f>
        <v>15.920579999999998</v>
      </c>
      <c r="Q1199" s="845">
        <f>0.03*Q21</f>
        <v>15.625080000000001</v>
      </c>
      <c r="R1199" s="433">
        <f>SUM(N1199:Q1199)</f>
        <v>69.265829999999994</v>
      </c>
      <c r="S1199" s="845">
        <f>0.03*S21</f>
        <v>15.510899999999999</v>
      </c>
      <c r="T1199" s="845">
        <f>0.03*T21</f>
        <v>15.341729999999998</v>
      </c>
      <c r="U1199" s="845">
        <f>0.03*U21</f>
        <v>14.701649999999999</v>
      </c>
      <c r="V1199" s="845">
        <f>0.03*V21</f>
        <v>14.35929</v>
      </c>
      <c r="W1199" s="433">
        <f>SUM(S1199:V1199)</f>
        <v>59.91357</v>
      </c>
      <c r="X1199" s="845">
        <f>0.03*X21</f>
        <v>14.13354</v>
      </c>
      <c r="Y1199" s="845">
        <f>0.03*Y21</f>
        <v>13.82292</v>
      </c>
      <c r="Z1199" s="845">
        <f>0.03*Z21</f>
        <v>12.793650000000001</v>
      </c>
      <c r="AA1199" s="845">
        <f>0.03*AA21</f>
        <v>12.678899999999999</v>
      </c>
      <c r="AB1199" s="433">
        <f>SUM(X1199:AA1199)</f>
        <v>53.429009999999998</v>
      </c>
      <c r="AC1199" s="845">
        <f>0.03*AC21</f>
        <v>13.045349999999999</v>
      </c>
      <c r="AD1199" s="845">
        <f>0.03*AD21</f>
        <v>12.688500000000001</v>
      </c>
      <c r="AE1199" s="845">
        <f>0.03*AE21</f>
        <v>11.947289999999999</v>
      </c>
      <c r="AF1199" s="845">
        <f>0.03*AF21</f>
        <v>11.548439999999999</v>
      </c>
      <c r="AG1199" s="433">
        <f>SUM(AC1199:AF1199)</f>
        <v>49.229579999999999</v>
      </c>
      <c r="AH1199" s="845">
        <v>9.5</v>
      </c>
      <c r="AI1199" s="845">
        <v>9.5</v>
      </c>
      <c r="AJ1199" s="435">
        <f>0.025*AJ21</f>
        <v>14.846825000000003</v>
      </c>
      <c r="AK1199" s="435">
        <f>0.03*AK21</f>
        <v>16.51764</v>
      </c>
      <c r="AL1199" s="433">
        <f>SUM(AH1199:AK1199)</f>
        <v>50.364465000000003</v>
      </c>
      <c r="AM1199" s="435">
        <f>AM1207-AM1200-AM1201-AM1198</f>
        <v>17.108000000000001</v>
      </c>
      <c r="AN1199" s="435">
        <f>AN1207-AN1200-AN1201-AN1198</f>
        <v>6.2659999999999982</v>
      </c>
      <c r="AO1199" s="435">
        <f>AO1207-AO1200-AO1201-AO1198</f>
        <v>20.867000000000001</v>
      </c>
      <c r="AP1199" s="845">
        <f>20-AP1198</f>
        <v>16</v>
      </c>
      <c r="AQ1199" s="433">
        <f>SUM(AM1199:AP1199)</f>
        <v>60.241</v>
      </c>
      <c r="AR1199" s="845">
        <v>11.8</v>
      </c>
      <c r="AS1199" s="845">
        <f>28-AR1199</f>
        <v>16.2</v>
      </c>
      <c r="AT1199" s="845">
        <f>44.2-AR1199-AS1199</f>
        <v>16.200000000000006</v>
      </c>
      <c r="AU1199" s="845">
        <f>11.4+9+34.7-AR1199-AS1199-AT1199</f>
        <v>10.899999999999991</v>
      </c>
      <c r="AV1199" s="433">
        <f>SUM(AR1199:AU1199)</f>
        <v>55.099999999999994</v>
      </c>
      <c r="AW1199" s="845">
        <f>19.4-AW1204</f>
        <v>14.399999999999999</v>
      </c>
      <c r="AX1199" s="2460">
        <f>-AX1032-AX1198-SUM(AX1200:AX1204)</f>
        <v>17.075000000000003</v>
      </c>
      <c r="AY1199" s="2460">
        <f>-AY1032-AY1198-SUM(AY1200:AY1204)</f>
        <v>28.161999999999992</v>
      </c>
      <c r="AZ1199" s="2460">
        <f>-AZ1032-AZ1198-SUM(AZ1200:AZ1204)</f>
        <v>36.15100000000001</v>
      </c>
      <c r="BA1199" s="433">
        <f>SUM(AW1199:AZ1199)</f>
        <v>95.788000000000011</v>
      </c>
      <c r="BB1199" s="2460">
        <f>-BB1032-BB1198-SUM(BB1200:BB1204)</f>
        <v>6.3060000000000009</v>
      </c>
      <c r="BC1199" s="2460">
        <f>-BC1032-BC1198-SUM(BC1200:BC1204)</f>
        <v>20.203000000000003</v>
      </c>
      <c r="BD1199" s="2460">
        <f>-BD1032-BD1198-SUM(BD1200:BD1204)</f>
        <v>29.485000000000007</v>
      </c>
      <c r="BE1199" s="2460">
        <f>-BE1032-BE1198-SUM(BE1200:BE1204)</f>
        <v>43.756999999999991</v>
      </c>
      <c r="BF1199" s="433">
        <f t="shared" si="2329"/>
        <v>99.751000000000005</v>
      </c>
      <c r="BG1199" s="2460">
        <f>-BG1032-BG1198-SUM(BG1200:BG1204)</f>
        <v>1.0189999999999984</v>
      </c>
      <c r="BH1199" s="2460">
        <f>-BH1032-BH1198-SUM(BH1200:BH1204)</f>
        <v>24.093000000000004</v>
      </c>
      <c r="BI1199" s="2460">
        <f>-BI1032-BI1198-SUM(BI1200:BI1204)</f>
        <v>15.134999999999998</v>
      </c>
      <c r="BJ1199" s="2460">
        <f>-BJ1032-BJ1198-SUM(BJ1200:BJ1204)</f>
        <v>24.922999999999995</v>
      </c>
      <c r="BK1199" s="2650">
        <f t="shared" si="2330"/>
        <v>65.169999999999987</v>
      </c>
      <c r="BL1199" s="2460">
        <f>-BL1032-BL1198-SUM(BL1200:BL1204)</f>
        <v>6.796999999999997</v>
      </c>
      <c r="BM1199" s="2460">
        <f>-BM1032-BM1198-SUM(BM1200:BM1204)</f>
        <v>8.6500000000000057</v>
      </c>
      <c r="BN1199" s="2460">
        <f>-BN1032-BN1198-SUM(BN1200:BN1204)</f>
        <v>14.882999999999996</v>
      </c>
      <c r="BO1199" s="2460">
        <f>-BO1032-BO1198-SUM(BO1200:BO1204)</f>
        <v>18.028000000000006</v>
      </c>
      <c r="BP1199" s="2650">
        <f t="shared" si="2331"/>
        <v>48.358000000000004</v>
      </c>
      <c r="BQ1199" s="2460">
        <f>-BQ1032-BQ1198-SUM(BQ1200:BQ1204)</f>
        <v>65.037999999999997</v>
      </c>
      <c r="BR1199" s="2460">
        <f>-BR1032-BR1198-SUM(BR1200:BR1204)</f>
        <v>25.713000000000008</v>
      </c>
      <c r="BS1199" s="2460">
        <f>-BS1032-BS1198-SUM(BS1200:BS1204)</f>
        <v>32.501000000000005</v>
      </c>
      <c r="BT1199" s="2460">
        <f>-BT1032-BT1198-SUM(BT1200:BT1204)</f>
        <v>21</v>
      </c>
      <c r="BU1199" s="3444">
        <f t="shared" si="2332"/>
        <v>144.25200000000001</v>
      </c>
      <c r="BV1199" s="3192">
        <v>25</v>
      </c>
      <c r="BW1199" s="3192">
        <v>25</v>
      </c>
      <c r="BX1199" s="3192">
        <v>25</v>
      </c>
      <c r="BY1199" s="3192">
        <v>25</v>
      </c>
      <c r="BZ1199" s="2650">
        <f t="shared" si="2333"/>
        <v>100</v>
      </c>
      <c r="CA1199" s="434">
        <f t="shared" ref="CA1199:CB1199" si="2336">+BZ1199</f>
        <v>100</v>
      </c>
      <c r="CB1199" s="4141">
        <f t="shared" si="2336"/>
        <v>100</v>
      </c>
      <c r="CC1199" s="434">
        <v>100</v>
      </c>
      <c r="CD1199" s="434">
        <v>100</v>
      </c>
      <c r="CE1199" s="434">
        <v>100</v>
      </c>
      <c r="CF1199" s="434">
        <v>100</v>
      </c>
      <c r="CG1199" s="434">
        <v>100</v>
      </c>
      <c r="CH1199" s="2973"/>
      <c r="CI1199" s="2973"/>
      <c r="CJ1199" s="2973"/>
      <c r="CK1199" s="2973"/>
      <c r="CL1199" s="435"/>
      <c r="CM1199" s="331"/>
      <c r="CN1199" s="331">
        <f t="shared" si="2335"/>
        <v>100</v>
      </c>
      <c r="CO1199" s="965">
        <f t="shared" si="2313"/>
        <v>-100</v>
      </c>
      <c r="CP1199" s="995" t="str">
        <f t="shared" si="2176"/>
        <v>BYD Wholly-owned Maintenance</v>
      </c>
      <c r="CQ1199" s="435">
        <f t="shared" si="2177"/>
        <v>52.021740000000001</v>
      </c>
      <c r="CR1199" s="435">
        <f t="shared" si="2178"/>
        <v>66.690599999999989</v>
      </c>
      <c r="CS1199" s="435">
        <f t="shared" si="2179"/>
        <v>69.265829999999994</v>
      </c>
      <c r="CT1199" s="435">
        <f t="shared" si="2180"/>
        <v>59.91357</v>
      </c>
      <c r="CU1199" s="435">
        <f t="shared" si="2181"/>
        <v>53.429009999999998</v>
      </c>
      <c r="CV1199" s="435">
        <f t="shared" si="2182"/>
        <v>49.229579999999999</v>
      </c>
      <c r="CW1199" s="435">
        <f t="shared" si="2183"/>
        <v>50.364465000000003</v>
      </c>
      <c r="CX1199" s="435">
        <f t="shared" si="2184"/>
        <v>60.241</v>
      </c>
      <c r="CY1199" s="435">
        <f t="shared" si="2185"/>
        <v>55.099999999999994</v>
      </c>
      <c r="CZ1199" s="435">
        <f t="shared" si="2186"/>
        <v>95.788000000000011</v>
      </c>
      <c r="DA1199" s="435">
        <f t="shared" si="2187"/>
        <v>99.751000000000005</v>
      </c>
      <c r="DB1199" s="435">
        <f t="shared" si="2188"/>
        <v>65.169999999999987</v>
      </c>
      <c r="DC1199" s="435">
        <f t="shared" si="2189"/>
        <v>48.358000000000004</v>
      </c>
      <c r="DD1199" s="435">
        <f t="shared" si="2190"/>
        <v>144.25200000000001</v>
      </c>
      <c r="DE1199" s="435">
        <f t="shared" si="2191"/>
        <v>100</v>
      </c>
      <c r="DF1199" s="435">
        <f t="shared" si="2192"/>
        <v>100</v>
      </c>
      <c r="DG1199" s="1822">
        <f t="shared" si="2193"/>
        <v>100</v>
      </c>
      <c r="DH1199" s="920"/>
      <c r="DI1199" s="920"/>
      <c r="DJ1199" s="920"/>
      <c r="DK1199" s="920"/>
      <c r="DL1199" s="920"/>
      <c r="DM1199" s="920"/>
      <c r="DN1199" s="222"/>
      <c r="DO1199" s="226"/>
      <c r="DY1199" s="2973"/>
      <c r="DZ1199" s="2973"/>
    </row>
    <row r="1200" spans="1:132" ht="12" customHeight="1">
      <c r="A1200" s="874" t="s">
        <v>265</v>
      </c>
      <c r="B1200" s="875"/>
      <c r="C1200" s="875"/>
      <c r="D1200" s="431">
        <f>D993</f>
        <v>4.3766699999999998</v>
      </c>
      <c r="E1200" s="435">
        <f>E993</f>
        <v>4.9482299999999997</v>
      </c>
      <c r="F1200" s="435">
        <f>F993</f>
        <v>5.5842900000000002</v>
      </c>
      <c r="G1200" s="435">
        <f>G993</f>
        <v>5.3833799999999998</v>
      </c>
      <c r="H1200" s="433">
        <f>SUM(D1200:G1200)</f>
        <v>20.292569999999998</v>
      </c>
      <c r="I1200" s="431">
        <f>I993</f>
        <v>5.1640199999999998</v>
      </c>
      <c r="J1200" s="435">
        <f>J993</f>
        <v>5.5315799999999999</v>
      </c>
      <c r="K1200" s="435">
        <f>K993</f>
        <v>6.4057199999999996</v>
      </c>
      <c r="L1200" s="435">
        <f>L993</f>
        <v>5.8181699999999994</v>
      </c>
      <c r="M1200" s="433">
        <f>SUM(I1200:L1200)</f>
        <v>22.919489999999996</v>
      </c>
      <c r="N1200" s="431">
        <f>N993</f>
        <v>5.62704</v>
      </c>
      <c r="O1200" s="435">
        <f>O993</f>
        <v>5.6811600000000002</v>
      </c>
      <c r="P1200" s="435">
        <f>P993</f>
        <v>7.1245500000000002</v>
      </c>
      <c r="Q1200" s="435">
        <f>Q993</f>
        <v>5.9652000000000003</v>
      </c>
      <c r="R1200" s="433">
        <f>SUM(N1200:Q1200)</f>
        <v>24.397949999999998</v>
      </c>
      <c r="S1200" s="431">
        <f>S993</f>
        <v>6.1118999999999994</v>
      </c>
      <c r="T1200" s="435">
        <f>T993</f>
        <v>6.0629699999999991</v>
      </c>
      <c r="U1200" s="435">
        <f>U993</f>
        <v>6.9026399999999999</v>
      </c>
      <c r="V1200" s="435">
        <f>V993</f>
        <v>6.0817800000000002</v>
      </c>
      <c r="W1200" s="433">
        <f>SUM(S1200:V1200)</f>
        <v>25.159289999999999</v>
      </c>
      <c r="X1200" s="431">
        <f>X993</f>
        <v>6.0607199999999999</v>
      </c>
      <c r="Y1200" s="435">
        <f>Y993</f>
        <v>6.1518300000000004</v>
      </c>
      <c r="Z1200" s="435">
        <f>Z993</f>
        <v>7.1976299999999993</v>
      </c>
      <c r="AA1200" s="435">
        <f>AA993</f>
        <v>5.5044899999999997</v>
      </c>
      <c r="AB1200" s="433">
        <f>SUM(X1200:AA1200)</f>
        <v>24.914670000000001</v>
      </c>
      <c r="AC1200" s="431">
        <f>AC993</f>
        <v>4.4535</v>
      </c>
      <c r="AD1200" s="435">
        <f>AD993</f>
        <v>4.4535</v>
      </c>
      <c r="AE1200" s="435">
        <f>AE993</f>
        <v>4.4535</v>
      </c>
      <c r="AF1200" s="435">
        <f>AF993</f>
        <v>4.4535</v>
      </c>
      <c r="AG1200" s="433">
        <f>SUM(AC1200:AF1200)</f>
        <v>17.814</v>
      </c>
      <c r="AH1200" s="431">
        <f>AH993</f>
        <v>5.2519799999999996</v>
      </c>
      <c r="AI1200" s="435">
        <f>AI993</f>
        <v>3.5650200000000005</v>
      </c>
      <c r="AJ1200" s="435">
        <f>AJ993</f>
        <v>3.5</v>
      </c>
      <c r="AK1200" s="435">
        <f>AK993</f>
        <v>3.5</v>
      </c>
      <c r="AL1200" s="433">
        <f>SUM(AH1200:AK1200)</f>
        <v>15.817</v>
      </c>
      <c r="AM1200" s="431">
        <f>AM993</f>
        <v>3.75</v>
      </c>
      <c r="AN1200" s="435">
        <f>AN993</f>
        <v>3.75</v>
      </c>
      <c r="AO1200" s="435">
        <f>AO993</f>
        <v>3.75</v>
      </c>
      <c r="AP1200" s="435">
        <f>AP990</f>
        <v>0</v>
      </c>
      <c r="AQ1200" s="431">
        <f>SUM(AM1200:AP1200)</f>
        <v>11.25</v>
      </c>
      <c r="AR1200" s="435">
        <f t="shared" ref="AR1200:BD1200" si="2337">AR990</f>
        <v>2</v>
      </c>
      <c r="AS1200" s="435">
        <f t="shared" si="2337"/>
        <v>6</v>
      </c>
      <c r="AT1200" s="435">
        <f t="shared" si="2337"/>
        <v>3.5999999999999979</v>
      </c>
      <c r="AU1200" s="435">
        <f t="shared" si="2337"/>
        <v>0.80000000000000426</v>
      </c>
      <c r="AV1200" s="433">
        <f t="shared" si="2337"/>
        <v>12.400000000000002</v>
      </c>
      <c r="AW1200" s="435">
        <f t="shared" si="2337"/>
        <v>2.9</v>
      </c>
      <c r="AX1200" s="435">
        <f t="shared" si="2337"/>
        <v>7.7999999999999989</v>
      </c>
      <c r="AY1200" s="435">
        <f t="shared" si="2337"/>
        <v>6</v>
      </c>
      <c r="AZ1200" s="435">
        <f>AZ990</f>
        <v>5.6570000000000018</v>
      </c>
      <c r="BA1200" s="433">
        <f t="shared" si="2337"/>
        <v>22.356999999999999</v>
      </c>
      <c r="BB1200" s="435">
        <f>BB990</f>
        <v>2</v>
      </c>
      <c r="BC1200" s="435">
        <f t="shared" si="2337"/>
        <v>7</v>
      </c>
      <c r="BD1200" s="435">
        <f t="shared" si="2337"/>
        <v>2.6229999999999993</v>
      </c>
      <c r="BE1200" s="435">
        <v>0</v>
      </c>
      <c r="BF1200" s="433">
        <f t="shared" si="2329"/>
        <v>11.622999999999999</v>
      </c>
      <c r="BG1200" s="431">
        <v>0</v>
      </c>
      <c r="BH1200" s="435">
        <v>0</v>
      </c>
      <c r="BI1200" s="435">
        <v>0</v>
      </c>
      <c r="BJ1200" s="1822">
        <v>0</v>
      </c>
      <c r="BK1200" s="433">
        <f t="shared" si="2330"/>
        <v>0</v>
      </c>
      <c r="BL1200" s="435">
        <v>0</v>
      </c>
      <c r="BM1200" s="435">
        <v>0</v>
      </c>
      <c r="BN1200" s="435">
        <v>0</v>
      </c>
      <c r="BO1200" s="1822">
        <v>0</v>
      </c>
      <c r="BP1200" s="433">
        <f t="shared" si="2331"/>
        <v>0</v>
      </c>
      <c r="BQ1200" s="435">
        <v>0</v>
      </c>
      <c r="BR1200" s="435">
        <v>0</v>
      </c>
      <c r="BS1200" s="435">
        <v>0</v>
      </c>
      <c r="BT1200" s="1822">
        <v>0</v>
      </c>
      <c r="BU1200" s="3444">
        <f t="shared" si="2332"/>
        <v>0</v>
      </c>
      <c r="BV1200" s="435">
        <v>0</v>
      </c>
      <c r="BW1200" s="435">
        <v>0</v>
      </c>
      <c r="BX1200" s="435">
        <v>0</v>
      </c>
      <c r="BY1200" s="435">
        <v>0</v>
      </c>
      <c r="BZ1200" s="2650">
        <f t="shared" si="2333"/>
        <v>0</v>
      </c>
      <c r="CA1200" s="433">
        <v>0</v>
      </c>
      <c r="CB1200" s="433">
        <v>0</v>
      </c>
      <c r="CC1200" s="433">
        <v>0</v>
      </c>
      <c r="CD1200" s="433">
        <v>0</v>
      </c>
      <c r="CE1200" s="433">
        <v>0</v>
      </c>
      <c r="CF1200" s="433">
        <v>0</v>
      </c>
      <c r="CG1200" s="433">
        <v>0</v>
      </c>
      <c r="CH1200" s="2973"/>
      <c r="CI1200" s="2973"/>
      <c r="CJ1200" s="2973"/>
      <c r="CK1200" s="2973"/>
      <c r="CL1200" s="435"/>
      <c r="CM1200" s="331"/>
      <c r="CN1200" s="331">
        <f t="shared" si="2335"/>
        <v>0</v>
      </c>
      <c r="CO1200" s="965">
        <f t="shared" si="2313"/>
        <v>0</v>
      </c>
      <c r="CP1200" s="995" t="str">
        <f t="shared" si="2176"/>
        <v>Borgata Maintenance</v>
      </c>
      <c r="CQ1200" s="435">
        <f t="shared" si="2177"/>
        <v>20.292569999999998</v>
      </c>
      <c r="CR1200" s="435">
        <f t="shared" si="2178"/>
        <v>22.919489999999996</v>
      </c>
      <c r="CS1200" s="435">
        <f t="shared" si="2179"/>
        <v>24.397949999999998</v>
      </c>
      <c r="CT1200" s="435">
        <f t="shared" si="2180"/>
        <v>25.159289999999999</v>
      </c>
      <c r="CU1200" s="435">
        <f t="shared" si="2181"/>
        <v>24.914670000000001</v>
      </c>
      <c r="CV1200" s="435">
        <f t="shared" si="2182"/>
        <v>17.814</v>
      </c>
      <c r="CW1200" s="435">
        <f t="shared" si="2183"/>
        <v>15.817</v>
      </c>
      <c r="CX1200" s="435">
        <f t="shared" si="2184"/>
        <v>11.25</v>
      </c>
      <c r="CY1200" s="435">
        <f t="shared" si="2185"/>
        <v>12.400000000000002</v>
      </c>
      <c r="CZ1200" s="435">
        <f t="shared" si="2186"/>
        <v>22.356999999999999</v>
      </c>
      <c r="DA1200" s="435">
        <f t="shared" si="2187"/>
        <v>11.622999999999999</v>
      </c>
      <c r="DB1200" s="435">
        <f t="shared" si="2188"/>
        <v>0</v>
      </c>
      <c r="DC1200" s="435">
        <f t="shared" si="2189"/>
        <v>0</v>
      </c>
      <c r="DD1200" s="435">
        <f t="shared" si="2190"/>
        <v>0</v>
      </c>
      <c r="DE1200" s="435">
        <f t="shared" si="2191"/>
        <v>0</v>
      </c>
      <c r="DF1200" s="435">
        <f t="shared" si="2192"/>
        <v>0</v>
      </c>
      <c r="DG1200" s="1822">
        <f t="shared" si="2193"/>
        <v>0</v>
      </c>
      <c r="DH1200" s="920"/>
      <c r="DI1200" s="920"/>
      <c r="DJ1200" s="920"/>
      <c r="DK1200" s="920"/>
      <c r="DL1200" s="920"/>
      <c r="DM1200" s="920"/>
      <c r="DN1200" s="222"/>
      <c r="DO1200" s="226"/>
      <c r="DY1200" s="435"/>
      <c r="DZ1200" s="435"/>
    </row>
    <row r="1201" spans="1:130" ht="12" customHeight="1">
      <c r="A1201" s="874" t="s">
        <v>264</v>
      </c>
      <c r="B1201" s="875"/>
      <c r="C1201" s="875"/>
      <c r="D1201" s="431"/>
      <c r="E1201" s="435"/>
      <c r="F1201" s="435"/>
      <c r="G1201" s="435"/>
      <c r="H1201" s="433"/>
      <c r="I1201" s="435"/>
      <c r="J1201" s="435"/>
      <c r="K1201" s="435"/>
      <c r="L1201" s="435"/>
      <c r="M1201" s="433"/>
      <c r="N1201" s="435"/>
      <c r="O1201" s="435"/>
      <c r="P1201" s="435"/>
      <c r="Q1201" s="435"/>
      <c r="R1201" s="433"/>
      <c r="S1201" s="435"/>
      <c r="T1201" s="435"/>
      <c r="U1201" s="435"/>
      <c r="V1201" s="435"/>
      <c r="W1201" s="433"/>
      <c r="X1201" s="435"/>
      <c r="Y1201" s="435"/>
      <c r="Z1201" s="435"/>
      <c r="AA1201" s="435"/>
      <c r="AB1201" s="433"/>
      <c r="AC1201" s="435"/>
      <c r="AD1201" s="435"/>
      <c r="AE1201" s="435"/>
      <c r="AF1201" s="435"/>
      <c r="AG1201" s="433"/>
      <c r="AH1201" s="435"/>
      <c r="AI1201" s="435"/>
      <c r="AJ1201" s="435"/>
      <c r="AK1201" s="435"/>
      <c r="AL1201" s="433"/>
      <c r="AM1201" s="435"/>
      <c r="AN1201" s="435"/>
      <c r="AO1201" s="435"/>
      <c r="AP1201" s="435">
        <f>AP991</f>
        <v>15.6</v>
      </c>
      <c r="AQ1201" s="433">
        <f t="shared" ref="AQ1201:BE1201" si="2338">AQ991</f>
        <v>15.6</v>
      </c>
      <c r="AR1201" s="435">
        <f t="shared" si="2338"/>
        <v>15.5</v>
      </c>
      <c r="AS1201" s="435">
        <f t="shared" si="2338"/>
        <v>6.8000000000000007</v>
      </c>
      <c r="AT1201" s="435">
        <f t="shared" si="2338"/>
        <v>0</v>
      </c>
      <c r="AU1201" s="435">
        <f t="shared" si="2338"/>
        <v>0</v>
      </c>
      <c r="AV1201" s="433">
        <f t="shared" si="2338"/>
        <v>22.3</v>
      </c>
      <c r="AW1201" s="435">
        <f t="shared" si="2338"/>
        <v>0</v>
      </c>
      <c r="AX1201" s="435">
        <f t="shared" si="2338"/>
        <v>0</v>
      </c>
      <c r="AY1201" s="435">
        <f t="shared" si="2338"/>
        <v>0</v>
      </c>
      <c r="AZ1201" s="435">
        <f>AZ991</f>
        <v>0</v>
      </c>
      <c r="BA1201" s="433">
        <f t="shared" si="2338"/>
        <v>0</v>
      </c>
      <c r="BB1201" s="435">
        <f t="shared" si="2338"/>
        <v>0</v>
      </c>
      <c r="BC1201" s="435">
        <f t="shared" si="2338"/>
        <v>0</v>
      </c>
      <c r="BD1201" s="435">
        <f t="shared" si="2338"/>
        <v>0</v>
      </c>
      <c r="BE1201" s="435">
        <f t="shared" si="2338"/>
        <v>0</v>
      </c>
      <c r="BF1201" s="433">
        <f t="shared" si="2329"/>
        <v>0</v>
      </c>
      <c r="BG1201" s="2972">
        <v>0</v>
      </c>
      <c r="BH1201" s="2973">
        <v>0</v>
      </c>
      <c r="BI1201" s="2973">
        <v>0</v>
      </c>
      <c r="BJ1201" s="2974">
        <v>0</v>
      </c>
      <c r="BK1201" s="433">
        <f t="shared" si="2330"/>
        <v>0</v>
      </c>
      <c r="BL1201" s="2973">
        <v>0</v>
      </c>
      <c r="BM1201" s="2973">
        <v>0</v>
      </c>
      <c r="BN1201" s="2973">
        <v>0</v>
      </c>
      <c r="BO1201" s="2974">
        <v>0</v>
      </c>
      <c r="BP1201" s="433">
        <f t="shared" si="2331"/>
        <v>0</v>
      </c>
      <c r="BQ1201" s="2973">
        <v>0</v>
      </c>
      <c r="BR1201" s="2973">
        <v>0</v>
      </c>
      <c r="BS1201" s="2973">
        <v>0</v>
      </c>
      <c r="BT1201" s="2974">
        <v>0</v>
      </c>
      <c r="BU1201" s="3444">
        <f t="shared" si="2332"/>
        <v>0</v>
      </c>
      <c r="BV1201" s="2973">
        <v>0</v>
      </c>
      <c r="BW1201" s="2973">
        <v>0</v>
      </c>
      <c r="BX1201" s="2973">
        <v>0</v>
      </c>
      <c r="BY1201" s="2973">
        <v>0</v>
      </c>
      <c r="BZ1201" s="2650">
        <f t="shared" si="2333"/>
        <v>0</v>
      </c>
      <c r="CA1201" s="433">
        <v>0</v>
      </c>
      <c r="CB1201" s="433">
        <v>0</v>
      </c>
      <c r="CC1201" s="433">
        <v>0</v>
      </c>
      <c r="CD1201" s="433">
        <v>0</v>
      </c>
      <c r="CE1201" s="433">
        <v>0</v>
      </c>
      <c r="CF1201" s="433">
        <v>0</v>
      </c>
      <c r="CG1201" s="433">
        <v>0</v>
      </c>
      <c r="CH1201" s="2973"/>
      <c r="CI1201" s="2973"/>
      <c r="CJ1201" s="2973"/>
      <c r="CK1201" s="2973"/>
      <c r="CL1201" s="435"/>
      <c r="CM1201" s="331"/>
      <c r="CN1201" s="331">
        <f t="shared" si="2335"/>
        <v>0</v>
      </c>
      <c r="CO1201" s="965">
        <f t="shared" si="2313"/>
        <v>0</v>
      </c>
      <c r="CP1201" s="995" t="str">
        <f t="shared" si="2176"/>
        <v>Borgata Project</v>
      </c>
      <c r="CQ1201" s="435">
        <f t="shared" si="2177"/>
        <v>0</v>
      </c>
      <c r="CR1201" s="435">
        <f t="shared" si="2178"/>
        <v>0</v>
      </c>
      <c r="CS1201" s="435">
        <f t="shared" si="2179"/>
        <v>0</v>
      </c>
      <c r="CT1201" s="435">
        <f t="shared" si="2180"/>
        <v>0</v>
      </c>
      <c r="CU1201" s="435">
        <f t="shared" si="2181"/>
        <v>0</v>
      </c>
      <c r="CV1201" s="435">
        <f t="shared" si="2182"/>
        <v>0</v>
      </c>
      <c r="CW1201" s="435">
        <f t="shared" si="2183"/>
        <v>0</v>
      </c>
      <c r="CX1201" s="435">
        <f t="shared" si="2184"/>
        <v>15.6</v>
      </c>
      <c r="CY1201" s="435">
        <f t="shared" si="2185"/>
        <v>22.3</v>
      </c>
      <c r="CZ1201" s="435">
        <f t="shared" si="2186"/>
        <v>0</v>
      </c>
      <c r="DA1201" s="435">
        <f t="shared" si="2187"/>
        <v>0</v>
      </c>
      <c r="DB1201" s="435">
        <f t="shared" si="2188"/>
        <v>0</v>
      </c>
      <c r="DC1201" s="435">
        <f t="shared" si="2189"/>
        <v>0</v>
      </c>
      <c r="DD1201" s="435">
        <f t="shared" si="2190"/>
        <v>0</v>
      </c>
      <c r="DE1201" s="435">
        <f t="shared" si="2191"/>
        <v>0</v>
      </c>
      <c r="DF1201" s="435">
        <f t="shared" si="2192"/>
        <v>0</v>
      </c>
      <c r="DG1201" s="1822">
        <f t="shared" si="2193"/>
        <v>0</v>
      </c>
      <c r="DH1201" s="920"/>
      <c r="DI1201" s="920"/>
      <c r="DJ1201" s="920"/>
      <c r="DK1201" s="920"/>
      <c r="DL1201" s="920"/>
      <c r="DM1201" s="920"/>
      <c r="DN1201" s="222"/>
      <c r="DO1201" s="226"/>
      <c r="DY1201" s="435"/>
      <c r="DZ1201" s="435"/>
    </row>
    <row r="1202" spans="1:130" ht="12" customHeight="1">
      <c r="A1202" s="874" t="s">
        <v>1618</v>
      </c>
      <c r="B1202" s="875"/>
      <c r="C1202" s="875"/>
      <c r="D1202" s="430">
        <v>0</v>
      </c>
      <c r="E1202" s="845">
        <v>0</v>
      </c>
      <c r="F1202" s="845">
        <v>0</v>
      </c>
      <c r="G1202" s="845">
        <v>0</v>
      </c>
      <c r="H1202" s="434">
        <f>SUM(D1202:G1202)</f>
        <v>0</v>
      </c>
      <c r="I1202" s="845">
        <v>0</v>
      </c>
      <c r="J1202" s="845">
        <v>0</v>
      </c>
      <c r="K1202" s="845">
        <v>0</v>
      </c>
      <c r="L1202" s="845">
        <f>26+2</f>
        <v>28</v>
      </c>
      <c r="M1202" s="434">
        <f>SUM(I1202:L1202)</f>
        <v>28</v>
      </c>
      <c r="N1202" s="845">
        <f>26+35+4</f>
        <v>65</v>
      </c>
      <c r="O1202" s="845">
        <v>3.9</v>
      </c>
      <c r="P1202" s="845">
        <v>6.3</v>
      </c>
      <c r="Q1202" s="845">
        <v>0</v>
      </c>
      <c r="R1202" s="434">
        <f>SUM(N1202:Q1202)</f>
        <v>75.2</v>
      </c>
      <c r="S1202" s="845">
        <v>0</v>
      </c>
      <c r="T1202" s="845">
        <v>0</v>
      </c>
      <c r="U1202" s="845">
        <v>0</v>
      </c>
      <c r="V1202" s="845">
        <v>0</v>
      </c>
      <c r="W1202" s="434">
        <f>SUM(S1202:V1202)</f>
        <v>0</v>
      </c>
      <c r="X1202" s="845">
        <v>0</v>
      </c>
      <c r="Y1202" s="845">
        <v>0</v>
      </c>
      <c r="Z1202" s="845">
        <v>0</v>
      </c>
      <c r="AA1202" s="845">
        <v>0</v>
      </c>
      <c r="AB1202" s="434">
        <f>SUM(X1202:AA1202)</f>
        <v>0</v>
      </c>
      <c r="AC1202" s="845">
        <v>0</v>
      </c>
      <c r="AD1202" s="845">
        <v>0</v>
      </c>
      <c r="AE1202" s="845">
        <v>0</v>
      </c>
      <c r="AF1202" s="845">
        <v>0</v>
      </c>
      <c r="AG1202" s="434">
        <f>SUM(AC1202:AF1202)</f>
        <v>0</v>
      </c>
      <c r="AH1202" s="845">
        <v>0</v>
      </c>
      <c r="AI1202" s="845">
        <v>0</v>
      </c>
      <c r="AJ1202" s="845">
        <v>0</v>
      </c>
      <c r="AK1202" s="845">
        <v>0</v>
      </c>
      <c r="AL1202" s="434">
        <f>SUM(AH1202:AK1202)</f>
        <v>0</v>
      </c>
      <c r="AM1202" s="845">
        <v>0</v>
      </c>
      <c r="AN1202" s="845">
        <v>0</v>
      </c>
      <c r="AO1202" s="845">
        <v>0</v>
      </c>
      <c r="AP1202" s="845">
        <v>0</v>
      </c>
      <c r="AQ1202" s="434">
        <f>SUM(AM1202:AP1202)</f>
        <v>0</v>
      </c>
      <c r="AR1202" s="845">
        <v>0</v>
      </c>
      <c r="AS1202" s="845">
        <v>0</v>
      </c>
      <c r="AT1202" s="845">
        <v>0</v>
      </c>
      <c r="AU1202" s="845">
        <v>0</v>
      </c>
      <c r="AV1202" s="434">
        <f>SUM(AR1202:AU1202)</f>
        <v>0</v>
      </c>
      <c r="AW1202" s="845">
        <v>0</v>
      </c>
      <c r="AX1202" s="845">
        <v>0</v>
      </c>
      <c r="AY1202" s="845">
        <v>0</v>
      </c>
      <c r="AZ1202" s="845">
        <v>0</v>
      </c>
      <c r="BA1202" s="434">
        <f>SUM(AW1202:AZ1202)</f>
        <v>0</v>
      </c>
      <c r="BB1202" s="845">
        <v>0</v>
      </c>
      <c r="BC1202" s="845">
        <v>0</v>
      </c>
      <c r="BD1202" s="845">
        <v>0</v>
      </c>
      <c r="BE1202" s="845">
        <v>0</v>
      </c>
      <c r="BF1202" s="433">
        <f t="shared" si="2329"/>
        <v>0</v>
      </c>
      <c r="BG1202" s="430">
        <v>0</v>
      </c>
      <c r="BH1202" s="845">
        <v>0</v>
      </c>
      <c r="BI1202" s="845">
        <v>0</v>
      </c>
      <c r="BJ1202" s="1987">
        <v>0</v>
      </c>
      <c r="BK1202" s="433">
        <f t="shared" si="2330"/>
        <v>0</v>
      </c>
      <c r="BL1202" s="845">
        <v>0</v>
      </c>
      <c r="BM1202" s="845">
        <v>0</v>
      </c>
      <c r="BN1202" s="845">
        <v>0</v>
      </c>
      <c r="BO1202" s="1987">
        <v>0</v>
      </c>
      <c r="BP1202" s="433">
        <f t="shared" si="2331"/>
        <v>0</v>
      </c>
      <c r="BQ1202" s="845">
        <v>0</v>
      </c>
      <c r="BR1202" s="845">
        <v>0</v>
      </c>
      <c r="BS1202" s="845">
        <v>0</v>
      </c>
      <c r="BT1202" s="1987">
        <v>0</v>
      </c>
      <c r="BU1202" s="3444">
        <f t="shared" si="2332"/>
        <v>0</v>
      </c>
      <c r="BV1202" s="845">
        <v>0</v>
      </c>
      <c r="BW1202" s="845">
        <v>0</v>
      </c>
      <c r="BX1202" s="845">
        <v>0</v>
      </c>
      <c r="BY1202" s="845">
        <v>0</v>
      </c>
      <c r="BZ1202" s="2650">
        <f t="shared" si="2333"/>
        <v>0</v>
      </c>
      <c r="CA1202" s="434">
        <v>0</v>
      </c>
      <c r="CB1202" s="434">
        <v>0</v>
      </c>
      <c r="CC1202" s="434">
        <v>0</v>
      </c>
      <c r="CD1202" s="434">
        <v>0</v>
      </c>
      <c r="CE1202" s="434">
        <v>0</v>
      </c>
      <c r="CF1202" s="434">
        <v>0</v>
      </c>
      <c r="CG1202" s="434">
        <v>0</v>
      </c>
      <c r="CH1202" s="1483"/>
      <c r="CI1202" s="1483"/>
      <c r="CJ1202" s="1483"/>
      <c r="CK1202" s="1483"/>
      <c r="CL1202" s="1483"/>
      <c r="CM1202" s="331"/>
      <c r="CN1202" s="331">
        <f t="shared" si="2335"/>
        <v>0</v>
      </c>
      <c r="CO1202" s="965">
        <f t="shared" si="2313"/>
        <v>0</v>
      </c>
      <c r="CP1202" s="995" t="str">
        <f t="shared" si="2176"/>
        <v>Other Investment Capex</v>
      </c>
      <c r="CQ1202" s="435">
        <f t="shared" si="2177"/>
        <v>0</v>
      </c>
      <c r="CR1202" s="435">
        <f t="shared" si="2178"/>
        <v>28</v>
      </c>
      <c r="CS1202" s="435">
        <f t="shared" si="2179"/>
        <v>75.2</v>
      </c>
      <c r="CT1202" s="435">
        <f t="shared" si="2180"/>
        <v>0</v>
      </c>
      <c r="CU1202" s="435">
        <f t="shared" si="2181"/>
        <v>0</v>
      </c>
      <c r="CV1202" s="435">
        <f t="shared" si="2182"/>
        <v>0</v>
      </c>
      <c r="CW1202" s="435">
        <f t="shared" si="2183"/>
        <v>0</v>
      </c>
      <c r="CX1202" s="435">
        <f t="shared" si="2184"/>
        <v>0</v>
      </c>
      <c r="CY1202" s="435">
        <f t="shared" si="2185"/>
        <v>0</v>
      </c>
      <c r="CZ1202" s="435">
        <f t="shared" si="2186"/>
        <v>0</v>
      </c>
      <c r="DA1202" s="435">
        <f t="shared" si="2187"/>
        <v>0</v>
      </c>
      <c r="DB1202" s="435">
        <f t="shared" si="2188"/>
        <v>0</v>
      </c>
      <c r="DC1202" s="435">
        <f t="shared" si="2189"/>
        <v>0</v>
      </c>
      <c r="DD1202" s="435">
        <f t="shared" si="2190"/>
        <v>0</v>
      </c>
      <c r="DE1202" s="435">
        <f t="shared" si="2191"/>
        <v>0</v>
      </c>
      <c r="DF1202" s="435">
        <f t="shared" si="2192"/>
        <v>0</v>
      </c>
      <c r="DG1202" s="1822">
        <f t="shared" si="2193"/>
        <v>0</v>
      </c>
      <c r="DH1202" s="1484"/>
      <c r="DI1202" s="1485"/>
      <c r="DJ1202" s="1485"/>
      <c r="DK1202" s="1485"/>
      <c r="DL1202" s="1485"/>
      <c r="DM1202" s="1485"/>
      <c r="DN1202" s="275"/>
      <c r="DO1202" s="276"/>
      <c r="DY1202" s="435"/>
      <c r="DZ1202" s="435"/>
    </row>
    <row r="1203" spans="1:130" ht="12" customHeight="1">
      <c r="A1203" s="282" t="s">
        <v>1015</v>
      </c>
      <c r="B1203" s="875"/>
      <c r="C1203" s="875"/>
      <c r="D1203" s="430"/>
      <c r="E1203" s="845"/>
      <c r="F1203" s="845"/>
      <c r="G1203" s="845"/>
      <c r="H1203" s="434"/>
      <c r="I1203" s="845"/>
      <c r="J1203" s="845"/>
      <c r="K1203" s="845"/>
      <c r="L1203" s="845"/>
      <c r="M1203" s="434"/>
      <c r="N1203" s="845"/>
      <c r="O1203" s="845"/>
      <c r="P1203" s="845"/>
      <c r="Q1203" s="845"/>
      <c r="R1203" s="434"/>
      <c r="S1203" s="845"/>
      <c r="T1203" s="845"/>
      <c r="U1203" s="845"/>
      <c r="V1203" s="845"/>
      <c r="W1203" s="434"/>
      <c r="X1203" s="845"/>
      <c r="Y1203" s="845"/>
      <c r="Z1203" s="845"/>
      <c r="AA1203" s="845"/>
      <c r="AB1203" s="434"/>
      <c r="AC1203" s="845"/>
      <c r="AD1203" s="845"/>
      <c r="AE1203" s="845"/>
      <c r="AF1203" s="845"/>
      <c r="AG1203" s="434"/>
      <c r="AH1203" s="845"/>
      <c r="AI1203" s="845"/>
      <c r="AJ1203" s="845"/>
      <c r="AK1203" s="845"/>
      <c r="AL1203" s="434"/>
      <c r="AM1203" s="845"/>
      <c r="AN1203" s="845"/>
      <c r="AO1203" s="845"/>
      <c r="AP1203" s="845"/>
      <c r="AQ1203" s="434"/>
      <c r="AR1203" s="845"/>
      <c r="AS1203" s="845"/>
      <c r="AT1203" s="845"/>
      <c r="AU1203" s="845"/>
      <c r="AV1203" s="434"/>
      <c r="AW1203" s="845">
        <f>6-AW1204</f>
        <v>1</v>
      </c>
      <c r="AX1203" s="845">
        <f>11-AX1204</f>
        <v>3</v>
      </c>
      <c r="AY1203" s="845">
        <v>6</v>
      </c>
      <c r="AZ1203" s="845">
        <v>2</v>
      </c>
      <c r="BA1203" s="2650">
        <f>SUM(AW1203:AZ1203)</f>
        <v>12</v>
      </c>
      <c r="BB1203" s="845">
        <v>6</v>
      </c>
      <c r="BC1203" s="845">
        <v>4</v>
      </c>
      <c r="BD1203" s="845">
        <v>4</v>
      </c>
      <c r="BE1203" s="845">
        <v>4</v>
      </c>
      <c r="BF1203" s="433">
        <f t="shared" si="2329"/>
        <v>18</v>
      </c>
      <c r="BG1203" s="430">
        <v>7</v>
      </c>
      <c r="BH1203" s="845">
        <v>3.5</v>
      </c>
      <c r="BI1203" s="845">
        <v>2.5</v>
      </c>
      <c r="BJ1203" s="1987">
        <v>2</v>
      </c>
      <c r="BK1203" s="2650">
        <f t="shared" si="2330"/>
        <v>15</v>
      </c>
      <c r="BL1203" s="3192">
        <v>5</v>
      </c>
      <c r="BM1203" s="3192">
        <v>5</v>
      </c>
      <c r="BN1203" s="3192">
        <v>5</v>
      </c>
      <c r="BO1203" s="3192">
        <v>0</v>
      </c>
      <c r="BP1203" s="2650">
        <f t="shared" si="2331"/>
        <v>15</v>
      </c>
      <c r="BQ1203" s="3192">
        <v>0</v>
      </c>
      <c r="BR1203" s="3192">
        <v>0</v>
      </c>
      <c r="BS1203" s="3192">
        <v>0</v>
      </c>
      <c r="BT1203" s="3192">
        <v>0</v>
      </c>
      <c r="BU1203" s="3444">
        <f t="shared" si="2332"/>
        <v>0</v>
      </c>
      <c r="BV1203" s="3192">
        <v>0</v>
      </c>
      <c r="BW1203" s="3192">
        <v>0</v>
      </c>
      <c r="BX1203" s="3192">
        <v>0</v>
      </c>
      <c r="BY1203" s="3192">
        <v>0</v>
      </c>
      <c r="BZ1203" s="2650">
        <f t="shared" si="2333"/>
        <v>0</v>
      </c>
      <c r="CA1203" s="1987">
        <f t="shared" ref="CA1203:CG1203" si="2339">+BZ1203</f>
        <v>0</v>
      </c>
      <c r="CB1203" s="1987">
        <f t="shared" si="2339"/>
        <v>0</v>
      </c>
      <c r="CC1203" s="1987">
        <f t="shared" si="2339"/>
        <v>0</v>
      </c>
      <c r="CD1203" s="1987">
        <f t="shared" si="2339"/>
        <v>0</v>
      </c>
      <c r="CE1203" s="1987">
        <f t="shared" si="2339"/>
        <v>0</v>
      </c>
      <c r="CF1203" s="1987">
        <f t="shared" si="2339"/>
        <v>0</v>
      </c>
      <c r="CG1203" s="1987">
        <f t="shared" si="2339"/>
        <v>0</v>
      </c>
      <c r="CH1203" s="2738"/>
      <c r="CI1203" s="1483"/>
      <c r="CJ1203" s="1483"/>
      <c r="CK1203" s="1483"/>
      <c r="CL1203" s="1483"/>
      <c r="CM1203" s="331"/>
      <c r="CN1203" s="331">
        <f t="shared" si="2335"/>
        <v>0</v>
      </c>
      <c r="CO1203" s="965">
        <f t="shared" si="2313"/>
        <v>0</v>
      </c>
      <c r="CP1203" s="995"/>
      <c r="CQ1203" s="435"/>
      <c r="CR1203" s="435"/>
      <c r="CS1203" s="435"/>
      <c r="CT1203" s="435"/>
      <c r="CU1203" s="435"/>
      <c r="CV1203" s="435"/>
      <c r="CW1203" s="435"/>
      <c r="CX1203" s="435"/>
      <c r="CY1203" s="435"/>
      <c r="CZ1203" s="435"/>
      <c r="DA1203" s="435"/>
      <c r="DB1203" s="435">
        <f t="shared" si="2188"/>
        <v>15</v>
      </c>
      <c r="DC1203" s="435"/>
      <c r="DD1203" s="435"/>
      <c r="DE1203" s="435"/>
      <c r="DF1203" s="435"/>
      <c r="DG1203" s="1822"/>
      <c r="DH1203" s="1484"/>
      <c r="DI1203" s="1485"/>
      <c r="DJ1203" s="1485"/>
      <c r="DK1203" s="1485"/>
      <c r="DL1203" s="1485"/>
      <c r="DM1203" s="1485"/>
      <c r="DN1203" s="275"/>
      <c r="DO1203" s="276"/>
      <c r="DY1203" s="2973"/>
      <c r="DZ1203" s="2973"/>
    </row>
    <row r="1204" spans="1:130" ht="12" customHeight="1">
      <c r="A1204" s="282" t="s">
        <v>1016</v>
      </c>
      <c r="B1204" s="875"/>
      <c r="C1204" s="875"/>
      <c r="D1204" s="430"/>
      <c r="E1204" s="845"/>
      <c r="F1204" s="845"/>
      <c r="G1204" s="845"/>
      <c r="H1204" s="434"/>
      <c r="I1204" s="845"/>
      <c r="J1204" s="845"/>
      <c r="K1204" s="845"/>
      <c r="L1204" s="845"/>
      <c r="M1204" s="434"/>
      <c r="N1204" s="845"/>
      <c r="O1204" s="845"/>
      <c r="P1204" s="845"/>
      <c r="Q1204" s="845"/>
      <c r="R1204" s="434"/>
      <c r="S1204" s="845"/>
      <c r="T1204" s="845"/>
      <c r="U1204" s="845"/>
      <c r="V1204" s="845"/>
      <c r="W1204" s="434"/>
      <c r="X1204" s="845"/>
      <c r="Y1204" s="845"/>
      <c r="Z1204" s="845"/>
      <c r="AA1204" s="845"/>
      <c r="AB1204" s="434"/>
      <c r="AC1204" s="845"/>
      <c r="AD1204" s="845"/>
      <c r="AE1204" s="845"/>
      <c r="AF1204" s="845"/>
      <c r="AG1204" s="434"/>
      <c r="AH1204" s="845"/>
      <c r="AI1204" s="845"/>
      <c r="AJ1204" s="845"/>
      <c r="AK1204" s="845"/>
      <c r="AL1204" s="434"/>
      <c r="AM1204" s="845"/>
      <c r="AN1204" s="845"/>
      <c r="AO1204" s="845"/>
      <c r="AP1204" s="845"/>
      <c r="AQ1204" s="434"/>
      <c r="AR1204" s="845"/>
      <c r="AS1204" s="845"/>
      <c r="AT1204" s="845"/>
      <c r="AU1204" s="845">
        <f>7.6-AR1204-AS1204-AT1204</f>
        <v>7.6</v>
      </c>
      <c r="AV1204" s="433">
        <f>+SUM(AR1204:AU1204)</f>
        <v>7.6</v>
      </c>
      <c r="AW1204" s="845">
        <v>5</v>
      </c>
      <c r="AX1204" s="845">
        <v>8</v>
      </c>
      <c r="AY1204" s="845">
        <v>2</v>
      </c>
      <c r="AZ1204" s="845">
        <f>27.094-AW1204-AX1204-AY1204-BA1203</f>
        <v>9.4000000000001194E-2</v>
      </c>
      <c r="BA1204" s="433">
        <f>+SUM(AW1204:AZ1204)</f>
        <v>15.094000000000001</v>
      </c>
      <c r="BB1204" s="845">
        <v>4</v>
      </c>
      <c r="BC1204" s="845">
        <v>4</v>
      </c>
      <c r="BD1204" s="845">
        <v>5</v>
      </c>
      <c r="BE1204" s="845">
        <v>7</v>
      </c>
      <c r="BF1204" s="433">
        <f t="shared" si="2329"/>
        <v>20</v>
      </c>
      <c r="BG1204" s="430">
        <v>0</v>
      </c>
      <c r="BH1204" s="845">
        <v>0</v>
      </c>
      <c r="BI1204" s="845">
        <v>0</v>
      </c>
      <c r="BJ1204" s="1987">
        <v>0</v>
      </c>
      <c r="BK1204" s="2650">
        <f t="shared" si="2330"/>
        <v>0</v>
      </c>
      <c r="BL1204" s="845">
        <v>0</v>
      </c>
      <c r="BM1204" s="845">
        <v>0</v>
      </c>
      <c r="BN1204" s="845">
        <v>0</v>
      </c>
      <c r="BO1204" s="1987">
        <v>0</v>
      </c>
      <c r="BP1204" s="2650">
        <f t="shared" si="2331"/>
        <v>0</v>
      </c>
      <c r="BQ1204" s="845">
        <v>0</v>
      </c>
      <c r="BR1204" s="845">
        <v>0</v>
      </c>
      <c r="BS1204" s="845">
        <v>0</v>
      </c>
      <c r="BT1204" s="1987">
        <v>0</v>
      </c>
      <c r="BU1204" s="3444">
        <f t="shared" si="2332"/>
        <v>0</v>
      </c>
      <c r="BV1204" s="845">
        <v>0</v>
      </c>
      <c r="BW1204" s="845">
        <v>0</v>
      </c>
      <c r="BX1204" s="845">
        <v>0</v>
      </c>
      <c r="BY1204" s="845">
        <v>0</v>
      </c>
      <c r="BZ1204" s="2650">
        <f t="shared" si="2333"/>
        <v>0</v>
      </c>
      <c r="CA1204" s="1987">
        <v>0</v>
      </c>
      <c r="CB1204" s="1987">
        <v>0</v>
      </c>
      <c r="CC1204" s="1987">
        <v>0</v>
      </c>
      <c r="CD1204" s="1987">
        <v>0</v>
      </c>
      <c r="CE1204" s="1987">
        <v>0</v>
      </c>
      <c r="CF1204" s="1987">
        <v>0</v>
      </c>
      <c r="CG1204" s="1987">
        <v>0</v>
      </c>
      <c r="CH1204" s="1483"/>
      <c r="CI1204" s="1483"/>
      <c r="CJ1204" s="1483"/>
      <c r="CK1204" s="1483"/>
      <c r="CL1204" s="1483"/>
      <c r="CM1204" s="331"/>
      <c r="CN1204" s="331">
        <f t="shared" si="2335"/>
        <v>0</v>
      </c>
      <c r="CO1204" s="965">
        <f t="shared" si="2313"/>
        <v>0</v>
      </c>
      <c r="CP1204" s="995"/>
      <c r="CQ1204" s="435"/>
      <c r="CR1204" s="435"/>
      <c r="CS1204" s="435"/>
      <c r="CT1204" s="435"/>
      <c r="CU1204" s="435"/>
      <c r="CV1204" s="435"/>
      <c r="CW1204" s="435"/>
      <c r="CX1204" s="435"/>
      <c r="CY1204" s="435"/>
      <c r="CZ1204" s="435"/>
      <c r="DA1204" s="435"/>
      <c r="DB1204" s="435"/>
      <c r="DC1204" s="435"/>
      <c r="DD1204" s="435"/>
      <c r="DE1204" s="435"/>
      <c r="DF1204" s="435"/>
      <c r="DG1204" s="1822"/>
      <c r="DH1204" s="1484"/>
      <c r="DI1204" s="1485"/>
      <c r="DJ1204" s="1485"/>
      <c r="DK1204" s="1485"/>
      <c r="DL1204" s="1485"/>
      <c r="DM1204" s="1485"/>
      <c r="DN1204" s="275"/>
      <c r="DO1204" s="276"/>
      <c r="DY1204" s="2973"/>
      <c r="DZ1204" s="2973"/>
    </row>
    <row r="1205" spans="1:130" s="4061" customFormat="1" ht="12" customHeight="1">
      <c r="A1205" s="4140" t="s">
        <v>1992</v>
      </c>
      <c r="B1205" s="875"/>
      <c r="C1205" s="875"/>
      <c r="D1205" s="430"/>
      <c r="E1205" s="845"/>
      <c r="F1205" s="845"/>
      <c r="G1205" s="845"/>
      <c r="H1205" s="434"/>
      <c r="I1205" s="845"/>
      <c r="J1205" s="845"/>
      <c r="K1205" s="845"/>
      <c r="L1205" s="845"/>
      <c r="M1205" s="434"/>
      <c r="N1205" s="845"/>
      <c r="O1205" s="845"/>
      <c r="P1205" s="845"/>
      <c r="Q1205" s="845"/>
      <c r="R1205" s="434"/>
      <c r="S1205" s="845"/>
      <c r="T1205" s="845"/>
      <c r="U1205" s="845"/>
      <c r="V1205" s="845"/>
      <c r="W1205" s="434"/>
      <c r="X1205" s="845"/>
      <c r="Y1205" s="845"/>
      <c r="Z1205" s="845"/>
      <c r="AA1205" s="845"/>
      <c r="AB1205" s="434"/>
      <c r="AC1205" s="845"/>
      <c r="AD1205" s="845"/>
      <c r="AE1205" s="845"/>
      <c r="AF1205" s="845"/>
      <c r="AG1205" s="434"/>
      <c r="AH1205" s="845"/>
      <c r="AI1205" s="845"/>
      <c r="AJ1205" s="845"/>
      <c r="AK1205" s="845"/>
      <c r="AL1205" s="434"/>
      <c r="AM1205" s="845"/>
      <c r="AN1205" s="845"/>
      <c r="AO1205" s="845"/>
      <c r="AP1205" s="845"/>
      <c r="AQ1205" s="434"/>
      <c r="AR1205" s="845"/>
      <c r="AS1205" s="845"/>
      <c r="AT1205" s="845"/>
      <c r="AU1205" s="845"/>
      <c r="AV1205" s="433"/>
      <c r="AW1205" s="845"/>
      <c r="AX1205" s="845"/>
      <c r="AY1205" s="845"/>
      <c r="AZ1205" s="845"/>
      <c r="BA1205" s="433"/>
      <c r="BB1205" s="845"/>
      <c r="BC1205" s="845"/>
      <c r="BD1205" s="845"/>
      <c r="BE1205" s="845"/>
      <c r="BF1205" s="433"/>
      <c r="BG1205" s="430"/>
      <c r="BH1205" s="845"/>
      <c r="BI1205" s="845"/>
      <c r="BJ1205" s="1987"/>
      <c r="BK1205" s="2650"/>
      <c r="BL1205" s="845"/>
      <c r="BM1205" s="845"/>
      <c r="BN1205" s="845"/>
      <c r="BO1205" s="1987"/>
      <c r="BP1205" s="2650"/>
      <c r="BQ1205" s="845"/>
      <c r="BR1205" s="845"/>
      <c r="BS1205" s="845"/>
      <c r="BT1205" s="1987"/>
      <c r="BU1205" s="3444"/>
      <c r="BV1205" s="845"/>
      <c r="BW1205" s="845"/>
      <c r="BX1205" s="845">
        <v>5</v>
      </c>
      <c r="BY1205" s="845">
        <v>5</v>
      </c>
      <c r="BZ1205" s="2650">
        <f t="shared" si="2333"/>
        <v>10</v>
      </c>
      <c r="CA1205" s="1987">
        <v>20</v>
      </c>
      <c r="CB1205" s="4142">
        <f>+CA1205</f>
        <v>20</v>
      </c>
      <c r="CC1205" s="1987"/>
      <c r="CD1205" s="1987"/>
      <c r="CE1205" s="1987"/>
      <c r="CF1205" s="1987"/>
      <c r="CG1205" s="1987"/>
      <c r="CH1205" s="1483"/>
      <c r="CI1205" s="1483"/>
      <c r="CJ1205" s="1483"/>
      <c r="CK1205" s="1483"/>
      <c r="CL1205" s="1483"/>
      <c r="CM1205" s="331"/>
      <c r="CN1205" s="331"/>
      <c r="CO1205" s="965"/>
      <c r="CP1205" s="995"/>
      <c r="CQ1205" s="435"/>
      <c r="CR1205" s="435"/>
      <c r="CS1205" s="435"/>
      <c r="CT1205" s="435"/>
      <c r="CU1205" s="435"/>
      <c r="CV1205" s="435"/>
      <c r="CW1205" s="435"/>
      <c r="CX1205" s="435"/>
      <c r="CY1205" s="435"/>
      <c r="CZ1205" s="435"/>
      <c r="DA1205" s="435"/>
      <c r="DB1205" s="435"/>
      <c r="DC1205" s="435"/>
      <c r="DD1205" s="435"/>
      <c r="DE1205" s="435"/>
      <c r="DF1205" s="435"/>
      <c r="DG1205" s="1822"/>
      <c r="DH1205" s="1484"/>
      <c r="DI1205" s="1485"/>
      <c r="DJ1205" s="1485"/>
      <c r="DK1205" s="1485"/>
      <c r="DL1205" s="1485"/>
      <c r="DM1205" s="1485"/>
      <c r="DN1205" s="275"/>
      <c r="DO1205" s="276"/>
      <c r="DP1205"/>
      <c r="DQ1205"/>
      <c r="DR1205"/>
      <c r="DS1205"/>
      <c r="DT1205"/>
      <c r="DU1205"/>
      <c r="DY1205" s="2973"/>
      <c r="DZ1205" s="2973"/>
    </row>
    <row r="1206" spans="1:130" ht="4.5" customHeight="1">
      <c r="A1206" s="962"/>
      <c r="B1206" s="293"/>
      <c r="C1206" s="293"/>
      <c r="D1206" s="294" t="s">
        <v>343</v>
      </c>
      <c r="E1206" s="295" t="s">
        <v>343</v>
      </c>
      <c r="F1206" s="295" t="s">
        <v>343</v>
      </c>
      <c r="G1206" s="295" t="s">
        <v>343</v>
      </c>
      <c r="H1206" s="296" t="s">
        <v>343</v>
      </c>
      <c r="I1206" s="295" t="s">
        <v>343</v>
      </c>
      <c r="J1206" s="295" t="s">
        <v>343</v>
      </c>
      <c r="K1206" s="295" t="s">
        <v>343</v>
      </c>
      <c r="L1206" s="295" t="s">
        <v>343</v>
      </c>
      <c r="M1206" s="296" t="s">
        <v>343</v>
      </c>
      <c r="N1206" s="295" t="s">
        <v>343</v>
      </c>
      <c r="O1206" s="295" t="s">
        <v>343</v>
      </c>
      <c r="P1206" s="295" t="s">
        <v>343</v>
      </c>
      <c r="Q1206" s="295" t="s">
        <v>343</v>
      </c>
      <c r="R1206" s="296" t="s">
        <v>343</v>
      </c>
      <c r="S1206" s="295" t="s">
        <v>343</v>
      </c>
      <c r="T1206" s="295" t="s">
        <v>343</v>
      </c>
      <c r="U1206" s="295" t="s">
        <v>343</v>
      </c>
      <c r="V1206" s="295" t="s">
        <v>343</v>
      </c>
      <c r="W1206" s="296" t="s">
        <v>343</v>
      </c>
      <c r="X1206" s="295" t="s">
        <v>343</v>
      </c>
      <c r="Y1206" s="295" t="s">
        <v>343</v>
      </c>
      <c r="Z1206" s="295" t="s">
        <v>343</v>
      </c>
      <c r="AA1206" s="295" t="s">
        <v>343</v>
      </c>
      <c r="AB1206" s="296" t="s">
        <v>343</v>
      </c>
      <c r="AC1206" s="295" t="s">
        <v>343</v>
      </c>
      <c r="AD1206" s="295" t="s">
        <v>343</v>
      </c>
      <c r="AE1206" s="295" t="s">
        <v>343</v>
      </c>
      <c r="AF1206" s="295" t="s">
        <v>343</v>
      </c>
      <c r="AG1206" s="296" t="s">
        <v>343</v>
      </c>
      <c r="AH1206" s="295" t="s">
        <v>343</v>
      </c>
      <c r="AI1206" s="295" t="s">
        <v>343</v>
      </c>
      <c r="AJ1206" s="295" t="s">
        <v>343</v>
      </c>
      <c r="AK1206" s="295" t="s">
        <v>343</v>
      </c>
      <c r="AL1206" s="296" t="s">
        <v>343</v>
      </c>
      <c r="AM1206" s="295" t="s">
        <v>343</v>
      </c>
      <c r="AN1206" s="295" t="s">
        <v>343</v>
      </c>
      <c r="AO1206" s="295" t="s">
        <v>343</v>
      </c>
      <c r="AP1206" s="295" t="s">
        <v>343</v>
      </c>
      <c r="AQ1206" s="296" t="s">
        <v>343</v>
      </c>
      <c r="AR1206" s="295" t="s">
        <v>343</v>
      </c>
      <c r="AS1206" s="295" t="s">
        <v>343</v>
      </c>
      <c r="AT1206" s="295" t="s">
        <v>343</v>
      </c>
      <c r="AU1206" s="295" t="s">
        <v>343</v>
      </c>
      <c r="AV1206" s="296" t="s">
        <v>343</v>
      </c>
      <c r="AW1206" s="295" t="s">
        <v>343</v>
      </c>
      <c r="AX1206" s="295" t="s">
        <v>343</v>
      </c>
      <c r="AY1206" s="295" t="s">
        <v>343</v>
      </c>
      <c r="AZ1206" s="295" t="s">
        <v>343</v>
      </c>
      <c r="BA1206" s="296" t="s">
        <v>343</v>
      </c>
      <c r="BB1206" s="295" t="s">
        <v>343</v>
      </c>
      <c r="BC1206" s="295" t="s">
        <v>343</v>
      </c>
      <c r="BD1206" s="295" t="s">
        <v>343</v>
      </c>
      <c r="BE1206" s="295" t="s">
        <v>343</v>
      </c>
      <c r="BF1206" s="296" t="s">
        <v>343</v>
      </c>
      <c r="BG1206" s="294" t="s">
        <v>343</v>
      </c>
      <c r="BH1206" s="295" t="s">
        <v>343</v>
      </c>
      <c r="BI1206" s="295" t="s">
        <v>343</v>
      </c>
      <c r="BJ1206" s="297" t="s">
        <v>343</v>
      </c>
      <c r="BK1206" s="296" t="s">
        <v>343</v>
      </c>
      <c r="BL1206" s="295" t="s">
        <v>343</v>
      </c>
      <c r="BM1206" s="295" t="s">
        <v>343</v>
      </c>
      <c r="BN1206" s="295" t="s">
        <v>343</v>
      </c>
      <c r="BO1206" s="297" t="s">
        <v>343</v>
      </c>
      <c r="BP1206" s="296" t="s">
        <v>343</v>
      </c>
      <c r="BQ1206" s="295" t="s">
        <v>343</v>
      </c>
      <c r="BR1206" s="295" t="s">
        <v>343</v>
      </c>
      <c r="BS1206" s="295" t="s">
        <v>343</v>
      </c>
      <c r="BT1206" s="297" t="s">
        <v>343</v>
      </c>
      <c r="BU1206" s="3314" t="s">
        <v>343</v>
      </c>
      <c r="BV1206" s="295" t="s">
        <v>343</v>
      </c>
      <c r="BW1206" s="295" t="s">
        <v>343</v>
      </c>
      <c r="BX1206" s="295" t="s">
        <v>343</v>
      </c>
      <c r="BY1206" s="295" t="s">
        <v>343</v>
      </c>
      <c r="BZ1206" s="296" t="s">
        <v>343</v>
      </c>
      <c r="CA1206" s="297" t="s">
        <v>343</v>
      </c>
      <c r="CB1206" s="297" t="s">
        <v>343</v>
      </c>
      <c r="CC1206" s="297" t="s">
        <v>343</v>
      </c>
      <c r="CD1206" s="297" t="s">
        <v>343</v>
      </c>
      <c r="CE1206" s="297" t="s">
        <v>343</v>
      </c>
      <c r="CF1206" s="297" t="s">
        <v>343</v>
      </c>
      <c r="CG1206" s="297" t="s">
        <v>343</v>
      </c>
      <c r="CH1206" s="295"/>
      <c r="CI1206" s="295"/>
      <c r="CJ1206" s="295"/>
      <c r="CK1206" s="295"/>
      <c r="CL1206" s="295"/>
      <c r="CM1206" s="331"/>
      <c r="CN1206" s="331">
        <f t="shared" si="2335"/>
        <v>0</v>
      </c>
      <c r="CO1206" s="965">
        <f t="shared" si="2313"/>
        <v>0</v>
      </c>
      <c r="CP1206" s="1784"/>
      <c r="CQ1206" s="295" t="str">
        <f t="shared" si="2177"/>
        <v xml:space="preserve">                </v>
      </c>
      <c r="CR1206" s="295" t="str">
        <f t="shared" si="2178"/>
        <v xml:space="preserve">                </v>
      </c>
      <c r="CS1206" s="295" t="str">
        <f t="shared" si="2179"/>
        <v xml:space="preserve">                </v>
      </c>
      <c r="CT1206" s="295" t="str">
        <f t="shared" si="2180"/>
        <v xml:space="preserve">                </v>
      </c>
      <c r="CU1206" s="295" t="str">
        <f t="shared" si="2181"/>
        <v xml:space="preserve">                </v>
      </c>
      <c r="CV1206" s="295" t="str">
        <f t="shared" si="2182"/>
        <v xml:space="preserve">                </v>
      </c>
      <c r="CW1206" s="295" t="str">
        <f t="shared" si="2183"/>
        <v xml:space="preserve">                </v>
      </c>
      <c r="CX1206" s="295" t="str">
        <f t="shared" si="2184"/>
        <v xml:space="preserve">                </v>
      </c>
      <c r="CY1206" s="295" t="str">
        <f t="shared" si="2185"/>
        <v xml:space="preserve">                </v>
      </c>
      <c r="CZ1206" s="295" t="str">
        <f t="shared" si="2186"/>
        <v xml:space="preserve">                </v>
      </c>
      <c r="DA1206" s="295" t="str">
        <f t="shared" si="2187"/>
        <v xml:space="preserve">                </v>
      </c>
      <c r="DB1206" s="295" t="str">
        <f t="shared" si="2188"/>
        <v xml:space="preserve">                </v>
      </c>
      <c r="DC1206" s="295" t="str">
        <f t="shared" si="2189"/>
        <v xml:space="preserve">                </v>
      </c>
      <c r="DD1206" s="295" t="str">
        <f t="shared" si="2190"/>
        <v xml:space="preserve">                </v>
      </c>
      <c r="DE1206" s="295" t="str">
        <f t="shared" si="2191"/>
        <v xml:space="preserve">                </v>
      </c>
      <c r="DF1206" s="295" t="str">
        <f t="shared" si="2192"/>
        <v xml:space="preserve">                </v>
      </c>
      <c r="DG1206" s="297" t="str">
        <f t="shared" si="2193"/>
        <v xml:space="preserve">                </v>
      </c>
      <c r="DH1206" s="298"/>
      <c r="DI1206" s="299"/>
      <c r="DJ1206" s="299"/>
      <c r="DK1206" s="299"/>
      <c r="DL1206" s="299"/>
      <c r="DM1206" s="299"/>
      <c r="DN1206" s="299"/>
      <c r="DO1206" s="300"/>
      <c r="DY1206" s="295"/>
      <c r="DZ1206" s="295"/>
    </row>
    <row r="1207" spans="1:130" ht="12" customHeight="1">
      <c r="A1207" s="242" t="s">
        <v>1619</v>
      </c>
      <c r="B1207" s="242"/>
      <c r="C1207" s="242"/>
      <c r="D1207" s="661">
        <f t="shared" ref="D1207:AE1207" si="2340">-D1032</f>
        <v>20.690999999999999</v>
      </c>
      <c r="E1207" s="557">
        <f t="shared" si="2340"/>
        <v>40.484999999999999</v>
      </c>
      <c r="F1207" s="557">
        <f t="shared" si="2340"/>
        <v>78.537999999999997</v>
      </c>
      <c r="G1207" s="557">
        <f t="shared" si="2340"/>
        <v>129.13399999999999</v>
      </c>
      <c r="H1207" s="556">
        <f t="shared" si="2340"/>
        <v>268.84799999999996</v>
      </c>
      <c r="I1207" s="557">
        <f t="shared" si="2340"/>
        <v>114.07</v>
      </c>
      <c r="J1207" s="557">
        <f t="shared" si="2340"/>
        <v>139.02800000000002</v>
      </c>
      <c r="K1207" s="557">
        <f t="shared" si="2340"/>
        <v>142.57900000000001</v>
      </c>
      <c r="L1207" s="557">
        <f t="shared" si="2340"/>
        <v>222.76699999999994</v>
      </c>
      <c r="M1207" s="556">
        <f t="shared" si="2340"/>
        <v>618.44399999999996</v>
      </c>
      <c r="N1207" s="557">
        <f t="shared" si="2340"/>
        <v>210.21799999999999</v>
      </c>
      <c r="O1207" s="557">
        <f t="shared" si="2340"/>
        <v>75.933999999999997</v>
      </c>
      <c r="P1207" s="557">
        <f t="shared" si="2340"/>
        <v>80.892000000000024</v>
      </c>
      <c r="Q1207" s="557">
        <f t="shared" si="2340"/>
        <v>69.420000000000044</v>
      </c>
      <c r="R1207" s="556">
        <f t="shared" si="2340"/>
        <v>436.46400000000006</v>
      </c>
      <c r="S1207" s="557">
        <f t="shared" si="2340"/>
        <v>42.905999999999999</v>
      </c>
      <c r="T1207" s="557">
        <f t="shared" si="2340"/>
        <v>73.318999999999988</v>
      </c>
      <c r="U1207" s="557">
        <f t="shared" si="2340"/>
        <v>87.489000000000004</v>
      </c>
      <c r="V1207" s="557">
        <f t="shared" si="2340"/>
        <v>93.18</v>
      </c>
      <c r="W1207" s="556">
        <f t="shared" si="2340"/>
        <v>296.89400000000001</v>
      </c>
      <c r="X1207" s="557">
        <f t="shared" si="2340"/>
        <v>168.155</v>
      </c>
      <c r="Y1207" s="557">
        <f t="shared" si="2340"/>
        <v>200.58200000000002</v>
      </c>
      <c r="Z1207" s="557">
        <f t="shared" si="2340"/>
        <v>190.75899999999999</v>
      </c>
      <c r="AA1207" s="557">
        <f t="shared" si="2340"/>
        <v>107.90399999999997</v>
      </c>
      <c r="AB1207" s="556">
        <f t="shared" si="2340"/>
        <v>667.4</v>
      </c>
      <c r="AC1207" s="557">
        <f t="shared" si="2340"/>
        <v>88.316000000000003</v>
      </c>
      <c r="AD1207" s="557">
        <f t="shared" si="2340"/>
        <v>40.488</v>
      </c>
      <c r="AE1207" s="557">
        <f t="shared" si="2340"/>
        <v>15.133999999999986</v>
      </c>
      <c r="AF1207" s="557">
        <f>SUM(AF1198:AF1202)</f>
        <v>18.102079999999994</v>
      </c>
      <c r="AG1207" s="556">
        <f>SUM(AC1207:AF1207)</f>
        <v>162.04007999999999</v>
      </c>
      <c r="AH1207" s="557">
        <f>-AH1032</f>
        <v>31.067</v>
      </c>
      <c r="AI1207" s="557">
        <f>-AI1032</f>
        <v>16.414000000000001</v>
      </c>
      <c r="AJ1207" s="557">
        <f>-AJ1032</f>
        <v>16.588000000000001</v>
      </c>
      <c r="AK1207" s="557">
        <f>-AK1032</f>
        <v>23.408000000000008</v>
      </c>
      <c r="AL1207" s="556">
        <f>SUM(AH1207:AK1207)</f>
        <v>87.477000000000004</v>
      </c>
      <c r="AM1207" s="557">
        <f>-AM1032</f>
        <v>20.858000000000001</v>
      </c>
      <c r="AN1207" s="557">
        <f>-AN1032</f>
        <v>10.015999999999998</v>
      </c>
      <c r="AO1207" s="557">
        <f>-AO1032</f>
        <v>24.617000000000001</v>
      </c>
      <c r="AP1207" s="557">
        <f>SUM(AP1198:AP1202)</f>
        <v>35.6</v>
      </c>
      <c r="AQ1207" s="556">
        <f>SUM(AM1207:AP1207)</f>
        <v>91.091000000000008</v>
      </c>
      <c r="AR1207" s="557">
        <f t="shared" ref="AR1207:BA1207" si="2341">SUM(AR1198:AR1204)</f>
        <v>32.799999999999997</v>
      </c>
      <c r="AS1207" s="557">
        <f t="shared" si="2341"/>
        <v>37.600000000000009</v>
      </c>
      <c r="AT1207" s="557">
        <f t="shared" si="2341"/>
        <v>31.300000000000008</v>
      </c>
      <c r="AU1207" s="557">
        <f t="shared" si="2341"/>
        <v>23.699999999999996</v>
      </c>
      <c r="AV1207" s="556">
        <f t="shared" si="2341"/>
        <v>125.39999999999999</v>
      </c>
      <c r="AW1207" s="557">
        <f t="shared" si="2341"/>
        <v>23.6</v>
      </c>
      <c r="AX1207" s="557">
        <f t="shared" si="2341"/>
        <v>35.875</v>
      </c>
      <c r="AY1207" s="557">
        <f t="shared" si="2341"/>
        <v>42.161999999999992</v>
      </c>
      <c r="AZ1207" s="557">
        <f t="shared" si="2341"/>
        <v>43.902000000000015</v>
      </c>
      <c r="BA1207" s="556">
        <f t="shared" si="2341"/>
        <v>145.53899999999999</v>
      </c>
      <c r="BB1207" s="557">
        <f t="shared" ref="BB1207:CA1207" si="2342">SUM(BB1198:BB1206)</f>
        <v>18.306000000000001</v>
      </c>
      <c r="BC1207" s="557">
        <f t="shared" si="2342"/>
        <v>35.203000000000003</v>
      </c>
      <c r="BD1207" s="557">
        <f t="shared" si="2342"/>
        <v>41.108000000000004</v>
      </c>
      <c r="BE1207" s="557">
        <f t="shared" si="2342"/>
        <v>54.756999999999991</v>
      </c>
      <c r="BF1207" s="556">
        <f t="shared" si="2342"/>
        <v>149.37400000000002</v>
      </c>
      <c r="BG1207" s="661">
        <f t="shared" si="2342"/>
        <v>19.268999999999998</v>
      </c>
      <c r="BH1207" s="557">
        <f t="shared" si="2342"/>
        <v>38.843000000000004</v>
      </c>
      <c r="BI1207" s="557">
        <f t="shared" si="2342"/>
        <v>28.884999999999998</v>
      </c>
      <c r="BJ1207" s="1848">
        <f t="shared" si="2342"/>
        <v>44.172999999999995</v>
      </c>
      <c r="BK1207" s="556">
        <f t="shared" si="2342"/>
        <v>131.16999999999999</v>
      </c>
      <c r="BL1207" s="557">
        <f t="shared" si="2342"/>
        <v>35.296999999999997</v>
      </c>
      <c r="BM1207" s="557">
        <f t="shared" si="2342"/>
        <v>37.150000000000006</v>
      </c>
      <c r="BN1207" s="557">
        <f t="shared" si="2342"/>
        <v>44.882999999999996</v>
      </c>
      <c r="BO1207" s="1848">
        <f t="shared" si="2342"/>
        <v>43.028000000000006</v>
      </c>
      <c r="BP1207" s="556">
        <f t="shared" si="2342"/>
        <v>160.358</v>
      </c>
      <c r="BQ1207" s="557">
        <f t="shared" si="2342"/>
        <v>80.037999999999997</v>
      </c>
      <c r="BR1207" s="557">
        <f t="shared" si="2342"/>
        <v>38.713000000000008</v>
      </c>
      <c r="BS1207" s="557">
        <f t="shared" si="2342"/>
        <v>42.501000000000005</v>
      </c>
      <c r="BT1207" s="1848">
        <f t="shared" si="2342"/>
        <v>29</v>
      </c>
      <c r="BU1207" s="3372">
        <f t="shared" si="2342"/>
        <v>190.25200000000001</v>
      </c>
      <c r="BV1207" s="557">
        <f t="shared" si="2342"/>
        <v>37.5</v>
      </c>
      <c r="BW1207" s="557">
        <f t="shared" si="2342"/>
        <v>37.5</v>
      </c>
      <c r="BX1207" s="557">
        <f t="shared" si="2342"/>
        <v>42.5</v>
      </c>
      <c r="BY1207" s="557">
        <f t="shared" si="2342"/>
        <v>42.5</v>
      </c>
      <c r="BZ1207" s="556">
        <f t="shared" si="2342"/>
        <v>160</v>
      </c>
      <c r="CA1207" s="556">
        <f t="shared" si="2342"/>
        <v>170</v>
      </c>
      <c r="CB1207" s="556">
        <f>SUM(CB1198:CB1206)</f>
        <v>170</v>
      </c>
      <c r="CC1207" s="556">
        <f>SUM(CC1198:CC1204)</f>
        <v>150</v>
      </c>
      <c r="CD1207" s="556">
        <f>SUM(CD1198:CD1204)</f>
        <v>150</v>
      </c>
      <c r="CE1207" s="556">
        <f>SUM(CE1198:CE1204)</f>
        <v>150</v>
      </c>
      <c r="CF1207" s="556">
        <f>SUM(CF1198:CF1204)</f>
        <v>150</v>
      </c>
      <c r="CG1207" s="556">
        <f>SUM(CG1198:CG1204)</f>
        <v>150</v>
      </c>
      <c r="CH1207" s="557"/>
      <c r="CI1207" s="557"/>
      <c r="CJ1207" s="557"/>
      <c r="CK1207" s="557"/>
      <c r="CL1207" s="557"/>
      <c r="CM1207" s="331"/>
      <c r="CN1207" s="331">
        <f t="shared" si="2335"/>
        <v>160</v>
      </c>
      <c r="CO1207" s="965">
        <f t="shared" si="2313"/>
        <v>-160</v>
      </c>
      <c r="CP1207" s="977" t="str">
        <f t="shared" si="2176"/>
        <v>Total Capital Expenditures</v>
      </c>
      <c r="CQ1207" s="557">
        <f t="shared" si="2177"/>
        <v>268.84799999999996</v>
      </c>
      <c r="CR1207" s="557">
        <f t="shared" si="2178"/>
        <v>618.44399999999996</v>
      </c>
      <c r="CS1207" s="557">
        <f t="shared" si="2179"/>
        <v>436.46400000000006</v>
      </c>
      <c r="CT1207" s="557">
        <f t="shared" si="2180"/>
        <v>296.89400000000001</v>
      </c>
      <c r="CU1207" s="557">
        <f t="shared" si="2181"/>
        <v>667.4</v>
      </c>
      <c r="CV1207" s="557">
        <f t="shared" si="2182"/>
        <v>162.04007999999999</v>
      </c>
      <c r="CW1207" s="557">
        <f t="shared" si="2183"/>
        <v>87.477000000000004</v>
      </c>
      <c r="CX1207" s="557">
        <f t="shared" si="2184"/>
        <v>91.091000000000008</v>
      </c>
      <c r="CY1207" s="557">
        <f t="shared" si="2185"/>
        <v>125.39999999999999</v>
      </c>
      <c r="CZ1207" s="557">
        <f t="shared" si="2186"/>
        <v>145.53899999999999</v>
      </c>
      <c r="DA1207" s="557">
        <f t="shared" si="2187"/>
        <v>149.37400000000002</v>
      </c>
      <c r="DB1207" s="557">
        <f t="shared" si="2188"/>
        <v>131.16999999999999</v>
      </c>
      <c r="DC1207" s="557">
        <f t="shared" si="2189"/>
        <v>160.358</v>
      </c>
      <c r="DD1207" s="557">
        <f t="shared" si="2190"/>
        <v>190.25200000000001</v>
      </c>
      <c r="DE1207" s="557">
        <f t="shared" si="2191"/>
        <v>160</v>
      </c>
      <c r="DF1207" s="557">
        <f t="shared" si="2192"/>
        <v>170</v>
      </c>
      <c r="DG1207" s="1848">
        <f t="shared" si="2193"/>
        <v>170</v>
      </c>
      <c r="DH1207" s="690"/>
      <c r="DI1207" s="831"/>
      <c r="DJ1207" s="831"/>
      <c r="DK1207" s="831"/>
      <c r="DL1207" s="831"/>
      <c r="DM1207" s="831"/>
      <c r="DN1207" s="268"/>
      <c r="DO1207" s="269"/>
      <c r="DY1207" s="557"/>
      <c r="DZ1207" s="557"/>
    </row>
    <row r="1208" spans="1:130" ht="12" customHeight="1">
      <c r="A1208" s="875"/>
      <c r="B1208" s="875"/>
      <c r="C1208" s="875"/>
      <c r="D1208" s="441"/>
      <c r="E1208" s="443"/>
      <c r="F1208" s="443"/>
      <c r="G1208" s="443"/>
      <c r="H1208" s="442"/>
      <c r="I1208" s="443"/>
      <c r="J1208" s="443"/>
      <c r="K1208" s="922"/>
      <c r="L1208" s="922"/>
      <c r="M1208" s="442"/>
      <c r="N1208" s="443"/>
      <c r="O1208" s="443"/>
      <c r="P1208" s="922"/>
      <c r="Q1208" s="922"/>
      <c r="R1208" s="442"/>
      <c r="S1208" s="443"/>
      <c r="T1208" s="443"/>
      <c r="U1208" s="922"/>
      <c r="V1208" s="922"/>
      <c r="W1208" s="442"/>
      <c r="X1208" s="922"/>
      <c r="Y1208" s="922"/>
      <c r="Z1208" s="922"/>
      <c r="AA1208" s="922"/>
      <c r="AB1208" s="442"/>
      <c r="AC1208" s="922"/>
      <c r="AD1208" s="922"/>
      <c r="AE1208" s="922"/>
      <c r="AF1208" s="922"/>
      <c r="AG1208" s="442"/>
      <c r="AH1208" s="443"/>
      <c r="AI1208" s="443"/>
      <c r="AJ1208" s="443"/>
      <c r="AK1208" s="443"/>
      <c r="AL1208" s="442"/>
      <c r="AM1208" s="443"/>
      <c r="AN1208" s="443"/>
      <c r="AO1208" s="443"/>
      <c r="AP1208" s="443"/>
      <c r="AQ1208" s="442"/>
      <c r="AR1208" s="443"/>
      <c r="AS1208" s="443"/>
      <c r="AT1208" s="443"/>
      <c r="AU1208" s="443"/>
      <c r="AV1208" s="442"/>
      <c r="AW1208" s="443"/>
      <c r="AX1208" s="443"/>
      <c r="AY1208" s="443"/>
      <c r="AZ1208" s="443"/>
      <c r="BA1208" s="442"/>
      <c r="BB1208" s="443"/>
      <c r="BC1208" s="443"/>
      <c r="BD1208" s="443"/>
      <c r="BE1208" s="443"/>
      <c r="BF1208" s="442"/>
      <c r="BG1208" s="441"/>
      <c r="BH1208" s="443"/>
      <c r="BI1208" s="443"/>
      <c r="BJ1208" s="2975"/>
      <c r="BK1208" s="442"/>
      <c r="BL1208" s="443"/>
      <c r="BM1208" s="443"/>
      <c r="BN1208" s="443"/>
      <c r="BO1208" s="2975"/>
      <c r="BP1208" s="442"/>
      <c r="BQ1208" s="443"/>
      <c r="BR1208" s="443"/>
      <c r="BS1208" s="443"/>
      <c r="BT1208" s="2975"/>
      <c r="BU1208" s="3448"/>
      <c r="BV1208" s="443"/>
      <c r="BW1208" s="443"/>
      <c r="BX1208" s="443"/>
      <c r="BY1208" s="443"/>
      <c r="BZ1208" s="4024"/>
      <c r="CA1208" s="442"/>
      <c r="CB1208" s="442"/>
      <c r="CC1208" s="442"/>
      <c r="CD1208" s="442"/>
      <c r="CE1208" s="442"/>
      <c r="CF1208" s="442"/>
      <c r="CG1208" s="442"/>
      <c r="CH1208" s="443"/>
      <c r="CI1208" s="443"/>
      <c r="CJ1208" s="443"/>
      <c r="CK1208" s="443"/>
      <c r="CL1208" s="443"/>
      <c r="CM1208" s="443"/>
      <c r="CN1208" s="443"/>
      <c r="CO1208" s="443"/>
      <c r="CP1208" s="993"/>
      <c r="CQ1208" s="920"/>
      <c r="CR1208" s="920"/>
      <c r="CS1208" s="920"/>
      <c r="CT1208" s="920"/>
      <c r="CU1208" s="920"/>
      <c r="CV1208" s="920"/>
      <c r="CW1208" s="920"/>
      <c r="CX1208" s="920"/>
      <c r="CY1208" s="920"/>
      <c r="CZ1208" s="920"/>
      <c r="DA1208" s="920"/>
      <c r="DB1208" s="920"/>
      <c r="DC1208" s="920"/>
      <c r="DD1208" s="920"/>
      <c r="DE1208" s="920"/>
      <c r="DF1208" s="920"/>
      <c r="DG1208" s="1931"/>
      <c r="DH1208" s="920"/>
      <c r="DI1208" s="920"/>
      <c r="DJ1208" s="920"/>
      <c r="DK1208" s="920"/>
      <c r="DL1208" s="920"/>
      <c r="DM1208" s="920"/>
      <c r="DN1208" s="222"/>
      <c r="DO1208" s="226"/>
      <c r="DY1208" s="443"/>
      <c r="DZ1208" s="443"/>
    </row>
    <row r="1209" spans="1:130" ht="12" customHeight="1">
      <c r="A1209" s="875" t="s">
        <v>285</v>
      </c>
      <c r="B1209" s="530"/>
      <c r="C1209" s="530"/>
      <c r="D1209" s="339">
        <v>2E-3</v>
      </c>
      <c r="E1209" s="747">
        <f>E74/((SUM(D1053:D1054)+SUM(E1053:E1054))/2)*365/E5</f>
        <v>1.9763434397580735E-3</v>
      </c>
      <c r="F1209" s="747">
        <f>F74/((SUM(E1053:E1054)+SUM(F1053:F1054))/2)*365/F5</f>
        <v>1.5285223847392041E-3</v>
      </c>
      <c r="G1209" s="747">
        <f>G74/((SUM(F1053:F1054)+SUM(G1053:G1054))/2)*365/G5</f>
        <v>1.110010316322529E-3</v>
      </c>
      <c r="H1209" s="309">
        <f>H74/((SUM(G1053:G1054)+SUM(H1053:H1054))/2)</f>
        <v>1.111496217327389E-3</v>
      </c>
      <c r="I1209" s="747">
        <f>I74/((SUM(H1053:H1054)+SUM(I1053:I1054))/2)*365/I5</f>
        <v>0</v>
      </c>
      <c r="J1209" s="747">
        <f>J74/((SUM(I1053:I1054)+SUM(J1053:J1054))/2)*365/J5</f>
        <v>1.0364680944061984E-3</v>
      </c>
      <c r="K1209" s="747">
        <f>K74/((SUM(J1053:J1054)+SUM(K1053:K1054))/2)*365/K5</f>
        <v>0</v>
      </c>
      <c r="L1209" s="747">
        <f>L74/((SUM(K1053:K1054)+SUM(L1053:L1054))/2)*365/L5</f>
        <v>0</v>
      </c>
      <c r="M1209" s="309">
        <f>M74/((SUM(L1053:L1054)+SUM(M1053:M1054))/2)</f>
        <v>2.0323344409556022E-4</v>
      </c>
      <c r="N1209" s="747">
        <f>N74/((SUM(M1053:M1054)+SUM(N1053:N1054))/2)*365/N5</f>
        <v>7.5728104981975602E-4</v>
      </c>
      <c r="O1209" s="747">
        <f>O74/((SUM(N1053:N1054)+SUM(O1053:O1054))/2)*365/O5</f>
        <v>7.7954761321386511E-4</v>
      </c>
      <c r="P1209" s="747">
        <f>P74/((SUM(O1053:O1054)+SUM(P1053:P1054))/2)*365/P5</f>
        <v>0</v>
      </c>
      <c r="Q1209" s="747">
        <f>Q74/((SUM(P1053:P1054)+SUM(Q1053:Q1054))/2)*365/Q5</f>
        <v>0</v>
      </c>
      <c r="R1209" s="309">
        <f>R74/((SUM(Q1053:Q1054)+SUM(R1053:R1054))/2)</f>
        <v>3.956022219658134E-4</v>
      </c>
      <c r="S1209" s="747">
        <f>S74/((SUM(R1053:R1054)+SUM(S1053:S1054))/2)*365/S5</f>
        <v>0</v>
      </c>
      <c r="T1209" s="747">
        <f>T74/((SUM(S1053:S1054)+SUM(T1053:T1054))/2)*365/T5</f>
        <v>2.2055973225861328E-3</v>
      </c>
      <c r="U1209" s="747">
        <f>U74/((SUM(T1053:T1054)+SUM(U1053:U1054))/2)*365/U5</f>
        <v>0</v>
      </c>
      <c r="V1209" s="747">
        <f>V74/((SUM(U1053:U1054)+SUM(V1053:V1054))/2)*365/V5</f>
        <v>1.6673525568001288E-4</v>
      </c>
      <c r="W1209" s="309">
        <f>W74/((SUM(V1053:V1054)+SUM(W1053:W1054))/2)</f>
        <v>5.4600931427653771E-4</v>
      </c>
      <c r="X1209" s="747">
        <f>X74/((SUM(W1053:W1054)+SUM(X1053:X1054))/2)*365/X5</f>
        <v>0</v>
      </c>
      <c r="Y1209" s="747">
        <f>Y74/((SUM(X1053:X1054)+SUM(Y1053:Y1054))/2)*365/Y5</f>
        <v>0</v>
      </c>
      <c r="Z1209" s="747">
        <f>Z74/((SUM(Y1053:Y1054)+SUM(Z1053:Z1054))/2)*365/Z5</f>
        <v>0</v>
      </c>
      <c r="AA1209" s="747">
        <f>AA74/((SUM(Z1053:Z1054)+SUM(AA1053:AA1054))/2)*365/AA5</f>
        <v>0</v>
      </c>
      <c r="AB1209" s="309">
        <f>AB74/((SUM(AA1053:AA1054)+SUM(AB1053:AB1054))/2)</f>
        <v>0</v>
      </c>
      <c r="AC1209" s="747">
        <f>AC74/((SUM(AB1053:AB1054)+SUM(AC1053:AC1054))/2)*365/AC5</f>
        <v>0</v>
      </c>
      <c r="AD1209" s="747">
        <f>AD74/((SUM(AC1053:AC1054)+SUM(AD1053:AD1054))/2)*365/AD5</f>
        <v>0</v>
      </c>
      <c r="AE1209" s="747">
        <f>AE74/((SUM(AD1053:AD1054)+SUM(AE1053:AE1054))/2)*365/AE5</f>
        <v>0</v>
      </c>
      <c r="AF1209" s="341">
        <v>5.0000000000000001E-4</v>
      </c>
      <c r="AG1209" s="309">
        <f>AG74/((SUM(AF1053:AF1054)+SUM(AG1053:AG1054))/2)</f>
        <v>0</v>
      </c>
      <c r="AH1209" s="748">
        <v>5.0000000000000001E-4</v>
      </c>
      <c r="AI1209" s="748">
        <v>5.0000000000000001E-4</v>
      </c>
      <c r="AJ1209" s="748">
        <v>5.0000000000000001E-4</v>
      </c>
      <c r="AK1209" s="748">
        <v>5.0000000000000001E-4</v>
      </c>
      <c r="AL1209" s="342">
        <v>5.0000000000000001E-4</v>
      </c>
      <c r="AM1209" s="748">
        <v>5.0000000000000001E-4</v>
      </c>
      <c r="AN1209" s="748">
        <v>5.0000000000000001E-4</v>
      </c>
      <c r="AO1209" s="748">
        <v>5.0000000000000001E-4</v>
      </c>
      <c r="AP1209" s="748">
        <v>5.0000000000000001E-4</v>
      </c>
      <c r="AQ1209" s="342">
        <v>5.0000000000000001E-4</v>
      </c>
      <c r="AR1209" s="748">
        <v>5.0000000000000001E-4</v>
      </c>
      <c r="AS1209" s="748">
        <v>5.0000000000000001E-4</v>
      </c>
      <c r="AT1209" s="748">
        <v>5.0000000000000001E-4</v>
      </c>
      <c r="AU1209" s="748">
        <v>5.0000000000000001E-4</v>
      </c>
      <c r="AV1209" s="342">
        <v>5.0000000000000001E-4</v>
      </c>
      <c r="AW1209" s="748">
        <v>5.0000000000000001E-4</v>
      </c>
      <c r="AX1209" s="748">
        <v>5.0000000000000001E-4</v>
      </c>
      <c r="AY1209" s="748">
        <v>5.0000000000000001E-4</v>
      </c>
      <c r="AZ1209" s="748">
        <v>5.0000000000000001E-4</v>
      </c>
      <c r="BA1209" s="342">
        <v>5.0000000000000001E-4</v>
      </c>
      <c r="BB1209" s="748">
        <v>5.0000000000000001E-4</v>
      </c>
      <c r="BC1209" s="748">
        <v>5.0000000000000001E-4</v>
      </c>
      <c r="BD1209" s="748">
        <v>5.0000000000000001E-4</v>
      </c>
      <c r="BE1209" s="748">
        <v>5.0000000000000001E-4</v>
      </c>
      <c r="BF1209" s="342">
        <v>5.0000000000000001E-4</v>
      </c>
      <c r="BG1209" s="340">
        <v>5.0000000000000001E-4</v>
      </c>
      <c r="BH1209" s="341">
        <v>5.0000000000000001E-4</v>
      </c>
      <c r="BI1209" s="341">
        <v>5.0000000000000001E-4</v>
      </c>
      <c r="BJ1209" s="2976">
        <v>5.0000000000000001E-4</v>
      </c>
      <c r="BK1209" s="342">
        <v>5.0000000000000001E-4</v>
      </c>
      <c r="BL1209" s="341">
        <v>5.0000000000000001E-4</v>
      </c>
      <c r="BM1209" s="341">
        <v>5.0000000000000001E-4</v>
      </c>
      <c r="BN1209" s="341">
        <v>5.0000000000000001E-4</v>
      </c>
      <c r="BO1209" s="2976">
        <v>5.0000000000000001E-4</v>
      </c>
      <c r="BP1209" s="342">
        <v>5.0000000000000001E-4</v>
      </c>
      <c r="BQ1209" s="341">
        <v>5.0000000000000001E-4</v>
      </c>
      <c r="BR1209" s="341">
        <v>5.0000000000000001E-4</v>
      </c>
      <c r="BS1209" s="341">
        <v>5.0000000000000001E-4</v>
      </c>
      <c r="BT1209" s="2976">
        <v>5.0000000000000001E-4</v>
      </c>
      <c r="BU1209" s="3343">
        <v>5.0000000000000001E-4</v>
      </c>
      <c r="BV1209" s="341">
        <v>5.0000000000000001E-4</v>
      </c>
      <c r="BW1209" s="341">
        <v>5.0000000000000001E-4</v>
      </c>
      <c r="BX1209" s="341">
        <v>5.0000000000000001E-4</v>
      </c>
      <c r="BY1209" s="341">
        <v>5.0000000000000001E-4</v>
      </c>
      <c r="BZ1209" s="4025">
        <v>5.0000000000000001E-4</v>
      </c>
      <c r="CA1209" s="342">
        <v>5.0000000000000001E-4</v>
      </c>
      <c r="CB1209" s="342">
        <v>5.0000000000000001E-4</v>
      </c>
      <c r="CC1209" s="342">
        <v>5.0000000000000001E-4</v>
      </c>
      <c r="CD1209" s="342">
        <v>5.0000000000000001E-4</v>
      </c>
      <c r="CE1209" s="342">
        <v>5.0000000000000001E-4</v>
      </c>
      <c r="CF1209" s="342">
        <v>5.0000000000000001E-4</v>
      </c>
      <c r="CG1209" s="342">
        <v>5.0000000000000001E-4</v>
      </c>
      <c r="CH1209" s="341"/>
      <c r="CI1209" s="341"/>
      <c r="CJ1209" s="341"/>
      <c r="CK1209" s="341"/>
      <c r="CL1209" s="341"/>
      <c r="CM1209" s="341"/>
      <c r="CN1209" s="341"/>
      <c r="CO1209" s="341"/>
      <c r="CP1209" s="993" t="str">
        <f t="shared" si="2176"/>
        <v>Interest Earned on Cash</v>
      </c>
      <c r="CQ1209" s="747">
        <f t="shared" si="2177"/>
        <v>1.111496217327389E-3</v>
      </c>
      <c r="CR1209" s="747">
        <f t="shared" si="2178"/>
        <v>2.0323344409556022E-4</v>
      </c>
      <c r="CS1209" s="747">
        <f t="shared" si="2179"/>
        <v>3.956022219658134E-4</v>
      </c>
      <c r="CT1209" s="747">
        <f t="shared" si="2180"/>
        <v>5.4600931427653771E-4</v>
      </c>
      <c r="CU1209" s="747">
        <f t="shared" si="2181"/>
        <v>0</v>
      </c>
      <c r="CV1209" s="747">
        <f t="shared" si="2182"/>
        <v>0</v>
      </c>
      <c r="CW1209" s="747">
        <f t="shared" si="2183"/>
        <v>5.0000000000000001E-4</v>
      </c>
      <c r="CX1209" s="747">
        <f t="shared" si="2184"/>
        <v>5.0000000000000001E-4</v>
      </c>
      <c r="CY1209" s="747">
        <f t="shared" si="2185"/>
        <v>5.0000000000000001E-4</v>
      </c>
      <c r="CZ1209" s="747">
        <f t="shared" si="2186"/>
        <v>5.0000000000000001E-4</v>
      </c>
      <c r="DA1209" s="747">
        <f t="shared" si="2187"/>
        <v>5.0000000000000001E-4</v>
      </c>
      <c r="DB1209" s="747">
        <f t="shared" si="2188"/>
        <v>5.0000000000000001E-4</v>
      </c>
      <c r="DC1209" s="747">
        <f t="shared" si="2189"/>
        <v>5.0000000000000001E-4</v>
      </c>
      <c r="DD1209" s="747">
        <f t="shared" si="2190"/>
        <v>5.0000000000000001E-4</v>
      </c>
      <c r="DE1209" s="747">
        <f t="shared" si="2191"/>
        <v>5.0000000000000001E-4</v>
      </c>
      <c r="DF1209" s="747">
        <f t="shared" si="2192"/>
        <v>5.0000000000000001E-4</v>
      </c>
      <c r="DG1209" s="1883">
        <f t="shared" si="2193"/>
        <v>5.0000000000000001E-4</v>
      </c>
      <c r="DH1209" s="341"/>
      <c r="DI1209" s="341"/>
      <c r="DJ1209" s="341"/>
      <c r="DK1209" s="341"/>
      <c r="DL1209" s="341"/>
      <c r="DM1209" s="341"/>
      <c r="DN1209" s="222"/>
      <c r="DO1209" s="226"/>
      <c r="DY1209" s="341"/>
      <c r="DZ1209" s="341"/>
    </row>
    <row r="1210" spans="1:130" ht="12" customHeight="1">
      <c r="A1210" s="445"/>
      <c r="B1210" s="875"/>
      <c r="C1210" s="875"/>
      <c r="D1210" s="923"/>
      <c r="E1210" s="924"/>
      <c r="F1210" s="924"/>
      <c r="G1210" s="924"/>
      <c r="H1210" s="925"/>
      <c r="I1210" s="924"/>
      <c r="J1210" s="926"/>
      <c r="K1210" s="926"/>
      <c r="L1210" s="926"/>
      <c r="M1210" s="925"/>
      <c r="N1210" s="926"/>
      <c r="O1210" s="926"/>
      <c r="P1210" s="926"/>
      <c r="Q1210" s="926"/>
      <c r="R1210" s="925"/>
      <c r="S1210" s="926"/>
      <c r="T1210" s="926"/>
      <c r="U1210" s="926"/>
      <c r="V1210" s="926"/>
      <c r="W1210" s="925"/>
      <c r="X1210" s="926"/>
      <c r="Y1210" s="926"/>
      <c r="Z1210" s="926"/>
      <c r="AA1210" s="926"/>
      <c r="AB1210" s="925"/>
      <c r="AC1210" s="926"/>
      <c r="AD1210" s="926"/>
      <c r="AE1210" s="926"/>
      <c r="AF1210" s="926"/>
      <c r="AG1210" s="925"/>
      <c r="AH1210" s="924"/>
      <c r="AI1210" s="924"/>
      <c r="AJ1210" s="924"/>
      <c r="AK1210" s="924"/>
      <c r="AL1210" s="927"/>
      <c r="AM1210" s="926"/>
      <c r="AN1210" s="926"/>
      <c r="AO1210" s="926"/>
      <c r="AP1210" s="926"/>
      <c r="AQ1210" s="927"/>
      <c r="AR1210" s="926"/>
      <c r="AS1210" s="926"/>
      <c r="AT1210" s="926"/>
      <c r="AU1210" s="926"/>
      <c r="AV1210" s="927"/>
      <c r="AW1210" s="926"/>
      <c r="AX1210" s="926"/>
      <c r="AY1210" s="926"/>
      <c r="AZ1210" s="926"/>
      <c r="BA1210" s="927"/>
      <c r="BB1210" s="926"/>
      <c r="BC1210" s="926"/>
      <c r="BD1210" s="926"/>
      <c r="BE1210" s="926"/>
      <c r="BF1210" s="927"/>
      <c r="BG1210" s="2977"/>
      <c r="BH1210" s="926"/>
      <c r="BI1210" s="926"/>
      <c r="BJ1210" s="2978"/>
      <c r="BK1210" s="927"/>
      <c r="BL1210" s="926"/>
      <c r="BM1210" s="926"/>
      <c r="BN1210" s="926"/>
      <c r="BO1210" s="2978"/>
      <c r="BP1210" s="927"/>
      <c r="BQ1210" s="926"/>
      <c r="BR1210" s="926"/>
      <c r="BS1210" s="926"/>
      <c r="BT1210" s="2978"/>
      <c r="BU1210" s="3449"/>
      <c r="BV1210" s="926"/>
      <c r="BW1210" s="926"/>
      <c r="BX1210" s="926"/>
      <c r="BY1210" s="926"/>
      <c r="BZ1210" s="4026"/>
      <c r="CA1210" s="927"/>
      <c r="CB1210" s="927"/>
      <c r="CC1210" s="927"/>
      <c r="CD1210" s="927"/>
      <c r="CE1210" s="927"/>
      <c r="CF1210" s="927"/>
      <c r="CG1210" s="927"/>
      <c r="CH1210" s="926"/>
      <c r="CI1210" s="926"/>
      <c r="CJ1210" s="926"/>
      <c r="CK1210" s="926"/>
      <c r="CL1210" s="926"/>
      <c r="CM1210" s="926"/>
      <c r="CN1210" s="926"/>
      <c r="CO1210" s="926"/>
      <c r="CP1210" s="981"/>
      <c r="CQ1210" s="1771"/>
      <c r="CR1210" s="1771"/>
      <c r="CS1210" s="1771"/>
      <c r="CT1210" s="1771"/>
      <c r="CU1210" s="1771"/>
      <c r="CV1210" s="1771"/>
      <c r="CW1210" s="1771"/>
      <c r="CX1210" s="1771"/>
      <c r="CY1210" s="1771"/>
      <c r="CZ1210" s="1771"/>
      <c r="DA1210" s="1771"/>
      <c r="DB1210" s="1771"/>
      <c r="DC1210" s="1771"/>
      <c r="DD1210" s="1771"/>
      <c r="DE1210" s="1771"/>
      <c r="DF1210" s="1771"/>
      <c r="DG1210" s="1932"/>
      <c r="DH1210" s="926"/>
      <c r="DI1210" s="926"/>
      <c r="DJ1210" s="926"/>
      <c r="DK1210" s="926"/>
      <c r="DL1210" s="926"/>
      <c r="DM1210" s="926"/>
      <c r="DN1210" s="222"/>
      <c r="DO1210" s="226"/>
      <c r="DY1210" s="926"/>
      <c r="DZ1210" s="926"/>
    </row>
    <row r="1211" spans="1:130" ht="12" customHeight="1">
      <c r="A1211" s="745" t="s">
        <v>1502</v>
      </c>
      <c r="B1211" s="746"/>
      <c r="C1211" s="746"/>
      <c r="D1211" s="335">
        <f t="shared" ref="D1211:AM1211" si="2343">-D81/D80</f>
        <v>0.47676226004507666</v>
      </c>
      <c r="E1211" s="747">
        <f t="shared" si="2343"/>
        <v>0.43409355872923344</v>
      </c>
      <c r="F1211" s="747">
        <f t="shared" si="2343"/>
        <v>0.3550499827645639</v>
      </c>
      <c r="G1211" s="747">
        <f t="shared" si="2343"/>
        <v>0.38319318884634124</v>
      </c>
      <c r="H1211" s="309">
        <f t="shared" si="2343"/>
        <v>0.39542253139006156</v>
      </c>
      <c r="I1211" s="747">
        <f t="shared" si="2343"/>
        <v>0.4519424047257663</v>
      </c>
      <c r="J1211" s="747">
        <f t="shared" si="2343"/>
        <v>0.35780397956084881</v>
      </c>
      <c r="K1211" s="747">
        <f t="shared" si="2343"/>
        <v>0.44568381029290521</v>
      </c>
      <c r="L1211" s="747">
        <f t="shared" si="2343"/>
        <v>0.57872316985843564</v>
      </c>
      <c r="M1211" s="309">
        <f t="shared" si="2343"/>
        <v>0.44967081478098719</v>
      </c>
      <c r="N1211" s="747">
        <f t="shared" si="2343"/>
        <v>0.38155823073237044</v>
      </c>
      <c r="O1211" s="747">
        <f t="shared" si="2343"/>
        <v>0.69924812030075167</v>
      </c>
      <c r="P1211" s="747">
        <f t="shared" si="2343"/>
        <v>0.4283038077784565</v>
      </c>
      <c r="Q1211" s="747">
        <f t="shared" si="2343"/>
        <v>0.26100123527302194</v>
      </c>
      <c r="R1211" s="309">
        <f t="shared" si="2343"/>
        <v>0.39673086670045621</v>
      </c>
      <c r="S1211" s="747">
        <f t="shared" si="2343"/>
        <v>0.4251029512697323</v>
      </c>
      <c r="T1211" s="747">
        <f t="shared" si="2343"/>
        <v>0.49816168126730548</v>
      </c>
      <c r="U1211" s="747">
        <f t="shared" si="2343"/>
        <v>0.40154933814681104</v>
      </c>
      <c r="V1211" s="747">
        <f t="shared" si="2343"/>
        <v>0.30999688154319066</v>
      </c>
      <c r="W1211" s="309">
        <f t="shared" si="2343"/>
        <v>0.40913082526693945</v>
      </c>
      <c r="X1211" s="747">
        <f t="shared" si="2343"/>
        <v>0.34499809049064345</v>
      </c>
      <c r="Y1211" s="747">
        <f t="shared" si="2343"/>
        <v>0.3750036071912965</v>
      </c>
      <c r="Z1211" s="747">
        <f t="shared" si="2343"/>
        <v>0.41498520312079618</v>
      </c>
      <c r="AA1211" s="747">
        <f t="shared" si="2343"/>
        <v>0.1144457012667164</v>
      </c>
      <c r="AB1211" s="309">
        <f t="shared" si="2343"/>
        <v>0.10632133239292127</v>
      </c>
      <c r="AC1211" s="747">
        <f t="shared" si="2343"/>
        <v>0.31500470599891012</v>
      </c>
      <c r="AD1211" s="337">
        <f t="shared" si="2343"/>
        <v>0.40501024399329466</v>
      </c>
      <c r="AE1211" s="337">
        <f t="shared" si="2343"/>
        <v>0.42502048620595467</v>
      </c>
      <c r="AF1211" s="337">
        <f t="shared" si="2343"/>
        <v>0.85313578826236902</v>
      </c>
      <c r="AG1211" s="309">
        <f t="shared" si="2343"/>
        <v>0.20225563909774472</v>
      </c>
      <c r="AH1211" s="337">
        <f t="shared" si="2343"/>
        <v>0.3050689259046524</v>
      </c>
      <c r="AI1211" s="337">
        <f t="shared" si="2343"/>
        <v>0.28999881922304838</v>
      </c>
      <c r="AJ1211" s="337">
        <f t="shared" si="2343"/>
        <v>0.29999529123699181</v>
      </c>
      <c r="AK1211" s="337">
        <f t="shared" si="2343"/>
        <v>0.44409276279749199</v>
      </c>
      <c r="AL1211" s="309">
        <f t="shared" si="2343"/>
        <v>0.23086841957728296</v>
      </c>
      <c r="AM1211" s="337">
        <f t="shared" si="2343"/>
        <v>0.32997133453657412</v>
      </c>
      <c r="AN1211" s="337">
        <v>0</v>
      </c>
      <c r="AO1211" s="337">
        <f>-AO81/AO80</f>
        <v>0.24650687265704802</v>
      </c>
      <c r="AP1211" s="337">
        <f>-AP81/AP80</f>
        <v>-1.3696162881753948</v>
      </c>
      <c r="AQ1211" s="458">
        <v>0</v>
      </c>
      <c r="AR1211" s="337">
        <f>-AR81/AR80</f>
        <v>0.49247530960965741</v>
      </c>
      <c r="AS1211" s="337">
        <v>0</v>
      </c>
      <c r="AT1211" s="337">
        <f t="shared" ref="AT1211:BB1211" si="2344">-AT81/AT80</f>
        <v>0.32998627181800366</v>
      </c>
      <c r="AU1211" s="337">
        <f t="shared" si="2344"/>
        <v>0.18950922203189602</v>
      </c>
      <c r="AV1211" s="309">
        <f t="shared" si="2344"/>
        <v>0.19286324947124978</v>
      </c>
      <c r="AW1211" s="337">
        <f t="shared" si="2344"/>
        <v>0.22161311016504393</v>
      </c>
      <c r="AX1211" s="337">
        <f t="shared" si="2344"/>
        <v>0.93280862847981871</v>
      </c>
      <c r="AY1211" s="337">
        <f t="shared" si="2344"/>
        <v>-6.5678631599988616E-2</v>
      </c>
      <c r="AZ1211" s="337">
        <f t="shared" si="2344"/>
        <v>-0.28522920203735147</v>
      </c>
      <c r="BA1211" s="309">
        <f t="shared" si="2344"/>
        <v>-9.1846532793387115E-2</v>
      </c>
      <c r="BB1211" s="337">
        <f t="shared" si="2344"/>
        <v>-7.1523178807950147</v>
      </c>
      <c r="BC1211" s="337">
        <v>0</v>
      </c>
      <c r="BD1211" s="337">
        <f>-BD81/BD80</f>
        <v>5.0615292145139275E-2</v>
      </c>
      <c r="BE1211" s="337">
        <f>-BE81/BE80</f>
        <v>0.25839432753888381</v>
      </c>
      <c r="BF1211" s="309">
        <f>-BF81/BF80</f>
        <v>4.6798273671691315E-2</v>
      </c>
      <c r="BG1211" s="336">
        <f>-BG81/BG80</f>
        <v>-0.91748832381940693</v>
      </c>
      <c r="BH1211" s="337">
        <v>0</v>
      </c>
      <c r="BI1211" s="337">
        <f t="shared" ref="BI1211:CG1211" si="2345">-BI81/BI80</f>
        <v>0.12733825296035686</v>
      </c>
      <c r="BJ1211" s="1830">
        <f t="shared" si="2345"/>
        <v>9.0680434207042776E-2</v>
      </c>
      <c r="BK1211" s="309">
        <f t="shared" si="2345"/>
        <v>-0.17911081155295885</v>
      </c>
      <c r="BL1211" s="337">
        <f t="shared" si="2345"/>
        <v>0.18668136984622924</v>
      </c>
      <c r="BM1211" s="337">
        <f t="shared" si="2345"/>
        <v>0.40732781213963754</v>
      </c>
      <c r="BN1211" s="337">
        <f t="shared" si="2345"/>
        <v>6.8316760340106715</v>
      </c>
      <c r="BO1211" s="1830">
        <f t="shared" si="2345"/>
        <v>1.8584671941181141</v>
      </c>
      <c r="BP1211" s="309">
        <f t="shared" si="2345"/>
        <v>-10.067341268829811</v>
      </c>
      <c r="BQ1211" s="337">
        <f t="shared" si="2345"/>
        <v>0.31667542374530527</v>
      </c>
      <c r="BR1211" s="337">
        <f t="shared" si="2345"/>
        <v>0.40280817317067885</v>
      </c>
      <c r="BS1211" s="337">
        <f t="shared" si="2345"/>
        <v>0.35511395531604356</v>
      </c>
      <c r="BT1211" s="1830">
        <f t="shared" si="2345"/>
        <v>-1.1824606147551868</v>
      </c>
      <c r="BU1211" s="3318">
        <f t="shared" si="2345"/>
        <v>1.7598810353205666E-2</v>
      </c>
      <c r="BV1211" s="337">
        <f t="shared" si="2345"/>
        <v>0.28000000000000003</v>
      </c>
      <c r="BW1211" s="337">
        <f t="shared" si="2345"/>
        <v>0.28000000000000003</v>
      </c>
      <c r="BX1211" s="337">
        <f t="shared" si="2345"/>
        <v>0.28000000000000003</v>
      </c>
      <c r="BY1211" s="1830">
        <f t="shared" si="2345"/>
        <v>0.28000000000000003</v>
      </c>
      <c r="BZ1211" s="3864">
        <f t="shared" si="2345"/>
        <v>0.28000000000000003</v>
      </c>
      <c r="CA1211" s="309">
        <f t="shared" si="2345"/>
        <v>0.28000000000000003</v>
      </c>
      <c r="CB1211" s="309">
        <f t="shared" si="2345"/>
        <v>0.28000000000000003</v>
      </c>
      <c r="CC1211" s="309">
        <f t="shared" si="2345"/>
        <v>0.35</v>
      </c>
      <c r="CD1211" s="309">
        <f t="shared" si="2345"/>
        <v>0.35</v>
      </c>
      <c r="CE1211" s="309">
        <f t="shared" si="2345"/>
        <v>0.34999999999999992</v>
      </c>
      <c r="CF1211" s="309">
        <f t="shared" si="2345"/>
        <v>0.35</v>
      </c>
      <c r="CG1211" s="309">
        <f t="shared" si="2345"/>
        <v>0.35</v>
      </c>
      <c r="CH1211" s="3995"/>
      <c r="CI1211" s="3995"/>
      <c r="CJ1211" s="3995"/>
      <c r="CK1211" s="3995"/>
      <c r="CL1211" s="337"/>
      <c r="CM1211" s="337"/>
      <c r="CN1211" s="337"/>
      <c r="CO1211" s="337"/>
      <c r="CP1211" s="1884" t="str">
        <f t="shared" si="2176"/>
        <v>Effective Tax Rate</v>
      </c>
      <c r="CQ1211" s="337">
        <f t="shared" si="2177"/>
        <v>0.39542253139006156</v>
      </c>
      <c r="CR1211" s="337">
        <f t="shared" si="2178"/>
        <v>0.44967081478098719</v>
      </c>
      <c r="CS1211" s="337">
        <f t="shared" si="2179"/>
        <v>0.39673086670045621</v>
      </c>
      <c r="CT1211" s="337">
        <f t="shared" si="2180"/>
        <v>0.40913082526693945</v>
      </c>
      <c r="CU1211" s="337">
        <f t="shared" si="2181"/>
        <v>0.10632133239292127</v>
      </c>
      <c r="CV1211" s="337">
        <f t="shared" si="2182"/>
        <v>0.20225563909774472</v>
      </c>
      <c r="CW1211" s="337">
        <f t="shared" si="2183"/>
        <v>0.23086841957728296</v>
      </c>
      <c r="CX1211" s="337">
        <f t="shared" si="2184"/>
        <v>0</v>
      </c>
      <c r="CY1211" s="337">
        <f t="shared" si="2185"/>
        <v>0.19286324947124978</v>
      </c>
      <c r="CZ1211" s="337">
        <f t="shared" si="2186"/>
        <v>-9.1846532793387115E-2</v>
      </c>
      <c r="DA1211" s="337">
        <f t="shared" si="2187"/>
        <v>4.6798273671691315E-2</v>
      </c>
      <c r="DB1211" s="337">
        <f t="shared" si="2188"/>
        <v>-0.17911081155295885</v>
      </c>
      <c r="DC1211" s="337">
        <f t="shared" si="2189"/>
        <v>-10.067341268829811</v>
      </c>
      <c r="DD1211" s="337">
        <f t="shared" si="2190"/>
        <v>1.7598810353205666E-2</v>
      </c>
      <c r="DE1211" s="337">
        <f t="shared" si="2191"/>
        <v>0.28000000000000003</v>
      </c>
      <c r="DF1211" s="337">
        <f t="shared" si="2192"/>
        <v>0.28000000000000003</v>
      </c>
      <c r="DG1211" s="1830">
        <f t="shared" si="2193"/>
        <v>0.28000000000000003</v>
      </c>
      <c r="DH1211" s="341"/>
      <c r="DI1211" s="341"/>
      <c r="DJ1211" s="341"/>
      <c r="DK1211" s="341"/>
      <c r="DL1211" s="341"/>
      <c r="DM1211" s="341"/>
      <c r="DN1211" s="310"/>
      <c r="DO1211" s="749"/>
      <c r="DY1211" s="747"/>
      <c r="DZ1211" s="747"/>
    </row>
    <row r="1212" spans="1:130" ht="12" customHeight="1">
      <c r="A1212" s="745"/>
      <c r="B1212" s="746"/>
      <c r="C1212" s="746"/>
      <c r="D1212" s="335"/>
      <c r="E1212" s="747"/>
      <c r="F1212" s="747"/>
      <c r="G1212" s="747"/>
      <c r="H1212" s="309"/>
      <c r="I1212" s="747"/>
      <c r="J1212" s="747"/>
      <c r="K1212" s="747"/>
      <c r="L1212" s="747"/>
      <c r="M1212" s="309"/>
      <c r="N1212" s="747"/>
      <c r="O1212" s="747"/>
      <c r="P1212" s="747"/>
      <c r="Q1212" s="747"/>
      <c r="R1212" s="309"/>
      <c r="S1212" s="747"/>
      <c r="T1212" s="747"/>
      <c r="U1212" s="747"/>
      <c r="V1212" s="747"/>
      <c r="W1212" s="309"/>
      <c r="X1212" s="747"/>
      <c r="Y1212" s="747"/>
      <c r="Z1212" s="747"/>
      <c r="AA1212" s="747"/>
      <c r="AB1212" s="309"/>
      <c r="AC1212" s="747"/>
      <c r="AD1212" s="337"/>
      <c r="AE1212" s="337"/>
      <c r="AF1212" s="337"/>
      <c r="AG1212" s="309"/>
      <c r="AH1212" s="337"/>
      <c r="AI1212" s="337"/>
      <c r="AJ1212" s="337"/>
      <c r="AK1212" s="337"/>
      <c r="AL1212" s="309"/>
      <c r="AM1212" s="337"/>
      <c r="AN1212" s="337"/>
      <c r="AO1212" s="337"/>
      <c r="AP1212" s="337"/>
      <c r="AQ1212" s="458"/>
      <c r="AR1212" s="337"/>
      <c r="AS1212" s="337"/>
      <c r="AT1212" s="337"/>
      <c r="AU1212" s="337"/>
      <c r="AV1212" s="309"/>
      <c r="AW1212" s="337"/>
      <c r="AX1212" s="337"/>
      <c r="AY1212" s="337"/>
      <c r="AZ1212" s="337"/>
      <c r="BA1212" s="309"/>
      <c r="BB1212" s="337"/>
      <c r="BC1212" s="337"/>
      <c r="BD1212" s="337"/>
      <c r="BE1212" s="337"/>
      <c r="BF1212" s="309"/>
      <c r="BG1212" s="335"/>
      <c r="BH1212" s="747"/>
      <c r="BI1212" s="747"/>
      <c r="BJ1212" s="1883"/>
      <c r="BK1212" s="309"/>
      <c r="BL1212" s="747"/>
      <c r="BM1212" s="747"/>
      <c r="BN1212" s="747"/>
      <c r="BO1212" s="1883"/>
      <c r="BP1212" s="309"/>
      <c r="BQ1212" s="747"/>
      <c r="BR1212" s="747"/>
      <c r="BS1212" s="747"/>
      <c r="BT1212" s="1883"/>
      <c r="BU1212" s="3318"/>
      <c r="BV1212" s="747"/>
      <c r="BW1212" s="747"/>
      <c r="BX1212" s="747"/>
      <c r="BY1212" s="747"/>
      <c r="BZ1212" s="3864"/>
      <c r="CA1212" s="309"/>
      <c r="CB1212" s="309"/>
      <c r="CC1212" s="309"/>
      <c r="CD1212" s="309"/>
      <c r="CE1212" s="309"/>
      <c r="CF1212" s="309"/>
      <c r="CG1212" s="309"/>
      <c r="CH1212" s="3995"/>
      <c r="CI1212" s="3995"/>
      <c r="CJ1212" s="3995"/>
      <c r="CK1212" s="3995"/>
      <c r="CL1212" s="337"/>
      <c r="CM1212" s="337"/>
      <c r="CN1212" s="337"/>
      <c r="CO1212" s="337"/>
      <c r="CP1212" s="1884"/>
      <c r="CQ1212" s="337"/>
      <c r="CR1212" s="337"/>
      <c r="CS1212" s="337"/>
      <c r="CT1212" s="337"/>
      <c r="CU1212" s="337"/>
      <c r="CV1212" s="337"/>
      <c r="CW1212" s="337"/>
      <c r="CX1212" s="337"/>
      <c r="CY1212" s="337"/>
      <c r="CZ1212" s="337"/>
      <c r="DA1212" s="337"/>
      <c r="DB1212" s="337"/>
      <c r="DC1212" s="337"/>
      <c r="DD1212" s="337"/>
      <c r="DE1212" s="337"/>
      <c r="DF1212" s="337"/>
      <c r="DG1212" s="1830"/>
      <c r="DH1212" s="341"/>
      <c r="DI1212" s="341"/>
      <c r="DJ1212" s="341"/>
      <c r="DK1212" s="341"/>
      <c r="DL1212" s="341"/>
      <c r="DM1212" s="341"/>
      <c r="DN1212" s="310"/>
      <c r="DO1212" s="749"/>
      <c r="DY1212" s="747"/>
      <c r="DZ1212" s="747"/>
    </row>
    <row r="1213" spans="1:130" ht="12" customHeight="1">
      <c r="A1213" s="746" t="s">
        <v>73</v>
      </c>
      <c r="B1213" s="746"/>
      <c r="C1213" s="746"/>
      <c r="D1213" s="335"/>
      <c r="E1213" s="747"/>
      <c r="F1213" s="747"/>
      <c r="G1213" s="747"/>
      <c r="H1213" s="309"/>
      <c r="I1213" s="747"/>
      <c r="J1213" s="747"/>
      <c r="K1213" s="747"/>
      <c r="L1213" s="747"/>
      <c r="M1213" s="309"/>
      <c r="N1213" s="747"/>
      <c r="O1213" s="747"/>
      <c r="P1213" s="747"/>
      <c r="Q1213" s="747"/>
      <c r="R1213" s="309"/>
      <c r="S1213" s="747"/>
      <c r="T1213" s="747"/>
      <c r="U1213" s="747"/>
      <c r="V1213" s="747"/>
      <c r="W1213" s="309"/>
      <c r="X1213" s="747"/>
      <c r="Y1213" s="747"/>
      <c r="Z1213" s="747"/>
      <c r="AA1213" s="747"/>
      <c r="AB1213" s="309"/>
      <c r="AC1213" s="747"/>
      <c r="AD1213" s="337"/>
      <c r="AE1213" s="337"/>
      <c r="AF1213" s="337"/>
      <c r="AG1213" s="309"/>
      <c r="AH1213" s="337"/>
      <c r="AI1213" s="337"/>
      <c r="AJ1213" s="337"/>
      <c r="AK1213" s="337"/>
      <c r="AL1213" s="309"/>
      <c r="AM1213" s="337"/>
      <c r="AN1213" s="337"/>
      <c r="AO1213" s="337"/>
      <c r="AP1213" s="337"/>
      <c r="AQ1213" s="458"/>
      <c r="AR1213" s="337"/>
      <c r="AS1213" s="337"/>
      <c r="AT1213" s="337"/>
      <c r="AU1213" s="337"/>
      <c r="AV1213" s="309"/>
      <c r="AW1213" s="337"/>
      <c r="AX1213" s="337"/>
      <c r="AY1213" s="337"/>
      <c r="AZ1213" s="337"/>
      <c r="BA1213" s="309"/>
      <c r="BB1213" s="337"/>
      <c r="BC1213" s="337"/>
      <c r="BD1213" s="337"/>
      <c r="BE1213" s="337"/>
      <c r="BF1213" s="309"/>
      <c r="BG1213" s="335"/>
      <c r="BH1213" s="747"/>
      <c r="BI1213" s="747"/>
      <c r="BJ1213" s="1883"/>
      <c r="BK1213" s="309"/>
      <c r="BL1213" s="747"/>
      <c r="BM1213" s="747"/>
      <c r="BN1213" s="747"/>
      <c r="BO1213" s="1883"/>
      <c r="BP1213" s="309"/>
      <c r="BQ1213" s="747"/>
      <c r="BR1213" s="747"/>
      <c r="BS1213" s="747"/>
      <c r="BT1213" s="1883"/>
      <c r="BU1213" s="3318"/>
      <c r="BV1213" s="747"/>
      <c r="BW1213" s="747"/>
      <c r="BX1213" s="747"/>
      <c r="BY1213" s="747"/>
      <c r="BZ1213" s="3864"/>
      <c r="CA1213" s="309"/>
      <c r="CB1213" s="309"/>
      <c r="CC1213" s="309"/>
      <c r="CD1213" s="309"/>
      <c r="CE1213" s="309"/>
      <c r="CF1213" s="309"/>
      <c r="CG1213" s="309"/>
      <c r="CH1213" s="3995"/>
      <c r="CI1213" s="3995"/>
      <c r="CJ1213" s="3995"/>
      <c r="CK1213" s="3995"/>
      <c r="CL1213" s="337"/>
      <c r="CM1213" s="337"/>
      <c r="CN1213" s="337"/>
      <c r="CO1213" s="337"/>
      <c r="CP1213" s="1884"/>
      <c r="CQ1213" s="337"/>
      <c r="CR1213" s="337"/>
      <c r="CS1213" s="337"/>
      <c r="CT1213" s="337"/>
      <c r="CU1213" s="337"/>
      <c r="CV1213" s="337"/>
      <c r="CW1213" s="337"/>
      <c r="CX1213" s="337"/>
      <c r="CY1213" s="337"/>
      <c r="CZ1213" s="337"/>
      <c r="DA1213" s="337"/>
      <c r="DB1213" s="337"/>
      <c r="DC1213" s="337"/>
      <c r="DD1213" s="337"/>
      <c r="DE1213" s="337"/>
      <c r="DF1213" s="337"/>
      <c r="DG1213" s="1830"/>
      <c r="DH1213" s="341"/>
      <c r="DI1213" s="341"/>
      <c r="DJ1213" s="341"/>
      <c r="DK1213" s="341"/>
      <c r="DL1213" s="341"/>
      <c r="DM1213" s="341"/>
      <c r="DN1213" s="310"/>
      <c r="DO1213" s="749"/>
      <c r="DY1213" s="747"/>
      <c r="DZ1213" s="747"/>
    </row>
    <row r="1214" spans="1:130" ht="12" customHeight="1">
      <c r="A1214" s="2065" t="s">
        <v>74</v>
      </c>
      <c r="B1214" s="2066"/>
      <c r="C1214" s="2066"/>
      <c r="D1214" s="2067"/>
      <c r="E1214" s="2068"/>
      <c r="F1214" s="2068"/>
      <c r="G1214" s="2068"/>
      <c r="H1214" s="2069"/>
      <c r="I1214" s="2068"/>
      <c r="J1214" s="2068"/>
      <c r="K1214" s="2068"/>
      <c r="L1214" s="2068"/>
      <c r="M1214" s="2069"/>
      <c r="N1214" s="2068"/>
      <c r="O1214" s="2068"/>
      <c r="P1214" s="2068"/>
      <c r="Q1214" s="2068"/>
      <c r="R1214" s="2069"/>
      <c r="S1214" s="2068"/>
      <c r="T1214" s="2068"/>
      <c r="U1214" s="2068"/>
      <c r="V1214" s="2068"/>
      <c r="W1214" s="2069"/>
      <c r="X1214" s="2068"/>
      <c r="Y1214" s="2068"/>
      <c r="Z1214" s="2068"/>
      <c r="AA1214" s="2068"/>
      <c r="AB1214" s="2069"/>
      <c r="AC1214" s="2068"/>
      <c r="AD1214" s="2070"/>
      <c r="AE1214" s="2070"/>
      <c r="AF1214" s="2070"/>
      <c r="AG1214" s="2069"/>
      <c r="AH1214" s="2070"/>
      <c r="AI1214" s="2070"/>
      <c r="AJ1214" s="2070"/>
      <c r="AK1214" s="2070"/>
      <c r="AL1214" s="2069"/>
      <c r="AM1214" s="2070"/>
      <c r="AN1214" s="2070"/>
      <c r="AO1214" s="2070"/>
      <c r="AP1214" s="2070"/>
      <c r="AQ1214" s="2071"/>
      <c r="AR1214" s="2070"/>
      <c r="AS1214" s="2070"/>
      <c r="AT1214" s="2070"/>
      <c r="AU1214" s="2070"/>
      <c r="AV1214" s="2069"/>
      <c r="AW1214" s="2070">
        <f>+AV1218</f>
        <v>66.225999999999999</v>
      </c>
      <c r="AX1214" s="2070">
        <f>+AW1218</f>
        <v>335.39949999999999</v>
      </c>
      <c r="AY1214" s="2070">
        <f>+AX1218</f>
        <v>356.63</v>
      </c>
      <c r="AZ1214" s="2070">
        <f>+AY1218</f>
        <v>391.64899999999994</v>
      </c>
      <c r="BA1214" s="2069">
        <f>+AV1218</f>
        <v>66.225999999999999</v>
      </c>
      <c r="BB1214" s="2070">
        <f>+BA1218</f>
        <v>428.46149999999994</v>
      </c>
      <c r="BC1214" s="2070">
        <f>+BB1218</f>
        <v>429.21649999999994</v>
      </c>
      <c r="BD1214" s="2070">
        <f>+BC1218</f>
        <v>425.11649999999992</v>
      </c>
      <c r="BE1214" s="2070">
        <f>+BD1218</f>
        <v>440.12199999999996</v>
      </c>
      <c r="BF1214" s="2069">
        <f>+BA1218</f>
        <v>428.46149999999994</v>
      </c>
      <c r="BG1214" s="2979">
        <f>+BF1218</f>
        <v>472.54499999999996</v>
      </c>
      <c r="BH1214" s="2070">
        <f>+BG1218</f>
        <v>472.54499999999996</v>
      </c>
      <c r="BI1214" s="2070">
        <f>+BH1218</f>
        <v>465.94899999999996</v>
      </c>
      <c r="BJ1214" s="2074">
        <f>+BI1218</f>
        <v>462.23899999999998</v>
      </c>
      <c r="BK1214" s="2069">
        <f>+BF1218</f>
        <v>472.54499999999996</v>
      </c>
      <c r="BL1214" s="2070">
        <f>+BK1218</f>
        <v>462.23899999999998</v>
      </c>
      <c r="BM1214" s="2070">
        <f>+BL1218</f>
        <v>457.23899999999998</v>
      </c>
      <c r="BN1214" s="2070">
        <f>+BM1218</f>
        <v>452.23899999999998</v>
      </c>
      <c r="BO1214" s="2074">
        <f>+BN1218</f>
        <v>447.23899999999998</v>
      </c>
      <c r="BP1214" s="2069">
        <f>+BK1218</f>
        <v>462.23899999999998</v>
      </c>
      <c r="BQ1214" s="2070">
        <f>+BP1218</f>
        <v>442.23899999999998</v>
      </c>
      <c r="BR1214" s="2070">
        <f>+BQ1218</f>
        <v>425.96599999999995</v>
      </c>
      <c r="BS1214" s="2070">
        <f>+BR1218</f>
        <v>407.37599999999998</v>
      </c>
      <c r="BT1214" s="2074">
        <f>+BS1218</f>
        <v>394.72399999999999</v>
      </c>
      <c r="BU1214" s="3450">
        <f>+BP1218</f>
        <v>442.23899999999998</v>
      </c>
      <c r="BV1214" s="2070">
        <f>+BU1218</f>
        <v>394.72399999999999</v>
      </c>
      <c r="BW1214" s="2070">
        <f>+BV1218</f>
        <v>380.37471809182762</v>
      </c>
      <c r="BX1214" s="2070">
        <f>+BW1218</f>
        <v>366.95195804530732</v>
      </c>
      <c r="BY1214" s="2074">
        <f>+BX1218</f>
        <v>347.82513065738237</v>
      </c>
      <c r="BZ1214" s="4027">
        <f>+BU1218</f>
        <v>394.72399999999999</v>
      </c>
      <c r="CA1214" s="2069">
        <f t="shared" ref="CA1214:CG1214" si="2346">+BZ1218</f>
        <v>326.37232119555375</v>
      </c>
      <c r="CB1214" s="2069">
        <f t="shared" si="2346"/>
        <v>244.51661403928614</v>
      </c>
      <c r="CC1214" s="2069">
        <f t="shared" si="2346"/>
        <v>161.34596026499898</v>
      </c>
      <c r="CD1214" s="2069">
        <f t="shared" si="2346"/>
        <v>404.60394153482639</v>
      </c>
      <c r="CE1214" s="2069">
        <f t="shared" si="2346"/>
        <v>680.69251208126889</v>
      </c>
      <c r="CF1214" s="2069">
        <f t="shared" si="2346"/>
        <v>942.07515807188838</v>
      </c>
      <c r="CG1214" s="2069">
        <f t="shared" si="2346"/>
        <v>1188.3333752704189</v>
      </c>
      <c r="CH1214" s="3081"/>
      <c r="CI1214" s="3081"/>
      <c r="CJ1214" s="3081"/>
      <c r="CK1214" s="3081"/>
      <c r="CL1214" s="2070"/>
      <c r="CM1214" s="2070"/>
      <c r="CN1214" s="2070"/>
      <c r="CO1214" s="2070"/>
      <c r="CP1214" s="2073"/>
      <c r="CQ1214" s="2070"/>
      <c r="CR1214" s="2070"/>
      <c r="CS1214" s="2070"/>
      <c r="CT1214" s="2070"/>
      <c r="CU1214" s="2070"/>
      <c r="CV1214" s="2070"/>
      <c r="CW1214" s="2070"/>
      <c r="CX1214" s="2070"/>
      <c r="CY1214" s="2070"/>
      <c r="CZ1214" s="2070"/>
      <c r="DA1214" s="2070"/>
      <c r="DB1214" s="2070"/>
      <c r="DC1214" s="2070"/>
      <c r="DD1214" s="2070"/>
      <c r="DE1214" s="2070"/>
      <c r="DF1214" s="2070"/>
      <c r="DG1214" s="2074"/>
      <c r="DH1214" s="2072"/>
      <c r="DI1214" s="2072"/>
      <c r="DJ1214" s="2072"/>
      <c r="DK1214" s="2072"/>
      <c r="DL1214" s="2072"/>
      <c r="DM1214" s="2072"/>
      <c r="DN1214" s="1727"/>
      <c r="DO1214" s="2075"/>
      <c r="DY1214" s="2068"/>
      <c r="DZ1214" s="2068"/>
    </row>
    <row r="1215" spans="1:130" ht="12" customHeight="1">
      <c r="A1215" s="2047" t="s">
        <v>461</v>
      </c>
      <c r="B1215" s="2048"/>
      <c r="C1215" s="2048"/>
      <c r="D1215" s="2049"/>
      <c r="E1215" s="2050"/>
      <c r="F1215" s="2050"/>
      <c r="G1215" s="2050"/>
      <c r="H1215" s="2051"/>
      <c r="I1215" s="2050"/>
      <c r="J1215" s="2050"/>
      <c r="K1215" s="2050"/>
      <c r="L1215" s="2050"/>
      <c r="M1215" s="2051"/>
      <c r="N1215" s="2050"/>
      <c r="O1215" s="2050"/>
      <c r="P1215" s="2050"/>
      <c r="Q1215" s="2050"/>
      <c r="R1215" s="2051"/>
      <c r="S1215" s="2050"/>
      <c r="T1215" s="2050"/>
      <c r="U1215" s="2050"/>
      <c r="V1215" s="2050"/>
      <c r="W1215" s="2051"/>
      <c r="X1215" s="2050"/>
      <c r="Y1215" s="2050"/>
      <c r="Z1215" s="2050"/>
      <c r="AA1215" s="2050"/>
      <c r="AB1215" s="2051"/>
      <c r="AC1215" s="2050"/>
      <c r="AD1215" s="1730"/>
      <c r="AE1215" s="1730"/>
      <c r="AF1215" s="1730"/>
      <c r="AG1215" s="2051"/>
      <c r="AH1215" s="1730"/>
      <c r="AI1215" s="1730"/>
      <c r="AJ1215" s="1730"/>
      <c r="AK1215" s="1730"/>
      <c r="AL1215" s="2051"/>
      <c r="AM1215" s="1730"/>
      <c r="AN1215" s="1730"/>
      <c r="AO1215" s="1730"/>
      <c r="AP1215" s="1730"/>
      <c r="AQ1215" s="762"/>
      <c r="AR1215" s="1730"/>
      <c r="AS1215" s="1730"/>
      <c r="AT1215" s="1730"/>
      <c r="AU1215" s="2054"/>
      <c r="AV1215" s="2051"/>
      <c r="AW1215" s="2054">
        <f>IF(AW82&lt;0,-AW82,0)+750*0.35</f>
        <v>269.17349999999999</v>
      </c>
      <c r="AX1215" s="2054">
        <f>IF(AX82&lt;0,-AX82,0)+60*0.35</f>
        <v>21.230499999999981</v>
      </c>
      <c r="AY1215" s="1730">
        <f>IF(AY82&lt;0,-AY82,0)</f>
        <v>37.318999999999974</v>
      </c>
      <c r="AZ1215" s="1730">
        <f>IF(AZ82&lt;0,-AZ82,0)</f>
        <v>47.3125</v>
      </c>
      <c r="BA1215" s="2051">
        <f>+SUM(AW1215:AZ1215)</f>
        <v>375.03549999999996</v>
      </c>
      <c r="BB1215" s="1730">
        <f>IF(BB82&lt;0,-BB82,0)</f>
        <v>6.1549999999999674</v>
      </c>
      <c r="BC1215" s="1730">
        <f>IF(BC82&lt;0,-BC82,0)</f>
        <v>0</v>
      </c>
      <c r="BD1215" s="1730">
        <f>IF(BD82&lt;0,-BD82,0)</f>
        <v>15.005500000000023</v>
      </c>
      <c r="BE1215" s="1730">
        <f>IF(BE82&lt;0,-BE82,0)</f>
        <v>32.423000000000002</v>
      </c>
      <c r="BF1215" s="2051">
        <f>+SUM(BB1215:BE1215)</f>
        <v>53.583499999999994</v>
      </c>
      <c r="BG1215" s="3193">
        <v>0</v>
      </c>
      <c r="BH1215" s="3193">
        <v>0</v>
      </c>
      <c r="BI1215" s="3193">
        <v>0</v>
      </c>
      <c r="BJ1215" s="3193">
        <v>0</v>
      </c>
      <c r="BK1215" s="2051">
        <f>SUM(BG1215:BJ1215)</f>
        <v>0</v>
      </c>
      <c r="BL1215" s="3193">
        <v>0</v>
      </c>
      <c r="BM1215" s="3193">
        <v>0</v>
      </c>
      <c r="BN1215" s="3193">
        <v>0</v>
      </c>
      <c r="BO1215" s="3193">
        <v>0</v>
      </c>
      <c r="BP1215" s="2051">
        <f>SUM(BL1215:BO1215)</f>
        <v>0</v>
      </c>
      <c r="BQ1215" s="3193">
        <v>0</v>
      </c>
      <c r="BR1215" s="3193">
        <v>0</v>
      </c>
      <c r="BS1215" s="3193">
        <v>0</v>
      </c>
      <c r="BT1215" s="3193">
        <v>0</v>
      </c>
      <c r="BU1215" s="3451">
        <f>SUM(BQ1215:BT1215)</f>
        <v>0</v>
      </c>
      <c r="BV1215" s="3193">
        <v>0</v>
      </c>
      <c r="BW1215" s="3193">
        <v>0</v>
      </c>
      <c r="BX1215" s="3193">
        <v>0</v>
      </c>
      <c r="BY1215" s="3193">
        <v>0</v>
      </c>
      <c r="BZ1215" s="4028">
        <f>SUM(BV1215:BY1215)</f>
        <v>0</v>
      </c>
      <c r="CA1215" s="2051">
        <f t="shared" ref="CA1215:CG1215" si="2347">IF(CA82&lt;0,-CA82,0)</f>
        <v>0</v>
      </c>
      <c r="CB1215" s="2051">
        <f t="shared" si="2347"/>
        <v>0</v>
      </c>
      <c r="CC1215" s="2051">
        <f t="shared" si="2347"/>
        <v>243.25798126982744</v>
      </c>
      <c r="CD1215" s="2051">
        <f t="shared" si="2347"/>
        <v>276.0885705464425</v>
      </c>
      <c r="CE1215" s="2051">
        <f t="shared" si="2347"/>
        <v>261.38264599061949</v>
      </c>
      <c r="CF1215" s="2051">
        <f t="shared" si="2347"/>
        <v>246.2582171985305</v>
      </c>
      <c r="CG1215" s="2051">
        <f t="shared" si="2347"/>
        <v>230.70551122174925</v>
      </c>
      <c r="CH1215" s="3996"/>
      <c r="CI1215" s="3996"/>
      <c r="CJ1215" s="3996"/>
      <c r="CK1215" s="3996"/>
      <c r="CL1215" s="1730"/>
      <c r="CM1215" s="1730"/>
      <c r="CN1215" s="1730"/>
      <c r="CO1215" s="1730"/>
      <c r="CP1215" s="2052"/>
      <c r="CQ1215" s="1730"/>
      <c r="CR1215" s="1730"/>
      <c r="CS1215" s="1730"/>
      <c r="CT1215" s="1730"/>
      <c r="CU1215" s="1730"/>
      <c r="CV1215" s="1730"/>
      <c r="CW1215" s="1730"/>
      <c r="CX1215" s="1730"/>
      <c r="CY1215" s="1730"/>
      <c r="CZ1215" s="1730"/>
      <c r="DA1215" s="1730"/>
      <c r="DB1215" s="1730"/>
      <c r="DC1215" s="1730"/>
      <c r="DD1215" s="1730"/>
      <c r="DE1215" s="1730"/>
      <c r="DF1215" s="1730"/>
      <c r="DG1215" s="2053"/>
      <c r="DH1215" s="2054"/>
      <c r="DI1215" s="2054"/>
      <c r="DJ1215" s="2054"/>
      <c r="DK1215" s="2054"/>
      <c r="DL1215" s="2054"/>
      <c r="DM1215" s="2054"/>
      <c r="DN1215" s="773"/>
      <c r="DO1215" s="2055"/>
      <c r="DY1215" s="2050"/>
      <c r="DZ1215" s="2050"/>
    </row>
    <row r="1216" spans="1:130" ht="12" customHeight="1">
      <c r="A1216" s="2047" t="s">
        <v>75</v>
      </c>
      <c r="B1216" s="2048"/>
      <c r="C1216" s="2048"/>
      <c r="D1216" s="2049"/>
      <c r="E1216" s="2050"/>
      <c r="F1216" s="2050"/>
      <c r="G1216" s="2050"/>
      <c r="H1216" s="2051"/>
      <c r="I1216" s="2050"/>
      <c r="J1216" s="2050"/>
      <c r="K1216" s="2050"/>
      <c r="L1216" s="2050"/>
      <c r="M1216" s="2051"/>
      <c r="N1216" s="2050"/>
      <c r="O1216" s="2050"/>
      <c r="P1216" s="2050"/>
      <c r="Q1216" s="2050"/>
      <c r="R1216" s="2051"/>
      <c r="S1216" s="2050"/>
      <c r="T1216" s="2050"/>
      <c r="U1216" s="2050"/>
      <c r="V1216" s="2050"/>
      <c r="W1216" s="2051"/>
      <c r="X1216" s="2050"/>
      <c r="Y1216" s="2050"/>
      <c r="Z1216" s="2050"/>
      <c r="AA1216" s="2050"/>
      <c r="AB1216" s="2051"/>
      <c r="AC1216" s="2050"/>
      <c r="AD1216" s="1730"/>
      <c r="AE1216" s="1730"/>
      <c r="AF1216" s="1730"/>
      <c r="AG1216" s="2051"/>
      <c r="AH1216" s="1730"/>
      <c r="AI1216" s="1730"/>
      <c r="AJ1216" s="1730"/>
      <c r="AK1216" s="1730"/>
      <c r="AL1216" s="2051"/>
      <c r="AM1216" s="1730"/>
      <c r="AN1216" s="1730"/>
      <c r="AO1216" s="1730"/>
      <c r="AP1216" s="1730"/>
      <c r="AQ1216" s="762"/>
      <c r="AR1216" s="1730"/>
      <c r="AS1216" s="1730"/>
      <c r="AT1216" s="1730"/>
      <c r="AU1216" s="1730"/>
      <c r="AV1216" s="2051"/>
      <c r="AW1216" s="1730">
        <f>+MAX(IF(AW81&lt;0,AW81,0),-AW1214)</f>
        <v>0</v>
      </c>
      <c r="AX1216" s="1730">
        <f>+MAX(IF(AX81&lt;0,AX81,0),-AX1214)</f>
        <v>0</v>
      </c>
      <c r="AY1216" s="1730">
        <f>+MAX(IF(AY81&lt;0,AY81,0),-AY1214)</f>
        <v>-2.2999999999999998</v>
      </c>
      <c r="AZ1216" s="1730">
        <f>+MAX(IF(AZ81&lt;0,AZ81,0),-AZ1214)</f>
        <v>-10.5</v>
      </c>
      <c r="BA1216" s="2051">
        <f>+SUM(AW1216:AZ1216)</f>
        <v>-12.8</v>
      </c>
      <c r="BB1216" s="1730">
        <f>+MAX(IF(BB81&lt;0,BB81,0),-BB1214)</f>
        <v>-5.4</v>
      </c>
      <c r="BC1216" s="1730">
        <f>+MAX(IF(BC81&lt;0,BC81,0),-BC1214)</f>
        <v>-4.0999999999999996</v>
      </c>
      <c r="BD1216" s="1730">
        <f>+MAX(IF(BD81&lt;0,BD81,0),-BD1214)</f>
        <v>0</v>
      </c>
      <c r="BE1216" s="1730">
        <f>+MAX(IF(BE81&lt;0,BE81,0),-BE1214)</f>
        <v>0</v>
      </c>
      <c r="BF1216" s="2051">
        <f>+SUM(BB1216:BE1216)</f>
        <v>-9.5</v>
      </c>
      <c r="BG1216" s="2980">
        <f>+MAX(IF(BG81&lt;0,BG81,0),-BG1214)</f>
        <v>0</v>
      </c>
      <c r="BH1216" s="1730">
        <f>+MAX(IF(BH81&lt;0,BH81,0),-BH1214)</f>
        <v>-6.5960000000000001</v>
      </c>
      <c r="BI1216" s="1730">
        <f>+MAX(IF(BI81&lt;0,BI81,0),-BI1214)</f>
        <v>-3.71</v>
      </c>
      <c r="BJ1216" s="2053">
        <f>+MAX(IF(BJ81&lt;0,BJ81,0),-BJ1214)</f>
        <v>0</v>
      </c>
      <c r="BK1216" s="2051">
        <f>+SUM(BG1216:BJ1216)</f>
        <v>-10.306000000000001</v>
      </c>
      <c r="BL1216" s="3193">
        <v>-5</v>
      </c>
      <c r="BM1216" s="3193">
        <v>-5</v>
      </c>
      <c r="BN1216" s="3193">
        <v>-5</v>
      </c>
      <c r="BO1216" s="3193">
        <v>-5</v>
      </c>
      <c r="BP1216" s="2051">
        <f>SUM(BL1216:BO1216)</f>
        <v>-20</v>
      </c>
      <c r="BQ1216" s="2973">
        <f>+MAX(IF(BQ81&lt;0,BQ81,0),-BQ1214)</f>
        <v>-16.273</v>
      </c>
      <c r="BR1216" s="2973">
        <f>+MAX(IF(BR81&lt;0,BR81,0),-BR1214)</f>
        <v>-18.59</v>
      </c>
      <c r="BS1216" s="2973">
        <f>+MAX(IF(BS81&lt;0,BS81,0),-BS1214)</f>
        <v>-12.651999999999999</v>
      </c>
      <c r="BT1216" s="2973">
        <f>+MAX(IF(BT81&lt;0,BT81,0),-BT1214)</f>
        <v>0</v>
      </c>
      <c r="BU1216" s="2650">
        <f>SUM(BQ1216:BT1216)</f>
        <v>-47.515000000000001</v>
      </c>
      <c r="BV1216" s="2973">
        <f>+MAX(IF(BV81&lt;0,BV81,0),-BV1214)</f>
        <v>-14.349281908172355</v>
      </c>
      <c r="BW1216" s="2973">
        <f>+MAX(IF(BW81&lt;0,BW81,0),-BW1214)</f>
        <v>-13.422760046520297</v>
      </c>
      <c r="BX1216" s="2973">
        <f>+MAX(IF(BX81&lt;0,BX81,0),-BX1214)</f>
        <v>-19.126827387924948</v>
      </c>
      <c r="BY1216" s="2973">
        <f>+MAX(IF(BY81&lt;0,BY81,0),-BY1214)</f>
        <v>-21.452809461828625</v>
      </c>
      <c r="BZ1216" s="2650">
        <f>SUM(BV1216:BY1216)</f>
        <v>-68.351678804446223</v>
      </c>
      <c r="CA1216" s="2974">
        <f t="shared" ref="CA1216:CG1216" si="2348">+MAX(IF(CA81&lt;0,CA81,0),-CA1214)</f>
        <v>-81.855707156267599</v>
      </c>
      <c r="CB1216" s="2974">
        <f t="shared" si="2348"/>
        <v>-83.17065377428716</v>
      </c>
      <c r="CC1216" s="2051">
        <f t="shared" si="2348"/>
        <v>0</v>
      </c>
      <c r="CD1216" s="2051">
        <f t="shared" si="2348"/>
        <v>0</v>
      </c>
      <c r="CE1216" s="2051">
        <f t="shared" si="2348"/>
        <v>0</v>
      </c>
      <c r="CF1216" s="2051">
        <f t="shared" si="2348"/>
        <v>0</v>
      </c>
      <c r="CG1216" s="2051">
        <f t="shared" si="2348"/>
        <v>0</v>
      </c>
      <c r="CH1216" s="3996"/>
      <c r="CI1216" s="3996"/>
      <c r="CJ1216" s="3996"/>
      <c r="CK1216" s="3996"/>
      <c r="CL1216" s="1730"/>
      <c r="CM1216" s="1730"/>
      <c r="CN1216" s="1730"/>
      <c r="CO1216" s="1730"/>
      <c r="CP1216" s="2052"/>
      <c r="CQ1216" s="1730"/>
      <c r="CR1216" s="1730"/>
      <c r="CS1216" s="1730"/>
      <c r="CT1216" s="1730"/>
      <c r="CU1216" s="1730"/>
      <c r="CV1216" s="1730"/>
      <c r="CW1216" s="1730"/>
      <c r="CX1216" s="1730"/>
      <c r="CY1216" s="1730"/>
      <c r="CZ1216" s="1730"/>
      <c r="DA1216" s="1730"/>
      <c r="DB1216" s="1730"/>
      <c r="DC1216" s="1730"/>
      <c r="DD1216" s="1730"/>
      <c r="DE1216" s="1730"/>
      <c r="DF1216" s="1730"/>
      <c r="DG1216" s="2053"/>
      <c r="DH1216" s="2054"/>
      <c r="DI1216" s="2054"/>
      <c r="DJ1216" s="2054"/>
      <c r="DK1216" s="2054"/>
      <c r="DL1216" s="2054"/>
      <c r="DM1216" s="2054"/>
      <c r="DN1216" s="773"/>
      <c r="DO1216" s="2055"/>
      <c r="DY1216" s="2050"/>
      <c r="DZ1216" s="2050"/>
    </row>
    <row r="1217" spans="1:130" ht="4.5" customHeight="1">
      <c r="A1217" s="962"/>
      <c r="B1217" s="293"/>
      <c r="C1217" s="293"/>
      <c r="D1217" s="294" t="s">
        <v>343</v>
      </c>
      <c r="E1217" s="295" t="s">
        <v>343</v>
      </c>
      <c r="F1217" s="295" t="s">
        <v>343</v>
      </c>
      <c r="G1217" s="295" t="s">
        <v>343</v>
      </c>
      <c r="H1217" s="296" t="s">
        <v>343</v>
      </c>
      <c r="I1217" s="295" t="s">
        <v>343</v>
      </c>
      <c r="J1217" s="295" t="s">
        <v>343</v>
      </c>
      <c r="K1217" s="295" t="s">
        <v>343</v>
      </c>
      <c r="L1217" s="295" t="s">
        <v>343</v>
      </c>
      <c r="M1217" s="296" t="s">
        <v>343</v>
      </c>
      <c r="N1217" s="295" t="s">
        <v>343</v>
      </c>
      <c r="O1217" s="295" t="s">
        <v>343</v>
      </c>
      <c r="P1217" s="295" t="s">
        <v>343</v>
      </c>
      <c r="Q1217" s="295" t="s">
        <v>343</v>
      </c>
      <c r="R1217" s="296" t="s">
        <v>343</v>
      </c>
      <c r="S1217" s="295" t="s">
        <v>343</v>
      </c>
      <c r="T1217" s="295" t="s">
        <v>343</v>
      </c>
      <c r="U1217" s="295" t="s">
        <v>343</v>
      </c>
      <c r="V1217" s="295" t="s">
        <v>343</v>
      </c>
      <c r="W1217" s="296" t="s">
        <v>343</v>
      </c>
      <c r="X1217" s="295" t="s">
        <v>343</v>
      </c>
      <c r="Y1217" s="295" t="s">
        <v>343</v>
      </c>
      <c r="Z1217" s="295" t="s">
        <v>343</v>
      </c>
      <c r="AA1217" s="295" t="s">
        <v>343</v>
      </c>
      <c r="AB1217" s="296" t="s">
        <v>343</v>
      </c>
      <c r="AC1217" s="295" t="s">
        <v>343</v>
      </c>
      <c r="AD1217" s="295" t="s">
        <v>343</v>
      </c>
      <c r="AE1217" s="295" t="s">
        <v>343</v>
      </c>
      <c r="AF1217" s="295" t="s">
        <v>343</v>
      </c>
      <c r="AG1217" s="296" t="s">
        <v>343</v>
      </c>
      <c r="AH1217" s="295" t="s">
        <v>343</v>
      </c>
      <c r="AI1217" s="295" t="s">
        <v>343</v>
      </c>
      <c r="AJ1217" s="295" t="s">
        <v>343</v>
      </c>
      <c r="AK1217" s="295" t="s">
        <v>343</v>
      </c>
      <c r="AL1217" s="296" t="s">
        <v>343</v>
      </c>
      <c r="AM1217" s="295" t="s">
        <v>343</v>
      </c>
      <c r="AN1217" s="295" t="s">
        <v>343</v>
      </c>
      <c r="AO1217" s="295" t="s">
        <v>343</v>
      </c>
      <c r="AP1217" s="295" t="s">
        <v>343</v>
      </c>
      <c r="AQ1217" s="296" t="s">
        <v>343</v>
      </c>
      <c r="AR1217" s="295" t="s">
        <v>343</v>
      </c>
      <c r="AS1217" s="295" t="s">
        <v>343</v>
      </c>
      <c r="AT1217" s="295" t="s">
        <v>343</v>
      </c>
      <c r="AU1217" s="295" t="s">
        <v>343</v>
      </c>
      <c r="AV1217" s="296" t="s">
        <v>343</v>
      </c>
      <c r="AW1217" s="295" t="s">
        <v>343</v>
      </c>
      <c r="AX1217" s="295" t="s">
        <v>343</v>
      </c>
      <c r="AY1217" s="295" t="s">
        <v>343</v>
      </c>
      <c r="AZ1217" s="295" t="s">
        <v>343</v>
      </c>
      <c r="BA1217" s="296" t="s">
        <v>343</v>
      </c>
      <c r="BB1217" s="295" t="s">
        <v>343</v>
      </c>
      <c r="BC1217" s="295" t="s">
        <v>343</v>
      </c>
      <c r="BD1217" s="295" t="s">
        <v>343</v>
      </c>
      <c r="BE1217" s="295" t="s">
        <v>343</v>
      </c>
      <c r="BF1217" s="296" t="s">
        <v>343</v>
      </c>
      <c r="BG1217" s="294" t="s">
        <v>343</v>
      </c>
      <c r="BH1217" s="295" t="s">
        <v>343</v>
      </c>
      <c r="BI1217" s="295" t="s">
        <v>343</v>
      </c>
      <c r="BJ1217" s="297" t="s">
        <v>343</v>
      </c>
      <c r="BK1217" s="296" t="s">
        <v>343</v>
      </c>
      <c r="BL1217" s="295" t="s">
        <v>343</v>
      </c>
      <c r="BM1217" s="295" t="s">
        <v>343</v>
      </c>
      <c r="BN1217" s="295" t="s">
        <v>343</v>
      </c>
      <c r="BO1217" s="297" t="s">
        <v>343</v>
      </c>
      <c r="BP1217" s="296" t="s">
        <v>343</v>
      </c>
      <c r="BQ1217" s="295" t="s">
        <v>343</v>
      </c>
      <c r="BR1217" s="295" t="s">
        <v>343</v>
      </c>
      <c r="BS1217" s="295" t="s">
        <v>343</v>
      </c>
      <c r="BT1217" s="297" t="s">
        <v>343</v>
      </c>
      <c r="BU1217" s="3314" t="s">
        <v>343</v>
      </c>
      <c r="BV1217" s="295" t="s">
        <v>343</v>
      </c>
      <c r="BW1217" s="295" t="s">
        <v>343</v>
      </c>
      <c r="BX1217" s="295" t="s">
        <v>343</v>
      </c>
      <c r="BY1217" s="297" t="s">
        <v>343</v>
      </c>
      <c r="BZ1217" s="296" t="s">
        <v>343</v>
      </c>
      <c r="CA1217" s="297" t="s">
        <v>343</v>
      </c>
      <c r="CB1217" s="297" t="s">
        <v>343</v>
      </c>
      <c r="CC1217" s="297" t="s">
        <v>343</v>
      </c>
      <c r="CD1217" s="297" t="s">
        <v>343</v>
      </c>
      <c r="CE1217" s="297" t="s">
        <v>343</v>
      </c>
      <c r="CF1217" s="297" t="s">
        <v>343</v>
      </c>
      <c r="CG1217" s="297" t="s">
        <v>343</v>
      </c>
      <c r="CH1217" s="295"/>
      <c r="CI1217" s="295"/>
      <c r="CJ1217" s="295"/>
      <c r="CK1217" s="295"/>
      <c r="CL1217" s="295"/>
      <c r="CM1217" s="295"/>
      <c r="CN1217" s="295"/>
      <c r="CO1217" s="295"/>
      <c r="CP1217" s="1784"/>
      <c r="CQ1217" s="295" t="str">
        <f>H1217</f>
        <v xml:space="preserve">                </v>
      </c>
      <c r="CR1217" s="295" t="str">
        <f>M1217</f>
        <v xml:space="preserve">                </v>
      </c>
      <c r="CS1217" s="295" t="str">
        <f>R1217</f>
        <v xml:space="preserve">                </v>
      </c>
      <c r="CT1217" s="295" t="str">
        <f>W1217</f>
        <v xml:space="preserve">                </v>
      </c>
      <c r="CU1217" s="295" t="str">
        <f>AB1217</f>
        <v xml:space="preserve">                </v>
      </c>
      <c r="CV1217" s="295" t="str">
        <f>AG1217</f>
        <v xml:space="preserve">                </v>
      </c>
      <c r="CW1217" s="295" t="str">
        <f>AL1217</f>
        <v xml:space="preserve">                </v>
      </c>
      <c r="CX1217" s="295" t="str">
        <f>AQ1217</f>
        <v xml:space="preserve">                </v>
      </c>
      <c r="CY1217" s="295" t="str">
        <f>AV1217</f>
        <v xml:space="preserve">                </v>
      </c>
      <c r="CZ1217" s="295" t="str">
        <f>BA1217</f>
        <v xml:space="preserve">                </v>
      </c>
      <c r="DA1217" s="295" t="str">
        <f>BF1217</f>
        <v xml:space="preserve">                </v>
      </c>
      <c r="DB1217" s="295" t="str">
        <f>BK1217</f>
        <v xml:space="preserve">                </v>
      </c>
      <c r="DC1217" s="295" t="str">
        <f>BP1217</f>
        <v xml:space="preserve">                </v>
      </c>
      <c r="DD1217" s="295" t="str">
        <f>BU1217</f>
        <v xml:space="preserve">                </v>
      </c>
      <c r="DE1217" s="295" t="str">
        <f>BZ1217</f>
        <v xml:space="preserve">                </v>
      </c>
      <c r="DF1217" s="295" t="str">
        <f>CA1217</f>
        <v xml:space="preserve">                </v>
      </c>
      <c r="DG1217" s="297" t="str">
        <f>CB1217</f>
        <v xml:space="preserve">                </v>
      </c>
      <c r="DH1217" s="298"/>
      <c r="DI1217" s="299"/>
      <c r="DJ1217" s="299"/>
      <c r="DK1217" s="299"/>
      <c r="DL1217" s="299"/>
      <c r="DM1217" s="299"/>
      <c r="DN1217" s="299"/>
      <c r="DO1217" s="300"/>
      <c r="DY1217" s="295"/>
      <c r="DZ1217" s="295"/>
    </row>
    <row r="1218" spans="1:130" ht="12" customHeight="1">
      <c r="A1218" s="2065" t="s">
        <v>76</v>
      </c>
      <c r="B1218" s="2066"/>
      <c r="C1218" s="2066"/>
      <c r="D1218" s="2067"/>
      <c r="E1218" s="2068"/>
      <c r="F1218" s="2068"/>
      <c r="G1218" s="2068"/>
      <c r="H1218" s="2069"/>
      <c r="I1218" s="2068"/>
      <c r="J1218" s="2068"/>
      <c r="K1218" s="2068"/>
      <c r="L1218" s="2068"/>
      <c r="M1218" s="2069"/>
      <c r="N1218" s="2068"/>
      <c r="O1218" s="2068"/>
      <c r="P1218" s="2068"/>
      <c r="Q1218" s="2068"/>
      <c r="R1218" s="2069"/>
      <c r="S1218" s="2068"/>
      <c r="T1218" s="2068"/>
      <c r="U1218" s="2068"/>
      <c r="V1218" s="2068"/>
      <c r="W1218" s="2069"/>
      <c r="X1218" s="2068"/>
      <c r="Y1218" s="2068"/>
      <c r="Z1218" s="2068"/>
      <c r="AA1218" s="2068"/>
      <c r="AB1218" s="2069"/>
      <c r="AC1218" s="2068"/>
      <c r="AD1218" s="2070"/>
      <c r="AE1218" s="2070"/>
      <c r="AF1218" s="2070"/>
      <c r="AG1218" s="2069"/>
      <c r="AH1218" s="2070"/>
      <c r="AI1218" s="2070"/>
      <c r="AJ1218" s="2070"/>
      <c r="AK1218" s="2070"/>
      <c r="AL1218" s="2069"/>
      <c r="AM1218" s="2070"/>
      <c r="AN1218" s="2070"/>
      <c r="AO1218" s="2070"/>
      <c r="AP1218" s="2070"/>
      <c r="AQ1218" s="2071"/>
      <c r="AR1218" s="2070"/>
      <c r="AS1218" s="2070"/>
      <c r="AT1218" s="2070"/>
      <c r="AU1218" s="2070"/>
      <c r="AV1218" s="2071">
        <f>39.996+26.23</f>
        <v>66.225999999999999</v>
      </c>
      <c r="AW1218" s="2070">
        <f>SUM(AW1214:AW1217)</f>
        <v>335.39949999999999</v>
      </c>
      <c r="AX1218" s="2070">
        <f>SUM(AX1214:AX1217)</f>
        <v>356.63</v>
      </c>
      <c r="AY1218" s="2070">
        <f>SUM(AY1214:AY1217)</f>
        <v>391.64899999999994</v>
      </c>
      <c r="AZ1218" s="2070">
        <f>SUM(AZ1214:AZ1217)</f>
        <v>428.46149999999994</v>
      </c>
      <c r="BA1218" s="2069">
        <f>+SUM(BA1214:BA1216)</f>
        <v>428.46149999999994</v>
      </c>
      <c r="BB1218" s="2070">
        <f>SUM(BB1214:BB1217)</f>
        <v>429.21649999999994</v>
      </c>
      <c r="BC1218" s="2070">
        <f>SUM(BC1214:BC1217)</f>
        <v>425.11649999999992</v>
      </c>
      <c r="BD1218" s="2070">
        <f>SUM(BD1214:BD1217)</f>
        <v>440.12199999999996</v>
      </c>
      <c r="BE1218" s="2070">
        <f>SUM(BE1214:BE1217)</f>
        <v>472.54499999999996</v>
      </c>
      <c r="BF1218" s="2069">
        <f>+SUM(BF1214:BF1216)</f>
        <v>472.54499999999996</v>
      </c>
      <c r="BG1218" s="2979">
        <f>SUM(BG1214:BG1217)</f>
        <v>472.54499999999996</v>
      </c>
      <c r="BH1218" s="2070">
        <f>SUM(BH1214:BH1217)</f>
        <v>465.94899999999996</v>
      </c>
      <c r="BI1218" s="2070">
        <f>SUM(BI1214:BI1217)</f>
        <v>462.23899999999998</v>
      </c>
      <c r="BJ1218" s="2074">
        <f>SUM(BJ1214:BJ1217)</f>
        <v>462.23899999999998</v>
      </c>
      <c r="BK1218" s="2069">
        <f>+SUM(BK1214:BK1216)</f>
        <v>462.23899999999998</v>
      </c>
      <c r="BL1218" s="2070">
        <f>SUM(BL1214:BL1217)</f>
        <v>457.23899999999998</v>
      </c>
      <c r="BM1218" s="2070">
        <f>SUM(BM1214:BM1217)</f>
        <v>452.23899999999998</v>
      </c>
      <c r="BN1218" s="2070">
        <f>SUM(BN1214:BN1217)</f>
        <v>447.23899999999998</v>
      </c>
      <c r="BO1218" s="2074">
        <f>SUM(BO1214:BO1217)</f>
        <v>442.23899999999998</v>
      </c>
      <c r="BP1218" s="2069">
        <f>+SUM(BP1214:BP1216)</f>
        <v>442.23899999999998</v>
      </c>
      <c r="BQ1218" s="2070">
        <f>SUM(BQ1214:BQ1217)</f>
        <v>425.96599999999995</v>
      </c>
      <c r="BR1218" s="2070">
        <f>SUM(BR1214:BR1217)</f>
        <v>407.37599999999998</v>
      </c>
      <c r="BS1218" s="2070">
        <f>SUM(BS1214:BS1217)</f>
        <v>394.72399999999999</v>
      </c>
      <c r="BT1218" s="2074">
        <f>SUM(BT1214:BT1217)</f>
        <v>394.72399999999999</v>
      </c>
      <c r="BU1218" s="3450">
        <f>+SUM(BU1214:BU1216)</f>
        <v>394.72399999999999</v>
      </c>
      <c r="BV1218" s="2070">
        <f>SUM(BV1214:BV1217)</f>
        <v>380.37471809182762</v>
      </c>
      <c r="BW1218" s="2070">
        <f>SUM(BW1214:BW1217)</f>
        <v>366.95195804530732</v>
      </c>
      <c r="BX1218" s="2070">
        <f>SUM(BX1214:BX1217)</f>
        <v>347.82513065738237</v>
      </c>
      <c r="BY1218" s="2074">
        <f>SUM(BY1214:BY1217)</f>
        <v>326.37232119555375</v>
      </c>
      <c r="BZ1218" s="4027">
        <f>+SUM(BZ1214:BZ1216)</f>
        <v>326.37232119555375</v>
      </c>
      <c r="CA1218" s="2069">
        <f t="shared" ref="CA1218:CG1218" si="2349">SUM(CA1214:CA1217)</f>
        <v>244.51661403928614</v>
      </c>
      <c r="CB1218" s="2069">
        <f t="shared" si="2349"/>
        <v>161.34596026499898</v>
      </c>
      <c r="CC1218" s="2069">
        <f t="shared" si="2349"/>
        <v>404.60394153482639</v>
      </c>
      <c r="CD1218" s="2069">
        <f t="shared" si="2349"/>
        <v>680.69251208126889</v>
      </c>
      <c r="CE1218" s="2069">
        <f t="shared" si="2349"/>
        <v>942.07515807188838</v>
      </c>
      <c r="CF1218" s="2069">
        <f t="shared" si="2349"/>
        <v>1188.3333752704189</v>
      </c>
      <c r="CG1218" s="2069">
        <f t="shared" si="2349"/>
        <v>1419.0388864921681</v>
      </c>
      <c r="CH1218" s="3081"/>
      <c r="CI1218" s="3081"/>
      <c r="CJ1218" s="3081"/>
      <c r="CK1218" s="3081"/>
      <c r="CL1218" s="2070"/>
      <c r="CM1218" s="2070"/>
      <c r="CN1218" s="2070"/>
      <c r="CO1218" s="2070"/>
      <c r="CP1218" s="2073"/>
      <c r="CQ1218" s="2070"/>
      <c r="CR1218" s="2070"/>
      <c r="CS1218" s="2070"/>
      <c r="CT1218" s="2070"/>
      <c r="CU1218" s="2070"/>
      <c r="CV1218" s="2070"/>
      <c r="CW1218" s="2070"/>
      <c r="CX1218" s="2070"/>
      <c r="CY1218" s="2070"/>
      <c r="CZ1218" s="2070"/>
      <c r="DA1218" s="2070"/>
      <c r="DB1218" s="2070"/>
      <c r="DC1218" s="2070"/>
      <c r="DD1218" s="2070"/>
      <c r="DE1218" s="2070"/>
      <c r="DF1218" s="2070"/>
      <c r="DG1218" s="2074"/>
      <c r="DH1218" s="2072"/>
      <c r="DI1218" s="2072"/>
      <c r="DJ1218" s="2072"/>
      <c r="DK1218" s="2072"/>
      <c r="DL1218" s="2072"/>
      <c r="DM1218" s="2072"/>
      <c r="DN1218" s="1727"/>
      <c r="DO1218" s="2075"/>
      <c r="DY1218" s="2068"/>
      <c r="DZ1218" s="2068"/>
    </row>
    <row r="1219" spans="1:130" ht="12" customHeight="1">
      <c r="A1219" s="2065"/>
      <c r="B1219" s="2066"/>
      <c r="C1219" s="2066"/>
      <c r="D1219" s="2067"/>
      <c r="E1219" s="2068"/>
      <c r="F1219" s="2068"/>
      <c r="G1219" s="2068"/>
      <c r="H1219" s="2069"/>
      <c r="I1219" s="2068"/>
      <c r="J1219" s="2068"/>
      <c r="K1219" s="2068"/>
      <c r="L1219" s="2068"/>
      <c r="M1219" s="2069"/>
      <c r="N1219" s="2068"/>
      <c r="O1219" s="2068"/>
      <c r="P1219" s="2068"/>
      <c r="Q1219" s="2068"/>
      <c r="R1219" s="2069"/>
      <c r="S1219" s="2068"/>
      <c r="T1219" s="2068"/>
      <c r="U1219" s="2068"/>
      <c r="V1219" s="2068"/>
      <c r="W1219" s="2069"/>
      <c r="X1219" s="2068"/>
      <c r="Y1219" s="2068"/>
      <c r="Z1219" s="2068"/>
      <c r="AA1219" s="2068"/>
      <c r="AB1219" s="2069"/>
      <c r="AC1219" s="2068"/>
      <c r="AD1219" s="2070"/>
      <c r="AE1219" s="2070"/>
      <c r="AF1219" s="2070"/>
      <c r="AG1219" s="2069"/>
      <c r="AH1219" s="2070"/>
      <c r="AI1219" s="2070"/>
      <c r="AJ1219" s="2070"/>
      <c r="AK1219" s="2070"/>
      <c r="AL1219" s="2069"/>
      <c r="AM1219" s="2070"/>
      <c r="AN1219" s="2070"/>
      <c r="AO1219" s="2070"/>
      <c r="AP1219" s="2070"/>
      <c r="AQ1219" s="2071"/>
      <c r="AR1219" s="2070"/>
      <c r="AS1219" s="2070"/>
      <c r="AT1219" s="2070"/>
      <c r="AU1219" s="2070"/>
      <c r="AV1219" s="2069"/>
      <c r="AW1219" s="2070"/>
      <c r="AX1219" s="2070"/>
      <c r="AY1219" s="2070"/>
      <c r="AZ1219" s="2070"/>
      <c r="BA1219" s="2069"/>
      <c r="BB1219" s="2070"/>
      <c r="BC1219" s="2070"/>
      <c r="BD1219" s="2070"/>
      <c r="BE1219" s="2070"/>
      <c r="BF1219" s="2069"/>
      <c r="BG1219" s="2067"/>
      <c r="BH1219" s="2068"/>
      <c r="BI1219" s="2068"/>
      <c r="BJ1219" s="2981"/>
      <c r="BK1219" s="2069"/>
      <c r="BL1219" s="2068"/>
      <c r="BM1219" s="2068"/>
      <c r="BN1219" s="2068"/>
      <c r="BO1219" s="2981"/>
      <c r="BP1219" s="2069"/>
      <c r="BQ1219" s="2068"/>
      <c r="BR1219" s="2068"/>
      <c r="BS1219" s="2068"/>
      <c r="BT1219" s="2981"/>
      <c r="BU1219" s="3450"/>
      <c r="BV1219" s="2068"/>
      <c r="BW1219" s="2068"/>
      <c r="BX1219" s="2068"/>
      <c r="BY1219" s="2068"/>
      <c r="BZ1219" s="2069"/>
      <c r="CA1219" s="2069"/>
      <c r="CB1219" s="2069"/>
      <c r="CC1219" s="2069"/>
      <c r="CD1219" s="2069"/>
      <c r="CE1219" s="2069"/>
      <c r="CF1219" s="2069"/>
      <c r="CG1219" s="2069"/>
      <c r="CH1219" s="3081"/>
      <c r="CI1219" s="3081"/>
      <c r="CJ1219" s="3081"/>
      <c r="CK1219" s="3081"/>
      <c r="CL1219" s="2070"/>
      <c r="CM1219" s="2070"/>
      <c r="CN1219" s="2070"/>
      <c r="CO1219" s="2070"/>
      <c r="CP1219" s="2073"/>
      <c r="CQ1219" s="2070"/>
      <c r="CR1219" s="2070"/>
      <c r="CS1219" s="2070"/>
      <c r="CT1219" s="2070"/>
      <c r="CU1219" s="2070"/>
      <c r="CV1219" s="2070"/>
      <c r="CW1219" s="2070"/>
      <c r="CX1219" s="2070"/>
      <c r="CY1219" s="2070"/>
      <c r="CZ1219" s="2070"/>
      <c r="DA1219" s="2070"/>
      <c r="DB1219" s="2070"/>
      <c r="DC1219" s="2070"/>
      <c r="DD1219" s="2070"/>
      <c r="DE1219" s="2070"/>
      <c r="DF1219" s="2070"/>
      <c r="DG1219" s="2074"/>
      <c r="DH1219" s="2072"/>
      <c r="DI1219" s="2072"/>
      <c r="DJ1219" s="2072"/>
      <c r="DK1219" s="2072"/>
      <c r="DL1219" s="2072"/>
      <c r="DM1219" s="2072"/>
      <c r="DN1219" s="1727"/>
      <c r="DO1219" s="2075"/>
      <c r="DY1219" s="2068"/>
      <c r="DZ1219" s="2068"/>
    </row>
    <row r="1220" spans="1:130" ht="12" customHeight="1">
      <c r="A1220" s="745" t="s">
        <v>1502</v>
      </c>
      <c r="B1220" s="746"/>
      <c r="C1220" s="746"/>
      <c r="D1220" s="1655">
        <f t="shared" ref="D1220:AI1220" si="2350">-D81/D80</f>
        <v>0.47676226004507666</v>
      </c>
      <c r="E1220" s="1654">
        <f t="shared" si="2350"/>
        <v>0.43409355872923344</v>
      </c>
      <c r="F1220" s="1654">
        <f t="shared" si="2350"/>
        <v>0.3550499827645639</v>
      </c>
      <c r="G1220" s="1654">
        <f t="shared" si="2350"/>
        <v>0.38319318884634124</v>
      </c>
      <c r="H1220" s="2192">
        <f t="shared" si="2350"/>
        <v>0.39542253139006156</v>
      </c>
      <c r="I1220" s="1654">
        <f t="shared" si="2350"/>
        <v>0.4519424047257663</v>
      </c>
      <c r="J1220" s="1654">
        <f t="shared" si="2350"/>
        <v>0.35780397956084881</v>
      </c>
      <c r="K1220" s="1654">
        <f t="shared" si="2350"/>
        <v>0.44568381029290521</v>
      </c>
      <c r="L1220" s="1654">
        <f t="shared" si="2350"/>
        <v>0.57872316985843564</v>
      </c>
      <c r="M1220" s="2192">
        <f t="shared" si="2350"/>
        <v>0.44967081478098719</v>
      </c>
      <c r="N1220" s="1654">
        <f t="shared" si="2350"/>
        <v>0.38155823073237044</v>
      </c>
      <c r="O1220" s="1654">
        <f t="shared" si="2350"/>
        <v>0.69924812030075167</v>
      </c>
      <c r="P1220" s="1654">
        <f t="shared" si="2350"/>
        <v>0.4283038077784565</v>
      </c>
      <c r="Q1220" s="1654">
        <f t="shared" si="2350"/>
        <v>0.26100123527302194</v>
      </c>
      <c r="R1220" s="2192">
        <f t="shared" si="2350"/>
        <v>0.39673086670045621</v>
      </c>
      <c r="S1220" s="1654">
        <f t="shared" si="2350"/>
        <v>0.4251029512697323</v>
      </c>
      <c r="T1220" s="1654">
        <f t="shared" si="2350"/>
        <v>0.49816168126730548</v>
      </c>
      <c r="U1220" s="1654">
        <f t="shared" si="2350"/>
        <v>0.40154933814681104</v>
      </c>
      <c r="V1220" s="1654">
        <f t="shared" si="2350"/>
        <v>0.30999688154319066</v>
      </c>
      <c r="W1220" s="2192">
        <f t="shared" si="2350"/>
        <v>0.40913082526693945</v>
      </c>
      <c r="X1220" s="1654">
        <f t="shared" si="2350"/>
        <v>0.34499809049064345</v>
      </c>
      <c r="Y1220" s="1654">
        <f t="shared" si="2350"/>
        <v>0.3750036071912965</v>
      </c>
      <c r="Z1220" s="1654">
        <f t="shared" si="2350"/>
        <v>0.41498520312079618</v>
      </c>
      <c r="AA1220" s="1654">
        <f t="shared" si="2350"/>
        <v>0.1144457012667164</v>
      </c>
      <c r="AB1220" s="2192">
        <f t="shared" si="2350"/>
        <v>0.10632133239292127</v>
      </c>
      <c r="AC1220" s="1654">
        <f t="shared" si="2350"/>
        <v>0.31500470599891012</v>
      </c>
      <c r="AD1220" s="2193">
        <f t="shared" si="2350"/>
        <v>0.40501024399329466</v>
      </c>
      <c r="AE1220" s="2193">
        <f t="shared" si="2350"/>
        <v>0.42502048620595467</v>
      </c>
      <c r="AF1220" s="2193">
        <f t="shared" si="2350"/>
        <v>0.85313578826236902</v>
      </c>
      <c r="AG1220" s="2192">
        <f t="shared" si="2350"/>
        <v>0.20225563909774472</v>
      </c>
      <c r="AH1220" s="2193">
        <f t="shared" si="2350"/>
        <v>0.3050689259046524</v>
      </c>
      <c r="AI1220" s="2193">
        <f t="shared" si="2350"/>
        <v>0.28999881922304838</v>
      </c>
      <c r="AJ1220" s="2193">
        <f t="shared" ref="AJ1220:BE1220" si="2351">-AJ81/AJ80</f>
        <v>0.29999529123699181</v>
      </c>
      <c r="AK1220" s="2193">
        <f t="shared" si="2351"/>
        <v>0.44409276279749199</v>
      </c>
      <c r="AL1220" s="2192">
        <f t="shared" si="2351"/>
        <v>0.23086841957728296</v>
      </c>
      <c r="AM1220" s="2193">
        <f t="shared" si="2351"/>
        <v>0.32997133453657412</v>
      </c>
      <c r="AN1220" s="2193">
        <f t="shared" si="2351"/>
        <v>-0.19251901944209757</v>
      </c>
      <c r="AO1220" s="2193">
        <f t="shared" si="2351"/>
        <v>0.24650687265704802</v>
      </c>
      <c r="AP1220" s="2193">
        <f t="shared" si="2351"/>
        <v>-1.3696162881753948</v>
      </c>
      <c r="AQ1220" s="2192">
        <f t="shared" si="2351"/>
        <v>-0.25992452830188734</v>
      </c>
      <c r="AR1220" s="2193">
        <f t="shared" si="2351"/>
        <v>0.49247530960965741</v>
      </c>
      <c r="AS1220" s="2193">
        <f t="shared" si="2351"/>
        <v>0.9994097973637619</v>
      </c>
      <c r="AT1220" s="2193">
        <f t="shared" si="2351"/>
        <v>0.32998627181800366</v>
      </c>
      <c r="AU1220" s="2193">
        <f t="shared" si="2351"/>
        <v>0.18950922203189602</v>
      </c>
      <c r="AV1220" s="2192">
        <f t="shared" si="2351"/>
        <v>0.19286324947124978</v>
      </c>
      <c r="AW1220" s="2193">
        <f t="shared" si="2351"/>
        <v>0.22161311016504393</v>
      </c>
      <c r="AX1220" s="2193">
        <f t="shared" si="2351"/>
        <v>0.93280862847981871</v>
      </c>
      <c r="AY1220" s="2193">
        <f t="shared" si="2351"/>
        <v>-6.5678631599988616E-2</v>
      </c>
      <c r="AZ1220" s="2193">
        <f t="shared" si="2351"/>
        <v>-0.28522920203735147</v>
      </c>
      <c r="BA1220" s="2192">
        <f t="shared" si="2351"/>
        <v>-9.1846532793387115E-2</v>
      </c>
      <c r="BB1220" s="2193">
        <f t="shared" si="2351"/>
        <v>-7.1523178807950147</v>
      </c>
      <c r="BC1220" s="2193">
        <f t="shared" si="2351"/>
        <v>0.85648631710883527</v>
      </c>
      <c r="BD1220" s="2193">
        <f t="shared" si="2351"/>
        <v>5.0615292145139275E-2</v>
      </c>
      <c r="BE1220" s="2193">
        <f t="shared" si="2351"/>
        <v>0.25839432753888381</v>
      </c>
      <c r="BF1220" s="309">
        <f t="shared" ref="BF1220:CG1220" si="2352">+BF1221</f>
        <v>0.35</v>
      </c>
      <c r="BG1220" s="2193">
        <f>-BG81/BG80</f>
        <v>-0.91748832381940693</v>
      </c>
      <c r="BH1220" s="2193">
        <f>-BH81/BH80</f>
        <v>38.460641399405361</v>
      </c>
      <c r="BI1220" s="2193">
        <f>-BI81/BI80</f>
        <v>0.12733825296035686</v>
      </c>
      <c r="BJ1220" s="2193">
        <f>-BJ81/BJ80</f>
        <v>9.0680434207042776E-2</v>
      </c>
      <c r="BK1220" s="309">
        <f t="shared" si="2352"/>
        <v>0.35</v>
      </c>
      <c r="BL1220" s="2193">
        <f>-BL81/BL80</f>
        <v>0.18668136984622924</v>
      </c>
      <c r="BM1220" s="2193">
        <f>-BM81/BM80</f>
        <v>0.40732781213963754</v>
      </c>
      <c r="BN1220" s="2193">
        <f>-BN81/BN80</f>
        <v>6.8316760340106715</v>
      </c>
      <c r="BO1220" s="2193">
        <f>-BO81/BO80</f>
        <v>1.8584671941181141</v>
      </c>
      <c r="BP1220" s="309">
        <f t="shared" si="2352"/>
        <v>0.35</v>
      </c>
      <c r="BQ1220" s="2193">
        <f>-BQ81/BQ80</f>
        <v>0.31667542374530527</v>
      </c>
      <c r="BR1220" s="2193">
        <f>-BR81/BR80</f>
        <v>0.40280817317067885</v>
      </c>
      <c r="BS1220" s="2193">
        <f>-BS81/BS80</f>
        <v>0.35511395531604356</v>
      </c>
      <c r="BT1220" s="2193">
        <f>-BT81/BT80</f>
        <v>-1.1824606147551868</v>
      </c>
      <c r="BU1220" s="3318">
        <f t="shared" si="2352"/>
        <v>0.4</v>
      </c>
      <c r="BV1220" s="747">
        <f t="shared" si="2352"/>
        <v>0.28000000000000003</v>
      </c>
      <c r="BW1220" s="747">
        <f t="shared" si="2352"/>
        <v>0.28000000000000003</v>
      </c>
      <c r="BX1220" s="747">
        <f t="shared" si="2352"/>
        <v>0.28000000000000003</v>
      </c>
      <c r="BY1220" s="747">
        <f t="shared" si="2352"/>
        <v>0.28000000000000003</v>
      </c>
      <c r="BZ1220" s="309">
        <f t="shared" si="2352"/>
        <v>0.28000000000000003</v>
      </c>
      <c r="CA1220" s="309">
        <f t="shared" si="2352"/>
        <v>0.28000000000000003</v>
      </c>
      <c r="CB1220" s="309">
        <f t="shared" si="2352"/>
        <v>0.28000000000000003</v>
      </c>
      <c r="CC1220" s="309">
        <f t="shared" si="2352"/>
        <v>0.35</v>
      </c>
      <c r="CD1220" s="309">
        <f t="shared" si="2352"/>
        <v>0.35</v>
      </c>
      <c r="CE1220" s="309">
        <f t="shared" si="2352"/>
        <v>0.35</v>
      </c>
      <c r="CF1220" s="309">
        <f t="shared" si="2352"/>
        <v>0.35</v>
      </c>
      <c r="CG1220" s="309">
        <f t="shared" si="2352"/>
        <v>0.35</v>
      </c>
      <c r="CH1220" s="3995"/>
      <c r="CI1220" s="3995"/>
      <c r="CJ1220" s="3995"/>
      <c r="CK1220" s="3995"/>
      <c r="CL1220" s="337"/>
      <c r="CM1220" s="337"/>
      <c r="CN1220" s="337"/>
      <c r="CO1220" s="337"/>
      <c r="CP1220" s="1884"/>
      <c r="CQ1220" s="337"/>
      <c r="CR1220" s="337"/>
      <c r="CS1220" s="337"/>
      <c r="CT1220" s="337"/>
      <c r="CU1220" s="337"/>
      <c r="CV1220" s="337"/>
      <c r="CW1220" s="337"/>
      <c r="CX1220" s="337"/>
      <c r="CY1220" s="337"/>
      <c r="CZ1220" s="337"/>
      <c r="DA1220" s="337"/>
      <c r="DB1220" s="337"/>
      <c r="DC1220" s="337"/>
      <c r="DD1220" s="337"/>
      <c r="DE1220" s="337"/>
      <c r="DF1220" s="337"/>
      <c r="DG1220" s="1830"/>
      <c r="DH1220" s="341"/>
      <c r="DI1220" s="341"/>
      <c r="DJ1220" s="341"/>
      <c r="DK1220" s="341"/>
      <c r="DL1220" s="341"/>
      <c r="DM1220" s="341"/>
      <c r="DN1220" s="310"/>
      <c r="DO1220" s="749"/>
      <c r="DY1220" s="747"/>
      <c r="DZ1220" s="747"/>
    </row>
    <row r="1221" spans="1:130" ht="12" customHeight="1">
      <c r="A1221" s="2065" t="s">
        <v>739</v>
      </c>
      <c r="B1221" s="2066"/>
      <c r="C1221" s="2066"/>
      <c r="D1221" s="1691">
        <v>0.35</v>
      </c>
      <c r="E1221" s="759">
        <v>0.35</v>
      </c>
      <c r="F1221" s="759">
        <v>0.35</v>
      </c>
      <c r="G1221" s="759">
        <v>0.35</v>
      </c>
      <c r="H1221" s="758">
        <v>0.35</v>
      </c>
      <c r="I1221" s="759">
        <v>0.35</v>
      </c>
      <c r="J1221" s="759">
        <v>0.35</v>
      </c>
      <c r="K1221" s="759">
        <v>0.35</v>
      </c>
      <c r="L1221" s="759">
        <v>0.35</v>
      </c>
      <c r="M1221" s="758">
        <v>0.35</v>
      </c>
      <c r="N1221" s="759">
        <v>0.35</v>
      </c>
      <c r="O1221" s="759">
        <v>0.35</v>
      </c>
      <c r="P1221" s="759">
        <v>0.35</v>
      </c>
      <c r="Q1221" s="759">
        <v>0.35</v>
      </c>
      <c r="R1221" s="758">
        <v>0.35</v>
      </c>
      <c r="S1221" s="759">
        <v>0.35</v>
      </c>
      <c r="T1221" s="759">
        <v>0.35</v>
      </c>
      <c r="U1221" s="759">
        <v>0.35</v>
      </c>
      <c r="V1221" s="759">
        <v>0.35</v>
      </c>
      <c r="W1221" s="758">
        <v>0.35</v>
      </c>
      <c r="X1221" s="759">
        <v>0.35</v>
      </c>
      <c r="Y1221" s="759">
        <v>0.35</v>
      </c>
      <c r="Z1221" s="759">
        <v>0.35</v>
      </c>
      <c r="AA1221" s="759">
        <v>0.35</v>
      </c>
      <c r="AB1221" s="758">
        <v>0.35</v>
      </c>
      <c r="AC1221" s="759">
        <v>0.35</v>
      </c>
      <c r="AD1221" s="759">
        <v>0.35</v>
      </c>
      <c r="AE1221" s="759">
        <v>0.35</v>
      </c>
      <c r="AF1221" s="759">
        <v>0.35</v>
      </c>
      <c r="AG1221" s="758">
        <v>0.35</v>
      </c>
      <c r="AH1221" s="759">
        <v>0.35</v>
      </c>
      <c r="AI1221" s="759">
        <v>0.35</v>
      </c>
      <c r="AJ1221" s="759">
        <v>0.35</v>
      </c>
      <c r="AK1221" s="759">
        <v>0.35</v>
      </c>
      <c r="AL1221" s="758">
        <v>0.35</v>
      </c>
      <c r="AM1221" s="759">
        <v>0.35</v>
      </c>
      <c r="AN1221" s="759">
        <v>0.35</v>
      </c>
      <c r="AO1221" s="759">
        <v>0.35</v>
      </c>
      <c r="AP1221" s="759">
        <v>0.35</v>
      </c>
      <c r="AQ1221" s="758">
        <v>0.35</v>
      </c>
      <c r="AR1221" s="1557">
        <v>0.35</v>
      </c>
      <c r="AS1221" s="759">
        <v>0.35</v>
      </c>
      <c r="AT1221" s="759">
        <v>0.35</v>
      </c>
      <c r="AU1221" s="1692">
        <v>0.35</v>
      </c>
      <c r="AV1221" s="758">
        <v>0.35</v>
      </c>
      <c r="AW1221" s="1557">
        <v>0.35</v>
      </c>
      <c r="AX1221" s="759">
        <v>0.35</v>
      </c>
      <c r="AY1221" s="759">
        <v>0.35</v>
      </c>
      <c r="AZ1221" s="1692">
        <v>0.35</v>
      </c>
      <c r="BA1221" s="758">
        <v>0.35</v>
      </c>
      <c r="BB1221" s="1557">
        <v>0.35</v>
      </c>
      <c r="BC1221" s="759">
        <v>0.35</v>
      </c>
      <c r="BD1221" s="759">
        <v>0.35</v>
      </c>
      <c r="BE1221" s="1692">
        <v>0.35</v>
      </c>
      <c r="BF1221" s="758">
        <v>0.35</v>
      </c>
      <c r="BG1221" s="1557">
        <v>0.35</v>
      </c>
      <c r="BH1221" s="759">
        <v>0.35</v>
      </c>
      <c r="BI1221" s="759">
        <v>0.35</v>
      </c>
      <c r="BJ1221" s="1692">
        <v>0.35</v>
      </c>
      <c r="BK1221" s="758">
        <v>0.35</v>
      </c>
      <c r="BL1221" s="759">
        <v>0.35</v>
      </c>
      <c r="BM1221" s="759">
        <v>0.35</v>
      </c>
      <c r="BN1221" s="759">
        <v>0.35</v>
      </c>
      <c r="BO1221" s="1692">
        <v>0.35</v>
      </c>
      <c r="BP1221" s="758">
        <v>0.35</v>
      </c>
      <c r="BQ1221" s="759">
        <v>0.4</v>
      </c>
      <c r="BR1221" s="759">
        <v>0.4</v>
      </c>
      <c r="BS1221" s="759">
        <v>0.4</v>
      </c>
      <c r="BT1221" s="1692">
        <v>0.4</v>
      </c>
      <c r="BU1221" s="758">
        <v>0.4</v>
      </c>
      <c r="BV1221" s="759">
        <v>0.28000000000000003</v>
      </c>
      <c r="BW1221" s="759">
        <v>0.28000000000000003</v>
      </c>
      <c r="BX1221" s="759">
        <v>0.28000000000000003</v>
      </c>
      <c r="BY1221" s="759">
        <v>0.28000000000000003</v>
      </c>
      <c r="BZ1221" s="758">
        <v>0.28000000000000003</v>
      </c>
      <c r="CA1221" s="758">
        <v>0.28000000000000003</v>
      </c>
      <c r="CB1221" s="758">
        <v>0.28000000000000003</v>
      </c>
      <c r="CC1221" s="758">
        <v>0.35</v>
      </c>
      <c r="CD1221" s="758">
        <v>0.35</v>
      </c>
      <c r="CE1221" s="758">
        <v>0.35</v>
      </c>
      <c r="CF1221" s="758">
        <v>0.35</v>
      </c>
      <c r="CG1221" s="758">
        <v>0.35</v>
      </c>
      <c r="CH1221" s="3081"/>
      <c r="CI1221" s="3081"/>
      <c r="CJ1221" s="3081"/>
      <c r="CK1221" s="3081"/>
      <c r="CL1221" s="2070"/>
      <c r="CM1221" s="2070"/>
      <c r="CN1221" s="2070"/>
      <c r="CO1221" s="2070"/>
      <c r="CP1221" s="2073"/>
      <c r="CQ1221" s="2070"/>
      <c r="CR1221" s="2070"/>
      <c r="CS1221" s="2070"/>
      <c r="CT1221" s="2070"/>
      <c r="CU1221" s="2070"/>
      <c r="CV1221" s="2070"/>
      <c r="CW1221" s="2070"/>
      <c r="CX1221" s="2070"/>
      <c r="CY1221" s="2070"/>
      <c r="CZ1221" s="2070"/>
      <c r="DA1221" s="2070"/>
      <c r="DB1221" s="2070"/>
      <c r="DC1221" s="2070"/>
      <c r="DD1221" s="2070"/>
      <c r="DE1221" s="2070"/>
      <c r="DF1221" s="2070"/>
      <c r="DG1221" s="2074"/>
      <c r="DH1221" s="2072"/>
      <c r="DI1221" s="2072"/>
      <c r="DJ1221" s="2072"/>
      <c r="DK1221" s="2072"/>
      <c r="DL1221" s="2072"/>
      <c r="DM1221" s="2072"/>
      <c r="DN1221" s="1727"/>
      <c r="DO1221" s="2075"/>
      <c r="DY1221" s="759"/>
      <c r="DZ1221" s="759"/>
    </row>
    <row r="1222" spans="1:130" ht="12" customHeight="1">
      <c r="A1222" s="745"/>
      <c r="B1222" s="746"/>
      <c r="C1222" s="746"/>
      <c r="D1222" s="335"/>
      <c r="E1222" s="747"/>
      <c r="F1222" s="337"/>
      <c r="G1222" s="337"/>
      <c r="H1222" s="309"/>
      <c r="I1222" s="337"/>
      <c r="J1222" s="337"/>
      <c r="K1222" s="337"/>
      <c r="L1222" s="337"/>
      <c r="M1222" s="309"/>
      <c r="N1222" s="337"/>
      <c r="O1222" s="337"/>
      <c r="P1222" s="337"/>
      <c r="Q1222" s="337"/>
      <c r="R1222" s="309"/>
      <c r="S1222" s="337"/>
      <c r="T1222" s="337"/>
      <c r="U1222" s="337"/>
      <c r="V1222" s="337"/>
      <c r="W1222" s="309"/>
      <c r="X1222" s="337"/>
      <c r="Y1222" s="337"/>
      <c r="Z1222" s="337"/>
      <c r="AA1222" s="337"/>
      <c r="AB1222" s="309"/>
      <c r="AC1222" s="337"/>
      <c r="AD1222" s="337"/>
      <c r="AE1222" s="337"/>
      <c r="AF1222" s="337"/>
      <c r="AG1222" s="309"/>
      <c r="AH1222" s="747"/>
      <c r="AI1222" s="747"/>
      <c r="AJ1222" s="747"/>
      <c r="AK1222" s="747"/>
      <c r="AL1222" s="338"/>
      <c r="AM1222" s="337"/>
      <c r="AN1222" s="337"/>
      <c r="AO1222" s="337"/>
      <c r="AP1222" s="337"/>
      <c r="AQ1222" s="338"/>
      <c r="AR1222" s="337"/>
      <c r="AS1222" s="337"/>
      <c r="AT1222" s="337"/>
      <c r="AU1222" s="337"/>
      <c r="AV1222" s="338"/>
      <c r="AW1222" s="337"/>
      <c r="AX1222" s="337"/>
      <c r="AY1222" s="337"/>
      <c r="AZ1222" s="337"/>
      <c r="BA1222" s="1008"/>
      <c r="BB1222" s="337"/>
      <c r="BC1222" s="337"/>
      <c r="BD1222" s="337"/>
      <c r="BE1222" s="337"/>
      <c r="BF1222" s="1008"/>
      <c r="BG1222" s="1006"/>
      <c r="BH1222" s="1007"/>
      <c r="BI1222" s="1007"/>
      <c r="BJ1222" s="1831"/>
      <c r="BK1222" s="338"/>
      <c r="BL1222" s="1007"/>
      <c r="BM1222" s="1007"/>
      <c r="BN1222" s="1007"/>
      <c r="BO1222" s="1831"/>
      <c r="BP1222" s="338"/>
      <c r="BQ1222" s="1007"/>
      <c r="BR1222" s="1007"/>
      <c r="BS1222" s="1007"/>
      <c r="BT1222" s="1831"/>
      <c r="BU1222" s="3343"/>
      <c r="BV1222" s="1007"/>
      <c r="BW1222" s="1007"/>
      <c r="BX1222" s="1007"/>
      <c r="BY1222" s="1007"/>
      <c r="BZ1222" s="338"/>
      <c r="CA1222" s="338"/>
      <c r="CB1222" s="338"/>
      <c r="CC1222" s="338"/>
      <c r="CD1222" s="338"/>
      <c r="CE1222" s="338"/>
      <c r="CF1222" s="338"/>
      <c r="CG1222" s="338"/>
      <c r="CH1222" s="3995"/>
      <c r="CI1222" s="3995"/>
      <c r="CJ1222" s="3995"/>
      <c r="CK1222" s="3995"/>
      <c r="CL1222" s="337"/>
      <c r="CM1222" s="337"/>
      <c r="CN1222" s="337"/>
      <c r="CO1222" s="337"/>
      <c r="CP1222" s="1884"/>
      <c r="CQ1222" s="337"/>
      <c r="CR1222" s="337"/>
      <c r="CS1222" s="337"/>
      <c r="CT1222" s="337"/>
      <c r="CU1222" s="337"/>
      <c r="CV1222" s="337"/>
      <c r="CW1222" s="337"/>
      <c r="CX1222" s="337"/>
      <c r="CY1222" s="337"/>
      <c r="CZ1222" s="337"/>
      <c r="DA1222" s="337"/>
      <c r="DB1222" s="337"/>
      <c r="DC1222" s="337"/>
      <c r="DD1222" s="337"/>
      <c r="DE1222" s="337"/>
      <c r="DF1222" s="337"/>
      <c r="DG1222" s="1830"/>
      <c r="DH1222" s="341"/>
      <c r="DI1222" s="341"/>
      <c r="DJ1222" s="341"/>
      <c r="DK1222" s="341"/>
      <c r="DL1222" s="341"/>
      <c r="DM1222" s="341"/>
      <c r="DN1222" s="310"/>
      <c r="DO1222" s="749"/>
      <c r="DY1222" s="337"/>
      <c r="DZ1222" s="337"/>
    </row>
    <row r="1223" spans="1:130" ht="12" customHeight="1">
      <c r="A1223" s="1281" t="s">
        <v>1261</v>
      </c>
      <c r="B1223" s="1279"/>
      <c r="C1223" s="1279"/>
      <c r="D1223" s="1280"/>
      <c r="E1223" s="1280"/>
      <c r="F1223" s="1280"/>
      <c r="G1223" s="1280"/>
      <c r="H1223" s="1280"/>
      <c r="I1223" s="1280"/>
      <c r="J1223" s="1280"/>
      <c r="K1223" s="1280"/>
      <c r="L1223" s="1280"/>
      <c r="M1223" s="1280"/>
      <c r="N1223" s="1280"/>
      <c r="O1223" s="1280"/>
      <c r="P1223" s="1280"/>
      <c r="Q1223" s="1280"/>
      <c r="R1223" s="1280"/>
      <c r="S1223" s="1280"/>
      <c r="T1223" s="1280"/>
      <c r="U1223" s="1280"/>
      <c r="V1223" s="1280"/>
      <c r="W1223" s="1280"/>
      <c r="X1223" s="1280"/>
      <c r="Y1223" s="1280"/>
      <c r="Z1223" s="1280"/>
      <c r="AA1223" s="1280"/>
      <c r="AB1223" s="110">
        <v>2008</v>
      </c>
      <c r="AC1223" s="109" t="s">
        <v>216</v>
      </c>
      <c r="AD1223" s="109" t="s">
        <v>574</v>
      </c>
      <c r="AE1223" s="109" t="s">
        <v>575</v>
      </c>
      <c r="AF1223" s="109" t="s">
        <v>1720</v>
      </c>
      <c r="AG1223" s="110">
        <v>2009</v>
      </c>
      <c r="AH1223" s="109" t="str">
        <f>AH1182</f>
        <v>1Q10</v>
      </c>
      <c r="AI1223" s="109" t="str">
        <f t="shared" ref="AI1223:CG1223" si="2353">AI$6</f>
        <v>2Q10</v>
      </c>
      <c r="AJ1223" s="109" t="str">
        <f t="shared" si="2353"/>
        <v>3Q10</v>
      </c>
      <c r="AK1223" s="109" t="str">
        <f t="shared" si="2353"/>
        <v>4Q10</v>
      </c>
      <c r="AL1223" s="110">
        <f t="shared" si="2353"/>
        <v>2010</v>
      </c>
      <c r="AM1223" s="109" t="str">
        <f t="shared" si="2353"/>
        <v>1Q11</v>
      </c>
      <c r="AN1223" s="109" t="str">
        <f t="shared" si="2353"/>
        <v>2Q11</v>
      </c>
      <c r="AO1223" s="109" t="str">
        <f t="shared" si="2353"/>
        <v>3Q11</v>
      </c>
      <c r="AP1223" s="109" t="str">
        <f t="shared" si="2353"/>
        <v>4Q11</v>
      </c>
      <c r="AQ1223" s="110">
        <f t="shared" si="2353"/>
        <v>2011</v>
      </c>
      <c r="AR1223" s="109" t="str">
        <f t="shared" si="2353"/>
        <v>1Q12</v>
      </c>
      <c r="AS1223" s="109" t="str">
        <f t="shared" si="2353"/>
        <v>2Q12</v>
      </c>
      <c r="AT1223" s="109" t="str">
        <f t="shared" si="2353"/>
        <v>3Q12</v>
      </c>
      <c r="AU1223" s="109" t="str">
        <f t="shared" si="2353"/>
        <v>4Q12</v>
      </c>
      <c r="AV1223" s="110">
        <f t="shared" si="2353"/>
        <v>2012</v>
      </c>
      <c r="AW1223" s="109" t="str">
        <f t="shared" si="2353"/>
        <v>1Q13</v>
      </c>
      <c r="AX1223" s="109" t="str">
        <f t="shared" si="2353"/>
        <v>2Q13</v>
      </c>
      <c r="AY1223" s="109" t="str">
        <f t="shared" si="2353"/>
        <v>3Q13</v>
      </c>
      <c r="AZ1223" s="109" t="str">
        <f t="shared" si="2353"/>
        <v>4Q13</v>
      </c>
      <c r="BA1223" s="110">
        <f t="shared" si="2353"/>
        <v>2013</v>
      </c>
      <c r="BB1223" s="109" t="str">
        <f t="shared" si="2353"/>
        <v>1Q14</v>
      </c>
      <c r="BC1223" s="109" t="str">
        <f t="shared" si="2353"/>
        <v>2Q14</v>
      </c>
      <c r="BD1223" s="109" t="str">
        <f t="shared" si="2353"/>
        <v>3Q14</v>
      </c>
      <c r="BE1223" s="109" t="str">
        <f t="shared" si="2353"/>
        <v>4Q14</v>
      </c>
      <c r="BF1223" s="110">
        <f t="shared" si="2353"/>
        <v>2014</v>
      </c>
      <c r="BG1223" s="109" t="str">
        <f t="shared" si="2353"/>
        <v>1Q15</v>
      </c>
      <c r="BH1223" s="109" t="str">
        <f t="shared" si="2353"/>
        <v>2Q15</v>
      </c>
      <c r="BI1223" s="109" t="str">
        <f t="shared" si="2353"/>
        <v>3Q15</v>
      </c>
      <c r="BJ1223" s="109" t="str">
        <f t="shared" si="2353"/>
        <v>4Q15</v>
      </c>
      <c r="BK1223" s="110">
        <f t="shared" si="2353"/>
        <v>2015</v>
      </c>
      <c r="BL1223" s="109" t="str">
        <f t="shared" si="2353"/>
        <v>1Q16</v>
      </c>
      <c r="BM1223" s="109" t="str">
        <f t="shared" si="2353"/>
        <v>2Q16</v>
      </c>
      <c r="BN1223" s="109" t="str">
        <f t="shared" si="2353"/>
        <v>3Q16</v>
      </c>
      <c r="BO1223" s="109" t="str">
        <f t="shared" si="2353"/>
        <v>4Q16</v>
      </c>
      <c r="BP1223" s="110">
        <f t="shared" si="2353"/>
        <v>2016</v>
      </c>
      <c r="BQ1223" s="109" t="str">
        <f t="shared" si="2353"/>
        <v>1Q17</v>
      </c>
      <c r="BR1223" s="109" t="str">
        <f t="shared" si="2353"/>
        <v>2Q17</v>
      </c>
      <c r="BS1223" s="109" t="str">
        <f t="shared" si="2353"/>
        <v>3Q17</v>
      </c>
      <c r="BT1223" s="109" t="str">
        <f t="shared" si="2353"/>
        <v>4Q17A</v>
      </c>
      <c r="BU1223" s="3347" t="str">
        <f t="shared" si="2353"/>
        <v>2017A</v>
      </c>
      <c r="BV1223" s="109" t="str">
        <f t="shared" si="2353"/>
        <v>1Q18E</v>
      </c>
      <c r="BW1223" s="109" t="str">
        <f t="shared" si="2353"/>
        <v>2Q18E</v>
      </c>
      <c r="BX1223" s="109" t="str">
        <f t="shared" si="2353"/>
        <v>3Q18E</v>
      </c>
      <c r="BY1223" s="109" t="str">
        <f t="shared" si="2353"/>
        <v>4Q18E</v>
      </c>
      <c r="BZ1223" s="110" t="str">
        <f t="shared" si="2353"/>
        <v>2018E</v>
      </c>
      <c r="CA1223" s="110" t="str">
        <f t="shared" si="2353"/>
        <v>2019E</v>
      </c>
      <c r="CB1223" s="110" t="str">
        <f t="shared" si="2353"/>
        <v>2020E</v>
      </c>
      <c r="CC1223" s="110" t="str">
        <f t="shared" si="2353"/>
        <v>2021E</v>
      </c>
      <c r="CD1223" s="110" t="str">
        <f t="shared" si="2353"/>
        <v>2022E</v>
      </c>
      <c r="CE1223" s="110" t="str">
        <f t="shared" si="2353"/>
        <v>2023E</v>
      </c>
      <c r="CF1223" s="110" t="str">
        <f t="shared" si="2353"/>
        <v>2024E</v>
      </c>
      <c r="CG1223" s="110" t="str">
        <f t="shared" si="2353"/>
        <v>2025E</v>
      </c>
      <c r="CH1223" s="341"/>
      <c r="CI1223" s="341"/>
      <c r="CJ1223" s="341"/>
      <c r="CK1223" s="341"/>
      <c r="CL1223" s="341"/>
      <c r="CM1223" s="341"/>
      <c r="CN1223" s="341"/>
      <c r="CO1223" s="341"/>
      <c r="CP1223" s="1281" t="str">
        <f t="shared" ref="CP1223:CP1287" si="2354">A1223</f>
        <v>Debt schedule ($ in millions)</v>
      </c>
      <c r="CQ1223" s="109">
        <v>2004</v>
      </c>
      <c r="CR1223" s="109">
        <v>2005</v>
      </c>
      <c r="CS1223" s="109">
        <v>2006</v>
      </c>
      <c r="CT1223" s="109">
        <v>2007</v>
      </c>
      <c r="CU1223" s="109">
        <f>AB1223</f>
        <v>2008</v>
      </c>
      <c r="CV1223" s="109">
        <f>AG1223</f>
        <v>2009</v>
      </c>
      <c r="CW1223" s="109">
        <f>AL1223</f>
        <v>2010</v>
      </c>
      <c r="CX1223" s="109">
        <f>AQ1223</f>
        <v>2011</v>
      </c>
      <c r="CY1223" s="109">
        <f>AV1223</f>
        <v>2012</v>
      </c>
      <c r="CZ1223" s="109">
        <f>BA1223</f>
        <v>2013</v>
      </c>
      <c r="DA1223" s="109">
        <f>BF1223</f>
        <v>2014</v>
      </c>
      <c r="DB1223" s="109">
        <f>BK1223</f>
        <v>2015</v>
      </c>
      <c r="DC1223" s="109">
        <f>BP1223</f>
        <v>2016</v>
      </c>
      <c r="DD1223" s="109" t="str">
        <f>BU1223</f>
        <v>2017A</v>
      </c>
      <c r="DE1223" s="109" t="str">
        <f t="shared" ref="DE1223:DG1227" si="2355">BZ1223</f>
        <v>2018E</v>
      </c>
      <c r="DF1223" s="109" t="str">
        <f t="shared" si="2355"/>
        <v>2019E</v>
      </c>
      <c r="DG1223" s="1772" t="str">
        <f t="shared" si="2355"/>
        <v>2020E</v>
      </c>
      <c r="DH1223" s="341"/>
      <c r="DI1223" s="341"/>
      <c r="DJ1223" s="341"/>
      <c r="DK1223" s="341"/>
      <c r="DL1223" s="341"/>
      <c r="DM1223" s="341"/>
      <c r="DN1223" s="222"/>
      <c r="DO1223" s="226"/>
      <c r="DY1223" s="244"/>
      <c r="DZ1223" s="244"/>
    </row>
    <row r="1224" spans="1:130" ht="12" customHeight="1">
      <c r="A1224" s="1021" t="s">
        <v>309</v>
      </c>
      <c r="B1224" s="530"/>
      <c r="C1224" s="530"/>
      <c r="D1224" s="316">
        <f>SUM(D1082:D1106)</f>
        <v>1078.0269999999998</v>
      </c>
      <c r="E1224" s="318">
        <f>SUM(E1082:E1106)</f>
        <v>1270.9380000000003</v>
      </c>
      <c r="F1224" s="318">
        <f>SUM(F1082:F1106)</f>
        <v>2184.5279999999993</v>
      </c>
      <c r="G1224" s="318">
        <f>SUM(G1082:G1106)</f>
        <v>2310.0250000000001</v>
      </c>
      <c r="H1224" s="317">
        <f>G1224</f>
        <v>2310.0250000000001</v>
      </c>
      <c r="I1224" s="318">
        <f>SUM(I1082:I1106)</f>
        <v>2258.364</v>
      </c>
      <c r="J1224" s="318">
        <f>SUM(J1082:J1106)</f>
        <v>2357.8040000000001</v>
      </c>
      <c r="K1224" s="318">
        <f>SUM(K1082:K1106)</f>
        <v>2393.058</v>
      </c>
      <c r="L1224" s="318">
        <f>SUM(L1082:L1106)</f>
        <v>2558.5239999999999</v>
      </c>
      <c r="M1224" s="317">
        <f>L1224</f>
        <v>2558.5239999999999</v>
      </c>
      <c r="N1224" s="318">
        <f>SUM(N1082:N1106)</f>
        <v>2597.7469999999998</v>
      </c>
      <c r="O1224" s="318">
        <f>SUM(O1082:O1106)</f>
        <v>2610.123</v>
      </c>
      <c r="P1224" s="318">
        <f>SUM(P1082:P1106)</f>
        <v>2575.1389999999997</v>
      </c>
      <c r="Q1224" s="318">
        <f>SUM(Q1082:Q1106)</f>
        <v>2138.5660000000003</v>
      </c>
      <c r="R1224" s="317">
        <f>Q1224</f>
        <v>2138.5660000000003</v>
      </c>
      <c r="S1224" s="318">
        <f>SUM(S1082:S1106)</f>
        <v>2161.5350000000003</v>
      </c>
      <c r="T1224" s="318">
        <f>SUM(T1082:T1106)</f>
        <v>2214.6889999999999</v>
      </c>
      <c r="U1224" s="318">
        <f>SUM(U1082:U1106)</f>
        <v>2207.9520000000002</v>
      </c>
      <c r="V1224" s="318">
        <f>SUM(V1082:V1106)</f>
        <v>2266.558</v>
      </c>
      <c r="W1224" s="317">
        <f>V1224</f>
        <v>2266.558</v>
      </c>
      <c r="X1224" s="318">
        <f>SUM(X1082:X1106)</f>
        <v>2356.7629999999999</v>
      </c>
      <c r="Y1224" s="318">
        <f>SUM(Y1082:Y1106)</f>
        <v>2487.2290000000003</v>
      </c>
      <c r="Z1224" s="318">
        <f>SUM(Z1082:Z1106)</f>
        <v>2624.1</v>
      </c>
      <c r="AA1224" s="318">
        <f>SUM(AA1082:AA1106)</f>
        <v>2647.674</v>
      </c>
      <c r="AB1224" s="1030">
        <f>AA1224</f>
        <v>2647.674</v>
      </c>
      <c r="AC1224" s="1031">
        <f>SUM(AC1082:AC1106)</f>
        <v>2698.4979999999996</v>
      </c>
      <c r="AD1224" s="1031">
        <f>SUM(AD1082:AD1106)</f>
        <v>2689.37</v>
      </c>
      <c r="AE1224" s="1031">
        <f>SUM(AE1082:AE1106)</f>
        <v>2645.2709999999997</v>
      </c>
      <c r="AF1224" s="1031">
        <f>SUM(AF1082:AF1106)</f>
        <v>2577.5630000000001</v>
      </c>
      <c r="AG1224" s="1030">
        <f>AF1224</f>
        <v>2577.5630000000001</v>
      </c>
      <c r="AH1224" s="1031">
        <f>SUM(AH1082:AH1106)</f>
        <v>3202.393</v>
      </c>
      <c r="AI1224" s="1031">
        <f>SUM(AI1082:AI1106)</f>
        <v>3146.614</v>
      </c>
      <c r="AJ1224" s="1031">
        <f>SUM(AJ1082:AJ1106)</f>
        <v>3175.7380000000003</v>
      </c>
      <c r="AK1224" s="1031">
        <f>SUM(AK1082:AK1106)</f>
        <v>3718.7550000000001</v>
      </c>
      <c r="AL1224" s="1030">
        <f>AK1224</f>
        <v>3718.7550000000001</v>
      </c>
      <c r="AM1224" s="1031">
        <f>SUM(AM1082:AM1106)</f>
        <v>3681.2320000000004</v>
      </c>
      <c r="AN1224" s="1031">
        <f>SUM(AN1082:AN1106)</f>
        <v>3667.2599999999998</v>
      </c>
      <c r="AO1224" s="1031">
        <f>SUM(AO1082:AO1106)</f>
        <v>3646.9230000000002</v>
      </c>
      <c r="AP1224" s="1031">
        <f>SUM(AP1082:AP1106)</f>
        <v>3390.4560000000001</v>
      </c>
      <c r="AQ1224" s="1030">
        <f>AP1224</f>
        <v>3390.4560000000001</v>
      </c>
      <c r="AR1224" s="1031">
        <f>SUM(AR1082:AR1106)</f>
        <v>3324.895</v>
      </c>
      <c r="AS1224" s="1031">
        <f>SUM(AS1082:AS1106)</f>
        <v>3534.1759999999995</v>
      </c>
      <c r="AT1224" s="1031">
        <f>SUM(AT1082:AT1106)</f>
        <v>3515.9659999999994</v>
      </c>
      <c r="AU1224" s="1031">
        <f t="shared" ref="AU1224:BD1224" si="2356">SUM(AU1082:AU1111)</f>
        <v>4827.8529999999992</v>
      </c>
      <c r="AV1224" s="1030">
        <f t="shared" si="2356"/>
        <v>4827.8529999999992</v>
      </c>
      <c r="AW1224" s="1031">
        <f t="shared" si="2356"/>
        <v>4637.063000000001</v>
      </c>
      <c r="AX1224" s="1031">
        <f t="shared" si="2356"/>
        <v>4519.4810000000007</v>
      </c>
      <c r="AY1224" s="1031">
        <f t="shared" si="2356"/>
        <v>4312.9840000000004</v>
      </c>
      <c r="AZ1224" s="1031">
        <f t="shared" si="2356"/>
        <v>4352.9319999999998</v>
      </c>
      <c r="BA1224" s="1030">
        <f t="shared" si="2356"/>
        <v>4352.9319999999998</v>
      </c>
      <c r="BB1224" s="1031">
        <f t="shared" si="2356"/>
        <v>4301.2689999999993</v>
      </c>
      <c r="BC1224" s="1031">
        <f t="shared" si="2356"/>
        <v>4261.8369999999995</v>
      </c>
      <c r="BD1224" s="1031">
        <f t="shared" si="2356"/>
        <v>3432.7250000000004</v>
      </c>
      <c r="BE1224" s="1031">
        <f t="shared" ref="BE1224:CA1224" si="2357">+BE1114</f>
        <v>3431.6379999999999</v>
      </c>
      <c r="BF1224" s="1030">
        <f t="shared" si="2357"/>
        <v>3431.6379999999999</v>
      </c>
      <c r="BG1224" s="3018">
        <f t="shared" si="2357"/>
        <v>3376.0969999999998</v>
      </c>
      <c r="BH1224" s="3019">
        <f t="shared" si="2357"/>
        <v>3361.6179999999999</v>
      </c>
      <c r="BI1224" s="3019">
        <f t="shared" si="2357"/>
        <v>3302.6869999999994</v>
      </c>
      <c r="BJ1224" s="3020">
        <f t="shared" si="2357"/>
        <v>3239.799</v>
      </c>
      <c r="BK1224" s="1030">
        <f t="shared" si="2357"/>
        <v>3239.799</v>
      </c>
      <c r="BL1224" s="3019">
        <f t="shared" si="2357"/>
        <v>3657.9110000000001</v>
      </c>
      <c r="BM1224" s="3019">
        <f t="shared" si="2357"/>
        <v>3628.1120000000001</v>
      </c>
      <c r="BN1224" s="3019">
        <f t="shared" si="2357"/>
        <v>2956.998</v>
      </c>
      <c r="BO1224" s="3020">
        <f t="shared" si="2357"/>
        <v>3199.1190000000001</v>
      </c>
      <c r="BP1224" s="1030">
        <f t="shared" si="2357"/>
        <v>3199.1190000000001</v>
      </c>
      <c r="BQ1224" s="3019">
        <f t="shared" si="2357"/>
        <v>3187.5439999999999</v>
      </c>
      <c r="BR1224" s="3019">
        <f t="shared" si="2357"/>
        <v>3115.8509999999997</v>
      </c>
      <c r="BS1224" s="3019">
        <f t="shared" si="2357"/>
        <v>3045.5860000000002</v>
      </c>
      <c r="BT1224" s="3020">
        <f t="shared" si="2357"/>
        <v>3120.0000000000005</v>
      </c>
      <c r="BU1224" s="3319">
        <f t="shared" si="2357"/>
        <v>3120.0000000000005</v>
      </c>
      <c r="BV1224" s="3019">
        <f t="shared" si="2357"/>
        <v>3116.8750000000005</v>
      </c>
      <c r="BW1224" s="3019">
        <f t="shared" si="2357"/>
        <v>3113.7500000000005</v>
      </c>
      <c r="BX1224" s="3019">
        <f t="shared" si="2357"/>
        <v>4567.6329999999998</v>
      </c>
      <c r="BY1224" s="3020">
        <f t="shared" si="2357"/>
        <v>4561.0857500000002</v>
      </c>
      <c r="BZ1224" s="4029">
        <f t="shared" si="2357"/>
        <v>4561.0857500000002</v>
      </c>
      <c r="CA1224" s="1030">
        <f t="shared" si="2357"/>
        <v>4534.7927135999998</v>
      </c>
      <c r="CB1224" s="1030">
        <f>+CB1114</f>
        <v>4508.2394749048499</v>
      </c>
      <c r="CC1224" s="1030">
        <f>SUM(CC1082:CC1111)</f>
        <v>2354.08</v>
      </c>
      <c r="CD1224" s="1030">
        <f>SUM(CD1082:CD1111)</f>
        <v>2332.58</v>
      </c>
      <c r="CE1224" s="1030">
        <f>SUM(CE1082:CE1111)</f>
        <v>2311.08</v>
      </c>
      <c r="CF1224" s="1030">
        <f>SUM(CF1082:CF1111)</f>
        <v>2289.58</v>
      </c>
      <c r="CG1224" s="1030">
        <f>SUM(CG1082:CG1111)</f>
        <v>2268.08</v>
      </c>
      <c r="CH1224" s="3997"/>
      <c r="CI1224" s="3997"/>
      <c r="CJ1224" s="3997"/>
      <c r="CK1224" s="3997"/>
      <c r="CL1224" s="318"/>
      <c r="CM1224" s="331"/>
      <c r="CN1224" s="331"/>
      <c r="CO1224" s="318"/>
      <c r="CP1224" s="1021" t="str">
        <f t="shared" si="2354"/>
        <v>Total Debt</v>
      </c>
      <c r="CQ1224" s="1031">
        <f>H1224</f>
        <v>2310.0250000000001</v>
      </c>
      <c r="CR1224" s="1031">
        <f>M1224</f>
        <v>2558.5239999999999</v>
      </c>
      <c r="CS1224" s="1031">
        <f>R1224</f>
        <v>2138.5660000000003</v>
      </c>
      <c r="CT1224" s="1031">
        <f>W1224</f>
        <v>2266.558</v>
      </c>
      <c r="CU1224" s="1031">
        <f>AB1224</f>
        <v>2647.674</v>
      </c>
      <c r="CV1224" s="1031">
        <f>AG1224</f>
        <v>2577.5630000000001</v>
      </c>
      <c r="CW1224" s="1031">
        <f>AL1224</f>
        <v>3718.7550000000001</v>
      </c>
      <c r="CX1224" s="1031">
        <f>AQ1224</f>
        <v>3390.4560000000001</v>
      </c>
      <c r="CY1224" s="1031">
        <f>AV1224</f>
        <v>4827.8529999999992</v>
      </c>
      <c r="CZ1224" s="1031">
        <f>BA1224</f>
        <v>4352.9319999999998</v>
      </c>
      <c r="DA1224" s="1031">
        <f>BF1224</f>
        <v>3431.6379999999999</v>
      </c>
      <c r="DB1224" s="1031">
        <f>BK1224</f>
        <v>3239.799</v>
      </c>
      <c r="DC1224" s="1031">
        <f>BP1224</f>
        <v>3199.1190000000001</v>
      </c>
      <c r="DD1224" s="1031">
        <f>BU1224</f>
        <v>3120.0000000000005</v>
      </c>
      <c r="DE1224" s="1031">
        <f t="shared" si="2355"/>
        <v>4561.0857500000002</v>
      </c>
      <c r="DF1224" s="1031">
        <f t="shared" si="2355"/>
        <v>4534.7927135999998</v>
      </c>
      <c r="DG1224" s="1663">
        <f t="shared" si="2355"/>
        <v>4508.2394749048499</v>
      </c>
      <c r="DH1224" s="564"/>
      <c r="DI1224" s="564"/>
      <c r="DJ1224" s="564"/>
      <c r="DK1224" s="564"/>
      <c r="DL1224" s="564"/>
      <c r="DM1224" s="564"/>
      <c r="DN1224" s="222"/>
      <c r="DO1224" s="226"/>
      <c r="DY1224" s="1031"/>
      <c r="DZ1224" s="1031"/>
    </row>
    <row r="1225" spans="1:130" ht="12" customHeight="1">
      <c r="A1225" s="2715" t="s">
        <v>1775</v>
      </c>
      <c r="B1225" s="530"/>
      <c r="C1225" s="530"/>
      <c r="D1225" s="2716">
        <f>+-D1053</f>
        <v>-73.837999999999994</v>
      </c>
      <c r="E1225" s="2717">
        <f t="shared" ref="E1225:CB1225" si="2358">+-E1053</f>
        <v>-84.550000000000011</v>
      </c>
      <c r="F1225" s="308">
        <f t="shared" si="2358"/>
        <v>-125.17900000000003</v>
      </c>
      <c r="G1225" s="1701">
        <f t="shared" si="2358"/>
        <v>-160.72299999999993</v>
      </c>
      <c r="H1225" s="307">
        <f t="shared" si="2358"/>
        <v>-160.72300000000021</v>
      </c>
      <c r="I1225" s="308">
        <f t="shared" si="2358"/>
        <v>-136.81800000000021</v>
      </c>
      <c r="J1225" s="308">
        <f t="shared" si="2358"/>
        <v>-148.82100000000014</v>
      </c>
      <c r="K1225" s="308">
        <f t="shared" si="2358"/>
        <v>-139.84900000000016</v>
      </c>
      <c r="L1225" s="308">
        <f t="shared" si="2358"/>
        <v>-188.40600000000015</v>
      </c>
      <c r="M1225" s="307">
        <f t="shared" si="2358"/>
        <v>-188.40600000000015</v>
      </c>
      <c r="N1225" s="308">
        <f t="shared" si="2358"/>
        <v>-177.45100000000019</v>
      </c>
      <c r="O1225" s="308">
        <f t="shared" si="2358"/>
        <v>-169.34200000000021</v>
      </c>
      <c r="P1225" s="308">
        <f t="shared" si="2358"/>
        <v>-170.23500000000018</v>
      </c>
      <c r="Q1225" s="308">
        <f t="shared" si="2358"/>
        <v>-169.39699999999999</v>
      </c>
      <c r="R1225" s="307">
        <f t="shared" si="2358"/>
        <v>-169.39699999999999</v>
      </c>
      <c r="S1225" s="308">
        <f t="shared" si="2358"/>
        <v>-157.07199999999986</v>
      </c>
      <c r="T1225" s="308">
        <f t="shared" si="2358"/>
        <v>-159.38199999999998</v>
      </c>
      <c r="U1225" s="308">
        <f t="shared" si="2358"/>
        <v>-152.84499999999991</v>
      </c>
      <c r="V1225" s="308">
        <f t="shared" si="2358"/>
        <v>-165.70099999999996</v>
      </c>
      <c r="W1225" s="307">
        <f t="shared" si="2358"/>
        <v>-165.70099999999996</v>
      </c>
      <c r="X1225" s="308">
        <f t="shared" si="2358"/>
        <v>-152.52800000000002</v>
      </c>
      <c r="Y1225" s="308">
        <f t="shared" si="2358"/>
        <v>-148.73699999999997</v>
      </c>
      <c r="Z1225" s="308">
        <f t="shared" si="2358"/>
        <v>-123.57300000000001</v>
      </c>
      <c r="AA1225" s="308">
        <f t="shared" si="2358"/>
        <v>-98.152000000000157</v>
      </c>
      <c r="AB1225" s="307">
        <f t="shared" si="2358"/>
        <v>-98.152000000000157</v>
      </c>
      <c r="AC1225" s="308">
        <f t="shared" si="2358"/>
        <v>-98.168000000000148</v>
      </c>
      <c r="AD1225" s="308">
        <f t="shared" si="2358"/>
        <v>-93.646000000000157</v>
      </c>
      <c r="AE1225" s="308">
        <f t="shared" si="2358"/>
        <v>-89.061000000000135</v>
      </c>
      <c r="AF1225" s="308">
        <f t="shared" si="2358"/>
        <v>-93.202000000000311</v>
      </c>
      <c r="AG1225" s="307">
        <f t="shared" si="2358"/>
        <v>-93.202000000000311</v>
      </c>
      <c r="AH1225" s="308">
        <f t="shared" si="2358"/>
        <v>-108.2020000000003</v>
      </c>
      <c r="AI1225" s="308">
        <f t="shared" si="2358"/>
        <v>-100.17300000000031</v>
      </c>
      <c r="AJ1225" s="308">
        <f t="shared" si="2358"/>
        <v>-92.67500000000048</v>
      </c>
      <c r="AK1225" s="308">
        <f t="shared" si="2358"/>
        <v>-145.62300000000033</v>
      </c>
      <c r="AL1225" s="307">
        <f t="shared" si="2358"/>
        <v>-145.62300000000036</v>
      </c>
      <c r="AM1225" s="308">
        <f t="shared" si="2358"/>
        <v>-173.84800000000035</v>
      </c>
      <c r="AN1225" s="308">
        <f t="shared" si="2358"/>
        <v>-175.78000000000031</v>
      </c>
      <c r="AO1225" s="308">
        <f t="shared" si="2358"/>
        <v>-187.11800000000034</v>
      </c>
      <c r="AP1225" s="308">
        <f t="shared" si="2358"/>
        <v>-178.75600000000028</v>
      </c>
      <c r="AQ1225" s="307">
        <f t="shared" si="2358"/>
        <v>-178.75600000000031</v>
      </c>
      <c r="AR1225" s="308">
        <f t="shared" si="2358"/>
        <v>-156.71400000000034</v>
      </c>
      <c r="AS1225" s="308">
        <f t="shared" si="2358"/>
        <v>-360.45500000000027</v>
      </c>
      <c r="AT1225" s="308">
        <f t="shared" si="2358"/>
        <v>-343.77100000000036</v>
      </c>
      <c r="AU1225" s="308">
        <f t="shared" si="2358"/>
        <v>-192.82800000000037</v>
      </c>
      <c r="AV1225" s="307">
        <f t="shared" si="2358"/>
        <v>-192.8280000000002</v>
      </c>
      <c r="AW1225" s="308">
        <f t="shared" si="2358"/>
        <v>-358.35400000000016</v>
      </c>
      <c r="AX1225" s="308">
        <f t="shared" si="2358"/>
        <v>-182.61200000000014</v>
      </c>
      <c r="AY1225" s="308">
        <f t="shared" si="2358"/>
        <v>-165.80300000000045</v>
      </c>
      <c r="AZ1225" s="308">
        <f t="shared" si="2358"/>
        <v>-177.83800000000014</v>
      </c>
      <c r="BA1225" s="307">
        <f t="shared" si="2358"/>
        <v>-177.83800000000019</v>
      </c>
      <c r="BB1225" s="308">
        <f>+-BB1053</f>
        <v>-162.87800000000016</v>
      </c>
      <c r="BC1225" s="308">
        <f t="shared" si="2358"/>
        <v>-162.51200000000017</v>
      </c>
      <c r="BD1225" s="308">
        <f t="shared" si="2358"/>
        <v>-120.91000000000022</v>
      </c>
      <c r="BE1225" s="308">
        <f t="shared" si="2358"/>
        <v>-145.34100000000012</v>
      </c>
      <c r="BF1225" s="307">
        <f>+-BF1053</f>
        <v>-145.34100000000012</v>
      </c>
      <c r="BG1225" s="1702">
        <f>+-BG1053</f>
        <v>-130.79700000000011</v>
      </c>
      <c r="BH1225" s="308">
        <f t="shared" si="2358"/>
        <v>-124.52300000000025</v>
      </c>
      <c r="BI1225" s="308">
        <f t="shared" si="2358"/>
        <v>-125.04500000000012</v>
      </c>
      <c r="BJ1225" s="1701">
        <f t="shared" si="2358"/>
        <v>-158.82100000000008</v>
      </c>
      <c r="BK1225" s="307">
        <f t="shared" ref="BK1225:BP1225" si="2359">+-BK1053</f>
        <v>-158.82100000000008</v>
      </c>
      <c r="BL1225" s="308">
        <f t="shared" si="2359"/>
        <v>-616.20100000000002</v>
      </c>
      <c r="BM1225" s="308">
        <f t="shared" si="2359"/>
        <v>-628.27800000000002</v>
      </c>
      <c r="BN1225" s="308">
        <f t="shared" si="2359"/>
        <v>-159.68800000000027</v>
      </c>
      <c r="BO1225" s="1701">
        <f t="shared" si="2359"/>
        <v>-193.86199999999991</v>
      </c>
      <c r="BP1225" s="307">
        <f t="shared" si="2359"/>
        <v>-193.86199999999991</v>
      </c>
      <c r="BQ1225" s="308">
        <f t="shared" ref="BQ1225:BZ1225" si="2360">+-BQ1053</f>
        <v>-167.00699999999992</v>
      </c>
      <c r="BR1225" s="308">
        <f t="shared" si="2360"/>
        <v>-162.96299999999985</v>
      </c>
      <c r="BS1225" s="308">
        <f t="shared" si="2360"/>
        <v>-158.83199999999988</v>
      </c>
      <c r="BT1225" s="1701">
        <f t="shared" si="2360"/>
        <v>-203.10000000000002</v>
      </c>
      <c r="BU1225" s="3399">
        <f t="shared" si="2360"/>
        <v>-203.10000000000005</v>
      </c>
      <c r="BV1225" s="308">
        <f t="shared" si="2360"/>
        <v>-298.34941850179831</v>
      </c>
      <c r="BW1225" s="308">
        <f t="shared" si="2360"/>
        <v>-349.06552948765136</v>
      </c>
      <c r="BX1225" s="308">
        <f t="shared" si="2360"/>
        <v>-124.67873517035332</v>
      </c>
      <c r="BY1225" s="1701">
        <f t="shared" si="2360"/>
        <v>-206.57868206137107</v>
      </c>
      <c r="BZ1225" s="4030">
        <f t="shared" si="2360"/>
        <v>-206.57868206137104</v>
      </c>
      <c r="CA1225" s="307">
        <f t="shared" si="2358"/>
        <v>-566.27657320781861</v>
      </c>
      <c r="CB1225" s="307">
        <f t="shared" si="2358"/>
        <v>-930.93090457091466</v>
      </c>
      <c r="CC1225" s="307">
        <f>+-CC1053</f>
        <v>0</v>
      </c>
      <c r="CD1225" s="307">
        <f>+-CD1053</f>
        <v>0</v>
      </c>
      <c r="CE1225" s="307">
        <f>+-CE1053</f>
        <v>0</v>
      </c>
      <c r="CF1225" s="307">
        <f>+-CF1053</f>
        <v>0</v>
      </c>
      <c r="CG1225" s="307">
        <f>+-CG1053</f>
        <v>0</v>
      </c>
      <c r="CH1225" s="740"/>
      <c r="CI1225" s="740"/>
      <c r="CJ1225" s="740"/>
      <c r="CK1225" s="740"/>
      <c r="CL1225" s="740"/>
      <c r="CM1225" s="331"/>
      <c r="CN1225" s="331"/>
      <c r="CO1225" s="740"/>
      <c r="CP1225" s="995" t="str">
        <f t="shared" si="2354"/>
        <v>Less: Cash</v>
      </c>
      <c r="CQ1225" s="308">
        <f>H1225</f>
        <v>-160.72300000000021</v>
      </c>
      <c r="CR1225" s="308">
        <f>M1225</f>
        <v>-188.40600000000015</v>
      </c>
      <c r="CS1225" s="308">
        <f>R1225</f>
        <v>-169.39699999999999</v>
      </c>
      <c r="CT1225" s="308">
        <f>W1225</f>
        <v>-165.70099999999996</v>
      </c>
      <c r="CU1225" s="308">
        <f>AB1225</f>
        <v>-98.152000000000157</v>
      </c>
      <c r="CV1225" s="308">
        <f>AG1225</f>
        <v>-93.202000000000311</v>
      </c>
      <c r="CW1225" s="308">
        <f>AL1225</f>
        <v>-145.62300000000036</v>
      </c>
      <c r="CX1225" s="308">
        <f>AQ1225</f>
        <v>-178.75600000000031</v>
      </c>
      <c r="CY1225" s="308">
        <f>AV1225</f>
        <v>-192.8280000000002</v>
      </c>
      <c r="CZ1225" s="308">
        <f>BA1225</f>
        <v>-177.83800000000019</v>
      </c>
      <c r="DA1225" s="308">
        <f>BF1225</f>
        <v>-145.34100000000012</v>
      </c>
      <c r="DB1225" s="308">
        <f>BK1225</f>
        <v>-158.82100000000008</v>
      </c>
      <c r="DC1225" s="308">
        <f>BP1225</f>
        <v>-193.86199999999991</v>
      </c>
      <c r="DD1225" s="308">
        <f>BU1225</f>
        <v>-203.10000000000005</v>
      </c>
      <c r="DE1225" s="308">
        <f t="shared" si="2355"/>
        <v>-206.57868206137104</v>
      </c>
      <c r="DF1225" s="308">
        <f t="shared" si="2355"/>
        <v>-566.27657320781861</v>
      </c>
      <c r="DG1225" s="1701">
        <f t="shared" si="2355"/>
        <v>-930.93090457091466</v>
      </c>
      <c r="DH1225" s="741"/>
      <c r="DI1225" s="742"/>
      <c r="DJ1225" s="742"/>
      <c r="DK1225" s="742"/>
      <c r="DL1225" s="742"/>
      <c r="DM1225" s="742"/>
      <c r="DN1225" s="275"/>
      <c r="DO1225" s="276"/>
      <c r="DY1225" s="308"/>
      <c r="DZ1225" s="308"/>
    </row>
    <row r="1226" spans="1:130" ht="4.5" customHeight="1">
      <c r="A1226" s="962"/>
      <c r="B1226" s="293"/>
      <c r="C1226" s="293"/>
      <c r="D1226" s="294" t="s">
        <v>343</v>
      </c>
      <c r="E1226" s="295" t="s">
        <v>343</v>
      </c>
      <c r="F1226" s="295" t="s">
        <v>343</v>
      </c>
      <c r="G1226" s="295" t="s">
        <v>343</v>
      </c>
      <c r="H1226" s="296" t="s">
        <v>343</v>
      </c>
      <c r="I1226" s="295" t="s">
        <v>343</v>
      </c>
      <c r="J1226" s="295" t="s">
        <v>343</v>
      </c>
      <c r="K1226" s="295" t="s">
        <v>343</v>
      </c>
      <c r="L1226" s="295" t="s">
        <v>343</v>
      </c>
      <c r="M1226" s="296" t="s">
        <v>343</v>
      </c>
      <c r="N1226" s="295" t="s">
        <v>343</v>
      </c>
      <c r="O1226" s="295" t="s">
        <v>343</v>
      </c>
      <c r="P1226" s="295" t="s">
        <v>343</v>
      </c>
      <c r="Q1226" s="295" t="s">
        <v>343</v>
      </c>
      <c r="R1226" s="296" t="s">
        <v>343</v>
      </c>
      <c r="S1226" s="295" t="s">
        <v>343</v>
      </c>
      <c r="T1226" s="295" t="s">
        <v>343</v>
      </c>
      <c r="U1226" s="295" t="s">
        <v>343</v>
      </c>
      <c r="V1226" s="295" t="s">
        <v>343</v>
      </c>
      <c r="W1226" s="296" t="s">
        <v>343</v>
      </c>
      <c r="X1226" s="295" t="s">
        <v>343</v>
      </c>
      <c r="Y1226" s="295" t="s">
        <v>343</v>
      </c>
      <c r="Z1226" s="295" t="s">
        <v>343</v>
      </c>
      <c r="AA1226" s="295" t="s">
        <v>343</v>
      </c>
      <c r="AB1226" s="296" t="s">
        <v>343</v>
      </c>
      <c r="AC1226" s="295" t="s">
        <v>343</v>
      </c>
      <c r="AD1226" s="295" t="s">
        <v>343</v>
      </c>
      <c r="AE1226" s="295" t="s">
        <v>343</v>
      </c>
      <c r="AF1226" s="295" t="s">
        <v>343</v>
      </c>
      <c r="AG1226" s="296" t="s">
        <v>343</v>
      </c>
      <c r="AH1226" s="295" t="s">
        <v>343</v>
      </c>
      <c r="AI1226" s="295" t="s">
        <v>343</v>
      </c>
      <c r="AJ1226" s="295" t="s">
        <v>343</v>
      </c>
      <c r="AK1226" s="295" t="s">
        <v>343</v>
      </c>
      <c r="AL1226" s="296" t="s">
        <v>343</v>
      </c>
      <c r="AM1226" s="295" t="s">
        <v>343</v>
      </c>
      <c r="AN1226" s="295" t="s">
        <v>343</v>
      </c>
      <c r="AO1226" s="295" t="s">
        <v>343</v>
      </c>
      <c r="AP1226" s="295" t="s">
        <v>343</v>
      </c>
      <c r="AQ1226" s="296" t="s">
        <v>343</v>
      </c>
      <c r="AR1226" s="295" t="s">
        <v>343</v>
      </c>
      <c r="AS1226" s="295" t="s">
        <v>343</v>
      </c>
      <c r="AT1226" s="295" t="s">
        <v>343</v>
      </c>
      <c r="AU1226" s="295" t="s">
        <v>343</v>
      </c>
      <c r="AV1226" s="296" t="s">
        <v>343</v>
      </c>
      <c r="AW1226" s="295" t="s">
        <v>343</v>
      </c>
      <c r="AX1226" s="295" t="s">
        <v>343</v>
      </c>
      <c r="AY1226" s="295" t="s">
        <v>343</v>
      </c>
      <c r="AZ1226" s="295" t="s">
        <v>343</v>
      </c>
      <c r="BA1226" s="296" t="s">
        <v>343</v>
      </c>
      <c r="BB1226" s="295" t="s">
        <v>343</v>
      </c>
      <c r="BC1226" s="295" t="s">
        <v>343</v>
      </c>
      <c r="BD1226" s="295" t="s">
        <v>343</v>
      </c>
      <c r="BE1226" s="295" t="s">
        <v>343</v>
      </c>
      <c r="BF1226" s="296" t="s">
        <v>343</v>
      </c>
      <c r="BG1226" s="294" t="s">
        <v>343</v>
      </c>
      <c r="BH1226" s="295" t="s">
        <v>343</v>
      </c>
      <c r="BI1226" s="295" t="s">
        <v>343</v>
      </c>
      <c r="BJ1226" s="297" t="s">
        <v>343</v>
      </c>
      <c r="BK1226" s="296" t="s">
        <v>343</v>
      </c>
      <c r="BL1226" s="295" t="s">
        <v>343</v>
      </c>
      <c r="BM1226" s="295" t="s">
        <v>343</v>
      </c>
      <c r="BN1226" s="295" t="s">
        <v>343</v>
      </c>
      <c r="BO1226" s="297" t="s">
        <v>343</v>
      </c>
      <c r="BP1226" s="296" t="s">
        <v>343</v>
      </c>
      <c r="BQ1226" s="295" t="s">
        <v>343</v>
      </c>
      <c r="BR1226" s="295" t="s">
        <v>343</v>
      </c>
      <c r="BS1226" s="295" t="s">
        <v>343</v>
      </c>
      <c r="BT1226" s="297" t="s">
        <v>343</v>
      </c>
      <c r="BU1226" s="3314" t="s">
        <v>343</v>
      </c>
      <c r="BV1226" s="295" t="s">
        <v>343</v>
      </c>
      <c r="BW1226" s="295" t="s">
        <v>343</v>
      </c>
      <c r="BX1226" s="295" t="s">
        <v>343</v>
      </c>
      <c r="BY1226" s="297" t="s">
        <v>343</v>
      </c>
      <c r="BZ1226" s="297" t="s">
        <v>343</v>
      </c>
      <c r="CA1226" s="297" t="s">
        <v>343</v>
      </c>
      <c r="CB1226" s="297" t="s">
        <v>343</v>
      </c>
      <c r="CC1226" s="297" t="s">
        <v>343</v>
      </c>
      <c r="CD1226" s="297" t="s">
        <v>343</v>
      </c>
      <c r="CE1226" s="297" t="s">
        <v>343</v>
      </c>
      <c r="CF1226" s="297" t="s">
        <v>343</v>
      </c>
      <c r="CG1226" s="297" t="s">
        <v>343</v>
      </c>
      <c r="CH1226" s="295"/>
      <c r="CI1226" s="295"/>
      <c r="CJ1226" s="295"/>
      <c r="CK1226" s="295"/>
      <c r="CL1226" s="295"/>
      <c r="CM1226" s="295"/>
      <c r="CN1226" s="295"/>
      <c r="CO1226" s="295"/>
      <c r="CP1226" s="1784"/>
      <c r="CQ1226" s="295" t="str">
        <f>H1226</f>
        <v xml:space="preserve">                </v>
      </c>
      <c r="CR1226" s="295" t="str">
        <f>M1226</f>
        <v xml:space="preserve">                </v>
      </c>
      <c r="CS1226" s="295" t="str">
        <f>R1226</f>
        <v xml:space="preserve">                </v>
      </c>
      <c r="CT1226" s="295" t="str">
        <f>W1226</f>
        <v xml:space="preserve">                </v>
      </c>
      <c r="CU1226" s="295" t="str">
        <f>AB1226</f>
        <v xml:space="preserve">                </v>
      </c>
      <c r="CV1226" s="295" t="str">
        <f>AG1226</f>
        <v xml:space="preserve">                </v>
      </c>
      <c r="CW1226" s="295" t="str">
        <f>AL1226</f>
        <v xml:space="preserve">                </v>
      </c>
      <c r="CX1226" s="295" t="str">
        <f>AQ1226</f>
        <v xml:space="preserve">                </v>
      </c>
      <c r="CY1226" s="295" t="str">
        <f>AV1226</f>
        <v xml:space="preserve">                </v>
      </c>
      <c r="CZ1226" s="295" t="str">
        <f>BA1226</f>
        <v xml:space="preserve">                </v>
      </c>
      <c r="DA1226" s="295" t="str">
        <f>BF1226</f>
        <v xml:space="preserve">                </v>
      </c>
      <c r="DB1226" s="295" t="str">
        <f>BK1226</f>
        <v xml:space="preserve">                </v>
      </c>
      <c r="DC1226" s="295" t="str">
        <f>BP1226</f>
        <v xml:space="preserve">                </v>
      </c>
      <c r="DD1226" s="295" t="str">
        <f>BU1226</f>
        <v xml:space="preserve">                </v>
      </c>
      <c r="DE1226" s="295" t="str">
        <f t="shared" si="2355"/>
        <v xml:space="preserve">                </v>
      </c>
      <c r="DF1226" s="295" t="str">
        <f t="shared" si="2355"/>
        <v xml:space="preserve">                </v>
      </c>
      <c r="DG1226" s="297" t="str">
        <f t="shared" si="2355"/>
        <v xml:space="preserve">                </v>
      </c>
      <c r="DH1226" s="298"/>
      <c r="DI1226" s="299"/>
      <c r="DJ1226" s="299"/>
      <c r="DK1226" s="299"/>
      <c r="DL1226" s="299"/>
      <c r="DM1226" s="299"/>
      <c r="DN1226" s="299"/>
      <c r="DO1226" s="300"/>
      <c r="DY1226" s="295"/>
      <c r="DZ1226" s="295"/>
    </row>
    <row r="1227" spans="1:130" ht="12.75" customHeight="1">
      <c r="A1227" s="1022" t="s">
        <v>583</v>
      </c>
      <c r="B1227" s="929"/>
      <c r="C1227" s="929"/>
      <c r="D1227" s="931">
        <f>D1225+D1224</f>
        <v>1004.1889999999999</v>
      </c>
      <c r="E1227" s="929">
        <f t="shared" ref="E1227:AV1227" si="2361">E1225+E1224</f>
        <v>1186.3880000000004</v>
      </c>
      <c r="F1227" s="929">
        <f t="shared" si="2361"/>
        <v>2059.3489999999993</v>
      </c>
      <c r="G1227" s="929">
        <f t="shared" si="2361"/>
        <v>2149.3020000000001</v>
      </c>
      <c r="H1227" s="930">
        <f t="shared" si="2361"/>
        <v>2149.3019999999997</v>
      </c>
      <c r="I1227" s="929">
        <f t="shared" si="2361"/>
        <v>2121.5459999999998</v>
      </c>
      <c r="J1227" s="929">
        <f t="shared" si="2361"/>
        <v>2208.9830000000002</v>
      </c>
      <c r="K1227" s="929">
        <f t="shared" si="2361"/>
        <v>2253.2089999999998</v>
      </c>
      <c r="L1227" s="929">
        <f t="shared" si="2361"/>
        <v>2370.1179999999999</v>
      </c>
      <c r="M1227" s="930">
        <f t="shared" si="2361"/>
        <v>2370.1179999999999</v>
      </c>
      <c r="N1227" s="929">
        <f t="shared" si="2361"/>
        <v>2420.2959999999998</v>
      </c>
      <c r="O1227" s="929">
        <f t="shared" si="2361"/>
        <v>2440.7809999999999</v>
      </c>
      <c r="P1227" s="929">
        <f t="shared" si="2361"/>
        <v>2404.9039999999995</v>
      </c>
      <c r="Q1227" s="929">
        <f t="shared" si="2361"/>
        <v>1969.1690000000003</v>
      </c>
      <c r="R1227" s="930">
        <f t="shared" si="2361"/>
        <v>1969.1690000000003</v>
      </c>
      <c r="S1227" s="929">
        <f t="shared" si="2361"/>
        <v>2004.4630000000004</v>
      </c>
      <c r="T1227" s="929">
        <f t="shared" si="2361"/>
        <v>2055.3069999999998</v>
      </c>
      <c r="U1227" s="929">
        <f t="shared" si="2361"/>
        <v>2055.1070000000004</v>
      </c>
      <c r="V1227" s="929">
        <f t="shared" si="2361"/>
        <v>2100.857</v>
      </c>
      <c r="W1227" s="930">
        <f t="shared" si="2361"/>
        <v>2100.857</v>
      </c>
      <c r="X1227" s="929">
        <f t="shared" si="2361"/>
        <v>2204.2349999999997</v>
      </c>
      <c r="Y1227" s="929">
        <f t="shared" si="2361"/>
        <v>2338.4920000000002</v>
      </c>
      <c r="Z1227" s="929">
        <f t="shared" si="2361"/>
        <v>2500.527</v>
      </c>
      <c r="AA1227" s="929">
        <f t="shared" si="2361"/>
        <v>2549.5219999999999</v>
      </c>
      <c r="AB1227" s="930">
        <f t="shared" si="2361"/>
        <v>2549.5219999999999</v>
      </c>
      <c r="AC1227" s="929">
        <f t="shared" si="2361"/>
        <v>2600.3299999999995</v>
      </c>
      <c r="AD1227" s="929">
        <f t="shared" si="2361"/>
        <v>2595.7239999999997</v>
      </c>
      <c r="AE1227" s="929">
        <f t="shared" si="2361"/>
        <v>2556.2099999999996</v>
      </c>
      <c r="AF1227" s="929">
        <f t="shared" si="2361"/>
        <v>2484.3609999999999</v>
      </c>
      <c r="AG1227" s="930">
        <f t="shared" si="2361"/>
        <v>2484.3609999999999</v>
      </c>
      <c r="AH1227" s="929">
        <f t="shared" si="2361"/>
        <v>3094.1909999999998</v>
      </c>
      <c r="AI1227" s="929">
        <f t="shared" si="2361"/>
        <v>3046.4409999999998</v>
      </c>
      <c r="AJ1227" s="929">
        <f t="shared" si="2361"/>
        <v>3083.0629999999996</v>
      </c>
      <c r="AK1227" s="929">
        <f t="shared" si="2361"/>
        <v>3573.1319999999996</v>
      </c>
      <c r="AL1227" s="930">
        <f t="shared" si="2361"/>
        <v>3573.1319999999996</v>
      </c>
      <c r="AM1227" s="929">
        <f>AM1225+AM1224</f>
        <v>3507.384</v>
      </c>
      <c r="AN1227" s="929">
        <f>AN1225+AN1224</f>
        <v>3491.4799999999996</v>
      </c>
      <c r="AO1227" s="929">
        <f>AO1225+AO1224</f>
        <v>3459.8049999999998</v>
      </c>
      <c r="AP1227" s="929">
        <f>AP1225+AP1224+0.278</f>
        <v>3211.9779999999996</v>
      </c>
      <c r="AQ1227" s="930">
        <f t="shared" si="2361"/>
        <v>3211.7</v>
      </c>
      <c r="AR1227" s="929">
        <f>AR1225+AR1224</f>
        <v>3168.1809999999996</v>
      </c>
      <c r="AS1227" s="929">
        <f>AS1225+AS1224</f>
        <v>3173.7209999999991</v>
      </c>
      <c r="AT1227" s="929">
        <f>AT1225+AT1224</f>
        <v>3172.1949999999993</v>
      </c>
      <c r="AU1227" s="929">
        <f>AU1225+AU1224+0.278</f>
        <v>4635.302999999999</v>
      </c>
      <c r="AV1227" s="930">
        <f t="shared" si="2361"/>
        <v>4635.0249999999987</v>
      </c>
      <c r="AW1227" s="929">
        <f>AW1225+AW1224</f>
        <v>4278.7090000000007</v>
      </c>
      <c r="AX1227" s="929">
        <f>AX1225+AX1224</f>
        <v>4336.8690000000006</v>
      </c>
      <c r="AY1227" s="929">
        <f>AY1225+AY1224</f>
        <v>4147.1809999999996</v>
      </c>
      <c r="AZ1227" s="929">
        <f>AZ1225+AZ1224+0.278</f>
        <v>4175.3720000000003</v>
      </c>
      <c r="BA1227" s="930">
        <f>BA1225+BA1224</f>
        <v>4175.0939999999991</v>
      </c>
      <c r="BB1227" s="929">
        <f>BB1225+BB1224</f>
        <v>4138.3909999999996</v>
      </c>
      <c r="BC1227" s="929">
        <f>BC1225+BC1224</f>
        <v>4099.3249999999989</v>
      </c>
      <c r="BD1227" s="929">
        <f>BD1225+BD1224</f>
        <v>3311.8150000000001</v>
      </c>
      <c r="BE1227" s="929">
        <f>BE1225+BE1224+0.278</f>
        <v>3286.5749999999994</v>
      </c>
      <c r="BF1227" s="930">
        <f>BF1225+BF1224</f>
        <v>3286.2969999999996</v>
      </c>
      <c r="BG1227" s="931">
        <f>BG1225+BG1224</f>
        <v>3245.2999999999997</v>
      </c>
      <c r="BH1227" s="929">
        <f>BH1225+BH1224</f>
        <v>3237.0949999999998</v>
      </c>
      <c r="BI1227" s="929">
        <f>BI1225+BI1224</f>
        <v>3177.6419999999994</v>
      </c>
      <c r="BJ1227" s="1933">
        <f>BJ1225+BJ1224+0.278</f>
        <v>3081.2559999999999</v>
      </c>
      <c r="BK1227" s="930">
        <f>BK1225+BK1224</f>
        <v>3080.9780000000001</v>
      </c>
      <c r="BL1227" s="929">
        <f>BL1225+BL1224</f>
        <v>3041.71</v>
      </c>
      <c r="BM1227" s="929">
        <f>BM1225+BM1224</f>
        <v>2999.8339999999998</v>
      </c>
      <c r="BN1227" s="929">
        <f>BN1225+BN1224</f>
        <v>2797.31</v>
      </c>
      <c r="BO1227" s="1933">
        <f>BO1225+BO1224+0.278</f>
        <v>3005.5349999999999</v>
      </c>
      <c r="BP1227" s="930">
        <f t="shared" ref="BP1227:CG1227" si="2362">BP1225+BP1224</f>
        <v>3005.2570000000001</v>
      </c>
      <c r="BQ1227" s="929">
        <f t="shared" si="2362"/>
        <v>3020.5369999999998</v>
      </c>
      <c r="BR1227" s="929">
        <f t="shared" si="2362"/>
        <v>2952.8879999999999</v>
      </c>
      <c r="BS1227" s="929">
        <f t="shared" si="2362"/>
        <v>2886.7540000000004</v>
      </c>
      <c r="BT1227" s="1933">
        <f t="shared" si="2362"/>
        <v>2916.9000000000005</v>
      </c>
      <c r="BU1227" s="3452">
        <f>BU1225+BU1224</f>
        <v>2916.9000000000005</v>
      </c>
      <c r="BV1227" s="929">
        <f t="shared" ref="BV1227:BY1227" si="2363">BV1225+BV1224</f>
        <v>2818.525581498202</v>
      </c>
      <c r="BW1227" s="929">
        <f t="shared" si="2363"/>
        <v>2764.684470512349</v>
      </c>
      <c r="BX1227" s="929">
        <f t="shared" si="2363"/>
        <v>4442.9542648296465</v>
      </c>
      <c r="BY1227" s="1933">
        <f t="shared" si="2363"/>
        <v>4354.507067938629</v>
      </c>
      <c r="BZ1227" s="930">
        <f>BZ1225+BZ1224</f>
        <v>4354.507067938629</v>
      </c>
      <c r="CA1227" s="930">
        <f t="shared" si="2362"/>
        <v>3968.5161403921811</v>
      </c>
      <c r="CB1227" s="930">
        <f t="shared" si="2362"/>
        <v>3577.3085703339352</v>
      </c>
      <c r="CC1227" s="930">
        <f t="shared" si="2362"/>
        <v>2354.08</v>
      </c>
      <c r="CD1227" s="930">
        <f t="shared" si="2362"/>
        <v>2332.58</v>
      </c>
      <c r="CE1227" s="930">
        <f t="shared" si="2362"/>
        <v>2311.08</v>
      </c>
      <c r="CF1227" s="930">
        <f t="shared" si="2362"/>
        <v>2289.58</v>
      </c>
      <c r="CG1227" s="930">
        <f t="shared" si="2362"/>
        <v>2268.08</v>
      </c>
      <c r="CH1227" s="929"/>
      <c r="CI1227" s="929"/>
      <c r="CJ1227" s="929"/>
      <c r="CK1227" s="929"/>
      <c r="CL1227" s="929"/>
      <c r="CM1227" s="331"/>
      <c r="CN1227" s="331"/>
      <c r="CO1227" s="929"/>
      <c r="CP1227" s="1022" t="str">
        <f t="shared" si="2354"/>
        <v>Total Net Debt</v>
      </c>
      <c r="CQ1227" s="929">
        <f>H1227</f>
        <v>2149.3019999999997</v>
      </c>
      <c r="CR1227" s="929">
        <f>M1227</f>
        <v>2370.1179999999999</v>
      </c>
      <c r="CS1227" s="929">
        <f>R1227</f>
        <v>1969.1690000000003</v>
      </c>
      <c r="CT1227" s="929">
        <f>W1227</f>
        <v>2100.857</v>
      </c>
      <c r="CU1227" s="929">
        <f>AB1227</f>
        <v>2549.5219999999999</v>
      </c>
      <c r="CV1227" s="929">
        <f>AG1227</f>
        <v>2484.3609999999999</v>
      </c>
      <c r="CW1227" s="929">
        <f>AL1227</f>
        <v>3573.1319999999996</v>
      </c>
      <c r="CX1227" s="929">
        <f>AQ1227</f>
        <v>3211.7</v>
      </c>
      <c r="CY1227" s="929">
        <f>AV1227</f>
        <v>4635.0249999999987</v>
      </c>
      <c r="CZ1227" s="929">
        <f>BA1227</f>
        <v>4175.0939999999991</v>
      </c>
      <c r="DA1227" s="929">
        <f>BF1227</f>
        <v>3286.2969999999996</v>
      </c>
      <c r="DB1227" s="929">
        <f>BK1227</f>
        <v>3080.9780000000001</v>
      </c>
      <c r="DC1227" s="929">
        <f>BP1227</f>
        <v>3005.2570000000001</v>
      </c>
      <c r="DD1227" s="929">
        <f>BU1227</f>
        <v>2916.9000000000005</v>
      </c>
      <c r="DE1227" s="929">
        <f t="shared" si="2355"/>
        <v>4354.507067938629</v>
      </c>
      <c r="DF1227" s="929">
        <f t="shared" si="2355"/>
        <v>3968.5161403921811</v>
      </c>
      <c r="DG1227" s="1933">
        <f t="shared" si="2355"/>
        <v>3577.3085703339352</v>
      </c>
      <c r="DH1227" s="929"/>
      <c r="DI1227" s="929"/>
      <c r="DJ1227" s="929"/>
      <c r="DK1227" s="929"/>
      <c r="DL1227" s="929"/>
      <c r="DM1227" s="929"/>
      <c r="DN1227" s="929"/>
      <c r="DO1227" s="932"/>
      <c r="DY1227" s="929"/>
      <c r="DZ1227" s="929"/>
    </row>
    <row r="1228" spans="1:130" ht="12.75" customHeight="1">
      <c r="A1228" s="1023"/>
      <c r="B1228" s="198"/>
      <c r="C1228" s="198"/>
      <c r="D1228" s="934"/>
      <c r="E1228" s="198"/>
      <c r="F1228" s="198"/>
      <c r="G1228" s="198"/>
      <c r="H1228" s="933"/>
      <c r="I1228" s="198"/>
      <c r="J1228" s="198"/>
      <c r="K1228" s="198"/>
      <c r="L1228" s="198"/>
      <c r="M1228" s="933"/>
      <c r="N1228" s="198"/>
      <c r="O1228" s="198"/>
      <c r="P1228" s="198"/>
      <c r="Q1228" s="198"/>
      <c r="R1228" s="933"/>
      <c r="S1228" s="198"/>
      <c r="T1228" s="198"/>
      <c r="U1228" s="198"/>
      <c r="V1228" s="198"/>
      <c r="W1228" s="933"/>
      <c r="X1228" s="198"/>
      <c r="Y1228" s="198"/>
      <c r="Z1228" s="198"/>
      <c r="AA1228" s="198"/>
      <c r="AB1228" s="933"/>
      <c r="AC1228" s="198"/>
      <c r="AD1228" s="198"/>
      <c r="AE1228" s="198"/>
      <c r="AF1228" s="198"/>
      <c r="AG1228" s="933"/>
      <c r="AH1228" s="198"/>
      <c r="AI1228" s="198"/>
      <c r="AJ1228" s="198"/>
      <c r="AK1228" s="198"/>
      <c r="AL1228" s="933"/>
      <c r="AM1228" s="198"/>
      <c r="AN1228" s="198"/>
      <c r="AO1228" s="198"/>
      <c r="AP1228" s="198"/>
      <c r="AQ1228" s="933"/>
      <c r="AR1228" s="198"/>
      <c r="AS1228" s="198"/>
      <c r="AT1228" s="2204"/>
      <c r="AU1228" s="198"/>
      <c r="AV1228" s="933"/>
      <c r="AW1228" s="929"/>
      <c r="AX1228" s="198"/>
      <c r="AY1228" s="2204"/>
      <c r="AZ1228" s="198"/>
      <c r="BA1228" s="930"/>
      <c r="BB1228" s="929"/>
      <c r="BC1228" s="198"/>
      <c r="BD1228" s="198"/>
      <c r="BE1228" s="198"/>
      <c r="BF1228" s="933"/>
      <c r="BG1228" s="934"/>
      <c r="BH1228" s="198"/>
      <c r="BI1228" s="198"/>
      <c r="BJ1228" s="1934"/>
      <c r="BK1228" s="933"/>
      <c r="BL1228" s="198"/>
      <c r="BM1228" s="198"/>
      <c r="BN1228" s="198"/>
      <c r="BO1228" s="1934"/>
      <c r="BP1228" s="933"/>
      <c r="BQ1228" s="198"/>
      <c r="BR1228" s="198"/>
      <c r="BS1228" s="198"/>
      <c r="BT1228" s="1934"/>
      <c r="BU1228" s="3453"/>
      <c r="BV1228" s="198"/>
      <c r="BW1228" s="198"/>
      <c r="BX1228" s="198"/>
      <c r="BY1228" s="1934"/>
      <c r="BZ1228" s="933"/>
      <c r="CA1228" s="933"/>
      <c r="CB1228" s="933"/>
      <c r="CC1228" s="933"/>
      <c r="CD1228" s="933"/>
      <c r="CE1228" s="933"/>
      <c r="CF1228" s="933"/>
      <c r="CG1228" s="933"/>
      <c r="CH1228" s="198"/>
      <c r="CI1228" s="198"/>
      <c r="CJ1228" s="198"/>
      <c r="CK1228" s="198"/>
      <c r="CL1228" s="198"/>
      <c r="CM1228" s="198"/>
      <c r="CN1228" s="198"/>
      <c r="CO1228" s="198"/>
      <c r="CP1228" s="1023"/>
      <c r="CQ1228" s="198"/>
      <c r="CR1228" s="198"/>
      <c r="CS1228" s="198"/>
      <c r="CT1228" s="198"/>
      <c r="CU1228" s="198"/>
      <c r="CV1228" s="198"/>
      <c r="CW1228" s="198"/>
      <c r="CX1228" s="198"/>
      <c r="CY1228" s="198"/>
      <c r="CZ1228" s="198"/>
      <c r="DA1228" s="198"/>
      <c r="DB1228" s="198"/>
      <c r="DC1228" s="198"/>
      <c r="DD1228" s="198"/>
      <c r="DE1228" s="198"/>
      <c r="DF1228" s="198"/>
      <c r="DG1228" s="1934"/>
      <c r="DH1228" s="198"/>
      <c r="DI1228" s="198"/>
      <c r="DJ1228" s="198"/>
      <c r="DK1228" s="198"/>
      <c r="DL1228" s="198"/>
      <c r="DM1228" s="198"/>
      <c r="DN1228" s="198"/>
      <c r="DO1228" s="107"/>
      <c r="DY1228" s="198"/>
      <c r="DZ1228" s="198"/>
    </row>
    <row r="1229" spans="1:130" ht="12.75" customHeight="1">
      <c r="A1229" s="733" t="s">
        <v>583</v>
      </c>
      <c r="B1229" s="104"/>
      <c r="C1229" s="104"/>
      <c r="D1229" s="936">
        <f>D1227</f>
        <v>1004.1889999999999</v>
      </c>
      <c r="E1229" s="104">
        <f t="shared" ref="E1229:AZ1229" si="2364">E1227</f>
        <v>1186.3880000000004</v>
      </c>
      <c r="F1229" s="104">
        <f t="shared" si="2364"/>
        <v>2059.3489999999993</v>
      </c>
      <c r="G1229" s="104">
        <f t="shared" si="2364"/>
        <v>2149.3020000000001</v>
      </c>
      <c r="H1229" s="935">
        <f t="shared" si="2364"/>
        <v>2149.3019999999997</v>
      </c>
      <c r="I1229" s="104">
        <f t="shared" si="2364"/>
        <v>2121.5459999999998</v>
      </c>
      <c r="J1229" s="104">
        <f t="shared" si="2364"/>
        <v>2208.9830000000002</v>
      </c>
      <c r="K1229" s="104">
        <f t="shared" si="2364"/>
        <v>2253.2089999999998</v>
      </c>
      <c r="L1229" s="104">
        <f t="shared" si="2364"/>
        <v>2370.1179999999999</v>
      </c>
      <c r="M1229" s="935">
        <f t="shared" si="2364"/>
        <v>2370.1179999999999</v>
      </c>
      <c r="N1229" s="104">
        <f t="shared" si="2364"/>
        <v>2420.2959999999998</v>
      </c>
      <c r="O1229" s="104">
        <f t="shared" si="2364"/>
        <v>2440.7809999999999</v>
      </c>
      <c r="P1229" s="104">
        <f t="shared" si="2364"/>
        <v>2404.9039999999995</v>
      </c>
      <c r="Q1229" s="104">
        <f t="shared" si="2364"/>
        <v>1969.1690000000003</v>
      </c>
      <c r="R1229" s="935">
        <f t="shared" si="2364"/>
        <v>1969.1690000000003</v>
      </c>
      <c r="S1229" s="104">
        <f t="shared" si="2364"/>
        <v>2004.4630000000004</v>
      </c>
      <c r="T1229" s="104">
        <f t="shared" si="2364"/>
        <v>2055.3069999999998</v>
      </c>
      <c r="U1229" s="104">
        <f t="shared" si="2364"/>
        <v>2055.1070000000004</v>
      </c>
      <c r="V1229" s="104">
        <f t="shared" si="2364"/>
        <v>2100.857</v>
      </c>
      <c r="W1229" s="935">
        <f t="shared" si="2364"/>
        <v>2100.857</v>
      </c>
      <c r="X1229" s="104">
        <f t="shared" si="2364"/>
        <v>2204.2349999999997</v>
      </c>
      <c r="Y1229" s="104">
        <f t="shared" si="2364"/>
        <v>2338.4920000000002</v>
      </c>
      <c r="Z1229" s="104">
        <f t="shared" si="2364"/>
        <v>2500.527</v>
      </c>
      <c r="AA1229" s="104">
        <f t="shared" si="2364"/>
        <v>2549.5219999999999</v>
      </c>
      <c r="AB1229" s="935">
        <f t="shared" si="2364"/>
        <v>2549.5219999999999</v>
      </c>
      <c r="AC1229" s="104">
        <f t="shared" si="2364"/>
        <v>2600.3299999999995</v>
      </c>
      <c r="AD1229" s="104">
        <f t="shared" si="2364"/>
        <v>2595.7239999999997</v>
      </c>
      <c r="AE1229" s="104">
        <f t="shared" si="2364"/>
        <v>2556.2099999999996</v>
      </c>
      <c r="AF1229" s="104">
        <f t="shared" si="2364"/>
        <v>2484.3609999999999</v>
      </c>
      <c r="AG1229" s="935">
        <f t="shared" si="2364"/>
        <v>2484.3609999999999</v>
      </c>
      <c r="AH1229" s="104">
        <f t="shared" si="2364"/>
        <v>3094.1909999999998</v>
      </c>
      <c r="AI1229" s="104">
        <f t="shared" si="2364"/>
        <v>3046.4409999999998</v>
      </c>
      <c r="AJ1229" s="104">
        <f t="shared" si="2364"/>
        <v>3083.0629999999996</v>
      </c>
      <c r="AK1229" s="104">
        <f t="shared" si="2364"/>
        <v>3573.1319999999996</v>
      </c>
      <c r="AL1229" s="935">
        <f t="shared" si="2364"/>
        <v>3573.1319999999996</v>
      </c>
      <c r="AM1229" s="104">
        <f t="shared" si="2364"/>
        <v>3507.384</v>
      </c>
      <c r="AN1229" s="104">
        <f t="shared" si="2364"/>
        <v>3491.4799999999996</v>
      </c>
      <c r="AO1229" s="104">
        <f t="shared" si="2364"/>
        <v>3459.8049999999998</v>
      </c>
      <c r="AP1229" s="104">
        <f t="shared" si="2364"/>
        <v>3211.9779999999996</v>
      </c>
      <c r="AQ1229" s="935">
        <f t="shared" si="2364"/>
        <v>3211.7</v>
      </c>
      <c r="AR1229" s="104">
        <f>AR1227</f>
        <v>3168.1809999999996</v>
      </c>
      <c r="AS1229" s="104">
        <f>AS1227</f>
        <v>3173.7209999999991</v>
      </c>
      <c r="AT1229" s="104">
        <f>AT1227</f>
        <v>3172.1949999999993</v>
      </c>
      <c r="AU1229" s="104">
        <f>AU1227</f>
        <v>4635.302999999999</v>
      </c>
      <c r="AV1229" s="935">
        <f t="shared" si="2364"/>
        <v>4635.0249999999987</v>
      </c>
      <c r="AW1229" s="104">
        <f t="shared" si="2364"/>
        <v>4278.7090000000007</v>
      </c>
      <c r="AX1229" s="104">
        <f t="shared" si="2364"/>
        <v>4336.8690000000006</v>
      </c>
      <c r="AY1229" s="104">
        <f t="shared" si="2364"/>
        <v>4147.1809999999996</v>
      </c>
      <c r="AZ1229" s="104">
        <f t="shared" si="2364"/>
        <v>4175.3720000000003</v>
      </c>
      <c r="BA1229" s="935">
        <f t="shared" ref="BA1229:BL1229" si="2365">BA1227</f>
        <v>4175.0939999999991</v>
      </c>
      <c r="BB1229" s="104">
        <f t="shared" si="2365"/>
        <v>4138.3909999999996</v>
      </c>
      <c r="BC1229" s="104">
        <f t="shared" si="2365"/>
        <v>4099.3249999999989</v>
      </c>
      <c r="BD1229" s="104">
        <f t="shared" si="2365"/>
        <v>3311.8150000000001</v>
      </c>
      <c r="BE1229" s="104">
        <f t="shared" si="2365"/>
        <v>3286.5749999999994</v>
      </c>
      <c r="BF1229" s="935">
        <f t="shared" si="2365"/>
        <v>3286.2969999999996</v>
      </c>
      <c r="BG1229" s="936">
        <f t="shared" si="2365"/>
        <v>3245.2999999999997</v>
      </c>
      <c r="BH1229" s="104">
        <f t="shared" si="2365"/>
        <v>3237.0949999999998</v>
      </c>
      <c r="BI1229" s="104">
        <f t="shared" si="2365"/>
        <v>3177.6419999999994</v>
      </c>
      <c r="BJ1229" s="1800">
        <f t="shared" si="2365"/>
        <v>3081.2559999999999</v>
      </c>
      <c r="BK1229" s="935">
        <f t="shared" si="2365"/>
        <v>3080.9780000000001</v>
      </c>
      <c r="BL1229" s="104">
        <f t="shared" si="2365"/>
        <v>3041.71</v>
      </c>
      <c r="BM1229" s="104">
        <f t="shared" ref="BM1229:CB1229" si="2366">BM1227</f>
        <v>2999.8339999999998</v>
      </c>
      <c r="BN1229" s="104">
        <f t="shared" si="2366"/>
        <v>2797.31</v>
      </c>
      <c r="BO1229" s="1800">
        <f t="shared" si="2366"/>
        <v>3005.5349999999999</v>
      </c>
      <c r="BP1229" s="935">
        <f t="shared" si="2366"/>
        <v>3005.2570000000001</v>
      </c>
      <c r="BQ1229" s="104">
        <f t="shared" ref="BQ1229:BZ1229" si="2367">BQ1227</f>
        <v>3020.5369999999998</v>
      </c>
      <c r="BR1229" s="104">
        <f t="shared" si="2367"/>
        <v>2952.8879999999999</v>
      </c>
      <c r="BS1229" s="104">
        <f t="shared" si="2367"/>
        <v>2886.7540000000004</v>
      </c>
      <c r="BT1229" s="1800">
        <f t="shared" si="2367"/>
        <v>2916.9000000000005</v>
      </c>
      <c r="BU1229" s="3324">
        <f t="shared" si="2367"/>
        <v>2916.9000000000005</v>
      </c>
      <c r="BV1229" s="104">
        <f t="shared" si="2367"/>
        <v>2818.525581498202</v>
      </c>
      <c r="BW1229" s="104">
        <f t="shared" si="2367"/>
        <v>2764.684470512349</v>
      </c>
      <c r="BX1229" s="104">
        <f t="shared" si="2367"/>
        <v>4442.9542648296465</v>
      </c>
      <c r="BY1229" s="1800">
        <f t="shared" si="2367"/>
        <v>4354.507067938629</v>
      </c>
      <c r="BZ1229" s="4031">
        <f t="shared" si="2367"/>
        <v>4354.507067938629</v>
      </c>
      <c r="CA1229" s="935">
        <f t="shared" si="2366"/>
        <v>3968.5161403921811</v>
      </c>
      <c r="CB1229" s="935">
        <f t="shared" si="2366"/>
        <v>3577.3085703339352</v>
      </c>
      <c r="CC1229" s="935">
        <f>CC1227</f>
        <v>2354.08</v>
      </c>
      <c r="CD1229" s="935">
        <f>CD1227</f>
        <v>2332.58</v>
      </c>
      <c r="CE1229" s="935">
        <f>CE1227</f>
        <v>2311.08</v>
      </c>
      <c r="CF1229" s="935">
        <f>CF1227</f>
        <v>2289.58</v>
      </c>
      <c r="CG1229" s="935">
        <f>CG1227</f>
        <v>2268.08</v>
      </c>
      <c r="CH1229" s="2558"/>
      <c r="CI1229" s="2558"/>
      <c r="CJ1229" s="2558"/>
      <c r="CK1229" s="2558"/>
      <c r="CL1229" s="104"/>
      <c r="CM1229" s="104"/>
      <c r="CN1229" s="104"/>
      <c r="CO1229" s="104"/>
      <c r="CP1229" s="733" t="str">
        <f t="shared" si="2354"/>
        <v>Total Net Debt</v>
      </c>
      <c r="CQ1229" s="104">
        <f>H1229</f>
        <v>2149.3019999999997</v>
      </c>
      <c r="CR1229" s="104">
        <f>M1229</f>
        <v>2370.1179999999999</v>
      </c>
      <c r="CS1229" s="104">
        <f>R1229</f>
        <v>1969.1690000000003</v>
      </c>
      <c r="CT1229" s="104">
        <f>W1229</f>
        <v>2100.857</v>
      </c>
      <c r="CU1229" s="104">
        <f>AB1229</f>
        <v>2549.5219999999999</v>
      </c>
      <c r="CV1229" s="104">
        <f>AG1229</f>
        <v>2484.3609999999999</v>
      </c>
      <c r="CW1229" s="104">
        <f>AL1229</f>
        <v>3573.1319999999996</v>
      </c>
      <c r="CX1229" s="104">
        <f>AQ1229</f>
        <v>3211.7</v>
      </c>
      <c r="CY1229" s="104">
        <f>AV1229</f>
        <v>4635.0249999999987</v>
      </c>
      <c r="CZ1229" s="104">
        <f>BA1229</f>
        <v>4175.0939999999991</v>
      </c>
      <c r="DA1229" s="104">
        <f>BF1229</f>
        <v>3286.2969999999996</v>
      </c>
      <c r="DB1229" s="104">
        <f>BK1229</f>
        <v>3080.9780000000001</v>
      </c>
      <c r="DC1229" s="104">
        <f>BP1229</f>
        <v>3005.2570000000001</v>
      </c>
      <c r="DD1229" s="104">
        <f>BU1229</f>
        <v>2916.9000000000005</v>
      </c>
      <c r="DE1229" s="104">
        <f t="shared" ref="DE1229:DG1232" si="2368">BZ1229</f>
        <v>4354.507067938629</v>
      </c>
      <c r="DF1229" s="104">
        <f t="shared" si="2368"/>
        <v>3968.5161403921811</v>
      </c>
      <c r="DG1229" s="1800">
        <f t="shared" si="2368"/>
        <v>3577.3085703339352</v>
      </c>
      <c r="DH1229" s="104"/>
      <c r="DI1229" s="104"/>
      <c r="DJ1229" s="104"/>
      <c r="DK1229" s="104"/>
      <c r="DL1229" s="104"/>
      <c r="DM1229" s="104"/>
      <c r="DN1229" s="104"/>
      <c r="DO1229" s="96"/>
      <c r="DY1229" s="104"/>
      <c r="DZ1229" s="104"/>
    </row>
    <row r="1230" spans="1:130" ht="12" customHeight="1">
      <c r="A1230" s="995" t="s">
        <v>18</v>
      </c>
      <c r="B1230" s="739"/>
      <c r="C1230" s="739"/>
      <c r="D1230" s="1702">
        <f t="shared" ref="D1230:AG1230" si="2369">0.5*D979</f>
        <v>286.65600000000001</v>
      </c>
      <c r="E1230" s="308">
        <f t="shared" si="2369"/>
        <v>254.26350000000002</v>
      </c>
      <c r="F1230" s="308">
        <f t="shared" si="2369"/>
        <v>229.88749999999999</v>
      </c>
      <c r="G1230" s="308">
        <f t="shared" si="2369"/>
        <v>212.8</v>
      </c>
      <c r="H1230" s="307">
        <f t="shared" si="2369"/>
        <v>212.8</v>
      </c>
      <c r="I1230" s="308">
        <f t="shared" si="2369"/>
        <v>193.1</v>
      </c>
      <c r="J1230" s="308">
        <f t="shared" si="2369"/>
        <v>183.05</v>
      </c>
      <c r="K1230" s="308">
        <f t="shared" si="2369"/>
        <v>163.44999999999999</v>
      </c>
      <c r="L1230" s="308">
        <f t="shared" si="2369"/>
        <v>170.85</v>
      </c>
      <c r="M1230" s="307">
        <f t="shared" si="2369"/>
        <v>170.85</v>
      </c>
      <c r="N1230" s="308">
        <f t="shared" si="2369"/>
        <v>188.35</v>
      </c>
      <c r="O1230" s="308">
        <f t="shared" si="2369"/>
        <v>237.6</v>
      </c>
      <c r="P1230" s="308">
        <f t="shared" si="2369"/>
        <v>249.45</v>
      </c>
      <c r="Q1230" s="308">
        <f t="shared" si="2369"/>
        <v>277.3</v>
      </c>
      <c r="R1230" s="307">
        <f t="shared" si="2369"/>
        <v>277.3</v>
      </c>
      <c r="S1230" s="308">
        <f t="shared" si="2369"/>
        <v>277.7</v>
      </c>
      <c r="T1230" s="308">
        <f t="shared" si="2369"/>
        <v>313.05</v>
      </c>
      <c r="U1230" s="308">
        <f t="shared" si="2369"/>
        <v>327.95</v>
      </c>
      <c r="V1230" s="308">
        <f t="shared" si="2369"/>
        <v>361.35</v>
      </c>
      <c r="W1230" s="307">
        <f t="shared" si="2369"/>
        <v>361.35</v>
      </c>
      <c r="X1230" s="308">
        <f t="shared" si="2369"/>
        <v>375.9</v>
      </c>
      <c r="Y1230" s="308">
        <f t="shared" si="2369"/>
        <v>373.2</v>
      </c>
      <c r="Z1230" s="308">
        <f t="shared" si="2369"/>
        <v>351.45</v>
      </c>
      <c r="AA1230" s="308">
        <f t="shared" si="2369"/>
        <v>370.25</v>
      </c>
      <c r="AB1230" s="307">
        <f t="shared" si="2369"/>
        <v>370.25</v>
      </c>
      <c r="AC1230" s="308">
        <f t="shared" si="2369"/>
        <v>349.95</v>
      </c>
      <c r="AD1230" s="308">
        <f t="shared" si="2369"/>
        <v>333.38900000000001</v>
      </c>
      <c r="AE1230" s="308">
        <f t="shared" si="2369"/>
        <v>297.53899999999999</v>
      </c>
      <c r="AF1230" s="308">
        <f t="shared" si="2369"/>
        <v>339.80950000000001</v>
      </c>
      <c r="AG1230" s="307">
        <f t="shared" si="2369"/>
        <v>339.80950000000001</v>
      </c>
      <c r="AH1230" s="308">
        <f t="shared" ref="AH1230:AQ1230" si="2370">-0.5*AH979</f>
        <v>-315.14999999999998</v>
      </c>
      <c r="AI1230" s="308">
        <f t="shared" si="2370"/>
        <v>-313.43599999999998</v>
      </c>
      <c r="AJ1230" s="308">
        <f t="shared" si="2370"/>
        <v>-410.38</v>
      </c>
      <c r="AK1230" s="308">
        <f t="shared" si="2370"/>
        <v>-412.78799999999995</v>
      </c>
      <c r="AL1230" s="307">
        <f t="shared" si="2370"/>
        <v>-412.78799999999995</v>
      </c>
      <c r="AM1230" s="308">
        <f t="shared" si="2370"/>
        <v>-401.97800000000007</v>
      </c>
      <c r="AN1230" s="308">
        <f t="shared" si="2370"/>
        <v>-410</v>
      </c>
      <c r="AO1230" s="308">
        <f t="shared" si="2370"/>
        <v>-403.25</v>
      </c>
      <c r="AP1230" s="308">
        <f t="shared" si="2370"/>
        <v>-415.85</v>
      </c>
      <c r="AQ1230" s="307">
        <f t="shared" si="2370"/>
        <v>-415.85</v>
      </c>
      <c r="AR1230" s="308">
        <f t="shared" ref="AR1230:BC1230" si="2371">-0.5*AR979</f>
        <v>-407</v>
      </c>
      <c r="AS1230" s="308">
        <f t="shared" si="2371"/>
        <v>-407.85</v>
      </c>
      <c r="AT1230" s="308">
        <f t="shared" si="2371"/>
        <v>-402.6</v>
      </c>
      <c r="AU1230" s="308">
        <f t="shared" si="2371"/>
        <v>-402.6</v>
      </c>
      <c r="AV1230" s="307">
        <f t="shared" si="2371"/>
        <v>-402.6</v>
      </c>
      <c r="AW1230" s="308">
        <f t="shared" si="2371"/>
        <v>-402.75</v>
      </c>
      <c r="AX1230" s="308">
        <f t="shared" si="2371"/>
        <v>-397.95</v>
      </c>
      <c r="AY1230" s="308">
        <f t="shared" si="2371"/>
        <v>-384</v>
      </c>
      <c r="AZ1230" s="308">
        <f t="shared" si="2371"/>
        <v>-406.7</v>
      </c>
      <c r="BA1230" s="307">
        <f t="shared" si="2371"/>
        <v>-406.7</v>
      </c>
      <c r="BB1230" s="308">
        <f t="shared" si="2371"/>
        <v>-404.625</v>
      </c>
      <c r="BC1230" s="308">
        <f t="shared" si="2371"/>
        <v>-402.35</v>
      </c>
      <c r="BD1230" s="308"/>
      <c r="BE1230" s="308"/>
      <c r="BF1230" s="307"/>
      <c r="BG1230" s="1702"/>
      <c r="BH1230" s="308"/>
      <c r="BI1230" s="308"/>
      <c r="BJ1230" s="1701"/>
      <c r="BK1230" s="307"/>
      <c r="BL1230" s="308"/>
      <c r="BM1230" s="308"/>
      <c r="BN1230" s="308"/>
      <c r="BO1230" s="1701"/>
      <c r="BP1230" s="307"/>
      <c r="BQ1230" s="308"/>
      <c r="BR1230" s="308"/>
      <c r="BS1230" s="308"/>
      <c r="BT1230" s="1701"/>
      <c r="BU1230" s="3399"/>
      <c r="BV1230" s="308"/>
      <c r="BW1230" s="308"/>
      <c r="BX1230" s="308"/>
      <c r="BY1230" s="1701"/>
      <c r="BZ1230" s="4030"/>
      <c r="CA1230" s="307"/>
      <c r="CB1230" s="307"/>
      <c r="CC1230" s="307"/>
      <c r="CD1230" s="307"/>
      <c r="CE1230" s="307"/>
      <c r="CF1230" s="307"/>
      <c r="CG1230" s="307"/>
      <c r="CH1230" s="740"/>
      <c r="CI1230" s="740"/>
      <c r="CJ1230" s="740"/>
      <c r="CK1230" s="740"/>
      <c r="CL1230" s="740"/>
      <c r="CM1230" s="740"/>
      <c r="CN1230" s="740"/>
      <c r="CO1230" s="740"/>
      <c r="CP1230" s="995" t="str">
        <f t="shared" si="2354"/>
        <v>Plus/Minus: Share of Borgata debt</v>
      </c>
      <c r="CQ1230" s="308">
        <f>H1230</f>
        <v>212.8</v>
      </c>
      <c r="CR1230" s="308">
        <f>M1230</f>
        <v>170.85</v>
      </c>
      <c r="CS1230" s="308">
        <f>R1230</f>
        <v>277.3</v>
      </c>
      <c r="CT1230" s="308">
        <f>W1230</f>
        <v>361.35</v>
      </c>
      <c r="CU1230" s="308">
        <f>AB1230</f>
        <v>370.25</v>
      </c>
      <c r="CV1230" s="308">
        <f>AG1230</f>
        <v>339.80950000000001</v>
      </c>
      <c r="CW1230" s="308">
        <f>AL1230</f>
        <v>-412.78799999999995</v>
      </c>
      <c r="CX1230" s="308">
        <f>AQ1230</f>
        <v>-415.85</v>
      </c>
      <c r="CY1230" s="308">
        <f>AV1230</f>
        <v>-402.6</v>
      </c>
      <c r="CZ1230" s="308">
        <f>BA1230</f>
        <v>-406.7</v>
      </c>
      <c r="DA1230" s="308">
        <f>BF1230</f>
        <v>0</v>
      </c>
      <c r="DB1230" s="308">
        <f>BK1230</f>
        <v>0</v>
      </c>
      <c r="DC1230" s="308">
        <f>BP1230</f>
        <v>0</v>
      </c>
      <c r="DD1230" s="308">
        <f>BU1230</f>
        <v>0</v>
      </c>
      <c r="DE1230" s="308">
        <f t="shared" si="2368"/>
        <v>0</v>
      </c>
      <c r="DF1230" s="308">
        <f t="shared" si="2368"/>
        <v>0</v>
      </c>
      <c r="DG1230" s="1701">
        <f t="shared" si="2368"/>
        <v>0</v>
      </c>
      <c r="DH1230" s="741"/>
      <c r="DI1230" s="742"/>
      <c r="DJ1230" s="742"/>
      <c r="DK1230" s="742"/>
      <c r="DL1230" s="742"/>
      <c r="DM1230" s="742"/>
      <c r="DN1230" s="275"/>
      <c r="DO1230" s="276"/>
      <c r="DY1230" s="308"/>
      <c r="DZ1230" s="308"/>
    </row>
    <row r="1231" spans="1:130" ht="4.5" customHeight="1">
      <c r="A1231" s="962"/>
      <c r="B1231" s="293"/>
      <c r="C1231" s="293"/>
      <c r="D1231" s="294" t="s">
        <v>343</v>
      </c>
      <c r="E1231" s="295" t="s">
        <v>343</v>
      </c>
      <c r="F1231" s="295" t="s">
        <v>343</v>
      </c>
      <c r="G1231" s="295" t="s">
        <v>343</v>
      </c>
      <c r="H1231" s="296" t="s">
        <v>343</v>
      </c>
      <c r="I1231" s="295" t="s">
        <v>343</v>
      </c>
      <c r="J1231" s="295" t="s">
        <v>343</v>
      </c>
      <c r="K1231" s="295" t="s">
        <v>343</v>
      </c>
      <c r="L1231" s="295" t="s">
        <v>343</v>
      </c>
      <c r="M1231" s="296" t="s">
        <v>343</v>
      </c>
      <c r="N1231" s="295" t="s">
        <v>343</v>
      </c>
      <c r="O1231" s="295" t="s">
        <v>343</v>
      </c>
      <c r="P1231" s="295" t="s">
        <v>343</v>
      </c>
      <c r="Q1231" s="295" t="s">
        <v>343</v>
      </c>
      <c r="R1231" s="296" t="s">
        <v>343</v>
      </c>
      <c r="S1231" s="295" t="s">
        <v>343</v>
      </c>
      <c r="T1231" s="295" t="s">
        <v>343</v>
      </c>
      <c r="U1231" s="295" t="s">
        <v>343</v>
      </c>
      <c r="V1231" s="295" t="s">
        <v>343</v>
      </c>
      <c r="W1231" s="296" t="s">
        <v>343</v>
      </c>
      <c r="X1231" s="295" t="s">
        <v>343</v>
      </c>
      <c r="Y1231" s="295" t="s">
        <v>343</v>
      </c>
      <c r="Z1231" s="295" t="s">
        <v>343</v>
      </c>
      <c r="AA1231" s="295" t="s">
        <v>343</v>
      </c>
      <c r="AB1231" s="296" t="s">
        <v>343</v>
      </c>
      <c r="AC1231" s="295" t="s">
        <v>343</v>
      </c>
      <c r="AD1231" s="295" t="s">
        <v>343</v>
      </c>
      <c r="AE1231" s="295" t="s">
        <v>343</v>
      </c>
      <c r="AF1231" s="295" t="s">
        <v>343</v>
      </c>
      <c r="AG1231" s="296" t="s">
        <v>343</v>
      </c>
      <c r="AH1231" s="295" t="s">
        <v>343</v>
      </c>
      <c r="AI1231" s="295" t="s">
        <v>343</v>
      </c>
      <c r="AJ1231" s="295" t="s">
        <v>343</v>
      </c>
      <c r="AK1231" s="295" t="s">
        <v>343</v>
      </c>
      <c r="AL1231" s="296" t="s">
        <v>343</v>
      </c>
      <c r="AM1231" s="295" t="s">
        <v>343</v>
      </c>
      <c r="AN1231" s="295" t="s">
        <v>343</v>
      </c>
      <c r="AO1231" s="295" t="s">
        <v>343</v>
      </c>
      <c r="AP1231" s="295" t="s">
        <v>343</v>
      </c>
      <c r="AQ1231" s="296" t="s">
        <v>343</v>
      </c>
      <c r="AR1231" s="295" t="s">
        <v>343</v>
      </c>
      <c r="AS1231" s="295" t="s">
        <v>343</v>
      </c>
      <c r="AT1231" s="295" t="s">
        <v>343</v>
      </c>
      <c r="AU1231" s="295" t="s">
        <v>343</v>
      </c>
      <c r="AV1231" s="296" t="s">
        <v>343</v>
      </c>
      <c r="AW1231" s="295" t="s">
        <v>343</v>
      </c>
      <c r="AX1231" s="295" t="s">
        <v>343</v>
      </c>
      <c r="AY1231" s="295" t="s">
        <v>343</v>
      </c>
      <c r="AZ1231" s="295" t="s">
        <v>343</v>
      </c>
      <c r="BA1231" s="296" t="s">
        <v>343</v>
      </c>
      <c r="BB1231" s="295" t="s">
        <v>343</v>
      </c>
      <c r="BC1231" s="295" t="s">
        <v>343</v>
      </c>
      <c r="BD1231" s="295" t="s">
        <v>343</v>
      </c>
      <c r="BE1231" s="295" t="s">
        <v>343</v>
      </c>
      <c r="BF1231" s="296" t="s">
        <v>343</v>
      </c>
      <c r="BG1231" s="294" t="s">
        <v>343</v>
      </c>
      <c r="BH1231" s="295" t="s">
        <v>343</v>
      </c>
      <c r="BI1231" s="295" t="s">
        <v>343</v>
      </c>
      <c r="BJ1231" s="297" t="s">
        <v>343</v>
      </c>
      <c r="BK1231" s="296" t="s">
        <v>343</v>
      </c>
      <c r="BL1231" s="295" t="s">
        <v>343</v>
      </c>
      <c r="BM1231" s="295" t="s">
        <v>343</v>
      </c>
      <c r="BN1231" s="295" t="s">
        <v>343</v>
      </c>
      <c r="BO1231" s="297" t="s">
        <v>343</v>
      </c>
      <c r="BP1231" s="296" t="s">
        <v>343</v>
      </c>
      <c r="BQ1231" s="295" t="s">
        <v>343</v>
      </c>
      <c r="BR1231" s="295" t="s">
        <v>343</v>
      </c>
      <c r="BS1231" s="295" t="s">
        <v>343</v>
      </c>
      <c r="BT1231" s="297" t="s">
        <v>343</v>
      </c>
      <c r="BU1231" s="3314" t="s">
        <v>343</v>
      </c>
      <c r="BV1231" s="295" t="s">
        <v>343</v>
      </c>
      <c r="BW1231" s="295" t="s">
        <v>343</v>
      </c>
      <c r="BX1231" s="295" t="s">
        <v>343</v>
      </c>
      <c r="BY1231" s="297" t="s">
        <v>343</v>
      </c>
      <c r="BZ1231" s="297" t="s">
        <v>343</v>
      </c>
      <c r="CA1231" s="297" t="s">
        <v>343</v>
      </c>
      <c r="CB1231" s="297" t="s">
        <v>343</v>
      </c>
      <c r="CC1231" s="297" t="s">
        <v>343</v>
      </c>
      <c r="CD1231" s="297" t="s">
        <v>343</v>
      </c>
      <c r="CE1231" s="297" t="s">
        <v>343</v>
      </c>
      <c r="CF1231" s="297" t="s">
        <v>343</v>
      </c>
      <c r="CG1231" s="297" t="s">
        <v>343</v>
      </c>
      <c r="CH1231" s="295"/>
      <c r="CI1231" s="295"/>
      <c r="CJ1231" s="295"/>
      <c r="CK1231" s="295"/>
      <c r="CL1231" s="295"/>
      <c r="CM1231" s="295"/>
      <c r="CN1231" s="295"/>
      <c r="CO1231" s="295"/>
      <c r="CP1231" s="1784"/>
      <c r="CQ1231" s="295" t="str">
        <f>H1231</f>
        <v xml:space="preserve">                </v>
      </c>
      <c r="CR1231" s="295" t="str">
        <f>M1231</f>
        <v xml:space="preserve">                </v>
      </c>
      <c r="CS1231" s="295" t="str">
        <f>R1231</f>
        <v xml:space="preserve">                </v>
      </c>
      <c r="CT1231" s="295" t="str">
        <f>W1231</f>
        <v xml:space="preserve">                </v>
      </c>
      <c r="CU1231" s="295" t="str">
        <f>AB1231</f>
        <v xml:space="preserve">                </v>
      </c>
      <c r="CV1231" s="295" t="str">
        <f>AG1231</f>
        <v xml:space="preserve">                </v>
      </c>
      <c r="CW1231" s="295" t="str">
        <f>AL1231</f>
        <v xml:space="preserve">                </v>
      </c>
      <c r="CX1231" s="295" t="str">
        <f>AQ1231</f>
        <v xml:space="preserve">                </v>
      </c>
      <c r="CY1231" s="295" t="str">
        <f>AV1231</f>
        <v xml:space="preserve">                </v>
      </c>
      <c r="CZ1231" s="295" t="str">
        <f>BA1231</f>
        <v xml:space="preserve">                </v>
      </c>
      <c r="DA1231" s="295" t="str">
        <f>BF1231</f>
        <v xml:space="preserve">                </v>
      </c>
      <c r="DB1231" s="295" t="str">
        <f>BK1231</f>
        <v xml:space="preserve">                </v>
      </c>
      <c r="DC1231" s="295" t="str">
        <f>BP1231</f>
        <v xml:space="preserve">                </v>
      </c>
      <c r="DD1231" s="295" t="str">
        <f>BU1231</f>
        <v xml:space="preserve">                </v>
      </c>
      <c r="DE1231" s="295" t="str">
        <f t="shared" si="2368"/>
        <v xml:space="preserve">                </v>
      </c>
      <c r="DF1231" s="295" t="str">
        <f t="shared" si="2368"/>
        <v xml:space="preserve">                </v>
      </c>
      <c r="DG1231" s="297" t="str">
        <f t="shared" si="2368"/>
        <v xml:space="preserve">                </v>
      </c>
      <c r="DH1231" s="298"/>
      <c r="DI1231" s="299"/>
      <c r="DJ1231" s="299"/>
      <c r="DK1231" s="299"/>
      <c r="DL1231" s="299"/>
      <c r="DM1231" s="299"/>
      <c r="DN1231" s="299"/>
      <c r="DO1231" s="300"/>
      <c r="DY1231" s="295"/>
      <c r="DZ1231" s="295"/>
    </row>
    <row r="1232" spans="1:130" ht="12.75" customHeight="1">
      <c r="A1232" s="1022" t="s">
        <v>600</v>
      </c>
      <c r="B1232" s="929"/>
      <c r="C1232" s="929"/>
      <c r="D1232" s="931">
        <f>D1230+D1229</f>
        <v>1290.8449999999998</v>
      </c>
      <c r="E1232" s="929">
        <f t="shared" ref="E1232:AV1232" si="2372">E1230+E1229</f>
        <v>1440.6515000000004</v>
      </c>
      <c r="F1232" s="929">
        <f t="shared" si="2372"/>
        <v>2289.2364999999991</v>
      </c>
      <c r="G1232" s="929">
        <f t="shared" si="2372"/>
        <v>2362.1020000000003</v>
      </c>
      <c r="H1232" s="930">
        <f t="shared" si="2372"/>
        <v>2362.1019999999999</v>
      </c>
      <c r="I1232" s="929">
        <f t="shared" si="2372"/>
        <v>2314.6459999999997</v>
      </c>
      <c r="J1232" s="929">
        <f t="shared" si="2372"/>
        <v>2392.0330000000004</v>
      </c>
      <c r="K1232" s="929">
        <f t="shared" si="2372"/>
        <v>2416.6589999999997</v>
      </c>
      <c r="L1232" s="929">
        <f t="shared" si="2372"/>
        <v>2540.9679999999998</v>
      </c>
      <c r="M1232" s="930">
        <f t="shared" si="2372"/>
        <v>2540.9679999999998</v>
      </c>
      <c r="N1232" s="929">
        <f t="shared" si="2372"/>
        <v>2608.6459999999997</v>
      </c>
      <c r="O1232" s="929">
        <f t="shared" si="2372"/>
        <v>2678.3809999999999</v>
      </c>
      <c r="P1232" s="929">
        <f t="shared" si="2372"/>
        <v>2654.3539999999994</v>
      </c>
      <c r="Q1232" s="929">
        <f t="shared" si="2372"/>
        <v>2246.4690000000005</v>
      </c>
      <c r="R1232" s="930">
        <f t="shared" si="2372"/>
        <v>2246.4690000000005</v>
      </c>
      <c r="S1232" s="929">
        <f t="shared" si="2372"/>
        <v>2282.1630000000005</v>
      </c>
      <c r="T1232" s="929">
        <f t="shared" si="2372"/>
        <v>2368.357</v>
      </c>
      <c r="U1232" s="929">
        <f t="shared" si="2372"/>
        <v>2383.0570000000002</v>
      </c>
      <c r="V1232" s="929">
        <f t="shared" si="2372"/>
        <v>2462.2069999999999</v>
      </c>
      <c r="W1232" s="930">
        <f t="shared" si="2372"/>
        <v>2462.2069999999999</v>
      </c>
      <c r="X1232" s="929">
        <f t="shared" si="2372"/>
        <v>2580.1349999999998</v>
      </c>
      <c r="Y1232" s="929">
        <f t="shared" si="2372"/>
        <v>2711.692</v>
      </c>
      <c r="Z1232" s="929">
        <f t="shared" si="2372"/>
        <v>2851.9769999999999</v>
      </c>
      <c r="AA1232" s="929">
        <f t="shared" si="2372"/>
        <v>2919.7719999999999</v>
      </c>
      <c r="AB1232" s="930">
        <f t="shared" si="2372"/>
        <v>2919.7719999999999</v>
      </c>
      <c r="AC1232" s="929">
        <f t="shared" si="2372"/>
        <v>2950.2799999999993</v>
      </c>
      <c r="AD1232" s="929">
        <f t="shared" si="2372"/>
        <v>2929.1129999999998</v>
      </c>
      <c r="AE1232" s="929">
        <f t="shared" si="2372"/>
        <v>2853.7489999999998</v>
      </c>
      <c r="AF1232" s="929">
        <f t="shared" si="2372"/>
        <v>2824.1704999999997</v>
      </c>
      <c r="AG1232" s="930">
        <f t="shared" si="2372"/>
        <v>2824.1704999999997</v>
      </c>
      <c r="AH1232" s="929">
        <f t="shared" si="2372"/>
        <v>2779.0409999999997</v>
      </c>
      <c r="AI1232" s="929">
        <f t="shared" si="2372"/>
        <v>2733.0049999999997</v>
      </c>
      <c r="AJ1232" s="929">
        <f t="shared" si="2372"/>
        <v>2672.6829999999995</v>
      </c>
      <c r="AK1232" s="929">
        <f t="shared" si="2372"/>
        <v>3160.3439999999996</v>
      </c>
      <c r="AL1232" s="930">
        <f t="shared" si="2372"/>
        <v>3160.3439999999996</v>
      </c>
      <c r="AM1232" s="929">
        <f t="shared" si="2372"/>
        <v>3105.4059999999999</v>
      </c>
      <c r="AN1232" s="929">
        <f t="shared" si="2372"/>
        <v>3081.4799999999996</v>
      </c>
      <c r="AO1232" s="929">
        <f>AO1230+AO1229</f>
        <v>3056.5549999999998</v>
      </c>
      <c r="AP1232" s="929">
        <f t="shared" si="2372"/>
        <v>2796.1279999999997</v>
      </c>
      <c r="AQ1232" s="930">
        <f t="shared" si="2372"/>
        <v>2795.85</v>
      </c>
      <c r="AR1232" s="929">
        <f>AR1230+AR1229</f>
        <v>2761.1809999999996</v>
      </c>
      <c r="AS1232" s="929">
        <f>AS1230+AS1229</f>
        <v>2765.8709999999992</v>
      </c>
      <c r="AT1232" s="929">
        <f>AT1230+AT1229</f>
        <v>2769.5949999999993</v>
      </c>
      <c r="AU1232" s="929">
        <f>AU1230+AU1229</f>
        <v>4232.7029999999986</v>
      </c>
      <c r="AV1232" s="930">
        <f t="shared" si="2372"/>
        <v>4232.4249999999984</v>
      </c>
      <c r="AW1232" s="929">
        <f t="shared" ref="AW1232:CB1232" si="2373">AW1230+AW1229</f>
        <v>3875.9590000000007</v>
      </c>
      <c r="AX1232" s="929">
        <f t="shared" si="2373"/>
        <v>3938.9190000000008</v>
      </c>
      <c r="AY1232" s="929">
        <f t="shared" si="2373"/>
        <v>3763.1809999999996</v>
      </c>
      <c r="AZ1232" s="929">
        <f t="shared" si="2373"/>
        <v>3768.6720000000005</v>
      </c>
      <c r="BA1232" s="930">
        <f t="shared" si="2373"/>
        <v>3768.3939999999993</v>
      </c>
      <c r="BB1232" s="929">
        <f>BB1230+BB1229</f>
        <v>3733.7659999999996</v>
      </c>
      <c r="BC1232" s="929">
        <f t="shared" si="2373"/>
        <v>3696.974999999999</v>
      </c>
      <c r="BD1232" s="929">
        <f t="shared" si="2373"/>
        <v>3311.8150000000001</v>
      </c>
      <c r="BE1232" s="929">
        <f t="shared" si="2373"/>
        <v>3286.5749999999994</v>
      </c>
      <c r="BF1232" s="930">
        <f t="shared" si="2373"/>
        <v>3286.2969999999996</v>
      </c>
      <c r="BG1232" s="931">
        <f>BG1230+BG1229</f>
        <v>3245.2999999999997</v>
      </c>
      <c r="BH1232" s="929">
        <f t="shared" si="2373"/>
        <v>3237.0949999999998</v>
      </c>
      <c r="BI1232" s="929">
        <f t="shared" si="2373"/>
        <v>3177.6419999999994</v>
      </c>
      <c r="BJ1232" s="1933">
        <f t="shared" si="2373"/>
        <v>3081.2559999999999</v>
      </c>
      <c r="BK1232" s="930">
        <f t="shared" si="2373"/>
        <v>3080.9780000000001</v>
      </c>
      <c r="BL1232" s="929">
        <f t="shared" si="2373"/>
        <v>3041.71</v>
      </c>
      <c r="BM1232" s="929">
        <f t="shared" ref="BM1232:BT1232" si="2374">BM1230+BM1229</f>
        <v>2999.8339999999998</v>
      </c>
      <c r="BN1232" s="929">
        <f t="shared" si="2374"/>
        <v>2797.31</v>
      </c>
      <c r="BO1232" s="1933">
        <f t="shared" si="2374"/>
        <v>3005.5349999999999</v>
      </c>
      <c r="BP1232" s="930">
        <f t="shared" si="2374"/>
        <v>3005.2570000000001</v>
      </c>
      <c r="BQ1232" s="929">
        <f t="shared" si="2374"/>
        <v>3020.5369999999998</v>
      </c>
      <c r="BR1232" s="929">
        <f t="shared" si="2374"/>
        <v>2952.8879999999999</v>
      </c>
      <c r="BS1232" s="929">
        <f t="shared" si="2374"/>
        <v>2886.7540000000004</v>
      </c>
      <c r="BT1232" s="1933">
        <f t="shared" si="2374"/>
        <v>2916.9000000000005</v>
      </c>
      <c r="BU1232" s="3452">
        <f>BU1230+BU1229</f>
        <v>2916.9000000000005</v>
      </c>
      <c r="BV1232" s="929">
        <f t="shared" ref="BV1232:BY1232" si="2375">BV1230+BV1229</f>
        <v>2818.525581498202</v>
      </c>
      <c r="BW1232" s="929">
        <f t="shared" si="2375"/>
        <v>2764.684470512349</v>
      </c>
      <c r="BX1232" s="929">
        <f t="shared" si="2375"/>
        <v>4442.9542648296465</v>
      </c>
      <c r="BY1232" s="1933">
        <f t="shared" si="2375"/>
        <v>4354.507067938629</v>
      </c>
      <c r="BZ1232" s="930">
        <f>BZ1230+BZ1229</f>
        <v>4354.507067938629</v>
      </c>
      <c r="CA1232" s="930">
        <f t="shared" si="2373"/>
        <v>3968.5161403921811</v>
      </c>
      <c r="CB1232" s="930">
        <f t="shared" si="2373"/>
        <v>3577.3085703339352</v>
      </c>
      <c r="CC1232" s="930">
        <f>CC1230+CC1229</f>
        <v>2354.08</v>
      </c>
      <c r="CD1232" s="930">
        <f>CD1230+CD1229</f>
        <v>2332.58</v>
      </c>
      <c r="CE1232" s="930">
        <f>CE1230+CE1229</f>
        <v>2311.08</v>
      </c>
      <c r="CF1232" s="930">
        <f>CF1230+CF1229</f>
        <v>2289.58</v>
      </c>
      <c r="CG1232" s="930">
        <f>CG1230+CG1229</f>
        <v>2268.08</v>
      </c>
      <c r="CH1232" s="929"/>
      <c r="CI1232" s="929"/>
      <c r="CJ1232" s="929"/>
      <c r="CK1232" s="929"/>
      <c r="CL1232" s="929"/>
      <c r="CM1232" s="929"/>
      <c r="CN1232" s="929"/>
      <c r="CO1232" s="929"/>
      <c r="CP1232" s="1022" t="str">
        <f t="shared" si="2354"/>
        <v>Total Adjusted Net Debt</v>
      </c>
      <c r="CQ1232" s="929">
        <f>H1232</f>
        <v>2362.1019999999999</v>
      </c>
      <c r="CR1232" s="929">
        <f>M1232</f>
        <v>2540.9679999999998</v>
      </c>
      <c r="CS1232" s="929">
        <f>R1232</f>
        <v>2246.4690000000005</v>
      </c>
      <c r="CT1232" s="929">
        <f>W1232</f>
        <v>2462.2069999999999</v>
      </c>
      <c r="CU1232" s="929">
        <f>AB1232</f>
        <v>2919.7719999999999</v>
      </c>
      <c r="CV1232" s="929">
        <f>AG1232</f>
        <v>2824.1704999999997</v>
      </c>
      <c r="CW1232" s="929">
        <f>AL1232</f>
        <v>3160.3439999999996</v>
      </c>
      <c r="CX1232" s="929">
        <f>AQ1232</f>
        <v>2795.85</v>
      </c>
      <c r="CY1232" s="929">
        <f>AV1232</f>
        <v>4232.4249999999984</v>
      </c>
      <c r="CZ1232" s="929">
        <f>BA1232</f>
        <v>3768.3939999999993</v>
      </c>
      <c r="DA1232" s="929">
        <f>BF1232</f>
        <v>3286.2969999999996</v>
      </c>
      <c r="DB1232" s="929">
        <f>BK1232</f>
        <v>3080.9780000000001</v>
      </c>
      <c r="DC1232" s="929">
        <f>BP1232</f>
        <v>3005.2570000000001</v>
      </c>
      <c r="DD1232" s="929">
        <f>BU1232</f>
        <v>2916.9000000000005</v>
      </c>
      <c r="DE1232" s="929">
        <f t="shared" si="2368"/>
        <v>4354.507067938629</v>
      </c>
      <c r="DF1232" s="929">
        <f t="shared" si="2368"/>
        <v>3968.5161403921811</v>
      </c>
      <c r="DG1232" s="1933">
        <f t="shared" si="2368"/>
        <v>3577.3085703339352</v>
      </c>
      <c r="DH1232" s="929"/>
      <c r="DI1232" s="929"/>
      <c r="DJ1232" s="929"/>
      <c r="DK1232" s="929"/>
      <c r="DL1232" s="929"/>
      <c r="DM1232" s="929"/>
      <c r="DN1232" s="929"/>
      <c r="DO1232" s="932"/>
      <c r="DY1232" s="929"/>
      <c r="DZ1232" s="929"/>
    </row>
    <row r="1233" spans="1:130" ht="12" customHeight="1">
      <c r="A1233" s="1021"/>
      <c r="B1233" s="530"/>
      <c r="C1233" s="530"/>
      <c r="D1233" s="316"/>
      <c r="E1233" s="318"/>
      <c r="F1233" s="318"/>
      <c r="G1233" s="318"/>
      <c r="H1233" s="317"/>
      <c r="I1233" s="318"/>
      <c r="J1233" s="318"/>
      <c r="K1233" s="318"/>
      <c r="L1233" s="318"/>
      <c r="M1233" s="317"/>
      <c r="N1233" s="318"/>
      <c r="O1233" s="318"/>
      <c r="P1233" s="318"/>
      <c r="Q1233" s="318"/>
      <c r="R1233" s="317"/>
      <c r="S1233" s="318"/>
      <c r="T1233" s="318"/>
      <c r="U1233" s="318"/>
      <c r="V1233" s="318"/>
      <c r="W1233" s="317"/>
      <c r="X1233" s="318"/>
      <c r="Y1233" s="318"/>
      <c r="Z1233" s="318"/>
      <c r="AA1233" s="318"/>
      <c r="AB1233" s="317"/>
      <c r="AC1233" s="318"/>
      <c r="AD1233" s="318"/>
      <c r="AE1233" s="318"/>
      <c r="AF1233" s="318"/>
      <c r="AG1233" s="317"/>
      <c r="AH1233" s="318"/>
      <c r="AI1233" s="318"/>
      <c r="AJ1233" s="318"/>
      <c r="AK1233" s="318"/>
      <c r="AL1233" s="317"/>
      <c r="AM1233" s="318"/>
      <c r="AN1233" s="318"/>
      <c r="AO1233" s="318"/>
      <c r="AP1233" s="318"/>
      <c r="AQ1233" s="317"/>
      <c r="AR1233" s="318"/>
      <c r="AS1233" s="318"/>
      <c r="AT1233" s="318"/>
      <c r="AU1233" s="318"/>
      <c r="AV1233" s="937"/>
      <c r="AW1233" s="318"/>
      <c r="AX1233" s="318"/>
      <c r="AY1233" s="318"/>
      <c r="AZ1233" s="318"/>
      <c r="BA1233" s="317"/>
      <c r="BB1233" s="318"/>
      <c r="BC1233" s="318"/>
      <c r="BD1233" s="318"/>
      <c r="BE1233" s="318"/>
      <c r="BF1233" s="317"/>
      <c r="BG1233" s="316"/>
      <c r="BH1233" s="318"/>
      <c r="BI1233" s="318"/>
      <c r="BJ1233" s="1867"/>
      <c r="BK1233" s="317"/>
      <c r="BL1233" s="318"/>
      <c r="BM1233" s="318"/>
      <c r="BN1233" s="318"/>
      <c r="BO1233" s="1867"/>
      <c r="BP1233" s="317"/>
      <c r="BQ1233" s="318"/>
      <c r="BR1233" s="318"/>
      <c r="BS1233" s="318"/>
      <c r="BT1233" s="1867"/>
      <c r="BU1233" s="3338"/>
      <c r="BV1233" s="318"/>
      <c r="BW1233" s="318"/>
      <c r="BX1233" s="318"/>
      <c r="BY1233" s="1867"/>
      <c r="BZ1233" s="4004"/>
      <c r="CA1233" s="317"/>
      <c r="CB1233" s="317"/>
      <c r="CC1233" s="317"/>
      <c r="CD1233" s="317"/>
      <c r="CE1233" s="317"/>
      <c r="CF1233" s="317"/>
      <c r="CG1233" s="317"/>
      <c r="CH1233" s="3997"/>
      <c r="CI1233" s="3997"/>
      <c r="CJ1233" s="3997"/>
      <c r="CK1233" s="3997"/>
      <c r="CL1233" s="318"/>
      <c r="CM1233" s="318"/>
      <c r="CN1233" s="318"/>
      <c r="CO1233" s="318"/>
      <c r="CP1233" s="1021"/>
      <c r="CQ1233" s="318"/>
      <c r="CR1233" s="318"/>
      <c r="CS1233" s="318"/>
      <c r="CT1233" s="318"/>
      <c r="CU1233" s="318"/>
      <c r="CV1233" s="318"/>
      <c r="CW1233" s="318"/>
      <c r="CX1233" s="318"/>
      <c r="CY1233" s="318"/>
      <c r="CZ1233" s="318"/>
      <c r="DA1233" s="318"/>
      <c r="DB1233" s="318"/>
      <c r="DC1233" s="318"/>
      <c r="DD1233" s="318"/>
      <c r="DE1233" s="318"/>
      <c r="DF1233" s="318"/>
      <c r="DG1233" s="1867"/>
      <c r="DH1233" s="564"/>
      <c r="DI1233" s="564"/>
      <c r="DJ1233" s="564"/>
      <c r="DK1233" s="564"/>
      <c r="DL1233" s="564"/>
      <c r="DM1233" s="564"/>
      <c r="DN1233" s="222"/>
      <c r="DO1233" s="226"/>
      <c r="DY1233" s="318"/>
      <c r="DZ1233" s="318"/>
    </row>
    <row r="1234" spans="1:130" ht="12" customHeight="1">
      <c r="A1234" s="1023" t="s">
        <v>908</v>
      </c>
      <c r="B1234" s="530"/>
      <c r="C1234" s="530"/>
      <c r="D1234" s="316"/>
      <c r="E1234" s="318"/>
      <c r="F1234" s="318"/>
      <c r="G1234" s="318"/>
      <c r="H1234" s="317"/>
      <c r="I1234" s="318"/>
      <c r="J1234" s="318"/>
      <c r="K1234" s="318"/>
      <c r="L1234" s="318"/>
      <c r="M1234" s="317"/>
      <c r="N1234" s="318"/>
      <c r="O1234" s="318"/>
      <c r="P1234" s="318"/>
      <c r="Q1234" s="318"/>
      <c r="R1234" s="317"/>
      <c r="S1234" s="318"/>
      <c r="T1234" s="318"/>
      <c r="U1234" s="318"/>
      <c r="V1234" s="318"/>
      <c r="W1234" s="317"/>
      <c r="X1234" s="318"/>
      <c r="Y1234" s="318"/>
      <c r="Z1234" s="318"/>
      <c r="AA1234" s="318"/>
      <c r="AB1234" s="317"/>
      <c r="AC1234" s="318"/>
      <c r="AD1234" s="318"/>
      <c r="AE1234" s="318"/>
      <c r="AF1234" s="318"/>
      <c r="AG1234" s="317"/>
      <c r="AH1234" s="318"/>
      <c r="AI1234" s="318"/>
      <c r="AJ1234" s="318"/>
      <c r="AK1234" s="318"/>
      <c r="AL1234" s="317"/>
      <c r="AM1234" s="318"/>
      <c r="AN1234" s="318"/>
      <c r="AO1234" s="318"/>
      <c r="AP1234" s="318"/>
      <c r="AQ1234" s="317"/>
      <c r="AR1234" s="318"/>
      <c r="AS1234" s="318"/>
      <c r="AT1234" s="318"/>
      <c r="AU1234" s="318"/>
      <c r="AV1234" s="937"/>
      <c r="AW1234" s="318"/>
      <c r="AX1234" s="318"/>
      <c r="AY1234" s="318"/>
      <c r="AZ1234" s="318"/>
      <c r="BA1234" s="317"/>
      <c r="BB1234" s="318"/>
      <c r="BC1234" s="318"/>
      <c r="BD1234" s="318"/>
      <c r="BE1234" s="318"/>
      <c r="BF1234" s="317"/>
      <c r="BG1234" s="316"/>
      <c r="BH1234" s="318"/>
      <c r="BI1234" s="318"/>
      <c r="BJ1234" s="1867"/>
      <c r="BK1234" s="317"/>
      <c r="BL1234" s="318"/>
      <c r="BM1234" s="318"/>
      <c r="BN1234" s="318"/>
      <c r="BO1234" s="1867"/>
      <c r="BP1234" s="317"/>
      <c r="BQ1234" s="318"/>
      <c r="BR1234" s="318"/>
      <c r="BS1234" s="318"/>
      <c r="BT1234" s="1867"/>
      <c r="BU1234" s="3338"/>
      <c r="BV1234" s="318"/>
      <c r="BW1234" s="318"/>
      <c r="BX1234" s="318"/>
      <c r="BY1234" s="1867"/>
      <c r="BZ1234" s="4004"/>
      <c r="CA1234" s="317"/>
      <c r="CB1234" s="317"/>
      <c r="CC1234" s="317"/>
      <c r="CD1234" s="317"/>
      <c r="CE1234" s="317"/>
      <c r="CF1234" s="317"/>
      <c r="CG1234" s="317"/>
      <c r="CH1234" s="3997"/>
      <c r="CI1234" s="3997"/>
      <c r="CJ1234" s="3997"/>
      <c r="CK1234" s="3997"/>
      <c r="CL1234" s="318"/>
      <c r="CM1234" s="318"/>
      <c r="CN1234" s="318"/>
      <c r="CO1234" s="318"/>
      <c r="CP1234" s="1023" t="str">
        <f t="shared" si="2354"/>
        <v>Est. Cash Balance</v>
      </c>
      <c r="CQ1234" s="318"/>
      <c r="CR1234" s="318"/>
      <c r="CS1234" s="318"/>
      <c r="CT1234" s="318"/>
      <c r="CU1234" s="318"/>
      <c r="CV1234" s="318"/>
      <c r="CW1234" s="318"/>
      <c r="CX1234" s="318"/>
      <c r="CY1234" s="318"/>
      <c r="CZ1234" s="318"/>
      <c r="DA1234" s="318"/>
      <c r="DB1234" s="318"/>
      <c r="DC1234" s="318"/>
      <c r="DD1234" s="318"/>
      <c r="DE1234" s="318"/>
      <c r="DF1234" s="318"/>
      <c r="DG1234" s="1867"/>
      <c r="DH1234" s="564"/>
      <c r="DI1234" s="564"/>
      <c r="DJ1234" s="564"/>
      <c r="DK1234" s="564"/>
      <c r="DL1234" s="564"/>
      <c r="DM1234" s="564"/>
      <c r="DN1234" s="222"/>
      <c r="DO1234" s="226"/>
      <c r="DY1234" s="318"/>
      <c r="DZ1234" s="318"/>
    </row>
    <row r="1235" spans="1:130" ht="12" customHeight="1">
      <c r="A1235" s="995" t="s">
        <v>552</v>
      </c>
      <c r="B1235" s="530"/>
      <c r="C1235" s="530"/>
      <c r="D1235" s="316"/>
      <c r="E1235" s="318"/>
      <c r="F1235" s="318"/>
      <c r="G1235" s="318"/>
      <c r="H1235" s="317"/>
      <c r="I1235" s="318"/>
      <c r="J1235" s="318"/>
      <c r="K1235" s="318"/>
      <c r="L1235" s="318"/>
      <c r="M1235" s="317"/>
      <c r="N1235" s="318"/>
      <c r="O1235" s="318"/>
      <c r="P1235" s="318"/>
      <c r="Q1235" s="318"/>
      <c r="R1235" s="317"/>
      <c r="S1235" s="318"/>
      <c r="T1235" s="318"/>
      <c r="U1235" s="318"/>
      <c r="V1235" s="318"/>
      <c r="W1235" s="317"/>
      <c r="X1235" s="318"/>
      <c r="Y1235" s="318"/>
      <c r="Z1235" s="318"/>
      <c r="AA1235" s="318"/>
      <c r="AB1235" s="317"/>
      <c r="AC1235" s="318"/>
      <c r="AD1235" s="318"/>
      <c r="AE1235" s="318"/>
      <c r="AF1235" s="318"/>
      <c r="AG1235" s="317"/>
      <c r="AH1235" s="318"/>
      <c r="AI1235" s="318"/>
      <c r="AJ1235" s="318"/>
      <c r="AK1235" s="318"/>
      <c r="AL1235" s="317"/>
      <c r="AM1235" s="318"/>
      <c r="AN1235" s="318"/>
      <c r="AO1235" s="318"/>
      <c r="AP1235" s="318">
        <f>AP1053-AP1236</f>
        <v>132.53200000000029</v>
      </c>
      <c r="AQ1235" s="317">
        <f>AP1235</f>
        <v>132.53200000000029</v>
      </c>
      <c r="AR1235" s="318">
        <f>AR1053-AR1236</f>
        <v>122.41800000000035</v>
      </c>
      <c r="AS1235" s="318">
        <f>AS1053-AS1236</f>
        <v>326.54300000000029</v>
      </c>
      <c r="AT1235" s="318">
        <f>AT1053-AT1236</f>
        <v>311.46800000000036</v>
      </c>
      <c r="AU1235" s="318">
        <f>AU1053-AU1236</f>
        <v>158.70300000000037</v>
      </c>
      <c r="AV1235" s="317">
        <f>AU1235</f>
        <v>158.70300000000037</v>
      </c>
      <c r="AW1235" s="318">
        <f>AW1053-AW1236</f>
        <v>321.92100000000016</v>
      </c>
      <c r="AX1235" s="318">
        <f>AX1053-AX1236</f>
        <v>148.78400000000013</v>
      </c>
      <c r="AY1235" s="318">
        <f>AY1053-AY1236</f>
        <v>130.45300000000046</v>
      </c>
      <c r="AZ1235" s="318">
        <f>AZ1053-AZ1236</f>
        <v>140.33800000000014</v>
      </c>
      <c r="BA1235" s="317">
        <f>AZ1235</f>
        <v>140.33800000000014</v>
      </c>
      <c r="BB1235" s="318">
        <f>BB1053-BB1236</f>
        <v>133.87800000000016</v>
      </c>
      <c r="BC1235" s="318">
        <f>BC1053-BC1236</f>
        <v>129.68000000000018</v>
      </c>
      <c r="BD1235" s="318">
        <f>BD1053-BD1236</f>
        <v>120.91000000000022</v>
      </c>
      <c r="BE1235" s="318">
        <f>BE1053-BE1236</f>
        <v>145.34100000000012</v>
      </c>
      <c r="BF1235" s="317">
        <f>BE1235</f>
        <v>145.34100000000012</v>
      </c>
      <c r="BG1235" s="316">
        <f>BG1053-BG1236</f>
        <v>130.79700000000011</v>
      </c>
      <c r="BH1235" s="318">
        <f>BH1053-BH1236</f>
        <v>124.52300000000025</v>
      </c>
      <c r="BI1235" s="318">
        <f>BI1053-BI1236</f>
        <v>125.04500000000012</v>
      </c>
      <c r="BJ1235" s="1867">
        <f>BJ1053-BJ1236</f>
        <v>158.82100000000008</v>
      </c>
      <c r="BK1235" s="317">
        <f>BJ1235</f>
        <v>158.82100000000008</v>
      </c>
      <c r="BL1235" s="318">
        <f>BL1053-BL1236</f>
        <v>616.20100000000002</v>
      </c>
      <c r="BM1235" s="318">
        <f>BM1053-BM1236</f>
        <v>628.27800000000002</v>
      </c>
      <c r="BN1235" s="318">
        <f>BN1053-BN1236</f>
        <v>159.68800000000027</v>
      </c>
      <c r="BO1235" s="1867">
        <f>BO1053-BO1236</f>
        <v>193.86199999999991</v>
      </c>
      <c r="BP1235" s="317">
        <f>BO1235</f>
        <v>193.86199999999991</v>
      </c>
      <c r="BQ1235" s="318">
        <f>BQ1053-BQ1236</f>
        <v>167.00699999999992</v>
      </c>
      <c r="BR1235" s="318">
        <f>BR1053-BR1236</f>
        <v>162.96299999999985</v>
      </c>
      <c r="BS1235" s="318">
        <f>BS1053-BS1236</f>
        <v>158.83199999999988</v>
      </c>
      <c r="BT1235" s="1867">
        <f>BT1053-BT1236</f>
        <v>203.10000000000002</v>
      </c>
      <c r="BU1235" s="3338">
        <f>BT1235</f>
        <v>203.10000000000002</v>
      </c>
      <c r="BV1235" s="318">
        <f>BV1053-BV1236</f>
        <v>298.34941850179831</v>
      </c>
      <c r="BW1235" s="318">
        <f>BW1053-BW1236</f>
        <v>349.06552948765136</v>
      </c>
      <c r="BX1235" s="318">
        <f>BX1053-BX1236</f>
        <v>124.67873517035332</v>
      </c>
      <c r="BY1235" s="1867">
        <f>BY1053-BY1236</f>
        <v>206.57868206137107</v>
      </c>
      <c r="BZ1235" s="4004">
        <f>BY1235</f>
        <v>206.57868206137107</v>
      </c>
      <c r="CA1235" s="317">
        <f t="shared" ref="CA1235:CG1235" si="2376">CA1053-CA1236</f>
        <v>566.27657320781861</v>
      </c>
      <c r="CB1235" s="317">
        <f t="shared" si="2376"/>
        <v>930.93090457091466</v>
      </c>
      <c r="CC1235" s="317">
        <f t="shared" si="2376"/>
        <v>0</v>
      </c>
      <c r="CD1235" s="317">
        <f t="shared" si="2376"/>
        <v>0</v>
      </c>
      <c r="CE1235" s="317">
        <f t="shared" si="2376"/>
        <v>0</v>
      </c>
      <c r="CF1235" s="317">
        <f t="shared" si="2376"/>
        <v>0</v>
      </c>
      <c r="CG1235" s="317">
        <f t="shared" si="2376"/>
        <v>0</v>
      </c>
      <c r="CH1235" s="3997"/>
      <c r="CI1235" s="3997"/>
      <c r="CJ1235" s="3997"/>
      <c r="CK1235" s="3997"/>
      <c r="CL1235" s="318"/>
      <c r="CM1235" s="318"/>
      <c r="CN1235" s="318"/>
      <c r="CO1235" s="318"/>
      <c r="CP1235" s="995" t="str">
        <f t="shared" si="2354"/>
        <v>BYD</v>
      </c>
      <c r="CQ1235" s="318"/>
      <c r="CR1235" s="318"/>
      <c r="CS1235" s="318"/>
      <c r="CT1235" s="318"/>
      <c r="CU1235" s="318"/>
      <c r="CV1235" s="318"/>
      <c r="CW1235" s="318"/>
      <c r="CX1235" s="318">
        <f>AQ1235</f>
        <v>132.53200000000029</v>
      </c>
      <c r="CY1235" s="318">
        <f>AV1235</f>
        <v>158.70300000000037</v>
      </c>
      <c r="CZ1235" s="318">
        <f>BA1235</f>
        <v>140.33800000000014</v>
      </c>
      <c r="DA1235" s="318">
        <f>BF1235</f>
        <v>145.34100000000012</v>
      </c>
      <c r="DB1235" s="318">
        <f>BK1235</f>
        <v>158.82100000000008</v>
      </c>
      <c r="DC1235" s="318">
        <f>BP1235</f>
        <v>193.86199999999991</v>
      </c>
      <c r="DD1235" s="318">
        <f>BU1235</f>
        <v>203.10000000000002</v>
      </c>
      <c r="DE1235" s="318">
        <f t="shared" ref="DE1235:DG1238" si="2377">BZ1235</f>
        <v>206.57868206137107</v>
      </c>
      <c r="DF1235" s="318">
        <f t="shared" si="2377"/>
        <v>566.27657320781861</v>
      </c>
      <c r="DG1235" s="1867">
        <f t="shared" si="2377"/>
        <v>930.93090457091466</v>
      </c>
      <c r="DH1235" s="564"/>
      <c r="DI1235" s="564"/>
      <c r="DJ1235" s="564"/>
      <c r="DK1235" s="564"/>
      <c r="DL1235" s="564"/>
      <c r="DM1235" s="564"/>
      <c r="DN1235" s="222"/>
      <c r="DO1235" s="226"/>
      <c r="DY1235" s="318"/>
      <c r="DZ1235" s="318"/>
    </row>
    <row r="1236" spans="1:130" ht="12" customHeight="1">
      <c r="A1236" s="995" t="s">
        <v>773</v>
      </c>
      <c r="B1236" s="530"/>
      <c r="C1236" s="530"/>
      <c r="D1236" s="316"/>
      <c r="E1236" s="318"/>
      <c r="F1236" s="318"/>
      <c r="G1236" s="318"/>
      <c r="H1236" s="317"/>
      <c r="I1236" s="318"/>
      <c r="J1236" s="318"/>
      <c r="K1236" s="318"/>
      <c r="L1236" s="318"/>
      <c r="M1236" s="317"/>
      <c r="N1236" s="318"/>
      <c r="O1236" s="318"/>
      <c r="P1236" s="318"/>
      <c r="Q1236" s="318"/>
      <c r="R1236" s="317"/>
      <c r="S1236" s="318"/>
      <c r="T1236" s="318"/>
      <c r="U1236" s="318"/>
      <c r="V1236" s="318"/>
      <c r="W1236" s="317"/>
      <c r="X1236" s="318"/>
      <c r="Y1236" s="318"/>
      <c r="Z1236" s="318"/>
      <c r="AA1236" s="318"/>
      <c r="AB1236" s="317"/>
      <c r="AC1236" s="318"/>
      <c r="AD1236" s="318"/>
      <c r="AE1236" s="318"/>
      <c r="AF1236" s="318"/>
      <c r="AG1236" s="317"/>
      <c r="AH1236" s="318"/>
      <c r="AI1236" s="318"/>
      <c r="AJ1236" s="318"/>
      <c r="AK1236" s="318"/>
      <c r="AL1236" s="317"/>
      <c r="AM1236" s="318"/>
      <c r="AN1236" s="318"/>
      <c r="AO1236" s="318"/>
      <c r="AP1236" s="318">
        <f>AP978</f>
        <v>46.223999999999997</v>
      </c>
      <c r="AQ1236" s="317">
        <f>AP1236</f>
        <v>46.223999999999997</v>
      </c>
      <c r="AR1236" s="318">
        <f>AR978</f>
        <v>34.295999999999999</v>
      </c>
      <c r="AS1236" s="318">
        <f>AS978</f>
        <v>33.911999999999999</v>
      </c>
      <c r="AT1236" s="318">
        <f>AT978</f>
        <v>32.302999999999997</v>
      </c>
      <c r="AU1236" s="318">
        <f>AU978</f>
        <v>34.125</v>
      </c>
      <c r="AV1236" s="317">
        <f>AU1236</f>
        <v>34.125</v>
      </c>
      <c r="AW1236" s="318">
        <f>AW978</f>
        <v>36.433</v>
      </c>
      <c r="AX1236" s="318">
        <f>AX978</f>
        <v>33.828000000000003</v>
      </c>
      <c r="AY1236" s="318">
        <f>AY978</f>
        <v>35.35</v>
      </c>
      <c r="AZ1236" s="318">
        <f>AZ978</f>
        <v>37.5</v>
      </c>
      <c r="BA1236" s="317">
        <f>AZ1236</f>
        <v>37.5</v>
      </c>
      <c r="BB1236" s="318">
        <f>BB978</f>
        <v>29</v>
      </c>
      <c r="BC1236" s="318">
        <f>BC978</f>
        <v>32.832000000000001</v>
      </c>
      <c r="BD1236" s="318"/>
      <c r="BE1236" s="318"/>
      <c r="BF1236" s="317"/>
      <c r="BG1236" s="316"/>
      <c r="BH1236" s="318"/>
      <c r="BI1236" s="318"/>
      <c r="BJ1236" s="1867"/>
      <c r="BK1236" s="317"/>
      <c r="BL1236" s="318"/>
      <c r="BM1236" s="318"/>
      <c r="BN1236" s="318"/>
      <c r="BO1236" s="1867"/>
      <c r="BP1236" s="317"/>
      <c r="BQ1236" s="318"/>
      <c r="BR1236" s="318"/>
      <c r="BS1236" s="318"/>
      <c r="BT1236" s="1867"/>
      <c r="BU1236" s="3338"/>
      <c r="BV1236" s="318"/>
      <c r="BW1236" s="318"/>
      <c r="BX1236" s="318"/>
      <c r="BY1236" s="1867"/>
      <c r="BZ1236" s="4004"/>
      <c r="CA1236" s="317"/>
      <c r="CB1236" s="317"/>
      <c r="CC1236" s="317"/>
      <c r="CD1236" s="317"/>
      <c r="CE1236" s="317"/>
      <c r="CF1236" s="317"/>
      <c r="CG1236" s="317"/>
      <c r="CH1236" s="3997"/>
      <c r="CI1236" s="3997"/>
      <c r="CJ1236" s="3997"/>
      <c r="CK1236" s="3997"/>
      <c r="CL1236" s="318"/>
      <c r="CM1236" s="318"/>
      <c r="CN1236" s="318"/>
      <c r="CO1236" s="318"/>
      <c r="CP1236" s="995" t="str">
        <f t="shared" si="2354"/>
        <v>Borgata</v>
      </c>
      <c r="CQ1236" s="318"/>
      <c r="CR1236" s="318"/>
      <c r="CS1236" s="318"/>
      <c r="CT1236" s="318"/>
      <c r="CU1236" s="318"/>
      <c r="CV1236" s="318"/>
      <c r="CW1236" s="318"/>
      <c r="CX1236" s="318">
        <f>AQ1236</f>
        <v>46.223999999999997</v>
      </c>
      <c r="CY1236" s="318">
        <f>AV1236</f>
        <v>34.125</v>
      </c>
      <c r="CZ1236" s="318">
        <f>BA1236</f>
        <v>37.5</v>
      </c>
      <c r="DA1236" s="318">
        <f>BF1236</f>
        <v>0</v>
      </c>
      <c r="DB1236" s="318">
        <f>BK1236</f>
        <v>0</v>
      </c>
      <c r="DC1236" s="318">
        <f>BP1236</f>
        <v>0</v>
      </c>
      <c r="DD1236" s="318">
        <f>BU1236</f>
        <v>0</v>
      </c>
      <c r="DE1236" s="318">
        <f t="shared" si="2377"/>
        <v>0</v>
      </c>
      <c r="DF1236" s="318">
        <f t="shared" si="2377"/>
        <v>0</v>
      </c>
      <c r="DG1236" s="1867">
        <f t="shared" si="2377"/>
        <v>0</v>
      </c>
      <c r="DH1236" s="564"/>
      <c r="DI1236" s="564"/>
      <c r="DJ1236" s="564"/>
      <c r="DK1236" s="564"/>
      <c r="DL1236" s="564"/>
      <c r="DM1236" s="564"/>
      <c r="DN1236" s="222"/>
      <c r="DO1236" s="226"/>
      <c r="DY1236" s="318"/>
      <c r="DZ1236" s="318"/>
    </row>
    <row r="1237" spans="1:130" ht="4.5" customHeight="1">
      <c r="A1237" s="962"/>
      <c r="B1237" s="293"/>
      <c r="C1237" s="293"/>
      <c r="D1237" s="294" t="s">
        <v>343</v>
      </c>
      <c r="E1237" s="295" t="s">
        <v>343</v>
      </c>
      <c r="F1237" s="295" t="s">
        <v>343</v>
      </c>
      <c r="G1237" s="295" t="s">
        <v>343</v>
      </c>
      <c r="H1237" s="296" t="s">
        <v>343</v>
      </c>
      <c r="I1237" s="295" t="s">
        <v>343</v>
      </c>
      <c r="J1237" s="295" t="s">
        <v>343</v>
      </c>
      <c r="K1237" s="295" t="s">
        <v>343</v>
      </c>
      <c r="L1237" s="295" t="s">
        <v>343</v>
      </c>
      <c r="M1237" s="296" t="s">
        <v>343</v>
      </c>
      <c r="N1237" s="295" t="s">
        <v>343</v>
      </c>
      <c r="O1237" s="295" t="s">
        <v>343</v>
      </c>
      <c r="P1237" s="295" t="s">
        <v>343</v>
      </c>
      <c r="Q1237" s="295" t="s">
        <v>343</v>
      </c>
      <c r="R1237" s="296" t="s">
        <v>343</v>
      </c>
      <c r="S1237" s="295" t="s">
        <v>343</v>
      </c>
      <c r="T1237" s="295" t="s">
        <v>343</v>
      </c>
      <c r="U1237" s="295" t="s">
        <v>343</v>
      </c>
      <c r="V1237" s="295" t="s">
        <v>343</v>
      </c>
      <c r="W1237" s="296" t="s">
        <v>343</v>
      </c>
      <c r="X1237" s="295" t="s">
        <v>343</v>
      </c>
      <c r="Y1237" s="295" t="s">
        <v>343</v>
      </c>
      <c r="Z1237" s="295" t="s">
        <v>343</v>
      </c>
      <c r="AA1237" s="295" t="s">
        <v>343</v>
      </c>
      <c r="AB1237" s="296" t="s">
        <v>343</v>
      </c>
      <c r="AC1237" s="295" t="s">
        <v>343</v>
      </c>
      <c r="AD1237" s="295" t="s">
        <v>343</v>
      </c>
      <c r="AE1237" s="295" t="s">
        <v>343</v>
      </c>
      <c r="AF1237" s="295" t="s">
        <v>343</v>
      </c>
      <c r="AG1237" s="296" t="s">
        <v>343</v>
      </c>
      <c r="AH1237" s="295" t="s">
        <v>343</v>
      </c>
      <c r="AI1237" s="295" t="s">
        <v>343</v>
      </c>
      <c r="AJ1237" s="295" t="s">
        <v>343</v>
      </c>
      <c r="AK1237" s="295" t="s">
        <v>343</v>
      </c>
      <c r="AL1237" s="296" t="s">
        <v>343</v>
      </c>
      <c r="AM1237" s="295" t="s">
        <v>343</v>
      </c>
      <c r="AN1237" s="295" t="s">
        <v>343</v>
      </c>
      <c r="AO1237" s="295" t="s">
        <v>343</v>
      </c>
      <c r="AP1237" s="295" t="s">
        <v>343</v>
      </c>
      <c r="AQ1237" s="296" t="s">
        <v>343</v>
      </c>
      <c r="AR1237" s="295" t="s">
        <v>343</v>
      </c>
      <c r="AS1237" s="295" t="s">
        <v>343</v>
      </c>
      <c r="AT1237" s="295" t="s">
        <v>343</v>
      </c>
      <c r="AU1237" s="295" t="s">
        <v>343</v>
      </c>
      <c r="AV1237" s="296" t="s">
        <v>343</v>
      </c>
      <c r="AW1237" s="295" t="s">
        <v>343</v>
      </c>
      <c r="AX1237" s="295" t="s">
        <v>343</v>
      </c>
      <c r="AY1237" s="295" t="s">
        <v>343</v>
      </c>
      <c r="AZ1237" s="295" t="s">
        <v>343</v>
      </c>
      <c r="BA1237" s="296" t="s">
        <v>343</v>
      </c>
      <c r="BB1237" s="295" t="s">
        <v>343</v>
      </c>
      <c r="BC1237" s="295" t="s">
        <v>343</v>
      </c>
      <c r="BD1237" s="295" t="s">
        <v>343</v>
      </c>
      <c r="BE1237" s="295" t="s">
        <v>343</v>
      </c>
      <c r="BF1237" s="296" t="s">
        <v>343</v>
      </c>
      <c r="BG1237" s="294" t="s">
        <v>343</v>
      </c>
      <c r="BH1237" s="295" t="s">
        <v>343</v>
      </c>
      <c r="BI1237" s="295" t="s">
        <v>343</v>
      </c>
      <c r="BJ1237" s="297" t="s">
        <v>343</v>
      </c>
      <c r="BK1237" s="296" t="s">
        <v>343</v>
      </c>
      <c r="BL1237" s="295" t="s">
        <v>343</v>
      </c>
      <c r="BM1237" s="295" t="s">
        <v>343</v>
      </c>
      <c r="BN1237" s="295" t="s">
        <v>343</v>
      </c>
      <c r="BO1237" s="297" t="s">
        <v>343</v>
      </c>
      <c r="BP1237" s="296" t="s">
        <v>343</v>
      </c>
      <c r="BQ1237" s="295" t="s">
        <v>343</v>
      </c>
      <c r="BR1237" s="295" t="s">
        <v>343</v>
      </c>
      <c r="BS1237" s="295" t="s">
        <v>343</v>
      </c>
      <c r="BT1237" s="297" t="s">
        <v>343</v>
      </c>
      <c r="BU1237" s="3314" t="s">
        <v>343</v>
      </c>
      <c r="BV1237" s="295" t="s">
        <v>343</v>
      </c>
      <c r="BW1237" s="295" t="s">
        <v>343</v>
      </c>
      <c r="BX1237" s="295" t="s">
        <v>343</v>
      </c>
      <c r="BY1237" s="297" t="s">
        <v>343</v>
      </c>
      <c r="BZ1237" s="297" t="s">
        <v>343</v>
      </c>
      <c r="CA1237" s="297" t="s">
        <v>343</v>
      </c>
      <c r="CB1237" s="297" t="s">
        <v>343</v>
      </c>
      <c r="CC1237" s="297" t="s">
        <v>343</v>
      </c>
      <c r="CD1237" s="297" t="s">
        <v>343</v>
      </c>
      <c r="CE1237" s="297" t="s">
        <v>343</v>
      </c>
      <c r="CF1237" s="297" t="s">
        <v>343</v>
      </c>
      <c r="CG1237" s="297" t="s">
        <v>343</v>
      </c>
      <c r="CH1237" s="295"/>
      <c r="CI1237" s="295"/>
      <c r="CJ1237" s="295"/>
      <c r="CK1237" s="295"/>
      <c r="CL1237" s="295"/>
      <c r="CM1237" s="295"/>
      <c r="CN1237" s="295"/>
      <c r="CO1237" s="295"/>
      <c r="CP1237" s="1784"/>
      <c r="CQ1237" s="295"/>
      <c r="CR1237" s="295"/>
      <c r="CS1237" s="295"/>
      <c r="CT1237" s="295"/>
      <c r="CU1237" s="295"/>
      <c r="CV1237" s="295"/>
      <c r="CW1237" s="295"/>
      <c r="CX1237" s="295" t="str">
        <f>AQ1237</f>
        <v xml:space="preserve">                </v>
      </c>
      <c r="CY1237" s="295" t="str">
        <f>AV1237</f>
        <v xml:space="preserve">                </v>
      </c>
      <c r="CZ1237" s="295" t="str">
        <f>BA1237</f>
        <v xml:space="preserve">                </v>
      </c>
      <c r="DA1237" s="295" t="str">
        <f>BF1237</f>
        <v xml:space="preserve">                </v>
      </c>
      <c r="DB1237" s="295" t="str">
        <f>BK1237</f>
        <v xml:space="preserve">                </v>
      </c>
      <c r="DC1237" s="295" t="str">
        <f>BP1237</f>
        <v xml:space="preserve">                </v>
      </c>
      <c r="DD1237" s="295" t="str">
        <f>BU1237</f>
        <v xml:space="preserve">                </v>
      </c>
      <c r="DE1237" s="295" t="str">
        <f t="shared" si="2377"/>
        <v xml:space="preserve">                </v>
      </c>
      <c r="DF1237" s="295" t="str">
        <f t="shared" si="2377"/>
        <v xml:space="preserve">                </v>
      </c>
      <c r="DG1237" s="297" t="str">
        <f t="shared" si="2377"/>
        <v xml:space="preserve">                </v>
      </c>
      <c r="DH1237" s="298"/>
      <c r="DI1237" s="299"/>
      <c r="DJ1237" s="299"/>
      <c r="DK1237" s="299"/>
      <c r="DL1237" s="299"/>
      <c r="DM1237" s="299"/>
      <c r="DN1237" s="299"/>
      <c r="DO1237" s="300"/>
      <c r="DY1237" s="295"/>
      <c r="DZ1237" s="295"/>
    </row>
    <row r="1238" spans="1:130" ht="12" customHeight="1">
      <c r="A1238" s="1021" t="s">
        <v>310</v>
      </c>
      <c r="B1238" s="530"/>
      <c r="C1238" s="530"/>
      <c r="D1238" s="316"/>
      <c r="E1238" s="318"/>
      <c r="F1238" s="318"/>
      <c r="G1238" s="318"/>
      <c r="H1238" s="317"/>
      <c r="I1238" s="318"/>
      <c r="J1238" s="318"/>
      <c r="K1238" s="318"/>
      <c r="L1238" s="318"/>
      <c r="M1238" s="317"/>
      <c r="N1238" s="318"/>
      <c r="O1238" s="318"/>
      <c r="P1238" s="318"/>
      <c r="Q1238" s="318"/>
      <c r="R1238" s="317"/>
      <c r="S1238" s="318"/>
      <c r="T1238" s="318"/>
      <c r="U1238" s="318"/>
      <c r="V1238" s="318"/>
      <c r="W1238" s="317"/>
      <c r="X1238" s="318"/>
      <c r="Y1238" s="318"/>
      <c r="Z1238" s="318"/>
      <c r="AA1238" s="318"/>
      <c r="AB1238" s="317"/>
      <c r="AC1238" s="318"/>
      <c r="AD1238" s="318"/>
      <c r="AE1238" s="318"/>
      <c r="AF1238" s="318"/>
      <c r="AG1238" s="317"/>
      <c r="AH1238" s="318"/>
      <c r="AI1238" s="318"/>
      <c r="AJ1238" s="318"/>
      <c r="AK1238" s="318"/>
      <c r="AL1238" s="317"/>
      <c r="AM1238" s="318"/>
      <c r="AN1238" s="318"/>
      <c r="AO1238" s="318"/>
      <c r="AP1238" s="318">
        <f>SUM(AP1235:AP1236)</f>
        <v>178.75600000000028</v>
      </c>
      <c r="AQ1238" s="317">
        <f>AP1238</f>
        <v>178.75600000000028</v>
      </c>
      <c r="AR1238" s="318">
        <f>SUM(AR1235:AR1236)</f>
        <v>156.71400000000034</v>
      </c>
      <c r="AS1238" s="318">
        <f>SUM(AS1235:AS1236)</f>
        <v>360.45500000000027</v>
      </c>
      <c r="AT1238" s="318">
        <f>SUM(AT1235:AT1236)</f>
        <v>343.77100000000036</v>
      </c>
      <c r="AU1238" s="318">
        <f>SUM(AU1235:AU1236)</f>
        <v>192.82800000000037</v>
      </c>
      <c r="AV1238" s="317">
        <f>AU1238</f>
        <v>192.82800000000037</v>
      </c>
      <c r="AW1238" s="318">
        <f>SUM(AW1235:AW1236)</f>
        <v>358.35400000000016</v>
      </c>
      <c r="AX1238" s="318">
        <f>SUM(AX1235:AX1236)</f>
        <v>182.61200000000014</v>
      </c>
      <c r="AY1238" s="318">
        <f>SUM(AY1235:AY1236)</f>
        <v>165.80300000000045</v>
      </c>
      <c r="AZ1238" s="318">
        <f>SUM(AZ1235:AZ1236)</f>
        <v>177.83800000000014</v>
      </c>
      <c r="BA1238" s="317">
        <f>AZ1238</f>
        <v>177.83800000000014</v>
      </c>
      <c r="BB1238" s="318">
        <f>SUM(BB1235:BB1236)</f>
        <v>162.87800000000016</v>
      </c>
      <c r="BC1238" s="318">
        <f>SUM(BC1235:BC1236)</f>
        <v>162.51200000000017</v>
      </c>
      <c r="BD1238" s="318">
        <f>SUM(BD1235:BD1236)</f>
        <v>120.91000000000022</v>
      </c>
      <c r="BE1238" s="318">
        <f>SUM(BE1235:BE1236)</f>
        <v>145.34100000000012</v>
      </c>
      <c r="BF1238" s="317">
        <f>BE1238</f>
        <v>145.34100000000012</v>
      </c>
      <c r="BG1238" s="316">
        <f>SUM(BG1235:BG1236)</f>
        <v>130.79700000000011</v>
      </c>
      <c r="BH1238" s="318">
        <f>SUM(BH1235:BH1236)</f>
        <v>124.52300000000025</v>
      </c>
      <c r="BI1238" s="318">
        <f>SUM(BI1235:BI1236)</f>
        <v>125.04500000000012</v>
      </c>
      <c r="BJ1238" s="1867">
        <f>SUM(BJ1235:BJ1236)</f>
        <v>158.82100000000008</v>
      </c>
      <c r="BK1238" s="317">
        <f>BJ1238</f>
        <v>158.82100000000008</v>
      </c>
      <c r="BL1238" s="318">
        <f>SUM(BL1235:BL1236)</f>
        <v>616.20100000000002</v>
      </c>
      <c r="BM1238" s="318">
        <f>SUM(BM1235:BM1236)</f>
        <v>628.27800000000002</v>
      </c>
      <c r="BN1238" s="318">
        <f>SUM(BN1235:BN1236)</f>
        <v>159.68800000000027</v>
      </c>
      <c r="BO1238" s="1867">
        <f>SUM(BO1235:BO1236)</f>
        <v>193.86199999999991</v>
      </c>
      <c r="BP1238" s="317">
        <f>BO1238</f>
        <v>193.86199999999991</v>
      </c>
      <c r="BQ1238" s="318">
        <f>SUM(BQ1235:BQ1236)</f>
        <v>167.00699999999992</v>
      </c>
      <c r="BR1238" s="318">
        <f>SUM(BR1235:BR1236)</f>
        <v>162.96299999999985</v>
      </c>
      <c r="BS1238" s="318">
        <f>SUM(BS1235:BS1236)</f>
        <v>158.83199999999988</v>
      </c>
      <c r="BT1238" s="1867">
        <f>SUM(BT1235:BT1236)</f>
        <v>203.10000000000002</v>
      </c>
      <c r="BU1238" s="3338">
        <f>BT1238</f>
        <v>203.10000000000002</v>
      </c>
      <c r="BV1238" s="318">
        <f>SUM(BV1235:BV1236)</f>
        <v>298.34941850179831</v>
      </c>
      <c r="BW1238" s="318">
        <f>SUM(BW1235:BW1236)</f>
        <v>349.06552948765136</v>
      </c>
      <c r="BX1238" s="318">
        <f>SUM(BX1235:BX1236)</f>
        <v>124.67873517035332</v>
      </c>
      <c r="BY1238" s="1867">
        <f>SUM(BY1235:BY1236)</f>
        <v>206.57868206137107</v>
      </c>
      <c r="BZ1238" s="4004">
        <f>BY1238</f>
        <v>206.57868206137107</v>
      </c>
      <c r="CA1238" s="317">
        <f t="shared" ref="CA1238:CG1238" si="2378">SUM(CA1235:CA1236)</f>
        <v>566.27657320781861</v>
      </c>
      <c r="CB1238" s="317">
        <f t="shared" si="2378"/>
        <v>930.93090457091466</v>
      </c>
      <c r="CC1238" s="317">
        <f t="shared" si="2378"/>
        <v>0</v>
      </c>
      <c r="CD1238" s="317">
        <f t="shared" si="2378"/>
        <v>0</v>
      </c>
      <c r="CE1238" s="317">
        <f t="shared" si="2378"/>
        <v>0</v>
      </c>
      <c r="CF1238" s="317">
        <f t="shared" si="2378"/>
        <v>0</v>
      </c>
      <c r="CG1238" s="317">
        <f t="shared" si="2378"/>
        <v>0</v>
      </c>
      <c r="CH1238" s="3997"/>
      <c r="CI1238" s="3997"/>
      <c r="CJ1238" s="3997"/>
      <c r="CK1238" s="3997"/>
      <c r="CL1238" s="318"/>
      <c r="CM1238" s="318"/>
      <c r="CN1238" s="318"/>
      <c r="CO1238" s="318"/>
      <c r="CP1238" s="1021" t="str">
        <f t="shared" si="2354"/>
        <v>Total</v>
      </c>
      <c r="CQ1238" s="318"/>
      <c r="CR1238" s="318"/>
      <c r="CS1238" s="318"/>
      <c r="CT1238" s="318"/>
      <c r="CU1238" s="318"/>
      <c r="CV1238" s="318"/>
      <c r="CW1238" s="318"/>
      <c r="CX1238" s="318">
        <f>AQ1238</f>
        <v>178.75600000000028</v>
      </c>
      <c r="CY1238" s="318">
        <f>AV1238</f>
        <v>192.82800000000037</v>
      </c>
      <c r="CZ1238" s="318">
        <f>BA1238</f>
        <v>177.83800000000014</v>
      </c>
      <c r="DA1238" s="318">
        <f>BF1238</f>
        <v>145.34100000000012</v>
      </c>
      <c r="DB1238" s="318">
        <f>BK1238</f>
        <v>158.82100000000008</v>
      </c>
      <c r="DC1238" s="318">
        <f>BP1238</f>
        <v>193.86199999999991</v>
      </c>
      <c r="DD1238" s="318">
        <f>BU1238</f>
        <v>203.10000000000002</v>
      </c>
      <c r="DE1238" s="318">
        <f t="shared" si="2377"/>
        <v>206.57868206137107</v>
      </c>
      <c r="DF1238" s="318">
        <f t="shared" si="2377"/>
        <v>566.27657320781861</v>
      </c>
      <c r="DG1238" s="1867">
        <f t="shared" si="2377"/>
        <v>930.93090457091466</v>
      </c>
      <c r="DH1238" s="564"/>
      <c r="DI1238" s="564"/>
      <c r="DJ1238" s="564"/>
      <c r="DK1238" s="564"/>
      <c r="DL1238" s="564"/>
      <c r="DM1238" s="564"/>
      <c r="DN1238" s="222"/>
      <c r="DO1238" s="226"/>
      <c r="DY1238" s="318"/>
      <c r="DZ1238" s="318"/>
    </row>
    <row r="1239" spans="1:130" ht="12" customHeight="1">
      <c r="A1239" s="1021"/>
      <c r="B1239" s="530"/>
      <c r="C1239" s="530"/>
      <c r="D1239" s="316"/>
      <c r="E1239" s="318"/>
      <c r="F1239" s="318"/>
      <c r="G1239" s="318"/>
      <c r="H1239" s="317"/>
      <c r="I1239" s="318"/>
      <c r="J1239" s="318"/>
      <c r="K1239" s="318"/>
      <c r="L1239" s="318"/>
      <c r="M1239" s="317"/>
      <c r="N1239" s="318"/>
      <c r="O1239" s="318"/>
      <c r="P1239" s="318"/>
      <c r="Q1239" s="318"/>
      <c r="R1239" s="317"/>
      <c r="S1239" s="318"/>
      <c r="T1239" s="318"/>
      <c r="U1239" s="318"/>
      <c r="V1239" s="318"/>
      <c r="W1239" s="317"/>
      <c r="X1239" s="318"/>
      <c r="Y1239" s="318"/>
      <c r="Z1239" s="318"/>
      <c r="AA1239" s="318"/>
      <c r="AB1239" s="317"/>
      <c r="AC1239" s="318"/>
      <c r="AD1239" s="318"/>
      <c r="AE1239" s="318"/>
      <c r="AF1239" s="318"/>
      <c r="AG1239" s="317"/>
      <c r="AH1239" s="318"/>
      <c r="AI1239" s="318"/>
      <c r="AJ1239" s="318"/>
      <c r="AK1239" s="318"/>
      <c r="AL1239" s="317"/>
      <c r="AM1239" s="318"/>
      <c r="AN1239" s="318"/>
      <c r="AO1239" s="318"/>
      <c r="AP1239" s="318"/>
      <c r="AQ1239" s="317"/>
      <c r="AR1239" s="318"/>
      <c r="AS1239" s="318"/>
      <c r="AT1239" s="318"/>
      <c r="AU1239" s="318"/>
      <c r="AV1239" s="937"/>
      <c r="AW1239" s="318"/>
      <c r="AX1239" s="318"/>
      <c r="AY1239" s="318"/>
      <c r="AZ1239" s="318"/>
      <c r="BA1239" s="317"/>
      <c r="BB1239" s="318"/>
      <c r="BC1239" s="318"/>
      <c r="BD1239" s="318"/>
      <c r="BE1239" s="318"/>
      <c r="BF1239" s="317"/>
      <c r="BG1239" s="316"/>
      <c r="BH1239" s="318"/>
      <c r="BI1239" s="318"/>
      <c r="BJ1239" s="1867"/>
      <c r="BK1239" s="317"/>
      <c r="BL1239" s="318"/>
      <c r="BM1239" s="318"/>
      <c r="BN1239" s="318"/>
      <c r="BO1239" s="1867"/>
      <c r="BP1239" s="317"/>
      <c r="BQ1239" s="318"/>
      <c r="BR1239" s="318"/>
      <c r="BS1239" s="318"/>
      <c r="BT1239" s="1867"/>
      <c r="BU1239" s="3338"/>
      <c r="BV1239" s="318"/>
      <c r="BW1239" s="318"/>
      <c r="BX1239" s="318"/>
      <c r="BY1239" s="1867"/>
      <c r="BZ1239" s="4004"/>
      <c r="CA1239" s="317"/>
      <c r="CB1239" s="317"/>
      <c r="CC1239" s="317"/>
      <c r="CD1239" s="317"/>
      <c r="CE1239" s="317"/>
      <c r="CF1239" s="317"/>
      <c r="CG1239" s="317"/>
      <c r="CH1239" s="3997"/>
      <c r="CI1239" s="3997"/>
      <c r="CJ1239" s="3997"/>
      <c r="CK1239" s="3997"/>
      <c r="CL1239" s="318"/>
      <c r="CM1239" s="318"/>
      <c r="CN1239" s="318"/>
      <c r="CO1239" s="318"/>
      <c r="CP1239" s="1021"/>
      <c r="CQ1239" s="318"/>
      <c r="CR1239" s="318"/>
      <c r="CS1239" s="318"/>
      <c r="CT1239" s="318"/>
      <c r="CU1239" s="318"/>
      <c r="CV1239" s="318"/>
      <c r="CW1239" s="318"/>
      <c r="CX1239" s="318"/>
      <c r="CY1239" s="318"/>
      <c r="CZ1239" s="318"/>
      <c r="DA1239" s="318"/>
      <c r="DB1239" s="318"/>
      <c r="DC1239" s="318"/>
      <c r="DD1239" s="318"/>
      <c r="DE1239" s="318"/>
      <c r="DF1239" s="318"/>
      <c r="DG1239" s="1867"/>
      <c r="DH1239" s="564"/>
      <c r="DI1239" s="564"/>
      <c r="DJ1239" s="564"/>
      <c r="DK1239" s="564"/>
      <c r="DL1239" s="564"/>
      <c r="DM1239" s="564"/>
      <c r="DN1239" s="222"/>
      <c r="DO1239" s="226"/>
      <c r="DY1239" s="318"/>
      <c r="DZ1239" s="318"/>
    </row>
    <row r="1240" spans="1:130" ht="12" customHeight="1">
      <c r="A1240" s="1025" t="s">
        <v>1798</v>
      </c>
      <c r="B1240" s="530"/>
      <c r="C1240" s="530"/>
      <c r="D1240" s="316"/>
      <c r="E1240" s="318"/>
      <c r="F1240" s="318"/>
      <c r="G1240" s="318"/>
      <c r="H1240" s="317"/>
      <c r="I1240" s="318"/>
      <c r="J1240" s="318"/>
      <c r="K1240" s="318"/>
      <c r="L1240" s="318"/>
      <c r="M1240" s="317"/>
      <c r="N1240" s="318"/>
      <c r="O1240" s="318"/>
      <c r="P1240" s="318"/>
      <c r="Q1240" s="318"/>
      <c r="R1240" s="317"/>
      <c r="S1240" s="318"/>
      <c r="T1240" s="318"/>
      <c r="U1240" s="318"/>
      <c r="V1240" s="318"/>
      <c r="W1240" s="317"/>
      <c r="X1240" s="318"/>
      <c r="Y1240" s="318"/>
      <c r="Z1240" s="318"/>
      <c r="AA1240" s="318"/>
      <c r="AB1240" s="317"/>
      <c r="AC1240" s="318"/>
      <c r="AD1240" s="318"/>
      <c r="AE1240" s="318"/>
      <c r="AF1240" s="318"/>
      <c r="AG1240" s="317"/>
      <c r="AH1240" s="318"/>
      <c r="AI1240" s="318"/>
      <c r="AJ1240" s="318"/>
      <c r="AK1240" s="318"/>
      <c r="AL1240" s="317"/>
      <c r="AM1240" s="318"/>
      <c r="AN1240" s="318"/>
      <c r="AO1240" s="318"/>
      <c r="AP1240" s="318"/>
      <c r="AQ1240" s="317"/>
      <c r="AR1240" s="318"/>
      <c r="AS1240" s="318"/>
      <c r="AT1240" s="318"/>
      <c r="AU1240" s="318"/>
      <c r="AV1240" s="937"/>
      <c r="AW1240" s="318"/>
      <c r="AX1240" s="318"/>
      <c r="AY1240" s="318"/>
      <c r="AZ1240" s="318"/>
      <c r="BA1240" s="317"/>
      <c r="BB1240" s="318"/>
      <c r="BC1240" s="318"/>
      <c r="BD1240" s="318"/>
      <c r="BE1240" s="318"/>
      <c r="BF1240" s="317"/>
      <c r="BG1240" s="316"/>
      <c r="BH1240" s="318"/>
      <c r="BI1240" s="318"/>
      <c r="BJ1240" s="1867"/>
      <c r="BK1240" s="317"/>
      <c r="BL1240" s="318"/>
      <c r="BM1240" s="318"/>
      <c r="BN1240" s="318"/>
      <c r="BO1240" s="1867"/>
      <c r="BP1240" s="317"/>
      <c r="BQ1240" s="318"/>
      <c r="BR1240" s="318"/>
      <c r="BS1240" s="318"/>
      <c r="BT1240" s="1867"/>
      <c r="BU1240" s="3338"/>
      <c r="BV1240" s="318"/>
      <c r="BW1240" s="318"/>
      <c r="BX1240" s="318"/>
      <c r="BY1240" s="1867"/>
      <c r="BZ1240" s="4004"/>
      <c r="CA1240" s="317"/>
      <c r="CB1240" s="317"/>
      <c r="CC1240" s="317"/>
      <c r="CD1240" s="317"/>
      <c r="CE1240" s="317"/>
      <c r="CF1240" s="317"/>
      <c r="CG1240" s="317"/>
      <c r="CH1240" s="3997"/>
      <c r="CI1240" s="3997"/>
      <c r="CJ1240" s="3997"/>
      <c r="CK1240" s="3997"/>
      <c r="CL1240" s="318"/>
      <c r="CM1240" s="318"/>
      <c r="CN1240" s="318"/>
      <c r="CO1240" s="318"/>
      <c r="CP1240" s="1025" t="str">
        <f t="shared" si="2354"/>
        <v>Leverage Ratios</v>
      </c>
      <c r="CQ1240" s="318"/>
      <c r="CR1240" s="318"/>
      <c r="CS1240" s="318"/>
      <c r="CT1240" s="318"/>
      <c r="CU1240" s="318"/>
      <c r="CV1240" s="318"/>
      <c r="CW1240" s="318"/>
      <c r="CX1240" s="318"/>
      <c r="CY1240" s="318"/>
      <c r="CZ1240" s="318"/>
      <c r="DA1240" s="318"/>
      <c r="DB1240" s="318"/>
      <c r="DC1240" s="318"/>
      <c r="DD1240" s="318"/>
      <c r="DE1240" s="318"/>
      <c r="DF1240" s="318"/>
      <c r="DG1240" s="1867"/>
      <c r="DH1240" s="564"/>
      <c r="DI1240" s="564"/>
      <c r="DJ1240" s="564"/>
      <c r="DK1240" s="564"/>
      <c r="DL1240" s="564"/>
      <c r="DM1240" s="564"/>
      <c r="DN1240" s="222"/>
      <c r="DO1240" s="226"/>
      <c r="DY1240" s="318"/>
      <c r="DZ1240" s="318"/>
    </row>
    <row r="1241" spans="1:130" ht="12" customHeight="1">
      <c r="A1241" s="1021" t="s">
        <v>1129</v>
      </c>
      <c r="B1241" s="530"/>
      <c r="C1241" s="530"/>
      <c r="D1241" s="316"/>
      <c r="E1241" s="318"/>
      <c r="F1241" s="318"/>
      <c r="G1241" s="318"/>
      <c r="H1241" s="317"/>
      <c r="I1241" s="318"/>
      <c r="J1241" s="318"/>
      <c r="K1241" s="318"/>
      <c r="L1241" s="318"/>
      <c r="M1241" s="317"/>
      <c r="N1241" s="318"/>
      <c r="O1241" s="318"/>
      <c r="P1241" s="318"/>
      <c r="Q1241" s="318"/>
      <c r="R1241" s="317"/>
      <c r="S1241" s="318"/>
      <c r="T1241" s="318"/>
      <c r="U1241" s="318"/>
      <c r="V1241" s="318"/>
      <c r="W1241" s="317"/>
      <c r="X1241" s="318"/>
      <c r="Y1241" s="318"/>
      <c r="Z1241" s="318"/>
      <c r="AA1241" s="318"/>
      <c r="AB1241" s="317"/>
      <c r="AC1241" s="318"/>
      <c r="AD1241" s="318"/>
      <c r="AE1241" s="318"/>
      <c r="AF1241" s="318"/>
      <c r="AG1241" s="317"/>
      <c r="AH1241" s="318"/>
      <c r="AI1241" s="318"/>
      <c r="AJ1241" s="318"/>
      <c r="AK1241" s="318"/>
      <c r="AL1241" s="317"/>
      <c r="AM1241" s="318"/>
      <c r="AN1241" s="318"/>
      <c r="AO1241" s="318"/>
      <c r="AP1241" s="318"/>
      <c r="AQ1241" s="317"/>
      <c r="AR1241" s="318"/>
      <c r="AS1241" s="318"/>
      <c r="AT1241" s="318"/>
      <c r="AU1241" s="318"/>
      <c r="AV1241" s="937"/>
      <c r="AW1241" s="318"/>
      <c r="AX1241" s="318"/>
      <c r="AY1241" s="318"/>
      <c r="AZ1241" s="318"/>
      <c r="BA1241" s="317"/>
      <c r="BB1241" s="318"/>
      <c r="BC1241" s="318"/>
      <c r="BD1241" s="318"/>
      <c r="BE1241" s="318"/>
      <c r="BF1241" s="317"/>
      <c r="BG1241" s="316"/>
      <c r="BH1241" s="318"/>
      <c r="BI1241" s="318"/>
      <c r="BJ1241" s="1867"/>
      <c r="BK1241" s="317"/>
      <c r="BL1241" s="318"/>
      <c r="BM1241" s="318"/>
      <c r="BN1241" s="318"/>
      <c r="BO1241" s="1867"/>
      <c r="BP1241" s="317"/>
      <c r="BQ1241" s="318"/>
      <c r="BR1241" s="318"/>
      <c r="BS1241" s="318"/>
      <c r="BT1241" s="1867"/>
      <c r="BU1241" s="3338"/>
      <c r="BV1241" s="318"/>
      <c r="BW1241" s="318"/>
      <c r="BX1241" s="318"/>
      <c r="BY1241" s="1867"/>
      <c r="BZ1241" s="4004"/>
      <c r="CA1241" s="317"/>
      <c r="CB1241" s="317"/>
      <c r="CC1241" s="317"/>
      <c r="CD1241" s="317"/>
      <c r="CE1241" s="317"/>
      <c r="CF1241" s="317"/>
      <c r="CG1241" s="317"/>
      <c r="CH1241" s="3997"/>
      <c r="CI1241" s="3997"/>
      <c r="CJ1241" s="3997"/>
      <c r="CK1241" s="3997"/>
      <c r="CL1241" s="318"/>
      <c r="CM1241" s="318"/>
      <c r="CN1241" s="318"/>
      <c r="CO1241" s="318"/>
      <c r="CP1241" s="1021" t="str">
        <f t="shared" si="2354"/>
        <v>Adjusted for Proportional Ownership</v>
      </c>
      <c r="CQ1241" s="318"/>
      <c r="CR1241" s="318"/>
      <c r="CS1241" s="318"/>
      <c r="CT1241" s="318"/>
      <c r="CU1241" s="318"/>
      <c r="CV1241" s="318"/>
      <c r="CW1241" s="318"/>
      <c r="CX1241" s="318"/>
      <c r="CY1241" s="318"/>
      <c r="CZ1241" s="318"/>
      <c r="DA1241" s="318"/>
      <c r="DB1241" s="318"/>
      <c r="DC1241" s="318"/>
      <c r="DD1241" s="318"/>
      <c r="DE1241" s="318"/>
      <c r="DF1241" s="318"/>
      <c r="DG1241" s="1867"/>
      <c r="DH1241" s="564"/>
      <c r="DI1241" s="564"/>
      <c r="DJ1241" s="564"/>
      <c r="DK1241" s="564"/>
      <c r="DL1241" s="564"/>
      <c r="DM1241" s="564"/>
      <c r="DN1241" s="222"/>
      <c r="DO1241" s="226"/>
      <c r="DY1241" s="318"/>
      <c r="DZ1241" s="318"/>
    </row>
    <row r="1242" spans="1:130" ht="12" customHeight="1">
      <c r="A1242" s="995" t="s">
        <v>401</v>
      </c>
      <c r="B1242" s="530"/>
      <c r="C1242" s="530"/>
      <c r="D1242" s="316"/>
      <c r="E1242" s="318"/>
      <c r="F1242" s="318"/>
      <c r="G1242" s="318"/>
      <c r="H1242" s="317"/>
      <c r="I1242" s="318"/>
      <c r="J1242" s="318"/>
      <c r="K1242" s="318"/>
      <c r="L1242" s="318"/>
      <c r="M1242" s="317"/>
      <c r="N1242" s="318"/>
      <c r="O1242" s="318"/>
      <c r="P1242" s="318"/>
      <c r="Q1242" s="318"/>
      <c r="R1242" s="317"/>
      <c r="S1242" s="318"/>
      <c r="T1242" s="318"/>
      <c r="U1242" s="318"/>
      <c r="V1242" s="318"/>
      <c r="W1242" s="317"/>
      <c r="X1242" s="318"/>
      <c r="Y1242" s="318"/>
      <c r="Z1242" s="318"/>
      <c r="AA1242" s="318"/>
      <c r="AB1242" s="317"/>
      <c r="AC1242" s="318"/>
      <c r="AD1242" s="318"/>
      <c r="AE1242" s="318"/>
      <c r="AF1242" s="318"/>
      <c r="AG1242" s="317"/>
      <c r="AH1242" s="318"/>
      <c r="AI1242" s="318"/>
      <c r="AJ1242" s="318"/>
      <c r="AK1242" s="318"/>
      <c r="AL1242" s="317"/>
      <c r="AM1242" s="318"/>
      <c r="AN1242" s="318"/>
      <c r="AO1242" s="318"/>
      <c r="AP1242" s="318"/>
      <c r="AQ1242" s="317"/>
      <c r="AR1242" s="318"/>
      <c r="AS1242" s="318"/>
      <c r="AT1242" s="318"/>
      <c r="AU1242" s="318"/>
      <c r="AV1242" s="937"/>
      <c r="AW1242" s="318"/>
      <c r="AX1242" s="318"/>
      <c r="AY1242" s="318"/>
      <c r="AZ1242" s="318"/>
      <c r="BA1242" s="317"/>
      <c r="BB1242" s="318"/>
      <c r="BC1242" s="318"/>
      <c r="BD1242" s="318"/>
      <c r="BE1242" s="318"/>
      <c r="BF1242" s="317"/>
      <c r="BG1242" s="316"/>
      <c r="BH1242" s="318"/>
      <c r="BI1242" s="318"/>
      <c r="BJ1242" s="1867"/>
      <c r="BK1242" s="317"/>
      <c r="BL1242" s="318"/>
      <c r="BM1242" s="318"/>
      <c r="BN1242" s="318"/>
      <c r="BO1242" s="1867"/>
      <c r="BP1242" s="317"/>
      <c r="BQ1242" s="318"/>
      <c r="BR1242" s="318"/>
      <c r="BS1242" s="318"/>
      <c r="BT1242" s="1867"/>
      <c r="BU1242" s="3338"/>
      <c r="BV1242" s="318"/>
      <c r="BW1242" s="318"/>
      <c r="BX1242" s="318"/>
      <c r="BY1242" s="1867"/>
      <c r="BZ1242" s="4004"/>
      <c r="CA1242" s="317"/>
      <c r="CB1242" s="317"/>
      <c r="CC1242" s="317"/>
      <c r="CD1242" s="317"/>
      <c r="CE1242" s="317"/>
      <c r="CF1242" s="317"/>
      <c r="CG1242" s="317"/>
      <c r="CH1242" s="3997"/>
      <c r="CI1242" s="3997"/>
      <c r="CJ1242" s="3997"/>
      <c r="CK1242" s="3997"/>
      <c r="CL1242" s="318"/>
      <c r="CM1242" s="318"/>
      <c r="CN1242" s="318"/>
      <c r="CO1242" s="318"/>
      <c r="CP1242" s="995" t="str">
        <f t="shared" si="2354"/>
        <v>EBITDA</v>
      </c>
      <c r="CQ1242" s="318"/>
      <c r="CR1242" s="318"/>
      <c r="CS1242" s="318"/>
      <c r="CT1242" s="318"/>
      <c r="CU1242" s="318"/>
      <c r="CV1242" s="318"/>
      <c r="CW1242" s="318"/>
      <c r="CX1242" s="318"/>
      <c r="CY1242" s="318"/>
      <c r="CZ1242" s="318"/>
      <c r="DA1242" s="318"/>
      <c r="DB1242" s="318"/>
      <c r="DC1242" s="318"/>
      <c r="DD1242" s="318"/>
      <c r="DE1242" s="318"/>
      <c r="DF1242" s="318"/>
      <c r="DG1242" s="1867"/>
      <c r="DH1242" s="564"/>
      <c r="DI1242" s="564"/>
      <c r="DJ1242" s="564"/>
      <c r="DK1242" s="564"/>
      <c r="DL1242" s="564"/>
      <c r="DM1242" s="564"/>
      <c r="DN1242" s="222"/>
      <c r="DO1242" s="226"/>
      <c r="DY1242" s="318"/>
      <c r="DZ1242" s="318"/>
    </row>
    <row r="1243" spans="1:130" ht="12" customHeight="1">
      <c r="A1243" s="995" t="s">
        <v>345</v>
      </c>
      <c r="B1243" s="530"/>
      <c r="C1243" s="530"/>
      <c r="D1243" s="316"/>
      <c r="E1243" s="318"/>
      <c r="F1243" s="318"/>
      <c r="G1243" s="318"/>
      <c r="H1243" s="317"/>
      <c r="I1243" s="318"/>
      <c r="J1243" s="318"/>
      <c r="K1243" s="318"/>
      <c r="L1243" s="318"/>
      <c r="M1243" s="317"/>
      <c r="N1243" s="318"/>
      <c r="O1243" s="318"/>
      <c r="P1243" s="318"/>
      <c r="Q1243" s="318"/>
      <c r="R1243" s="317"/>
      <c r="S1243" s="318"/>
      <c r="T1243" s="318"/>
      <c r="U1243" s="318"/>
      <c r="V1243" s="318"/>
      <c r="W1243" s="317"/>
      <c r="X1243" s="318"/>
      <c r="Y1243" s="318"/>
      <c r="Z1243" s="318"/>
      <c r="AA1243" s="318"/>
      <c r="AB1243" s="317"/>
      <c r="AC1243" s="318"/>
      <c r="AD1243" s="318"/>
      <c r="AE1243" s="318"/>
      <c r="AF1243" s="318"/>
      <c r="AG1243" s="317"/>
      <c r="AH1243" s="318"/>
      <c r="AI1243" s="318"/>
      <c r="AJ1243" s="318"/>
      <c r="AK1243" s="318"/>
      <c r="AL1243" s="317"/>
      <c r="AM1243" s="318"/>
      <c r="AN1243" s="318"/>
      <c r="AO1243" s="318"/>
      <c r="AP1243" s="318"/>
      <c r="AQ1243" s="317"/>
      <c r="AR1243" s="318"/>
      <c r="AS1243" s="318"/>
      <c r="AT1243" s="318"/>
      <c r="AU1243" s="318"/>
      <c r="AV1243" s="937"/>
      <c r="AW1243" s="318"/>
      <c r="AX1243" s="318"/>
      <c r="AY1243" s="318"/>
      <c r="AZ1243" s="318"/>
      <c r="BA1243" s="317"/>
      <c r="BB1243" s="318"/>
      <c r="BC1243" s="318"/>
      <c r="BD1243" s="318"/>
      <c r="BE1243" s="318"/>
      <c r="BF1243" s="317"/>
      <c r="BG1243" s="316"/>
      <c r="BH1243" s="318"/>
      <c r="BI1243" s="318"/>
      <c r="BJ1243" s="1867"/>
      <c r="BK1243" s="317"/>
      <c r="BL1243" s="318"/>
      <c r="BM1243" s="318"/>
      <c r="BN1243" s="318"/>
      <c r="BO1243" s="1867"/>
      <c r="BP1243" s="317"/>
      <c r="BQ1243" s="318"/>
      <c r="BR1243" s="318"/>
      <c r="BS1243" s="318"/>
      <c r="BT1243" s="1867"/>
      <c r="BU1243" s="3338"/>
      <c r="BV1243" s="318"/>
      <c r="BW1243" s="318"/>
      <c r="BX1243" s="318"/>
      <c r="BY1243" s="1867"/>
      <c r="BZ1243" s="4004"/>
      <c r="CA1243" s="317"/>
      <c r="CB1243" s="317"/>
      <c r="CC1243" s="317"/>
      <c r="CD1243" s="317"/>
      <c r="CE1243" s="317"/>
      <c r="CF1243" s="317"/>
      <c r="CG1243" s="317"/>
      <c r="CH1243" s="3997"/>
      <c r="CI1243" s="3997"/>
      <c r="CJ1243" s="3997"/>
      <c r="CK1243" s="3997"/>
      <c r="CL1243" s="318"/>
      <c r="CM1243" s="318"/>
      <c r="CN1243" s="318"/>
      <c r="CO1243" s="318"/>
      <c r="CP1243" s="995" t="str">
        <f t="shared" si="2354"/>
        <v>Net Debt</v>
      </c>
      <c r="CQ1243" s="318"/>
      <c r="CR1243" s="318"/>
      <c r="CS1243" s="318"/>
      <c r="CT1243" s="318"/>
      <c r="CU1243" s="318"/>
      <c r="CV1243" s="318"/>
      <c r="CW1243" s="318"/>
      <c r="CX1243" s="318"/>
      <c r="CY1243" s="318"/>
      <c r="CZ1243" s="318"/>
      <c r="DA1243" s="318"/>
      <c r="DB1243" s="318"/>
      <c r="DC1243" s="318"/>
      <c r="DD1243" s="318"/>
      <c r="DE1243" s="318"/>
      <c r="DF1243" s="318"/>
      <c r="DG1243" s="1867"/>
      <c r="DH1243" s="564"/>
      <c r="DI1243" s="564"/>
      <c r="DJ1243" s="564"/>
      <c r="DK1243" s="564"/>
      <c r="DL1243" s="564"/>
      <c r="DM1243" s="564"/>
      <c r="DN1243" s="222"/>
      <c r="DO1243" s="226"/>
      <c r="DY1243" s="318"/>
      <c r="DZ1243" s="318"/>
    </row>
    <row r="1244" spans="1:130" ht="12" customHeight="1">
      <c r="A1244" s="995" t="s">
        <v>348</v>
      </c>
      <c r="B1244" s="530"/>
      <c r="C1244" s="530"/>
      <c r="D1244" s="316"/>
      <c r="E1244" s="318"/>
      <c r="F1244" s="318"/>
      <c r="G1244" s="318"/>
      <c r="H1244" s="317"/>
      <c r="I1244" s="318"/>
      <c r="J1244" s="318"/>
      <c r="K1244" s="318"/>
      <c r="L1244" s="318"/>
      <c r="M1244" s="317"/>
      <c r="N1244" s="318"/>
      <c r="O1244" s="318"/>
      <c r="P1244" s="318"/>
      <c r="Q1244" s="318"/>
      <c r="R1244" s="317"/>
      <c r="S1244" s="318"/>
      <c r="T1244" s="318"/>
      <c r="U1244" s="318"/>
      <c r="V1244" s="318"/>
      <c r="W1244" s="317"/>
      <c r="X1244" s="318"/>
      <c r="Y1244" s="318"/>
      <c r="Z1244" s="318"/>
      <c r="AA1244" s="318"/>
      <c r="AB1244" s="317"/>
      <c r="AC1244" s="318"/>
      <c r="AD1244" s="318"/>
      <c r="AE1244" s="318"/>
      <c r="AF1244" s="318"/>
      <c r="AG1244" s="317"/>
      <c r="AH1244" s="318"/>
      <c r="AI1244" s="318"/>
      <c r="AJ1244" s="318"/>
      <c r="AK1244" s="318"/>
      <c r="AL1244" s="317"/>
      <c r="AM1244" s="318"/>
      <c r="AN1244" s="318"/>
      <c r="AO1244" s="318"/>
      <c r="AP1244" s="318"/>
      <c r="AQ1244" s="317"/>
      <c r="AR1244" s="318"/>
      <c r="AS1244" s="318"/>
      <c r="AT1244" s="318"/>
      <c r="AU1244" s="318"/>
      <c r="AV1244" s="937"/>
      <c r="AW1244" s="318"/>
      <c r="AX1244" s="318"/>
      <c r="AY1244" s="318"/>
      <c r="AZ1244" s="318"/>
      <c r="BA1244" s="317"/>
      <c r="BB1244" s="318"/>
      <c r="BC1244" s="318"/>
      <c r="BD1244" s="318"/>
      <c r="BE1244" s="318"/>
      <c r="BF1244" s="317"/>
      <c r="BG1244" s="316"/>
      <c r="BH1244" s="318"/>
      <c r="BI1244" s="318"/>
      <c r="BJ1244" s="1867"/>
      <c r="BK1244" s="317"/>
      <c r="BL1244" s="318"/>
      <c r="BM1244" s="318"/>
      <c r="BN1244" s="318"/>
      <c r="BO1244" s="1867"/>
      <c r="BP1244" s="317"/>
      <c r="BQ1244" s="318"/>
      <c r="BR1244" s="318"/>
      <c r="BS1244" s="318"/>
      <c r="BT1244" s="1867"/>
      <c r="BU1244" s="3338"/>
      <c r="BV1244" s="318"/>
      <c r="BW1244" s="318"/>
      <c r="BX1244" s="318"/>
      <c r="BY1244" s="1867"/>
      <c r="BZ1244" s="4004"/>
      <c r="CA1244" s="317"/>
      <c r="CB1244" s="317"/>
      <c r="CC1244" s="317"/>
      <c r="CD1244" s="317"/>
      <c r="CE1244" s="317"/>
      <c r="CF1244" s="317"/>
      <c r="CG1244" s="317"/>
      <c r="CH1244" s="3997"/>
      <c r="CI1244" s="3997"/>
      <c r="CJ1244" s="3997"/>
      <c r="CK1244" s="3997"/>
      <c r="CL1244" s="318"/>
      <c r="CM1244" s="318"/>
      <c r="CN1244" s="318"/>
      <c r="CO1244" s="318"/>
      <c r="CP1244" s="995" t="str">
        <f t="shared" si="2354"/>
        <v>Net Debt / EBITDA</v>
      </c>
      <c r="CQ1244" s="318"/>
      <c r="CR1244" s="318"/>
      <c r="CS1244" s="318"/>
      <c r="CT1244" s="318"/>
      <c r="CU1244" s="318"/>
      <c r="CV1244" s="318"/>
      <c r="CW1244" s="318"/>
      <c r="CX1244" s="318"/>
      <c r="CY1244" s="318"/>
      <c r="CZ1244" s="318"/>
      <c r="DA1244" s="318"/>
      <c r="DB1244" s="318"/>
      <c r="DC1244" s="318"/>
      <c r="DD1244" s="318"/>
      <c r="DE1244" s="318"/>
      <c r="DF1244" s="318"/>
      <c r="DG1244" s="1867"/>
      <c r="DH1244" s="564"/>
      <c r="DI1244" s="564"/>
      <c r="DJ1244" s="564"/>
      <c r="DK1244" s="564"/>
      <c r="DL1244" s="564"/>
      <c r="DM1244" s="564"/>
      <c r="DN1244" s="222"/>
      <c r="DO1244" s="226"/>
      <c r="DY1244" s="318"/>
      <c r="DZ1244" s="318"/>
    </row>
    <row r="1245" spans="1:130" ht="12" customHeight="1">
      <c r="A1245" s="1021"/>
      <c r="B1245" s="530"/>
      <c r="C1245" s="530"/>
      <c r="D1245" s="316"/>
      <c r="E1245" s="318"/>
      <c r="F1245" s="318"/>
      <c r="G1245" s="318"/>
      <c r="H1245" s="317"/>
      <c r="I1245" s="318"/>
      <c r="J1245" s="318"/>
      <c r="K1245" s="318"/>
      <c r="L1245" s="318"/>
      <c r="M1245" s="317"/>
      <c r="N1245" s="318"/>
      <c r="O1245" s="318"/>
      <c r="P1245" s="318"/>
      <c r="Q1245" s="318"/>
      <c r="R1245" s="317"/>
      <c r="S1245" s="318"/>
      <c r="T1245" s="318"/>
      <c r="U1245" s="318"/>
      <c r="V1245" s="318"/>
      <c r="W1245" s="317"/>
      <c r="X1245" s="318"/>
      <c r="Y1245" s="318"/>
      <c r="Z1245" s="318"/>
      <c r="AA1245" s="318"/>
      <c r="AB1245" s="317"/>
      <c r="AC1245" s="318"/>
      <c r="AD1245" s="318"/>
      <c r="AE1245" s="318"/>
      <c r="AF1245" s="318"/>
      <c r="AG1245" s="317"/>
      <c r="AH1245" s="318"/>
      <c r="AI1245" s="318"/>
      <c r="AJ1245" s="318"/>
      <c r="AK1245" s="318"/>
      <c r="AL1245" s="317"/>
      <c r="AM1245" s="318"/>
      <c r="AN1245" s="318"/>
      <c r="AO1245" s="318"/>
      <c r="AP1245" s="318"/>
      <c r="AQ1245" s="317"/>
      <c r="AR1245" s="318"/>
      <c r="AS1245" s="318"/>
      <c r="AT1245" s="318"/>
      <c r="AU1245" s="318"/>
      <c r="AV1245" s="937"/>
      <c r="AW1245" s="318"/>
      <c r="AX1245" s="318"/>
      <c r="AY1245" s="318"/>
      <c r="AZ1245" s="318"/>
      <c r="BA1245" s="317"/>
      <c r="BB1245" s="318"/>
      <c r="BC1245" s="318"/>
      <c r="BD1245" s="318"/>
      <c r="BE1245" s="318"/>
      <c r="BF1245" s="317"/>
      <c r="BG1245" s="316"/>
      <c r="BH1245" s="318"/>
      <c r="BI1245" s="318"/>
      <c r="BJ1245" s="1867"/>
      <c r="BK1245" s="317"/>
      <c r="BL1245" s="318"/>
      <c r="BM1245" s="318"/>
      <c r="BN1245" s="318"/>
      <c r="BO1245" s="1867"/>
      <c r="BP1245" s="317"/>
      <c r="BQ1245" s="318"/>
      <c r="BR1245" s="318"/>
      <c r="BS1245" s="318"/>
      <c r="BT1245" s="1867"/>
      <c r="BU1245" s="3338"/>
      <c r="BV1245" s="318"/>
      <c r="BW1245" s="318"/>
      <c r="BX1245" s="318"/>
      <c r="BY1245" s="1867"/>
      <c r="BZ1245" s="4004"/>
      <c r="CA1245" s="317"/>
      <c r="CB1245" s="317"/>
      <c r="CC1245" s="317"/>
      <c r="CD1245" s="317"/>
      <c r="CE1245" s="317"/>
      <c r="CF1245" s="317"/>
      <c r="CG1245" s="317"/>
      <c r="CH1245" s="3997"/>
      <c r="CI1245" s="3997"/>
      <c r="CJ1245" s="3997"/>
      <c r="CK1245" s="3997"/>
      <c r="CL1245" s="318"/>
      <c r="CM1245" s="318"/>
      <c r="CN1245" s="318"/>
      <c r="CO1245" s="318"/>
      <c r="CP1245" s="1021"/>
      <c r="CQ1245" s="318"/>
      <c r="CR1245" s="318"/>
      <c r="CS1245" s="318"/>
      <c r="CT1245" s="318"/>
      <c r="CU1245" s="318"/>
      <c r="CV1245" s="318"/>
      <c r="CW1245" s="318"/>
      <c r="CX1245" s="318"/>
      <c r="CY1245" s="318"/>
      <c r="CZ1245" s="318"/>
      <c r="DA1245" s="318"/>
      <c r="DB1245" s="318"/>
      <c r="DC1245" s="318"/>
      <c r="DD1245" s="318"/>
      <c r="DE1245" s="318"/>
      <c r="DF1245" s="318"/>
      <c r="DG1245" s="1867"/>
      <c r="DH1245" s="564"/>
      <c r="DI1245" s="564"/>
      <c r="DJ1245" s="564"/>
      <c r="DK1245" s="564"/>
      <c r="DL1245" s="564"/>
      <c r="DM1245" s="564"/>
      <c r="DN1245" s="222"/>
      <c r="DO1245" s="226"/>
      <c r="DY1245" s="318"/>
      <c r="DZ1245" s="318"/>
    </row>
    <row r="1246" spans="1:130" ht="12" customHeight="1">
      <c r="A1246" s="1021" t="s">
        <v>1799</v>
      </c>
      <c r="B1246" s="530"/>
      <c r="C1246" s="530"/>
      <c r="D1246" s="316"/>
      <c r="E1246" s="318"/>
      <c r="F1246" s="318"/>
      <c r="G1246" s="318"/>
      <c r="H1246" s="317"/>
      <c r="I1246" s="318"/>
      <c r="J1246" s="318"/>
      <c r="K1246" s="318"/>
      <c r="L1246" s="318"/>
      <c r="M1246" s="317"/>
      <c r="N1246" s="318"/>
      <c r="O1246" s="318"/>
      <c r="P1246" s="318"/>
      <c r="Q1246" s="318"/>
      <c r="R1246" s="317"/>
      <c r="S1246" s="318"/>
      <c r="T1246" s="318"/>
      <c r="U1246" s="318"/>
      <c r="V1246" s="318"/>
      <c r="W1246" s="317"/>
      <c r="X1246" s="318"/>
      <c r="Y1246" s="318"/>
      <c r="Z1246" s="318"/>
      <c r="AA1246" s="318"/>
      <c r="AB1246" s="317"/>
      <c r="AC1246" s="318"/>
      <c r="AD1246" s="318"/>
      <c r="AE1246" s="318"/>
      <c r="AF1246" s="318"/>
      <c r="AG1246" s="317"/>
      <c r="AH1246" s="318"/>
      <c r="AI1246" s="318"/>
      <c r="AJ1246" s="318"/>
      <c r="AK1246" s="318"/>
      <c r="AL1246" s="317"/>
      <c r="AM1246" s="318"/>
      <c r="AN1246" s="318"/>
      <c r="AO1246" s="318"/>
      <c r="AP1246" s="318"/>
      <c r="AQ1246" s="317"/>
      <c r="AR1246" s="318"/>
      <c r="AS1246" s="318"/>
      <c r="AT1246" s="318"/>
      <c r="AU1246" s="318"/>
      <c r="AV1246" s="937"/>
      <c r="AW1246" s="318"/>
      <c r="AX1246" s="318"/>
      <c r="AY1246" s="318"/>
      <c r="AZ1246" s="318"/>
      <c r="BA1246" s="317"/>
      <c r="BB1246" s="318"/>
      <c r="BC1246" s="318"/>
      <c r="BD1246" s="318"/>
      <c r="BE1246" s="318"/>
      <c r="BF1246" s="317"/>
      <c r="BG1246" s="316"/>
      <c r="BH1246" s="318"/>
      <c r="BI1246" s="318"/>
      <c r="BJ1246" s="1867"/>
      <c r="BK1246" s="317"/>
      <c r="BL1246" s="318"/>
      <c r="BM1246" s="318"/>
      <c r="BN1246" s="318"/>
      <c r="BO1246" s="1867"/>
      <c r="BP1246" s="317"/>
      <c r="BQ1246" s="318"/>
      <c r="BR1246" s="318"/>
      <c r="BS1246" s="318"/>
      <c r="BT1246" s="1867"/>
      <c r="BU1246" s="3338"/>
      <c r="BV1246" s="318"/>
      <c r="BW1246" s="318"/>
      <c r="BX1246" s="318"/>
      <c r="BY1246" s="1867"/>
      <c r="BZ1246" s="4004"/>
      <c r="CA1246" s="317"/>
      <c r="CB1246" s="317"/>
      <c r="CC1246" s="317"/>
      <c r="CD1246" s="317"/>
      <c r="CE1246" s="317"/>
      <c r="CF1246" s="317"/>
      <c r="CG1246" s="317"/>
      <c r="CH1246" s="3997"/>
      <c r="CI1246" s="3997"/>
      <c r="CJ1246" s="3997"/>
      <c r="CK1246" s="3997"/>
      <c r="CL1246" s="318"/>
      <c r="CM1246" s="318"/>
      <c r="CN1246" s="318"/>
      <c r="CO1246" s="318"/>
      <c r="CP1246" s="1021" t="str">
        <f t="shared" si="2354"/>
        <v>Wholly-Owned</v>
      </c>
      <c r="CQ1246" s="318"/>
      <c r="CR1246" s="318"/>
      <c r="CS1246" s="318"/>
      <c r="CT1246" s="318"/>
      <c r="CU1246" s="318"/>
      <c r="CV1246" s="318"/>
      <c r="CW1246" s="318"/>
      <c r="CX1246" s="318"/>
      <c r="CY1246" s="318"/>
      <c r="CZ1246" s="318"/>
      <c r="DA1246" s="318"/>
      <c r="DB1246" s="318"/>
      <c r="DC1246" s="318"/>
      <c r="DD1246" s="318"/>
      <c r="DE1246" s="318"/>
      <c r="DF1246" s="318"/>
      <c r="DG1246" s="1867"/>
      <c r="DH1246" s="564"/>
      <c r="DI1246" s="564"/>
      <c r="DJ1246" s="564"/>
      <c r="DK1246" s="564"/>
      <c r="DL1246" s="564"/>
      <c r="DM1246" s="564"/>
      <c r="DN1246" s="222"/>
      <c r="DO1246" s="226"/>
      <c r="DY1246" s="318"/>
      <c r="DZ1246" s="318"/>
    </row>
    <row r="1247" spans="1:130" ht="12" customHeight="1">
      <c r="A1247" s="995" t="s">
        <v>401</v>
      </c>
      <c r="B1247" s="530"/>
      <c r="C1247" s="530"/>
      <c r="D1247" s="316"/>
      <c r="E1247" s="318"/>
      <c r="F1247" s="318"/>
      <c r="G1247" s="318"/>
      <c r="H1247" s="317"/>
      <c r="I1247" s="318"/>
      <c r="J1247" s="318"/>
      <c r="K1247" s="318"/>
      <c r="L1247" s="318"/>
      <c r="M1247" s="317"/>
      <c r="N1247" s="318"/>
      <c r="O1247" s="318"/>
      <c r="P1247" s="318"/>
      <c r="Q1247" s="318"/>
      <c r="R1247" s="317"/>
      <c r="S1247" s="318"/>
      <c r="T1247" s="318"/>
      <c r="U1247" s="318"/>
      <c r="V1247" s="318"/>
      <c r="W1247" s="317"/>
      <c r="X1247" s="318"/>
      <c r="Y1247" s="318"/>
      <c r="Z1247" s="318"/>
      <c r="AA1247" s="318"/>
      <c r="AB1247" s="317"/>
      <c r="AC1247" s="318"/>
      <c r="AD1247" s="318"/>
      <c r="AE1247" s="318"/>
      <c r="AF1247" s="318"/>
      <c r="AG1247" s="317"/>
      <c r="AH1247" s="318"/>
      <c r="AI1247" s="318"/>
      <c r="AJ1247" s="318"/>
      <c r="AK1247" s="318"/>
      <c r="AL1247" s="317"/>
      <c r="AM1247" s="318"/>
      <c r="AN1247" s="318"/>
      <c r="AO1247" s="318"/>
      <c r="AP1247" s="318"/>
      <c r="AQ1247" s="317"/>
      <c r="AR1247" s="318"/>
      <c r="AS1247" s="318"/>
      <c r="AT1247" s="318"/>
      <c r="AU1247" s="318"/>
      <c r="AV1247" s="937"/>
      <c r="AW1247" s="318"/>
      <c r="AX1247" s="318"/>
      <c r="AY1247" s="318"/>
      <c r="AZ1247" s="318"/>
      <c r="BA1247" s="317"/>
      <c r="BB1247" s="318"/>
      <c r="BC1247" s="318"/>
      <c r="BD1247" s="318"/>
      <c r="BE1247" s="318"/>
      <c r="BF1247" s="317"/>
      <c r="BG1247" s="316"/>
      <c r="BH1247" s="318"/>
      <c r="BI1247" s="318"/>
      <c r="BJ1247" s="1867"/>
      <c r="BK1247" s="317"/>
      <c r="BL1247" s="318"/>
      <c r="BM1247" s="318"/>
      <c r="BN1247" s="318"/>
      <c r="BO1247" s="1867"/>
      <c r="BP1247" s="317"/>
      <c r="BQ1247" s="318"/>
      <c r="BR1247" s="318"/>
      <c r="BS1247" s="318"/>
      <c r="BT1247" s="1867"/>
      <c r="BU1247" s="3338"/>
      <c r="BV1247" s="318"/>
      <c r="BW1247" s="318"/>
      <c r="BX1247" s="318"/>
      <c r="BY1247" s="1867"/>
      <c r="BZ1247" s="4004"/>
      <c r="CA1247" s="317"/>
      <c r="CB1247" s="317"/>
      <c r="CC1247" s="317"/>
      <c r="CD1247" s="317"/>
      <c r="CE1247" s="317"/>
      <c r="CF1247" s="317"/>
      <c r="CG1247" s="317"/>
      <c r="CH1247" s="3997"/>
      <c r="CI1247" s="3997"/>
      <c r="CJ1247" s="3997"/>
      <c r="CK1247" s="3997"/>
      <c r="CL1247" s="318"/>
      <c r="CM1247" s="318"/>
      <c r="CN1247" s="318"/>
      <c r="CO1247" s="318"/>
      <c r="CP1247" s="995" t="str">
        <f t="shared" si="2354"/>
        <v>EBITDA</v>
      </c>
      <c r="CQ1247" s="318"/>
      <c r="CR1247" s="318"/>
      <c r="CS1247" s="318"/>
      <c r="CT1247" s="318"/>
      <c r="CU1247" s="318"/>
      <c r="CV1247" s="318"/>
      <c r="CW1247" s="318"/>
      <c r="CX1247" s="318"/>
      <c r="CY1247" s="318"/>
      <c r="CZ1247" s="318"/>
      <c r="DA1247" s="318"/>
      <c r="DB1247" s="318"/>
      <c r="DC1247" s="318"/>
      <c r="DD1247" s="318"/>
      <c r="DE1247" s="318"/>
      <c r="DF1247" s="318"/>
      <c r="DG1247" s="1867"/>
      <c r="DH1247" s="564"/>
      <c r="DI1247" s="564"/>
      <c r="DJ1247" s="564"/>
      <c r="DK1247" s="564"/>
      <c r="DL1247" s="564"/>
      <c r="DM1247" s="564"/>
      <c r="DN1247" s="222"/>
      <c r="DO1247" s="226"/>
      <c r="DY1247" s="318"/>
      <c r="DZ1247" s="318"/>
    </row>
    <row r="1248" spans="1:130" ht="12" customHeight="1">
      <c r="A1248" s="995" t="s">
        <v>345</v>
      </c>
      <c r="B1248" s="530"/>
      <c r="C1248" s="530"/>
      <c r="D1248" s="316"/>
      <c r="E1248" s="318"/>
      <c r="F1248" s="318"/>
      <c r="G1248" s="318"/>
      <c r="H1248" s="317"/>
      <c r="I1248" s="318"/>
      <c r="J1248" s="318"/>
      <c r="K1248" s="318"/>
      <c r="L1248" s="318"/>
      <c r="M1248" s="317"/>
      <c r="N1248" s="318"/>
      <c r="O1248" s="318"/>
      <c r="P1248" s="318"/>
      <c r="Q1248" s="318"/>
      <c r="R1248" s="317"/>
      <c r="S1248" s="318"/>
      <c r="T1248" s="318"/>
      <c r="U1248" s="318"/>
      <c r="V1248" s="318"/>
      <c r="W1248" s="317"/>
      <c r="X1248" s="318"/>
      <c r="Y1248" s="318"/>
      <c r="Z1248" s="318"/>
      <c r="AA1248" s="318"/>
      <c r="AB1248" s="317"/>
      <c r="AC1248" s="318"/>
      <c r="AD1248" s="318"/>
      <c r="AE1248" s="318"/>
      <c r="AF1248" s="318"/>
      <c r="AG1248" s="317"/>
      <c r="AH1248" s="318"/>
      <c r="AI1248" s="318"/>
      <c r="AJ1248" s="318"/>
      <c r="AK1248" s="318"/>
      <c r="AL1248" s="317"/>
      <c r="AM1248" s="318"/>
      <c r="AN1248" s="318"/>
      <c r="AO1248" s="318"/>
      <c r="AP1248" s="318"/>
      <c r="AQ1248" s="317"/>
      <c r="AR1248" s="318"/>
      <c r="AS1248" s="318"/>
      <c r="AT1248" s="318"/>
      <c r="AU1248" s="318"/>
      <c r="AV1248" s="937"/>
      <c r="AW1248" s="318"/>
      <c r="AX1248" s="318"/>
      <c r="AY1248" s="318"/>
      <c r="AZ1248" s="318"/>
      <c r="BA1248" s="317"/>
      <c r="BB1248" s="318"/>
      <c r="BC1248" s="318"/>
      <c r="BD1248" s="318"/>
      <c r="BE1248" s="318"/>
      <c r="BF1248" s="317"/>
      <c r="BG1248" s="316"/>
      <c r="BH1248" s="318"/>
      <c r="BI1248" s="318"/>
      <c r="BJ1248" s="1867"/>
      <c r="BK1248" s="317"/>
      <c r="BL1248" s="318"/>
      <c r="BM1248" s="318"/>
      <c r="BN1248" s="318"/>
      <c r="BO1248" s="1867"/>
      <c r="BP1248" s="317"/>
      <c r="BQ1248" s="318"/>
      <c r="BR1248" s="318"/>
      <c r="BS1248" s="318"/>
      <c r="BT1248" s="1867"/>
      <c r="BU1248" s="3338"/>
      <c r="BV1248" s="318"/>
      <c r="BW1248" s="318"/>
      <c r="BX1248" s="318"/>
      <c r="BY1248" s="1867"/>
      <c r="BZ1248" s="4004"/>
      <c r="CA1248" s="317"/>
      <c r="CB1248" s="317"/>
      <c r="CC1248" s="317"/>
      <c r="CD1248" s="317"/>
      <c r="CE1248" s="317"/>
      <c r="CF1248" s="317"/>
      <c r="CG1248" s="317"/>
      <c r="CH1248" s="3997"/>
      <c r="CI1248" s="3997"/>
      <c r="CJ1248" s="3997"/>
      <c r="CK1248" s="3997"/>
      <c r="CL1248" s="318"/>
      <c r="CM1248" s="318"/>
      <c r="CN1248" s="318"/>
      <c r="CO1248" s="318"/>
      <c r="CP1248" s="995" t="str">
        <f t="shared" si="2354"/>
        <v>Net Debt</v>
      </c>
      <c r="CQ1248" s="318"/>
      <c r="CR1248" s="318"/>
      <c r="CS1248" s="318"/>
      <c r="CT1248" s="318"/>
      <c r="CU1248" s="318"/>
      <c r="CV1248" s="318"/>
      <c r="CW1248" s="318"/>
      <c r="CX1248" s="318"/>
      <c r="CY1248" s="318"/>
      <c r="CZ1248" s="318"/>
      <c r="DA1248" s="318"/>
      <c r="DB1248" s="318"/>
      <c r="DC1248" s="318"/>
      <c r="DD1248" s="318"/>
      <c r="DE1248" s="318"/>
      <c r="DF1248" s="318"/>
      <c r="DG1248" s="1867"/>
      <c r="DH1248" s="564"/>
      <c r="DI1248" s="564"/>
      <c r="DJ1248" s="564"/>
      <c r="DK1248" s="564"/>
      <c r="DL1248" s="564"/>
      <c r="DM1248" s="564"/>
      <c r="DN1248" s="222"/>
      <c r="DO1248" s="226"/>
      <c r="DY1248" s="318"/>
      <c r="DZ1248" s="318"/>
    </row>
    <row r="1249" spans="1:130" ht="12" customHeight="1">
      <c r="A1249" s="995" t="s">
        <v>348</v>
      </c>
      <c r="B1249" s="530"/>
      <c r="C1249" s="530"/>
      <c r="D1249" s="316"/>
      <c r="E1249" s="318"/>
      <c r="F1249" s="318"/>
      <c r="G1249" s="318"/>
      <c r="H1249" s="317"/>
      <c r="I1249" s="318"/>
      <c r="J1249" s="318"/>
      <c r="K1249" s="318"/>
      <c r="L1249" s="318"/>
      <c r="M1249" s="317"/>
      <c r="N1249" s="318"/>
      <c r="O1249" s="318"/>
      <c r="P1249" s="318"/>
      <c r="Q1249" s="318"/>
      <c r="R1249" s="317"/>
      <c r="S1249" s="318"/>
      <c r="T1249" s="318"/>
      <c r="U1249" s="318"/>
      <c r="V1249" s="318"/>
      <c r="W1249" s="317"/>
      <c r="X1249" s="318"/>
      <c r="Y1249" s="318"/>
      <c r="Z1249" s="318"/>
      <c r="AA1249" s="318"/>
      <c r="AB1249" s="317"/>
      <c r="AC1249" s="318"/>
      <c r="AD1249" s="318"/>
      <c r="AE1249" s="318"/>
      <c r="AF1249" s="318"/>
      <c r="AG1249" s="317"/>
      <c r="AH1249" s="318"/>
      <c r="AI1249" s="318"/>
      <c r="AJ1249" s="318"/>
      <c r="AK1249" s="318"/>
      <c r="AL1249" s="317"/>
      <c r="AM1249" s="318"/>
      <c r="AN1249" s="318"/>
      <c r="AO1249" s="318"/>
      <c r="AP1249" s="318"/>
      <c r="AQ1249" s="317"/>
      <c r="AR1249" s="318"/>
      <c r="AS1249" s="318"/>
      <c r="AT1249" s="318"/>
      <c r="AU1249" s="318"/>
      <c r="AV1249" s="937"/>
      <c r="AW1249" s="318"/>
      <c r="AX1249" s="318"/>
      <c r="AY1249" s="318"/>
      <c r="AZ1249" s="318"/>
      <c r="BA1249" s="317"/>
      <c r="BB1249" s="318"/>
      <c r="BC1249" s="318"/>
      <c r="BD1249" s="318"/>
      <c r="BE1249" s="318"/>
      <c r="BF1249" s="317"/>
      <c r="BG1249" s="316"/>
      <c r="BH1249" s="318"/>
      <c r="BI1249" s="318"/>
      <c r="BJ1249" s="1867"/>
      <c r="BK1249" s="317"/>
      <c r="BL1249" s="318"/>
      <c r="BM1249" s="318"/>
      <c r="BN1249" s="318"/>
      <c r="BO1249" s="1867"/>
      <c r="BP1249" s="317"/>
      <c r="BQ1249" s="318"/>
      <c r="BR1249" s="318"/>
      <c r="BS1249" s="318"/>
      <c r="BT1249" s="1867"/>
      <c r="BU1249" s="3338"/>
      <c r="BV1249" s="318"/>
      <c r="BW1249" s="318"/>
      <c r="BX1249" s="318"/>
      <c r="BY1249" s="1867"/>
      <c r="BZ1249" s="4004"/>
      <c r="CA1249" s="317"/>
      <c r="CB1249" s="317"/>
      <c r="CC1249" s="317"/>
      <c r="CD1249" s="317"/>
      <c r="CE1249" s="317"/>
      <c r="CF1249" s="317"/>
      <c r="CG1249" s="317"/>
      <c r="CH1249" s="3997"/>
      <c r="CI1249" s="3997"/>
      <c r="CJ1249" s="3997"/>
      <c r="CK1249" s="3997"/>
      <c r="CL1249" s="318"/>
      <c r="CM1249" s="318"/>
      <c r="CN1249" s="318"/>
      <c r="CO1249" s="318"/>
      <c r="CP1249" s="995" t="str">
        <f t="shared" si="2354"/>
        <v>Net Debt / EBITDA</v>
      </c>
      <c r="CQ1249" s="318"/>
      <c r="CR1249" s="318"/>
      <c r="CS1249" s="318"/>
      <c r="CT1249" s="318"/>
      <c r="CU1249" s="318"/>
      <c r="CV1249" s="318"/>
      <c r="CW1249" s="318"/>
      <c r="CX1249" s="318"/>
      <c r="CY1249" s="318"/>
      <c r="CZ1249" s="318"/>
      <c r="DA1249" s="318"/>
      <c r="DB1249" s="318"/>
      <c r="DC1249" s="318"/>
      <c r="DD1249" s="318"/>
      <c r="DE1249" s="318"/>
      <c r="DF1249" s="318"/>
      <c r="DG1249" s="1867"/>
      <c r="DH1249" s="564"/>
      <c r="DI1249" s="564"/>
      <c r="DJ1249" s="564"/>
      <c r="DK1249" s="564"/>
      <c r="DL1249" s="564"/>
      <c r="DM1249" s="564"/>
      <c r="DN1249" s="222"/>
      <c r="DO1249" s="226"/>
      <c r="DY1249" s="318"/>
      <c r="DZ1249" s="318"/>
    </row>
    <row r="1250" spans="1:130" ht="12" customHeight="1">
      <c r="A1250" s="1021"/>
      <c r="B1250" s="530"/>
      <c r="C1250" s="530"/>
      <c r="D1250" s="316"/>
      <c r="E1250" s="318"/>
      <c r="F1250" s="318"/>
      <c r="G1250" s="318"/>
      <c r="H1250" s="317"/>
      <c r="I1250" s="318"/>
      <c r="J1250" s="318"/>
      <c r="K1250" s="318"/>
      <c r="L1250" s="318"/>
      <c r="M1250" s="317"/>
      <c r="N1250" s="318"/>
      <c r="O1250" s="318"/>
      <c r="P1250" s="318"/>
      <c r="Q1250" s="318"/>
      <c r="R1250" s="317"/>
      <c r="S1250" s="318"/>
      <c r="T1250" s="318"/>
      <c r="U1250" s="318"/>
      <c r="V1250" s="318"/>
      <c r="W1250" s="317"/>
      <c r="X1250" s="318"/>
      <c r="Y1250" s="318"/>
      <c r="Z1250" s="318"/>
      <c r="AA1250" s="318"/>
      <c r="AB1250" s="317"/>
      <c r="AC1250" s="318"/>
      <c r="AD1250" s="318"/>
      <c r="AE1250" s="318"/>
      <c r="AF1250" s="318"/>
      <c r="AG1250" s="317"/>
      <c r="AH1250" s="318"/>
      <c r="AI1250" s="318"/>
      <c r="AJ1250" s="318"/>
      <c r="AK1250" s="318"/>
      <c r="AL1250" s="317"/>
      <c r="AM1250" s="318"/>
      <c r="AN1250" s="318"/>
      <c r="AO1250" s="318"/>
      <c r="AP1250" s="318"/>
      <c r="AQ1250" s="317"/>
      <c r="AR1250" s="318"/>
      <c r="AS1250" s="318"/>
      <c r="AT1250" s="318"/>
      <c r="AU1250" s="318"/>
      <c r="AV1250" s="937"/>
      <c r="AW1250" s="318"/>
      <c r="AX1250" s="318"/>
      <c r="AY1250" s="318"/>
      <c r="AZ1250" s="318"/>
      <c r="BA1250" s="317"/>
      <c r="BB1250" s="318"/>
      <c r="BC1250" s="318"/>
      <c r="BD1250" s="318"/>
      <c r="BE1250" s="318"/>
      <c r="BF1250" s="317"/>
      <c r="BG1250" s="316"/>
      <c r="BH1250" s="318"/>
      <c r="BI1250" s="318"/>
      <c r="BJ1250" s="1867"/>
      <c r="BK1250" s="317"/>
      <c r="BL1250" s="318"/>
      <c r="BM1250" s="318"/>
      <c r="BN1250" s="318"/>
      <c r="BO1250" s="1867"/>
      <c r="BP1250" s="317"/>
      <c r="BQ1250" s="318"/>
      <c r="BR1250" s="318"/>
      <c r="BS1250" s="318"/>
      <c r="BT1250" s="1867"/>
      <c r="BU1250" s="3338"/>
      <c r="BV1250" s="318"/>
      <c r="BW1250" s="318"/>
      <c r="BX1250" s="318"/>
      <c r="BY1250" s="1867"/>
      <c r="BZ1250" s="4004"/>
      <c r="CA1250" s="317"/>
      <c r="CB1250" s="317"/>
      <c r="CC1250" s="317"/>
      <c r="CD1250" s="317"/>
      <c r="CE1250" s="317"/>
      <c r="CF1250" s="317"/>
      <c r="CG1250" s="317"/>
      <c r="CH1250" s="3997"/>
      <c r="CI1250" s="3997"/>
      <c r="CJ1250" s="3997"/>
      <c r="CK1250" s="3997"/>
      <c r="CL1250" s="318"/>
      <c r="CM1250" s="318"/>
      <c r="CN1250" s="318"/>
      <c r="CO1250" s="318"/>
      <c r="CP1250" s="1021"/>
      <c r="CQ1250" s="318"/>
      <c r="CR1250" s="318"/>
      <c r="CS1250" s="318"/>
      <c r="CT1250" s="318"/>
      <c r="CU1250" s="318"/>
      <c r="CV1250" s="318"/>
      <c r="CW1250" s="318"/>
      <c r="CX1250" s="318"/>
      <c r="CY1250" s="318"/>
      <c r="CZ1250" s="318"/>
      <c r="DA1250" s="318"/>
      <c r="DB1250" s="318"/>
      <c r="DC1250" s="318"/>
      <c r="DD1250" s="318"/>
      <c r="DE1250" s="318"/>
      <c r="DF1250" s="318"/>
      <c r="DG1250" s="1867"/>
      <c r="DH1250" s="564"/>
      <c r="DI1250" s="564"/>
      <c r="DJ1250" s="564"/>
      <c r="DK1250" s="564"/>
      <c r="DL1250" s="564"/>
      <c r="DM1250" s="564"/>
      <c r="DN1250" s="222"/>
      <c r="DO1250" s="226"/>
      <c r="DY1250" s="318"/>
      <c r="DZ1250" s="318"/>
    </row>
    <row r="1251" spans="1:130" ht="12.6" customHeight="1">
      <c r="A1251" s="1024" t="s">
        <v>256</v>
      </c>
      <c r="B1251" s="530"/>
      <c r="C1251" s="530"/>
      <c r="D1251" s="316"/>
      <c r="E1251" s="318"/>
      <c r="F1251" s="318"/>
      <c r="G1251" s="318"/>
      <c r="H1251" s="317"/>
      <c r="I1251" s="318"/>
      <c r="J1251" s="318"/>
      <c r="K1251" s="318"/>
      <c r="L1251" s="318"/>
      <c r="M1251" s="317"/>
      <c r="N1251" s="318"/>
      <c r="O1251" s="318"/>
      <c r="P1251" s="318"/>
      <c r="Q1251" s="318"/>
      <c r="R1251" s="317"/>
      <c r="S1251" s="318"/>
      <c r="T1251" s="318"/>
      <c r="U1251" s="318"/>
      <c r="V1251" s="318"/>
      <c r="W1251" s="317"/>
      <c r="X1251" s="318"/>
      <c r="Y1251" s="318"/>
      <c r="Z1251" s="318"/>
      <c r="AA1251" s="318"/>
      <c r="AB1251" s="317"/>
      <c r="AC1251" s="318"/>
      <c r="AD1251" s="318"/>
      <c r="AE1251" s="318"/>
      <c r="AF1251" s="318"/>
      <c r="AG1251" s="317"/>
      <c r="AH1251" s="318"/>
      <c r="AI1251" s="318"/>
      <c r="AJ1251" s="318"/>
      <c r="AK1251" s="318"/>
      <c r="AL1251" s="317"/>
      <c r="AM1251" s="318"/>
      <c r="AN1251" s="318"/>
      <c r="AO1251" s="318"/>
      <c r="AP1251" s="318"/>
      <c r="AQ1251" s="317"/>
      <c r="AR1251" s="318"/>
      <c r="AS1251" s="318"/>
      <c r="AT1251" s="318"/>
      <c r="AU1251" s="318"/>
      <c r="AV1251" s="317"/>
      <c r="AW1251" s="318"/>
      <c r="AX1251" s="318"/>
      <c r="AY1251" s="318"/>
      <c r="AZ1251" s="318"/>
      <c r="BA1251" s="317"/>
      <c r="BB1251" s="318"/>
      <c r="BC1251" s="318"/>
      <c r="BD1251" s="318"/>
      <c r="BE1251" s="318"/>
      <c r="BF1251" s="317"/>
      <c r="BG1251" s="316"/>
      <c r="BH1251" s="318"/>
      <c r="BI1251" s="318"/>
      <c r="BJ1251" s="1867"/>
      <c r="BK1251" s="317"/>
      <c r="BL1251" s="318"/>
      <c r="BM1251" s="318"/>
      <c r="BN1251" s="318"/>
      <c r="BO1251" s="1867"/>
      <c r="BP1251" s="317"/>
      <c r="BQ1251" s="318"/>
      <c r="BR1251" s="318"/>
      <c r="BS1251" s="318"/>
      <c r="BT1251" s="1867"/>
      <c r="BU1251" s="3338"/>
      <c r="BV1251" s="318"/>
      <c r="BW1251" s="318"/>
      <c r="BX1251" s="318"/>
      <c r="BY1251" s="1867"/>
      <c r="BZ1251" s="4004"/>
      <c r="CA1251" s="317"/>
      <c r="CB1251" s="317"/>
      <c r="CC1251" s="317"/>
      <c r="CD1251" s="317"/>
      <c r="CE1251" s="317"/>
      <c r="CF1251" s="317"/>
      <c r="CG1251" s="317"/>
      <c r="CH1251" s="3997"/>
      <c r="CI1251" s="3997"/>
      <c r="CJ1251" s="3997"/>
      <c r="CK1251" s="3997"/>
      <c r="CL1251" s="318"/>
      <c r="CM1251" s="318"/>
      <c r="CN1251" s="318"/>
      <c r="CO1251" s="318"/>
      <c r="CP1251" s="1024" t="str">
        <f t="shared" si="2354"/>
        <v>Leverage Ratio</v>
      </c>
      <c r="CQ1251" s="318"/>
      <c r="CR1251" s="318"/>
      <c r="CS1251" s="318"/>
      <c r="CT1251" s="318"/>
      <c r="CU1251" s="318"/>
      <c r="CV1251" s="318"/>
      <c r="CW1251" s="318"/>
      <c r="CX1251" s="318"/>
      <c r="CY1251" s="318"/>
      <c r="CZ1251" s="318"/>
      <c r="DA1251" s="318"/>
      <c r="DB1251" s="318"/>
      <c r="DC1251" s="318"/>
      <c r="DD1251" s="318"/>
      <c r="DE1251" s="318"/>
      <c r="DF1251" s="318"/>
      <c r="DG1251" s="1867"/>
      <c r="DH1251" s="564"/>
      <c r="DI1251" s="564"/>
      <c r="DJ1251" s="564"/>
      <c r="DK1251" s="564"/>
      <c r="DL1251" s="564"/>
      <c r="DM1251" s="564"/>
      <c r="DN1251" s="222"/>
      <c r="DO1251" s="226"/>
      <c r="DY1251" s="318"/>
      <c r="DZ1251" s="318"/>
    </row>
    <row r="1252" spans="1:130" ht="12.6" hidden="1" customHeight="1" outlineLevel="1">
      <c r="A1252" s="1021" t="s">
        <v>254</v>
      </c>
      <c r="B1252" s="530"/>
      <c r="C1252" s="530"/>
      <c r="D1252" s="316"/>
      <c r="E1252" s="318"/>
      <c r="F1252" s="318"/>
      <c r="G1252" s="318"/>
      <c r="H1252" s="937"/>
      <c r="I1252" s="938"/>
      <c r="J1252" s="938"/>
      <c r="K1252" s="938"/>
      <c r="L1252" s="938"/>
      <c r="M1252" s="937">
        <f t="shared" ref="M1252:AP1252" si="2379">M1224/M1263</f>
        <v>3.6728212342630737</v>
      </c>
      <c r="N1252" s="938">
        <f t="shared" si="2379"/>
        <v>3.5024062849912396</v>
      </c>
      <c r="O1252" s="938">
        <f t="shared" si="2379"/>
        <v>3.4476958984919355</v>
      </c>
      <c r="P1252" s="938">
        <f t="shared" si="2379"/>
        <v>3.4220797946065615</v>
      </c>
      <c r="Q1252" s="938">
        <f t="shared" si="2379"/>
        <v>2.9836715816319774</v>
      </c>
      <c r="R1252" s="937">
        <f t="shared" si="2379"/>
        <v>2.9836715816319774</v>
      </c>
      <c r="S1252" s="938">
        <f t="shared" si="2379"/>
        <v>3.2831340169857479</v>
      </c>
      <c r="T1252" s="938">
        <f t="shared" si="2379"/>
        <v>3.5028192560327338</v>
      </c>
      <c r="U1252" s="938">
        <f t="shared" si="2379"/>
        <v>3.5236912745251381</v>
      </c>
      <c r="V1252" s="938">
        <f t="shared" si="2379"/>
        <v>3.683555494882321</v>
      </c>
      <c r="W1252" s="937">
        <f t="shared" si="2379"/>
        <v>3.683555494882321</v>
      </c>
      <c r="X1252" s="938">
        <f t="shared" si="2379"/>
        <v>4.0088127907085527</v>
      </c>
      <c r="Y1252" s="938">
        <f t="shared" si="2379"/>
        <v>4.4290868231217297</v>
      </c>
      <c r="Z1252" s="938">
        <f t="shared" si="2379"/>
        <v>5.0486180319605367</v>
      </c>
      <c r="AA1252" s="938">
        <f t="shared" si="2379"/>
        <v>5.5080925673201744</v>
      </c>
      <c r="AB1252" s="937">
        <f t="shared" si="2379"/>
        <v>5.5080925673201735</v>
      </c>
      <c r="AC1252" s="938">
        <f t="shared" si="2379"/>
        <v>5.8162799920682131</v>
      </c>
      <c r="AD1252" s="938">
        <f t="shared" si="2379"/>
        <v>5.9686185736320549</v>
      </c>
      <c r="AE1252" s="938">
        <f t="shared" si="2379"/>
        <v>5.9323578650633371</v>
      </c>
      <c r="AF1252" s="938">
        <f t="shared" si="2379"/>
        <v>6.06163788389925</v>
      </c>
      <c r="AG1252" s="937">
        <f t="shared" si="2379"/>
        <v>6.06163788389925</v>
      </c>
      <c r="AH1252" s="938">
        <f t="shared" si="2379"/>
        <v>7.9627645951597703</v>
      </c>
      <c r="AI1252" s="938">
        <f t="shared" si="2379"/>
        <v>8.3117760643257714</v>
      </c>
      <c r="AJ1252" s="938">
        <f t="shared" si="2379"/>
        <v>8.8076224391028575</v>
      </c>
      <c r="AK1252" s="938">
        <f t="shared" si="2379"/>
        <v>10.334511176541698</v>
      </c>
      <c r="AL1252" s="937"/>
      <c r="AM1252" s="938">
        <f t="shared" si="2379"/>
        <v>10.250844437018783</v>
      </c>
      <c r="AN1252" s="938">
        <f t="shared" si="2379"/>
        <v>10.01492437452124</v>
      </c>
      <c r="AO1252" s="938">
        <f t="shared" si="2379"/>
        <v>9.7333299527068142</v>
      </c>
      <c r="AP1252" s="938">
        <f t="shared" si="2379"/>
        <v>8.7598835789775578</v>
      </c>
      <c r="AQ1252" s="937"/>
      <c r="AR1252" s="938"/>
      <c r="AS1252" s="938"/>
      <c r="AT1252" s="938"/>
      <c r="AU1252" s="938"/>
      <c r="AV1252" s="937"/>
      <c r="AW1252" s="938"/>
      <c r="AX1252" s="938"/>
      <c r="AY1252" s="938"/>
      <c r="AZ1252" s="938"/>
      <c r="BA1252" s="937"/>
      <c r="BB1252" s="938"/>
      <c r="BC1252" s="938"/>
      <c r="BD1252" s="938"/>
      <c r="BE1252" s="938"/>
      <c r="BF1252" s="937"/>
      <c r="BG1252" s="2982"/>
      <c r="BH1252" s="938"/>
      <c r="BI1252" s="938"/>
      <c r="BJ1252" s="1935"/>
      <c r="BK1252" s="937"/>
      <c r="BL1252" s="938"/>
      <c r="BM1252" s="938"/>
      <c r="BN1252" s="938"/>
      <c r="BO1252" s="1935"/>
      <c r="BP1252" s="937"/>
      <c r="BQ1252" s="938"/>
      <c r="BR1252" s="938"/>
      <c r="BS1252" s="938"/>
      <c r="BT1252" s="1935"/>
      <c r="BU1252" s="3454"/>
      <c r="BV1252" s="938"/>
      <c r="BW1252" s="938"/>
      <c r="BX1252" s="938"/>
      <c r="BY1252" s="1935"/>
      <c r="BZ1252" s="4032"/>
      <c r="CA1252" s="937"/>
      <c r="CB1252" s="937"/>
      <c r="CC1252" s="937"/>
      <c r="CD1252" s="937"/>
      <c r="CE1252" s="937"/>
      <c r="CF1252" s="937"/>
      <c r="CG1252" s="937"/>
      <c r="CH1252" s="3997"/>
      <c r="CI1252" s="3997"/>
      <c r="CJ1252" s="3997"/>
      <c r="CK1252" s="3997"/>
      <c r="CL1252" s="318"/>
      <c r="CM1252" s="318"/>
      <c r="CN1252" s="318"/>
      <c r="CO1252" s="318"/>
      <c r="CP1252" s="1021" t="str">
        <f t="shared" si="2354"/>
        <v>Debt to Valuation EBITDA</v>
      </c>
      <c r="CQ1252" s="938"/>
      <c r="CR1252" s="938">
        <f>M1252</f>
        <v>3.6728212342630737</v>
      </c>
      <c r="CS1252" s="938">
        <f>R1252</f>
        <v>2.9836715816319774</v>
      </c>
      <c r="CT1252" s="938">
        <f>W1252</f>
        <v>3.683555494882321</v>
      </c>
      <c r="CU1252" s="938">
        <f>AB1252</f>
        <v>5.5080925673201735</v>
      </c>
      <c r="CV1252" s="938">
        <f>AG1252</f>
        <v>6.06163788389925</v>
      </c>
      <c r="CW1252" s="938"/>
      <c r="CX1252" s="938"/>
      <c r="CY1252" s="938"/>
      <c r="CZ1252" s="938"/>
      <c r="DA1252" s="938"/>
      <c r="DB1252" s="938"/>
      <c r="DC1252" s="938"/>
      <c r="DD1252" s="938"/>
      <c r="DE1252" s="938"/>
      <c r="DF1252" s="938"/>
      <c r="DG1252" s="1935"/>
      <c r="DH1252" s="564"/>
      <c r="DI1252" s="564"/>
      <c r="DJ1252" s="564"/>
      <c r="DK1252" s="564"/>
      <c r="DL1252" s="564"/>
      <c r="DM1252" s="564"/>
      <c r="DN1252" s="222"/>
      <c r="DO1252" s="226"/>
      <c r="DY1252" s="938"/>
      <c r="DZ1252" s="938"/>
    </row>
    <row r="1253" spans="1:130" ht="12.6" hidden="1" customHeight="1" outlineLevel="1">
      <c r="A1253" s="1021" t="s">
        <v>255</v>
      </c>
      <c r="B1253" s="530"/>
      <c r="C1253" s="530"/>
      <c r="D1253" s="734"/>
      <c r="E1253" s="564"/>
      <c r="F1253" s="564"/>
      <c r="G1253" s="564"/>
      <c r="H1253" s="939"/>
      <c r="I1253" s="940"/>
      <c r="J1253" s="940"/>
      <c r="K1253" s="940"/>
      <c r="L1253" s="940"/>
      <c r="M1253" s="939">
        <f t="shared" ref="M1253:AP1253" si="2380">M1227/M1263</f>
        <v>3.4023600005742094</v>
      </c>
      <c r="N1253" s="940">
        <f t="shared" si="2380"/>
        <v>3.26315839145966</v>
      </c>
      <c r="O1253" s="940">
        <f t="shared" si="2380"/>
        <v>3.2240130610002073</v>
      </c>
      <c r="P1253" s="940">
        <f t="shared" si="2380"/>
        <v>3.1958559853928263</v>
      </c>
      <c r="Q1253" s="940">
        <f t="shared" si="2380"/>
        <v>2.7473332993841009</v>
      </c>
      <c r="R1253" s="939">
        <f t="shared" si="2380"/>
        <v>2.7473332993841009</v>
      </c>
      <c r="S1253" s="940">
        <f t="shared" si="2380"/>
        <v>3.0445589181249915</v>
      </c>
      <c r="T1253" s="940">
        <f t="shared" si="2380"/>
        <v>3.2507358535030741</v>
      </c>
      <c r="U1253" s="940">
        <f t="shared" si="2380"/>
        <v>3.2797645076140851</v>
      </c>
      <c r="V1253" s="940">
        <f t="shared" si="2380"/>
        <v>3.4142622188851943</v>
      </c>
      <c r="W1253" s="939">
        <f t="shared" si="2380"/>
        <v>3.4142622188851943</v>
      </c>
      <c r="X1253" s="940">
        <f t="shared" si="2380"/>
        <v>3.7493653208776045</v>
      </c>
      <c r="Y1253" s="940">
        <f t="shared" si="2380"/>
        <v>4.1642261742588156</v>
      </c>
      <c r="Z1253" s="940">
        <f t="shared" si="2380"/>
        <v>4.8108706610282326</v>
      </c>
      <c r="AA1253" s="940">
        <f t="shared" si="2380"/>
        <v>5.3039019072662521</v>
      </c>
      <c r="AB1253" s="939">
        <f t="shared" si="2380"/>
        <v>5.3039019072662503</v>
      </c>
      <c r="AC1253" s="940">
        <f t="shared" si="2380"/>
        <v>5.6046909620739891</v>
      </c>
      <c r="AD1253" s="940">
        <f t="shared" si="2380"/>
        <v>5.7607865330625732</v>
      </c>
      <c r="AE1253" s="940">
        <f t="shared" si="2380"/>
        <v>5.7326272046431361</v>
      </c>
      <c r="AF1253" s="940">
        <f t="shared" si="2380"/>
        <v>5.8424553560405013</v>
      </c>
      <c r="AG1253" s="939">
        <f t="shared" si="2380"/>
        <v>5.8424553560405013</v>
      </c>
      <c r="AH1253" s="940">
        <f t="shared" si="2380"/>
        <v>7.6937198355923222</v>
      </c>
      <c r="AI1253" s="940">
        <f t="shared" si="2380"/>
        <v>8.0471692381654272</v>
      </c>
      <c r="AJ1253" s="940">
        <f t="shared" si="2380"/>
        <v>8.5505966990878246</v>
      </c>
      <c r="AK1253" s="940">
        <f t="shared" si="2380"/>
        <v>9.9298212948308748</v>
      </c>
      <c r="AL1253" s="939"/>
      <c r="AM1253" s="940">
        <f t="shared" si="2380"/>
        <v>9.766743243807694</v>
      </c>
      <c r="AN1253" s="940">
        <f t="shared" si="2380"/>
        <v>9.5348865788499904</v>
      </c>
      <c r="AO1253" s="940">
        <f t="shared" si="2380"/>
        <v>9.2339277898175514</v>
      </c>
      <c r="AP1253" s="940">
        <f t="shared" si="2380"/>
        <v>8.2987519490703239</v>
      </c>
      <c r="AQ1253" s="939"/>
      <c r="AR1253" s="940"/>
      <c r="AS1253" s="940"/>
      <c r="AT1253" s="940"/>
      <c r="AU1253" s="940"/>
      <c r="AV1253" s="939"/>
      <c r="AW1253" s="940"/>
      <c r="AX1253" s="940"/>
      <c r="AY1253" s="940"/>
      <c r="AZ1253" s="940"/>
      <c r="BA1253" s="939"/>
      <c r="BB1253" s="940"/>
      <c r="BC1253" s="940"/>
      <c r="BD1253" s="940"/>
      <c r="BE1253" s="940"/>
      <c r="BF1253" s="939"/>
      <c r="BG1253" s="2983"/>
      <c r="BH1253" s="940"/>
      <c r="BI1253" s="940"/>
      <c r="BJ1253" s="1936"/>
      <c r="BK1253" s="939"/>
      <c r="BL1253" s="940"/>
      <c r="BM1253" s="940"/>
      <c r="BN1253" s="940"/>
      <c r="BO1253" s="1936"/>
      <c r="BP1253" s="939"/>
      <c r="BQ1253" s="940"/>
      <c r="BR1253" s="940"/>
      <c r="BS1253" s="940"/>
      <c r="BT1253" s="1936"/>
      <c r="BU1253" s="3455"/>
      <c r="BV1253" s="940"/>
      <c r="BW1253" s="940"/>
      <c r="BX1253" s="940"/>
      <c r="BY1253" s="1936"/>
      <c r="BZ1253" s="4033"/>
      <c r="CA1253" s="939"/>
      <c r="CB1253" s="939"/>
      <c r="CC1253" s="939"/>
      <c r="CD1253" s="939"/>
      <c r="CE1253" s="939"/>
      <c r="CF1253" s="939"/>
      <c r="CG1253" s="939"/>
      <c r="CH1253" s="3998"/>
      <c r="CI1253" s="3998"/>
      <c r="CJ1253" s="3998"/>
      <c r="CK1253" s="3998"/>
      <c r="CL1253" s="941"/>
      <c r="CM1253" s="941"/>
      <c r="CN1253" s="941"/>
      <c r="CO1253" s="941"/>
      <c r="CP1253" s="1021" t="str">
        <f t="shared" si="2354"/>
        <v>Net Debt to Valuation EBITDA</v>
      </c>
      <c r="CQ1253" s="940"/>
      <c r="CR1253" s="940">
        <f>M1253</f>
        <v>3.4023600005742094</v>
      </c>
      <c r="CS1253" s="940">
        <f>R1253</f>
        <v>2.7473332993841009</v>
      </c>
      <c r="CT1253" s="940">
        <f>W1253</f>
        <v>3.4142622188851943</v>
      </c>
      <c r="CU1253" s="940">
        <f>AB1253</f>
        <v>5.3039019072662503</v>
      </c>
      <c r="CV1253" s="940">
        <f>AG1253</f>
        <v>5.8424553560405013</v>
      </c>
      <c r="CW1253" s="940"/>
      <c r="CX1253" s="940"/>
      <c r="CY1253" s="940"/>
      <c r="CZ1253" s="940"/>
      <c r="DA1253" s="940"/>
      <c r="DB1253" s="940"/>
      <c r="DC1253" s="940"/>
      <c r="DD1253" s="940"/>
      <c r="DE1253" s="940"/>
      <c r="DF1253" s="940"/>
      <c r="DG1253" s="1936"/>
      <c r="DH1253" s="564"/>
      <c r="DI1253" s="564"/>
      <c r="DJ1253" s="564"/>
      <c r="DK1253" s="564"/>
      <c r="DL1253" s="564"/>
      <c r="DM1253" s="564"/>
      <c r="DN1253" s="222"/>
      <c r="DO1253" s="226"/>
      <c r="DY1253" s="940"/>
      <c r="DZ1253" s="940"/>
    </row>
    <row r="1254" spans="1:130" s="2380" customFormat="1" ht="12.6" customHeight="1" collapsed="1">
      <c r="A1254" s="2372" t="s">
        <v>480</v>
      </c>
      <c r="B1254" s="2373"/>
      <c r="C1254" s="2373"/>
      <c r="D1254" s="2374"/>
      <c r="E1254" s="2375"/>
      <c r="F1254" s="2375"/>
      <c r="G1254" s="2375"/>
      <c r="H1254" s="2376"/>
      <c r="I1254" s="2375"/>
      <c r="J1254" s="2375"/>
      <c r="K1254" s="2375"/>
      <c r="L1254" s="2375"/>
      <c r="M1254" s="2376">
        <f t="shared" ref="M1254:AK1254" si="2381">M1232/M1263</f>
        <v>3.6476191843355679</v>
      </c>
      <c r="N1254" s="2374">
        <f t="shared" si="2381"/>
        <v>3.5171008361157794</v>
      </c>
      <c r="O1254" s="2375">
        <f t="shared" si="2381"/>
        <v>3.5378574834591041</v>
      </c>
      <c r="P1254" s="2375">
        <f t="shared" si="2381"/>
        <v>3.5273479183582341</v>
      </c>
      <c r="Q1254" s="2375">
        <f t="shared" si="2381"/>
        <v>3.1342150367663226</v>
      </c>
      <c r="R1254" s="2376">
        <f t="shared" si="2381"/>
        <v>3.1342150367663226</v>
      </c>
      <c r="S1254" s="2374">
        <f t="shared" si="2381"/>
        <v>3.466354686649185</v>
      </c>
      <c r="T1254" s="2375">
        <f t="shared" si="2381"/>
        <v>3.7458652229545177</v>
      </c>
      <c r="U1254" s="2375">
        <f t="shared" si="2381"/>
        <v>3.8031429839036592</v>
      </c>
      <c r="V1254" s="2375">
        <f t="shared" si="2381"/>
        <v>4.0015195394901495</v>
      </c>
      <c r="W1254" s="2376">
        <f t="shared" si="2381"/>
        <v>4.0015195394901495</v>
      </c>
      <c r="X1254" s="2374">
        <f t="shared" si="2381"/>
        <v>4.3887646699115743</v>
      </c>
      <c r="Y1254" s="2375">
        <f t="shared" si="2381"/>
        <v>4.8287951393155222</v>
      </c>
      <c r="Z1254" s="2375">
        <f t="shared" si="2381"/>
        <v>5.4870403219910502</v>
      </c>
      <c r="AA1254" s="2375">
        <f t="shared" si="2381"/>
        <v>6.074152048730153</v>
      </c>
      <c r="AB1254" s="2376">
        <f t="shared" si="2381"/>
        <v>6.0741520487301521</v>
      </c>
      <c r="AC1254" s="2374">
        <f t="shared" si="2381"/>
        <v>6.358965074274284</v>
      </c>
      <c r="AD1254" s="2375">
        <f t="shared" si="2381"/>
        <v>6.5006891041645849</v>
      </c>
      <c r="AE1254" s="2375">
        <f t="shared" si="2381"/>
        <v>6.399896390602942</v>
      </c>
      <c r="AF1254" s="2375">
        <f t="shared" si="2381"/>
        <v>6.6415831129600651</v>
      </c>
      <c r="AG1254" s="2376">
        <f t="shared" si="2381"/>
        <v>6.6415831129600651</v>
      </c>
      <c r="AH1254" s="2374">
        <f t="shared" si="2381"/>
        <v>6.9100979434121301</v>
      </c>
      <c r="AI1254" s="2375">
        <f t="shared" si="2381"/>
        <v>7.2192285239570699</v>
      </c>
      <c r="AJ1254" s="2375">
        <f t="shared" si="2381"/>
        <v>7.4124448438154333</v>
      </c>
      <c r="AK1254" s="2375">
        <f t="shared" si="2381"/>
        <v>8.7826733381780979</v>
      </c>
      <c r="AL1254" s="2376">
        <f>+AK1254</f>
        <v>8.7826733381780979</v>
      </c>
      <c r="AM1254" s="2374">
        <f>AM1232/AM1263</f>
        <v>8.6473859348676605</v>
      </c>
      <c r="AN1254" s="2375">
        <f>AN1232/AN1263</f>
        <v>8.4152171271193499</v>
      </c>
      <c r="AO1254" s="2375">
        <f>AO1232/AO1263</f>
        <v>8.157687544704336</v>
      </c>
      <c r="AP1254" s="2375">
        <f>AP1232/AP1263</f>
        <v>7.2243249143830077</v>
      </c>
      <c r="AQ1254" s="2376">
        <f>+AP1254</f>
        <v>7.2243249143830077</v>
      </c>
      <c r="AR1254" s="2374">
        <f>AR1232/AR1263</f>
        <v>6.8092403299589384</v>
      </c>
      <c r="AS1254" s="2375">
        <f>AS1232/AS1263</f>
        <v>6.8311833613657056</v>
      </c>
      <c r="AT1254" s="2375">
        <f>AT1232/AT1263</f>
        <v>7.0099469747782157</v>
      </c>
      <c r="AU1254" s="2375">
        <f>AU1232/AU1263</f>
        <v>10.753572707941125</v>
      </c>
      <c r="AV1254" s="2376">
        <f>+AU1254</f>
        <v>10.753572707941125</v>
      </c>
      <c r="AW1254" s="2374">
        <f>AW1232/AW1263</f>
        <v>9.0449475172803275</v>
      </c>
      <c r="AX1254" s="2375">
        <f>AX1232/AX1263</f>
        <v>8.2695153237962895</v>
      </c>
      <c r="AY1254" s="2375">
        <f>AY1232/AY1263</f>
        <v>7.2178563824992175</v>
      </c>
      <c r="AZ1254" s="2375">
        <f>AZ1232/AZ1263</f>
        <v>6.8420979055258071</v>
      </c>
      <c r="BA1254" s="2376">
        <f>+AZ1254</f>
        <v>6.8420979055258071</v>
      </c>
      <c r="BB1254" s="2374">
        <f>BB1232/BB1263</f>
        <v>6.9688807096982499</v>
      </c>
      <c r="BC1254" s="2375">
        <f>BC1232/BC1263</f>
        <v>6.9912471716649254</v>
      </c>
      <c r="BD1254" s="2375">
        <f>BD1232/BD1263</f>
        <v>6.2223739908274975</v>
      </c>
      <c r="BE1254" s="2375">
        <f>BE1232/BE1263</f>
        <v>6.0268686029591754</v>
      </c>
      <c r="BF1254" s="2376">
        <f>+BE1254</f>
        <v>6.0268686029591754</v>
      </c>
      <c r="BG1254" s="2374">
        <f>BG1232/BG1263</f>
        <v>5.7926236106574409</v>
      </c>
      <c r="BH1254" s="2375">
        <f>BH1232/BH1263</f>
        <v>5.5442097934555576</v>
      </c>
      <c r="BI1254" s="2375">
        <f>BI1232/BI1263</f>
        <v>5.1955873408283777</v>
      </c>
      <c r="BJ1254" s="2377">
        <f>BJ1232/BJ1263</f>
        <v>4.8948761370387892</v>
      </c>
      <c r="BK1254" s="2376">
        <f>+BJ1254</f>
        <v>4.8948761370387892</v>
      </c>
      <c r="BL1254" s="2375">
        <f>BL1232/BL1263</f>
        <v>4.747671982942963</v>
      </c>
      <c r="BM1254" s="2375">
        <f>BM1232/BM1263</f>
        <v>4.8725379124730068</v>
      </c>
      <c r="BN1254" s="2375">
        <f>BN1232/BN1263</f>
        <v>4.8695998823208893</v>
      </c>
      <c r="BO1254" s="2377">
        <f>BO1232/BO1263</f>
        <v>5.3766519528262648</v>
      </c>
      <c r="BP1254" s="2376">
        <f>+BO1254</f>
        <v>5.3766519528262648</v>
      </c>
      <c r="BQ1254" s="2375">
        <f>BQ1232/BQ1263</f>
        <v>5.4478961692948387</v>
      </c>
      <c r="BR1254" s="2375">
        <f>BR1232/BR1263</f>
        <v>5.2013196669479083</v>
      </c>
      <c r="BS1254" s="2375">
        <f>BS1232/BS1263</f>
        <v>4.9257810766999413</v>
      </c>
      <c r="BT1254" s="2377">
        <f>BT1232/BT1263</f>
        <v>4.8972088142707246</v>
      </c>
      <c r="BU1254" s="3456">
        <f>+BT1254</f>
        <v>4.8972088142707246</v>
      </c>
      <c r="BV1254" s="2375">
        <f>BV1232/BV1263</f>
        <v>4.7191183867538458</v>
      </c>
      <c r="BW1254" s="2375">
        <f>BW1232/BW1263</f>
        <v>4.5912420291458886</v>
      </c>
      <c r="BX1254" s="2375">
        <f>BX1232/BX1263</f>
        <v>5.2766108954218662</v>
      </c>
      <c r="BY1254" s="2377">
        <f>BY1232/BY1263</f>
        <v>5.1197936484987894</v>
      </c>
      <c r="BZ1254" s="4034">
        <f>+BY1254</f>
        <v>5.1197936484987894</v>
      </c>
      <c r="CA1254" s="2376">
        <f t="shared" ref="CA1254:CG1254" si="2382">CA1232/CA1263</f>
        <v>4.5408550850641101</v>
      </c>
      <c r="CB1254" s="2376">
        <f t="shared" si="2382"/>
        <v>4.0399474144387648</v>
      </c>
      <c r="CC1254" s="2376">
        <f t="shared" si="2382"/>
        <v>86.602027917208957</v>
      </c>
      <c r="CD1254" s="2376">
        <f t="shared" si="2382"/>
        <v>-95.326391510543729</v>
      </c>
      <c r="CE1254" s="2376">
        <f t="shared" si="2382"/>
        <v>-745.92548876763533</v>
      </c>
      <c r="CF1254" s="2376">
        <f t="shared" si="2382"/>
        <v>121.03863989302275</v>
      </c>
      <c r="CG1254" s="2376">
        <f t="shared" si="2382"/>
        <v>54.535890045732039</v>
      </c>
      <c r="CH1254" s="3999"/>
      <c r="CI1254" s="3999"/>
      <c r="CJ1254" s="3999"/>
      <c r="CK1254" s="3999"/>
      <c r="CL1254" s="2375"/>
      <c r="CM1254" s="2375"/>
      <c r="CN1254" s="2375"/>
      <c r="CO1254" s="2375"/>
      <c r="CP1254" s="2372" t="str">
        <f t="shared" si="2354"/>
        <v>Adjusted Net Debt to Valuation EBITDA</v>
      </c>
      <c r="CQ1254" s="2375"/>
      <c r="CR1254" s="2375">
        <f>M1254</f>
        <v>3.6476191843355679</v>
      </c>
      <c r="CS1254" s="2375">
        <f>R1254</f>
        <v>3.1342150367663226</v>
      </c>
      <c r="CT1254" s="2375">
        <f>W1254</f>
        <v>4.0015195394901495</v>
      </c>
      <c r="CU1254" s="2375">
        <f>AB1254</f>
        <v>6.0741520487301521</v>
      </c>
      <c r="CV1254" s="2375">
        <f>AG1254</f>
        <v>6.6415831129600651</v>
      </c>
      <c r="CW1254" s="2375"/>
      <c r="CX1254" s="2375"/>
      <c r="CY1254" s="2375"/>
      <c r="CZ1254" s="2375"/>
      <c r="DA1254" s="2375"/>
      <c r="DB1254" s="2375">
        <f>BK1254</f>
        <v>4.8948761370387892</v>
      </c>
      <c r="DC1254" s="2375">
        <f>BP1254</f>
        <v>5.3766519528262648</v>
      </c>
      <c r="DD1254" s="2375">
        <f>BU1254</f>
        <v>4.8972088142707246</v>
      </c>
      <c r="DE1254" s="2375">
        <f>BZ1254</f>
        <v>5.1197936484987894</v>
      </c>
      <c r="DF1254" s="2375">
        <f>CA1254</f>
        <v>4.5408550850641101</v>
      </c>
      <c r="DG1254" s="2377">
        <f>CB1254</f>
        <v>4.0399474144387648</v>
      </c>
      <c r="DH1254" s="2375"/>
      <c r="DI1254" s="2375"/>
      <c r="DJ1254" s="2375"/>
      <c r="DK1254" s="2375"/>
      <c r="DL1254" s="2375"/>
      <c r="DM1254" s="2375"/>
      <c r="DN1254" s="2378"/>
      <c r="DO1254" s="2379"/>
      <c r="DP1254"/>
      <c r="DQ1254"/>
      <c r="DR1254"/>
      <c r="DS1254"/>
      <c r="DT1254"/>
      <c r="DU1254"/>
      <c r="DY1254" s="2375"/>
      <c r="DZ1254" s="2375"/>
    </row>
    <row r="1255" spans="1:130" ht="12.75" customHeight="1">
      <c r="A1255" s="1021"/>
      <c r="B1255" s="530"/>
      <c r="C1255" s="530"/>
      <c r="D1255" s="446"/>
      <c r="E1255" s="447"/>
      <c r="F1255" s="447"/>
      <c r="G1255" s="447"/>
      <c r="H1255" s="563"/>
      <c r="I1255" s="447"/>
      <c r="J1255" s="447"/>
      <c r="K1255" s="447"/>
      <c r="L1255" s="447"/>
      <c r="M1255" s="563"/>
      <c r="N1255" s="447"/>
      <c r="O1255" s="447"/>
      <c r="P1255" s="447"/>
      <c r="Q1255" s="447"/>
      <c r="R1255" s="942"/>
      <c r="S1255" s="943"/>
      <c r="T1255" s="943"/>
      <c r="U1255" s="943"/>
      <c r="V1255" s="943"/>
      <c r="W1255" s="942"/>
      <c r="X1255" s="943"/>
      <c r="Y1255" s="943"/>
      <c r="Z1255" s="943"/>
      <c r="AA1255" s="943"/>
      <c r="AB1255" s="942"/>
      <c r="AC1255" s="943"/>
      <c r="AD1255" s="943"/>
      <c r="AE1255" s="943"/>
      <c r="AF1255" s="943"/>
      <c r="AG1255" s="942"/>
      <c r="AH1255" s="943"/>
      <c r="AI1255" s="943"/>
      <c r="AJ1255" s="943"/>
      <c r="AK1255" s="943"/>
      <c r="AL1255" s="942"/>
      <c r="AM1255" s="943"/>
      <c r="AN1255" s="943"/>
      <c r="AO1255" s="943"/>
      <c r="AP1255" s="943"/>
      <c r="AQ1255" s="942"/>
      <c r="AR1255" s="943"/>
      <c r="AS1255" s="943"/>
      <c r="AT1255" s="943"/>
      <c r="AU1255" s="943"/>
      <c r="AV1255" s="942"/>
      <c r="AW1255" s="943"/>
      <c r="AX1255" s="943"/>
      <c r="AY1255" s="943"/>
      <c r="AZ1255" s="943"/>
      <c r="BA1255" s="942"/>
      <c r="BB1255" s="943"/>
      <c r="BC1255" s="943"/>
      <c r="BD1255" s="943"/>
      <c r="BE1255" s="943"/>
      <c r="BF1255" s="942"/>
      <c r="BG1255" s="2984"/>
      <c r="BH1255" s="943"/>
      <c r="BI1255" s="943"/>
      <c r="BJ1255" s="2985"/>
      <c r="BK1255" s="942"/>
      <c r="BL1255" s="943"/>
      <c r="BM1255" s="943"/>
      <c r="BN1255" s="943"/>
      <c r="BO1255" s="2985"/>
      <c r="BP1255" s="942"/>
      <c r="BQ1255" s="943"/>
      <c r="BR1255" s="943"/>
      <c r="BS1255" s="943"/>
      <c r="BT1255" s="2985"/>
      <c r="BU1255" s="3457"/>
      <c r="BV1255" s="943"/>
      <c r="BW1255" s="943"/>
      <c r="BX1255" s="943"/>
      <c r="BY1255" s="2985"/>
      <c r="BZ1255" s="4035"/>
      <c r="CA1255" s="942"/>
      <c r="CB1255" s="942"/>
      <c r="CC1255" s="942"/>
      <c r="CD1255" s="942"/>
      <c r="CE1255" s="942"/>
      <c r="CF1255" s="942"/>
      <c r="CG1255" s="942"/>
      <c r="CH1255" s="943"/>
      <c r="CI1255" s="943"/>
      <c r="CJ1255" s="943"/>
      <c r="CK1255" s="943"/>
      <c r="CL1255" s="943"/>
      <c r="CM1255" s="943"/>
      <c r="CN1255" s="943"/>
      <c r="CO1255" s="943"/>
      <c r="CP1255" s="1021"/>
      <c r="CQ1255" s="941"/>
      <c r="CR1255" s="941"/>
      <c r="CS1255" s="941"/>
      <c r="CT1255" s="941"/>
      <c r="CU1255" s="941"/>
      <c r="CV1255" s="941"/>
      <c r="CW1255" s="941"/>
      <c r="CX1255" s="941"/>
      <c r="CY1255" s="941"/>
      <c r="CZ1255" s="941"/>
      <c r="DA1255" s="941"/>
      <c r="DB1255" s="941"/>
      <c r="DC1255" s="941"/>
      <c r="DD1255" s="941"/>
      <c r="DE1255" s="941"/>
      <c r="DF1255" s="941"/>
      <c r="DG1255" s="1937"/>
      <c r="DH1255" s="564"/>
      <c r="DI1255" s="564"/>
      <c r="DJ1255" s="564"/>
      <c r="DK1255" s="564"/>
      <c r="DL1255" s="564"/>
      <c r="DM1255" s="564"/>
      <c r="DN1255" s="222"/>
      <c r="DO1255" s="226"/>
      <c r="DY1255" s="943"/>
      <c r="DZ1255" s="943"/>
    </row>
    <row r="1256" spans="1:130" ht="12.75" customHeight="1">
      <c r="A1256" s="1023" t="s">
        <v>1652</v>
      </c>
      <c r="B1256" s="530"/>
      <c r="C1256" s="530"/>
      <c r="D1256" s="446"/>
      <c r="E1256" s="447"/>
      <c r="F1256" s="447"/>
      <c r="G1256" s="447"/>
      <c r="H1256" s="563"/>
      <c r="I1256" s="447"/>
      <c r="J1256" s="447"/>
      <c r="K1256" s="447"/>
      <c r="L1256" s="447"/>
      <c r="M1256" s="563"/>
      <c r="N1256" s="447"/>
      <c r="O1256" s="447"/>
      <c r="P1256" s="447"/>
      <c r="Q1256" s="447"/>
      <c r="R1256" s="942"/>
      <c r="S1256" s="943"/>
      <c r="T1256" s="943"/>
      <c r="U1256" s="943"/>
      <c r="V1256" s="943"/>
      <c r="W1256" s="942"/>
      <c r="X1256" s="943"/>
      <c r="Y1256" s="943"/>
      <c r="Z1256" s="943"/>
      <c r="AA1256" s="943"/>
      <c r="AB1256" s="942"/>
      <c r="AC1256" s="943"/>
      <c r="AD1256" s="943"/>
      <c r="AE1256" s="943"/>
      <c r="AF1256" s="943"/>
      <c r="AG1256" s="942"/>
      <c r="AH1256" s="943"/>
      <c r="AI1256" s="943"/>
      <c r="AJ1256" s="943"/>
      <c r="AK1256" s="943"/>
      <c r="AL1256" s="942"/>
      <c r="AM1256" s="943"/>
      <c r="AN1256" s="943"/>
      <c r="AO1256" s="943"/>
      <c r="AP1256" s="943"/>
      <c r="AQ1256" s="942"/>
      <c r="AR1256" s="943"/>
      <c r="AS1256" s="943"/>
      <c r="AT1256" s="943"/>
      <c r="AU1256" s="943"/>
      <c r="AV1256" s="942"/>
      <c r="AW1256" s="943"/>
      <c r="AX1256" s="943"/>
      <c r="AY1256" s="943"/>
      <c r="AZ1256" s="943"/>
      <c r="BA1256" s="942"/>
      <c r="BB1256" s="943"/>
      <c r="BC1256" s="943"/>
      <c r="BD1256" s="943"/>
      <c r="BE1256" s="943"/>
      <c r="BF1256" s="942"/>
      <c r="BG1256" s="2984"/>
      <c r="BH1256" s="943"/>
      <c r="BI1256" s="943"/>
      <c r="BJ1256" s="2985"/>
      <c r="BK1256" s="942"/>
      <c r="BL1256" s="943"/>
      <c r="BM1256" s="943"/>
      <c r="BN1256" s="943"/>
      <c r="BO1256" s="2985"/>
      <c r="BP1256" s="942"/>
      <c r="BQ1256" s="943"/>
      <c r="BR1256" s="943"/>
      <c r="BS1256" s="943"/>
      <c r="BT1256" s="2985"/>
      <c r="BU1256" s="3457"/>
      <c r="BV1256" s="943"/>
      <c r="BW1256" s="943"/>
      <c r="BX1256" s="943"/>
      <c r="BY1256" s="2985"/>
      <c r="BZ1256" s="4035"/>
      <c r="CA1256" s="942"/>
      <c r="CB1256" s="942"/>
      <c r="CC1256" s="942"/>
      <c r="CD1256" s="942"/>
      <c r="CE1256" s="942"/>
      <c r="CF1256" s="942"/>
      <c r="CG1256" s="942"/>
      <c r="CH1256" s="943"/>
      <c r="CI1256" s="943"/>
      <c r="CJ1256" s="943"/>
      <c r="CK1256" s="943"/>
      <c r="CL1256" s="943"/>
      <c r="CM1256" s="943"/>
      <c r="CN1256" s="943"/>
      <c r="CO1256" s="943"/>
      <c r="CP1256" s="1023" t="str">
        <f t="shared" si="2354"/>
        <v>Covenant Analysis</v>
      </c>
      <c r="CQ1256" s="941"/>
      <c r="CR1256" s="941"/>
      <c r="CS1256" s="941"/>
      <c r="CT1256" s="941"/>
      <c r="CU1256" s="941"/>
      <c r="CV1256" s="941"/>
      <c r="CW1256" s="941"/>
      <c r="CX1256" s="941"/>
      <c r="CY1256" s="941"/>
      <c r="CZ1256" s="941"/>
      <c r="DA1256" s="941"/>
      <c r="DB1256" s="941"/>
      <c r="DC1256" s="941"/>
      <c r="DD1256" s="941"/>
      <c r="DE1256" s="941"/>
      <c r="DF1256" s="941"/>
      <c r="DG1256" s="1937"/>
      <c r="DH1256" s="564"/>
      <c r="DI1256" s="564"/>
      <c r="DJ1256" s="564"/>
      <c r="DK1256" s="564"/>
      <c r="DL1256" s="564"/>
      <c r="DM1256" s="564"/>
      <c r="DN1256" s="222"/>
      <c r="DO1256" s="226"/>
      <c r="DY1256" s="943"/>
      <c r="DZ1256" s="943"/>
    </row>
    <row r="1257" spans="1:130" ht="12.75" customHeight="1">
      <c r="A1257" s="1021"/>
      <c r="B1257" s="530"/>
      <c r="C1257" s="530"/>
      <c r="D1257" s="446"/>
      <c r="E1257" s="447"/>
      <c r="F1257" s="447"/>
      <c r="G1257" s="447"/>
      <c r="H1257" s="563"/>
      <c r="I1257" s="447"/>
      <c r="J1257" s="447"/>
      <c r="K1257" s="447"/>
      <c r="L1257" s="447"/>
      <c r="M1257" s="563"/>
      <c r="N1257" s="447"/>
      <c r="O1257" s="447"/>
      <c r="P1257" s="447"/>
      <c r="Q1257" s="447"/>
      <c r="R1257" s="942"/>
      <c r="S1257" s="943"/>
      <c r="T1257" s="943"/>
      <c r="U1257" s="943"/>
      <c r="V1257" s="943"/>
      <c r="W1257" s="942"/>
      <c r="X1257" s="943"/>
      <c r="Y1257" s="943"/>
      <c r="Z1257" s="943"/>
      <c r="AA1257" s="943"/>
      <c r="AB1257" s="942"/>
      <c r="AC1257" s="943"/>
      <c r="AD1257" s="943"/>
      <c r="AE1257" s="943"/>
      <c r="AF1257" s="943"/>
      <c r="AG1257" s="942"/>
      <c r="AH1257" s="943"/>
      <c r="AI1257" s="943"/>
      <c r="AJ1257" s="943"/>
      <c r="AK1257" s="943"/>
      <c r="AL1257" s="942"/>
      <c r="AM1257" s="943"/>
      <c r="AN1257" s="943"/>
      <c r="AO1257" s="943"/>
      <c r="AP1257" s="943"/>
      <c r="AQ1257" s="942"/>
      <c r="AR1257" s="943"/>
      <c r="AS1257" s="943"/>
      <c r="AT1257" s="943"/>
      <c r="AU1257" s="943"/>
      <c r="AV1257" s="942"/>
      <c r="AW1257" s="943"/>
      <c r="AX1257" s="943"/>
      <c r="AY1257" s="943"/>
      <c r="AZ1257" s="943"/>
      <c r="BA1257" s="942"/>
      <c r="BB1257" s="943"/>
      <c r="BC1257" s="943"/>
      <c r="BD1257" s="943"/>
      <c r="BE1257" s="943"/>
      <c r="BF1257" s="942"/>
      <c r="BG1257" s="2984"/>
      <c r="BH1257" s="943"/>
      <c r="BI1257" s="943"/>
      <c r="BJ1257" s="2985"/>
      <c r="BK1257" s="942"/>
      <c r="BL1257" s="943"/>
      <c r="BM1257" s="943"/>
      <c r="BN1257" s="943"/>
      <c r="BO1257" s="2985"/>
      <c r="BP1257" s="942"/>
      <c r="BQ1257" s="943"/>
      <c r="BR1257" s="943"/>
      <c r="BS1257" s="943"/>
      <c r="BT1257" s="2985"/>
      <c r="BU1257" s="3457"/>
      <c r="BV1257" s="943"/>
      <c r="BW1257" s="943"/>
      <c r="BX1257" s="943"/>
      <c r="BY1257" s="2985"/>
      <c r="BZ1257" s="4035"/>
      <c r="CA1257" s="942"/>
      <c r="CB1257" s="942"/>
      <c r="CC1257" s="942"/>
      <c r="CD1257" s="942"/>
      <c r="CE1257" s="942"/>
      <c r="CF1257" s="942"/>
      <c r="CG1257" s="942"/>
      <c r="CH1257" s="943"/>
      <c r="CI1257" s="943"/>
      <c r="CJ1257" s="943"/>
      <c r="CK1257" s="943"/>
      <c r="CL1257" s="943"/>
      <c r="CM1257" s="943"/>
      <c r="CN1257" s="943"/>
      <c r="CO1257" s="943"/>
      <c r="CP1257" s="1021"/>
      <c r="CQ1257" s="941"/>
      <c r="CR1257" s="941"/>
      <c r="CS1257" s="941"/>
      <c r="CT1257" s="941"/>
      <c r="CU1257" s="941"/>
      <c r="CV1257" s="941"/>
      <c r="CW1257" s="941"/>
      <c r="CX1257" s="941"/>
      <c r="CY1257" s="941"/>
      <c r="CZ1257" s="941"/>
      <c r="DA1257" s="941"/>
      <c r="DB1257" s="941"/>
      <c r="DC1257" s="941"/>
      <c r="DD1257" s="941"/>
      <c r="DE1257" s="941"/>
      <c r="DF1257" s="941"/>
      <c r="DG1257" s="1937"/>
      <c r="DH1257" s="564"/>
      <c r="DI1257" s="564"/>
      <c r="DJ1257" s="564"/>
      <c r="DK1257" s="564"/>
      <c r="DL1257" s="564"/>
      <c r="DM1257" s="564"/>
      <c r="DN1257" s="222"/>
      <c r="DO1257" s="226"/>
      <c r="DY1257" s="943"/>
      <c r="DZ1257" s="943"/>
    </row>
    <row r="1258" spans="1:130" ht="12.75" customHeight="1">
      <c r="A1258" s="1585" t="s">
        <v>401</v>
      </c>
      <c r="B1258" s="530"/>
      <c r="C1258" s="530"/>
      <c r="D1258" s="446"/>
      <c r="E1258" s="447"/>
      <c r="F1258" s="447"/>
      <c r="G1258" s="447"/>
      <c r="H1258" s="563"/>
      <c r="I1258" s="447"/>
      <c r="J1258" s="447"/>
      <c r="K1258" s="447"/>
      <c r="L1258" s="447"/>
      <c r="M1258" s="563"/>
      <c r="N1258" s="447"/>
      <c r="O1258" s="447"/>
      <c r="P1258" s="447"/>
      <c r="Q1258" s="447"/>
      <c r="R1258" s="942"/>
      <c r="S1258" s="943"/>
      <c r="T1258" s="943"/>
      <c r="U1258" s="943"/>
      <c r="V1258" s="943"/>
      <c r="W1258" s="942"/>
      <c r="X1258" s="943"/>
      <c r="Y1258" s="943"/>
      <c r="Z1258" s="943"/>
      <c r="AA1258" s="943"/>
      <c r="AB1258" s="942"/>
      <c r="AC1258" s="943"/>
      <c r="AD1258" s="943"/>
      <c r="AE1258" s="943"/>
      <c r="AF1258" s="943"/>
      <c r="AG1258" s="942"/>
      <c r="AH1258" s="943"/>
      <c r="AI1258" s="943"/>
      <c r="AJ1258" s="943"/>
      <c r="AK1258" s="943"/>
      <c r="AL1258" s="942"/>
      <c r="AM1258" s="943"/>
      <c r="AN1258" s="943"/>
      <c r="AO1258" s="943"/>
      <c r="AP1258" s="943"/>
      <c r="AQ1258" s="942"/>
      <c r="AR1258" s="943"/>
      <c r="AS1258" s="943"/>
      <c r="AT1258" s="943"/>
      <c r="AU1258" s="943"/>
      <c r="AV1258" s="942"/>
      <c r="AW1258" s="943"/>
      <c r="AX1258" s="943"/>
      <c r="AY1258" s="943"/>
      <c r="AZ1258" s="943"/>
      <c r="BA1258" s="942"/>
      <c r="BB1258" s="943"/>
      <c r="BC1258" s="943"/>
      <c r="BD1258" s="943"/>
      <c r="BE1258" s="943"/>
      <c r="BF1258" s="942"/>
      <c r="BG1258" s="2984"/>
      <c r="BH1258" s="943"/>
      <c r="BI1258" s="943"/>
      <c r="BJ1258" s="2985"/>
      <c r="BK1258" s="942"/>
      <c r="BL1258" s="943"/>
      <c r="BM1258" s="943"/>
      <c r="BN1258" s="943"/>
      <c r="BO1258" s="2985"/>
      <c r="BP1258" s="942"/>
      <c r="BQ1258" s="943"/>
      <c r="BR1258" s="943"/>
      <c r="BS1258" s="943"/>
      <c r="BT1258" s="2985"/>
      <c r="BU1258" s="3457"/>
      <c r="BV1258" s="943"/>
      <c r="BW1258" s="943"/>
      <c r="BX1258" s="943"/>
      <c r="BY1258" s="2985"/>
      <c r="BZ1258" s="4035"/>
      <c r="CA1258" s="942"/>
      <c r="CB1258" s="942"/>
      <c r="CC1258" s="942"/>
      <c r="CD1258" s="942"/>
      <c r="CE1258" s="942"/>
      <c r="CF1258" s="942"/>
      <c r="CG1258" s="942"/>
      <c r="CH1258" s="943"/>
      <c r="CI1258" s="943"/>
      <c r="CJ1258" s="943"/>
      <c r="CK1258" s="943"/>
      <c r="CL1258" s="943"/>
      <c r="CM1258" s="943"/>
      <c r="CN1258" s="943"/>
      <c r="CO1258" s="943"/>
      <c r="CP1258" s="1585" t="str">
        <f t="shared" si="2354"/>
        <v>EBITDA</v>
      </c>
      <c r="CQ1258" s="941"/>
      <c r="CR1258" s="941"/>
      <c r="CS1258" s="941"/>
      <c r="CT1258" s="941"/>
      <c r="CU1258" s="941"/>
      <c r="CV1258" s="941"/>
      <c r="CW1258" s="941"/>
      <c r="CX1258" s="941"/>
      <c r="CY1258" s="941"/>
      <c r="CZ1258" s="941"/>
      <c r="DA1258" s="941"/>
      <c r="DB1258" s="941"/>
      <c r="DC1258" s="941"/>
      <c r="DD1258" s="941"/>
      <c r="DE1258" s="941"/>
      <c r="DF1258" s="941"/>
      <c r="DG1258" s="1937"/>
      <c r="DH1258" s="564"/>
      <c r="DI1258" s="564"/>
      <c r="DJ1258" s="564"/>
      <c r="DK1258" s="564"/>
      <c r="DL1258" s="564"/>
      <c r="DM1258" s="564"/>
      <c r="DN1258" s="222"/>
      <c r="DO1258" s="226"/>
      <c r="DY1258" s="943"/>
      <c r="DZ1258" s="943"/>
    </row>
    <row r="1259" spans="1:130" ht="12.6" customHeight="1">
      <c r="A1259" s="995" t="s">
        <v>1132</v>
      </c>
      <c r="B1259" s="530"/>
      <c r="C1259" s="530"/>
      <c r="D1259" s="446"/>
      <c r="E1259" s="447"/>
      <c r="F1259" s="447"/>
      <c r="G1259" s="447"/>
      <c r="H1259" s="563"/>
      <c r="I1259" s="447"/>
      <c r="J1259" s="447"/>
      <c r="K1259" s="447"/>
      <c r="L1259" s="447"/>
      <c r="M1259" s="563"/>
      <c r="N1259" s="447"/>
      <c r="O1259" s="447"/>
      <c r="P1259" s="447"/>
      <c r="Q1259" s="447"/>
      <c r="R1259" s="942"/>
      <c r="S1259" s="943"/>
      <c r="T1259" s="943"/>
      <c r="U1259" s="943"/>
      <c r="V1259" s="943"/>
      <c r="W1259" s="942"/>
      <c r="X1259" s="943"/>
      <c r="Y1259" s="943"/>
      <c r="Z1259" s="943"/>
      <c r="AA1259" s="943"/>
      <c r="AB1259" s="942"/>
      <c r="AC1259" s="943"/>
      <c r="AD1259" s="943"/>
      <c r="AE1259" s="943"/>
      <c r="AF1259" s="943"/>
      <c r="AG1259" s="942"/>
      <c r="AH1259" s="564">
        <f>AH55+AH75-(0.5*AH45)</f>
        <v>88.210999999999999</v>
      </c>
      <c r="AI1259" s="564">
        <f>AI55+AI75-AI45+0.5*(AI937)</f>
        <v>82.901000000000025</v>
      </c>
      <c r="AJ1259" s="564">
        <f>AJ55+AJ75-AJ45+0.5*(AJ937)</f>
        <v>79.991500000000002</v>
      </c>
      <c r="AK1259" s="564">
        <f>AK55+AK75-AK45+0.5*(AK937)</f>
        <v>74.691999999999993</v>
      </c>
      <c r="AL1259" s="736"/>
      <c r="AM1259" s="564">
        <f>AM55+AM75-AM45+0.5*(AM937)</f>
        <v>86.466999999999985</v>
      </c>
      <c r="AN1259" s="564">
        <f>AN55+AN75-AN45+0.5*(AN937)</f>
        <v>90.809500000000028</v>
      </c>
      <c r="AO1259" s="564">
        <f>AO55+AO75-AO45+0.5*(AO937)</f>
        <v>89.140500000000003</v>
      </c>
      <c r="AP1259" s="564">
        <f>AP55+AP75-AP45+0.5*(AP937)</f>
        <v>87.907999999999987</v>
      </c>
      <c r="AQ1259" s="736"/>
      <c r="AR1259" s="564">
        <f>AR55+AR75-AR45+0.5*(AR937)</f>
        <v>106.79649999999999</v>
      </c>
      <c r="AS1259" s="564">
        <f>AS55+AS75-AS45+0.5*(AS937)</f>
        <v>90.460499999999996</v>
      </c>
      <c r="AT1259" s="564">
        <f>AT55+AT75-AT45+0.5*(AT937)</f>
        <v>78.774000000000015</v>
      </c>
      <c r="AU1259" s="564">
        <f>AU55+AU75-AU45+0.5*(AU937)</f>
        <v>85.4465</v>
      </c>
      <c r="AV1259" s="736"/>
      <c r="AW1259" s="564">
        <f>AW55+AW75-AW45+0.5*(AW937)</f>
        <v>127.26800000000001</v>
      </c>
      <c r="AX1259" s="564">
        <f>AX55+AX75-AX45+0.5*(AX937)</f>
        <v>124.58850000000001</v>
      </c>
      <c r="AY1259" s="564">
        <f>AY55+AY75-AY45+0.5*(AY937)</f>
        <v>101.51650000000002</v>
      </c>
      <c r="AZ1259" s="564">
        <f>AZ55+AZ75-AZ45+0.5*(AZ937)</f>
        <v>107.94200000000001</v>
      </c>
      <c r="BA1259" s="736"/>
      <c r="BB1259" s="564">
        <f>BB55+BB75-BB45+0.5*(BB937)</f>
        <v>113.89150000000004</v>
      </c>
      <c r="BC1259" s="564">
        <f>BC55+BC75-BC45+0.5*(BC937)</f>
        <v>109.123</v>
      </c>
      <c r="BD1259" s="564">
        <f>BD55+BD75-BD45+0.5*(BD937)</f>
        <v>100.11799999999999</v>
      </c>
      <c r="BE1259" s="564">
        <f>BE55+BE75-BE45+0.5*(BE937)</f>
        <v>112.75250000000001</v>
      </c>
      <c r="BF1259" s="736"/>
      <c r="BG1259" s="734">
        <f>BG55+BG75-BG45+0.5*(BG937)</f>
        <v>160.68450000000004</v>
      </c>
      <c r="BH1259" s="564">
        <f>BH55+BH75-BH45+0.5*(BH937)</f>
        <v>177.77750000000003</v>
      </c>
      <c r="BI1259" s="564">
        <f>BI55+BI75-BI45+0.5*(BI937)</f>
        <v>194.03900000000002</v>
      </c>
      <c r="BJ1259" s="1789">
        <f>BJ55+BJ75-BJ45+0.5*(BJ937)</f>
        <v>170.05650000000003</v>
      </c>
      <c r="BK1259" s="736"/>
      <c r="BL1259" s="564">
        <f>BL55+BL75-BL45+0.5*(BL937)</f>
        <v>175.85249999999999</v>
      </c>
      <c r="BM1259" s="564">
        <f>BM55+BM75-BM45+0.5*(BM937)</f>
        <v>160.95949999999999</v>
      </c>
      <c r="BN1259" s="564">
        <f>BN55+BN75-BN45+0.5*(BN937)</f>
        <v>191.29941148133935</v>
      </c>
      <c r="BO1259" s="1789">
        <f>BO55+BO75-BO45+0.5*(BO937)</f>
        <v>138.80099999999999</v>
      </c>
      <c r="BP1259" s="736">
        <f>SUM(BL1259:BO1259)</f>
        <v>666.9124114813394</v>
      </c>
      <c r="BQ1259" s="564">
        <f>BQ55+BQ75-BQ45+0.5*(BQ937)</f>
        <v>155.803</v>
      </c>
      <c r="BR1259" s="564">
        <f>BR55+BR75-BR45+0.5*(BR937)</f>
        <v>151.17500000000001</v>
      </c>
      <c r="BS1259" s="564">
        <f>BS55+BS75-BS45+0.5*(BS937)</f>
        <v>140.27099999999999</v>
      </c>
      <c r="BT1259" s="1789">
        <f>BT55+BT75-BT45+0.5*(BT937)</f>
        <v>148.376</v>
      </c>
      <c r="BU1259" s="3320">
        <f>SUM(BQ1259:BT1259)</f>
        <v>595.625</v>
      </c>
      <c r="BV1259" s="564">
        <f>BV55+BV75-BV45+0.5*(BV937)</f>
        <v>157.43480741757983</v>
      </c>
      <c r="BW1259" s="564">
        <f>BW55+BW75-BW45+0.5*(BW937)</f>
        <v>156.08302139382249</v>
      </c>
      <c r="BX1259" s="564">
        <f>BX55+BX75-BX45+0.5*(BX937)</f>
        <v>202.94900484526767</v>
      </c>
      <c r="BY1259" s="1789">
        <f>BY55+BY75-BY45+0.5*(BY937)</f>
        <v>216.52749180563794</v>
      </c>
      <c r="BZ1259" s="4036">
        <f>SUM(BV1259:BY1259)</f>
        <v>732.99432546230787</v>
      </c>
      <c r="CA1259" s="736">
        <f t="shared" ref="CA1259:CG1259" si="2383">CA55+CA75-CA45+0.5*(CA937)</f>
        <v>873.95789252238421</v>
      </c>
      <c r="CB1259" s="736">
        <f t="shared" si="2383"/>
        <v>885.4839440604203</v>
      </c>
      <c r="CC1259" s="736">
        <f t="shared" si="2383"/>
        <v>31.706780693338825</v>
      </c>
      <c r="CD1259" s="736">
        <f t="shared" si="2383"/>
        <v>-20.171561011542035</v>
      </c>
      <c r="CE1259" s="736">
        <f t="shared" si="2383"/>
        <v>1.2855280758655319</v>
      </c>
      <c r="CF1259" s="736">
        <f t="shared" si="2383"/>
        <v>23.387584129866596</v>
      </c>
      <c r="CG1259" s="736">
        <f t="shared" si="2383"/>
        <v>46.149664741640663</v>
      </c>
      <c r="CH1259" s="943"/>
      <c r="CI1259" s="943"/>
      <c r="CJ1259" s="943"/>
      <c r="CK1259" s="943"/>
      <c r="CL1259" s="943"/>
      <c r="CM1259" s="943"/>
      <c r="CN1259" s="943"/>
      <c r="CO1259" s="943"/>
      <c r="CP1259" s="995" t="str">
        <f t="shared" si="2354"/>
        <v>Est. Covenant EBITDA (IP Included as Reported)</v>
      </c>
      <c r="CQ1259" s="564"/>
      <c r="CR1259" s="564"/>
      <c r="CS1259" s="564"/>
      <c r="CT1259" s="564"/>
      <c r="CU1259" s="564"/>
      <c r="CV1259" s="564"/>
      <c r="CW1259" s="564"/>
      <c r="CX1259" s="564"/>
      <c r="CY1259" s="564"/>
      <c r="CZ1259" s="564"/>
      <c r="DA1259" s="564"/>
      <c r="DB1259" s="564"/>
      <c r="DC1259" s="564">
        <f>BP1259</f>
        <v>666.9124114813394</v>
      </c>
      <c r="DD1259" s="564">
        <f>BU1259</f>
        <v>595.625</v>
      </c>
      <c r="DE1259" s="564">
        <f>BZ1259</f>
        <v>732.99432546230787</v>
      </c>
      <c r="DF1259" s="564">
        <f>CA1259</f>
        <v>873.95789252238421</v>
      </c>
      <c r="DG1259" s="1789">
        <f>CB1259</f>
        <v>885.4839440604203</v>
      </c>
      <c r="DH1259" s="564"/>
      <c r="DI1259" s="564"/>
      <c r="DJ1259" s="564"/>
      <c r="DK1259" s="564"/>
      <c r="DL1259" s="564"/>
      <c r="DM1259" s="564"/>
      <c r="DN1259" s="222"/>
      <c r="DO1259" s="226"/>
      <c r="DY1259" s="564"/>
      <c r="DZ1259" s="564"/>
    </row>
    <row r="1260" spans="1:130" ht="12.6" customHeight="1">
      <c r="A1260" s="995" t="s">
        <v>1130</v>
      </c>
      <c r="B1260" s="530"/>
      <c r="C1260" s="530"/>
      <c r="D1260" s="446"/>
      <c r="E1260" s="447"/>
      <c r="F1260" s="447"/>
      <c r="G1260" s="447"/>
      <c r="H1260" s="563"/>
      <c r="I1260" s="447"/>
      <c r="J1260" s="447"/>
      <c r="K1260" s="447"/>
      <c r="L1260" s="447"/>
      <c r="M1260" s="563"/>
      <c r="N1260" s="447"/>
      <c r="O1260" s="447"/>
      <c r="P1260" s="447"/>
      <c r="Q1260" s="447"/>
      <c r="R1260" s="942"/>
      <c r="S1260" s="943"/>
      <c r="T1260" s="943"/>
      <c r="U1260" s="943"/>
      <c r="V1260" s="943"/>
      <c r="W1260" s="942"/>
      <c r="X1260" s="943"/>
      <c r="Y1260" s="943"/>
      <c r="Z1260" s="943"/>
      <c r="AA1260" s="943"/>
      <c r="AB1260" s="942"/>
      <c r="AC1260" s="943"/>
      <c r="AD1260" s="943"/>
      <c r="AE1260" s="943"/>
      <c r="AF1260" s="943"/>
      <c r="AG1260" s="942"/>
      <c r="AH1260" s="564"/>
      <c r="AI1260" s="564"/>
      <c r="AJ1260" s="564"/>
      <c r="AK1260" s="564"/>
      <c r="AL1260" s="736"/>
      <c r="AM1260" s="447">
        <v>9</v>
      </c>
      <c r="AN1260" s="447">
        <v>9</v>
      </c>
      <c r="AO1260" s="447">
        <v>9</v>
      </c>
      <c r="AP1260" s="564"/>
      <c r="AQ1260" s="736"/>
      <c r="AR1260" s="564"/>
      <c r="AS1260" s="564"/>
      <c r="AT1260" s="564"/>
      <c r="AU1260" s="564"/>
      <c r="AV1260" s="736"/>
      <c r="AW1260" s="564"/>
      <c r="AX1260" s="564"/>
      <c r="AY1260" s="564"/>
      <c r="AZ1260" s="564"/>
      <c r="BA1260" s="736"/>
      <c r="BB1260" s="564"/>
      <c r="BC1260" s="564"/>
      <c r="BD1260" s="564"/>
      <c r="BE1260" s="564"/>
      <c r="BF1260" s="736"/>
      <c r="BG1260" s="734"/>
      <c r="BH1260" s="564"/>
      <c r="BI1260" s="564"/>
      <c r="BJ1260" s="1789"/>
      <c r="BK1260" s="736"/>
      <c r="BL1260" s="564"/>
      <c r="BM1260" s="564"/>
      <c r="BN1260" s="564"/>
      <c r="BO1260" s="1789"/>
      <c r="BP1260" s="736"/>
      <c r="BQ1260" s="564"/>
      <c r="BR1260" s="564"/>
      <c r="BS1260" s="564"/>
      <c r="BT1260" s="1789"/>
      <c r="BU1260" s="3320"/>
      <c r="BV1260" s="564"/>
      <c r="BW1260" s="564"/>
      <c r="BX1260" s="564"/>
      <c r="BY1260" s="1789"/>
      <c r="BZ1260" s="4036"/>
      <c r="CA1260" s="736"/>
      <c r="CB1260" s="736"/>
      <c r="CC1260" s="736"/>
      <c r="CD1260" s="736"/>
      <c r="CE1260" s="736"/>
      <c r="CF1260" s="736"/>
      <c r="CG1260" s="736"/>
      <c r="CH1260" s="943"/>
      <c r="CI1260" s="943"/>
      <c r="CJ1260" s="943"/>
      <c r="CK1260" s="943"/>
      <c r="CL1260" s="943"/>
      <c r="CM1260" s="943"/>
      <c r="CN1260" s="943"/>
      <c r="CO1260" s="943"/>
      <c r="CP1260" s="995" t="str">
        <f t="shared" si="2354"/>
        <v>Estimated IP EBITDA</v>
      </c>
      <c r="CQ1260" s="564"/>
      <c r="CR1260" s="564"/>
      <c r="CS1260" s="564"/>
      <c r="CT1260" s="564"/>
      <c r="CU1260" s="564"/>
      <c r="CV1260" s="564"/>
      <c r="CW1260" s="564"/>
      <c r="CX1260" s="564"/>
      <c r="CY1260" s="564"/>
      <c r="CZ1260" s="564"/>
      <c r="DA1260" s="564"/>
      <c r="DB1260" s="564"/>
      <c r="DC1260" s="564"/>
      <c r="DD1260" s="564"/>
      <c r="DE1260" s="564"/>
      <c r="DF1260" s="564"/>
      <c r="DG1260" s="1789"/>
      <c r="DH1260" s="564"/>
      <c r="DI1260" s="564"/>
      <c r="DJ1260" s="564"/>
      <c r="DK1260" s="564"/>
      <c r="DL1260" s="564"/>
      <c r="DM1260" s="564"/>
      <c r="DN1260" s="222"/>
      <c r="DO1260" s="226"/>
      <c r="DY1260" s="564"/>
      <c r="DZ1260" s="564"/>
    </row>
    <row r="1261" spans="1:130" ht="12.6" customHeight="1">
      <c r="A1261" s="993" t="s">
        <v>754</v>
      </c>
      <c r="B1261" s="530"/>
      <c r="C1261" s="530"/>
      <c r="D1261" s="446"/>
      <c r="E1261" s="447"/>
      <c r="F1261" s="447"/>
      <c r="G1261" s="447"/>
      <c r="H1261" s="563"/>
      <c r="I1261" s="447"/>
      <c r="J1261" s="447"/>
      <c r="K1261" s="447"/>
      <c r="L1261" s="447"/>
      <c r="M1261" s="563"/>
      <c r="N1261" s="447"/>
      <c r="O1261" s="447"/>
      <c r="P1261" s="447"/>
      <c r="Q1261" s="447"/>
      <c r="R1261" s="942"/>
      <c r="S1261" s="943"/>
      <c r="T1261" s="943"/>
      <c r="U1261" s="943"/>
      <c r="V1261" s="943"/>
      <c r="W1261" s="942"/>
      <c r="X1261" s="943"/>
      <c r="Y1261" s="943"/>
      <c r="Z1261" s="943"/>
      <c r="AA1261" s="943"/>
      <c r="AB1261" s="942"/>
      <c r="AC1261" s="943"/>
      <c r="AD1261" s="943"/>
      <c r="AE1261" s="943"/>
      <c r="AF1261" s="943"/>
      <c r="AG1261" s="942"/>
      <c r="AH1261" s="564"/>
      <c r="AI1261" s="564"/>
      <c r="AJ1261" s="564"/>
      <c r="AK1261" s="564"/>
      <c r="AL1261" s="736"/>
      <c r="AM1261" s="564">
        <f>SUM(AM1259:AM1260)</f>
        <v>95.466999999999985</v>
      </c>
      <c r="AN1261" s="564">
        <f>SUM(AN1259:AN1260)</f>
        <v>99.809500000000028</v>
      </c>
      <c r="AO1261" s="564">
        <f>SUM(AO1259:AO1260)</f>
        <v>98.140500000000003</v>
      </c>
      <c r="AP1261" s="564">
        <f>SUM(AP1259:AP1260)</f>
        <v>87.907999999999987</v>
      </c>
      <c r="AQ1261" s="736"/>
      <c r="AR1261" s="564">
        <f>SUM(AR1259:AR1260)</f>
        <v>106.79649999999999</v>
      </c>
      <c r="AS1261" s="564">
        <f>SUM(AS1259:AS1260)</f>
        <v>90.460499999999996</v>
      </c>
      <c r="AT1261" s="564">
        <f>SUM(AT1259:AT1260)</f>
        <v>78.774000000000015</v>
      </c>
      <c r="AU1261" s="564">
        <f>SUM(AU1259:AU1260)</f>
        <v>85.4465</v>
      </c>
      <c r="AV1261" s="736"/>
      <c r="AW1261" s="564">
        <f>SUM(AW1259:AW1260)</f>
        <v>127.26800000000001</v>
      </c>
      <c r="AX1261" s="564">
        <f>SUM(AX1259:AX1260)</f>
        <v>124.58850000000001</v>
      </c>
      <c r="AY1261" s="564">
        <f>SUM(AY1259:AY1260)</f>
        <v>101.51650000000002</v>
      </c>
      <c r="AZ1261" s="564">
        <f>SUM(AZ1259:AZ1260)</f>
        <v>107.94200000000001</v>
      </c>
      <c r="BA1261" s="736"/>
      <c r="BB1261" s="564">
        <f>SUM(BB1259:BB1260)</f>
        <v>113.89150000000004</v>
      </c>
      <c r="BC1261" s="564">
        <f>SUM(BC1259:BC1260)</f>
        <v>109.123</v>
      </c>
      <c r="BD1261" s="564">
        <f>SUM(BD1259:BD1260)</f>
        <v>100.11799999999999</v>
      </c>
      <c r="BE1261" s="564">
        <f>SUM(BE1259:BE1260)</f>
        <v>112.75250000000001</v>
      </c>
      <c r="BF1261" s="736"/>
      <c r="BG1261" s="734">
        <f>SUM(BG1259:BG1260)</f>
        <v>160.68450000000004</v>
      </c>
      <c r="BH1261" s="564">
        <f>SUM(BH1259:BH1260)</f>
        <v>177.77750000000003</v>
      </c>
      <c r="BI1261" s="564">
        <f>SUM(BI1259:BI1260)</f>
        <v>194.03900000000002</v>
      </c>
      <c r="BJ1261" s="1789">
        <f>SUM(BJ1259:BJ1260)</f>
        <v>170.05650000000003</v>
      </c>
      <c r="BK1261" s="736"/>
      <c r="BL1261" s="564">
        <f>SUM(BL1259:BL1260)</f>
        <v>175.85249999999999</v>
      </c>
      <c r="BM1261" s="564">
        <f>SUM(BM1259:BM1260)</f>
        <v>160.95949999999999</v>
      </c>
      <c r="BN1261" s="564">
        <f>SUM(BN1259:BN1260)</f>
        <v>191.29941148133935</v>
      </c>
      <c r="BO1261" s="1789">
        <f>SUM(BO1259:BO1260)</f>
        <v>138.80099999999999</v>
      </c>
      <c r="BP1261" s="736">
        <f>SUM(BL1261:BO1261)</f>
        <v>666.9124114813394</v>
      </c>
      <c r="BQ1261" s="564">
        <f>SUM(BQ1259:BQ1260)</f>
        <v>155.803</v>
      </c>
      <c r="BR1261" s="564">
        <f>SUM(BR1259:BR1260)</f>
        <v>151.17500000000001</v>
      </c>
      <c r="BS1261" s="564">
        <f>SUM(BS1259:BS1260)</f>
        <v>140.27099999999999</v>
      </c>
      <c r="BT1261" s="1789">
        <f>SUM(BT1259:BT1260)</f>
        <v>148.376</v>
      </c>
      <c r="BU1261" s="3320">
        <f>SUM(BQ1261:BT1261)</f>
        <v>595.625</v>
      </c>
      <c r="BV1261" s="564">
        <f>SUM(BV1259:BV1260)</f>
        <v>157.43480741757983</v>
      </c>
      <c r="BW1261" s="564">
        <f>SUM(BW1259:BW1260)</f>
        <v>156.08302139382249</v>
      </c>
      <c r="BX1261" s="564">
        <f>SUM(BX1259:BX1260)</f>
        <v>202.94900484526767</v>
      </c>
      <c r="BY1261" s="1789">
        <f>SUM(BY1259:BY1260)</f>
        <v>216.52749180563794</v>
      </c>
      <c r="BZ1261" s="4036">
        <f>SUM(BV1261:BY1261)</f>
        <v>732.99432546230787</v>
      </c>
      <c r="CA1261" s="736">
        <f t="shared" ref="CA1261:CG1261" si="2384">SUM(CA1259:CA1260)</f>
        <v>873.95789252238421</v>
      </c>
      <c r="CB1261" s="736">
        <f t="shared" si="2384"/>
        <v>885.4839440604203</v>
      </c>
      <c r="CC1261" s="736">
        <f t="shared" si="2384"/>
        <v>31.706780693338825</v>
      </c>
      <c r="CD1261" s="736">
        <f t="shared" si="2384"/>
        <v>-20.171561011542035</v>
      </c>
      <c r="CE1261" s="736">
        <f t="shared" si="2384"/>
        <v>1.2855280758655319</v>
      </c>
      <c r="CF1261" s="736">
        <f t="shared" si="2384"/>
        <v>23.387584129866596</v>
      </c>
      <c r="CG1261" s="736">
        <f t="shared" si="2384"/>
        <v>46.149664741640663</v>
      </c>
      <c r="CH1261" s="943"/>
      <c r="CI1261" s="943"/>
      <c r="CJ1261" s="943"/>
      <c r="CK1261" s="943"/>
      <c r="CL1261" s="943"/>
      <c r="CM1261" s="943"/>
      <c r="CN1261" s="943"/>
      <c r="CO1261" s="943"/>
      <c r="CP1261" s="993" t="str">
        <f t="shared" si="2354"/>
        <v>Pro Forma Est. Quarterly Covenant EBITDA</v>
      </c>
      <c r="CQ1261" s="564"/>
      <c r="CR1261" s="564"/>
      <c r="CS1261" s="564"/>
      <c r="CT1261" s="564"/>
      <c r="CU1261" s="564"/>
      <c r="CV1261" s="564"/>
      <c r="CW1261" s="564"/>
      <c r="CX1261" s="564"/>
      <c r="CY1261" s="564"/>
      <c r="CZ1261" s="564"/>
      <c r="DA1261" s="564"/>
      <c r="DB1261" s="564"/>
      <c r="DC1261" s="564">
        <f>BP1261</f>
        <v>666.9124114813394</v>
      </c>
      <c r="DD1261" s="564">
        <f>BU1261</f>
        <v>595.625</v>
      </c>
      <c r="DE1261" s="564">
        <f t="shared" ref="DE1261:DG1263" si="2385">BZ1261</f>
        <v>732.99432546230787</v>
      </c>
      <c r="DF1261" s="564">
        <f t="shared" si="2385"/>
        <v>873.95789252238421</v>
      </c>
      <c r="DG1261" s="1789">
        <f t="shared" si="2385"/>
        <v>885.4839440604203</v>
      </c>
      <c r="DH1261" s="564"/>
      <c r="DI1261" s="564"/>
      <c r="DJ1261" s="564"/>
      <c r="DK1261" s="564"/>
      <c r="DL1261" s="564"/>
      <c r="DM1261" s="564"/>
      <c r="DN1261" s="222"/>
      <c r="DO1261" s="226"/>
      <c r="DY1261" s="564"/>
      <c r="DZ1261" s="564"/>
    </row>
    <row r="1262" spans="1:130" ht="12.6" customHeight="1">
      <c r="A1262" s="1021" t="s">
        <v>257</v>
      </c>
      <c r="B1262" s="530"/>
      <c r="C1262" s="530"/>
      <c r="D1262" s="734"/>
      <c r="E1262" s="564"/>
      <c r="F1262" s="564"/>
      <c r="G1262" s="564"/>
      <c r="H1262" s="736">
        <f>H116</f>
        <v>448.15100000000001</v>
      </c>
      <c r="I1262" s="564">
        <f>I116+G116+F116+E116</f>
        <v>537.89599999999996</v>
      </c>
      <c r="J1262" s="564">
        <f>J116+I116+G116+F116</f>
        <v>611.798</v>
      </c>
      <c r="K1262" s="564">
        <f>K116+J116+I116+G116</f>
        <v>634.73800000000006</v>
      </c>
      <c r="L1262" s="564">
        <f>L116+K116+J116+I116</f>
        <v>668.05500000000006</v>
      </c>
      <c r="M1262" s="736">
        <f>M116</f>
        <v>668.05500000000006</v>
      </c>
      <c r="N1262" s="564">
        <f>N116+L116+K116+J116</f>
        <v>712.44100000000003</v>
      </c>
      <c r="O1262" s="564">
        <f>O116+N116+L116+K116</f>
        <v>727.2650000000001</v>
      </c>
      <c r="P1262" s="564">
        <f>P116+O116+N116+L116</f>
        <v>721.178</v>
      </c>
      <c r="Q1262" s="564">
        <f>Q116+P116+O116+N116</f>
        <v>685.02499999999998</v>
      </c>
      <c r="R1262" s="736">
        <f>R116</f>
        <v>685.02499999999986</v>
      </c>
      <c r="S1262" s="564">
        <f>S116+Q116+P116+O116</f>
        <v>625.62599999999998</v>
      </c>
      <c r="T1262" s="564">
        <f>T116+S116+Q116+P116</f>
        <v>598.48399999999992</v>
      </c>
      <c r="U1262" s="564">
        <f>U116+T116+S116+Q116</f>
        <v>592.61400000000003</v>
      </c>
      <c r="V1262" s="564">
        <f>V116+U116+T116+S116</f>
        <v>580.93000000000006</v>
      </c>
      <c r="W1262" s="736">
        <f>W116</f>
        <v>580.93000000000006</v>
      </c>
      <c r="X1262" s="564">
        <f>X116+V116+U116+T116</f>
        <v>553.19200000000001</v>
      </c>
      <c r="Y1262" s="564">
        <f>Y116+X116+V116+U116</f>
        <v>525.97600000000011</v>
      </c>
      <c r="Z1262" s="564">
        <f>Z116+Y116+X116+V116</f>
        <v>483.125</v>
      </c>
      <c r="AA1262" s="564">
        <f>AA116+Z116+Y116+X116</f>
        <v>442.64</v>
      </c>
      <c r="AB1262" s="736">
        <f>AB116</f>
        <v>442.64000000000004</v>
      </c>
      <c r="AC1262" s="564">
        <f>AC116+AA116+Z116+Y116</f>
        <v>424.59</v>
      </c>
      <c r="AD1262" s="564">
        <f>AD116+AC116+AA116+Z116</f>
        <v>410.54099999999994</v>
      </c>
      <c r="AE1262" s="564">
        <f>AE116+AD116+AC116+AA116</f>
        <v>405.98</v>
      </c>
      <c r="AF1262" s="564">
        <f>AF116+AE116+AD116+AC116</f>
        <v>385.86599999999999</v>
      </c>
      <c r="AG1262" s="736">
        <f>AG116</f>
        <v>385.86599999999993</v>
      </c>
      <c r="AH1262" s="564">
        <f>AH1259+AF116+AE116+AD116</f>
        <v>364.44499999999999</v>
      </c>
      <c r="AI1262" s="564">
        <f>AH1259+AI1259+AF116+AE116</f>
        <v>341.74799999999999</v>
      </c>
      <c r="AJ1262" s="564">
        <f>AJ1259+AI1259+AH1259+AF116</f>
        <v>325.12150000000003</v>
      </c>
      <c r="AK1262" s="564">
        <f>SUM(AH1259:AK1259)</f>
        <v>325.7955</v>
      </c>
      <c r="AL1262" s="736"/>
      <c r="AM1262" s="564">
        <f>AM1259+AK1259+AJ1259+AI1259</f>
        <v>324.05150000000003</v>
      </c>
      <c r="AN1262" s="564">
        <f>AM1259+AN1259+AK1259+AJ1259</f>
        <v>331.96000000000004</v>
      </c>
      <c r="AO1262" s="564">
        <f>AO1259+AN1259+AM1259+AK1259</f>
        <v>341.10900000000004</v>
      </c>
      <c r="AP1262" s="564">
        <f>SUM(AM1261:AP1261)</f>
        <v>381.32500000000005</v>
      </c>
      <c r="AQ1262" s="736"/>
      <c r="AR1262" s="564">
        <f>AR1261+AP1261+AO1261+AN1261</f>
        <v>392.65450000000004</v>
      </c>
      <c r="AS1262" s="564">
        <f>AR1261+AS1261+AP1261+AO1261</f>
        <v>383.30549999999994</v>
      </c>
      <c r="AT1262" s="564">
        <f>AT1261+AS1261+AR1261+AP1261</f>
        <v>363.93899999999996</v>
      </c>
      <c r="AU1262" s="564">
        <f>SUM(AR1261:AU1261)-0.5*(AU937)+AP937*0.5</f>
        <v>374.37800000000004</v>
      </c>
      <c r="AV1262" s="736"/>
      <c r="AW1262" s="564">
        <f>AW1261+AU1261+AT1261+AS1261-0.5*(AU937)+AP937*0.5</f>
        <v>394.84950000000009</v>
      </c>
      <c r="AX1262" s="944">
        <f>AW1261+AX1261+AU1261+AT1261-0.5*(AU937)+AS937*0.5</f>
        <v>424.83800000000008</v>
      </c>
      <c r="AY1262" s="944">
        <f>AY1261+AX1261+AW1261+AU1261-0.5*(AU937)+AT937*0.5</f>
        <v>448.7410000000001</v>
      </c>
      <c r="AZ1262" s="564">
        <f>SUM(AW1261:AZ1261)</f>
        <v>461.31500000000005</v>
      </c>
      <c r="BA1262" s="736"/>
      <c r="BB1262" s="564">
        <f>BB1261+AZ1261+AY1261+AX1261</f>
        <v>447.93850000000009</v>
      </c>
      <c r="BC1262" s="564">
        <f>BB1261+BC1261+AZ1261+AY1261</f>
        <v>432.47300000000007</v>
      </c>
      <c r="BD1262" s="564">
        <f>BD1261+BC1261+BB1261+AZ1261</f>
        <v>431.07450000000006</v>
      </c>
      <c r="BE1262" s="564">
        <f>SUM(BB1261:BE1261)</f>
        <v>435.88500000000005</v>
      </c>
      <c r="BF1262" s="736"/>
      <c r="BG1262" s="734">
        <f>BG1261+BE1261+BD1261+BC1261</f>
        <v>482.67800000000005</v>
      </c>
      <c r="BH1262" s="564">
        <f>BG1261+BH1261+BE1261+BD1261</f>
        <v>551.3325000000001</v>
      </c>
      <c r="BI1262" s="564">
        <f>BI1261+BH1261+BG1261+BE1261</f>
        <v>645.25350000000014</v>
      </c>
      <c r="BJ1262" s="1789">
        <f>SUM(BG1261:BJ1261)</f>
        <v>702.55750000000012</v>
      </c>
      <c r="BK1262" s="736"/>
      <c r="BL1262" s="564">
        <f>BJ1261+BL1261+BI1261+BH1261</f>
        <v>717.72550000000001</v>
      </c>
      <c r="BM1262" s="564">
        <f>BL1261+BM1261+BJ1261+BI1261</f>
        <v>700.90750000000003</v>
      </c>
      <c r="BN1262" s="564">
        <f>BN1261+BM1261+BL1261+BJ1261</f>
        <v>698.16791148133939</v>
      </c>
      <c r="BO1262" s="1789">
        <f>SUM(BL1261:BO1261)</f>
        <v>666.9124114813394</v>
      </c>
      <c r="BP1262" s="736">
        <f>BO1262</f>
        <v>666.9124114813394</v>
      </c>
      <c r="BQ1262" s="564">
        <f>BQ1261+BN1261+BO1261+BM1261</f>
        <v>646.86291148133932</v>
      </c>
      <c r="BR1262" s="564">
        <f>BR1261+BQ1261+BO1261+BN1261</f>
        <v>637.07841148133934</v>
      </c>
      <c r="BS1262" s="564">
        <f>BS1261+BR1261+BQ1261+BO1261</f>
        <v>586.04999999999995</v>
      </c>
      <c r="BT1262" s="1789">
        <f>BT1261+BS1261+BR1261+BQ1261</f>
        <v>595.625</v>
      </c>
      <c r="BU1262" s="3320">
        <f>BT1262</f>
        <v>595.625</v>
      </c>
      <c r="BV1262" s="564">
        <f>BV1261+BS1261+BT1261+BR1261</f>
        <v>597.25680741757992</v>
      </c>
      <c r="BW1262" s="564">
        <f>BW1261+BV1261+BT1261+BS1261</f>
        <v>602.16482881140223</v>
      </c>
      <c r="BX1262" s="564">
        <f>BX1261+BW1261+BV1261+BT1261</f>
        <v>664.84283365667</v>
      </c>
      <c r="BY1262" s="1789">
        <f>BY1261+BX1261+BW1261+BV1261</f>
        <v>732.99432546230787</v>
      </c>
      <c r="BZ1262" s="4036">
        <f>BY1262</f>
        <v>732.99432546230787</v>
      </c>
      <c r="CA1262" s="736">
        <f t="shared" ref="CA1262:CG1262" si="2386">CA1261</f>
        <v>873.95789252238421</v>
      </c>
      <c r="CB1262" s="736">
        <f t="shared" si="2386"/>
        <v>885.4839440604203</v>
      </c>
      <c r="CC1262" s="736">
        <f t="shared" si="2386"/>
        <v>31.706780693338825</v>
      </c>
      <c r="CD1262" s="736">
        <f t="shared" si="2386"/>
        <v>-20.171561011542035</v>
      </c>
      <c r="CE1262" s="736">
        <f t="shared" si="2386"/>
        <v>1.2855280758655319</v>
      </c>
      <c r="CF1262" s="736">
        <f t="shared" si="2386"/>
        <v>23.387584129866596</v>
      </c>
      <c r="CG1262" s="736">
        <f t="shared" si="2386"/>
        <v>46.149664741640663</v>
      </c>
      <c r="CH1262" s="3998"/>
      <c r="CI1262" s="3998"/>
      <c r="CJ1262" s="3998"/>
      <c r="CK1262" s="3998"/>
      <c r="CL1262" s="941"/>
      <c r="CM1262" s="941"/>
      <c r="CN1262" s="941"/>
      <c r="CO1262" s="941"/>
      <c r="CP1262" s="1021" t="str">
        <f t="shared" si="2354"/>
        <v>LTM Covenant EBITDA</v>
      </c>
      <c r="CQ1262" s="564">
        <f>H1262</f>
        <v>448.15100000000001</v>
      </c>
      <c r="CR1262" s="564">
        <f>M1262</f>
        <v>668.05500000000006</v>
      </c>
      <c r="CS1262" s="564">
        <f>R1262</f>
        <v>685.02499999999986</v>
      </c>
      <c r="CT1262" s="564">
        <f>W1262</f>
        <v>580.93000000000006</v>
      </c>
      <c r="CU1262" s="564">
        <f>AB1262</f>
        <v>442.64000000000004</v>
      </c>
      <c r="CV1262" s="564">
        <f>AG1262</f>
        <v>385.86599999999993</v>
      </c>
      <c r="CW1262" s="564"/>
      <c r="CX1262" s="564"/>
      <c r="CY1262" s="564"/>
      <c r="CZ1262" s="564"/>
      <c r="DA1262" s="564"/>
      <c r="DB1262" s="564"/>
      <c r="DC1262" s="564">
        <f>BP1262</f>
        <v>666.9124114813394</v>
      </c>
      <c r="DD1262" s="564">
        <f>BU1262</f>
        <v>595.625</v>
      </c>
      <c r="DE1262" s="564">
        <f t="shared" si="2385"/>
        <v>732.99432546230787</v>
      </c>
      <c r="DF1262" s="564">
        <f t="shared" si="2385"/>
        <v>873.95789252238421</v>
      </c>
      <c r="DG1262" s="1789">
        <f t="shared" si="2385"/>
        <v>885.4839440604203</v>
      </c>
      <c r="DH1262" s="564"/>
      <c r="DI1262" s="564"/>
      <c r="DJ1262" s="564"/>
      <c r="DK1262" s="564"/>
      <c r="DL1262" s="564"/>
      <c r="DM1262" s="564"/>
      <c r="DN1262" s="222"/>
      <c r="DO1262" s="226"/>
      <c r="DY1262" s="564"/>
      <c r="DZ1262" s="564"/>
    </row>
    <row r="1263" spans="1:130" ht="12.6" customHeight="1">
      <c r="A1263" s="1021" t="s">
        <v>481</v>
      </c>
      <c r="B1263" s="530"/>
      <c r="C1263" s="530"/>
      <c r="D1263" s="734"/>
      <c r="E1263" s="564"/>
      <c r="F1263" s="564"/>
      <c r="G1263" s="564"/>
      <c r="H1263" s="736"/>
      <c r="I1263" s="564"/>
      <c r="J1263" s="564"/>
      <c r="K1263" s="564"/>
      <c r="L1263" s="564"/>
      <c r="M1263" s="736">
        <f>M123</f>
        <v>696.61</v>
      </c>
      <c r="N1263" s="564">
        <f>N123+L123+K123+J123</f>
        <v>741.70349999999996</v>
      </c>
      <c r="O1263" s="564">
        <f>O123+N123+L123+K123</f>
        <v>757.06299999999999</v>
      </c>
      <c r="P1263" s="564">
        <f>P123+O123+N123+L123</f>
        <v>752.50699999999995</v>
      </c>
      <c r="Q1263" s="564">
        <f>Q123+P123+O123+N123</f>
        <v>716.75649999999996</v>
      </c>
      <c r="R1263" s="736">
        <f>R123</f>
        <v>716.75649999999996</v>
      </c>
      <c r="S1263" s="564">
        <f>S123+Q123+P123+O123</f>
        <v>658.37549999999999</v>
      </c>
      <c r="T1263" s="564">
        <f>T123+S123+Q123+P123</f>
        <v>632.2589999999999</v>
      </c>
      <c r="U1263" s="564">
        <f>U123+T123+S123+Q123</f>
        <v>626.60199999999986</v>
      </c>
      <c r="V1263" s="564">
        <f>V123+U123+T123+S123</f>
        <v>615.31799999999998</v>
      </c>
      <c r="W1263" s="736">
        <f>W123</f>
        <v>615.31799999999998</v>
      </c>
      <c r="X1263" s="564">
        <f>X123+V123+U123+T123</f>
        <v>587.89549999999997</v>
      </c>
      <c r="Y1263" s="564">
        <f>Y123+X123+V123+U123</f>
        <v>561.56700000000001</v>
      </c>
      <c r="Z1263" s="564">
        <f>Z123+Y123+X123+V123</f>
        <v>519.76599999999996</v>
      </c>
      <c r="AA1263" s="564">
        <f>AA123+Z123+Y123+X123</f>
        <v>480.68799999999999</v>
      </c>
      <c r="AB1263" s="736">
        <f>AB123</f>
        <v>480.6880000000001</v>
      </c>
      <c r="AC1263" s="564">
        <f>AC123+AA123+Z123+Y123</f>
        <v>463.95599999999996</v>
      </c>
      <c r="AD1263" s="564">
        <f>AD123+AC123+AA123+Z123</f>
        <v>450.58500000000004</v>
      </c>
      <c r="AE1263" s="564">
        <f>AE123+AD123+AC123+AA123</f>
        <v>445.90549999999996</v>
      </c>
      <c r="AF1263" s="564">
        <f>AF123+AE123+AD123+AC123</f>
        <v>425.22549999999995</v>
      </c>
      <c r="AG1263" s="736">
        <f>AG123</f>
        <v>425.22549999999995</v>
      </c>
      <c r="AH1263" s="564">
        <f>AH123+AF123+AE123+AD123</f>
        <v>402.17099999999999</v>
      </c>
      <c r="AI1263" s="564">
        <f>AI123+AH123+AF123+AE123</f>
        <v>378.57299999999998</v>
      </c>
      <c r="AJ1263" s="564">
        <f>AJ123+AI123+AH123+AF123</f>
        <v>360.56700000000001</v>
      </c>
      <c r="AK1263" s="564">
        <f>AK123+AJ123+AI123+AH123</f>
        <v>359.83850000000001</v>
      </c>
      <c r="AL1263" s="736"/>
      <c r="AM1263" s="564">
        <f>AM123+AK123+AJ123+AI123</f>
        <v>359.11500000000001</v>
      </c>
      <c r="AN1263" s="564">
        <f>AN123+AM123+AK123+AJ123</f>
        <v>366.17949999999996</v>
      </c>
      <c r="AO1263" s="564">
        <f>AO123+AN123+AM123+AK123</f>
        <v>374.68400000000003</v>
      </c>
      <c r="AP1263" s="564">
        <f>AP123+AO123+AN123+AM123</f>
        <v>387.04349999999999</v>
      </c>
      <c r="AQ1263" s="736"/>
      <c r="AR1263" s="564">
        <f>AR123+AP123+AO123+AN123</f>
        <v>405.50500000000005</v>
      </c>
      <c r="AS1263" s="564">
        <f>AS123+AR123+AP123+AO123</f>
        <v>404.88900000000001</v>
      </c>
      <c r="AT1263" s="564">
        <f>AT123+AS123+AR123+AP123</f>
        <v>395.09500000000003</v>
      </c>
      <c r="AU1263" s="564">
        <f>AU123+AT123+AS123+AR123</f>
        <v>393.60900000000004</v>
      </c>
      <c r="AV1263" s="736"/>
      <c r="AW1263" s="564">
        <f>AW123+AU123+AT123+AS123</f>
        <v>428.52200000000005</v>
      </c>
      <c r="AX1263" s="564">
        <f>AX123+AW123+AU123+AT123</f>
        <v>476.31799999999998</v>
      </c>
      <c r="AY1263" s="564">
        <f>AY123+AX123+AW123+AU123</f>
        <v>521.37099999999998</v>
      </c>
      <c r="AZ1263" s="564">
        <f>AZ123+AY123+AX123+AW123</f>
        <v>550.80650000000003</v>
      </c>
      <c r="BA1263" s="736"/>
      <c r="BB1263" s="564">
        <f>BB123+AZ123+AY123+AX123</f>
        <v>535.77700000000004</v>
      </c>
      <c r="BC1263" s="564">
        <f>BC123+BB123+AZ123+AY123</f>
        <v>528.80050000000006</v>
      </c>
      <c r="BD1263" s="564">
        <f>BD123+BC123+BB123+AZ123</f>
        <v>532.24300000000005</v>
      </c>
      <c r="BE1263" s="564">
        <f>BE123+BD123+BC123+BB123</f>
        <v>545.32050000000004</v>
      </c>
      <c r="BF1263" s="736"/>
      <c r="BG1263" s="734">
        <f>BG123+BE123+BD123+BC123</f>
        <v>560.24700000000007</v>
      </c>
      <c r="BH1263" s="564">
        <f>BH123+BG123+BE123+BD123</f>
        <v>583.86950000000002</v>
      </c>
      <c r="BI1263" s="564">
        <f>BI123+BH123+BG123+BE123</f>
        <v>611.60400000000004</v>
      </c>
      <c r="BJ1263" s="1789">
        <f>BJ123+BI123+BH123+BG123</f>
        <v>629.4860000000001</v>
      </c>
      <c r="BK1263" s="736"/>
      <c r="BL1263" s="564">
        <f>BL123+BJ123+BI123+BH123</f>
        <v>640.67399999999998</v>
      </c>
      <c r="BM1263" s="564">
        <f>BM123+BL123+BJ123+BI123</f>
        <v>615.66149999999993</v>
      </c>
      <c r="BN1263" s="564">
        <f>BN123+BM123+BL123+BJ123</f>
        <v>574.44350000000009</v>
      </c>
      <c r="BO1263" s="1789">
        <f>BO123+BN123+BM123+BL123</f>
        <v>558.99749999999995</v>
      </c>
      <c r="BP1263" s="736">
        <f>BO1263</f>
        <v>558.99749999999995</v>
      </c>
      <c r="BQ1263" s="564">
        <f>BQ123+BN123+BO123+BM123</f>
        <v>554.44100000000003</v>
      </c>
      <c r="BR1263" s="564">
        <f>BR123+BQ123+BO123+BN123</f>
        <v>567.71900000000005</v>
      </c>
      <c r="BS1263" s="564">
        <f>BS123+BR123+BQ123+BO123</f>
        <v>586.04999999999995</v>
      </c>
      <c r="BT1263" s="1789">
        <f>BT123+BS123+BR123+BQ123</f>
        <v>595.625</v>
      </c>
      <c r="BU1263" s="3320">
        <f>BT1263</f>
        <v>595.625</v>
      </c>
      <c r="BV1263" s="564">
        <f>BV123+BS123+BT123+BR123</f>
        <v>597.25680741757992</v>
      </c>
      <c r="BW1263" s="564">
        <f>BW123+BV123+BT123+BS123</f>
        <v>602.16482881140223</v>
      </c>
      <c r="BX1263" s="4159">
        <f>BX123+BW123+BV123+BT123+'Tables 2'!HN698*3+'Tables 2'!HN729*3</f>
        <v>842.00907606897385</v>
      </c>
      <c r="BY1263" s="4160">
        <f>BY123+BX123+BW123+BV123+SUM('Tables 2'!HN698:HO698)+SUM('Tables 2'!HN729:HO729)</f>
        <v>850.52394039659089</v>
      </c>
      <c r="BZ1263" s="4036">
        <f>BY1263</f>
        <v>850.52394039659089</v>
      </c>
      <c r="CA1263" s="736">
        <f t="shared" ref="CA1263:CG1263" si="2387">CA123</f>
        <v>873.95789252238421</v>
      </c>
      <c r="CB1263" s="736">
        <f t="shared" si="2387"/>
        <v>885.4839440604203</v>
      </c>
      <c r="CC1263" s="736">
        <f t="shared" si="2387"/>
        <v>27.182735284795953</v>
      </c>
      <c r="CD1263" s="736">
        <f t="shared" si="2387"/>
        <v>-24.46940414965777</v>
      </c>
      <c r="CE1263" s="736">
        <f t="shared" si="2387"/>
        <v>-3.0982719250125115</v>
      </c>
      <c r="CF1263" s="736">
        <f t="shared" si="2387"/>
        <v>18.91610812897099</v>
      </c>
      <c r="CG1263" s="736">
        <f t="shared" si="2387"/>
        <v>41.588759220727141</v>
      </c>
      <c r="CH1263" s="3998"/>
      <c r="CI1263" s="3998"/>
      <c r="CJ1263" s="3998"/>
      <c r="CK1263" s="3998"/>
      <c r="CL1263" s="941"/>
      <c r="CM1263" s="941"/>
      <c r="CN1263" s="941"/>
      <c r="CO1263" s="941"/>
      <c r="CP1263" s="1021" t="str">
        <f t="shared" si="2354"/>
        <v>LTM Valuation EBITDA (incl. Borgata EBITDA)</v>
      </c>
      <c r="CQ1263" s="564"/>
      <c r="CR1263" s="564">
        <f>M1263</f>
        <v>696.61</v>
      </c>
      <c r="CS1263" s="564">
        <f>R1263</f>
        <v>716.75649999999996</v>
      </c>
      <c r="CT1263" s="564">
        <f>W1263</f>
        <v>615.31799999999998</v>
      </c>
      <c r="CU1263" s="564">
        <f>AB1263</f>
        <v>480.6880000000001</v>
      </c>
      <c r="CV1263" s="564">
        <f>AG1263</f>
        <v>425.22549999999995</v>
      </c>
      <c r="CW1263" s="564"/>
      <c r="CX1263" s="564"/>
      <c r="CY1263" s="564"/>
      <c r="CZ1263" s="564"/>
      <c r="DA1263" s="564"/>
      <c r="DB1263" s="564"/>
      <c r="DC1263" s="564">
        <f>BP1263</f>
        <v>558.99749999999995</v>
      </c>
      <c r="DD1263" s="564">
        <f>BU1263</f>
        <v>595.625</v>
      </c>
      <c r="DE1263" s="564">
        <f t="shared" si="2385"/>
        <v>850.52394039659089</v>
      </c>
      <c r="DF1263" s="564">
        <f t="shared" si="2385"/>
        <v>873.95789252238421</v>
      </c>
      <c r="DG1263" s="1789">
        <f t="shared" si="2385"/>
        <v>885.4839440604203</v>
      </c>
      <c r="DH1263" s="564"/>
      <c r="DI1263" s="564"/>
      <c r="DJ1263" s="564"/>
      <c r="DK1263" s="564"/>
      <c r="DL1263" s="564"/>
      <c r="DM1263" s="564"/>
      <c r="DN1263" s="222"/>
      <c r="DO1263" s="226"/>
      <c r="DY1263" s="564"/>
      <c r="DZ1263" s="564"/>
    </row>
    <row r="1264" spans="1:130" ht="12.6" customHeight="1">
      <c r="A1264" s="1021"/>
      <c r="B1264" s="530"/>
      <c r="C1264" s="530"/>
      <c r="D1264" s="734"/>
      <c r="E1264" s="564"/>
      <c r="F1264" s="564"/>
      <c r="G1264" s="564"/>
      <c r="H1264" s="736"/>
      <c r="I1264" s="564"/>
      <c r="J1264" s="564"/>
      <c r="K1264" s="564"/>
      <c r="L1264" s="564"/>
      <c r="M1264" s="736"/>
      <c r="N1264" s="564"/>
      <c r="O1264" s="564"/>
      <c r="P1264" s="564"/>
      <c r="Q1264" s="564"/>
      <c r="R1264" s="736"/>
      <c r="S1264" s="564"/>
      <c r="T1264" s="564"/>
      <c r="U1264" s="564"/>
      <c r="V1264" s="564"/>
      <c r="W1264" s="736"/>
      <c r="X1264" s="564"/>
      <c r="Y1264" s="564"/>
      <c r="Z1264" s="564"/>
      <c r="AA1264" s="564"/>
      <c r="AB1264" s="736"/>
      <c r="AC1264" s="564"/>
      <c r="AD1264" s="564"/>
      <c r="AE1264" s="564"/>
      <c r="AF1264" s="564"/>
      <c r="AG1264" s="736"/>
      <c r="AH1264" s="564"/>
      <c r="AI1264" s="564"/>
      <c r="AJ1264" s="564"/>
      <c r="AK1264" s="564"/>
      <c r="AL1264" s="736"/>
      <c r="AM1264" s="940"/>
      <c r="AN1264" s="1535"/>
      <c r="AO1264" s="940"/>
      <c r="AP1264" s="940"/>
      <c r="AQ1264" s="736"/>
      <c r="AR1264" s="940"/>
      <c r="AS1264" s="1535"/>
      <c r="AT1264" s="940"/>
      <c r="AU1264" s="940"/>
      <c r="AV1264" s="736"/>
      <c r="AW1264" s="940"/>
      <c r="AX1264" s="1535"/>
      <c r="AY1264" s="940"/>
      <c r="AZ1264" s="940"/>
      <c r="BA1264" s="736"/>
      <c r="BB1264" s="940"/>
      <c r="BC1264" s="1535"/>
      <c r="BD1264" s="940"/>
      <c r="BE1264" s="940"/>
      <c r="BF1264" s="736"/>
      <c r="BG1264" s="734"/>
      <c r="BH1264" s="564"/>
      <c r="BI1264" s="564"/>
      <c r="BJ1264" s="1789"/>
      <c r="BK1264" s="736"/>
      <c r="BL1264" s="564"/>
      <c r="BM1264" s="564"/>
      <c r="BN1264" s="564"/>
      <c r="BO1264" s="1789"/>
      <c r="BP1264" s="736"/>
      <c r="BQ1264" s="564"/>
      <c r="BR1264" s="564"/>
      <c r="BS1264" s="564"/>
      <c r="BT1264" s="1789"/>
      <c r="BU1264" s="3320"/>
      <c r="BV1264" s="564"/>
      <c r="BW1264" s="564"/>
      <c r="BX1264" s="564"/>
      <c r="BY1264" s="1789"/>
      <c r="BZ1264" s="4036"/>
      <c r="CA1264" s="736"/>
      <c r="CB1264" s="736"/>
      <c r="CC1264" s="736"/>
      <c r="CD1264" s="736"/>
      <c r="CE1264" s="736"/>
      <c r="CF1264" s="736"/>
      <c r="CG1264" s="736"/>
      <c r="CH1264" s="3998"/>
      <c r="CI1264" s="3998"/>
      <c r="CJ1264" s="3998"/>
      <c r="CK1264" s="3998"/>
      <c r="CL1264" s="941"/>
      <c r="CM1264" s="941"/>
      <c r="CN1264" s="941"/>
      <c r="CO1264" s="941"/>
      <c r="CP1264" s="1021"/>
      <c r="CQ1264" s="940"/>
      <c r="CR1264" s="940"/>
      <c r="CS1264" s="940"/>
      <c r="CT1264" s="940"/>
      <c r="CU1264" s="940"/>
      <c r="CV1264" s="940"/>
      <c r="CW1264" s="940"/>
      <c r="CX1264" s="940"/>
      <c r="CY1264" s="940"/>
      <c r="CZ1264" s="940"/>
      <c r="DA1264" s="940"/>
      <c r="DB1264" s="940"/>
      <c r="DC1264" s="940"/>
      <c r="DD1264" s="940"/>
      <c r="DE1264" s="940"/>
      <c r="DF1264" s="940"/>
      <c r="DG1264" s="1936"/>
      <c r="DH1264" s="564"/>
      <c r="DI1264" s="564"/>
      <c r="DJ1264" s="564"/>
      <c r="DK1264" s="564"/>
      <c r="DL1264" s="564"/>
      <c r="DM1264" s="564"/>
      <c r="DN1264" s="222"/>
      <c r="DO1264" s="226"/>
      <c r="DY1264" s="564"/>
      <c r="DZ1264" s="564"/>
    </row>
    <row r="1265" spans="1:130" ht="12.6" customHeight="1">
      <c r="A1265" s="1584" t="s">
        <v>755</v>
      </c>
      <c r="B1265" s="875"/>
      <c r="C1265" s="875"/>
      <c r="D1265" s="734"/>
      <c r="E1265" s="564"/>
      <c r="F1265" s="564"/>
      <c r="G1265" s="564"/>
      <c r="H1265" s="563"/>
      <c r="I1265" s="447"/>
      <c r="J1265" s="447"/>
      <c r="K1265" s="447"/>
      <c r="L1265" s="447"/>
      <c r="M1265" s="736"/>
      <c r="N1265" s="447"/>
      <c r="O1265" s="447"/>
      <c r="P1265" s="447"/>
      <c r="Q1265" s="447"/>
      <c r="R1265" s="736"/>
      <c r="S1265" s="447"/>
      <c r="T1265" s="447"/>
      <c r="U1265" s="447"/>
      <c r="V1265" s="447"/>
      <c r="W1265" s="736"/>
      <c r="X1265" s="447"/>
      <c r="Y1265" s="447"/>
      <c r="Z1265" s="447"/>
      <c r="AA1265" s="447"/>
      <c r="AB1265" s="736"/>
      <c r="AC1265" s="447"/>
      <c r="AD1265" s="447"/>
      <c r="AE1265" s="447"/>
      <c r="AF1265" s="944"/>
      <c r="AG1265" s="736"/>
      <c r="AH1265" s="564"/>
      <c r="AI1265" s="564"/>
      <c r="AJ1265" s="564"/>
      <c r="AK1265" s="564"/>
      <c r="AL1265" s="736"/>
      <c r="AM1265" s="564"/>
      <c r="AN1265" s="564"/>
      <c r="AO1265" s="564"/>
      <c r="AP1265" s="564"/>
      <c r="AQ1265" s="736"/>
      <c r="AR1265" s="564"/>
      <c r="AS1265" s="564"/>
      <c r="AT1265" s="564"/>
      <c r="AU1265" s="564"/>
      <c r="AV1265" s="736"/>
      <c r="AW1265" s="564"/>
      <c r="AX1265" s="564"/>
      <c r="AY1265" s="564"/>
      <c r="AZ1265" s="564"/>
      <c r="BA1265" s="736"/>
      <c r="BB1265" s="564"/>
      <c r="BC1265" s="564"/>
      <c r="BD1265" s="564"/>
      <c r="BE1265" s="564"/>
      <c r="BF1265" s="736"/>
      <c r="BG1265" s="734"/>
      <c r="BH1265" s="564"/>
      <c r="BI1265" s="564"/>
      <c r="BJ1265" s="1789"/>
      <c r="BK1265" s="736"/>
      <c r="BL1265" s="564"/>
      <c r="BM1265" s="564"/>
      <c r="BN1265" s="564"/>
      <c r="BO1265" s="1789"/>
      <c r="BP1265" s="736"/>
      <c r="BQ1265" s="564"/>
      <c r="BR1265" s="564"/>
      <c r="BS1265" s="564"/>
      <c r="BT1265" s="1789"/>
      <c r="BU1265" s="3320"/>
      <c r="BV1265" s="564"/>
      <c r="BW1265" s="564"/>
      <c r="BX1265" s="564"/>
      <c r="BY1265" s="1789"/>
      <c r="BZ1265" s="4036"/>
      <c r="CA1265" s="736"/>
      <c r="CB1265" s="736"/>
      <c r="CC1265" s="736"/>
      <c r="CD1265" s="736"/>
      <c r="CE1265" s="736"/>
      <c r="CF1265" s="736"/>
      <c r="CG1265" s="736"/>
      <c r="CH1265" s="3998"/>
      <c r="CI1265" s="3998"/>
      <c r="CJ1265" s="3998"/>
      <c r="CK1265" s="3998"/>
      <c r="CL1265" s="941"/>
      <c r="CM1265" s="941"/>
      <c r="CN1265" s="941"/>
      <c r="CO1265" s="941"/>
      <c r="CP1265" s="1584" t="str">
        <f t="shared" si="2354"/>
        <v>Indebtedness</v>
      </c>
      <c r="CQ1265" s="564"/>
      <c r="CR1265" s="564"/>
      <c r="CS1265" s="564"/>
      <c r="CT1265" s="564"/>
      <c r="CU1265" s="564"/>
      <c r="CV1265" s="564"/>
      <c r="CW1265" s="564"/>
      <c r="CX1265" s="564"/>
      <c r="CY1265" s="564"/>
      <c r="CZ1265" s="564"/>
      <c r="DA1265" s="564"/>
      <c r="DB1265" s="564"/>
      <c r="DC1265" s="564"/>
      <c r="DD1265" s="564"/>
      <c r="DE1265" s="564"/>
      <c r="DF1265" s="564"/>
      <c r="DG1265" s="1789"/>
      <c r="DH1265" s="564"/>
      <c r="DI1265" s="564"/>
      <c r="DJ1265" s="564"/>
      <c r="DK1265" s="564"/>
      <c r="DL1265" s="564"/>
      <c r="DM1265" s="564"/>
      <c r="DN1265" s="222"/>
      <c r="DO1265" s="226"/>
      <c r="DY1265" s="564"/>
      <c r="DZ1265" s="564"/>
    </row>
    <row r="1266" spans="1:130" ht="12.6" customHeight="1">
      <c r="A1266" s="995" t="s">
        <v>367</v>
      </c>
      <c r="B1266" s="875"/>
      <c r="C1266" s="875"/>
      <c r="D1266" s="734"/>
      <c r="E1266" s="564"/>
      <c r="F1266" s="564"/>
      <c r="G1266" s="564"/>
      <c r="H1266" s="563"/>
      <c r="I1266" s="447"/>
      <c r="J1266" s="447"/>
      <c r="K1266" s="447"/>
      <c r="L1266" s="447"/>
      <c r="M1266" s="736"/>
      <c r="N1266" s="447"/>
      <c r="O1266" s="447"/>
      <c r="P1266" s="447"/>
      <c r="Q1266" s="447"/>
      <c r="R1266" s="736"/>
      <c r="S1266" s="447"/>
      <c r="T1266" s="447"/>
      <c r="U1266" s="447"/>
      <c r="V1266" s="447"/>
      <c r="W1266" s="736"/>
      <c r="X1266" s="447"/>
      <c r="Y1266" s="447"/>
      <c r="Z1266" s="447"/>
      <c r="AA1266" s="447"/>
      <c r="AB1266" s="736"/>
      <c r="AC1266" s="447"/>
      <c r="AD1266" s="447"/>
      <c r="AE1266" s="447"/>
      <c r="AF1266" s="944"/>
      <c r="AG1266" s="736"/>
      <c r="AH1266" s="564"/>
      <c r="AI1266" s="564"/>
      <c r="AJ1266" s="564"/>
      <c r="AK1266" s="564"/>
      <c r="AL1266" s="736"/>
      <c r="AM1266" s="599">
        <f>AM1082+AM1083+AM1099+AM1100+AM1101</f>
        <v>2381.4180000000001</v>
      </c>
      <c r="AN1266" s="599">
        <f>AN1082+AN1083+AN1099+AN1100+AN1101</f>
        <v>2381.4180000000001</v>
      </c>
      <c r="AO1266" s="599">
        <f>AO1082+AO1083+AO1099+AO1100+AO1101</f>
        <v>2379.5650000000001</v>
      </c>
      <c r="AP1266" s="599">
        <f>SUM(AP1084:AP1087)+AP1099+AP1100+AP1101</f>
        <v>2589.1680000000001</v>
      </c>
      <c r="AQ1266" s="644"/>
      <c r="AR1266" s="599">
        <f>SUM(AR1084:AR1087)+AR1099+AR1100+AR1101</f>
        <v>2539.5430000000001</v>
      </c>
      <c r="AS1266" s="599">
        <f>SUM(AS1084:AS1087)+AS1099+AS1100+AS1101</f>
        <v>2405.2179999999998</v>
      </c>
      <c r="AT1266" s="599">
        <f>SUM(AT1084:AT1087)+AT1099+AT1100+AT1101</f>
        <v>2395.393</v>
      </c>
      <c r="AU1266" s="599">
        <f>SUM(AU1084:AU1087)+AU1099+AU1100+AU1101</f>
        <v>2431.268</v>
      </c>
      <c r="AV1266" s="644"/>
      <c r="AW1266" s="599">
        <f>SUM(AW1084:AW1087)+AW1099+AW1100+AW1101</f>
        <v>2401.4430000000002</v>
      </c>
      <c r="AX1266" s="599">
        <f>SUM(AX1084:AX1087)+AX1099+AX1100+AX1101</f>
        <v>2148.75</v>
      </c>
      <c r="AY1266" s="599">
        <f>SUM(AY1084:AY1090)+AY1099+AY1100+AY1101</f>
        <v>1947.9</v>
      </c>
      <c r="AZ1266" s="599">
        <f>SUM(AZ1084:AZ1090)+AZ1099+AZ1100+AZ1101</f>
        <v>1967.7249999999999</v>
      </c>
      <c r="BA1266" s="644"/>
      <c r="BB1266" s="599">
        <f>SUM(BB1084:BB1090)+BB1099+BB1100+BB1101</f>
        <v>1931.95</v>
      </c>
      <c r="BC1266" s="599">
        <f>SUM(BC1084:BC1090)+BC1099+BC1100+BC1101</f>
        <v>1908.5</v>
      </c>
      <c r="BD1266" s="599">
        <f>SUM(BD1084:BD1090)+BD1099+BD1100+BD1101</f>
        <v>1874.325</v>
      </c>
      <c r="BE1266" s="599">
        <f>SUM(BE1084:BE1090)+BE1099+BE1100+BE1101</f>
        <v>1887.425</v>
      </c>
      <c r="BF1266" s="644"/>
      <c r="BG1266" s="598">
        <f>SUM(BG1084:BG1111)</f>
        <v>3376.0969999999998</v>
      </c>
      <c r="BH1266" s="599">
        <f t="shared" ref="BH1266:CB1266" si="2388">SUM(BH1084:BH1111)</f>
        <v>3361.6179999999999</v>
      </c>
      <c r="BI1266" s="599">
        <f t="shared" si="2388"/>
        <v>3302.6869999999994</v>
      </c>
      <c r="BJ1266" s="1860">
        <f t="shared" si="2388"/>
        <v>3239.799</v>
      </c>
      <c r="BK1266" s="644"/>
      <c r="BL1266" s="599">
        <f t="shared" si="2388"/>
        <v>3657.9110000000001</v>
      </c>
      <c r="BM1266" s="599">
        <f t="shared" si="2388"/>
        <v>3628.1120000000001</v>
      </c>
      <c r="BN1266" s="599">
        <f t="shared" si="2388"/>
        <v>2956.998</v>
      </c>
      <c r="BO1266" s="1860">
        <f t="shared" si="2388"/>
        <v>3199.1190000000001</v>
      </c>
      <c r="BP1266" s="644">
        <f>BO1266</f>
        <v>3199.1190000000001</v>
      </c>
      <c r="BQ1266" s="599">
        <f t="shared" si="2388"/>
        <v>3187.5439999999999</v>
      </c>
      <c r="BR1266" s="599">
        <f t="shared" si="2388"/>
        <v>3115.8509999999997</v>
      </c>
      <c r="BS1266" s="599">
        <f t="shared" si="2388"/>
        <v>3045.5860000000002</v>
      </c>
      <c r="BT1266" s="1860">
        <f t="shared" si="2388"/>
        <v>3120.0000000000005</v>
      </c>
      <c r="BU1266" s="3383">
        <f>BT1266</f>
        <v>3120.0000000000005</v>
      </c>
      <c r="BV1266" s="599">
        <f t="shared" ref="BV1266:BY1266" si="2389">SUM(BV1084:BV1111)</f>
        <v>3116.8750000000005</v>
      </c>
      <c r="BW1266" s="599">
        <f t="shared" si="2389"/>
        <v>3113.7500000000005</v>
      </c>
      <c r="BX1266" s="599">
        <f t="shared" si="2389"/>
        <v>3672.5830000000001</v>
      </c>
      <c r="BY1266" s="1860">
        <f t="shared" si="2389"/>
        <v>3669.4580000000001</v>
      </c>
      <c r="BZ1266" s="4037">
        <f>BY1266</f>
        <v>3669.4580000000001</v>
      </c>
      <c r="CA1266" s="644">
        <f t="shared" si="2388"/>
        <v>3656.9580000000001</v>
      </c>
      <c r="CB1266" s="644">
        <f t="shared" si="2388"/>
        <v>3644.4580000000001</v>
      </c>
      <c r="CC1266" s="644">
        <f t="shared" ref="CC1266:CG1266" si="2390">SUM(CC1084:CC1090)+CC1099+CC1100+CC1101+CC1103</f>
        <v>1676.625</v>
      </c>
      <c r="CD1266" s="644">
        <f t="shared" si="2390"/>
        <v>1655.125</v>
      </c>
      <c r="CE1266" s="644">
        <f t="shared" si="2390"/>
        <v>1633.625</v>
      </c>
      <c r="CF1266" s="644">
        <f t="shared" si="2390"/>
        <v>1612.125</v>
      </c>
      <c r="CG1266" s="644">
        <f t="shared" si="2390"/>
        <v>1590.625</v>
      </c>
      <c r="CH1266" s="3998"/>
      <c r="CI1266" s="3998"/>
      <c r="CJ1266" s="3998"/>
      <c r="CK1266" s="3998"/>
      <c r="CL1266" s="941"/>
      <c r="CM1266" s="941"/>
      <c r="CN1266" s="941"/>
      <c r="CO1266" s="941"/>
      <c r="CP1266" s="995" t="str">
        <f t="shared" si="2354"/>
        <v>Wholly-Owned Debt</v>
      </c>
      <c r="CQ1266" s="599"/>
      <c r="CR1266" s="599"/>
      <c r="CS1266" s="599"/>
      <c r="CT1266" s="599"/>
      <c r="CU1266" s="599"/>
      <c r="CV1266" s="599"/>
      <c r="CW1266" s="599"/>
      <c r="CX1266" s="599"/>
      <c r="CY1266" s="599"/>
      <c r="CZ1266" s="599"/>
      <c r="DA1266" s="599"/>
      <c r="DB1266" s="599"/>
      <c r="DC1266" s="599">
        <f>BP1266</f>
        <v>3199.1190000000001</v>
      </c>
      <c r="DD1266" s="599">
        <f>BU1266</f>
        <v>3120.0000000000005</v>
      </c>
      <c r="DE1266" s="599">
        <f>BZ1266</f>
        <v>3669.4580000000001</v>
      </c>
      <c r="DF1266" s="599">
        <f>CA1266</f>
        <v>3656.9580000000001</v>
      </c>
      <c r="DG1266" s="1860">
        <f>CB1266</f>
        <v>3644.4580000000001</v>
      </c>
      <c r="DH1266" s="564"/>
      <c r="DI1266" s="564"/>
      <c r="DJ1266" s="564"/>
      <c r="DK1266" s="564"/>
      <c r="DL1266" s="564"/>
      <c r="DM1266" s="564"/>
      <c r="DN1266" s="222"/>
      <c r="DO1266" s="226"/>
      <c r="DY1266" s="599"/>
      <c r="DZ1266" s="599"/>
    </row>
    <row r="1267" spans="1:130" ht="12.6" customHeight="1">
      <c r="A1267" s="995" t="s">
        <v>1790</v>
      </c>
      <c r="B1267" s="875"/>
      <c r="C1267" s="875"/>
      <c r="D1267" s="734"/>
      <c r="E1267" s="564"/>
      <c r="F1267" s="564"/>
      <c r="G1267" s="564"/>
      <c r="H1267" s="563"/>
      <c r="I1267" s="447"/>
      <c r="J1267" s="447"/>
      <c r="K1267" s="447"/>
      <c r="L1267" s="447"/>
      <c r="M1267" s="736"/>
      <c r="N1267" s="447"/>
      <c r="O1267" s="447"/>
      <c r="P1267" s="447"/>
      <c r="Q1267" s="447"/>
      <c r="R1267" s="736"/>
      <c r="S1267" s="447"/>
      <c r="T1267" s="447"/>
      <c r="U1267" s="447"/>
      <c r="V1267" s="447"/>
      <c r="W1267" s="736"/>
      <c r="X1267" s="447"/>
      <c r="Y1267" s="447"/>
      <c r="Z1267" s="447"/>
      <c r="AA1267" s="447"/>
      <c r="AB1267" s="736"/>
      <c r="AC1267" s="447"/>
      <c r="AD1267" s="447"/>
      <c r="AE1267" s="447"/>
      <c r="AF1267" s="944"/>
      <c r="AG1267" s="736"/>
      <c r="AH1267" s="564"/>
      <c r="AI1267" s="564"/>
      <c r="AJ1267" s="564"/>
      <c r="AK1267" s="564"/>
      <c r="AL1267" s="736"/>
      <c r="AM1267" s="599"/>
      <c r="AN1267" s="599"/>
      <c r="AO1267" s="599"/>
      <c r="AP1267" s="599"/>
      <c r="AQ1267" s="644"/>
      <c r="AR1267" s="599"/>
      <c r="AS1267" s="599"/>
      <c r="AT1267" s="599"/>
      <c r="AU1267" s="599"/>
      <c r="AV1267" s="644"/>
      <c r="AW1267" s="564"/>
      <c r="AX1267" s="564"/>
      <c r="AY1267" s="564"/>
      <c r="AZ1267" s="564"/>
      <c r="BA1267" s="736"/>
      <c r="BB1267" s="564"/>
      <c r="BC1267" s="564"/>
      <c r="BD1267" s="564"/>
      <c r="BE1267" s="564"/>
      <c r="BF1267" s="736"/>
      <c r="BG1267" s="734"/>
      <c r="BH1267" s="564"/>
      <c r="BI1267" s="564"/>
      <c r="BJ1267" s="1789"/>
      <c r="BK1267" s="736"/>
      <c r="BL1267" s="564"/>
      <c r="BM1267" s="564"/>
      <c r="BN1267" s="564"/>
      <c r="BO1267" s="1789"/>
      <c r="BP1267" s="736"/>
      <c r="BQ1267" s="564"/>
      <c r="BR1267" s="564"/>
      <c r="BS1267" s="564"/>
      <c r="BT1267" s="1789"/>
      <c r="BU1267" s="3320"/>
      <c r="BV1267" s="564"/>
      <c r="BW1267" s="564"/>
      <c r="BX1267" s="564"/>
      <c r="BY1267" s="1789"/>
      <c r="BZ1267" s="4036"/>
      <c r="CA1267" s="736"/>
      <c r="CB1267" s="736"/>
      <c r="CC1267" s="736"/>
      <c r="CD1267" s="736"/>
      <c r="CE1267" s="736"/>
      <c r="CF1267" s="736"/>
      <c r="CG1267" s="736"/>
      <c r="CH1267" s="3998"/>
      <c r="CI1267" s="3998"/>
      <c r="CJ1267" s="3998"/>
      <c r="CK1267" s="3998"/>
      <c r="CL1267" s="941"/>
      <c r="CM1267" s="941"/>
      <c r="CN1267" s="941"/>
      <c r="CO1267" s="941"/>
      <c r="CP1267" s="995" t="str">
        <f t="shared" si="2354"/>
        <v>Other</v>
      </c>
      <c r="CQ1267" s="599"/>
      <c r="CR1267" s="599"/>
      <c r="CS1267" s="599"/>
      <c r="CT1267" s="599"/>
      <c r="CU1267" s="599"/>
      <c r="CV1267" s="599"/>
      <c r="CW1267" s="599"/>
      <c r="CX1267" s="599"/>
      <c r="CY1267" s="599"/>
      <c r="CZ1267" s="599"/>
      <c r="DA1267" s="599"/>
      <c r="DB1267" s="599"/>
      <c r="DC1267" s="599"/>
      <c r="DD1267" s="599"/>
      <c r="DE1267" s="599"/>
      <c r="DF1267" s="599"/>
      <c r="DG1267" s="1860"/>
      <c r="DH1267" s="564"/>
      <c r="DI1267" s="564"/>
      <c r="DJ1267" s="564"/>
      <c r="DK1267" s="564"/>
      <c r="DL1267" s="564"/>
      <c r="DM1267" s="564"/>
      <c r="DN1267" s="222"/>
      <c r="DO1267" s="226"/>
      <c r="DY1267" s="564"/>
      <c r="DZ1267" s="564"/>
    </row>
    <row r="1268" spans="1:130" ht="12.6" customHeight="1">
      <c r="A1268" s="993" t="s">
        <v>1706</v>
      </c>
      <c r="B1268" s="875"/>
      <c r="C1268" s="875"/>
      <c r="D1268" s="734"/>
      <c r="E1268" s="564"/>
      <c r="F1268" s="564"/>
      <c r="G1268" s="564"/>
      <c r="H1268" s="563"/>
      <c r="I1268" s="447"/>
      <c r="J1268" s="447"/>
      <c r="K1268" s="447"/>
      <c r="L1268" s="447"/>
      <c r="M1268" s="736"/>
      <c r="N1268" s="447"/>
      <c r="O1268" s="447"/>
      <c r="P1268" s="447"/>
      <c r="Q1268" s="447"/>
      <c r="R1268" s="736"/>
      <c r="S1268" s="447"/>
      <c r="T1268" s="447"/>
      <c r="U1268" s="447"/>
      <c r="V1268" s="447"/>
      <c r="W1268" s="736"/>
      <c r="X1268" s="447"/>
      <c r="Y1268" s="447"/>
      <c r="Z1268" s="447"/>
      <c r="AA1268" s="447"/>
      <c r="AB1268" s="736"/>
      <c r="AC1268" s="447"/>
      <c r="AD1268" s="447"/>
      <c r="AE1268" s="447"/>
      <c r="AF1268" s="944"/>
      <c r="AG1268" s="736"/>
      <c r="AH1268" s="564"/>
      <c r="AI1268" s="564"/>
      <c r="AJ1268" s="564"/>
      <c r="AK1268" s="564"/>
      <c r="AL1268" s="736"/>
      <c r="AM1268" s="1554">
        <f>SUM(AM1266:AM1267)</f>
        <v>2381.4180000000001</v>
      </c>
      <c r="AN1268" s="1554">
        <f>SUM(AN1266:AN1267)</f>
        <v>2381.4180000000001</v>
      </c>
      <c r="AO1268" s="1554">
        <f>SUM(AO1266:AO1267)</f>
        <v>2379.5650000000001</v>
      </c>
      <c r="AP1268" s="1554">
        <f>SUM(AP1266:AP1267)</f>
        <v>2589.1680000000001</v>
      </c>
      <c r="AQ1268" s="644"/>
      <c r="AR1268" s="1554">
        <f>SUM(AR1266:AR1267)</f>
        <v>2539.5430000000001</v>
      </c>
      <c r="AS1268" s="1554">
        <f>SUM(AS1266:AS1267)</f>
        <v>2405.2179999999998</v>
      </c>
      <c r="AT1268" s="1554">
        <f>SUM(AT1266:AT1267)</f>
        <v>2395.393</v>
      </c>
      <c r="AU1268" s="1554">
        <f>SUM(AU1266:AU1267)</f>
        <v>2431.268</v>
      </c>
      <c r="AV1268" s="644"/>
      <c r="AW1268" s="1554">
        <f>SUM(AW1266:AW1267)</f>
        <v>2401.4430000000002</v>
      </c>
      <c r="AX1268" s="1554">
        <f>SUM(AX1266:AX1267)</f>
        <v>2148.75</v>
      </c>
      <c r="AY1268" s="1554">
        <f>SUM(AY1266:AY1267)</f>
        <v>1947.9</v>
      </c>
      <c r="AZ1268" s="1554">
        <f>SUM(AZ1266:AZ1267)</f>
        <v>1967.7249999999999</v>
      </c>
      <c r="BA1268" s="644"/>
      <c r="BB1268" s="1554">
        <f>SUM(BB1266:BB1267)</f>
        <v>1931.95</v>
      </c>
      <c r="BC1268" s="1554">
        <f>SUM(BC1266:BC1267)</f>
        <v>1908.5</v>
      </c>
      <c r="BD1268" s="1554">
        <f>SUM(BD1266:BD1267)</f>
        <v>1874.325</v>
      </c>
      <c r="BE1268" s="1554">
        <f>SUM(BE1266:BE1267)</f>
        <v>1887.425</v>
      </c>
      <c r="BF1268" s="644"/>
      <c r="BG1268" s="3021">
        <f>SUM(BG1266:BG1267)</f>
        <v>3376.0969999999998</v>
      </c>
      <c r="BH1268" s="1554">
        <f>SUM(BH1266:BH1267)</f>
        <v>3361.6179999999999</v>
      </c>
      <c r="BI1268" s="1554">
        <f>SUM(BI1266:BI1267)</f>
        <v>3302.6869999999994</v>
      </c>
      <c r="BJ1268" s="1938">
        <f>SUM(BJ1266:BJ1267)</f>
        <v>3239.799</v>
      </c>
      <c r="BK1268" s="644"/>
      <c r="BL1268" s="1554">
        <f>SUM(BL1266:BL1267)</f>
        <v>3657.9110000000001</v>
      </c>
      <c r="BM1268" s="1554">
        <f>SUM(BM1266:BM1267)</f>
        <v>3628.1120000000001</v>
      </c>
      <c r="BN1268" s="1554">
        <f>SUM(BN1266:BN1267)</f>
        <v>2956.998</v>
      </c>
      <c r="BO1268" s="1938">
        <f>SUM(BO1266:BO1267)</f>
        <v>3199.1190000000001</v>
      </c>
      <c r="BP1268" s="644">
        <f>BO1268</f>
        <v>3199.1190000000001</v>
      </c>
      <c r="BQ1268" s="1554">
        <f>SUM(BQ1266:BQ1267)</f>
        <v>3187.5439999999999</v>
      </c>
      <c r="BR1268" s="1554">
        <f>SUM(BR1266:BR1267)</f>
        <v>3115.8509999999997</v>
      </c>
      <c r="BS1268" s="1554">
        <f>SUM(BS1266:BS1267)</f>
        <v>3045.5860000000002</v>
      </c>
      <c r="BT1268" s="1938">
        <f>SUM(BT1266:BT1267)</f>
        <v>3120.0000000000005</v>
      </c>
      <c r="BU1268" s="3383">
        <f>BT1268</f>
        <v>3120.0000000000005</v>
      </c>
      <c r="BV1268" s="1554">
        <f>SUM(BV1266:BV1267)</f>
        <v>3116.8750000000005</v>
      </c>
      <c r="BW1268" s="1554">
        <f>SUM(BW1266:BW1267)</f>
        <v>3113.7500000000005</v>
      </c>
      <c r="BX1268" s="1554">
        <f>SUM(BX1266:BX1267)</f>
        <v>3672.5830000000001</v>
      </c>
      <c r="BY1268" s="1938">
        <f>SUM(BY1266:BY1267)</f>
        <v>3669.4580000000001</v>
      </c>
      <c r="BZ1268" s="4037">
        <f>BY1268</f>
        <v>3669.4580000000001</v>
      </c>
      <c r="CA1268" s="644">
        <f t="shared" ref="CA1268:CG1268" si="2391">CA1266</f>
        <v>3656.9580000000001</v>
      </c>
      <c r="CB1268" s="644">
        <f t="shared" si="2391"/>
        <v>3644.4580000000001</v>
      </c>
      <c r="CC1268" s="644">
        <f t="shared" si="2391"/>
        <v>1676.625</v>
      </c>
      <c r="CD1268" s="644">
        <f t="shared" si="2391"/>
        <v>1655.125</v>
      </c>
      <c r="CE1268" s="644">
        <f t="shared" si="2391"/>
        <v>1633.625</v>
      </c>
      <c r="CF1268" s="644">
        <f t="shared" si="2391"/>
        <v>1612.125</v>
      </c>
      <c r="CG1268" s="644">
        <f t="shared" si="2391"/>
        <v>1590.625</v>
      </c>
      <c r="CH1268" s="3998"/>
      <c r="CI1268" s="3998"/>
      <c r="CJ1268" s="3998"/>
      <c r="CK1268" s="3998"/>
      <c r="CL1268" s="941"/>
      <c r="CM1268" s="941"/>
      <c r="CN1268" s="941"/>
      <c r="CO1268" s="941"/>
      <c r="CP1268" s="993" t="str">
        <f t="shared" si="2354"/>
        <v>Subtotal</v>
      </c>
      <c r="CQ1268" s="1554"/>
      <c r="CR1268" s="1554"/>
      <c r="CS1268" s="1554"/>
      <c r="CT1268" s="1554"/>
      <c r="CU1268" s="1554"/>
      <c r="CV1268" s="1554"/>
      <c r="CW1268" s="1554"/>
      <c r="CX1268" s="1554"/>
      <c r="CY1268" s="1554"/>
      <c r="CZ1268" s="1554"/>
      <c r="DA1268" s="1554"/>
      <c r="DB1268" s="1554"/>
      <c r="DC1268" s="1554">
        <f>BP1268</f>
        <v>3199.1190000000001</v>
      </c>
      <c r="DD1268" s="1554">
        <f>BU1268</f>
        <v>3120.0000000000005</v>
      </c>
      <c r="DE1268" s="1554">
        <f>BZ1268</f>
        <v>3669.4580000000001</v>
      </c>
      <c r="DF1268" s="1554">
        <f>CA1268</f>
        <v>3656.9580000000001</v>
      </c>
      <c r="DG1268" s="1938">
        <f>CB1268</f>
        <v>3644.4580000000001</v>
      </c>
      <c r="DH1268" s="564"/>
      <c r="DI1268" s="564"/>
      <c r="DJ1268" s="564"/>
      <c r="DK1268" s="564"/>
      <c r="DL1268" s="564"/>
      <c r="DM1268" s="564"/>
      <c r="DN1268" s="222"/>
      <c r="DO1268" s="226"/>
      <c r="DY1268" s="599"/>
      <c r="DZ1268" s="599"/>
    </row>
    <row r="1269" spans="1:130" ht="12.6" customHeight="1">
      <c r="A1269" s="993"/>
      <c r="B1269" s="875"/>
      <c r="C1269" s="875"/>
      <c r="D1269" s="734"/>
      <c r="E1269" s="564"/>
      <c r="F1269" s="564"/>
      <c r="G1269" s="564"/>
      <c r="H1269" s="563"/>
      <c r="I1269" s="447"/>
      <c r="J1269" s="447"/>
      <c r="K1269" s="447"/>
      <c r="L1269" s="447"/>
      <c r="M1269" s="736"/>
      <c r="N1269" s="447"/>
      <c r="O1269" s="447"/>
      <c r="P1269" s="447"/>
      <c r="Q1269" s="447"/>
      <c r="R1269" s="736"/>
      <c r="S1269" s="447"/>
      <c r="T1269" s="447"/>
      <c r="U1269" s="447"/>
      <c r="V1269" s="447"/>
      <c r="W1269" s="736"/>
      <c r="X1269" s="447"/>
      <c r="Y1269" s="447"/>
      <c r="Z1269" s="447"/>
      <c r="AA1269" s="447"/>
      <c r="AB1269" s="736"/>
      <c r="AC1269" s="447"/>
      <c r="AD1269" s="447"/>
      <c r="AE1269" s="447"/>
      <c r="AF1269" s="944"/>
      <c r="AG1269" s="736"/>
      <c r="AH1269" s="564"/>
      <c r="AI1269" s="564"/>
      <c r="AJ1269" s="564"/>
      <c r="AK1269" s="564"/>
      <c r="AL1269" s="736"/>
      <c r="AM1269" s="564"/>
      <c r="AN1269" s="564"/>
      <c r="AO1269" s="564"/>
      <c r="AP1269" s="564"/>
      <c r="AQ1269" s="736"/>
      <c r="AR1269" s="564"/>
      <c r="AS1269" s="564"/>
      <c r="AT1269" s="564"/>
      <c r="AU1269" s="564"/>
      <c r="AV1269" s="736"/>
      <c r="AW1269" s="564"/>
      <c r="AX1269" s="564"/>
      <c r="AY1269" s="564"/>
      <c r="AZ1269" s="564"/>
      <c r="BA1269" s="736"/>
      <c r="BB1269" s="564"/>
      <c r="BC1269" s="564"/>
      <c r="BD1269" s="564"/>
      <c r="BE1269" s="564"/>
      <c r="BF1269" s="736"/>
      <c r="BG1269" s="734"/>
      <c r="BH1269" s="564"/>
      <c r="BI1269" s="564"/>
      <c r="BJ1269" s="1789"/>
      <c r="BK1269" s="736"/>
      <c r="BL1269" s="564"/>
      <c r="BM1269" s="564"/>
      <c r="BN1269" s="564"/>
      <c r="BO1269" s="1789"/>
      <c r="BP1269" s="736"/>
      <c r="BQ1269" s="564"/>
      <c r="BR1269" s="564"/>
      <c r="BS1269" s="564"/>
      <c r="BT1269" s="1789"/>
      <c r="BU1269" s="3320"/>
      <c r="BV1269" s="564"/>
      <c r="BW1269" s="564"/>
      <c r="BX1269" s="564"/>
      <c r="BY1269" s="1789"/>
      <c r="BZ1269" s="4036"/>
      <c r="CA1269" s="736"/>
      <c r="CB1269" s="736"/>
      <c r="CC1269" s="736"/>
      <c r="CD1269" s="736"/>
      <c r="CE1269" s="736"/>
      <c r="CF1269" s="736"/>
      <c r="CG1269" s="736"/>
      <c r="CH1269" s="3998"/>
      <c r="CI1269" s="3998"/>
      <c r="CJ1269" s="3998"/>
      <c r="CK1269" s="3998"/>
      <c r="CL1269" s="941"/>
      <c r="CM1269" s="941"/>
      <c r="CN1269" s="941"/>
      <c r="CO1269" s="941"/>
      <c r="CP1269" s="993"/>
      <c r="CQ1269" s="564"/>
      <c r="CR1269" s="564"/>
      <c r="CS1269" s="564"/>
      <c r="CT1269" s="564"/>
      <c r="CU1269" s="564"/>
      <c r="CV1269" s="564"/>
      <c r="CW1269" s="564"/>
      <c r="CX1269" s="564"/>
      <c r="CY1269" s="564"/>
      <c r="CZ1269" s="564"/>
      <c r="DA1269" s="564"/>
      <c r="DB1269" s="564"/>
      <c r="DC1269" s="564"/>
      <c r="DD1269" s="564"/>
      <c r="DE1269" s="564"/>
      <c r="DF1269" s="564"/>
      <c r="DG1269" s="1789"/>
      <c r="DH1269" s="564"/>
      <c r="DI1269" s="564"/>
      <c r="DJ1269" s="564"/>
      <c r="DK1269" s="564"/>
      <c r="DL1269" s="564"/>
      <c r="DM1269" s="564"/>
      <c r="DN1269" s="222"/>
      <c r="DO1269" s="226"/>
      <c r="DY1269" s="564"/>
      <c r="DZ1269" s="564"/>
    </row>
    <row r="1270" spans="1:130" ht="12.6" customHeight="1">
      <c r="A1270" s="1584" t="s">
        <v>181</v>
      </c>
      <c r="B1270" s="875"/>
      <c r="C1270" s="875"/>
      <c r="D1270" s="734"/>
      <c r="E1270" s="564"/>
      <c r="F1270" s="564"/>
      <c r="G1270" s="564"/>
      <c r="H1270" s="563"/>
      <c r="I1270" s="447"/>
      <c r="J1270" s="447"/>
      <c r="K1270" s="447"/>
      <c r="L1270" s="447"/>
      <c r="M1270" s="736"/>
      <c r="N1270" s="447"/>
      <c r="O1270" s="447"/>
      <c r="P1270" s="447"/>
      <c r="Q1270" s="447"/>
      <c r="R1270" s="736"/>
      <c r="S1270" s="447"/>
      <c r="T1270" s="447"/>
      <c r="U1270" s="447"/>
      <c r="V1270" s="447"/>
      <c r="W1270" s="736"/>
      <c r="X1270" s="447"/>
      <c r="Y1270" s="447"/>
      <c r="Z1270" s="447"/>
      <c r="AA1270" s="447"/>
      <c r="AB1270" s="736"/>
      <c r="AC1270" s="447"/>
      <c r="AD1270" s="447"/>
      <c r="AE1270" s="447"/>
      <c r="AF1270" s="944"/>
      <c r="AG1270" s="736"/>
      <c r="AH1270" s="564"/>
      <c r="AI1270" s="564"/>
      <c r="AJ1270" s="564"/>
      <c r="AK1270" s="564"/>
      <c r="AL1270" s="736"/>
      <c r="AM1270" s="564"/>
      <c r="AN1270" s="564"/>
      <c r="AO1270" s="564"/>
      <c r="AP1270" s="564"/>
      <c r="AQ1270" s="736"/>
      <c r="AR1270" s="564"/>
      <c r="AS1270" s="564"/>
      <c r="AT1270" s="564"/>
      <c r="AU1270" s="564"/>
      <c r="AV1270" s="736"/>
      <c r="AW1270" s="564"/>
      <c r="AX1270" s="564"/>
      <c r="AY1270" s="564"/>
      <c r="AZ1270" s="564"/>
      <c r="BA1270" s="736"/>
      <c r="BB1270" s="564"/>
      <c r="BC1270" s="564"/>
      <c r="BD1270" s="564"/>
      <c r="BE1270" s="564"/>
      <c r="BF1270" s="736"/>
      <c r="BG1270" s="734"/>
      <c r="BH1270" s="564"/>
      <c r="BI1270" s="564"/>
      <c r="BJ1270" s="1789"/>
      <c r="BK1270" s="736"/>
      <c r="BL1270" s="564"/>
      <c r="BM1270" s="564"/>
      <c r="BN1270" s="564"/>
      <c r="BO1270" s="1789"/>
      <c r="BP1270" s="736"/>
      <c r="BQ1270" s="564"/>
      <c r="BR1270" s="564"/>
      <c r="BS1270" s="564"/>
      <c r="BT1270" s="1789"/>
      <c r="BU1270" s="3320"/>
      <c r="BV1270" s="564"/>
      <c r="BW1270" s="564"/>
      <c r="BX1270" s="564"/>
      <c r="BY1270" s="1789"/>
      <c r="BZ1270" s="4036"/>
      <c r="CA1270" s="736"/>
      <c r="CB1270" s="736"/>
      <c r="CC1270" s="736"/>
      <c r="CD1270" s="736"/>
      <c r="CE1270" s="736"/>
      <c r="CF1270" s="736"/>
      <c r="CG1270" s="736"/>
      <c r="CH1270" s="3998"/>
      <c r="CI1270" s="3998"/>
      <c r="CJ1270" s="3998"/>
      <c r="CK1270" s="3998"/>
      <c r="CL1270" s="941"/>
      <c r="CM1270" s="941"/>
      <c r="CN1270" s="941"/>
      <c r="CO1270" s="941"/>
      <c r="CP1270" s="1584" t="str">
        <f t="shared" si="2354"/>
        <v>Interest Expense</v>
      </c>
      <c r="CQ1270" s="564"/>
      <c r="CR1270" s="564"/>
      <c r="CS1270" s="564"/>
      <c r="CT1270" s="564"/>
      <c r="CU1270" s="564"/>
      <c r="CV1270" s="564"/>
      <c r="CW1270" s="564"/>
      <c r="CX1270" s="564"/>
      <c r="CY1270" s="564"/>
      <c r="CZ1270" s="564"/>
      <c r="DA1270" s="564"/>
      <c r="DB1270" s="564"/>
      <c r="DC1270" s="564"/>
      <c r="DD1270" s="564"/>
      <c r="DE1270" s="564"/>
      <c r="DF1270" s="564"/>
      <c r="DG1270" s="1789"/>
      <c r="DH1270" s="564"/>
      <c r="DI1270" s="564"/>
      <c r="DJ1270" s="564"/>
      <c r="DK1270" s="564"/>
      <c r="DL1270" s="564"/>
      <c r="DM1270" s="564"/>
      <c r="DN1270" s="222"/>
      <c r="DO1270" s="226"/>
      <c r="DY1270" s="564"/>
      <c r="DZ1270" s="564"/>
    </row>
    <row r="1271" spans="1:130" ht="12.6" customHeight="1">
      <c r="A1271" s="995" t="s">
        <v>904</v>
      </c>
      <c r="B1271" s="875"/>
      <c r="C1271" s="875"/>
      <c r="D1271" s="734"/>
      <c r="E1271" s="564"/>
      <c r="F1271" s="564"/>
      <c r="G1271" s="564"/>
      <c r="H1271" s="563"/>
      <c r="I1271" s="447"/>
      <c r="J1271" s="447"/>
      <c r="K1271" s="447"/>
      <c r="L1271" s="447"/>
      <c r="M1271" s="736"/>
      <c r="N1271" s="447"/>
      <c r="O1271" s="447"/>
      <c r="P1271" s="447"/>
      <c r="Q1271" s="447"/>
      <c r="R1271" s="736"/>
      <c r="S1271" s="447"/>
      <c r="T1271" s="447"/>
      <c r="U1271" s="447"/>
      <c r="V1271" s="447"/>
      <c r="W1271" s="736"/>
      <c r="X1271" s="447"/>
      <c r="Y1271" s="447"/>
      <c r="Z1271" s="447"/>
      <c r="AA1271" s="447"/>
      <c r="AB1271" s="736"/>
      <c r="AC1271" s="447"/>
      <c r="AD1271" s="447"/>
      <c r="AE1271" s="447"/>
      <c r="AF1271" s="944"/>
      <c r="AG1271" s="736"/>
      <c r="AH1271" s="1578">
        <f>AH1172</f>
        <v>29.007000000000001</v>
      </c>
      <c r="AI1271" s="1578">
        <f>AI1172</f>
        <v>34.65</v>
      </c>
      <c r="AJ1271" s="1578">
        <f>AJ1172</f>
        <v>45.780999999999999</v>
      </c>
      <c r="AK1271" s="1578">
        <f>AK1172</f>
        <v>55.015000000000001</v>
      </c>
      <c r="AL1271" s="1579"/>
      <c r="AM1271" s="1578">
        <f>AM1172</f>
        <v>57.286000000000001</v>
      </c>
      <c r="AN1271" s="1578">
        <f>AN1172</f>
        <v>66.722000000000008</v>
      </c>
      <c r="AO1271" s="1578">
        <f>AO1172</f>
        <v>60.067999999999998</v>
      </c>
      <c r="AP1271" s="1578">
        <f>AP1172</f>
        <v>66.656999999999996</v>
      </c>
      <c r="AQ1271" s="1579"/>
      <c r="AR1271" s="1578">
        <f>AR1172</f>
        <v>63.824000000000005</v>
      </c>
      <c r="AS1271" s="1578">
        <f>AS1172</f>
        <v>64.38</v>
      </c>
      <c r="AT1271" s="1578">
        <f>AT1172</f>
        <v>73.843000000000004</v>
      </c>
      <c r="AU1271" s="1578">
        <f>AU1172</f>
        <v>86.787999999999997</v>
      </c>
      <c r="AV1271" s="1579"/>
      <c r="AW1271" s="1578">
        <f>AW1172</f>
        <v>74.2</v>
      </c>
      <c r="AX1271" s="1578">
        <f>AX1172</f>
        <v>66.7</v>
      </c>
      <c r="AY1271" s="1578">
        <f>AY1172</f>
        <v>62.3</v>
      </c>
      <c r="AZ1271" s="1578">
        <f>AZ1172</f>
        <v>57.6</v>
      </c>
      <c r="BA1271" s="1579"/>
      <c r="BB1271" s="1578">
        <f>BB1172</f>
        <v>57.3</v>
      </c>
      <c r="BC1271" s="1578">
        <f>BC1172</f>
        <v>56.9</v>
      </c>
      <c r="BD1271" s="1578">
        <f>BD1172</f>
        <v>57.1</v>
      </c>
      <c r="BE1271" s="1578">
        <f>BE1172</f>
        <v>56.701000000000001</v>
      </c>
      <c r="BF1271" s="1579"/>
      <c r="BG1271" s="3022">
        <f>BG1172</f>
        <v>56.463999999999999</v>
      </c>
      <c r="BH1271" s="1578">
        <f>BH1172</f>
        <v>56.665999999999997</v>
      </c>
      <c r="BI1271" s="1578">
        <f>BI1172</f>
        <v>56.097999999999999</v>
      </c>
      <c r="BJ1271" s="1939">
        <f>BJ1172</f>
        <v>53.503999999999998</v>
      </c>
      <c r="BK1271" s="1579"/>
      <c r="BL1271" s="1578">
        <f>BL1172</f>
        <v>52.567999999999998</v>
      </c>
      <c r="BM1271" s="1578">
        <f>BM1172</f>
        <v>60.927999999999997</v>
      </c>
      <c r="BN1271" s="1578">
        <f>BN1172</f>
        <v>54.153000000000006</v>
      </c>
      <c r="BO1271" s="1939">
        <f>BO1172</f>
        <v>42.082000000000001</v>
      </c>
      <c r="BP1271" s="1579">
        <f>SUM(BL1271:BO1271)</f>
        <v>209.73099999999999</v>
      </c>
      <c r="BQ1271" s="1578">
        <f>BQ1172</f>
        <v>43.213999999999999</v>
      </c>
      <c r="BR1271" s="1578">
        <f>BR1172</f>
        <v>42.273000000000003</v>
      </c>
      <c r="BS1271" s="1578">
        <f>BS1172</f>
        <v>42.856999999999999</v>
      </c>
      <c r="BT1271" s="1939">
        <f>BT1172</f>
        <v>42.945999999999998</v>
      </c>
      <c r="BU1271" s="3458">
        <f>SUM(BQ1271:BT1271)</f>
        <v>171.29</v>
      </c>
      <c r="BV1271" s="1578">
        <f>BV1172</f>
        <v>43.860372031250002</v>
      </c>
      <c r="BW1271" s="1578">
        <f>BW1172</f>
        <v>44.727592656250003</v>
      </c>
      <c r="BX1271" s="1578">
        <f>BX1172</f>
        <v>68.493657031249995</v>
      </c>
      <c r="BY1271" s="1939">
        <f>BY1172</f>
        <v>69.353065156250011</v>
      </c>
      <c r="BZ1271" s="4038">
        <f>SUM(BV1271:BY1271)</f>
        <v>226.43468687500001</v>
      </c>
      <c r="CA1271" s="1579">
        <f t="shared" ref="CA1271:CG1271" si="2392">CA1172</f>
        <v>312.22104485</v>
      </c>
      <c r="CB1271" s="1579">
        <f t="shared" si="2392"/>
        <v>318.79065617138781</v>
      </c>
      <c r="CC1271" s="1579">
        <f t="shared" si="2392"/>
        <v>129.86223374999997</v>
      </c>
      <c r="CD1271" s="1579">
        <f t="shared" si="2392"/>
        <v>128.63910874999999</v>
      </c>
      <c r="CE1271" s="1579">
        <f t="shared" si="2392"/>
        <v>127.41598374999998</v>
      </c>
      <c r="CF1271" s="1579">
        <f t="shared" si="2392"/>
        <v>126.19285875</v>
      </c>
      <c r="CG1271" s="1579">
        <f t="shared" si="2392"/>
        <v>124.96973374999999</v>
      </c>
      <c r="CH1271" s="3998"/>
      <c r="CI1271" s="3998"/>
      <c r="CJ1271" s="3998"/>
      <c r="CK1271" s="3998"/>
      <c r="CL1271" s="941"/>
      <c r="CM1271" s="941"/>
      <c r="CN1271" s="941"/>
      <c r="CO1271" s="941"/>
      <c r="CP1271" s="995" t="str">
        <f t="shared" si="2354"/>
        <v>Quarterly Consolidated Interest Expense</v>
      </c>
      <c r="CQ1271" s="1578"/>
      <c r="CR1271" s="1578"/>
      <c r="CS1271" s="1578"/>
      <c r="CT1271" s="1578"/>
      <c r="CU1271" s="1578"/>
      <c r="CV1271" s="1578"/>
      <c r="CW1271" s="1578"/>
      <c r="CX1271" s="1578"/>
      <c r="CY1271" s="1578"/>
      <c r="CZ1271" s="1578"/>
      <c r="DA1271" s="1578"/>
      <c r="DB1271" s="1578"/>
      <c r="DC1271" s="1578">
        <f>BP1271</f>
        <v>209.73099999999999</v>
      </c>
      <c r="DD1271" s="1578">
        <f>BU1271</f>
        <v>171.29</v>
      </c>
      <c r="DE1271" s="1578">
        <f t="shared" ref="DE1271:DG1276" si="2393">BZ1271</f>
        <v>226.43468687500001</v>
      </c>
      <c r="DF1271" s="1578">
        <f t="shared" si="2393"/>
        <v>312.22104485</v>
      </c>
      <c r="DG1271" s="1939">
        <f t="shared" si="2393"/>
        <v>318.79065617138781</v>
      </c>
      <c r="DH1271" s="564"/>
      <c r="DI1271" s="564"/>
      <c r="DJ1271" s="564"/>
      <c r="DK1271" s="564"/>
      <c r="DL1271" s="564"/>
      <c r="DM1271" s="564"/>
      <c r="DN1271" s="222"/>
      <c r="DO1271" s="226"/>
      <c r="DY1271" s="1578"/>
      <c r="DZ1271" s="1578"/>
    </row>
    <row r="1272" spans="1:130" ht="12.6" customHeight="1">
      <c r="A1272" s="995" t="s">
        <v>905</v>
      </c>
      <c r="B1272" s="738"/>
      <c r="C1272" s="738"/>
      <c r="D1272" s="734"/>
      <c r="E1272" s="564"/>
      <c r="F1272" s="564"/>
      <c r="G1272" s="564"/>
      <c r="H1272" s="563"/>
      <c r="I1272" s="447"/>
      <c r="J1272" s="447"/>
      <c r="K1272" s="447"/>
      <c r="L1272" s="447"/>
      <c r="M1272" s="736"/>
      <c r="N1272" s="447"/>
      <c r="O1272" s="447"/>
      <c r="P1272" s="447"/>
      <c r="Q1272" s="447"/>
      <c r="R1272" s="736"/>
      <c r="S1272" s="447"/>
      <c r="T1272" s="447"/>
      <c r="U1272" s="447"/>
      <c r="V1272" s="447"/>
      <c r="W1272" s="736"/>
      <c r="X1272" s="447"/>
      <c r="Y1272" s="447"/>
      <c r="Z1272" s="447"/>
      <c r="AA1272" s="447"/>
      <c r="AB1272" s="736"/>
      <c r="AC1272" s="447"/>
      <c r="AD1272" s="447"/>
      <c r="AE1272" s="447"/>
      <c r="AF1272" s="944"/>
      <c r="AG1272" s="736"/>
      <c r="AH1272" s="1578">
        <f>-AH1163</f>
        <v>-0.48399999999999999</v>
      </c>
      <c r="AI1272" s="1578">
        <f>-AI1163</f>
        <v>-5.5880000000000001</v>
      </c>
      <c r="AJ1272" s="1578">
        <f>-AJ1163</f>
        <v>-17.274999999999999</v>
      </c>
      <c r="AK1272" s="1578">
        <f>-AK1163</f>
        <v>-21.791</v>
      </c>
      <c r="AL1272" s="1579"/>
      <c r="AM1272" s="1578">
        <f>-AM1163</f>
        <v>-17.283000000000001</v>
      </c>
      <c r="AN1272" s="1578">
        <f>-AN1163</f>
        <v>-21.327999999999999</v>
      </c>
      <c r="AO1272" s="1578">
        <f>-AO1163</f>
        <v>-20.995000000000001</v>
      </c>
      <c r="AP1272" s="1578">
        <f>-AP1163</f>
        <v>-21.707999999999998</v>
      </c>
      <c r="AQ1272" s="1579"/>
      <c r="AR1272" s="1578">
        <f>-AR1163</f>
        <v>-20.481999999999999</v>
      </c>
      <c r="AS1272" s="1578">
        <f>-AS1163</f>
        <v>-20.648</v>
      </c>
      <c r="AT1272" s="1578">
        <f>-AT1163</f>
        <v>-20.754999999999999</v>
      </c>
      <c r="AU1272" s="1578">
        <f>-AU1163</f>
        <v>-21.016999999999999</v>
      </c>
      <c r="AV1272" s="1579"/>
      <c r="AW1272" s="1578">
        <f>-AW1163</f>
        <v>0</v>
      </c>
      <c r="AX1272" s="1578">
        <f>-AX1163</f>
        <v>0</v>
      </c>
      <c r="AY1272" s="1578">
        <f>-AY1163</f>
        <v>0</v>
      </c>
      <c r="AZ1272" s="1578">
        <f>-AZ1163</f>
        <v>0</v>
      </c>
      <c r="BA1272" s="1579"/>
      <c r="BB1272" s="1578">
        <f>-BB1163</f>
        <v>0</v>
      </c>
      <c r="BC1272" s="1578">
        <f>-BC1163</f>
        <v>0</v>
      </c>
      <c r="BD1272" s="1578">
        <f>-BD1163</f>
        <v>0</v>
      </c>
      <c r="BE1272" s="1578">
        <f>-BE1163</f>
        <v>0</v>
      </c>
      <c r="BF1272" s="1579"/>
      <c r="BG1272" s="3022">
        <f>-BG1163</f>
        <v>0</v>
      </c>
      <c r="BH1272" s="1578">
        <f>-BH1163</f>
        <v>0</v>
      </c>
      <c r="BI1272" s="1578">
        <f>-BI1163</f>
        <v>0</v>
      </c>
      <c r="BJ1272" s="1939">
        <f>-BJ1163</f>
        <v>0</v>
      </c>
      <c r="BK1272" s="1579"/>
      <c r="BL1272" s="1578">
        <f>-BL1163</f>
        <v>0</v>
      </c>
      <c r="BM1272" s="1578">
        <f>-BM1163</f>
        <v>0</v>
      </c>
      <c r="BN1272" s="1578">
        <f>-BN1163</f>
        <v>0</v>
      </c>
      <c r="BO1272" s="1939">
        <f>-BO1163</f>
        <v>0</v>
      </c>
      <c r="BP1272" s="1579"/>
      <c r="BQ1272" s="1578">
        <f>-BQ1163</f>
        <v>0</v>
      </c>
      <c r="BR1272" s="1578">
        <f>-BR1163</f>
        <v>0</v>
      </c>
      <c r="BS1272" s="1578">
        <f>-BS1163</f>
        <v>0</v>
      </c>
      <c r="BT1272" s="1939">
        <f>-BT1163</f>
        <v>0</v>
      </c>
      <c r="BU1272" s="3458"/>
      <c r="BV1272" s="1578">
        <f>-BV1163</f>
        <v>0</v>
      </c>
      <c r="BW1272" s="1578">
        <f>-BW1163</f>
        <v>0</v>
      </c>
      <c r="BX1272" s="1578">
        <f>-BX1163</f>
        <v>0</v>
      </c>
      <c r="BY1272" s="1939">
        <f>-BY1163</f>
        <v>0</v>
      </c>
      <c r="BZ1272" s="4038"/>
      <c r="CA1272" s="1579">
        <f t="shared" ref="CA1272:CG1272" si="2394">-CA1163</f>
        <v>0</v>
      </c>
      <c r="CB1272" s="1579">
        <f t="shared" si="2394"/>
        <v>0</v>
      </c>
      <c r="CC1272" s="1579">
        <f t="shared" si="2394"/>
        <v>0</v>
      </c>
      <c r="CD1272" s="1579">
        <f t="shared" si="2394"/>
        <v>0</v>
      </c>
      <c r="CE1272" s="1579">
        <f t="shared" si="2394"/>
        <v>0</v>
      </c>
      <c r="CF1272" s="1579">
        <f t="shared" si="2394"/>
        <v>0</v>
      </c>
      <c r="CG1272" s="1579">
        <f t="shared" si="2394"/>
        <v>0</v>
      </c>
      <c r="CH1272" s="3998"/>
      <c r="CI1272" s="3998"/>
      <c r="CJ1272" s="3998"/>
      <c r="CK1272" s="3998"/>
      <c r="CL1272" s="941"/>
      <c r="CM1272" s="941"/>
      <c r="CN1272" s="941"/>
      <c r="CO1272" s="941"/>
      <c r="CP1272" s="995" t="str">
        <f t="shared" si="2354"/>
        <v>Less: Borgata Interest Expense</v>
      </c>
      <c r="CQ1272" s="1578"/>
      <c r="CR1272" s="1578"/>
      <c r="CS1272" s="1578"/>
      <c r="CT1272" s="1578"/>
      <c r="CU1272" s="1578"/>
      <c r="CV1272" s="1578"/>
      <c r="CW1272" s="1578"/>
      <c r="CX1272" s="1578"/>
      <c r="CY1272" s="1578"/>
      <c r="CZ1272" s="1578"/>
      <c r="DA1272" s="1578"/>
      <c r="DB1272" s="1578"/>
      <c r="DC1272" s="1578">
        <f>BP1272</f>
        <v>0</v>
      </c>
      <c r="DD1272" s="1578">
        <f>BU1272</f>
        <v>0</v>
      </c>
      <c r="DE1272" s="1578">
        <f t="shared" si="2393"/>
        <v>0</v>
      </c>
      <c r="DF1272" s="1578">
        <f t="shared" si="2393"/>
        <v>0</v>
      </c>
      <c r="DG1272" s="1939">
        <f t="shared" si="2393"/>
        <v>0</v>
      </c>
      <c r="DH1272" s="564"/>
      <c r="DI1272" s="564"/>
      <c r="DJ1272" s="564"/>
      <c r="DK1272" s="564"/>
      <c r="DL1272" s="564"/>
      <c r="DM1272" s="564"/>
      <c r="DN1272" s="222"/>
      <c r="DO1272" s="226"/>
      <c r="DY1272" s="1578"/>
      <c r="DZ1272" s="1578"/>
    </row>
    <row r="1273" spans="1:130" ht="12.6" customHeight="1">
      <c r="A1273" s="995" t="s">
        <v>341</v>
      </c>
      <c r="B1273" s="738"/>
      <c r="C1273" s="738"/>
      <c r="D1273" s="734"/>
      <c r="E1273" s="564"/>
      <c r="F1273" s="564"/>
      <c r="G1273" s="564"/>
      <c r="H1273" s="563"/>
      <c r="I1273" s="447"/>
      <c r="J1273" s="447"/>
      <c r="K1273" s="447"/>
      <c r="L1273" s="447"/>
      <c r="M1273" s="736"/>
      <c r="N1273" s="447"/>
      <c r="O1273" s="447"/>
      <c r="P1273" s="447"/>
      <c r="Q1273" s="447"/>
      <c r="R1273" s="736"/>
      <c r="S1273" s="447"/>
      <c r="T1273" s="447"/>
      <c r="U1273" s="447"/>
      <c r="V1273" s="447"/>
      <c r="W1273" s="736"/>
      <c r="X1273" s="447"/>
      <c r="Y1273" s="447"/>
      <c r="Z1273" s="447"/>
      <c r="AA1273" s="447"/>
      <c r="AB1273" s="736"/>
      <c r="AC1273" s="447"/>
      <c r="AD1273" s="447"/>
      <c r="AE1273" s="447"/>
      <c r="AF1273" s="944"/>
      <c r="AG1273" s="736"/>
      <c r="AH1273" s="1578"/>
      <c r="AI1273" s="1578"/>
      <c r="AJ1273" s="1578"/>
      <c r="AK1273" s="1578"/>
      <c r="AL1273" s="1579"/>
      <c r="AM1273" s="1578"/>
      <c r="AN1273" s="1578"/>
      <c r="AO1273" s="1578"/>
      <c r="AP1273" s="1578"/>
      <c r="AQ1273" s="1579"/>
      <c r="AR1273" s="1578"/>
      <c r="AS1273" s="1578"/>
      <c r="AT1273" s="1578">
        <f>-AT1165-AT1164-AT1166</f>
        <v>-7.328125</v>
      </c>
      <c r="AU1273" s="1578">
        <f>-AU1165-AU1164-AU1166</f>
        <v>-12.855024999999999</v>
      </c>
      <c r="AV1273" s="1579"/>
      <c r="AW1273" s="1578">
        <f>-AW1165-AW1164-AW1166</f>
        <v>-19.456858750000002</v>
      </c>
      <c r="AX1273" s="1578">
        <f>-AX1165-AX1164-AX1166</f>
        <v>-16.176359375000001</v>
      </c>
      <c r="AY1273" s="1578">
        <f>-AY1165-AY1164-AY1166</f>
        <v>-16.106638125</v>
      </c>
      <c r="AZ1273" s="1578">
        <f>-AZ1165-AZ1164-AZ1166</f>
        <v>-15.85096875</v>
      </c>
      <c r="BA1273" s="1579"/>
      <c r="BB1273" s="1578">
        <f>-BB1165-BB1164-BB1166</f>
        <v>-15.686015625000001</v>
      </c>
      <c r="BC1273" s="1578">
        <f>-BC1165-BC1164-BC1166</f>
        <v>-15.489856875000001</v>
      </c>
      <c r="BD1273" s="1578">
        <f>-BD1165-BD1164-BD1166</f>
        <v>-15.412687500000001</v>
      </c>
      <c r="BE1273" s="1578">
        <f>-BE1165-BE1164-BE1166</f>
        <v>-15.216125</v>
      </c>
      <c r="BF1273" s="1579"/>
      <c r="BG1273" s="3022">
        <f>-BG1165-BG1164-BG1166</f>
        <v>-15.033109375</v>
      </c>
      <c r="BH1273" s="1578">
        <f>-BH1165-BH1164-BH1166</f>
        <v>-14.659513125</v>
      </c>
      <c r="BI1273" s="1578">
        <f>-BI1165-BI1164-BI1166</f>
        <v>-14.435718750000001</v>
      </c>
      <c r="BJ1273" s="1939">
        <f>-BJ1165-BJ1164-BJ1166</f>
        <v>-14.369843750000001</v>
      </c>
      <c r="BK1273" s="1579"/>
      <c r="BL1273" s="1578">
        <f>-BL1165-BL1164-BL1166</f>
        <v>-14.162709375</v>
      </c>
      <c r="BM1273" s="1578">
        <f>-BM1165-BM1164-BM1166</f>
        <v>-13.814953125000001</v>
      </c>
      <c r="BN1273" s="1578">
        <f>-BN1165-BN1164-BN1166</f>
        <v>-4.885416666666667</v>
      </c>
      <c r="BO1273" s="1939">
        <f>-BO1165-BO1164-BO1166</f>
        <v>0</v>
      </c>
      <c r="BP1273" s="1579">
        <f>SUM(BL1273:BO1273)</f>
        <v>-32.863079166666665</v>
      </c>
      <c r="BQ1273" s="1578">
        <f>-BQ1165-BQ1164-BQ1166</f>
        <v>0</v>
      </c>
      <c r="BR1273" s="1578">
        <f>-BR1165-BR1164-BR1166</f>
        <v>0</v>
      </c>
      <c r="BS1273" s="1578">
        <f>-BS1165-BS1164-BS1166</f>
        <v>0</v>
      </c>
      <c r="BT1273" s="1939">
        <f>-BT1165-BT1164-BT1166</f>
        <v>0</v>
      </c>
      <c r="BU1273" s="3458">
        <f>SUM(BQ1273:BT1273)</f>
        <v>0</v>
      </c>
      <c r="BV1273" s="1578">
        <f>-BV1165-BV1164-BV1166</f>
        <v>0</v>
      </c>
      <c r="BW1273" s="1578">
        <f>-BW1165-BW1164-BW1166</f>
        <v>0</v>
      </c>
      <c r="BX1273" s="1578">
        <f>-BX1165-BX1164-BX1166</f>
        <v>0</v>
      </c>
      <c r="BY1273" s="1939">
        <f>-BY1165-BY1164-BY1166</f>
        <v>0</v>
      </c>
      <c r="BZ1273" s="4038">
        <f>SUM(BV1273:BY1273)</f>
        <v>0</v>
      </c>
      <c r="CA1273" s="1939">
        <f t="shared" ref="CA1273:CG1273" si="2395">-CA1165-CA1164-CA1166</f>
        <v>0</v>
      </c>
      <c r="CB1273" s="1939">
        <f t="shared" si="2395"/>
        <v>0</v>
      </c>
      <c r="CC1273" s="1939">
        <f t="shared" si="2395"/>
        <v>0</v>
      </c>
      <c r="CD1273" s="1939">
        <f t="shared" si="2395"/>
        <v>0</v>
      </c>
      <c r="CE1273" s="1939">
        <f t="shared" si="2395"/>
        <v>0</v>
      </c>
      <c r="CF1273" s="1939">
        <f t="shared" si="2395"/>
        <v>0</v>
      </c>
      <c r="CG1273" s="1939">
        <f t="shared" si="2395"/>
        <v>0</v>
      </c>
      <c r="CH1273" s="3998"/>
      <c r="CI1273" s="3998"/>
      <c r="CJ1273" s="3998"/>
      <c r="CK1273" s="3998"/>
      <c r="CL1273" s="941"/>
      <c r="CM1273" s="941"/>
      <c r="CN1273" s="941"/>
      <c r="CO1273" s="941"/>
      <c r="CP1273" s="995"/>
      <c r="CQ1273" s="1578"/>
      <c r="CR1273" s="1578"/>
      <c r="CS1273" s="1578"/>
      <c r="CT1273" s="1578"/>
      <c r="CU1273" s="1578"/>
      <c r="CV1273" s="1578"/>
      <c r="CW1273" s="1578"/>
      <c r="CX1273" s="1578"/>
      <c r="CY1273" s="1578"/>
      <c r="CZ1273" s="1578"/>
      <c r="DA1273" s="1578"/>
      <c r="DB1273" s="1578"/>
      <c r="DC1273" s="1578"/>
      <c r="DD1273" s="1578"/>
      <c r="DE1273" s="1578"/>
      <c r="DF1273" s="1578"/>
      <c r="DG1273" s="1939"/>
      <c r="DH1273" s="564"/>
      <c r="DI1273" s="564"/>
      <c r="DJ1273" s="564"/>
      <c r="DK1273" s="564"/>
      <c r="DL1273" s="564"/>
      <c r="DM1273" s="564"/>
      <c r="DN1273" s="222"/>
      <c r="DO1273" s="226"/>
      <c r="DY1273" s="1578"/>
      <c r="DZ1273" s="1578"/>
    </row>
    <row r="1274" spans="1:130" ht="4.5" customHeight="1">
      <c r="A1274" s="962"/>
      <c r="B1274" s="293"/>
      <c r="C1274" s="293"/>
      <c r="D1274" s="294" t="s">
        <v>343</v>
      </c>
      <c r="E1274" s="295" t="s">
        <v>343</v>
      </c>
      <c r="F1274" s="295" t="s">
        <v>343</v>
      </c>
      <c r="G1274" s="295" t="s">
        <v>343</v>
      </c>
      <c r="H1274" s="296" t="s">
        <v>343</v>
      </c>
      <c r="I1274" s="295" t="s">
        <v>343</v>
      </c>
      <c r="J1274" s="295" t="s">
        <v>343</v>
      </c>
      <c r="K1274" s="295" t="s">
        <v>343</v>
      </c>
      <c r="L1274" s="295" t="s">
        <v>343</v>
      </c>
      <c r="M1274" s="296" t="s">
        <v>343</v>
      </c>
      <c r="N1274" s="295" t="s">
        <v>343</v>
      </c>
      <c r="O1274" s="295" t="s">
        <v>343</v>
      </c>
      <c r="P1274" s="295" t="s">
        <v>343</v>
      </c>
      <c r="Q1274" s="295" t="s">
        <v>343</v>
      </c>
      <c r="R1274" s="296" t="s">
        <v>343</v>
      </c>
      <c r="S1274" s="295" t="s">
        <v>343</v>
      </c>
      <c r="T1274" s="295" t="s">
        <v>343</v>
      </c>
      <c r="U1274" s="295" t="s">
        <v>343</v>
      </c>
      <c r="V1274" s="295" t="s">
        <v>343</v>
      </c>
      <c r="W1274" s="296" t="s">
        <v>343</v>
      </c>
      <c r="X1274" s="295" t="s">
        <v>343</v>
      </c>
      <c r="Y1274" s="295" t="s">
        <v>343</v>
      </c>
      <c r="Z1274" s="295" t="s">
        <v>343</v>
      </c>
      <c r="AA1274" s="295" t="s">
        <v>343</v>
      </c>
      <c r="AB1274" s="296" t="s">
        <v>343</v>
      </c>
      <c r="AC1274" s="295" t="s">
        <v>343</v>
      </c>
      <c r="AD1274" s="295" t="s">
        <v>343</v>
      </c>
      <c r="AE1274" s="295" t="s">
        <v>343</v>
      </c>
      <c r="AF1274" s="295" t="s">
        <v>343</v>
      </c>
      <c r="AG1274" s="296" t="s">
        <v>343</v>
      </c>
      <c r="AH1274" s="295" t="s">
        <v>343</v>
      </c>
      <c r="AI1274" s="295" t="s">
        <v>343</v>
      </c>
      <c r="AJ1274" s="295" t="s">
        <v>343</v>
      </c>
      <c r="AK1274" s="295" t="s">
        <v>343</v>
      </c>
      <c r="AL1274" s="296" t="s">
        <v>343</v>
      </c>
      <c r="AM1274" s="295" t="s">
        <v>343</v>
      </c>
      <c r="AN1274" s="295" t="s">
        <v>343</v>
      </c>
      <c r="AO1274" s="295" t="s">
        <v>343</v>
      </c>
      <c r="AP1274" s="295" t="s">
        <v>343</v>
      </c>
      <c r="AQ1274" s="296" t="s">
        <v>343</v>
      </c>
      <c r="AR1274" s="295" t="s">
        <v>343</v>
      </c>
      <c r="AS1274" s="295" t="s">
        <v>343</v>
      </c>
      <c r="AT1274" s="295" t="s">
        <v>343</v>
      </c>
      <c r="AU1274" s="295" t="s">
        <v>343</v>
      </c>
      <c r="AV1274" s="296" t="s">
        <v>343</v>
      </c>
      <c r="AW1274" s="295" t="s">
        <v>343</v>
      </c>
      <c r="AX1274" s="295" t="s">
        <v>343</v>
      </c>
      <c r="AY1274" s="295" t="s">
        <v>343</v>
      </c>
      <c r="AZ1274" s="295" t="s">
        <v>343</v>
      </c>
      <c r="BA1274" s="296" t="s">
        <v>343</v>
      </c>
      <c r="BB1274" s="295" t="s">
        <v>343</v>
      </c>
      <c r="BC1274" s="295" t="s">
        <v>343</v>
      </c>
      <c r="BD1274" s="295" t="s">
        <v>343</v>
      </c>
      <c r="BE1274" s="295" t="s">
        <v>343</v>
      </c>
      <c r="BF1274" s="296"/>
      <c r="BG1274" s="294" t="s">
        <v>343</v>
      </c>
      <c r="BH1274" s="295" t="s">
        <v>343</v>
      </c>
      <c r="BI1274" s="295" t="s">
        <v>343</v>
      </c>
      <c r="BJ1274" s="297" t="s">
        <v>343</v>
      </c>
      <c r="BK1274" s="296"/>
      <c r="BL1274" s="295" t="s">
        <v>343</v>
      </c>
      <c r="BM1274" s="295" t="s">
        <v>343</v>
      </c>
      <c r="BN1274" s="295" t="s">
        <v>343</v>
      </c>
      <c r="BO1274" s="297" t="s">
        <v>343</v>
      </c>
      <c r="BP1274" s="296" t="s">
        <v>343</v>
      </c>
      <c r="BQ1274" s="295" t="s">
        <v>343</v>
      </c>
      <c r="BR1274" s="295" t="s">
        <v>343</v>
      </c>
      <c r="BS1274" s="295" t="s">
        <v>343</v>
      </c>
      <c r="BT1274" s="297" t="s">
        <v>343</v>
      </c>
      <c r="BU1274" s="3314" t="s">
        <v>343</v>
      </c>
      <c r="BV1274" s="295" t="s">
        <v>343</v>
      </c>
      <c r="BW1274" s="295" t="s">
        <v>343</v>
      </c>
      <c r="BX1274" s="295" t="s">
        <v>343</v>
      </c>
      <c r="BY1274" s="297" t="s">
        <v>343</v>
      </c>
      <c r="BZ1274" s="297" t="s">
        <v>343</v>
      </c>
      <c r="CA1274" s="297" t="s">
        <v>343</v>
      </c>
      <c r="CB1274" s="297" t="s">
        <v>343</v>
      </c>
      <c r="CC1274" s="297" t="s">
        <v>343</v>
      </c>
      <c r="CD1274" s="297" t="s">
        <v>343</v>
      </c>
      <c r="CE1274" s="297" t="s">
        <v>343</v>
      </c>
      <c r="CF1274" s="297" t="s">
        <v>343</v>
      </c>
      <c r="CG1274" s="297" t="s">
        <v>343</v>
      </c>
      <c r="CH1274" s="295"/>
      <c r="CI1274" s="295"/>
      <c r="CJ1274" s="295"/>
      <c r="CK1274" s="295"/>
      <c r="CL1274" s="295"/>
      <c r="CM1274" s="295"/>
      <c r="CN1274" s="295"/>
      <c r="CO1274" s="295"/>
      <c r="CP1274" s="1784"/>
      <c r="CQ1274" s="295"/>
      <c r="CR1274" s="295"/>
      <c r="CS1274" s="295"/>
      <c r="CT1274" s="295"/>
      <c r="CU1274" s="295"/>
      <c r="CV1274" s="295"/>
      <c r="CW1274" s="295"/>
      <c r="CX1274" s="295"/>
      <c r="CY1274" s="295"/>
      <c r="CZ1274" s="295"/>
      <c r="DA1274" s="295"/>
      <c r="DB1274" s="295"/>
      <c r="DC1274" s="295" t="str">
        <f>BP1274</f>
        <v xml:space="preserve">                </v>
      </c>
      <c r="DD1274" s="295" t="str">
        <f>BU1274</f>
        <v xml:space="preserve">                </v>
      </c>
      <c r="DE1274" s="295" t="str">
        <f t="shared" si="2393"/>
        <v xml:space="preserve">                </v>
      </c>
      <c r="DF1274" s="295" t="str">
        <f t="shared" si="2393"/>
        <v xml:space="preserve">                </v>
      </c>
      <c r="DG1274" s="297" t="str">
        <f t="shared" si="2393"/>
        <v xml:space="preserve">                </v>
      </c>
      <c r="DH1274" s="298"/>
      <c r="DI1274" s="299"/>
      <c r="DJ1274" s="299"/>
      <c r="DK1274" s="299"/>
      <c r="DL1274" s="299"/>
      <c r="DM1274" s="299"/>
      <c r="DN1274" s="299"/>
      <c r="DO1274" s="300"/>
      <c r="DY1274" s="295"/>
      <c r="DZ1274" s="295"/>
    </row>
    <row r="1275" spans="1:130" ht="12.6" customHeight="1">
      <c r="A1275" s="993" t="s">
        <v>906</v>
      </c>
      <c r="B1275" s="875"/>
      <c r="C1275" s="875"/>
      <c r="D1275" s="734"/>
      <c r="E1275" s="564"/>
      <c r="F1275" s="564"/>
      <c r="G1275" s="564"/>
      <c r="H1275" s="563"/>
      <c r="I1275" s="447"/>
      <c r="J1275" s="447"/>
      <c r="K1275" s="447"/>
      <c r="L1275" s="447"/>
      <c r="M1275" s="736"/>
      <c r="N1275" s="447"/>
      <c r="O1275" s="447"/>
      <c r="P1275" s="447"/>
      <c r="Q1275" s="447"/>
      <c r="R1275" s="736"/>
      <c r="S1275" s="447"/>
      <c r="T1275" s="447"/>
      <c r="U1275" s="447"/>
      <c r="V1275" s="447"/>
      <c r="W1275" s="736"/>
      <c r="X1275" s="447"/>
      <c r="Y1275" s="447"/>
      <c r="Z1275" s="447"/>
      <c r="AA1275" s="447"/>
      <c r="AB1275" s="736"/>
      <c r="AC1275" s="447"/>
      <c r="AD1275" s="447"/>
      <c r="AE1275" s="447"/>
      <c r="AF1275" s="944"/>
      <c r="AG1275" s="736"/>
      <c r="AH1275" s="1578">
        <f>SUM(AH1271:AH1274)</f>
        <v>28.523000000000003</v>
      </c>
      <c r="AI1275" s="1578">
        <f>SUM(AI1271:AI1274)</f>
        <v>29.061999999999998</v>
      </c>
      <c r="AJ1275" s="1578">
        <f>SUM(AJ1271:AJ1274)</f>
        <v>28.506</v>
      </c>
      <c r="AK1275" s="1578">
        <f>SUM(AK1271:AK1274)</f>
        <v>33.224000000000004</v>
      </c>
      <c r="AL1275" s="1579"/>
      <c r="AM1275" s="1578">
        <f>SUM(AM1271:AM1274)</f>
        <v>40.003</v>
      </c>
      <c r="AN1275" s="1578">
        <f>SUM(AN1271:AN1274)</f>
        <v>45.394000000000005</v>
      </c>
      <c r="AO1275" s="1578">
        <f>SUM(AO1271:AO1274)</f>
        <v>39.072999999999993</v>
      </c>
      <c r="AP1275" s="1578">
        <f>SUM(AP1271:AP1274)</f>
        <v>44.948999999999998</v>
      </c>
      <c r="AQ1275" s="1579"/>
      <c r="AR1275" s="1578">
        <f>SUM(AR1271:AR1274)</f>
        <v>43.342000000000006</v>
      </c>
      <c r="AS1275" s="1578">
        <f>SUM(AS1271:AS1274)</f>
        <v>43.731999999999999</v>
      </c>
      <c r="AT1275" s="1578">
        <f>SUM(AT1271:AT1274)</f>
        <v>45.759875000000008</v>
      </c>
      <c r="AU1275" s="1578">
        <f>SUM(AU1271:AU1274)</f>
        <v>52.915975000000003</v>
      </c>
      <c r="AV1275" s="1579"/>
      <c r="AW1275" s="1578">
        <f>SUM(AW1271:AW1274)</f>
        <v>54.743141250000001</v>
      </c>
      <c r="AX1275" s="1578">
        <f>SUM(AX1271:AX1274)</f>
        <v>50.523640624999999</v>
      </c>
      <c r="AY1275" s="1578">
        <f>SUM(AY1271:AY1274)</f>
        <v>46.193361874999994</v>
      </c>
      <c r="AZ1275" s="1578">
        <f>SUM(AZ1271:AZ1274)</f>
        <v>41.749031250000002</v>
      </c>
      <c r="BA1275" s="1579"/>
      <c r="BB1275" s="1578">
        <f>SUM(BB1271:BB1274)</f>
        <v>41.613984374999994</v>
      </c>
      <c r="BC1275" s="1578">
        <f>SUM(BC1271:BC1274)</f>
        <v>41.410143124999998</v>
      </c>
      <c r="BD1275" s="1578">
        <f>SUM(BD1271:BD1274)</f>
        <v>41.687312500000004</v>
      </c>
      <c r="BE1275" s="1578">
        <f>SUM(BE1271:BE1274)</f>
        <v>41.484875000000002</v>
      </c>
      <c r="BF1275" s="1579"/>
      <c r="BG1275" s="3022">
        <f>SUM(BG1271:BG1274)</f>
        <v>41.430890624999996</v>
      </c>
      <c r="BH1275" s="1578">
        <f>SUM(BH1271:BH1274)</f>
        <v>42.006486874999993</v>
      </c>
      <c r="BI1275" s="1578">
        <f>SUM(BI1271:BI1274)</f>
        <v>41.662281249999999</v>
      </c>
      <c r="BJ1275" s="1939">
        <f>SUM(BJ1271:BJ1274)</f>
        <v>39.134156249999997</v>
      </c>
      <c r="BK1275" s="1579"/>
      <c r="BL1275" s="1578">
        <f>SUM(BL1271:BL1274)</f>
        <v>38.405290624999999</v>
      </c>
      <c r="BM1275" s="1578">
        <f>SUM(BM1271:BM1274)</f>
        <v>47.113046874999995</v>
      </c>
      <c r="BN1275" s="1578">
        <f>SUM(BN1271:BN1274)</f>
        <v>49.267583333333341</v>
      </c>
      <c r="BO1275" s="1939">
        <f>SUM(BO1271:BO1274)</f>
        <v>42.082000000000001</v>
      </c>
      <c r="BP1275" s="1579">
        <f>SUM(BL1275:BO1275)</f>
        <v>176.86792083333333</v>
      </c>
      <c r="BQ1275" s="1578">
        <f>SUM(BQ1271:BQ1274)</f>
        <v>43.213999999999999</v>
      </c>
      <c r="BR1275" s="1578">
        <f>SUM(BR1271:BR1274)</f>
        <v>42.273000000000003</v>
      </c>
      <c r="BS1275" s="1578">
        <f>SUM(BS1271:BS1274)</f>
        <v>42.856999999999999</v>
      </c>
      <c r="BT1275" s="1939">
        <f>SUM(BT1271:BT1274)</f>
        <v>42.945999999999998</v>
      </c>
      <c r="BU1275" s="3458">
        <f>SUM(BQ1275:BT1275)</f>
        <v>171.29</v>
      </c>
      <c r="BV1275" s="1578">
        <f>SUM(BV1271:BV1274)</f>
        <v>43.860372031250002</v>
      </c>
      <c r="BW1275" s="1578">
        <f>SUM(BW1271:BW1274)</f>
        <v>44.727592656250003</v>
      </c>
      <c r="BX1275" s="1578">
        <f>SUM(BX1271:BX1274)</f>
        <v>68.493657031249995</v>
      </c>
      <c r="BY1275" s="1939">
        <f>SUM(BY1271:BY1274)</f>
        <v>69.353065156250011</v>
      </c>
      <c r="BZ1275" s="4038">
        <f>SUM(BV1275:BY1275)</f>
        <v>226.43468687500001</v>
      </c>
      <c r="CA1275" s="1579">
        <f t="shared" ref="CA1275:CG1275" si="2396">SUM(CA1271:CA1274)</f>
        <v>312.22104485</v>
      </c>
      <c r="CB1275" s="1579">
        <f t="shared" si="2396"/>
        <v>318.79065617138781</v>
      </c>
      <c r="CC1275" s="1579">
        <f t="shared" si="2396"/>
        <v>129.86223374999997</v>
      </c>
      <c r="CD1275" s="1579">
        <f t="shared" si="2396"/>
        <v>128.63910874999999</v>
      </c>
      <c r="CE1275" s="1579">
        <f t="shared" si="2396"/>
        <v>127.41598374999998</v>
      </c>
      <c r="CF1275" s="1579">
        <f t="shared" si="2396"/>
        <v>126.19285875</v>
      </c>
      <c r="CG1275" s="1579">
        <f t="shared" si="2396"/>
        <v>124.96973374999999</v>
      </c>
      <c r="CH1275" s="3998"/>
      <c r="CI1275" s="3998"/>
      <c r="CJ1275" s="3998"/>
      <c r="CK1275" s="3998"/>
      <c r="CL1275" s="941"/>
      <c r="CM1275" s="941"/>
      <c r="CN1275" s="941"/>
      <c r="CO1275" s="941"/>
      <c r="CP1275" s="993" t="str">
        <f t="shared" si="2354"/>
        <v>Covenant Consolidated Interest Expense</v>
      </c>
      <c r="CQ1275" s="1578"/>
      <c r="CR1275" s="1578"/>
      <c r="CS1275" s="1578"/>
      <c r="CT1275" s="1578"/>
      <c r="CU1275" s="1578"/>
      <c r="CV1275" s="1578"/>
      <c r="CW1275" s="1578"/>
      <c r="CX1275" s="1578"/>
      <c r="CY1275" s="1578"/>
      <c r="CZ1275" s="1578"/>
      <c r="DA1275" s="1578"/>
      <c r="DB1275" s="1578"/>
      <c r="DC1275" s="1578">
        <f>BP1275</f>
        <v>176.86792083333333</v>
      </c>
      <c r="DD1275" s="1578">
        <f>BU1275</f>
        <v>171.29</v>
      </c>
      <c r="DE1275" s="1578">
        <f t="shared" si="2393"/>
        <v>226.43468687500001</v>
      </c>
      <c r="DF1275" s="1578">
        <f t="shared" si="2393"/>
        <v>312.22104485</v>
      </c>
      <c r="DG1275" s="1939">
        <f t="shared" si="2393"/>
        <v>318.79065617138781</v>
      </c>
      <c r="DH1275" s="564"/>
      <c r="DI1275" s="564"/>
      <c r="DJ1275" s="564"/>
      <c r="DK1275" s="564"/>
      <c r="DL1275" s="564"/>
      <c r="DM1275" s="564"/>
      <c r="DN1275" s="222"/>
      <c r="DO1275" s="226"/>
      <c r="DY1275" s="1578"/>
      <c r="DZ1275" s="1578"/>
    </row>
    <row r="1276" spans="1:130" ht="12.6" customHeight="1">
      <c r="A1276" s="993" t="s">
        <v>907</v>
      </c>
      <c r="B1276" s="875"/>
      <c r="C1276" s="875"/>
      <c r="D1276" s="734"/>
      <c r="E1276" s="564"/>
      <c r="F1276" s="564"/>
      <c r="G1276" s="564"/>
      <c r="H1276" s="736">
        <f>-H73</f>
        <v>102.02600000000001</v>
      </c>
      <c r="I1276" s="564">
        <f>-(I73+G73+F73+E73)</f>
        <v>116.249</v>
      </c>
      <c r="J1276" s="564">
        <f>-(J73+I73+G73+F73)</f>
        <v>127.125</v>
      </c>
      <c r="K1276" s="564">
        <f>-(K73+J73+I73+G73)</f>
        <v>127.93899999999999</v>
      </c>
      <c r="L1276" s="564">
        <f>-(L73+K73+J73+I73)</f>
        <v>128.839</v>
      </c>
      <c r="M1276" s="736">
        <f>L1276</f>
        <v>128.839</v>
      </c>
      <c r="N1276" s="564">
        <f>-(N73+L73+K73+J73)</f>
        <v>138.54399999999998</v>
      </c>
      <c r="O1276" s="564">
        <f>-(O73+N73+L73+K73)</f>
        <v>150.101</v>
      </c>
      <c r="P1276" s="564">
        <f>-(P73+O73+N73+L73)</f>
        <v>155.97000000000003</v>
      </c>
      <c r="Q1276" s="564">
        <f>-(Q73+P73+O73+N73)</f>
        <v>160.471</v>
      </c>
      <c r="R1276" s="736">
        <f>Q1276</f>
        <v>160.471</v>
      </c>
      <c r="S1276" s="564">
        <f>-(S73+Q73+P73+O73)</f>
        <v>155.249</v>
      </c>
      <c r="T1276" s="564">
        <f>-(T73+S73+Q73+P73)</f>
        <v>144.726</v>
      </c>
      <c r="U1276" s="564">
        <f>-(U73+T73+S73+Q73)</f>
        <v>141.74900000000002</v>
      </c>
      <c r="V1276" s="564">
        <f>-(V73+U73+T73+S73)</f>
        <v>137.57300000000001</v>
      </c>
      <c r="W1276" s="736">
        <f>V1276</f>
        <v>137.57300000000001</v>
      </c>
      <c r="X1276" s="564">
        <f>-(X73+V73+U73+T73)</f>
        <v>131.27799999999999</v>
      </c>
      <c r="Y1276" s="564">
        <f>-(Y73+X73+V73+U73)</f>
        <v>124.63800000000001</v>
      </c>
      <c r="Z1276" s="564">
        <f>-(Z73+Y73+X73+V73)</f>
        <v>116.492</v>
      </c>
      <c r="AA1276" s="564">
        <f>-(AA73+Z73+Y73+X73)</f>
        <v>109.07599999999999</v>
      </c>
      <c r="AB1276" s="736">
        <f>AA1276</f>
        <v>109.07599999999999</v>
      </c>
      <c r="AC1276" s="564">
        <f>-(AC73+AA73+Z73+Y73)</f>
        <v>124.08999999999999</v>
      </c>
      <c r="AD1276" s="564">
        <f>-(AD73+AC73+AA73+Z73)</f>
        <v>133.16800000000001</v>
      </c>
      <c r="AE1276" s="564">
        <f>-(AE73+AD73+AC73+AA73)</f>
        <v>139.12299999999999</v>
      </c>
      <c r="AF1276" s="564">
        <f>-(AF73+AE73+AD73+AC73)</f>
        <v>146.82400000000001</v>
      </c>
      <c r="AG1276" s="736">
        <f>AF1276</f>
        <v>146.82400000000001</v>
      </c>
      <c r="AH1276" s="564"/>
      <c r="AI1276" s="564"/>
      <c r="AJ1276" s="564"/>
      <c r="AK1276" s="564">
        <f>SUM(AH1275:AK1275)</f>
        <v>119.31500000000001</v>
      </c>
      <c r="AL1276" s="736"/>
      <c r="AM1276" s="564">
        <f>AM1275+AK1275+AJ1275+AI1275</f>
        <v>130.79500000000002</v>
      </c>
      <c r="AN1276" s="564">
        <f>AN1275+AM1275+AK1275+AJ1275</f>
        <v>147.12700000000001</v>
      </c>
      <c r="AO1276" s="564">
        <f>AO1275+AN1275+AM1275+AK1275</f>
        <v>157.69400000000002</v>
      </c>
      <c r="AP1276" s="564">
        <f>AP1275+AO1275+AN1275+AM1275</f>
        <v>169.41899999999998</v>
      </c>
      <c r="AQ1276" s="736"/>
      <c r="AR1276" s="564">
        <f>AR1275+AP1275+AO1275+AN1275</f>
        <v>172.75799999999998</v>
      </c>
      <c r="AS1276" s="564">
        <f>AS1275+AR1275+AP1275+AO1275</f>
        <v>171.096</v>
      </c>
      <c r="AT1276" s="564">
        <f>AT1275+AS1275+AR1275+AP1275</f>
        <v>177.78287499999999</v>
      </c>
      <c r="AU1276" s="564">
        <f>AU1275+AT1275+AS1275+AR1275</f>
        <v>185.74985000000001</v>
      </c>
      <c r="AV1276" s="736"/>
      <c r="AW1276" s="564">
        <f>AW1275+AU1275+AT1275+AS1275</f>
        <v>197.15099125000003</v>
      </c>
      <c r="AX1276" s="564">
        <f>AX1275+AW1275+AU1275+AT1275</f>
        <v>203.94263187500002</v>
      </c>
      <c r="AY1276" s="564">
        <f>AY1275+AX1275+AW1275+AU1275</f>
        <v>204.37611874999999</v>
      </c>
      <c r="AZ1276" s="564">
        <f>AZ1275+AY1275+AX1275+AW1275</f>
        <v>193.20917500000002</v>
      </c>
      <c r="BA1276" s="736"/>
      <c r="BB1276" s="564">
        <f>BB1275+AZ1275+AY1275+AX1275</f>
        <v>180.08001812499998</v>
      </c>
      <c r="BC1276" s="564">
        <f>BC1275+BB1275+AZ1275+AY1275</f>
        <v>170.96652062499999</v>
      </c>
      <c r="BD1276" s="564">
        <f>BD1275+BC1275+BB1275+AZ1275</f>
        <v>166.46047125000001</v>
      </c>
      <c r="BE1276" s="564">
        <f>BE1275+BD1275+BC1275+BB1275</f>
        <v>166.196315</v>
      </c>
      <c r="BF1276" s="736"/>
      <c r="BG1276" s="734">
        <f>BG1275+BE1275+BD1275+BC1275</f>
        <v>166.01322125000002</v>
      </c>
      <c r="BH1276" s="564">
        <f>BH1275+BG1275+BE1275+BD1275</f>
        <v>166.609565</v>
      </c>
      <c r="BI1276" s="564">
        <f>BI1275+BH1275+BG1275+BE1275</f>
        <v>166.58453374999999</v>
      </c>
      <c r="BJ1276" s="1789">
        <f>BJ1275+BI1275+BH1275+BG1275</f>
        <v>164.23381499999999</v>
      </c>
      <c r="BK1276" s="736"/>
      <c r="BL1276" s="564">
        <f>BL1275+BJ1275+BI1275+BH1275</f>
        <v>161.208215</v>
      </c>
      <c r="BM1276" s="564">
        <f>BM1275+BL1275+BJ1275+BI1275</f>
        <v>166.314775</v>
      </c>
      <c r="BN1276" s="564">
        <f>BN1275+BM1275+BL1275+BJ1275</f>
        <v>173.92007708333333</v>
      </c>
      <c r="BO1276" s="1789">
        <f>BO1275+BN1275+BM1275+BL1275</f>
        <v>176.86792083333333</v>
      </c>
      <c r="BP1276" s="736">
        <f>BO1276</f>
        <v>176.86792083333333</v>
      </c>
      <c r="BQ1276" s="564">
        <f>BQ1275+BN1275+BO1275+BM1275</f>
        <v>181.67663020833334</v>
      </c>
      <c r="BR1276" s="564">
        <f>BR1275+BQ1275+BO1275+BN1275</f>
        <v>176.83658333333332</v>
      </c>
      <c r="BS1276" s="564">
        <f>BS1275+BR1275+BQ1275+BO1275</f>
        <v>170.42599999999999</v>
      </c>
      <c r="BT1276" s="1789">
        <f>BT1275+BS1275+BR1275+BQ1275</f>
        <v>171.29</v>
      </c>
      <c r="BU1276" s="3320">
        <f>BT1276</f>
        <v>171.29</v>
      </c>
      <c r="BV1276" s="564">
        <f>BV1275+BS1275+BT1275+BR1275</f>
        <v>171.93637203124999</v>
      </c>
      <c r="BW1276" s="564">
        <f>BW1275+BV1275+BT1275+BS1275</f>
        <v>174.3909646875</v>
      </c>
      <c r="BX1276" s="564">
        <f>BX1275+BW1275+BV1275+BT1275</f>
        <v>200.02762171875</v>
      </c>
      <c r="BY1276" s="1789">
        <f>BY1275+BX1275+BW1275+BV1275</f>
        <v>226.43468687500001</v>
      </c>
      <c r="BZ1276" s="4036">
        <f>BY1276</f>
        <v>226.43468687500001</v>
      </c>
      <c r="CA1276" s="736">
        <f t="shared" ref="CA1276:CG1276" si="2397">CA1275</f>
        <v>312.22104485</v>
      </c>
      <c r="CB1276" s="736">
        <f t="shared" si="2397"/>
        <v>318.79065617138781</v>
      </c>
      <c r="CC1276" s="736">
        <f t="shared" si="2397"/>
        <v>129.86223374999997</v>
      </c>
      <c r="CD1276" s="736">
        <f t="shared" si="2397"/>
        <v>128.63910874999999</v>
      </c>
      <c r="CE1276" s="736">
        <f t="shared" si="2397"/>
        <v>127.41598374999998</v>
      </c>
      <c r="CF1276" s="736">
        <f t="shared" si="2397"/>
        <v>126.19285875</v>
      </c>
      <c r="CG1276" s="736">
        <f t="shared" si="2397"/>
        <v>124.96973374999999</v>
      </c>
      <c r="CH1276" s="3998"/>
      <c r="CI1276" s="3998"/>
      <c r="CJ1276" s="3998"/>
      <c r="CK1276" s="3998"/>
      <c r="CL1276" s="941"/>
      <c r="CM1276" s="941"/>
      <c r="CN1276" s="941"/>
      <c r="CO1276" s="941"/>
      <c r="CP1276" s="993" t="str">
        <f t="shared" si="2354"/>
        <v>LTM Interest Expense</v>
      </c>
      <c r="CQ1276" s="564">
        <f>H1276</f>
        <v>102.02600000000001</v>
      </c>
      <c r="CR1276" s="564">
        <f>M1276</f>
        <v>128.839</v>
      </c>
      <c r="CS1276" s="564">
        <f>R1276</f>
        <v>160.471</v>
      </c>
      <c r="CT1276" s="564">
        <f>W1276</f>
        <v>137.57300000000001</v>
      </c>
      <c r="CU1276" s="564">
        <f>AB1276</f>
        <v>109.07599999999999</v>
      </c>
      <c r="CV1276" s="564">
        <f>AG1276</f>
        <v>146.82400000000001</v>
      </c>
      <c r="CW1276" s="564"/>
      <c r="CX1276" s="564"/>
      <c r="CY1276" s="564"/>
      <c r="CZ1276" s="564"/>
      <c r="DA1276" s="564"/>
      <c r="DB1276" s="564"/>
      <c r="DC1276" s="564">
        <f>BP1276</f>
        <v>176.86792083333333</v>
      </c>
      <c r="DD1276" s="564">
        <f>BU1276</f>
        <v>171.29</v>
      </c>
      <c r="DE1276" s="564">
        <f t="shared" si="2393"/>
        <v>226.43468687500001</v>
      </c>
      <c r="DF1276" s="564">
        <f t="shared" si="2393"/>
        <v>312.22104485</v>
      </c>
      <c r="DG1276" s="1789">
        <f t="shared" si="2393"/>
        <v>318.79065617138781</v>
      </c>
      <c r="DH1276" s="564"/>
      <c r="DI1276" s="564"/>
      <c r="DJ1276" s="564"/>
      <c r="DK1276" s="564"/>
      <c r="DL1276" s="564"/>
      <c r="DM1276" s="564"/>
      <c r="DN1276" s="222"/>
      <c r="DO1276" s="226"/>
      <c r="DY1276" s="564"/>
      <c r="DZ1276" s="564"/>
    </row>
    <row r="1277" spans="1:130" ht="12" customHeight="1">
      <c r="A1277" s="995"/>
      <c r="B1277" s="875"/>
      <c r="C1277" s="875"/>
      <c r="D1277" s="734"/>
      <c r="E1277" s="564"/>
      <c r="F1277" s="564"/>
      <c r="G1277" s="564"/>
      <c r="H1277" s="563"/>
      <c r="I1277" s="447"/>
      <c r="J1277" s="447"/>
      <c r="K1277" s="447"/>
      <c r="L1277" s="447"/>
      <c r="M1277" s="736"/>
      <c r="N1277" s="447"/>
      <c r="O1277" s="447"/>
      <c r="P1277" s="447"/>
      <c r="Q1277" s="447"/>
      <c r="R1277" s="736"/>
      <c r="S1277" s="564"/>
      <c r="T1277" s="564"/>
      <c r="U1277" s="564"/>
      <c r="V1277" s="564"/>
      <c r="W1277" s="736"/>
      <c r="X1277" s="564"/>
      <c r="Y1277" s="564"/>
      <c r="Z1277" s="564"/>
      <c r="AA1277" s="564"/>
      <c r="AB1277" s="736"/>
      <c r="AC1277" s="564"/>
      <c r="AD1277" s="564"/>
      <c r="AE1277" s="564"/>
      <c r="AF1277" s="564"/>
      <c r="AG1277" s="736"/>
      <c r="AH1277" s="564"/>
      <c r="AI1277" s="564"/>
      <c r="AJ1277" s="564"/>
      <c r="AK1277" s="564"/>
      <c r="AL1277" s="736"/>
      <c r="AM1277" s="564"/>
      <c r="AN1277" s="564"/>
      <c r="AO1277" s="564"/>
      <c r="AP1277" s="564"/>
      <c r="AQ1277" s="736"/>
      <c r="AR1277" s="564"/>
      <c r="AS1277" s="564"/>
      <c r="AT1277" s="564"/>
      <c r="AU1277" s="564"/>
      <c r="AV1277" s="736"/>
      <c r="AW1277" s="564"/>
      <c r="AX1277" s="564"/>
      <c r="AY1277" s="564"/>
      <c r="AZ1277" s="564"/>
      <c r="BA1277" s="736"/>
      <c r="BB1277" s="564"/>
      <c r="BC1277" s="564"/>
      <c r="BD1277" s="564"/>
      <c r="BE1277" s="564"/>
      <c r="BF1277" s="736"/>
      <c r="BG1277" s="734"/>
      <c r="BH1277" s="564"/>
      <c r="BI1277" s="564"/>
      <c r="BJ1277" s="1789"/>
      <c r="BK1277" s="736"/>
      <c r="BL1277" s="564"/>
      <c r="BM1277" s="564"/>
      <c r="BN1277" s="564"/>
      <c r="BO1277" s="1789"/>
      <c r="BP1277" s="736"/>
      <c r="BQ1277" s="564"/>
      <c r="BR1277" s="564"/>
      <c r="BS1277" s="564"/>
      <c r="BT1277" s="1789"/>
      <c r="BU1277" s="3320"/>
      <c r="BV1277" s="564"/>
      <c r="BW1277" s="564"/>
      <c r="BX1277" s="564"/>
      <c r="BY1277" s="1789"/>
      <c r="BZ1277" s="1789"/>
      <c r="CA1277" s="736"/>
      <c r="CB1277" s="736"/>
      <c r="CC1277" s="736"/>
      <c r="CD1277" s="736"/>
      <c r="CE1277" s="736"/>
      <c r="CF1277" s="736"/>
      <c r="CG1277" s="736"/>
      <c r="CH1277" s="3998"/>
      <c r="CI1277" s="3998"/>
      <c r="CJ1277" s="3998"/>
      <c r="CK1277" s="3998"/>
      <c r="CL1277" s="941"/>
      <c r="CM1277" s="941"/>
      <c r="CN1277" s="941"/>
      <c r="CO1277" s="941"/>
      <c r="CP1277" s="995"/>
      <c r="CQ1277" s="564"/>
      <c r="CR1277" s="564"/>
      <c r="CS1277" s="564"/>
      <c r="CT1277" s="564"/>
      <c r="CU1277" s="564"/>
      <c r="CV1277" s="564"/>
      <c r="CW1277" s="564"/>
      <c r="CX1277" s="564"/>
      <c r="CY1277" s="564"/>
      <c r="CZ1277" s="564"/>
      <c r="DA1277" s="564"/>
      <c r="DB1277" s="564"/>
      <c r="DC1277" s="564"/>
      <c r="DD1277" s="564"/>
      <c r="DE1277" s="564"/>
      <c r="DF1277" s="564"/>
      <c r="DG1277" s="1789"/>
      <c r="DH1277" s="564"/>
      <c r="DI1277" s="564"/>
      <c r="DJ1277" s="564"/>
      <c r="DK1277" s="564"/>
      <c r="DL1277" s="564"/>
      <c r="DM1277" s="564"/>
      <c r="DN1277" s="222"/>
      <c r="DO1277" s="226"/>
      <c r="DY1277" s="564"/>
      <c r="DZ1277" s="564"/>
    </row>
    <row r="1278" spans="1:130" ht="12" customHeight="1">
      <c r="A1278" s="1023" t="s">
        <v>350</v>
      </c>
      <c r="B1278" s="530"/>
      <c r="C1278" s="530"/>
      <c r="D1278" s="734"/>
      <c r="E1278" s="564"/>
      <c r="F1278" s="564"/>
      <c r="G1278" s="564"/>
      <c r="H1278" s="736"/>
      <c r="I1278" s="564"/>
      <c r="J1278" s="564"/>
      <c r="K1278" s="564"/>
      <c r="L1278" s="564"/>
      <c r="M1278" s="736"/>
      <c r="N1278" s="564"/>
      <c r="O1278" s="564"/>
      <c r="P1278" s="564"/>
      <c r="Q1278" s="564"/>
      <c r="R1278" s="736"/>
      <c r="S1278" s="564"/>
      <c r="T1278" s="564"/>
      <c r="U1278" s="564"/>
      <c r="V1278" s="564"/>
      <c r="W1278" s="736"/>
      <c r="X1278" s="564"/>
      <c r="Y1278" s="564"/>
      <c r="Z1278" s="564"/>
      <c r="AA1278" s="564"/>
      <c r="AB1278" s="736"/>
      <c r="AC1278" s="564"/>
      <c r="AD1278" s="564"/>
      <c r="AE1278" s="564"/>
      <c r="AF1278" s="564"/>
      <c r="AG1278" s="736"/>
      <c r="AH1278" s="564"/>
      <c r="AI1278" s="564"/>
      <c r="AJ1278" s="564"/>
      <c r="AK1278" s="564"/>
      <c r="AL1278" s="736"/>
      <c r="AM1278" s="564"/>
      <c r="AN1278" s="564"/>
      <c r="AO1278" s="564"/>
      <c r="AP1278" s="564"/>
      <c r="AQ1278" s="736"/>
      <c r="AR1278" s="564"/>
      <c r="AS1278" s="564"/>
      <c r="AT1278" s="564"/>
      <c r="AU1278" s="564"/>
      <c r="AV1278" s="736"/>
      <c r="AW1278" s="564"/>
      <c r="AX1278" s="564"/>
      <c r="AY1278" s="564"/>
      <c r="AZ1278" s="564"/>
      <c r="BA1278" s="736"/>
      <c r="BB1278" s="564"/>
      <c r="BC1278" s="564"/>
      <c r="BD1278" s="564"/>
      <c r="BE1278" s="564"/>
      <c r="BF1278" s="736"/>
      <c r="BG1278" s="734"/>
      <c r="BH1278" s="564"/>
      <c r="BI1278" s="564"/>
      <c r="BJ1278" s="1789"/>
      <c r="BK1278" s="736"/>
      <c r="BL1278" s="564"/>
      <c r="BM1278" s="564"/>
      <c r="BN1278" s="564"/>
      <c r="BO1278" s="1789"/>
      <c r="BP1278" s="736"/>
      <c r="BQ1278" s="564"/>
      <c r="BR1278" s="564"/>
      <c r="BS1278" s="564"/>
      <c r="BT1278" s="1789"/>
      <c r="BU1278" s="3320"/>
      <c r="BV1278" s="564"/>
      <c r="BW1278" s="564"/>
      <c r="BX1278" s="564"/>
      <c r="BY1278" s="1789"/>
      <c r="BZ1278" s="1789"/>
      <c r="CA1278" s="736"/>
      <c r="CB1278" s="736"/>
      <c r="CC1278" s="736"/>
      <c r="CD1278" s="736"/>
      <c r="CE1278" s="736"/>
      <c r="CF1278" s="736"/>
      <c r="CG1278" s="736"/>
      <c r="CH1278" s="3998"/>
      <c r="CI1278" s="3998"/>
      <c r="CJ1278" s="3998"/>
      <c r="CK1278" s="3998"/>
      <c r="CL1278" s="941"/>
      <c r="CM1278" s="941"/>
      <c r="CN1278" s="941"/>
      <c r="CO1278" s="941"/>
      <c r="CP1278" s="1023" t="str">
        <f t="shared" si="2354"/>
        <v>1. Total Leverage Ratio</v>
      </c>
      <c r="CQ1278" s="564"/>
      <c r="CR1278" s="564"/>
      <c r="CS1278" s="564"/>
      <c r="CT1278" s="564"/>
      <c r="CU1278" s="564"/>
      <c r="CV1278" s="564"/>
      <c r="CW1278" s="564"/>
      <c r="CX1278" s="564"/>
      <c r="CY1278" s="564"/>
      <c r="CZ1278" s="564"/>
      <c r="DA1278" s="564"/>
      <c r="DB1278" s="564"/>
      <c r="DC1278" s="564"/>
      <c r="DD1278" s="564"/>
      <c r="DE1278" s="564"/>
      <c r="DF1278" s="564"/>
      <c r="DG1278" s="1789"/>
      <c r="DH1278" s="564"/>
      <c r="DI1278" s="564"/>
      <c r="DJ1278" s="564"/>
      <c r="DK1278" s="564"/>
      <c r="DL1278" s="564"/>
      <c r="DM1278" s="564"/>
      <c r="DN1278" s="222"/>
      <c r="DO1278" s="226"/>
      <c r="DY1278" s="564"/>
      <c r="DZ1278" s="564"/>
    </row>
    <row r="1279" spans="1:130" ht="12" customHeight="1">
      <c r="A1279" s="1544" t="s">
        <v>1701</v>
      </c>
      <c r="B1279" s="945"/>
      <c r="C1279" s="945"/>
      <c r="D1279" s="946"/>
      <c r="E1279" s="947"/>
      <c r="F1279" s="947"/>
      <c r="G1279" s="947"/>
      <c r="H1279" s="948"/>
      <c r="I1279" s="947"/>
      <c r="J1279" s="947"/>
      <c r="K1279" s="947"/>
      <c r="L1279" s="947"/>
      <c r="M1279" s="948"/>
      <c r="N1279" s="947"/>
      <c r="O1279" s="947"/>
      <c r="P1279" s="947"/>
      <c r="Q1279" s="947"/>
      <c r="R1279" s="948"/>
      <c r="S1279" s="947"/>
      <c r="T1279" s="949">
        <v>5.25</v>
      </c>
      <c r="U1279" s="949">
        <v>5.25</v>
      </c>
      <c r="V1279" s="949">
        <v>5.25</v>
      </c>
      <c r="W1279" s="948">
        <f>V1279</f>
        <v>5.25</v>
      </c>
      <c r="X1279" s="949">
        <v>6</v>
      </c>
      <c r="Y1279" s="947">
        <f>X1279</f>
        <v>6</v>
      </c>
      <c r="Z1279" s="947">
        <f>Y1279</f>
        <v>6</v>
      </c>
      <c r="AA1279" s="947">
        <f>Z1279</f>
        <v>6</v>
      </c>
      <c r="AB1279" s="948">
        <f>AA1279</f>
        <v>6</v>
      </c>
      <c r="AC1279" s="949">
        <v>6.5</v>
      </c>
      <c r="AD1279" s="947">
        <f>AC1279</f>
        <v>6.5</v>
      </c>
      <c r="AE1279" s="947">
        <f>AD1279</f>
        <v>6.5</v>
      </c>
      <c r="AF1279" s="947">
        <f>AE1279</f>
        <v>6.5</v>
      </c>
      <c r="AG1279" s="948">
        <f>AF1279</f>
        <v>6.5</v>
      </c>
      <c r="AH1279" s="949">
        <v>6.75</v>
      </c>
      <c r="AI1279" s="949">
        <v>7</v>
      </c>
      <c r="AJ1279" s="949">
        <v>7.25</v>
      </c>
      <c r="AK1279" s="949">
        <v>7.75</v>
      </c>
      <c r="AL1279" s="948"/>
      <c r="AM1279" s="949">
        <v>7.75</v>
      </c>
      <c r="AN1279" s="949">
        <v>7.75</v>
      </c>
      <c r="AO1279" s="949">
        <v>7.75</v>
      </c>
      <c r="AP1279" s="949">
        <v>7.75</v>
      </c>
      <c r="AQ1279" s="948"/>
      <c r="AR1279" s="949">
        <v>7.5</v>
      </c>
      <c r="AS1279" s="949">
        <v>7.5</v>
      </c>
      <c r="AT1279" s="949">
        <v>7.5</v>
      </c>
      <c r="AU1279" s="949">
        <v>7.75</v>
      </c>
      <c r="AV1279" s="950"/>
      <c r="AW1279" s="1993">
        <f>+AU1279</f>
        <v>7.75</v>
      </c>
      <c r="AX1279" s="1993">
        <f>+AW1279</f>
        <v>7.75</v>
      </c>
      <c r="AY1279" s="1993">
        <f>+AX1279</f>
        <v>7.75</v>
      </c>
      <c r="AZ1279" s="949">
        <v>7.5</v>
      </c>
      <c r="BA1279" s="950"/>
      <c r="BB1279" s="949">
        <v>7.25</v>
      </c>
      <c r="BC1279" s="1993">
        <f>+BB1279</f>
        <v>7.25</v>
      </c>
      <c r="BD1279" s="1993">
        <f>+BC1279</f>
        <v>7.25</v>
      </c>
      <c r="BE1279" s="949">
        <v>7</v>
      </c>
      <c r="BF1279" s="950"/>
      <c r="BG1279" s="1577">
        <v>6.75</v>
      </c>
      <c r="BH1279" s="949">
        <v>6.75</v>
      </c>
      <c r="BI1279" s="949">
        <v>6.75</v>
      </c>
      <c r="BJ1279" s="2986">
        <v>6.75</v>
      </c>
      <c r="BK1279" s="950"/>
      <c r="BL1279" s="949">
        <v>6.75</v>
      </c>
      <c r="BM1279" s="949">
        <v>6.75</v>
      </c>
      <c r="BN1279" s="949">
        <v>6.75</v>
      </c>
      <c r="BO1279" s="2986">
        <v>6.75</v>
      </c>
      <c r="BP1279" s="950">
        <f>BO1279</f>
        <v>6.75</v>
      </c>
      <c r="BQ1279" s="949">
        <v>6.75</v>
      </c>
      <c r="BR1279" s="949">
        <v>6.75</v>
      </c>
      <c r="BS1279" s="949">
        <v>6.75</v>
      </c>
      <c r="BT1279" s="2986">
        <v>6.75</v>
      </c>
      <c r="BU1279" s="3459">
        <f>BT1279</f>
        <v>6.75</v>
      </c>
      <c r="BV1279" s="3987">
        <f>BU1279</f>
        <v>6.75</v>
      </c>
      <c r="BW1279" s="3987">
        <f t="shared" ref="BW1279:BY1279" si="2398">BV1279</f>
        <v>6.75</v>
      </c>
      <c r="BX1279" s="3987">
        <f t="shared" si="2398"/>
        <v>6.75</v>
      </c>
      <c r="BY1279" s="3988">
        <f t="shared" si="2398"/>
        <v>6.75</v>
      </c>
      <c r="BZ1279" s="4039">
        <f>BY1279</f>
        <v>6.75</v>
      </c>
      <c r="CA1279" s="1994">
        <f t="shared" ref="CA1279:CG1279" si="2399">+BZ1279</f>
        <v>6.75</v>
      </c>
      <c r="CB1279" s="1994">
        <f t="shared" si="2399"/>
        <v>6.75</v>
      </c>
      <c r="CC1279" s="1994">
        <f t="shared" si="2399"/>
        <v>6.75</v>
      </c>
      <c r="CD1279" s="1994">
        <f t="shared" si="2399"/>
        <v>6.75</v>
      </c>
      <c r="CE1279" s="1994">
        <f t="shared" si="2399"/>
        <v>6.75</v>
      </c>
      <c r="CF1279" s="1994">
        <f t="shared" si="2399"/>
        <v>6.75</v>
      </c>
      <c r="CG1279" s="1994">
        <f t="shared" si="2399"/>
        <v>6.75</v>
      </c>
      <c r="CH1279" s="4000"/>
      <c r="CI1279" s="4000"/>
      <c r="CJ1279" s="4000"/>
      <c r="CK1279" s="4000"/>
      <c r="CL1279" s="947"/>
      <c r="CM1279" s="947"/>
      <c r="CN1279" s="947"/>
      <c r="CO1279" s="947"/>
      <c r="CP1279" s="1544" t="str">
        <f t="shared" si="2354"/>
        <v>Required</v>
      </c>
      <c r="CQ1279" s="947"/>
      <c r="CR1279" s="947"/>
      <c r="CS1279" s="947"/>
      <c r="CT1279" s="947">
        <f>W1279</f>
        <v>5.25</v>
      </c>
      <c r="CU1279" s="947">
        <f>AB1279</f>
        <v>6</v>
      </c>
      <c r="CV1279" s="947">
        <f>AG1279</f>
        <v>6.5</v>
      </c>
      <c r="CW1279" s="947"/>
      <c r="CX1279" s="947"/>
      <c r="CY1279" s="947"/>
      <c r="CZ1279" s="947"/>
      <c r="DA1279" s="947"/>
      <c r="DB1279" s="947"/>
      <c r="DC1279" s="947">
        <f>BP1279</f>
        <v>6.75</v>
      </c>
      <c r="DD1279" s="947">
        <f>BU1279</f>
        <v>6.75</v>
      </c>
      <c r="DE1279" s="947">
        <f>BZ1279</f>
        <v>6.75</v>
      </c>
      <c r="DF1279" s="947">
        <f>CA1279</f>
        <v>6.75</v>
      </c>
      <c r="DG1279" s="1940">
        <f>CB1279</f>
        <v>6.75</v>
      </c>
      <c r="DH1279" s="947"/>
      <c r="DI1279" s="947"/>
      <c r="DJ1279" s="947"/>
      <c r="DK1279" s="947"/>
      <c r="DL1279" s="947"/>
      <c r="DM1279" s="947"/>
      <c r="DN1279" s="951"/>
      <c r="DO1279" s="870"/>
      <c r="DY1279" s="949"/>
      <c r="DZ1279" s="949"/>
    </row>
    <row r="1280" spans="1:130" ht="12" hidden="1" customHeight="1" outlineLevel="1">
      <c r="A1280" s="1544" t="s">
        <v>1702</v>
      </c>
      <c r="B1280" s="945"/>
      <c r="C1280" s="945"/>
      <c r="D1280" s="946"/>
      <c r="E1280" s="947"/>
      <c r="F1280" s="947"/>
      <c r="G1280" s="947"/>
      <c r="H1280" s="948"/>
      <c r="I1280" s="947"/>
      <c r="J1280" s="947"/>
      <c r="K1280" s="947"/>
      <c r="L1280" s="947"/>
      <c r="M1280" s="948"/>
      <c r="N1280" s="947"/>
      <c r="O1280" s="947"/>
      <c r="P1280" s="947"/>
      <c r="Q1280" s="947"/>
      <c r="R1280" s="948"/>
      <c r="S1280" s="947"/>
      <c r="T1280" s="949"/>
      <c r="U1280" s="949"/>
      <c r="V1280" s="949"/>
      <c r="W1280" s="948"/>
      <c r="X1280" s="949"/>
      <c r="Y1280" s="947"/>
      <c r="Z1280" s="947"/>
      <c r="AA1280" s="947"/>
      <c r="AB1280" s="948"/>
      <c r="AC1280" s="949"/>
      <c r="AD1280" s="947"/>
      <c r="AE1280" s="947"/>
      <c r="AF1280" s="947"/>
      <c r="AG1280" s="948"/>
      <c r="AH1280" s="949"/>
      <c r="AI1280" s="949"/>
      <c r="AJ1280" s="949"/>
      <c r="AK1280" s="949"/>
      <c r="AL1280" s="948"/>
      <c r="AM1280" s="949">
        <v>7.12</v>
      </c>
      <c r="AN1280" s="949">
        <v>6.95</v>
      </c>
      <c r="AO1280" s="949">
        <v>7.15</v>
      </c>
      <c r="AP1280" s="949"/>
      <c r="AQ1280" s="948"/>
      <c r="AR1280" s="949"/>
      <c r="AS1280" s="949"/>
      <c r="AT1280" s="949"/>
      <c r="AU1280" s="949">
        <v>7.35</v>
      </c>
      <c r="AV1280" s="950"/>
      <c r="AW1280" s="949">
        <v>7</v>
      </c>
      <c r="AX1280" s="949"/>
      <c r="AY1280" s="949"/>
      <c r="AZ1280" s="949"/>
      <c r="BA1280" s="950"/>
      <c r="BB1280" s="949"/>
      <c r="BC1280" s="949"/>
      <c r="BD1280" s="949"/>
      <c r="BE1280" s="949"/>
      <c r="BF1280" s="950"/>
      <c r="BG1280" s="1577"/>
      <c r="BH1280" s="949"/>
      <c r="BI1280" s="949"/>
      <c r="BJ1280" s="2986"/>
      <c r="BK1280" s="950"/>
      <c r="BL1280" s="949"/>
      <c r="BM1280" s="949"/>
      <c r="BN1280" s="949"/>
      <c r="BO1280" s="2986"/>
      <c r="BP1280" s="950"/>
      <c r="BQ1280" s="949"/>
      <c r="BR1280" s="949"/>
      <c r="BS1280" s="949"/>
      <c r="BT1280" s="2986"/>
      <c r="BU1280" s="3459"/>
      <c r="BV1280" s="949"/>
      <c r="BW1280" s="949"/>
      <c r="BX1280" s="949"/>
      <c r="BY1280" s="2986"/>
      <c r="BZ1280" s="4039"/>
      <c r="CA1280" s="950"/>
      <c r="CB1280" s="950"/>
      <c r="CC1280" s="950"/>
      <c r="CD1280" s="950"/>
      <c r="CE1280" s="950"/>
      <c r="CF1280" s="950"/>
      <c r="CG1280" s="950"/>
      <c r="CH1280" s="4000"/>
      <c r="CI1280" s="4000"/>
      <c r="CJ1280" s="4000"/>
      <c r="CK1280" s="4000"/>
      <c r="CL1280" s="947"/>
      <c r="CM1280" s="947"/>
      <c r="CN1280" s="947"/>
      <c r="CO1280" s="947"/>
      <c r="CP1280" s="1544" t="str">
        <f t="shared" si="2354"/>
        <v>Actual</v>
      </c>
      <c r="CQ1280" s="947"/>
      <c r="CR1280" s="947"/>
      <c r="CS1280" s="947"/>
      <c r="CT1280" s="947"/>
      <c r="CU1280" s="947"/>
      <c r="CV1280" s="947"/>
      <c r="CW1280" s="947"/>
      <c r="CX1280" s="947"/>
      <c r="CY1280" s="947"/>
      <c r="CZ1280" s="947"/>
      <c r="DA1280" s="947"/>
      <c r="DB1280" s="947"/>
      <c r="DC1280" s="947"/>
      <c r="DD1280" s="947"/>
      <c r="DE1280" s="947"/>
      <c r="DF1280" s="947"/>
      <c r="DG1280" s="1940"/>
      <c r="DH1280" s="947"/>
      <c r="DI1280" s="947"/>
      <c r="DJ1280" s="947"/>
      <c r="DK1280" s="947"/>
      <c r="DL1280" s="947"/>
      <c r="DM1280" s="947"/>
      <c r="DN1280" s="951"/>
      <c r="DO1280" s="870"/>
      <c r="DY1280" s="949"/>
      <c r="DZ1280" s="949"/>
    </row>
    <row r="1281" spans="1:130" ht="12" customHeight="1" collapsed="1">
      <c r="A1281" s="1544" t="s">
        <v>349</v>
      </c>
      <c r="B1281" s="945"/>
      <c r="C1281" s="945"/>
      <c r="D1281" s="946"/>
      <c r="E1281" s="947"/>
      <c r="F1281" s="947"/>
      <c r="G1281" s="947"/>
      <c r="H1281" s="948"/>
      <c r="I1281" s="947"/>
      <c r="J1281" s="947"/>
      <c r="K1281" s="947"/>
      <c r="L1281" s="947"/>
      <c r="M1281" s="948"/>
      <c r="N1281" s="947"/>
      <c r="O1281" s="947"/>
      <c r="P1281" s="947"/>
      <c r="Q1281" s="947"/>
      <c r="R1281" s="948"/>
      <c r="S1281" s="947"/>
      <c r="T1281" s="947"/>
      <c r="U1281" s="947"/>
      <c r="V1281" s="947"/>
      <c r="W1281" s="948"/>
      <c r="X1281" s="947"/>
      <c r="Y1281" s="947"/>
      <c r="Z1281" s="947"/>
      <c r="AA1281" s="947"/>
      <c r="AB1281" s="948"/>
      <c r="AC1281" s="947"/>
      <c r="AD1281" s="947"/>
      <c r="AE1281" s="947"/>
      <c r="AF1281" s="947"/>
      <c r="AG1281" s="948"/>
      <c r="AH1281" s="947"/>
      <c r="AI1281" s="947"/>
      <c r="AJ1281" s="947"/>
      <c r="AK1281" s="947"/>
      <c r="AL1281" s="948"/>
      <c r="AM1281" s="947">
        <f>AM1266/AM1262</f>
        <v>7.3488874453597646</v>
      </c>
      <c r="AN1281" s="947">
        <f>AN1266/AN1262</f>
        <v>7.1738100976021206</v>
      </c>
      <c r="AO1281" s="947">
        <f>AO1266/AO1262</f>
        <v>6.9759666265035509</v>
      </c>
      <c r="AP1281" s="947">
        <f>AP1266/AP1262</f>
        <v>6.789924604995738</v>
      </c>
      <c r="AQ1281" s="948"/>
      <c r="AR1281" s="947">
        <f>AR1266/AR1262</f>
        <v>6.4676273925295646</v>
      </c>
      <c r="AS1281" s="947">
        <f>AS1266/AS1262</f>
        <v>6.2749373541470188</v>
      </c>
      <c r="AT1281" s="947">
        <f>AT1266/AT1262</f>
        <v>6.5818530028383888</v>
      </c>
      <c r="AU1281" s="947">
        <f>AU1266/AU1262</f>
        <v>6.4941529683902361</v>
      </c>
      <c r="AV1281" s="948"/>
      <c r="AW1281" s="947">
        <f>AW1266/AW1262</f>
        <v>6.0819198200833471</v>
      </c>
      <c r="AX1281" s="947">
        <f>AX1266/AX1262</f>
        <v>5.0578102712092603</v>
      </c>
      <c r="AY1281" s="947">
        <f>AY1266/AY1262</f>
        <v>4.3408112920370536</v>
      </c>
      <c r="AZ1281" s="947">
        <f>AZ1266/AZ1262</f>
        <v>4.265469364750766</v>
      </c>
      <c r="BA1281" s="948"/>
      <c r="BB1281" s="947">
        <f>BB1266/BB1262</f>
        <v>4.3129804649522194</v>
      </c>
      <c r="BC1281" s="947">
        <f>BC1266/BC1262</f>
        <v>4.4129922561639683</v>
      </c>
      <c r="BD1281" s="947">
        <f>BD1266/BD1262</f>
        <v>4.3480303288642679</v>
      </c>
      <c r="BE1281" s="947">
        <f>BE1266/BE1262</f>
        <v>4.3300985351640913</v>
      </c>
      <c r="BF1281" s="948"/>
      <c r="BG1281" s="946">
        <f>BG1266/BG1262</f>
        <v>6.9945118691964403</v>
      </c>
      <c r="BH1281" s="947">
        <f>BH1266/BH1262</f>
        <v>6.0972607274194779</v>
      </c>
      <c r="BI1281" s="947">
        <f>BI1266/BI1262</f>
        <v>5.1184332979208929</v>
      </c>
      <c r="BJ1281" s="1940">
        <f>BJ1266/BJ1262</f>
        <v>4.6114360746273428</v>
      </c>
      <c r="BK1281" s="948"/>
      <c r="BL1281" s="947">
        <f>BL1266/BL1262</f>
        <v>5.096532030699759</v>
      </c>
      <c r="BM1281" s="947">
        <f>BM1266/BM1262</f>
        <v>5.1763064313051297</v>
      </c>
      <c r="BN1281" s="947">
        <f>BN1266/BN1262</f>
        <v>4.2353679557199682</v>
      </c>
      <c r="BO1281" s="1940">
        <f>BO1266/BO1262</f>
        <v>4.7969102762597382</v>
      </c>
      <c r="BP1281" s="948">
        <f>BO1281</f>
        <v>4.7969102762597382</v>
      </c>
      <c r="BQ1281" s="947">
        <f>BQ1266/BQ1262</f>
        <v>4.9276963378537344</v>
      </c>
      <c r="BR1281" s="947">
        <f>BR1266/BR1262</f>
        <v>4.890843801715083</v>
      </c>
      <c r="BS1281" s="947">
        <f>BS1266/BS1262</f>
        <v>5.1968023206211083</v>
      </c>
      <c r="BT1281" s="1940">
        <f>BT1266/BT1262</f>
        <v>5.2381951731374619</v>
      </c>
      <c r="BU1281" s="3459">
        <f>BT1281</f>
        <v>5.2381951731374619</v>
      </c>
      <c r="BV1281" s="947">
        <f>BV1266/BV1262</f>
        <v>5.2186512757832775</v>
      </c>
      <c r="BW1281" s="947">
        <f>BW1266/BW1262</f>
        <v>5.1709263826420289</v>
      </c>
      <c r="BX1281" s="947">
        <f>BX1266/BX1262</f>
        <v>5.5239867440558896</v>
      </c>
      <c r="BY1281" s="1940">
        <f>BY1266/BY1262</f>
        <v>5.0061206103957643</v>
      </c>
      <c r="BZ1281" s="4039">
        <f>BY1281</f>
        <v>5.0061206103957643</v>
      </c>
      <c r="CA1281" s="948">
        <f t="shared" ref="CA1281:CG1281" si="2400">CA1266/CA1262</f>
        <v>4.1843640652359424</v>
      </c>
      <c r="CB1281" s="948">
        <f t="shared" si="2400"/>
        <v>4.1157810081662234</v>
      </c>
      <c r="CC1281" s="948">
        <f t="shared" si="2400"/>
        <v>52.879067610677886</v>
      </c>
      <c r="CD1281" s="948">
        <f t="shared" si="2400"/>
        <v>-82.05240035974154</v>
      </c>
      <c r="CE1281" s="948">
        <f t="shared" si="2400"/>
        <v>1270.7812693239689</v>
      </c>
      <c r="CF1281" s="948">
        <f t="shared" si="2400"/>
        <v>68.930804953952958</v>
      </c>
      <c r="CG1281" s="948">
        <f t="shared" si="2400"/>
        <v>34.466664252162708</v>
      </c>
      <c r="CH1281" s="4000"/>
      <c r="CI1281" s="4000"/>
      <c r="CJ1281" s="4000"/>
      <c r="CK1281" s="4000"/>
      <c r="CL1281" s="947"/>
      <c r="CM1281" s="947"/>
      <c r="CN1281" s="947"/>
      <c r="CO1281" s="947"/>
      <c r="CP1281" s="1544" t="str">
        <f t="shared" si="2354"/>
        <v>MS Estimate</v>
      </c>
      <c r="CQ1281" s="947"/>
      <c r="CR1281" s="947"/>
      <c r="CS1281" s="947"/>
      <c r="CT1281" s="947"/>
      <c r="CU1281" s="947"/>
      <c r="CV1281" s="947"/>
      <c r="CW1281" s="947"/>
      <c r="CX1281" s="947"/>
      <c r="CY1281" s="947"/>
      <c r="CZ1281" s="947"/>
      <c r="DA1281" s="947"/>
      <c r="DB1281" s="947"/>
      <c r="DC1281" s="947">
        <f>BP1281</f>
        <v>4.7969102762597382</v>
      </c>
      <c r="DD1281" s="947">
        <f>BU1281</f>
        <v>5.2381951731374619</v>
      </c>
      <c r="DE1281" s="947">
        <f t="shared" ref="DE1281:DG1282" si="2401">BZ1281</f>
        <v>5.0061206103957643</v>
      </c>
      <c r="DF1281" s="947">
        <f t="shared" si="2401"/>
        <v>4.1843640652359424</v>
      </c>
      <c r="DG1281" s="1940">
        <f t="shared" si="2401"/>
        <v>4.1157810081662234</v>
      </c>
      <c r="DH1281" s="947"/>
      <c r="DI1281" s="947"/>
      <c r="DJ1281" s="947"/>
      <c r="DK1281" s="947"/>
      <c r="DL1281" s="947"/>
      <c r="DM1281" s="947"/>
      <c r="DN1281" s="951"/>
      <c r="DO1281" s="870"/>
      <c r="DY1281" s="947"/>
      <c r="DZ1281" s="947"/>
    </row>
    <row r="1282" spans="1:130" ht="12" customHeight="1">
      <c r="A1282" s="1545" t="s">
        <v>916</v>
      </c>
      <c r="B1282" s="952"/>
      <c r="C1282" s="952"/>
      <c r="D1282" s="953"/>
      <c r="E1282" s="954"/>
      <c r="F1282" s="954"/>
      <c r="G1282" s="954"/>
      <c r="H1282" s="955"/>
      <c r="I1282" s="954"/>
      <c r="J1282" s="954"/>
      <c r="K1282" s="954"/>
      <c r="L1282" s="954"/>
      <c r="M1282" s="955"/>
      <c r="N1282" s="954"/>
      <c r="O1282" s="954"/>
      <c r="P1282" s="954"/>
      <c r="Q1282" s="954"/>
      <c r="R1282" s="955"/>
      <c r="S1282" s="954"/>
      <c r="T1282" s="954"/>
      <c r="U1282" s="954"/>
      <c r="V1282" s="954"/>
      <c r="W1282" s="955"/>
      <c r="X1282" s="954"/>
      <c r="Y1282" s="954"/>
      <c r="Z1282" s="954"/>
      <c r="AA1282" s="954"/>
      <c r="AB1282" s="955"/>
      <c r="AC1282" s="954"/>
      <c r="AD1282" s="954"/>
      <c r="AE1282" s="954"/>
      <c r="AF1282" s="954"/>
      <c r="AG1282" s="955"/>
      <c r="AH1282" s="954"/>
      <c r="AI1282" s="954"/>
      <c r="AJ1282" s="954"/>
      <c r="AK1282" s="954"/>
      <c r="AL1282" s="955"/>
      <c r="AM1282" s="954" t="str">
        <f>IF(AM1280&gt;AM1279,"No","Yes")</f>
        <v>Yes</v>
      </c>
      <c r="AN1282" s="954" t="str">
        <f>IF(AN1280&gt;AN1279,"No","Yes")</f>
        <v>Yes</v>
      </c>
      <c r="AO1282" s="954" t="str">
        <f>IF(AO1280&gt;AO1279,"No","Yes")</f>
        <v>Yes</v>
      </c>
      <c r="AP1282" s="954" t="str">
        <f>IF(AP1281&gt;AP1279,"No","Yes")</f>
        <v>Yes</v>
      </c>
      <c r="AQ1282" s="955"/>
      <c r="AR1282" s="954" t="str">
        <f>IF(AR1281&gt;AR1279,"No","Yes")</f>
        <v>Yes</v>
      </c>
      <c r="AS1282" s="954" t="str">
        <f>IF(AS1281&gt;AS1279,"No","Yes")</f>
        <v>Yes</v>
      </c>
      <c r="AT1282" s="954" t="str">
        <f>IF(AT1281&gt;AT1279,"No","Yes")</f>
        <v>Yes</v>
      </c>
      <c r="AU1282" s="954" t="str">
        <f>IF(AU1281&gt;AU1279,"No","Yes")</f>
        <v>Yes</v>
      </c>
      <c r="AV1282" s="955"/>
      <c r="AW1282" s="954" t="str">
        <f>IF(AW1281&gt;AW1279,"No","Yes")</f>
        <v>Yes</v>
      </c>
      <c r="AX1282" s="954" t="str">
        <f>IF(AX1281&gt;AX1279,"No","Yes")</f>
        <v>Yes</v>
      </c>
      <c r="AY1282" s="954" t="str">
        <f>IF(AY1281&gt;AY1279,"No","Yes")</f>
        <v>Yes</v>
      </c>
      <c r="AZ1282" s="954" t="str">
        <f>IF(AZ1281&gt;AZ1279,"No","Yes")</f>
        <v>Yes</v>
      </c>
      <c r="BA1282" s="955"/>
      <c r="BB1282" s="954" t="str">
        <f>IF(BB1281&gt;BB1279,"No","Yes")</f>
        <v>Yes</v>
      </c>
      <c r="BC1282" s="954" t="str">
        <f>IF(BC1281&gt;BC1279,"No","Yes")</f>
        <v>Yes</v>
      </c>
      <c r="BD1282" s="954" t="str">
        <f>IF(BD1281&gt;BD1279,"No","Yes")</f>
        <v>Yes</v>
      </c>
      <c r="BE1282" s="954" t="str">
        <f>IF(BE1281&gt;BE1279,"No","Yes")</f>
        <v>Yes</v>
      </c>
      <c r="BF1282" s="955"/>
      <c r="BG1282" s="953" t="str">
        <f>IF(BG1281&gt;BG1279,"No","Yes")</f>
        <v>No</v>
      </c>
      <c r="BH1282" s="954" t="str">
        <f>IF(BH1281&gt;BH1279,"No","Yes")</f>
        <v>Yes</v>
      </c>
      <c r="BI1282" s="954" t="str">
        <f>IF(BI1281&gt;BI1279,"No","Yes")</f>
        <v>Yes</v>
      </c>
      <c r="BJ1282" s="1020" t="str">
        <f>IF(BJ1281&gt;BJ1279,"No","Yes")</f>
        <v>Yes</v>
      </c>
      <c r="BK1282" s="955"/>
      <c r="BL1282" s="954" t="str">
        <f>IF(BL1281&gt;BL1279,"No","Yes")</f>
        <v>Yes</v>
      </c>
      <c r="BM1282" s="954" t="str">
        <f>IF(BM1281&gt;BM1279,"No","Yes")</f>
        <v>Yes</v>
      </c>
      <c r="BN1282" s="954" t="str">
        <f>IF(BN1281&gt;BN1279,"No","Yes")</f>
        <v>Yes</v>
      </c>
      <c r="BO1282" s="1020" t="str">
        <f>IF(BO1281&gt;BO1279,"No","Yes")</f>
        <v>Yes</v>
      </c>
      <c r="BP1282" s="955" t="str">
        <f>BO1282</f>
        <v>Yes</v>
      </c>
      <c r="BQ1282" s="954" t="str">
        <f>IF(BQ1281&gt;BQ1279,"No","Yes")</f>
        <v>Yes</v>
      </c>
      <c r="BR1282" s="954" t="str">
        <f>IF(BR1281&gt;BR1279,"No","Yes")</f>
        <v>Yes</v>
      </c>
      <c r="BS1282" s="954" t="str">
        <f>IF(BS1281&gt;BS1279,"No","Yes")</f>
        <v>Yes</v>
      </c>
      <c r="BT1282" s="1020" t="str">
        <f>IF(BT1281&gt;BT1279,"No","Yes")</f>
        <v>Yes</v>
      </c>
      <c r="BU1282" s="3460" t="str">
        <f>BT1282</f>
        <v>Yes</v>
      </c>
      <c r="BV1282" s="953" t="str">
        <f>IF(BV1281&gt;BV1279,"No","Yes")</f>
        <v>Yes</v>
      </c>
      <c r="BW1282" s="954" t="str">
        <f>IF(BW1281&gt;BW1279,"No","Yes")</f>
        <v>Yes</v>
      </c>
      <c r="BX1282" s="954" t="str">
        <f>IF(BX1281&gt;BX1279,"No","Yes")</f>
        <v>Yes</v>
      </c>
      <c r="BY1282" s="1020" t="str">
        <f>IF(BY1281&gt;BY1279,"No","Yes")</f>
        <v>Yes</v>
      </c>
      <c r="BZ1282" s="955" t="str">
        <f>BY1282</f>
        <v>Yes</v>
      </c>
      <c r="CA1282" s="955" t="str">
        <f t="shared" ref="CA1282:CG1282" si="2402">IF(CA1281&gt;CA1279,"No","Yes")</f>
        <v>Yes</v>
      </c>
      <c r="CB1282" s="955" t="str">
        <f t="shared" si="2402"/>
        <v>Yes</v>
      </c>
      <c r="CC1282" s="955" t="str">
        <f t="shared" si="2402"/>
        <v>No</v>
      </c>
      <c r="CD1282" s="955" t="str">
        <f t="shared" si="2402"/>
        <v>Yes</v>
      </c>
      <c r="CE1282" s="955" t="str">
        <f t="shared" si="2402"/>
        <v>No</v>
      </c>
      <c r="CF1282" s="955" t="str">
        <f t="shared" si="2402"/>
        <v>No</v>
      </c>
      <c r="CG1282" s="955" t="str">
        <f t="shared" si="2402"/>
        <v>No</v>
      </c>
      <c r="CH1282" s="956"/>
      <c r="CI1282" s="956"/>
      <c r="CJ1282" s="956"/>
      <c r="CK1282" s="956"/>
      <c r="CL1282" s="956"/>
      <c r="CM1282" s="956"/>
      <c r="CN1282" s="956"/>
      <c r="CO1282" s="956"/>
      <c r="CP1282" s="1545" t="str">
        <f t="shared" si="2354"/>
        <v>Compliance?</v>
      </c>
      <c r="CQ1282" s="954"/>
      <c r="CR1282" s="954"/>
      <c r="CS1282" s="954"/>
      <c r="CT1282" s="954"/>
      <c r="CU1282" s="954"/>
      <c r="CV1282" s="954"/>
      <c r="CW1282" s="954"/>
      <c r="CX1282" s="954"/>
      <c r="CY1282" s="954"/>
      <c r="CZ1282" s="954"/>
      <c r="DA1282" s="954"/>
      <c r="DB1282" s="954"/>
      <c r="DC1282" s="954" t="str">
        <f>BP1282</f>
        <v>Yes</v>
      </c>
      <c r="DD1282" s="954" t="str">
        <f>BU1282</f>
        <v>Yes</v>
      </c>
      <c r="DE1282" s="954" t="str">
        <f t="shared" si="2401"/>
        <v>Yes</v>
      </c>
      <c r="DF1282" s="954" t="str">
        <f t="shared" si="2401"/>
        <v>Yes</v>
      </c>
      <c r="DG1282" s="1020" t="str">
        <f t="shared" si="2401"/>
        <v>Yes</v>
      </c>
      <c r="DH1282" s="954"/>
      <c r="DI1282" s="954"/>
      <c r="DJ1282" s="954"/>
      <c r="DK1282" s="954"/>
      <c r="DL1282" s="954"/>
      <c r="DM1282" s="954"/>
      <c r="DN1282" s="265"/>
      <c r="DO1282" s="266"/>
      <c r="DY1282" s="954"/>
      <c r="DZ1282" s="954"/>
    </row>
    <row r="1283" spans="1:130" ht="12" customHeight="1">
      <c r="A1283" s="1545"/>
      <c r="B1283" s="952"/>
      <c r="C1283" s="952"/>
      <c r="D1283" s="953"/>
      <c r="E1283" s="954"/>
      <c r="F1283" s="954"/>
      <c r="G1283" s="954"/>
      <c r="H1283" s="955"/>
      <c r="I1283" s="954"/>
      <c r="J1283" s="954"/>
      <c r="K1283" s="954"/>
      <c r="L1283" s="954"/>
      <c r="M1283" s="955"/>
      <c r="N1283" s="954"/>
      <c r="O1283" s="954"/>
      <c r="P1283" s="954"/>
      <c r="Q1283" s="954"/>
      <c r="R1283" s="955"/>
      <c r="S1283" s="954"/>
      <c r="T1283" s="954"/>
      <c r="U1283" s="954"/>
      <c r="V1283" s="954"/>
      <c r="W1283" s="955"/>
      <c r="X1283" s="954"/>
      <c r="Y1283" s="954"/>
      <c r="Z1283" s="954"/>
      <c r="AA1283" s="954"/>
      <c r="AB1283" s="955"/>
      <c r="AC1283" s="954"/>
      <c r="AD1283" s="954"/>
      <c r="AE1283" s="954"/>
      <c r="AF1283" s="954"/>
      <c r="AG1283" s="955"/>
      <c r="AH1283" s="954"/>
      <c r="AI1283" s="954"/>
      <c r="AJ1283" s="954"/>
      <c r="AK1283" s="954"/>
      <c r="AL1283" s="955"/>
      <c r="AM1283" s="954"/>
      <c r="AN1283" s="954"/>
      <c r="AO1283" s="954"/>
      <c r="AP1283" s="954"/>
      <c r="AQ1283" s="955"/>
      <c r="AR1283" s="954"/>
      <c r="AS1283" s="954"/>
      <c r="AT1283" s="954"/>
      <c r="AU1283" s="954"/>
      <c r="AV1283" s="955"/>
      <c r="AW1283" s="954"/>
      <c r="AX1283" s="954"/>
      <c r="AY1283" s="954"/>
      <c r="AZ1283" s="954"/>
      <c r="BA1283" s="955"/>
      <c r="BB1283" s="954"/>
      <c r="BC1283" s="954"/>
      <c r="BD1283" s="954"/>
      <c r="BE1283" s="954"/>
      <c r="BF1283" s="955"/>
      <c r="BG1283" s="953"/>
      <c r="BH1283" s="954"/>
      <c r="BI1283" s="954"/>
      <c r="BJ1283" s="1020"/>
      <c r="BK1283" s="955"/>
      <c r="BL1283" s="954"/>
      <c r="BM1283" s="954"/>
      <c r="BN1283" s="954"/>
      <c r="BO1283" s="1020"/>
      <c r="BP1283" s="955"/>
      <c r="BQ1283" s="954"/>
      <c r="BR1283" s="954"/>
      <c r="BS1283" s="954"/>
      <c r="BT1283" s="1020"/>
      <c r="BU1283" s="3460"/>
      <c r="BV1283" s="953"/>
      <c r="BW1283" s="954"/>
      <c r="BX1283" s="954"/>
      <c r="BY1283" s="1020"/>
      <c r="BZ1283" s="955"/>
      <c r="CA1283" s="955"/>
      <c r="CB1283" s="955"/>
      <c r="CC1283" s="955"/>
      <c r="CD1283" s="955"/>
      <c r="CE1283" s="955"/>
      <c r="CF1283" s="955"/>
      <c r="CG1283" s="955"/>
      <c r="CH1283" s="956"/>
      <c r="CI1283" s="956"/>
      <c r="CJ1283" s="956"/>
      <c r="CK1283" s="956"/>
      <c r="CL1283" s="956"/>
      <c r="CM1283" s="956"/>
      <c r="CN1283" s="956"/>
      <c r="CO1283" s="956"/>
      <c r="CP1283" s="1545"/>
      <c r="CQ1283" s="954"/>
      <c r="CR1283" s="954"/>
      <c r="CS1283" s="954"/>
      <c r="CT1283" s="954"/>
      <c r="CU1283" s="954"/>
      <c r="CV1283" s="954"/>
      <c r="CW1283" s="954"/>
      <c r="CX1283" s="954"/>
      <c r="CY1283" s="954"/>
      <c r="CZ1283" s="954"/>
      <c r="DA1283" s="954"/>
      <c r="DB1283" s="954"/>
      <c r="DC1283" s="954"/>
      <c r="DD1283" s="954"/>
      <c r="DE1283" s="954"/>
      <c r="DF1283" s="954"/>
      <c r="DG1283" s="1020"/>
      <c r="DH1283" s="954"/>
      <c r="DI1283" s="954"/>
      <c r="DJ1283" s="954"/>
      <c r="DK1283" s="954"/>
      <c r="DL1283" s="954"/>
      <c r="DM1283" s="954"/>
      <c r="DN1283" s="265"/>
      <c r="DO1283" s="266"/>
      <c r="DY1283" s="954"/>
      <c r="DZ1283" s="954"/>
    </row>
    <row r="1284" spans="1:130" ht="12" customHeight="1">
      <c r="A1284" s="1023" t="s">
        <v>352</v>
      </c>
      <c r="B1284" s="952"/>
      <c r="C1284" s="952"/>
      <c r="D1284" s="953"/>
      <c r="E1284" s="954"/>
      <c r="F1284" s="954"/>
      <c r="G1284" s="954"/>
      <c r="H1284" s="955"/>
      <c r="I1284" s="954"/>
      <c r="J1284" s="954"/>
      <c r="K1284" s="954"/>
      <c r="L1284" s="954"/>
      <c r="M1284" s="955"/>
      <c r="N1284" s="954"/>
      <c r="O1284" s="954"/>
      <c r="P1284" s="954"/>
      <c r="Q1284" s="954"/>
      <c r="R1284" s="955"/>
      <c r="S1284" s="954"/>
      <c r="T1284" s="954"/>
      <c r="U1284" s="954"/>
      <c r="V1284" s="954"/>
      <c r="W1284" s="955"/>
      <c r="X1284" s="954"/>
      <c r="Y1284" s="954"/>
      <c r="Z1284" s="954"/>
      <c r="AA1284" s="954"/>
      <c r="AB1284" s="955"/>
      <c r="AC1284" s="954"/>
      <c r="AD1284" s="954"/>
      <c r="AE1284" s="954"/>
      <c r="AF1284" s="954"/>
      <c r="AG1284" s="955"/>
      <c r="AH1284" s="954"/>
      <c r="AI1284" s="954"/>
      <c r="AJ1284" s="954"/>
      <c r="AK1284" s="954"/>
      <c r="AL1284" s="955"/>
      <c r="AM1284" s="954"/>
      <c r="AN1284" s="954"/>
      <c r="AO1284" s="954"/>
      <c r="AP1284" s="954"/>
      <c r="AQ1284" s="955"/>
      <c r="AR1284" s="954"/>
      <c r="AS1284" s="954"/>
      <c r="AT1284" s="954"/>
      <c r="AU1284" s="954"/>
      <c r="AV1284" s="955"/>
      <c r="AW1284" s="954"/>
      <c r="AX1284" s="954"/>
      <c r="AY1284" s="954"/>
      <c r="AZ1284" s="954"/>
      <c r="BA1284" s="955"/>
      <c r="BB1284" s="954"/>
      <c r="BC1284" s="954"/>
      <c r="BD1284" s="954"/>
      <c r="BE1284" s="954"/>
      <c r="BF1284" s="955"/>
      <c r="BG1284" s="953"/>
      <c r="BH1284" s="954"/>
      <c r="BI1284" s="954"/>
      <c r="BJ1284" s="1020"/>
      <c r="BK1284" s="955"/>
      <c r="BL1284" s="954"/>
      <c r="BM1284" s="954"/>
      <c r="BN1284" s="954"/>
      <c r="BO1284" s="1020"/>
      <c r="BP1284" s="955"/>
      <c r="BQ1284" s="954"/>
      <c r="BR1284" s="954"/>
      <c r="BS1284" s="954"/>
      <c r="BT1284" s="1020"/>
      <c r="BU1284" s="3460"/>
      <c r="BV1284" s="953"/>
      <c r="BW1284" s="954"/>
      <c r="BX1284" s="954"/>
      <c r="BY1284" s="1020"/>
      <c r="BZ1284" s="955"/>
      <c r="CA1284" s="955"/>
      <c r="CB1284" s="955"/>
      <c r="CC1284" s="955"/>
      <c r="CD1284" s="955"/>
      <c r="CE1284" s="955"/>
      <c r="CF1284" s="955"/>
      <c r="CG1284" s="955"/>
      <c r="CH1284" s="956"/>
      <c r="CI1284" s="956"/>
      <c r="CJ1284" s="956"/>
      <c r="CK1284" s="956"/>
      <c r="CL1284" s="956"/>
      <c r="CM1284" s="956"/>
      <c r="CN1284" s="956"/>
      <c r="CO1284" s="956"/>
      <c r="CP1284" s="1023" t="str">
        <f t="shared" si="2354"/>
        <v>2. Secured Leverage</v>
      </c>
      <c r="CQ1284" s="954"/>
      <c r="CR1284" s="954"/>
      <c r="CS1284" s="954"/>
      <c r="CT1284" s="954"/>
      <c r="CU1284" s="954"/>
      <c r="CV1284" s="954"/>
      <c r="CW1284" s="954"/>
      <c r="CX1284" s="954"/>
      <c r="CY1284" s="954"/>
      <c r="CZ1284" s="954"/>
      <c r="DA1284" s="954"/>
      <c r="DB1284" s="954"/>
      <c r="DC1284" s="954"/>
      <c r="DD1284" s="954"/>
      <c r="DE1284" s="954"/>
      <c r="DF1284" s="954"/>
      <c r="DG1284" s="1020"/>
      <c r="DH1284" s="954"/>
      <c r="DI1284" s="954"/>
      <c r="DJ1284" s="954"/>
      <c r="DK1284" s="954"/>
      <c r="DL1284" s="954"/>
      <c r="DM1284" s="954"/>
      <c r="DN1284" s="265"/>
      <c r="DO1284" s="266"/>
      <c r="DY1284" s="954"/>
      <c r="DZ1284" s="954"/>
    </row>
    <row r="1285" spans="1:130" ht="12" customHeight="1">
      <c r="A1285" s="1021" t="s">
        <v>366</v>
      </c>
      <c r="B1285" s="530"/>
      <c r="C1285" s="530"/>
      <c r="D1285" s="734"/>
      <c r="E1285" s="564"/>
      <c r="F1285" s="564"/>
      <c r="G1285" s="564"/>
      <c r="H1285" s="736"/>
      <c r="I1285" s="564"/>
      <c r="J1285" s="564"/>
      <c r="K1285" s="564"/>
      <c r="L1285" s="564"/>
      <c r="M1285" s="736"/>
      <c r="N1285" s="564"/>
      <c r="O1285" s="564"/>
      <c r="P1285" s="564"/>
      <c r="Q1285" s="564"/>
      <c r="R1285" s="736"/>
      <c r="S1285" s="564"/>
      <c r="T1285" s="564"/>
      <c r="U1285" s="564"/>
      <c r="V1285" s="564"/>
      <c r="W1285" s="736"/>
      <c r="X1285" s="564"/>
      <c r="Y1285" s="564"/>
      <c r="Z1285" s="564"/>
      <c r="AA1285" s="564"/>
      <c r="AB1285" s="736"/>
      <c r="AC1285" s="564"/>
      <c r="AD1285" s="564"/>
      <c r="AE1285" s="564"/>
      <c r="AF1285" s="564"/>
      <c r="AG1285" s="736"/>
      <c r="AH1285" s="564"/>
      <c r="AI1285" s="564"/>
      <c r="AJ1285" s="564"/>
      <c r="AK1285" s="564"/>
      <c r="AL1285" s="736"/>
      <c r="AM1285" s="599">
        <f>SUM(AM1082:AM1083)</f>
        <v>1425</v>
      </c>
      <c r="AN1285" s="599">
        <f>SUM(AN1082:AN1083)</f>
        <v>1425</v>
      </c>
      <c r="AO1285" s="599">
        <f>SUM(AO1082:AO1083)</f>
        <v>1423.1469999999999</v>
      </c>
      <c r="AP1285" s="564">
        <f>SUM(AP1084:AP1087)</f>
        <v>1632.75</v>
      </c>
      <c r="AQ1285" s="736"/>
      <c r="AR1285" s="564">
        <f>SUM(AR1084:AR1087)</f>
        <v>1583.125</v>
      </c>
      <c r="AS1285" s="564">
        <f>SUM(AS1084:AS1087)</f>
        <v>1448.7999999999997</v>
      </c>
      <c r="AT1285" s="564">
        <f>SUM(AT1084:AT1087)</f>
        <v>1438.9749999999999</v>
      </c>
      <c r="AU1285" s="564">
        <f>SUM(AU1084:AU1087)</f>
        <v>1474.85</v>
      </c>
      <c r="AV1285" s="736"/>
      <c r="AW1285" s="564">
        <f>SUM(AW1084:AW1087)</f>
        <v>1445.0250000000001</v>
      </c>
      <c r="AX1285" s="564">
        <f>SUM(AX1084:AX1087)</f>
        <v>1408</v>
      </c>
      <c r="AY1285" s="564">
        <f>SUM(AY1084:AY1087)</f>
        <v>7.9000000000000909</v>
      </c>
      <c r="AZ1285" s="564">
        <f>SUM(AZ1084:AZ1087)</f>
        <v>28.099999999999948</v>
      </c>
      <c r="BA1285" s="736"/>
      <c r="BB1285" s="564">
        <f>SUM(BB1084:BB1087)</f>
        <v>12.700000000000093</v>
      </c>
      <c r="BC1285" s="564">
        <f>SUM(BC1084:BC1087)</f>
        <v>3.9100000000000819</v>
      </c>
      <c r="BD1285" s="564">
        <f>SUM(BD1084:BD1087)</f>
        <v>14.95</v>
      </c>
      <c r="BE1285" s="564">
        <f>SUM(BE1084:BE1087)</f>
        <v>25.3</v>
      </c>
      <c r="BF1285" s="736"/>
      <c r="BG1285" s="734">
        <f>SUM(BG1084:BG1087)</f>
        <v>8.6999999999999993</v>
      </c>
      <c r="BH1285" s="564">
        <f>SUM(BH1084:BH1087)</f>
        <v>24.5</v>
      </c>
      <c r="BI1285" s="564">
        <f>SUM(BI1084:BI1087)</f>
        <v>20.7</v>
      </c>
      <c r="BJ1285" s="1789">
        <f>SUM(BJ1084:BJ1087)</f>
        <v>55.7</v>
      </c>
      <c r="BK1285" s="736"/>
      <c r="BL1285" s="564">
        <f>SUM(BL1084:BL1087)</f>
        <v>0</v>
      </c>
      <c r="BM1285" s="564">
        <f>SUM(BM1084:BM1087)</f>
        <v>0</v>
      </c>
      <c r="BN1285" s="564">
        <f>SUM(BN1084:BN1087)</f>
        <v>42</v>
      </c>
      <c r="BO1285" s="1789">
        <f>SUM(BO1084:BO1087)</f>
        <v>46.1</v>
      </c>
      <c r="BP1285" s="736">
        <f>BO1285</f>
        <v>46.1</v>
      </c>
      <c r="BQ1285" s="564">
        <f>SUM(BQ1084:BQ1087)</f>
        <v>40.299999999999997</v>
      </c>
      <c r="BR1285" s="564">
        <f>SUM(BR1084:BR1087)</f>
        <v>72.5</v>
      </c>
      <c r="BS1285" s="564">
        <f>SUM(BS1084:BS1087)</f>
        <v>35.700000000000003</v>
      </c>
      <c r="BT1285" s="1789">
        <f>SUM(BT1084:BT1087)</f>
        <v>35.700000000000003</v>
      </c>
      <c r="BU1285" s="3393">
        <f>BT1285</f>
        <v>35.700000000000003</v>
      </c>
      <c r="BV1285" s="734">
        <f>SUM(BV1084:BV1087)</f>
        <v>35.700000000000003</v>
      </c>
      <c r="BW1285" s="564">
        <f>SUM(BW1084:BW1087)</f>
        <v>35.700000000000003</v>
      </c>
      <c r="BX1285" s="564">
        <f>SUM(BX1084:BX1087)</f>
        <v>35.700000000000003</v>
      </c>
      <c r="BY1285" s="1789">
        <f>SUM(BY1084:BY1087)</f>
        <v>35.700000000000003</v>
      </c>
      <c r="BZ1285" s="4005">
        <f>BY1285</f>
        <v>35.700000000000003</v>
      </c>
      <c r="CA1285" s="736">
        <f t="shared" ref="CA1285:CG1285" si="2403">SUM(CA1084:CA1087)</f>
        <v>35.700000000000003</v>
      </c>
      <c r="CB1285" s="736">
        <f t="shared" si="2403"/>
        <v>35.700000000000003</v>
      </c>
      <c r="CC1285" s="736">
        <f t="shared" si="2403"/>
        <v>0</v>
      </c>
      <c r="CD1285" s="736">
        <f t="shared" si="2403"/>
        <v>0</v>
      </c>
      <c r="CE1285" s="736">
        <f t="shared" si="2403"/>
        <v>0</v>
      </c>
      <c r="CF1285" s="736">
        <f t="shared" si="2403"/>
        <v>0</v>
      </c>
      <c r="CG1285" s="736">
        <f t="shared" si="2403"/>
        <v>0</v>
      </c>
      <c r="CH1285" s="3998"/>
      <c r="CI1285" s="3998"/>
      <c r="CJ1285" s="3998"/>
      <c r="CK1285" s="3998"/>
      <c r="CL1285" s="941"/>
      <c r="CM1285" s="941"/>
      <c r="CN1285" s="941"/>
      <c r="CO1285" s="941"/>
      <c r="CP1285" s="1021" t="str">
        <f t="shared" si="2354"/>
        <v>Secured Debt</v>
      </c>
      <c r="CQ1285" s="564"/>
      <c r="CR1285" s="564"/>
      <c r="CS1285" s="564"/>
      <c r="CT1285" s="564"/>
      <c r="CU1285" s="564"/>
      <c r="CV1285" s="564"/>
      <c r="CW1285" s="564"/>
      <c r="CX1285" s="564"/>
      <c r="CY1285" s="564"/>
      <c r="CZ1285" s="564"/>
      <c r="DA1285" s="564"/>
      <c r="DB1285" s="564"/>
      <c r="DC1285" s="564">
        <f>BP1285</f>
        <v>46.1</v>
      </c>
      <c r="DD1285" s="564">
        <f>BU1285</f>
        <v>35.700000000000003</v>
      </c>
      <c r="DE1285" s="564">
        <f t="shared" ref="DE1285:DG1287" si="2404">BZ1285</f>
        <v>35.700000000000003</v>
      </c>
      <c r="DF1285" s="564">
        <f t="shared" si="2404"/>
        <v>35.700000000000003</v>
      </c>
      <c r="DG1285" s="1789">
        <f t="shared" si="2404"/>
        <v>35.700000000000003</v>
      </c>
      <c r="DH1285" s="564"/>
      <c r="DI1285" s="564"/>
      <c r="DJ1285" s="564"/>
      <c r="DK1285" s="564"/>
      <c r="DL1285" s="564"/>
      <c r="DM1285" s="564"/>
      <c r="DN1285" s="222"/>
      <c r="DO1285" s="226"/>
      <c r="DY1285" s="564"/>
      <c r="DZ1285" s="564"/>
    </row>
    <row r="1286" spans="1:130" ht="12" customHeight="1">
      <c r="A1286" s="1021" t="s">
        <v>1131</v>
      </c>
      <c r="B1286" s="952"/>
      <c r="C1286" s="952"/>
      <c r="D1286" s="953"/>
      <c r="E1286" s="954"/>
      <c r="F1286" s="954"/>
      <c r="G1286" s="954"/>
      <c r="H1286" s="955"/>
      <c r="I1286" s="954"/>
      <c r="J1286" s="954"/>
      <c r="K1286" s="954"/>
      <c r="L1286" s="954"/>
      <c r="M1286" s="955"/>
      <c r="N1286" s="954"/>
      <c r="O1286" s="954"/>
      <c r="P1286" s="954"/>
      <c r="Q1286" s="954"/>
      <c r="R1286" s="955"/>
      <c r="S1286" s="954"/>
      <c r="T1286" s="954"/>
      <c r="U1286" s="954"/>
      <c r="V1286" s="954"/>
      <c r="W1286" s="955"/>
      <c r="X1286" s="954"/>
      <c r="Y1286" s="954"/>
      <c r="Z1286" s="954"/>
      <c r="AA1286" s="954"/>
      <c r="AB1286" s="955"/>
      <c r="AC1286" s="954"/>
      <c r="AD1286" s="954"/>
      <c r="AE1286" s="954"/>
      <c r="AF1286" s="954"/>
      <c r="AG1286" s="955"/>
      <c r="AH1286" s="954"/>
      <c r="AI1286" s="954"/>
      <c r="AJ1286" s="954"/>
      <c r="AK1286" s="954"/>
      <c r="AL1286" s="955"/>
      <c r="AM1286" s="564">
        <f>AM1262</f>
        <v>324.05150000000003</v>
      </c>
      <c r="AN1286" s="564">
        <f>AN1262</f>
        <v>331.96000000000004</v>
      </c>
      <c r="AO1286" s="564">
        <f>AO1262</f>
        <v>341.10900000000004</v>
      </c>
      <c r="AP1286" s="564">
        <f>AP1262</f>
        <v>381.32500000000005</v>
      </c>
      <c r="AQ1286" s="955"/>
      <c r="AR1286" s="564">
        <f>AR1262</f>
        <v>392.65450000000004</v>
      </c>
      <c r="AS1286" s="564">
        <f>AS1262</f>
        <v>383.30549999999994</v>
      </c>
      <c r="AT1286" s="564">
        <f>AT1262</f>
        <v>363.93899999999996</v>
      </c>
      <c r="AU1286" s="564">
        <f>AU1262</f>
        <v>374.37800000000004</v>
      </c>
      <c r="AV1286" s="955"/>
      <c r="AW1286" s="564">
        <f>AW1262</f>
        <v>394.84950000000009</v>
      </c>
      <c r="AX1286" s="564">
        <f>AX1262</f>
        <v>424.83800000000008</v>
      </c>
      <c r="AY1286" s="564">
        <f>AY1262</f>
        <v>448.7410000000001</v>
      </c>
      <c r="AZ1286" s="564">
        <f>AZ1262</f>
        <v>461.31500000000005</v>
      </c>
      <c r="BA1286" s="955"/>
      <c r="BB1286" s="564">
        <f>BB1262</f>
        <v>447.93850000000009</v>
      </c>
      <c r="BC1286" s="564">
        <f>BC1262</f>
        <v>432.47300000000007</v>
      </c>
      <c r="BD1286" s="564">
        <f>BD1262</f>
        <v>431.07450000000006</v>
      </c>
      <c r="BE1286" s="564">
        <f>BE1262</f>
        <v>435.88500000000005</v>
      </c>
      <c r="BF1286" s="955"/>
      <c r="BG1286" s="734">
        <f>BG1262</f>
        <v>482.67800000000005</v>
      </c>
      <c r="BH1286" s="564">
        <f>BH1262</f>
        <v>551.3325000000001</v>
      </c>
      <c r="BI1286" s="564">
        <f>BI1262</f>
        <v>645.25350000000014</v>
      </c>
      <c r="BJ1286" s="1789">
        <f>BJ1262</f>
        <v>702.55750000000012</v>
      </c>
      <c r="BK1286" s="955"/>
      <c r="BL1286" s="564">
        <f>BL1262</f>
        <v>717.72550000000001</v>
      </c>
      <c r="BM1286" s="564">
        <f>BM1262</f>
        <v>700.90750000000003</v>
      </c>
      <c r="BN1286" s="564">
        <f>BN1262</f>
        <v>698.16791148133939</v>
      </c>
      <c r="BO1286" s="1789">
        <f>BO1262</f>
        <v>666.9124114813394</v>
      </c>
      <c r="BP1286" s="955">
        <f>BO1286</f>
        <v>666.9124114813394</v>
      </c>
      <c r="BQ1286" s="564">
        <f>BQ1262</f>
        <v>646.86291148133932</v>
      </c>
      <c r="BR1286" s="564">
        <f>BR1262</f>
        <v>637.07841148133934</v>
      </c>
      <c r="BS1286" s="564">
        <f>BS1262</f>
        <v>586.04999999999995</v>
      </c>
      <c r="BT1286" s="1789">
        <f>BT1262</f>
        <v>595.625</v>
      </c>
      <c r="BU1286" s="3460">
        <f>BT1286</f>
        <v>595.625</v>
      </c>
      <c r="BV1286" s="734">
        <f>BV1262</f>
        <v>597.25680741757992</v>
      </c>
      <c r="BW1286" s="564">
        <f>BW1262</f>
        <v>602.16482881140223</v>
      </c>
      <c r="BX1286" s="564">
        <f>BX1262</f>
        <v>664.84283365667</v>
      </c>
      <c r="BY1286" s="1789">
        <f>BY1262</f>
        <v>732.99432546230787</v>
      </c>
      <c r="BZ1286" s="4005">
        <f>BY1286</f>
        <v>732.99432546230787</v>
      </c>
      <c r="CA1286" s="736">
        <f t="shared" ref="CA1286:CG1286" si="2405">CA1262</f>
        <v>873.95789252238421</v>
      </c>
      <c r="CB1286" s="736">
        <f t="shared" si="2405"/>
        <v>885.4839440604203</v>
      </c>
      <c r="CC1286" s="736">
        <f t="shared" si="2405"/>
        <v>31.706780693338825</v>
      </c>
      <c r="CD1286" s="736">
        <f t="shared" si="2405"/>
        <v>-20.171561011542035</v>
      </c>
      <c r="CE1286" s="736">
        <f t="shared" si="2405"/>
        <v>1.2855280758655319</v>
      </c>
      <c r="CF1286" s="736">
        <f t="shared" si="2405"/>
        <v>23.387584129866596</v>
      </c>
      <c r="CG1286" s="736">
        <f t="shared" si="2405"/>
        <v>46.149664741640663</v>
      </c>
      <c r="CH1286" s="956"/>
      <c r="CI1286" s="956"/>
      <c r="CJ1286" s="956"/>
      <c r="CK1286" s="956"/>
      <c r="CL1286" s="956"/>
      <c r="CM1286" s="956"/>
      <c r="CN1286" s="956"/>
      <c r="CO1286" s="956"/>
      <c r="CP1286" s="1021" t="str">
        <f t="shared" si="2354"/>
        <v>Covenant EBITDA</v>
      </c>
      <c r="CQ1286" s="564"/>
      <c r="CR1286" s="564"/>
      <c r="CS1286" s="564"/>
      <c r="CT1286" s="564"/>
      <c r="CU1286" s="564"/>
      <c r="CV1286" s="564"/>
      <c r="CW1286" s="564"/>
      <c r="CX1286" s="564"/>
      <c r="CY1286" s="564"/>
      <c r="CZ1286" s="564"/>
      <c r="DA1286" s="564"/>
      <c r="DB1286" s="564"/>
      <c r="DC1286" s="564">
        <f>BP1286</f>
        <v>666.9124114813394</v>
      </c>
      <c r="DD1286" s="564">
        <f>BU1286</f>
        <v>595.625</v>
      </c>
      <c r="DE1286" s="564">
        <f t="shared" si="2404"/>
        <v>732.99432546230787</v>
      </c>
      <c r="DF1286" s="564">
        <f t="shared" si="2404"/>
        <v>873.95789252238421</v>
      </c>
      <c r="DG1286" s="1789">
        <f t="shared" si="2404"/>
        <v>885.4839440604203</v>
      </c>
      <c r="DH1286" s="954"/>
      <c r="DI1286" s="954"/>
      <c r="DJ1286" s="954"/>
      <c r="DK1286" s="954"/>
      <c r="DL1286" s="954"/>
      <c r="DM1286" s="954"/>
      <c r="DN1286" s="265"/>
      <c r="DO1286" s="266"/>
      <c r="DY1286" s="954"/>
      <c r="DZ1286" s="954"/>
    </row>
    <row r="1287" spans="1:130" ht="12" customHeight="1">
      <c r="A1287" s="1021" t="s">
        <v>1701</v>
      </c>
      <c r="B1287" s="952"/>
      <c r="C1287" s="952"/>
      <c r="D1287" s="953"/>
      <c r="E1287" s="954"/>
      <c r="F1287" s="954"/>
      <c r="G1287" s="954"/>
      <c r="H1287" s="955"/>
      <c r="I1287" s="954"/>
      <c r="J1287" s="954"/>
      <c r="K1287" s="954"/>
      <c r="L1287" s="954"/>
      <c r="M1287" s="955"/>
      <c r="N1287" s="954"/>
      <c r="O1287" s="954"/>
      <c r="P1287" s="954"/>
      <c r="Q1287" s="954"/>
      <c r="R1287" s="955"/>
      <c r="S1287" s="954"/>
      <c r="T1287" s="954"/>
      <c r="U1287" s="954"/>
      <c r="V1287" s="954"/>
      <c r="W1287" s="955"/>
      <c r="X1287" s="954"/>
      <c r="Y1287" s="954"/>
      <c r="Z1287" s="954"/>
      <c r="AA1287" s="954"/>
      <c r="AB1287" s="955"/>
      <c r="AC1287" s="954"/>
      <c r="AD1287" s="954"/>
      <c r="AE1287" s="954"/>
      <c r="AF1287" s="954"/>
      <c r="AG1287" s="955"/>
      <c r="AH1287" s="954"/>
      <c r="AI1287" s="954"/>
      <c r="AJ1287" s="954"/>
      <c r="AK1287" s="954"/>
      <c r="AL1287" s="955"/>
      <c r="AM1287" s="949">
        <v>4.5</v>
      </c>
      <c r="AN1287" s="949">
        <v>4.5</v>
      </c>
      <c r="AO1287" s="949">
        <v>4.5</v>
      </c>
      <c r="AP1287" s="949">
        <v>4.5</v>
      </c>
      <c r="AQ1287" s="955"/>
      <c r="AR1287" s="949">
        <v>4.5</v>
      </c>
      <c r="AS1287" s="949">
        <v>4.25</v>
      </c>
      <c r="AT1287" s="949">
        <v>4.25</v>
      </c>
      <c r="AU1287" s="949">
        <v>4.25</v>
      </c>
      <c r="AV1287" s="950"/>
      <c r="AW1287" s="949">
        <v>4.5</v>
      </c>
      <c r="AX1287" s="1993">
        <f>+AW1287</f>
        <v>4.5</v>
      </c>
      <c r="AY1287" s="1993">
        <f>+AX1287</f>
        <v>4.5</v>
      </c>
      <c r="AZ1287" s="949">
        <v>4.25</v>
      </c>
      <c r="BA1287" s="950"/>
      <c r="BB1287" s="949">
        <v>4</v>
      </c>
      <c r="BC1287" s="1993">
        <f>+BB1287</f>
        <v>4</v>
      </c>
      <c r="BD1287" s="1993">
        <f>+BC1287</f>
        <v>4</v>
      </c>
      <c r="BE1287" s="1993">
        <f>+BD1287</f>
        <v>4</v>
      </c>
      <c r="BF1287" s="948"/>
      <c r="BG1287" s="1577">
        <v>3.5</v>
      </c>
      <c r="BH1287" s="949">
        <v>3.5</v>
      </c>
      <c r="BI1287" s="949">
        <v>3.5</v>
      </c>
      <c r="BJ1287" s="2986">
        <v>3.5</v>
      </c>
      <c r="BK1287" s="950"/>
      <c r="BL1287" s="949">
        <v>3.5</v>
      </c>
      <c r="BM1287" s="949">
        <v>3.5</v>
      </c>
      <c r="BN1287" s="949">
        <v>3.5</v>
      </c>
      <c r="BO1287" s="2986">
        <v>3.5</v>
      </c>
      <c r="BP1287" s="950">
        <f>BO1287</f>
        <v>3.5</v>
      </c>
      <c r="BQ1287" s="949">
        <v>3.5</v>
      </c>
      <c r="BR1287" s="949">
        <v>3.5</v>
      </c>
      <c r="BS1287" s="949">
        <v>3.5</v>
      </c>
      <c r="BT1287" s="2986">
        <v>3.5</v>
      </c>
      <c r="BU1287" s="3462">
        <f>BT1287</f>
        <v>3.5</v>
      </c>
      <c r="BV1287" s="3989">
        <f>BU1287</f>
        <v>3.5</v>
      </c>
      <c r="BW1287" s="3987">
        <f t="shared" ref="BW1287:BY1287" si="2406">BV1287</f>
        <v>3.5</v>
      </c>
      <c r="BX1287" s="3987">
        <f t="shared" si="2406"/>
        <v>3.5</v>
      </c>
      <c r="BY1287" s="3987">
        <f t="shared" si="2406"/>
        <v>3.5</v>
      </c>
      <c r="BZ1287" s="4040">
        <f>BY1287</f>
        <v>3.5</v>
      </c>
      <c r="CA1287" s="1994">
        <f t="shared" ref="CA1287:CG1287" si="2407">+BZ1287</f>
        <v>3.5</v>
      </c>
      <c r="CB1287" s="1994">
        <f t="shared" si="2407"/>
        <v>3.5</v>
      </c>
      <c r="CC1287" s="1994">
        <f t="shared" si="2407"/>
        <v>3.5</v>
      </c>
      <c r="CD1287" s="1994">
        <f t="shared" si="2407"/>
        <v>3.5</v>
      </c>
      <c r="CE1287" s="1994">
        <f t="shared" si="2407"/>
        <v>3.5</v>
      </c>
      <c r="CF1287" s="1994">
        <f t="shared" si="2407"/>
        <v>3.5</v>
      </c>
      <c r="CG1287" s="1994">
        <f t="shared" si="2407"/>
        <v>3.5</v>
      </c>
      <c r="CH1287" s="956"/>
      <c r="CI1287" s="956"/>
      <c r="CJ1287" s="956"/>
      <c r="CK1287" s="956"/>
      <c r="CL1287" s="956"/>
      <c r="CM1287" s="956"/>
      <c r="CN1287" s="956"/>
      <c r="CO1287" s="956"/>
      <c r="CP1287" s="1021" t="str">
        <f t="shared" si="2354"/>
        <v>Required</v>
      </c>
      <c r="CQ1287" s="947"/>
      <c r="CR1287" s="947"/>
      <c r="CS1287" s="947"/>
      <c r="CT1287" s="947"/>
      <c r="CU1287" s="947"/>
      <c r="CV1287" s="947"/>
      <c r="CW1287" s="947"/>
      <c r="CX1287" s="947"/>
      <c r="CY1287" s="947"/>
      <c r="CZ1287" s="947"/>
      <c r="DA1287" s="947"/>
      <c r="DB1287" s="947"/>
      <c r="DC1287" s="947">
        <f>BP1287</f>
        <v>3.5</v>
      </c>
      <c r="DD1287" s="947">
        <f>BU1287</f>
        <v>3.5</v>
      </c>
      <c r="DE1287" s="947">
        <f t="shared" si="2404"/>
        <v>3.5</v>
      </c>
      <c r="DF1287" s="947">
        <f t="shared" si="2404"/>
        <v>3.5</v>
      </c>
      <c r="DG1287" s="1940">
        <f t="shared" si="2404"/>
        <v>3.5</v>
      </c>
      <c r="DH1287" s="954"/>
      <c r="DI1287" s="954"/>
      <c r="DJ1287" s="954"/>
      <c r="DK1287" s="954"/>
      <c r="DL1287" s="954"/>
      <c r="DM1287" s="954"/>
      <c r="DN1287" s="265"/>
      <c r="DO1287" s="266"/>
      <c r="DY1287" s="949"/>
      <c r="DZ1287" s="949"/>
    </row>
    <row r="1288" spans="1:130" ht="12" hidden="1" customHeight="1" outlineLevel="1">
      <c r="A1288" s="1021" t="s">
        <v>1702</v>
      </c>
      <c r="B1288" s="952"/>
      <c r="C1288" s="952"/>
      <c r="D1288" s="953"/>
      <c r="E1288" s="954"/>
      <c r="F1288" s="954"/>
      <c r="G1288" s="954"/>
      <c r="H1288" s="955"/>
      <c r="I1288" s="954"/>
      <c r="J1288" s="954"/>
      <c r="K1288" s="954"/>
      <c r="L1288" s="954"/>
      <c r="M1288" s="955"/>
      <c r="N1288" s="954"/>
      <c r="O1288" s="954"/>
      <c r="P1288" s="954"/>
      <c r="Q1288" s="954"/>
      <c r="R1288" s="955"/>
      <c r="S1288" s="954"/>
      <c r="T1288" s="954"/>
      <c r="U1288" s="954"/>
      <c r="V1288" s="954"/>
      <c r="W1288" s="955"/>
      <c r="X1288" s="954"/>
      <c r="Y1288" s="954"/>
      <c r="Z1288" s="954"/>
      <c r="AA1288" s="954"/>
      <c r="AB1288" s="955"/>
      <c r="AC1288" s="954"/>
      <c r="AD1288" s="954"/>
      <c r="AE1288" s="954"/>
      <c r="AF1288" s="954"/>
      <c r="AG1288" s="955"/>
      <c r="AH1288" s="954"/>
      <c r="AI1288" s="954"/>
      <c r="AJ1288" s="954"/>
      <c r="AK1288" s="954"/>
      <c r="AL1288" s="955"/>
      <c r="AM1288" s="949">
        <v>4.24</v>
      </c>
      <c r="AN1288" s="949">
        <v>4.1399999999999997</v>
      </c>
      <c r="AO1288" s="949">
        <v>4.25</v>
      </c>
      <c r="AP1288" s="949"/>
      <c r="AQ1288" s="955"/>
      <c r="AR1288" s="949"/>
      <c r="AS1288" s="949"/>
      <c r="AT1288" s="949"/>
      <c r="AU1288" s="949">
        <v>3.89</v>
      </c>
      <c r="AV1288" s="950"/>
      <c r="AW1288" s="949">
        <v>3.89</v>
      </c>
      <c r="AX1288" s="949"/>
      <c r="AY1288" s="949"/>
      <c r="AZ1288" s="949"/>
      <c r="BA1288" s="950"/>
      <c r="BB1288" s="949"/>
      <c r="BC1288" s="949"/>
      <c r="BD1288" s="949"/>
      <c r="BE1288" s="949"/>
      <c r="BF1288" s="948"/>
      <c r="BG1288" s="946"/>
      <c r="BH1288" s="947"/>
      <c r="BI1288" s="947"/>
      <c r="BJ1288" s="1940"/>
      <c r="BK1288" s="950"/>
      <c r="BL1288" s="947"/>
      <c r="BM1288" s="947"/>
      <c r="BN1288" s="947"/>
      <c r="BO1288" s="1940"/>
      <c r="BP1288" s="950"/>
      <c r="BQ1288" s="947"/>
      <c r="BR1288" s="947"/>
      <c r="BS1288" s="947"/>
      <c r="BT1288" s="1940"/>
      <c r="BU1288" s="3462"/>
      <c r="BV1288" s="946"/>
      <c r="BW1288" s="947"/>
      <c r="BX1288" s="947"/>
      <c r="BY1288" s="1940"/>
      <c r="BZ1288" s="4040"/>
      <c r="CA1288" s="950"/>
      <c r="CB1288" s="950"/>
      <c r="CC1288" s="950"/>
      <c r="CD1288" s="950"/>
      <c r="CE1288" s="950"/>
      <c r="CF1288" s="950"/>
      <c r="CG1288" s="950"/>
      <c r="CH1288" s="956"/>
      <c r="CI1288" s="956"/>
      <c r="CJ1288" s="956"/>
      <c r="CK1288" s="956"/>
      <c r="CL1288" s="956"/>
      <c r="CM1288" s="956"/>
      <c r="CN1288" s="956"/>
      <c r="CO1288" s="956"/>
      <c r="CP1288" s="1021" t="str">
        <f t="shared" ref="CP1288:CP1318" si="2408">A1288</f>
        <v>Actual</v>
      </c>
      <c r="CQ1288" s="947"/>
      <c r="CR1288" s="947"/>
      <c r="CS1288" s="947"/>
      <c r="CT1288" s="947"/>
      <c r="CU1288" s="947"/>
      <c r="CV1288" s="947"/>
      <c r="CW1288" s="947"/>
      <c r="CX1288" s="947"/>
      <c r="CY1288" s="947"/>
      <c r="CZ1288" s="947"/>
      <c r="DA1288" s="947"/>
      <c r="DB1288" s="947"/>
      <c r="DC1288" s="947"/>
      <c r="DD1288" s="947"/>
      <c r="DE1288" s="947"/>
      <c r="DF1288" s="947"/>
      <c r="DG1288" s="1940"/>
      <c r="DH1288" s="954"/>
      <c r="DI1288" s="954"/>
      <c r="DJ1288" s="954"/>
      <c r="DK1288" s="954"/>
      <c r="DL1288" s="954"/>
      <c r="DM1288" s="954"/>
      <c r="DN1288" s="265"/>
      <c r="DO1288" s="266"/>
      <c r="DY1288" s="949"/>
      <c r="DZ1288" s="949"/>
    </row>
    <row r="1289" spans="1:130" ht="12" customHeight="1" collapsed="1">
      <c r="A1289" s="1021" t="s">
        <v>349</v>
      </c>
      <c r="B1289" s="952"/>
      <c r="C1289" s="952"/>
      <c r="D1289" s="953"/>
      <c r="E1289" s="954"/>
      <c r="F1289" s="954"/>
      <c r="G1289" s="954"/>
      <c r="H1289" s="955"/>
      <c r="I1289" s="954"/>
      <c r="J1289" s="954"/>
      <c r="K1289" s="954"/>
      <c r="L1289" s="954"/>
      <c r="M1289" s="955"/>
      <c r="N1289" s="954"/>
      <c r="O1289" s="954"/>
      <c r="P1289" s="954"/>
      <c r="Q1289" s="954"/>
      <c r="R1289" s="955"/>
      <c r="S1289" s="954"/>
      <c r="T1289" s="954"/>
      <c r="U1289" s="954"/>
      <c r="V1289" s="954"/>
      <c r="W1289" s="955"/>
      <c r="X1289" s="954"/>
      <c r="Y1289" s="954"/>
      <c r="Z1289" s="954"/>
      <c r="AA1289" s="954"/>
      <c r="AB1289" s="955"/>
      <c r="AC1289" s="954"/>
      <c r="AD1289" s="954"/>
      <c r="AE1289" s="954"/>
      <c r="AF1289" s="954"/>
      <c r="AG1289" s="955"/>
      <c r="AH1289" s="954"/>
      <c r="AI1289" s="954"/>
      <c r="AJ1289" s="954"/>
      <c r="AK1289" s="954"/>
      <c r="AL1289" s="955"/>
      <c r="AM1289" s="947">
        <f>AM1285/AM1286</f>
        <v>4.3974491708879606</v>
      </c>
      <c r="AN1289" s="947">
        <f>AN1285/AN1286</f>
        <v>4.2926858657669591</v>
      </c>
      <c r="AO1289" s="947">
        <f>AO1285/AO1286</f>
        <v>4.172118003336176</v>
      </c>
      <c r="AP1289" s="947">
        <f>AP1285/AP1286</f>
        <v>4.2817806333180357</v>
      </c>
      <c r="AQ1289" s="955"/>
      <c r="AR1289" s="947">
        <f>AR1285/AR1286</f>
        <v>4.0318524300625613</v>
      </c>
      <c r="AS1289" s="947">
        <f>AS1285/AS1286</f>
        <v>3.7797527037832745</v>
      </c>
      <c r="AT1289" s="947">
        <f>AT1285/AT1286</f>
        <v>3.953890624527737</v>
      </c>
      <c r="AU1289" s="947">
        <f>AU1285/AU1286</f>
        <v>3.9394675969207587</v>
      </c>
      <c r="AV1289" s="955"/>
      <c r="AW1289" s="947">
        <f>AW1285/AW1286</f>
        <v>3.65968552575095</v>
      </c>
      <c r="AX1289" s="947">
        <f>AX1285/AX1286</f>
        <v>3.3142044732345028</v>
      </c>
      <c r="AY1289" s="947">
        <f>AY1285/AY1286</f>
        <v>1.7604809901480119E-2</v>
      </c>
      <c r="AZ1289" s="947">
        <f>AZ1285/AZ1286</f>
        <v>6.0912825292912531E-2</v>
      </c>
      <c r="BA1289" s="955"/>
      <c r="BB1289" s="947">
        <f>BB1285/BB1286</f>
        <v>2.8352106371745431E-2</v>
      </c>
      <c r="BC1289" s="947">
        <f>BC1285/BC1286</f>
        <v>9.0410268386698859E-3</v>
      </c>
      <c r="BD1289" s="947">
        <f>BD1285/BD1286</f>
        <v>3.4680780236362847E-2</v>
      </c>
      <c r="BE1289" s="947">
        <f>BE1285/BE1286</f>
        <v>5.8042832398453717E-2</v>
      </c>
      <c r="BF1289" s="955"/>
      <c r="BG1289" s="946">
        <f>BG1285/BG1286</f>
        <v>1.8024438652683567E-2</v>
      </c>
      <c r="BH1289" s="947">
        <f>BH1285/BH1286</f>
        <v>4.4437793890256781E-2</v>
      </c>
      <c r="BI1289" s="947">
        <f>BI1285/BI1286</f>
        <v>3.2080414906699453E-2</v>
      </c>
      <c r="BJ1289" s="1940">
        <f>BJ1285/BJ1286</f>
        <v>7.9281766972810044E-2</v>
      </c>
      <c r="BK1289" s="955"/>
      <c r="BL1289" s="947">
        <f>BL1285/BL1286</f>
        <v>0</v>
      </c>
      <c r="BM1289" s="947">
        <f>BM1285/BM1286</f>
        <v>0</v>
      </c>
      <c r="BN1289" s="947">
        <f>BN1285/BN1286</f>
        <v>6.0157448243197548E-2</v>
      </c>
      <c r="BO1289" s="1940">
        <f>BO1285/BO1286</f>
        <v>6.9124519511644902E-2</v>
      </c>
      <c r="BP1289" s="955">
        <f>BO1289</f>
        <v>6.9124519511644902E-2</v>
      </c>
      <c r="BQ1289" s="947">
        <f>BQ1285/BQ1286</f>
        <v>6.2300681156246152E-2</v>
      </c>
      <c r="BR1289" s="947">
        <f>BR1285/BR1286</f>
        <v>0.11380074837479184</v>
      </c>
      <c r="BS1289" s="947">
        <f>BS1285/BS1286</f>
        <v>6.0916304069618642E-2</v>
      </c>
      <c r="BT1289" s="1940">
        <f>BT1285/BT1286</f>
        <v>5.9937040923399798E-2</v>
      </c>
      <c r="BU1289" s="3460">
        <f>BT1289</f>
        <v>5.9937040923399798E-2</v>
      </c>
      <c r="BV1289" s="946">
        <f>BV1285/BV1286</f>
        <v>5.9773282709593097E-2</v>
      </c>
      <c r="BW1289" s="947">
        <f>BW1285/BW1286</f>
        <v>5.9286092929849987E-2</v>
      </c>
      <c r="BX1289" s="947">
        <f>BX1285/BX1286</f>
        <v>5.3696901271610545E-2</v>
      </c>
      <c r="BY1289" s="1940">
        <f>BY1285/BY1286</f>
        <v>4.8704333389598349E-2</v>
      </c>
      <c r="BZ1289" s="4040">
        <f>BY1289</f>
        <v>4.8704333389598349E-2</v>
      </c>
      <c r="CA1289" s="948">
        <f t="shared" ref="CA1289:CG1289" si="2409">CA1285/CA1286</f>
        <v>4.0848649924041552E-2</v>
      </c>
      <c r="CB1289" s="948">
        <f t="shared" si="2409"/>
        <v>4.0316936562730089E-2</v>
      </c>
      <c r="CC1289" s="948">
        <f t="shared" si="2409"/>
        <v>0</v>
      </c>
      <c r="CD1289" s="948">
        <f t="shared" si="2409"/>
        <v>0</v>
      </c>
      <c r="CE1289" s="948">
        <f t="shared" si="2409"/>
        <v>0</v>
      </c>
      <c r="CF1289" s="948">
        <f t="shared" si="2409"/>
        <v>0</v>
      </c>
      <c r="CG1289" s="948">
        <f t="shared" si="2409"/>
        <v>0</v>
      </c>
      <c r="CH1289" s="956"/>
      <c r="CI1289" s="956"/>
      <c r="CJ1289" s="956"/>
      <c r="CK1289" s="956"/>
      <c r="CL1289" s="956"/>
      <c r="CM1289" s="956"/>
      <c r="CN1289" s="956"/>
      <c r="CO1289" s="956"/>
      <c r="CP1289" s="1021" t="str">
        <f t="shared" si="2408"/>
        <v>MS Estimate</v>
      </c>
      <c r="CQ1289" s="947"/>
      <c r="CR1289" s="947"/>
      <c r="CS1289" s="947"/>
      <c r="CT1289" s="947"/>
      <c r="CU1289" s="947"/>
      <c r="CV1289" s="947"/>
      <c r="CW1289" s="947"/>
      <c r="CX1289" s="947"/>
      <c r="CY1289" s="947"/>
      <c r="CZ1289" s="947"/>
      <c r="DA1289" s="947"/>
      <c r="DB1289" s="947"/>
      <c r="DC1289" s="947">
        <f t="shared" ref="DC1289:DC1316" si="2410">BP1289</f>
        <v>6.9124519511644902E-2</v>
      </c>
      <c r="DD1289" s="947">
        <f t="shared" ref="DD1289:DD1316" si="2411">BU1289</f>
        <v>5.9937040923399798E-2</v>
      </c>
      <c r="DE1289" s="947">
        <f t="shared" ref="DE1289:DE1316" si="2412">BZ1289</f>
        <v>4.8704333389598349E-2</v>
      </c>
      <c r="DF1289" s="947">
        <f t="shared" ref="DF1289:DF1316" si="2413">CA1289</f>
        <v>4.0848649924041552E-2</v>
      </c>
      <c r="DG1289" s="1940">
        <f t="shared" ref="DG1289:DG1316" si="2414">CB1289</f>
        <v>4.0316936562730089E-2</v>
      </c>
      <c r="DH1289" s="954"/>
      <c r="DI1289" s="954"/>
      <c r="DJ1289" s="954"/>
      <c r="DK1289" s="954"/>
      <c r="DL1289" s="954"/>
      <c r="DM1289" s="954"/>
      <c r="DN1289" s="265"/>
      <c r="DO1289" s="266"/>
      <c r="DY1289" s="954"/>
      <c r="DZ1289" s="954"/>
    </row>
    <row r="1290" spans="1:130" ht="12" customHeight="1">
      <c r="A1290" s="1545" t="s">
        <v>916</v>
      </c>
      <c r="B1290" s="952"/>
      <c r="C1290" s="952"/>
      <c r="D1290" s="953"/>
      <c r="E1290" s="954"/>
      <c r="F1290" s="954"/>
      <c r="G1290" s="954"/>
      <c r="H1290" s="955"/>
      <c r="I1290" s="954"/>
      <c r="J1290" s="954"/>
      <c r="K1290" s="954"/>
      <c r="L1290" s="954"/>
      <c r="M1290" s="955"/>
      <c r="N1290" s="954"/>
      <c r="O1290" s="954"/>
      <c r="P1290" s="954"/>
      <c r="Q1290" s="954"/>
      <c r="R1290" s="955"/>
      <c r="S1290" s="954"/>
      <c r="T1290" s="954"/>
      <c r="U1290" s="954"/>
      <c r="V1290" s="954"/>
      <c r="W1290" s="955"/>
      <c r="X1290" s="954"/>
      <c r="Y1290" s="954"/>
      <c r="Z1290" s="954"/>
      <c r="AA1290" s="954"/>
      <c r="AB1290" s="955"/>
      <c r="AC1290" s="954"/>
      <c r="AD1290" s="954"/>
      <c r="AE1290" s="954"/>
      <c r="AF1290" s="954"/>
      <c r="AG1290" s="955"/>
      <c r="AH1290" s="954"/>
      <c r="AI1290" s="954"/>
      <c r="AJ1290" s="954"/>
      <c r="AK1290" s="954"/>
      <c r="AL1290" s="955"/>
      <c r="AM1290" s="954" t="str">
        <f>IF(AM1288&gt;AM1287,"No","Yes")</f>
        <v>Yes</v>
      </c>
      <c r="AN1290" s="954" t="str">
        <f>IF(AN1288&gt;AN1287,"No","Yes")</f>
        <v>Yes</v>
      </c>
      <c r="AO1290" s="954" t="str">
        <f>IF(AO1288&gt;AO1287,"No","Yes")</f>
        <v>Yes</v>
      </c>
      <c r="AP1290" s="954" t="str">
        <f>IF(AP1289&gt;AP1287,"No","Yes")</f>
        <v>Yes</v>
      </c>
      <c r="AQ1290" s="955"/>
      <c r="AR1290" s="954" t="str">
        <f>IF(AR1289&gt;AR1287,"No","Yes")</f>
        <v>Yes</v>
      </c>
      <c r="AS1290" s="954" t="str">
        <f>IF(AS1289&gt;AS1287,"No","Yes")</f>
        <v>Yes</v>
      </c>
      <c r="AT1290" s="954" t="str">
        <f>IF(AT1289&gt;AT1287,"No","Yes")</f>
        <v>Yes</v>
      </c>
      <c r="AU1290" s="954" t="str">
        <f>IF(AU1289&gt;AU1287,"No","Yes")</f>
        <v>Yes</v>
      </c>
      <c r="AV1290" s="955"/>
      <c r="AW1290" s="954" t="str">
        <f>IF(AW1289&gt;AW1287,"No","Yes")</f>
        <v>Yes</v>
      </c>
      <c r="AX1290" s="954" t="str">
        <f>IF(AX1289&gt;AX1287,"No","Yes")</f>
        <v>Yes</v>
      </c>
      <c r="AY1290" s="954" t="str">
        <f>IF(AY1289&gt;AY1287,"No","Yes")</f>
        <v>Yes</v>
      </c>
      <c r="AZ1290" s="954" t="str">
        <f>IF(AZ1289&gt;AZ1287,"No","Yes")</f>
        <v>Yes</v>
      </c>
      <c r="BA1290" s="955"/>
      <c r="BB1290" s="954" t="str">
        <f>IF(BB1289&gt;BB1287,"No","Yes")</f>
        <v>Yes</v>
      </c>
      <c r="BC1290" s="954" t="str">
        <f>IF(BC1289&gt;BC1287,"No","Yes")</f>
        <v>Yes</v>
      </c>
      <c r="BD1290" s="954" t="str">
        <f>IF(BD1289&gt;BD1287,"No","Yes")</f>
        <v>Yes</v>
      </c>
      <c r="BE1290" s="954" t="str">
        <f>IF(BE1289&gt;BE1287,"No","Yes")</f>
        <v>Yes</v>
      </c>
      <c r="BF1290" s="955"/>
      <c r="BG1290" s="953" t="str">
        <f>IF(BG1289&gt;BG1287,"No","Yes")</f>
        <v>Yes</v>
      </c>
      <c r="BH1290" s="954" t="str">
        <f>IF(BH1289&gt;BH1287,"No","Yes")</f>
        <v>Yes</v>
      </c>
      <c r="BI1290" s="954" t="str">
        <f>IF(BI1289&gt;BI1287,"No","Yes")</f>
        <v>Yes</v>
      </c>
      <c r="BJ1290" s="1020" t="str">
        <f>IF(BJ1289&gt;BJ1287,"No","Yes")</f>
        <v>Yes</v>
      </c>
      <c r="BK1290" s="955"/>
      <c r="BL1290" s="954" t="str">
        <f>IF(BL1289&gt;BL1287,"No","Yes")</f>
        <v>Yes</v>
      </c>
      <c r="BM1290" s="954" t="str">
        <f>IF(BM1289&gt;BM1287,"No","Yes")</f>
        <v>Yes</v>
      </c>
      <c r="BN1290" s="954" t="str">
        <f>IF(BN1289&gt;BN1287,"No","Yes")</f>
        <v>Yes</v>
      </c>
      <c r="BO1290" s="1020" t="str">
        <f>IF(BO1289&gt;BO1287,"No","Yes")</f>
        <v>Yes</v>
      </c>
      <c r="BP1290" s="955" t="str">
        <f>BO1290</f>
        <v>Yes</v>
      </c>
      <c r="BQ1290" s="954" t="str">
        <f>IF(BQ1289&gt;BQ1287,"No","Yes")</f>
        <v>Yes</v>
      </c>
      <c r="BR1290" s="954" t="str">
        <f>IF(BR1289&gt;BR1287,"No","Yes")</f>
        <v>Yes</v>
      </c>
      <c r="BS1290" s="954" t="str">
        <f>IF(BS1289&gt;BS1287,"No","Yes")</f>
        <v>Yes</v>
      </c>
      <c r="BT1290" s="1020" t="str">
        <f>IF(BT1289&gt;BT1287,"No","Yes")</f>
        <v>Yes</v>
      </c>
      <c r="BU1290" s="3460" t="str">
        <f>BT1290</f>
        <v>Yes</v>
      </c>
      <c r="BV1290" s="953" t="str">
        <f>IF(BV1289&gt;BV1287,"No","Yes")</f>
        <v>Yes</v>
      </c>
      <c r="BW1290" s="954" t="str">
        <f>IF(BW1289&gt;BW1287,"No","Yes")</f>
        <v>Yes</v>
      </c>
      <c r="BX1290" s="954" t="str">
        <f>IF(BX1289&gt;BX1287,"No","Yes")</f>
        <v>Yes</v>
      </c>
      <c r="BY1290" s="1020" t="str">
        <f>IF(BY1289&gt;BY1287,"No","Yes")</f>
        <v>Yes</v>
      </c>
      <c r="BZ1290" s="955" t="str">
        <f>BY1290</f>
        <v>Yes</v>
      </c>
      <c r="CA1290" s="955" t="str">
        <f t="shared" ref="CA1290:CG1290" si="2415">IF(CA1289&gt;CA1287,"No","Yes")</f>
        <v>Yes</v>
      </c>
      <c r="CB1290" s="955" t="str">
        <f t="shared" si="2415"/>
        <v>Yes</v>
      </c>
      <c r="CC1290" s="955" t="str">
        <f t="shared" si="2415"/>
        <v>Yes</v>
      </c>
      <c r="CD1290" s="955" t="str">
        <f t="shared" si="2415"/>
        <v>Yes</v>
      </c>
      <c r="CE1290" s="955" t="str">
        <f t="shared" si="2415"/>
        <v>Yes</v>
      </c>
      <c r="CF1290" s="955" t="str">
        <f t="shared" si="2415"/>
        <v>Yes</v>
      </c>
      <c r="CG1290" s="955" t="str">
        <f t="shared" si="2415"/>
        <v>Yes</v>
      </c>
      <c r="CH1290" s="956"/>
      <c r="CI1290" s="956"/>
      <c r="CJ1290" s="956"/>
      <c r="CK1290" s="956"/>
      <c r="CL1290" s="956"/>
      <c r="CM1290" s="956"/>
      <c r="CN1290" s="956"/>
      <c r="CO1290" s="956"/>
      <c r="CP1290" s="1545" t="str">
        <f t="shared" si="2408"/>
        <v>Compliance?</v>
      </c>
      <c r="CQ1290" s="954"/>
      <c r="CR1290" s="954"/>
      <c r="CS1290" s="954"/>
      <c r="CT1290" s="954"/>
      <c r="CU1290" s="954"/>
      <c r="CV1290" s="954"/>
      <c r="CW1290" s="954"/>
      <c r="CX1290" s="954"/>
      <c r="CY1290" s="954"/>
      <c r="CZ1290" s="954"/>
      <c r="DA1290" s="954"/>
      <c r="DB1290" s="954"/>
      <c r="DC1290" s="954" t="str">
        <f t="shared" si="2410"/>
        <v>Yes</v>
      </c>
      <c r="DD1290" s="954" t="str">
        <f t="shared" si="2411"/>
        <v>Yes</v>
      </c>
      <c r="DE1290" s="954" t="str">
        <f t="shared" si="2412"/>
        <v>Yes</v>
      </c>
      <c r="DF1290" s="954" t="str">
        <f t="shared" si="2413"/>
        <v>Yes</v>
      </c>
      <c r="DG1290" s="1020" t="str">
        <f t="shared" si="2414"/>
        <v>Yes</v>
      </c>
      <c r="DH1290" s="954"/>
      <c r="DI1290" s="954"/>
      <c r="DJ1290" s="954"/>
      <c r="DK1290" s="954"/>
      <c r="DL1290" s="954"/>
      <c r="DM1290" s="954"/>
      <c r="DN1290" s="265"/>
      <c r="DO1290" s="266"/>
      <c r="DY1290" s="954"/>
      <c r="DZ1290" s="954"/>
    </row>
    <row r="1291" spans="1:130" ht="12" customHeight="1">
      <c r="A1291" s="1545"/>
      <c r="B1291" s="952"/>
      <c r="C1291" s="952"/>
      <c r="D1291" s="953"/>
      <c r="E1291" s="954"/>
      <c r="F1291" s="954"/>
      <c r="G1291" s="954"/>
      <c r="H1291" s="955"/>
      <c r="I1291" s="954"/>
      <c r="J1291" s="954"/>
      <c r="K1291" s="954"/>
      <c r="L1291" s="954"/>
      <c r="M1291" s="955"/>
      <c r="N1291" s="954"/>
      <c r="O1291" s="954"/>
      <c r="P1291" s="954"/>
      <c r="Q1291" s="954"/>
      <c r="R1291" s="955"/>
      <c r="S1291" s="954"/>
      <c r="T1291" s="954"/>
      <c r="U1291" s="954"/>
      <c r="V1291" s="954"/>
      <c r="W1291" s="955"/>
      <c r="X1291" s="954"/>
      <c r="Y1291" s="954"/>
      <c r="Z1291" s="954"/>
      <c r="AA1291" s="954"/>
      <c r="AB1291" s="955"/>
      <c r="AC1291" s="954"/>
      <c r="AD1291" s="954"/>
      <c r="AE1291" s="954"/>
      <c r="AF1291" s="954"/>
      <c r="AG1291" s="955"/>
      <c r="AH1291" s="954"/>
      <c r="AI1291" s="954"/>
      <c r="AJ1291" s="954"/>
      <c r="AK1291" s="954"/>
      <c r="AL1291" s="955"/>
      <c r="AM1291" s="954"/>
      <c r="AN1291" s="954"/>
      <c r="AO1291" s="954"/>
      <c r="AP1291" s="954"/>
      <c r="AQ1291" s="955"/>
      <c r="AR1291" s="954"/>
      <c r="AS1291" s="954"/>
      <c r="AT1291" s="954"/>
      <c r="AU1291" s="954"/>
      <c r="AV1291" s="955"/>
      <c r="AW1291" s="954"/>
      <c r="AX1291" s="954"/>
      <c r="AY1291" s="954"/>
      <c r="AZ1291" s="954"/>
      <c r="BA1291" s="955"/>
      <c r="BB1291" s="954"/>
      <c r="BC1291" s="954"/>
      <c r="BD1291" s="954"/>
      <c r="BE1291" s="954"/>
      <c r="BF1291" s="955"/>
      <c r="BG1291" s="953"/>
      <c r="BH1291" s="954"/>
      <c r="BI1291" s="954"/>
      <c r="BJ1291" s="1020"/>
      <c r="BK1291" s="955"/>
      <c r="BL1291" s="954"/>
      <c r="BM1291" s="954"/>
      <c r="BN1291" s="954"/>
      <c r="BO1291" s="1020"/>
      <c r="BP1291" s="955"/>
      <c r="BQ1291" s="954"/>
      <c r="BR1291" s="954"/>
      <c r="BS1291" s="954"/>
      <c r="BT1291" s="1020"/>
      <c r="BU1291" s="3461"/>
      <c r="BV1291" s="954"/>
      <c r="BW1291" s="954"/>
      <c r="BX1291" s="954"/>
      <c r="BY1291" s="1020"/>
      <c r="BZ1291" s="955"/>
      <c r="CA1291" s="955"/>
      <c r="CB1291" s="955"/>
      <c r="CC1291" s="955"/>
      <c r="CD1291" s="955"/>
      <c r="CE1291" s="955"/>
      <c r="CF1291" s="955"/>
      <c r="CG1291" s="955"/>
      <c r="CH1291" s="956"/>
      <c r="CI1291" s="956"/>
      <c r="CJ1291" s="956"/>
      <c r="CK1291" s="956"/>
      <c r="CL1291" s="956"/>
      <c r="CM1291" s="956"/>
      <c r="CN1291" s="956"/>
      <c r="CO1291" s="956"/>
      <c r="CP1291" s="1545"/>
      <c r="CQ1291" s="954"/>
      <c r="CR1291" s="954"/>
      <c r="CS1291" s="954"/>
      <c r="CT1291" s="954"/>
      <c r="CU1291" s="954"/>
      <c r="CV1291" s="954"/>
      <c r="CW1291" s="954"/>
      <c r="CX1291" s="954"/>
      <c r="CY1291" s="954"/>
      <c r="CZ1291" s="954"/>
      <c r="DA1291" s="954"/>
      <c r="DB1291" s="954"/>
      <c r="DC1291" s="954"/>
      <c r="DD1291" s="954"/>
      <c r="DE1291" s="954"/>
      <c r="DF1291" s="954"/>
      <c r="DG1291" s="1020"/>
      <c r="DH1291" s="954"/>
      <c r="DI1291" s="954"/>
      <c r="DJ1291" s="954"/>
      <c r="DK1291" s="954"/>
      <c r="DL1291" s="954"/>
      <c r="DM1291" s="954"/>
      <c r="DN1291" s="265"/>
      <c r="DO1291" s="266"/>
      <c r="DY1291" s="954"/>
      <c r="DZ1291" s="954"/>
    </row>
    <row r="1292" spans="1:130" ht="12" customHeight="1">
      <c r="A1292" s="1023" t="s">
        <v>365</v>
      </c>
      <c r="B1292" s="952"/>
      <c r="C1292" s="952"/>
      <c r="D1292" s="953"/>
      <c r="E1292" s="954"/>
      <c r="F1292" s="954"/>
      <c r="G1292" s="954"/>
      <c r="H1292" s="955"/>
      <c r="I1292" s="954"/>
      <c r="J1292" s="954"/>
      <c r="K1292" s="954"/>
      <c r="L1292" s="954"/>
      <c r="M1292" s="955"/>
      <c r="N1292" s="954"/>
      <c r="O1292" s="954"/>
      <c r="P1292" s="954"/>
      <c r="Q1292" s="954"/>
      <c r="R1292" s="955"/>
      <c r="S1292" s="954"/>
      <c r="T1292" s="954"/>
      <c r="U1292" s="954"/>
      <c r="V1292" s="954"/>
      <c r="W1292" s="955"/>
      <c r="X1292" s="954"/>
      <c r="Y1292" s="954"/>
      <c r="Z1292" s="954"/>
      <c r="AA1292" s="954"/>
      <c r="AB1292" s="955"/>
      <c r="AC1292" s="954"/>
      <c r="AD1292" s="954"/>
      <c r="AE1292" s="954"/>
      <c r="AF1292" s="954"/>
      <c r="AG1292" s="955"/>
      <c r="AH1292" s="954"/>
      <c r="AI1292" s="954"/>
      <c r="AJ1292" s="954"/>
      <c r="AK1292" s="954"/>
      <c r="AL1292" s="955"/>
      <c r="AM1292" s="954"/>
      <c r="AN1292" s="954"/>
      <c r="AO1292" s="954"/>
      <c r="AP1292" s="954"/>
      <c r="AQ1292" s="955"/>
      <c r="AR1292" s="954"/>
      <c r="AS1292" s="954"/>
      <c r="AT1292" s="954"/>
      <c r="AU1292" s="954"/>
      <c r="AV1292" s="955"/>
      <c r="AW1292" s="954"/>
      <c r="AX1292" s="954"/>
      <c r="AY1292" s="954"/>
      <c r="AZ1292" s="954"/>
      <c r="BA1292" s="955"/>
      <c r="BB1292" s="954"/>
      <c r="BC1292" s="954"/>
      <c r="BD1292" s="954"/>
      <c r="BE1292" s="954"/>
      <c r="BF1292" s="955"/>
      <c r="BG1292" s="953"/>
      <c r="BH1292" s="954"/>
      <c r="BI1292" s="954"/>
      <c r="BJ1292" s="1020"/>
      <c r="BK1292" s="955"/>
      <c r="BL1292" s="954"/>
      <c r="BM1292" s="954"/>
      <c r="BN1292" s="954"/>
      <c r="BO1292" s="1020"/>
      <c r="BP1292" s="955"/>
      <c r="BQ1292" s="954"/>
      <c r="BR1292" s="954"/>
      <c r="BS1292" s="954"/>
      <c r="BT1292" s="1020"/>
      <c r="BU1292" s="3461"/>
      <c r="BV1292" s="954"/>
      <c r="BW1292" s="954"/>
      <c r="BX1292" s="954"/>
      <c r="BY1292" s="1020"/>
      <c r="BZ1292" s="955"/>
      <c r="CA1292" s="955"/>
      <c r="CB1292" s="955"/>
      <c r="CC1292" s="955"/>
      <c r="CD1292" s="955"/>
      <c r="CE1292" s="955"/>
      <c r="CF1292" s="955"/>
      <c r="CG1292" s="955"/>
      <c r="CH1292" s="956"/>
      <c r="CI1292" s="956"/>
      <c r="CJ1292" s="956"/>
      <c r="CK1292" s="956"/>
      <c r="CL1292" s="956"/>
      <c r="CM1292" s="956"/>
      <c r="CN1292" s="956"/>
      <c r="CO1292" s="956"/>
      <c r="CP1292" s="1023" t="str">
        <f t="shared" si="2408"/>
        <v>3. Interest Coverage</v>
      </c>
      <c r="CQ1292" s="954"/>
      <c r="CR1292" s="954"/>
      <c r="CS1292" s="954"/>
      <c r="CT1292" s="954"/>
      <c r="CU1292" s="954"/>
      <c r="CV1292" s="954"/>
      <c r="CW1292" s="954"/>
      <c r="CX1292" s="954"/>
      <c r="CY1292" s="954"/>
      <c r="CZ1292" s="954"/>
      <c r="DA1292" s="954"/>
      <c r="DB1292" s="954"/>
      <c r="DC1292" s="954"/>
      <c r="DD1292" s="954"/>
      <c r="DE1292" s="954"/>
      <c r="DF1292" s="954"/>
      <c r="DG1292" s="1020"/>
      <c r="DH1292" s="954"/>
      <c r="DI1292" s="954"/>
      <c r="DJ1292" s="954"/>
      <c r="DK1292" s="954"/>
      <c r="DL1292" s="954"/>
      <c r="DM1292" s="954"/>
      <c r="DN1292" s="265"/>
      <c r="DO1292" s="266"/>
      <c r="DY1292" s="954"/>
      <c r="DZ1292" s="954"/>
    </row>
    <row r="1293" spans="1:130" ht="12" customHeight="1">
      <c r="A1293" s="1544" t="s">
        <v>351</v>
      </c>
      <c r="B1293" s="945"/>
      <c r="C1293" s="945"/>
      <c r="D1293" s="946"/>
      <c r="E1293" s="947"/>
      <c r="F1293" s="947"/>
      <c r="G1293" s="947"/>
      <c r="H1293" s="948"/>
      <c r="I1293" s="947"/>
      <c r="J1293" s="947"/>
      <c r="K1293" s="947"/>
      <c r="L1293" s="947"/>
      <c r="M1293" s="948"/>
      <c r="N1293" s="947"/>
      <c r="O1293" s="947"/>
      <c r="P1293" s="947"/>
      <c r="Q1293" s="947"/>
      <c r="R1293" s="948"/>
      <c r="S1293" s="947"/>
      <c r="T1293" s="949">
        <v>2</v>
      </c>
      <c r="U1293" s="947">
        <f t="shared" ref="U1293:AP1293" si="2416">T1293</f>
        <v>2</v>
      </c>
      <c r="V1293" s="947">
        <f t="shared" si="2416"/>
        <v>2</v>
      </c>
      <c r="W1293" s="948">
        <f t="shared" si="2416"/>
        <v>2</v>
      </c>
      <c r="X1293" s="947">
        <f t="shared" si="2416"/>
        <v>2</v>
      </c>
      <c r="Y1293" s="947">
        <f t="shared" si="2416"/>
        <v>2</v>
      </c>
      <c r="Z1293" s="947">
        <f t="shared" si="2416"/>
        <v>2</v>
      </c>
      <c r="AA1293" s="947">
        <f t="shared" si="2416"/>
        <v>2</v>
      </c>
      <c r="AB1293" s="948">
        <f t="shared" si="2416"/>
        <v>2</v>
      </c>
      <c r="AC1293" s="947">
        <f t="shared" si="2416"/>
        <v>2</v>
      </c>
      <c r="AD1293" s="947">
        <f t="shared" si="2416"/>
        <v>2</v>
      </c>
      <c r="AE1293" s="947">
        <f t="shared" si="2416"/>
        <v>2</v>
      </c>
      <c r="AF1293" s="947">
        <f t="shared" si="2416"/>
        <v>2</v>
      </c>
      <c r="AG1293" s="948">
        <f t="shared" si="2416"/>
        <v>2</v>
      </c>
      <c r="AH1293" s="947">
        <f t="shared" si="2416"/>
        <v>2</v>
      </c>
      <c r="AI1293" s="947">
        <f t="shared" si="2416"/>
        <v>2</v>
      </c>
      <c r="AJ1293" s="947">
        <f t="shared" si="2416"/>
        <v>2</v>
      </c>
      <c r="AK1293" s="947">
        <f t="shared" si="2416"/>
        <v>2</v>
      </c>
      <c r="AL1293" s="948">
        <f t="shared" si="2416"/>
        <v>2</v>
      </c>
      <c r="AM1293" s="947">
        <f t="shared" si="2416"/>
        <v>2</v>
      </c>
      <c r="AN1293" s="947">
        <f t="shared" si="2416"/>
        <v>2</v>
      </c>
      <c r="AO1293" s="947">
        <f t="shared" si="2416"/>
        <v>2</v>
      </c>
      <c r="AP1293" s="947">
        <f t="shared" si="2416"/>
        <v>2</v>
      </c>
      <c r="AQ1293" s="948"/>
      <c r="AR1293" s="949">
        <v>2</v>
      </c>
      <c r="AS1293" s="947">
        <f>AR1293</f>
        <v>2</v>
      </c>
      <c r="AT1293" s="947">
        <f>AS1293</f>
        <v>2</v>
      </c>
      <c r="AU1293" s="947">
        <f>AT1293</f>
        <v>2</v>
      </c>
      <c r="AV1293" s="948"/>
      <c r="AW1293" s="947">
        <f>AR1293</f>
        <v>2</v>
      </c>
      <c r="AX1293" s="949">
        <v>1.75</v>
      </c>
      <c r="AY1293" s="947">
        <f>AX1293</f>
        <v>1.75</v>
      </c>
      <c r="AZ1293" s="947">
        <f>AY1293</f>
        <v>1.75</v>
      </c>
      <c r="BA1293" s="948"/>
      <c r="BB1293" s="949">
        <v>2</v>
      </c>
      <c r="BC1293" s="947">
        <f>BB1293</f>
        <v>2</v>
      </c>
      <c r="BD1293" s="947">
        <f>BC1293</f>
        <v>2</v>
      </c>
      <c r="BE1293" s="947">
        <f>BD1293</f>
        <v>2</v>
      </c>
      <c r="BF1293" s="948"/>
      <c r="BG1293" s="946">
        <f>BE1293</f>
        <v>2</v>
      </c>
      <c r="BH1293" s="947">
        <f>BG1293</f>
        <v>2</v>
      </c>
      <c r="BI1293" s="947">
        <f>BH1293</f>
        <v>2</v>
      </c>
      <c r="BJ1293" s="1940">
        <f>BI1293</f>
        <v>2</v>
      </c>
      <c r="BK1293" s="948"/>
      <c r="BL1293" s="947">
        <f>BJ1293</f>
        <v>2</v>
      </c>
      <c r="BM1293" s="947">
        <f t="shared" ref="BM1293:CB1293" si="2417">BL1293</f>
        <v>2</v>
      </c>
      <c r="BN1293" s="947">
        <f t="shared" si="2417"/>
        <v>2</v>
      </c>
      <c r="BO1293" s="1940">
        <f t="shared" si="2417"/>
        <v>2</v>
      </c>
      <c r="BP1293" s="948">
        <f t="shared" si="2417"/>
        <v>2</v>
      </c>
      <c r="BQ1293" s="947">
        <f>BP1293</f>
        <v>2</v>
      </c>
      <c r="BR1293" s="947">
        <f>BQ1293</f>
        <v>2</v>
      </c>
      <c r="BS1293" s="947">
        <f>BR1293</f>
        <v>2</v>
      </c>
      <c r="BT1293" s="1940">
        <f>BS1293</f>
        <v>2</v>
      </c>
      <c r="BU1293" s="3459">
        <f t="shared" si="2417"/>
        <v>2</v>
      </c>
      <c r="BV1293" s="947">
        <f>BU1293</f>
        <v>2</v>
      </c>
      <c r="BW1293" s="947">
        <f>BV1293</f>
        <v>2</v>
      </c>
      <c r="BX1293" s="947">
        <f>BW1293</f>
        <v>2</v>
      </c>
      <c r="BY1293" s="1940">
        <f>BX1293</f>
        <v>2</v>
      </c>
      <c r="BZ1293" s="4040">
        <f t="shared" si="2417"/>
        <v>2</v>
      </c>
      <c r="CA1293" s="948">
        <f t="shared" si="2417"/>
        <v>2</v>
      </c>
      <c r="CB1293" s="948">
        <f t="shared" si="2417"/>
        <v>2</v>
      </c>
      <c r="CC1293" s="948">
        <f>CB1293</f>
        <v>2</v>
      </c>
      <c r="CD1293" s="948">
        <f>CC1293</f>
        <v>2</v>
      </c>
      <c r="CE1293" s="948">
        <f>CD1293</f>
        <v>2</v>
      </c>
      <c r="CF1293" s="948">
        <f>CE1293</f>
        <v>2</v>
      </c>
      <c r="CG1293" s="948">
        <f>CF1293</f>
        <v>2</v>
      </c>
      <c r="CH1293" s="4000"/>
      <c r="CI1293" s="4000"/>
      <c r="CJ1293" s="4000"/>
      <c r="CK1293" s="4000"/>
      <c r="CL1293" s="947"/>
      <c r="CM1293" s="947"/>
      <c r="CN1293" s="947"/>
      <c r="CO1293" s="947"/>
      <c r="CP1293" s="1544" t="str">
        <f t="shared" si="2408"/>
        <v>Minimum</v>
      </c>
      <c r="CQ1293" s="947"/>
      <c r="CR1293" s="947"/>
      <c r="CS1293" s="947"/>
      <c r="CT1293" s="947">
        <f>W1293</f>
        <v>2</v>
      </c>
      <c r="CU1293" s="947">
        <f>AB1293</f>
        <v>2</v>
      </c>
      <c r="CV1293" s="947">
        <f>AG1293</f>
        <v>2</v>
      </c>
      <c r="CW1293" s="947">
        <f>AL1293</f>
        <v>2</v>
      </c>
      <c r="CX1293" s="947"/>
      <c r="CY1293" s="947"/>
      <c r="CZ1293" s="947"/>
      <c r="DA1293" s="947"/>
      <c r="DB1293" s="947"/>
      <c r="DC1293" s="947">
        <f t="shared" si="2410"/>
        <v>2</v>
      </c>
      <c r="DD1293" s="947">
        <f t="shared" si="2411"/>
        <v>2</v>
      </c>
      <c r="DE1293" s="947">
        <f t="shared" si="2412"/>
        <v>2</v>
      </c>
      <c r="DF1293" s="947">
        <f t="shared" si="2413"/>
        <v>2</v>
      </c>
      <c r="DG1293" s="1940">
        <f t="shared" si="2414"/>
        <v>2</v>
      </c>
      <c r="DH1293" s="947"/>
      <c r="DI1293" s="947"/>
      <c r="DJ1293" s="947"/>
      <c r="DK1293" s="947"/>
      <c r="DL1293" s="947"/>
      <c r="DM1293" s="947"/>
      <c r="DN1293" s="951"/>
      <c r="DO1293" s="870"/>
      <c r="DY1293" s="947"/>
      <c r="DZ1293" s="947"/>
    </row>
    <row r="1294" spans="1:130" ht="12" hidden="1" customHeight="1" outlineLevel="1">
      <c r="A1294" s="1544" t="s">
        <v>1702</v>
      </c>
      <c r="B1294" s="945"/>
      <c r="C1294" s="945"/>
      <c r="D1294" s="946"/>
      <c r="E1294" s="947"/>
      <c r="F1294" s="947"/>
      <c r="G1294" s="947"/>
      <c r="H1294" s="948"/>
      <c r="I1294" s="947"/>
      <c r="J1294" s="947"/>
      <c r="K1294" s="947"/>
      <c r="L1294" s="947"/>
      <c r="M1294" s="948"/>
      <c r="N1294" s="947"/>
      <c r="O1294" s="947"/>
      <c r="P1294" s="947"/>
      <c r="Q1294" s="947"/>
      <c r="R1294" s="948"/>
      <c r="S1294" s="947"/>
      <c r="T1294" s="949"/>
      <c r="U1294" s="947"/>
      <c r="V1294" s="947"/>
      <c r="W1294" s="948"/>
      <c r="X1294" s="947"/>
      <c r="Y1294" s="947"/>
      <c r="Z1294" s="947"/>
      <c r="AA1294" s="947"/>
      <c r="AB1294" s="948"/>
      <c r="AC1294" s="947"/>
      <c r="AD1294" s="947"/>
      <c r="AE1294" s="947"/>
      <c r="AF1294" s="947"/>
      <c r="AG1294" s="948"/>
      <c r="AH1294" s="947"/>
      <c r="AI1294" s="947"/>
      <c r="AJ1294" s="947"/>
      <c r="AK1294" s="947"/>
      <c r="AL1294" s="948"/>
      <c r="AM1294" s="949">
        <v>2.35</v>
      </c>
      <c r="AN1294" s="949">
        <v>2.42</v>
      </c>
      <c r="AO1294" s="949">
        <v>2.2599999999999998</v>
      </c>
      <c r="AP1294" s="947"/>
      <c r="AQ1294" s="948"/>
      <c r="AR1294" s="947"/>
      <c r="AS1294" s="947"/>
      <c r="AT1294" s="947"/>
      <c r="AU1294" s="947"/>
      <c r="AV1294" s="948"/>
      <c r="AW1294" s="947"/>
      <c r="AX1294" s="947"/>
      <c r="AY1294" s="947"/>
      <c r="AZ1294" s="947"/>
      <c r="BA1294" s="948"/>
      <c r="BB1294" s="947"/>
      <c r="BC1294" s="947"/>
      <c r="BD1294" s="947"/>
      <c r="BE1294" s="947"/>
      <c r="BF1294" s="948"/>
      <c r="BG1294" s="946"/>
      <c r="BH1294" s="947"/>
      <c r="BI1294" s="947"/>
      <c r="BJ1294" s="1940"/>
      <c r="BK1294" s="948"/>
      <c r="BL1294" s="947"/>
      <c r="BM1294" s="947"/>
      <c r="BN1294" s="947"/>
      <c r="BO1294" s="1940"/>
      <c r="BP1294" s="948"/>
      <c r="BQ1294" s="947"/>
      <c r="BR1294" s="947"/>
      <c r="BS1294" s="947"/>
      <c r="BT1294" s="1940"/>
      <c r="BU1294" s="3459"/>
      <c r="BV1294" s="947"/>
      <c r="BW1294" s="947"/>
      <c r="BX1294" s="947"/>
      <c r="BY1294" s="1940"/>
      <c r="BZ1294" s="4040"/>
      <c r="CA1294" s="948"/>
      <c r="CB1294" s="948"/>
      <c r="CC1294" s="948"/>
      <c r="CD1294" s="948"/>
      <c r="CE1294" s="948"/>
      <c r="CF1294" s="948"/>
      <c r="CG1294" s="948"/>
      <c r="CH1294" s="4000"/>
      <c r="CI1294" s="4000"/>
      <c r="CJ1294" s="4000"/>
      <c r="CK1294" s="4000"/>
      <c r="CL1294" s="947"/>
      <c r="CM1294" s="947"/>
      <c r="CN1294" s="947"/>
      <c r="CO1294" s="947"/>
      <c r="CP1294" s="1544" t="str">
        <f t="shared" si="2408"/>
        <v>Actual</v>
      </c>
      <c r="CQ1294" s="947"/>
      <c r="CR1294" s="947"/>
      <c r="CS1294" s="947"/>
      <c r="CT1294" s="947"/>
      <c r="CU1294" s="947"/>
      <c r="CV1294" s="947"/>
      <c r="CW1294" s="947"/>
      <c r="CX1294" s="947"/>
      <c r="CY1294" s="947"/>
      <c r="CZ1294" s="947"/>
      <c r="DA1294" s="947"/>
      <c r="DB1294" s="947"/>
      <c r="DC1294" s="947"/>
      <c r="DD1294" s="947"/>
      <c r="DE1294" s="947"/>
      <c r="DF1294" s="947"/>
      <c r="DG1294" s="1940"/>
      <c r="DH1294" s="947"/>
      <c r="DI1294" s="947"/>
      <c r="DJ1294" s="947"/>
      <c r="DK1294" s="947"/>
      <c r="DL1294" s="947"/>
      <c r="DM1294" s="947"/>
      <c r="DN1294" s="951"/>
      <c r="DO1294" s="870"/>
      <c r="DY1294" s="947"/>
      <c r="DZ1294" s="947"/>
    </row>
    <row r="1295" spans="1:130" ht="12" customHeight="1" collapsed="1">
      <c r="A1295" s="1544" t="s">
        <v>349</v>
      </c>
      <c r="B1295" s="945"/>
      <c r="C1295" s="945"/>
      <c r="D1295" s="946"/>
      <c r="E1295" s="947"/>
      <c r="F1295" s="947"/>
      <c r="G1295" s="947"/>
      <c r="H1295" s="948"/>
      <c r="I1295" s="947"/>
      <c r="J1295" s="947"/>
      <c r="K1295" s="947"/>
      <c r="L1295" s="947"/>
      <c r="M1295" s="948"/>
      <c r="N1295" s="947"/>
      <c r="O1295" s="947"/>
      <c r="P1295" s="947"/>
      <c r="Q1295" s="947"/>
      <c r="R1295" s="948"/>
      <c r="S1295" s="947"/>
      <c r="T1295" s="949"/>
      <c r="U1295" s="947"/>
      <c r="V1295" s="947"/>
      <c r="W1295" s="948"/>
      <c r="X1295" s="947"/>
      <c r="Y1295" s="947"/>
      <c r="Z1295" s="947"/>
      <c r="AA1295" s="947"/>
      <c r="AB1295" s="948"/>
      <c r="AC1295" s="947"/>
      <c r="AD1295" s="947"/>
      <c r="AE1295" s="947"/>
      <c r="AF1295" s="947"/>
      <c r="AG1295" s="948"/>
      <c r="AH1295" s="947"/>
      <c r="AI1295" s="947"/>
      <c r="AJ1295" s="947"/>
      <c r="AK1295" s="947"/>
      <c r="AL1295" s="948"/>
      <c r="AM1295" s="947">
        <f>AM1262/AM1276</f>
        <v>2.4775526587407777</v>
      </c>
      <c r="AN1295" s="947">
        <f>AN1262/AN1276</f>
        <v>2.256281987670516</v>
      </c>
      <c r="AO1295" s="947">
        <f>AO1262/AO1276</f>
        <v>2.163107030070897</v>
      </c>
      <c r="AP1295" s="947">
        <f>AP1262/AP1276</f>
        <v>2.2507806090226015</v>
      </c>
      <c r="AQ1295" s="948"/>
      <c r="AR1295" s="947">
        <f>AR1262/AR1276</f>
        <v>2.2728585651605142</v>
      </c>
      <c r="AS1295" s="947">
        <f>AS1262/AS1276</f>
        <v>2.2402949221489687</v>
      </c>
      <c r="AT1295" s="947">
        <f>AT1262/AT1276</f>
        <v>2.0470981808568456</v>
      </c>
      <c r="AU1295" s="947">
        <f>AU1262/AU1276</f>
        <v>2.0154955710596805</v>
      </c>
      <c r="AV1295" s="948"/>
      <c r="AW1295" s="947">
        <f>AW1262/AW1276</f>
        <v>2.0027771480961296</v>
      </c>
      <c r="AX1295" s="947">
        <f>AX1262/AX1276</f>
        <v>2.0831250243960304</v>
      </c>
      <c r="AY1295" s="947">
        <f>AY1262/AY1276</f>
        <v>2.1956625986665093</v>
      </c>
      <c r="AZ1295" s="947">
        <f>AZ1262/AZ1276</f>
        <v>2.3876454107316594</v>
      </c>
      <c r="BA1295" s="948"/>
      <c r="BB1295" s="947">
        <f>BB1262/BB1276</f>
        <v>2.4874414422208129</v>
      </c>
      <c r="BC1295" s="947">
        <f>BC1262/BC1276</f>
        <v>2.5295771266737743</v>
      </c>
      <c r="BD1295" s="947">
        <f>BD1262/BD1276</f>
        <v>2.5896508448098006</v>
      </c>
      <c r="BE1295" s="947">
        <f>BE1262/BE1276</f>
        <v>2.6227115805786672</v>
      </c>
      <c r="BF1295" s="948"/>
      <c r="BG1295" s="946">
        <f>BG1262/BG1276</f>
        <v>2.9074672268007693</v>
      </c>
      <c r="BH1295" s="947">
        <f>BH1262/BH1276</f>
        <v>3.3091287405978167</v>
      </c>
      <c r="BI1295" s="947">
        <f>BI1262/BI1276</f>
        <v>3.8734298165300127</v>
      </c>
      <c r="BJ1295" s="1940">
        <f>BJ1262/BJ1276</f>
        <v>4.2777883470587357</v>
      </c>
      <c r="BK1295" s="948"/>
      <c r="BL1295" s="947">
        <f>BL1262/BL1276</f>
        <v>4.452164550051001</v>
      </c>
      <c r="BM1295" s="947">
        <f>BM1262/BM1276</f>
        <v>4.2143429529938041</v>
      </c>
      <c r="BN1295" s="947">
        <f>BN1262/BN1276</f>
        <v>4.0143031396358806</v>
      </c>
      <c r="BO1295" s="1940">
        <f>BO1262/BO1276</f>
        <v>3.7706804509212621</v>
      </c>
      <c r="BP1295" s="948">
        <f>BO1295</f>
        <v>3.7706804509212621</v>
      </c>
      <c r="BQ1295" s="947">
        <f>BQ1262/BQ1276</f>
        <v>3.5605179969463587</v>
      </c>
      <c r="BR1295" s="947">
        <f>BR1262/BR1276</f>
        <v>3.6026392247155083</v>
      </c>
      <c r="BS1295" s="947">
        <f>BS1262/BS1276</f>
        <v>3.4387358736343048</v>
      </c>
      <c r="BT1295" s="1940">
        <f>BT1262/BT1276</f>
        <v>3.477289976063985</v>
      </c>
      <c r="BU1295" s="3459">
        <f>BT1295</f>
        <v>3.477289976063985</v>
      </c>
      <c r="BV1295" s="947">
        <f>BV1262/BV1276</f>
        <v>3.4737083280379242</v>
      </c>
      <c r="BW1295" s="947">
        <f>BW1262/BW1276</f>
        <v>3.4529588725565676</v>
      </c>
      <c r="BX1295" s="947">
        <f>BX1262/BX1276</f>
        <v>3.3237551291364955</v>
      </c>
      <c r="BY1295" s="1940">
        <f>BY1262/BY1276</f>
        <v>3.2371114848978362</v>
      </c>
      <c r="BZ1295" s="4040">
        <f>BY1295</f>
        <v>3.2371114848978362</v>
      </c>
      <c r="CA1295" s="948"/>
      <c r="CB1295" s="948"/>
      <c r="CC1295" s="948"/>
      <c r="CD1295" s="948"/>
      <c r="CE1295" s="948"/>
      <c r="CF1295" s="948"/>
      <c r="CG1295" s="948"/>
      <c r="CH1295" s="4000"/>
      <c r="CI1295" s="4000"/>
      <c r="CJ1295" s="4000"/>
      <c r="CK1295" s="4000"/>
      <c r="CL1295" s="947"/>
      <c r="CM1295" s="947"/>
      <c r="CN1295" s="947"/>
      <c r="CO1295" s="947"/>
      <c r="CP1295" s="1544" t="str">
        <f t="shared" si="2408"/>
        <v>MS Estimate</v>
      </c>
      <c r="CQ1295" s="947"/>
      <c r="CR1295" s="947"/>
      <c r="CS1295" s="947"/>
      <c r="CT1295" s="947"/>
      <c r="CU1295" s="947"/>
      <c r="CV1295" s="947"/>
      <c r="CW1295" s="947"/>
      <c r="CX1295" s="947"/>
      <c r="CY1295" s="947"/>
      <c r="CZ1295" s="947"/>
      <c r="DA1295" s="947"/>
      <c r="DB1295" s="947"/>
      <c r="DC1295" s="947"/>
      <c r="DD1295" s="947"/>
      <c r="DE1295" s="947"/>
      <c r="DF1295" s="947"/>
      <c r="DG1295" s="1940"/>
      <c r="DH1295" s="947"/>
      <c r="DI1295" s="947"/>
      <c r="DJ1295" s="947"/>
      <c r="DK1295" s="947"/>
      <c r="DL1295" s="947"/>
      <c r="DM1295" s="947"/>
      <c r="DN1295" s="951"/>
      <c r="DO1295" s="870"/>
      <c r="DY1295" s="947"/>
      <c r="DZ1295" s="947"/>
    </row>
    <row r="1296" spans="1:130" ht="12" customHeight="1">
      <c r="A1296" s="1580" t="s">
        <v>916</v>
      </c>
      <c r="B1296" s="945"/>
      <c r="C1296" s="945"/>
      <c r="D1296" s="946"/>
      <c r="E1296" s="947"/>
      <c r="F1296" s="947"/>
      <c r="G1296" s="947"/>
      <c r="H1296" s="948"/>
      <c r="I1296" s="947"/>
      <c r="J1296" s="947"/>
      <c r="K1296" s="947"/>
      <c r="L1296" s="947"/>
      <c r="M1296" s="948"/>
      <c r="N1296" s="947"/>
      <c r="O1296" s="947"/>
      <c r="P1296" s="947"/>
      <c r="Q1296" s="947"/>
      <c r="R1296" s="948"/>
      <c r="S1296" s="947"/>
      <c r="T1296" s="949"/>
      <c r="U1296" s="947"/>
      <c r="V1296" s="947"/>
      <c r="W1296" s="948"/>
      <c r="X1296" s="947"/>
      <c r="Y1296" s="947"/>
      <c r="Z1296" s="947"/>
      <c r="AA1296" s="947"/>
      <c r="AB1296" s="948"/>
      <c r="AC1296" s="947"/>
      <c r="AD1296" s="947"/>
      <c r="AE1296" s="947"/>
      <c r="AF1296" s="947"/>
      <c r="AG1296" s="948"/>
      <c r="AH1296" s="947"/>
      <c r="AI1296" s="947"/>
      <c r="AJ1296" s="947"/>
      <c r="AK1296" s="947"/>
      <c r="AL1296" s="948"/>
      <c r="AM1296" s="954" t="str">
        <f>IF(AM1294&gt;AM1293,"Yes","No")</f>
        <v>Yes</v>
      </c>
      <c r="AN1296" s="954" t="str">
        <f>IF(AN1294&gt;AN1293,"Yes","No")</f>
        <v>Yes</v>
      </c>
      <c r="AO1296" s="954" t="str">
        <f>IF(AO1294&gt;AO1293,"Yes","No")</f>
        <v>Yes</v>
      </c>
      <c r="AP1296" s="954" t="str">
        <f>IF(AP1295&gt;AP1293,"Yes","No")</f>
        <v>Yes</v>
      </c>
      <c r="AQ1296" s="955"/>
      <c r="AR1296" s="954" t="str">
        <f>IF(AR1295&gt;AR1293,"Yes","No")</f>
        <v>Yes</v>
      </c>
      <c r="AS1296" s="954" t="str">
        <f>IF(AS1295&gt;AS1293,"Yes","No")</f>
        <v>Yes</v>
      </c>
      <c r="AT1296" s="954" t="str">
        <f>IF(AT1295&gt;AT1293,"Yes","No")</f>
        <v>Yes</v>
      </c>
      <c r="AU1296" s="954" t="str">
        <f>IF(AU1295&gt;AU1293,"Yes","No")</f>
        <v>Yes</v>
      </c>
      <c r="AV1296" s="955"/>
      <c r="AW1296" s="954" t="str">
        <f>IF(AW1295&gt;AW1293,"Yes","No")</f>
        <v>Yes</v>
      </c>
      <c r="AX1296" s="954" t="str">
        <f>IF(AX1295&gt;AX1293,"Yes","No")</f>
        <v>Yes</v>
      </c>
      <c r="AY1296" s="954" t="str">
        <f>IF(AY1295&gt;AY1293,"Yes","No")</f>
        <v>Yes</v>
      </c>
      <c r="AZ1296" s="954" t="str">
        <f>IF(AZ1295&gt;AZ1293,"Yes","No")</f>
        <v>Yes</v>
      </c>
      <c r="BA1296" s="955"/>
      <c r="BB1296" s="954" t="str">
        <f>IF(BB1295&gt;BB1293,"Yes","No")</f>
        <v>Yes</v>
      </c>
      <c r="BC1296" s="954" t="str">
        <f>IF(BC1295&gt;BC1293,"Yes","No")</f>
        <v>Yes</v>
      </c>
      <c r="BD1296" s="954" t="str">
        <f>IF(BD1295&gt;BD1293,"Yes","No")</f>
        <v>Yes</v>
      </c>
      <c r="BE1296" s="954" t="str">
        <f>IF(BE1295&gt;BE1293,"Yes","No")</f>
        <v>Yes</v>
      </c>
      <c r="BF1296" s="955"/>
      <c r="BG1296" s="953" t="str">
        <f>IF(BG1295&gt;BG1293,"Yes","No")</f>
        <v>Yes</v>
      </c>
      <c r="BH1296" s="954" t="str">
        <f>IF(BH1295&gt;BH1293,"Yes","No")</f>
        <v>Yes</v>
      </c>
      <c r="BI1296" s="954" t="str">
        <f>IF(BI1295&gt;BI1293,"Yes","No")</f>
        <v>Yes</v>
      </c>
      <c r="BJ1296" s="1020" t="str">
        <f>IF(BJ1295&gt;BJ1293,"Yes","No")</f>
        <v>Yes</v>
      </c>
      <c r="BK1296" s="955"/>
      <c r="BL1296" s="954" t="str">
        <f>IF(BL1295&gt;BL1293,"Yes","No")</f>
        <v>Yes</v>
      </c>
      <c r="BM1296" s="954" t="str">
        <f>IF(BM1295&gt;BM1293,"Yes","No")</f>
        <v>Yes</v>
      </c>
      <c r="BN1296" s="954" t="str">
        <f>IF(BN1295&gt;BN1293,"Yes","No")</f>
        <v>Yes</v>
      </c>
      <c r="BO1296" s="1020" t="str">
        <f>IF(BO1295&gt;BO1293,"Yes","No")</f>
        <v>Yes</v>
      </c>
      <c r="BP1296" s="955" t="str">
        <f>BO1296</f>
        <v>Yes</v>
      </c>
      <c r="BQ1296" s="954" t="str">
        <f>IF(BQ1295&gt;BQ1293,"Yes","No")</f>
        <v>Yes</v>
      </c>
      <c r="BR1296" s="954" t="str">
        <f>IF(BR1295&gt;BR1293,"Yes","No")</f>
        <v>Yes</v>
      </c>
      <c r="BS1296" s="954" t="str">
        <f>IF(BS1295&gt;BS1293,"Yes","No")</f>
        <v>Yes</v>
      </c>
      <c r="BT1296" s="1020" t="str">
        <f>IF(BT1295&gt;BT1293,"Yes","No")</f>
        <v>Yes</v>
      </c>
      <c r="BU1296" s="3461" t="str">
        <f>BT1296</f>
        <v>Yes</v>
      </c>
      <c r="BV1296" s="954" t="str">
        <f>IF(BV1295&gt;BV1293,"Yes","No")</f>
        <v>Yes</v>
      </c>
      <c r="BW1296" s="954" t="str">
        <f>IF(BW1295&gt;BW1293,"Yes","No")</f>
        <v>Yes</v>
      </c>
      <c r="BX1296" s="954" t="str">
        <f>IF(BX1295&gt;BX1293,"Yes","No")</f>
        <v>Yes</v>
      </c>
      <c r="BY1296" s="1020" t="str">
        <f>IF(BY1295&gt;BY1293,"Yes","No")</f>
        <v>Yes</v>
      </c>
      <c r="BZ1296" s="955" t="str">
        <f>BY1296</f>
        <v>Yes</v>
      </c>
      <c r="CA1296" s="955" t="str">
        <f t="shared" ref="CA1296:CG1296" si="2418">IF(CA1295&gt;CA1293,"No","Yes")</f>
        <v>Yes</v>
      </c>
      <c r="CB1296" s="955" t="str">
        <f t="shared" si="2418"/>
        <v>Yes</v>
      </c>
      <c r="CC1296" s="955" t="str">
        <f t="shared" si="2418"/>
        <v>Yes</v>
      </c>
      <c r="CD1296" s="955" t="str">
        <f t="shared" si="2418"/>
        <v>Yes</v>
      </c>
      <c r="CE1296" s="955" t="str">
        <f t="shared" si="2418"/>
        <v>Yes</v>
      </c>
      <c r="CF1296" s="955" t="str">
        <f t="shared" si="2418"/>
        <v>Yes</v>
      </c>
      <c r="CG1296" s="955" t="str">
        <f t="shared" si="2418"/>
        <v>Yes</v>
      </c>
      <c r="CH1296" s="4000"/>
      <c r="CI1296" s="4000"/>
      <c r="CJ1296" s="4000"/>
      <c r="CK1296" s="4000"/>
      <c r="CL1296" s="947"/>
      <c r="CM1296" s="947"/>
      <c r="CN1296" s="947"/>
      <c r="CO1296" s="947"/>
      <c r="CP1296" s="1580" t="str">
        <f t="shared" si="2408"/>
        <v>Compliance?</v>
      </c>
      <c r="CQ1296" s="954"/>
      <c r="CR1296" s="954"/>
      <c r="CS1296" s="954"/>
      <c r="CT1296" s="954"/>
      <c r="CU1296" s="954"/>
      <c r="CV1296" s="954"/>
      <c r="CW1296" s="954"/>
      <c r="CX1296" s="954"/>
      <c r="CY1296" s="954"/>
      <c r="CZ1296" s="954"/>
      <c r="DA1296" s="954"/>
      <c r="DB1296" s="954"/>
      <c r="DC1296" s="954" t="str">
        <f t="shared" si="2410"/>
        <v>Yes</v>
      </c>
      <c r="DD1296" s="954" t="str">
        <f t="shared" si="2411"/>
        <v>Yes</v>
      </c>
      <c r="DE1296" s="954" t="str">
        <f t="shared" si="2412"/>
        <v>Yes</v>
      </c>
      <c r="DF1296" s="954" t="str">
        <f t="shared" si="2413"/>
        <v>Yes</v>
      </c>
      <c r="DG1296" s="1020" t="str">
        <f t="shared" si="2414"/>
        <v>Yes</v>
      </c>
      <c r="DH1296" s="947"/>
      <c r="DI1296" s="947"/>
      <c r="DJ1296" s="947"/>
      <c r="DK1296" s="947"/>
      <c r="DL1296" s="947"/>
      <c r="DM1296" s="947"/>
      <c r="DN1296" s="951"/>
      <c r="DO1296" s="870"/>
      <c r="DY1296" s="954"/>
      <c r="DZ1296" s="954"/>
    </row>
    <row r="1297" spans="1:130" ht="12" customHeight="1">
      <c r="A1297" s="1544"/>
      <c r="B1297" s="945"/>
      <c r="C1297" s="945"/>
      <c r="D1297" s="946"/>
      <c r="E1297" s="947"/>
      <c r="F1297" s="947"/>
      <c r="G1297" s="947"/>
      <c r="H1297" s="948"/>
      <c r="I1297" s="947"/>
      <c r="J1297" s="947"/>
      <c r="K1297" s="947"/>
      <c r="L1297" s="947"/>
      <c r="M1297" s="948"/>
      <c r="N1297" s="947"/>
      <c r="O1297" s="947"/>
      <c r="P1297" s="947"/>
      <c r="Q1297" s="947"/>
      <c r="R1297" s="948"/>
      <c r="S1297" s="947"/>
      <c r="T1297" s="947"/>
      <c r="U1297" s="947"/>
      <c r="V1297" s="947"/>
      <c r="W1297" s="948"/>
      <c r="X1297" s="947"/>
      <c r="Y1297" s="947"/>
      <c r="Z1297" s="947"/>
      <c r="AA1297" s="947"/>
      <c r="AB1297" s="948"/>
      <c r="AC1297" s="947"/>
      <c r="AD1297" s="947"/>
      <c r="AE1297" s="947"/>
      <c r="AF1297" s="947"/>
      <c r="AG1297" s="948"/>
      <c r="AH1297" s="947"/>
      <c r="AI1297" s="947"/>
      <c r="AJ1297" s="947"/>
      <c r="AK1297" s="947"/>
      <c r="AL1297" s="948"/>
      <c r="AM1297" s="947"/>
      <c r="AN1297" s="947"/>
      <c r="AO1297" s="947"/>
      <c r="AP1297" s="947"/>
      <c r="AQ1297" s="948"/>
      <c r="AR1297" s="947"/>
      <c r="AS1297" s="947"/>
      <c r="AT1297" s="947"/>
      <c r="AU1297" s="947"/>
      <c r="AV1297" s="948"/>
      <c r="AW1297" s="947"/>
      <c r="AX1297" s="947"/>
      <c r="AY1297" s="947"/>
      <c r="AZ1297" s="947"/>
      <c r="BA1297" s="948"/>
      <c r="BB1297" s="947"/>
      <c r="BC1297" s="947"/>
      <c r="BD1297" s="947"/>
      <c r="BE1297" s="947"/>
      <c r="BF1297" s="948"/>
      <c r="BG1297" s="946"/>
      <c r="BH1297" s="947"/>
      <c r="BI1297" s="947"/>
      <c r="BJ1297" s="1940"/>
      <c r="BK1297" s="948"/>
      <c r="BL1297" s="947"/>
      <c r="BM1297" s="947"/>
      <c r="BN1297" s="947"/>
      <c r="BO1297" s="1940"/>
      <c r="BP1297" s="948"/>
      <c r="BQ1297" s="947"/>
      <c r="BR1297" s="947"/>
      <c r="BS1297" s="947"/>
      <c r="BT1297" s="1940"/>
      <c r="BU1297" s="3459"/>
      <c r="BV1297" s="947"/>
      <c r="BW1297" s="947"/>
      <c r="BX1297" s="947"/>
      <c r="BY1297" s="1940"/>
      <c r="BZ1297" s="948"/>
      <c r="CA1297" s="948"/>
      <c r="CB1297" s="948"/>
      <c r="CC1297" s="948"/>
      <c r="CD1297" s="948"/>
      <c r="CE1297" s="948"/>
      <c r="CF1297" s="948"/>
      <c r="CG1297" s="948"/>
      <c r="CH1297" s="4000"/>
      <c r="CI1297" s="4000"/>
      <c r="CJ1297" s="4000"/>
      <c r="CK1297" s="4000"/>
      <c r="CL1297" s="947"/>
      <c r="CM1297" s="947"/>
      <c r="CN1297" s="947"/>
      <c r="CO1297" s="947"/>
      <c r="CP1297" s="1544"/>
      <c r="CQ1297" s="947"/>
      <c r="CR1297" s="947"/>
      <c r="CS1297" s="947"/>
      <c r="CT1297" s="947"/>
      <c r="CU1297" s="947"/>
      <c r="CV1297" s="947"/>
      <c r="CW1297" s="947"/>
      <c r="CX1297" s="947"/>
      <c r="CY1297" s="947"/>
      <c r="CZ1297" s="947"/>
      <c r="DA1297" s="947"/>
      <c r="DB1297" s="947"/>
      <c r="DC1297" s="947"/>
      <c r="DD1297" s="947"/>
      <c r="DE1297" s="947"/>
      <c r="DF1297" s="947"/>
      <c r="DG1297" s="1940"/>
      <c r="DH1297" s="947"/>
      <c r="DI1297" s="947"/>
      <c r="DJ1297" s="947"/>
      <c r="DK1297" s="947"/>
      <c r="DL1297" s="947"/>
      <c r="DM1297" s="947"/>
      <c r="DN1297" s="951"/>
      <c r="DO1297" s="870"/>
      <c r="DY1297" s="947"/>
      <c r="DZ1297" s="947"/>
    </row>
    <row r="1298" spans="1:130" ht="12" customHeight="1">
      <c r="A1298" s="1546"/>
      <c r="B1298" s="1026"/>
      <c r="C1298" s="1026"/>
      <c r="D1298" s="1027"/>
      <c r="E1298" s="1028"/>
      <c r="F1298" s="1028"/>
      <c r="G1298" s="1028"/>
      <c r="H1298" s="1029"/>
      <c r="I1298" s="1028"/>
      <c r="J1298" s="1028"/>
      <c r="K1298" s="1028"/>
      <c r="L1298" s="1028"/>
      <c r="M1298" s="1029"/>
      <c r="N1298" s="1028"/>
      <c r="O1298" s="1028"/>
      <c r="P1298" s="1028"/>
      <c r="Q1298" s="1028"/>
      <c r="R1298" s="1029"/>
      <c r="S1298" s="1028"/>
      <c r="T1298" s="1028"/>
      <c r="U1298" s="1028"/>
      <c r="V1298" s="1028"/>
      <c r="W1298" s="1029"/>
      <c r="X1298" s="1028"/>
      <c r="Y1298" s="1028"/>
      <c r="Z1298" s="1028"/>
      <c r="AA1298" s="1028"/>
      <c r="AB1298" s="1029"/>
      <c r="AC1298" s="1028"/>
      <c r="AD1298" s="1028"/>
      <c r="AE1298" s="1028"/>
      <c r="AF1298" s="1028"/>
      <c r="AG1298" s="1029"/>
      <c r="AH1298" s="1028"/>
      <c r="AI1298" s="1028"/>
      <c r="AJ1298" s="1028"/>
      <c r="AK1298" s="1028"/>
      <c r="AL1298" s="1029"/>
      <c r="AM1298" s="1028"/>
      <c r="AN1298" s="1028"/>
      <c r="AO1298" s="1028"/>
      <c r="AP1298" s="1028"/>
      <c r="AQ1298" s="1029"/>
      <c r="AR1298" s="1028"/>
      <c r="AS1298" s="1028"/>
      <c r="AT1298" s="1028"/>
      <c r="AU1298" s="1028"/>
      <c r="AV1298" s="1029"/>
      <c r="AW1298" s="1028"/>
      <c r="AX1298" s="1028"/>
      <c r="AY1298" s="1028"/>
      <c r="AZ1298" s="1028"/>
      <c r="BA1298" s="1029"/>
      <c r="BB1298" s="1028"/>
      <c r="BC1298" s="1028"/>
      <c r="BD1298" s="1028"/>
      <c r="BE1298" s="1028"/>
      <c r="BF1298" s="1029"/>
      <c r="BG1298" s="1027"/>
      <c r="BH1298" s="1028"/>
      <c r="BI1298" s="1028"/>
      <c r="BJ1298" s="1941"/>
      <c r="BK1298" s="1029"/>
      <c r="BL1298" s="1028"/>
      <c r="BM1298" s="1028"/>
      <c r="BN1298" s="1028"/>
      <c r="BO1298" s="1941"/>
      <c r="BP1298" s="1029"/>
      <c r="BQ1298" s="1028"/>
      <c r="BR1298" s="1028"/>
      <c r="BS1298" s="1028"/>
      <c r="BT1298" s="1941"/>
      <c r="BU1298" s="3463"/>
      <c r="BV1298" s="1028"/>
      <c r="BW1298" s="1028"/>
      <c r="BX1298" s="1028"/>
      <c r="BY1298" s="1941"/>
      <c r="BZ1298" s="1029"/>
      <c r="CA1298" s="1029"/>
      <c r="CB1298" s="1029"/>
      <c r="CC1298" s="1029"/>
      <c r="CD1298" s="1029"/>
      <c r="CE1298" s="1029"/>
      <c r="CF1298" s="1029"/>
      <c r="CG1298" s="1029"/>
      <c r="CH1298" s="956"/>
      <c r="CI1298" s="956"/>
      <c r="CJ1298" s="956"/>
      <c r="CK1298" s="956"/>
      <c r="CL1298" s="956"/>
      <c r="CM1298" s="956"/>
      <c r="CN1298" s="956"/>
      <c r="CO1298" s="956"/>
      <c r="CP1298" s="1546"/>
      <c r="CQ1298" s="1028"/>
      <c r="CR1298" s="1028"/>
      <c r="CS1298" s="1028"/>
      <c r="CT1298" s="1028"/>
      <c r="CU1298" s="1028"/>
      <c r="CV1298" s="1028"/>
      <c r="CW1298" s="1028"/>
      <c r="CX1298" s="1028"/>
      <c r="CY1298" s="1028"/>
      <c r="CZ1298" s="1028"/>
      <c r="DA1298" s="1028"/>
      <c r="DB1298" s="1028"/>
      <c r="DC1298" s="1028"/>
      <c r="DD1298" s="1028"/>
      <c r="DE1298" s="1028"/>
      <c r="DF1298" s="1028"/>
      <c r="DG1298" s="1941"/>
      <c r="DH1298" s="954"/>
      <c r="DI1298" s="954"/>
      <c r="DJ1298" s="954"/>
      <c r="DK1298" s="954"/>
      <c r="DL1298" s="954"/>
      <c r="DM1298" s="954"/>
      <c r="DN1298" s="265"/>
      <c r="DO1298" s="266"/>
      <c r="DY1298" s="954"/>
      <c r="DZ1298" s="954"/>
    </row>
    <row r="1299" spans="1:130" ht="12" customHeight="1">
      <c r="A1299" s="504"/>
      <c r="B1299" s="952"/>
      <c r="C1299" s="952"/>
      <c r="D1299" s="953"/>
      <c r="E1299" s="954"/>
      <c r="F1299" s="954"/>
      <c r="G1299" s="954"/>
      <c r="H1299" s="955"/>
      <c r="I1299" s="954"/>
      <c r="J1299" s="954"/>
      <c r="K1299" s="954"/>
      <c r="L1299" s="954"/>
      <c r="M1299" s="955"/>
      <c r="N1299" s="954"/>
      <c r="O1299" s="954"/>
      <c r="P1299" s="954"/>
      <c r="Q1299" s="954"/>
      <c r="R1299" s="955"/>
      <c r="S1299" s="954"/>
      <c r="T1299" s="954"/>
      <c r="U1299" s="954"/>
      <c r="V1299" s="954"/>
      <c r="W1299" s="955"/>
      <c r="X1299" s="954"/>
      <c r="Y1299" s="954"/>
      <c r="Z1299" s="954"/>
      <c r="AA1299" s="954"/>
      <c r="AB1299" s="955"/>
      <c r="AC1299" s="954"/>
      <c r="AD1299" s="954"/>
      <c r="AE1299" s="954"/>
      <c r="AF1299" s="954"/>
      <c r="AG1299" s="955"/>
      <c r="AH1299" s="954"/>
      <c r="AI1299" s="954"/>
      <c r="AJ1299" s="954"/>
      <c r="AK1299" s="954"/>
      <c r="AL1299" s="955"/>
      <c r="AM1299" s="954"/>
      <c r="AN1299" s="954"/>
      <c r="AO1299" s="954"/>
      <c r="AP1299" s="954"/>
      <c r="AQ1299" s="955"/>
      <c r="AR1299" s="954"/>
      <c r="AS1299" s="954"/>
      <c r="AT1299" s="954"/>
      <c r="AU1299" s="954"/>
      <c r="AV1299" s="955"/>
      <c r="AW1299" s="954"/>
      <c r="AX1299" s="954"/>
      <c r="AY1299" s="954"/>
      <c r="AZ1299" s="2459"/>
      <c r="BA1299" s="1020"/>
      <c r="BB1299" s="954"/>
      <c r="BC1299" s="954"/>
      <c r="BD1299" s="954"/>
      <c r="BE1299" s="954"/>
      <c r="BF1299" s="955"/>
      <c r="BG1299" s="953"/>
      <c r="BH1299" s="954"/>
      <c r="BI1299" s="954"/>
      <c r="BJ1299" s="1020"/>
      <c r="BK1299" s="955"/>
      <c r="BL1299" s="954"/>
      <c r="BM1299" s="954"/>
      <c r="BN1299" s="954"/>
      <c r="BO1299" s="1020"/>
      <c r="BP1299" s="955"/>
      <c r="BQ1299" s="954"/>
      <c r="BR1299" s="954"/>
      <c r="BS1299" s="954"/>
      <c r="BT1299" s="1020"/>
      <c r="BU1299" s="3461"/>
      <c r="BV1299" s="954"/>
      <c r="BW1299" s="954"/>
      <c r="BX1299" s="954"/>
      <c r="BY1299" s="1020"/>
      <c r="BZ1299" s="955"/>
      <c r="CA1299" s="955"/>
      <c r="CB1299" s="955"/>
      <c r="CC1299" s="955"/>
      <c r="CD1299" s="955"/>
      <c r="CE1299" s="955"/>
      <c r="CF1299" s="955"/>
      <c r="CG1299" s="955"/>
      <c r="CH1299" s="956"/>
      <c r="CI1299" s="956"/>
      <c r="CJ1299" s="956"/>
      <c r="CK1299" s="956"/>
      <c r="CL1299" s="956"/>
      <c r="CM1299" s="956"/>
      <c r="CN1299" s="956"/>
      <c r="CO1299" s="956"/>
      <c r="CP1299" s="1545"/>
      <c r="CQ1299" s="954"/>
      <c r="CR1299" s="954"/>
      <c r="CS1299" s="954"/>
      <c r="CT1299" s="954"/>
      <c r="CU1299" s="954"/>
      <c r="CV1299" s="954"/>
      <c r="CW1299" s="954"/>
      <c r="CX1299" s="954"/>
      <c r="CY1299" s="954"/>
      <c r="CZ1299" s="954"/>
      <c r="DA1299" s="954"/>
      <c r="DB1299" s="954"/>
      <c r="DC1299" s="954"/>
      <c r="DD1299" s="954"/>
      <c r="DE1299" s="954"/>
      <c r="DF1299" s="954"/>
      <c r="DG1299" s="1020"/>
      <c r="DH1299" s="954"/>
      <c r="DI1299" s="954"/>
      <c r="DJ1299" s="954"/>
      <c r="DK1299" s="954"/>
      <c r="DL1299" s="954"/>
      <c r="DM1299" s="954"/>
      <c r="DN1299" s="265"/>
      <c r="DO1299" s="266"/>
      <c r="DY1299" s="954"/>
      <c r="DZ1299" s="954"/>
    </row>
    <row r="1300" spans="1:130" ht="12" customHeight="1">
      <c r="A1300" s="504"/>
      <c r="B1300" s="952"/>
      <c r="C1300" s="952"/>
      <c r="D1300" s="953"/>
      <c r="E1300" s="954"/>
      <c r="F1300" s="954"/>
      <c r="G1300" s="954"/>
      <c r="H1300" s="955"/>
      <c r="I1300" s="954"/>
      <c r="J1300" s="954"/>
      <c r="K1300" s="954"/>
      <c r="L1300" s="954"/>
      <c r="M1300" s="955"/>
      <c r="N1300" s="954"/>
      <c r="O1300" s="954"/>
      <c r="P1300" s="954"/>
      <c r="Q1300" s="954"/>
      <c r="R1300" s="955"/>
      <c r="S1300" s="954"/>
      <c r="T1300" s="954"/>
      <c r="U1300" s="954"/>
      <c r="V1300" s="954"/>
      <c r="W1300" s="955"/>
      <c r="X1300" s="954"/>
      <c r="Y1300" s="954"/>
      <c r="Z1300" s="954"/>
      <c r="AA1300" s="954"/>
      <c r="AB1300" s="955"/>
      <c r="AC1300" s="954"/>
      <c r="AD1300" s="954"/>
      <c r="AE1300" s="954"/>
      <c r="AF1300" s="954"/>
      <c r="AG1300" s="955"/>
      <c r="AH1300" s="954"/>
      <c r="AI1300" s="954"/>
      <c r="AJ1300" s="954"/>
      <c r="AK1300" s="954"/>
      <c r="AL1300" s="955"/>
      <c r="AM1300" s="954"/>
      <c r="AN1300" s="954"/>
      <c r="AO1300" s="954"/>
      <c r="AP1300" s="954"/>
      <c r="AQ1300" s="955"/>
      <c r="AR1300" s="954"/>
      <c r="AS1300" s="954"/>
      <c r="AT1300" s="954"/>
      <c r="AU1300" s="954"/>
      <c r="AV1300" s="955"/>
      <c r="AW1300" s="954"/>
      <c r="AX1300" s="954"/>
      <c r="AY1300" s="954"/>
      <c r="AZ1300" s="1020"/>
      <c r="BA1300" s="1020"/>
      <c r="BB1300" s="954"/>
      <c r="BC1300" s="954"/>
      <c r="BD1300" s="954"/>
      <c r="BE1300" s="954"/>
      <c r="BF1300" s="955"/>
      <c r="BG1300" s="953"/>
      <c r="BH1300" s="954"/>
      <c r="BI1300" s="954"/>
      <c r="BJ1300" s="1020"/>
      <c r="BK1300" s="955"/>
      <c r="BL1300" s="954"/>
      <c r="BM1300" s="954"/>
      <c r="BN1300" s="954"/>
      <c r="BO1300" s="1020"/>
      <c r="BP1300" s="955"/>
      <c r="BQ1300" s="954"/>
      <c r="BR1300" s="954"/>
      <c r="BS1300" s="954"/>
      <c r="BT1300" s="1020"/>
      <c r="BU1300" s="3461"/>
      <c r="BV1300" s="954"/>
      <c r="BW1300" s="954"/>
      <c r="BX1300" s="954"/>
      <c r="BY1300" s="1020"/>
      <c r="BZ1300" s="955"/>
      <c r="CA1300" s="955"/>
      <c r="CB1300" s="955"/>
      <c r="CC1300" s="955"/>
      <c r="CD1300" s="955"/>
      <c r="CE1300" s="955"/>
      <c r="CF1300" s="955"/>
      <c r="CG1300" s="955"/>
      <c r="CH1300" s="956"/>
      <c r="CI1300" s="956"/>
      <c r="CJ1300" s="956"/>
      <c r="CK1300" s="956"/>
      <c r="CL1300" s="956"/>
      <c r="CM1300" s="956"/>
      <c r="CN1300" s="956"/>
      <c r="CO1300" s="956"/>
      <c r="CP1300" s="1545"/>
      <c r="CQ1300" s="954"/>
      <c r="CR1300" s="954"/>
      <c r="CS1300" s="954"/>
      <c r="CT1300" s="954"/>
      <c r="CU1300" s="954"/>
      <c r="CV1300" s="954"/>
      <c r="CW1300" s="954"/>
      <c r="CX1300" s="954"/>
      <c r="CY1300" s="954"/>
      <c r="CZ1300" s="954"/>
      <c r="DA1300" s="954"/>
      <c r="DB1300" s="954"/>
      <c r="DC1300" s="954"/>
      <c r="DD1300" s="954"/>
      <c r="DE1300" s="954"/>
      <c r="DF1300" s="954"/>
      <c r="DG1300" s="1020"/>
      <c r="DH1300" s="954"/>
      <c r="DI1300" s="954"/>
      <c r="DJ1300" s="954"/>
      <c r="DK1300" s="954"/>
      <c r="DL1300" s="954"/>
      <c r="DM1300" s="954"/>
      <c r="DN1300" s="265"/>
      <c r="DO1300" s="266"/>
      <c r="DY1300" s="954"/>
      <c r="DZ1300" s="954"/>
    </row>
    <row r="1301" spans="1:130" ht="12" hidden="1" customHeight="1" outlineLevel="1">
      <c r="A1301" s="1528"/>
      <c r="B1301" s="844"/>
      <c r="C1301" s="844"/>
      <c r="D1301" s="846"/>
      <c r="E1301" s="847"/>
      <c r="F1301" s="847"/>
      <c r="G1301" s="847"/>
      <c r="H1301" s="849"/>
      <c r="I1301" s="847"/>
      <c r="J1301" s="847"/>
      <c r="K1301" s="847"/>
      <c r="L1301" s="847"/>
      <c r="M1301" s="849"/>
      <c r="N1301" s="847"/>
      <c r="O1301" s="847"/>
      <c r="P1301" s="847"/>
      <c r="Q1301" s="847"/>
      <c r="R1301" s="849"/>
      <c r="S1301" s="847"/>
      <c r="T1301" s="847"/>
      <c r="U1301" s="847"/>
      <c r="V1301" s="847"/>
      <c r="W1301" s="849"/>
      <c r="X1301" s="847"/>
      <c r="Y1301" s="847"/>
      <c r="Z1301" s="847"/>
      <c r="AA1301" s="847"/>
      <c r="AB1301" s="849"/>
      <c r="AC1301" s="847"/>
      <c r="AD1301" s="847"/>
      <c r="AE1301" s="847"/>
      <c r="AF1301" s="847"/>
      <c r="AG1301" s="849"/>
      <c r="AH1301" s="847"/>
      <c r="AI1301" s="847"/>
      <c r="AJ1301" s="847"/>
      <c r="AK1301" s="847"/>
      <c r="AL1301" s="849"/>
      <c r="AM1301" s="847"/>
      <c r="AN1301" s="847"/>
      <c r="AO1301" s="847"/>
      <c r="AP1301" s="847"/>
      <c r="AQ1301" s="849"/>
      <c r="AR1301" s="847"/>
      <c r="AS1301" s="847"/>
      <c r="AT1301" s="847"/>
      <c r="AU1301" s="847"/>
      <c r="AV1301" s="849"/>
      <c r="AW1301" s="847"/>
      <c r="AX1301" s="847"/>
      <c r="AY1301" s="847"/>
      <c r="AZ1301" s="848"/>
      <c r="BA1301" s="848"/>
      <c r="BB1301" s="847"/>
      <c r="BC1301" s="847"/>
      <c r="BD1301" s="847"/>
      <c r="BE1301" s="847"/>
      <c r="BF1301" s="849"/>
      <c r="BG1301" s="846"/>
      <c r="BH1301" s="847"/>
      <c r="BI1301" s="847"/>
      <c r="BJ1301" s="848"/>
      <c r="BK1301" s="849"/>
      <c r="BL1301" s="847"/>
      <c r="BM1301" s="847"/>
      <c r="BN1301" s="847"/>
      <c r="BO1301" s="848"/>
      <c r="BP1301" s="849"/>
      <c r="BQ1301" s="847"/>
      <c r="BR1301" s="847"/>
      <c r="BS1301" s="847"/>
      <c r="BT1301" s="848"/>
      <c r="BU1301" s="3427"/>
      <c r="BV1301" s="847"/>
      <c r="BW1301" s="847"/>
      <c r="BX1301" s="847"/>
      <c r="BY1301" s="848"/>
      <c r="BZ1301" s="849"/>
      <c r="CA1301" s="849"/>
      <c r="CB1301" s="849"/>
      <c r="CC1301" s="849"/>
      <c r="CD1301" s="849"/>
      <c r="CE1301" s="849"/>
      <c r="CF1301" s="849"/>
      <c r="CG1301" s="849"/>
      <c r="CH1301" s="956"/>
      <c r="CI1301" s="956"/>
      <c r="CJ1301" s="956"/>
      <c r="CK1301" s="956"/>
      <c r="CL1301" s="956"/>
      <c r="CM1301" s="956"/>
      <c r="CN1301" s="956"/>
      <c r="CO1301" s="956"/>
      <c r="CP1301" s="1942"/>
      <c r="CQ1301" s="847"/>
      <c r="CR1301" s="847"/>
      <c r="CS1301" s="847"/>
      <c r="CT1301" s="847"/>
      <c r="CU1301" s="847"/>
      <c r="CV1301" s="847"/>
      <c r="CW1301" s="847"/>
      <c r="CX1301" s="847"/>
      <c r="CY1301" s="847"/>
      <c r="CZ1301" s="847"/>
      <c r="DA1301" s="847"/>
      <c r="DB1301" s="847"/>
      <c r="DC1301" s="847"/>
      <c r="DD1301" s="847"/>
      <c r="DE1301" s="847"/>
      <c r="DF1301" s="847"/>
      <c r="DG1301" s="848"/>
      <c r="DH1301" s="954"/>
      <c r="DI1301" s="954"/>
      <c r="DJ1301" s="954"/>
      <c r="DK1301" s="954"/>
      <c r="DL1301" s="954"/>
      <c r="DM1301" s="954"/>
      <c r="DN1301" s="265"/>
      <c r="DO1301" s="266"/>
      <c r="DY1301" s="847"/>
      <c r="DZ1301" s="847"/>
    </row>
    <row r="1302" spans="1:130" ht="12" hidden="1" customHeight="1" outlineLevel="1">
      <c r="A1302" s="1496" t="s">
        <v>864</v>
      </c>
      <c r="B1302" s="844"/>
      <c r="C1302" s="844"/>
      <c r="D1302" s="846"/>
      <c r="E1302" s="847"/>
      <c r="F1302" s="847"/>
      <c r="G1302" s="847"/>
      <c r="H1302" s="849"/>
      <c r="I1302" s="847"/>
      <c r="J1302" s="847"/>
      <c r="K1302" s="847"/>
      <c r="L1302" s="847"/>
      <c r="M1302" s="849"/>
      <c r="N1302" s="847"/>
      <c r="O1302" s="847"/>
      <c r="P1302" s="847"/>
      <c r="Q1302" s="847"/>
      <c r="R1302" s="849"/>
      <c r="S1302" s="847"/>
      <c r="T1302" s="847"/>
      <c r="U1302" s="847"/>
      <c r="V1302" s="847"/>
      <c r="W1302" s="849"/>
      <c r="X1302" s="847"/>
      <c r="Y1302" s="847"/>
      <c r="Z1302" s="847"/>
      <c r="AA1302" s="847"/>
      <c r="AB1302" s="849"/>
      <c r="AC1302" s="847"/>
      <c r="AD1302" s="847"/>
      <c r="AE1302" s="847"/>
      <c r="AF1302" s="847"/>
      <c r="AG1302" s="849"/>
      <c r="AH1302" s="847"/>
      <c r="AI1302" s="847"/>
      <c r="AJ1302" s="847"/>
      <c r="AK1302" s="847"/>
      <c r="AL1302" s="849"/>
      <c r="AM1302" s="847"/>
      <c r="AN1302" s="847"/>
      <c r="AO1302" s="847"/>
      <c r="AP1302" s="847"/>
      <c r="AQ1302" s="849"/>
      <c r="AR1302" s="847"/>
      <c r="AS1302" s="847"/>
      <c r="AT1302" s="847"/>
      <c r="AU1302" s="847"/>
      <c r="AV1302" s="849"/>
      <c r="AW1302" s="847"/>
      <c r="AX1302" s="847"/>
      <c r="AY1302" s="847"/>
      <c r="AZ1302" s="847"/>
      <c r="BA1302" s="849"/>
      <c r="BB1302" s="847"/>
      <c r="BC1302" s="847"/>
      <c r="BD1302" s="847"/>
      <c r="BE1302" s="847"/>
      <c r="BF1302" s="849"/>
      <c r="BG1302" s="846"/>
      <c r="BH1302" s="847"/>
      <c r="BI1302" s="847"/>
      <c r="BJ1302" s="848"/>
      <c r="BK1302" s="849"/>
      <c r="BL1302" s="847"/>
      <c r="BM1302" s="847"/>
      <c r="BN1302" s="847"/>
      <c r="BO1302" s="848"/>
      <c r="BP1302" s="849"/>
      <c r="BQ1302" s="847"/>
      <c r="BR1302" s="847"/>
      <c r="BS1302" s="847"/>
      <c r="BT1302" s="848"/>
      <c r="BU1302" s="3427"/>
      <c r="BV1302" s="847"/>
      <c r="BW1302" s="847"/>
      <c r="BX1302" s="847"/>
      <c r="BY1302" s="848"/>
      <c r="BZ1302" s="849"/>
      <c r="CA1302" s="849"/>
      <c r="CB1302" s="849"/>
      <c r="CC1302" s="849"/>
      <c r="CD1302" s="849"/>
      <c r="CE1302" s="849"/>
      <c r="CF1302" s="849"/>
      <c r="CG1302" s="849"/>
      <c r="CH1302" s="956"/>
      <c r="CI1302" s="956"/>
      <c r="CJ1302" s="956"/>
      <c r="CK1302" s="956"/>
      <c r="CL1302" s="956"/>
      <c r="CM1302" s="956"/>
      <c r="CN1302" s="956"/>
      <c r="CO1302" s="956"/>
      <c r="CP1302" s="1943" t="str">
        <f t="shared" si="2408"/>
        <v>BYD / Borgata Amortization</v>
      </c>
      <c r="CQ1302" s="847"/>
      <c r="CR1302" s="847"/>
      <c r="CS1302" s="847"/>
      <c r="CT1302" s="847"/>
      <c r="CU1302" s="847"/>
      <c r="CV1302" s="847"/>
      <c r="CW1302" s="847">
        <f t="shared" ref="CW1302:CW1309" si="2419">AL1302</f>
        <v>0</v>
      </c>
      <c r="CX1302" s="847">
        <f t="shared" ref="CX1302:CX1309" si="2420">AQ1302</f>
        <v>0</v>
      </c>
      <c r="CY1302" s="847">
        <f t="shared" ref="CY1302:CY1309" si="2421">AV1302</f>
        <v>0</v>
      </c>
      <c r="CZ1302" s="847">
        <f t="shared" ref="CZ1302:CZ1309" si="2422">BA1302</f>
        <v>0</v>
      </c>
      <c r="DA1302" s="847">
        <f t="shared" ref="DA1302:DA1309" si="2423">BF1302</f>
        <v>0</v>
      </c>
      <c r="DB1302" s="847">
        <f t="shared" ref="DB1302:DB1316" si="2424">BK1302</f>
        <v>0</v>
      </c>
      <c r="DC1302" s="847">
        <f t="shared" si="2410"/>
        <v>0</v>
      </c>
      <c r="DD1302" s="847">
        <f t="shared" si="2411"/>
        <v>0</v>
      </c>
      <c r="DE1302" s="847">
        <f t="shared" si="2412"/>
        <v>0</v>
      </c>
      <c r="DF1302" s="847">
        <f t="shared" si="2413"/>
        <v>0</v>
      </c>
      <c r="DG1302" s="848">
        <f t="shared" si="2414"/>
        <v>0</v>
      </c>
      <c r="DH1302" s="954"/>
      <c r="DI1302" s="954"/>
      <c r="DJ1302" s="954"/>
      <c r="DK1302" s="954"/>
      <c r="DL1302" s="954"/>
      <c r="DM1302" s="954"/>
      <c r="DN1302" s="265"/>
      <c r="DO1302" s="266"/>
      <c r="DY1302" s="847"/>
      <c r="DZ1302" s="847"/>
    </row>
    <row r="1303" spans="1:130" ht="12" hidden="1" customHeight="1" outlineLevel="1">
      <c r="A1303" s="844" t="s">
        <v>1584</v>
      </c>
      <c r="B1303" s="844"/>
      <c r="C1303" s="844"/>
      <c r="D1303" s="846"/>
      <c r="E1303" s="847"/>
      <c r="F1303" s="847"/>
      <c r="G1303" s="847"/>
      <c r="H1303" s="849"/>
      <c r="I1303" s="847"/>
      <c r="J1303" s="847"/>
      <c r="K1303" s="847"/>
      <c r="L1303" s="847"/>
      <c r="M1303" s="849"/>
      <c r="N1303" s="847"/>
      <c r="O1303" s="847"/>
      <c r="P1303" s="847"/>
      <c r="Q1303" s="847"/>
      <c r="R1303" s="849"/>
      <c r="S1303" s="847"/>
      <c r="T1303" s="847"/>
      <c r="U1303" s="847"/>
      <c r="V1303" s="847"/>
      <c r="W1303" s="849"/>
      <c r="X1303" s="847"/>
      <c r="Y1303" s="847"/>
      <c r="Z1303" s="847"/>
      <c r="AA1303" s="847"/>
      <c r="AB1303" s="849"/>
      <c r="AC1303" s="847"/>
      <c r="AD1303" s="847"/>
      <c r="AE1303" s="847"/>
      <c r="AF1303" s="847"/>
      <c r="AG1303" s="849"/>
      <c r="AH1303" s="847"/>
      <c r="AI1303" s="847"/>
      <c r="AJ1303" s="847"/>
      <c r="AK1303" s="847"/>
      <c r="AL1303" s="849"/>
      <c r="AM1303" s="847"/>
      <c r="AN1303" s="847"/>
      <c r="AO1303" s="847"/>
      <c r="AP1303" s="847"/>
      <c r="AQ1303" s="849"/>
      <c r="AR1303" s="847"/>
      <c r="AS1303" s="847"/>
      <c r="AT1303" s="847"/>
      <c r="AU1303" s="847"/>
      <c r="AV1303" s="849"/>
      <c r="AW1303" s="847"/>
      <c r="AX1303" s="847"/>
      <c r="AY1303" s="847"/>
      <c r="AZ1303" s="847"/>
      <c r="BA1303" s="849"/>
      <c r="BB1303" s="847"/>
      <c r="BC1303" s="847"/>
      <c r="BD1303" s="847"/>
      <c r="BE1303" s="847"/>
      <c r="BF1303" s="849"/>
      <c r="BG1303" s="846"/>
      <c r="BH1303" s="847"/>
      <c r="BI1303" s="847"/>
      <c r="BJ1303" s="848"/>
      <c r="BK1303" s="849"/>
      <c r="BL1303" s="847"/>
      <c r="BM1303" s="847"/>
      <c r="BN1303" s="847"/>
      <c r="BO1303" s="848"/>
      <c r="BP1303" s="849"/>
      <c r="BQ1303" s="847"/>
      <c r="BR1303" s="847"/>
      <c r="BS1303" s="847"/>
      <c r="BT1303" s="848"/>
      <c r="BU1303" s="3427"/>
      <c r="BV1303" s="847"/>
      <c r="BW1303" s="847"/>
      <c r="BX1303" s="847"/>
      <c r="BY1303" s="848"/>
      <c r="BZ1303" s="849"/>
      <c r="CA1303" s="849"/>
      <c r="CB1303" s="849"/>
      <c r="CC1303" s="849"/>
      <c r="CD1303" s="849"/>
      <c r="CE1303" s="849"/>
      <c r="CF1303" s="849"/>
      <c r="CG1303" s="849"/>
      <c r="CH1303" s="956"/>
      <c r="CI1303" s="956"/>
      <c r="CJ1303" s="956"/>
      <c r="CK1303" s="956"/>
      <c r="CL1303" s="956"/>
      <c r="CM1303" s="956"/>
      <c r="CN1303" s="956"/>
      <c r="CO1303" s="956"/>
      <c r="CP1303" s="996" t="str">
        <f t="shared" si="2408"/>
        <v>Unamortized Discounts and Unamortized Origination Fees</v>
      </c>
      <c r="CQ1303" s="847"/>
      <c r="CR1303" s="847"/>
      <c r="CS1303" s="847"/>
      <c r="CT1303" s="847"/>
      <c r="CU1303" s="847"/>
      <c r="CV1303" s="847"/>
      <c r="CW1303" s="847">
        <f t="shared" si="2419"/>
        <v>0</v>
      </c>
      <c r="CX1303" s="847">
        <f t="shared" si="2420"/>
        <v>0</v>
      </c>
      <c r="CY1303" s="847">
        <f t="shared" si="2421"/>
        <v>0</v>
      </c>
      <c r="CZ1303" s="847">
        <f t="shared" si="2422"/>
        <v>0</v>
      </c>
      <c r="DA1303" s="847">
        <f t="shared" si="2423"/>
        <v>0</v>
      </c>
      <c r="DB1303" s="847">
        <f t="shared" si="2424"/>
        <v>0</v>
      </c>
      <c r="DC1303" s="847">
        <f t="shared" si="2410"/>
        <v>0</v>
      </c>
      <c r="DD1303" s="847">
        <f t="shared" si="2411"/>
        <v>0</v>
      </c>
      <c r="DE1303" s="847">
        <f t="shared" si="2412"/>
        <v>0</v>
      </c>
      <c r="DF1303" s="847">
        <f t="shared" si="2413"/>
        <v>0</v>
      </c>
      <c r="DG1303" s="848">
        <f t="shared" si="2414"/>
        <v>0</v>
      </c>
      <c r="DH1303" s="954"/>
      <c r="DI1303" s="954"/>
      <c r="DJ1303" s="954"/>
      <c r="DK1303" s="954"/>
      <c r="DL1303" s="954"/>
      <c r="DM1303" s="954"/>
      <c r="DN1303" s="265"/>
      <c r="DO1303" s="266"/>
      <c r="DY1303" s="847"/>
      <c r="DZ1303" s="847"/>
    </row>
    <row r="1304" spans="1:130" ht="12" hidden="1" customHeight="1" outlineLevel="1">
      <c r="A1304" s="1497" t="s">
        <v>602</v>
      </c>
      <c r="B1304" s="844"/>
      <c r="C1304" s="844"/>
      <c r="D1304" s="846"/>
      <c r="E1304" s="847"/>
      <c r="F1304" s="847"/>
      <c r="G1304" s="847"/>
      <c r="H1304" s="849"/>
      <c r="I1304" s="847"/>
      <c r="J1304" s="847"/>
      <c r="K1304" s="847"/>
      <c r="L1304" s="847"/>
      <c r="M1304" s="849"/>
      <c r="N1304" s="847"/>
      <c r="O1304" s="847"/>
      <c r="P1304" s="847"/>
      <c r="Q1304" s="847"/>
      <c r="R1304" s="849"/>
      <c r="S1304" s="847"/>
      <c r="T1304" s="847"/>
      <c r="U1304" s="847"/>
      <c r="V1304" s="847"/>
      <c r="W1304" s="849"/>
      <c r="X1304" s="847"/>
      <c r="Y1304" s="847"/>
      <c r="Z1304" s="847"/>
      <c r="AA1304" s="847"/>
      <c r="AB1304" s="849"/>
      <c r="AC1304" s="847"/>
      <c r="AD1304" s="847"/>
      <c r="AE1304" s="847"/>
      <c r="AF1304" s="847"/>
      <c r="AG1304" s="849"/>
      <c r="AH1304" s="847"/>
      <c r="AI1304" s="847"/>
      <c r="AJ1304" s="1296">
        <f>-4.131-9.7</f>
        <v>-13.831</v>
      </c>
      <c r="AK1304" s="1296">
        <f>-3.969-9.319</f>
        <v>-13.288</v>
      </c>
      <c r="AL1304" s="849">
        <f>AK1304</f>
        <v>-13.288</v>
      </c>
      <c r="AM1304" s="1296">
        <f>-3.813-8.953</f>
        <v>-12.766</v>
      </c>
      <c r="AN1304" s="1296">
        <f>-3.644-8.558</f>
        <v>-12.202</v>
      </c>
      <c r="AO1304" s="1296">
        <f>-3.449-8.099</f>
        <v>-11.548</v>
      </c>
      <c r="AP1304" s="1296">
        <f>-3.271-7.68</f>
        <v>-10.951000000000001</v>
      </c>
      <c r="AQ1304" s="849">
        <f>AP1304</f>
        <v>-10.951000000000001</v>
      </c>
      <c r="AR1304" s="1296">
        <f>-2.72-6.387</f>
        <v>-9.1069999999999993</v>
      </c>
      <c r="AS1304" s="1296">
        <f>-2.907-6.827</f>
        <v>-9.734</v>
      </c>
      <c r="AT1304" s="1296">
        <f>-3.093-7.262</f>
        <v>-10.355</v>
      </c>
      <c r="AU1304" s="1296">
        <f>-2.525-5.928</f>
        <v>-8.4529999999999994</v>
      </c>
      <c r="AV1304" s="849">
        <f>AU1304</f>
        <v>-8.4529999999999994</v>
      </c>
      <c r="AW1304" s="1296">
        <f>-2.328-5.467</f>
        <v>-7.7949999999999999</v>
      </c>
      <c r="AX1304" s="1296">
        <f>-2.123-4.984</f>
        <v>-7.1070000000000002</v>
      </c>
      <c r="AY1304" s="1296">
        <f>-1.731-4.064</f>
        <v>-5.7949999999999999</v>
      </c>
      <c r="AZ1304" s="1296">
        <v>0</v>
      </c>
      <c r="BA1304" s="849">
        <f>AZ1304</f>
        <v>0</v>
      </c>
      <c r="BB1304" s="1296">
        <v>0</v>
      </c>
      <c r="BC1304" s="1296"/>
      <c r="BD1304" s="1296"/>
      <c r="BE1304" s="847"/>
      <c r="BF1304" s="849">
        <f>BA1304-BF1312</f>
        <v>2.7377500000000001</v>
      </c>
      <c r="BG1304" s="846"/>
      <c r="BH1304" s="847"/>
      <c r="BI1304" s="847"/>
      <c r="BJ1304" s="848"/>
      <c r="BK1304" s="849">
        <f>BF1304-BK1312</f>
        <v>5.4755000000000003</v>
      </c>
      <c r="BL1304" s="847"/>
      <c r="BM1304" s="847"/>
      <c r="BN1304" s="847"/>
      <c r="BO1304" s="848"/>
      <c r="BP1304" s="849">
        <f>BK1304-BP1312</f>
        <v>8.2132500000000004</v>
      </c>
      <c r="BQ1304" s="847"/>
      <c r="BR1304" s="847"/>
      <c r="BS1304" s="847"/>
      <c r="BT1304" s="848"/>
      <c r="BU1304" s="3427"/>
      <c r="BV1304" s="847"/>
      <c r="BW1304" s="847"/>
      <c r="BX1304" s="847"/>
      <c r="BY1304" s="848"/>
      <c r="BZ1304" s="849"/>
      <c r="CA1304" s="849"/>
      <c r="CB1304" s="849"/>
      <c r="CC1304" s="849"/>
      <c r="CD1304" s="849"/>
      <c r="CE1304" s="849"/>
      <c r="CF1304" s="849"/>
      <c r="CG1304" s="849"/>
      <c r="CH1304" s="956"/>
      <c r="CI1304" s="956"/>
      <c r="CJ1304" s="956"/>
      <c r="CK1304" s="956"/>
      <c r="CL1304" s="956"/>
      <c r="CM1304" s="956"/>
      <c r="CN1304" s="956"/>
      <c r="CO1304" s="956"/>
      <c r="CP1304" s="1944" t="str">
        <f t="shared" si="2408"/>
        <v>Borgata 9.5% Senior Secured Notes due 2015</v>
      </c>
      <c r="CQ1304" s="847"/>
      <c r="CR1304" s="847"/>
      <c r="CS1304" s="847"/>
      <c r="CT1304" s="847"/>
      <c r="CU1304" s="847"/>
      <c r="CV1304" s="847"/>
      <c r="CW1304" s="847">
        <f t="shared" si="2419"/>
        <v>-13.288</v>
      </c>
      <c r="CX1304" s="847">
        <f t="shared" si="2420"/>
        <v>-10.951000000000001</v>
      </c>
      <c r="CY1304" s="847">
        <f t="shared" si="2421"/>
        <v>-8.4529999999999994</v>
      </c>
      <c r="CZ1304" s="847">
        <f t="shared" si="2422"/>
        <v>0</v>
      </c>
      <c r="DA1304" s="847">
        <f t="shared" si="2423"/>
        <v>2.7377500000000001</v>
      </c>
      <c r="DB1304" s="847">
        <f t="shared" si="2424"/>
        <v>5.4755000000000003</v>
      </c>
      <c r="DC1304" s="847">
        <f t="shared" si="2410"/>
        <v>8.2132500000000004</v>
      </c>
      <c r="DD1304" s="847">
        <f t="shared" si="2411"/>
        <v>0</v>
      </c>
      <c r="DE1304" s="847">
        <f t="shared" si="2412"/>
        <v>0</v>
      </c>
      <c r="DF1304" s="847">
        <f t="shared" si="2413"/>
        <v>0</v>
      </c>
      <c r="DG1304" s="848">
        <f t="shared" si="2414"/>
        <v>0</v>
      </c>
      <c r="DH1304" s="954"/>
      <c r="DI1304" s="954"/>
      <c r="DJ1304" s="954"/>
      <c r="DK1304" s="954"/>
      <c r="DL1304" s="954"/>
      <c r="DM1304" s="954"/>
      <c r="DN1304" s="265"/>
      <c r="DO1304" s="266"/>
      <c r="DY1304" s="847"/>
      <c r="DZ1304" s="847"/>
    </row>
    <row r="1305" spans="1:130" ht="12" hidden="1" customHeight="1" outlineLevel="1">
      <c r="A1305" s="1497" t="s">
        <v>862</v>
      </c>
      <c r="B1305" s="844"/>
      <c r="C1305" s="844"/>
      <c r="D1305" s="846"/>
      <c r="E1305" s="847"/>
      <c r="F1305" s="847"/>
      <c r="G1305" s="847"/>
      <c r="H1305" s="849"/>
      <c r="I1305" s="847"/>
      <c r="J1305" s="847"/>
      <c r="K1305" s="847"/>
      <c r="L1305" s="847"/>
      <c r="M1305" s="849"/>
      <c r="N1305" s="847"/>
      <c r="O1305" s="847"/>
      <c r="P1305" s="847"/>
      <c r="Q1305" s="847"/>
      <c r="R1305" s="849"/>
      <c r="S1305" s="847"/>
      <c r="T1305" s="847"/>
      <c r="U1305" s="847"/>
      <c r="V1305" s="847"/>
      <c r="W1305" s="849"/>
      <c r="X1305" s="847"/>
      <c r="Y1305" s="847"/>
      <c r="Z1305" s="847"/>
      <c r="AA1305" s="847"/>
      <c r="AB1305" s="849"/>
      <c r="AC1305" s="847"/>
      <c r="AD1305" s="847"/>
      <c r="AE1305" s="847"/>
      <c r="AF1305" s="847"/>
      <c r="AG1305" s="849"/>
      <c r="AH1305" s="847"/>
      <c r="AI1305" s="847"/>
      <c r="AJ1305" s="1296">
        <f>-2.706-9.803</f>
        <v>-12.509</v>
      </c>
      <c r="AK1305" s="1296">
        <f>-2.648-9.594</f>
        <v>-12.241999999999999</v>
      </c>
      <c r="AL1305" s="849">
        <f>AK1305</f>
        <v>-12.241999999999999</v>
      </c>
      <c r="AM1305" s="1296">
        <f>-2.591-9.387</f>
        <v>-11.978000000000002</v>
      </c>
      <c r="AN1305" s="1296">
        <f>-2.531-9.171</f>
        <v>-11.702</v>
      </c>
      <c r="AO1305" s="1296">
        <f>-2.429-8.797</f>
        <v>-11.226000000000001</v>
      </c>
      <c r="AP1305" s="1296">
        <f>-2.366-8.575</f>
        <v>-10.940999999999999</v>
      </c>
      <c r="AQ1305" s="849">
        <f>AP1305</f>
        <v>-10.940999999999999</v>
      </c>
      <c r="AR1305" s="1296">
        <f>-2.171-7.868</f>
        <v>-10.039</v>
      </c>
      <c r="AS1305" s="1296">
        <f>-2.238-8.108</f>
        <v>-10.346</v>
      </c>
      <c r="AT1305" s="1296">
        <f>-2.303-8.345</f>
        <v>-10.648</v>
      </c>
      <c r="AU1305" s="1296">
        <f>-2.103-7.62</f>
        <v>-9.7230000000000008</v>
      </c>
      <c r="AV1305" s="849">
        <f>AU1305</f>
        <v>-9.7230000000000008</v>
      </c>
      <c r="AW1305" s="1296">
        <f>-2.033-7.365</f>
        <v>-9.3979999999999997</v>
      </c>
      <c r="AX1305" s="1296">
        <f>-1.961-7.105</f>
        <v>-9.0660000000000007</v>
      </c>
      <c r="AY1305" s="1296">
        <f>-1.887-6.837</f>
        <v>-8.7240000000000002</v>
      </c>
      <c r="AZ1305" s="1296">
        <f>-6.563-1.811</f>
        <v>-8.3739999999999988</v>
      </c>
      <c r="BA1305" s="849">
        <f>AZ1305</f>
        <v>-8.3739999999999988</v>
      </c>
      <c r="BB1305" s="1296">
        <f>-1.733-6.281</f>
        <v>-8.0139999999999993</v>
      </c>
      <c r="BC1305" s="1296"/>
      <c r="BD1305" s="1296"/>
      <c r="BE1305" s="847"/>
      <c r="BF1305" s="849">
        <f>BA1305-BF1313</f>
        <v>-6.8109999999999991</v>
      </c>
      <c r="BG1305" s="846"/>
      <c r="BH1305" s="847"/>
      <c r="BI1305" s="847"/>
      <c r="BJ1305" s="848"/>
      <c r="BK1305" s="849">
        <f>BF1305-BK1313</f>
        <v>-5.2479999999999993</v>
      </c>
      <c r="BL1305" s="847"/>
      <c r="BM1305" s="847"/>
      <c r="BN1305" s="847"/>
      <c r="BO1305" s="848"/>
      <c r="BP1305" s="849">
        <f>BK1305-BP1313</f>
        <v>-3.6849999999999996</v>
      </c>
      <c r="BQ1305" s="847"/>
      <c r="BR1305" s="847"/>
      <c r="BS1305" s="847"/>
      <c r="BT1305" s="848"/>
      <c r="BU1305" s="3427"/>
      <c r="BV1305" s="847"/>
      <c r="BW1305" s="847"/>
      <c r="BX1305" s="847"/>
      <c r="BY1305" s="848"/>
      <c r="BZ1305" s="849"/>
      <c r="CA1305" s="849"/>
      <c r="CB1305" s="849"/>
      <c r="CC1305" s="849"/>
      <c r="CD1305" s="849"/>
      <c r="CE1305" s="849"/>
      <c r="CF1305" s="849"/>
      <c r="CG1305" s="849"/>
      <c r="CH1305" s="956"/>
      <c r="CI1305" s="956"/>
      <c r="CJ1305" s="956"/>
      <c r="CK1305" s="956"/>
      <c r="CL1305" s="956"/>
      <c r="CM1305" s="956"/>
      <c r="CN1305" s="956"/>
      <c r="CO1305" s="956"/>
      <c r="CP1305" s="1944" t="str">
        <f t="shared" si="2408"/>
        <v>Borgata 9.875% Senior Secured Notes due 2018</v>
      </c>
      <c r="CQ1305" s="847"/>
      <c r="CR1305" s="847"/>
      <c r="CS1305" s="847"/>
      <c r="CT1305" s="847"/>
      <c r="CU1305" s="847"/>
      <c r="CV1305" s="847"/>
      <c r="CW1305" s="847">
        <f t="shared" si="2419"/>
        <v>-12.241999999999999</v>
      </c>
      <c r="CX1305" s="847">
        <f t="shared" si="2420"/>
        <v>-10.940999999999999</v>
      </c>
      <c r="CY1305" s="847">
        <f t="shared" si="2421"/>
        <v>-9.7230000000000008</v>
      </c>
      <c r="CZ1305" s="847">
        <f t="shared" si="2422"/>
        <v>-8.3739999999999988</v>
      </c>
      <c r="DA1305" s="847">
        <f t="shared" si="2423"/>
        <v>-6.8109999999999991</v>
      </c>
      <c r="DB1305" s="847">
        <f t="shared" si="2424"/>
        <v>-5.2479999999999993</v>
      </c>
      <c r="DC1305" s="847">
        <f t="shared" si="2410"/>
        <v>-3.6849999999999996</v>
      </c>
      <c r="DD1305" s="847">
        <f t="shared" si="2411"/>
        <v>0</v>
      </c>
      <c r="DE1305" s="847">
        <f t="shared" si="2412"/>
        <v>0</v>
      </c>
      <c r="DF1305" s="847">
        <f t="shared" si="2413"/>
        <v>0</v>
      </c>
      <c r="DG1305" s="848">
        <f t="shared" si="2414"/>
        <v>0</v>
      </c>
      <c r="DH1305" s="954"/>
      <c r="DI1305" s="954"/>
      <c r="DJ1305" s="954"/>
      <c r="DK1305" s="954"/>
      <c r="DL1305" s="954"/>
      <c r="DM1305" s="954"/>
      <c r="DN1305" s="265"/>
      <c r="DO1305" s="266"/>
      <c r="DY1305" s="847"/>
      <c r="DZ1305" s="847"/>
    </row>
    <row r="1306" spans="1:130" ht="12" hidden="1" customHeight="1" outlineLevel="1">
      <c r="A1306" s="1497" t="s">
        <v>863</v>
      </c>
      <c r="B1306" s="1498"/>
      <c r="C1306" s="1498"/>
      <c r="D1306" s="1506"/>
      <c r="E1306" s="1507"/>
      <c r="F1306" s="1507"/>
      <c r="G1306" s="1507"/>
      <c r="H1306" s="1508"/>
      <c r="I1306" s="1507"/>
      <c r="J1306" s="1507"/>
      <c r="K1306" s="1507"/>
      <c r="L1306" s="1507"/>
      <c r="M1306" s="1508"/>
      <c r="N1306" s="1507"/>
      <c r="O1306" s="1507"/>
      <c r="P1306" s="1507"/>
      <c r="Q1306" s="1507"/>
      <c r="R1306" s="1508"/>
      <c r="S1306" s="1507"/>
      <c r="T1306" s="1507"/>
      <c r="U1306" s="1507"/>
      <c r="V1306" s="1507"/>
      <c r="W1306" s="1508"/>
      <c r="X1306" s="1507"/>
      <c r="Y1306" s="1507"/>
      <c r="Z1306" s="1507"/>
      <c r="AA1306" s="1507"/>
      <c r="AB1306" s="1508"/>
      <c r="AC1306" s="1507"/>
      <c r="AD1306" s="1507"/>
      <c r="AE1306" s="1507"/>
      <c r="AF1306" s="1507"/>
      <c r="AG1306" s="1508"/>
      <c r="AH1306" s="1507"/>
      <c r="AI1306" s="1507"/>
      <c r="AJ1306" s="1507"/>
      <c r="AK1306" s="1296">
        <v>-9.7940000000000005</v>
      </c>
      <c r="AL1306" s="849">
        <f>AK1306</f>
        <v>-9.7940000000000005</v>
      </c>
      <c r="AM1306" s="1296">
        <v>-9.4849999999999994</v>
      </c>
      <c r="AN1306" s="1296">
        <v>-9.1750000000000007</v>
      </c>
      <c r="AO1306" s="1296">
        <v>-8.8659999999999997</v>
      </c>
      <c r="AP1306" s="1296">
        <v>-8.5559999999999992</v>
      </c>
      <c r="AQ1306" s="849">
        <f>AP1306</f>
        <v>-8.5559999999999992</v>
      </c>
      <c r="AR1306" s="1296">
        <v>-7.6289999999999996</v>
      </c>
      <c r="AS1306" s="1296">
        <v>-7.9379999999999997</v>
      </c>
      <c r="AT1306" s="1296">
        <v>-8.2469999999999999</v>
      </c>
      <c r="AU1306" s="1296">
        <v>-7.32</v>
      </c>
      <c r="AV1306" s="849">
        <f>AU1306</f>
        <v>-7.32</v>
      </c>
      <c r="AW1306" s="1296">
        <v>-7.01</v>
      </c>
      <c r="AX1306" s="1296">
        <v>-6.7009999999999996</v>
      </c>
      <c r="AY1306" s="1296">
        <v>-6.3920000000000003</v>
      </c>
      <c r="AZ1306" s="1296">
        <v>-6.0819999999999999</v>
      </c>
      <c r="BA1306" s="849">
        <f>AZ1306</f>
        <v>-6.0819999999999999</v>
      </c>
      <c r="BB1306" s="1296">
        <v>-5.7729999999999997</v>
      </c>
      <c r="BC1306" s="1296"/>
      <c r="BD1306" s="1296"/>
      <c r="BE1306" s="847"/>
      <c r="BF1306" s="849">
        <f>BA1306-BF1314</f>
        <v>-4.8597142857142854</v>
      </c>
      <c r="BG1306" s="846"/>
      <c r="BH1306" s="847"/>
      <c r="BI1306" s="847"/>
      <c r="BJ1306" s="848"/>
      <c r="BK1306" s="849">
        <f>BF1306-BK1314</f>
        <v>-3.637428571428571</v>
      </c>
      <c r="BL1306" s="847"/>
      <c r="BM1306" s="847"/>
      <c r="BN1306" s="847"/>
      <c r="BO1306" s="848"/>
      <c r="BP1306" s="849">
        <f>BK1306-BP1314</f>
        <v>-2.4151428571428566</v>
      </c>
      <c r="BQ1306" s="847"/>
      <c r="BR1306" s="847"/>
      <c r="BS1306" s="847"/>
      <c r="BT1306" s="848"/>
      <c r="BU1306" s="3427"/>
      <c r="BV1306" s="847"/>
      <c r="BW1306" s="847"/>
      <c r="BX1306" s="847"/>
      <c r="BY1306" s="848"/>
      <c r="BZ1306" s="849"/>
      <c r="CA1306" s="849"/>
      <c r="CB1306" s="849"/>
      <c r="CC1306" s="849"/>
      <c r="CD1306" s="849"/>
      <c r="CE1306" s="849"/>
      <c r="CF1306" s="849"/>
      <c r="CG1306" s="849"/>
      <c r="CH1306" s="956"/>
      <c r="CI1306" s="956"/>
      <c r="CJ1306" s="956"/>
      <c r="CK1306" s="956"/>
      <c r="CL1306" s="956"/>
      <c r="CM1306" s="956"/>
      <c r="CN1306" s="956"/>
      <c r="CO1306" s="956"/>
      <c r="CP1306" s="1944" t="str">
        <f t="shared" si="2408"/>
        <v>BYD 9.125% Senior notes due 2018</v>
      </c>
      <c r="CQ1306" s="847"/>
      <c r="CR1306" s="847"/>
      <c r="CS1306" s="847"/>
      <c r="CT1306" s="847"/>
      <c r="CU1306" s="847"/>
      <c r="CV1306" s="847"/>
      <c r="CW1306" s="847">
        <f t="shared" si="2419"/>
        <v>-9.7940000000000005</v>
      </c>
      <c r="CX1306" s="847">
        <f t="shared" si="2420"/>
        <v>-8.5559999999999992</v>
      </c>
      <c r="CY1306" s="847">
        <f t="shared" si="2421"/>
        <v>-7.32</v>
      </c>
      <c r="CZ1306" s="847">
        <f t="shared" si="2422"/>
        <v>-6.0819999999999999</v>
      </c>
      <c r="DA1306" s="847">
        <f t="shared" si="2423"/>
        <v>-4.8597142857142854</v>
      </c>
      <c r="DB1306" s="847">
        <f t="shared" si="2424"/>
        <v>-3.637428571428571</v>
      </c>
      <c r="DC1306" s="847">
        <f t="shared" si="2410"/>
        <v>-2.4151428571428566</v>
      </c>
      <c r="DD1306" s="847">
        <f t="shared" si="2411"/>
        <v>0</v>
      </c>
      <c r="DE1306" s="847">
        <f t="shared" si="2412"/>
        <v>0</v>
      </c>
      <c r="DF1306" s="847">
        <f t="shared" si="2413"/>
        <v>0</v>
      </c>
      <c r="DG1306" s="848">
        <f t="shared" si="2414"/>
        <v>0</v>
      </c>
      <c r="DH1306" s="954"/>
      <c r="DI1306" s="954"/>
      <c r="DJ1306" s="954"/>
      <c r="DK1306" s="954"/>
      <c r="DL1306" s="954"/>
      <c r="DM1306" s="954"/>
      <c r="DN1306" s="265"/>
      <c r="DO1306" s="266"/>
      <c r="DY1306" s="847"/>
      <c r="DZ1306" s="847"/>
    </row>
    <row r="1307" spans="1:130" ht="12" hidden="1" customHeight="1" outlineLevel="1">
      <c r="A1307" s="1497" t="s">
        <v>609</v>
      </c>
      <c r="B1307" s="1498"/>
      <c r="C1307" s="1498"/>
      <c r="D1307" s="1506"/>
      <c r="E1307" s="1507"/>
      <c r="F1307" s="1507"/>
      <c r="G1307" s="1507"/>
      <c r="H1307" s="1508"/>
      <c r="I1307" s="1507"/>
      <c r="J1307" s="1507"/>
      <c r="K1307" s="1507"/>
      <c r="L1307" s="1507"/>
      <c r="M1307" s="1508"/>
      <c r="N1307" s="1507"/>
      <c r="O1307" s="1507"/>
      <c r="P1307" s="1507"/>
      <c r="Q1307" s="1507"/>
      <c r="R1307" s="1508"/>
      <c r="S1307" s="1507"/>
      <c r="T1307" s="1507"/>
      <c r="U1307" s="1507"/>
      <c r="V1307" s="1507"/>
      <c r="W1307" s="1508"/>
      <c r="X1307" s="1507"/>
      <c r="Y1307" s="1507"/>
      <c r="Z1307" s="1507"/>
      <c r="AA1307" s="1507"/>
      <c r="AB1307" s="1508"/>
      <c r="AC1307" s="1507"/>
      <c r="AD1307" s="1507"/>
      <c r="AE1307" s="1507"/>
      <c r="AF1307" s="1507"/>
      <c r="AG1307" s="1508"/>
      <c r="AH1307" s="1507"/>
      <c r="AI1307" s="1507"/>
      <c r="AJ1307" s="1507"/>
      <c r="AK1307" s="1511"/>
      <c r="AL1307" s="1508"/>
      <c r="AM1307" s="1511"/>
      <c r="AN1307" s="1511"/>
      <c r="AO1307" s="1511"/>
      <c r="AP1307" s="1511">
        <f>-4.318-6.717</f>
        <v>-11.035</v>
      </c>
      <c r="AQ1307" s="849">
        <f>AP1307</f>
        <v>-11.035</v>
      </c>
      <c r="AR1307" s="1511">
        <f>-5.352-3.441-9.587</f>
        <v>-18.38</v>
      </c>
      <c r="AS1307" s="1511">
        <f>-5.805-3.732-7.938</f>
        <v>-17.474999999999998</v>
      </c>
      <c r="AT1307" s="1511">
        <f>-6.264-4.027</f>
        <v>-10.291</v>
      </c>
      <c r="AU1307" s="1511">
        <f>-5.001-3.214-32.666-0.003</f>
        <v>-40.884</v>
      </c>
      <c r="AV1307" s="849">
        <f>AU1307</f>
        <v>-40.884</v>
      </c>
      <c r="AW1307" s="1511">
        <f>-4.464-2.866-29.145</f>
        <v>-36.475000000000001</v>
      </c>
      <c r="AX1307" s="1511">
        <f>-4.029-2.586-25.513</f>
        <v>-32.128</v>
      </c>
      <c r="AY1307" s="1511">
        <f>-21.773-4.5</f>
        <v>-26.273</v>
      </c>
      <c r="AZ1307" s="1511">
        <f>-4.233-17.371-3.766</f>
        <v>-25.369999999999997</v>
      </c>
      <c r="BA1307" s="849">
        <f>AZ1307</f>
        <v>-25.369999999999997</v>
      </c>
      <c r="BB1307" s="1511">
        <f>-4.073-16.677-3.563</f>
        <v>-24.312999999999999</v>
      </c>
      <c r="BC1307" s="1511"/>
      <c r="BD1307" s="1511"/>
      <c r="BE1307" s="1507"/>
      <c r="BF1307" s="1508"/>
      <c r="BG1307" s="1506"/>
      <c r="BH1307" s="1507"/>
      <c r="BI1307" s="1507"/>
      <c r="BJ1307" s="2987"/>
      <c r="BK1307" s="1508"/>
      <c r="BL1307" s="1507"/>
      <c r="BM1307" s="1507"/>
      <c r="BN1307" s="1507"/>
      <c r="BO1307" s="2987"/>
      <c r="BP1307" s="1508"/>
      <c r="BQ1307" s="1507"/>
      <c r="BR1307" s="1507"/>
      <c r="BS1307" s="1507"/>
      <c r="BT1307" s="2987"/>
      <c r="BU1307" s="3464"/>
      <c r="BV1307" s="1507"/>
      <c r="BW1307" s="1507"/>
      <c r="BX1307" s="1507"/>
      <c r="BY1307" s="2987"/>
      <c r="BZ1307" s="1508"/>
      <c r="CA1307" s="1508"/>
      <c r="CB1307" s="1508"/>
      <c r="CC1307" s="1508"/>
      <c r="CD1307" s="1508"/>
      <c r="CE1307" s="1508"/>
      <c r="CF1307" s="1508"/>
      <c r="CG1307" s="1508"/>
      <c r="CH1307" s="956"/>
      <c r="CI1307" s="956"/>
      <c r="CJ1307" s="956"/>
      <c r="CK1307" s="956"/>
      <c r="CL1307" s="956"/>
      <c r="CM1307" s="956"/>
      <c r="CN1307" s="956"/>
      <c r="CO1307" s="956"/>
      <c r="CP1307" s="1944" t="str">
        <f t="shared" si="2408"/>
        <v>Bank Facility and other</v>
      </c>
      <c r="CQ1307" s="1507"/>
      <c r="CR1307" s="1507"/>
      <c r="CS1307" s="1507"/>
      <c r="CT1307" s="1507"/>
      <c r="CU1307" s="1507"/>
      <c r="CV1307" s="1507"/>
      <c r="CW1307" s="847">
        <f t="shared" si="2419"/>
        <v>0</v>
      </c>
      <c r="CX1307" s="847">
        <f t="shared" si="2420"/>
        <v>-11.035</v>
      </c>
      <c r="CY1307" s="847">
        <f t="shared" si="2421"/>
        <v>-40.884</v>
      </c>
      <c r="CZ1307" s="847">
        <f t="shared" si="2422"/>
        <v>-25.369999999999997</v>
      </c>
      <c r="DA1307" s="847">
        <f t="shared" si="2423"/>
        <v>0</v>
      </c>
      <c r="DB1307" s="847">
        <f t="shared" si="2424"/>
        <v>0</v>
      </c>
      <c r="DC1307" s="847">
        <f t="shared" si="2410"/>
        <v>0</v>
      </c>
      <c r="DD1307" s="847">
        <f t="shared" si="2411"/>
        <v>0</v>
      </c>
      <c r="DE1307" s="847">
        <f t="shared" si="2412"/>
        <v>0</v>
      </c>
      <c r="DF1307" s="847">
        <f t="shared" si="2413"/>
        <v>0</v>
      </c>
      <c r="DG1307" s="848">
        <f t="shared" si="2414"/>
        <v>0</v>
      </c>
      <c r="DH1307" s="954"/>
      <c r="DI1307" s="954"/>
      <c r="DJ1307" s="954"/>
      <c r="DK1307" s="954"/>
      <c r="DL1307" s="954"/>
      <c r="DM1307" s="954"/>
      <c r="DN1307" s="265"/>
      <c r="DO1307" s="266"/>
      <c r="DY1307" s="1507"/>
      <c r="DZ1307" s="1507"/>
    </row>
    <row r="1308" spans="1:130" ht="4.5" hidden="1" customHeight="1" outlineLevel="1">
      <c r="A1308" s="962"/>
      <c r="B1308" s="293"/>
      <c r="C1308" s="293"/>
      <c r="D1308" s="294" t="s">
        <v>343</v>
      </c>
      <c r="E1308" s="295" t="s">
        <v>343</v>
      </c>
      <c r="F1308" s="295" t="s">
        <v>343</v>
      </c>
      <c r="G1308" s="295" t="s">
        <v>343</v>
      </c>
      <c r="H1308" s="296" t="s">
        <v>343</v>
      </c>
      <c r="I1308" s="295" t="s">
        <v>343</v>
      </c>
      <c r="J1308" s="295" t="s">
        <v>343</v>
      </c>
      <c r="K1308" s="295" t="s">
        <v>343</v>
      </c>
      <c r="L1308" s="295" t="s">
        <v>343</v>
      </c>
      <c r="M1308" s="296" t="s">
        <v>343</v>
      </c>
      <c r="N1308" s="295" t="s">
        <v>343</v>
      </c>
      <c r="O1308" s="295" t="s">
        <v>343</v>
      </c>
      <c r="P1308" s="295" t="s">
        <v>343</v>
      </c>
      <c r="Q1308" s="295" t="s">
        <v>343</v>
      </c>
      <c r="R1308" s="296" t="s">
        <v>343</v>
      </c>
      <c r="S1308" s="295" t="s">
        <v>343</v>
      </c>
      <c r="T1308" s="295" t="s">
        <v>343</v>
      </c>
      <c r="U1308" s="295" t="s">
        <v>343</v>
      </c>
      <c r="V1308" s="295" t="s">
        <v>343</v>
      </c>
      <c r="W1308" s="296" t="s">
        <v>343</v>
      </c>
      <c r="X1308" s="295" t="s">
        <v>343</v>
      </c>
      <c r="Y1308" s="295" t="s">
        <v>343</v>
      </c>
      <c r="Z1308" s="295" t="s">
        <v>343</v>
      </c>
      <c r="AA1308" s="295" t="s">
        <v>343</v>
      </c>
      <c r="AB1308" s="296" t="s">
        <v>343</v>
      </c>
      <c r="AC1308" s="295" t="s">
        <v>343</v>
      </c>
      <c r="AD1308" s="295" t="s">
        <v>343</v>
      </c>
      <c r="AE1308" s="295" t="s">
        <v>343</v>
      </c>
      <c r="AF1308" s="295" t="s">
        <v>343</v>
      </c>
      <c r="AG1308" s="296" t="s">
        <v>343</v>
      </c>
      <c r="AH1308" s="295" t="s">
        <v>343</v>
      </c>
      <c r="AI1308" s="295" t="s">
        <v>343</v>
      </c>
      <c r="AJ1308" s="295" t="s">
        <v>343</v>
      </c>
      <c r="AK1308" s="295" t="s">
        <v>343</v>
      </c>
      <c r="AL1308" s="296" t="s">
        <v>343</v>
      </c>
      <c r="AM1308" s="295" t="s">
        <v>343</v>
      </c>
      <c r="AN1308" s="295" t="s">
        <v>343</v>
      </c>
      <c r="AO1308" s="295" t="s">
        <v>343</v>
      </c>
      <c r="AP1308" s="295" t="s">
        <v>343</v>
      </c>
      <c r="AQ1308" s="296" t="s">
        <v>343</v>
      </c>
      <c r="AR1308" s="295" t="s">
        <v>343</v>
      </c>
      <c r="AS1308" s="295" t="s">
        <v>343</v>
      </c>
      <c r="AT1308" s="295" t="s">
        <v>343</v>
      </c>
      <c r="AU1308" s="295" t="s">
        <v>343</v>
      </c>
      <c r="AV1308" s="296" t="s">
        <v>343</v>
      </c>
      <c r="AW1308" s="295" t="s">
        <v>343</v>
      </c>
      <c r="AX1308" s="295" t="s">
        <v>343</v>
      </c>
      <c r="AY1308" s="295" t="s">
        <v>343</v>
      </c>
      <c r="AZ1308" s="295" t="s">
        <v>343</v>
      </c>
      <c r="BA1308" s="296" t="s">
        <v>343</v>
      </c>
      <c r="BB1308" s="295" t="s">
        <v>343</v>
      </c>
      <c r="BC1308" s="295" t="s">
        <v>343</v>
      </c>
      <c r="BD1308" s="295" t="s">
        <v>343</v>
      </c>
      <c r="BE1308" s="295" t="s">
        <v>343</v>
      </c>
      <c r="BF1308" s="296" t="s">
        <v>343</v>
      </c>
      <c r="BG1308" s="294"/>
      <c r="BH1308" s="295"/>
      <c r="BI1308" s="295"/>
      <c r="BJ1308" s="297"/>
      <c r="BK1308" s="296" t="s">
        <v>343</v>
      </c>
      <c r="BL1308" s="295"/>
      <c r="BM1308" s="295"/>
      <c r="BN1308" s="295"/>
      <c r="BO1308" s="297"/>
      <c r="BP1308" s="296" t="s">
        <v>343</v>
      </c>
      <c r="BQ1308" s="295"/>
      <c r="BR1308" s="295"/>
      <c r="BS1308" s="295"/>
      <c r="BT1308" s="297"/>
      <c r="BU1308" s="3314"/>
      <c r="BV1308" s="295"/>
      <c r="BW1308" s="295"/>
      <c r="BX1308" s="295"/>
      <c r="BY1308" s="297"/>
      <c r="BZ1308" s="297" t="s">
        <v>343</v>
      </c>
      <c r="CA1308" s="297" t="s">
        <v>343</v>
      </c>
      <c r="CB1308" s="297" t="s">
        <v>343</v>
      </c>
      <c r="CC1308" s="297" t="s">
        <v>343</v>
      </c>
      <c r="CD1308" s="297" t="s">
        <v>343</v>
      </c>
      <c r="CE1308" s="297" t="s">
        <v>343</v>
      </c>
      <c r="CF1308" s="297" t="s">
        <v>343</v>
      </c>
      <c r="CG1308" s="297" t="s">
        <v>343</v>
      </c>
      <c r="CH1308" s="295"/>
      <c r="CI1308" s="295"/>
      <c r="CJ1308" s="295"/>
      <c r="CK1308" s="295"/>
      <c r="CL1308" s="295"/>
      <c r="CM1308" s="295"/>
      <c r="CN1308" s="295"/>
      <c r="CO1308" s="295"/>
      <c r="CP1308" s="1784"/>
      <c r="CQ1308" s="295"/>
      <c r="CR1308" s="295"/>
      <c r="CS1308" s="295"/>
      <c r="CT1308" s="295"/>
      <c r="CU1308" s="295"/>
      <c r="CV1308" s="295"/>
      <c r="CW1308" s="295" t="str">
        <f t="shared" si="2419"/>
        <v xml:space="preserve">                </v>
      </c>
      <c r="CX1308" s="295" t="str">
        <f t="shared" si="2420"/>
        <v xml:space="preserve">                </v>
      </c>
      <c r="CY1308" s="295" t="str">
        <f t="shared" si="2421"/>
        <v xml:space="preserve">                </v>
      </c>
      <c r="CZ1308" s="295" t="str">
        <f t="shared" si="2422"/>
        <v xml:space="preserve">                </v>
      </c>
      <c r="DA1308" s="295" t="str">
        <f t="shared" si="2423"/>
        <v xml:space="preserve">                </v>
      </c>
      <c r="DB1308" s="295" t="str">
        <f t="shared" si="2424"/>
        <v xml:space="preserve">                </v>
      </c>
      <c r="DC1308" s="295" t="str">
        <f t="shared" si="2410"/>
        <v xml:space="preserve">                </v>
      </c>
      <c r="DD1308" s="295">
        <f t="shared" si="2411"/>
        <v>0</v>
      </c>
      <c r="DE1308" s="295" t="str">
        <f t="shared" si="2412"/>
        <v xml:space="preserve">                </v>
      </c>
      <c r="DF1308" s="295" t="str">
        <f t="shared" si="2413"/>
        <v xml:space="preserve">                </v>
      </c>
      <c r="DG1308" s="297" t="str">
        <f t="shared" si="2414"/>
        <v xml:space="preserve">                </v>
      </c>
      <c r="DH1308" s="298"/>
      <c r="DI1308" s="299"/>
      <c r="DJ1308" s="299"/>
      <c r="DK1308" s="299"/>
      <c r="DL1308" s="299"/>
      <c r="DM1308" s="299"/>
      <c r="DN1308" s="299"/>
      <c r="DO1308" s="300"/>
      <c r="DY1308" s="295"/>
      <c r="DZ1308" s="295"/>
    </row>
    <row r="1309" spans="1:130" ht="12" hidden="1" customHeight="1" outlineLevel="1">
      <c r="A1309" s="1495" t="s">
        <v>310</v>
      </c>
      <c r="B1309" s="1495"/>
      <c r="C1309" s="1495"/>
      <c r="D1309" s="1499"/>
      <c r="E1309" s="1500"/>
      <c r="F1309" s="1500"/>
      <c r="G1309" s="1500"/>
      <c r="H1309" s="1501"/>
      <c r="I1309" s="1500"/>
      <c r="J1309" s="1500"/>
      <c r="K1309" s="1500"/>
      <c r="L1309" s="1500"/>
      <c r="M1309" s="1501"/>
      <c r="N1309" s="1500"/>
      <c r="O1309" s="1500"/>
      <c r="P1309" s="1500"/>
      <c r="Q1309" s="1500"/>
      <c r="R1309" s="1501"/>
      <c r="S1309" s="1500"/>
      <c r="T1309" s="1500"/>
      <c r="U1309" s="1500"/>
      <c r="V1309" s="1500"/>
      <c r="W1309" s="1501"/>
      <c r="X1309" s="1500"/>
      <c r="Y1309" s="1500"/>
      <c r="Z1309" s="1500"/>
      <c r="AA1309" s="1500"/>
      <c r="AB1309" s="1501"/>
      <c r="AC1309" s="1500"/>
      <c r="AD1309" s="1500"/>
      <c r="AE1309" s="1500"/>
      <c r="AF1309" s="1500"/>
      <c r="AG1309" s="1501"/>
      <c r="AH1309" s="1500"/>
      <c r="AI1309" s="1500"/>
      <c r="AJ1309" s="1500">
        <f>SUM(AJ1304:AJ1306)</f>
        <v>-26.34</v>
      </c>
      <c r="AK1309" s="1500">
        <f>SUM(AK1304:AK1306)</f>
        <v>-35.323999999999998</v>
      </c>
      <c r="AL1309" s="1501">
        <f>SUM(AL1304:AL1306)</f>
        <v>-35.323999999999998</v>
      </c>
      <c r="AM1309" s="1500">
        <f>SUM(AM1304:AM1307)</f>
        <v>-34.228999999999999</v>
      </c>
      <c r="AN1309" s="1500">
        <f>SUM(AN1304:AN1307)</f>
        <v>-33.079000000000001</v>
      </c>
      <c r="AO1309" s="1500">
        <f>SUM(AO1304:AO1307)</f>
        <v>-31.64</v>
      </c>
      <c r="AP1309" s="1500">
        <f>SUM(AP1304:AP1307)</f>
        <v>-41.483000000000004</v>
      </c>
      <c r="AQ1309" s="1501">
        <f>AP1309</f>
        <v>-41.483000000000004</v>
      </c>
      <c r="AR1309" s="1500">
        <f>SUM(AR1304:AR1307)</f>
        <v>-45.155000000000001</v>
      </c>
      <c r="AS1309" s="1500">
        <f>SUM(AS1304:AS1307)</f>
        <v>-45.492999999999995</v>
      </c>
      <c r="AT1309" s="1500">
        <f>SUM(AT1304:AT1307)</f>
        <v>-39.540999999999997</v>
      </c>
      <c r="AU1309" s="1500">
        <f>SUM(AU1304:AU1307)</f>
        <v>-66.38</v>
      </c>
      <c r="AV1309" s="1501">
        <f>AU1309</f>
        <v>-66.38</v>
      </c>
      <c r="AW1309" s="1500">
        <f>SUM(AW1304:AW1307)</f>
        <v>-60.677999999999997</v>
      </c>
      <c r="AX1309" s="1500">
        <f>SUM(AX1304:AX1307)</f>
        <v>-55.002000000000002</v>
      </c>
      <c r="AY1309" s="1500">
        <f>SUM(AY1304:AY1307)</f>
        <v>-47.183999999999997</v>
      </c>
      <c r="AZ1309" s="1500">
        <f>SUM(AZ1304:AZ1307)</f>
        <v>-39.825999999999993</v>
      </c>
      <c r="BA1309" s="1501">
        <f>AZ1309</f>
        <v>-39.825999999999993</v>
      </c>
      <c r="BB1309" s="1500">
        <f>SUM(BB1304:BB1307)</f>
        <v>-38.099999999999994</v>
      </c>
      <c r="BC1309" s="1500"/>
      <c r="BD1309" s="1500"/>
      <c r="BE1309" s="1500"/>
      <c r="BF1309" s="1501">
        <f>SUM(BF1304:BF1306)</f>
        <v>-8.9329642857142844</v>
      </c>
      <c r="BG1309" s="1499"/>
      <c r="BH1309" s="1500"/>
      <c r="BI1309" s="1500"/>
      <c r="BJ1309" s="1946"/>
      <c r="BK1309" s="1501">
        <f>SUM(BK1304:BK1306)</f>
        <v>-3.4099285714285701</v>
      </c>
      <c r="BL1309" s="1500"/>
      <c r="BM1309" s="1500"/>
      <c r="BN1309" s="1500"/>
      <c r="BO1309" s="1946"/>
      <c r="BP1309" s="1501">
        <f>SUM(BP1304:BP1306)</f>
        <v>2.1131071428571442</v>
      </c>
      <c r="BQ1309" s="1500"/>
      <c r="BR1309" s="1500"/>
      <c r="BS1309" s="1500"/>
      <c r="BT1309" s="1946"/>
      <c r="BU1309" s="3465"/>
      <c r="BV1309" s="1500"/>
      <c r="BW1309" s="1500"/>
      <c r="BX1309" s="1500"/>
      <c r="BY1309" s="1946"/>
      <c r="BZ1309" s="1501"/>
      <c r="CA1309" s="1501"/>
      <c r="CB1309" s="1501"/>
      <c r="CC1309" s="1501"/>
      <c r="CD1309" s="1501"/>
      <c r="CE1309" s="1501"/>
      <c r="CF1309" s="1501"/>
      <c r="CG1309" s="1501"/>
      <c r="CH1309" s="956"/>
      <c r="CI1309" s="956"/>
      <c r="CJ1309" s="956"/>
      <c r="CK1309" s="956"/>
      <c r="CL1309" s="956"/>
      <c r="CM1309" s="956"/>
      <c r="CN1309" s="956"/>
      <c r="CO1309" s="956"/>
      <c r="CP1309" s="1945" t="str">
        <f t="shared" si="2408"/>
        <v>Total</v>
      </c>
      <c r="CQ1309" s="1500"/>
      <c r="CR1309" s="1500"/>
      <c r="CS1309" s="1500"/>
      <c r="CT1309" s="1500"/>
      <c r="CU1309" s="1500"/>
      <c r="CV1309" s="1500"/>
      <c r="CW1309" s="1500">
        <f t="shared" si="2419"/>
        <v>-35.323999999999998</v>
      </c>
      <c r="CX1309" s="1500">
        <f t="shared" si="2420"/>
        <v>-41.483000000000004</v>
      </c>
      <c r="CY1309" s="1500">
        <f t="shared" si="2421"/>
        <v>-66.38</v>
      </c>
      <c r="CZ1309" s="1500">
        <f t="shared" si="2422"/>
        <v>-39.825999999999993</v>
      </c>
      <c r="DA1309" s="1500">
        <f t="shared" si="2423"/>
        <v>-8.9329642857142844</v>
      </c>
      <c r="DB1309" s="1500">
        <f t="shared" si="2424"/>
        <v>-3.4099285714285701</v>
      </c>
      <c r="DC1309" s="1500">
        <f t="shared" si="2410"/>
        <v>2.1131071428571442</v>
      </c>
      <c r="DD1309" s="1500">
        <f t="shared" si="2411"/>
        <v>0</v>
      </c>
      <c r="DE1309" s="1500">
        <f t="shared" si="2412"/>
        <v>0</v>
      </c>
      <c r="DF1309" s="1500">
        <f t="shared" si="2413"/>
        <v>0</v>
      </c>
      <c r="DG1309" s="1946">
        <f t="shared" si="2414"/>
        <v>0</v>
      </c>
      <c r="DH1309" s="954"/>
      <c r="DI1309" s="954"/>
      <c r="DJ1309" s="954"/>
      <c r="DK1309" s="954"/>
      <c r="DL1309" s="954"/>
      <c r="DM1309" s="954"/>
      <c r="DN1309" s="265"/>
      <c r="DO1309" s="266"/>
      <c r="DY1309" s="1500"/>
      <c r="DZ1309" s="1500"/>
    </row>
    <row r="1310" spans="1:130" ht="12" hidden="1" customHeight="1" outlineLevel="1">
      <c r="A1310" s="844"/>
      <c r="B1310" s="844"/>
      <c r="C1310" s="844"/>
      <c r="D1310" s="846"/>
      <c r="E1310" s="847"/>
      <c r="F1310" s="847"/>
      <c r="G1310" s="847"/>
      <c r="H1310" s="849"/>
      <c r="I1310" s="847"/>
      <c r="J1310" s="847"/>
      <c r="K1310" s="847"/>
      <c r="L1310" s="847"/>
      <c r="M1310" s="849"/>
      <c r="N1310" s="847"/>
      <c r="O1310" s="847"/>
      <c r="P1310" s="847"/>
      <c r="Q1310" s="847"/>
      <c r="R1310" s="849"/>
      <c r="S1310" s="847"/>
      <c r="T1310" s="847"/>
      <c r="U1310" s="847"/>
      <c r="V1310" s="847"/>
      <c r="W1310" s="849"/>
      <c r="X1310" s="847"/>
      <c r="Y1310" s="847"/>
      <c r="Z1310" s="847"/>
      <c r="AA1310" s="847"/>
      <c r="AB1310" s="849"/>
      <c r="AC1310" s="847"/>
      <c r="AD1310" s="847"/>
      <c r="AE1310" s="847"/>
      <c r="AF1310" s="847"/>
      <c r="AG1310" s="849"/>
      <c r="AH1310" s="847"/>
      <c r="AI1310" s="847"/>
      <c r="AJ1310" s="847"/>
      <c r="AK1310" s="847"/>
      <c r="AL1310" s="849"/>
      <c r="AM1310" s="847"/>
      <c r="AN1310" s="847"/>
      <c r="AO1310" s="847"/>
      <c r="AP1310" s="847"/>
      <c r="AQ1310" s="849"/>
      <c r="AR1310" s="847"/>
      <c r="AS1310" s="847"/>
      <c r="AT1310" s="847"/>
      <c r="AU1310" s="847"/>
      <c r="AV1310" s="849"/>
      <c r="AW1310" s="847"/>
      <c r="AX1310" s="847"/>
      <c r="AY1310" s="847"/>
      <c r="AZ1310" s="847"/>
      <c r="BA1310" s="849"/>
      <c r="BB1310" s="847"/>
      <c r="BC1310" s="847"/>
      <c r="BD1310" s="847"/>
      <c r="BE1310" s="847"/>
      <c r="BF1310" s="849"/>
      <c r="BG1310" s="846"/>
      <c r="BH1310" s="847"/>
      <c r="BI1310" s="847"/>
      <c r="BJ1310" s="848"/>
      <c r="BK1310" s="849"/>
      <c r="BL1310" s="847"/>
      <c r="BM1310" s="847"/>
      <c r="BN1310" s="847"/>
      <c r="BO1310" s="848"/>
      <c r="BP1310" s="849"/>
      <c r="BQ1310" s="847"/>
      <c r="BR1310" s="847"/>
      <c r="BS1310" s="847"/>
      <c r="BT1310" s="848"/>
      <c r="BU1310" s="3427"/>
      <c r="BV1310" s="847"/>
      <c r="BW1310" s="847"/>
      <c r="BX1310" s="847"/>
      <c r="BY1310" s="848"/>
      <c r="BZ1310" s="849"/>
      <c r="CA1310" s="849"/>
      <c r="CB1310" s="849"/>
      <c r="CC1310" s="849"/>
      <c r="CD1310" s="849"/>
      <c r="CE1310" s="849"/>
      <c r="CF1310" s="849"/>
      <c r="CG1310" s="849"/>
      <c r="CH1310" s="956"/>
      <c r="CI1310" s="956"/>
      <c r="CJ1310" s="956"/>
      <c r="CK1310" s="956"/>
      <c r="CL1310" s="956"/>
      <c r="CM1310" s="956"/>
      <c r="CN1310" s="956"/>
      <c r="CO1310" s="956"/>
      <c r="CP1310" s="996"/>
      <c r="CQ1310" s="847"/>
      <c r="CR1310" s="847"/>
      <c r="CS1310" s="847"/>
      <c r="CT1310" s="847"/>
      <c r="CU1310" s="847"/>
      <c r="CV1310" s="847"/>
      <c r="CW1310" s="847"/>
      <c r="CX1310" s="847"/>
      <c r="CY1310" s="847"/>
      <c r="CZ1310" s="847"/>
      <c r="DA1310" s="847"/>
      <c r="DB1310" s="847"/>
      <c r="DC1310" s="847"/>
      <c r="DD1310" s="847"/>
      <c r="DE1310" s="847"/>
      <c r="DF1310" s="847"/>
      <c r="DG1310" s="848"/>
      <c r="DH1310" s="954"/>
      <c r="DI1310" s="954"/>
      <c r="DJ1310" s="954"/>
      <c r="DK1310" s="954"/>
      <c r="DL1310" s="954"/>
      <c r="DM1310" s="954"/>
      <c r="DN1310" s="265"/>
      <c r="DO1310" s="266"/>
      <c r="DY1310" s="847"/>
      <c r="DZ1310" s="847"/>
    </row>
    <row r="1311" spans="1:130" ht="12" hidden="1" customHeight="1" outlineLevel="1">
      <c r="A1311" s="844" t="s">
        <v>601</v>
      </c>
      <c r="B1311" s="844"/>
      <c r="C1311" s="844"/>
      <c r="D1311" s="846"/>
      <c r="E1311" s="847"/>
      <c r="F1311" s="847"/>
      <c r="G1311" s="847"/>
      <c r="H1311" s="849"/>
      <c r="I1311" s="847"/>
      <c r="J1311" s="847"/>
      <c r="K1311" s="847"/>
      <c r="L1311" s="847"/>
      <c r="M1311" s="849"/>
      <c r="N1311" s="847"/>
      <c r="O1311" s="847"/>
      <c r="P1311" s="847"/>
      <c r="Q1311" s="847"/>
      <c r="R1311" s="849"/>
      <c r="S1311" s="847"/>
      <c r="T1311" s="847"/>
      <c r="U1311" s="847"/>
      <c r="V1311" s="847"/>
      <c r="W1311" s="849"/>
      <c r="X1311" s="847"/>
      <c r="Y1311" s="847"/>
      <c r="Z1311" s="847"/>
      <c r="AA1311" s="847"/>
      <c r="AB1311" s="849"/>
      <c r="AC1311" s="847"/>
      <c r="AD1311" s="847"/>
      <c r="AE1311" s="847"/>
      <c r="AF1311" s="847"/>
      <c r="AG1311" s="849"/>
      <c r="AH1311" s="847"/>
      <c r="AI1311" s="847"/>
      <c r="AJ1311" s="847"/>
      <c r="AK1311" s="847"/>
      <c r="AL1311" s="849"/>
      <c r="AM1311" s="847"/>
      <c r="AN1311" s="847"/>
      <c r="AO1311" s="847"/>
      <c r="AP1311" s="847"/>
      <c r="AQ1311" s="849"/>
      <c r="AR1311" s="847"/>
      <c r="AS1311" s="847"/>
      <c r="AT1311" s="847"/>
      <c r="AU1311" s="847"/>
      <c r="AV1311" s="849"/>
      <c r="AW1311" s="847"/>
      <c r="AX1311" s="847"/>
      <c r="AY1311" s="847"/>
      <c r="AZ1311" s="847"/>
      <c r="BA1311" s="849"/>
      <c r="BB1311" s="847"/>
      <c r="BC1311" s="847"/>
      <c r="BD1311" s="847"/>
      <c r="BE1311" s="847"/>
      <c r="BF1311" s="849"/>
      <c r="BG1311" s="846"/>
      <c r="BH1311" s="847"/>
      <c r="BI1311" s="847"/>
      <c r="BJ1311" s="848"/>
      <c r="BK1311" s="849"/>
      <c r="BL1311" s="847"/>
      <c r="BM1311" s="847"/>
      <c r="BN1311" s="847"/>
      <c r="BO1311" s="848"/>
      <c r="BP1311" s="849"/>
      <c r="BQ1311" s="847"/>
      <c r="BR1311" s="847"/>
      <c r="BS1311" s="847"/>
      <c r="BT1311" s="848"/>
      <c r="BU1311" s="3427"/>
      <c r="BV1311" s="847"/>
      <c r="BW1311" s="847"/>
      <c r="BX1311" s="847"/>
      <c r="BY1311" s="848"/>
      <c r="BZ1311" s="849"/>
      <c r="CA1311" s="849"/>
      <c r="CB1311" s="849"/>
      <c r="CC1311" s="849"/>
      <c r="CD1311" s="849"/>
      <c r="CE1311" s="849"/>
      <c r="CF1311" s="849"/>
      <c r="CG1311" s="849"/>
      <c r="CH1311" s="956"/>
      <c r="CI1311" s="956"/>
      <c r="CJ1311" s="956"/>
      <c r="CK1311" s="956"/>
      <c r="CL1311" s="956"/>
      <c r="CM1311" s="956"/>
      <c r="CN1311" s="956"/>
      <c r="CO1311" s="956"/>
      <c r="CP1311" s="996" t="str">
        <f t="shared" si="2408"/>
        <v>Estimated Amortization Expense</v>
      </c>
      <c r="CQ1311" s="847"/>
      <c r="CR1311" s="847"/>
      <c r="CS1311" s="847"/>
      <c r="CT1311" s="847"/>
      <c r="CU1311" s="847"/>
      <c r="CV1311" s="847"/>
      <c r="CW1311" s="847"/>
      <c r="CX1311" s="847">
        <f t="shared" ref="CX1311:CX1316" si="2425">AQ1311</f>
        <v>0</v>
      </c>
      <c r="CY1311" s="847">
        <f t="shared" ref="CY1311:CY1316" si="2426">AV1311</f>
        <v>0</v>
      </c>
      <c r="CZ1311" s="847">
        <f t="shared" ref="CZ1311:CZ1316" si="2427">BA1311</f>
        <v>0</v>
      </c>
      <c r="DA1311" s="847">
        <f t="shared" ref="DA1311:DA1316" si="2428">BF1311</f>
        <v>0</v>
      </c>
      <c r="DB1311" s="847">
        <f t="shared" si="2424"/>
        <v>0</v>
      </c>
      <c r="DC1311" s="847">
        <f t="shared" si="2410"/>
        <v>0</v>
      </c>
      <c r="DD1311" s="847">
        <f t="shared" si="2411"/>
        <v>0</v>
      </c>
      <c r="DE1311" s="847">
        <f t="shared" si="2412"/>
        <v>0</v>
      </c>
      <c r="DF1311" s="847">
        <f t="shared" si="2413"/>
        <v>0</v>
      </c>
      <c r="DG1311" s="848">
        <f t="shared" si="2414"/>
        <v>0</v>
      </c>
      <c r="DH1311" s="954"/>
      <c r="DI1311" s="954"/>
      <c r="DJ1311" s="954"/>
      <c r="DK1311" s="954"/>
      <c r="DL1311" s="954"/>
      <c r="DM1311" s="954"/>
      <c r="DN1311" s="265"/>
      <c r="DO1311" s="266"/>
      <c r="DY1311" s="847"/>
      <c r="DZ1311" s="847"/>
    </row>
    <row r="1312" spans="1:130" ht="12" hidden="1" customHeight="1" outlineLevel="1">
      <c r="A1312" s="1497" t="s">
        <v>602</v>
      </c>
      <c r="B1312" s="844"/>
      <c r="C1312" s="844"/>
      <c r="D1312" s="846"/>
      <c r="E1312" s="847"/>
      <c r="F1312" s="847"/>
      <c r="G1312" s="847"/>
      <c r="H1312" s="849"/>
      <c r="I1312" s="847"/>
      <c r="J1312" s="847"/>
      <c r="K1312" s="847"/>
      <c r="L1312" s="847"/>
      <c r="M1312" s="849"/>
      <c r="N1312" s="847"/>
      <c r="O1312" s="847"/>
      <c r="P1312" s="847"/>
      <c r="Q1312" s="847"/>
      <c r="R1312" s="849"/>
      <c r="S1312" s="847"/>
      <c r="T1312" s="847"/>
      <c r="U1312" s="847"/>
      <c r="V1312" s="847"/>
      <c r="W1312" s="849"/>
      <c r="X1312" s="847"/>
      <c r="Y1312" s="847"/>
      <c r="Z1312" s="847"/>
      <c r="AA1312" s="847"/>
      <c r="AB1312" s="849"/>
      <c r="AC1312" s="847"/>
      <c r="AD1312" s="847"/>
      <c r="AE1312" s="847"/>
      <c r="AF1312" s="847"/>
      <c r="AG1312" s="849"/>
      <c r="AH1312" s="847"/>
      <c r="AI1312" s="847"/>
      <c r="AJ1312" s="847"/>
      <c r="AK1312" s="1502">
        <f>AJ1304-AK1304</f>
        <v>-0.54299999999999926</v>
      </c>
      <c r="AL1312" s="1503"/>
      <c r="AM1312" s="1502">
        <f>AK1304-AM1304</f>
        <v>-0.52200000000000024</v>
      </c>
      <c r="AN1312" s="1502">
        <f t="shared" ref="AN1312:AP1314" si="2429">AM1304-AN1304</f>
        <v>-0.56400000000000006</v>
      </c>
      <c r="AO1312" s="1502">
        <f t="shared" si="2429"/>
        <v>-0.65399999999999991</v>
      </c>
      <c r="AP1312" s="1502">
        <f t="shared" si="2429"/>
        <v>-0.59699999999999953</v>
      </c>
      <c r="AQ1312" s="849">
        <f>SUM(AM1312:AP1312)</f>
        <v>-2.3369999999999997</v>
      </c>
      <c r="AR1312" s="1502">
        <f>AP1304-AR1304</f>
        <v>-1.8440000000000012</v>
      </c>
      <c r="AS1312" s="1502">
        <f t="shared" ref="AS1312:AU1314" si="2430">AR1304-AS1304</f>
        <v>0.62700000000000067</v>
      </c>
      <c r="AT1312" s="1502">
        <f t="shared" si="2430"/>
        <v>0.62100000000000044</v>
      </c>
      <c r="AU1312" s="1502">
        <f t="shared" si="2430"/>
        <v>-1.902000000000001</v>
      </c>
      <c r="AV1312" s="849">
        <f>SUM(AR1312:AU1312)</f>
        <v>-2.4980000000000011</v>
      </c>
      <c r="AW1312" s="1502">
        <f>AU1304-AW1304</f>
        <v>-0.65799999999999947</v>
      </c>
      <c r="AX1312" s="1502">
        <f t="shared" ref="AX1312:AY1314" si="2431">AW1304-AX1304</f>
        <v>-0.68799999999999972</v>
      </c>
      <c r="AY1312" s="1502">
        <f t="shared" si="2431"/>
        <v>-1.3120000000000003</v>
      </c>
      <c r="AZ1312" s="1502">
        <f>AY1304-AZ1304</f>
        <v>-5.7949999999999999</v>
      </c>
      <c r="BA1312" s="849">
        <f>SUM(AW1312:AZ1312)</f>
        <v>-8.4529999999999994</v>
      </c>
      <c r="BB1312" s="1502">
        <f>AZ1304-BB1304</f>
        <v>0</v>
      </c>
      <c r="BC1312" s="1502"/>
      <c r="BD1312" s="1502"/>
      <c r="BE1312" s="1504"/>
      <c r="BF1312" s="849">
        <f>$AQ$1304/4</f>
        <v>-2.7377500000000001</v>
      </c>
      <c r="BG1312" s="846"/>
      <c r="BH1312" s="847"/>
      <c r="BI1312" s="847"/>
      <c r="BJ1312" s="848"/>
      <c r="BK1312" s="849">
        <f>$AQ$1304/4</f>
        <v>-2.7377500000000001</v>
      </c>
      <c r="BL1312" s="847"/>
      <c r="BM1312" s="847"/>
      <c r="BN1312" s="847"/>
      <c r="BO1312" s="848"/>
      <c r="BP1312" s="849">
        <f>$AQ$1304/4</f>
        <v>-2.7377500000000001</v>
      </c>
      <c r="BQ1312" s="847"/>
      <c r="BR1312" s="847"/>
      <c r="BS1312" s="847"/>
      <c r="BT1312" s="848"/>
      <c r="BU1312" s="3427"/>
      <c r="BV1312" s="847"/>
      <c r="BW1312" s="847"/>
      <c r="BX1312" s="847"/>
      <c r="BY1312" s="848"/>
      <c r="BZ1312" s="849"/>
      <c r="CA1312" s="849"/>
      <c r="CB1312" s="849"/>
      <c r="CC1312" s="849"/>
      <c r="CD1312" s="849"/>
      <c r="CE1312" s="849"/>
      <c r="CF1312" s="849"/>
      <c r="CG1312" s="849"/>
      <c r="CH1312" s="956"/>
      <c r="CI1312" s="956"/>
      <c r="CJ1312" s="956"/>
      <c r="CK1312" s="956"/>
      <c r="CL1312" s="956"/>
      <c r="CM1312" s="956"/>
      <c r="CN1312" s="956"/>
      <c r="CO1312" s="956"/>
      <c r="CP1312" s="1944" t="str">
        <f t="shared" si="2408"/>
        <v>Borgata 9.5% Senior Secured Notes due 2015</v>
      </c>
      <c r="CQ1312" s="1502"/>
      <c r="CR1312" s="1502"/>
      <c r="CS1312" s="1502"/>
      <c r="CT1312" s="1502"/>
      <c r="CU1312" s="1502"/>
      <c r="CV1312" s="1502"/>
      <c r="CW1312" s="1502"/>
      <c r="CX1312" s="1502">
        <f t="shared" si="2425"/>
        <v>-2.3369999999999997</v>
      </c>
      <c r="CY1312" s="1502">
        <f t="shared" si="2426"/>
        <v>-2.4980000000000011</v>
      </c>
      <c r="CZ1312" s="1502">
        <f t="shared" si="2427"/>
        <v>-8.4529999999999994</v>
      </c>
      <c r="DA1312" s="1502">
        <f t="shared" si="2428"/>
        <v>-2.7377500000000001</v>
      </c>
      <c r="DB1312" s="1502">
        <f t="shared" si="2424"/>
        <v>-2.7377500000000001</v>
      </c>
      <c r="DC1312" s="1502">
        <f t="shared" si="2410"/>
        <v>-2.7377500000000001</v>
      </c>
      <c r="DD1312" s="1502">
        <f t="shared" si="2411"/>
        <v>0</v>
      </c>
      <c r="DE1312" s="1502">
        <f t="shared" si="2412"/>
        <v>0</v>
      </c>
      <c r="DF1312" s="1502">
        <f t="shared" si="2413"/>
        <v>0</v>
      </c>
      <c r="DG1312" s="1947">
        <f t="shared" si="2414"/>
        <v>0</v>
      </c>
      <c r="DH1312" s="954"/>
      <c r="DI1312" s="954"/>
      <c r="DJ1312" s="954"/>
      <c r="DK1312" s="954"/>
      <c r="DL1312" s="954"/>
      <c r="DM1312" s="954"/>
      <c r="DN1312" s="265"/>
      <c r="DO1312" s="266"/>
      <c r="DY1312" s="847"/>
      <c r="DZ1312" s="847"/>
    </row>
    <row r="1313" spans="1:130" ht="12" hidden="1" customHeight="1" outlineLevel="1">
      <c r="A1313" s="1497" t="s">
        <v>862</v>
      </c>
      <c r="B1313" s="844"/>
      <c r="C1313" s="844"/>
      <c r="D1313" s="846"/>
      <c r="E1313" s="847"/>
      <c r="F1313" s="847"/>
      <c r="G1313" s="847"/>
      <c r="H1313" s="849"/>
      <c r="I1313" s="847"/>
      <c r="J1313" s="847"/>
      <c r="K1313" s="847"/>
      <c r="L1313" s="847"/>
      <c r="M1313" s="849"/>
      <c r="N1313" s="847"/>
      <c r="O1313" s="847"/>
      <c r="P1313" s="847"/>
      <c r="Q1313" s="847"/>
      <c r="R1313" s="849"/>
      <c r="S1313" s="847"/>
      <c r="T1313" s="847"/>
      <c r="U1313" s="847"/>
      <c r="V1313" s="847"/>
      <c r="W1313" s="849"/>
      <c r="X1313" s="847"/>
      <c r="Y1313" s="847"/>
      <c r="Z1313" s="847"/>
      <c r="AA1313" s="847"/>
      <c r="AB1313" s="849"/>
      <c r="AC1313" s="847"/>
      <c r="AD1313" s="847"/>
      <c r="AE1313" s="847"/>
      <c r="AF1313" s="847"/>
      <c r="AG1313" s="849"/>
      <c r="AH1313" s="847"/>
      <c r="AI1313" s="847"/>
      <c r="AJ1313" s="847"/>
      <c r="AK1313" s="1502">
        <f>AJ1305-AK1305</f>
        <v>-0.26700000000000124</v>
      </c>
      <c r="AL1313" s="1503"/>
      <c r="AM1313" s="1502">
        <f>AK1305-AM1305</f>
        <v>-0.26399999999999757</v>
      </c>
      <c r="AN1313" s="1502">
        <f t="shared" si="2429"/>
        <v>-0.27600000000000158</v>
      </c>
      <c r="AO1313" s="1502">
        <f t="shared" si="2429"/>
        <v>-0.47599999999999909</v>
      </c>
      <c r="AP1313" s="1502">
        <f t="shared" si="2429"/>
        <v>-0.28500000000000192</v>
      </c>
      <c r="AQ1313" s="849">
        <f>SUM(AM1313:AP1313)</f>
        <v>-1.3010000000000002</v>
      </c>
      <c r="AR1313" s="1502">
        <f>AP1305-AR1305</f>
        <v>-0.90199999999999925</v>
      </c>
      <c r="AS1313" s="1502">
        <f t="shared" si="2430"/>
        <v>0.30700000000000038</v>
      </c>
      <c r="AT1313" s="1502">
        <f t="shared" si="2430"/>
        <v>0.3019999999999996</v>
      </c>
      <c r="AU1313" s="1502">
        <f t="shared" si="2430"/>
        <v>-0.92499999999999893</v>
      </c>
      <c r="AV1313" s="849">
        <f>SUM(AR1313:AU1313)</f>
        <v>-1.2179999999999982</v>
      </c>
      <c r="AW1313" s="1502">
        <f>AU1305-AW1305</f>
        <v>-0.32500000000000107</v>
      </c>
      <c r="AX1313" s="1502">
        <f t="shared" si="2431"/>
        <v>-0.33199999999999896</v>
      </c>
      <c r="AY1313" s="1502">
        <f t="shared" si="2431"/>
        <v>-0.34200000000000053</v>
      </c>
      <c r="AZ1313" s="1502">
        <f>AY1305-AZ1305</f>
        <v>-0.35000000000000142</v>
      </c>
      <c r="BA1313" s="849">
        <f>SUM(AW1313:AZ1313)</f>
        <v>-1.349000000000002</v>
      </c>
      <c r="BB1313" s="1502">
        <f>AZ1305-BB1305</f>
        <v>-0.35999999999999943</v>
      </c>
      <c r="BC1313" s="1502"/>
      <c r="BD1313" s="1502"/>
      <c r="BE1313" s="1504"/>
      <c r="BF1313" s="849">
        <f>$AQ$1305/7</f>
        <v>-1.5629999999999999</v>
      </c>
      <c r="BG1313" s="846"/>
      <c r="BH1313" s="847"/>
      <c r="BI1313" s="847"/>
      <c r="BJ1313" s="848"/>
      <c r="BK1313" s="849">
        <f>$AQ$1305/7</f>
        <v>-1.5629999999999999</v>
      </c>
      <c r="BL1313" s="847"/>
      <c r="BM1313" s="847"/>
      <c r="BN1313" s="847"/>
      <c r="BO1313" s="848"/>
      <c r="BP1313" s="849">
        <f>$AQ$1305/7</f>
        <v>-1.5629999999999999</v>
      </c>
      <c r="BQ1313" s="847"/>
      <c r="BR1313" s="847"/>
      <c r="BS1313" s="847"/>
      <c r="BT1313" s="848"/>
      <c r="BU1313" s="3427"/>
      <c r="BV1313" s="847"/>
      <c r="BW1313" s="847"/>
      <c r="BX1313" s="847"/>
      <c r="BY1313" s="848"/>
      <c r="BZ1313" s="849"/>
      <c r="CA1313" s="849"/>
      <c r="CB1313" s="849"/>
      <c r="CC1313" s="849"/>
      <c r="CD1313" s="849"/>
      <c r="CE1313" s="849"/>
      <c r="CF1313" s="849"/>
      <c r="CG1313" s="849"/>
      <c r="CH1313" s="956"/>
      <c r="CI1313" s="956"/>
      <c r="CJ1313" s="956"/>
      <c r="CK1313" s="956"/>
      <c r="CL1313" s="956"/>
      <c r="CM1313" s="956"/>
      <c r="CN1313" s="956"/>
      <c r="CO1313" s="956"/>
      <c r="CP1313" s="1944" t="str">
        <f t="shared" si="2408"/>
        <v>Borgata 9.875% Senior Secured Notes due 2018</v>
      </c>
      <c r="CQ1313" s="1502"/>
      <c r="CR1313" s="1502"/>
      <c r="CS1313" s="1502"/>
      <c r="CT1313" s="1502"/>
      <c r="CU1313" s="1502"/>
      <c r="CV1313" s="1502"/>
      <c r="CW1313" s="1502"/>
      <c r="CX1313" s="1502">
        <f t="shared" si="2425"/>
        <v>-1.3010000000000002</v>
      </c>
      <c r="CY1313" s="1502">
        <f t="shared" si="2426"/>
        <v>-1.2179999999999982</v>
      </c>
      <c r="CZ1313" s="1502">
        <f t="shared" si="2427"/>
        <v>-1.349000000000002</v>
      </c>
      <c r="DA1313" s="1502">
        <f t="shared" si="2428"/>
        <v>-1.5629999999999999</v>
      </c>
      <c r="DB1313" s="1502">
        <f t="shared" si="2424"/>
        <v>-1.5629999999999999</v>
      </c>
      <c r="DC1313" s="1502">
        <f t="shared" si="2410"/>
        <v>-1.5629999999999999</v>
      </c>
      <c r="DD1313" s="1502">
        <f t="shared" si="2411"/>
        <v>0</v>
      </c>
      <c r="DE1313" s="1502">
        <f t="shared" si="2412"/>
        <v>0</v>
      </c>
      <c r="DF1313" s="1502">
        <f t="shared" si="2413"/>
        <v>0</v>
      </c>
      <c r="DG1313" s="1947">
        <f t="shared" si="2414"/>
        <v>0</v>
      </c>
      <c r="DH1313" s="954"/>
      <c r="DI1313" s="954"/>
      <c r="DJ1313" s="954"/>
      <c r="DK1313" s="954"/>
      <c r="DL1313" s="954"/>
      <c r="DM1313" s="954"/>
      <c r="DN1313" s="265"/>
      <c r="DO1313" s="266"/>
      <c r="DY1313" s="847"/>
      <c r="DZ1313" s="847"/>
    </row>
    <row r="1314" spans="1:130" ht="12" hidden="1" customHeight="1" outlineLevel="1">
      <c r="A1314" s="1505" t="s">
        <v>863</v>
      </c>
      <c r="B1314" s="1498"/>
      <c r="C1314" s="1498"/>
      <c r="D1314" s="1506"/>
      <c r="E1314" s="1507"/>
      <c r="F1314" s="1507"/>
      <c r="G1314" s="1507"/>
      <c r="H1314" s="1508"/>
      <c r="I1314" s="1507"/>
      <c r="J1314" s="1507"/>
      <c r="K1314" s="1507"/>
      <c r="L1314" s="1507"/>
      <c r="M1314" s="1508"/>
      <c r="N1314" s="1507"/>
      <c r="O1314" s="1507"/>
      <c r="P1314" s="1507"/>
      <c r="Q1314" s="1507"/>
      <c r="R1314" s="1508"/>
      <c r="S1314" s="1507"/>
      <c r="T1314" s="1507"/>
      <c r="U1314" s="1507"/>
      <c r="V1314" s="1507"/>
      <c r="W1314" s="1508"/>
      <c r="X1314" s="1507"/>
      <c r="Y1314" s="1507"/>
      <c r="Z1314" s="1507"/>
      <c r="AA1314" s="1507"/>
      <c r="AB1314" s="1508"/>
      <c r="AC1314" s="1507"/>
      <c r="AD1314" s="1507"/>
      <c r="AE1314" s="1507"/>
      <c r="AF1314" s="1507"/>
      <c r="AG1314" s="1508"/>
      <c r="AH1314" s="1507"/>
      <c r="AI1314" s="1507"/>
      <c r="AJ1314" s="1507"/>
      <c r="AK1314" s="1509"/>
      <c r="AL1314" s="1510"/>
      <c r="AM1314" s="1502">
        <f>AK1306-AM1306</f>
        <v>-0.30900000000000105</v>
      </c>
      <c r="AN1314" s="1502">
        <f t="shared" si="2429"/>
        <v>-0.30999999999999872</v>
      </c>
      <c r="AO1314" s="1502">
        <f t="shared" si="2429"/>
        <v>-0.30900000000000105</v>
      </c>
      <c r="AP1314" s="1502">
        <f t="shared" si="2429"/>
        <v>-0.3100000000000005</v>
      </c>
      <c r="AQ1314" s="849">
        <f>SUM(AM1314:AP1314)</f>
        <v>-1.2380000000000013</v>
      </c>
      <c r="AR1314" s="1502">
        <f>AP1306-AR1306</f>
        <v>-0.9269999999999996</v>
      </c>
      <c r="AS1314" s="1502">
        <f t="shared" si="2430"/>
        <v>0.30900000000000016</v>
      </c>
      <c r="AT1314" s="1502">
        <f t="shared" si="2430"/>
        <v>0.30900000000000016</v>
      </c>
      <c r="AU1314" s="1502">
        <f t="shared" si="2430"/>
        <v>-0.9269999999999996</v>
      </c>
      <c r="AV1314" s="849">
        <f>SUM(AR1314:AU1314)</f>
        <v>-1.2359999999999989</v>
      </c>
      <c r="AW1314" s="1502">
        <f>AU1306-AW1306</f>
        <v>-0.3100000000000005</v>
      </c>
      <c r="AX1314" s="1502">
        <f t="shared" si="2431"/>
        <v>-0.30900000000000016</v>
      </c>
      <c r="AY1314" s="1502">
        <f t="shared" si="2431"/>
        <v>-0.30899999999999928</v>
      </c>
      <c r="AZ1314" s="1502">
        <f>AY1306-AZ1306</f>
        <v>-0.3100000000000005</v>
      </c>
      <c r="BA1314" s="849">
        <f>SUM(AW1314:AZ1314)</f>
        <v>-1.2380000000000004</v>
      </c>
      <c r="BB1314" s="1502">
        <f>AZ1306-BB1306</f>
        <v>-0.30900000000000016</v>
      </c>
      <c r="BC1314" s="1502"/>
      <c r="BD1314" s="1502"/>
      <c r="BE1314" s="1504"/>
      <c r="BF1314" s="849">
        <f>$AQ$1306/7</f>
        <v>-1.2222857142857142</v>
      </c>
      <c r="BG1314" s="846"/>
      <c r="BH1314" s="847"/>
      <c r="BI1314" s="847"/>
      <c r="BJ1314" s="848"/>
      <c r="BK1314" s="849">
        <f>$AQ$1306/7</f>
        <v>-1.2222857142857142</v>
      </c>
      <c r="BL1314" s="847"/>
      <c r="BM1314" s="847"/>
      <c r="BN1314" s="847"/>
      <c r="BO1314" s="848"/>
      <c r="BP1314" s="849">
        <f>$AQ$1306/7</f>
        <v>-1.2222857142857142</v>
      </c>
      <c r="BQ1314" s="847"/>
      <c r="BR1314" s="847"/>
      <c r="BS1314" s="847"/>
      <c r="BT1314" s="848"/>
      <c r="BU1314" s="3427"/>
      <c r="BV1314" s="847"/>
      <c r="BW1314" s="847"/>
      <c r="BX1314" s="847"/>
      <c r="BY1314" s="848"/>
      <c r="BZ1314" s="1508"/>
      <c r="CA1314" s="1508"/>
      <c r="CB1314" s="1508"/>
      <c r="CC1314" s="1508"/>
      <c r="CD1314" s="1508"/>
      <c r="CE1314" s="1508"/>
      <c r="CF1314" s="1508"/>
      <c r="CG1314" s="1508"/>
      <c r="CH1314" s="956"/>
      <c r="CI1314" s="956"/>
      <c r="CJ1314" s="956"/>
      <c r="CK1314" s="956"/>
      <c r="CL1314" s="956"/>
      <c r="CM1314" s="956"/>
      <c r="CN1314" s="956"/>
      <c r="CO1314" s="956"/>
      <c r="CP1314" s="1944" t="str">
        <f t="shared" si="2408"/>
        <v>BYD 9.125% Senior notes due 2018</v>
      </c>
      <c r="CQ1314" s="1502"/>
      <c r="CR1314" s="1502"/>
      <c r="CS1314" s="1502"/>
      <c r="CT1314" s="1502"/>
      <c r="CU1314" s="1502"/>
      <c r="CV1314" s="1502"/>
      <c r="CW1314" s="1502"/>
      <c r="CX1314" s="1502">
        <f t="shared" si="2425"/>
        <v>-1.2380000000000013</v>
      </c>
      <c r="CY1314" s="1502">
        <f t="shared" si="2426"/>
        <v>-1.2359999999999989</v>
      </c>
      <c r="CZ1314" s="1502">
        <f t="shared" si="2427"/>
        <v>-1.2380000000000004</v>
      </c>
      <c r="DA1314" s="1502">
        <f t="shared" si="2428"/>
        <v>-1.2222857142857142</v>
      </c>
      <c r="DB1314" s="1502">
        <f t="shared" si="2424"/>
        <v>-1.2222857142857142</v>
      </c>
      <c r="DC1314" s="1502">
        <f t="shared" si="2410"/>
        <v>-1.2222857142857142</v>
      </c>
      <c r="DD1314" s="1502">
        <f t="shared" si="2411"/>
        <v>0</v>
      </c>
      <c r="DE1314" s="1502">
        <f t="shared" si="2412"/>
        <v>0</v>
      </c>
      <c r="DF1314" s="1502">
        <f t="shared" si="2413"/>
        <v>0</v>
      </c>
      <c r="DG1314" s="1947">
        <f t="shared" si="2414"/>
        <v>0</v>
      </c>
      <c r="DH1314" s="954"/>
      <c r="DI1314" s="954"/>
      <c r="DJ1314" s="954"/>
      <c r="DK1314" s="954"/>
      <c r="DL1314" s="954"/>
      <c r="DM1314" s="954"/>
      <c r="DN1314" s="265"/>
      <c r="DO1314" s="266"/>
      <c r="DY1314" s="847"/>
      <c r="DZ1314" s="847"/>
    </row>
    <row r="1315" spans="1:130" ht="4.5" hidden="1" customHeight="1" outlineLevel="1">
      <c r="A1315" s="962"/>
      <c r="B1315" s="293"/>
      <c r="C1315" s="293"/>
      <c r="D1315" s="294" t="s">
        <v>343</v>
      </c>
      <c r="E1315" s="295" t="s">
        <v>343</v>
      </c>
      <c r="F1315" s="295" t="s">
        <v>343</v>
      </c>
      <c r="G1315" s="295" t="s">
        <v>343</v>
      </c>
      <c r="H1315" s="296" t="s">
        <v>343</v>
      </c>
      <c r="I1315" s="295" t="s">
        <v>343</v>
      </c>
      <c r="J1315" s="295" t="s">
        <v>343</v>
      </c>
      <c r="K1315" s="295" t="s">
        <v>343</v>
      </c>
      <c r="L1315" s="295" t="s">
        <v>343</v>
      </c>
      <c r="M1315" s="296" t="s">
        <v>343</v>
      </c>
      <c r="N1315" s="295" t="s">
        <v>343</v>
      </c>
      <c r="O1315" s="295" t="s">
        <v>343</v>
      </c>
      <c r="P1315" s="295" t="s">
        <v>343</v>
      </c>
      <c r="Q1315" s="295" t="s">
        <v>343</v>
      </c>
      <c r="R1315" s="296" t="s">
        <v>343</v>
      </c>
      <c r="S1315" s="295" t="s">
        <v>343</v>
      </c>
      <c r="T1315" s="295" t="s">
        <v>343</v>
      </c>
      <c r="U1315" s="295" t="s">
        <v>343</v>
      </c>
      <c r="V1315" s="295" t="s">
        <v>343</v>
      </c>
      <c r="W1315" s="296" t="s">
        <v>343</v>
      </c>
      <c r="X1315" s="295" t="s">
        <v>343</v>
      </c>
      <c r="Y1315" s="295" t="s">
        <v>343</v>
      </c>
      <c r="Z1315" s="295" t="s">
        <v>343</v>
      </c>
      <c r="AA1315" s="295" t="s">
        <v>343</v>
      </c>
      <c r="AB1315" s="296" t="s">
        <v>343</v>
      </c>
      <c r="AC1315" s="295" t="s">
        <v>343</v>
      </c>
      <c r="AD1315" s="295" t="s">
        <v>343</v>
      </c>
      <c r="AE1315" s="295" t="s">
        <v>343</v>
      </c>
      <c r="AF1315" s="295" t="s">
        <v>343</v>
      </c>
      <c r="AG1315" s="296" t="s">
        <v>343</v>
      </c>
      <c r="AH1315" s="295" t="s">
        <v>343</v>
      </c>
      <c r="AI1315" s="295" t="s">
        <v>343</v>
      </c>
      <c r="AJ1315" s="295" t="s">
        <v>343</v>
      </c>
      <c r="AK1315" s="295" t="s">
        <v>343</v>
      </c>
      <c r="AL1315" s="296" t="s">
        <v>343</v>
      </c>
      <c r="AM1315" s="295" t="s">
        <v>343</v>
      </c>
      <c r="AN1315" s="295" t="s">
        <v>343</v>
      </c>
      <c r="AO1315" s="295" t="s">
        <v>343</v>
      </c>
      <c r="AP1315" s="295" t="s">
        <v>343</v>
      </c>
      <c r="AQ1315" s="296" t="s">
        <v>343</v>
      </c>
      <c r="AR1315" s="295" t="s">
        <v>343</v>
      </c>
      <c r="AS1315" s="295" t="s">
        <v>343</v>
      </c>
      <c r="AT1315" s="295" t="s">
        <v>343</v>
      </c>
      <c r="AU1315" s="295" t="s">
        <v>343</v>
      </c>
      <c r="AV1315" s="296" t="s">
        <v>343</v>
      </c>
      <c r="AW1315" s="295" t="s">
        <v>343</v>
      </c>
      <c r="AX1315" s="295" t="s">
        <v>343</v>
      </c>
      <c r="AY1315" s="295" t="s">
        <v>343</v>
      </c>
      <c r="AZ1315" s="295" t="s">
        <v>343</v>
      </c>
      <c r="BA1315" s="296" t="s">
        <v>343</v>
      </c>
      <c r="BB1315" s="295" t="s">
        <v>343</v>
      </c>
      <c r="BC1315" s="295" t="s">
        <v>343</v>
      </c>
      <c r="BD1315" s="295" t="s">
        <v>343</v>
      </c>
      <c r="BE1315" s="295" t="s">
        <v>343</v>
      </c>
      <c r="BF1315" s="296" t="s">
        <v>343</v>
      </c>
      <c r="BG1315" s="294"/>
      <c r="BH1315" s="295"/>
      <c r="BI1315" s="295"/>
      <c r="BJ1315" s="297"/>
      <c r="BK1315" s="296" t="s">
        <v>343</v>
      </c>
      <c r="BL1315" s="295"/>
      <c r="BM1315" s="295"/>
      <c r="BN1315" s="295"/>
      <c r="BO1315" s="297"/>
      <c r="BP1315" s="296" t="s">
        <v>343</v>
      </c>
      <c r="BQ1315" s="295"/>
      <c r="BR1315" s="295"/>
      <c r="BS1315" s="295"/>
      <c r="BT1315" s="297"/>
      <c r="BU1315" s="3314"/>
      <c r="BV1315" s="295"/>
      <c r="BW1315" s="295"/>
      <c r="BX1315" s="295"/>
      <c r="BY1315" s="297"/>
      <c r="BZ1315" s="297" t="s">
        <v>343</v>
      </c>
      <c r="CA1315" s="297" t="s">
        <v>343</v>
      </c>
      <c r="CB1315" s="297" t="s">
        <v>343</v>
      </c>
      <c r="CC1315" s="297" t="s">
        <v>343</v>
      </c>
      <c r="CD1315" s="297" t="s">
        <v>343</v>
      </c>
      <c r="CE1315" s="297" t="s">
        <v>343</v>
      </c>
      <c r="CF1315" s="297" t="s">
        <v>343</v>
      </c>
      <c r="CG1315" s="297" t="s">
        <v>343</v>
      </c>
      <c r="CH1315" s="295"/>
      <c r="CI1315" s="295"/>
      <c r="CJ1315" s="295"/>
      <c r="CK1315" s="295"/>
      <c r="CL1315" s="295"/>
      <c r="CM1315" s="295"/>
      <c r="CN1315" s="295"/>
      <c r="CO1315" s="295"/>
      <c r="CP1315" s="1784"/>
      <c r="CQ1315" s="295"/>
      <c r="CR1315" s="295"/>
      <c r="CS1315" s="295"/>
      <c r="CT1315" s="295"/>
      <c r="CU1315" s="295"/>
      <c r="CV1315" s="295"/>
      <c r="CW1315" s="295"/>
      <c r="CX1315" s="295" t="str">
        <f t="shared" si="2425"/>
        <v xml:space="preserve">                </v>
      </c>
      <c r="CY1315" s="295" t="str">
        <f t="shared" si="2426"/>
        <v xml:space="preserve">                </v>
      </c>
      <c r="CZ1315" s="295" t="str">
        <f t="shared" si="2427"/>
        <v xml:space="preserve">                </v>
      </c>
      <c r="DA1315" s="295" t="str">
        <f t="shared" si="2428"/>
        <v xml:space="preserve">                </v>
      </c>
      <c r="DB1315" s="295" t="str">
        <f t="shared" si="2424"/>
        <v xml:space="preserve">                </v>
      </c>
      <c r="DC1315" s="295" t="str">
        <f t="shared" si="2410"/>
        <v xml:space="preserve">                </v>
      </c>
      <c r="DD1315" s="295">
        <f t="shared" si="2411"/>
        <v>0</v>
      </c>
      <c r="DE1315" s="295" t="str">
        <f t="shared" si="2412"/>
        <v xml:space="preserve">                </v>
      </c>
      <c r="DF1315" s="295" t="str">
        <f t="shared" si="2413"/>
        <v xml:space="preserve">                </v>
      </c>
      <c r="DG1315" s="297" t="str">
        <f t="shared" si="2414"/>
        <v xml:space="preserve">                </v>
      </c>
      <c r="DH1315" s="298"/>
      <c r="DI1315" s="299"/>
      <c r="DJ1315" s="299"/>
      <c r="DK1315" s="299"/>
      <c r="DL1315" s="299"/>
      <c r="DM1315" s="299"/>
      <c r="DN1315" s="299"/>
      <c r="DO1315" s="300"/>
      <c r="DY1315" s="295"/>
      <c r="DZ1315" s="295"/>
    </row>
    <row r="1316" spans="1:130" ht="12" hidden="1" customHeight="1" outlineLevel="1">
      <c r="A1316" s="1512" t="s">
        <v>310</v>
      </c>
      <c r="B1316" s="1495"/>
      <c r="C1316" s="1495"/>
      <c r="D1316" s="1499"/>
      <c r="E1316" s="1500"/>
      <c r="F1316" s="1500"/>
      <c r="G1316" s="1500"/>
      <c r="H1316" s="1501"/>
      <c r="I1316" s="1500"/>
      <c r="J1316" s="1500"/>
      <c r="K1316" s="1500"/>
      <c r="L1316" s="1500"/>
      <c r="M1316" s="1501"/>
      <c r="N1316" s="1500"/>
      <c r="O1316" s="1500"/>
      <c r="P1316" s="1500"/>
      <c r="Q1316" s="1500"/>
      <c r="R1316" s="1501"/>
      <c r="S1316" s="1500"/>
      <c r="T1316" s="1500"/>
      <c r="U1316" s="1500"/>
      <c r="V1316" s="1500"/>
      <c r="W1316" s="1501"/>
      <c r="X1316" s="1500"/>
      <c r="Y1316" s="1500"/>
      <c r="Z1316" s="1500"/>
      <c r="AA1316" s="1500"/>
      <c r="AB1316" s="1501"/>
      <c r="AC1316" s="1500"/>
      <c r="AD1316" s="1500"/>
      <c r="AE1316" s="1500"/>
      <c r="AF1316" s="1500"/>
      <c r="AG1316" s="1501"/>
      <c r="AH1316" s="1500"/>
      <c r="AI1316" s="1500"/>
      <c r="AJ1316" s="1500"/>
      <c r="AK1316" s="1500">
        <f>SUM(AK1312:AK1314)</f>
        <v>-0.8100000000000005</v>
      </c>
      <c r="AL1316" s="1501"/>
      <c r="AM1316" s="1500">
        <f t="shared" ref="AM1316:AV1316" si="2432">SUM(AM1312:AM1314)</f>
        <v>-1.0949999999999989</v>
      </c>
      <c r="AN1316" s="1500">
        <f t="shared" si="2432"/>
        <v>-1.1500000000000004</v>
      </c>
      <c r="AO1316" s="1500">
        <f t="shared" si="2432"/>
        <v>-1.4390000000000001</v>
      </c>
      <c r="AP1316" s="1500">
        <f t="shared" si="2432"/>
        <v>-1.1920000000000019</v>
      </c>
      <c r="AQ1316" s="1501">
        <f t="shared" si="2432"/>
        <v>-4.8760000000000012</v>
      </c>
      <c r="AR1316" s="1500">
        <f t="shared" si="2432"/>
        <v>-3.673</v>
      </c>
      <c r="AS1316" s="1500">
        <f t="shared" si="2432"/>
        <v>1.2430000000000012</v>
      </c>
      <c r="AT1316" s="1500">
        <f t="shared" si="2432"/>
        <v>1.2320000000000002</v>
      </c>
      <c r="AU1316" s="1500">
        <f t="shared" si="2432"/>
        <v>-3.7539999999999996</v>
      </c>
      <c r="AV1316" s="1501">
        <f t="shared" si="2432"/>
        <v>-4.9519999999999982</v>
      </c>
      <c r="AW1316" s="1500">
        <f t="shared" ref="AW1316:BB1316" si="2433">SUM(AW1312:AW1314)</f>
        <v>-1.293000000000001</v>
      </c>
      <c r="AX1316" s="1500">
        <f t="shared" si="2433"/>
        <v>-1.3289999999999988</v>
      </c>
      <c r="AY1316" s="1500">
        <f t="shared" si="2433"/>
        <v>-1.9630000000000001</v>
      </c>
      <c r="AZ1316" s="1500">
        <f t="shared" si="2433"/>
        <v>-6.4550000000000018</v>
      </c>
      <c r="BA1316" s="1501">
        <f t="shared" si="2433"/>
        <v>-11.040000000000003</v>
      </c>
      <c r="BB1316" s="1500">
        <f t="shared" si="2433"/>
        <v>-0.66899999999999959</v>
      </c>
      <c r="BC1316" s="1500"/>
      <c r="BD1316" s="1500"/>
      <c r="BE1316" s="1500"/>
      <c r="BF1316" s="1501">
        <f>SUM(BF1312:BF1314)</f>
        <v>-5.5230357142857143</v>
      </c>
      <c r="BG1316" s="1499"/>
      <c r="BH1316" s="1500"/>
      <c r="BI1316" s="1500"/>
      <c r="BJ1316" s="1946"/>
      <c r="BK1316" s="1501">
        <f>SUM(BK1312:BK1314)</f>
        <v>-5.5230357142857143</v>
      </c>
      <c r="BL1316" s="1500"/>
      <c r="BM1316" s="1500"/>
      <c r="BN1316" s="1500"/>
      <c r="BO1316" s="1946"/>
      <c r="BP1316" s="1501">
        <f>SUM(BP1312:BP1314)</f>
        <v>-5.5230357142857143</v>
      </c>
      <c r="BQ1316" s="1500"/>
      <c r="BR1316" s="1500"/>
      <c r="BS1316" s="1500"/>
      <c r="BT1316" s="1946"/>
      <c r="BU1316" s="3465"/>
      <c r="BV1316" s="1500"/>
      <c r="BW1316" s="1500"/>
      <c r="BX1316" s="1500"/>
      <c r="BY1316" s="1946"/>
      <c r="BZ1316" s="1501"/>
      <c r="CA1316" s="1501"/>
      <c r="CB1316" s="1501"/>
      <c r="CC1316" s="1501"/>
      <c r="CD1316" s="1501"/>
      <c r="CE1316" s="1501"/>
      <c r="CF1316" s="1501"/>
      <c r="CG1316" s="1501"/>
      <c r="CH1316" s="956"/>
      <c r="CI1316" s="956"/>
      <c r="CJ1316" s="956"/>
      <c r="CK1316" s="956"/>
      <c r="CL1316" s="956"/>
      <c r="CM1316" s="956"/>
      <c r="CN1316" s="956"/>
      <c r="CO1316" s="956"/>
      <c r="CP1316" s="1945" t="str">
        <f t="shared" si="2408"/>
        <v>Total</v>
      </c>
      <c r="CQ1316" s="1500"/>
      <c r="CR1316" s="1500"/>
      <c r="CS1316" s="1500"/>
      <c r="CT1316" s="1500"/>
      <c r="CU1316" s="1500"/>
      <c r="CV1316" s="1500"/>
      <c r="CW1316" s="1500"/>
      <c r="CX1316" s="1500">
        <f t="shared" si="2425"/>
        <v>-4.8760000000000012</v>
      </c>
      <c r="CY1316" s="1500">
        <f t="shared" si="2426"/>
        <v>-4.9519999999999982</v>
      </c>
      <c r="CZ1316" s="1500">
        <f t="shared" si="2427"/>
        <v>-11.040000000000003</v>
      </c>
      <c r="DA1316" s="1500">
        <f t="shared" si="2428"/>
        <v>-5.5230357142857143</v>
      </c>
      <c r="DB1316" s="1500">
        <f t="shared" si="2424"/>
        <v>-5.5230357142857143</v>
      </c>
      <c r="DC1316" s="1500">
        <f t="shared" si="2410"/>
        <v>-5.5230357142857143</v>
      </c>
      <c r="DD1316" s="1500">
        <f t="shared" si="2411"/>
        <v>0</v>
      </c>
      <c r="DE1316" s="1500">
        <f t="shared" si="2412"/>
        <v>0</v>
      </c>
      <c r="DF1316" s="1500">
        <f t="shared" si="2413"/>
        <v>0</v>
      </c>
      <c r="DG1316" s="1946">
        <f t="shared" si="2414"/>
        <v>0</v>
      </c>
      <c r="DH1316" s="954"/>
      <c r="DI1316" s="954"/>
      <c r="DJ1316" s="954"/>
      <c r="DK1316" s="954"/>
      <c r="DL1316" s="954"/>
      <c r="DM1316" s="954"/>
      <c r="DN1316" s="265"/>
      <c r="DO1316" s="266"/>
      <c r="DY1316" s="1500"/>
      <c r="DZ1316" s="1500"/>
    </row>
    <row r="1317" spans="1:130" ht="12" hidden="1" customHeight="1" outlineLevel="1">
      <c r="A1317" s="1513" t="s">
        <v>865</v>
      </c>
      <c r="B1317" s="844"/>
      <c r="C1317" s="844"/>
      <c r="D1317" s="846"/>
      <c r="E1317" s="847"/>
      <c r="F1317" s="847"/>
      <c r="G1317" s="847"/>
      <c r="H1317" s="849"/>
      <c r="I1317" s="847"/>
      <c r="J1317" s="847"/>
      <c r="K1317" s="847"/>
      <c r="L1317" s="847"/>
      <c r="M1317" s="849"/>
      <c r="N1317" s="847"/>
      <c r="O1317" s="847"/>
      <c r="P1317" s="847"/>
      <c r="Q1317" s="847"/>
      <c r="R1317" s="849"/>
      <c r="S1317" s="847"/>
      <c r="T1317" s="847"/>
      <c r="U1317" s="847"/>
      <c r="V1317" s="847"/>
      <c r="W1317" s="849"/>
      <c r="X1317" s="847"/>
      <c r="Y1317" s="847"/>
      <c r="Z1317" s="847"/>
      <c r="AA1317" s="847"/>
      <c r="AB1317" s="849"/>
      <c r="AC1317" s="847"/>
      <c r="AD1317" s="847"/>
      <c r="AE1317" s="847"/>
      <c r="AF1317" s="847"/>
      <c r="AG1317" s="849"/>
      <c r="AH1317" s="847"/>
      <c r="AI1317" s="847"/>
      <c r="AJ1317" s="847"/>
      <c r="AK1317" s="847">
        <f>AK1024</f>
        <v>1.4259999999999999</v>
      </c>
      <c r="AL1317" s="849"/>
      <c r="AM1317" s="847">
        <f>AM1024</f>
        <v>2.0310000000000001</v>
      </c>
      <c r="AN1317" s="847">
        <f>AN1024</f>
        <v>3.8989999999999996</v>
      </c>
      <c r="AO1317" s="847">
        <f>AO1024</f>
        <v>3.2500000000000004</v>
      </c>
      <c r="AP1317" s="847">
        <f>AP1024</f>
        <v>2.6730000000000005</v>
      </c>
      <c r="AQ1317" s="849"/>
      <c r="AR1317" s="847">
        <f>AR1024</f>
        <v>4.0389999999999997</v>
      </c>
      <c r="AS1317" s="847">
        <f>AS1024</f>
        <v>4.0280000000000005</v>
      </c>
      <c r="AT1317" s="847">
        <f>AT1024</f>
        <v>5.7949999999999999</v>
      </c>
      <c r="AU1317" s="847">
        <f>AU1024</f>
        <v>7.7539999999999978</v>
      </c>
      <c r="AV1317" s="849"/>
      <c r="AW1317" s="847">
        <f>AW1024</f>
        <v>8.5139999999999993</v>
      </c>
      <c r="AX1317" s="847">
        <f>AX1024</f>
        <v>12.067000000000004</v>
      </c>
      <c r="AY1317" s="847">
        <f>AY1024</f>
        <v>10.006999999999998</v>
      </c>
      <c r="AZ1317" s="847">
        <f>AZ1024</f>
        <v>-9.2070000000000007</v>
      </c>
      <c r="BA1317" s="849"/>
      <c r="BB1317" s="847">
        <f>BB1024</f>
        <v>4.8289999999999997</v>
      </c>
      <c r="BC1317" s="847"/>
      <c r="BD1317" s="847"/>
      <c r="BE1317" s="847"/>
      <c r="BF1317" s="849"/>
      <c r="BG1317" s="846"/>
      <c r="BH1317" s="847"/>
      <c r="BI1317" s="847"/>
      <c r="BJ1317" s="848"/>
      <c r="BK1317" s="849"/>
      <c r="BL1317" s="847"/>
      <c r="BM1317" s="847"/>
      <c r="BN1317" s="847"/>
      <c r="BO1317" s="848"/>
      <c r="BP1317" s="849"/>
      <c r="BQ1317" s="847"/>
      <c r="BR1317" s="847"/>
      <c r="BS1317" s="847"/>
      <c r="BT1317" s="848"/>
      <c r="BU1317" s="3427"/>
      <c r="BV1317" s="847"/>
      <c r="BW1317" s="847"/>
      <c r="BX1317" s="847"/>
      <c r="BY1317" s="848"/>
      <c r="BZ1317" s="849"/>
      <c r="CA1317" s="849"/>
      <c r="CB1317" s="849"/>
      <c r="CC1317" s="849"/>
      <c r="CD1317" s="849"/>
      <c r="CE1317" s="849"/>
      <c r="CF1317" s="849"/>
      <c r="CG1317" s="849"/>
      <c r="CH1317" s="956"/>
      <c r="CI1317" s="956"/>
      <c r="CJ1317" s="956"/>
      <c r="CK1317" s="956"/>
      <c r="CL1317" s="956"/>
      <c r="CM1317" s="956"/>
      <c r="CN1317" s="956"/>
      <c r="CO1317" s="956"/>
      <c r="CP1317" s="996" t="str">
        <f t="shared" si="2408"/>
        <v>Deferred Financing Costs</v>
      </c>
      <c r="CQ1317" s="847"/>
      <c r="CR1317" s="847"/>
      <c r="CS1317" s="847"/>
      <c r="CT1317" s="847"/>
      <c r="CU1317" s="847"/>
      <c r="CV1317" s="847"/>
      <c r="CW1317" s="847"/>
      <c r="CX1317" s="847"/>
      <c r="CY1317" s="847"/>
      <c r="CZ1317" s="847"/>
      <c r="DA1317" s="847"/>
      <c r="DB1317" s="847"/>
      <c r="DC1317" s="847"/>
      <c r="DD1317" s="847"/>
      <c r="DE1317" s="847"/>
      <c r="DF1317" s="847"/>
      <c r="DG1317" s="848"/>
      <c r="DH1317" s="954"/>
      <c r="DI1317" s="954"/>
      <c r="DJ1317" s="954"/>
      <c r="DK1317" s="954"/>
      <c r="DL1317" s="954"/>
      <c r="DM1317" s="954"/>
      <c r="DN1317" s="265"/>
      <c r="DO1317" s="266"/>
      <c r="DY1317" s="847"/>
      <c r="DZ1317" s="847"/>
    </row>
    <row r="1318" spans="1:130" ht="12" hidden="1" customHeight="1" outlineLevel="1">
      <c r="A1318" s="844" t="s">
        <v>1549</v>
      </c>
      <c r="B1318" s="844"/>
      <c r="C1318" s="844"/>
      <c r="D1318" s="846"/>
      <c r="E1318" s="847"/>
      <c r="F1318" s="847"/>
      <c r="G1318" s="847"/>
      <c r="H1318" s="849"/>
      <c r="I1318" s="847"/>
      <c r="J1318" s="847"/>
      <c r="K1318" s="847"/>
      <c r="L1318" s="847"/>
      <c r="M1318" s="849"/>
      <c r="N1318" s="847"/>
      <c r="O1318" s="847"/>
      <c r="P1318" s="847"/>
      <c r="Q1318" s="847"/>
      <c r="R1318" s="849"/>
      <c r="S1318" s="847"/>
      <c r="T1318" s="847"/>
      <c r="U1318" s="847"/>
      <c r="V1318" s="847"/>
      <c r="W1318" s="849"/>
      <c r="X1318" s="847"/>
      <c r="Y1318" s="847"/>
      <c r="Z1318" s="847"/>
      <c r="AA1318" s="847"/>
      <c r="AB1318" s="849"/>
      <c r="AC1318" s="847"/>
      <c r="AD1318" s="847"/>
      <c r="AE1318" s="847"/>
      <c r="AF1318" s="847"/>
      <c r="AG1318" s="849"/>
      <c r="AH1318" s="847"/>
      <c r="AI1318" s="847"/>
      <c r="AJ1318" s="847"/>
      <c r="AK1318" s="847"/>
      <c r="AL1318" s="849"/>
      <c r="AM1318" s="847"/>
      <c r="AN1318" s="847"/>
      <c r="AO1318" s="847"/>
      <c r="AP1318" s="847"/>
      <c r="AQ1318" s="849"/>
      <c r="AR1318" s="847"/>
      <c r="AS1318" s="847"/>
      <c r="AT1318" s="847"/>
      <c r="AU1318" s="847"/>
      <c r="AV1318" s="849"/>
      <c r="AW1318" s="847"/>
      <c r="AX1318" s="847"/>
      <c r="AY1318" s="847"/>
      <c r="AZ1318" s="847"/>
      <c r="BA1318" s="849"/>
      <c r="BB1318" s="847"/>
      <c r="BC1318" s="847"/>
      <c r="BD1318" s="847"/>
      <c r="BE1318" s="847"/>
      <c r="BF1318" s="849"/>
      <c r="BG1318" s="846"/>
      <c r="BH1318" s="847"/>
      <c r="BI1318" s="847"/>
      <c r="BJ1318" s="848"/>
      <c r="BK1318" s="849"/>
      <c r="BL1318" s="847"/>
      <c r="BM1318" s="847"/>
      <c r="BN1318" s="847"/>
      <c r="BO1318" s="848"/>
      <c r="BP1318" s="849"/>
      <c r="BQ1318" s="847"/>
      <c r="BR1318" s="847"/>
      <c r="BS1318" s="847"/>
      <c r="BT1318" s="848"/>
      <c r="BU1318" s="3427"/>
      <c r="BV1318" s="847"/>
      <c r="BW1318" s="847"/>
      <c r="BX1318" s="847"/>
      <c r="BY1318" s="848"/>
      <c r="BZ1318" s="849"/>
      <c r="CA1318" s="849"/>
      <c r="CB1318" s="849"/>
      <c r="CC1318" s="849"/>
      <c r="CD1318" s="849"/>
      <c r="CE1318" s="849"/>
      <c r="CF1318" s="849"/>
      <c r="CG1318" s="849"/>
      <c r="CH1318" s="956"/>
      <c r="CI1318" s="956"/>
      <c r="CJ1318" s="956"/>
      <c r="CK1318" s="956"/>
      <c r="CL1318" s="956"/>
      <c r="CM1318" s="956"/>
      <c r="CN1318" s="956"/>
      <c r="CO1318" s="956"/>
      <c r="CP1318" s="996" t="str">
        <f t="shared" si="2408"/>
        <v>Credit Facility - 20.6mm</v>
      </c>
      <c r="CQ1318" s="847"/>
      <c r="CR1318" s="847"/>
      <c r="CS1318" s="847"/>
      <c r="CT1318" s="847"/>
      <c r="CU1318" s="847"/>
      <c r="CV1318" s="847"/>
      <c r="CW1318" s="847"/>
      <c r="CX1318" s="847"/>
      <c r="CY1318" s="847"/>
      <c r="CZ1318" s="847"/>
      <c r="DA1318" s="847"/>
      <c r="DB1318" s="847"/>
      <c r="DC1318" s="847"/>
      <c r="DD1318" s="847"/>
      <c r="DE1318" s="847"/>
      <c r="DF1318" s="847"/>
      <c r="DG1318" s="848"/>
      <c r="DH1318" s="954"/>
      <c r="DI1318" s="954"/>
      <c r="DJ1318" s="954"/>
      <c r="DK1318" s="954"/>
      <c r="DL1318" s="954"/>
      <c r="DM1318" s="954"/>
      <c r="DN1318" s="265"/>
      <c r="DO1318" s="266"/>
      <c r="DY1318" s="847"/>
      <c r="DZ1318" s="847"/>
    </row>
    <row r="1319" spans="1:130" ht="12" customHeight="1" collapsed="1">
      <c r="A1319" s="504"/>
      <c r="B1319" s="952"/>
      <c r="C1319" s="952"/>
      <c r="D1319" s="953"/>
      <c r="E1319" s="954"/>
      <c r="F1319" s="954"/>
      <c r="G1319" s="954"/>
      <c r="H1319" s="955"/>
      <c r="I1319" s="954"/>
      <c r="J1319" s="954"/>
      <c r="K1319" s="954"/>
      <c r="L1319" s="954"/>
      <c r="M1319" s="955"/>
      <c r="N1319" s="954"/>
      <c r="O1319" s="954"/>
      <c r="P1319" s="954"/>
      <c r="Q1319" s="954"/>
      <c r="R1319" s="955"/>
      <c r="S1319" s="954"/>
      <c r="T1319" s="954"/>
      <c r="U1319" s="954"/>
      <c r="V1319" s="954"/>
      <c r="W1319" s="955"/>
      <c r="X1319" s="954"/>
      <c r="Y1319" s="954"/>
      <c r="Z1319" s="954"/>
      <c r="AA1319" s="954"/>
      <c r="AB1319" s="955"/>
      <c r="AC1319" s="954"/>
      <c r="AD1319" s="954"/>
      <c r="AE1319" s="954"/>
      <c r="AF1319" s="954"/>
      <c r="AG1319" s="955"/>
      <c r="AH1319" s="954"/>
      <c r="AI1319" s="954"/>
      <c r="AJ1319" s="954"/>
      <c r="AK1319" s="954"/>
      <c r="AL1319" s="955"/>
      <c r="AM1319" s="954"/>
      <c r="AN1319" s="954"/>
      <c r="AO1319" s="954"/>
      <c r="AP1319" s="954"/>
      <c r="AQ1319" s="955"/>
      <c r="AR1319" s="954"/>
      <c r="AS1319" s="954"/>
      <c r="AT1319" s="954"/>
      <c r="AU1319" s="954"/>
      <c r="AV1319" s="955"/>
      <c r="AW1319" s="954"/>
      <c r="AX1319" s="954"/>
      <c r="AY1319" s="954"/>
      <c r="AZ1319" s="954"/>
      <c r="BA1319" s="955"/>
      <c r="BB1319" s="954"/>
      <c r="BC1319" s="954"/>
      <c r="BD1319" s="954"/>
      <c r="BE1319" s="954"/>
      <c r="BF1319" s="955"/>
      <c r="BG1319" s="953"/>
      <c r="BH1319" s="954"/>
      <c r="BI1319" s="954"/>
      <c r="BJ1319" s="1020"/>
      <c r="BK1319" s="955"/>
      <c r="BL1319" s="954"/>
      <c r="BM1319" s="954"/>
      <c r="BN1319" s="954"/>
      <c r="BO1319" s="1020"/>
      <c r="BP1319" s="955"/>
      <c r="BQ1319" s="954"/>
      <c r="BR1319" s="954"/>
      <c r="BS1319" s="954"/>
      <c r="BT1319" s="1020"/>
      <c r="BU1319" s="3461"/>
      <c r="BV1319" s="954"/>
      <c r="BW1319" s="954"/>
      <c r="BX1319" s="954"/>
      <c r="BY1319" s="1020"/>
      <c r="BZ1319" s="955"/>
      <c r="CA1319" s="955"/>
      <c r="CB1319" s="955"/>
      <c r="CC1319" s="955"/>
      <c r="CD1319" s="955"/>
      <c r="CE1319" s="955"/>
      <c r="CF1319" s="955"/>
      <c r="CG1319" s="955"/>
      <c r="CH1319" s="956"/>
      <c r="CI1319" s="956"/>
      <c r="CJ1319" s="956"/>
      <c r="CK1319" s="956"/>
      <c r="CL1319" s="956"/>
      <c r="CM1319" s="956"/>
      <c r="CN1319" s="956"/>
      <c r="CO1319" s="956"/>
      <c r="CP1319" s="1545"/>
      <c r="CQ1319" s="954"/>
      <c r="CR1319" s="954"/>
      <c r="CS1319" s="954"/>
      <c r="CT1319" s="954"/>
      <c r="CU1319" s="954"/>
      <c r="CV1319" s="954"/>
      <c r="CW1319" s="954"/>
      <c r="CX1319" s="954"/>
      <c r="CY1319" s="954"/>
      <c r="CZ1319" s="954"/>
      <c r="DA1319" s="954"/>
      <c r="DB1319" s="954"/>
      <c r="DC1319" s="954"/>
      <c r="DD1319" s="954"/>
      <c r="DE1319" s="954"/>
      <c r="DF1319" s="954"/>
      <c r="DG1319" s="1020"/>
      <c r="DH1319" s="954"/>
      <c r="DI1319" s="954"/>
      <c r="DJ1319" s="954"/>
      <c r="DK1319" s="954"/>
      <c r="DL1319" s="954"/>
      <c r="DM1319" s="954"/>
      <c r="DN1319" s="265"/>
      <c r="DO1319" s="266"/>
      <c r="DY1319" s="954"/>
      <c r="DZ1319" s="954"/>
    </row>
    <row r="1320" spans="1:130" ht="12" customHeight="1">
      <c r="A1320" s="504"/>
      <c r="B1320" s="952"/>
      <c r="C1320" s="952"/>
      <c r="D1320" s="953"/>
      <c r="E1320" s="954"/>
      <c r="F1320" s="954"/>
      <c r="G1320" s="954"/>
      <c r="H1320" s="955"/>
      <c r="I1320" s="954"/>
      <c r="J1320" s="954"/>
      <c r="K1320" s="954"/>
      <c r="L1320" s="954"/>
      <c r="M1320" s="955"/>
      <c r="N1320" s="954"/>
      <c r="O1320" s="954"/>
      <c r="P1320" s="954"/>
      <c r="Q1320" s="954"/>
      <c r="R1320" s="955"/>
      <c r="S1320" s="954"/>
      <c r="T1320" s="954"/>
      <c r="U1320" s="954"/>
      <c r="V1320" s="954"/>
      <c r="W1320" s="955"/>
      <c r="X1320" s="954"/>
      <c r="Y1320" s="954"/>
      <c r="Z1320" s="954"/>
      <c r="AA1320" s="954"/>
      <c r="AB1320" s="955"/>
      <c r="AC1320" s="954"/>
      <c r="AD1320" s="954"/>
      <c r="AE1320" s="954"/>
      <c r="AF1320" s="954"/>
      <c r="AG1320" s="955"/>
      <c r="AH1320" s="954"/>
      <c r="AI1320" s="954"/>
      <c r="AJ1320" s="954"/>
      <c r="AK1320" s="954"/>
      <c r="AL1320" s="955"/>
      <c r="AM1320" s="954"/>
      <c r="AN1320" s="954"/>
      <c r="AO1320" s="954"/>
      <c r="AP1320" s="954"/>
      <c r="AQ1320" s="955"/>
      <c r="AR1320" s="954"/>
      <c r="AS1320" s="954"/>
      <c r="AT1320" s="954"/>
      <c r="AU1320" s="954"/>
      <c r="AV1320" s="955"/>
      <c r="AW1320" s="954"/>
      <c r="AX1320" s="954"/>
      <c r="AY1320" s="954"/>
      <c r="AZ1320" s="954"/>
      <c r="BA1320" s="955"/>
      <c r="BB1320" s="954"/>
      <c r="BC1320" s="954"/>
      <c r="BD1320" s="954"/>
      <c r="BE1320" s="954"/>
      <c r="BF1320" s="955"/>
      <c r="BG1320" s="953"/>
      <c r="BH1320" s="954"/>
      <c r="BI1320" s="954"/>
      <c r="BJ1320" s="1020"/>
      <c r="BK1320" s="955"/>
      <c r="BL1320" s="954"/>
      <c r="BM1320" s="954"/>
      <c r="BN1320" s="954"/>
      <c r="BO1320" s="1020"/>
      <c r="BP1320" s="955"/>
      <c r="BQ1320" s="954"/>
      <c r="BR1320" s="954"/>
      <c r="BS1320" s="954"/>
      <c r="BT1320" s="1020"/>
      <c r="BU1320" s="3461"/>
      <c r="BV1320" s="954"/>
      <c r="BW1320" s="954"/>
      <c r="BX1320" s="954"/>
      <c r="BY1320" s="1020"/>
      <c r="BZ1320" s="955"/>
      <c r="CA1320" s="955"/>
      <c r="CB1320" s="955"/>
      <c r="CC1320" s="955"/>
      <c r="CD1320" s="955"/>
      <c r="CE1320" s="955"/>
      <c r="CF1320" s="955"/>
      <c r="CG1320" s="955"/>
      <c r="CH1320" s="956"/>
      <c r="CI1320" s="956"/>
      <c r="CJ1320" s="956"/>
      <c r="CK1320" s="956"/>
      <c r="CL1320" s="956"/>
      <c r="CM1320" s="956"/>
      <c r="CN1320" s="956"/>
      <c r="CO1320" s="956"/>
      <c r="CP1320" s="1545"/>
      <c r="CQ1320" s="954"/>
      <c r="CR1320" s="954"/>
      <c r="CS1320" s="954"/>
      <c r="CT1320" s="954"/>
      <c r="CU1320" s="954"/>
      <c r="CV1320" s="954"/>
      <c r="CW1320" s="954"/>
      <c r="CX1320" s="954"/>
      <c r="CY1320" s="954"/>
      <c r="CZ1320" s="954"/>
      <c r="DA1320" s="954"/>
      <c r="DB1320" s="954"/>
      <c r="DC1320" s="954"/>
      <c r="DD1320" s="954"/>
      <c r="DE1320" s="954"/>
      <c r="DF1320" s="954"/>
      <c r="DG1320" s="1020"/>
      <c r="DH1320" s="954"/>
      <c r="DI1320" s="954"/>
      <c r="DJ1320" s="954"/>
      <c r="DK1320" s="954"/>
      <c r="DL1320" s="954"/>
      <c r="DM1320" s="954"/>
      <c r="DN1320" s="265"/>
      <c r="DO1320" s="266"/>
      <c r="DY1320" s="954"/>
      <c r="DZ1320" s="954"/>
    </row>
    <row r="1321" spans="1:130" ht="12" customHeight="1">
      <c r="A1321" s="504"/>
      <c r="B1321" s="952"/>
      <c r="C1321" s="952"/>
      <c r="D1321" s="953"/>
      <c r="E1321" s="954"/>
      <c r="F1321" s="954"/>
      <c r="G1321" s="954"/>
      <c r="H1321" s="955"/>
      <c r="I1321" s="954"/>
      <c r="J1321" s="954"/>
      <c r="K1321" s="954"/>
      <c r="L1321" s="954"/>
      <c r="M1321" s="955"/>
      <c r="N1321" s="954"/>
      <c r="O1321" s="954"/>
      <c r="P1321" s="954"/>
      <c r="Q1321" s="954"/>
      <c r="R1321" s="955"/>
      <c r="S1321" s="954"/>
      <c r="T1321" s="954"/>
      <c r="U1321" s="954"/>
      <c r="V1321" s="954"/>
      <c r="W1321" s="955"/>
      <c r="X1321" s="954"/>
      <c r="Y1321" s="954"/>
      <c r="Z1321" s="954"/>
      <c r="AA1321" s="954"/>
      <c r="AB1321" s="955"/>
      <c r="AC1321" s="954"/>
      <c r="AD1321" s="954"/>
      <c r="AE1321" s="954"/>
      <c r="AF1321" s="954"/>
      <c r="AG1321" s="955"/>
      <c r="AH1321" s="954"/>
      <c r="AI1321" s="954"/>
      <c r="AJ1321" s="954"/>
      <c r="AK1321" s="954"/>
      <c r="AL1321" s="955"/>
      <c r="AM1321" s="954"/>
      <c r="AN1321" s="954"/>
      <c r="AO1321" s="954"/>
      <c r="AP1321" s="954"/>
      <c r="AQ1321" s="955"/>
      <c r="AR1321" s="954"/>
      <c r="AS1321" s="954"/>
      <c r="AT1321" s="954"/>
      <c r="AU1321" s="954"/>
      <c r="AV1321" s="955"/>
      <c r="AW1321" s="954"/>
      <c r="AX1321" s="954"/>
      <c r="AY1321" s="954"/>
      <c r="AZ1321" s="954"/>
      <c r="BA1321" s="955"/>
      <c r="BB1321" s="954"/>
      <c r="BC1321" s="954"/>
      <c r="BD1321" s="954"/>
      <c r="BE1321" s="954"/>
      <c r="BF1321" s="955"/>
      <c r="BG1321" s="953"/>
      <c r="BH1321" s="954"/>
      <c r="BI1321" s="954"/>
      <c r="BJ1321" s="1020"/>
      <c r="BK1321" s="955"/>
      <c r="BL1321" s="954"/>
      <c r="BM1321" s="954"/>
      <c r="BN1321" s="954"/>
      <c r="BO1321" s="1020"/>
      <c r="BP1321" s="955"/>
      <c r="BQ1321" s="954"/>
      <c r="BR1321" s="954"/>
      <c r="BS1321" s="954"/>
      <c r="BT1321" s="1020"/>
      <c r="BU1321" s="3461"/>
      <c r="BV1321" s="954"/>
      <c r="BW1321" s="954"/>
      <c r="BX1321" s="954"/>
      <c r="BY1321" s="1020"/>
      <c r="BZ1321" s="955"/>
      <c r="CA1321" s="955"/>
      <c r="CB1321" s="955"/>
      <c r="CC1321" s="955"/>
      <c r="CD1321" s="955"/>
      <c r="CE1321" s="955"/>
      <c r="CF1321" s="955"/>
      <c r="CG1321" s="955"/>
      <c r="CH1321" s="956"/>
      <c r="CI1321" s="956"/>
      <c r="CJ1321" s="956"/>
      <c r="CK1321" s="956"/>
      <c r="CL1321" s="956"/>
      <c r="CM1321" s="956"/>
      <c r="CN1321" s="956"/>
      <c r="CO1321" s="956"/>
      <c r="CP1321" s="1545"/>
      <c r="CQ1321" s="954"/>
      <c r="CR1321" s="954"/>
      <c r="CS1321" s="954"/>
      <c r="CT1321" s="954"/>
      <c r="CU1321" s="954"/>
      <c r="CV1321" s="954"/>
      <c r="CW1321" s="954"/>
      <c r="CX1321" s="954"/>
      <c r="CY1321" s="954"/>
      <c r="CZ1321" s="954"/>
      <c r="DA1321" s="954"/>
      <c r="DB1321" s="954"/>
      <c r="DC1321" s="954"/>
      <c r="DD1321" s="954"/>
      <c r="DE1321" s="954"/>
      <c r="DF1321" s="954"/>
      <c r="DG1321" s="1020"/>
      <c r="DH1321" s="954"/>
      <c r="DI1321" s="954"/>
      <c r="DJ1321" s="954"/>
      <c r="DK1321" s="954"/>
      <c r="DL1321" s="954"/>
      <c r="DM1321" s="954"/>
      <c r="DN1321" s="265"/>
      <c r="DO1321" s="266"/>
      <c r="DY1321" s="954"/>
      <c r="DZ1321" s="954"/>
    </row>
    <row r="1322" spans="1:130" ht="12" customHeight="1">
      <c r="A1322" s="504"/>
      <c r="B1322" s="952"/>
      <c r="C1322" s="952"/>
      <c r="D1322" s="953"/>
      <c r="E1322" s="954"/>
      <c r="F1322" s="954"/>
      <c r="G1322" s="954"/>
      <c r="H1322" s="955"/>
      <c r="I1322" s="954"/>
      <c r="J1322" s="954"/>
      <c r="K1322" s="954"/>
      <c r="L1322" s="954"/>
      <c r="M1322" s="955"/>
      <c r="N1322" s="954"/>
      <c r="O1322" s="954"/>
      <c r="P1322" s="954"/>
      <c r="Q1322" s="954"/>
      <c r="R1322" s="955"/>
      <c r="S1322" s="954"/>
      <c r="T1322" s="954"/>
      <c r="U1322" s="954"/>
      <c r="V1322" s="954"/>
      <c r="W1322" s="955"/>
      <c r="X1322" s="954"/>
      <c r="Y1322" s="954"/>
      <c r="Z1322" s="954"/>
      <c r="AA1322" s="954"/>
      <c r="AB1322" s="955"/>
      <c r="AC1322" s="954"/>
      <c r="AD1322" s="954"/>
      <c r="AE1322" s="954"/>
      <c r="AF1322" s="954"/>
      <c r="AG1322" s="955"/>
      <c r="AH1322" s="954"/>
      <c r="AI1322" s="954"/>
      <c r="AJ1322" s="954"/>
      <c r="AK1322" s="954"/>
      <c r="AL1322" s="955"/>
      <c r="AM1322" s="954"/>
      <c r="AN1322" s="954"/>
      <c r="AO1322" s="954"/>
      <c r="AP1322" s="954"/>
      <c r="AQ1322" s="955"/>
      <c r="AR1322" s="954"/>
      <c r="AS1322" s="954"/>
      <c r="AT1322" s="954"/>
      <c r="AU1322" s="954"/>
      <c r="AV1322" s="955"/>
      <c r="AW1322" s="954"/>
      <c r="AX1322" s="954"/>
      <c r="AY1322" s="954"/>
      <c r="AZ1322" s="954"/>
      <c r="BA1322" s="955"/>
      <c r="BB1322" s="954"/>
      <c r="BC1322" s="954"/>
      <c r="BD1322" s="954"/>
      <c r="BE1322" s="954"/>
      <c r="BF1322" s="955"/>
      <c r="BG1322" s="953"/>
      <c r="BH1322" s="954"/>
      <c r="BI1322" s="954"/>
      <c r="BJ1322" s="1020"/>
      <c r="BK1322" s="955"/>
      <c r="BL1322" s="954"/>
      <c r="BM1322" s="954"/>
      <c r="BN1322" s="954"/>
      <c r="BO1322" s="1020"/>
      <c r="BP1322" s="955"/>
      <c r="BQ1322" s="954"/>
      <c r="BR1322" s="954"/>
      <c r="BS1322" s="954"/>
      <c r="BT1322" s="1020"/>
      <c r="BU1322" s="3461"/>
      <c r="BV1322" s="954"/>
      <c r="BW1322" s="954"/>
      <c r="BX1322" s="954"/>
      <c r="BY1322" s="1020"/>
      <c r="BZ1322" s="955"/>
      <c r="CA1322" s="955"/>
      <c r="CB1322" s="955"/>
      <c r="CC1322" s="955"/>
      <c r="CD1322" s="955"/>
      <c r="CE1322" s="955"/>
      <c r="CF1322" s="955"/>
      <c r="CG1322" s="955"/>
      <c r="CH1322" s="956"/>
      <c r="CI1322" s="956"/>
      <c r="CJ1322" s="956"/>
      <c r="CK1322" s="956"/>
      <c r="CL1322" s="956"/>
      <c r="CM1322" s="956"/>
      <c r="CN1322" s="956"/>
      <c r="CO1322" s="956"/>
      <c r="CP1322" s="1545"/>
      <c r="CQ1322" s="954"/>
      <c r="CR1322" s="954"/>
      <c r="CS1322" s="954"/>
      <c r="CT1322" s="954"/>
      <c r="CU1322" s="954"/>
      <c r="CV1322" s="954"/>
      <c r="CW1322" s="954"/>
      <c r="CX1322" s="954"/>
      <c r="CY1322" s="954"/>
      <c r="CZ1322" s="954"/>
      <c r="DA1322" s="954"/>
      <c r="DB1322" s="954"/>
      <c r="DC1322" s="954"/>
      <c r="DD1322" s="954"/>
      <c r="DE1322" s="954"/>
      <c r="DF1322" s="954"/>
      <c r="DG1322" s="1020"/>
      <c r="DH1322" s="954"/>
      <c r="DI1322" s="954"/>
      <c r="DJ1322" s="954"/>
      <c r="DK1322" s="954"/>
      <c r="DL1322" s="954"/>
      <c r="DM1322" s="954"/>
      <c r="DN1322" s="265"/>
      <c r="DO1322" s="266"/>
      <c r="DY1322" s="954"/>
      <c r="DZ1322" s="954"/>
    </row>
    <row r="1323" spans="1:130" ht="12" customHeight="1">
      <c r="A1323" s="504"/>
      <c r="B1323" s="952"/>
      <c r="C1323" s="952"/>
      <c r="D1323" s="953"/>
      <c r="E1323" s="954"/>
      <c r="F1323" s="954"/>
      <c r="G1323" s="954"/>
      <c r="H1323" s="955"/>
      <c r="I1323" s="954"/>
      <c r="J1323" s="954"/>
      <c r="K1323" s="954"/>
      <c r="L1323" s="954"/>
      <c r="M1323" s="955"/>
      <c r="N1323" s="954"/>
      <c r="O1323" s="954"/>
      <c r="P1323" s="954"/>
      <c r="Q1323" s="954"/>
      <c r="R1323" s="955"/>
      <c r="S1323" s="954"/>
      <c r="T1323" s="954"/>
      <c r="U1323" s="954"/>
      <c r="V1323" s="954"/>
      <c r="W1323" s="955"/>
      <c r="X1323" s="954"/>
      <c r="Y1323" s="954"/>
      <c r="Z1323" s="954"/>
      <c r="AA1323" s="954"/>
      <c r="AB1323" s="955"/>
      <c r="AC1323" s="954"/>
      <c r="AD1323" s="954"/>
      <c r="AE1323" s="954"/>
      <c r="AF1323" s="954"/>
      <c r="AG1323" s="955"/>
      <c r="AH1323" s="954"/>
      <c r="AI1323" s="954"/>
      <c r="AJ1323" s="954"/>
      <c r="AK1323" s="954"/>
      <c r="AL1323" s="955"/>
      <c r="AM1323" s="954"/>
      <c r="AN1323" s="954"/>
      <c r="AO1323" s="954"/>
      <c r="AP1323" s="954"/>
      <c r="AQ1323" s="955"/>
      <c r="AR1323" s="954"/>
      <c r="AS1323" s="954"/>
      <c r="AT1323" s="954"/>
      <c r="AU1323" s="954"/>
      <c r="AV1323" s="955"/>
      <c r="AW1323" s="954"/>
      <c r="AX1323" s="954"/>
      <c r="AY1323" s="954"/>
      <c r="AZ1323" s="954"/>
      <c r="BA1323" s="955"/>
      <c r="BB1323" s="954"/>
      <c r="BC1323" s="954"/>
      <c r="BD1323" s="954"/>
      <c r="BE1323" s="954"/>
      <c r="BF1323" s="955"/>
      <c r="BG1323" s="953"/>
      <c r="BH1323" s="954"/>
      <c r="BI1323" s="954"/>
      <c r="BJ1323" s="1020"/>
      <c r="BK1323" s="955"/>
      <c r="BL1323" s="954"/>
      <c r="BM1323" s="954"/>
      <c r="BN1323" s="954"/>
      <c r="BO1323" s="1020"/>
      <c r="BP1323" s="955"/>
      <c r="BQ1323" s="954"/>
      <c r="BR1323" s="954"/>
      <c r="BS1323" s="954"/>
      <c r="BT1323" s="1020"/>
      <c r="BU1323" s="3461"/>
      <c r="BV1323" s="954"/>
      <c r="BW1323" s="954"/>
      <c r="BX1323" s="954"/>
      <c r="BY1323" s="1020"/>
      <c r="BZ1323" s="955"/>
      <c r="CA1323" s="955"/>
      <c r="CB1323" s="955"/>
      <c r="CC1323" s="955"/>
      <c r="CD1323" s="955"/>
      <c r="CE1323" s="955"/>
      <c r="CF1323" s="955"/>
      <c r="CG1323" s="955"/>
      <c r="CH1323" s="956"/>
      <c r="CI1323" s="956"/>
      <c r="CJ1323" s="956"/>
      <c r="CK1323" s="956"/>
      <c r="CL1323" s="956"/>
      <c r="CM1323" s="956"/>
      <c r="CN1323" s="956"/>
      <c r="CO1323" s="956"/>
      <c r="CP1323" s="1545"/>
      <c r="CQ1323" s="954"/>
      <c r="CR1323" s="954"/>
      <c r="CS1323" s="954"/>
      <c r="CT1323" s="954"/>
      <c r="CU1323" s="954"/>
      <c r="CV1323" s="954"/>
      <c r="CW1323" s="954"/>
      <c r="CX1323" s="954"/>
      <c r="CY1323" s="954"/>
      <c r="CZ1323" s="954"/>
      <c r="DA1323" s="954"/>
      <c r="DB1323" s="954"/>
      <c r="DC1323" s="954"/>
      <c r="DD1323" s="954"/>
      <c r="DE1323" s="954"/>
      <c r="DF1323" s="954"/>
      <c r="DG1323" s="1020"/>
      <c r="DH1323" s="954"/>
      <c r="DI1323" s="954"/>
      <c r="DJ1323" s="954"/>
      <c r="DK1323" s="954"/>
      <c r="DL1323" s="954"/>
      <c r="DM1323" s="954"/>
      <c r="DN1323" s="265"/>
      <c r="DO1323" s="266"/>
      <c r="DY1323" s="954"/>
      <c r="DZ1323" s="954"/>
    </row>
    <row r="1324" spans="1:130" ht="12" customHeight="1">
      <c r="A1324" s="504"/>
      <c r="B1324" s="952"/>
      <c r="C1324" s="952"/>
      <c r="D1324" s="953"/>
      <c r="E1324" s="954"/>
      <c r="F1324" s="954"/>
      <c r="G1324" s="954"/>
      <c r="H1324" s="955"/>
      <c r="I1324" s="954"/>
      <c r="J1324" s="954"/>
      <c r="K1324" s="954"/>
      <c r="L1324" s="954"/>
      <c r="M1324" s="955"/>
      <c r="N1324" s="954"/>
      <c r="O1324" s="954"/>
      <c r="P1324" s="954"/>
      <c r="Q1324" s="954"/>
      <c r="R1324" s="955"/>
      <c r="S1324" s="954"/>
      <c r="T1324" s="954"/>
      <c r="U1324" s="954"/>
      <c r="V1324" s="954"/>
      <c r="W1324" s="955"/>
      <c r="X1324" s="954"/>
      <c r="Y1324" s="954"/>
      <c r="Z1324" s="954"/>
      <c r="AA1324" s="954"/>
      <c r="AB1324" s="955"/>
      <c r="AC1324" s="954"/>
      <c r="AD1324" s="954"/>
      <c r="AE1324" s="954"/>
      <c r="AF1324" s="954"/>
      <c r="AG1324" s="955"/>
      <c r="AH1324" s="954"/>
      <c r="AI1324" s="954"/>
      <c r="AJ1324" s="954"/>
      <c r="AK1324" s="954"/>
      <c r="AL1324" s="955"/>
      <c r="AM1324" s="954"/>
      <c r="AN1324" s="954"/>
      <c r="AO1324" s="954"/>
      <c r="AP1324" s="954"/>
      <c r="AQ1324" s="955"/>
      <c r="AR1324" s="954"/>
      <c r="AS1324" s="954"/>
      <c r="AT1324" s="954"/>
      <c r="AU1324" s="954"/>
      <c r="AV1324" s="955"/>
      <c r="AW1324" s="954"/>
      <c r="AX1324" s="954"/>
      <c r="AY1324" s="954"/>
      <c r="AZ1324" s="954"/>
      <c r="BA1324" s="955"/>
      <c r="BB1324" s="954"/>
      <c r="BC1324" s="954"/>
      <c r="BD1324" s="954"/>
      <c r="BE1324" s="954"/>
      <c r="BF1324" s="955"/>
      <c r="BG1324" s="953"/>
      <c r="BH1324" s="954"/>
      <c r="BI1324" s="954"/>
      <c r="BJ1324" s="1020"/>
      <c r="BK1324" s="955"/>
      <c r="BL1324" s="954"/>
      <c r="BM1324" s="954"/>
      <c r="BN1324" s="954"/>
      <c r="BO1324" s="1020"/>
      <c r="BP1324" s="955"/>
      <c r="BQ1324" s="954"/>
      <c r="BR1324" s="954"/>
      <c r="BS1324" s="954"/>
      <c r="BT1324" s="1020"/>
      <c r="BU1324" s="3461"/>
      <c r="BV1324" s="954"/>
      <c r="BW1324" s="954"/>
      <c r="BX1324" s="954"/>
      <c r="BY1324" s="1020"/>
      <c r="BZ1324" s="955"/>
      <c r="CA1324" s="955"/>
      <c r="CB1324" s="955"/>
      <c r="CC1324" s="955"/>
      <c r="CD1324" s="955"/>
      <c r="CE1324" s="955"/>
      <c r="CF1324" s="955"/>
      <c r="CG1324" s="955"/>
      <c r="CH1324" s="956"/>
      <c r="CI1324" s="956"/>
      <c r="CJ1324" s="956"/>
      <c r="CK1324" s="956"/>
      <c r="CL1324" s="956"/>
      <c r="CM1324" s="956"/>
      <c r="CN1324" s="956"/>
      <c r="CO1324" s="956"/>
      <c r="CP1324" s="1545"/>
      <c r="CQ1324" s="954"/>
      <c r="CR1324" s="954"/>
      <c r="CS1324" s="954"/>
      <c r="CT1324" s="954"/>
      <c r="CU1324" s="954"/>
      <c r="CV1324" s="954"/>
      <c r="CW1324" s="954"/>
      <c r="CX1324" s="954"/>
      <c r="CY1324" s="954"/>
      <c r="CZ1324" s="954"/>
      <c r="DA1324" s="954"/>
      <c r="DB1324" s="954"/>
      <c r="DC1324" s="954"/>
      <c r="DD1324" s="954"/>
      <c r="DE1324" s="954"/>
      <c r="DF1324" s="954"/>
      <c r="DG1324" s="1020"/>
      <c r="DH1324" s="954"/>
      <c r="DI1324" s="954"/>
      <c r="DJ1324" s="954"/>
      <c r="DK1324" s="954"/>
      <c r="DL1324" s="954"/>
      <c r="DM1324" s="954"/>
      <c r="DN1324" s="265"/>
      <c r="DO1324" s="266"/>
      <c r="DY1324" s="954"/>
      <c r="DZ1324" s="954"/>
    </row>
    <row r="1325" spans="1:130" ht="12" customHeight="1">
      <c r="A1325" s="504"/>
      <c r="B1325" s="952"/>
      <c r="C1325" s="952"/>
      <c r="D1325" s="953"/>
      <c r="E1325" s="954"/>
      <c r="F1325" s="954"/>
      <c r="G1325" s="954"/>
      <c r="H1325" s="955"/>
      <c r="I1325" s="954"/>
      <c r="J1325" s="954"/>
      <c r="K1325" s="954"/>
      <c r="L1325" s="954"/>
      <c r="M1325" s="955"/>
      <c r="N1325" s="954"/>
      <c r="O1325" s="954"/>
      <c r="P1325" s="954"/>
      <c r="Q1325" s="954"/>
      <c r="R1325" s="955"/>
      <c r="S1325" s="954"/>
      <c r="T1325" s="954"/>
      <c r="U1325" s="954"/>
      <c r="V1325" s="954"/>
      <c r="W1325" s="955"/>
      <c r="X1325" s="954"/>
      <c r="Y1325" s="954"/>
      <c r="Z1325" s="954"/>
      <c r="AA1325" s="954"/>
      <c r="AB1325" s="955"/>
      <c r="AC1325" s="954"/>
      <c r="AD1325" s="954"/>
      <c r="AE1325" s="954"/>
      <c r="AF1325" s="954"/>
      <c r="AG1325" s="955"/>
      <c r="AH1325" s="954"/>
      <c r="AI1325" s="954"/>
      <c r="AJ1325" s="954"/>
      <c r="AK1325" s="954"/>
      <c r="AL1325" s="955"/>
      <c r="AM1325" s="954"/>
      <c r="AN1325" s="954"/>
      <c r="AO1325" s="954"/>
      <c r="AP1325" s="954"/>
      <c r="AQ1325" s="955"/>
      <c r="AR1325" s="954"/>
      <c r="AS1325" s="954"/>
      <c r="AT1325" s="954"/>
      <c r="AU1325" s="954"/>
      <c r="AV1325" s="955"/>
      <c r="AW1325" s="954"/>
      <c r="AX1325" s="954"/>
      <c r="AY1325" s="954"/>
      <c r="AZ1325" s="954"/>
      <c r="BA1325" s="955"/>
      <c r="BB1325" s="954"/>
      <c r="BC1325" s="954"/>
      <c r="BD1325" s="954"/>
      <c r="BE1325" s="954"/>
      <c r="BF1325" s="955"/>
      <c r="BG1325" s="953"/>
      <c r="BH1325" s="954"/>
      <c r="BI1325" s="954"/>
      <c r="BJ1325" s="1020"/>
      <c r="BK1325" s="955"/>
      <c r="BL1325" s="954"/>
      <c r="BM1325" s="954"/>
      <c r="BN1325" s="954"/>
      <c r="BO1325" s="1020"/>
      <c r="BP1325" s="955"/>
      <c r="BQ1325" s="954"/>
      <c r="BR1325" s="954"/>
      <c r="BS1325" s="954"/>
      <c r="BT1325" s="1020"/>
      <c r="BU1325" s="3461"/>
      <c r="BV1325" s="954"/>
      <c r="BW1325" s="954"/>
      <c r="BX1325" s="954"/>
      <c r="BY1325" s="1020"/>
      <c r="BZ1325" s="955"/>
      <c r="CA1325" s="955"/>
      <c r="CB1325" s="955"/>
      <c r="CC1325" s="955"/>
      <c r="CD1325" s="955"/>
      <c r="CE1325" s="955"/>
      <c r="CF1325" s="955"/>
      <c r="CG1325" s="955"/>
      <c r="CH1325" s="956"/>
      <c r="CI1325" s="956"/>
      <c r="CJ1325" s="956"/>
      <c r="CK1325" s="956"/>
      <c r="CL1325" s="956"/>
      <c r="CM1325" s="956"/>
      <c r="CN1325" s="956"/>
      <c r="CO1325" s="956"/>
      <c r="CP1325" s="1545"/>
      <c r="CQ1325" s="954"/>
      <c r="CR1325" s="954"/>
      <c r="CS1325" s="954"/>
      <c r="CT1325" s="954"/>
      <c r="CU1325" s="954"/>
      <c r="CV1325" s="954"/>
      <c r="CW1325" s="954"/>
      <c r="CX1325" s="954"/>
      <c r="CY1325" s="954"/>
      <c r="CZ1325" s="954"/>
      <c r="DA1325" s="954"/>
      <c r="DB1325" s="954"/>
      <c r="DC1325" s="954"/>
      <c r="DD1325" s="954"/>
      <c r="DE1325" s="954"/>
      <c r="DF1325" s="954"/>
      <c r="DG1325" s="1020"/>
      <c r="DH1325" s="954"/>
      <c r="DI1325" s="954"/>
      <c r="DJ1325" s="954"/>
      <c r="DK1325" s="954"/>
      <c r="DL1325" s="954"/>
      <c r="DM1325" s="954"/>
      <c r="DN1325" s="265"/>
      <c r="DO1325" s="266"/>
      <c r="DY1325" s="954"/>
      <c r="DZ1325" s="954"/>
    </row>
    <row r="1326" spans="1:130" ht="12" customHeight="1">
      <c r="A1326" s="504"/>
      <c r="B1326" s="952"/>
      <c r="C1326" s="952"/>
      <c r="D1326" s="953"/>
      <c r="E1326" s="954"/>
      <c r="F1326" s="954"/>
      <c r="G1326" s="954"/>
      <c r="H1326" s="955"/>
      <c r="I1326" s="954"/>
      <c r="J1326" s="954"/>
      <c r="K1326" s="954"/>
      <c r="L1326" s="954"/>
      <c r="M1326" s="955"/>
      <c r="N1326" s="954"/>
      <c r="O1326" s="954"/>
      <c r="P1326" s="954"/>
      <c r="Q1326" s="954"/>
      <c r="R1326" s="955"/>
      <c r="S1326" s="954"/>
      <c r="T1326" s="954"/>
      <c r="U1326" s="954"/>
      <c r="V1326" s="954"/>
      <c r="W1326" s="955"/>
      <c r="X1326" s="954"/>
      <c r="Y1326" s="954"/>
      <c r="Z1326" s="954"/>
      <c r="AA1326" s="954"/>
      <c r="AB1326" s="955"/>
      <c r="AC1326" s="954"/>
      <c r="AD1326" s="954"/>
      <c r="AE1326" s="954"/>
      <c r="AF1326" s="954"/>
      <c r="AG1326" s="955"/>
      <c r="AH1326" s="954"/>
      <c r="AI1326" s="954"/>
      <c r="AJ1326" s="954"/>
      <c r="AK1326" s="954"/>
      <c r="AL1326" s="955"/>
      <c r="AM1326" s="954"/>
      <c r="AN1326" s="954"/>
      <c r="AO1326" s="954"/>
      <c r="AP1326" s="954"/>
      <c r="AQ1326" s="955"/>
      <c r="AR1326" s="954"/>
      <c r="AS1326" s="954"/>
      <c r="AT1326" s="954"/>
      <c r="AU1326" s="954"/>
      <c r="AV1326" s="955"/>
      <c r="AW1326" s="954"/>
      <c r="AX1326" s="954"/>
      <c r="AY1326" s="954"/>
      <c r="AZ1326" s="954"/>
      <c r="BA1326" s="955"/>
      <c r="BB1326" s="954"/>
      <c r="BC1326" s="954"/>
      <c r="BD1326" s="954"/>
      <c r="BE1326" s="954"/>
      <c r="BF1326" s="955"/>
      <c r="BG1326" s="953"/>
      <c r="BH1326" s="954"/>
      <c r="BI1326" s="954"/>
      <c r="BJ1326" s="1020"/>
      <c r="BK1326" s="955"/>
      <c r="BL1326" s="954"/>
      <c r="BM1326" s="954"/>
      <c r="BN1326" s="954"/>
      <c r="BO1326" s="1020"/>
      <c r="BP1326" s="955"/>
      <c r="BQ1326" s="954"/>
      <c r="BR1326" s="954"/>
      <c r="BS1326" s="954"/>
      <c r="BT1326" s="1020"/>
      <c r="BU1326" s="3461"/>
      <c r="BV1326" s="954"/>
      <c r="BW1326" s="954"/>
      <c r="BX1326" s="954"/>
      <c r="BY1326" s="1020"/>
      <c r="BZ1326" s="955"/>
      <c r="CA1326" s="955"/>
      <c r="CB1326" s="955"/>
      <c r="CC1326" s="955"/>
      <c r="CD1326" s="955"/>
      <c r="CE1326" s="955"/>
      <c r="CF1326" s="955"/>
      <c r="CG1326" s="955"/>
      <c r="CH1326" s="956"/>
      <c r="CI1326" s="956"/>
      <c r="CJ1326" s="956"/>
      <c r="CK1326" s="956"/>
      <c r="CL1326" s="956"/>
      <c r="CM1326" s="956"/>
      <c r="CN1326" s="956"/>
      <c r="CO1326" s="956"/>
      <c r="CP1326" s="1545"/>
      <c r="CQ1326" s="954"/>
      <c r="CR1326" s="954"/>
      <c r="CS1326" s="954"/>
      <c r="CT1326" s="954"/>
      <c r="CU1326" s="954"/>
      <c r="CV1326" s="954"/>
      <c r="CW1326" s="954"/>
      <c r="CX1326" s="954"/>
      <c r="CY1326" s="954"/>
      <c r="CZ1326" s="954"/>
      <c r="DA1326" s="954"/>
      <c r="DB1326" s="954"/>
      <c r="DC1326" s="954"/>
      <c r="DD1326" s="954"/>
      <c r="DE1326" s="954"/>
      <c r="DF1326" s="954"/>
      <c r="DG1326" s="1020"/>
      <c r="DH1326" s="954"/>
      <c r="DI1326" s="954"/>
      <c r="DJ1326" s="954"/>
      <c r="DK1326" s="954"/>
      <c r="DL1326" s="954"/>
      <c r="DM1326" s="954"/>
      <c r="DN1326" s="265"/>
      <c r="DO1326" s="266"/>
      <c r="DY1326" s="954"/>
      <c r="DZ1326" s="954"/>
    </row>
    <row r="1327" spans="1:130" ht="12" customHeight="1">
      <c r="A1327" s="504"/>
      <c r="B1327" s="952"/>
      <c r="C1327" s="952"/>
      <c r="D1327" s="953"/>
      <c r="E1327" s="954"/>
      <c r="F1327" s="954"/>
      <c r="G1327" s="954"/>
      <c r="H1327" s="955"/>
      <c r="I1327" s="954"/>
      <c r="J1327" s="954"/>
      <c r="K1327" s="954"/>
      <c r="L1327" s="954"/>
      <c r="M1327" s="955"/>
      <c r="N1327" s="954"/>
      <c r="O1327" s="954"/>
      <c r="P1327" s="954"/>
      <c r="Q1327" s="954"/>
      <c r="R1327" s="955"/>
      <c r="S1327" s="954"/>
      <c r="T1327" s="954"/>
      <c r="U1327" s="954"/>
      <c r="V1327" s="954"/>
      <c r="W1327" s="955"/>
      <c r="X1327" s="954"/>
      <c r="Y1327" s="954"/>
      <c r="Z1327" s="954"/>
      <c r="AA1327" s="954"/>
      <c r="AB1327" s="955"/>
      <c r="AC1327" s="954"/>
      <c r="AD1327" s="954"/>
      <c r="AE1327" s="954"/>
      <c r="AF1327" s="954"/>
      <c r="AG1327" s="955"/>
      <c r="AH1327" s="954"/>
      <c r="AI1327" s="954"/>
      <c r="AJ1327" s="954"/>
      <c r="AK1327" s="954"/>
      <c r="AL1327" s="955"/>
      <c r="AM1327" s="954"/>
      <c r="AN1327" s="954"/>
      <c r="AO1327" s="954"/>
      <c r="AP1327" s="954"/>
      <c r="AQ1327" s="955"/>
      <c r="AR1327" s="954"/>
      <c r="AS1327" s="954"/>
      <c r="AT1327" s="954"/>
      <c r="AU1327" s="954"/>
      <c r="AV1327" s="955"/>
      <c r="AW1327" s="954"/>
      <c r="AX1327" s="954"/>
      <c r="AY1327" s="954"/>
      <c r="AZ1327" s="954"/>
      <c r="BA1327" s="955"/>
      <c r="BB1327" s="954"/>
      <c r="BC1327" s="954"/>
      <c r="BD1327" s="954"/>
      <c r="BE1327" s="954"/>
      <c r="BF1327" s="955"/>
      <c r="BG1327" s="953"/>
      <c r="BH1327" s="954"/>
      <c r="BI1327" s="954"/>
      <c r="BJ1327" s="1020"/>
      <c r="BK1327" s="955"/>
      <c r="BL1327" s="954"/>
      <c r="BM1327" s="954"/>
      <c r="BN1327" s="954"/>
      <c r="BO1327" s="1020"/>
      <c r="BP1327" s="955"/>
      <c r="BQ1327" s="954"/>
      <c r="BR1327" s="954"/>
      <c r="BS1327" s="954"/>
      <c r="BT1327" s="1020"/>
      <c r="BU1327" s="3461"/>
      <c r="BV1327" s="954"/>
      <c r="BW1327" s="954"/>
      <c r="BX1327" s="954"/>
      <c r="BY1327" s="1020"/>
      <c r="BZ1327" s="955"/>
      <c r="CA1327" s="955"/>
      <c r="CB1327" s="955"/>
      <c r="CC1327" s="955"/>
      <c r="CD1327" s="955"/>
      <c r="CE1327" s="955"/>
      <c r="CF1327" s="955"/>
      <c r="CG1327" s="955"/>
      <c r="CH1327" s="956"/>
      <c r="CI1327" s="956"/>
      <c r="CJ1327" s="956"/>
      <c r="CK1327" s="956"/>
      <c r="CL1327" s="956"/>
      <c r="CM1327" s="956"/>
      <c r="CN1327" s="956"/>
      <c r="CO1327" s="956"/>
      <c r="CP1327" s="1545"/>
      <c r="CQ1327" s="954"/>
      <c r="CR1327" s="954"/>
      <c r="CS1327" s="954"/>
      <c r="CT1327" s="954"/>
      <c r="CU1327" s="954"/>
      <c r="CV1327" s="954"/>
      <c r="CW1327" s="954"/>
      <c r="CX1327" s="954"/>
      <c r="CY1327" s="954"/>
      <c r="CZ1327" s="954"/>
      <c r="DA1327" s="954"/>
      <c r="DB1327" s="954"/>
      <c r="DC1327" s="954"/>
      <c r="DD1327" s="954"/>
      <c r="DE1327" s="954"/>
      <c r="DF1327" s="954"/>
      <c r="DG1327" s="1020"/>
      <c r="DH1327" s="954"/>
      <c r="DI1327" s="954"/>
      <c r="DJ1327" s="954"/>
      <c r="DK1327" s="954"/>
      <c r="DL1327" s="954"/>
      <c r="DM1327" s="954"/>
      <c r="DN1327" s="265"/>
      <c r="DO1327" s="266"/>
      <c r="DY1327" s="954"/>
      <c r="DZ1327" s="954"/>
    </row>
    <row r="1328" spans="1:130" ht="12" customHeight="1">
      <c r="A1328" s="504"/>
      <c r="B1328" s="952"/>
      <c r="C1328" s="952"/>
      <c r="D1328" s="953"/>
      <c r="E1328" s="954"/>
      <c r="F1328" s="954"/>
      <c r="G1328" s="954"/>
      <c r="H1328" s="955"/>
      <c r="I1328" s="954"/>
      <c r="J1328" s="954"/>
      <c r="K1328" s="954"/>
      <c r="L1328" s="954"/>
      <c r="M1328" s="955"/>
      <c r="N1328" s="954"/>
      <c r="O1328" s="954"/>
      <c r="P1328" s="954"/>
      <c r="Q1328" s="954"/>
      <c r="R1328" s="955"/>
      <c r="S1328" s="954"/>
      <c r="T1328" s="954"/>
      <c r="U1328" s="954"/>
      <c r="V1328" s="954"/>
      <c r="W1328" s="955"/>
      <c r="X1328" s="954"/>
      <c r="Y1328" s="954"/>
      <c r="Z1328" s="954"/>
      <c r="AA1328" s="954"/>
      <c r="AB1328" s="955"/>
      <c r="AC1328" s="954"/>
      <c r="AD1328" s="954"/>
      <c r="AE1328" s="954"/>
      <c r="AF1328" s="954"/>
      <c r="AG1328" s="955"/>
      <c r="AH1328" s="954"/>
      <c r="AI1328" s="954"/>
      <c r="AJ1328" s="954"/>
      <c r="AK1328" s="954"/>
      <c r="AL1328" s="955"/>
      <c r="AM1328" s="954"/>
      <c r="AN1328" s="954"/>
      <c r="AO1328" s="954"/>
      <c r="AP1328" s="954"/>
      <c r="AQ1328" s="955"/>
      <c r="AR1328" s="954"/>
      <c r="AS1328" s="954"/>
      <c r="AT1328" s="954"/>
      <c r="AU1328" s="954"/>
      <c r="AV1328" s="955"/>
      <c r="AW1328" s="954"/>
      <c r="AX1328" s="954"/>
      <c r="AY1328" s="954"/>
      <c r="AZ1328" s="954"/>
      <c r="BA1328" s="955"/>
      <c r="BB1328" s="954"/>
      <c r="BC1328" s="954"/>
      <c r="BD1328" s="954"/>
      <c r="BE1328" s="954"/>
      <c r="BF1328" s="955"/>
      <c r="BG1328" s="953"/>
      <c r="BH1328" s="954"/>
      <c r="BI1328" s="954"/>
      <c r="BJ1328" s="1020"/>
      <c r="BK1328" s="955"/>
      <c r="BL1328" s="954"/>
      <c r="BM1328" s="954"/>
      <c r="BN1328" s="954"/>
      <c r="BO1328" s="1020"/>
      <c r="BP1328" s="955"/>
      <c r="BQ1328" s="954"/>
      <c r="BR1328" s="954"/>
      <c r="BS1328" s="954"/>
      <c r="BT1328" s="1020"/>
      <c r="BU1328" s="3461"/>
      <c r="BV1328" s="954"/>
      <c r="BW1328" s="954"/>
      <c r="BX1328" s="954"/>
      <c r="BY1328" s="1020"/>
      <c r="BZ1328" s="955"/>
      <c r="CA1328" s="955"/>
      <c r="CB1328" s="955"/>
      <c r="CC1328" s="955"/>
      <c r="CD1328" s="955"/>
      <c r="CE1328" s="955"/>
      <c r="CF1328" s="955"/>
      <c r="CG1328" s="955"/>
      <c r="CH1328" s="956"/>
      <c r="CI1328" s="956"/>
      <c r="CJ1328" s="956"/>
      <c r="CK1328" s="956"/>
      <c r="CL1328" s="956"/>
      <c r="CM1328" s="956"/>
      <c r="CN1328" s="956"/>
      <c r="CO1328" s="956"/>
      <c r="CP1328" s="1545"/>
      <c r="CQ1328" s="954"/>
      <c r="CR1328" s="954"/>
      <c r="CS1328" s="954"/>
      <c r="CT1328" s="954"/>
      <c r="CU1328" s="954"/>
      <c r="CV1328" s="954"/>
      <c r="CW1328" s="954"/>
      <c r="CX1328" s="954"/>
      <c r="CY1328" s="954"/>
      <c r="CZ1328" s="954"/>
      <c r="DA1328" s="954"/>
      <c r="DB1328" s="954"/>
      <c r="DC1328" s="954"/>
      <c r="DD1328" s="954"/>
      <c r="DE1328" s="954"/>
      <c r="DF1328" s="954"/>
      <c r="DG1328" s="1020"/>
      <c r="DH1328" s="954"/>
      <c r="DI1328" s="954"/>
      <c r="DJ1328" s="954"/>
      <c r="DK1328" s="954"/>
      <c r="DL1328" s="954"/>
      <c r="DM1328" s="954"/>
      <c r="DN1328" s="265"/>
      <c r="DO1328" s="266"/>
      <c r="DY1328" s="954"/>
      <c r="DZ1328" s="954"/>
    </row>
    <row r="1329" spans="1:130" ht="12" customHeight="1">
      <c r="A1329" s="504"/>
      <c r="B1329" s="952"/>
      <c r="C1329" s="952"/>
      <c r="D1329" s="953"/>
      <c r="E1329" s="954"/>
      <c r="F1329" s="954"/>
      <c r="G1329" s="954"/>
      <c r="H1329" s="955"/>
      <c r="I1329" s="954"/>
      <c r="J1329" s="954"/>
      <c r="K1329" s="954"/>
      <c r="L1329" s="954"/>
      <c r="M1329" s="955"/>
      <c r="N1329" s="954"/>
      <c r="O1329" s="954"/>
      <c r="P1329" s="954"/>
      <c r="Q1329" s="954"/>
      <c r="R1329" s="955"/>
      <c r="S1329" s="954"/>
      <c r="T1329" s="954"/>
      <c r="U1329" s="954"/>
      <c r="V1329" s="954"/>
      <c r="W1329" s="955"/>
      <c r="X1329" s="954"/>
      <c r="Y1329" s="954"/>
      <c r="Z1329" s="954"/>
      <c r="AA1329" s="954"/>
      <c r="AB1329" s="955"/>
      <c r="AC1329" s="954"/>
      <c r="AD1329" s="954"/>
      <c r="AE1329" s="954"/>
      <c r="AF1329" s="954"/>
      <c r="AG1329" s="955"/>
      <c r="AH1329" s="954"/>
      <c r="AI1329" s="954"/>
      <c r="AJ1329" s="954"/>
      <c r="AK1329" s="954"/>
      <c r="AL1329" s="955"/>
      <c r="AM1329" s="954"/>
      <c r="AN1329" s="954"/>
      <c r="AO1329" s="954"/>
      <c r="AP1329" s="954"/>
      <c r="AQ1329" s="955"/>
      <c r="AR1329" s="954"/>
      <c r="AS1329" s="954"/>
      <c r="AT1329" s="954"/>
      <c r="AU1329" s="954"/>
      <c r="AV1329" s="955"/>
      <c r="AW1329" s="954"/>
      <c r="AX1329" s="954"/>
      <c r="AY1329" s="954"/>
      <c r="AZ1329" s="954"/>
      <c r="BA1329" s="955"/>
      <c r="BB1329" s="954"/>
      <c r="BC1329" s="954"/>
      <c r="BD1329" s="954"/>
      <c r="BE1329" s="954"/>
      <c r="BF1329" s="955"/>
      <c r="BG1329" s="953"/>
      <c r="BH1329" s="954"/>
      <c r="BI1329" s="954"/>
      <c r="BJ1329" s="1020"/>
      <c r="BK1329" s="955"/>
      <c r="BL1329" s="954"/>
      <c r="BM1329" s="954"/>
      <c r="BN1329" s="954"/>
      <c r="BO1329" s="1020"/>
      <c r="BP1329" s="955"/>
      <c r="BQ1329" s="954"/>
      <c r="BR1329" s="954"/>
      <c r="BS1329" s="954"/>
      <c r="BT1329" s="1020"/>
      <c r="BU1329" s="3461"/>
      <c r="BV1329" s="954"/>
      <c r="BW1329" s="954"/>
      <c r="BX1329" s="954"/>
      <c r="BY1329" s="1020"/>
      <c r="BZ1329" s="955"/>
      <c r="CA1329" s="955"/>
      <c r="CB1329" s="955"/>
      <c r="CC1329" s="955"/>
      <c r="CD1329" s="955"/>
      <c r="CE1329" s="955"/>
      <c r="CF1329" s="955"/>
      <c r="CG1329" s="955"/>
      <c r="CH1329" s="956"/>
      <c r="CI1329" s="956"/>
      <c r="CJ1329" s="956"/>
      <c r="CK1329" s="956"/>
      <c r="CL1329" s="956"/>
      <c r="CM1329" s="956"/>
      <c r="CN1329" s="956"/>
      <c r="CO1329" s="956"/>
      <c r="CP1329" s="1545"/>
      <c r="CQ1329" s="954"/>
      <c r="CR1329" s="954"/>
      <c r="CS1329" s="954"/>
      <c r="CT1329" s="954"/>
      <c r="CU1329" s="954"/>
      <c r="CV1329" s="954"/>
      <c r="CW1329" s="954"/>
      <c r="CX1329" s="954"/>
      <c r="CY1329" s="954"/>
      <c r="CZ1329" s="954"/>
      <c r="DA1329" s="954"/>
      <c r="DB1329" s="954"/>
      <c r="DC1329" s="954"/>
      <c r="DD1329" s="954"/>
      <c r="DE1329" s="954"/>
      <c r="DF1329" s="954"/>
      <c r="DG1329" s="1020"/>
      <c r="DH1329" s="954"/>
      <c r="DI1329" s="954"/>
      <c r="DJ1329" s="954"/>
      <c r="DK1329" s="954"/>
      <c r="DL1329" s="954"/>
      <c r="DM1329" s="954"/>
      <c r="DN1329" s="265"/>
      <c r="DO1329" s="226"/>
      <c r="DY1329" s="954"/>
      <c r="DZ1329" s="954"/>
    </row>
    <row r="1330" spans="1:130" ht="12" customHeight="1">
      <c r="A1330" s="107" t="s">
        <v>1499</v>
      </c>
      <c r="B1330" s="952"/>
      <c r="C1330" s="952"/>
      <c r="D1330" s="953"/>
      <c r="E1330" s="954"/>
      <c r="F1330" s="954"/>
      <c r="G1330" s="954"/>
      <c r="H1330" s="955"/>
      <c r="I1330" s="954"/>
      <c r="J1330" s="954"/>
      <c r="K1330" s="954"/>
      <c r="L1330" s="954"/>
      <c r="M1330" s="955"/>
      <c r="N1330" s="954"/>
      <c r="O1330" s="954"/>
      <c r="P1330" s="954"/>
      <c r="Q1330" s="954"/>
      <c r="R1330" s="955"/>
      <c r="S1330" s="954"/>
      <c r="T1330" s="954"/>
      <c r="U1330" s="954"/>
      <c r="V1330" s="954"/>
      <c r="W1330" s="955"/>
      <c r="X1330" s="954"/>
      <c r="Y1330" s="954"/>
      <c r="Z1330" s="954"/>
      <c r="AA1330" s="954"/>
      <c r="AB1330" s="955"/>
      <c r="AC1330" s="954"/>
      <c r="AD1330" s="954"/>
      <c r="AE1330" s="954"/>
      <c r="AF1330" s="954"/>
      <c r="AG1330" s="955"/>
      <c r="AH1330" s="954"/>
      <c r="AI1330" s="954"/>
      <c r="AJ1330" s="954"/>
      <c r="AK1330" s="954"/>
      <c r="AL1330" s="955"/>
      <c r="AM1330" s="954"/>
      <c r="AN1330" s="954"/>
      <c r="AO1330" s="954"/>
      <c r="AP1330" s="954"/>
      <c r="AQ1330" s="955"/>
      <c r="AR1330" s="954"/>
      <c r="AS1330" s="954"/>
      <c r="AT1330" s="954"/>
      <c r="AU1330" s="954"/>
      <c r="AV1330" s="955"/>
      <c r="AW1330" s="954"/>
      <c r="AX1330" s="954"/>
      <c r="AY1330" s="954"/>
      <c r="AZ1330" s="954"/>
      <c r="BA1330" s="955"/>
      <c r="BB1330" s="954"/>
      <c r="BC1330" s="954"/>
      <c r="BD1330" s="954"/>
      <c r="BE1330" s="954"/>
      <c r="BF1330" s="955"/>
      <c r="BG1330" s="953"/>
      <c r="BH1330" s="954"/>
      <c r="BI1330" s="954"/>
      <c r="BJ1330" s="1020"/>
      <c r="BK1330" s="955"/>
      <c r="BL1330" s="954"/>
      <c r="BM1330" s="954"/>
      <c r="BN1330" s="954"/>
      <c r="BO1330" s="1020"/>
      <c r="BP1330" s="955"/>
      <c r="BQ1330" s="954"/>
      <c r="BR1330" s="954"/>
      <c r="BS1330" s="954"/>
      <c r="BT1330" s="1020"/>
      <c r="BU1330" s="3461"/>
      <c r="BV1330" s="954"/>
      <c r="BW1330" s="954"/>
      <c r="BX1330" s="954"/>
      <c r="BY1330" s="1020"/>
      <c r="BZ1330" s="955"/>
      <c r="CA1330" s="955"/>
      <c r="CB1330" s="955"/>
      <c r="CC1330" s="955"/>
      <c r="CD1330" s="955"/>
      <c r="CE1330" s="955"/>
      <c r="CF1330" s="955"/>
      <c r="CG1330" s="955"/>
      <c r="CH1330" s="956"/>
      <c r="CI1330" s="956"/>
      <c r="CJ1330" s="956"/>
      <c r="CK1330" s="956"/>
      <c r="CL1330" s="956"/>
      <c r="CM1330" s="956"/>
      <c r="CN1330" s="956"/>
      <c r="CO1330" s="956"/>
      <c r="CP1330" s="80" t="str">
        <f>A1330</f>
        <v>MW Tags</v>
      </c>
      <c r="CQ1330" s="954"/>
      <c r="CR1330" s="954"/>
      <c r="CS1330" s="954"/>
      <c r="CT1330" s="954"/>
      <c r="CU1330" s="954"/>
      <c r="CV1330" s="954"/>
      <c r="CW1330" s="954"/>
      <c r="CX1330" s="954"/>
      <c r="CY1330" s="954"/>
      <c r="CZ1330" s="954"/>
      <c r="DA1330" s="954"/>
      <c r="DB1330" s="954"/>
      <c r="DC1330" s="954"/>
      <c r="DD1330" s="954"/>
      <c r="DE1330" s="954"/>
      <c r="DF1330" s="954"/>
      <c r="DG1330" s="1020"/>
      <c r="DH1330" s="954"/>
      <c r="DI1330" s="954"/>
      <c r="DJ1330" s="954"/>
      <c r="DK1330" s="954"/>
      <c r="DL1330" s="954"/>
      <c r="DM1330" s="954"/>
      <c r="DN1330" s="265"/>
      <c r="DO1330" s="226"/>
      <c r="DY1330" s="954"/>
      <c r="DZ1330" s="954"/>
    </row>
    <row r="1331" spans="1:130" ht="12" customHeight="1">
      <c r="A1331" s="61" t="s">
        <v>1500</v>
      </c>
      <c r="B1331" s="952"/>
      <c r="C1331" s="952"/>
      <c r="D1331" s="446" t="s">
        <v>1134</v>
      </c>
      <c r="E1331" s="447" t="s">
        <v>1134</v>
      </c>
      <c r="F1331" s="447" t="s">
        <v>1134</v>
      </c>
      <c r="G1331" s="447" t="s">
        <v>1134</v>
      </c>
      <c r="H1331" s="563" t="s">
        <v>1134</v>
      </c>
      <c r="I1331" s="447" t="s">
        <v>1134</v>
      </c>
      <c r="J1331" s="447" t="s">
        <v>1134</v>
      </c>
      <c r="K1331" s="447" t="s">
        <v>1134</v>
      </c>
      <c r="L1331" s="447" t="s">
        <v>1134</v>
      </c>
      <c r="M1331" s="563" t="s">
        <v>1134</v>
      </c>
      <c r="N1331" s="447" t="s">
        <v>1134</v>
      </c>
      <c r="O1331" s="447" t="s">
        <v>1134</v>
      </c>
      <c r="P1331" s="447" t="s">
        <v>1134</v>
      </c>
      <c r="Q1331" s="447" t="s">
        <v>1134</v>
      </c>
      <c r="R1331" s="563" t="s">
        <v>1134</v>
      </c>
      <c r="S1331" s="447" t="s">
        <v>1134</v>
      </c>
      <c r="T1331" s="447" t="s">
        <v>1134</v>
      </c>
      <c r="U1331" s="447" t="s">
        <v>1134</v>
      </c>
      <c r="V1331" s="447" t="s">
        <v>1134</v>
      </c>
      <c r="W1331" s="563" t="s">
        <v>1134</v>
      </c>
      <c r="X1331" s="447" t="s">
        <v>1134</v>
      </c>
      <c r="Y1331" s="447" t="s">
        <v>1134</v>
      </c>
      <c r="Z1331" s="447" t="s">
        <v>1134</v>
      </c>
      <c r="AA1331" s="447" t="s">
        <v>1134</v>
      </c>
      <c r="AB1331" s="563" t="s">
        <v>1134</v>
      </c>
      <c r="AC1331" s="447" t="s">
        <v>1134</v>
      </c>
      <c r="AD1331" s="447" t="s">
        <v>1134</v>
      </c>
      <c r="AE1331" s="447" t="s">
        <v>1134</v>
      </c>
      <c r="AF1331" s="447" t="s">
        <v>1134</v>
      </c>
      <c r="AG1331" s="563" t="s">
        <v>1134</v>
      </c>
      <c r="AH1331" s="447" t="s">
        <v>1134</v>
      </c>
      <c r="AI1331" s="447" t="s">
        <v>1134</v>
      </c>
      <c r="AJ1331" s="447" t="s">
        <v>1134</v>
      </c>
      <c r="AK1331" s="447" t="s">
        <v>1134</v>
      </c>
      <c r="AL1331" s="563" t="s">
        <v>1134</v>
      </c>
      <c r="AM1331" s="447" t="s">
        <v>1134</v>
      </c>
      <c r="AN1331" s="447" t="s">
        <v>1134</v>
      </c>
      <c r="AO1331" s="447" t="s">
        <v>1134</v>
      </c>
      <c r="AP1331" s="447" t="s">
        <v>1134</v>
      </c>
      <c r="AQ1331" s="563" t="s">
        <v>1134</v>
      </c>
      <c r="AR1331" s="447" t="s">
        <v>1134</v>
      </c>
      <c r="AS1331" s="447" t="s">
        <v>1134</v>
      </c>
      <c r="AT1331" s="447" t="s">
        <v>1134</v>
      </c>
      <c r="AU1331" s="447" t="s">
        <v>1134</v>
      </c>
      <c r="AV1331" s="563" t="s">
        <v>1134</v>
      </c>
      <c r="AW1331" s="447" t="s">
        <v>1134</v>
      </c>
      <c r="AX1331" s="447" t="s">
        <v>1134</v>
      </c>
      <c r="AY1331" s="447" t="s">
        <v>1134</v>
      </c>
      <c r="AZ1331" s="447" t="s">
        <v>1134</v>
      </c>
      <c r="BA1331" s="563" t="s">
        <v>1134</v>
      </c>
      <c r="BB1331" s="447" t="s">
        <v>1134</v>
      </c>
      <c r="BC1331" s="447" t="s">
        <v>1134</v>
      </c>
      <c r="BD1331" s="447" t="s">
        <v>1134</v>
      </c>
      <c r="BE1331" s="447" t="s">
        <v>1134</v>
      </c>
      <c r="BF1331" s="563" t="s">
        <v>1134</v>
      </c>
      <c r="BG1331" s="446" t="s">
        <v>1134</v>
      </c>
      <c r="BH1331" s="447" t="s">
        <v>1134</v>
      </c>
      <c r="BI1331" s="447" t="s">
        <v>1134</v>
      </c>
      <c r="BJ1331" s="2802" t="s">
        <v>1134</v>
      </c>
      <c r="BK1331" s="563" t="s">
        <v>1134</v>
      </c>
      <c r="BL1331" s="447" t="s">
        <v>1134</v>
      </c>
      <c r="BM1331" s="447" t="s">
        <v>1134</v>
      </c>
      <c r="BN1331" s="447" t="s">
        <v>1134</v>
      </c>
      <c r="BO1331" s="2802" t="s">
        <v>1134</v>
      </c>
      <c r="BP1331" s="563" t="s">
        <v>1134</v>
      </c>
      <c r="BQ1331" s="447" t="s">
        <v>1134</v>
      </c>
      <c r="BR1331" s="447" t="s">
        <v>1134</v>
      </c>
      <c r="BS1331" s="447" t="s">
        <v>1134</v>
      </c>
      <c r="BT1331" s="2802" t="s">
        <v>1134</v>
      </c>
      <c r="BU1331" s="3320" t="s">
        <v>1134</v>
      </c>
      <c r="BV1331" s="447" t="s">
        <v>1134</v>
      </c>
      <c r="BW1331" s="447" t="s">
        <v>1134</v>
      </c>
      <c r="BX1331" s="447" t="s">
        <v>1134</v>
      </c>
      <c r="BY1331" s="2802" t="s">
        <v>1134</v>
      </c>
      <c r="BZ1331" s="3320" t="s">
        <v>1134</v>
      </c>
      <c r="CA1331" s="563" t="s">
        <v>1134</v>
      </c>
      <c r="CB1331" s="563" t="s">
        <v>1134</v>
      </c>
      <c r="CC1331" s="563" t="s">
        <v>1134</v>
      </c>
      <c r="CD1331" s="563" t="s">
        <v>1134</v>
      </c>
      <c r="CE1331" s="563" t="s">
        <v>1134</v>
      </c>
      <c r="CF1331" s="563" t="s">
        <v>1134</v>
      </c>
      <c r="CG1331" s="563" t="s">
        <v>1134</v>
      </c>
      <c r="CH1331" s="956"/>
      <c r="CI1331" s="956"/>
      <c r="CJ1331" s="956"/>
      <c r="CK1331" s="956"/>
      <c r="CL1331" s="956"/>
      <c r="CM1331" s="956"/>
      <c r="CN1331" s="956"/>
      <c r="CO1331" s="956"/>
      <c r="CP1331" s="59" t="str">
        <f>A1331</f>
        <v>Unrecorded Goodwill</v>
      </c>
      <c r="CQ1331" s="564" t="str">
        <f>H1331</f>
        <v>ND</v>
      </c>
      <c r="CR1331" s="564" t="str">
        <f>M1331</f>
        <v>ND</v>
      </c>
      <c r="CS1331" s="564" t="str">
        <f>R1331</f>
        <v>ND</v>
      </c>
      <c r="CT1331" s="564" t="str">
        <f>W1331</f>
        <v>ND</v>
      </c>
      <c r="CU1331" s="564" t="str">
        <f>AB1331</f>
        <v>ND</v>
      </c>
      <c r="CV1331" s="564" t="str">
        <f>AG1331</f>
        <v>ND</v>
      </c>
      <c r="CW1331" s="564" t="str">
        <f>AL1331</f>
        <v>ND</v>
      </c>
      <c r="CX1331" s="564" t="str">
        <f>AQ1331</f>
        <v>ND</v>
      </c>
      <c r="CY1331" s="564" t="str">
        <f>AV1331</f>
        <v>ND</v>
      </c>
      <c r="CZ1331" s="564" t="str">
        <f>BA1331</f>
        <v>ND</v>
      </c>
      <c r="DA1331" s="564" t="str">
        <f>BF1331</f>
        <v>ND</v>
      </c>
      <c r="DB1331" s="564" t="str">
        <f>BK1331</f>
        <v>ND</v>
      </c>
      <c r="DC1331" s="564" t="str">
        <f>BP1331</f>
        <v>ND</v>
      </c>
      <c r="DD1331" s="564" t="str">
        <f>BU1331</f>
        <v>ND</v>
      </c>
      <c r="DE1331" s="564" t="str">
        <f t="shared" ref="DE1331:DG1334" si="2434">BZ1331</f>
        <v>ND</v>
      </c>
      <c r="DF1331" s="564" t="str">
        <f t="shared" si="2434"/>
        <v>ND</v>
      </c>
      <c r="DG1331" s="1789" t="str">
        <f t="shared" si="2434"/>
        <v>ND</v>
      </c>
      <c r="DH1331" s="954"/>
      <c r="DI1331" s="954"/>
      <c r="DJ1331" s="954"/>
      <c r="DK1331" s="954"/>
      <c r="DL1331" s="954"/>
      <c r="DM1331" s="954"/>
      <c r="DN1331" s="265"/>
      <c r="DO1331" s="227"/>
      <c r="DY1331" s="447"/>
      <c r="DZ1331" s="447"/>
    </row>
    <row r="1332" spans="1:130" ht="12" customHeight="1">
      <c r="A1332" s="61" t="s">
        <v>512</v>
      </c>
      <c r="B1332" s="530"/>
      <c r="C1332" s="530"/>
      <c r="D1332" s="446">
        <v>5.6</v>
      </c>
      <c r="E1332" s="564">
        <f>E1119-D1119+E1120-D1120+E1121-D1121-E84-E1333</f>
        <v>21.672000000000043</v>
      </c>
      <c r="F1332" s="564">
        <f>F1119-E1119+F1120-E1120+F1121-E1121-F84-F1333</f>
        <v>374.42400000000015</v>
      </c>
      <c r="G1332" s="564">
        <f>G1119-F1119+G1120-F1120+G1121-F1121-G84-G1333</f>
        <v>11.148999999999939</v>
      </c>
      <c r="H1332" s="736">
        <f>SUM(D1332:G1332)</f>
        <v>412.84500000000014</v>
      </c>
      <c r="I1332" s="564">
        <f>I1119-H1119+I1120-H1120+I1121-H1121-I84-I1333</f>
        <v>11.140000000000002</v>
      </c>
      <c r="J1332" s="564">
        <f>J1119-I1119+J1120-I1120+J1121-I1121-J84-J1333</f>
        <v>16.862000000000144</v>
      </c>
      <c r="K1332" s="564">
        <f>K1119-J1119+K1120-J1120+K1121-J1121-K84-K1333</f>
        <v>14.382999999999901</v>
      </c>
      <c r="L1332" s="564">
        <f>L1119-K1119+L1120-K1120+L1121-K1121-L84-L1333</f>
        <v>2.761999999999885</v>
      </c>
      <c r="M1332" s="736">
        <f>M1119-H1119+M1120-H1120+M1121-H1121-M84-M1333</f>
        <v>45.147000000000119</v>
      </c>
      <c r="N1332" s="564">
        <f>N1119-M1119+N1120-M1120+N1121-M1121-N84-N1333</f>
        <v>9.3010000000000961</v>
      </c>
      <c r="O1332" s="564">
        <f>O1119-N1119+O1120-N1120+O1121-N1121-O84-O1333</f>
        <v>16.386999999999929</v>
      </c>
      <c r="P1332" s="564">
        <f>P1119-O1119+P1120-O1120+P1121-O1121-P84-P1333</f>
        <v>-104.76100000000001</v>
      </c>
      <c r="Q1332" s="564">
        <f>Q1119-P1119+Q1120-P1120+Q1121-P1121-Q84-Q1333</f>
        <v>21.168000000000035</v>
      </c>
      <c r="R1332" s="736">
        <f>R1119-M1119+R1120-M1120+R1121-M1121-R84-R1333</f>
        <v>-57.904999999999951</v>
      </c>
      <c r="S1332" s="564">
        <f>S1119-R1119+S1120-R1120+S1121-R1121-S84-S1333</f>
        <v>12.675999999999892</v>
      </c>
      <c r="T1332" s="564">
        <f>T1119-S1119+T1120-S1120+T1121-S1121-T84-T1333</f>
        <v>15.539999999999988</v>
      </c>
      <c r="U1332" s="564">
        <f>U1119-T1119+U1120-T1120+U1121-T1121-U84-U1333</f>
        <v>6.1630000000000287</v>
      </c>
      <c r="V1332" s="564">
        <f>V1119-U1119+V1120-U1120+V1121-U1121-V84-V1333</f>
        <v>5.4529999999999959</v>
      </c>
      <c r="W1332" s="736">
        <f>W1119-R1119+W1120-R1120+W1121-R1121-W84-W1333</f>
        <v>39.831999999999894</v>
      </c>
      <c r="X1332" s="564">
        <f>X1119-W1119+X1120-W1120+X1121-W1121-X84-X1333</f>
        <v>4.1230000000000437</v>
      </c>
      <c r="Y1332" s="564">
        <f>Y1119-X1119+Y1120-X1120+Y1121-X1121-Y84-Y1333</f>
        <v>3.3609999999999651</v>
      </c>
      <c r="Z1332" s="564">
        <f>Z1119-Y1119+Z1120-Y1120+Z1121-Y1121-Z84-Z1333</f>
        <v>3.442999999999957</v>
      </c>
      <c r="AA1332" s="564">
        <f>AA1119-Z1119+AA1120-Z1120+AA1121-Z1121-AA84-AA1333</f>
        <v>5.6269999999999527</v>
      </c>
      <c r="AB1332" s="736">
        <f>AB1119-W1119+AB1120-W1120+AB1121-W1121-AB84-AB1333</f>
        <v>16.553999999999931</v>
      </c>
      <c r="AC1332" s="564">
        <f>AC1119-AB1119+AC1120-AB1120+AC1121-AB1121-AC84-AC1333</f>
        <v>-3.4139999999999571</v>
      </c>
      <c r="AD1332" s="564">
        <f>AD1119-AC1119+AD1120-AC1120+AD1121-AC1121-AD84-AD1333</f>
        <v>2.5380000000001353</v>
      </c>
      <c r="AE1332" s="564">
        <f>AE1119-AD1119+AE1120-AD1120+AE1121-AD1121-AE84-AE1333</f>
        <v>3.1519999999999841</v>
      </c>
      <c r="AF1332" s="564">
        <f>AF1119-AE1119+AF1120-AE1120+AF1121-AE1121-AF84-AF1333</f>
        <v>4.4349999999999996</v>
      </c>
      <c r="AG1332" s="736">
        <f>AG1119-AB1119+AG1120-AB1120+AG1121-AB1121-AG84-AG1333</f>
        <v>6.7110000000000483</v>
      </c>
      <c r="AH1332" s="564">
        <f>AH1119-AG1119+AH1120-AG1120+AH1121-AG1121-AH86-AH1333</f>
        <v>2.9539999999999615</v>
      </c>
      <c r="AI1332" s="564">
        <f>AI1119-AH1119+AI1120-AH1120+AI1121-AH1121-AI86-AI1333</f>
        <v>3.3620000000000037</v>
      </c>
      <c r="AJ1332" s="564">
        <f>AJ1119-AI1119+AJ1120-AI1120+AJ1121-AI1121-AJ86-AJ1333</f>
        <v>2.4119999999999138</v>
      </c>
      <c r="AK1332" s="564">
        <f>AK1119-AJ1119+AK1120-AJ1120+AK1121-AJ1121-AK86-AK1333</f>
        <v>3.2360000000000593</v>
      </c>
      <c r="AL1332" s="736">
        <f>SUM(AH1332:AK1332)</f>
        <v>11.963999999999938</v>
      </c>
      <c r="AM1332" s="564">
        <f>AM1119-AL1119+AM1120-AL1120+AM1121-AL1121-AM86-AM1333</f>
        <v>3.8650000000000757</v>
      </c>
      <c r="AN1332" s="564">
        <f>AN1119-AM1119+AN1120-AM1120+AN1121-AM1121-AN86-AN1333</f>
        <v>1.7689999999998403</v>
      </c>
      <c r="AO1332" s="564">
        <f>AO1119-AN1119+AO1120-AN1120+AO1121-AN1121-AO86-AO1333</f>
        <v>1.9290000000001188</v>
      </c>
      <c r="AP1332" s="564">
        <f>AP1119-AO1119+AP1120-AO1120+AP1121-AO1121-AP86-AP1333</f>
        <v>1.9309999999998424</v>
      </c>
      <c r="AQ1332" s="736">
        <f>SUM(AM1332:AP1332)</f>
        <v>9.4939999999998772</v>
      </c>
      <c r="AR1332" s="564">
        <f>AR1119-AQ1119+AR1120-AQ1120+AR1121-AQ1121-AR86-AR1333</f>
        <v>2.9630000000000738</v>
      </c>
      <c r="AS1332" s="564">
        <f>AS1119-AR1119+AS1120-AR1120+AS1121-AR1121-AS86-AS1333</f>
        <v>2.11899999999999</v>
      </c>
      <c r="AT1332" s="564">
        <f>AT1119-AS1119+AT1120-AS1120+AT1121-AS1121-AT86-AT1333</f>
        <v>1.5640000000000196</v>
      </c>
      <c r="AU1332" s="564">
        <f>AU1119-AT1119+AU1120-AT1120+AU1121-AT1121-AU86-AU1333</f>
        <v>4.1919999999996662</v>
      </c>
      <c r="AV1332" s="736">
        <f>SUM(AR1332:AU1332)</f>
        <v>10.837999999999749</v>
      </c>
      <c r="AW1332" s="564">
        <f>AW1119-AV1119+AW1120-AV1120+AW1121-AV1121-AW86-AW1333</f>
        <v>3.0755000000000017</v>
      </c>
      <c r="AX1332" s="564">
        <f>AX1119-AW1119+AX1120-AW1120+AX1121-AW1121-AX86-AX1333</f>
        <v>27.550499999999975</v>
      </c>
      <c r="AY1332" s="564">
        <f>AY1119-AX1119+AY1120-AX1120+AY1121-AX1121-AY86-AY1333</f>
        <v>219.01000000000005</v>
      </c>
      <c r="AZ1332" s="564">
        <f>AZ1119-AY1119+AZ1120-AY1120+AZ1121-AY1121-AZ86-AZ1333</f>
        <v>8.2504999999999882</v>
      </c>
      <c r="BA1332" s="736">
        <f>SUM(AW1332:AZ1332)</f>
        <v>257.88650000000001</v>
      </c>
      <c r="BB1332" s="564">
        <f>BB1119-BA1119+BB1120-BA1120+BB1121-BA1121-BB86-BB1333</f>
        <v>7.0110000000000188</v>
      </c>
      <c r="BC1332" s="564">
        <f>BC1119-BB1119+BC1120-BB1120+BC1121-BB1121-BC86-BC1333</f>
        <v>3.5519999999999126</v>
      </c>
      <c r="BD1332" s="564">
        <f>BD1119-BC1119+BD1120-BC1120+BD1121-BC1121-BD86-BD1333</f>
        <v>1.1894999999999918</v>
      </c>
      <c r="BE1332" s="564">
        <f>BE1119-BD1119+BE1120-BD1120+BE1121-BD1121-BE86-BE1333</f>
        <v>7.7300000000000182</v>
      </c>
      <c r="BF1332" s="736">
        <f>SUM(BB1332:BE1332)</f>
        <v>19.482499999999941</v>
      </c>
      <c r="BG1332" s="734">
        <f>BG1119-BF1119+BG1120-BF1120+BG1121-BF1121-BG86-BG1333</f>
        <v>5.4144999999999683</v>
      </c>
      <c r="BH1332" s="564">
        <f>BH1119-BG1119+BH1120-BG1120+BH1121-BG1121-BH86-BH1333</f>
        <v>3.0524999999999345</v>
      </c>
      <c r="BI1332" s="564">
        <f>BI1119-BH1119+BI1120-BH1120+BI1121-BH1121-BI86-BI1333</f>
        <v>5.6349999999999838</v>
      </c>
      <c r="BJ1332" s="1789">
        <f>BJ1119-BI1119+BJ1120-BI1120+BJ1121-BI1121-BJ86-BJ1333</f>
        <v>8.8510000000000151</v>
      </c>
      <c r="BK1332" s="736">
        <f>SUM(BG1332:BJ1332)</f>
        <v>22.952999999999903</v>
      </c>
      <c r="BL1332" s="564">
        <f>BL1119-BK1119+BL1120-BK1120+BL1121-BK1121-BL86-BL1333</f>
        <v>1.8764999999999716</v>
      </c>
      <c r="BM1332" s="564">
        <f>BM1119-BL1119+BM1120-BL1120+BM1121-BL1121-BM86-BM1333</f>
        <v>22.318000000000069</v>
      </c>
      <c r="BN1332" s="564">
        <f>BN1119-BM1119+BN1120-BM1120+BN1121-BM1121-BN86-BN1333</f>
        <v>183.70599999999985</v>
      </c>
      <c r="BO1332" s="1789">
        <f>BO1119-BN1119+BO1120-BN1120+BO1121-BN1121-BO86-BO1333</f>
        <v>1.4110000000001257</v>
      </c>
      <c r="BP1332" s="736">
        <f>SUM(BL1332:BO1332)</f>
        <v>209.3115</v>
      </c>
      <c r="BQ1332" s="564">
        <f>BQ1119-BP1119+BQ1120-BP1120+BQ1121-BP1121-BQ86-BQ1333</f>
        <v>15.945999999999998</v>
      </c>
      <c r="BR1332" s="564">
        <f>BR1119-BQ1119+BR1120-BQ1120+BR1121-BQ1121-BR86-BR1333</f>
        <v>16.310149999999972</v>
      </c>
      <c r="BS1332" s="564">
        <f>BS1119-BR1119+BS1120-BR1120+BS1121-BR1121-BS86-BS1333</f>
        <v>-13.021150000000002</v>
      </c>
      <c r="BT1332" s="1789">
        <f>BT1119-BS1119+BT1120-BS1120+BT1121-BS1121-BT86-BT1333</f>
        <v>-75.774750000000054</v>
      </c>
      <c r="BU1332" s="3320">
        <f>SUM(BQ1332:BT1332)</f>
        <v>-56.539750000000083</v>
      </c>
      <c r="BV1332" s="564">
        <f>BV1119-BU1119+BV1120-BU1120+BV1121-BU1121-BV86-BV1333</f>
        <v>-8.8169999999999966</v>
      </c>
      <c r="BW1332" s="564">
        <f>BW1119-BV1119+BW1120-BV1120+BW1121-BV1121-BW86-BW1333</f>
        <v>-6.1530000000000129</v>
      </c>
      <c r="BX1332" s="564">
        <f>BX1119-BW1119+BX1120-BW1120+BX1121-BW1121-BX86-BX1333</f>
        <v>-9.5179999999999971</v>
      </c>
      <c r="BY1332" s="1789">
        <f>BY1119-BX1119+BY1120-BX1120+BY1121-BX1121-BY86-BY1333</f>
        <v>-5.6989999999999403</v>
      </c>
      <c r="BZ1332" s="3320">
        <f>SUM(BV1332:BY1332)</f>
        <v>-30.186999999999948</v>
      </c>
      <c r="CA1332" s="736">
        <f t="shared" ref="CA1332:CG1332" si="2435">CA1119-BZ1119+CA1120-BZ1120+CA1121-BZ1121-CA86-CA1333</f>
        <v>29.812999999999931</v>
      </c>
      <c r="CB1332" s="736">
        <f t="shared" si="2435"/>
        <v>29.81299999999996</v>
      </c>
      <c r="CC1332" s="736">
        <f t="shared" si="2435"/>
        <v>19.812999999999988</v>
      </c>
      <c r="CD1332" s="736">
        <f t="shared" si="2435"/>
        <v>19.812999999999988</v>
      </c>
      <c r="CE1332" s="736">
        <f t="shared" si="2435"/>
        <v>19.812999999999988</v>
      </c>
      <c r="CF1332" s="736">
        <f t="shared" si="2435"/>
        <v>19.81299999999996</v>
      </c>
      <c r="CG1332" s="736">
        <f t="shared" si="2435"/>
        <v>19.812999999999988</v>
      </c>
      <c r="CH1332" s="3998"/>
      <c r="CI1332" s="3998"/>
      <c r="CJ1332" s="3998"/>
      <c r="CK1332" s="3998"/>
      <c r="CL1332" s="941"/>
      <c r="CM1332" s="941"/>
      <c r="CN1332" s="941"/>
      <c r="CO1332" s="941"/>
      <c r="CP1332" s="59" t="str">
        <f>A1332</f>
        <v>Issuance and repurchase of common stock</v>
      </c>
      <c r="CQ1332" s="564">
        <f>H1332</f>
        <v>412.84500000000014</v>
      </c>
      <c r="CR1332" s="564">
        <f>M1332</f>
        <v>45.147000000000119</v>
      </c>
      <c r="CS1332" s="564">
        <f>R1332</f>
        <v>-57.904999999999951</v>
      </c>
      <c r="CT1332" s="564">
        <f>W1332</f>
        <v>39.831999999999894</v>
      </c>
      <c r="CU1332" s="564">
        <f>AB1332</f>
        <v>16.553999999999931</v>
      </c>
      <c r="CV1332" s="564">
        <f>AG1332</f>
        <v>6.7110000000000483</v>
      </c>
      <c r="CW1332" s="564">
        <f>AL1332</f>
        <v>11.963999999999938</v>
      </c>
      <c r="CX1332" s="564">
        <f>AQ1332</f>
        <v>9.4939999999998772</v>
      </c>
      <c r="CY1332" s="564">
        <f>AV1332</f>
        <v>10.837999999999749</v>
      </c>
      <c r="CZ1332" s="564">
        <f>BA1332</f>
        <v>257.88650000000001</v>
      </c>
      <c r="DA1332" s="564">
        <f>BF1332</f>
        <v>19.482499999999941</v>
      </c>
      <c r="DB1332" s="564">
        <f>BK1332</f>
        <v>22.952999999999903</v>
      </c>
      <c r="DC1332" s="564">
        <f>BP1332</f>
        <v>209.3115</v>
      </c>
      <c r="DD1332" s="564">
        <f>BU1332</f>
        <v>-56.539750000000083</v>
      </c>
      <c r="DE1332" s="564">
        <f t="shared" si="2434"/>
        <v>-30.186999999999948</v>
      </c>
      <c r="DF1332" s="564">
        <f t="shared" si="2434"/>
        <v>29.812999999999931</v>
      </c>
      <c r="DG1332" s="1789">
        <f t="shared" si="2434"/>
        <v>29.81299999999996</v>
      </c>
      <c r="DH1332" s="564"/>
      <c r="DI1332" s="564"/>
      <c r="DJ1332" s="564"/>
      <c r="DK1332" s="564"/>
      <c r="DL1332" s="564"/>
      <c r="DM1332" s="564"/>
      <c r="DN1332" s="222"/>
      <c r="DO1332" s="227"/>
      <c r="DY1332" s="564"/>
      <c r="DZ1332" s="564"/>
    </row>
    <row r="1333" spans="1:130" ht="12" customHeight="1">
      <c r="A1333" s="500" t="s">
        <v>259</v>
      </c>
      <c r="B1333" s="952"/>
      <c r="C1333" s="952"/>
      <c r="D1333" s="734">
        <f t="shared" ref="D1333:BL1333" si="2436">D1040</f>
        <v>-4.9000000000000004</v>
      </c>
      <c r="E1333" s="564">
        <f t="shared" si="2436"/>
        <v>-5.0169999999999995</v>
      </c>
      <c r="F1333" s="564">
        <f t="shared" si="2436"/>
        <v>-7.3729999999999993</v>
      </c>
      <c r="G1333" s="564">
        <f t="shared" si="2436"/>
        <v>-7.4270000000000014</v>
      </c>
      <c r="H1333" s="736">
        <f t="shared" si="2436"/>
        <v>-24.716999999999999</v>
      </c>
      <c r="I1333" s="564">
        <f t="shared" si="2436"/>
        <v>-7.452</v>
      </c>
      <c r="J1333" s="564">
        <f t="shared" si="2436"/>
        <v>-11.046000000000001</v>
      </c>
      <c r="K1333" s="564">
        <f t="shared" si="2436"/>
        <v>-11.079999999999997</v>
      </c>
      <c r="L1333" s="564">
        <f t="shared" si="2436"/>
        <v>-11.157000000000002</v>
      </c>
      <c r="M1333" s="736">
        <f t="shared" si="2436"/>
        <v>-40.734999999999999</v>
      </c>
      <c r="N1333" s="564">
        <f t="shared" si="2436"/>
        <v>-11.162000000000001</v>
      </c>
      <c r="O1333" s="564">
        <f t="shared" si="2436"/>
        <v>-12.106999999999998</v>
      </c>
      <c r="P1333" s="564">
        <f t="shared" si="2436"/>
        <v>-11.657000000000002</v>
      </c>
      <c r="Q1333" s="564">
        <f t="shared" si="2436"/>
        <v>-11.735999999999995</v>
      </c>
      <c r="R1333" s="736">
        <f t="shared" si="2436"/>
        <v>-46.661999999999999</v>
      </c>
      <c r="S1333" s="564">
        <f t="shared" si="2436"/>
        <v>-11.77</v>
      </c>
      <c r="T1333" s="564">
        <f t="shared" si="2436"/>
        <v>-13.106999999999999</v>
      </c>
      <c r="U1333" s="564">
        <f t="shared" si="2436"/>
        <v>-13.156000000000002</v>
      </c>
      <c r="V1333" s="564">
        <f t="shared" si="2436"/>
        <v>-13.162000000000003</v>
      </c>
      <c r="W1333" s="736">
        <f t="shared" si="2436"/>
        <v>-51.195000000000007</v>
      </c>
      <c r="X1333" s="564">
        <f t="shared" si="2436"/>
        <v>-13.163</v>
      </c>
      <c r="Y1333" s="564">
        <f t="shared" si="2436"/>
        <v>-13.166999999999998</v>
      </c>
      <c r="Z1333" s="564">
        <f t="shared" si="2436"/>
        <v>0</v>
      </c>
      <c r="AA1333" s="564">
        <f t="shared" si="2436"/>
        <v>0</v>
      </c>
      <c r="AB1333" s="736">
        <f t="shared" si="2436"/>
        <v>-26.33</v>
      </c>
      <c r="AC1333" s="564">
        <f t="shared" si="2436"/>
        <v>0</v>
      </c>
      <c r="AD1333" s="564">
        <f t="shared" si="2436"/>
        <v>0</v>
      </c>
      <c r="AE1333" s="564">
        <f t="shared" si="2436"/>
        <v>0</v>
      </c>
      <c r="AF1333" s="564">
        <f t="shared" si="2436"/>
        <v>0</v>
      </c>
      <c r="AG1333" s="736">
        <f t="shared" si="2436"/>
        <v>0</v>
      </c>
      <c r="AH1333" s="564">
        <f t="shared" si="2436"/>
        <v>0</v>
      </c>
      <c r="AI1333" s="564">
        <f t="shared" si="2436"/>
        <v>0</v>
      </c>
      <c r="AJ1333" s="564">
        <f t="shared" si="2436"/>
        <v>0</v>
      </c>
      <c r="AK1333" s="564">
        <f t="shared" si="2436"/>
        <v>0</v>
      </c>
      <c r="AL1333" s="736">
        <v>0</v>
      </c>
      <c r="AM1333" s="564">
        <f t="shared" si="2436"/>
        <v>0</v>
      </c>
      <c r="AN1333" s="564">
        <f t="shared" si="2436"/>
        <v>0</v>
      </c>
      <c r="AO1333" s="564">
        <f t="shared" si="2436"/>
        <v>0</v>
      </c>
      <c r="AP1333" s="564">
        <f t="shared" si="2436"/>
        <v>0</v>
      </c>
      <c r="AQ1333" s="736">
        <f t="shared" si="2436"/>
        <v>0</v>
      </c>
      <c r="AR1333" s="564">
        <f>AR1040</f>
        <v>0</v>
      </c>
      <c r="AS1333" s="564">
        <f>AS1040</f>
        <v>0</v>
      </c>
      <c r="AT1333" s="564">
        <f>AT1040</f>
        <v>0</v>
      </c>
      <c r="AU1333" s="564">
        <f>AU1040</f>
        <v>0</v>
      </c>
      <c r="AV1333" s="736">
        <f t="shared" si="2436"/>
        <v>0</v>
      </c>
      <c r="AW1333" s="564">
        <f t="shared" si="2436"/>
        <v>0</v>
      </c>
      <c r="AX1333" s="564">
        <f t="shared" si="2436"/>
        <v>0</v>
      </c>
      <c r="AY1333" s="564">
        <f t="shared" si="2436"/>
        <v>0</v>
      </c>
      <c r="AZ1333" s="564">
        <f t="shared" si="2436"/>
        <v>0</v>
      </c>
      <c r="BA1333" s="736">
        <f t="shared" si="2436"/>
        <v>0</v>
      </c>
      <c r="BB1333" s="564">
        <f t="shared" si="2436"/>
        <v>0</v>
      </c>
      <c r="BC1333" s="564">
        <f t="shared" si="2436"/>
        <v>0</v>
      </c>
      <c r="BD1333" s="564">
        <f t="shared" si="2436"/>
        <v>0</v>
      </c>
      <c r="BE1333" s="564">
        <f t="shared" si="2436"/>
        <v>0</v>
      </c>
      <c r="BF1333" s="736">
        <f t="shared" si="2436"/>
        <v>0</v>
      </c>
      <c r="BG1333" s="734">
        <f t="shared" si="2436"/>
        <v>0</v>
      </c>
      <c r="BH1333" s="564">
        <f t="shared" si="2436"/>
        <v>0</v>
      </c>
      <c r="BI1333" s="564">
        <f t="shared" si="2436"/>
        <v>0</v>
      </c>
      <c r="BJ1333" s="1789">
        <f t="shared" si="2436"/>
        <v>0</v>
      </c>
      <c r="BK1333" s="736">
        <f t="shared" si="2436"/>
        <v>0</v>
      </c>
      <c r="BL1333" s="564">
        <f t="shared" si="2436"/>
        <v>0</v>
      </c>
      <c r="BM1333" s="564">
        <f t="shared" ref="BM1333:CB1333" si="2437">BM1040</f>
        <v>0</v>
      </c>
      <c r="BN1333" s="564">
        <f t="shared" si="2437"/>
        <v>0</v>
      </c>
      <c r="BO1333" s="1789">
        <f t="shared" si="2437"/>
        <v>0</v>
      </c>
      <c r="BP1333" s="736">
        <f t="shared" si="2437"/>
        <v>0</v>
      </c>
      <c r="BQ1333" s="564">
        <f t="shared" ref="BQ1333:BZ1333" si="2438">BQ1040</f>
        <v>0</v>
      </c>
      <c r="BR1333" s="564">
        <f t="shared" si="2438"/>
        <v>-5.7961500000000008</v>
      </c>
      <c r="BS1333" s="564">
        <f t="shared" si="2438"/>
        <v>0.14315000000000122</v>
      </c>
      <c r="BT1333" s="1789">
        <f t="shared" si="2438"/>
        <v>-5.7602500000000001</v>
      </c>
      <c r="BU1333" s="3320">
        <f t="shared" si="2438"/>
        <v>-11.41325</v>
      </c>
      <c r="BV1333" s="564">
        <f t="shared" si="2438"/>
        <v>-5.7330168845315903</v>
      </c>
      <c r="BW1333" s="564">
        <f t="shared" si="2438"/>
        <v>-5.7063177517194248</v>
      </c>
      <c r="BX1333" s="564">
        <f t="shared" si="2438"/>
        <v>-5.68014213131534</v>
      </c>
      <c r="BY1333" s="1789">
        <f t="shared" si="2438"/>
        <v>-5.6544797583701589</v>
      </c>
      <c r="BZ1333" s="3320">
        <f t="shared" si="2438"/>
        <v>-22.773956525936512</v>
      </c>
      <c r="CA1333" s="736">
        <f t="shared" si="2437"/>
        <v>-22.773956525936512</v>
      </c>
      <c r="CB1333" s="736">
        <f t="shared" si="2437"/>
        <v>-22.773956525936512</v>
      </c>
      <c r="CC1333" s="736">
        <f>CC1040</f>
        <v>0</v>
      </c>
      <c r="CD1333" s="736">
        <f>CD1040</f>
        <v>0</v>
      </c>
      <c r="CE1333" s="736">
        <f>CE1040</f>
        <v>0</v>
      </c>
      <c r="CF1333" s="736">
        <f>CF1040</f>
        <v>0</v>
      </c>
      <c r="CG1333" s="736">
        <f>CG1040</f>
        <v>0</v>
      </c>
      <c r="CH1333" s="956"/>
      <c r="CI1333" s="956"/>
      <c r="CJ1333" s="956"/>
      <c r="CK1333" s="956"/>
      <c r="CL1333" s="956"/>
      <c r="CM1333" s="956"/>
      <c r="CN1333" s="956"/>
      <c r="CO1333" s="956"/>
      <c r="CP1333" s="1021" t="str">
        <f>A1333</f>
        <v>Dividend</v>
      </c>
      <c r="CQ1333" s="564">
        <f>H1333</f>
        <v>-24.716999999999999</v>
      </c>
      <c r="CR1333" s="564">
        <f>M1333</f>
        <v>-40.734999999999999</v>
      </c>
      <c r="CS1333" s="564">
        <f>R1333</f>
        <v>-46.661999999999999</v>
      </c>
      <c r="CT1333" s="564">
        <f>W1333</f>
        <v>-51.195000000000007</v>
      </c>
      <c r="CU1333" s="564">
        <f>AB1333</f>
        <v>-26.33</v>
      </c>
      <c r="CV1333" s="564">
        <f>AG1333</f>
        <v>0</v>
      </c>
      <c r="CW1333" s="564">
        <f>AL1333</f>
        <v>0</v>
      </c>
      <c r="CX1333" s="564">
        <f>AQ1333</f>
        <v>0</v>
      </c>
      <c r="CY1333" s="564">
        <f>AV1333</f>
        <v>0</v>
      </c>
      <c r="CZ1333" s="564">
        <f>BA1333</f>
        <v>0</v>
      </c>
      <c r="DA1333" s="564">
        <f>BF1333</f>
        <v>0</v>
      </c>
      <c r="DB1333" s="564">
        <f>BK1333</f>
        <v>0</v>
      </c>
      <c r="DC1333" s="564">
        <f>BP1333</f>
        <v>0</v>
      </c>
      <c r="DD1333" s="564">
        <f>BU1333</f>
        <v>-11.41325</v>
      </c>
      <c r="DE1333" s="564">
        <f t="shared" si="2434"/>
        <v>-22.773956525936512</v>
      </c>
      <c r="DF1333" s="564">
        <f t="shared" si="2434"/>
        <v>-22.773956525936512</v>
      </c>
      <c r="DG1333" s="1789">
        <f t="shared" si="2434"/>
        <v>-22.773956525936512</v>
      </c>
      <c r="DH1333" s="954"/>
      <c r="DI1333" s="954"/>
      <c r="DJ1333" s="954"/>
      <c r="DK1333" s="954"/>
      <c r="DL1333" s="954"/>
      <c r="DM1333" s="954"/>
      <c r="DN1333" s="265"/>
      <c r="DO1333" s="227"/>
      <c r="DY1333" s="564"/>
      <c r="DZ1333" s="564"/>
    </row>
    <row r="1334" spans="1:130" ht="12" customHeight="1">
      <c r="A1334" s="500" t="s">
        <v>149</v>
      </c>
      <c r="B1334" s="530"/>
      <c r="C1334" s="530"/>
      <c r="D1334" s="1691">
        <v>0.35</v>
      </c>
      <c r="E1334" s="759">
        <v>0.35</v>
      </c>
      <c r="F1334" s="759">
        <v>0.35</v>
      </c>
      <c r="G1334" s="759">
        <v>0.35</v>
      </c>
      <c r="H1334" s="758">
        <v>0.35</v>
      </c>
      <c r="I1334" s="759">
        <v>0.35</v>
      </c>
      <c r="J1334" s="759">
        <v>0.35</v>
      </c>
      <c r="K1334" s="759">
        <v>0.35</v>
      </c>
      <c r="L1334" s="759">
        <v>0.35</v>
      </c>
      <c r="M1334" s="758">
        <v>0.35</v>
      </c>
      <c r="N1334" s="759">
        <v>0.35</v>
      </c>
      <c r="O1334" s="759">
        <v>0.35</v>
      </c>
      <c r="P1334" s="759">
        <v>0.35</v>
      </c>
      <c r="Q1334" s="759">
        <v>0.35</v>
      </c>
      <c r="R1334" s="758">
        <v>0.35</v>
      </c>
      <c r="S1334" s="759">
        <v>0.35</v>
      </c>
      <c r="T1334" s="759">
        <v>0.35</v>
      </c>
      <c r="U1334" s="759">
        <v>0.35</v>
      </c>
      <c r="V1334" s="759">
        <v>0.35</v>
      </c>
      <c r="W1334" s="758">
        <v>0.35</v>
      </c>
      <c r="X1334" s="759">
        <v>0.35</v>
      </c>
      <c r="Y1334" s="759">
        <v>0.35</v>
      </c>
      <c r="Z1334" s="759">
        <v>0.35</v>
      </c>
      <c r="AA1334" s="759">
        <v>0.35</v>
      </c>
      <c r="AB1334" s="758">
        <v>0.35</v>
      </c>
      <c r="AC1334" s="759">
        <v>0.35</v>
      </c>
      <c r="AD1334" s="759">
        <v>0.35</v>
      </c>
      <c r="AE1334" s="759">
        <v>0.35</v>
      </c>
      <c r="AF1334" s="759">
        <v>0.35</v>
      </c>
      <c r="AG1334" s="758">
        <v>0.35</v>
      </c>
      <c r="AH1334" s="759">
        <v>0.35</v>
      </c>
      <c r="AI1334" s="759">
        <v>0.35</v>
      </c>
      <c r="AJ1334" s="759">
        <v>0.35</v>
      </c>
      <c r="AK1334" s="759">
        <v>0.35</v>
      </c>
      <c r="AL1334" s="758">
        <v>0.35</v>
      </c>
      <c r="AM1334" s="759">
        <v>0.35</v>
      </c>
      <c r="AN1334" s="759">
        <v>0.35</v>
      </c>
      <c r="AO1334" s="759">
        <v>0.35</v>
      </c>
      <c r="AP1334" s="759">
        <v>0.35</v>
      </c>
      <c r="AQ1334" s="758">
        <v>0.35</v>
      </c>
      <c r="AR1334" s="1557">
        <v>0.35</v>
      </c>
      <c r="AS1334" s="759">
        <v>0.35</v>
      </c>
      <c r="AT1334" s="759">
        <v>0.35</v>
      </c>
      <c r="AU1334" s="1692">
        <v>0.35</v>
      </c>
      <c r="AV1334" s="758">
        <v>0.35</v>
      </c>
      <c r="AW1334" s="1557">
        <v>0.35</v>
      </c>
      <c r="AX1334" s="759">
        <v>0.35</v>
      </c>
      <c r="AY1334" s="759">
        <v>0.35</v>
      </c>
      <c r="AZ1334" s="1692">
        <v>0.35</v>
      </c>
      <c r="BA1334" s="758">
        <v>0.35</v>
      </c>
      <c r="BB1334" s="1557">
        <v>0.35</v>
      </c>
      <c r="BC1334" s="759">
        <v>0.35</v>
      </c>
      <c r="BD1334" s="759">
        <v>0.35</v>
      </c>
      <c r="BE1334" s="1692">
        <v>0.35</v>
      </c>
      <c r="BF1334" s="758">
        <v>0.35</v>
      </c>
      <c r="BG1334" s="1557">
        <v>0.35</v>
      </c>
      <c r="BH1334" s="759">
        <v>0.35</v>
      </c>
      <c r="BI1334" s="759">
        <v>0.35</v>
      </c>
      <c r="BJ1334" s="1692">
        <v>0.35</v>
      </c>
      <c r="BK1334" s="758">
        <v>0.35</v>
      </c>
      <c r="BL1334" s="759">
        <v>0.35</v>
      </c>
      <c r="BM1334" s="759">
        <v>0.35</v>
      </c>
      <c r="BN1334" s="759">
        <v>0.35</v>
      </c>
      <c r="BO1334" s="1692">
        <v>0.35</v>
      </c>
      <c r="BP1334" s="758">
        <v>0.35</v>
      </c>
      <c r="BQ1334" s="759">
        <v>0.35</v>
      </c>
      <c r="BR1334" s="759">
        <v>0.35</v>
      </c>
      <c r="BS1334" s="759">
        <v>0.35</v>
      </c>
      <c r="BT1334" s="1692">
        <v>0.35</v>
      </c>
      <c r="BU1334" s="3363">
        <v>0.35</v>
      </c>
      <c r="BV1334" s="759">
        <v>0.35</v>
      </c>
      <c r="BW1334" s="759">
        <v>0.35</v>
      </c>
      <c r="BX1334" s="759">
        <v>0.35</v>
      </c>
      <c r="BY1334" s="1692">
        <v>0.35</v>
      </c>
      <c r="BZ1334" s="3363">
        <v>0.35</v>
      </c>
      <c r="CA1334" s="758">
        <v>0.35</v>
      </c>
      <c r="CB1334" s="758">
        <v>0.35</v>
      </c>
      <c r="CC1334" s="758">
        <v>0.35</v>
      </c>
      <c r="CD1334" s="758">
        <v>0.35</v>
      </c>
      <c r="CE1334" s="758">
        <v>0.35</v>
      </c>
      <c r="CF1334" s="758">
        <v>0.35</v>
      </c>
      <c r="CG1334" s="758">
        <v>0.35</v>
      </c>
      <c r="CH1334" s="943"/>
      <c r="CI1334" s="943"/>
      <c r="CJ1334" s="943"/>
      <c r="CK1334" s="943"/>
      <c r="CL1334" s="943"/>
      <c r="CM1334" s="943"/>
      <c r="CN1334" s="943"/>
      <c r="CO1334" s="943"/>
      <c r="CP1334" s="1021" t="str">
        <f>A1334</f>
        <v>Statutory tax rate</v>
      </c>
      <c r="CQ1334" s="780">
        <f>H1334</f>
        <v>0.35</v>
      </c>
      <c r="CR1334" s="780">
        <f>M1334</f>
        <v>0.35</v>
      </c>
      <c r="CS1334" s="780">
        <f>R1334</f>
        <v>0.35</v>
      </c>
      <c r="CT1334" s="780">
        <f>W1334</f>
        <v>0.35</v>
      </c>
      <c r="CU1334" s="780">
        <f>AB1334</f>
        <v>0.35</v>
      </c>
      <c r="CV1334" s="780">
        <f>AG1334</f>
        <v>0.35</v>
      </c>
      <c r="CW1334" s="780">
        <f>AL1334</f>
        <v>0.35</v>
      </c>
      <c r="CX1334" s="780">
        <f>AQ1334</f>
        <v>0.35</v>
      </c>
      <c r="CY1334" s="780">
        <f>AV1334</f>
        <v>0.35</v>
      </c>
      <c r="CZ1334" s="780">
        <f>BA1334</f>
        <v>0.35</v>
      </c>
      <c r="DA1334" s="780">
        <f>BF1334</f>
        <v>0.35</v>
      </c>
      <c r="DB1334" s="780">
        <f>BK1334</f>
        <v>0.35</v>
      </c>
      <c r="DC1334" s="780">
        <f>BP1334</f>
        <v>0.35</v>
      </c>
      <c r="DD1334" s="780">
        <f>BU1334</f>
        <v>0.35</v>
      </c>
      <c r="DE1334" s="780">
        <f t="shared" si="2434"/>
        <v>0.35</v>
      </c>
      <c r="DF1334" s="780">
        <f t="shared" si="2434"/>
        <v>0.35</v>
      </c>
      <c r="DG1334" s="1886">
        <f t="shared" si="2434"/>
        <v>0.35</v>
      </c>
      <c r="DH1334" s="564"/>
      <c r="DI1334" s="564"/>
      <c r="DJ1334" s="564"/>
      <c r="DK1334" s="564"/>
      <c r="DL1334" s="564"/>
      <c r="DM1334" s="564"/>
      <c r="DN1334" s="222"/>
      <c r="DO1334" s="227"/>
      <c r="DY1334" s="759"/>
      <c r="DZ1334" s="759"/>
    </row>
    <row r="1335" spans="1:130" ht="12" customHeight="1">
      <c r="A1335" s="500" t="s">
        <v>1371</v>
      </c>
      <c r="B1335" s="530"/>
      <c r="C1335" s="530"/>
      <c r="D1335" s="564">
        <f t="shared" ref="D1335:AI1335" si="2439">+D87</f>
        <v>5.7249999999999996</v>
      </c>
      <c r="E1335" s="564">
        <f t="shared" si="2439"/>
        <v>2.7160000000000002</v>
      </c>
      <c r="F1335" s="564">
        <f t="shared" si="2439"/>
        <v>-2.2249999999999992</v>
      </c>
      <c r="G1335" s="564">
        <f t="shared" si="2439"/>
        <v>4.4630000000000001</v>
      </c>
      <c r="H1335" s="736">
        <f t="shared" si="2439"/>
        <v>10.678999999999998</v>
      </c>
      <c r="I1335" s="564">
        <f t="shared" si="2439"/>
        <v>17.419</v>
      </c>
      <c r="J1335" s="564">
        <f t="shared" si="2439"/>
        <v>1.6909999999999998</v>
      </c>
      <c r="K1335" s="564">
        <f t="shared" si="2439"/>
        <v>18.478999999999999</v>
      </c>
      <c r="L1335" s="564">
        <f t="shared" si="2439"/>
        <v>45.811</v>
      </c>
      <c r="M1335" s="736">
        <f t="shared" si="2439"/>
        <v>83.4</v>
      </c>
      <c r="N1335" s="564">
        <f t="shared" si="2439"/>
        <v>7.6509999999999998</v>
      </c>
      <c r="O1335" s="564">
        <f t="shared" si="2439"/>
        <v>32.295999999999999</v>
      </c>
      <c r="P1335" s="564">
        <f t="shared" si="2439"/>
        <v>10.744000000000003</v>
      </c>
      <c r="Q1335" s="564">
        <f t="shared" si="2439"/>
        <v>-15.739999999999998</v>
      </c>
      <c r="R1335" s="736">
        <f t="shared" si="2439"/>
        <v>34.951000000000008</v>
      </c>
      <c r="S1335" s="564">
        <f t="shared" si="2439"/>
        <v>10.540999999999999</v>
      </c>
      <c r="T1335" s="564">
        <f t="shared" si="2439"/>
        <v>17.782</v>
      </c>
      <c r="U1335" s="564">
        <f t="shared" si="2439"/>
        <v>6.551000000000001</v>
      </c>
      <c r="V1335" s="564">
        <f t="shared" si="2439"/>
        <v>7.8350000000000009</v>
      </c>
      <c r="W1335" s="736">
        <f t="shared" si="2439"/>
        <v>42.709000000000003</v>
      </c>
      <c r="X1335" s="564">
        <f t="shared" si="2439"/>
        <v>62.211000000000006</v>
      </c>
      <c r="Y1335" s="564">
        <f t="shared" si="2439"/>
        <v>4.754599999999999</v>
      </c>
      <c r="Z1335" s="564">
        <f t="shared" si="2439"/>
        <v>5.2627000000000006</v>
      </c>
      <c r="AA1335" s="564">
        <f t="shared" si="2439"/>
        <v>232.00848000000002</v>
      </c>
      <c r="AB1335" s="736">
        <f t="shared" si="2439"/>
        <v>304.23678000000001</v>
      </c>
      <c r="AC1335" s="564">
        <f t="shared" si="2439"/>
        <v>26.834499999999998</v>
      </c>
      <c r="AD1335" s="564">
        <f t="shared" si="2439"/>
        <v>-2.3490000000000002</v>
      </c>
      <c r="AE1335" s="564">
        <f t="shared" si="2439"/>
        <v>1.6510000000000009</v>
      </c>
      <c r="AF1335" s="564">
        <f t="shared" si="2439"/>
        <v>0.9490360000000001</v>
      </c>
      <c r="AG1335" s="736">
        <f t="shared" si="2439"/>
        <v>27.085535999999998</v>
      </c>
      <c r="AH1335" s="564">
        <f t="shared" si="2439"/>
        <v>0.42700000000000005</v>
      </c>
      <c r="AI1335" s="564">
        <f t="shared" si="2439"/>
        <v>0.84800000000000031</v>
      </c>
      <c r="AJ1335" s="564">
        <f t="shared" ref="AJ1335:BO1335" si="2440">+AJ87</f>
        <v>-4.1809999999999983</v>
      </c>
      <c r="AK1335" s="564">
        <f t="shared" si="2440"/>
        <v>5.8369999999999989</v>
      </c>
      <c r="AL1335" s="736">
        <f t="shared" si="2440"/>
        <v>2.9310000000000009</v>
      </c>
      <c r="AM1335" s="564">
        <f t="shared" si="2440"/>
        <v>2.3090000000000002</v>
      </c>
      <c r="AN1335" s="564">
        <f t="shared" si="2440"/>
        <v>1.7410000000000001</v>
      </c>
      <c r="AO1335" s="564">
        <f t="shared" si="2440"/>
        <v>2.246</v>
      </c>
      <c r="AP1335" s="564">
        <f t="shared" si="2440"/>
        <v>-2.3810000000000011</v>
      </c>
      <c r="AQ1335" s="736">
        <f t="shared" si="2440"/>
        <v>3.915</v>
      </c>
      <c r="AR1335" s="564">
        <f t="shared" si="2440"/>
        <v>2.5639999999999996</v>
      </c>
      <c r="AS1335" s="564">
        <f t="shared" si="2440"/>
        <v>2.5020000000000002</v>
      </c>
      <c r="AT1335" s="564">
        <f t="shared" si="2440"/>
        <v>6.3490000000000002</v>
      </c>
      <c r="AU1335" s="564">
        <f t="shared" si="2440"/>
        <v>872.23899999999992</v>
      </c>
      <c r="AV1335" s="736">
        <f t="shared" si="2440"/>
        <v>883.65399999999988</v>
      </c>
      <c r="AW1335" s="564">
        <f t="shared" si="2440"/>
        <v>7.6999999999999993</v>
      </c>
      <c r="AX1335" s="564">
        <f t="shared" si="2440"/>
        <v>0</v>
      </c>
      <c r="AY1335" s="564">
        <f t="shared" si="2440"/>
        <v>29.000000000000004</v>
      </c>
      <c r="AZ1335" s="564">
        <f t="shared" si="2440"/>
        <v>20.9</v>
      </c>
      <c r="BA1335" s="736">
        <f t="shared" si="2440"/>
        <v>57.6</v>
      </c>
      <c r="BB1335" s="564">
        <f t="shared" si="2440"/>
        <v>2.1000000000000005</v>
      </c>
      <c r="BC1335" s="564">
        <f t="shared" si="2440"/>
        <v>4.4999999999999991</v>
      </c>
      <c r="BD1335" s="564">
        <f t="shared" si="2440"/>
        <v>15.400000000000004</v>
      </c>
      <c r="BE1335" s="564">
        <f t="shared" si="2440"/>
        <v>32.287000000000006</v>
      </c>
      <c r="BF1335" s="736">
        <f t="shared" si="2440"/>
        <v>54.287000000000006</v>
      </c>
      <c r="BG1335" s="734">
        <f t="shared" si="2440"/>
        <v>-20.854000000000003</v>
      </c>
      <c r="BH1335" s="564">
        <f t="shared" si="2440"/>
        <v>33.303000000000004</v>
      </c>
      <c r="BI1335" s="564">
        <f t="shared" si="2440"/>
        <v>4.9799999999999995</v>
      </c>
      <c r="BJ1335" s="1789">
        <f t="shared" si="2440"/>
        <v>25.025000000000002</v>
      </c>
      <c r="BK1335" s="736">
        <f t="shared" si="2440"/>
        <v>42.454000000000008</v>
      </c>
      <c r="BL1335" s="564">
        <f t="shared" si="2440"/>
        <v>0.76999999999999946</v>
      </c>
      <c r="BM1335" s="564">
        <f t="shared" si="2440"/>
        <v>6.798</v>
      </c>
      <c r="BN1335" s="564">
        <f t="shared" si="2440"/>
        <v>-145.18299999999999</v>
      </c>
      <c r="BO1335" s="1789">
        <f t="shared" si="2440"/>
        <v>33.544000000000004</v>
      </c>
      <c r="BP1335" s="736">
        <f t="shared" ref="BP1335:CG1335" si="2441">+BP87</f>
        <v>-104.07099999999997</v>
      </c>
      <c r="BQ1335" s="564">
        <f t="shared" si="2441"/>
        <v>2.3360000000000003</v>
      </c>
      <c r="BR1335" s="564">
        <f t="shared" si="2441"/>
        <v>2.6930000000000001</v>
      </c>
      <c r="BS1335" s="564">
        <f t="shared" si="2441"/>
        <v>2.5260000000000002</v>
      </c>
      <c r="BT1335" s="1789">
        <f t="shared" si="2441"/>
        <v>-56.551000000000002</v>
      </c>
      <c r="BU1335" s="3320">
        <f t="shared" si="2441"/>
        <v>-48.996000000000002</v>
      </c>
      <c r="BV1335" s="564">
        <f t="shared" si="2441"/>
        <v>3.75</v>
      </c>
      <c r="BW1335" s="564">
        <f t="shared" si="2441"/>
        <v>3.75</v>
      </c>
      <c r="BX1335" s="564">
        <f t="shared" si="2441"/>
        <v>3.75</v>
      </c>
      <c r="BY1335" s="1789">
        <f t="shared" si="2441"/>
        <v>3.75</v>
      </c>
      <c r="BZ1335" s="3320">
        <f t="shared" si="2441"/>
        <v>15</v>
      </c>
      <c r="CA1335" s="736">
        <f t="shared" si="2441"/>
        <v>15</v>
      </c>
      <c r="CB1335" s="736">
        <f t="shared" si="2441"/>
        <v>15</v>
      </c>
      <c r="CC1335" s="736">
        <f t="shared" si="2441"/>
        <v>15</v>
      </c>
      <c r="CD1335" s="736">
        <f t="shared" si="2441"/>
        <v>15</v>
      </c>
      <c r="CE1335" s="736">
        <f t="shared" si="2441"/>
        <v>15</v>
      </c>
      <c r="CF1335" s="736">
        <f t="shared" si="2441"/>
        <v>15</v>
      </c>
      <c r="CG1335" s="736">
        <f t="shared" si="2441"/>
        <v>15</v>
      </c>
      <c r="CH1335" s="943"/>
      <c r="CI1335" s="943"/>
      <c r="CJ1335" s="943"/>
      <c r="CK1335" s="943"/>
      <c r="CL1335" s="943"/>
      <c r="CM1335" s="943"/>
      <c r="CN1335" s="943"/>
      <c r="CO1335" s="943"/>
      <c r="CP1335" s="1021"/>
      <c r="CQ1335" s="780"/>
      <c r="CR1335" s="780"/>
      <c r="CS1335" s="780"/>
      <c r="CT1335" s="780"/>
      <c r="CU1335" s="780"/>
      <c r="CV1335" s="780"/>
      <c r="CW1335" s="780"/>
      <c r="CX1335" s="780"/>
      <c r="CY1335" s="780"/>
      <c r="CZ1335" s="780"/>
      <c r="DA1335" s="780"/>
      <c r="DB1335" s="780"/>
      <c r="DC1335" s="780"/>
      <c r="DD1335" s="780"/>
      <c r="DE1335" s="780"/>
      <c r="DF1335" s="780"/>
      <c r="DG1335" s="1886"/>
      <c r="DH1335" s="564"/>
      <c r="DI1335" s="564"/>
      <c r="DJ1335" s="564"/>
      <c r="DK1335" s="564"/>
      <c r="DL1335" s="564"/>
      <c r="DM1335" s="564"/>
      <c r="DN1335" s="222"/>
      <c r="DO1335" s="227"/>
      <c r="DY1335" s="564"/>
      <c r="DZ1335" s="564"/>
    </row>
    <row r="1336" spans="1:130" ht="12" customHeight="1">
      <c r="A1336" s="222" t="s">
        <v>1372</v>
      </c>
      <c r="B1336" s="445"/>
      <c r="C1336" s="445"/>
      <c r="D1336" s="564">
        <f t="shared" ref="D1336:AI1336" si="2442">-D78-D1335</f>
        <v>0</v>
      </c>
      <c r="E1336" s="564">
        <f t="shared" si="2442"/>
        <v>0</v>
      </c>
      <c r="F1336" s="564">
        <f t="shared" si="2442"/>
        <v>0</v>
      </c>
      <c r="G1336" s="564">
        <f t="shared" si="2442"/>
        <v>0</v>
      </c>
      <c r="H1336" s="736">
        <f t="shared" si="2442"/>
        <v>0</v>
      </c>
      <c r="I1336" s="564">
        <f t="shared" si="2442"/>
        <v>0</v>
      </c>
      <c r="J1336" s="564">
        <f t="shared" si="2442"/>
        <v>0</v>
      </c>
      <c r="K1336" s="564">
        <f t="shared" si="2442"/>
        <v>0</v>
      </c>
      <c r="L1336" s="564">
        <f t="shared" si="2442"/>
        <v>0</v>
      </c>
      <c r="M1336" s="736">
        <f t="shared" si="2442"/>
        <v>0</v>
      </c>
      <c r="N1336" s="564">
        <f t="shared" si="2442"/>
        <v>0</v>
      </c>
      <c r="O1336" s="564">
        <f t="shared" si="2442"/>
        <v>0</v>
      </c>
      <c r="P1336" s="564">
        <f t="shared" si="2442"/>
        <v>0</v>
      </c>
      <c r="Q1336" s="564">
        <f t="shared" si="2442"/>
        <v>0</v>
      </c>
      <c r="R1336" s="736">
        <f t="shared" si="2442"/>
        <v>0</v>
      </c>
      <c r="S1336" s="564">
        <f t="shared" si="2442"/>
        <v>0</v>
      </c>
      <c r="T1336" s="564">
        <f t="shared" si="2442"/>
        <v>0</v>
      </c>
      <c r="U1336" s="564">
        <f t="shared" si="2442"/>
        <v>0</v>
      </c>
      <c r="V1336" s="564">
        <f t="shared" si="2442"/>
        <v>0</v>
      </c>
      <c r="W1336" s="736">
        <f t="shared" si="2442"/>
        <v>0</v>
      </c>
      <c r="X1336" s="564">
        <f t="shared" si="2442"/>
        <v>32.766999999999989</v>
      </c>
      <c r="Y1336" s="564">
        <f t="shared" si="2442"/>
        <v>2.8904000000000005</v>
      </c>
      <c r="Z1336" s="564">
        <f t="shared" si="2442"/>
        <v>3.7282999999999991</v>
      </c>
      <c r="AA1336" s="564">
        <f t="shared" si="2442"/>
        <v>36.051519999999982</v>
      </c>
      <c r="AB1336" s="736">
        <f t="shared" si="2442"/>
        <v>75.437219999999968</v>
      </c>
      <c r="AC1336" s="564">
        <f t="shared" si="2442"/>
        <v>5.7385000000000019</v>
      </c>
      <c r="AD1336" s="564">
        <f t="shared" si="2442"/>
        <v>-1.2800000000000002</v>
      </c>
      <c r="AE1336" s="564">
        <f t="shared" si="2442"/>
        <v>-0.3969999999999998</v>
      </c>
      <c r="AF1336" s="564">
        <f t="shared" si="2442"/>
        <v>-0.77703600000000017</v>
      </c>
      <c r="AG1336" s="736">
        <f t="shared" si="2442"/>
        <v>3.2844640000000034</v>
      </c>
      <c r="AH1336" s="564">
        <f t="shared" si="2442"/>
        <v>0.19999999999999973</v>
      </c>
      <c r="AI1336" s="564">
        <f t="shared" si="2442"/>
        <v>1.7159999999999997</v>
      </c>
      <c r="AJ1336" s="564">
        <f t="shared" ref="AJ1336:BO1336" si="2443">-AJ78-AJ1335</f>
        <v>-3.3760000000000021</v>
      </c>
      <c r="AK1336" s="564">
        <f t="shared" si="2443"/>
        <v>-1.699999999999946E-2</v>
      </c>
      <c r="AL1336" s="736">
        <f t="shared" si="2443"/>
        <v>-1.4770000000000021</v>
      </c>
      <c r="AM1336" s="564">
        <f t="shared" si="2443"/>
        <v>6.1320000000000006</v>
      </c>
      <c r="AN1336" s="564">
        <f t="shared" si="2443"/>
        <v>3.0210000000000004</v>
      </c>
      <c r="AO1336" s="564">
        <f t="shared" si="2443"/>
        <v>1.7199999999999993</v>
      </c>
      <c r="AP1336" s="564">
        <f t="shared" si="2443"/>
        <v>-2.2589999999999995</v>
      </c>
      <c r="AQ1336" s="736">
        <f t="shared" si="2443"/>
        <v>8.6140000000000008</v>
      </c>
      <c r="AR1336" s="564">
        <f t="shared" si="2443"/>
        <v>0.53000000000000025</v>
      </c>
      <c r="AS1336" s="564">
        <f t="shared" si="2443"/>
        <v>-2.4579999999999997</v>
      </c>
      <c r="AT1336" s="564">
        <f t="shared" si="2443"/>
        <v>-4.1059999999999999</v>
      </c>
      <c r="AU1336" s="564">
        <f t="shared" si="2443"/>
        <v>197.90899999999999</v>
      </c>
      <c r="AV1336" s="736">
        <f t="shared" si="2443"/>
        <v>191.87500000000011</v>
      </c>
      <c r="AW1336" s="564">
        <f t="shared" si="2443"/>
        <v>-1.5999999999999996</v>
      </c>
      <c r="AX1336" s="564">
        <f t="shared" si="2443"/>
        <v>3.8</v>
      </c>
      <c r="AY1336" s="564">
        <f t="shared" si="2443"/>
        <v>-2.8000000000000007</v>
      </c>
      <c r="AZ1336" s="564">
        <f t="shared" si="2443"/>
        <v>-12.5</v>
      </c>
      <c r="BA1336" s="736">
        <f t="shared" si="2443"/>
        <v>-13.100000000000001</v>
      </c>
      <c r="BB1336" s="564">
        <f t="shared" si="2443"/>
        <v>0.60000000000000053</v>
      </c>
      <c r="BC1336" s="564">
        <f t="shared" si="2443"/>
        <v>0.30000000000000071</v>
      </c>
      <c r="BD1336" s="564">
        <f t="shared" si="2443"/>
        <v>7.4999999999999982</v>
      </c>
      <c r="BE1336" s="564">
        <f t="shared" si="2443"/>
        <v>13.459999999999987</v>
      </c>
      <c r="BF1336" s="736">
        <f t="shared" si="2443"/>
        <v>21.859999999999985</v>
      </c>
      <c r="BG1336" s="734">
        <f t="shared" si="2443"/>
        <v>24.116000000000003</v>
      </c>
      <c r="BH1336" s="564">
        <f t="shared" si="2443"/>
        <v>0.73199999999999932</v>
      </c>
      <c r="BI1336" s="564">
        <f t="shared" si="2443"/>
        <v>-0.67799999999999994</v>
      </c>
      <c r="BJ1336" s="1789">
        <f t="shared" si="2443"/>
        <v>4.1640000000000015</v>
      </c>
      <c r="BK1336" s="736">
        <f t="shared" si="2443"/>
        <v>28.334000000000003</v>
      </c>
      <c r="BL1336" s="564">
        <f t="shared" si="2443"/>
        <v>3.444</v>
      </c>
      <c r="BM1336" s="564">
        <f t="shared" si="2443"/>
        <v>-0.29399999999999959</v>
      </c>
      <c r="BN1336" s="564">
        <f t="shared" si="2443"/>
        <v>190.44</v>
      </c>
      <c r="BO1336" s="1789">
        <f t="shared" si="2443"/>
        <v>14.082999999999998</v>
      </c>
      <c r="BP1336" s="736">
        <f t="shared" ref="BP1336:CG1336" si="2444">-BP78-BP1335</f>
        <v>207.67299999999997</v>
      </c>
      <c r="BQ1336" s="564">
        <f t="shared" si="2444"/>
        <v>1.3889999999999993</v>
      </c>
      <c r="BR1336" s="564">
        <f t="shared" si="2444"/>
        <v>1.4910000000000001</v>
      </c>
      <c r="BS1336" s="564">
        <f t="shared" si="2444"/>
        <v>1.387</v>
      </c>
      <c r="BT1336" s="1789">
        <f t="shared" si="2444"/>
        <v>62.055</v>
      </c>
      <c r="BU1336" s="3320">
        <f t="shared" si="2444"/>
        <v>66.322000000000003</v>
      </c>
      <c r="BV1336" s="564">
        <f t="shared" si="2444"/>
        <v>0</v>
      </c>
      <c r="BW1336" s="564">
        <f t="shared" si="2444"/>
        <v>0</v>
      </c>
      <c r="BX1336" s="564">
        <f t="shared" si="2444"/>
        <v>0</v>
      </c>
      <c r="BY1336" s="1789">
        <f t="shared" si="2444"/>
        <v>0</v>
      </c>
      <c r="BZ1336" s="3320">
        <f t="shared" si="2444"/>
        <v>0</v>
      </c>
      <c r="CA1336" s="736">
        <f t="shared" si="2444"/>
        <v>0</v>
      </c>
      <c r="CB1336" s="736">
        <f t="shared" si="2444"/>
        <v>0</v>
      </c>
      <c r="CC1336" s="736">
        <f t="shared" si="2444"/>
        <v>0</v>
      </c>
      <c r="CD1336" s="736">
        <f t="shared" si="2444"/>
        <v>0</v>
      </c>
      <c r="CE1336" s="736">
        <f t="shared" si="2444"/>
        <v>0</v>
      </c>
      <c r="CF1336" s="736">
        <f t="shared" si="2444"/>
        <v>0</v>
      </c>
      <c r="CG1336" s="736">
        <f t="shared" si="2444"/>
        <v>0</v>
      </c>
      <c r="CH1336" s="484"/>
      <c r="CI1336" s="484"/>
      <c r="CJ1336" s="484"/>
      <c r="CK1336" s="484"/>
      <c r="CL1336" s="484"/>
      <c r="CM1336" s="484"/>
      <c r="CN1336" s="484"/>
      <c r="CO1336" s="484"/>
      <c r="CP1336" s="1918"/>
      <c r="CQ1336" s="240"/>
      <c r="CR1336" s="240"/>
      <c r="CS1336" s="240"/>
      <c r="CT1336" s="240"/>
      <c r="CU1336" s="240"/>
      <c r="CV1336" s="240"/>
      <c r="CW1336" s="240"/>
      <c r="CX1336" s="240"/>
      <c r="CY1336" s="240"/>
      <c r="CZ1336" s="240"/>
      <c r="DA1336" s="240"/>
      <c r="DB1336" s="240"/>
      <c r="DC1336" s="240"/>
      <c r="DD1336" s="240"/>
      <c r="DE1336" s="240"/>
      <c r="DF1336" s="240"/>
      <c r="DG1336" s="1948"/>
      <c r="DH1336" s="240"/>
      <c r="DI1336" s="240"/>
      <c r="DJ1336" s="240"/>
      <c r="DK1336" s="240"/>
      <c r="DL1336" s="240"/>
      <c r="DM1336" s="240"/>
      <c r="DN1336" s="240"/>
      <c r="DO1336" s="227"/>
      <c r="DY1336" s="564"/>
      <c r="DZ1336" s="564"/>
    </row>
    <row r="1337" spans="1:130" ht="12" customHeight="1">
      <c r="A1337" s="2015" t="s">
        <v>1749</v>
      </c>
      <c r="B1337" s="2014"/>
      <c r="C1337" s="2014"/>
      <c r="D1337" s="2016"/>
      <c r="E1337" s="2017"/>
      <c r="F1337" s="2017"/>
      <c r="G1337" s="2017"/>
      <c r="H1337" s="2018"/>
      <c r="I1337" s="2017"/>
      <c r="J1337" s="2017"/>
      <c r="K1337" s="2017"/>
      <c r="L1337" s="2017"/>
      <c r="M1337" s="2018"/>
      <c r="N1337" s="2017"/>
      <c r="O1337" s="2017"/>
      <c r="P1337" s="2017"/>
      <c r="Q1337" s="2017"/>
      <c r="R1337" s="2018"/>
      <c r="S1337" s="2017"/>
      <c r="T1337" s="2017"/>
      <c r="U1337" s="2017"/>
      <c r="V1337" s="2017"/>
      <c r="W1337" s="2018"/>
      <c r="X1337" s="2017"/>
      <c r="Y1337" s="2017"/>
      <c r="Z1337" s="2017"/>
      <c r="AA1337" s="2017"/>
      <c r="AB1337" s="2018"/>
      <c r="AC1337" s="2017"/>
      <c r="AD1337" s="2017"/>
      <c r="AE1337" s="2017"/>
      <c r="AF1337" s="2017"/>
      <c r="AG1337" s="2018"/>
      <c r="AH1337" s="2017"/>
      <c r="AI1337" s="2017"/>
      <c r="AJ1337" s="2017"/>
      <c r="AK1337" s="2017"/>
      <c r="AL1337" s="2018"/>
      <c r="AM1337" s="2017"/>
      <c r="AN1337" s="2017"/>
      <c r="AO1337" s="2017"/>
      <c r="AP1337" s="2019"/>
      <c r="AQ1337" s="2018"/>
      <c r="AR1337" s="2016"/>
      <c r="AS1337" s="2017"/>
      <c r="AT1337" s="2017"/>
      <c r="AU1337" s="2020"/>
      <c r="AV1337" s="2018"/>
      <c r="AW1337" s="2016"/>
      <c r="AX1337" s="2017"/>
      <c r="AY1337" s="2017"/>
      <c r="AZ1337" s="2020"/>
      <c r="BA1337" s="2018"/>
      <c r="BB1337" s="2016"/>
      <c r="BC1337" s="2017"/>
      <c r="BD1337" s="2017"/>
      <c r="BE1337" s="2020"/>
      <c r="BF1337" s="2018"/>
      <c r="BG1337" s="2016"/>
      <c r="BH1337" s="2017"/>
      <c r="BI1337" s="2017"/>
      <c r="BJ1337" s="2020"/>
      <c r="BK1337" s="2018"/>
      <c r="BL1337" s="2017"/>
      <c r="BM1337" s="2017"/>
      <c r="BN1337" s="2017"/>
      <c r="BO1337" s="2020"/>
      <c r="BP1337" s="2018"/>
      <c r="BQ1337" s="2017"/>
      <c r="BR1337" s="2017"/>
      <c r="BS1337" s="2017"/>
      <c r="BT1337" s="2020"/>
      <c r="BU1337" s="3466"/>
      <c r="BV1337" s="2017"/>
      <c r="BW1337" s="2017"/>
      <c r="BX1337" s="2017"/>
      <c r="BY1337" s="2020"/>
      <c r="BZ1337" s="2018"/>
      <c r="CA1337" s="2018"/>
      <c r="CB1337" s="2018"/>
      <c r="CC1337" s="2018"/>
      <c r="CD1337" s="2018"/>
      <c r="CE1337" s="2018"/>
      <c r="CF1337" s="2018"/>
      <c r="CG1337" s="2018"/>
      <c r="CH1337" s="2017"/>
      <c r="CI1337" s="2017"/>
      <c r="CJ1337" s="2017"/>
      <c r="CK1337" s="2017"/>
      <c r="CL1337" s="2017"/>
      <c r="CM1337" s="2017"/>
      <c r="CN1337" s="2017"/>
      <c r="CO1337" s="2017"/>
      <c r="CP1337" s="2021"/>
      <c r="CQ1337" s="2022"/>
      <c r="CR1337" s="2022"/>
      <c r="CS1337" s="2022"/>
      <c r="CT1337" s="2022"/>
      <c r="CU1337" s="2022"/>
      <c r="CV1337" s="2022"/>
      <c r="CW1337" s="2022"/>
      <c r="CX1337" s="2022"/>
      <c r="CY1337" s="2022"/>
      <c r="CZ1337" s="2022"/>
      <c r="DA1337" s="2022"/>
      <c r="DB1337" s="2022"/>
      <c r="DC1337" s="2022"/>
      <c r="DD1337" s="2022"/>
      <c r="DE1337" s="2022"/>
      <c r="DF1337" s="2022"/>
      <c r="DG1337" s="2023"/>
      <c r="DH1337" s="2022"/>
      <c r="DI1337" s="2022"/>
      <c r="DJ1337" s="2022"/>
      <c r="DK1337" s="2022"/>
      <c r="DL1337" s="2022"/>
      <c r="DM1337" s="2022"/>
      <c r="DN1337" s="2022"/>
      <c r="DO1337" s="2024"/>
      <c r="DY1337" s="484"/>
      <c r="DZ1337" s="484"/>
    </row>
    <row r="1338" spans="1:130" ht="12" customHeight="1">
      <c r="A1338" s="2015" t="s">
        <v>507</v>
      </c>
      <c r="B1338" s="2014"/>
      <c r="C1338" s="2014"/>
      <c r="D1338" s="2016"/>
      <c r="E1338" s="2017"/>
      <c r="F1338" s="2017"/>
      <c r="G1338" s="2017"/>
      <c r="H1338" s="2018"/>
      <c r="I1338" s="2017"/>
      <c r="J1338" s="2017"/>
      <c r="K1338" s="2017"/>
      <c r="L1338" s="2017"/>
      <c r="M1338" s="2018"/>
      <c r="N1338" s="2017"/>
      <c r="O1338" s="2017"/>
      <c r="P1338" s="2017"/>
      <c r="Q1338" s="2017"/>
      <c r="R1338" s="2018"/>
      <c r="S1338" s="2017"/>
      <c r="T1338" s="2017"/>
      <c r="U1338" s="2017"/>
      <c r="V1338" s="2017"/>
      <c r="W1338" s="2018"/>
      <c r="X1338" s="2017"/>
      <c r="Y1338" s="2017"/>
      <c r="Z1338" s="2017"/>
      <c r="AA1338" s="2017"/>
      <c r="AB1338" s="2018"/>
      <c r="AC1338" s="2017"/>
      <c r="AD1338" s="2017"/>
      <c r="AE1338" s="2017"/>
      <c r="AF1338" s="2017"/>
      <c r="AG1338" s="2018"/>
      <c r="AH1338" s="2017"/>
      <c r="AI1338" s="2017"/>
      <c r="AJ1338" s="2017"/>
      <c r="AK1338" s="2017"/>
      <c r="AL1338" s="2018"/>
      <c r="AM1338" s="2017"/>
      <c r="AN1338" s="2017"/>
      <c r="AO1338" s="2017"/>
      <c r="AP1338" s="2019"/>
      <c r="AQ1338" s="2018"/>
      <c r="AR1338" s="2016"/>
      <c r="AS1338" s="2017"/>
      <c r="AT1338" s="2017"/>
      <c r="AU1338" s="2020"/>
      <c r="AV1338" s="2018"/>
      <c r="AW1338" s="2016"/>
      <c r="AX1338" s="2017"/>
      <c r="AY1338" s="2017"/>
      <c r="AZ1338" s="2020"/>
      <c r="BA1338" s="2018"/>
      <c r="BB1338" s="2016"/>
      <c r="BC1338" s="2017"/>
      <c r="BD1338" s="2017"/>
      <c r="BE1338" s="2020"/>
      <c r="BF1338" s="2018"/>
      <c r="BG1338" s="2016"/>
      <c r="BH1338" s="2017"/>
      <c r="BI1338" s="2017"/>
      <c r="BJ1338" s="2020"/>
      <c r="BK1338" s="2018"/>
      <c r="BL1338" s="2017"/>
      <c r="BM1338" s="2017"/>
      <c r="BN1338" s="2017"/>
      <c r="BO1338" s="2020"/>
      <c r="BP1338" s="2018"/>
      <c r="BQ1338" s="2017"/>
      <c r="BR1338" s="2017"/>
      <c r="BS1338" s="2017"/>
      <c r="BT1338" s="2020"/>
      <c r="BU1338" s="3466"/>
      <c r="BV1338" s="2017"/>
      <c r="BW1338" s="2017"/>
      <c r="BX1338" s="2017"/>
      <c r="BY1338" s="2020"/>
      <c r="BZ1338" s="2018"/>
      <c r="CA1338" s="2018"/>
      <c r="CB1338" s="2018"/>
      <c r="CC1338" s="2018"/>
      <c r="CD1338" s="2018"/>
      <c r="CE1338" s="2018"/>
      <c r="CF1338" s="2018"/>
      <c r="CG1338" s="2018"/>
      <c r="CH1338" s="2017"/>
      <c r="CI1338" s="2017"/>
      <c r="CJ1338" s="2017"/>
      <c r="CK1338" s="2017"/>
      <c r="CL1338" s="2017"/>
      <c r="CM1338" s="2017"/>
      <c r="CN1338" s="2017"/>
      <c r="CO1338" s="2017"/>
      <c r="CP1338" s="2021"/>
      <c r="CQ1338" s="2022"/>
      <c r="CR1338" s="2022"/>
      <c r="CS1338" s="2022"/>
      <c r="CT1338" s="2022"/>
      <c r="CU1338" s="2022"/>
      <c r="CV1338" s="2022"/>
      <c r="CW1338" s="2022"/>
      <c r="CX1338" s="2022"/>
      <c r="CY1338" s="2022"/>
      <c r="CZ1338" s="2022"/>
      <c r="DA1338" s="2022"/>
      <c r="DB1338" s="2022"/>
      <c r="DC1338" s="2022"/>
      <c r="DD1338" s="2022"/>
      <c r="DE1338" s="2022"/>
      <c r="DF1338" s="2022"/>
      <c r="DG1338" s="2023"/>
      <c r="DH1338" s="2022"/>
      <c r="DI1338" s="2022"/>
      <c r="DJ1338" s="2022"/>
      <c r="DK1338" s="2022"/>
      <c r="DL1338" s="2022"/>
      <c r="DM1338" s="2022"/>
      <c r="DN1338" s="2022"/>
      <c r="DO1338" s="2024"/>
      <c r="DY1338" s="484"/>
      <c r="DZ1338" s="484"/>
    </row>
    <row r="1339" spans="1:130" ht="12" customHeight="1">
      <c r="A1339" s="2013" t="s">
        <v>1745</v>
      </c>
      <c r="B1339" s="2014"/>
      <c r="C1339" s="2014"/>
      <c r="D1339" s="2025">
        <f t="shared" ref="D1339:AI1339" si="2445">D65</f>
        <v>0</v>
      </c>
      <c r="E1339" s="2026">
        <f t="shared" si="2445"/>
        <v>0</v>
      </c>
      <c r="F1339" s="2026">
        <f t="shared" si="2445"/>
        <v>0</v>
      </c>
      <c r="G1339" s="2026">
        <f t="shared" si="2445"/>
        <v>0</v>
      </c>
      <c r="H1339" s="2027">
        <f t="shared" si="2445"/>
        <v>0</v>
      </c>
      <c r="I1339" s="2026">
        <f t="shared" si="2445"/>
        <v>0</v>
      </c>
      <c r="J1339" s="2026">
        <f t="shared" si="2445"/>
        <v>0</v>
      </c>
      <c r="K1339" s="2026">
        <f t="shared" si="2445"/>
        <v>0</v>
      </c>
      <c r="L1339" s="2026">
        <f t="shared" si="2445"/>
        <v>0</v>
      </c>
      <c r="M1339" s="2027">
        <f t="shared" si="2445"/>
        <v>0</v>
      </c>
      <c r="N1339" s="2026">
        <f t="shared" si="2445"/>
        <v>5.351</v>
      </c>
      <c r="O1339" s="2026">
        <f t="shared" si="2445"/>
        <v>5.8280000000000003</v>
      </c>
      <c r="P1339" s="2026">
        <f t="shared" si="2445"/>
        <v>4.9400000000000004</v>
      </c>
      <c r="Q1339" s="2026">
        <f t="shared" si="2445"/>
        <v>3.2730000000000001</v>
      </c>
      <c r="R1339" s="2027">
        <f t="shared" si="2445"/>
        <v>19.391999999999999</v>
      </c>
      <c r="S1339" s="2026">
        <f t="shared" si="2445"/>
        <v>4.1840000000000002</v>
      </c>
      <c r="T1339" s="2026">
        <f t="shared" si="2445"/>
        <v>4.3659999999999997</v>
      </c>
      <c r="U1339" s="2026">
        <f t="shared" si="2445"/>
        <v>3.5089999999999999</v>
      </c>
      <c r="V1339" s="2026">
        <f t="shared" si="2445"/>
        <v>2.7429999999999999</v>
      </c>
      <c r="W1339" s="2027">
        <f t="shared" si="2445"/>
        <v>14.802000000000001</v>
      </c>
      <c r="X1339" s="2026">
        <f t="shared" si="2445"/>
        <v>2.9689999999999999</v>
      </c>
      <c r="Y1339" s="2026">
        <f t="shared" si="2445"/>
        <v>3.0659999999999998</v>
      </c>
      <c r="Z1339" s="2026">
        <f t="shared" si="2445"/>
        <v>2.81</v>
      </c>
      <c r="AA1339" s="2026">
        <f t="shared" si="2445"/>
        <v>3.8170000000000002</v>
      </c>
      <c r="AB1339" s="2027">
        <f t="shared" si="2445"/>
        <v>12.662000000000001</v>
      </c>
      <c r="AC1339" s="2026">
        <f t="shared" si="2445"/>
        <v>3.3919999999999999</v>
      </c>
      <c r="AD1339" s="2026">
        <f t="shared" si="2445"/>
        <v>3.5059999999999998</v>
      </c>
      <c r="AE1339" s="2026">
        <f t="shared" si="2445"/>
        <v>2.8860000000000001</v>
      </c>
      <c r="AF1339" s="2026">
        <f t="shared" si="2445"/>
        <v>4.1859999999999999</v>
      </c>
      <c r="AG1339" s="2027">
        <f t="shared" si="2445"/>
        <v>13.969999999999999</v>
      </c>
      <c r="AH1339" s="2026">
        <f t="shared" si="2445"/>
        <v>2.8559999999999999</v>
      </c>
      <c r="AI1339" s="2026">
        <f t="shared" si="2445"/>
        <v>2.8719999999999999</v>
      </c>
      <c r="AJ1339" s="2026">
        <f t="shared" ref="AJ1339:BO1339" si="2446">AJ65</f>
        <v>2.3959999999999999</v>
      </c>
      <c r="AK1339" s="2026">
        <f t="shared" si="2446"/>
        <v>3.2</v>
      </c>
      <c r="AL1339" s="2027">
        <f t="shared" si="2446"/>
        <v>11.323999999999998</v>
      </c>
      <c r="AM1339" s="2026">
        <f t="shared" si="2446"/>
        <v>3.8130000000000002</v>
      </c>
      <c r="AN1339" s="2026">
        <f t="shared" si="2446"/>
        <v>2.14</v>
      </c>
      <c r="AO1339" s="2026">
        <f t="shared" si="2446"/>
        <v>1.7869999999999999</v>
      </c>
      <c r="AP1339" s="2028">
        <f t="shared" si="2446"/>
        <v>2.2570000000000001</v>
      </c>
      <c r="AQ1339" s="2027">
        <f t="shared" si="2446"/>
        <v>9.9969999999999999</v>
      </c>
      <c r="AR1339" s="2025">
        <f t="shared" si="2446"/>
        <v>3.1160000000000001</v>
      </c>
      <c r="AS1339" s="2026">
        <f t="shared" si="2446"/>
        <v>2.8370000000000002</v>
      </c>
      <c r="AT1339" s="2026">
        <f t="shared" si="2446"/>
        <v>1.607</v>
      </c>
      <c r="AU1339" s="2029">
        <f t="shared" si="2446"/>
        <v>4.6870000000000003</v>
      </c>
      <c r="AV1339" s="2027">
        <f t="shared" si="2446"/>
        <v>12.247</v>
      </c>
      <c r="AW1339" s="2025">
        <f t="shared" si="2446"/>
        <v>4.0910000000000002</v>
      </c>
      <c r="AX1339" s="2026">
        <f t="shared" si="2446"/>
        <v>2.8940000000000001</v>
      </c>
      <c r="AY1339" s="2026">
        <f t="shared" si="2446"/>
        <v>2</v>
      </c>
      <c r="AZ1339" s="2029">
        <f t="shared" si="2446"/>
        <v>9.9</v>
      </c>
      <c r="BA1339" s="2027">
        <f t="shared" si="2446"/>
        <v>18.884999999999998</v>
      </c>
      <c r="BB1339" s="2025">
        <f t="shared" si="2446"/>
        <v>6.5</v>
      </c>
      <c r="BC1339" s="2026">
        <f t="shared" si="2446"/>
        <v>3.4</v>
      </c>
      <c r="BD1339" s="2026">
        <f t="shared" si="2446"/>
        <v>1.526</v>
      </c>
      <c r="BE1339" s="2029">
        <f t="shared" si="2446"/>
        <v>7.2350000000000003</v>
      </c>
      <c r="BF1339" s="2027">
        <f t="shared" si="2446"/>
        <v>18.661000000000001</v>
      </c>
      <c r="BG1339" s="2025">
        <f t="shared" si="2446"/>
        <v>3.4409999999999998</v>
      </c>
      <c r="BH1339" s="2026">
        <f t="shared" si="2446"/>
        <v>2.9260000000000002</v>
      </c>
      <c r="BI1339" s="2026">
        <f t="shared" si="2446"/>
        <v>1.86</v>
      </c>
      <c r="BJ1339" s="2029">
        <f t="shared" si="2446"/>
        <v>11.037000000000001</v>
      </c>
      <c r="BK1339" s="2027">
        <f t="shared" si="2446"/>
        <v>19.264000000000003</v>
      </c>
      <c r="BL1339" s="2026">
        <f t="shared" si="2446"/>
        <v>3.2629999999999999</v>
      </c>
      <c r="BM1339" s="2026">
        <f t="shared" si="2446"/>
        <v>2.3199999999999998</v>
      </c>
      <c r="BN1339" s="2026">
        <f t="shared" si="2446"/>
        <v>1.542</v>
      </c>
      <c r="BO1339" s="2029">
        <f t="shared" si="2446"/>
        <v>8.3930000000000007</v>
      </c>
      <c r="BP1339" s="2027">
        <f t="shared" ref="BP1339:CG1339" si="2447">BP65</f>
        <v>15.518000000000001</v>
      </c>
      <c r="BQ1339" s="2026">
        <f t="shared" si="2447"/>
        <v>3.0830000000000002</v>
      </c>
      <c r="BR1339" s="2026">
        <f t="shared" si="2447"/>
        <v>5.7469999999999999</v>
      </c>
      <c r="BS1339" s="2026">
        <f t="shared" si="2447"/>
        <v>2.3820000000000001</v>
      </c>
      <c r="BT1339" s="2029">
        <f t="shared" si="2447"/>
        <v>6.2009999999999996</v>
      </c>
      <c r="BU1339" s="3467">
        <f t="shared" si="2447"/>
        <v>17.413</v>
      </c>
      <c r="BV1339" s="2026">
        <f t="shared" si="2447"/>
        <v>3.6830000000000003</v>
      </c>
      <c r="BW1339" s="2026">
        <f t="shared" si="2447"/>
        <v>6.3469999999999995</v>
      </c>
      <c r="BX1339" s="2026">
        <f t="shared" si="2447"/>
        <v>2.9820000000000002</v>
      </c>
      <c r="BY1339" s="2029">
        <f t="shared" si="2447"/>
        <v>6.8009999999999993</v>
      </c>
      <c r="BZ1339" s="3467">
        <f t="shared" si="2447"/>
        <v>19.812999999999999</v>
      </c>
      <c r="CA1339" s="2027">
        <f t="shared" si="2447"/>
        <v>19.812999999999999</v>
      </c>
      <c r="CB1339" s="2027">
        <f t="shared" si="2447"/>
        <v>19.812999999999999</v>
      </c>
      <c r="CC1339" s="2027">
        <f t="shared" si="2447"/>
        <v>19.812999999999999</v>
      </c>
      <c r="CD1339" s="2027">
        <f t="shared" si="2447"/>
        <v>19.812999999999999</v>
      </c>
      <c r="CE1339" s="2027">
        <f t="shared" si="2447"/>
        <v>19.812999999999999</v>
      </c>
      <c r="CF1339" s="2027">
        <f t="shared" si="2447"/>
        <v>19.812999999999999</v>
      </c>
      <c r="CG1339" s="2027">
        <f t="shared" si="2447"/>
        <v>19.812999999999999</v>
      </c>
      <c r="CH1339" s="2017"/>
      <c r="CI1339" s="2017"/>
      <c r="CJ1339" s="2017"/>
      <c r="CK1339" s="2017"/>
      <c r="CL1339" s="2017"/>
      <c r="CM1339" s="4041"/>
      <c r="CN1339" s="4041">
        <f>SUM(BV1339:BY1339)</f>
        <v>19.812999999999999</v>
      </c>
      <c r="CO1339" s="4041">
        <f>CN1339-CM1339</f>
        <v>19.812999999999999</v>
      </c>
      <c r="CP1339" s="2021"/>
      <c r="CQ1339" s="2022"/>
      <c r="CR1339" s="2022"/>
      <c r="CS1339" s="2022"/>
      <c r="CT1339" s="2022"/>
      <c r="CU1339" s="2022"/>
      <c r="CV1339" s="2022"/>
      <c r="CW1339" s="2022"/>
      <c r="CX1339" s="2022"/>
      <c r="CY1339" s="2022"/>
      <c r="CZ1339" s="2022"/>
      <c r="DA1339" s="2022"/>
      <c r="DB1339" s="2022"/>
      <c r="DC1339" s="2022"/>
      <c r="DD1339" s="2022"/>
      <c r="DE1339" s="2022"/>
      <c r="DF1339" s="2022"/>
      <c r="DG1339" s="2023"/>
      <c r="DH1339" s="2022"/>
      <c r="DI1339" s="2022"/>
      <c r="DJ1339" s="2022"/>
      <c r="DK1339" s="2022"/>
      <c r="DL1339" s="2022"/>
      <c r="DM1339" s="2022"/>
      <c r="DN1339" s="2022"/>
      <c r="DO1339" s="2024"/>
      <c r="DY1339" s="319"/>
      <c r="DZ1339" s="319"/>
    </row>
    <row r="1340" spans="1:130" ht="12" customHeight="1">
      <c r="A1340" s="2013" t="s">
        <v>201</v>
      </c>
      <c r="B1340" s="2014"/>
      <c r="C1340" s="2014"/>
      <c r="D1340" s="2025">
        <f t="shared" ref="D1340:AI1340" si="2448">D66</f>
        <v>0</v>
      </c>
      <c r="E1340" s="2026">
        <f t="shared" si="2448"/>
        <v>0</v>
      </c>
      <c r="F1340" s="2026">
        <f t="shared" si="2448"/>
        <v>0.94299999999999995</v>
      </c>
      <c r="G1340" s="2026">
        <f t="shared" si="2448"/>
        <v>1.0509999999999999</v>
      </c>
      <c r="H1340" s="2027">
        <f t="shared" si="2448"/>
        <v>1.9939999999999998</v>
      </c>
      <c r="I1340" s="2026">
        <f t="shared" si="2448"/>
        <v>1.304</v>
      </c>
      <c r="J1340" s="2026">
        <f t="shared" si="2448"/>
        <v>1.3080000000000001</v>
      </c>
      <c r="K1340" s="2026">
        <f t="shared" si="2448"/>
        <v>1.2829999999999999</v>
      </c>
      <c r="L1340" s="2026">
        <f t="shared" si="2448"/>
        <v>1.236</v>
      </c>
      <c r="M1340" s="2027">
        <f t="shared" si="2448"/>
        <v>5.1310000000000002</v>
      </c>
      <c r="N1340" s="2026">
        <f t="shared" si="2448"/>
        <v>1.157</v>
      </c>
      <c r="O1340" s="2026">
        <f t="shared" si="2448"/>
        <v>1.1579999999999999</v>
      </c>
      <c r="P1340" s="2026">
        <f t="shared" si="2448"/>
        <v>1.1579999999999999</v>
      </c>
      <c r="Q1340" s="2026">
        <f t="shared" si="2448"/>
        <v>1.157</v>
      </c>
      <c r="R1340" s="2027">
        <f t="shared" si="2448"/>
        <v>4.63</v>
      </c>
      <c r="S1340" s="2026">
        <f t="shared" si="2448"/>
        <v>1.1299999999999999</v>
      </c>
      <c r="T1340" s="2026">
        <f t="shared" si="2448"/>
        <v>1.1299999999999999</v>
      </c>
      <c r="U1340" s="2026">
        <f t="shared" si="2448"/>
        <v>1.1299999999999999</v>
      </c>
      <c r="V1340" s="2026">
        <f t="shared" si="2448"/>
        <v>1.1299999999999999</v>
      </c>
      <c r="W1340" s="2027">
        <f t="shared" si="2448"/>
        <v>4.5199999999999996</v>
      </c>
      <c r="X1340" s="2026">
        <f t="shared" si="2448"/>
        <v>1.1339999999999999</v>
      </c>
      <c r="Y1340" s="2026">
        <f t="shared" si="2448"/>
        <v>1.0960000000000001</v>
      </c>
      <c r="Z1340" s="2026">
        <f t="shared" si="2448"/>
        <v>1.115</v>
      </c>
      <c r="AA1340" s="2026">
        <f t="shared" si="2448"/>
        <v>1.115</v>
      </c>
      <c r="AB1340" s="2027">
        <f t="shared" si="2448"/>
        <v>4.46</v>
      </c>
      <c r="AC1340" s="2026">
        <f t="shared" si="2448"/>
        <v>1.089</v>
      </c>
      <c r="AD1340" s="2026">
        <f t="shared" si="2448"/>
        <v>1.0880000000000001</v>
      </c>
      <c r="AE1340" s="2026">
        <f t="shared" si="2448"/>
        <v>1.089</v>
      </c>
      <c r="AF1340" s="2026">
        <f t="shared" si="2448"/>
        <v>1.0880000000000001</v>
      </c>
      <c r="AG1340" s="2027">
        <f t="shared" si="2448"/>
        <v>4.3540000000000001</v>
      </c>
      <c r="AH1340" s="2026">
        <f t="shared" si="2448"/>
        <v>1.0680000000000001</v>
      </c>
      <c r="AI1340" s="2026">
        <f t="shared" si="2448"/>
        <v>1.0669999999999999</v>
      </c>
      <c r="AJ1340" s="2026">
        <f t="shared" ref="AJ1340:BO1340" si="2449">AJ66</f>
        <v>1.069</v>
      </c>
      <c r="AK1340" s="2026">
        <f t="shared" si="2449"/>
        <v>1.0669999999999999</v>
      </c>
      <c r="AL1340" s="2027">
        <f t="shared" si="2449"/>
        <v>4.2709999999999999</v>
      </c>
      <c r="AM1340" s="2026">
        <f t="shared" si="2449"/>
        <v>1.036</v>
      </c>
      <c r="AN1340" s="2026">
        <f t="shared" si="2449"/>
        <v>1.032</v>
      </c>
      <c r="AO1340" s="2026">
        <f t="shared" si="2449"/>
        <v>1.034</v>
      </c>
      <c r="AP1340" s="2028">
        <f t="shared" si="2449"/>
        <v>1.034</v>
      </c>
      <c r="AQ1340" s="2027">
        <f t="shared" si="2449"/>
        <v>4.1360000000000001</v>
      </c>
      <c r="AR1340" s="2025">
        <f t="shared" si="2449"/>
        <v>0.996</v>
      </c>
      <c r="AS1340" s="2026">
        <f t="shared" si="2449"/>
        <v>0.996</v>
      </c>
      <c r="AT1340" s="2026">
        <f t="shared" si="2449"/>
        <v>0.996</v>
      </c>
      <c r="AU1340" s="2029">
        <f t="shared" si="2449"/>
        <v>0.996</v>
      </c>
      <c r="AV1340" s="2027">
        <f t="shared" si="2449"/>
        <v>3.984</v>
      </c>
      <c r="AW1340" s="2025">
        <f t="shared" si="2449"/>
        <v>0.95699999999999996</v>
      </c>
      <c r="AX1340" s="2026">
        <f t="shared" si="2449"/>
        <v>1.2</v>
      </c>
      <c r="AY1340" s="2026">
        <f t="shared" si="2449"/>
        <v>1.1000000000000001</v>
      </c>
      <c r="AZ1340" s="2029">
        <f t="shared" si="2449"/>
        <v>1</v>
      </c>
      <c r="BA1340" s="2027">
        <f t="shared" si="2449"/>
        <v>4.2569999999999997</v>
      </c>
      <c r="BB1340" s="2025">
        <f t="shared" si="2449"/>
        <v>0.9</v>
      </c>
      <c r="BC1340" s="2026">
        <f t="shared" si="2449"/>
        <v>0.9</v>
      </c>
      <c r="BD1340" s="2026">
        <f t="shared" si="2449"/>
        <v>0.90300000000000002</v>
      </c>
      <c r="BE1340" s="2029">
        <f t="shared" si="2449"/>
        <v>0.90400000000000003</v>
      </c>
      <c r="BF1340" s="2027">
        <f t="shared" si="2449"/>
        <v>3.6070000000000002</v>
      </c>
      <c r="BG1340" s="2025">
        <f t="shared" si="2449"/>
        <v>0.85699999999999998</v>
      </c>
      <c r="BH1340" s="2026">
        <f t="shared" si="2449"/>
        <v>0.85899999999999999</v>
      </c>
      <c r="BI1340" s="2026">
        <f t="shared" si="2449"/>
        <v>0.85699999999999998</v>
      </c>
      <c r="BJ1340" s="2029">
        <f t="shared" si="2449"/>
        <v>0.85499999999999998</v>
      </c>
      <c r="BK1340" s="2027">
        <f t="shared" si="2449"/>
        <v>3.4279999999999999</v>
      </c>
      <c r="BL1340" s="2026">
        <f t="shared" si="2449"/>
        <v>0.81699999999999995</v>
      </c>
      <c r="BM1340" s="2026">
        <f t="shared" si="2449"/>
        <v>0.81699999999999995</v>
      </c>
      <c r="BN1340" s="2026">
        <f t="shared" si="2449"/>
        <v>0.81599999999999995</v>
      </c>
      <c r="BO1340" s="2029">
        <f t="shared" si="2449"/>
        <v>0.81699999999999995</v>
      </c>
      <c r="BP1340" s="2027">
        <f t="shared" ref="BP1340:CG1340" si="2450">BP66</f>
        <v>3.2669999999999995</v>
      </c>
      <c r="BQ1340" s="2026">
        <f t="shared" si="2450"/>
        <v>0.43</v>
      </c>
      <c r="BR1340" s="2026">
        <f t="shared" si="2450"/>
        <v>0.25700000000000001</v>
      </c>
      <c r="BS1340" s="2026">
        <f t="shared" si="2450"/>
        <v>0.28999999999999998</v>
      </c>
      <c r="BT1340" s="2029">
        <f t="shared" si="2450"/>
        <v>0.28999999999999998</v>
      </c>
      <c r="BU1340" s="3467">
        <f t="shared" si="2450"/>
        <v>1.2670000000000001</v>
      </c>
      <c r="BV1340" s="2026">
        <f t="shared" si="2450"/>
        <v>0.43</v>
      </c>
      <c r="BW1340" s="2026">
        <f t="shared" si="2450"/>
        <v>0.25700000000000001</v>
      </c>
      <c r="BX1340" s="2026">
        <f t="shared" si="2450"/>
        <v>0.28999999999999998</v>
      </c>
      <c r="BY1340" s="2029">
        <f t="shared" si="2450"/>
        <v>0.28999999999999998</v>
      </c>
      <c r="BZ1340" s="3467">
        <f t="shared" si="2450"/>
        <v>1.2670000000000001</v>
      </c>
      <c r="CA1340" s="2027">
        <f t="shared" si="2450"/>
        <v>1.2670000000000001</v>
      </c>
      <c r="CB1340" s="2027">
        <f t="shared" si="2450"/>
        <v>1.2670000000000001</v>
      </c>
      <c r="CC1340" s="2027">
        <f t="shared" si="2450"/>
        <v>1.2670000000000001</v>
      </c>
      <c r="CD1340" s="2027">
        <f t="shared" si="2450"/>
        <v>1.2670000000000001</v>
      </c>
      <c r="CE1340" s="2027">
        <f t="shared" si="2450"/>
        <v>1.2670000000000001</v>
      </c>
      <c r="CF1340" s="2027">
        <f t="shared" si="2450"/>
        <v>1.2670000000000001</v>
      </c>
      <c r="CG1340" s="2027">
        <f t="shared" si="2450"/>
        <v>1.2670000000000001</v>
      </c>
      <c r="CH1340" s="2017"/>
      <c r="CI1340" s="2017"/>
      <c r="CJ1340" s="2017"/>
      <c r="CK1340" s="2017"/>
      <c r="CL1340" s="2017"/>
      <c r="CM1340" s="4041"/>
      <c r="CN1340" s="4041">
        <f t="shared" ref="CN1340:CN1343" si="2451">SUM(BV1340:BY1340)</f>
        <v>1.2670000000000001</v>
      </c>
      <c r="CO1340" s="4041">
        <f t="shared" ref="CO1340:CO1343" si="2452">CN1340-CM1340</f>
        <v>1.2670000000000001</v>
      </c>
      <c r="CP1340" s="2021"/>
      <c r="CQ1340" s="2022"/>
      <c r="CR1340" s="2022"/>
      <c r="CS1340" s="2022"/>
      <c r="CT1340" s="2022"/>
      <c r="CU1340" s="2022"/>
      <c r="CV1340" s="2022"/>
      <c r="CW1340" s="2022"/>
      <c r="CX1340" s="2022"/>
      <c r="CY1340" s="2022"/>
      <c r="CZ1340" s="2022"/>
      <c r="DA1340" s="2022"/>
      <c r="DB1340" s="2022"/>
      <c r="DC1340" s="2022"/>
      <c r="DD1340" s="2022"/>
      <c r="DE1340" s="2022"/>
      <c r="DF1340" s="2022"/>
      <c r="DG1340" s="2023"/>
      <c r="DH1340" s="2022"/>
      <c r="DI1340" s="2022"/>
      <c r="DJ1340" s="2022"/>
      <c r="DK1340" s="2022"/>
      <c r="DL1340" s="2022"/>
      <c r="DM1340" s="2022"/>
      <c r="DN1340" s="2022"/>
      <c r="DO1340" s="2024"/>
      <c r="DY1340" s="319"/>
      <c r="DZ1340" s="319"/>
    </row>
    <row r="1341" spans="1:130" ht="12" customHeight="1">
      <c r="A1341" s="2014" t="s">
        <v>708</v>
      </c>
      <c r="B1341" s="2014"/>
      <c r="C1341" s="2014"/>
      <c r="D1341" s="2025">
        <f t="shared" ref="D1341:AI1341" si="2453">D75</f>
        <v>13.144</v>
      </c>
      <c r="E1341" s="2026">
        <f t="shared" si="2453"/>
        <v>18.917999999999999</v>
      </c>
      <c r="F1341" s="2026">
        <f t="shared" si="2453"/>
        <v>24.03</v>
      </c>
      <c r="G1341" s="2026">
        <f t="shared" si="2453"/>
        <v>22.533000000000001</v>
      </c>
      <c r="H1341" s="2027">
        <f t="shared" si="2453"/>
        <v>78.625</v>
      </c>
      <c r="I1341" s="2026">
        <f t="shared" si="2453"/>
        <v>21.753</v>
      </c>
      <c r="J1341" s="2026">
        <f t="shared" si="2453"/>
        <v>21.475999999999999</v>
      </c>
      <c r="K1341" s="2026">
        <f t="shared" si="2453"/>
        <v>30.827000000000002</v>
      </c>
      <c r="L1341" s="2026">
        <f t="shared" si="2453"/>
        <v>23.256</v>
      </c>
      <c r="M1341" s="2027">
        <f t="shared" si="2453"/>
        <v>97.311999999999998</v>
      </c>
      <c r="N1341" s="2026">
        <f t="shared" si="2453"/>
        <v>25.245000000000001</v>
      </c>
      <c r="O1341" s="2026">
        <f t="shared" si="2453"/>
        <v>21.376999999999999</v>
      </c>
      <c r="P1341" s="2026">
        <f t="shared" si="2453"/>
        <v>27.021000000000001</v>
      </c>
      <c r="Q1341" s="2026">
        <f t="shared" si="2453"/>
        <v>18.132000000000001</v>
      </c>
      <c r="R1341" s="2027">
        <f t="shared" si="2453"/>
        <v>91.775000000000006</v>
      </c>
      <c r="S1341" s="2026">
        <f t="shared" si="2453"/>
        <v>21.872</v>
      </c>
      <c r="T1341" s="2026">
        <f t="shared" si="2453"/>
        <v>18.777999999999999</v>
      </c>
      <c r="U1341" s="2026">
        <f t="shared" si="2453"/>
        <v>27.62</v>
      </c>
      <c r="V1341" s="2026">
        <f t="shared" si="2453"/>
        <v>18.2</v>
      </c>
      <c r="W1341" s="2027">
        <f t="shared" si="2453"/>
        <v>86.47</v>
      </c>
      <c r="X1341" s="2026">
        <f t="shared" si="2453"/>
        <v>19.004999999999999</v>
      </c>
      <c r="Y1341" s="2026">
        <f t="shared" si="2453"/>
        <v>13.244</v>
      </c>
      <c r="Z1341" s="2026">
        <f t="shared" si="2453"/>
        <v>20.167000000000002</v>
      </c>
      <c r="AA1341" s="2026">
        <f t="shared" si="2453"/>
        <v>8.1039999999999992</v>
      </c>
      <c r="AB1341" s="2027">
        <f t="shared" si="2453"/>
        <v>60.519999999999996</v>
      </c>
      <c r="AC1341" s="2026">
        <f t="shared" si="2453"/>
        <v>12.917</v>
      </c>
      <c r="AD1341" s="2026">
        <f t="shared" si="2453"/>
        <v>13.843999999999999</v>
      </c>
      <c r="AE1341" s="2026">
        <f t="shared" si="2453"/>
        <v>24.173999999999999</v>
      </c>
      <c r="AF1341" s="2026">
        <f t="shared" si="2453"/>
        <v>8.5350000000000001</v>
      </c>
      <c r="AG1341" s="2027">
        <f t="shared" si="2453"/>
        <v>59.47</v>
      </c>
      <c r="AH1341" s="2026">
        <f t="shared" si="2453"/>
        <v>8.1460000000000008</v>
      </c>
      <c r="AI1341" s="2026">
        <f t="shared" si="2453"/>
        <v>0</v>
      </c>
      <c r="AJ1341" s="2026">
        <f t="shared" ref="AJ1341:BO1341" si="2454">AJ75</f>
        <v>0</v>
      </c>
      <c r="AK1341" s="2026">
        <f t="shared" si="2454"/>
        <v>0</v>
      </c>
      <c r="AL1341" s="2027">
        <f t="shared" si="2454"/>
        <v>8.1460000000000008</v>
      </c>
      <c r="AM1341" s="2026">
        <f t="shared" si="2454"/>
        <v>0</v>
      </c>
      <c r="AN1341" s="2026">
        <f t="shared" si="2454"/>
        <v>0</v>
      </c>
      <c r="AO1341" s="2026">
        <f t="shared" si="2454"/>
        <v>0</v>
      </c>
      <c r="AP1341" s="2028">
        <f t="shared" si="2454"/>
        <v>0</v>
      </c>
      <c r="AQ1341" s="2027">
        <f t="shared" si="2454"/>
        <v>0</v>
      </c>
      <c r="AR1341" s="2025">
        <f t="shared" si="2454"/>
        <v>0</v>
      </c>
      <c r="AS1341" s="2026">
        <f t="shared" si="2454"/>
        <v>0</v>
      </c>
      <c r="AT1341" s="2026">
        <f t="shared" si="2454"/>
        <v>0</v>
      </c>
      <c r="AU1341" s="2029">
        <f t="shared" si="2454"/>
        <v>0</v>
      </c>
      <c r="AV1341" s="2027">
        <f t="shared" si="2454"/>
        <v>0</v>
      </c>
      <c r="AW1341" s="2025">
        <f t="shared" si="2454"/>
        <v>0</v>
      </c>
      <c r="AX1341" s="2026">
        <f t="shared" si="2454"/>
        <v>0</v>
      </c>
      <c r="AY1341" s="2026">
        <f t="shared" si="2454"/>
        <v>0</v>
      </c>
      <c r="AZ1341" s="2029">
        <f t="shared" si="2454"/>
        <v>0</v>
      </c>
      <c r="BA1341" s="2027">
        <f t="shared" si="2454"/>
        <v>0</v>
      </c>
      <c r="BB1341" s="2025">
        <f t="shared" si="2454"/>
        <v>0</v>
      </c>
      <c r="BC1341" s="2026">
        <f t="shared" si="2454"/>
        <v>0</v>
      </c>
      <c r="BD1341" s="2026">
        <f t="shared" si="2454"/>
        <v>0</v>
      </c>
      <c r="BE1341" s="2029">
        <f t="shared" si="2454"/>
        <v>0</v>
      </c>
      <c r="BF1341" s="2027">
        <f t="shared" si="2454"/>
        <v>0</v>
      </c>
      <c r="BG1341" s="2025">
        <f t="shared" si="2454"/>
        <v>0</v>
      </c>
      <c r="BH1341" s="2026">
        <f t="shared" si="2454"/>
        <v>0</v>
      </c>
      <c r="BI1341" s="2026">
        <f t="shared" si="2454"/>
        <v>0</v>
      </c>
      <c r="BJ1341" s="2029">
        <f t="shared" si="2454"/>
        <v>0</v>
      </c>
      <c r="BK1341" s="2027">
        <f t="shared" si="2454"/>
        <v>0</v>
      </c>
      <c r="BL1341" s="2026">
        <f t="shared" si="2454"/>
        <v>0</v>
      </c>
      <c r="BM1341" s="2026">
        <f t="shared" si="2454"/>
        <v>0</v>
      </c>
      <c r="BN1341" s="2026">
        <f t="shared" si="2454"/>
        <v>0</v>
      </c>
      <c r="BO1341" s="2029">
        <f t="shared" si="2454"/>
        <v>0</v>
      </c>
      <c r="BP1341" s="2027">
        <f t="shared" ref="BP1341:CG1341" si="2455">BP75</f>
        <v>0</v>
      </c>
      <c r="BQ1341" s="2026">
        <f t="shared" si="2455"/>
        <v>0</v>
      </c>
      <c r="BR1341" s="2026">
        <f t="shared" si="2455"/>
        <v>0</v>
      </c>
      <c r="BS1341" s="2026">
        <f t="shared" si="2455"/>
        <v>0</v>
      </c>
      <c r="BT1341" s="2029">
        <f t="shared" si="2455"/>
        <v>0</v>
      </c>
      <c r="BU1341" s="3467">
        <f t="shared" si="2455"/>
        <v>0</v>
      </c>
      <c r="BV1341" s="2026">
        <f t="shared" si="2455"/>
        <v>0</v>
      </c>
      <c r="BW1341" s="2026">
        <f t="shared" si="2455"/>
        <v>0</v>
      </c>
      <c r="BX1341" s="2026">
        <f t="shared" si="2455"/>
        <v>0</v>
      </c>
      <c r="BY1341" s="2029">
        <f t="shared" si="2455"/>
        <v>0</v>
      </c>
      <c r="BZ1341" s="3467">
        <f t="shared" si="2455"/>
        <v>0</v>
      </c>
      <c r="CA1341" s="2027">
        <f t="shared" si="2455"/>
        <v>0</v>
      </c>
      <c r="CB1341" s="2027">
        <f t="shared" si="2455"/>
        <v>0</v>
      </c>
      <c r="CC1341" s="2027">
        <f t="shared" si="2455"/>
        <v>0</v>
      </c>
      <c r="CD1341" s="2027">
        <f t="shared" si="2455"/>
        <v>0</v>
      </c>
      <c r="CE1341" s="2027">
        <f t="shared" si="2455"/>
        <v>0</v>
      </c>
      <c r="CF1341" s="2027">
        <f t="shared" si="2455"/>
        <v>0</v>
      </c>
      <c r="CG1341" s="2027">
        <f t="shared" si="2455"/>
        <v>0</v>
      </c>
      <c r="CH1341" s="2017"/>
      <c r="CI1341" s="2017"/>
      <c r="CJ1341" s="2017"/>
      <c r="CK1341" s="2017"/>
      <c r="CL1341" s="2017"/>
      <c r="CM1341" s="4041"/>
      <c r="CN1341" s="4041">
        <f t="shared" si="2451"/>
        <v>0</v>
      </c>
      <c r="CO1341" s="4041">
        <f t="shared" si="2452"/>
        <v>0</v>
      </c>
      <c r="CP1341" s="2021"/>
      <c r="CQ1341" s="2022"/>
      <c r="CR1341" s="2022"/>
      <c r="CS1341" s="2022"/>
      <c r="CT1341" s="2022"/>
      <c r="CU1341" s="2022"/>
      <c r="CV1341" s="2022"/>
      <c r="CW1341" s="2022"/>
      <c r="CX1341" s="2022"/>
      <c r="CY1341" s="2022"/>
      <c r="CZ1341" s="2022"/>
      <c r="DA1341" s="2022"/>
      <c r="DB1341" s="2022"/>
      <c r="DC1341" s="2022"/>
      <c r="DD1341" s="2022"/>
      <c r="DE1341" s="2022"/>
      <c r="DF1341" s="2022"/>
      <c r="DG1341" s="2023"/>
      <c r="DH1341" s="2022"/>
      <c r="DI1341" s="2022"/>
      <c r="DJ1341" s="2022"/>
      <c r="DK1341" s="2022"/>
      <c r="DL1341" s="2022"/>
      <c r="DM1341" s="2022"/>
      <c r="DN1341" s="2022"/>
      <c r="DO1341" s="2024"/>
      <c r="DY1341" s="319"/>
      <c r="DZ1341" s="319"/>
    </row>
    <row r="1342" spans="1:130" ht="12" customHeight="1">
      <c r="A1342" s="2014" t="s">
        <v>1246</v>
      </c>
      <c r="B1342" s="2014"/>
      <c r="C1342" s="2014"/>
      <c r="D1342" s="2025">
        <f t="shared" ref="D1342:AI1342" si="2456">D77</f>
        <v>-6.46</v>
      </c>
      <c r="E1342" s="2026">
        <f t="shared" si="2456"/>
        <v>-6.69</v>
      </c>
      <c r="F1342" s="2026">
        <f t="shared" si="2456"/>
        <v>-6.4189999999999996</v>
      </c>
      <c r="G1342" s="2026">
        <f t="shared" si="2456"/>
        <v>7.0110000000000001</v>
      </c>
      <c r="H1342" s="2027">
        <f t="shared" si="2456"/>
        <v>-12.558</v>
      </c>
      <c r="I1342" s="2026">
        <f t="shared" si="2456"/>
        <v>-2.7869999999999999</v>
      </c>
      <c r="J1342" s="2026">
        <f t="shared" si="2456"/>
        <v>-3.2679999999999998</v>
      </c>
      <c r="K1342" s="2026">
        <f t="shared" si="2456"/>
        <v>-2.8610000000000002</v>
      </c>
      <c r="L1342" s="2026">
        <f t="shared" si="2456"/>
        <v>-2.802</v>
      </c>
      <c r="M1342" s="2027">
        <f t="shared" si="2456"/>
        <v>-11.718</v>
      </c>
      <c r="N1342" s="2026">
        <f t="shared" si="2456"/>
        <v>-2.2250000000000001</v>
      </c>
      <c r="O1342" s="2026">
        <f t="shared" si="2456"/>
        <v>-2.0699999999999998</v>
      </c>
      <c r="P1342" s="2026">
        <f t="shared" si="2456"/>
        <v>-3.1819999999999999</v>
      </c>
      <c r="Q1342" s="2026">
        <f t="shared" si="2456"/>
        <v>-3.1</v>
      </c>
      <c r="R1342" s="2027">
        <f t="shared" si="2456"/>
        <v>-10.577</v>
      </c>
      <c r="S1342" s="2026">
        <f t="shared" si="2456"/>
        <v>-3.8010000000000002</v>
      </c>
      <c r="T1342" s="2026">
        <f t="shared" si="2456"/>
        <v>-3.5739999999999998</v>
      </c>
      <c r="U1342" s="2026">
        <f t="shared" si="2456"/>
        <v>-3.4020000000000001</v>
      </c>
      <c r="V1342" s="2026">
        <f t="shared" si="2456"/>
        <v>-2.9910000000000001</v>
      </c>
      <c r="W1342" s="2027">
        <f t="shared" si="2456"/>
        <v>-13.768000000000001</v>
      </c>
      <c r="X1342" s="2026">
        <f t="shared" si="2456"/>
        <v>-4.6050000000000004</v>
      </c>
      <c r="Y1342" s="2026">
        <f t="shared" si="2456"/>
        <v>-3.13</v>
      </c>
      <c r="Z1342" s="2026">
        <f t="shared" si="2456"/>
        <v>-5.1539999999999999</v>
      </c>
      <c r="AA1342" s="2026">
        <f t="shared" si="2456"/>
        <v>-3.12</v>
      </c>
      <c r="AB1342" s="2027">
        <f t="shared" si="2456"/>
        <v>-16.009</v>
      </c>
      <c r="AC1342" s="2026">
        <f t="shared" si="2456"/>
        <v>-4.5220000000000002</v>
      </c>
      <c r="AD1342" s="2026">
        <f t="shared" si="2456"/>
        <v>-4.5039999999999996</v>
      </c>
      <c r="AE1342" s="2026">
        <f t="shared" si="2456"/>
        <v>-7.2039999999999997</v>
      </c>
      <c r="AF1342" s="2026">
        <f t="shared" si="2456"/>
        <v>-3.073</v>
      </c>
      <c r="AG1342" s="2027">
        <f t="shared" si="2456"/>
        <v>-19.303000000000001</v>
      </c>
      <c r="AH1342" s="2026">
        <f t="shared" si="2456"/>
        <v>-3.133</v>
      </c>
      <c r="AI1342" s="2026">
        <f t="shared" si="2456"/>
        <v>0</v>
      </c>
      <c r="AJ1342" s="2026">
        <f t="shared" ref="AJ1342:BO1342" si="2457">AJ77</f>
        <v>0</v>
      </c>
      <c r="AK1342" s="2026">
        <f t="shared" si="2457"/>
        <v>0</v>
      </c>
      <c r="AL1342" s="2027">
        <f t="shared" si="2457"/>
        <v>-3.133</v>
      </c>
      <c r="AM1342" s="2026">
        <f t="shared" si="2457"/>
        <v>0</v>
      </c>
      <c r="AN1342" s="2026">
        <f t="shared" si="2457"/>
        <v>0</v>
      </c>
      <c r="AO1342" s="2026">
        <f t="shared" si="2457"/>
        <v>0</v>
      </c>
      <c r="AP1342" s="2028">
        <f t="shared" si="2457"/>
        <v>0</v>
      </c>
      <c r="AQ1342" s="2027">
        <f t="shared" si="2457"/>
        <v>0</v>
      </c>
      <c r="AR1342" s="2025">
        <f t="shared" si="2457"/>
        <v>0</v>
      </c>
      <c r="AS1342" s="2026">
        <f t="shared" si="2457"/>
        <v>0</v>
      </c>
      <c r="AT1342" s="2026">
        <f t="shared" si="2457"/>
        <v>0</v>
      </c>
      <c r="AU1342" s="2029">
        <f t="shared" si="2457"/>
        <v>0</v>
      </c>
      <c r="AV1342" s="2027">
        <f t="shared" si="2457"/>
        <v>0</v>
      </c>
      <c r="AW1342" s="2025">
        <f t="shared" si="2457"/>
        <v>-10.1</v>
      </c>
      <c r="AX1342" s="2026">
        <f t="shared" si="2457"/>
        <v>-10</v>
      </c>
      <c r="AY1342" s="2026">
        <f t="shared" si="2457"/>
        <v>-11.8</v>
      </c>
      <c r="AZ1342" s="2029">
        <f t="shared" si="2457"/>
        <v>-19.5</v>
      </c>
      <c r="BA1342" s="2027">
        <f t="shared" si="2457"/>
        <v>-51.400000000000006</v>
      </c>
      <c r="BB1342" s="2025">
        <f t="shared" si="2457"/>
        <v>-8.5</v>
      </c>
      <c r="BC1342" s="2026">
        <f t="shared" si="2457"/>
        <v>-9.5</v>
      </c>
      <c r="BD1342" s="2026">
        <f t="shared" si="2457"/>
        <v>-10.3</v>
      </c>
      <c r="BE1342" s="2029">
        <f t="shared" si="2457"/>
        <v>-9.3089999999999993</v>
      </c>
      <c r="BF1342" s="2027">
        <f t="shared" si="2457"/>
        <v>-37.609000000000002</v>
      </c>
      <c r="BG1342" s="2025">
        <f t="shared" si="2457"/>
        <v>-7.6609999999999996</v>
      </c>
      <c r="BH1342" s="2026">
        <f t="shared" si="2457"/>
        <v>-9.1120000000000001</v>
      </c>
      <c r="BI1342" s="2026">
        <f t="shared" si="2457"/>
        <v>-12.680999999999999</v>
      </c>
      <c r="BJ1342" s="2029">
        <f t="shared" si="2457"/>
        <v>-7.968</v>
      </c>
      <c r="BK1342" s="2027">
        <f t="shared" si="2457"/>
        <v>-37.421999999999997</v>
      </c>
      <c r="BL1342" s="2026">
        <f t="shared" si="2457"/>
        <v>-7.2060000000000004</v>
      </c>
      <c r="BM1342" s="2026">
        <f t="shared" si="2457"/>
        <v>0</v>
      </c>
      <c r="BN1342" s="2026">
        <f t="shared" si="2457"/>
        <v>0</v>
      </c>
      <c r="BO1342" s="2029">
        <f t="shared" si="2457"/>
        <v>0</v>
      </c>
      <c r="BP1342" s="2027">
        <f t="shared" ref="BP1342:CG1342" si="2458">BP77</f>
        <v>-7.2060000000000004</v>
      </c>
      <c r="BQ1342" s="2026">
        <f t="shared" si="2458"/>
        <v>0</v>
      </c>
      <c r="BR1342" s="2026">
        <f t="shared" si="2458"/>
        <v>0</v>
      </c>
      <c r="BS1342" s="2026">
        <f t="shared" si="2458"/>
        <v>0</v>
      </c>
      <c r="BT1342" s="2029">
        <f t="shared" si="2458"/>
        <v>0</v>
      </c>
      <c r="BU1342" s="3467">
        <f t="shared" si="2458"/>
        <v>0</v>
      </c>
      <c r="BV1342" s="2026">
        <f t="shared" si="2458"/>
        <v>0</v>
      </c>
      <c r="BW1342" s="2026">
        <f t="shared" si="2458"/>
        <v>0</v>
      </c>
      <c r="BX1342" s="2026">
        <f t="shared" si="2458"/>
        <v>0</v>
      </c>
      <c r="BY1342" s="2029">
        <f t="shared" si="2458"/>
        <v>0</v>
      </c>
      <c r="BZ1342" s="3467">
        <f t="shared" si="2458"/>
        <v>0</v>
      </c>
      <c r="CA1342" s="2027">
        <f t="shared" si="2458"/>
        <v>0</v>
      </c>
      <c r="CB1342" s="2027">
        <f t="shared" si="2458"/>
        <v>0</v>
      </c>
      <c r="CC1342" s="2027">
        <f t="shared" si="2458"/>
        <v>-3.5</v>
      </c>
      <c r="CD1342" s="2027">
        <f t="shared" si="2458"/>
        <v>-3.5</v>
      </c>
      <c r="CE1342" s="2027">
        <f t="shared" si="2458"/>
        <v>-3.5</v>
      </c>
      <c r="CF1342" s="2027">
        <f t="shared" si="2458"/>
        <v>-3.5</v>
      </c>
      <c r="CG1342" s="2027">
        <f t="shared" si="2458"/>
        <v>-3.5</v>
      </c>
      <c r="CH1342" s="2017"/>
      <c r="CI1342" s="2017"/>
      <c r="CJ1342" s="2017"/>
      <c r="CK1342" s="2017"/>
      <c r="CL1342" s="2017"/>
      <c r="CM1342" s="4041"/>
      <c r="CN1342" s="4041">
        <f t="shared" si="2451"/>
        <v>0</v>
      </c>
      <c r="CO1342" s="4041">
        <f t="shared" si="2452"/>
        <v>0</v>
      </c>
      <c r="CP1342" s="2021"/>
      <c r="CQ1342" s="2022"/>
      <c r="CR1342" s="2022"/>
      <c r="CS1342" s="2022"/>
      <c r="CT1342" s="2022"/>
      <c r="CU1342" s="2022"/>
      <c r="CV1342" s="2022"/>
      <c r="CW1342" s="2022"/>
      <c r="CX1342" s="2022"/>
      <c r="CY1342" s="2022"/>
      <c r="CZ1342" s="2022"/>
      <c r="DA1342" s="2022"/>
      <c r="DB1342" s="2022"/>
      <c r="DC1342" s="2022"/>
      <c r="DD1342" s="2022"/>
      <c r="DE1342" s="2022"/>
      <c r="DF1342" s="2022"/>
      <c r="DG1342" s="2023"/>
      <c r="DH1342" s="2022"/>
      <c r="DI1342" s="2022"/>
      <c r="DJ1342" s="2022"/>
      <c r="DK1342" s="2022"/>
      <c r="DL1342" s="2022"/>
      <c r="DM1342" s="2022"/>
      <c r="DN1342" s="2022"/>
      <c r="DO1342" s="2024"/>
      <c r="DY1342" s="319"/>
      <c r="DZ1342" s="319"/>
    </row>
    <row r="1343" spans="1:130" ht="12" customHeight="1">
      <c r="A1343" s="2014" t="s">
        <v>508</v>
      </c>
      <c r="B1343" s="2014"/>
      <c r="C1343" s="2014"/>
      <c r="D1343" s="2025">
        <f t="shared" ref="D1343:AI1343" si="2459">D87/(1-0.35)</f>
        <v>8.8076923076923066</v>
      </c>
      <c r="E1343" s="2026">
        <f t="shared" si="2459"/>
        <v>4.1784615384615389</v>
      </c>
      <c r="F1343" s="2026">
        <f t="shared" si="2459"/>
        <v>-3.4230769230769216</v>
      </c>
      <c r="G1343" s="2026">
        <f t="shared" si="2459"/>
        <v>6.8661538461538463</v>
      </c>
      <c r="H1343" s="2027">
        <f t="shared" si="2459"/>
        <v>16.429230769230767</v>
      </c>
      <c r="I1343" s="2026">
        <f t="shared" si="2459"/>
        <v>26.798461538461538</v>
      </c>
      <c r="J1343" s="2026">
        <f t="shared" si="2459"/>
        <v>2.6015384615384614</v>
      </c>
      <c r="K1343" s="2026">
        <f t="shared" si="2459"/>
        <v>28.429230769230767</v>
      </c>
      <c r="L1343" s="2026">
        <f t="shared" si="2459"/>
        <v>70.478461538461531</v>
      </c>
      <c r="M1343" s="2027">
        <f t="shared" si="2459"/>
        <v>128.30769230769232</v>
      </c>
      <c r="N1343" s="2026">
        <f t="shared" si="2459"/>
        <v>11.770769230769231</v>
      </c>
      <c r="O1343" s="2026">
        <f t="shared" si="2459"/>
        <v>49.686153846153843</v>
      </c>
      <c r="P1343" s="2026">
        <f t="shared" si="2459"/>
        <v>16.529230769230775</v>
      </c>
      <c r="Q1343" s="2026">
        <f t="shared" si="2459"/>
        <v>-24.215384615384611</v>
      </c>
      <c r="R1343" s="2027">
        <f t="shared" si="2459"/>
        <v>53.77076923076924</v>
      </c>
      <c r="S1343" s="2026">
        <f t="shared" si="2459"/>
        <v>16.216923076923074</v>
      </c>
      <c r="T1343" s="2026">
        <f t="shared" si="2459"/>
        <v>27.356923076923078</v>
      </c>
      <c r="U1343" s="2026">
        <f t="shared" si="2459"/>
        <v>10.078461538461539</v>
      </c>
      <c r="V1343" s="2026">
        <f t="shared" si="2459"/>
        <v>12.053846153846155</v>
      </c>
      <c r="W1343" s="2027">
        <f t="shared" si="2459"/>
        <v>65.706153846153853</v>
      </c>
      <c r="X1343" s="2026">
        <f t="shared" si="2459"/>
        <v>95.709230769230771</v>
      </c>
      <c r="Y1343" s="2026">
        <f t="shared" si="2459"/>
        <v>7.3147692307692287</v>
      </c>
      <c r="Z1343" s="2026">
        <f t="shared" si="2459"/>
        <v>8.0964615384615399</v>
      </c>
      <c r="AA1343" s="2026">
        <f t="shared" si="2459"/>
        <v>356.93612307692308</v>
      </c>
      <c r="AB1343" s="2027">
        <f t="shared" si="2459"/>
        <v>468.05658461538462</v>
      </c>
      <c r="AC1343" s="2026">
        <f t="shared" si="2459"/>
        <v>41.283846153846149</v>
      </c>
      <c r="AD1343" s="2026">
        <f t="shared" si="2459"/>
        <v>-3.6138461538461542</v>
      </c>
      <c r="AE1343" s="2026">
        <f t="shared" si="2459"/>
        <v>2.5400000000000014</v>
      </c>
      <c r="AF1343" s="2026">
        <f t="shared" si="2459"/>
        <v>1.4600553846153848</v>
      </c>
      <c r="AG1343" s="2027">
        <f t="shared" si="2459"/>
        <v>41.670055384615381</v>
      </c>
      <c r="AH1343" s="2026">
        <f t="shared" si="2459"/>
        <v>0.65692307692307694</v>
      </c>
      <c r="AI1343" s="2026">
        <f t="shared" si="2459"/>
        <v>1.304615384615385</v>
      </c>
      <c r="AJ1343" s="2026">
        <f t="shared" ref="AJ1343:BO1343" si="2460">AJ87/(1-0.35)</f>
        <v>-6.4323076923076892</v>
      </c>
      <c r="AK1343" s="2026">
        <f t="shared" si="2460"/>
        <v>8.9799999999999986</v>
      </c>
      <c r="AL1343" s="2027">
        <f t="shared" si="2460"/>
        <v>4.5092307692307703</v>
      </c>
      <c r="AM1343" s="2026">
        <f t="shared" si="2460"/>
        <v>3.5523076923076924</v>
      </c>
      <c r="AN1343" s="2026">
        <f t="shared" si="2460"/>
        <v>2.6784615384615384</v>
      </c>
      <c r="AO1343" s="2026">
        <f t="shared" si="2460"/>
        <v>3.4553846153846153</v>
      </c>
      <c r="AP1343" s="2028">
        <f t="shared" si="2460"/>
        <v>-3.6630769230769245</v>
      </c>
      <c r="AQ1343" s="2027">
        <f t="shared" si="2460"/>
        <v>6.023076923076923</v>
      </c>
      <c r="AR1343" s="2025">
        <f t="shared" si="2460"/>
        <v>3.9446153846153837</v>
      </c>
      <c r="AS1343" s="2026">
        <f t="shared" si="2460"/>
        <v>3.8492307692307692</v>
      </c>
      <c r="AT1343" s="2026">
        <f t="shared" si="2460"/>
        <v>9.7676923076923075</v>
      </c>
      <c r="AU1343" s="2029">
        <f t="shared" si="2460"/>
        <v>1341.9061538461538</v>
      </c>
      <c r="AV1343" s="2027">
        <f t="shared" si="2460"/>
        <v>1359.467692307692</v>
      </c>
      <c r="AW1343" s="2025">
        <f t="shared" si="2460"/>
        <v>11.846153846153845</v>
      </c>
      <c r="AX1343" s="2026">
        <f t="shared" si="2460"/>
        <v>0</v>
      </c>
      <c r="AY1343" s="2026">
        <f t="shared" si="2460"/>
        <v>44.61538461538462</v>
      </c>
      <c r="AZ1343" s="2029">
        <f t="shared" si="2460"/>
        <v>32.153846153846153</v>
      </c>
      <c r="BA1343" s="2027">
        <f t="shared" si="2460"/>
        <v>88.615384615384613</v>
      </c>
      <c r="BB1343" s="2025">
        <f t="shared" si="2460"/>
        <v>3.2307692307692313</v>
      </c>
      <c r="BC1343" s="2026">
        <f t="shared" si="2460"/>
        <v>6.9230769230769216</v>
      </c>
      <c r="BD1343" s="2026">
        <f t="shared" si="2460"/>
        <v>23.692307692307697</v>
      </c>
      <c r="BE1343" s="2029">
        <f t="shared" si="2460"/>
        <v>49.672307692307697</v>
      </c>
      <c r="BF1343" s="2027">
        <f t="shared" si="2460"/>
        <v>83.518461538461551</v>
      </c>
      <c r="BG1343" s="2025">
        <f t="shared" si="2460"/>
        <v>-32.083076923076923</v>
      </c>
      <c r="BH1343" s="2026">
        <f t="shared" si="2460"/>
        <v>51.235384615384618</v>
      </c>
      <c r="BI1343" s="2026">
        <f t="shared" si="2460"/>
        <v>7.661538461538461</v>
      </c>
      <c r="BJ1343" s="2029">
        <f t="shared" si="2460"/>
        <v>38.5</v>
      </c>
      <c r="BK1343" s="2027">
        <f t="shared" si="2460"/>
        <v>65.313846153846157</v>
      </c>
      <c r="BL1343" s="2026">
        <f t="shared" si="2460"/>
        <v>1.1846153846153837</v>
      </c>
      <c r="BM1343" s="2026">
        <f t="shared" si="2460"/>
        <v>10.458461538461538</v>
      </c>
      <c r="BN1343" s="2026">
        <f t="shared" si="2460"/>
        <v>-223.35846153846151</v>
      </c>
      <c r="BO1343" s="2029">
        <f t="shared" si="2460"/>
        <v>51.606153846153852</v>
      </c>
      <c r="BP1343" s="2027">
        <f t="shared" ref="BP1343:CG1343" si="2461">BP87/(1-0.35)</f>
        <v>-160.10923076923072</v>
      </c>
      <c r="BQ1343" s="2026">
        <f t="shared" si="2461"/>
        <v>3.5938461538461541</v>
      </c>
      <c r="BR1343" s="2026">
        <f t="shared" si="2461"/>
        <v>4.1430769230769231</v>
      </c>
      <c r="BS1343" s="2026">
        <f t="shared" si="2461"/>
        <v>3.8861538461538463</v>
      </c>
      <c r="BT1343" s="2029">
        <f t="shared" si="2461"/>
        <v>-87.001538461538459</v>
      </c>
      <c r="BU1343" s="3467">
        <f t="shared" si="2461"/>
        <v>-75.378461538461536</v>
      </c>
      <c r="BV1343" s="2026">
        <f t="shared" si="2461"/>
        <v>5.7692307692307692</v>
      </c>
      <c r="BW1343" s="2026">
        <f t="shared" si="2461"/>
        <v>5.7692307692307692</v>
      </c>
      <c r="BX1343" s="2026">
        <f t="shared" si="2461"/>
        <v>5.7692307692307692</v>
      </c>
      <c r="BY1343" s="2029">
        <f t="shared" si="2461"/>
        <v>5.7692307692307692</v>
      </c>
      <c r="BZ1343" s="3467">
        <f t="shared" si="2461"/>
        <v>23.076923076923077</v>
      </c>
      <c r="CA1343" s="2027">
        <f t="shared" si="2461"/>
        <v>23.076923076923077</v>
      </c>
      <c r="CB1343" s="2027">
        <f t="shared" si="2461"/>
        <v>23.076923076923077</v>
      </c>
      <c r="CC1343" s="2027">
        <f t="shared" si="2461"/>
        <v>23.076923076923077</v>
      </c>
      <c r="CD1343" s="2027">
        <f t="shared" si="2461"/>
        <v>23.076923076923077</v>
      </c>
      <c r="CE1343" s="2027">
        <f t="shared" si="2461"/>
        <v>23.076923076923077</v>
      </c>
      <c r="CF1343" s="2027">
        <f t="shared" si="2461"/>
        <v>23.076923076923077</v>
      </c>
      <c r="CG1343" s="2027">
        <f t="shared" si="2461"/>
        <v>23.076923076923077</v>
      </c>
      <c r="CH1343" s="2017"/>
      <c r="CI1343" s="2017"/>
      <c r="CJ1343" s="2017"/>
      <c r="CK1343" s="2017"/>
      <c r="CL1343" s="2017"/>
      <c r="CM1343" s="4041"/>
      <c r="CN1343" s="4041">
        <f t="shared" si="2451"/>
        <v>23.076923076923077</v>
      </c>
      <c r="CO1343" s="4041">
        <f t="shared" si="2452"/>
        <v>23.076923076923077</v>
      </c>
      <c r="CP1343" s="2021"/>
      <c r="CQ1343" s="2022"/>
      <c r="CR1343" s="2022"/>
      <c r="CS1343" s="2022"/>
      <c r="CT1343" s="2022"/>
      <c r="CU1343" s="2022"/>
      <c r="CV1343" s="2022"/>
      <c r="CW1343" s="2022"/>
      <c r="CX1343" s="2022"/>
      <c r="CY1343" s="2022"/>
      <c r="CZ1343" s="2022"/>
      <c r="DA1343" s="2022"/>
      <c r="DB1343" s="2022"/>
      <c r="DC1343" s="2022"/>
      <c r="DD1343" s="2022"/>
      <c r="DE1343" s="2022"/>
      <c r="DF1343" s="2022"/>
      <c r="DG1343" s="2023"/>
      <c r="DH1343" s="2022"/>
      <c r="DI1343" s="2022"/>
      <c r="DJ1343" s="2022"/>
      <c r="DK1343" s="2022"/>
      <c r="DL1343" s="2022"/>
      <c r="DM1343" s="2022"/>
      <c r="DN1343" s="2022"/>
      <c r="DO1343" s="2024"/>
      <c r="DY1343" s="319"/>
      <c r="DZ1343" s="319"/>
    </row>
    <row r="1344" spans="1:130" ht="12" customHeight="1">
      <c r="A1344" s="2015"/>
      <c r="B1344" s="2014"/>
      <c r="C1344" s="2014"/>
      <c r="D1344" s="2025"/>
      <c r="E1344" s="2026"/>
      <c r="F1344" s="2026"/>
      <c r="G1344" s="2026"/>
      <c r="H1344" s="2027"/>
      <c r="I1344" s="2026"/>
      <c r="J1344" s="2026"/>
      <c r="K1344" s="2026"/>
      <c r="L1344" s="2026"/>
      <c r="M1344" s="2027"/>
      <c r="N1344" s="2026"/>
      <c r="O1344" s="2026"/>
      <c r="P1344" s="2026"/>
      <c r="Q1344" s="2026"/>
      <c r="R1344" s="2027"/>
      <c r="S1344" s="2026"/>
      <c r="T1344" s="2026"/>
      <c r="U1344" s="2026"/>
      <c r="V1344" s="2026"/>
      <c r="W1344" s="2027"/>
      <c r="X1344" s="2026"/>
      <c r="Y1344" s="2026"/>
      <c r="Z1344" s="2026"/>
      <c r="AA1344" s="2026"/>
      <c r="AB1344" s="2027"/>
      <c r="AC1344" s="2026"/>
      <c r="AD1344" s="2026"/>
      <c r="AE1344" s="2026"/>
      <c r="AF1344" s="2026"/>
      <c r="AG1344" s="2027"/>
      <c r="AH1344" s="2026"/>
      <c r="AI1344" s="2026"/>
      <c r="AJ1344" s="2026"/>
      <c r="AK1344" s="2026"/>
      <c r="AL1344" s="2027"/>
      <c r="AM1344" s="2026"/>
      <c r="AN1344" s="2026"/>
      <c r="AO1344" s="2026"/>
      <c r="AP1344" s="2028"/>
      <c r="AQ1344" s="2027"/>
      <c r="AR1344" s="2025"/>
      <c r="AS1344" s="2026"/>
      <c r="AT1344" s="2026"/>
      <c r="AU1344" s="2029"/>
      <c r="AV1344" s="2027"/>
      <c r="AW1344" s="2025"/>
      <c r="AX1344" s="2026"/>
      <c r="AY1344" s="2026"/>
      <c r="AZ1344" s="2029"/>
      <c r="BA1344" s="2027"/>
      <c r="BB1344" s="2025"/>
      <c r="BC1344" s="2026"/>
      <c r="BD1344" s="2026"/>
      <c r="BE1344" s="2029"/>
      <c r="BF1344" s="2027"/>
      <c r="BG1344" s="2025"/>
      <c r="BH1344" s="2026"/>
      <c r="BI1344" s="2026"/>
      <c r="BJ1344" s="2029"/>
      <c r="BK1344" s="2027"/>
      <c r="BL1344" s="2026"/>
      <c r="BM1344" s="2026"/>
      <c r="BN1344" s="2026"/>
      <c r="BO1344" s="2029"/>
      <c r="BP1344" s="2027"/>
      <c r="BQ1344" s="2026"/>
      <c r="BR1344" s="2026"/>
      <c r="BS1344" s="2026"/>
      <c r="BT1344" s="2029"/>
      <c r="BU1344" s="3467"/>
      <c r="BV1344" s="2026"/>
      <c r="BW1344" s="2026"/>
      <c r="BX1344" s="2026"/>
      <c r="BY1344" s="2029"/>
      <c r="BZ1344" s="3467"/>
      <c r="CA1344" s="2027"/>
      <c r="CB1344" s="2027"/>
      <c r="CC1344" s="2027"/>
      <c r="CD1344" s="2027"/>
      <c r="CE1344" s="2027"/>
      <c r="CF1344" s="2027"/>
      <c r="CG1344" s="2027"/>
      <c r="CH1344" s="2017"/>
      <c r="CI1344" s="2017"/>
      <c r="CJ1344" s="2017"/>
      <c r="CK1344" s="2017"/>
      <c r="CL1344" s="2017"/>
      <c r="CM1344" s="4041"/>
      <c r="CN1344" s="4041"/>
      <c r="CO1344" s="4041"/>
      <c r="CP1344" s="2021"/>
      <c r="CQ1344" s="2022"/>
      <c r="CR1344" s="2022"/>
      <c r="CS1344" s="2022"/>
      <c r="CT1344" s="2022"/>
      <c r="CU1344" s="2022"/>
      <c r="CV1344" s="2022"/>
      <c r="CW1344" s="2022"/>
      <c r="CX1344" s="2022"/>
      <c r="CY1344" s="2022"/>
      <c r="CZ1344" s="2022"/>
      <c r="DA1344" s="2022"/>
      <c r="DB1344" s="2022"/>
      <c r="DC1344" s="2022"/>
      <c r="DD1344" s="2022"/>
      <c r="DE1344" s="2022"/>
      <c r="DF1344" s="2022"/>
      <c r="DG1344" s="2023"/>
      <c r="DH1344" s="2022"/>
      <c r="DI1344" s="2022"/>
      <c r="DJ1344" s="2022"/>
      <c r="DK1344" s="2022"/>
      <c r="DL1344" s="2022"/>
      <c r="DM1344" s="2022"/>
      <c r="DN1344" s="2022"/>
      <c r="DO1344" s="2024"/>
      <c r="DY1344" s="319"/>
      <c r="DZ1344" s="319"/>
    </row>
    <row r="1345" spans="1:130" ht="12" customHeight="1">
      <c r="A1345" s="2015" t="s">
        <v>509</v>
      </c>
      <c r="B1345" s="2014"/>
      <c r="C1345" s="2014"/>
      <c r="D1345" s="2025">
        <f t="shared" ref="D1345:AI1345" si="2462">D151</f>
        <v>-8.019670000000005</v>
      </c>
      <c r="E1345" s="2026">
        <f t="shared" si="2462"/>
        <v>-204.62122999999997</v>
      </c>
      <c r="F1345" s="2026">
        <f t="shared" si="2462"/>
        <v>-869.69728999999984</v>
      </c>
      <c r="G1345" s="2026">
        <f t="shared" si="2462"/>
        <v>-71.927380000000042</v>
      </c>
      <c r="H1345" s="2027">
        <f t="shared" si="2462"/>
        <v>-1154.26557</v>
      </c>
      <c r="I1345" s="2026">
        <f t="shared" si="2462"/>
        <v>2.9599799999999714</v>
      </c>
      <c r="J1345" s="2026">
        <f t="shared" si="2462"/>
        <v>-86.333580000000026</v>
      </c>
      <c r="K1345" s="2026">
        <f t="shared" si="2462"/>
        <v>-51.857719999999986</v>
      </c>
      <c r="L1345" s="2026">
        <f t="shared" si="2462"/>
        <v>-143.41816999999995</v>
      </c>
      <c r="M1345" s="2027">
        <f t="shared" si="2462"/>
        <v>-278.64949000000001</v>
      </c>
      <c r="N1345" s="2026">
        <f t="shared" si="2462"/>
        <v>-62.292040000000036</v>
      </c>
      <c r="O1345" s="2026">
        <f t="shared" si="2462"/>
        <v>-44.077159999999978</v>
      </c>
      <c r="P1345" s="2026">
        <f t="shared" si="2462"/>
        <v>5.5334499999999753</v>
      </c>
      <c r="Q1345" s="2026">
        <f t="shared" si="2462"/>
        <v>406.28279999999995</v>
      </c>
      <c r="R1345" s="2027">
        <f t="shared" si="2462"/>
        <v>305.44704999999993</v>
      </c>
      <c r="S1345" s="2026">
        <f t="shared" si="2462"/>
        <v>40.681100000000001</v>
      </c>
      <c r="T1345" s="2026">
        <f t="shared" si="2462"/>
        <v>-32.751970000000007</v>
      </c>
      <c r="U1345" s="2026">
        <f t="shared" si="2462"/>
        <v>-5.8926399999999735</v>
      </c>
      <c r="V1345" s="2026">
        <f t="shared" si="2462"/>
        <v>-30.866779999999995</v>
      </c>
      <c r="W1345" s="2027">
        <f t="shared" si="2462"/>
        <v>-28.830289999999977</v>
      </c>
      <c r="X1345" s="2026">
        <f t="shared" si="2462"/>
        <v>-148.95771999999999</v>
      </c>
      <c r="Y1345" s="2026">
        <f t="shared" si="2462"/>
        <v>-134.65323000000001</v>
      </c>
      <c r="Z1345" s="2026">
        <f t="shared" si="2462"/>
        <v>-158.13592999999995</v>
      </c>
      <c r="AA1345" s="2026">
        <f t="shared" si="2462"/>
        <v>-109.89900999999995</v>
      </c>
      <c r="AB1345" s="2027">
        <f t="shared" si="2462"/>
        <v>-551.64588999999989</v>
      </c>
      <c r="AC1345" s="2026">
        <f t="shared" si="2462"/>
        <v>-55.747000000000014</v>
      </c>
      <c r="AD1345" s="2026">
        <f t="shared" si="2462"/>
        <v>20.066500000000016</v>
      </c>
      <c r="AE1345" s="2026">
        <f t="shared" si="2462"/>
        <v>20.996500000000005</v>
      </c>
      <c r="AF1345" s="2026">
        <f t="shared" si="2462"/>
        <v>68.509956000000017</v>
      </c>
      <c r="AG1345" s="2027">
        <f t="shared" si="2462"/>
        <v>53.825956000000026</v>
      </c>
      <c r="AH1345" s="2026">
        <f t="shared" si="2462"/>
        <v>37.436019999999999</v>
      </c>
      <c r="AI1345" s="2026">
        <f t="shared" si="2462"/>
        <v>51.776980000000023</v>
      </c>
      <c r="AJ1345" s="2026">
        <f t="shared" ref="AJ1345:BO1345" si="2463">AJ151</f>
        <v>53.739000000000019</v>
      </c>
      <c r="AK1345" s="2026">
        <f t="shared" si="2463"/>
        <v>34.742999999999981</v>
      </c>
      <c r="AL1345" s="2027">
        <f t="shared" si="2463"/>
        <v>177.69500000000005</v>
      </c>
      <c r="AM1345" s="2026">
        <f t="shared" si="2463"/>
        <v>53.264999999999979</v>
      </c>
      <c r="AN1345" s="2026">
        <f t="shared" si="2463"/>
        <v>16.437000000000033</v>
      </c>
      <c r="AO1345" s="2026">
        <f t="shared" si="2463"/>
        <v>22.194000000000017</v>
      </c>
      <c r="AP1345" s="2028">
        <f t="shared" si="2463"/>
        <v>-281.44400000000002</v>
      </c>
      <c r="AQ1345" s="2027">
        <f t="shared" si="2463"/>
        <v>-189.548</v>
      </c>
      <c r="AR1345" s="2025">
        <f t="shared" si="2463"/>
        <v>40.222000000000008</v>
      </c>
      <c r="AS1345" s="2026">
        <f t="shared" si="2463"/>
        <v>10.161000000000003</v>
      </c>
      <c r="AT1345" s="2026">
        <f t="shared" si="2463"/>
        <v>11.462000000000002</v>
      </c>
      <c r="AU1345" s="2029">
        <f t="shared" si="2463"/>
        <v>-1499.3720000000001</v>
      </c>
      <c r="AV1345" s="2027">
        <f t="shared" si="2463"/>
        <v>-1437.527</v>
      </c>
      <c r="AW1345" s="2025">
        <f t="shared" si="2463"/>
        <v>402.53950000000003</v>
      </c>
      <c r="AX1345" s="2026">
        <f t="shared" si="2463"/>
        <v>78.755500000000026</v>
      </c>
      <c r="AY1345" s="2026">
        <f t="shared" si="2463"/>
        <v>-12.160999999999968</v>
      </c>
      <c r="AZ1345" s="2029">
        <f t="shared" si="2463"/>
        <v>-61.097500000000025</v>
      </c>
      <c r="BA1345" s="2027">
        <f t="shared" si="2463"/>
        <v>408.0365000000001</v>
      </c>
      <c r="BB1345" s="2025">
        <f t="shared" si="2463"/>
        <v>41.063000000000038</v>
      </c>
      <c r="BC1345" s="2026">
        <f t="shared" si="2463"/>
        <v>21.174999999999994</v>
      </c>
      <c r="BD1345" s="2026">
        <f t="shared" si="2463"/>
        <v>21.288499999999971</v>
      </c>
      <c r="BE1345" s="2029">
        <f t="shared" si="2463"/>
        <v>-14.589999999999989</v>
      </c>
      <c r="BF1345" s="2027">
        <f t="shared" si="2463"/>
        <v>68.936500000000009</v>
      </c>
      <c r="BG1345" s="2025">
        <f t="shared" si="2463"/>
        <v>26.872500000000024</v>
      </c>
      <c r="BH1345" s="2026">
        <f t="shared" si="2463"/>
        <v>64.866500000000059</v>
      </c>
      <c r="BI1345" s="2026">
        <f t="shared" si="2463"/>
        <v>82.126999999999995</v>
      </c>
      <c r="BJ1345" s="2029">
        <f t="shared" si="2463"/>
        <v>14.686</v>
      </c>
      <c r="BK1345" s="2027">
        <f t="shared" si="2463"/>
        <v>188.55200000000011</v>
      </c>
      <c r="BL1345" s="2026">
        <f t="shared" si="2463"/>
        <v>78.45150000000001</v>
      </c>
      <c r="BM1345" s="2026">
        <f t="shared" si="2463"/>
        <v>27.10599999999998</v>
      </c>
      <c r="BN1345" s="2026">
        <f t="shared" si="2463"/>
        <v>-505.03099999999995</v>
      </c>
      <c r="BO1345" s="2029">
        <f t="shared" si="2463"/>
        <v>-181.75899999999999</v>
      </c>
      <c r="BP1345" s="2027">
        <f t="shared" ref="BP1345:CG1345" si="2464">BP151</f>
        <v>-581.23249999999996</v>
      </c>
      <c r="BQ1345" s="2026">
        <f t="shared" si="2464"/>
        <v>3.8729999999999833</v>
      </c>
      <c r="BR1345" s="2026">
        <f t="shared" si="2464"/>
        <v>41.808849999999993</v>
      </c>
      <c r="BS1345" s="2026">
        <f t="shared" si="2464"/>
        <v>128.45715000000001</v>
      </c>
      <c r="BT1345" s="2029">
        <f t="shared" si="2464"/>
        <v>-4.7212500000000057</v>
      </c>
      <c r="BU1345" s="3467">
        <f t="shared" si="2464"/>
        <v>169.41774999999998</v>
      </c>
      <c r="BV1345" s="2026">
        <f t="shared" si="2464"/>
        <v>114.62441850179825</v>
      </c>
      <c r="BW1345" s="2026">
        <f t="shared" si="2464"/>
        <v>70.091110985853064</v>
      </c>
      <c r="BX1345" s="2026">
        <f t="shared" si="2464"/>
        <v>-766.96979431729767</v>
      </c>
      <c r="BY1345" s="2029">
        <f t="shared" si="2464"/>
        <v>101.27494689101779</v>
      </c>
      <c r="BZ1345" s="3467">
        <f t="shared" si="2464"/>
        <v>-480.97931793862853</v>
      </c>
      <c r="CA1345" s="2027">
        <f t="shared" si="2464"/>
        <v>377.19789114644772</v>
      </c>
      <c r="CB1345" s="2027">
        <f t="shared" si="2464"/>
        <v>382.15433136309599</v>
      </c>
      <c r="CC1345" s="2027">
        <f t="shared" si="2464"/>
        <v>-117.4158333917633</v>
      </c>
      <c r="CD1345" s="2027">
        <f t="shared" si="2464"/>
        <v>-149.79401812752405</v>
      </c>
      <c r="CE1345" s="2027">
        <f t="shared" si="2464"/>
        <v>-135.26000729722568</v>
      </c>
      <c r="CF1345" s="2027">
        <f t="shared" si="2464"/>
        <v>-120.31093050517183</v>
      </c>
      <c r="CG1345" s="2027">
        <f t="shared" si="2464"/>
        <v>-104.9370835684264</v>
      </c>
      <c r="CH1345" s="2017"/>
      <c r="CI1345" s="2017"/>
      <c r="CJ1345" s="2017"/>
      <c r="CK1345" s="2017"/>
      <c r="CL1345" s="2017"/>
      <c r="CM1345" s="4041"/>
      <c r="CN1345" s="4041">
        <f>SUM(BV1345:BY1345)</f>
        <v>-480.97931793862853</v>
      </c>
      <c r="CO1345" s="4041">
        <f>CN1345-CM1345</f>
        <v>-480.97931793862853</v>
      </c>
      <c r="CP1345" s="2021"/>
      <c r="CQ1345" s="2022"/>
      <c r="CR1345" s="2022"/>
      <c r="CS1345" s="2022"/>
      <c r="CT1345" s="2022"/>
      <c r="CU1345" s="2022"/>
      <c r="CV1345" s="2022"/>
      <c r="CW1345" s="2022"/>
      <c r="CX1345" s="2022"/>
      <c r="CY1345" s="2022"/>
      <c r="CZ1345" s="2022"/>
      <c r="DA1345" s="2022"/>
      <c r="DB1345" s="2022"/>
      <c r="DC1345" s="2022"/>
      <c r="DD1345" s="2022"/>
      <c r="DE1345" s="2022"/>
      <c r="DF1345" s="2022"/>
      <c r="DG1345" s="2023"/>
      <c r="DH1345" s="2022"/>
      <c r="DI1345" s="2022"/>
      <c r="DJ1345" s="2022"/>
      <c r="DK1345" s="2022"/>
      <c r="DL1345" s="2022"/>
      <c r="DM1345" s="2022"/>
      <c r="DN1345" s="2022"/>
      <c r="DO1345" s="2024"/>
      <c r="DY1345" s="319"/>
      <c r="DZ1345" s="319"/>
    </row>
    <row r="1346" spans="1:130" ht="12" customHeight="1">
      <c r="A1346" s="2015"/>
      <c r="B1346" s="2014"/>
      <c r="C1346" s="2014"/>
      <c r="D1346" s="2025"/>
      <c r="E1346" s="2026"/>
      <c r="F1346" s="2026"/>
      <c r="G1346" s="2026"/>
      <c r="H1346" s="2027"/>
      <c r="I1346" s="2026"/>
      <c r="J1346" s="2026"/>
      <c r="K1346" s="2026"/>
      <c r="L1346" s="2026"/>
      <c r="M1346" s="2027"/>
      <c r="N1346" s="2026"/>
      <c r="O1346" s="2026"/>
      <c r="P1346" s="2026"/>
      <c r="Q1346" s="2026"/>
      <c r="R1346" s="2027"/>
      <c r="S1346" s="2026"/>
      <c r="T1346" s="2026"/>
      <c r="U1346" s="2026"/>
      <c r="V1346" s="2026"/>
      <c r="W1346" s="2027"/>
      <c r="X1346" s="2026"/>
      <c r="Y1346" s="2026"/>
      <c r="Z1346" s="2026"/>
      <c r="AA1346" s="2026"/>
      <c r="AB1346" s="2027"/>
      <c r="AC1346" s="2026"/>
      <c r="AD1346" s="2026"/>
      <c r="AE1346" s="2026"/>
      <c r="AF1346" s="2026"/>
      <c r="AG1346" s="2027"/>
      <c r="AH1346" s="2026"/>
      <c r="AI1346" s="2026"/>
      <c r="AJ1346" s="2026"/>
      <c r="AK1346" s="2026"/>
      <c r="AL1346" s="2027"/>
      <c r="AM1346" s="2026"/>
      <c r="AN1346" s="2026"/>
      <c r="AO1346" s="2026"/>
      <c r="AP1346" s="2028"/>
      <c r="AQ1346" s="2027"/>
      <c r="AR1346" s="2025"/>
      <c r="AS1346" s="2026"/>
      <c r="AT1346" s="2026"/>
      <c r="AU1346" s="2029"/>
      <c r="AV1346" s="2027"/>
      <c r="AW1346" s="2025"/>
      <c r="AX1346" s="2026"/>
      <c r="AY1346" s="2026"/>
      <c r="AZ1346" s="2029"/>
      <c r="BA1346" s="2027"/>
      <c r="BB1346" s="2025"/>
      <c r="BC1346" s="2026"/>
      <c r="BD1346" s="2026"/>
      <c r="BE1346" s="2029"/>
      <c r="BF1346" s="2027"/>
      <c r="BG1346" s="2025"/>
      <c r="BH1346" s="2026"/>
      <c r="BI1346" s="2026"/>
      <c r="BJ1346" s="2029"/>
      <c r="BK1346" s="2027"/>
      <c r="BL1346" s="2026"/>
      <c r="BM1346" s="2026"/>
      <c r="BN1346" s="2026"/>
      <c r="BO1346" s="2029"/>
      <c r="BP1346" s="2027"/>
      <c r="BQ1346" s="2026"/>
      <c r="BR1346" s="2026"/>
      <c r="BS1346" s="2026"/>
      <c r="BT1346" s="2029"/>
      <c r="BU1346" s="3467"/>
      <c r="BV1346" s="2026"/>
      <c r="BW1346" s="2026"/>
      <c r="BX1346" s="2026"/>
      <c r="BY1346" s="2029"/>
      <c r="BZ1346" s="3467"/>
      <c r="CA1346" s="2027"/>
      <c r="CB1346" s="2027"/>
      <c r="CC1346" s="2027"/>
      <c r="CD1346" s="2027"/>
      <c r="CE1346" s="2027"/>
      <c r="CF1346" s="2027"/>
      <c r="CG1346" s="2027"/>
      <c r="CH1346" s="2017"/>
      <c r="CI1346" s="2017"/>
      <c r="CJ1346" s="2017"/>
      <c r="CK1346" s="2017"/>
      <c r="CL1346" s="2017"/>
      <c r="CM1346" s="4041"/>
      <c r="CN1346" s="4041"/>
      <c r="CO1346" s="4041"/>
      <c r="CP1346" s="2021"/>
      <c r="CQ1346" s="2022"/>
      <c r="CR1346" s="2022"/>
      <c r="CS1346" s="2022"/>
      <c r="CT1346" s="2022"/>
      <c r="CU1346" s="2022"/>
      <c r="CV1346" s="2022"/>
      <c r="CW1346" s="2022"/>
      <c r="CX1346" s="2022"/>
      <c r="CY1346" s="2022"/>
      <c r="CZ1346" s="2022"/>
      <c r="DA1346" s="2022"/>
      <c r="DB1346" s="2022"/>
      <c r="DC1346" s="2022"/>
      <c r="DD1346" s="2022"/>
      <c r="DE1346" s="2022"/>
      <c r="DF1346" s="2022"/>
      <c r="DG1346" s="2023"/>
      <c r="DH1346" s="2022"/>
      <c r="DI1346" s="2022"/>
      <c r="DJ1346" s="2022"/>
      <c r="DK1346" s="2022"/>
      <c r="DL1346" s="2022"/>
      <c r="DM1346" s="2022"/>
      <c r="DN1346" s="2022"/>
      <c r="DO1346" s="2024"/>
      <c r="DY1346" s="319"/>
      <c r="DZ1346" s="319"/>
    </row>
    <row r="1347" spans="1:130" ht="12" customHeight="1">
      <c r="A1347" s="2015" t="s">
        <v>777</v>
      </c>
      <c r="B1347" s="2014"/>
      <c r="C1347" s="2014"/>
      <c r="D1347" s="2025">
        <f>D1224</f>
        <v>1078.0269999999998</v>
      </c>
      <c r="E1347" s="2026">
        <f t="shared" ref="E1347:CB1347" si="2465">E1224</f>
        <v>1270.9380000000003</v>
      </c>
      <c r="F1347" s="2026">
        <f t="shared" si="2465"/>
        <v>2184.5279999999993</v>
      </c>
      <c r="G1347" s="2026">
        <f t="shared" si="2465"/>
        <v>2310.0250000000001</v>
      </c>
      <c r="H1347" s="2027">
        <f t="shared" si="2465"/>
        <v>2310.0250000000001</v>
      </c>
      <c r="I1347" s="2026">
        <f t="shared" si="2465"/>
        <v>2258.364</v>
      </c>
      <c r="J1347" s="2026">
        <f t="shared" si="2465"/>
        <v>2357.8040000000001</v>
      </c>
      <c r="K1347" s="2026">
        <f t="shared" si="2465"/>
        <v>2393.058</v>
      </c>
      <c r="L1347" s="2026">
        <f t="shared" si="2465"/>
        <v>2558.5239999999999</v>
      </c>
      <c r="M1347" s="2027">
        <f t="shared" si="2465"/>
        <v>2558.5239999999999</v>
      </c>
      <c r="N1347" s="2026">
        <f t="shared" si="2465"/>
        <v>2597.7469999999998</v>
      </c>
      <c r="O1347" s="2026">
        <f t="shared" si="2465"/>
        <v>2610.123</v>
      </c>
      <c r="P1347" s="2026">
        <f t="shared" si="2465"/>
        <v>2575.1389999999997</v>
      </c>
      <c r="Q1347" s="2026">
        <f t="shared" si="2465"/>
        <v>2138.5660000000003</v>
      </c>
      <c r="R1347" s="2027">
        <f t="shared" si="2465"/>
        <v>2138.5660000000003</v>
      </c>
      <c r="S1347" s="2026">
        <f t="shared" si="2465"/>
        <v>2161.5350000000003</v>
      </c>
      <c r="T1347" s="2026">
        <f t="shared" si="2465"/>
        <v>2214.6889999999999</v>
      </c>
      <c r="U1347" s="2026">
        <f t="shared" si="2465"/>
        <v>2207.9520000000002</v>
      </c>
      <c r="V1347" s="2026">
        <f t="shared" si="2465"/>
        <v>2266.558</v>
      </c>
      <c r="W1347" s="2027">
        <f t="shared" si="2465"/>
        <v>2266.558</v>
      </c>
      <c r="X1347" s="2026">
        <f t="shared" si="2465"/>
        <v>2356.7629999999999</v>
      </c>
      <c r="Y1347" s="2026">
        <f t="shared" si="2465"/>
        <v>2487.2290000000003</v>
      </c>
      <c r="Z1347" s="2026">
        <f t="shared" si="2465"/>
        <v>2624.1</v>
      </c>
      <c r="AA1347" s="2026">
        <f t="shared" si="2465"/>
        <v>2647.674</v>
      </c>
      <c r="AB1347" s="2027">
        <f t="shared" si="2465"/>
        <v>2647.674</v>
      </c>
      <c r="AC1347" s="2026">
        <f t="shared" si="2465"/>
        <v>2698.4979999999996</v>
      </c>
      <c r="AD1347" s="2026">
        <f t="shared" si="2465"/>
        <v>2689.37</v>
      </c>
      <c r="AE1347" s="2026">
        <f t="shared" si="2465"/>
        <v>2645.2709999999997</v>
      </c>
      <c r="AF1347" s="2026">
        <f t="shared" si="2465"/>
        <v>2577.5630000000001</v>
      </c>
      <c r="AG1347" s="2027">
        <f t="shared" si="2465"/>
        <v>2577.5630000000001</v>
      </c>
      <c r="AH1347" s="2026">
        <f t="shared" si="2465"/>
        <v>3202.393</v>
      </c>
      <c r="AI1347" s="2026">
        <f t="shared" si="2465"/>
        <v>3146.614</v>
      </c>
      <c r="AJ1347" s="2026">
        <f t="shared" si="2465"/>
        <v>3175.7380000000003</v>
      </c>
      <c r="AK1347" s="2026">
        <f t="shared" si="2465"/>
        <v>3718.7550000000001</v>
      </c>
      <c r="AL1347" s="2027">
        <f t="shared" si="2465"/>
        <v>3718.7550000000001</v>
      </c>
      <c r="AM1347" s="2026">
        <f t="shared" si="2465"/>
        <v>3681.2320000000004</v>
      </c>
      <c r="AN1347" s="2026">
        <f t="shared" si="2465"/>
        <v>3667.2599999999998</v>
      </c>
      <c r="AO1347" s="2026">
        <f t="shared" si="2465"/>
        <v>3646.9230000000002</v>
      </c>
      <c r="AP1347" s="2028">
        <f t="shared" si="2465"/>
        <v>3390.4560000000001</v>
      </c>
      <c r="AQ1347" s="2027">
        <f t="shared" si="2465"/>
        <v>3390.4560000000001</v>
      </c>
      <c r="AR1347" s="2025">
        <f t="shared" si="2465"/>
        <v>3324.895</v>
      </c>
      <c r="AS1347" s="2026">
        <f t="shared" si="2465"/>
        <v>3534.1759999999995</v>
      </c>
      <c r="AT1347" s="2026">
        <f t="shared" si="2465"/>
        <v>3515.9659999999994</v>
      </c>
      <c r="AU1347" s="2029">
        <f t="shared" si="2465"/>
        <v>4827.8529999999992</v>
      </c>
      <c r="AV1347" s="2027">
        <f t="shared" si="2465"/>
        <v>4827.8529999999992</v>
      </c>
      <c r="AW1347" s="2025">
        <f t="shared" si="2465"/>
        <v>4637.063000000001</v>
      </c>
      <c r="AX1347" s="2026">
        <f t="shared" si="2465"/>
        <v>4519.4810000000007</v>
      </c>
      <c r="AY1347" s="2026">
        <f t="shared" si="2465"/>
        <v>4312.9840000000004</v>
      </c>
      <c r="AZ1347" s="2029">
        <f t="shared" si="2465"/>
        <v>4352.9319999999998</v>
      </c>
      <c r="BA1347" s="2027">
        <f t="shared" si="2465"/>
        <v>4352.9319999999998</v>
      </c>
      <c r="BB1347" s="2025">
        <f t="shared" si="2465"/>
        <v>4301.2689999999993</v>
      </c>
      <c r="BC1347" s="2026">
        <f t="shared" si="2465"/>
        <v>4261.8369999999995</v>
      </c>
      <c r="BD1347" s="2026">
        <f t="shared" si="2465"/>
        <v>3432.7250000000004</v>
      </c>
      <c r="BE1347" s="2029">
        <f t="shared" si="2465"/>
        <v>3431.6379999999999</v>
      </c>
      <c r="BF1347" s="2027">
        <f t="shared" si="2465"/>
        <v>3431.6379999999999</v>
      </c>
      <c r="BG1347" s="2025">
        <f t="shared" si="2465"/>
        <v>3376.0969999999998</v>
      </c>
      <c r="BH1347" s="2026">
        <f t="shared" si="2465"/>
        <v>3361.6179999999999</v>
      </c>
      <c r="BI1347" s="2026">
        <f t="shared" si="2465"/>
        <v>3302.6869999999994</v>
      </c>
      <c r="BJ1347" s="2029">
        <f t="shared" si="2465"/>
        <v>3239.799</v>
      </c>
      <c r="BK1347" s="2027">
        <f t="shared" si="2465"/>
        <v>3239.799</v>
      </c>
      <c r="BL1347" s="2026">
        <f t="shared" si="2465"/>
        <v>3657.9110000000001</v>
      </c>
      <c r="BM1347" s="2026">
        <f t="shared" ref="BM1347:BP1348" si="2466">BM1224</f>
        <v>3628.1120000000001</v>
      </c>
      <c r="BN1347" s="2026">
        <f t="shared" si="2466"/>
        <v>2956.998</v>
      </c>
      <c r="BO1347" s="2029">
        <f t="shared" si="2466"/>
        <v>3199.1190000000001</v>
      </c>
      <c r="BP1347" s="2027">
        <f t="shared" si="2466"/>
        <v>3199.1190000000001</v>
      </c>
      <c r="BQ1347" s="2026">
        <f t="shared" ref="BQ1347:BU1348" si="2467">BQ1224</f>
        <v>3187.5439999999999</v>
      </c>
      <c r="BR1347" s="2026">
        <f t="shared" si="2467"/>
        <v>3115.8509999999997</v>
      </c>
      <c r="BS1347" s="2026">
        <f t="shared" si="2467"/>
        <v>3045.5860000000002</v>
      </c>
      <c r="BT1347" s="2029">
        <f t="shared" si="2467"/>
        <v>3120.0000000000005</v>
      </c>
      <c r="BU1347" s="3467">
        <f t="shared" si="2467"/>
        <v>3120.0000000000005</v>
      </c>
      <c r="BV1347" s="2026">
        <f t="shared" ref="BV1347:BZ1347" si="2468">BV1224</f>
        <v>3116.8750000000005</v>
      </c>
      <c r="BW1347" s="2026">
        <f t="shared" si="2468"/>
        <v>3113.7500000000005</v>
      </c>
      <c r="BX1347" s="2026">
        <f t="shared" si="2468"/>
        <v>4567.6329999999998</v>
      </c>
      <c r="BY1347" s="2029">
        <f t="shared" si="2468"/>
        <v>4561.0857500000002</v>
      </c>
      <c r="BZ1347" s="3467">
        <f t="shared" si="2468"/>
        <v>4561.0857500000002</v>
      </c>
      <c r="CA1347" s="2027">
        <f t="shared" si="2465"/>
        <v>4534.7927135999998</v>
      </c>
      <c r="CB1347" s="2027">
        <f t="shared" si="2465"/>
        <v>4508.2394749048499</v>
      </c>
      <c r="CC1347" s="2027">
        <f t="shared" ref="CC1347:CG1348" si="2469">CC1224</f>
        <v>2354.08</v>
      </c>
      <c r="CD1347" s="2027">
        <f t="shared" si="2469"/>
        <v>2332.58</v>
      </c>
      <c r="CE1347" s="2027">
        <f t="shared" si="2469"/>
        <v>2311.08</v>
      </c>
      <c r="CF1347" s="2027">
        <f t="shared" si="2469"/>
        <v>2289.58</v>
      </c>
      <c r="CG1347" s="2027">
        <f t="shared" si="2469"/>
        <v>2268.08</v>
      </c>
      <c r="CH1347" s="2017"/>
      <c r="CI1347" s="2017"/>
      <c r="CJ1347" s="2017"/>
      <c r="CK1347" s="2017"/>
      <c r="CL1347" s="2017"/>
      <c r="CM1347" s="4041"/>
      <c r="CN1347" s="4041">
        <f t="shared" ref="CN1347:CN1348" si="2470">SUM(BV1347:BY1347)</f>
        <v>15359.343750000002</v>
      </c>
      <c r="CO1347" s="4041"/>
      <c r="CP1347" s="2021"/>
      <c r="CQ1347" s="2022"/>
      <c r="CR1347" s="2022"/>
      <c r="CS1347" s="2022"/>
      <c r="CT1347" s="2022"/>
      <c r="CU1347" s="2022"/>
      <c r="CV1347" s="2022"/>
      <c r="CW1347" s="2022"/>
      <c r="CX1347" s="2022"/>
      <c r="CY1347" s="2022"/>
      <c r="CZ1347" s="2022"/>
      <c r="DA1347" s="2022"/>
      <c r="DB1347" s="2022"/>
      <c r="DC1347" s="2022"/>
      <c r="DD1347" s="2022"/>
      <c r="DE1347" s="2022"/>
      <c r="DF1347" s="2022"/>
      <c r="DG1347" s="2023"/>
      <c r="DH1347" s="2022"/>
      <c r="DI1347" s="2022"/>
      <c r="DJ1347" s="2022"/>
      <c r="DK1347" s="2022"/>
      <c r="DL1347" s="2022"/>
      <c r="DM1347" s="2022"/>
      <c r="DN1347" s="2022"/>
      <c r="DO1347" s="2024"/>
      <c r="DY1347" s="319"/>
      <c r="DZ1347" s="319"/>
    </row>
    <row r="1348" spans="1:130" ht="12" customHeight="1">
      <c r="A1348" s="2015" t="s">
        <v>1542</v>
      </c>
      <c r="B1348" s="2014"/>
      <c r="C1348" s="2014"/>
      <c r="D1348" s="2025">
        <f>D1225</f>
        <v>-73.837999999999994</v>
      </c>
      <c r="E1348" s="2026">
        <f t="shared" ref="E1348:CB1348" si="2471">E1225</f>
        <v>-84.550000000000011</v>
      </c>
      <c r="F1348" s="2026">
        <f t="shared" si="2471"/>
        <v>-125.17900000000003</v>
      </c>
      <c r="G1348" s="2026">
        <f t="shared" si="2471"/>
        <v>-160.72299999999993</v>
      </c>
      <c r="H1348" s="2027">
        <f t="shared" si="2471"/>
        <v>-160.72300000000021</v>
      </c>
      <c r="I1348" s="2026">
        <f t="shared" si="2471"/>
        <v>-136.81800000000021</v>
      </c>
      <c r="J1348" s="2026">
        <f t="shared" si="2471"/>
        <v>-148.82100000000014</v>
      </c>
      <c r="K1348" s="2026">
        <f t="shared" si="2471"/>
        <v>-139.84900000000016</v>
      </c>
      <c r="L1348" s="2026">
        <f t="shared" si="2471"/>
        <v>-188.40600000000015</v>
      </c>
      <c r="M1348" s="2027">
        <f t="shared" si="2471"/>
        <v>-188.40600000000015</v>
      </c>
      <c r="N1348" s="2026">
        <f t="shared" si="2471"/>
        <v>-177.45100000000019</v>
      </c>
      <c r="O1348" s="2026">
        <f t="shared" si="2471"/>
        <v>-169.34200000000021</v>
      </c>
      <c r="P1348" s="2026">
        <f t="shared" si="2471"/>
        <v>-170.23500000000018</v>
      </c>
      <c r="Q1348" s="2026">
        <f t="shared" si="2471"/>
        <v>-169.39699999999999</v>
      </c>
      <c r="R1348" s="2027">
        <f t="shared" si="2471"/>
        <v>-169.39699999999999</v>
      </c>
      <c r="S1348" s="2026">
        <f t="shared" si="2471"/>
        <v>-157.07199999999986</v>
      </c>
      <c r="T1348" s="2026">
        <f t="shared" si="2471"/>
        <v>-159.38199999999998</v>
      </c>
      <c r="U1348" s="2026">
        <f t="shared" si="2471"/>
        <v>-152.84499999999991</v>
      </c>
      <c r="V1348" s="2026">
        <f t="shared" si="2471"/>
        <v>-165.70099999999996</v>
      </c>
      <c r="W1348" s="2027">
        <f t="shared" si="2471"/>
        <v>-165.70099999999996</v>
      </c>
      <c r="X1348" s="2026">
        <f t="shared" si="2471"/>
        <v>-152.52800000000002</v>
      </c>
      <c r="Y1348" s="2026">
        <f t="shared" si="2471"/>
        <v>-148.73699999999997</v>
      </c>
      <c r="Z1348" s="2026">
        <f t="shared" si="2471"/>
        <v>-123.57300000000001</v>
      </c>
      <c r="AA1348" s="2026">
        <f t="shared" si="2471"/>
        <v>-98.152000000000157</v>
      </c>
      <c r="AB1348" s="2027">
        <f t="shared" si="2471"/>
        <v>-98.152000000000157</v>
      </c>
      <c r="AC1348" s="2026">
        <f t="shared" si="2471"/>
        <v>-98.168000000000148</v>
      </c>
      <c r="AD1348" s="2026">
        <f t="shared" si="2471"/>
        <v>-93.646000000000157</v>
      </c>
      <c r="AE1348" s="2026">
        <f t="shared" si="2471"/>
        <v>-89.061000000000135</v>
      </c>
      <c r="AF1348" s="2026">
        <f t="shared" si="2471"/>
        <v>-93.202000000000311</v>
      </c>
      <c r="AG1348" s="2027">
        <f t="shared" si="2471"/>
        <v>-93.202000000000311</v>
      </c>
      <c r="AH1348" s="2026">
        <f t="shared" si="2471"/>
        <v>-108.2020000000003</v>
      </c>
      <c r="AI1348" s="2026">
        <f t="shared" si="2471"/>
        <v>-100.17300000000031</v>
      </c>
      <c r="AJ1348" s="2026">
        <f t="shared" si="2471"/>
        <v>-92.67500000000048</v>
      </c>
      <c r="AK1348" s="2026">
        <f t="shared" si="2471"/>
        <v>-145.62300000000033</v>
      </c>
      <c r="AL1348" s="2027">
        <f t="shared" si="2471"/>
        <v>-145.62300000000036</v>
      </c>
      <c r="AM1348" s="2026">
        <f t="shared" si="2471"/>
        <v>-173.84800000000035</v>
      </c>
      <c r="AN1348" s="2026">
        <f t="shared" si="2471"/>
        <v>-175.78000000000031</v>
      </c>
      <c r="AO1348" s="2026">
        <f t="shared" si="2471"/>
        <v>-187.11800000000034</v>
      </c>
      <c r="AP1348" s="2028">
        <f t="shared" si="2471"/>
        <v>-178.75600000000028</v>
      </c>
      <c r="AQ1348" s="2027">
        <f t="shared" si="2471"/>
        <v>-178.75600000000031</v>
      </c>
      <c r="AR1348" s="2025">
        <f t="shared" si="2471"/>
        <v>-156.71400000000034</v>
      </c>
      <c r="AS1348" s="2026">
        <f t="shared" si="2471"/>
        <v>-360.45500000000027</v>
      </c>
      <c r="AT1348" s="2026">
        <f t="shared" si="2471"/>
        <v>-343.77100000000036</v>
      </c>
      <c r="AU1348" s="2029">
        <f t="shared" si="2471"/>
        <v>-192.82800000000037</v>
      </c>
      <c r="AV1348" s="2027">
        <f t="shared" si="2471"/>
        <v>-192.8280000000002</v>
      </c>
      <c r="AW1348" s="2025">
        <f t="shared" si="2471"/>
        <v>-358.35400000000016</v>
      </c>
      <c r="AX1348" s="2026">
        <f t="shared" si="2471"/>
        <v>-182.61200000000014</v>
      </c>
      <c r="AY1348" s="2026">
        <f t="shared" si="2471"/>
        <v>-165.80300000000045</v>
      </c>
      <c r="AZ1348" s="2029">
        <f t="shared" si="2471"/>
        <v>-177.83800000000014</v>
      </c>
      <c r="BA1348" s="2027">
        <f t="shared" si="2471"/>
        <v>-177.83800000000019</v>
      </c>
      <c r="BB1348" s="2025">
        <f t="shared" si="2471"/>
        <v>-162.87800000000016</v>
      </c>
      <c r="BC1348" s="2026">
        <f t="shared" si="2471"/>
        <v>-162.51200000000017</v>
      </c>
      <c r="BD1348" s="2026">
        <f t="shared" si="2471"/>
        <v>-120.91000000000022</v>
      </c>
      <c r="BE1348" s="2029">
        <f t="shared" si="2471"/>
        <v>-145.34100000000012</v>
      </c>
      <c r="BF1348" s="2027">
        <f t="shared" si="2471"/>
        <v>-145.34100000000012</v>
      </c>
      <c r="BG1348" s="2025">
        <f t="shared" si="2471"/>
        <v>-130.79700000000011</v>
      </c>
      <c r="BH1348" s="2026">
        <f t="shared" si="2471"/>
        <v>-124.52300000000025</v>
      </c>
      <c r="BI1348" s="2026">
        <f t="shared" si="2471"/>
        <v>-125.04500000000012</v>
      </c>
      <c r="BJ1348" s="2029">
        <f t="shared" si="2471"/>
        <v>-158.82100000000008</v>
      </c>
      <c r="BK1348" s="2027">
        <f t="shared" si="2471"/>
        <v>-158.82100000000008</v>
      </c>
      <c r="BL1348" s="2026">
        <f t="shared" si="2471"/>
        <v>-616.20100000000002</v>
      </c>
      <c r="BM1348" s="2026">
        <f t="shared" si="2466"/>
        <v>-628.27800000000002</v>
      </c>
      <c r="BN1348" s="2026">
        <f t="shared" si="2466"/>
        <v>-159.68800000000027</v>
      </c>
      <c r="BO1348" s="2029">
        <f t="shared" si="2466"/>
        <v>-193.86199999999991</v>
      </c>
      <c r="BP1348" s="2027">
        <f t="shared" si="2466"/>
        <v>-193.86199999999991</v>
      </c>
      <c r="BQ1348" s="2026">
        <f t="shared" si="2467"/>
        <v>-167.00699999999992</v>
      </c>
      <c r="BR1348" s="2026">
        <f t="shared" si="2467"/>
        <v>-162.96299999999985</v>
      </c>
      <c r="BS1348" s="2026">
        <f t="shared" si="2467"/>
        <v>-158.83199999999988</v>
      </c>
      <c r="BT1348" s="2029">
        <f t="shared" si="2467"/>
        <v>-203.10000000000002</v>
      </c>
      <c r="BU1348" s="3467">
        <f t="shared" si="2467"/>
        <v>-203.10000000000005</v>
      </c>
      <c r="BV1348" s="2026">
        <f t="shared" ref="BV1348:BZ1348" si="2472">BV1225</f>
        <v>-298.34941850179831</v>
      </c>
      <c r="BW1348" s="2026">
        <f t="shared" si="2472"/>
        <v>-349.06552948765136</v>
      </c>
      <c r="BX1348" s="2026">
        <f t="shared" si="2472"/>
        <v>-124.67873517035332</v>
      </c>
      <c r="BY1348" s="2029">
        <f t="shared" si="2472"/>
        <v>-206.57868206137107</v>
      </c>
      <c r="BZ1348" s="3467">
        <f t="shared" si="2472"/>
        <v>-206.57868206137104</v>
      </c>
      <c r="CA1348" s="2027">
        <f t="shared" si="2471"/>
        <v>-566.27657320781861</v>
      </c>
      <c r="CB1348" s="2027">
        <f t="shared" si="2471"/>
        <v>-930.93090457091466</v>
      </c>
      <c r="CC1348" s="2027">
        <f t="shared" si="2469"/>
        <v>0</v>
      </c>
      <c r="CD1348" s="2027">
        <f t="shared" si="2469"/>
        <v>0</v>
      </c>
      <c r="CE1348" s="2027">
        <f t="shared" si="2469"/>
        <v>0</v>
      </c>
      <c r="CF1348" s="2027">
        <f t="shared" si="2469"/>
        <v>0</v>
      </c>
      <c r="CG1348" s="2027">
        <f t="shared" si="2469"/>
        <v>0</v>
      </c>
      <c r="CH1348" s="2017"/>
      <c r="CI1348" s="2017"/>
      <c r="CJ1348" s="2017"/>
      <c r="CK1348" s="2017"/>
      <c r="CL1348" s="2017"/>
      <c r="CM1348" s="4041"/>
      <c r="CN1348" s="4041">
        <f t="shared" si="2470"/>
        <v>-978.67236522117412</v>
      </c>
      <c r="CO1348" s="4041"/>
      <c r="CP1348" s="2021"/>
      <c r="CQ1348" s="2022"/>
      <c r="CR1348" s="2022"/>
      <c r="CS1348" s="2022"/>
      <c r="CT1348" s="2022"/>
      <c r="CU1348" s="2022"/>
      <c r="CV1348" s="2022"/>
      <c r="CW1348" s="2022"/>
      <c r="CX1348" s="2022"/>
      <c r="CY1348" s="2022"/>
      <c r="CZ1348" s="2022"/>
      <c r="DA1348" s="2022"/>
      <c r="DB1348" s="2022"/>
      <c r="DC1348" s="2022"/>
      <c r="DD1348" s="2022"/>
      <c r="DE1348" s="2022"/>
      <c r="DF1348" s="2022"/>
      <c r="DG1348" s="2023"/>
      <c r="DH1348" s="2022"/>
      <c r="DI1348" s="2022"/>
      <c r="DJ1348" s="2022"/>
      <c r="DK1348" s="2022"/>
      <c r="DL1348" s="2022"/>
      <c r="DM1348" s="2022"/>
      <c r="DN1348" s="2022"/>
      <c r="DO1348" s="2024"/>
      <c r="DY1348" s="319"/>
      <c r="DZ1348" s="319"/>
    </row>
    <row r="1349" spans="1:130" ht="12" customHeight="1">
      <c r="A1349" s="2015"/>
      <c r="B1349" s="2014"/>
      <c r="C1349" s="2014"/>
      <c r="D1349" s="2016"/>
      <c r="E1349" s="2017"/>
      <c r="F1349" s="2017"/>
      <c r="G1349" s="2017"/>
      <c r="H1349" s="2018"/>
      <c r="I1349" s="2017"/>
      <c r="J1349" s="2017"/>
      <c r="K1349" s="2017"/>
      <c r="L1349" s="2017"/>
      <c r="M1349" s="2018"/>
      <c r="N1349" s="2017"/>
      <c r="O1349" s="2017"/>
      <c r="P1349" s="2017"/>
      <c r="Q1349" s="2017"/>
      <c r="R1349" s="2018"/>
      <c r="S1349" s="2017"/>
      <c r="T1349" s="2017"/>
      <c r="U1349" s="2017"/>
      <c r="V1349" s="2017"/>
      <c r="W1349" s="2018"/>
      <c r="X1349" s="2017"/>
      <c r="Y1349" s="2017"/>
      <c r="Z1349" s="2017"/>
      <c r="AA1349" s="2017"/>
      <c r="AB1349" s="2018"/>
      <c r="AC1349" s="2017"/>
      <c r="AD1349" s="2017"/>
      <c r="AE1349" s="2017"/>
      <c r="AF1349" s="2017"/>
      <c r="AG1349" s="2018"/>
      <c r="AH1349" s="2017"/>
      <c r="AI1349" s="2017"/>
      <c r="AJ1349" s="2017"/>
      <c r="AK1349" s="2017"/>
      <c r="AL1349" s="2018"/>
      <c r="AM1349" s="2017"/>
      <c r="AN1349" s="2017"/>
      <c r="AO1349" s="2017"/>
      <c r="AP1349" s="2019"/>
      <c r="AQ1349" s="2018"/>
      <c r="AR1349" s="2016"/>
      <c r="AS1349" s="2017"/>
      <c r="AT1349" s="2017"/>
      <c r="AU1349" s="2020"/>
      <c r="AV1349" s="2018"/>
      <c r="AW1349" s="2016"/>
      <c r="AX1349" s="2017"/>
      <c r="AY1349" s="2017"/>
      <c r="AZ1349" s="2020"/>
      <c r="BA1349" s="2018"/>
      <c r="BB1349" s="2016"/>
      <c r="BC1349" s="2017"/>
      <c r="BD1349" s="2017"/>
      <c r="BE1349" s="2020"/>
      <c r="BF1349" s="2018"/>
      <c r="BG1349" s="2016"/>
      <c r="BH1349" s="2017"/>
      <c r="BI1349" s="2017"/>
      <c r="BJ1349" s="2020"/>
      <c r="BK1349" s="2018"/>
      <c r="BL1349" s="2017"/>
      <c r="BM1349" s="2017"/>
      <c r="BN1349" s="2017"/>
      <c r="BO1349" s="2020"/>
      <c r="BP1349" s="2018"/>
      <c r="BQ1349" s="2017"/>
      <c r="BR1349" s="2017"/>
      <c r="BS1349" s="2017"/>
      <c r="BT1349" s="2020"/>
      <c r="BU1349" s="3466"/>
      <c r="BV1349" s="2017"/>
      <c r="BW1349" s="2017"/>
      <c r="BX1349" s="2017"/>
      <c r="BY1349" s="2020"/>
      <c r="BZ1349" s="3466"/>
      <c r="CA1349" s="2018"/>
      <c r="CB1349" s="2018"/>
      <c r="CC1349" s="2018"/>
      <c r="CD1349" s="2018"/>
      <c r="CE1349" s="2018"/>
      <c r="CF1349" s="2018"/>
      <c r="CG1349" s="2018"/>
      <c r="CH1349" s="2017"/>
      <c r="CI1349" s="2017"/>
      <c r="CJ1349" s="2017"/>
      <c r="CK1349" s="2017"/>
      <c r="CL1349" s="2017"/>
      <c r="CM1349" s="4041"/>
      <c r="CN1349" s="4041"/>
      <c r="CO1349" s="4041"/>
      <c r="CP1349" s="2021"/>
      <c r="CQ1349" s="2022"/>
      <c r="CR1349" s="2022"/>
      <c r="CS1349" s="2022"/>
      <c r="CT1349" s="2022"/>
      <c r="CU1349" s="2022"/>
      <c r="CV1349" s="2022"/>
      <c r="CW1349" s="2022"/>
      <c r="CX1349" s="2022"/>
      <c r="CY1349" s="2022"/>
      <c r="CZ1349" s="2022"/>
      <c r="DA1349" s="2022"/>
      <c r="DB1349" s="2022"/>
      <c r="DC1349" s="2022"/>
      <c r="DD1349" s="2022"/>
      <c r="DE1349" s="2022"/>
      <c r="DF1349" s="2022"/>
      <c r="DG1349" s="2023"/>
      <c r="DH1349" s="2022"/>
      <c r="DI1349" s="2022"/>
      <c r="DJ1349" s="2022"/>
      <c r="DK1349" s="2022"/>
      <c r="DL1349" s="2022"/>
      <c r="DM1349" s="2022"/>
      <c r="DN1349" s="2022"/>
      <c r="DO1349" s="2024"/>
      <c r="DY1349" s="484"/>
      <c r="DZ1349" s="484"/>
    </row>
    <row r="1350" spans="1:130" ht="12" customHeight="1">
      <c r="A1350" s="2015" t="s">
        <v>510</v>
      </c>
      <c r="B1350" s="2014"/>
      <c r="C1350" s="2014"/>
      <c r="D1350" s="2025">
        <f>D1232</f>
        <v>1290.8449999999998</v>
      </c>
      <c r="E1350" s="2026">
        <f t="shared" ref="E1350:CB1350" si="2473">E1232</f>
        <v>1440.6515000000004</v>
      </c>
      <c r="F1350" s="2026">
        <f t="shared" si="2473"/>
        <v>2289.2364999999991</v>
      </c>
      <c r="G1350" s="2026">
        <f t="shared" si="2473"/>
        <v>2362.1020000000003</v>
      </c>
      <c r="H1350" s="2027">
        <f t="shared" si="2473"/>
        <v>2362.1019999999999</v>
      </c>
      <c r="I1350" s="2026">
        <f t="shared" si="2473"/>
        <v>2314.6459999999997</v>
      </c>
      <c r="J1350" s="2026">
        <f t="shared" si="2473"/>
        <v>2392.0330000000004</v>
      </c>
      <c r="K1350" s="2026">
        <f t="shared" si="2473"/>
        <v>2416.6589999999997</v>
      </c>
      <c r="L1350" s="2026">
        <f t="shared" si="2473"/>
        <v>2540.9679999999998</v>
      </c>
      <c r="M1350" s="2027">
        <f t="shared" si="2473"/>
        <v>2540.9679999999998</v>
      </c>
      <c r="N1350" s="2026">
        <f t="shared" si="2473"/>
        <v>2608.6459999999997</v>
      </c>
      <c r="O1350" s="2026">
        <f t="shared" si="2473"/>
        <v>2678.3809999999999</v>
      </c>
      <c r="P1350" s="2026">
        <f t="shared" si="2473"/>
        <v>2654.3539999999994</v>
      </c>
      <c r="Q1350" s="2026">
        <f t="shared" si="2473"/>
        <v>2246.4690000000005</v>
      </c>
      <c r="R1350" s="2027">
        <f t="shared" si="2473"/>
        <v>2246.4690000000005</v>
      </c>
      <c r="S1350" s="2026">
        <f t="shared" si="2473"/>
        <v>2282.1630000000005</v>
      </c>
      <c r="T1350" s="2026">
        <f t="shared" si="2473"/>
        <v>2368.357</v>
      </c>
      <c r="U1350" s="2026">
        <f t="shared" si="2473"/>
        <v>2383.0570000000002</v>
      </c>
      <c r="V1350" s="2026">
        <f t="shared" si="2473"/>
        <v>2462.2069999999999</v>
      </c>
      <c r="W1350" s="2027">
        <f t="shared" si="2473"/>
        <v>2462.2069999999999</v>
      </c>
      <c r="X1350" s="2026">
        <f t="shared" si="2473"/>
        <v>2580.1349999999998</v>
      </c>
      <c r="Y1350" s="2026">
        <f t="shared" si="2473"/>
        <v>2711.692</v>
      </c>
      <c r="Z1350" s="2026">
        <f t="shared" si="2473"/>
        <v>2851.9769999999999</v>
      </c>
      <c r="AA1350" s="2026">
        <f t="shared" si="2473"/>
        <v>2919.7719999999999</v>
      </c>
      <c r="AB1350" s="2027">
        <f t="shared" si="2473"/>
        <v>2919.7719999999999</v>
      </c>
      <c r="AC1350" s="2026">
        <f t="shared" si="2473"/>
        <v>2950.2799999999993</v>
      </c>
      <c r="AD1350" s="2026">
        <f t="shared" si="2473"/>
        <v>2929.1129999999998</v>
      </c>
      <c r="AE1350" s="2026">
        <f t="shared" si="2473"/>
        <v>2853.7489999999998</v>
      </c>
      <c r="AF1350" s="2026">
        <f t="shared" si="2473"/>
        <v>2824.1704999999997</v>
      </c>
      <c r="AG1350" s="2027">
        <f t="shared" si="2473"/>
        <v>2824.1704999999997</v>
      </c>
      <c r="AH1350" s="2026">
        <f t="shared" si="2473"/>
        <v>2779.0409999999997</v>
      </c>
      <c r="AI1350" s="2026">
        <f t="shared" si="2473"/>
        <v>2733.0049999999997</v>
      </c>
      <c r="AJ1350" s="2026">
        <f t="shared" si="2473"/>
        <v>2672.6829999999995</v>
      </c>
      <c r="AK1350" s="2026">
        <f t="shared" si="2473"/>
        <v>3160.3439999999996</v>
      </c>
      <c r="AL1350" s="2027">
        <f t="shared" si="2473"/>
        <v>3160.3439999999996</v>
      </c>
      <c r="AM1350" s="2026">
        <f t="shared" si="2473"/>
        <v>3105.4059999999999</v>
      </c>
      <c r="AN1350" s="2026">
        <f t="shared" si="2473"/>
        <v>3081.4799999999996</v>
      </c>
      <c r="AO1350" s="2026">
        <f t="shared" si="2473"/>
        <v>3056.5549999999998</v>
      </c>
      <c r="AP1350" s="2028">
        <f t="shared" si="2473"/>
        <v>2796.1279999999997</v>
      </c>
      <c r="AQ1350" s="2027">
        <f t="shared" si="2473"/>
        <v>2795.85</v>
      </c>
      <c r="AR1350" s="2025">
        <f t="shared" si="2473"/>
        <v>2761.1809999999996</v>
      </c>
      <c r="AS1350" s="2026">
        <f t="shared" si="2473"/>
        <v>2765.8709999999992</v>
      </c>
      <c r="AT1350" s="2026">
        <f t="shared" si="2473"/>
        <v>2769.5949999999993</v>
      </c>
      <c r="AU1350" s="2029">
        <f t="shared" si="2473"/>
        <v>4232.7029999999986</v>
      </c>
      <c r="AV1350" s="2027">
        <f t="shared" si="2473"/>
        <v>4232.4249999999984</v>
      </c>
      <c r="AW1350" s="2025">
        <f t="shared" si="2473"/>
        <v>3875.9590000000007</v>
      </c>
      <c r="AX1350" s="2026">
        <f t="shared" si="2473"/>
        <v>3938.9190000000008</v>
      </c>
      <c r="AY1350" s="2026">
        <f t="shared" si="2473"/>
        <v>3763.1809999999996</v>
      </c>
      <c r="AZ1350" s="2029">
        <f t="shared" si="2473"/>
        <v>3768.6720000000005</v>
      </c>
      <c r="BA1350" s="2027">
        <f t="shared" si="2473"/>
        <v>3768.3939999999993</v>
      </c>
      <c r="BB1350" s="2025">
        <f t="shared" si="2473"/>
        <v>3733.7659999999996</v>
      </c>
      <c r="BC1350" s="2026">
        <f t="shared" si="2473"/>
        <v>3696.974999999999</v>
      </c>
      <c r="BD1350" s="2026">
        <f t="shared" si="2473"/>
        <v>3311.8150000000001</v>
      </c>
      <c r="BE1350" s="2029">
        <f t="shared" si="2473"/>
        <v>3286.5749999999994</v>
      </c>
      <c r="BF1350" s="2027">
        <f t="shared" si="2473"/>
        <v>3286.2969999999996</v>
      </c>
      <c r="BG1350" s="2025">
        <f t="shared" si="2473"/>
        <v>3245.2999999999997</v>
      </c>
      <c r="BH1350" s="2026">
        <f t="shared" si="2473"/>
        <v>3237.0949999999998</v>
      </c>
      <c r="BI1350" s="2026">
        <f t="shared" si="2473"/>
        <v>3177.6419999999994</v>
      </c>
      <c r="BJ1350" s="2029">
        <f t="shared" si="2473"/>
        <v>3081.2559999999999</v>
      </c>
      <c r="BK1350" s="2027">
        <f t="shared" si="2473"/>
        <v>3080.9780000000001</v>
      </c>
      <c r="BL1350" s="2026">
        <f t="shared" si="2473"/>
        <v>3041.71</v>
      </c>
      <c r="BM1350" s="2026">
        <f t="shared" ref="BM1350:BT1350" si="2474">BM1232</f>
        <v>2999.8339999999998</v>
      </c>
      <c r="BN1350" s="2026">
        <f t="shared" si="2474"/>
        <v>2797.31</v>
      </c>
      <c r="BO1350" s="2029">
        <f t="shared" si="2474"/>
        <v>3005.5349999999999</v>
      </c>
      <c r="BP1350" s="2027">
        <f t="shared" si="2474"/>
        <v>3005.2570000000001</v>
      </c>
      <c r="BQ1350" s="2026">
        <f t="shared" si="2474"/>
        <v>3020.5369999999998</v>
      </c>
      <c r="BR1350" s="2026">
        <f t="shared" si="2474"/>
        <v>2952.8879999999999</v>
      </c>
      <c r="BS1350" s="2026">
        <f t="shared" si="2474"/>
        <v>2886.7540000000004</v>
      </c>
      <c r="BT1350" s="2029">
        <f t="shared" si="2474"/>
        <v>2916.9000000000005</v>
      </c>
      <c r="BU1350" s="3467">
        <f>BU1232</f>
        <v>2916.9000000000005</v>
      </c>
      <c r="BV1350" s="2026">
        <f t="shared" ref="BV1350:BY1350" si="2475">BV1232</f>
        <v>2818.525581498202</v>
      </c>
      <c r="BW1350" s="2026">
        <f t="shared" si="2475"/>
        <v>2764.684470512349</v>
      </c>
      <c r="BX1350" s="2026">
        <f t="shared" si="2475"/>
        <v>4442.9542648296465</v>
      </c>
      <c r="BY1350" s="2029">
        <f t="shared" si="2475"/>
        <v>4354.507067938629</v>
      </c>
      <c r="BZ1350" s="3467">
        <f>BZ1232</f>
        <v>4354.507067938629</v>
      </c>
      <c r="CA1350" s="2027">
        <f t="shared" si="2473"/>
        <v>3968.5161403921811</v>
      </c>
      <c r="CB1350" s="2027">
        <f t="shared" si="2473"/>
        <v>3577.3085703339352</v>
      </c>
      <c r="CC1350" s="2027">
        <f>CC1232</f>
        <v>2354.08</v>
      </c>
      <c r="CD1350" s="2027">
        <f>CD1232</f>
        <v>2332.58</v>
      </c>
      <c r="CE1350" s="2027">
        <f>CE1232</f>
        <v>2311.08</v>
      </c>
      <c r="CF1350" s="2027">
        <f>CF1232</f>
        <v>2289.58</v>
      </c>
      <c r="CG1350" s="2027">
        <f>CG1232</f>
        <v>2268.08</v>
      </c>
      <c r="CH1350" s="2017"/>
      <c r="CI1350" s="2017"/>
      <c r="CJ1350" s="2017"/>
      <c r="CK1350" s="2017"/>
      <c r="CL1350" s="2017"/>
      <c r="CM1350" s="4041"/>
      <c r="CN1350" s="4041">
        <f t="shared" ref="CN1350:CN1352" si="2476">SUM(BV1350:BY1350)</f>
        <v>14380.671384778827</v>
      </c>
      <c r="CO1350" s="4041"/>
      <c r="CP1350" s="2021"/>
      <c r="CQ1350" s="2022"/>
      <c r="CR1350" s="2022"/>
      <c r="CS1350" s="2022"/>
      <c r="CT1350" s="2022"/>
      <c r="CU1350" s="2022"/>
      <c r="CV1350" s="2022"/>
      <c r="CW1350" s="2022"/>
      <c r="CX1350" s="2022"/>
      <c r="CY1350" s="2022"/>
      <c r="CZ1350" s="2022"/>
      <c r="DA1350" s="2022"/>
      <c r="DB1350" s="2022"/>
      <c r="DC1350" s="2022"/>
      <c r="DD1350" s="2022"/>
      <c r="DE1350" s="2022"/>
      <c r="DF1350" s="2022"/>
      <c r="DG1350" s="2023"/>
      <c r="DH1350" s="2022"/>
      <c r="DI1350" s="2022"/>
      <c r="DJ1350" s="2022"/>
      <c r="DK1350" s="2022"/>
      <c r="DL1350" s="2022"/>
      <c r="DM1350" s="2022"/>
      <c r="DN1350" s="2022"/>
      <c r="DO1350" s="2024"/>
      <c r="DY1350" s="319"/>
      <c r="DZ1350" s="319"/>
    </row>
    <row r="1351" spans="1:130" ht="12" customHeight="1">
      <c r="A1351" s="2015" t="s">
        <v>511</v>
      </c>
      <c r="B1351" s="2014"/>
      <c r="C1351" s="2014"/>
      <c r="D1351" s="2025">
        <f>D965</f>
        <v>22.807329999999997</v>
      </c>
      <c r="E1351" s="2026">
        <f t="shared" ref="E1351:CB1351" si="2477">E965</f>
        <v>33.968769999999999</v>
      </c>
      <c r="F1351" s="2026">
        <f t="shared" si="2477"/>
        <v>44.639709999999994</v>
      </c>
      <c r="G1351" s="2026">
        <f t="shared" si="2477"/>
        <v>68.751619999999988</v>
      </c>
      <c r="H1351" s="2027">
        <f t="shared" si="2477"/>
        <v>170.16743000000002</v>
      </c>
      <c r="I1351" s="2026">
        <f t="shared" si="2477"/>
        <v>46.14297999999998</v>
      </c>
      <c r="J1351" s="2026">
        <f t="shared" si="2477"/>
        <v>44.668419999999998</v>
      </c>
      <c r="K1351" s="2026">
        <f t="shared" si="2477"/>
        <v>63.385280000000009</v>
      </c>
      <c r="L1351" s="2026">
        <f t="shared" si="2477"/>
        <v>51.182829999999981</v>
      </c>
      <c r="M1351" s="2027">
        <f t="shared" si="2477"/>
        <v>205.37950999999993</v>
      </c>
      <c r="N1351" s="2026">
        <f t="shared" si="2477"/>
        <v>55.202960000000012</v>
      </c>
      <c r="O1351" s="2026">
        <f t="shared" si="2477"/>
        <v>47.787840000000017</v>
      </c>
      <c r="P1351" s="2026">
        <f t="shared" si="2477"/>
        <v>57.476450000000028</v>
      </c>
      <c r="Q1351" s="2026">
        <f t="shared" si="2477"/>
        <v>40.992799999999988</v>
      </c>
      <c r="R1351" s="2027">
        <f t="shared" si="2477"/>
        <v>201.46005000000014</v>
      </c>
      <c r="S1351" s="2026">
        <f t="shared" si="2477"/>
        <v>46.854099999999995</v>
      </c>
      <c r="T1351" s="2026">
        <f t="shared" si="2477"/>
        <v>41.253029999999995</v>
      </c>
      <c r="U1351" s="2026">
        <f t="shared" si="2477"/>
        <v>58.881359999999994</v>
      </c>
      <c r="V1351" s="2026">
        <f t="shared" si="2477"/>
        <v>42.032220000000002</v>
      </c>
      <c r="W1351" s="2027">
        <f t="shared" si="2477"/>
        <v>189.02070999999989</v>
      </c>
      <c r="X1351" s="2026">
        <f t="shared" si="2477"/>
        <v>40.194280000000006</v>
      </c>
      <c r="Y1351" s="2026">
        <f t="shared" si="2477"/>
        <v>32.758170000000007</v>
      </c>
      <c r="Z1351" s="2026">
        <f t="shared" si="2477"/>
        <v>42.277369999999983</v>
      </c>
      <c r="AA1351" s="2026">
        <f t="shared" si="2477"/>
        <v>24.972510000000018</v>
      </c>
      <c r="AB1351" s="2027">
        <f t="shared" si="2477"/>
        <v>140.20233000000007</v>
      </c>
      <c r="AC1351" s="2026">
        <f t="shared" si="2477"/>
        <v>32.439499999999988</v>
      </c>
      <c r="AD1351" s="2026">
        <f t="shared" si="2477"/>
        <v>34.264499999999998</v>
      </c>
      <c r="AE1351" s="2026">
        <f t="shared" si="2477"/>
        <v>48.6965</v>
      </c>
      <c r="AF1351" s="2026">
        <f t="shared" si="2477"/>
        <v>25.84849999999998</v>
      </c>
      <c r="AG1351" s="2027">
        <f t="shared" si="2477"/>
        <v>141.249</v>
      </c>
      <c r="AH1351" s="2026">
        <f t="shared" si="2477"/>
        <v>25.715019999999999</v>
      </c>
      <c r="AI1351" s="2026">
        <f t="shared" si="2477"/>
        <v>31.969980000000003</v>
      </c>
      <c r="AJ1351" s="2026">
        <f t="shared" si="2477"/>
        <v>31.498000000000019</v>
      </c>
      <c r="AK1351" s="2026">
        <f t="shared" si="2477"/>
        <v>8.9529999999999905</v>
      </c>
      <c r="AL1351" s="2027">
        <f t="shared" si="2477"/>
        <v>98.136000000000081</v>
      </c>
      <c r="AM1351" s="2026">
        <f t="shared" si="2477"/>
        <v>12.518999999999986</v>
      </c>
      <c r="AN1351" s="2026">
        <f t="shared" si="2477"/>
        <v>14.600000000000012</v>
      </c>
      <c r="AO1351" s="2026">
        <f t="shared" si="2477"/>
        <v>24.902999999999995</v>
      </c>
      <c r="AP1351" s="2028">
        <f t="shared" si="2477"/>
        <v>1.4999999999999865</v>
      </c>
      <c r="AQ1351" s="2027">
        <f t="shared" si="2477"/>
        <v>53.521999999999998</v>
      </c>
      <c r="AR1351" s="2025">
        <f t="shared" si="2477"/>
        <v>1.5220000000000027</v>
      </c>
      <c r="AS1351" s="2026">
        <f t="shared" si="2477"/>
        <v>-1.1090000000000011</v>
      </c>
      <c r="AT1351" s="2026">
        <f t="shared" si="2477"/>
        <v>10.232000000000005</v>
      </c>
      <c r="AU1351" s="2029">
        <f t="shared" si="2477"/>
        <v>-5.1950000000000038</v>
      </c>
      <c r="AV1351" s="2027">
        <f t="shared" si="2477"/>
        <v>5.4500000000000268</v>
      </c>
      <c r="AW1351" s="2025">
        <f t="shared" si="2477"/>
        <v>6.4430000000000005</v>
      </c>
      <c r="AX1351" s="2026">
        <f t="shared" si="2477"/>
        <v>1.3240000000000014</v>
      </c>
      <c r="AY1351" s="2026">
        <f t="shared" si="2477"/>
        <v>20.778999999999996</v>
      </c>
      <c r="AZ1351" s="2029">
        <f t="shared" si="2477"/>
        <v>-3.7860000000000005</v>
      </c>
      <c r="BA1351" s="2027">
        <f t="shared" si="2477"/>
        <v>24.75999999999998</v>
      </c>
      <c r="BB1351" s="2025">
        <f t="shared" si="2477"/>
        <v>2.6030000000000006</v>
      </c>
      <c r="BC1351" s="2026">
        <f t="shared" si="2477"/>
        <v>17.907</v>
      </c>
      <c r="BD1351" s="2026">
        <f t="shared" si="2477"/>
        <v>34.933</v>
      </c>
      <c r="BE1351" s="2029">
        <f t="shared" si="2477"/>
        <v>12.725146874999997</v>
      </c>
      <c r="BF1351" s="2027">
        <f t="shared" si="2477"/>
        <v>68.168146874999991</v>
      </c>
      <c r="BG1351" s="2025">
        <f t="shared" ref="BG1351:BP1351" si="2478">BG965</f>
        <v>15.445000000000004</v>
      </c>
      <c r="BH1351" s="2026">
        <f t="shared" si="2478"/>
        <v>18.046000000000003</v>
      </c>
      <c r="BI1351" s="2026">
        <f t="shared" si="2478"/>
        <v>59.899000000000015</v>
      </c>
      <c r="BJ1351" s="2029">
        <f t="shared" si="2478"/>
        <v>25.649999999999995</v>
      </c>
      <c r="BK1351" s="2027">
        <f t="shared" si="2478"/>
        <v>119.03999999999984</v>
      </c>
      <c r="BL1351" s="2026">
        <f t="shared" si="2478"/>
        <v>23.697999999999997</v>
      </c>
      <c r="BM1351" s="2026">
        <f t="shared" si="2478"/>
        <v>38.352000000000004</v>
      </c>
      <c r="BN1351" s="2026">
        <f t="shared" si="2478"/>
        <v>119.84022087474413</v>
      </c>
      <c r="BO1351" s="2029">
        <f t="shared" si="2478"/>
        <v>0</v>
      </c>
      <c r="BP1351" s="2027">
        <f t="shared" si="2478"/>
        <v>0</v>
      </c>
      <c r="BQ1351" s="2026">
        <f t="shared" ref="BQ1351:BZ1351" si="2479">BQ965</f>
        <v>0</v>
      </c>
      <c r="BR1351" s="2026">
        <f t="shared" si="2479"/>
        <v>0</v>
      </c>
      <c r="BS1351" s="2026">
        <f t="shared" si="2479"/>
        <v>0</v>
      </c>
      <c r="BT1351" s="2029">
        <f t="shared" si="2479"/>
        <v>0</v>
      </c>
      <c r="BU1351" s="3467">
        <f t="shared" si="2479"/>
        <v>0</v>
      </c>
      <c r="BV1351" s="2026">
        <f t="shared" si="2479"/>
        <v>0</v>
      </c>
      <c r="BW1351" s="2026">
        <f t="shared" si="2479"/>
        <v>0</v>
      </c>
      <c r="BX1351" s="2026">
        <f t="shared" si="2479"/>
        <v>0</v>
      </c>
      <c r="BY1351" s="2029">
        <f t="shared" si="2479"/>
        <v>0</v>
      </c>
      <c r="BZ1351" s="3467">
        <f t="shared" si="2479"/>
        <v>0</v>
      </c>
      <c r="CA1351" s="2027">
        <f t="shared" si="2477"/>
        <v>0</v>
      </c>
      <c r="CB1351" s="2027">
        <f t="shared" si="2477"/>
        <v>0</v>
      </c>
      <c r="CC1351" s="2027">
        <f>CC965</f>
        <v>2.0480908170857433</v>
      </c>
      <c r="CD1351" s="2027">
        <f>CD965</f>
        <v>1.5956862762314685</v>
      </c>
      <c r="CE1351" s="2027">
        <f>CE965</f>
        <v>1.7676000017560867</v>
      </c>
      <c r="CF1351" s="2027">
        <f>CF965</f>
        <v>1.9429520017912125</v>
      </c>
      <c r="CG1351" s="2027">
        <f>CG965</f>
        <v>2.1218110418270371</v>
      </c>
      <c r="CH1351" s="2017"/>
      <c r="CI1351" s="2017"/>
      <c r="CJ1351" s="2017"/>
      <c r="CK1351" s="2017"/>
      <c r="CL1351" s="2017"/>
      <c r="CM1351" s="4041"/>
      <c r="CN1351" s="4041">
        <f t="shared" si="2476"/>
        <v>0</v>
      </c>
      <c r="CO1351" s="4041">
        <f t="shared" ref="CO1351:CO1352" si="2480">CN1351-CM1351</f>
        <v>0</v>
      </c>
      <c r="CP1351" s="2021"/>
      <c r="CQ1351" s="2022"/>
      <c r="CR1351" s="2022"/>
      <c r="CS1351" s="2022"/>
      <c r="CT1351" s="2022"/>
      <c r="CU1351" s="2022"/>
      <c r="CV1351" s="2022"/>
      <c r="CW1351" s="2022"/>
      <c r="CX1351" s="2022"/>
      <c r="CY1351" s="2022"/>
      <c r="CZ1351" s="2022"/>
      <c r="DA1351" s="2022"/>
      <c r="DB1351" s="2022"/>
      <c r="DC1351" s="2022"/>
      <c r="DD1351" s="2022"/>
      <c r="DE1351" s="2022"/>
      <c r="DF1351" s="2022"/>
      <c r="DG1351" s="2023"/>
      <c r="DH1351" s="2022"/>
      <c r="DI1351" s="2022"/>
      <c r="DJ1351" s="2022"/>
      <c r="DK1351" s="2022"/>
      <c r="DL1351" s="2022"/>
      <c r="DM1351" s="2022"/>
      <c r="DN1351" s="2022"/>
      <c r="DO1351" s="2024"/>
      <c r="DY1351" s="319"/>
      <c r="DZ1351" s="319"/>
    </row>
    <row r="1352" spans="1:130" ht="12" customHeight="1">
      <c r="A1352" s="2015"/>
      <c r="B1352" s="2014"/>
      <c r="C1352" s="2014"/>
      <c r="D1352" s="2025">
        <v>1</v>
      </c>
      <c r="E1352" s="2026">
        <v>1</v>
      </c>
      <c r="F1352" s="2026">
        <v>1</v>
      </c>
      <c r="G1352" s="2026">
        <v>1</v>
      </c>
      <c r="H1352" s="2027">
        <v>1</v>
      </c>
      <c r="I1352" s="2026">
        <v>1</v>
      </c>
      <c r="J1352" s="2026">
        <v>1</v>
      </c>
      <c r="K1352" s="2026">
        <v>1</v>
      </c>
      <c r="L1352" s="2026">
        <v>1</v>
      </c>
      <c r="M1352" s="2027">
        <v>1</v>
      </c>
      <c r="N1352" s="2026">
        <v>1</v>
      </c>
      <c r="O1352" s="2026">
        <v>1</v>
      </c>
      <c r="P1352" s="2026">
        <v>1</v>
      </c>
      <c r="Q1352" s="2026">
        <v>1</v>
      </c>
      <c r="R1352" s="2027">
        <v>1</v>
      </c>
      <c r="S1352" s="2026">
        <v>1</v>
      </c>
      <c r="T1352" s="2026">
        <v>1</v>
      </c>
      <c r="U1352" s="2026">
        <v>1</v>
      </c>
      <c r="V1352" s="2026">
        <v>1</v>
      </c>
      <c r="W1352" s="2027">
        <v>1</v>
      </c>
      <c r="X1352" s="2026">
        <v>1</v>
      </c>
      <c r="Y1352" s="2026">
        <v>1</v>
      </c>
      <c r="Z1352" s="2026">
        <v>1</v>
      </c>
      <c r="AA1352" s="2026">
        <v>1</v>
      </c>
      <c r="AB1352" s="2027">
        <v>1</v>
      </c>
      <c r="AC1352" s="2026">
        <v>1</v>
      </c>
      <c r="AD1352" s="2026">
        <v>1</v>
      </c>
      <c r="AE1352" s="2026">
        <v>1</v>
      </c>
      <c r="AF1352" s="2026">
        <v>1</v>
      </c>
      <c r="AG1352" s="2027">
        <v>1</v>
      </c>
      <c r="AH1352" s="2026">
        <v>1</v>
      </c>
      <c r="AI1352" s="2026">
        <v>1</v>
      </c>
      <c r="AJ1352" s="2026">
        <v>1</v>
      </c>
      <c r="AK1352" s="2026">
        <v>1</v>
      </c>
      <c r="AL1352" s="2027">
        <v>1</v>
      </c>
      <c r="AM1352" s="2026">
        <v>1</v>
      </c>
      <c r="AN1352" s="2026">
        <v>1</v>
      </c>
      <c r="AO1352" s="2026">
        <v>1</v>
      </c>
      <c r="AP1352" s="2028">
        <v>1</v>
      </c>
      <c r="AQ1352" s="2027">
        <v>1</v>
      </c>
      <c r="AR1352" s="2025">
        <v>1</v>
      </c>
      <c r="AS1352" s="2026">
        <v>1</v>
      </c>
      <c r="AT1352" s="2026">
        <v>1</v>
      </c>
      <c r="AU1352" s="2029">
        <v>1</v>
      </c>
      <c r="AV1352" s="2027">
        <v>1</v>
      </c>
      <c r="AW1352" s="2025">
        <v>1</v>
      </c>
      <c r="AX1352" s="2026">
        <v>1</v>
      </c>
      <c r="AY1352" s="2026">
        <v>1</v>
      </c>
      <c r="AZ1352" s="2029">
        <v>1</v>
      </c>
      <c r="BA1352" s="2027">
        <v>1</v>
      </c>
      <c r="BB1352" s="2025">
        <v>1</v>
      </c>
      <c r="BC1352" s="2026">
        <v>1</v>
      </c>
      <c r="BD1352" s="2026">
        <v>1</v>
      </c>
      <c r="BE1352" s="2029">
        <v>1</v>
      </c>
      <c r="BF1352" s="2027">
        <v>1</v>
      </c>
      <c r="BG1352" s="2025">
        <v>1</v>
      </c>
      <c r="BH1352" s="2026">
        <v>1</v>
      </c>
      <c r="BI1352" s="2026">
        <v>1</v>
      </c>
      <c r="BJ1352" s="2029">
        <v>1</v>
      </c>
      <c r="BK1352" s="2027">
        <v>1</v>
      </c>
      <c r="BL1352" s="2026">
        <v>1</v>
      </c>
      <c r="BM1352" s="2026">
        <v>1</v>
      </c>
      <c r="BN1352" s="2026">
        <v>1</v>
      </c>
      <c r="BO1352" s="2029">
        <v>1</v>
      </c>
      <c r="BP1352" s="2027">
        <v>1</v>
      </c>
      <c r="BQ1352" s="2026">
        <v>1</v>
      </c>
      <c r="BR1352" s="2026">
        <v>1</v>
      </c>
      <c r="BS1352" s="2026">
        <v>1</v>
      </c>
      <c r="BT1352" s="2029">
        <v>1</v>
      </c>
      <c r="BU1352" s="3467">
        <v>1</v>
      </c>
      <c r="BV1352" s="2026">
        <v>1</v>
      </c>
      <c r="BW1352" s="2026">
        <v>1</v>
      </c>
      <c r="BX1352" s="2026">
        <v>1</v>
      </c>
      <c r="BY1352" s="2029">
        <v>1</v>
      </c>
      <c r="BZ1352" s="3467">
        <v>1</v>
      </c>
      <c r="CA1352" s="2027">
        <v>1</v>
      </c>
      <c r="CB1352" s="2027">
        <v>1</v>
      </c>
      <c r="CC1352" s="2027">
        <v>1</v>
      </c>
      <c r="CD1352" s="2027">
        <v>1</v>
      </c>
      <c r="CE1352" s="2027">
        <v>1</v>
      </c>
      <c r="CF1352" s="2027">
        <v>1</v>
      </c>
      <c r="CG1352" s="2027">
        <v>1</v>
      </c>
      <c r="CH1352" s="2017"/>
      <c r="CI1352" s="2017"/>
      <c r="CJ1352" s="2017"/>
      <c r="CK1352" s="2017"/>
      <c r="CL1352" s="2017"/>
      <c r="CM1352" s="4041"/>
      <c r="CN1352" s="4041">
        <f t="shared" si="2476"/>
        <v>4</v>
      </c>
      <c r="CO1352" s="4041">
        <f t="shared" si="2480"/>
        <v>4</v>
      </c>
      <c r="CP1352" s="2021"/>
      <c r="CQ1352" s="2022"/>
      <c r="CR1352" s="2022"/>
      <c r="CS1352" s="2022"/>
      <c r="CT1352" s="2022"/>
      <c r="CU1352" s="2022"/>
      <c r="CV1352" s="2022"/>
      <c r="CW1352" s="2022"/>
      <c r="CX1352" s="2022"/>
      <c r="CY1352" s="2022"/>
      <c r="CZ1352" s="2022"/>
      <c r="DA1352" s="2022"/>
      <c r="DB1352" s="2022"/>
      <c r="DC1352" s="2022"/>
      <c r="DD1352" s="2022"/>
      <c r="DE1352" s="2022"/>
      <c r="DF1352" s="2022"/>
      <c r="DG1352" s="2023"/>
      <c r="DH1352" s="2022"/>
      <c r="DI1352" s="2022"/>
      <c r="DJ1352" s="2022"/>
      <c r="DK1352" s="2022"/>
      <c r="DL1352" s="2022"/>
      <c r="DM1352" s="2022"/>
      <c r="DN1352" s="2022"/>
      <c r="DO1352" s="2024"/>
      <c r="DY1352" s="319"/>
      <c r="DZ1352" s="319"/>
    </row>
    <row r="1353" spans="1:130" ht="12.75" customHeight="1">
      <c r="A1353" s="227"/>
      <c r="B1353" s="248"/>
      <c r="C1353" s="248"/>
      <c r="D1353" s="578"/>
      <c r="E1353" s="248"/>
      <c r="F1353" s="248"/>
      <c r="G1353" s="248"/>
      <c r="H1353" s="579"/>
      <c r="I1353" s="248"/>
      <c r="J1353" s="248"/>
      <c r="K1353" s="248"/>
      <c r="L1353" s="248"/>
      <c r="M1353" s="579"/>
      <c r="N1353" s="248"/>
      <c r="O1353" s="248"/>
      <c r="P1353" s="248"/>
      <c r="Q1353" s="248"/>
      <c r="R1353" s="579"/>
      <c r="S1353" s="248"/>
      <c r="T1353" s="248"/>
      <c r="U1353" s="248"/>
      <c r="V1353" s="248"/>
      <c r="W1353" s="579"/>
      <c r="X1353" s="248"/>
      <c r="Y1353" s="248"/>
      <c r="Z1353" s="248"/>
      <c r="AA1353" s="248"/>
      <c r="AB1353" s="579"/>
      <c r="AC1353" s="248"/>
      <c r="AD1353" s="248"/>
      <c r="AE1353" s="248"/>
      <c r="AF1353" s="248"/>
      <c r="AG1353" s="579"/>
      <c r="AH1353" s="248"/>
      <c r="AI1353" s="248"/>
      <c r="AJ1353" s="248"/>
      <c r="AK1353" s="248"/>
      <c r="AL1353" s="579"/>
      <c r="AM1353" s="248"/>
      <c r="AN1353" s="248"/>
      <c r="AO1353" s="248"/>
      <c r="AP1353" s="1390"/>
      <c r="AQ1353" s="579"/>
      <c r="AR1353" s="578"/>
      <c r="AS1353" s="248"/>
      <c r="AT1353" s="248"/>
      <c r="AU1353" s="1552"/>
      <c r="AV1353" s="579"/>
      <c r="AW1353" s="578"/>
      <c r="AX1353" s="248"/>
      <c r="AY1353" s="248"/>
      <c r="AZ1353" s="1552"/>
      <c r="BA1353" s="579"/>
      <c r="BB1353" s="578"/>
      <c r="BC1353" s="248"/>
      <c r="BD1353" s="248"/>
      <c r="BE1353" s="1552"/>
      <c r="BF1353" s="579"/>
      <c r="BG1353" s="3023"/>
      <c r="BH1353" s="3024"/>
      <c r="BI1353" s="3024"/>
      <c r="BJ1353" s="3025"/>
      <c r="BK1353" s="579"/>
      <c r="BL1353" s="3024"/>
      <c r="BM1353" s="3024"/>
      <c r="BN1353" s="3024"/>
      <c r="BO1353" s="3025"/>
      <c r="BP1353" s="579"/>
      <c r="BQ1353" s="3024"/>
      <c r="BR1353" s="3024"/>
      <c r="BS1353" s="3024"/>
      <c r="BT1353" s="3025"/>
      <c r="BU1353" s="3375"/>
      <c r="BV1353" s="3024"/>
      <c r="BW1353" s="3024"/>
      <c r="BX1353" s="3024"/>
      <c r="BY1353" s="3025"/>
      <c r="BZ1353" s="579"/>
      <c r="CA1353" s="579"/>
      <c r="CB1353" s="579"/>
      <c r="CC1353" s="579"/>
      <c r="CD1353" s="579"/>
      <c r="CE1353" s="579"/>
      <c r="CF1353" s="579"/>
      <c r="CG1353" s="579"/>
      <c r="CH1353" s="248"/>
      <c r="CI1353" s="248"/>
      <c r="CJ1353" s="248"/>
      <c r="CK1353" s="248"/>
      <c r="CL1353" s="248"/>
      <c r="CM1353" s="4042"/>
      <c r="CN1353" s="4042"/>
      <c r="CO1353" s="248"/>
      <c r="CP1353" s="1851"/>
      <c r="CQ1353" s="248"/>
      <c r="CR1353" s="248"/>
      <c r="CS1353" s="248"/>
      <c r="CT1353" s="248"/>
      <c r="CU1353" s="248"/>
      <c r="CV1353" s="248"/>
      <c r="CW1353" s="248"/>
      <c r="CX1353" s="248"/>
      <c r="CY1353" s="248"/>
      <c r="CZ1353" s="248"/>
      <c r="DA1353" s="248"/>
      <c r="DB1353" s="248"/>
      <c r="DC1353" s="248"/>
      <c r="DD1353" s="248"/>
      <c r="DE1353" s="248"/>
      <c r="DF1353" s="248"/>
      <c r="DG1353" s="1552"/>
      <c r="DH1353" s="248"/>
      <c r="DI1353" s="248"/>
      <c r="DJ1353" s="248"/>
      <c r="DK1353" s="248"/>
      <c r="DL1353" s="248"/>
      <c r="DM1353" s="248"/>
      <c r="DN1353" s="248"/>
      <c r="DO1353" s="227"/>
      <c r="DY1353" s="248"/>
      <c r="DZ1353" s="248"/>
    </row>
    <row r="1354" spans="1:130" ht="12.75" customHeight="1">
      <c r="C1354"/>
      <c r="BU1354"/>
      <c r="BV1354"/>
      <c r="BW1354"/>
      <c r="BX1354"/>
      <c r="BY1354"/>
      <c r="CL1354"/>
      <c r="CM1354"/>
      <c r="CN1354"/>
      <c r="CO1354"/>
      <c r="DY1354"/>
      <c r="DZ1354"/>
    </row>
  </sheetData>
  <phoneticPr fontId="10" type="noConversion"/>
  <printOptions horizontalCentered="1"/>
  <pageMargins left="0" right="0" top="0" bottom="0" header="0" footer="0"/>
  <pageSetup paperSize="5" firstPageNumber="6" orientation="landscape" blackAndWhite="1" horizontalDpi="1200" verticalDpi="1200" r:id="rId1"/>
  <headerFooter alignWithMargins="0"/>
  <rowBreaks count="3" manualBreakCount="3">
    <brk id="184" max="43" man="1"/>
    <brk id="969" max="43" man="1"/>
    <brk id="1129" max="43" man="1"/>
  </rowBreaks>
  <ignoredErrors>
    <ignoredError sqref="BL1077 BL1105:BL1106 BL1116" 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1"/>
  <sheetViews>
    <sheetView workbookViewId="0"/>
  </sheetViews>
  <sheetFormatPr defaultRowHeight="15.75"/>
  <sheetData>
    <row r="1" spans="1:2">
      <c r="B1" t="s">
        <v>665</v>
      </c>
    </row>
  </sheetData>
  <phoneticPr fontId="10" type="noConversion"/>
  <pageMargins left="0.75" right="0.75" top="1" bottom="1" header="0.5" footer="0.5"/>
  <pageSetup orientation="portrait" horizontalDpi="1200" verticalDpi="12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K171"/>
  <sheetViews>
    <sheetView zoomScale="85" zoomScaleNormal="85" workbookViewId="0">
      <selection activeCell="J10" sqref="J10"/>
    </sheetView>
  </sheetViews>
  <sheetFormatPr defaultRowHeight="15.75" outlineLevelRow="1"/>
  <cols>
    <col min="1" max="1" width="25.625" customWidth="1"/>
    <col min="2" max="2" width="10.5" style="4045" customWidth="1"/>
    <col min="3" max="3" width="5.875" customWidth="1"/>
    <col min="5" max="5" width="5.875" customWidth="1"/>
    <col min="6" max="6" width="9" style="4045"/>
  </cols>
  <sheetData>
    <row r="1" spans="1:11">
      <c r="A1" s="1" t="s">
        <v>629</v>
      </c>
      <c r="B1" s="105"/>
      <c r="C1" s="2"/>
      <c r="D1" s="2"/>
      <c r="E1" s="2"/>
      <c r="F1" s="2"/>
      <c r="G1" s="180"/>
    </row>
    <row r="2" spans="1:11">
      <c r="A2" s="1" t="s">
        <v>235</v>
      </c>
      <c r="B2" s="105"/>
      <c r="C2" s="2"/>
      <c r="D2" s="2"/>
      <c r="E2" s="2"/>
      <c r="F2" s="2"/>
      <c r="G2" s="180"/>
    </row>
    <row r="3" spans="1:11">
      <c r="A3" s="2" t="s">
        <v>1703</v>
      </c>
      <c r="B3" s="105"/>
      <c r="C3" s="2"/>
      <c r="D3" s="2"/>
      <c r="E3" s="2"/>
      <c r="F3" s="2"/>
      <c r="G3" s="180"/>
    </row>
    <row r="4" spans="1:11">
      <c r="A4" s="3495"/>
      <c r="B4" s="3496">
        <v>2019</v>
      </c>
      <c r="C4" s="3497"/>
      <c r="D4" s="3497"/>
      <c r="E4" s="3497"/>
      <c r="F4" s="3498" t="s">
        <v>1962</v>
      </c>
      <c r="G4" s="180"/>
    </row>
    <row r="5" spans="1:11">
      <c r="A5" s="3499"/>
      <c r="B5" s="3500" t="s">
        <v>286</v>
      </c>
      <c r="C5" s="3501"/>
      <c r="D5" s="3502" t="s">
        <v>284</v>
      </c>
      <c r="E5" s="3501"/>
      <c r="F5" s="3503" t="s">
        <v>1704</v>
      </c>
      <c r="G5" s="180"/>
    </row>
    <row r="6" spans="1:11">
      <c r="A6" s="3504"/>
      <c r="B6" s="3505" t="s">
        <v>401</v>
      </c>
      <c r="C6" s="3506"/>
      <c r="D6" s="3507" t="s">
        <v>1620</v>
      </c>
      <c r="E6" s="3506"/>
      <c r="F6" s="3508" t="s">
        <v>921</v>
      </c>
      <c r="G6" s="180"/>
    </row>
    <row r="7" spans="1:11">
      <c r="A7" s="3509" t="s">
        <v>272</v>
      </c>
      <c r="B7" s="3510">
        <f>+BYD!CA44</f>
        <v>594.34776997238419</v>
      </c>
      <c r="C7" s="3511" t="s">
        <v>1705</v>
      </c>
      <c r="D7" s="3512">
        <v>9</v>
      </c>
      <c r="E7" s="3513" t="s">
        <v>258</v>
      </c>
      <c r="F7" s="3514">
        <f>B7*D7</f>
        <v>5349.1299297514579</v>
      </c>
      <c r="G7" s="180"/>
    </row>
    <row r="8" spans="1:11">
      <c r="A8" s="3509" t="s">
        <v>494</v>
      </c>
      <c r="B8" s="3515">
        <f>BYD!CA38</f>
        <v>286.95001355000011</v>
      </c>
      <c r="C8" s="3516" t="s">
        <v>1705</v>
      </c>
      <c r="D8" s="3517">
        <v>10</v>
      </c>
      <c r="E8" s="3518" t="s">
        <v>258</v>
      </c>
      <c r="F8" s="3519">
        <f t="shared" ref="F8:F11" si="0">B8*D8</f>
        <v>2869.5001355000013</v>
      </c>
      <c r="G8" s="180"/>
    </row>
    <row r="9" spans="1:11">
      <c r="A9" s="3520" t="s">
        <v>549</v>
      </c>
      <c r="B9" s="3515">
        <f>BYD!CA39</f>
        <v>62.660108999999949</v>
      </c>
      <c r="C9" s="3516" t="s">
        <v>1705</v>
      </c>
      <c r="D9" s="3517">
        <v>9.5</v>
      </c>
      <c r="E9" s="3518" t="s">
        <v>258</v>
      </c>
      <c r="F9" s="3519">
        <f t="shared" si="0"/>
        <v>595.27103549999947</v>
      </c>
      <c r="G9" s="180"/>
    </row>
    <row r="10" spans="1:11">
      <c r="A10" s="3521" t="s">
        <v>1706</v>
      </c>
      <c r="B10" s="3522">
        <f>SUM(B7:B9)</f>
        <v>943.95789252238421</v>
      </c>
      <c r="C10" s="3523"/>
      <c r="D10" s="3524">
        <f>F10/B10</f>
        <v>9.3371761289049804</v>
      </c>
      <c r="E10" s="3525"/>
      <c r="F10" s="3526">
        <f>SUM(F7:F9)</f>
        <v>8813.9011007514582</v>
      </c>
      <c r="G10" s="180"/>
    </row>
    <row r="11" spans="1:11">
      <c r="A11" s="3527" t="s">
        <v>532</v>
      </c>
      <c r="B11" s="3528">
        <f>BYD!CA54</f>
        <v>-70</v>
      </c>
      <c r="C11" s="3529" t="s">
        <v>1705</v>
      </c>
      <c r="D11" s="3530">
        <f>D10</f>
        <v>9.3371761289049804</v>
      </c>
      <c r="E11" s="3531" t="s">
        <v>258</v>
      </c>
      <c r="F11" s="3532">
        <f t="shared" si="0"/>
        <v>-653.6023290233486</v>
      </c>
      <c r="G11" s="180"/>
    </row>
    <row r="12" spans="1:11">
      <c r="A12" s="3533" t="s">
        <v>310</v>
      </c>
      <c r="B12" s="3534">
        <f>B11+B10</f>
        <v>873.95789252238421</v>
      </c>
      <c r="C12" s="3535"/>
      <c r="D12" s="3536">
        <f>F12/B12</f>
        <v>9.3371761289049786</v>
      </c>
      <c r="E12" s="3535"/>
      <c r="F12" s="3537">
        <f>F11+F10</f>
        <v>8160.2987717281094</v>
      </c>
      <c r="G12" s="180"/>
    </row>
    <row r="13" spans="1:11">
      <c r="A13" s="3538" t="s">
        <v>1965</v>
      </c>
      <c r="B13" s="3501"/>
      <c r="C13" s="3535"/>
      <c r="D13" s="3535"/>
      <c r="E13" s="3535"/>
      <c r="F13" s="3539">
        <f>-BYD!BZ1227+BYD!BZ1054</f>
        <v>-4327.8020679386291</v>
      </c>
      <c r="G13" s="180"/>
    </row>
    <row r="14" spans="1:11">
      <c r="A14" s="3533" t="s">
        <v>1707</v>
      </c>
      <c r="B14" s="3540"/>
      <c r="C14" s="3541"/>
      <c r="D14" s="3541"/>
      <c r="E14" s="3541"/>
      <c r="F14" s="3542">
        <f>SUM(F12:F13)</f>
        <v>3832.4967037894803</v>
      </c>
      <c r="G14" s="180"/>
    </row>
    <row r="15" spans="1:11">
      <c r="A15" s="3538" t="s">
        <v>14</v>
      </c>
      <c r="B15" s="3543"/>
      <c r="C15" s="3501"/>
      <c r="D15" s="3501"/>
      <c r="E15" s="3501"/>
      <c r="F15" s="3544">
        <f>+BYD!BY103</f>
        <v>113.08959516740317</v>
      </c>
      <c r="G15" s="1990"/>
      <c r="K15" s="1403"/>
    </row>
    <row r="16" spans="1:11" hidden="1" outlineLevel="1">
      <c r="A16" s="138" t="s">
        <v>1671</v>
      </c>
      <c r="B16" s="208"/>
      <c r="C16" s="209"/>
      <c r="D16" s="209"/>
      <c r="E16" s="209"/>
      <c r="F16" s="1441">
        <f>+F14/F15</f>
        <v>33.889030181037867</v>
      </c>
      <c r="G16" s="1990"/>
      <c r="H16" s="1617"/>
      <c r="I16" s="3912"/>
      <c r="K16" s="1403"/>
    </row>
    <row r="17" spans="1:10" ht="3.95" hidden="1" customHeight="1" outlineLevel="1">
      <c r="A17" s="3533"/>
      <c r="B17" s="3543"/>
      <c r="C17" s="3535"/>
      <c r="D17" s="3535"/>
      <c r="E17" s="3535"/>
      <c r="F17" s="3545"/>
      <c r="G17" s="180"/>
    </row>
    <row r="18" spans="1:10" hidden="1" outlineLevel="1">
      <c r="A18" s="3546" t="s">
        <v>1672</v>
      </c>
      <c r="B18" s="3547"/>
      <c r="C18" s="3548"/>
      <c r="D18" s="3548"/>
      <c r="E18" s="3548"/>
      <c r="F18" s="3549">
        <f>+'Tables 2'!J72</f>
        <v>4.6044854312491958</v>
      </c>
      <c r="G18" s="1990"/>
    </row>
    <row r="19" spans="1:10" ht="3.95" customHeight="1" collapsed="1">
      <c r="A19" s="3533"/>
      <c r="B19" s="3543"/>
      <c r="C19" s="3535"/>
      <c r="D19" s="3535"/>
      <c r="E19" s="3535"/>
      <c r="F19" s="3550"/>
      <c r="G19" s="180"/>
    </row>
    <row r="20" spans="1:10">
      <c r="A20" s="138" t="s">
        <v>1634</v>
      </c>
      <c r="B20" s="208"/>
      <c r="C20" s="209"/>
      <c r="D20" s="209"/>
      <c r="E20" s="209"/>
      <c r="F20" s="1441">
        <f>+F14/F15</f>
        <v>33.889030181037867</v>
      </c>
      <c r="G20" s="1990"/>
    </row>
    <row r="21" spans="1:10" ht="6" customHeight="1">
      <c r="A21" s="180"/>
      <c r="B21" s="180"/>
      <c r="C21" s="180"/>
      <c r="D21" s="180"/>
      <c r="E21" s="180"/>
      <c r="F21" s="180"/>
      <c r="G21" s="180"/>
    </row>
    <row r="22" spans="1:10">
      <c r="A22" s="198"/>
      <c r="B22" s="104"/>
      <c r="C22" s="201"/>
      <c r="D22" s="201"/>
      <c r="E22" s="2737"/>
      <c r="F22" s="210"/>
      <c r="G22" s="180"/>
    </row>
    <row r="23" spans="1:10">
      <c r="A23" s="203" t="s">
        <v>15</v>
      </c>
      <c r="B23" s="104"/>
      <c r="C23" s="201"/>
      <c r="D23" s="201"/>
      <c r="E23" s="2737"/>
      <c r="F23" s="211">
        <v>37.53</v>
      </c>
      <c r="G23" s="211"/>
    </row>
    <row r="24" spans="1:10">
      <c r="A24" s="212" t="s">
        <v>16</v>
      </c>
      <c r="B24" s="104"/>
      <c r="C24" s="1438"/>
      <c r="D24" s="77"/>
      <c r="E24" s="77"/>
      <c r="F24" s="2233">
        <f>-(F23-F20)/F23</f>
        <v>-9.7014916572398982E-2</v>
      </c>
      <c r="G24" s="2233"/>
    </row>
    <row r="25" spans="1:10">
      <c r="A25" s="198"/>
      <c r="B25" s="104"/>
      <c r="C25" s="77"/>
      <c r="D25" s="77"/>
      <c r="E25" s="77"/>
      <c r="F25" s="2076"/>
      <c r="G25" s="2207"/>
      <c r="J25" s="1312"/>
    </row>
    <row r="26" spans="1:10">
      <c r="A26" s="195"/>
      <c r="B26" s="104"/>
      <c r="C26" s="77"/>
      <c r="D26" s="77"/>
      <c r="E26" s="77"/>
      <c r="F26" s="2076"/>
      <c r="G26" s="2207"/>
    </row>
    <row r="27" spans="1:10">
      <c r="A27" s="212"/>
      <c r="B27" s="104"/>
      <c r="C27" s="77"/>
      <c r="D27" s="77"/>
      <c r="E27" s="77"/>
      <c r="F27" s="2076"/>
      <c r="G27" s="2207"/>
    </row>
    <row r="28" spans="1:10">
      <c r="F28" s="4046"/>
      <c r="G28" s="4046"/>
    </row>
    <row r="29" spans="1:10">
      <c r="A29" s="203"/>
      <c r="B29" s="180"/>
      <c r="C29" s="180"/>
      <c r="D29" s="180"/>
      <c r="E29" s="180"/>
      <c r="F29" s="2"/>
      <c r="G29" s="180"/>
    </row>
    <row r="30" spans="1:10">
      <c r="A30" s="180"/>
      <c r="B30" s="180"/>
      <c r="C30" s="180"/>
      <c r="D30" s="180"/>
      <c r="E30" s="180"/>
      <c r="F30" s="2076"/>
      <c r="G30" s="2207"/>
    </row>
    <row r="31" spans="1:10">
      <c r="A31" s="180"/>
      <c r="B31" s="180"/>
      <c r="C31" s="180"/>
      <c r="D31" s="180"/>
      <c r="E31" s="180"/>
      <c r="F31" s="2076"/>
      <c r="G31" s="2207"/>
    </row>
    <row r="32" spans="1:10">
      <c r="A32" s="180"/>
      <c r="B32" s="180"/>
      <c r="C32" s="180"/>
      <c r="D32" s="180"/>
      <c r="E32" s="180"/>
      <c r="F32" s="2076"/>
      <c r="G32" s="2207"/>
    </row>
    <row r="33" spans="1:7">
      <c r="A33" s="180"/>
      <c r="B33" s="180"/>
      <c r="C33" s="180"/>
      <c r="D33" s="180"/>
      <c r="E33" s="180"/>
      <c r="F33" s="180"/>
      <c r="G33" s="180"/>
    </row>
    <row r="34" spans="1:7">
      <c r="A34" s="180"/>
      <c r="B34" s="180"/>
      <c r="C34" s="180"/>
      <c r="D34" s="180"/>
      <c r="E34" s="180"/>
      <c r="F34" s="180"/>
      <c r="G34" s="180"/>
    </row>
    <row r="35" spans="1:7">
      <c r="A35" s="180"/>
      <c r="B35" s="180"/>
      <c r="C35" s="180"/>
      <c r="D35" s="180"/>
      <c r="E35" s="180"/>
      <c r="F35" s="180"/>
      <c r="G35" s="180"/>
    </row>
    <row r="36" spans="1:7">
      <c r="A36" s="180"/>
      <c r="B36" s="180"/>
      <c r="C36" s="180"/>
      <c r="D36" s="180"/>
      <c r="E36" s="180"/>
      <c r="F36" s="1990"/>
      <c r="G36" s="180"/>
    </row>
    <row r="37" spans="1:7">
      <c r="A37" s="180"/>
      <c r="B37" s="180"/>
      <c r="C37" s="180"/>
      <c r="D37" s="180"/>
      <c r="E37" s="180"/>
      <c r="F37" s="180"/>
      <c r="G37" s="180"/>
    </row>
    <row r="38" spans="1:7">
      <c r="A38" s="180" t="s">
        <v>535</v>
      </c>
      <c r="B38" s="3110">
        <v>27.3</v>
      </c>
      <c r="C38" s="180"/>
      <c r="D38" s="180"/>
      <c r="E38" s="180"/>
      <c r="F38" s="180"/>
      <c r="G38" s="180"/>
    </row>
    <row r="39" spans="1:7">
      <c r="A39" s="180" t="s">
        <v>475</v>
      </c>
      <c r="B39" s="181">
        <f>+F15</f>
        <v>113.08959516740317</v>
      </c>
      <c r="C39" s="180"/>
      <c r="D39" s="180"/>
      <c r="E39" s="180"/>
      <c r="F39" s="180"/>
      <c r="G39" s="180"/>
    </row>
    <row r="40" spans="1:7">
      <c r="A40" s="180" t="s">
        <v>1641</v>
      </c>
      <c r="B40" s="181">
        <f>+B38*B39</f>
        <v>3087.3459480701067</v>
      </c>
      <c r="C40" s="180"/>
      <c r="D40" s="180"/>
      <c r="E40" s="180"/>
      <c r="F40" s="180"/>
      <c r="G40" s="180"/>
    </row>
    <row r="41" spans="1:7">
      <c r="A41" s="180" t="s">
        <v>345</v>
      </c>
      <c r="B41" s="180">
        <f>+'CompSheet - Output'!AC38</f>
        <v>4354.507067938629</v>
      </c>
      <c r="C41" s="180"/>
      <c r="D41" s="180"/>
      <c r="E41" s="180"/>
      <c r="F41" s="180"/>
      <c r="G41" s="180"/>
    </row>
    <row r="42" spans="1:7">
      <c r="A42" s="180" t="s">
        <v>930</v>
      </c>
      <c r="B42" s="181">
        <f>+B40+B41</f>
        <v>7441.8530160087357</v>
      </c>
      <c r="C42" s="180"/>
      <c r="D42" s="180"/>
      <c r="E42" s="180"/>
      <c r="F42" s="180"/>
      <c r="G42" s="180"/>
    </row>
    <row r="43" spans="1:7">
      <c r="A43" s="180" t="s">
        <v>1966</v>
      </c>
      <c r="B43" s="181">
        <f>+'CompSheet - Output'!AC16</f>
        <v>732.99432546230787</v>
      </c>
      <c r="C43" s="180"/>
      <c r="D43" s="180"/>
      <c r="E43" s="180"/>
      <c r="F43" s="180"/>
      <c r="G43" s="180"/>
    </row>
    <row r="44" spans="1:7">
      <c r="A44" s="180" t="s">
        <v>1189</v>
      </c>
      <c r="B44" s="3111">
        <f>+B42/B43</f>
        <v>10.15267479910581</v>
      </c>
      <c r="C44" s="180"/>
      <c r="D44" s="180"/>
      <c r="E44" s="180"/>
      <c r="F44" s="180"/>
      <c r="G44" s="180"/>
    </row>
    <row r="45" spans="1:7">
      <c r="A45" s="2"/>
      <c r="B45" s="2"/>
      <c r="C45" s="180"/>
      <c r="D45" s="180"/>
      <c r="E45" s="180"/>
      <c r="F45" s="180"/>
      <c r="G45" s="180"/>
    </row>
    <row r="46" spans="1:7">
      <c r="A46" s="2"/>
      <c r="B46" s="2"/>
      <c r="C46" s="180"/>
      <c r="D46" s="180"/>
      <c r="E46" s="180"/>
      <c r="F46" s="180"/>
      <c r="G46" s="180"/>
    </row>
    <row r="47" spans="1:7">
      <c r="A47" s="2"/>
      <c r="B47" s="2"/>
      <c r="C47" s="180"/>
      <c r="D47" s="180"/>
      <c r="E47" s="180"/>
      <c r="F47" s="180"/>
      <c r="G47" s="180"/>
    </row>
    <row r="48" spans="1:7">
      <c r="A48" s="2"/>
      <c r="B48" s="1118"/>
      <c r="C48" s="180"/>
      <c r="D48" s="180"/>
      <c r="E48" s="180"/>
      <c r="F48" s="180"/>
      <c r="G48" s="180"/>
    </row>
    <row r="49" spans="1:7">
      <c r="A49" s="180"/>
      <c r="B49" s="180"/>
      <c r="C49" s="180"/>
      <c r="D49" s="180"/>
      <c r="E49" s="180"/>
      <c r="F49" s="180"/>
      <c r="G49" s="180"/>
    </row>
    <row r="50" spans="1:7">
      <c r="A50" s="180"/>
      <c r="B50" s="180"/>
      <c r="C50" s="180"/>
      <c r="D50" s="180"/>
      <c r="E50" s="180"/>
      <c r="F50" s="180"/>
      <c r="G50" s="180"/>
    </row>
    <row r="51" spans="1:7">
      <c r="A51" s="180"/>
      <c r="B51" s="180"/>
      <c r="C51" s="180"/>
      <c r="D51" s="180"/>
      <c r="E51" s="180"/>
      <c r="F51" s="180"/>
      <c r="G51" s="180"/>
    </row>
    <row r="52" spans="1:7">
      <c r="A52" s="180"/>
      <c r="B52" s="180"/>
      <c r="C52" s="180"/>
      <c r="D52" s="180"/>
      <c r="E52" s="180"/>
      <c r="F52" s="180"/>
      <c r="G52" s="180"/>
    </row>
    <row r="53" spans="1:7">
      <c r="A53" s="180"/>
      <c r="B53" s="180"/>
      <c r="C53" s="180"/>
      <c r="D53" s="180"/>
      <c r="E53" s="180"/>
      <c r="F53" s="180"/>
      <c r="G53" s="180"/>
    </row>
    <row r="54" spans="1:7">
      <c r="A54" s="180"/>
      <c r="B54" s="180"/>
      <c r="C54" s="180"/>
      <c r="D54" s="180"/>
      <c r="E54" s="180"/>
      <c r="F54" s="180"/>
      <c r="G54" s="180"/>
    </row>
    <row r="55" spans="1:7">
      <c r="A55" s="180"/>
      <c r="B55" s="180"/>
      <c r="C55" s="180"/>
      <c r="D55" s="180"/>
      <c r="E55" s="180"/>
      <c r="F55" s="180"/>
      <c r="G55" s="180"/>
    </row>
    <row r="56" spans="1:7">
      <c r="A56" s="180"/>
      <c r="B56" s="180"/>
      <c r="C56" s="180"/>
      <c r="D56" s="180"/>
      <c r="E56" s="180"/>
      <c r="F56" s="180"/>
      <c r="G56" s="180"/>
    </row>
    <row r="57" spans="1:7">
      <c r="A57" s="180"/>
      <c r="B57" s="180"/>
      <c r="C57" s="180"/>
      <c r="D57" s="180"/>
      <c r="E57" s="180"/>
      <c r="F57" s="180"/>
      <c r="G57" s="180"/>
    </row>
    <row r="58" spans="1:7">
      <c r="A58" s="180"/>
      <c r="B58" s="180"/>
      <c r="C58" s="180"/>
      <c r="D58" s="180"/>
      <c r="E58" s="180"/>
      <c r="F58" s="180"/>
      <c r="G58" s="180"/>
    </row>
    <row r="59" spans="1:7">
      <c r="A59" s="180"/>
      <c r="B59" s="180"/>
      <c r="C59" s="180"/>
      <c r="D59" s="180"/>
      <c r="E59" s="180"/>
      <c r="F59" s="180"/>
      <c r="G59" s="180"/>
    </row>
    <row r="60" spans="1:7">
      <c r="A60" s="180"/>
      <c r="B60" s="180"/>
      <c r="C60" s="180"/>
      <c r="D60" s="180"/>
      <c r="E60" s="180"/>
      <c r="F60" s="180"/>
      <c r="G60" s="180"/>
    </row>
    <row r="61" spans="1:7">
      <c r="A61" s="180"/>
      <c r="B61" s="180"/>
      <c r="C61" s="180"/>
      <c r="D61" s="180"/>
      <c r="E61" s="180"/>
      <c r="F61" s="180"/>
      <c r="G61" s="180"/>
    </row>
    <row r="62" spans="1:7">
      <c r="A62" s="180"/>
      <c r="B62" s="180"/>
      <c r="C62" s="180"/>
      <c r="D62" s="180"/>
      <c r="E62" s="180"/>
      <c r="F62" s="180"/>
      <c r="G62" s="180"/>
    </row>
    <row r="63" spans="1:7">
      <c r="A63" s="180"/>
      <c r="B63" s="180"/>
      <c r="C63" s="180"/>
      <c r="D63" s="180"/>
      <c r="E63" s="180"/>
      <c r="F63" s="180"/>
      <c r="G63" s="180"/>
    </row>
    <row r="64" spans="1:7">
      <c r="A64" s="180"/>
      <c r="B64" s="180"/>
      <c r="C64" s="180"/>
      <c r="D64" s="180"/>
      <c r="E64" s="180"/>
      <c r="F64" s="180"/>
      <c r="G64" s="180"/>
    </row>
    <row r="65" spans="1:7">
      <c r="A65" s="180"/>
      <c r="B65" s="180"/>
      <c r="C65" s="180"/>
      <c r="D65" s="180"/>
      <c r="E65" s="180"/>
      <c r="F65" s="180"/>
      <c r="G65" s="180"/>
    </row>
    <row r="66" spans="1:7">
      <c r="A66" s="180"/>
      <c r="B66" s="180"/>
      <c r="C66" s="180"/>
      <c r="D66" s="180"/>
      <c r="E66" s="180"/>
      <c r="F66" s="180"/>
      <c r="G66" s="180"/>
    </row>
    <row r="67" spans="1:7">
      <c r="A67" s="180"/>
      <c r="B67" s="180"/>
      <c r="C67" s="180"/>
      <c r="D67" s="180"/>
      <c r="E67" s="180"/>
      <c r="F67" s="180"/>
      <c r="G67" s="180"/>
    </row>
    <row r="68" spans="1:7">
      <c r="A68" s="180"/>
      <c r="B68" s="180"/>
      <c r="C68" s="180"/>
      <c r="D68" s="180"/>
      <c r="E68" s="180"/>
      <c r="F68" s="180"/>
      <c r="G68" s="180"/>
    </row>
    <row r="69" spans="1:7">
      <c r="A69" s="180"/>
      <c r="B69" s="180"/>
      <c r="C69" s="180"/>
      <c r="D69" s="180"/>
      <c r="E69" s="180"/>
      <c r="F69" s="180"/>
      <c r="G69" s="180"/>
    </row>
    <row r="70" spans="1:7">
      <c r="A70" s="180"/>
      <c r="B70" s="180"/>
      <c r="C70" s="180"/>
      <c r="D70" s="180"/>
      <c r="E70" s="180"/>
      <c r="F70" s="180"/>
      <c r="G70" s="180"/>
    </row>
    <row r="71" spans="1:7">
      <c r="A71" s="180"/>
      <c r="B71" s="180"/>
      <c r="C71" s="180"/>
      <c r="D71" s="180"/>
      <c r="E71" s="180"/>
      <c r="F71" s="180"/>
      <c r="G71" s="180"/>
    </row>
    <row r="72" spans="1:7">
      <c r="A72" s="180"/>
      <c r="B72" s="180"/>
      <c r="C72" s="180"/>
      <c r="D72" s="180"/>
      <c r="E72" s="180"/>
      <c r="F72" s="180"/>
      <c r="G72" s="180"/>
    </row>
    <row r="73" spans="1:7">
      <c r="A73" s="180"/>
      <c r="B73" s="180"/>
      <c r="C73" s="180"/>
      <c r="D73" s="180"/>
      <c r="E73" s="180"/>
      <c r="F73" s="180"/>
      <c r="G73" s="180"/>
    </row>
    <row r="74" spans="1:7">
      <c r="A74" s="180"/>
      <c r="B74" s="180"/>
      <c r="C74" s="180"/>
      <c r="D74" s="180"/>
      <c r="E74" s="180"/>
      <c r="F74" s="180"/>
      <c r="G74" s="180"/>
    </row>
    <row r="75" spans="1:7">
      <c r="A75" s="180"/>
      <c r="B75" s="180"/>
      <c r="C75" s="180"/>
      <c r="D75" s="180"/>
      <c r="E75" s="180"/>
      <c r="F75" s="180"/>
      <c r="G75" s="180"/>
    </row>
    <row r="76" spans="1:7">
      <c r="A76" s="180"/>
      <c r="B76" s="180"/>
      <c r="C76" s="180"/>
      <c r="D76" s="180"/>
      <c r="E76" s="180"/>
      <c r="F76" s="180"/>
      <c r="G76" s="180"/>
    </row>
    <row r="77" spans="1:7">
      <c r="A77" s="180"/>
      <c r="B77" s="180"/>
      <c r="C77" s="180"/>
      <c r="D77" s="180"/>
      <c r="E77" s="180"/>
      <c r="F77" s="180"/>
      <c r="G77" s="180"/>
    </row>
    <row r="78" spans="1:7">
      <c r="A78" s="180"/>
      <c r="B78" s="180"/>
      <c r="C78" s="180"/>
      <c r="D78" s="180"/>
      <c r="E78" s="180"/>
      <c r="F78" s="180"/>
      <c r="G78" s="180"/>
    </row>
    <row r="79" spans="1:7">
      <c r="A79" s="180"/>
      <c r="B79" s="180"/>
      <c r="C79" s="180"/>
      <c r="D79" s="180"/>
      <c r="E79" s="180"/>
      <c r="F79" s="180"/>
      <c r="G79" s="180"/>
    </row>
    <row r="80" spans="1:7">
      <c r="A80" s="180"/>
      <c r="B80" s="180"/>
      <c r="C80" s="180"/>
      <c r="D80" s="180"/>
      <c r="E80" s="180"/>
      <c r="F80" s="180"/>
      <c r="G80" s="180"/>
    </row>
    <row r="81" spans="1:7">
      <c r="A81" s="180"/>
      <c r="B81" s="180"/>
      <c r="C81" s="180"/>
      <c r="D81" s="180"/>
      <c r="E81" s="180"/>
      <c r="F81" s="180"/>
      <c r="G81" s="180"/>
    </row>
    <row r="82" spans="1:7">
      <c r="A82" s="180"/>
      <c r="B82" s="180"/>
      <c r="C82" s="180"/>
      <c r="D82" s="180"/>
      <c r="E82" s="180"/>
      <c r="F82" s="180"/>
      <c r="G82" s="180"/>
    </row>
    <row r="83" spans="1:7">
      <c r="A83" s="180"/>
      <c r="B83" s="180"/>
      <c r="C83" s="180"/>
      <c r="D83" s="180"/>
      <c r="E83" s="180"/>
      <c r="F83" s="180"/>
      <c r="G83" s="180"/>
    </row>
    <row r="84" spans="1:7">
      <c r="A84" s="180"/>
      <c r="B84" s="180"/>
      <c r="C84" s="180"/>
      <c r="D84" s="180"/>
      <c r="E84" s="180"/>
      <c r="F84" s="180"/>
      <c r="G84" s="180"/>
    </row>
    <row r="85" spans="1:7">
      <c r="A85" s="180"/>
      <c r="B85" s="180"/>
      <c r="C85" s="180"/>
      <c r="D85" s="180"/>
      <c r="E85" s="180"/>
      <c r="F85" s="180"/>
      <c r="G85" s="180"/>
    </row>
    <row r="86" spans="1:7">
      <c r="A86" s="180"/>
      <c r="B86" s="180"/>
      <c r="C86" s="180"/>
      <c r="D86" s="180"/>
      <c r="E86" s="180"/>
      <c r="F86" s="180"/>
      <c r="G86" s="180"/>
    </row>
    <row r="87" spans="1:7">
      <c r="A87" s="180"/>
      <c r="B87" s="180"/>
      <c r="C87" s="180"/>
      <c r="D87" s="180"/>
      <c r="E87" s="180"/>
      <c r="F87" s="180"/>
      <c r="G87" s="180"/>
    </row>
    <row r="88" spans="1:7">
      <c r="A88" s="180"/>
      <c r="B88" s="180"/>
      <c r="C88" s="180"/>
      <c r="D88" s="180"/>
      <c r="E88" s="180"/>
      <c r="F88" s="180"/>
      <c r="G88" s="180"/>
    </row>
    <row r="89" spans="1:7">
      <c r="A89" s="180"/>
      <c r="B89" s="180"/>
      <c r="C89" s="180"/>
      <c r="D89" s="180"/>
      <c r="E89" s="180"/>
      <c r="F89" s="180"/>
      <c r="G89" s="180"/>
    </row>
    <row r="90" spans="1:7">
      <c r="A90" s="180"/>
      <c r="B90" s="180"/>
      <c r="C90" s="180"/>
      <c r="D90" s="180"/>
      <c r="E90" s="180"/>
      <c r="F90" s="180"/>
      <c r="G90" s="180"/>
    </row>
    <row r="91" spans="1:7">
      <c r="A91" s="180"/>
      <c r="B91" s="180"/>
      <c r="C91" s="180"/>
      <c r="D91" s="180"/>
      <c r="E91" s="180"/>
      <c r="F91" s="180"/>
      <c r="G91" s="180"/>
    </row>
    <row r="92" spans="1:7">
      <c r="A92" s="180"/>
      <c r="B92" s="180"/>
      <c r="C92" s="180"/>
      <c r="D92" s="180"/>
      <c r="E92" s="180"/>
      <c r="F92" s="180"/>
      <c r="G92" s="180"/>
    </row>
    <row r="93" spans="1:7">
      <c r="A93" s="180"/>
      <c r="B93" s="180"/>
      <c r="C93" s="180"/>
      <c r="D93" s="180"/>
      <c r="E93" s="180"/>
      <c r="F93" s="180"/>
      <c r="G93" s="180"/>
    </row>
    <row r="94" spans="1:7">
      <c r="A94" s="180"/>
      <c r="B94" s="180"/>
      <c r="C94" s="180"/>
      <c r="D94" s="180"/>
      <c r="E94" s="180"/>
      <c r="F94" s="180"/>
      <c r="G94" s="180"/>
    </row>
    <row r="95" spans="1:7">
      <c r="A95" s="180"/>
      <c r="B95" s="180"/>
      <c r="C95" s="180"/>
      <c r="D95" s="180"/>
      <c r="E95" s="180"/>
      <c r="F95" s="180"/>
      <c r="G95" s="180"/>
    </row>
    <row r="96" spans="1:7">
      <c r="A96" s="180"/>
      <c r="B96" s="180"/>
      <c r="C96" s="180"/>
      <c r="D96" s="180"/>
      <c r="E96" s="180"/>
      <c r="F96" s="180"/>
      <c r="G96" s="180"/>
    </row>
    <row r="97" spans="1:7">
      <c r="A97" s="180"/>
      <c r="B97" s="180"/>
      <c r="C97" s="180"/>
      <c r="D97" s="180"/>
      <c r="E97" s="180"/>
      <c r="F97" s="180"/>
      <c r="G97" s="180"/>
    </row>
    <row r="98" spans="1:7">
      <c r="A98" s="180"/>
      <c r="B98" s="180"/>
      <c r="C98" s="180"/>
      <c r="D98" s="180"/>
      <c r="E98" s="180"/>
      <c r="F98" s="180"/>
      <c r="G98" s="180"/>
    </row>
    <row r="99" spans="1:7">
      <c r="A99" s="180"/>
      <c r="B99" s="180"/>
      <c r="C99" s="180"/>
      <c r="D99" s="180"/>
      <c r="E99" s="180"/>
      <c r="F99" s="180"/>
      <c r="G99" s="180"/>
    </row>
    <row r="100" spans="1:7">
      <c r="A100" s="180"/>
      <c r="B100" s="180"/>
      <c r="C100" s="180"/>
      <c r="D100" s="180"/>
      <c r="E100" s="180"/>
      <c r="F100" s="180"/>
      <c r="G100" s="180"/>
    </row>
    <row r="101" spans="1:7">
      <c r="A101" s="180"/>
      <c r="B101" s="180"/>
      <c r="C101" s="180"/>
      <c r="D101" s="180"/>
      <c r="E101" s="180"/>
      <c r="F101" s="180"/>
      <c r="G101" s="180"/>
    </row>
    <row r="102" spans="1:7">
      <c r="A102" s="180"/>
      <c r="B102" s="180"/>
      <c r="C102" s="180"/>
      <c r="D102" s="180"/>
      <c r="E102" s="180"/>
      <c r="F102" s="180"/>
      <c r="G102" s="180"/>
    </row>
    <row r="103" spans="1:7">
      <c r="A103" s="180"/>
      <c r="B103" s="180"/>
      <c r="C103" s="180"/>
      <c r="D103" s="180"/>
      <c r="E103" s="180"/>
      <c r="F103" s="180"/>
      <c r="G103" s="180"/>
    </row>
    <row r="104" spans="1:7">
      <c r="A104" s="180"/>
      <c r="B104" s="180"/>
      <c r="C104" s="180"/>
      <c r="D104" s="180"/>
      <c r="E104" s="180"/>
      <c r="F104" s="180"/>
      <c r="G104" s="180"/>
    </row>
    <row r="105" spans="1:7">
      <c r="A105" s="180"/>
      <c r="B105" s="180"/>
      <c r="C105" s="180"/>
      <c r="D105" s="180"/>
      <c r="E105" s="180"/>
      <c r="F105" s="180"/>
      <c r="G105" s="180"/>
    </row>
    <row r="106" spans="1:7">
      <c r="A106" s="180"/>
      <c r="B106" s="180"/>
      <c r="C106" s="180"/>
      <c r="D106" s="180"/>
      <c r="E106" s="180"/>
      <c r="F106" s="180"/>
      <c r="G106" s="180"/>
    </row>
    <row r="107" spans="1:7">
      <c r="A107" s="180"/>
      <c r="B107" s="180"/>
      <c r="C107" s="180"/>
      <c r="D107" s="180"/>
      <c r="E107" s="180"/>
      <c r="F107" s="180"/>
      <c r="G107" s="180"/>
    </row>
    <row r="108" spans="1:7">
      <c r="A108" s="180"/>
      <c r="B108" s="180"/>
      <c r="C108" s="180"/>
      <c r="D108" s="180"/>
      <c r="E108" s="180"/>
      <c r="F108" s="180"/>
      <c r="G108" s="180"/>
    </row>
    <row r="109" spans="1:7">
      <c r="A109" s="180"/>
      <c r="B109" s="180"/>
      <c r="C109" s="180"/>
      <c r="D109" s="180"/>
      <c r="E109" s="180"/>
      <c r="F109" s="180"/>
      <c r="G109" s="180"/>
    </row>
    <row r="110" spans="1:7">
      <c r="A110" s="180"/>
      <c r="B110" s="180"/>
      <c r="C110" s="180"/>
      <c r="D110" s="180"/>
      <c r="E110" s="180"/>
      <c r="F110" s="180"/>
      <c r="G110" s="180"/>
    </row>
    <row r="111" spans="1:7">
      <c r="A111" s="180"/>
      <c r="B111" s="180"/>
      <c r="C111" s="180"/>
      <c r="D111" s="180"/>
      <c r="E111" s="180"/>
      <c r="F111" s="180"/>
      <c r="G111" s="180"/>
    </row>
    <row r="112" spans="1:7">
      <c r="A112" s="180"/>
      <c r="B112" s="180"/>
      <c r="C112" s="180"/>
      <c r="D112" s="180"/>
      <c r="E112" s="180"/>
      <c r="F112" s="180"/>
      <c r="G112" s="180"/>
    </row>
    <row r="113" spans="1:7">
      <c r="A113" s="180"/>
      <c r="B113" s="180"/>
      <c r="C113" s="180"/>
      <c r="D113" s="180"/>
      <c r="E113" s="180"/>
      <c r="F113" s="180"/>
      <c r="G113" s="180"/>
    </row>
    <row r="114" spans="1:7">
      <c r="A114" s="180"/>
      <c r="B114" s="180"/>
      <c r="C114" s="180"/>
      <c r="D114" s="180"/>
      <c r="E114" s="180"/>
      <c r="F114" s="180"/>
      <c r="G114" s="180"/>
    </row>
    <row r="115" spans="1:7">
      <c r="A115" s="180"/>
      <c r="B115" s="180"/>
      <c r="C115" s="180"/>
      <c r="D115" s="180"/>
      <c r="E115" s="180"/>
      <c r="F115" s="180"/>
      <c r="G115" s="180"/>
    </row>
    <row r="116" spans="1:7">
      <c r="A116" s="180"/>
      <c r="B116" s="180"/>
      <c r="C116" s="180"/>
      <c r="D116" s="180"/>
      <c r="E116" s="180"/>
      <c r="F116" s="180"/>
      <c r="G116" s="180"/>
    </row>
    <row r="117" spans="1:7">
      <c r="A117" s="180"/>
      <c r="B117" s="180"/>
      <c r="C117" s="180"/>
      <c r="D117" s="180"/>
      <c r="E117" s="180"/>
      <c r="F117" s="180"/>
      <c r="G117" s="180"/>
    </row>
    <row r="118" spans="1:7">
      <c r="A118" s="180"/>
      <c r="B118" s="180"/>
      <c r="C118" s="180"/>
      <c r="D118" s="180"/>
      <c r="E118" s="180"/>
      <c r="F118" s="180"/>
      <c r="G118" s="180"/>
    </row>
    <row r="119" spans="1:7">
      <c r="A119" s="180"/>
      <c r="B119" s="180"/>
      <c r="C119" s="180"/>
      <c r="D119" s="180"/>
      <c r="E119" s="180"/>
      <c r="F119" s="180"/>
      <c r="G119" s="180"/>
    </row>
    <row r="120" spans="1:7">
      <c r="A120" s="180"/>
      <c r="B120" s="180"/>
      <c r="C120" s="180"/>
      <c r="D120" s="180"/>
      <c r="E120" s="180"/>
      <c r="F120" s="180"/>
      <c r="G120" s="180"/>
    </row>
    <row r="121" spans="1:7">
      <c r="A121" s="180"/>
      <c r="B121" s="180"/>
      <c r="C121" s="180"/>
      <c r="D121" s="180"/>
      <c r="E121" s="180"/>
      <c r="F121" s="180"/>
      <c r="G121" s="180"/>
    </row>
    <row r="122" spans="1:7">
      <c r="A122" s="180"/>
      <c r="B122" s="180"/>
      <c r="C122" s="180"/>
      <c r="D122" s="180"/>
      <c r="E122" s="180"/>
      <c r="F122" s="180"/>
      <c r="G122" s="180"/>
    </row>
    <row r="123" spans="1:7">
      <c r="A123" s="180"/>
      <c r="B123" s="180"/>
      <c r="C123" s="180"/>
      <c r="D123" s="180"/>
      <c r="E123" s="180"/>
      <c r="F123" s="180"/>
      <c r="G123" s="180"/>
    </row>
    <row r="124" spans="1:7">
      <c r="A124" s="180"/>
      <c r="B124" s="180"/>
      <c r="C124" s="180"/>
      <c r="D124" s="180"/>
      <c r="E124" s="180"/>
      <c r="F124" s="180"/>
      <c r="G124" s="180"/>
    </row>
    <row r="125" spans="1:7">
      <c r="A125" s="180"/>
      <c r="B125" s="180"/>
      <c r="C125" s="180"/>
      <c r="D125" s="180"/>
      <c r="E125" s="180"/>
      <c r="F125" s="180"/>
      <c r="G125" s="180"/>
    </row>
    <row r="126" spans="1:7">
      <c r="A126" s="180"/>
      <c r="B126" s="180"/>
      <c r="C126" s="180"/>
      <c r="D126" s="180"/>
      <c r="E126" s="180"/>
      <c r="F126" s="180"/>
      <c r="G126" s="180"/>
    </row>
    <row r="127" spans="1:7">
      <c r="A127" s="180"/>
      <c r="B127" s="180"/>
      <c r="C127" s="180"/>
      <c r="D127" s="180"/>
      <c r="E127" s="180"/>
      <c r="F127" s="180"/>
      <c r="G127" s="180"/>
    </row>
    <row r="128" spans="1:7">
      <c r="A128" s="180"/>
      <c r="B128" s="180"/>
      <c r="C128" s="180"/>
      <c r="D128" s="180"/>
      <c r="E128" s="180"/>
      <c r="F128" s="180"/>
      <c r="G128" s="180"/>
    </row>
    <row r="129" spans="1:7">
      <c r="A129" s="180"/>
      <c r="B129" s="180"/>
      <c r="C129" s="180"/>
      <c r="D129" s="180"/>
      <c r="E129" s="180"/>
      <c r="F129" s="180"/>
      <c r="G129" s="180"/>
    </row>
    <row r="130" spans="1:7">
      <c r="A130" s="180"/>
      <c r="B130" s="180"/>
      <c r="C130" s="180"/>
      <c r="D130" s="180"/>
      <c r="E130" s="180"/>
      <c r="F130" s="180"/>
      <c r="G130" s="180"/>
    </row>
    <row r="131" spans="1:7">
      <c r="A131" s="180"/>
      <c r="B131" s="180"/>
      <c r="C131" s="180"/>
      <c r="D131" s="180"/>
      <c r="E131" s="180"/>
      <c r="F131" s="180"/>
      <c r="G131" s="180"/>
    </row>
    <row r="132" spans="1:7">
      <c r="A132" s="180"/>
      <c r="B132" s="180"/>
      <c r="C132" s="180"/>
      <c r="D132" s="180"/>
      <c r="E132" s="180"/>
      <c r="F132" s="180"/>
      <c r="G132" s="180"/>
    </row>
    <row r="133" spans="1:7">
      <c r="A133" s="180"/>
      <c r="B133" s="180"/>
      <c r="C133" s="180"/>
      <c r="D133" s="180"/>
      <c r="E133" s="180"/>
      <c r="F133" s="180"/>
      <c r="G133" s="180"/>
    </row>
    <row r="134" spans="1:7">
      <c r="A134" s="180"/>
      <c r="B134" s="180"/>
      <c r="C134" s="180"/>
      <c r="D134" s="180"/>
      <c r="E134" s="180"/>
      <c r="F134" s="180"/>
      <c r="G134" s="180"/>
    </row>
    <row r="135" spans="1:7">
      <c r="A135" s="180"/>
      <c r="B135" s="180"/>
      <c r="C135" s="180"/>
      <c r="D135" s="180"/>
      <c r="E135" s="180"/>
      <c r="F135" s="180"/>
      <c r="G135" s="180"/>
    </row>
    <row r="136" spans="1:7">
      <c r="A136" s="180"/>
      <c r="B136" s="180"/>
      <c r="C136" s="180"/>
      <c r="D136" s="180"/>
      <c r="E136" s="180"/>
      <c r="F136" s="180"/>
      <c r="G136" s="180"/>
    </row>
    <row r="137" spans="1:7">
      <c r="A137" s="180"/>
      <c r="B137" s="180"/>
      <c r="C137" s="180"/>
      <c r="D137" s="180"/>
      <c r="E137" s="180"/>
      <c r="F137" s="180"/>
      <c r="G137" s="180"/>
    </row>
    <row r="138" spans="1:7">
      <c r="A138" s="180"/>
      <c r="B138" s="180"/>
      <c r="C138" s="180"/>
      <c r="D138" s="180"/>
      <c r="E138" s="180"/>
      <c r="F138" s="180"/>
      <c r="G138" s="180"/>
    </row>
    <row r="139" spans="1:7">
      <c r="A139" s="180"/>
      <c r="B139" s="180"/>
      <c r="C139" s="180"/>
      <c r="D139" s="180"/>
      <c r="E139" s="180"/>
      <c r="F139" s="180"/>
      <c r="G139" s="180"/>
    </row>
    <row r="140" spans="1:7">
      <c r="A140" s="180"/>
      <c r="B140" s="180"/>
      <c r="C140" s="180"/>
      <c r="D140" s="180"/>
      <c r="E140" s="180"/>
      <c r="F140" s="180"/>
      <c r="G140" s="180"/>
    </row>
    <row r="141" spans="1:7">
      <c r="A141" s="180"/>
      <c r="B141" s="180"/>
      <c r="C141" s="180"/>
      <c r="D141" s="180"/>
      <c r="E141" s="180"/>
      <c r="F141" s="180"/>
      <c r="G141" s="180"/>
    </row>
    <row r="142" spans="1:7">
      <c r="A142" s="180"/>
      <c r="B142" s="180"/>
      <c r="C142" s="180"/>
      <c r="D142" s="180"/>
      <c r="E142" s="180"/>
      <c r="F142" s="180"/>
      <c r="G142" s="180"/>
    </row>
    <row r="143" spans="1:7">
      <c r="A143" s="180"/>
      <c r="B143" s="180"/>
      <c r="C143" s="180"/>
      <c r="D143" s="180"/>
      <c r="E143" s="180"/>
      <c r="F143" s="180"/>
      <c r="G143" s="180"/>
    </row>
    <row r="144" spans="1:7">
      <c r="A144" s="180"/>
      <c r="B144" s="180"/>
      <c r="C144" s="180"/>
      <c r="D144" s="180"/>
      <c r="E144" s="180"/>
      <c r="F144" s="180"/>
      <c r="G144" s="180"/>
    </row>
    <row r="145" spans="1:7">
      <c r="A145" s="180"/>
      <c r="B145" s="180"/>
      <c r="C145" s="180"/>
      <c r="D145" s="180"/>
      <c r="E145" s="180"/>
      <c r="F145" s="180"/>
      <c r="G145" s="180"/>
    </row>
    <row r="146" spans="1:7">
      <c r="A146" s="180"/>
      <c r="B146" s="180"/>
      <c r="C146" s="180"/>
      <c r="D146" s="180"/>
      <c r="E146" s="180"/>
      <c r="F146" s="180"/>
      <c r="G146" s="180"/>
    </row>
    <row r="147" spans="1:7">
      <c r="A147" s="180"/>
      <c r="B147" s="180"/>
      <c r="C147" s="180"/>
      <c r="D147" s="180"/>
      <c r="E147" s="180"/>
      <c r="F147" s="180"/>
      <c r="G147" s="180"/>
    </row>
    <row r="148" spans="1:7">
      <c r="A148" s="180"/>
      <c r="B148" s="180"/>
      <c r="C148" s="180"/>
      <c r="D148" s="180"/>
      <c r="E148" s="180"/>
      <c r="F148" s="180"/>
      <c r="G148" s="180"/>
    </row>
    <row r="149" spans="1:7">
      <c r="A149" s="180"/>
      <c r="B149" s="180"/>
      <c r="C149" s="180"/>
      <c r="D149" s="180"/>
      <c r="E149" s="180"/>
      <c r="F149" s="180"/>
      <c r="G149" s="180"/>
    </row>
    <row r="150" spans="1:7">
      <c r="A150" s="180"/>
      <c r="B150" s="180"/>
      <c r="C150" s="180"/>
      <c r="D150" s="180"/>
      <c r="E150" s="180"/>
      <c r="F150" s="180"/>
      <c r="G150" s="180"/>
    </row>
    <row r="151" spans="1:7">
      <c r="A151" s="180"/>
      <c r="B151" s="180"/>
      <c r="C151" s="180"/>
      <c r="D151" s="180"/>
      <c r="E151" s="180"/>
      <c r="F151" s="180"/>
      <c r="G151" s="180"/>
    </row>
    <row r="152" spans="1:7">
      <c r="A152" s="180"/>
      <c r="B152" s="180"/>
      <c r="C152" s="180"/>
      <c r="D152" s="180"/>
      <c r="E152" s="180"/>
      <c r="F152" s="180"/>
      <c r="G152" s="180"/>
    </row>
    <row r="153" spans="1:7">
      <c r="A153" s="180"/>
      <c r="B153" s="180"/>
      <c r="C153" s="180"/>
      <c r="D153" s="180"/>
      <c r="E153" s="180"/>
      <c r="F153" s="180"/>
      <c r="G153" s="180"/>
    </row>
    <row r="154" spans="1:7">
      <c r="A154" s="180"/>
      <c r="B154" s="180"/>
      <c r="C154" s="180"/>
      <c r="D154" s="180"/>
      <c r="E154" s="180"/>
      <c r="F154" s="180"/>
      <c r="G154" s="180"/>
    </row>
    <row r="155" spans="1:7">
      <c r="A155" s="180"/>
      <c r="B155" s="180"/>
      <c r="C155" s="180"/>
      <c r="D155" s="180"/>
      <c r="E155" s="180"/>
      <c r="F155" s="180"/>
      <c r="G155" s="180"/>
    </row>
    <row r="156" spans="1:7">
      <c r="A156" s="180"/>
      <c r="B156" s="180"/>
      <c r="C156" s="180"/>
      <c r="D156" s="180"/>
      <c r="E156" s="180"/>
      <c r="F156" s="180"/>
      <c r="G156" s="180"/>
    </row>
    <row r="157" spans="1:7">
      <c r="A157" s="180"/>
      <c r="B157" s="180"/>
      <c r="C157" s="180"/>
      <c r="D157" s="180"/>
      <c r="E157" s="180"/>
      <c r="F157" s="180"/>
      <c r="G157" s="180"/>
    </row>
    <row r="158" spans="1:7">
      <c r="A158" s="180"/>
      <c r="B158" s="180"/>
      <c r="C158" s="180"/>
      <c r="D158" s="180"/>
      <c r="E158" s="180"/>
      <c r="F158" s="180"/>
      <c r="G158" s="180"/>
    </row>
    <row r="159" spans="1:7">
      <c r="A159" s="180"/>
      <c r="B159" s="180"/>
      <c r="C159" s="180"/>
      <c r="D159" s="180"/>
      <c r="E159" s="180"/>
      <c r="F159" s="180"/>
      <c r="G159" s="180"/>
    </row>
    <row r="160" spans="1:7">
      <c r="A160" s="180"/>
      <c r="B160" s="180"/>
      <c r="C160" s="180"/>
      <c r="D160" s="180"/>
      <c r="E160" s="180"/>
      <c r="F160" s="180"/>
      <c r="G160" s="180"/>
    </row>
    <row r="161" spans="1:7">
      <c r="A161" s="180"/>
      <c r="B161" s="180"/>
      <c r="C161" s="180"/>
      <c r="D161" s="180"/>
      <c r="E161" s="180"/>
      <c r="F161" s="180"/>
      <c r="G161" s="180"/>
    </row>
    <row r="162" spans="1:7">
      <c r="A162" s="180"/>
      <c r="B162" s="180"/>
      <c r="C162" s="180"/>
      <c r="D162" s="180"/>
      <c r="E162" s="180"/>
      <c r="F162" s="180"/>
      <c r="G162" s="180"/>
    </row>
    <row r="163" spans="1:7">
      <c r="A163" s="180"/>
      <c r="B163" s="180"/>
      <c r="C163" s="180"/>
      <c r="D163" s="180"/>
      <c r="E163" s="180"/>
      <c r="F163" s="180"/>
      <c r="G163" s="180"/>
    </row>
    <row r="164" spans="1:7">
      <c r="A164" s="180"/>
      <c r="B164" s="180"/>
      <c r="C164" s="180"/>
      <c r="D164" s="180"/>
      <c r="E164" s="180"/>
      <c r="F164" s="180"/>
      <c r="G164" s="180"/>
    </row>
    <row r="165" spans="1:7">
      <c r="A165" s="180"/>
      <c r="B165" s="180"/>
      <c r="C165" s="180"/>
      <c r="D165" s="180"/>
      <c r="E165" s="180"/>
      <c r="F165" s="180"/>
      <c r="G165" s="180"/>
    </row>
    <row r="166" spans="1:7">
      <c r="A166" s="180"/>
      <c r="B166" s="180"/>
      <c r="C166" s="180"/>
      <c r="D166" s="180"/>
      <c r="E166" s="180"/>
      <c r="F166" s="180"/>
      <c r="G166" s="180"/>
    </row>
    <row r="167" spans="1:7">
      <c r="A167" s="180"/>
      <c r="B167" s="180"/>
      <c r="C167" s="180"/>
      <c r="D167" s="180"/>
      <c r="E167" s="180"/>
      <c r="F167" s="180"/>
      <c r="G167" s="180"/>
    </row>
    <row r="168" spans="1:7">
      <c r="A168" s="180"/>
      <c r="B168" s="180"/>
      <c r="C168" s="180"/>
      <c r="D168" s="180"/>
      <c r="E168" s="180"/>
      <c r="F168" s="180"/>
      <c r="G168" s="180"/>
    </row>
    <row r="169" spans="1:7">
      <c r="A169" s="180"/>
      <c r="B169" s="180"/>
      <c r="C169" s="180"/>
      <c r="D169" s="180"/>
      <c r="E169" s="180"/>
      <c r="F169" s="180"/>
      <c r="G169" s="180"/>
    </row>
    <row r="170" spans="1:7">
      <c r="A170" s="180"/>
      <c r="B170" s="180"/>
      <c r="C170" s="180"/>
      <c r="D170" s="180"/>
      <c r="E170" s="180"/>
      <c r="F170" s="180"/>
      <c r="G170" s="180"/>
    </row>
    <row r="171" spans="1:7">
      <c r="A171" s="180"/>
      <c r="B171" s="180"/>
      <c r="C171" s="180"/>
      <c r="D171" s="180"/>
      <c r="E171" s="180"/>
      <c r="F171" s="180"/>
      <c r="G171" s="180"/>
    </row>
  </sheetData>
  <phoneticPr fontId="10" type="noConversion"/>
  <pageMargins left="0" right="0" top="0" bottom="0" header="0" footer="0"/>
  <pageSetup paperSize="5"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HY750"/>
  <sheetViews>
    <sheetView topLeftCell="DJ539" zoomScaleNormal="100" workbookViewId="0">
      <selection activeCell="DL560" sqref="DL560"/>
    </sheetView>
  </sheetViews>
  <sheetFormatPr defaultRowHeight="12.75" outlineLevelRow="1" outlineLevelCol="1"/>
  <cols>
    <col min="1" max="1" width="20.375" style="2" customWidth="1"/>
    <col min="2" max="2" width="9" style="2"/>
    <col min="3" max="3" width="20.625" style="2" bestFit="1" customWidth="1"/>
    <col min="4" max="6" width="9" style="2"/>
    <col min="7" max="7" width="43.625" style="2" customWidth="1"/>
    <col min="8" max="10" width="9" style="2"/>
    <col min="11" max="11" width="30.5" style="2" bestFit="1" customWidth="1"/>
    <col min="12" max="13" width="9" style="2"/>
    <col min="14" max="16" width="9" style="61"/>
    <col min="17" max="17" width="36.125" style="2" customWidth="1"/>
    <col min="18" max="23" width="9" style="2"/>
    <col min="24" max="24" width="34" style="2" bestFit="1" customWidth="1"/>
    <col min="25" max="27" width="9.625" style="2" customWidth="1"/>
    <col min="28" max="28" width="9" style="2"/>
    <col min="29" max="29" width="25.125" style="2" bestFit="1" customWidth="1"/>
    <col min="30" max="31" width="9" style="2"/>
    <col min="32" max="32" width="23.25" style="2" bestFit="1" customWidth="1"/>
    <col min="33" max="47" width="9" style="2"/>
    <col min="48" max="48" width="29.25" style="2" customWidth="1"/>
    <col min="49" max="54" width="7.625" style="2" customWidth="1"/>
    <col min="55" max="55" width="7.625" style="61" customWidth="1"/>
    <col min="56" max="58" width="9" style="2"/>
    <col min="59" max="59" width="22.375" style="2" customWidth="1"/>
    <col min="60" max="62" width="9" style="2"/>
    <col min="63" max="63" width="34.125" style="2" bestFit="1" customWidth="1"/>
    <col min="64" max="69" width="9" style="2"/>
    <col min="70" max="70" width="30.625" style="2" customWidth="1"/>
    <col min="71" max="72" width="9" style="2"/>
    <col min="73" max="73" width="25.625" style="2" customWidth="1"/>
    <col min="74" max="84" width="9" style="2"/>
    <col min="85" max="85" width="27.5" style="2" bestFit="1" customWidth="1"/>
    <col min="86" max="86" width="9" style="2" hidden="1" customWidth="1" outlineLevel="1"/>
    <col min="87" max="87" width="10.625" style="2" customWidth="1" collapsed="1"/>
    <col min="88" max="89" width="10.625" style="2" customWidth="1"/>
    <col min="90" max="103" width="9" style="2"/>
    <col min="104" max="107" width="10.625" style="2" customWidth="1"/>
    <col min="108" max="108" width="9" style="2"/>
    <col min="109" max="109" width="37.5" style="2" bestFit="1" customWidth="1"/>
    <col min="110" max="110" width="0" style="2" hidden="1" customWidth="1"/>
    <col min="111" max="114" width="12.625" style="2" customWidth="1"/>
    <col min="115" max="115" width="20.625" style="2" customWidth="1"/>
    <col min="116" max="117" width="9" style="2"/>
    <col min="118" max="118" width="20.625" style="2" customWidth="1"/>
    <col min="119" max="119" width="9" style="2"/>
    <col min="120" max="120" width="34.125" style="2" bestFit="1" customWidth="1"/>
    <col min="121" max="127" width="9" style="2"/>
    <col min="128" max="128" width="34" style="2" bestFit="1" customWidth="1"/>
    <col min="129" max="160" width="9" style="2"/>
    <col min="161" max="161" width="20.625" style="2" bestFit="1" customWidth="1"/>
    <col min="162" max="198" width="9" style="2"/>
    <col min="199" max="199" width="23.75" style="2" bestFit="1" customWidth="1"/>
    <col min="200" max="227" width="9" style="2"/>
    <col min="228" max="228" width="13.5" style="2" bestFit="1" customWidth="1"/>
    <col min="229" max="229" width="12.125" style="2" bestFit="1" customWidth="1"/>
    <col min="230" max="230" width="10" style="2" bestFit="1" customWidth="1"/>
    <col min="231" max="16384" width="9" style="2"/>
  </cols>
  <sheetData>
    <row r="1" spans="1:55">
      <c r="A1" s="1" t="s">
        <v>1281</v>
      </c>
    </row>
    <row r="2" spans="1:55" s="113" customFormat="1">
      <c r="A2" s="2381" t="s">
        <v>932</v>
      </c>
      <c r="B2" s="2387">
        <f>200+210+350+825+25</f>
        <v>1610</v>
      </c>
      <c r="C2" s="113" t="s">
        <v>1290</v>
      </c>
      <c r="N2" s="818"/>
      <c r="O2" s="818"/>
      <c r="P2" s="818"/>
      <c r="BC2" s="818"/>
    </row>
    <row r="3" spans="1:55">
      <c r="A3" s="59" t="s">
        <v>1282</v>
      </c>
      <c r="B3" s="60">
        <f>+BYD!AV1109+BYD!AV1107</f>
        <v>1204.4000000000001</v>
      </c>
      <c r="C3" s="2" t="s">
        <v>1291</v>
      </c>
    </row>
    <row r="4" spans="1:55">
      <c r="A4" s="59" t="s">
        <v>1027</v>
      </c>
      <c r="B4" s="2385">
        <f>+B2-B3</f>
        <v>405.59999999999991</v>
      </c>
      <c r="C4" s="2" t="s">
        <v>1292</v>
      </c>
    </row>
    <row r="5" spans="1:55">
      <c r="A5" s="59"/>
      <c r="B5" s="60"/>
      <c r="C5" s="2" t="s">
        <v>1293</v>
      </c>
    </row>
    <row r="6" spans="1:55">
      <c r="A6" s="80" t="s">
        <v>699</v>
      </c>
      <c r="B6" s="60"/>
      <c r="C6" s="2" t="s">
        <v>1294</v>
      </c>
    </row>
    <row r="7" spans="1:55" s="113" customFormat="1">
      <c r="A7" s="2127" t="s">
        <v>1287</v>
      </c>
      <c r="B7" s="2005">
        <f>+BYD!BA42</f>
        <v>185.26900000000001</v>
      </c>
      <c r="C7" s="113" t="s">
        <v>1295</v>
      </c>
      <c r="N7" s="818"/>
      <c r="O7" s="818"/>
      <c r="P7" s="818"/>
      <c r="BC7" s="818"/>
    </row>
    <row r="8" spans="1:55">
      <c r="A8" s="59" t="s">
        <v>532</v>
      </c>
      <c r="B8" s="2383">
        <v>-4.5</v>
      </c>
    </row>
    <row r="9" spans="1:55">
      <c r="A9" s="59" t="s">
        <v>521</v>
      </c>
      <c r="B9" s="60">
        <f>+BYD!BA1192</f>
        <v>87.851000000000013</v>
      </c>
    </row>
    <row r="10" spans="1:55">
      <c r="A10" s="59" t="s">
        <v>1594</v>
      </c>
      <c r="B10" s="2383">
        <v>0</v>
      </c>
    </row>
    <row r="11" spans="1:55">
      <c r="A11" s="59" t="s">
        <v>640</v>
      </c>
      <c r="B11" s="2383">
        <v>-15</v>
      </c>
    </row>
    <row r="12" spans="1:55">
      <c r="A12" s="59" t="s">
        <v>1284</v>
      </c>
      <c r="B12" s="60">
        <f>-BYD!BF1164-BYD!BF1166</f>
        <v>-61.804685000000006</v>
      </c>
    </row>
    <row r="13" spans="1:55" ht="3.95" customHeight="1">
      <c r="A13" s="59"/>
      <c r="B13" s="2151" t="s">
        <v>1285</v>
      </c>
    </row>
    <row r="14" spans="1:55" s="113" customFormat="1">
      <c r="A14" s="2127" t="s">
        <v>1286</v>
      </c>
      <c r="B14" s="2005">
        <f>SUM(B7:B13)</f>
        <v>191.815315</v>
      </c>
      <c r="N14" s="818"/>
      <c r="O14" s="818"/>
      <c r="P14" s="818"/>
      <c r="BC14" s="818"/>
    </row>
    <row r="15" spans="1:55">
      <c r="A15" s="2002" t="s">
        <v>1288</v>
      </c>
      <c r="B15" s="2126">
        <f>+B14/B4</f>
        <v>0.47291744329388569</v>
      </c>
    </row>
    <row r="16" spans="1:55">
      <c r="A16" s="2386" t="s">
        <v>38</v>
      </c>
      <c r="B16" s="54">
        <f>+B14/B2</f>
        <v>0.11913994720496894</v>
      </c>
    </row>
    <row r="17" spans="3:6">
      <c r="C17" s="1" t="s">
        <v>1289</v>
      </c>
    </row>
    <row r="18" spans="3:6">
      <c r="C18" s="2381" t="s">
        <v>932</v>
      </c>
      <c r="D18" s="2382">
        <f>278+10+44</f>
        <v>332</v>
      </c>
      <c r="E18" s="66">
        <f>+D18</f>
        <v>332</v>
      </c>
    </row>
    <row r="19" spans="3:6">
      <c r="C19" s="59" t="s">
        <v>1282</v>
      </c>
      <c r="D19" s="1105">
        <v>0</v>
      </c>
      <c r="E19" s="2383">
        <v>350</v>
      </c>
    </row>
    <row r="20" spans="3:6">
      <c r="C20" s="59" t="s">
        <v>1283</v>
      </c>
      <c r="D20" s="2384">
        <f>+D18-D19</f>
        <v>332</v>
      </c>
      <c r="E20" s="2385">
        <f>+E18-E19</f>
        <v>-18</v>
      </c>
    </row>
    <row r="21" spans="3:6">
      <c r="C21" s="59"/>
      <c r="D21" s="61"/>
      <c r="E21" s="60"/>
    </row>
    <row r="22" spans="3:6">
      <c r="C22" s="80" t="s">
        <v>699</v>
      </c>
      <c r="D22" s="61"/>
      <c r="E22" s="60"/>
    </row>
    <row r="23" spans="3:6">
      <c r="C23" s="2127" t="s">
        <v>1296</v>
      </c>
      <c r="D23" s="818">
        <f>(12.7+11.5+9.6)+8.5</f>
        <v>42.3</v>
      </c>
      <c r="E23" s="2005">
        <f>(12.7+11.5+9.6)+8.5</f>
        <v>42.3</v>
      </c>
    </row>
    <row r="24" spans="3:6">
      <c r="C24" s="59" t="s">
        <v>532</v>
      </c>
      <c r="D24" s="1105">
        <v>0</v>
      </c>
      <c r="E24" s="2383">
        <v>0</v>
      </c>
    </row>
    <row r="25" spans="3:6">
      <c r="C25" s="59" t="s">
        <v>521</v>
      </c>
      <c r="D25" s="61">
        <f>+BYD!$AV$1191</f>
        <v>19.2</v>
      </c>
      <c r="E25" s="60">
        <f>+BYD!$AV$1191</f>
        <v>19.2</v>
      </c>
    </row>
    <row r="26" spans="3:6">
      <c r="C26" s="59" t="s">
        <v>1594</v>
      </c>
      <c r="D26" s="1105">
        <v>0</v>
      </c>
      <c r="E26" s="2383">
        <v>0</v>
      </c>
    </row>
    <row r="27" spans="3:6">
      <c r="C27" s="59" t="s">
        <v>640</v>
      </c>
      <c r="D27" s="125">
        <v>-8</v>
      </c>
      <c r="E27" s="2388">
        <v>-8</v>
      </c>
    </row>
    <row r="28" spans="3:6">
      <c r="C28" s="59" t="s">
        <v>1284</v>
      </c>
      <c r="D28" s="61"/>
      <c r="E28" s="60">
        <f>-BYD!AV1143</f>
        <v>-21.269325000000002</v>
      </c>
      <c r="F28" s="2" t="s">
        <v>676</v>
      </c>
    </row>
    <row r="29" spans="3:6" ht="3.95" customHeight="1">
      <c r="C29" s="59"/>
      <c r="D29" s="86" t="s">
        <v>1285</v>
      </c>
      <c r="E29" s="2151" t="s">
        <v>1285</v>
      </c>
    </row>
    <row r="30" spans="3:6">
      <c r="C30" s="2127" t="s">
        <v>1286</v>
      </c>
      <c r="D30" s="818">
        <f>SUM(D23:D29)</f>
        <v>53.5</v>
      </c>
      <c r="E30" s="2005">
        <f>SUM(E23:E29)</f>
        <v>32.230674999999998</v>
      </c>
    </row>
    <row r="31" spans="3:6">
      <c r="C31" s="2002" t="s">
        <v>1288</v>
      </c>
      <c r="D31" s="58">
        <f>+D30/D20</f>
        <v>0.16114457831325302</v>
      </c>
      <c r="E31" s="2128" t="s">
        <v>812</v>
      </c>
    </row>
    <row r="32" spans="3:6">
      <c r="C32" s="2386" t="s">
        <v>38</v>
      </c>
      <c r="D32" s="55">
        <f>+D30/D18</f>
        <v>0.16114457831325302</v>
      </c>
      <c r="E32" s="54">
        <f>+E30/E18</f>
        <v>9.7080346385542166E-2</v>
      </c>
    </row>
    <row r="35" spans="7:55">
      <c r="G35" s="2475" t="s">
        <v>1382</v>
      </c>
      <c r="H35" s="2476" t="s">
        <v>1600</v>
      </c>
      <c r="I35" s="2477"/>
      <c r="J35" s="2478"/>
    </row>
    <row r="36" spans="7:55">
      <c r="G36" s="2479"/>
      <c r="H36" s="2496" t="s">
        <v>1205</v>
      </c>
      <c r="I36" s="2496" t="s">
        <v>871</v>
      </c>
      <c r="J36" s="2497" t="s">
        <v>1204</v>
      </c>
    </row>
    <row r="37" spans="7:55" ht="3.95" customHeight="1">
      <c r="G37" s="2479"/>
      <c r="H37" s="2480"/>
      <c r="I37" s="2480"/>
      <c r="J37" s="2481"/>
    </row>
    <row r="38" spans="7:55">
      <c r="G38" s="2482" t="s">
        <v>340</v>
      </c>
      <c r="H38" s="2480"/>
      <c r="I38" s="2480"/>
      <c r="J38" s="2481"/>
    </row>
    <row r="39" spans="7:55" outlineLevel="1">
      <c r="G39" s="2483" t="s">
        <v>1390</v>
      </c>
      <c r="H39" s="2484">
        <v>144.87807208140001</v>
      </c>
      <c r="I39" s="2484">
        <v>278.66370540399998</v>
      </c>
      <c r="J39" s="2485">
        <v>351.71147284</v>
      </c>
    </row>
    <row r="40" spans="7:55" s="113" customFormat="1">
      <c r="G40" s="2495" t="s">
        <v>1394</v>
      </c>
      <c r="H40" s="2484">
        <v>186.67357727719991</v>
      </c>
      <c r="I40" s="2484">
        <v>477.8041788192495</v>
      </c>
      <c r="J40" s="2485">
        <v>806.72230082050146</v>
      </c>
      <c r="N40" s="818"/>
      <c r="O40" s="818"/>
      <c r="P40" s="818"/>
      <c r="BC40" s="818"/>
    </row>
    <row r="41" spans="7:55">
      <c r="G41" s="2479"/>
      <c r="H41" s="2480"/>
      <c r="I41" s="2480"/>
      <c r="J41" s="2481"/>
    </row>
    <row r="42" spans="7:55">
      <c r="G42" s="2483" t="s">
        <v>29</v>
      </c>
      <c r="H42" s="2486">
        <v>0.15</v>
      </c>
      <c r="I42" s="2486">
        <v>0.2</v>
      </c>
      <c r="J42" s="2487">
        <v>0.22500000000000001</v>
      </c>
    </row>
    <row r="43" spans="7:55">
      <c r="G43" s="2483" t="s">
        <v>842</v>
      </c>
      <c r="H43" s="2486">
        <v>0.05</v>
      </c>
      <c r="I43" s="2486">
        <v>7.4999999999999997E-2</v>
      </c>
      <c r="J43" s="2487">
        <v>0.1</v>
      </c>
    </row>
    <row r="44" spans="7:55">
      <c r="G44" s="2479"/>
      <c r="H44" s="2480"/>
      <c r="I44" s="2480"/>
      <c r="J44" s="2481"/>
    </row>
    <row r="45" spans="7:55">
      <c r="G45" s="2483" t="s">
        <v>1383</v>
      </c>
      <c r="H45" s="2488">
        <f>+$H$40*H42</f>
        <v>28.001036591579986</v>
      </c>
      <c r="I45" s="2488">
        <f>+$I$40*I42</f>
        <v>95.560835763849909</v>
      </c>
      <c r="J45" s="2489">
        <f>+$J$40*J42</f>
        <v>181.51251768461285</v>
      </c>
    </row>
    <row r="46" spans="7:55">
      <c r="G46" s="2483" t="s">
        <v>1384</v>
      </c>
      <c r="H46" s="2480">
        <f>+$H$40*H43</f>
        <v>9.3336788638599959</v>
      </c>
      <c r="I46" s="2480">
        <f>+$I$40*I43</f>
        <v>35.835313411443714</v>
      </c>
      <c r="J46" s="2481">
        <f>+$J$40*J43</f>
        <v>80.672230082050149</v>
      </c>
    </row>
    <row r="47" spans="7:55">
      <c r="G47" s="2479"/>
      <c r="H47" s="2480"/>
      <c r="I47" s="2480"/>
      <c r="J47" s="2481"/>
    </row>
    <row r="48" spans="7:55">
      <c r="G48" s="2483" t="s">
        <v>30</v>
      </c>
      <c r="H48" s="2486">
        <v>0.5</v>
      </c>
      <c r="I48" s="2486">
        <v>0.5</v>
      </c>
      <c r="J48" s="2487">
        <v>0.5</v>
      </c>
    </row>
    <row r="49" spans="7:55">
      <c r="G49" s="2483" t="s">
        <v>1624</v>
      </c>
      <c r="H49" s="2486">
        <v>0.1</v>
      </c>
      <c r="I49" s="2486">
        <v>0.1</v>
      </c>
      <c r="J49" s="2487">
        <v>0.1</v>
      </c>
    </row>
    <row r="50" spans="7:55">
      <c r="G50" s="2479"/>
      <c r="H50" s="2480"/>
      <c r="I50" s="2480"/>
      <c r="J50" s="2481"/>
    </row>
    <row r="51" spans="7:55">
      <c r="G51" s="2483" t="s">
        <v>1385</v>
      </c>
      <c r="H51" s="2488">
        <f>H45*H48+H46*H49</f>
        <v>14.933886182175993</v>
      </c>
      <c r="I51" s="2488">
        <f>I45*I48+I46*I49</f>
        <v>51.363949223069326</v>
      </c>
      <c r="J51" s="2489">
        <f>J45*J48+J46*J49</f>
        <v>98.823481850511442</v>
      </c>
    </row>
    <row r="52" spans="7:55">
      <c r="G52" s="2483" t="s">
        <v>841</v>
      </c>
      <c r="H52" s="2480">
        <f>+'EBITDA Val'!$F$15</f>
        <v>113.08959516740317</v>
      </c>
      <c r="I52" s="2480">
        <f>+'EBITDA Val'!$F$15</f>
        <v>113.08959516740317</v>
      </c>
      <c r="J52" s="2481">
        <f>+'EBITDA Val'!$F$15</f>
        <v>113.08959516740317</v>
      </c>
    </row>
    <row r="53" spans="7:55">
      <c r="G53" s="2490" t="s">
        <v>1386</v>
      </c>
      <c r="H53" s="2491">
        <f>+H51/H52</f>
        <v>0.13205358247210811</v>
      </c>
      <c r="I53" s="2491">
        <f>+I51/I52</f>
        <v>0.45418810764188161</v>
      </c>
      <c r="J53" s="2492">
        <f>+J51/J52</f>
        <v>0.87385123011737709</v>
      </c>
    </row>
    <row r="54" spans="7:55">
      <c r="G54" s="2479"/>
      <c r="H54" s="2480"/>
      <c r="I54" s="2480"/>
      <c r="J54" s="2481"/>
    </row>
    <row r="55" spans="7:55">
      <c r="G55" s="2482" t="s">
        <v>1392</v>
      </c>
      <c r="H55" s="2480"/>
      <c r="I55" s="2480"/>
      <c r="J55" s="2481"/>
    </row>
    <row r="56" spans="7:55" outlineLevel="1">
      <c r="G56" s="2483" t="s">
        <v>1391</v>
      </c>
      <c r="H56" s="2484">
        <v>439.94896333613298</v>
      </c>
      <c r="I56" s="2484">
        <v>724.49465408445474</v>
      </c>
      <c r="J56" s="2485">
        <v>1172.4504850597664</v>
      </c>
    </row>
    <row r="57" spans="7:55" s="113" customFormat="1">
      <c r="G57" s="2495" t="s">
        <v>1394</v>
      </c>
      <c r="H57" s="2769">
        <v>363.87878223865812</v>
      </c>
      <c r="I57" s="2484">
        <v>882.39134025746273</v>
      </c>
      <c r="J57" s="2485">
        <v>2033.2333085477878</v>
      </c>
      <c r="N57" s="818"/>
      <c r="O57" s="818"/>
      <c r="P57" s="818"/>
      <c r="BC57" s="818"/>
    </row>
    <row r="58" spans="7:55">
      <c r="G58" s="2479"/>
      <c r="H58" s="2480"/>
      <c r="I58" s="2480"/>
      <c r="J58" s="2481"/>
    </row>
    <row r="59" spans="7:55">
      <c r="G59" s="2483" t="s">
        <v>1387</v>
      </c>
      <c r="H59" s="2486">
        <v>0.1</v>
      </c>
      <c r="I59" s="2486">
        <v>0.15</v>
      </c>
      <c r="J59" s="2487">
        <v>0.2</v>
      </c>
    </row>
    <row r="60" spans="7:55">
      <c r="G60" s="2483" t="s">
        <v>842</v>
      </c>
      <c r="H60" s="2486">
        <v>2.5000000000000001E-2</v>
      </c>
      <c r="I60" s="2486">
        <v>0.05</v>
      </c>
      <c r="J60" s="2487">
        <v>7.4999999999999997E-2</v>
      </c>
    </row>
    <row r="61" spans="7:55">
      <c r="G61" s="2479"/>
      <c r="H61" s="2480"/>
      <c r="I61" s="2480"/>
      <c r="J61" s="2481"/>
    </row>
    <row r="62" spans="7:55">
      <c r="G62" s="2483" t="s">
        <v>1383</v>
      </c>
      <c r="H62" s="2488">
        <f>+$H$57*H59</f>
        <v>36.387878223865812</v>
      </c>
      <c r="I62" s="2488">
        <f>+$I$57*I59</f>
        <v>132.35870103861942</v>
      </c>
      <c r="J62" s="2489">
        <f>+$J$57*J59</f>
        <v>406.64666170955758</v>
      </c>
    </row>
    <row r="63" spans="7:55">
      <c r="G63" s="2483" t="s">
        <v>1384</v>
      </c>
      <c r="H63" s="2480">
        <f>+$H$57*H60</f>
        <v>9.096969555966453</v>
      </c>
      <c r="I63" s="2480">
        <f>+$I$57*I60</f>
        <v>44.119567012873141</v>
      </c>
      <c r="J63" s="2481">
        <f>+$J$57*J60</f>
        <v>152.49249814108407</v>
      </c>
    </row>
    <row r="64" spans="7:55">
      <c r="G64" s="2479"/>
      <c r="H64" s="2480"/>
      <c r="I64" s="2480"/>
      <c r="J64" s="2481"/>
    </row>
    <row r="65" spans="7:10">
      <c r="G65" s="2483" t="s">
        <v>382</v>
      </c>
      <c r="H65" s="2486">
        <v>1</v>
      </c>
      <c r="I65" s="2486">
        <v>1</v>
      </c>
      <c r="J65" s="2487">
        <v>1</v>
      </c>
    </row>
    <row r="66" spans="7:10">
      <c r="G66" s="2483" t="s">
        <v>1624</v>
      </c>
      <c r="H66" s="2486">
        <v>0.1</v>
      </c>
      <c r="I66" s="2486">
        <v>0.1</v>
      </c>
      <c r="J66" s="2487">
        <v>0.1</v>
      </c>
    </row>
    <row r="67" spans="7:10">
      <c r="G67" s="2479"/>
      <c r="H67" s="2480"/>
      <c r="I67" s="2480"/>
      <c r="J67" s="2481"/>
    </row>
    <row r="68" spans="7:10">
      <c r="G68" s="2483" t="s">
        <v>1385</v>
      </c>
      <c r="H68" s="2488">
        <f>H62*H65+H63*H66</f>
        <v>37.297575179462456</v>
      </c>
      <c r="I68" s="2488">
        <f>I62*I65+I63*I66</f>
        <v>136.77065773990674</v>
      </c>
      <c r="J68" s="2489">
        <f>J62*J65+J63*J66</f>
        <v>421.89591152366597</v>
      </c>
    </row>
    <row r="69" spans="7:10">
      <c r="G69" s="2483" t="s">
        <v>841</v>
      </c>
      <c r="H69" s="2480">
        <f>+H52</f>
        <v>113.08959516740317</v>
      </c>
      <c r="I69" s="2480">
        <f>+I52</f>
        <v>113.08959516740317</v>
      </c>
      <c r="J69" s="2481">
        <f>+J52</f>
        <v>113.08959516740317</v>
      </c>
    </row>
    <row r="70" spans="7:10">
      <c r="G70" s="2490" t="s">
        <v>1388</v>
      </c>
      <c r="H70" s="2491">
        <f>+H68/H69</f>
        <v>0.3298055415642081</v>
      </c>
      <c r="I70" s="2491">
        <f>+I68/I69</f>
        <v>1.2094008961430023</v>
      </c>
      <c r="J70" s="2492">
        <f>+J68/J69</f>
        <v>3.730634201131819</v>
      </c>
    </row>
    <row r="71" spans="7:10">
      <c r="G71" s="2479"/>
      <c r="H71" s="2480"/>
      <c r="I71" s="2480"/>
      <c r="J71" s="2481"/>
    </row>
    <row r="72" spans="7:10">
      <c r="G72" s="1428" t="s">
        <v>1389</v>
      </c>
      <c r="H72" s="2471">
        <f>+H53+H70</f>
        <v>0.46185912403631624</v>
      </c>
      <c r="I72" s="2471">
        <f>+I53+I70</f>
        <v>1.6635890037848839</v>
      </c>
      <c r="J72" s="2472">
        <f>+J53+J70</f>
        <v>4.6044854312491958</v>
      </c>
    </row>
    <row r="73" spans="7:10">
      <c r="G73" s="2636"/>
      <c r="H73" s="2637"/>
      <c r="I73" s="2637"/>
      <c r="J73" s="2638"/>
    </row>
    <row r="74" spans="7:10">
      <c r="G74" s="2483" t="s">
        <v>125</v>
      </c>
      <c r="H74" s="2639">
        <f>(H45*H48)+(H62*H65)</f>
        <v>50.388396519655807</v>
      </c>
      <c r="I74" s="2639">
        <f>(I45*I48)+(I62*I65)</f>
        <v>180.13911892054438</v>
      </c>
      <c r="J74" s="2640">
        <f>(J45*J48)+(J62*J65)</f>
        <v>497.40292055186399</v>
      </c>
    </row>
    <row r="75" spans="7:10">
      <c r="G75" s="2483" t="s">
        <v>475</v>
      </c>
      <c r="H75" s="2641">
        <f>+H69</f>
        <v>113.08959516740317</v>
      </c>
      <c r="I75" s="2641">
        <f>+I69</f>
        <v>113.08959516740317</v>
      </c>
      <c r="J75" s="2642">
        <f>+J69</f>
        <v>113.08959516740317</v>
      </c>
    </row>
    <row r="76" spans="7:10">
      <c r="G76" s="2490" t="s">
        <v>123</v>
      </c>
      <c r="H76" s="2643">
        <f>+H74/H75</f>
        <v>0.44556173753268247</v>
      </c>
      <c r="I76" s="2643">
        <f>+I74/I75</f>
        <v>1.5928885292576189</v>
      </c>
      <c r="J76" s="2644">
        <f>+J74/J75</f>
        <v>4.3983084369129912</v>
      </c>
    </row>
    <row r="77" spans="7:10">
      <c r="G77" s="2483"/>
      <c r="H77" s="2641"/>
      <c r="I77" s="2641"/>
      <c r="J77" s="2642"/>
    </row>
    <row r="78" spans="7:10">
      <c r="G78" s="2483" t="s">
        <v>126</v>
      </c>
      <c r="H78" s="2639">
        <f>+(H46*H49)+(H63*H66)</f>
        <v>1.843064841982645</v>
      </c>
      <c r="I78" s="2639">
        <f>+(I46*I49)+(I63*I66)</f>
        <v>7.9954880424316865</v>
      </c>
      <c r="J78" s="2640">
        <f>+(J46*J49)+(J63*J66)</f>
        <v>23.316472822313422</v>
      </c>
    </row>
    <row r="79" spans="7:10">
      <c r="G79" s="2483" t="s">
        <v>475</v>
      </c>
      <c r="H79" s="2641">
        <f>+H75</f>
        <v>113.08959516740317</v>
      </c>
      <c r="I79" s="2641">
        <f>+I75</f>
        <v>113.08959516740317</v>
      </c>
      <c r="J79" s="2642">
        <f>+J75</f>
        <v>113.08959516740317</v>
      </c>
    </row>
    <row r="80" spans="7:10">
      <c r="G80" s="2645" t="s">
        <v>124</v>
      </c>
      <c r="H80" s="2646">
        <f>+H78/H79</f>
        <v>1.6297386503633784E-2</v>
      </c>
      <c r="I80" s="2646">
        <f>+I78/I79</f>
        <v>7.0700474527264884E-2</v>
      </c>
      <c r="J80" s="2647">
        <f>+J78/J79</f>
        <v>0.20617699433620518</v>
      </c>
    </row>
    <row r="82" spans="7:16">
      <c r="G82" s="1447" t="s">
        <v>953</v>
      </c>
      <c r="H82" s="105">
        <f>+H86/(H56+H39)</f>
        <v>9.6926118451408069E-2</v>
      </c>
      <c r="I82" s="105">
        <f>+I86/(I56+I39)</f>
        <v>0.14180514807907321</v>
      </c>
      <c r="J82" s="105">
        <f>+J86/(J56+J39)</f>
        <v>0.18788563091248206</v>
      </c>
    </row>
    <row r="85" spans="7:16">
      <c r="G85" s="1447" t="s">
        <v>116</v>
      </c>
      <c r="H85" s="2">
        <f>+H51+H68</f>
        <v>52.231461361638452</v>
      </c>
      <c r="I85" s="2">
        <f>+I51+I68</f>
        <v>188.13460696297608</v>
      </c>
      <c r="J85" s="2">
        <f>+J51+J68</f>
        <v>520.71939337417746</v>
      </c>
    </row>
    <row r="86" spans="7:16">
      <c r="G86" s="1447" t="s">
        <v>1623</v>
      </c>
      <c r="H86" s="2">
        <f>(H39*H42*H48)+(H39*H43*H49)+(H56*H59*H65)+(H56*H60*H66)</f>
        <v>56.685014508465628</v>
      </c>
      <c r="I86" s="2">
        <f>(I39*I42*I48)+(I39*I43*I49)+(I56*I59*I65)+(I56*I60*I66)</f>
        <v>142.25301971402047</v>
      </c>
      <c r="J86" s="2">
        <f>(J39*J42*J48)+(J39*J43*J49)+(J56*J59*J65)+(J56*J60*J66)</f>
        <v>286.36813107280153</v>
      </c>
    </row>
    <row r="87" spans="7:16">
      <c r="G87" s="1447" t="s">
        <v>1393</v>
      </c>
      <c r="H87" s="2494">
        <f>+I87-0.05</f>
        <v>0.20230506952930544</v>
      </c>
      <c r="I87" s="2493">
        <f>+I88/I86</f>
        <v>0.25230506952930543</v>
      </c>
      <c r="J87" s="2494">
        <f>+I87+0.05</f>
        <v>0.30230506952930541</v>
      </c>
    </row>
    <row r="88" spans="7:16">
      <c r="G88" s="1447" t="s">
        <v>1556</v>
      </c>
      <c r="H88" s="2">
        <f>+H86*H87</f>
        <v>11.467665801404825</v>
      </c>
      <c r="I88" s="2">
        <f>+BYD!CB872</f>
        <v>35.891158029699589</v>
      </c>
      <c r="J88" s="2">
        <f>+J86*J87</f>
        <v>86.570537774940519</v>
      </c>
    </row>
    <row r="90" spans="7:16">
      <c r="G90" s="1447" t="s">
        <v>1395</v>
      </c>
      <c r="H90" s="2500"/>
      <c r="I90" s="2500"/>
      <c r="J90" s="2500"/>
    </row>
    <row r="92" spans="7:16">
      <c r="K92" s="1" t="s">
        <v>1449</v>
      </c>
      <c r="L92" s="1447"/>
      <c r="M92" s="1447"/>
      <c r="N92" s="1449"/>
      <c r="O92" s="1449"/>
      <c r="P92" s="1449"/>
    </row>
    <row r="93" spans="7:16">
      <c r="K93" s="2528" t="s">
        <v>1421</v>
      </c>
      <c r="L93" s="2529">
        <v>2013</v>
      </c>
      <c r="M93" s="2529">
        <v>2014</v>
      </c>
      <c r="N93" s="2529" t="s">
        <v>1414</v>
      </c>
      <c r="O93" s="2529" t="s">
        <v>1852</v>
      </c>
      <c r="P93" s="2530" t="s">
        <v>1853</v>
      </c>
    </row>
    <row r="94" spans="7:16">
      <c r="K94" s="2522" t="s">
        <v>7</v>
      </c>
      <c r="L94" s="2269">
        <f>+BYD!BA21</f>
        <v>2198.7379999999998</v>
      </c>
      <c r="M94" s="2269">
        <f>+BYD!BF21</f>
        <v>2142.2559999999999</v>
      </c>
      <c r="N94" s="2269">
        <f>+BYD!BK21</f>
        <v>2199.4300000000003</v>
      </c>
      <c r="O94" s="2269">
        <f>+BYD!BP21</f>
        <v>2183.9749999999999</v>
      </c>
      <c r="P94" s="2523">
        <f>+BYD!BU21</f>
        <v>2383.7069999999999</v>
      </c>
    </row>
    <row r="95" spans="7:16">
      <c r="K95" s="2522"/>
      <c r="L95" s="1449"/>
      <c r="M95" s="1449"/>
      <c r="N95" s="1449"/>
      <c r="O95" s="1449"/>
      <c r="P95" s="2524"/>
    </row>
    <row r="96" spans="7:16">
      <c r="K96" s="1428" t="s">
        <v>1442</v>
      </c>
      <c r="L96" s="2525">
        <f>+BYD!BA55-BYD!BA48-BYD!BA49</f>
        <v>491.18799999999993</v>
      </c>
      <c r="M96" s="2525">
        <f>+BYD!BF55-BYD!BF48-BYD!BF49</f>
        <v>467.34299999999996</v>
      </c>
      <c r="N96" s="2525">
        <f>+BYD!BK55-BYD!BK48-BYD!BK49</f>
        <v>527.39099999999996</v>
      </c>
      <c r="O96" s="2525">
        <f>+BYD!BP55-BYD!BP48-BYD!BP49</f>
        <v>536.33000000000004</v>
      </c>
      <c r="P96" s="1636">
        <f>+BYD!BU55-BYD!BU48-BYD!BU49</f>
        <v>595.625</v>
      </c>
    </row>
    <row r="97" spans="11:55">
      <c r="K97" s="2522" t="s">
        <v>1408</v>
      </c>
      <c r="L97" s="2526">
        <f>-L96/L98</f>
        <v>-295.89638554216867</v>
      </c>
      <c r="M97" s="2526">
        <f>-M96/M98</f>
        <v>-281.53192771084338</v>
      </c>
      <c r="N97" s="2526">
        <f>-N96/N98</f>
        <v>-317.705421686747</v>
      </c>
      <c r="O97" s="2526">
        <f>-O96/O98</f>
        <v>-323.09036144578317</v>
      </c>
      <c r="P97" s="2527">
        <f>-P96/P98</f>
        <v>-358.81024096385545</v>
      </c>
    </row>
    <row r="98" spans="11:55" s="2534" customFormat="1">
      <c r="K98" s="2535" t="s">
        <v>1413</v>
      </c>
      <c r="L98" s="2550">
        <v>1.66</v>
      </c>
      <c r="M98" s="2551">
        <f>+L98</f>
        <v>1.66</v>
      </c>
      <c r="N98" s="2551">
        <f>+M98</f>
        <v>1.66</v>
      </c>
      <c r="O98" s="2551">
        <f>+N98</f>
        <v>1.66</v>
      </c>
      <c r="P98" s="2552">
        <f>+O98</f>
        <v>1.66</v>
      </c>
      <c r="Q98" s="2539"/>
      <c r="BC98" s="2669"/>
    </row>
    <row r="99" spans="11:55">
      <c r="K99" s="2522" t="s">
        <v>1441</v>
      </c>
      <c r="L99" s="2526">
        <f>+BYD!BA48+BYD!BA49</f>
        <v>59.618499999999997</v>
      </c>
      <c r="M99" s="2558">
        <f>+BYD!BF48+BYD!BF49</f>
        <v>77.977499999999992</v>
      </c>
      <c r="N99" s="2558">
        <f>+BYD!BK48+BYD!BK49</f>
        <v>102.095</v>
      </c>
      <c r="O99" s="2558">
        <f>+BYD!BP48+BYD!BP49</f>
        <v>22.6675</v>
      </c>
      <c r="P99" s="2559">
        <f>+BYD!BU48+BYD!BU49</f>
        <v>0</v>
      </c>
    </row>
    <row r="100" spans="11:55">
      <c r="K100" s="1428" t="s">
        <v>1443</v>
      </c>
      <c r="L100" s="2525">
        <f>+SUM(L96:L97)+L99</f>
        <v>254.91011445783124</v>
      </c>
      <c r="M100" s="2525">
        <f>+SUM(M96:M97)+M99</f>
        <v>263.7885722891566</v>
      </c>
      <c r="N100" s="2525">
        <f>+SUM(N96:N97)+N99</f>
        <v>311.78057831325293</v>
      </c>
      <c r="O100" s="2525">
        <f>+SUM(O96:O97)+O99</f>
        <v>235.90713855421686</v>
      </c>
      <c r="P100" s="1636">
        <f>+SUM(P96:P97)+P99</f>
        <v>236.81475903614455</v>
      </c>
    </row>
    <row r="101" spans="11:55">
      <c r="K101" s="2522" t="s">
        <v>653</v>
      </c>
      <c r="L101" s="2526">
        <f>(-BYD!BA67-BYD!BA68)-'Tables 2'!L125</f>
        <v>-181.89999999999998</v>
      </c>
      <c r="M101" s="2558">
        <f>(-BYD!BF67-BYD!BF68)-'Tables 2'!M125</f>
        <v>-167.12266666666665</v>
      </c>
      <c r="N101" s="2558">
        <f>(-BYD!BK67-BYD!BK68)-'Tables 2'!N125</f>
        <v>-166.75366666666667</v>
      </c>
      <c r="O101" s="2558">
        <f>(-BYD!BP67-BYD!BP68)-'Tables 2'!O125</f>
        <v>-134.64833333333331</v>
      </c>
      <c r="P101" s="2559">
        <f>(-BYD!BU67-BYD!BU68)-'Tables 2'!P125</f>
        <v>-145.01466666666664</v>
      </c>
    </row>
    <row r="102" spans="11:55">
      <c r="K102" s="2522" t="s">
        <v>1020</v>
      </c>
      <c r="L102" s="2526">
        <f>+$S$158*$R$102</f>
        <v>-47.36295180722891</v>
      </c>
      <c r="M102" s="2558">
        <f>+$S$158*$R$102</f>
        <v>-47.36295180722891</v>
      </c>
      <c r="N102" s="2558">
        <f>+$S$158*$R$102</f>
        <v>-47.36295180722891</v>
      </c>
      <c r="O102" s="2558">
        <f>+$S$158*$R$102</f>
        <v>-47.36295180722891</v>
      </c>
      <c r="P102" s="2559">
        <f>+$S$158*$R$102</f>
        <v>-47.36295180722891</v>
      </c>
      <c r="Q102" s="1447" t="s">
        <v>1448</v>
      </c>
      <c r="R102" s="2579">
        <v>0.04</v>
      </c>
    </row>
    <row r="103" spans="11:55">
      <c r="K103" s="2522" t="s">
        <v>1435</v>
      </c>
      <c r="L103" s="2526">
        <f>-(BYD!BA65+BYD!BA66)</f>
        <v>-23.141999999999996</v>
      </c>
      <c r="M103" s="2526">
        <f>-(BYD!BF65+BYD!BF66)</f>
        <v>-22.268000000000001</v>
      </c>
      <c r="N103" s="2526">
        <f>-(BYD!BK65+BYD!BK66)</f>
        <v>-22.692000000000004</v>
      </c>
      <c r="O103" s="2526">
        <f>-(BYD!BP65+BYD!BP66)</f>
        <v>-18.785</v>
      </c>
      <c r="P103" s="2527">
        <f>-(BYD!BU65+BYD!BU66)</f>
        <v>-18.68</v>
      </c>
    </row>
    <row r="104" spans="11:55" ht="3.95" customHeight="1">
      <c r="K104" s="2522"/>
      <c r="L104" s="2569" t="s">
        <v>1438</v>
      </c>
      <c r="M104" s="2569" t="s">
        <v>1438</v>
      </c>
      <c r="N104" s="2569" t="s">
        <v>1438</v>
      </c>
      <c r="O104" s="2569" t="s">
        <v>1438</v>
      </c>
      <c r="P104" s="2570" t="s">
        <v>1438</v>
      </c>
    </row>
    <row r="105" spans="11:55">
      <c r="K105" s="2522" t="s">
        <v>1436</v>
      </c>
      <c r="L105" s="2269">
        <f>SUM(L100:L103)</f>
        <v>2.5051626506023581</v>
      </c>
      <c r="M105" s="2571">
        <f>SUM(M100:M103)</f>
        <v>27.034953815261048</v>
      </c>
      <c r="N105" s="2571">
        <f>SUM(N100:N103)</f>
        <v>74.971959839357339</v>
      </c>
      <c r="O105" s="2571">
        <f>SUM(O100:O103)</f>
        <v>35.110853413654638</v>
      </c>
      <c r="P105" s="2572">
        <f>SUM(P100:P103)</f>
        <v>25.757140562248999</v>
      </c>
    </row>
    <row r="106" spans="11:55" s="61" customFormat="1">
      <c r="K106" s="2522" t="s">
        <v>1437</v>
      </c>
      <c r="L106" s="2573">
        <f>+-L105*0.35</f>
        <v>-0.87680692771082525</v>
      </c>
      <c r="M106" s="2574">
        <f>+-M105*0.35</f>
        <v>-9.4622338353413653</v>
      </c>
      <c r="N106" s="3232">
        <v>0</v>
      </c>
      <c r="O106" s="3232">
        <v>0</v>
      </c>
      <c r="P106" s="2575">
        <v>0</v>
      </c>
    </row>
    <row r="107" spans="11:55">
      <c r="K107" s="1428" t="s">
        <v>1543</v>
      </c>
      <c r="L107" s="2525">
        <f>+L105+L106</f>
        <v>1.6283557228915329</v>
      </c>
      <c r="M107" s="2525">
        <f>+M105+M106</f>
        <v>17.572719979919682</v>
      </c>
      <c r="N107" s="2525">
        <f>+N105+N106</f>
        <v>74.971959839357339</v>
      </c>
      <c r="O107" s="2525">
        <f>+O105+O106</f>
        <v>35.110853413654638</v>
      </c>
      <c r="P107" s="1636">
        <f>+P105+P106</f>
        <v>25.757140562248999</v>
      </c>
    </row>
    <row r="108" spans="11:55" s="98" customFormat="1">
      <c r="K108" s="2594" t="s">
        <v>475</v>
      </c>
      <c r="L108" s="2526">
        <f>$S$197</f>
        <v>168.64515072295873</v>
      </c>
      <c r="M108" s="2526">
        <f>$S$197</f>
        <v>168.64515072295873</v>
      </c>
      <c r="N108" s="2526">
        <f>$S$197</f>
        <v>168.64515072295873</v>
      </c>
      <c r="O108" s="2526">
        <f>$S$197</f>
        <v>168.64515072295873</v>
      </c>
      <c r="P108" s="2527">
        <f>$S$197</f>
        <v>168.64515072295873</v>
      </c>
      <c r="BC108" s="96"/>
    </row>
    <row r="109" spans="11:55">
      <c r="K109" s="3265" t="s">
        <v>200</v>
      </c>
      <c r="L109" s="3266">
        <f>+L107/L108</f>
        <v>9.6555146466470818E-3</v>
      </c>
      <c r="M109" s="3266">
        <f>+M107/M108</f>
        <v>0.10419937901912882</v>
      </c>
      <c r="N109" s="3266">
        <f>+N107/N108</f>
        <v>0.44455449515128531</v>
      </c>
      <c r="O109" s="3266">
        <f>+O107/O108</f>
        <v>0.20819367330242941</v>
      </c>
      <c r="P109" s="3267">
        <f>+P107/P108</f>
        <v>0.15272980249851037</v>
      </c>
    </row>
    <row r="110" spans="11:55" s="1205" customFormat="1">
      <c r="K110" s="2596" t="s">
        <v>1453</v>
      </c>
      <c r="L110" s="2269">
        <f>+L107-L101-L103+BYD!BA143</f>
        <v>76.525355722891504</v>
      </c>
      <c r="M110" s="2269">
        <f>+M107-M101-M103+BYD!BF143</f>
        <v>77.589386646586291</v>
      </c>
      <c r="N110" s="2269">
        <f>+N107-N101-N103+BYD!BK143</f>
        <v>184.24762650602403</v>
      </c>
      <c r="O110" s="2269">
        <f>+O107-O101-O103+BYD!BP143</f>
        <v>125.18618674698794</v>
      </c>
      <c r="P110" s="2523">
        <f>+P107-P101-P103+BYD!BU143</f>
        <v>45.199807228915631</v>
      </c>
      <c r="BC110" s="313"/>
    </row>
    <row r="111" spans="11:55" s="1181" customFormat="1">
      <c r="K111" s="2599" t="s">
        <v>1455</v>
      </c>
      <c r="L111" s="2597">
        <f>L110/L108</f>
        <v>0.45376552717251434</v>
      </c>
      <c r="M111" s="2597">
        <f>M110/M108</f>
        <v>0.4600748157534989</v>
      </c>
      <c r="N111" s="2597">
        <f>N110/N108</f>
        <v>1.0925165990019849</v>
      </c>
      <c r="O111" s="2597">
        <f>O110/O108</f>
        <v>0.74230528544895513</v>
      </c>
      <c r="P111" s="2600">
        <f>P110/P108</f>
        <v>0.26801723639932856</v>
      </c>
      <c r="BC111" s="1322"/>
    </row>
    <row r="112" spans="11:55" s="2595" customFormat="1">
      <c r="K112" s="2601" t="s">
        <v>1454</v>
      </c>
      <c r="L112" s="2463">
        <f>($S$165+200)/L108</f>
        <v>3.590328660365445</v>
      </c>
      <c r="M112" s="2463">
        <f>($S$165+200)/M108</f>
        <v>3.590328660365445</v>
      </c>
      <c r="N112" s="2463">
        <f>($S$165+200)/N108</f>
        <v>3.590328660365445</v>
      </c>
      <c r="O112" s="2463">
        <f>($S$165+200)/O108</f>
        <v>3.590328660365445</v>
      </c>
      <c r="P112" s="2602">
        <f>($S$165+200)/P108</f>
        <v>3.590328660365445</v>
      </c>
      <c r="BC112" s="2463"/>
    </row>
    <row r="113" spans="11:55" s="2598" customFormat="1">
      <c r="K113" s="2603" t="s">
        <v>1456</v>
      </c>
      <c r="L113" s="2592">
        <f>L111/L112</f>
        <v>0.12638551232976186</v>
      </c>
      <c r="M113" s="2592">
        <f>M111/M112</f>
        <v>0.12814281345114231</v>
      </c>
      <c r="N113" s="2592">
        <f>N111/N112</f>
        <v>0.30429431462989859</v>
      </c>
      <c r="O113" s="2592">
        <f>O111/O112</f>
        <v>0.2067513466506431</v>
      </c>
      <c r="P113" s="2593">
        <f>P111/P112</f>
        <v>7.4649777709221807E-2</v>
      </c>
      <c r="BC113" s="2670"/>
    </row>
    <row r="114" spans="11:55">
      <c r="P114" s="60"/>
    </row>
    <row r="115" spans="11:55">
      <c r="K115" s="2528" t="s">
        <v>1409</v>
      </c>
      <c r="L115" s="2529" t="s">
        <v>1406</v>
      </c>
      <c r="M115" s="2529" t="s">
        <v>1407</v>
      </c>
      <c r="N115" s="2529" t="s">
        <v>1414</v>
      </c>
      <c r="O115" s="2529" t="s">
        <v>1852</v>
      </c>
      <c r="P115" s="2530" t="s">
        <v>1853</v>
      </c>
    </row>
    <row r="116" spans="11:55">
      <c r="K116" s="2522" t="s">
        <v>1410</v>
      </c>
      <c r="L116" s="2269">
        <f>-L97</f>
        <v>295.89638554216867</v>
      </c>
      <c r="M116" s="2269">
        <f>-M97</f>
        <v>281.53192771084338</v>
      </c>
      <c r="N116" s="2269">
        <f>-N97</f>
        <v>317.705421686747</v>
      </c>
      <c r="O116" s="2269">
        <f>-O97</f>
        <v>323.09036144578317</v>
      </c>
      <c r="P116" s="2523">
        <f>-P97</f>
        <v>358.81024096385545</v>
      </c>
    </row>
    <row r="117" spans="11:55">
      <c r="K117" s="2531"/>
      <c r="L117" s="2532"/>
      <c r="M117" s="2532"/>
      <c r="N117" s="2532"/>
      <c r="O117" s="2532"/>
      <c r="P117" s="2533"/>
    </row>
    <row r="118" spans="11:55">
      <c r="K118" s="2522" t="s">
        <v>1415</v>
      </c>
      <c r="L118" s="2505">
        <v>-18.5</v>
      </c>
      <c r="M118" s="2553">
        <f>+L118</f>
        <v>-18.5</v>
      </c>
      <c r="N118" s="2553">
        <f>+M118</f>
        <v>-18.5</v>
      </c>
      <c r="O118" s="2553">
        <f>+N118</f>
        <v>-18.5</v>
      </c>
      <c r="P118" s="2554">
        <f>+O118</f>
        <v>-18.5</v>
      </c>
    </row>
    <row r="119" spans="11:55">
      <c r="K119" s="2522"/>
      <c r="L119" s="1449"/>
      <c r="M119" s="1449"/>
      <c r="N119" s="1449"/>
      <c r="O119" s="1449"/>
      <c r="P119" s="2524"/>
    </row>
    <row r="120" spans="11:55">
      <c r="K120" s="1428" t="s">
        <v>401</v>
      </c>
      <c r="L120" s="2525">
        <f>SUM(L116:L119)</f>
        <v>277.39638554216867</v>
      </c>
      <c r="M120" s="2525">
        <f>SUM(M116:M119)</f>
        <v>263.03192771084338</v>
      </c>
      <c r="N120" s="2525">
        <f>SUM(N116:N119)</f>
        <v>299.205421686747</v>
      </c>
      <c r="O120" s="2525">
        <f>SUM(O116:O119)</f>
        <v>304.59036144578317</v>
      </c>
      <c r="P120" s="1636">
        <f>SUM(P116:P119)</f>
        <v>340.31024096385545</v>
      </c>
    </row>
    <row r="121" spans="11:55">
      <c r="K121" s="2522" t="s">
        <v>1020</v>
      </c>
      <c r="L121" s="2526">
        <f>+$S$142*$R$121</f>
        <v>-100.75226024096388</v>
      </c>
      <c r="M121" s="2558">
        <f>+$S$142*$R$121</f>
        <v>-100.75226024096388</v>
      </c>
      <c r="N121" s="2558">
        <f>+$S$142*$R$121</f>
        <v>-100.75226024096388</v>
      </c>
      <c r="O121" s="2558">
        <f>+$S$142*$R$121</f>
        <v>-100.75226024096388</v>
      </c>
      <c r="P121" s="2559">
        <f>+$S$142*$R$121</f>
        <v>-100.75226024096388</v>
      </c>
      <c r="Q121" s="1447" t="s">
        <v>1448</v>
      </c>
      <c r="R121" s="2579">
        <v>0.05</v>
      </c>
    </row>
    <row r="122" spans="11:55">
      <c r="K122" s="2522" t="s">
        <v>1581</v>
      </c>
      <c r="L122" s="2576">
        <v>0</v>
      </c>
      <c r="M122" s="2577">
        <v>0</v>
      </c>
      <c r="N122" s="2577">
        <v>0</v>
      </c>
      <c r="O122" s="2577">
        <v>0</v>
      </c>
      <c r="P122" s="2578">
        <v>0</v>
      </c>
    </row>
    <row r="123" spans="11:55">
      <c r="K123" s="2522" t="s">
        <v>529</v>
      </c>
      <c r="L123" s="2576">
        <v>0</v>
      </c>
      <c r="M123" s="2577">
        <v>0</v>
      </c>
      <c r="N123" s="2577">
        <v>0</v>
      </c>
      <c r="O123" s="2577">
        <v>0</v>
      </c>
      <c r="P123" s="2578">
        <v>0</v>
      </c>
    </row>
    <row r="124" spans="11:55">
      <c r="K124" s="1428" t="s">
        <v>1411</v>
      </c>
      <c r="L124" s="2525">
        <f>SUM(L120:L123)</f>
        <v>176.64412530120478</v>
      </c>
      <c r="M124" s="2525">
        <f>SUM(M120:M123)</f>
        <v>162.27966746987948</v>
      </c>
      <c r="N124" s="2525">
        <f>SUM(N120:N123)</f>
        <v>198.45316144578311</v>
      </c>
      <c r="O124" s="2525">
        <f>SUM(O120:O123)</f>
        <v>203.83810120481928</v>
      </c>
      <c r="P124" s="1636">
        <f>SUM(P120:P123)</f>
        <v>239.55798072289156</v>
      </c>
    </row>
    <row r="125" spans="11:55">
      <c r="K125" s="2522" t="s">
        <v>1412</v>
      </c>
      <c r="L125" s="2526">
        <f>-BYD!BA67/3</f>
        <v>-72.899999999999991</v>
      </c>
      <c r="M125" s="2558">
        <f>-BYD!BF67/3</f>
        <v>-69.666333333333327</v>
      </c>
      <c r="N125" s="2558">
        <f>-BYD!BK67/3</f>
        <v>-69.039333333333332</v>
      </c>
      <c r="O125" s="2558">
        <f>-BYD!BP67/3</f>
        <v>-65.408666666666662</v>
      </c>
      <c r="P125" s="2559">
        <f>-BYD!BU67/3</f>
        <v>-72.507333333333335</v>
      </c>
    </row>
    <row r="126" spans="11:55">
      <c r="K126" s="80" t="s">
        <v>1543</v>
      </c>
      <c r="L126" s="325">
        <f>+L124+L125</f>
        <v>103.74412530120479</v>
      </c>
      <c r="M126" s="325">
        <f>+M124+M125</f>
        <v>92.613334136546158</v>
      </c>
      <c r="N126" s="325">
        <f>+N124+N125</f>
        <v>129.41382811244978</v>
      </c>
      <c r="O126" s="325">
        <f>+O124+O125</f>
        <v>138.42943453815263</v>
      </c>
      <c r="P126" s="2150">
        <f>+P124+P125</f>
        <v>167.05064738955821</v>
      </c>
    </row>
    <row r="127" spans="11:55">
      <c r="K127" s="2522" t="s">
        <v>475</v>
      </c>
      <c r="L127" s="2526">
        <f>$S$197</f>
        <v>168.64515072295873</v>
      </c>
      <c r="M127" s="2526">
        <f>$S$197</f>
        <v>168.64515072295873</v>
      </c>
      <c r="N127" s="2526">
        <f>$S$197</f>
        <v>168.64515072295873</v>
      </c>
      <c r="O127" s="2526">
        <f>$S$197</f>
        <v>168.64515072295873</v>
      </c>
      <c r="P127" s="2527">
        <f>$S$197</f>
        <v>168.64515072295873</v>
      </c>
    </row>
    <row r="128" spans="11:55">
      <c r="K128" s="2561" t="s">
        <v>200</v>
      </c>
      <c r="L128" s="2562">
        <f>+L126/L127</f>
        <v>0.61516221994209674</v>
      </c>
      <c r="M128" s="2562">
        <f>+M126/M127</f>
        <v>0.54916096750796239</v>
      </c>
      <c r="N128" s="2562">
        <f>+N126/N127</f>
        <v>0.76737355066345148</v>
      </c>
      <c r="O128" s="2562">
        <f>+O126/O127</f>
        <v>0.82083258216868116</v>
      </c>
      <c r="P128" s="2563">
        <f>+P126/P127</f>
        <v>0.99054521682618735</v>
      </c>
    </row>
    <row r="129" spans="11:55">
      <c r="K129" s="2564" t="s">
        <v>1433</v>
      </c>
      <c r="L129" s="2560">
        <f>+L124/L127</f>
        <v>1.047430800968516</v>
      </c>
      <c r="M129" s="2560">
        <f>+M124/M127</f>
        <v>0.96225516579758574</v>
      </c>
      <c r="N129" s="2560">
        <f>+N124/N127</f>
        <v>1.1767498833796377</v>
      </c>
      <c r="O129" s="2560">
        <f>+O124/O127</f>
        <v>1.2086804769125776</v>
      </c>
      <c r="P129" s="2565">
        <f>+P124/P127</f>
        <v>1.4204854375944946</v>
      </c>
    </row>
    <row r="130" spans="11:55">
      <c r="K130" s="2566" t="s">
        <v>1434</v>
      </c>
      <c r="L130" s="2567">
        <f>+$S$150/L129</f>
        <v>14.802155040308881</v>
      </c>
      <c r="M130" s="2567">
        <f>+$S$150/M129</f>
        <v>16.11239270103567</v>
      </c>
      <c r="N130" s="2567">
        <f>+$S$150/N129</f>
        <v>13.175470275299771</v>
      </c>
      <c r="O130" s="2567">
        <f>+$S$150/O129</f>
        <v>12.827404269434799</v>
      </c>
      <c r="P130" s="2568">
        <f>+$S$150/P129</f>
        <v>10.914742734840253</v>
      </c>
    </row>
    <row r="131" spans="11:55" s="1447" customFormat="1">
      <c r="K131" s="2583" t="s">
        <v>1450</v>
      </c>
      <c r="L131" s="2584">
        <v>0.9</v>
      </c>
      <c r="M131" s="2584">
        <v>0.9</v>
      </c>
      <c r="N131" s="2584">
        <v>0.9</v>
      </c>
      <c r="O131" s="2584">
        <v>0.9</v>
      </c>
      <c r="P131" s="2585">
        <v>0.9</v>
      </c>
      <c r="BC131" s="1449"/>
    </row>
    <row r="132" spans="11:55" s="2580" customFormat="1">
      <c r="K132" s="2586" t="s">
        <v>259</v>
      </c>
      <c r="L132" s="2581">
        <f>+L129*L131</f>
        <v>0.94268772087166441</v>
      </c>
      <c r="M132" s="2581">
        <f>+M129*M131</f>
        <v>0.86602964921782721</v>
      </c>
      <c r="N132" s="2581">
        <f>+N129*N131</f>
        <v>1.059074895041674</v>
      </c>
      <c r="O132" s="2581">
        <f>+O129*O131</f>
        <v>1.0878124292213198</v>
      </c>
      <c r="P132" s="2587">
        <f>+P129*P131</f>
        <v>1.2784368938350452</v>
      </c>
      <c r="BC132" s="2597"/>
    </row>
    <row r="133" spans="11:55" s="2582" customFormat="1">
      <c r="K133" s="2588" t="s">
        <v>1452</v>
      </c>
      <c r="L133" s="2589">
        <f>($S$148+800)/$S$197</f>
        <v>15.140473561422874</v>
      </c>
      <c r="M133" s="2589">
        <f>($S$148+800)/$S$197</f>
        <v>15.140473561422874</v>
      </c>
      <c r="N133" s="2589">
        <f>($S$148+800)/$S$197</f>
        <v>15.140473561422874</v>
      </c>
      <c r="O133" s="2589">
        <f>($S$148+800)/$S$197</f>
        <v>15.140473561422874</v>
      </c>
      <c r="P133" s="2590">
        <f>($S$148+800)/$S$197</f>
        <v>15.140473561422874</v>
      </c>
      <c r="BC133" s="2589"/>
    </row>
    <row r="134" spans="11:55">
      <c r="K134" s="2591" t="s">
        <v>1451</v>
      </c>
      <c r="L134" s="2592">
        <f>+L132/L133</f>
        <v>6.2262763251579055E-2</v>
      </c>
      <c r="M134" s="2592">
        <f>+M132/M133</f>
        <v>5.7199640797525972E-2</v>
      </c>
      <c r="N134" s="2592">
        <f>+N132/N133</f>
        <v>6.9949918722498922E-2</v>
      </c>
      <c r="O134" s="2592">
        <f>+O132/O133</f>
        <v>7.1847979180321569E-2</v>
      </c>
      <c r="P134" s="2593">
        <f>+P132/P133</f>
        <v>8.4438369027798096E-2</v>
      </c>
    </row>
    <row r="135" spans="11:55">
      <c r="T135" s="1447" t="s">
        <v>1419</v>
      </c>
    </row>
    <row r="136" spans="11:55">
      <c r="Q136" s="69" t="s">
        <v>1418</v>
      </c>
    </row>
    <row r="137" spans="11:55">
      <c r="Q137" s="2517" t="s">
        <v>1853</v>
      </c>
      <c r="R137" s="73" t="s">
        <v>1205</v>
      </c>
      <c r="S137" s="73" t="s">
        <v>871</v>
      </c>
      <c r="T137" s="73" t="s">
        <v>1204</v>
      </c>
    </row>
    <row r="138" spans="11:55">
      <c r="Q138" s="1449" t="s">
        <v>1403</v>
      </c>
      <c r="R138" s="2536">
        <f>+S138</f>
        <v>340.31024096385545</v>
      </c>
      <c r="S138" s="2267">
        <f>+$P$120</f>
        <v>340.31024096385545</v>
      </c>
      <c r="T138" s="2536">
        <f>+S138</f>
        <v>340.31024096385545</v>
      </c>
    </row>
    <row r="139" spans="11:55">
      <c r="Q139" s="1447" t="s">
        <v>1620</v>
      </c>
      <c r="R139" s="2518">
        <v>10</v>
      </c>
      <c r="S139" s="2518">
        <v>11</v>
      </c>
      <c r="T139" s="2518">
        <v>12</v>
      </c>
    </row>
    <row r="140" spans="11:55">
      <c r="Q140" s="2544" t="s">
        <v>17</v>
      </c>
      <c r="R140" s="2525">
        <f>+R138*R139</f>
        <v>3403.1024096385545</v>
      </c>
      <c r="S140" s="2525">
        <f>+S138*S139</f>
        <v>3743.4126506024099</v>
      </c>
      <c r="T140" s="1636">
        <f>+T138*T139</f>
        <v>4083.7228915662654</v>
      </c>
    </row>
    <row r="141" spans="11:55">
      <c r="Q141" s="1447"/>
      <c r="R141" s="2519"/>
      <c r="S141" s="1447"/>
      <c r="T141" s="1447"/>
    </row>
    <row r="142" spans="11:55">
      <c r="Q142" s="2267" t="s">
        <v>777</v>
      </c>
      <c r="R142" s="2249">
        <f>-BYD!$BP$1224-BYD!$BP$1230-'Tables 2'!R158</f>
        <v>-2015.0452048192774</v>
      </c>
      <c r="S142" s="2249">
        <f>-BYD!$BP$1224-BYD!$BP$1230-'Tables 2'!S158</f>
        <v>-2015.0452048192774</v>
      </c>
      <c r="T142" s="2249">
        <f>-BYD!$BP$1224-BYD!$BP$1230-'Tables 2'!T158</f>
        <v>-2015.0452048192774</v>
      </c>
    </row>
    <row r="143" spans="11:55">
      <c r="Q143" s="1447" t="s">
        <v>1542</v>
      </c>
      <c r="R143" s="2538">
        <f>+S143</f>
        <v>25</v>
      </c>
      <c r="S143" s="2520">
        <v>25</v>
      </c>
      <c r="T143" s="2537">
        <f>+S143</f>
        <v>25</v>
      </c>
    </row>
    <row r="144" spans="11:55" ht="3.95" customHeight="1">
      <c r="Q144" s="174"/>
      <c r="R144" s="1608" t="s">
        <v>343</v>
      </c>
      <c r="S144" s="1608" t="s">
        <v>343</v>
      </c>
      <c r="T144" s="1608" t="s">
        <v>343</v>
      </c>
    </row>
    <row r="145" spans="17:20">
      <c r="Q145" s="2267" t="s">
        <v>673</v>
      </c>
      <c r="R145" s="2545">
        <f>+R142+R143</f>
        <v>-1990.0452048192774</v>
      </c>
      <c r="S145" s="2545">
        <f>+S142+S143</f>
        <v>-1990.0452048192774</v>
      </c>
      <c r="T145" s="2545">
        <f>+T142+T143</f>
        <v>-1990.0452048192774</v>
      </c>
    </row>
    <row r="146" spans="17:20">
      <c r="Q146" s="2539" t="s">
        <v>1416</v>
      </c>
      <c r="R146" s="2540">
        <f>-R142/R138</f>
        <v>5.9212006054008128</v>
      </c>
      <c r="S146" s="2540">
        <f>-S142/S138</f>
        <v>5.9212006054008128</v>
      </c>
      <c r="T146" s="2540">
        <f>-T142/T138</f>
        <v>5.9212006054008128</v>
      </c>
    </row>
    <row r="147" spans="17:20">
      <c r="Q147" s="1447"/>
      <c r="R147" s="2521"/>
      <c r="S147" s="1447"/>
      <c r="T147" s="1447"/>
    </row>
    <row r="148" spans="17:20">
      <c r="Q148" s="2544" t="s">
        <v>1085</v>
      </c>
      <c r="R148" s="2525">
        <f>+R140+R145</f>
        <v>1413.0572048192771</v>
      </c>
      <c r="S148" s="2525">
        <f>+S140+S145</f>
        <v>1753.3674457831326</v>
      </c>
      <c r="T148" s="1636">
        <f>+T140+T145</f>
        <v>2093.677686746988</v>
      </c>
    </row>
    <row r="149" spans="17:20">
      <c r="Q149" s="2521" t="s">
        <v>475</v>
      </c>
      <c r="R149" s="2538">
        <f>+S149</f>
        <v>113.08959516740317</v>
      </c>
      <c r="S149" s="2473">
        <f>+'EBITDA Val'!$F$15</f>
        <v>113.08959516740317</v>
      </c>
      <c r="T149" s="2537">
        <f>+S149</f>
        <v>113.08959516740317</v>
      </c>
    </row>
    <row r="150" spans="17:20">
      <c r="Q150" s="1428" t="s">
        <v>1404</v>
      </c>
      <c r="R150" s="2451">
        <f>+R148/R149</f>
        <v>12.495023991619833</v>
      </c>
      <c r="S150" s="2451">
        <f>+S148/S149</f>
        <v>15.504233109930889</v>
      </c>
      <c r="T150" s="2452">
        <f>+T148/T149</f>
        <v>18.513442228241942</v>
      </c>
    </row>
    <row r="152" spans="17:20">
      <c r="Q152" s="69" t="s">
        <v>656</v>
      </c>
    </row>
    <row r="153" spans="17:20">
      <c r="Q153" s="2517" t="s">
        <v>1853</v>
      </c>
      <c r="R153" s="73" t="s">
        <v>1205</v>
      </c>
      <c r="S153" s="73" t="s">
        <v>871</v>
      </c>
      <c r="T153" s="73" t="s">
        <v>1204</v>
      </c>
    </row>
    <row r="154" spans="17:20">
      <c r="Q154" s="1447" t="s">
        <v>1405</v>
      </c>
      <c r="R154" s="2536">
        <f>+S154</f>
        <v>236.81475903614455</v>
      </c>
      <c r="S154" s="2267">
        <f>+$P$100</f>
        <v>236.81475903614455</v>
      </c>
      <c r="T154" s="2536">
        <f>+S154</f>
        <v>236.81475903614455</v>
      </c>
    </row>
    <row r="155" spans="17:20">
      <c r="Q155" s="1447" t="s">
        <v>1620</v>
      </c>
      <c r="R155" s="2518">
        <v>6</v>
      </c>
      <c r="S155" s="2518">
        <v>7</v>
      </c>
      <c r="T155" s="2518">
        <v>7.5</v>
      </c>
    </row>
    <row r="156" spans="17:20">
      <c r="Q156" s="2544" t="s">
        <v>17</v>
      </c>
      <c r="R156" s="2525">
        <f>+R154*R155</f>
        <v>1420.8885542168673</v>
      </c>
      <c r="S156" s="2525">
        <f>+S154*S155</f>
        <v>1657.7033132530119</v>
      </c>
      <c r="T156" s="1636">
        <f>+T154*T155</f>
        <v>1776.1106927710841</v>
      </c>
    </row>
    <row r="157" spans="17:20">
      <c r="Q157" s="1447"/>
      <c r="R157" s="1447"/>
      <c r="S157" s="1447"/>
      <c r="T157" s="1447"/>
    </row>
    <row r="158" spans="17:20">
      <c r="Q158" s="2267" t="s">
        <v>777</v>
      </c>
      <c r="R158" s="2267">
        <f>-R154*R162</f>
        <v>-1184.0737951807228</v>
      </c>
      <c r="S158" s="2267">
        <f>-S154*S162</f>
        <v>-1184.0737951807228</v>
      </c>
      <c r="T158" s="2267">
        <f>-T154*T162</f>
        <v>-1184.0737951807228</v>
      </c>
    </row>
    <row r="159" spans="17:20">
      <c r="Q159" s="1447" t="s">
        <v>1542</v>
      </c>
      <c r="R159" s="2538">
        <f>+S159</f>
        <v>-68.13800000000009</v>
      </c>
      <c r="S159" s="2520">
        <f>-BYD!$BP$1225-S143-150-87</f>
        <v>-68.13800000000009</v>
      </c>
      <c r="T159" s="2537">
        <f>+S159</f>
        <v>-68.13800000000009</v>
      </c>
    </row>
    <row r="160" spans="17:20" ht="3.95" customHeight="1">
      <c r="Q160" s="174"/>
      <c r="R160" s="1608" t="s">
        <v>343</v>
      </c>
      <c r="S160" s="1608" t="s">
        <v>343</v>
      </c>
      <c r="T160" s="1608" t="s">
        <v>343</v>
      </c>
    </row>
    <row r="161" spans="17:20">
      <c r="Q161" s="2267" t="s">
        <v>673</v>
      </c>
      <c r="R161" s="2267">
        <f>+R158+R159</f>
        <v>-1252.2117951807229</v>
      </c>
      <c r="S161" s="2267">
        <f>+S158+S159</f>
        <v>-1252.2117951807229</v>
      </c>
      <c r="T161" s="2267">
        <f>+T158+T159</f>
        <v>-1252.2117951807229</v>
      </c>
    </row>
    <row r="162" spans="17:20">
      <c r="Q162" s="2539" t="s">
        <v>1416</v>
      </c>
      <c r="R162" s="2547">
        <f>+S162</f>
        <v>5</v>
      </c>
      <c r="S162" s="2548">
        <v>5</v>
      </c>
      <c r="T162" s="2547">
        <f>+S162</f>
        <v>5</v>
      </c>
    </row>
    <row r="163" spans="17:20">
      <c r="Q163" s="2539" t="s">
        <v>1429</v>
      </c>
      <c r="R163" s="2557">
        <f>(-R161-(L97*8))/(R154-L97)</f>
        <v>6.7942691200559091</v>
      </c>
      <c r="S163" s="2557">
        <f>(-S161-(M97*8))/(S154-M97)</f>
        <v>6.7608558257806486</v>
      </c>
      <c r="T163" s="2557">
        <f>(-T161-(N97*8))/(T154-N97)</f>
        <v>6.8416899881423587</v>
      </c>
    </row>
    <row r="164" spans="17:20">
      <c r="Q164" s="2541"/>
      <c r="R164" s="2542"/>
      <c r="S164" s="2543"/>
      <c r="T164" s="2542"/>
    </row>
    <row r="165" spans="17:20">
      <c r="Q165" s="2544" t="s">
        <v>1085</v>
      </c>
      <c r="R165" s="2525">
        <f>+R156+R161</f>
        <v>168.6767590361444</v>
      </c>
      <c r="S165" s="2525">
        <f>+S156+S161</f>
        <v>405.49151807228895</v>
      </c>
      <c r="T165" s="2525">
        <f>+T156+T161</f>
        <v>523.89889759036123</v>
      </c>
    </row>
    <row r="166" spans="17:20">
      <c r="Q166" s="1447" t="s">
        <v>475</v>
      </c>
      <c r="R166" s="2538">
        <f>+S166</f>
        <v>113.08959516740317</v>
      </c>
      <c r="S166" s="2473">
        <f>+'EBITDA Val'!$F$15</f>
        <v>113.08959516740317</v>
      </c>
      <c r="T166" s="2537">
        <f>+S166</f>
        <v>113.08959516740317</v>
      </c>
    </row>
    <row r="167" spans="17:20">
      <c r="Q167" s="1428" t="s">
        <v>1445</v>
      </c>
      <c r="R167" s="2451">
        <f>+R165/R166</f>
        <v>1.4915320793788076</v>
      </c>
      <c r="S167" s="2451">
        <f>+S165/S166</f>
        <v>3.585577589804366</v>
      </c>
      <c r="T167" s="2452">
        <f>+T165/T166</f>
        <v>4.6326003450171456</v>
      </c>
    </row>
    <row r="169" spans="17:20">
      <c r="Q169" s="69" t="s">
        <v>1444</v>
      </c>
      <c r="R169" s="1447"/>
      <c r="S169" s="1447"/>
      <c r="T169" s="1447"/>
    </row>
    <row r="170" spans="17:20">
      <c r="Q170" s="2517" t="s">
        <v>1414</v>
      </c>
      <c r="R170" s="73" t="s">
        <v>1205</v>
      </c>
      <c r="S170" s="73" t="s">
        <v>871</v>
      </c>
      <c r="T170" s="73" t="s">
        <v>1204</v>
      </c>
    </row>
    <row r="171" spans="17:20">
      <c r="Q171" s="1447" t="s">
        <v>1417</v>
      </c>
      <c r="R171" s="2267">
        <f>+R154+R138</f>
        <v>577.125</v>
      </c>
      <c r="S171" s="2267">
        <f>+S154+S138</f>
        <v>577.125</v>
      </c>
      <c r="T171" s="2267">
        <f>+T154+T138</f>
        <v>577.125</v>
      </c>
    </row>
    <row r="172" spans="17:20">
      <c r="Q172" s="1447" t="s">
        <v>1620</v>
      </c>
      <c r="R172" s="2546">
        <f>+R173/R171</f>
        <v>8.3586588067670284</v>
      </c>
      <c r="S172" s="2546">
        <f>+S173/S171</f>
        <v>9.3586588067670284</v>
      </c>
      <c r="T172" s="2546">
        <f>+T173/T171</f>
        <v>10.153491157612908</v>
      </c>
    </row>
    <row r="173" spans="17:20">
      <c r="Q173" s="2544" t="s">
        <v>17</v>
      </c>
      <c r="R173" s="2525">
        <f>+R140+R156</f>
        <v>4823.9909638554218</v>
      </c>
      <c r="S173" s="2525">
        <f>+S140+S156</f>
        <v>5401.1159638554218</v>
      </c>
      <c r="T173" s="1636">
        <f>+T140+T156</f>
        <v>5859.8335843373497</v>
      </c>
    </row>
    <row r="174" spans="17:20">
      <c r="Q174" s="1447"/>
      <c r="R174" s="2519"/>
      <c r="S174" s="1447"/>
      <c r="T174" s="1447"/>
    </row>
    <row r="175" spans="17:20">
      <c r="Q175" s="2267" t="s">
        <v>777</v>
      </c>
      <c r="R175" s="2267">
        <f t="shared" ref="R175:T176" si="0">+R158+R142</f>
        <v>-3199.1190000000001</v>
      </c>
      <c r="S175" s="2267">
        <f t="shared" si="0"/>
        <v>-3199.1190000000001</v>
      </c>
      <c r="T175" s="2267">
        <f t="shared" si="0"/>
        <v>-3199.1190000000001</v>
      </c>
    </row>
    <row r="176" spans="17:20">
      <c r="Q176" s="1447" t="s">
        <v>1542</v>
      </c>
      <c r="R176" s="2473">
        <f t="shared" si="0"/>
        <v>-43.13800000000009</v>
      </c>
      <c r="S176" s="2473">
        <f t="shared" si="0"/>
        <v>-43.13800000000009</v>
      </c>
      <c r="T176" s="2473">
        <f t="shared" si="0"/>
        <v>-43.13800000000009</v>
      </c>
    </row>
    <row r="177" spans="17:21" ht="3.95" customHeight="1">
      <c r="Q177" s="174"/>
      <c r="R177" s="1608" t="s">
        <v>343</v>
      </c>
      <c r="S177" s="1608" t="s">
        <v>343</v>
      </c>
      <c r="T177" s="1608" t="s">
        <v>343</v>
      </c>
    </row>
    <row r="178" spans="17:21">
      <c r="Q178" s="2267" t="s">
        <v>673</v>
      </c>
      <c r="R178" s="2545">
        <f>+R175+R176</f>
        <v>-3242.2570000000001</v>
      </c>
      <c r="S178" s="2545">
        <f>+S175+S176</f>
        <v>-3242.2570000000001</v>
      </c>
      <c r="T178" s="2545">
        <f>+T175+T176</f>
        <v>-3242.2570000000001</v>
      </c>
    </row>
    <row r="179" spans="17:21">
      <c r="Q179" s="2539" t="s">
        <v>1416</v>
      </c>
      <c r="R179" s="2540">
        <f>-R178/R171</f>
        <v>5.6179458522850334</v>
      </c>
      <c r="S179" s="2540">
        <f>-S178/S171</f>
        <v>5.6179458522850334</v>
      </c>
      <c r="T179" s="2540">
        <f>-T178/T171</f>
        <v>5.6179458522850334</v>
      </c>
    </row>
    <row r="180" spans="17:21">
      <c r="Q180" s="2267"/>
      <c r="R180" s="2545"/>
      <c r="S180" s="2545"/>
      <c r="T180" s="2545"/>
    </row>
    <row r="181" spans="17:21">
      <c r="Q181" s="2544" t="s">
        <v>1085</v>
      </c>
      <c r="R181" s="2525">
        <f>+R173+R178</f>
        <v>1581.7339638554217</v>
      </c>
      <c r="S181" s="2525">
        <f>+S173+S178</f>
        <v>2158.8589638554217</v>
      </c>
      <c r="T181" s="2525">
        <f>+T173+T178</f>
        <v>2617.5765843373497</v>
      </c>
    </row>
    <row r="182" spans="17:21">
      <c r="Q182" s="1447" t="s">
        <v>475</v>
      </c>
      <c r="R182" s="2538">
        <f>+S182</f>
        <v>113.08959516740317</v>
      </c>
      <c r="S182" s="2473">
        <f>+'EBITDA Val'!$F$15</f>
        <v>113.08959516740317</v>
      </c>
      <c r="T182" s="2537">
        <f>+S182</f>
        <v>113.08959516740317</v>
      </c>
    </row>
    <row r="183" spans="17:21">
      <c r="Q183" s="1428" t="s">
        <v>1427</v>
      </c>
      <c r="R183" s="2451">
        <f>+R181/R182</f>
        <v>13.986556070998644</v>
      </c>
      <c r="S183" s="2451">
        <f>+S181/S182</f>
        <v>19.089810699735256</v>
      </c>
      <c r="T183" s="2452">
        <f>+T181/T182</f>
        <v>23.146042573259095</v>
      </c>
    </row>
    <row r="185" spans="17:21">
      <c r="Q185" s="69" t="s">
        <v>1428</v>
      </c>
    </row>
    <row r="186" spans="17:21">
      <c r="Q186" s="1447" t="s">
        <v>1422</v>
      </c>
      <c r="R186" s="2555">
        <v>1000</v>
      </c>
      <c r="S186" s="2555">
        <v>1000</v>
      </c>
      <c r="T186" s="2555">
        <v>1000</v>
      </c>
    </row>
    <row r="187" spans="17:21">
      <c r="Q187" s="1447" t="s">
        <v>1423</v>
      </c>
      <c r="R187" s="2549">
        <v>12</v>
      </c>
      <c r="S187" s="2549">
        <v>18</v>
      </c>
      <c r="T187" s="2549">
        <v>24</v>
      </c>
    </row>
    <row r="188" spans="17:21">
      <c r="Q188" s="1447" t="s">
        <v>1420</v>
      </c>
      <c r="R188" s="98">
        <f>+R186/R187</f>
        <v>83.333333333333329</v>
      </c>
      <c r="S188" s="98">
        <f>+S186/S187</f>
        <v>55.555555555555557</v>
      </c>
      <c r="T188" s="98">
        <f>+T186/T187</f>
        <v>41.666666666666664</v>
      </c>
    </row>
    <row r="189" spans="17:21">
      <c r="Q189" s="1447"/>
      <c r="R189" s="98"/>
      <c r="S189" s="98"/>
      <c r="T189" s="98"/>
    </row>
    <row r="190" spans="17:21">
      <c r="Q190" s="1447" t="s">
        <v>345</v>
      </c>
      <c r="R190" s="98">
        <f>+R178+R186</f>
        <v>-2242.2570000000001</v>
      </c>
      <c r="S190" s="98">
        <f>+S178+S186</f>
        <v>-2242.2570000000001</v>
      </c>
      <c r="T190" s="98">
        <f>+T178+T186</f>
        <v>-2242.2570000000001</v>
      </c>
    </row>
    <row r="191" spans="17:21">
      <c r="Q191" s="1447" t="s">
        <v>1416</v>
      </c>
      <c r="R191" s="2500">
        <f>+-R190/R171</f>
        <v>3.8852189733593243</v>
      </c>
      <c r="S191" s="2500">
        <f>+-S190/S171</f>
        <v>3.8852189733593243</v>
      </c>
      <c r="T191" s="2500">
        <f>+-T190/T171</f>
        <v>3.8852189733593243</v>
      </c>
    </row>
    <row r="192" spans="17:21">
      <c r="Q192" s="2556" t="s">
        <v>1430</v>
      </c>
      <c r="R192" s="2604">
        <f>+(-R142-800)/R138</f>
        <v>3.5704044679288041</v>
      </c>
      <c r="S192" s="2604">
        <f>+(-S142-800)/S138</f>
        <v>3.5704044679288041</v>
      </c>
      <c r="T192" s="2604">
        <f>+(-T142-800)/T138</f>
        <v>3.5704044679288041</v>
      </c>
      <c r="U192" s="1447" t="s">
        <v>1439</v>
      </c>
    </row>
    <row r="193" spans="17:27">
      <c r="Q193" s="2556" t="s">
        <v>1431</v>
      </c>
      <c r="R193" s="2604">
        <f>+(-R158-200)/R154</f>
        <v>4.1554580431810235</v>
      </c>
      <c r="S193" s="2604">
        <f>+(-S158-200)/S154</f>
        <v>4.1554580431810235</v>
      </c>
      <c r="T193" s="2604">
        <f>+(-T158-200)/T154</f>
        <v>4.1554580431810235</v>
      </c>
      <c r="U193" s="1447" t="s">
        <v>1440</v>
      </c>
    </row>
    <row r="194" spans="17:27">
      <c r="Q194" s="2556" t="s">
        <v>1432</v>
      </c>
      <c r="R194" s="2604">
        <f>(-R161-(L97*8)-200)/(R154-L97)</f>
        <v>6.4188311326296894</v>
      </c>
      <c r="S194" s="2604">
        <f>(-S161-(M97*8)-200)/(S154-M97)</f>
        <v>6.3750136758960814</v>
      </c>
      <c r="T194" s="2604">
        <f>(-T161-(N97*8)-200)/(T154-N97)</f>
        <v>6.4810178125341178</v>
      </c>
    </row>
    <row r="196" spans="17:27">
      <c r="Q196" s="1447" t="s">
        <v>1424</v>
      </c>
      <c r="R196" s="113">
        <f>+R173+R190</f>
        <v>2581.7339638554217</v>
      </c>
      <c r="S196" s="113">
        <f>+S173+S190</f>
        <v>3158.8589638554217</v>
      </c>
      <c r="T196" s="113">
        <f>+T173+T190</f>
        <v>3617.5765843373497</v>
      </c>
    </row>
    <row r="197" spans="17:27">
      <c r="Q197" s="1447" t="s">
        <v>1425</v>
      </c>
      <c r="R197" s="98">
        <f>+R182+R188</f>
        <v>196.4229285007365</v>
      </c>
      <c r="S197" s="98">
        <f>+S182+S188</f>
        <v>168.64515072295873</v>
      </c>
      <c r="T197" s="98">
        <f>+T182+T188</f>
        <v>154.75626183406985</v>
      </c>
    </row>
    <row r="198" spans="17:27">
      <c r="Q198" s="1428" t="s">
        <v>1426</v>
      </c>
      <c r="R198" s="2451">
        <f>+R196/R197</f>
        <v>13.143750495735743</v>
      </c>
      <c r="S198" s="2451">
        <f>+S196/S197</f>
        <v>18.73080222178832</v>
      </c>
      <c r="T198" s="2452">
        <f>+T196/T197</f>
        <v>23.375962571492757</v>
      </c>
    </row>
    <row r="200" spans="17:27">
      <c r="Q200" s="1447" t="s">
        <v>1446</v>
      </c>
      <c r="R200" s="2555">
        <v>0</v>
      </c>
      <c r="S200" s="2555">
        <v>0</v>
      </c>
      <c r="T200" s="2555">
        <v>2</v>
      </c>
    </row>
    <row r="202" spans="17:27">
      <c r="Q202" s="1428" t="s">
        <v>1447</v>
      </c>
      <c r="R202" s="2451">
        <f>+R198+R200</f>
        <v>13.143750495735743</v>
      </c>
      <c r="S202" s="2451">
        <f>+S198+S200</f>
        <v>18.73080222178832</v>
      </c>
      <c r="T202" s="2452">
        <f>+T198+T200</f>
        <v>25.375962571492757</v>
      </c>
    </row>
    <row r="203" spans="17:27">
      <c r="Q203" s="1447" t="s">
        <v>1457</v>
      </c>
      <c r="R203" s="105">
        <f>+R202/'EBITDA Val'!$F$23-1</f>
        <v>-0.64978016265025995</v>
      </c>
      <c r="S203" s="105">
        <f>+S202/'EBITDA Val'!$F$23-1</f>
        <v>-0.50091121178288511</v>
      </c>
      <c r="T203" s="105">
        <f>+T202/'EBITDA Val'!$F$23-1</f>
        <v>-0.32384858589148002</v>
      </c>
    </row>
    <row r="206" spans="17:27">
      <c r="X206" s="1428" t="s">
        <v>1458</v>
      </c>
      <c r="Y206" s="2627"/>
      <c r="Z206" s="2627"/>
      <c r="AA206" s="2628"/>
    </row>
    <row r="207" spans="17:27">
      <c r="X207" s="59"/>
      <c r="Y207" s="73" t="s">
        <v>1205</v>
      </c>
      <c r="Z207" s="73" t="s">
        <v>871</v>
      </c>
      <c r="AA207" s="2610" t="s">
        <v>1204</v>
      </c>
    </row>
    <row r="208" spans="17:27">
      <c r="X208" s="2522" t="s">
        <v>1460</v>
      </c>
      <c r="Y208" s="313">
        <f>+$N$116</f>
        <v>317.705421686747</v>
      </c>
      <c r="Z208" s="313">
        <f>+$N$116</f>
        <v>317.705421686747</v>
      </c>
      <c r="AA208" s="2295">
        <f>+$N$116</f>
        <v>317.705421686747</v>
      </c>
    </row>
    <row r="209" spans="17:32">
      <c r="X209" s="2522" t="s">
        <v>1415</v>
      </c>
      <c r="Y209" s="2573">
        <v>-15</v>
      </c>
      <c r="Z209" s="2573">
        <v>-7.5</v>
      </c>
      <c r="AA209" s="2611">
        <v>0</v>
      </c>
      <c r="AC209" s="1428" t="s">
        <v>115</v>
      </c>
      <c r="AD209" s="2629"/>
      <c r="AE209" s="2629"/>
      <c r="AF209" s="2630"/>
    </row>
    <row r="210" spans="17:32">
      <c r="X210" s="2522" t="s">
        <v>1403</v>
      </c>
      <c r="Y210" s="313">
        <f>SUM(Y208:Y209)</f>
        <v>302.705421686747</v>
      </c>
      <c r="Z210" s="313">
        <f>SUM(Z208:Z209)</f>
        <v>310.205421686747</v>
      </c>
      <c r="AA210" s="2295">
        <f>SUM(AA208:AA209)</f>
        <v>317.705421686747</v>
      </c>
      <c r="AC210" s="2522" t="s">
        <v>110</v>
      </c>
      <c r="AD210" s="313">
        <f>+Y213+Y258</f>
        <v>6300.7848433734935</v>
      </c>
      <c r="AE210" s="313">
        <f>+Z213+Z258</f>
        <v>5986.0418433734931</v>
      </c>
      <c r="AF210" s="2295">
        <f>+AA213+AA258</f>
        <v>5671.2988433734936</v>
      </c>
    </row>
    <row r="211" spans="17:32">
      <c r="X211" s="2522" t="s">
        <v>1459</v>
      </c>
      <c r="Y211" s="2612">
        <v>11</v>
      </c>
      <c r="Z211" s="2612">
        <v>10.5</v>
      </c>
      <c r="AA211" s="2613">
        <v>10</v>
      </c>
      <c r="AC211" s="2522" t="s">
        <v>111</v>
      </c>
      <c r="AD211" s="96">
        <f>-BYD!$BK$1232</f>
        <v>-3080.9780000000001</v>
      </c>
      <c r="AE211" s="96">
        <f>-BYD!$BK$1232</f>
        <v>-3080.9780000000001</v>
      </c>
      <c r="AF211" s="97">
        <f>-BYD!$BK$1232</f>
        <v>-3080.9780000000001</v>
      </c>
    </row>
    <row r="212" spans="17:32" ht="3.95" customHeight="1">
      <c r="Q212" s="174"/>
      <c r="R212" s="1608"/>
      <c r="S212" s="1608"/>
      <c r="T212" s="1608"/>
      <c r="X212" s="59"/>
      <c r="Y212" s="1608" t="s">
        <v>343</v>
      </c>
      <c r="Z212" s="1608" t="s">
        <v>343</v>
      </c>
      <c r="AA212" s="2614" t="s">
        <v>343</v>
      </c>
      <c r="AC212" s="2522"/>
      <c r="AD212" s="1608" t="s">
        <v>343</v>
      </c>
      <c r="AE212" s="1608" t="s">
        <v>343</v>
      </c>
      <c r="AF212" s="2614" t="s">
        <v>343</v>
      </c>
    </row>
    <row r="213" spans="17:32">
      <c r="X213" s="80" t="s">
        <v>1637</v>
      </c>
      <c r="Y213" s="325">
        <f>+Y208*Y211</f>
        <v>3494.759638554217</v>
      </c>
      <c r="Z213" s="325">
        <f>+Z208*Z211</f>
        <v>3335.9069277108433</v>
      </c>
      <c r="AA213" s="2150">
        <f>+AA208*AA211</f>
        <v>3177.0542168674701</v>
      </c>
      <c r="AC213" s="2522" t="s">
        <v>112</v>
      </c>
      <c r="AD213" s="313">
        <f>SUM(AD210:AD211)</f>
        <v>3219.8068433734934</v>
      </c>
      <c r="AE213" s="313">
        <f>SUM(AE210:AE211)</f>
        <v>2905.063843373493</v>
      </c>
      <c r="AF213" s="2295">
        <f>SUM(AF210:AF211)</f>
        <v>2590.3208433734935</v>
      </c>
    </row>
    <row r="214" spans="17:32">
      <c r="X214" s="59"/>
      <c r="Y214" s="61"/>
      <c r="Z214" s="61"/>
      <c r="AA214" s="60"/>
      <c r="AC214" s="2522" t="s">
        <v>113</v>
      </c>
      <c r="AD214" s="96">
        <f>+BYD!$BK$103</f>
        <v>113.11450000000001</v>
      </c>
      <c r="AE214" s="96">
        <f>+BYD!$BK$103</f>
        <v>113.11450000000001</v>
      </c>
      <c r="AF214" s="97">
        <f>+BYD!$BK$103</f>
        <v>113.11450000000001</v>
      </c>
    </row>
    <row r="215" spans="17:32">
      <c r="X215" s="2522" t="s">
        <v>1416</v>
      </c>
      <c r="Y215" s="2615">
        <f>+Z215</f>
        <v>5.5</v>
      </c>
      <c r="Z215" s="2612">
        <v>5.5</v>
      </c>
      <c r="AA215" s="2616">
        <f>+Z215</f>
        <v>5.5</v>
      </c>
      <c r="AC215" s="147" t="s">
        <v>114</v>
      </c>
      <c r="AD215" s="2606">
        <f>+AD213/AD214</f>
        <v>28.465022993281085</v>
      </c>
      <c r="AE215" s="2606">
        <f>+AE213/AE214</f>
        <v>25.68250616298965</v>
      </c>
      <c r="AF215" s="2607">
        <f>+AF213/AF214</f>
        <v>22.899989332698226</v>
      </c>
    </row>
    <row r="216" spans="17:32">
      <c r="X216" s="2462" t="s">
        <v>1461</v>
      </c>
      <c r="Y216" s="313">
        <f>+Y215*Y208</f>
        <v>1747.3798192771085</v>
      </c>
      <c r="Z216" s="313">
        <f>+Z215*Z208</f>
        <v>1747.3798192771085</v>
      </c>
      <c r="AA216" s="2295">
        <f>+AA215*AA208</f>
        <v>1747.3798192771085</v>
      </c>
    </row>
    <row r="217" spans="17:32">
      <c r="X217" s="2462" t="s">
        <v>1462</v>
      </c>
      <c r="Y217" s="96">
        <f>+Y213-Y216</f>
        <v>1747.3798192771085</v>
      </c>
      <c r="Z217" s="96">
        <f>+Z213-Z216</f>
        <v>1588.5271084337348</v>
      </c>
      <c r="AA217" s="97">
        <f>+AA213-AA216</f>
        <v>1429.6743975903617</v>
      </c>
    </row>
    <row r="218" spans="17:32">
      <c r="X218" s="2605" t="s">
        <v>1463</v>
      </c>
      <c r="Y218" s="2617">
        <v>33</v>
      </c>
      <c r="Z218" s="2617">
        <v>35</v>
      </c>
      <c r="AA218" s="2618">
        <v>36</v>
      </c>
    </row>
    <row r="219" spans="17:32">
      <c r="X219" s="2605" t="s">
        <v>1464</v>
      </c>
      <c r="Y219" s="96">
        <f>+Y217/Y218</f>
        <v>52.950903614457836</v>
      </c>
      <c r="Z219" s="96">
        <f>+Z217/Z218</f>
        <v>45.386488812392422</v>
      </c>
      <c r="AA219" s="97">
        <f>+AA217/AA218</f>
        <v>39.713177710843382</v>
      </c>
    </row>
    <row r="220" spans="17:32">
      <c r="X220" s="59"/>
      <c r="Y220" s="61"/>
      <c r="Z220" s="61"/>
      <c r="AA220" s="60"/>
    </row>
    <row r="221" spans="17:32">
      <c r="X221" s="2522" t="s">
        <v>1465</v>
      </c>
      <c r="Y221" s="313">
        <f>+Y208</f>
        <v>317.705421686747</v>
      </c>
      <c r="Z221" s="313">
        <f>+Z208</f>
        <v>317.705421686747</v>
      </c>
      <c r="AA221" s="2295">
        <f>+AA208</f>
        <v>317.705421686747</v>
      </c>
    </row>
    <row r="222" spans="17:32">
      <c r="X222" s="2522" t="s">
        <v>1466</v>
      </c>
      <c r="Y222" s="2612">
        <v>15</v>
      </c>
      <c r="Z222" s="2615">
        <f>+Y222</f>
        <v>15</v>
      </c>
      <c r="AA222" s="2616">
        <f>+Z222</f>
        <v>15</v>
      </c>
    </row>
    <row r="223" spans="17:32">
      <c r="X223" s="2522" t="s">
        <v>95</v>
      </c>
      <c r="Y223" s="313">
        <f>+Y221*Y222</f>
        <v>4765.5813253012047</v>
      </c>
      <c r="Z223" s="313">
        <f>+Z221*Z222</f>
        <v>4765.5813253012047</v>
      </c>
      <c r="AA223" s="2295">
        <f>+AA221*AA222</f>
        <v>4765.5813253012047</v>
      </c>
    </row>
    <row r="224" spans="17:32" ht="3.95" customHeight="1">
      <c r="X224" s="59"/>
      <c r="Y224" s="61"/>
      <c r="Z224" s="61"/>
      <c r="AA224" s="60"/>
    </row>
    <row r="225" spans="24:27">
      <c r="X225" s="2522" t="s">
        <v>96</v>
      </c>
      <c r="Y225" s="2526">
        <v>12332.285657988852</v>
      </c>
      <c r="Z225" s="96">
        <v>12332.285657988852</v>
      </c>
      <c r="AA225" s="97">
        <v>12332.285657988852</v>
      </c>
    </row>
    <row r="226" spans="24:27" ht="3.95" customHeight="1">
      <c r="X226" s="59"/>
      <c r="Y226" s="1608" t="s">
        <v>343</v>
      </c>
      <c r="Z226" s="1608" t="s">
        <v>343</v>
      </c>
      <c r="AA226" s="2614" t="s">
        <v>343</v>
      </c>
    </row>
    <row r="227" spans="24:27">
      <c r="X227" s="80" t="s">
        <v>97</v>
      </c>
      <c r="Y227" s="325">
        <f>+Y225+Y223</f>
        <v>17097.866983290056</v>
      </c>
      <c r="Z227" s="325">
        <f>+Z225+Z223</f>
        <v>17097.866983290056</v>
      </c>
      <c r="AA227" s="2150">
        <f>+AA225+AA223</f>
        <v>17097.866983290056</v>
      </c>
    </row>
    <row r="228" spans="24:27">
      <c r="X228" s="2522" t="s">
        <v>98</v>
      </c>
      <c r="Y228" s="96">
        <v>-2.0209999999999999</v>
      </c>
      <c r="Z228" s="96">
        <v>-2.0209999999999999</v>
      </c>
      <c r="AA228" s="97">
        <v>-2.0209999999999999</v>
      </c>
    </row>
    <row r="229" spans="24:27">
      <c r="X229" s="2522" t="s">
        <v>99</v>
      </c>
      <c r="Y229" s="96">
        <f>-Y216</f>
        <v>-1747.3798192771085</v>
      </c>
      <c r="Z229" s="96">
        <f>-Z216</f>
        <v>-1747.3798192771085</v>
      </c>
      <c r="AA229" s="97">
        <f>-AA216</f>
        <v>-1747.3798192771085</v>
      </c>
    </row>
    <row r="230" spans="24:27">
      <c r="X230" s="2522" t="s">
        <v>100</v>
      </c>
      <c r="Y230" s="96">
        <v>61.378999999999998</v>
      </c>
      <c r="Z230" s="96">
        <v>61.378999999999998</v>
      </c>
      <c r="AA230" s="97">
        <v>61.378999999999998</v>
      </c>
    </row>
    <row r="231" spans="24:27" ht="3.95" customHeight="1">
      <c r="X231" s="59"/>
      <c r="Y231" s="1608" t="s">
        <v>343</v>
      </c>
      <c r="Z231" s="1608" t="s">
        <v>343</v>
      </c>
      <c r="AA231" s="2614" t="s">
        <v>343</v>
      </c>
    </row>
    <row r="232" spans="24:27">
      <c r="X232" s="2522" t="s">
        <v>101</v>
      </c>
      <c r="Y232" s="313">
        <f>SUM(Y227:Y230)</f>
        <v>15409.845164012948</v>
      </c>
      <c r="Z232" s="313">
        <f>SUM(Z227:Z230)</f>
        <v>15409.845164012948</v>
      </c>
      <c r="AA232" s="2295">
        <f>SUM(AA227:AA230)</f>
        <v>15409.845164012948</v>
      </c>
    </row>
    <row r="233" spans="24:27">
      <c r="X233" s="2522" t="s">
        <v>1425</v>
      </c>
      <c r="Y233" s="96">
        <v>265.87775105474424</v>
      </c>
      <c r="Z233" s="96">
        <v>258.31333625267882</v>
      </c>
      <c r="AA233" s="97">
        <v>252.64002515112978</v>
      </c>
    </row>
    <row r="234" spans="24:27">
      <c r="X234" s="147" t="s">
        <v>1467</v>
      </c>
      <c r="Y234" s="2606">
        <f>+Y232/Y233</f>
        <v>57.958385396603042</v>
      </c>
      <c r="Z234" s="2606">
        <f>+Z232/Z233</f>
        <v>59.655631364457442</v>
      </c>
      <c r="AA234" s="2607">
        <f>+AA232/AA233</f>
        <v>60.995264526255283</v>
      </c>
    </row>
    <row r="235" spans="24:27">
      <c r="X235" s="2621" t="s">
        <v>102</v>
      </c>
      <c r="Y235" s="2622">
        <v>34</v>
      </c>
      <c r="Z235" s="2622">
        <v>34</v>
      </c>
      <c r="AA235" s="2623">
        <v>34</v>
      </c>
    </row>
    <row r="236" spans="24:27">
      <c r="X236" s="2621" t="s">
        <v>103</v>
      </c>
      <c r="Y236" s="2299">
        <f>+Y234/Y235-1</f>
        <v>0.70465839401773644</v>
      </c>
      <c r="Z236" s="2299">
        <f>+Z234/Z235-1</f>
        <v>0.75457739307227767</v>
      </c>
      <c r="AA236" s="2300">
        <f>+AA234/AA235-1</f>
        <v>0.79397836841927294</v>
      </c>
    </row>
    <row r="237" spans="24:27">
      <c r="X237" s="59"/>
      <c r="Y237" s="61"/>
      <c r="Z237" s="61"/>
      <c r="AA237" s="60"/>
    </row>
    <row r="238" spans="24:27">
      <c r="X238" s="2531" t="s">
        <v>1468</v>
      </c>
      <c r="Y238" s="61"/>
      <c r="Z238" s="61"/>
      <c r="AA238" s="60"/>
    </row>
    <row r="239" spans="24:27">
      <c r="X239" s="2522" t="s">
        <v>1469</v>
      </c>
      <c r="Y239" s="313">
        <f t="shared" ref="Y239:AA240" si="1">+-Y228</f>
        <v>2.0209999999999999</v>
      </c>
      <c r="Z239" s="313">
        <f t="shared" si="1"/>
        <v>2.0209999999999999</v>
      </c>
      <c r="AA239" s="2295">
        <f t="shared" si="1"/>
        <v>2.0209999999999999</v>
      </c>
    </row>
    <row r="240" spans="24:27">
      <c r="X240" s="2522" t="s">
        <v>94</v>
      </c>
      <c r="Y240" s="96">
        <f t="shared" si="1"/>
        <v>1747.3798192771085</v>
      </c>
      <c r="Z240" s="96">
        <f t="shared" si="1"/>
        <v>1747.3798192771085</v>
      </c>
      <c r="AA240" s="97">
        <f t="shared" si="1"/>
        <v>1747.3798192771085</v>
      </c>
    </row>
    <row r="241" spans="17:30" ht="3.95" customHeight="1">
      <c r="X241" s="2522"/>
      <c r="Y241" s="1608" t="s">
        <v>343</v>
      </c>
      <c r="Z241" s="1608" t="s">
        <v>343</v>
      </c>
      <c r="AA241" s="2614" t="s">
        <v>343</v>
      </c>
    </row>
    <row r="242" spans="17:30" ht="12.75" customHeight="1">
      <c r="X242" s="2522" t="s">
        <v>1471</v>
      </c>
      <c r="Y242" s="313">
        <f>SUM(Y239:Y240)</f>
        <v>1749.4008192771084</v>
      </c>
      <c r="Z242" s="313">
        <f>SUM(Z239:Z240)</f>
        <v>1749.4008192771084</v>
      </c>
      <c r="AA242" s="2295">
        <f>SUM(AA239:AA240)</f>
        <v>1749.4008192771084</v>
      </c>
      <c r="AB242" s="1447"/>
      <c r="AD242" s="2494"/>
    </row>
    <row r="243" spans="17:30" ht="12.75" customHeight="1">
      <c r="X243" s="2522" t="s">
        <v>104</v>
      </c>
      <c r="Y243" s="96">
        <f>+-Y230</f>
        <v>-61.378999999999998</v>
      </c>
      <c r="Z243" s="96">
        <f>+-Z230</f>
        <v>-61.378999999999998</v>
      </c>
      <c r="AA243" s="97">
        <f>+-AA230</f>
        <v>-61.378999999999998</v>
      </c>
      <c r="AB243" s="1447"/>
      <c r="AD243" s="2494"/>
    </row>
    <row r="244" spans="17:30" ht="12.75" customHeight="1">
      <c r="X244" s="2522" t="s">
        <v>583</v>
      </c>
      <c r="Y244" s="96">
        <f>+Y242+Y243</f>
        <v>1688.0218192771085</v>
      </c>
      <c r="Z244" s="96">
        <f>+Z242+Z243</f>
        <v>1688.0218192771085</v>
      </c>
      <c r="AA244" s="97">
        <f>+AA242+AA243</f>
        <v>1688.0218192771085</v>
      </c>
      <c r="AB244" s="1447"/>
      <c r="AD244" s="2494"/>
    </row>
    <row r="245" spans="17:30" ht="12.75" customHeight="1">
      <c r="Q245" s="174"/>
      <c r="R245" s="1608"/>
      <c r="S245" s="1608"/>
      <c r="T245" s="1608"/>
      <c r="X245" s="59"/>
      <c r="Y245" s="1608"/>
      <c r="Z245" s="1608"/>
      <c r="AA245" s="2614"/>
    </row>
    <row r="246" spans="17:30" ht="12.75" customHeight="1">
      <c r="X246" s="2522" t="s">
        <v>1472</v>
      </c>
      <c r="Y246" s="313">
        <v>100.343</v>
      </c>
      <c r="Z246" s="313">
        <v>100.343</v>
      </c>
      <c r="AA246" s="2295">
        <v>100.343</v>
      </c>
    </row>
    <row r="247" spans="17:30" ht="12.75" customHeight="1">
      <c r="X247" s="2609" t="s">
        <v>1473</v>
      </c>
      <c r="Y247" s="96">
        <f>+Y210</f>
        <v>302.705421686747</v>
      </c>
      <c r="Z247" s="96">
        <f>+Z210</f>
        <v>310.205421686747</v>
      </c>
      <c r="AA247" s="97">
        <f>+AA210</f>
        <v>317.705421686747</v>
      </c>
    </row>
    <row r="248" spans="17:30" ht="3.95" customHeight="1">
      <c r="X248" s="2522"/>
      <c r="Y248" s="1608" t="s">
        <v>343</v>
      </c>
      <c r="Z248" s="1608" t="s">
        <v>343</v>
      </c>
      <c r="AA248" s="2614" t="s">
        <v>343</v>
      </c>
    </row>
    <row r="249" spans="17:30" ht="12.75" customHeight="1">
      <c r="X249" s="2609" t="s">
        <v>1474</v>
      </c>
      <c r="Y249" s="313">
        <f>SUM(Y246:Y247)</f>
        <v>403.04842168674702</v>
      </c>
      <c r="Z249" s="313">
        <f>SUM(Z246:Z247)</f>
        <v>410.54842168674702</v>
      </c>
      <c r="AA249" s="2295">
        <f>SUM(AA246:AA247)</f>
        <v>418.04842168674702</v>
      </c>
    </row>
    <row r="250" spans="17:30" ht="12.75" customHeight="1">
      <c r="X250" s="934"/>
      <c r="Y250" s="2371"/>
      <c r="Z250" s="2371"/>
      <c r="AA250" s="2608"/>
    </row>
    <row r="251" spans="17:30">
      <c r="X251" s="80" t="s">
        <v>1475</v>
      </c>
      <c r="Y251" s="2619">
        <f>+Y244/Y249</f>
        <v>4.1881365326101063</v>
      </c>
      <c r="Z251" s="2619">
        <f>+Z244/Z249</f>
        <v>4.111626619685528</v>
      </c>
      <c r="AA251" s="2620">
        <f>+AA244/AA249</f>
        <v>4.037861959785082</v>
      </c>
    </row>
    <row r="252" spans="17:30">
      <c r="X252" s="56"/>
      <c r="Y252" s="72"/>
      <c r="Z252" s="72"/>
      <c r="AA252" s="102"/>
    </row>
    <row r="253" spans="17:30">
      <c r="X253" s="1428" t="s">
        <v>87</v>
      </c>
      <c r="Y253" s="2627"/>
      <c r="Z253" s="2627"/>
      <c r="AA253" s="2628"/>
    </row>
    <row r="254" spans="17:30">
      <c r="X254" s="59"/>
      <c r="Y254" s="73" t="s">
        <v>1205</v>
      </c>
      <c r="Z254" s="73" t="s">
        <v>871</v>
      </c>
      <c r="AA254" s="2610" t="s">
        <v>1204</v>
      </c>
    </row>
    <row r="255" spans="17:30">
      <c r="X255" s="2522" t="s">
        <v>1405</v>
      </c>
      <c r="Y255" s="313">
        <f>+$N$100</f>
        <v>311.78057831325293</v>
      </c>
      <c r="Z255" s="313">
        <f>+$N$100</f>
        <v>311.78057831325293</v>
      </c>
      <c r="AA255" s="2295">
        <f>+$N$100</f>
        <v>311.78057831325293</v>
      </c>
    </row>
    <row r="256" spans="17:30">
      <c r="X256" s="2522" t="s">
        <v>1459</v>
      </c>
      <c r="Y256" s="2612">
        <v>9</v>
      </c>
      <c r="Z256" s="2612">
        <v>8.5</v>
      </c>
      <c r="AA256" s="2613">
        <v>8</v>
      </c>
    </row>
    <row r="257" spans="24:27" ht="3.95" customHeight="1">
      <c r="X257" s="59"/>
      <c r="Y257" s="1608" t="s">
        <v>343</v>
      </c>
      <c r="Z257" s="1608" t="s">
        <v>343</v>
      </c>
      <c r="AA257" s="2614" t="s">
        <v>343</v>
      </c>
    </row>
    <row r="258" spans="24:27">
      <c r="X258" s="80" t="s">
        <v>1637</v>
      </c>
      <c r="Y258" s="325">
        <f>+Y255*Y256</f>
        <v>2806.0252048192765</v>
      </c>
      <c r="Z258" s="325">
        <f>+Z255*Z256</f>
        <v>2650.1349156626497</v>
      </c>
      <c r="AA258" s="2150">
        <f>+AA255*AA256</f>
        <v>2494.2446265060235</v>
      </c>
    </row>
    <row r="259" spans="24:27">
      <c r="X259" s="59"/>
      <c r="Y259" s="61"/>
      <c r="Z259" s="61"/>
      <c r="AA259" s="60"/>
    </row>
    <row r="260" spans="24:27">
      <c r="X260" s="2522" t="s">
        <v>1416</v>
      </c>
      <c r="Y260" s="2615">
        <f>+Z260</f>
        <v>4</v>
      </c>
      <c r="Z260" s="2612">
        <v>4</v>
      </c>
      <c r="AA260" s="2616">
        <f>+Z260</f>
        <v>4</v>
      </c>
    </row>
    <row r="261" spans="24:27">
      <c r="X261" s="2462" t="s">
        <v>1461</v>
      </c>
      <c r="Y261" s="313">
        <f>+Y260*Y255</f>
        <v>1247.1223132530117</v>
      </c>
      <c r="Z261" s="313">
        <f>+Z260*Z255</f>
        <v>1247.1223132530117</v>
      </c>
      <c r="AA261" s="2295">
        <f>+AA260*AA255</f>
        <v>1247.1223132530117</v>
      </c>
    </row>
    <row r="262" spans="24:27">
      <c r="X262" s="2462" t="s">
        <v>1462</v>
      </c>
      <c r="Y262" s="96">
        <f>+Y258-Y261</f>
        <v>1558.9028915662648</v>
      </c>
      <c r="Z262" s="96">
        <f>+Z258-Z261</f>
        <v>1403.012602409638</v>
      </c>
      <c r="AA262" s="97">
        <f>+AA258-AA261</f>
        <v>1247.1223132530117</v>
      </c>
    </row>
    <row r="263" spans="24:27">
      <c r="X263" s="2605" t="s">
        <v>1463</v>
      </c>
      <c r="Y263" s="2617">
        <v>10</v>
      </c>
      <c r="Z263" s="2617">
        <v>12</v>
      </c>
      <c r="AA263" s="2618">
        <v>13</v>
      </c>
    </row>
    <row r="264" spans="24:27">
      <c r="X264" s="2605" t="s">
        <v>1464</v>
      </c>
      <c r="Y264" s="96">
        <f>+Y262/Y263</f>
        <v>155.89028915662647</v>
      </c>
      <c r="Z264" s="96">
        <f>+Z262/Z263</f>
        <v>116.91771686746984</v>
      </c>
      <c r="AA264" s="97">
        <f>+AA262/AA263</f>
        <v>95.932485634847055</v>
      </c>
    </row>
    <row r="265" spans="24:27">
      <c r="X265" s="59"/>
      <c r="Y265" s="61"/>
      <c r="Z265" s="61"/>
      <c r="AA265" s="60"/>
    </row>
    <row r="266" spans="24:27">
      <c r="X266" s="2522" t="s">
        <v>1405</v>
      </c>
      <c r="Y266" s="313">
        <f>+Y255</f>
        <v>311.78057831325293</v>
      </c>
      <c r="Z266" s="313">
        <f>+Z255</f>
        <v>311.78057831325293</v>
      </c>
      <c r="AA266" s="2295">
        <f>+AA255</f>
        <v>311.78057831325293</v>
      </c>
    </row>
    <row r="267" spans="24:27">
      <c r="X267" s="2522" t="s">
        <v>90</v>
      </c>
      <c r="Y267" s="2573">
        <v>25</v>
      </c>
      <c r="Z267" s="2573">
        <v>25</v>
      </c>
      <c r="AA267" s="2611">
        <v>25</v>
      </c>
    </row>
    <row r="268" spans="24:27">
      <c r="X268" s="2522" t="s">
        <v>91</v>
      </c>
      <c r="Y268" s="2573">
        <f>0.01*$N$94</f>
        <v>21.994300000000003</v>
      </c>
      <c r="Z268" s="2573">
        <f>0.02*$N$94</f>
        <v>43.988600000000005</v>
      </c>
      <c r="AA268" s="2611">
        <f>0.03*$N$94</f>
        <v>65.982900000000001</v>
      </c>
    </row>
    <row r="269" spans="24:27" ht="3.95" customHeight="1">
      <c r="X269" s="59"/>
      <c r="Y269" s="1608" t="s">
        <v>343</v>
      </c>
      <c r="Z269" s="1608" t="s">
        <v>343</v>
      </c>
      <c r="AA269" s="2614" t="s">
        <v>343</v>
      </c>
    </row>
    <row r="270" spans="24:27">
      <c r="X270" s="2522" t="s">
        <v>88</v>
      </c>
      <c r="Y270" s="313">
        <f>SUM(Y266:Y268)</f>
        <v>358.77487831325294</v>
      </c>
      <c r="Z270" s="313">
        <f>SUM(Z266:Z268)</f>
        <v>380.76917831325295</v>
      </c>
      <c r="AA270" s="2295">
        <f>SUM(AA266:AA268)</f>
        <v>402.7634783132529</v>
      </c>
    </row>
    <row r="271" spans="24:27">
      <c r="X271" s="2522" t="s">
        <v>89</v>
      </c>
      <c r="Y271" s="2612">
        <v>8</v>
      </c>
      <c r="Z271" s="2615">
        <f>+Y271</f>
        <v>8</v>
      </c>
      <c r="AA271" s="2616">
        <f>+Z271</f>
        <v>8</v>
      </c>
    </row>
    <row r="272" spans="24:27">
      <c r="X272" s="2522" t="s">
        <v>105</v>
      </c>
      <c r="Y272" s="313">
        <f>+Y270*Y271</f>
        <v>2870.1990265060235</v>
      </c>
      <c r="Z272" s="313">
        <f>+Z270*Z271</f>
        <v>3046.1534265060236</v>
      </c>
      <c r="AA272" s="2295">
        <f>+AA270*AA271</f>
        <v>3222.1078265060232</v>
      </c>
    </row>
    <row r="273" spans="24:27" ht="3.95" customHeight="1">
      <c r="X273" s="59"/>
      <c r="Y273" s="61"/>
      <c r="Z273" s="61"/>
      <c r="AA273" s="60"/>
    </row>
    <row r="274" spans="24:27">
      <c r="X274" s="2522" t="s">
        <v>106</v>
      </c>
      <c r="Y274" s="96">
        <v>0</v>
      </c>
      <c r="Z274" s="96">
        <v>0</v>
      </c>
      <c r="AA274" s="97">
        <v>0</v>
      </c>
    </row>
    <row r="275" spans="24:27" ht="3.95" customHeight="1">
      <c r="X275" s="59"/>
      <c r="Y275" s="1608" t="s">
        <v>343</v>
      </c>
      <c r="Z275" s="1608" t="s">
        <v>343</v>
      </c>
      <c r="AA275" s="2614" t="s">
        <v>343</v>
      </c>
    </row>
    <row r="276" spans="24:27">
      <c r="X276" s="80" t="s">
        <v>107</v>
      </c>
      <c r="Y276" s="313">
        <f>+Y272+Y274</f>
        <v>2870.1990265060235</v>
      </c>
      <c r="Z276" s="313">
        <f>+Z272+Z274</f>
        <v>3046.1534265060236</v>
      </c>
      <c r="AA276" s="2295">
        <f>+AA272+AA274</f>
        <v>3222.1078265060232</v>
      </c>
    </row>
    <row r="277" spans="24:27">
      <c r="X277" s="2522" t="s">
        <v>108</v>
      </c>
      <c r="Y277" s="96">
        <v>14.363</v>
      </c>
      <c r="Z277" s="96">
        <v>14.363</v>
      </c>
      <c r="AA277" s="97">
        <v>14.363</v>
      </c>
    </row>
    <row r="278" spans="24:27">
      <c r="X278" s="2522" t="s">
        <v>99</v>
      </c>
      <c r="Y278" s="96">
        <f>+-Y261</f>
        <v>-1247.1223132530117</v>
      </c>
      <c r="Z278" s="96">
        <f>+-Z261</f>
        <v>-1247.1223132530117</v>
      </c>
      <c r="AA278" s="97">
        <f>+-AA261</f>
        <v>-1247.1223132530117</v>
      </c>
    </row>
    <row r="279" spans="24:27">
      <c r="X279" s="2522" t="s">
        <v>100</v>
      </c>
      <c r="Y279" s="96">
        <v>1931.8619999999999</v>
      </c>
      <c r="Z279" s="96">
        <v>1931.8619999999999</v>
      </c>
      <c r="AA279" s="97">
        <v>1931.8619999999999</v>
      </c>
    </row>
    <row r="280" spans="24:27" ht="3.95" customHeight="1">
      <c r="X280" s="59"/>
      <c r="Y280" s="1608" t="s">
        <v>343</v>
      </c>
      <c r="Z280" s="1608" t="s">
        <v>343</v>
      </c>
      <c r="AA280" s="2614" t="s">
        <v>343</v>
      </c>
    </row>
    <row r="281" spans="24:27">
      <c r="X281" s="2522" t="s">
        <v>101</v>
      </c>
      <c r="Y281" s="313">
        <f>SUM(Y276:Y279)</f>
        <v>3569.3017132530113</v>
      </c>
      <c r="Z281" s="313">
        <f>SUM(Z276:Z279)</f>
        <v>3745.2561132530118</v>
      </c>
      <c r="AA281" s="2295">
        <f>SUM(AA276:AA279)</f>
        <v>3921.2105132530114</v>
      </c>
    </row>
    <row r="282" spans="24:27">
      <c r="X282" s="2522" t="s">
        <v>1425</v>
      </c>
      <c r="Y282" s="96">
        <v>155.89028915662647</v>
      </c>
      <c r="Z282" s="96">
        <v>116.91771686746984</v>
      </c>
      <c r="AA282" s="97">
        <v>95.932485634847055</v>
      </c>
    </row>
    <row r="283" spans="24:27">
      <c r="X283" s="147" t="s">
        <v>1467</v>
      </c>
      <c r="Y283" s="2606">
        <f>+Y281/Y282</f>
        <v>22.896241533472644</v>
      </c>
      <c r="Z283" s="2606">
        <f>+Z281/Z282</f>
        <v>32.033264192957049</v>
      </c>
      <c r="AA283" s="2607">
        <f>+AA281/AA282</f>
        <v>40.874688978439735</v>
      </c>
    </row>
    <row r="284" spans="24:27">
      <c r="X284" s="2621" t="s">
        <v>109</v>
      </c>
      <c r="Y284" s="2622">
        <v>12</v>
      </c>
      <c r="Z284" s="2622">
        <v>12</v>
      </c>
      <c r="AA284" s="2623">
        <v>12</v>
      </c>
    </row>
    <row r="285" spans="24:27">
      <c r="X285" s="2621" t="s">
        <v>103</v>
      </c>
      <c r="Y285" s="2299">
        <f>+Y283/Y284-1</f>
        <v>0.9080201277893869</v>
      </c>
      <c r="Z285" s="2299">
        <f>+Z283/Z284-1</f>
        <v>1.6694386827464207</v>
      </c>
      <c r="AA285" s="2300">
        <f>+AA283/AA284-1</f>
        <v>2.4062240815366445</v>
      </c>
    </row>
    <row r="286" spans="24:27">
      <c r="X286" s="59"/>
      <c r="Y286" s="61"/>
      <c r="Z286" s="61"/>
      <c r="AA286" s="60"/>
    </row>
    <row r="287" spans="24:27">
      <c r="X287" s="2531" t="s">
        <v>1468</v>
      </c>
      <c r="Y287" s="61"/>
      <c r="Z287" s="61"/>
      <c r="AA287" s="60"/>
    </row>
    <row r="288" spans="24:27">
      <c r="X288" s="2522" t="s">
        <v>92</v>
      </c>
      <c r="Y288" s="313">
        <f t="shared" ref="Y288:AA289" si="2">+-Y277</f>
        <v>-14.363</v>
      </c>
      <c r="Z288" s="313">
        <f t="shared" si="2"/>
        <v>-14.363</v>
      </c>
      <c r="AA288" s="2295">
        <f t="shared" si="2"/>
        <v>-14.363</v>
      </c>
    </row>
    <row r="289" spans="24:27">
      <c r="X289" s="2522" t="s">
        <v>1470</v>
      </c>
      <c r="Y289" s="96">
        <f t="shared" si="2"/>
        <v>1247.1223132530117</v>
      </c>
      <c r="Z289" s="96">
        <f t="shared" si="2"/>
        <v>1247.1223132530117</v>
      </c>
      <c r="AA289" s="97">
        <f t="shared" si="2"/>
        <v>1247.1223132530117</v>
      </c>
    </row>
    <row r="290" spans="24:27" ht="3.95" customHeight="1">
      <c r="X290" s="2522"/>
      <c r="Y290" s="1608" t="s">
        <v>343</v>
      </c>
      <c r="Z290" s="1608" t="s">
        <v>343</v>
      </c>
      <c r="AA290" s="2614" t="s">
        <v>343</v>
      </c>
    </row>
    <row r="291" spans="24:27">
      <c r="X291" s="2522" t="s">
        <v>1471</v>
      </c>
      <c r="Y291" s="313">
        <f>SUM(Y288:Y289)</f>
        <v>1232.7593132530117</v>
      </c>
      <c r="Z291" s="313">
        <f>SUM(Z288:Z289)</f>
        <v>1232.7593132530117</v>
      </c>
      <c r="AA291" s="2295">
        <f>SUM(AA288:AA289)</f>
        <v>1232.7593132530117</v>
      </c>
    </row>
    <row r="292" spans="24:27">
      <c r="X292" s="59"/>
      <c r="Y292" s="1608"/>
      <c r="Z292" s="1608"/>
      <c r="AA292" s="2614"/>
    </row>
    <row r="293" spans="24:27">
      <c r="X293" s="2522" t="s">
        <v>93</v>
      </c>
      <c r="Y293" s="313">
        <v>0</v>
      </c>
      <c r="Z293" s="313">
        <v>0</v>
      </c>
      <c r="AA293" s="2295">
        <v>0</v>
      </c>
    </row>
    <row r="294" spans="24:27">
      <c r="X294" s="2609" t="s">
        <v>1473</v>
      </c>
      <c r="Y294" s="96">
        <f>+Y270</f>
        <v>358.77487831325294</v>
      </c>
      <c r="Z294" s="96">
        <f>+Z270</f>
        <v>380.76917831325295</v>
      </c>
      <c r="AA294" s="97">
        <f>+AA270</f>
        <v>402.7634783132529</v>
      </c>
    </row>
    <row r="295" spans="24:27" ht="3.95" customHeight="1">
      <c r="X295" s="2522"/>
      <c r="Y295" s="1608" t="s">
        <v>343</v>
      </c>
      <c r="Z295" s="1608" t="s">
        <v>343</v>
      </c>
      <c r="AA295" s="2614" t="s">
        <v>343</v>
      </c>
    </row>
    <row r="296" spans="24:27">
      <c r="X296" s="2609" t="s">
        <v>1474</v>
      </c>
      <c r="Y296" s="313">
        <f>SUM(Y293:Y294)</f>
        <v>358.77487831325294</v>
      </c>
      <c r="Z296" s="313">
        <f>SUM(Z293:Z294)</f>
        <v>380.76917831325295</v>
      </c>
      <c r="AA296" s="2295">
        <f>SUM(AA293:AA294)</f>
        <v>402.7634783132529</v>
      </c>
    </row>
    <row r="297" spans="24:27">
      <c r="X297" s="934"/>
      <c r="Y297" s="2371"/>
      <c r="Z297" s="2371"/>
      <c r="AA297" s="2608"/>
    </row>
    <row r="298" spans="24:27">
      <c r="X298" s="2624" t="s">
        <v>1475</v>
      </c>
      <c r="Y298" s="2625">
        <f>+Y291/Y296</f>
        <v>3.4360246153485332</v>
      </c>
      <c r="Z298" s="2625">
        <f>+Z291/Z296</f>
        <v>3.237550157588752</v>
      </c>
      <c r="AA298" s="2626">
        <f>+AA291/AA296</f>
        <v>3.0607524754124356</v>
      </c>
    </row>
    <row r="303" spans="24:27" ht="3.95" customHeight="1"/>
    <row r="306" spans="32:34">
      <c r="AF306" s="1" t="s">
        <v>117</v>
      </c>
    </row>
    <row r="308" spans="32:34">
      <c r="AF308" s="1" t="s">
        <v>552</v>
      </c>
    </row>
    <row r="309" spans="32:34">
      <c r="AF309" s="1447" t="s">
        <v>121</v>
      </c>
      <c r="AG309" s="2635">
        <f>'EBITDA Val'!F20</f>
        <v>33.889030181037867</v>
      </c>
    </row>
    <row r="310" spans="32:34">
      <c r="AF310" s="1447" t="s">
        <v>500</v>
      </c>
      <c r="AG310" s="2634">
        <f>+AG309/AH310</f>
        <v>2.0588718214482298</v>
      </c>
      <c r="AH310" s="2633">
        <v>16.46</v>
      </c>
    </row>
    <row r="311" spans="32:34">
      <c r="AF311" s="1447"/>
    </row>
    <row r="312" spans="32:34">
      <c r="AF312" s="1" t="s">
        <v>848</v>
      </c>
    </row>
    <row r="313" spans="32:34">
      <c r="AF313" s="1447" t="s">
        <v>122</v>
      </c>
      <c r="AG313" s="2549">
        <v>0.72097763470015774</v>
      </c>
    </row>
    <row r="314" spans="32:34">
      <c r="AF314" s="1447" t="s">
        <v>500</v>
      </c>
      <c r="AG314" s="2634">
        <f>+AG313/AH314</f>
        <v>3.7906289942174438E-2</v>
      </c>
      <c r="AH314" s="2633">
        <v>19.02</v>
      </c>
    </row>
    <row r="316" spans="32:34">
      <c r="AF316" s="1" t="s">
        <v>706</v>
      </c>
    </row>
    <row r="317" spans="32:34">
      <c r="AF317" s="1447" t="s">
        <v>118</v>
      </c>
      <c r="AG317" s="2555">
        <v>2241.5996735909002</v>
      </c>
    </row>
    <row r="318" spans="32:34">
      <c r="AF318" s="1447" t="s">
        <v>1632</v>
      </c>
      <c r="AG318" s="2494">
        <v>0.1</v>
      </c>
    </row>
    <row r="319" spans="32:34">
      <c r="AF319" s="1447" t="s">
        <v>705</v>
      </c>
      <c r="AG319" s="98">
        <f>+AG317*AG318</f>
        <v>224.15996735909005</v>
      </c>
    </row>
    <row r="320" spans="32:34">
      <c r="AF320" s="1447" t="s">
        <v>271</v>
      </c>
      <c r="AG320" s="2494">
        <v>0.25</v>
      </c>
    </row>
    <row r="321" spans="32:34">
      <c r="AF321" s="1447" t="s">
        <v>401</v>
      </c>
      <c r="AG321" s="98">
        <f>+AG319*AG320</f>
        <v>56.039991839772512</v>
      </c>
    </row>
    <row r="322" spans="32:34">
      <c r="AF322" s="1447" t="s">
        <v>503</v>
      </c>
      <c r="AG322" s="2494">
        <v>0.5</v>
      </c>
    </row>
    <row r="323" spans="32:34" ht="3.95" customHeight="1">
      <c r="AF323" s="1447"/>
    </row>
    <row r="324" spans="32:34">
      <c r="AF324" s="1447" t="s">
        <v>702</v>
      </c>
      <c r="AG324" s="98">
        <f>+AG321*AG322</f>
        <v>28.019995919886256</v>
      </c>
    </row>
    <row r="325" spans="32:34">
      <c r="AF325" s="1447" t="s">
        <v>1620</v>
      </c>
      <c r="AG325" s="2631">
        <v>10</v>
      </c>
    </row>
    <row r="326" spans="32:34">
      <c r="AF326" s="1447" t="s">
        <v>119</v>
      </c>
      <c r="AG326" s="96">
        <f>1/(1.15^2)</f>
        <v>0.7561436672967865</v>
      </c>
    </row>
    <row r="327" spans="32:34">
      <c r="AF327" s="1447" t="s">
        <v>475</v>
      </c>
      <c r="AG327" s="2632">
        <v>90.6</v>
      </c>
    </row>
    <row r="328" spans="32:34">
      <c r="AF328" s="1447" t="s">
        <v>120</v>
      </c>
      <c r="AG328" s="1181">
        <f>+AG324*AG325*AG326/AG327</f>
        <v>2.3385366967443475</v>
      </c>
    </row>
    <row r="329" spans="32:34">
      <c r="AF329" s="1447" t="s">
        <v>500</v>
      </c>
      <c r="AG329" s="2634">
        <f>+AG328/AH329</f>
        <v>0.17195122770179025</v>
      </c>
      <c r="AH329" s="2633">
        <v>13.6</v>
      </c>
    </row>
    <row r="331" spans="32:34">
      <c r="AF331" s="1" t="s">
        <v>707</v>
      </c>
    </row>
    <row r="332" spans="32:34">
      <c r="AF332" s="1447" t="s">
        <v>118</v>
      </c>
      <c r="AG332" s="2555">
        <v>3491.6723288209005</v>
      </c>
    </row>
    <row r="333" spans="32:34">
      <c r="AF333" s="1447" t="s">
        <v>1632</v>
      </c>
      <c r="AG333" s="2494">
        <v>0.1</v>
      </c>
    </row>
    <row r="334" spans="32:34">
      <c r="AF334" s="1447" t="s">
        <v>705</v>
      </c>
      <c r="AG334" s="98">
        <f>+AG332*AG333</f>
        <v>349.16723288209005</v>
      </c>
    </row>
    <row r="335" spans="32:34">
      <c r="AF335" s="1447" t="s">
        <v>271</v>
      </c>
      <c r="AG335" s="2494">
        <v>0.25</v>
      </c>
    </row>
    <row r="336" spans="32:34">
      <c r="AF336" s="1447" t="s">
        <v>401</v>
      </c>
      <c r="AG336" s="98">
        <f>+AG334*AG335</f>
        <v>87.291808220522512</v>
      </c>
    </row>
    <row r="337" spans="32:34">
      <c r="AF337" s="1447" t="s">
        <v>503</v>
      </c>
      <c r="AG337" s="2494">
        <v>0.5</v>
      </c>
    </row>
    <row r="338" spans="32:34" ht="3.95" customHeight="1">
      <c r="AF338" s="1447"/>
    </row>
    <row r="339" spans="32:34">
      <c r="AF339" s="1447" t="s">
        <v>702</v>
      </c>
      <c r="AG339" s="98">
        <f>+AG336*AG337</f>
        <v>43.645904110261256</v>
      </c>
    </row>
    <row r="340" spans="32:34">
      <c r="AF340" s="1447" t="s">
        <v>1620</v>
      </c>
      <c r="AG340" s="2631">
        <v>10</v>
      </c>
    </row>
    <row r="341" spans="32:34">
      <c r="AF341" s="1447" t="s">
        <v>119</v>
      </c>
      <c r="AG341" s="96">
        <f>1/(1.15^2)</f>
        <v>0.7561436672967865</v>
      </c>
    </row>
    <row r="342" spans="32:34">
      <c r="AF342" s="1447" t="s">
        <v>475</v>
      </c>
      <c r="AG342" s="2632">
        <v>814.87604500030648</v>
      </c>
    </row>
    <row r="343" spans="32:34">
      <c r="AF343" s="1447" t="s">
        <v>120</v>
      </c>
      <c r="AG343" s="1181">
        <f>+AG339*AG340*AG341/AG342</f>
        <v>0.40500115568380002</v>
      </c>
    </row>
    <row r="344" spans="32:34">
      <c r="AF344" s="1447" t="s">
        <v>500</v>
      </c>
      <c r="AG344" s="2634">
        <f>+AG343/AH344</f>
        <v>1.0759860671726887E-2</v>
      </c>
      <c r="AH344" s="2633">
        <v>37.64</v>
      </c>
    </row>
    <row r="346" spans="32:34">
      <c r="AF346" s="1" t="s">
        <v>502</v>
      </c>
    </row>
    <row r="347" spans="32:34">
      <c r="AF347" s="1447" t="s">
        <v>118</v>
      </c>
      <c r="AG347" s="2555">
        <v>3491.6723288209005</v>
      </c>
    </row>
    <row r="348" spans="32:34">
      <c r="AF348" s="1447" t="s">
        <v>1632</v>
      </c>
      <c r="AG348" s="2494">
        <v>0.1</v>
      </c>
    </row>
    <row r="349" spans="32:34">
      <c r="AF349" s="1447" t="s">
        <v>705</v>
      </c>
      <c r="AG349" s="98">
        <f>+AG347*AG348</f>
        <v>349.16723288209005</v>
      </c>
    </row>
    <row r="350" spans="32:34">
      <c r="AF350" s="1447" t="s">
        <v>271</v>
      </c>
      <c r="AG350" s="2494">
        <v>0.25</v>
      </c>
    </row>
    <row r="351" spans="32:34">
      <c r="AF351" s="1447" t="s">
        <v>401</v>
      </c>
      <c r="AG351" s="98">
        <f>+AG349*AG350</f>
        <v>87.291808220522512</v>
      </c>
    </row>
    <row r="352" spans="32:34">
      <c r="AF352" s="1447" t="s">
        <v>503</v>
      </c>
      <c r="AG352" s="2494">
        <v>0.5</v>
      </c>
    </row>
    <row r="353" spans="32:37" ht="3.95" customHeight="1">
      <c r="AF353" s="1447"/>
    </row>
    <row r="354" spans="32:37">
      <c r="AF354" s="1447" t="s">
        <v>702</v>
      </c>
      <c r="AG354" s="98">
        <f>+AG351*AG352</f>
        <v>43.645904110261256</v>
      </c>
    </row>
    <row r="355" spans="32:37">
      <c r="AF355" s="1447" t="s">
        <v>1620</v>
      </c>
      <c r="AG355" s="2631">
        <v>10</v>
      </c>
    </row>
    <row r="356" spans="32:37">
      <c r="AF356" s="1447" t="s">
        <v>119</v>
      </c>
      <c r="AG356" s="96">
        <f>1/(1.15^2)</f>
        <v>0.7561436672967865</v>
      </c>
    </row>
    <row r="357" spans="32:37">
      <c r="AF357" s="1447" t="s">
        <v>475</v>
      </c>
      <c r="AG357" s="2632">
        <v>101.89099999999999</v>
      </c>
    </row>
    <row r="358" spans="32:37">
      <c r="AF358" s="1447" t="s">
        <v>120</v>
      </c>
      <c r="AG358" s="1181">
        <f>+AG354*AG355*AG356/AG357</f>
        <v>3.2390077628462608</v>
      </c>
    </row>
    <row r="359" spans="32:37">
      <c r="AF359" s="1447" t="s">
        <v>500</v>
      </c>
      <c r="AG359" s="2634">
        <f>+AG358/AH359</f>
        <v>5.7145514517400506E-2</v>
      </c>
      <c r="AH359" s="2633">
        <v>56.68</v>
      </c>
    </row>
    <row r="361" spans="32:37">
      <c r="AJ361" s="1447" t="s">
        <v>706</v>
      </c>
      <c r="AK361" s="105">
        <f>+AG329</f>
        <v>0.17195122770179025</v>
      </c>
    </row>
    <row r="362" spans="32:37">
      <c r="AJ362" s="1447" t="s">
        <v>552</v>
      </c>
      <c r="AK362" s="105">
        <f>+AG310</f>
        <v>2.0588718214482298</v>
      </c>
    </row>
    <row r="363" spans="32:37">
      <c r="AJ363" s="1447" t="s">
        <v>502</v>
      </c>
      <c r="AK363" s="105">
        <f>+AG359</f>
        <v>5.7145514517400506E-2</v>
      </c>
    </row>
    <row r="364" spans="32:37">
      <c r="AJ364" s="1447" t="s">
        <v>848</v>
      </c>
      <c r="AK364" s="105">
        <f>+AG314</f>
        <v>3.7906289942174438E-2</v>
      </c>
    </row>
    <row r="365" spans="32:37">
      <c r="AJ365" s="1447" t="s">
        <v>707</v>
      </c>
      <c r="AK365" s="105">
        <f>+AG344</f>
        <v>1.0759860671726887E-2</v>
      </c>
    </row>
    <row r="381" spans="48:55">
      <c r="AV381" s="147" t="s">
        <v>1761</v>
      </c>
      <c r="AW381" s="1613" t="s">
        <v>23</v>
      </c>
      <c r="AX381" s="2663" t="s">
        <v>1660</v>
      </c>
      <c r="AY381" s="1613" t="s">
        <v>1481</v>
      </c>
      <c r="AZ381" s="1613" t="s">
        <v>406</v>
      </c>
      <c r="BA381" s="1613" t="s">
        <v>1649</v>
      </c>
      <c r="BB381" s="2663" t="s">
        <v>631</v>
      </c>
      <c r="BC381" s="2008" t="s">
        <v>1753</v>
      </c>
    </row>
    <row r="382" spans="48:55">
      <c r="AV382" s="2528" t="s">
        <v>706</v>
      </c>
      <c r="AW382" s="2655"/>
      <c r="AX382" s="2675"/>
      <c r="AY382" s="2655"/>
      <c r="AZ382" s="2655"/>
      <c r="BA382" s="2655"/>
      <c r="BB382" s="2675"/>
      <c r="BC382" s="2656"/>
    </row>
    <row r="383" spans="48:55">
      <c r="AV383" s="2522" t="s">
        <v>1755</v>
      </c>
      <c r="AW383" s="58">
        <v>-1.01E-2</v>
      </c>
      <c r="AX383" s="2664">
        <v>-1.3000000000000001E-2</v>
      </c>
      <c r="AY383" s="58">
        <v>-7.1999999999999998E-3</v>
      </c>
      <c r="AZ383" s="58">
        <v>-1.0700000000000001E-2</v>
      </c>
      <c r="BA383" s="58">
        <v>-1.4199999999999999E-2</v>
      </c>
      <c r="BB383" s="2664">
        <v>-1.1699999999999999E-2</v>
      </c>
      <c r="BC383" s="2126">
        <f>641/649-1</f>
        <v>-1.2326656394452962E-2</v>
      </c>
    </row>
    <row r="384" spans="48:55">
      <c r="AV384" s="2522" t="s">
        <v>1756</v>
      </c>
      <c r="AW384" s="1231">
        <v>-0.10220000000000001</v>
      </c>
      <c r="AX384" s="2665">
        <v>-0.10619999999999999</v>
      </c>
      <c r="AY384" s="58">
        <v>-6.8999999999999999E-3</v>
      </c>
      <c r="AZ384" s="58">
        <v>-1.52E-2</v>
      </c>
      <c r="BA384" s="1231">
        <v>-5.45E-2</v>
      </c>
      <c r="BB384" s="2665">
        <f>0.892857142857143-1</f>
        <v>-0.10714285714285698</v>
      </c>
      <c r="BC384" s="2658">
        <f>(174.7-3)/176-1</f>
        <v>-2.4431818181818277E-2</v>
      </c>
    </row>
    <row r="385" spans="14:60" ht="3.95" customHeight="1">
      <c r="AV385" s="2522"/>
      <c r="AW385" s="58"/>
      <c r="AX385" s="2664"/>
      <c r="AY385" s="58"/>
      <c r="AZ385" s="58"/>
      <c r="BA385" s="58"/>
      <c r="BB385" s="2664"/>
      <c r="BC385" s="2126"/>
    </row>
    <row r="386" spans="14:60" hidden="1" outlineLevel="1">
      <c r="AV386" s="2522" t="s">
        <v>1752</v>
      </c>
      <c r="AW386" s="58">
        <f>2938.1/2874.1-1</f>
        <v>2.2267840367419467E-2</v>
      </c>
      <c r="AX386" s="2664">
        <f>3151.5/3201.6-1</f>
        <v>-1.5648425787106457E-2</v>
      </c>
      <c r="AY386" s="58">
        <f>3137.8/3151.5-1</f>
        <v>-4.34713628430905E-3</v>
      </c>
      <c r="AZ386" s="58">
        <f>2982.8/3137.8-1</f>
        <v>-4.9397667155331781E-2</v>
      </c>
      <c r="BA386" s="2657" t="s">
        <v>1751</v>
      </c>
      <c r="BB386" s="2668"/>
      <c r="BC386" s="2658"/>
    </row>
    <row r="387" spans="14:60" collapsed="1">
      <c r="AV387" s="2522" t="s">
        <v>1762</v>
      </c>
      <c r="AW387" s="58">
        <f>765.3/769-1</f>
        <v>-4.8114434330299716E-3</v>
      </c>
      <c r="AX387" s="2668">
        <f>881.2/905.1-1</f>
        <v>-2.6405921997569304E-2</v>
      </c>
      <c r="AY387" s="58">
        <f>875.8/881.2-1</f>
        <v>-6.1280072628234761E-3</v>
      </c>
      <c r="AZ387" s="58">
        <f>805.1/875.8-1</f>
        <v>-8.0726193194793239E-2</v>
      </c>
      <c r="BA387" s="2657" t="s">
        <v>1751</v>
      </c>
      <c r="BB387" s="2672" t="s">
        <v>1751</v>
      </c>
      <c r="BC387" s="2126">
        <v>-8.5979307884409661E-2</v>
      </c>
    </row>
    <row r="388" spans="14:60" hidden="1" outlineLevel="1">
      <c r="AV388" s="2522" t="s">
        <v>1763</v>
      </c>
      <c r="AW388" s="58">
        <f>206.2/182.67-1</f>
        <v>0.12881151803799207</v>
      </c>
      <c r="AX388" s="2664">
        <f>224.2/224.67-1</f>
        <v>-2.0919570926247744E-3</v>
      </c>
      <c r="AY388" s="58">
        <f>225.2/216.07-1</f>
        <v>4.2254824825288084E-2</v>
      </c>
      <c r="AZ388" s="58">
        <f>189.7/192.36-1</f>
        <v>-1.3828238719068575E-2</v>
      </c>
      <c r="BA388" s="2657" t="s">
        <v>1751</v>
      </c>
      <c r="BB388" s="2664">
        <f>71.5/69.91-1</f>
        <v>2.274352739236174E-2</v>
      </c>
      <c r="BC388" s="2126">
        <f>180.2/188-1</f>
        <v>-4.1489361702127692E-2</v>
      </c>
    </row>
    <row r="389" spans="14:60" ht="3.95" customHeight="1" collapsed="1">
      <c r="AV389" s="2522"/>
      <c r="AW389" s="58"/>
      <c r="AX389" s="2664"/>
      <c r="AY389" s="58"/>
      <c r="AZ389" s="2659"/>
      <c r="BA389" s="2657"/>
      <c r="BB389" s="2664"/>
      <c r="BC389" s="2126"/>
    </row>
    <row r="390" spans="14:60">
      <c r="AV390" s="80" t="s">
        <v>1758</v>
      </c>
      <c r="AW390" s="1610">
        <v>3.1914893617021267E-2</v>
      </c>
      <c r="AX390" s="2666">
        <v>1.5697137580794163E-2</v>
      </c>
      <c r="AY390" s="1610">
        <v>2.1060842433697324E-2</v>
      </c>
      <c r="AZ390" s="1610">
        <v>-7.3770491803278548E-2</v>
      </c>
      <c r="BA390" s="1610">
        <v>1.511535401750197E-2</v>
      </c>
      <c r="BB390" s="2666">
        <v>1.511535401750197E-2</v>
      </c>
      <c r="BC390" s="2661">
        <v>-9.7000000000000003E-2</v>
      </c>
    </row>
    <row r="391" spans="14:60">
      <c r="AV391" s="59"/>
      <c r="AW391" s="61"/>
      <c r="AX391" s="2667"/>
      <c r="AY391" s="61"/>
      <c r="AZ391" s="61"/>
      <c r="BA391" s="61"/>
      <c r="BB391" s="2667"/>
      <c r="BC391" s="60"/>
    </row>
    <row r="392" spans="14:60">
      <c r="AV392" s="2301" t="s">
        <v>552</v>
      </c>
      <c r="AW392" s="61"/>
      <c r="AX392" s="2667"/>
      <c r="AY392" s="61"/>
      <c r="AZ392" s="61"/>
      <c r="BA392" s="61"/>
      <c r="BB392" s="2667"/>
      <c r="BC392" s="60"/>
    </row>
    <row r="393" spans="14:60">
      <c r="AV393" s="2522" t="s">
        <v>1759</v>
      </c>
      <c r="AW393" s="58">
        <v>-2.6099999999999998E-2</v>
      </c>
      <c r="AX393" s="2664">
        <v>-1.4999999999999999E-2</v>
      </c>
      <c r="AY393" s="58">
        <v>3.4999999999999996E-3</v>
      </c>
      <c r="AZ393" s="58">
        <v>-2.0999999999999999E-3</v>
      </c>
      <c r="BA393" s="58">
        <v>-2.46E-2</v>
      </c>
      <c r="BB393" s="2673" t="s">
        <v>1751</v>
      </c>
      <c r="BC393" s="2674" t="s">
        <v>1754</v>
      </c>
    </row>
    <row r="394" spans="14:60">
      <c r="AV394" s="2522" t="s">
        <v>1760</v>
      </c>
      <c r="AW394" s="1231">
        <v>-0.16800000000000001</v>
      </c>
      <c r="AX394" s="2665">
        <v>-0.13769999999999999</v>
      </c>
      <c r="AY394" s="58">
        <v>5.7099999999999998E-2</v>
      </c>
      <c r="AZ394" s="58">
        <v>-1.3999999999999999E-2</v>
      </c>
      <c r="BA394" s="1231">
        <v>-7.0000000000000007E-2</v>
      </c>
      <c r="BB394" s="2673" t="s">
        <v>1751</v>
      </c>
      <c r="BC394" s="2674" t="s">
        <v>1754</v>
      </c>
    </row>
    <row r="395" spans="14:60" ht="3.95" customHeight="1">
      <c r="AV395" s="2522"/>
      <c r="AW395" s="58"/>
      <c r="AX395" s="2664"/>
      <c r="AY395" s="58"/>
      <c r="AZ395" s="58"/>
      <c r="BA395" s="58"/>
      <c r="BB395" s="2664"/>
      <c r="BC395" s="2126"/>
    </row>
    <row r="396" spans="14:60" hidden="1" outlineLevel="1">
      <c r="AV396" s="2522" t="s">
        <v>1757</v>
      </c>
      <c r="AW396" s="2677" t="s">
        <v>1751</v>
      </c>
      <c r="AX396" s="2668">
        <f>153.5/181-1</f>
        <v>-0.15193370165745856</v>
      </c>
      <c r="AY396" s="1438">
        <v>3.4580708904532464E-3</v>
      </c>
      <c r="AZ396" s="1438">
        <f>167.5/160.4-1</f>
        <v>4.4264339152119581E-2</v>
      </c>
      <c r="BA396" s="1438">
        <f>107.5/133-1</f>
        <v>-0.19172932330827064</v>
      </c>
      <c r="BB396" s="2668">
        <f>142.5/163-1</f>
        <v>-0.12576687116564422</v>
      </c>
      <c r="BC396" s="2674" t="s">
        <v>1754</v>
      </c>
    </row>
    <row r="397" spans="14:60" ht="3.95" customHeight="1" collapsed="1">
      <c r="AV397" s="2522"/>
      <c r="AW397" s="61"/>
      <c r="AX397" s="2667"/>
      <c r="AY397" s="61"/>
      <c r="AZ397" s="61"/>
      <c r="BA397" s="61"/>
      <c r="BB397" s="2667"/>
      <c r="BC397" s="60"/>
    </row>
    <row r="398" spans="14:60" s="1" customFormat="1">
      <c r="N398" s="107"/>
      <c r="O398" s="107"/>
      <c r="P398" s="107"/>
      <c r="AV398" s="2624" t="s">
        <v>1758</v>
      </c>
      <c r="AW398" s="2662">
        <v>-6.6450567260940008E-2</v>
      </c>
      <c r="AX398" s="2676">
        <v>0.14396284829721351</v>
      </c>
      <c r="AY398" s="2660">
        <v>0.22681564245810071</v>
      </c>
      <c r="AZ398" s="2660">
        <v>0.1832412523020257</v>
      </c>
      <c r="BA398" s="2662">
        <v>-0.18644067796610164</v>
      </c>
      <c r="BB398" s="2676">
        <v>1.2205754141237923E-2</v>
      </c>
      <c r="BC398" s="2678" t="s">
        <v>1754</v>
      </c>
    </row>
    <row r="399" spans="14:60" ht="51.75" customHeight="1"/>
    <row r="400" spans="14:60">
      <c r="AV400" s="1447"/>
      <c r="AW400" s="2654"/>
      <c r="AX400" s="2654"/>
      <c r="AY400" s="2654"/>
      <c r="AZ400" s="2654"/>
      <c r="BA400" s="2654"/>
      <c r="BB400" s="2654"/>
      <c r="BC400" s="2671"/>
      <c r="BG400" s="79" t="s">
        <v>952</v>
      </c>
      <c r="BH400" s="66"/>
    </row>
    <row r="401" spans="48:70">
      <c r="AV401" s="1447"/>
      <c r="AW401" s="1686"/>
      <c r="AX401" s="659"/>
      <c r="AY401" s="659"/>
      <c r="AZ401" s="659"/>
      <c r="BA401" s="659"/>
      <c r="BB401" s="659"/>
      <c r="BC401" s="659"/>
      <c r="BG401" s="2522" t="s">
        <v>943</v>
      </c>
      <c r="BH401" s="2005">
        <v>152</v>
      </c>
    </row>
    <row r="402" spans="48:70">
      <c r="BG402" s="2522" t="s">
        <v>944</v>
      </c>
      <c r="BH402" s="2763">
        <v>0.1</v>
      </c>
    </row>
    <row r="403" spans="48:70">
      <c r="BG403" s="2522" t="s">
        <v>945</v>
      </c>
      <c r="BH403" s="60">
        <f>+BH401*BH402</f>
        <v>15.200000000000001</v>
      </c>
    </row>
    <row r="404" spans="48:70">
      <c r="BG404" s="2522" t="s">
        <v>1393</v>
      </c>
      <c r="BH404" s="2763">
        <v>0.2</v>
      </c>
    </row>
    <row r="405" spans="48:70">
      <c r="BG405" s="2522" t="s">
        <v>946</v>
      </c>
      <c r="BH405" s="97">
        <f>+BH403*BH404</f>
        <v>3.0400000000000005</v>
      </c>
    </row>
    <row r="406" spans="48:70">
      <c r="BG406" s="2522" t="s">
        <v>947</v>
      </c>
      <c r="BH406" s="97">
        <f>+BH405*0.5</f>
        <v>1.5200000000000002</v>
      </c>
    </row>
    <row r="407" spans="48:70">
      <c r="BG407" s="2522" t="s">
        <v>1620</v>
      </c>
      <c r="BH407" s="2764"/>
    </row>
    <row r="408" spans="48:70">
      <c r="BG408" s="2522" t="s">
        <v>949</v>
      </c>
      <c r="BH408" s="60"/>
    </row>
    <row r="409" spans="48:70">
      <c r="BG409" s="2522" t="s">
        <v>841</v>
      </c>
      <c r="BH409" s="60">
        <f>'EBITDA Val'!F20</f>
        <v>33.889030181037867</v>
      </c>
    </row>
    <row r="410" spans="48:70">
      <c r="BG410" s="2522" t="s">
        <v>948</v>
      </c>
      <c r="BH410" s="2765">
        <f>+BH408/BH409</f>
        <v>0</v>
      </c>
    </row>
    <row r="411" spans="48:70">
      <c r="BG411" s="2522" t="s">
        <v>950</v>
      </c>
      <c r="BH411" s="2766">
        <v>10.07</v>
      </c>
    </row>
    <row r="412" spans="48:70">
      <c r="BG412" s="2767" t="s">
        <v>951</v>
      </c>
      <c r="BH412" s="2768">
        <f>+BH410/BH411</f>
        <v>0</v>
      </c>
    </row>
    <row r="415" spans="48:70">
      <c r="BK415" s="79" t="s">
        <v>954</v>
      </c>
      <c r="BL415" s="67"/>
      <c r="BM415" s="67"/>
      <c r="BN415" s="67"/>
      <c r="BO415" s="67"/>
      <c r="BP415" s="67"/>
      <c r="BQ415" s="67"/>
      <c r="BR415" s="66"/>
    </row>
    <row r="416" spans="48:70" ht="25.5">
      <c r="BK416" s="2624" t="s">
        <v>777</v>
      </c>
      <c r="BL416" s="73" t="s">
        <v>955</v>
      </c>
      <c r="BM416" s="73" t="s">
        <v>474</v>
      </c>
      <c r="BN416" s="2774" t="s">
        <v>960</v>
      </c>
      <c r="BO416" s="73" t="s">
        <v>959</v>
      </c>
      <c r="BP416" s="2774" t="s">
        <v>961</v>
      </c>
      <c r="BQ416" s="2774" t="s">
        <v>1001</v>
      </c>
      <c r="BR416" s="2775" t="s">
        <v>956</v>
      </c>
    </row>
    <row r="417" spans="63:70">
      <c r="BK417" s="2776" t="s">
        <v>957</v>
      </c>
      <c r="BL417" s="2777">
        <v>350</v>
      </c>
      <c r="BM417" s="2778">
        <v>8.3750000000000005E-2</v>
      </c>
      <c r="BN417" s="2589">
        <f>+BL417*BM417</f>
        <v>29.3125</v>
      </c>
      <c r="BO417" s="2778">
        <v>0.08</v>
      </c>
      <c r="BP417" s="2589">
        <f>+BL417*BO417</f>
        <v>28</v>
      </c>
      <c r="BQ417" s="2589">
        <f>+BN417-BP417</f>
        <v>1.3125</v>
      </c>
      <c r="BR417" s="2524" t="s">
        <v>974</v>
      </c>
    </row>
    <row r="418" spans="63:70">
      <c r="BK418" s="2776" t="s">
        <v>236</v>
      </c>
      <c r="BL418" s="2779">
        <v>500</v>
      </c>
      <c r="BM418" s="2778">
        <v>9.1249999999999998E-2</v>
      </c>
      <c r="BN418" s="2780">
        <f>+BL418*BM418</f>
        <v>45.625</v>
      </c>
      <c r="BO418" s="2778">
        <v>7.4999999999999997E-2</v>
      </c>
      <c r="BP418" s="2780">
        <f>+BL418*BO418</f>
        <v>37.5</v>
      </c>
      <c r="BQ418" s="2780">
        <f>+BN418-BP418</f>
        <v>8.125</v>
      </c>
      <c r="BR418" s="2524" t="s">
        <v>958</v>
      </c>
    </row>
    <row r="419" spans="63:70">
      <c r="BK419" s="2776" t="s">
        <v>971</v>
      </c>
      <c r="BL419" s="2779">
        <v>394</v>
      </c>
      <c r="BM419" s="2778">
        <v>9.8799999999999999E-2</v>
      </c>
      <c r="BN419" s="2780">
        <f>+BL419*BM419</f>
        <v>38.927199999999999</v>
      </c>
      <c r="BO419" s="2778">
        <v>0.06</v>
      </c>
      <c r="BP419" s="2780">
        <f>+BL419*BO419</f>
        <v>23.64</v>
      </c>
      <c r="BQ419" s="2780">
        <f>+BN419-BP419</f>
        <v>15.287199999999999</v>
      </c>
      <c r="BR419" s="2524" t="s">
        <v>972</v>
      </c>
    </row>
    <row r="420" spans="63:70" ht="3.95" customHeight="1">
      <c r="BK420" s="59"/>
      <c r="BL420" s="61"/>
      <c r="BM420" s="61"/>
      <c r="BN420" s="2657" t="s">
        <v>1438</v>
      </c>
      <c r="BO420" s="61"/>
      <c r="BP420" s="2657" t="s">
        <v>1438</v>
      </c>
      <c r="BQ420" s="2657" t="s">
        <v>1438</v>
      </c>
      <c r="BR420" s="60"/>
    </row>
    <row r="421" spans="63:70">
      <c r="BK421" s="59"/>
      <c r="BL421" s="61"/>
      <c r="BM421" s="61"/>
      <c r="BN421" s="2589">
        <f>SUM(BN417:BN419)</f>
        <v>113.8647</v>
      </c>
      <c r="BO421" s="61"/>
      <c r="BP421" s="2589">
        <f>SUM(BP417:BP419)</f>
        <v>89.14</v>
      </c>
      <c r="BQ421" s="2589">
        <f>SUM(BQ417:BQ419)</f>
        <v>24.724699999999999</v>
      </c>
      <c r="BR421" s="60"/>
    </row>
    <row r="422" spans="63:70">
      <c r="BK422" s="59"/>
      <c r="BL422" s="61"/>
      <c r="BM422" s="61"/>
      <c r="BN422" s="61"/>
      <c r="BO422" s="61"/>
      <c r="BP422" s="61"/>
      <c r="BQ422" s="61"/>
      <c r="BR422" s="60"/>
    </row>
    <row r="423" spans="63:70">
      <c r="BK423" s="59"/>
      <c r="BL423" s="61"/>
      <c r="BM423" s="61"/>
      <c r="BN423" s="68"/>
      <c r="BO423" s="2784"/>
      <c r="BP423" s="2655" t="s">
        <v>973</v>
      </c>
      <c r="BQ423" s="2781">
        <f>+BQ417+BQ418+(BQ419*0.5)</f>
        <v>17.081099999999999</v>
      </c>
      <c r="BR423" s="60"/>
    </row>
    <row r="424" spans="63:70">
      <c r="BK424" s="59"/>
      <c r="BL424" s="61"/>
      <c r="BM424" s="61"/>
      <c r="BN424" s="59"/>
      <c r="BO424" s="107"/>
      <c r="BP424" s="70" t="s">
        <v>475</v>
      </c>
      <c r="BQ424" s="2782">
        <f>'EBITDA Val'!F15</f>
        <v>113.08959516740317</v>
      </c>
      <c r="BR424" s="60"/>
    </row>
    <row r="425" spans="63:70">
      <c r="BK425" s="56"/>
      <c r="BL425" s="72"/>
      <c r="BM425" s="72"/>
      <c r="BN425" s="56"/>
      <c r="BO425" s="111"/>
      <c r="BP425" s="73" t="s">
        <v>951</v>
      </c>
      <c r="BQ425" s="2783">
        <f>+BQ423/BQ424</f>
        <v>0.15104042042696636</v>
      </c>
      <c r="BR425" s="102"/>
    </row>
    <row r="427" spans="63:70">
      <c r="BK427" s="1447" t="s">
        <v>962</v>
      </c>
    </row>
    <row r="428" spans="63:70">
      <c r="BK428" s="1447" t="s">
        <v>963</v>
      </c>
    </row>
    <row r="429" spans="63:70">
      <c r="BK429" s="1447" t="s">
        <v>964</v>
      </c>
    </row>
    <row r="430" spans="63:70">
      <c r="BK430" s="1447" t="s">
        <v>965</v>
      </c>
    </row>
    <row r="431" spans="63:70">
      <c r="BK431" s="1447" t="s">
        <v>966</v>
      </c>
    </row>
    <row r="433" spans="63:66">
      <c r="BK433" s="1447" t="s">
        <v>967</v>
      </c>
    </row>
    <row r="435" spans="63:66">
      <c r="BK435" s="1447" t="s">
        <v>968</v>
      </c>
    </row>
    <row r="436" spans="63:66">
      <c r="BK436" s="1447" t="s">
        <v>969</v>
      </c>
    </row>
    <row r="438" spans="63:66">
      <c r="BK438" s="1447" t="s">
        <v>970</v>
      </c>
    </row>
    <row r="441" spans="63:66">
      <c r="BK441" s="174" t="s">
        <v>975</v>
      </c>
      <c r="BL441" s="2786" t="s">
        <v>955</v>
      </c>
      <c r="BM441" s="2786" t="s">
        <v>474</v>
      </c>
      <c r="BN441" s="2786" t="s">
        <v>520</v>
      </c>
    </row>
    <row r="442" spans="63:66">
      <c r="BK442" s="2501" t="s">
        <v>957</v>
      </c>
      <c r="BL442" s="2788">
        <v>350</v>
      </c>
      <c r="BM442" s="2778">
        <v>8.3750000000000005E-2</v>
      </c>
      <c r="BN442" s="113">
        <f>+BL442*BM442</f>
        <v>29.3125</v>
      </c>
    </row>
    <row r="443" spans="63:66">
      <c r="BK443" s="1447" t="s">
        <v>976</v>
      </c>
      <c r="BL443" s="2785">
        <v>768.16300000000001</v>
      </c>
      <c r="BM443" s="2778">
        <v>4.2500000000000003E-2</v>
      </c>
      <c r="BN443" s="2">
        <f>+BL443*BM443</f>
        <v>32.646927500000004</v>
      </c>
    </row>
    <row r="444" spans="63:66">
      <c r="BK444" s="1447" t="s">
        <v>977</v>
      </c>
      <c r="BL444" s="2785">
        <v>147.32</v>
      </c>
      <c r="BM444" s="2787">
        <v>0.08</v>
      </c>
      <c r="BN444" s="2">
        <f>+BL444*BM444</f>
        <v>11.785600000000001</v>
      </c>
    </row>
    <row r="445" spans="63:66" ht="3.95" customHeight="1">
      <c r="BN445" s="2786" t="s">
        <v>1438</v>
      </c>
    </row>
    <row r="446" spans="63:66">
      <c r="BK446" s="2582" t="s">
        <v>1158</v>
      </c>
      <c r="BL446" s="113">
        <f>SUM(BL442:BL444)</f>
        <v>1265.4829999999999</v>
      </c>
      <c r="BN446" s="113">
        <f>+SUM(BN442:BN444)</f>
        <v>73.745027500000006</v>
      </c>
    </row>
    <row r="448" spans="63:66">
      <c r="BK448" s="1447" t="s">
        <v>978</v>
      </c>
      <c r="BL448" s="2788">
        <v>500</v>
      </c>
      <c r="BM448" s="2787">
        <v>9.1249999999999998E-2</v>
      </c>
      <c r="BN448" s="113">
        <f>+BL448*BM448</f>
        <v>45.625</v>
      </c>
    </row>
    <row r="450" spans="63:76">
      <c r="BK450" s="1447" t="s">
        <v>981</v>
      </c>
      <c r="BL450" s="113">
        <f>+BL446+BL448</f>
        <v>1765.4829999999999</v>
      </c>
      <c r="BM450" s="2789">
        <f>+BN450/BL450</f>
        <v>6.7613240965786706E-2</v>
      </c>
      <c r="BN450" s="113">
        <f>+BN446+BN448</f>
        <v>119.37002750000001</v>
      </c>
    </row>
    <row r="452" spans="63:76">
      <c r="BK452" s="174" t="s">
        <v>979</v>
      </c>
    </row>
    <row r="453" spans="63:76">
      <c r="BK453" s="1447" t="s">
        <v>980</v>
      </c>
      <c r="BL453" s="113">
        <f>+BL446+BL448</f>
        <v>1765.4829999999999</v>
      </c>
      <c r="BM453" s="2787">
        <v>7.4999999999999997E-2</v>
      </c>
      <c r="BN453" s="113">
        <f>+BL453*BM453</f>
        <v>132.411225</v>
      </c>
    </row>
    <row r="460" spans="63:76">
      <c r="BU460" s="1" t="s">
        <v>1849</v>
      </c>
    </row>
    <row r="461" spans="63:76">
      <c r="BV461" s="3212" t="s">
        <v>552</v>
      </c>
      <c r="BW461" s="3212" t="s">
        <v>706</v>
      </c>
      <c r="BX461" s="3212"/>
    </row>
    <row r="462" spans="63:76">
      <c r="BU462" s="1447" t="s">
        <v>1850</v>
      </c>
      <c r="BV462" s="2">
        <f>+BYD!BP144</f>
        <v>279.07150000000001</v>
      </c>
      <c r="BW462" s="2">
        <v>0</v>
      </c>
    </row>
    <row r="463" spans="63:76">
      <c r="BU463" s="1447" t="s">
        <v>1851</v>
      </c>
      <c r="BV463" s="2">
        <f>+BYD!BP151</f>
        <v>-581.23249999999996</v>
      </c>
      <c r="BW463" s="2">
        <v>6.8710000000000004</v>
      </c>
    </row>
    <row r="464" spans="63:76">
      <c r="BU464" s="1447" t="s">
        <v>1860</v>
      </c>
      <c r="BW464" s="2">
        <v>6.8710000000000004</v>
      </c>
    </row>
    <row r="465" spans="73:89">
      <c r="BU465" s="1447"/>
    </row>
    <row r="466" spans="73:89">
      <c r="BU466" s="1447"/>
    </row>
    <row r="479" spans="73:89">
      <c r="CG479" s="79" t="s">
        <v>1857</v>
      </c>
      <c r="CH479" s="67"/>
      <c r="CI479" s="67"/>
      <c r="CJ479" s="67"/>
      <c r="CK479" s="66"/>
    </row>
    <row r="480" spans="73:89">
      <c r="CG480" s="56"/>
      <c r="CH480" s="1586" t="s">
        <v>1855</v>
      </c>
      <c r="CI480" s="73" t="s">
        <v>1414</v>
      </c>
      <c r="CJ480" s="73" t="s">
        <v>1852</v>
      </c>
      <c r="CK480" s="2610" t="s">
        <v>1853</v>
      </c>
    </row>
    <row r="481" spans="14:89" s="174" customFormat="1">
      <c r="N481" s="743"/>
      <c r="O481" s="743"/>
      <c r="P481" s="743"/>
      <c r="BC481" s="743"/>
      <c r="CG481" s="3213" t="s">
        <v>935</v>
      </c>
      <c r="CH481" s="3214"/>
      <c r="CI481" s="3215"/>
      <c r="CJ481" s="3215"/>
      <c r="CK481" s="3216"/>
    </row>
    <row r="482" spans="14:89">
      <c r="CG482" s="2522" t="s">
        <v>552</v>
      </c>
      <c r="CH482" s="3217">
        <f>+BYD!BF21</f>
        <v>2142.2559999999999</v>
      </c>
      <c r="CI482" s="3218">
        <v>2197.96</v>
      </c>
      <c r="CJ482" s="3218">
        <v>2240.83</v>
      </c>
      <c r="CK482" s="3219">
        <v>2278.66</v>
      </c>
    </row>
    <row r="483" spans="14:89">
      <c r="CG483" s="2462" t="s">
        <v>1854</v>
      </c>
      <c r="CH483" s="3220"/>
      <c r="CI483" s="3221">
        <f>+CI482/CH482-1</f>
        <v>2.6002494566475853E-2</v>
      </c>
      <c r="CJ483" s="3221">
        <f>+CJ482/CI482-1</f>
        <v>1.9504449580520111E-2</v>
      </c>
      <c r="CK483" s="2674">
        <f>+CK482/CJ482-1</f>
        <v>1.6882137422294496E-2</v>
      </c>
    </row>
    <row r="484" spans="14:89">
      <c r="CG484" s="2522" t="s">
        <v>706</v>
      </c>
      <c r="CH484" s="3217">
        <v>2590.5279999999998</v>
      </c>
      <c r="CI484" s="3218">
        <v>2828.98</v>
      </c>
      <c r="CJ484" s="3218">
        <v>3054.38</v>
      </c>
      <c r="CK484" s="3219">
        <v>3078.32</v>
      </c>
    </row>
    <row r="485" spans="14:89">
      <c r="CG485" s="2462" t="s">
        <v>1854</v>
      </c>
      <c r="CH485" s="3220"/>
      <c r="CI485" s="3221">
        <f>+CI484/CH484-1</f>
        <v>9.2047644341231027E-2</v>
      </c>
      <c r="CJ485" s="3221">
        <f>+CJ484/CI484-1</f>
        <v>7.9675360023754083E-2</v>
      </c>
      <c r="CK485" s="2674">
        <f>+CK484/CJ484-1</f>
        <v>7.8379245542468112E-3</v>
      </c>
    </row>
    <row r="486" spans="14:89" ht="3.95" customHeight="1">
      <c r="CG486" s="2522"/>
      <c r="CH486" s="3222" t="s">
        <v>1826</v>
      </c>
      <c r="CI486" s="3222" t="s">
        <v>1826</v>
      </c>
      <c r="CJ486" s="3222" t="s">
        <v>1826</v>
      </c>
      <c r="CK486" s="3223" t="s">
        <v>1826</v>
      </c>
    </row>
    <row r="487" spans="14:89">
      <c r="CG487" s="2522" t="s">
        <v>310</v>
      </c>
      <c r="CH487" s="3217">
        <f>+CH482+CH484</f>
        <v>4732.7839999999997</v>
      </c>
      <c r="CI487" s="3217">
        <f>+CI482+CI484</f>
        <v>5026.9400000000005</v>
      </c>
      <c r="CJ487" s="3217">
        <f>+CJ482+CJ484</f>
        <v>5295.21</v>
      </c>
      <c r="CK487" s="3224">
        <f>+CK482+CK484</f>
        <v>5356.98</v>
      </c>
    </row>
    <row r="488" spans="14:89">
      <c r="CG488" s="2462" t="s">
        <v>1854</v>
      </c>
      <c r="CH488" s="61"/>
      <c r="CI488" s="58">
        <f>+CI487/CH487-1</f>
        <v>6.2152847034641967E-2</v>
      </c>
      <c r="CJ488" s="58">
        <f>+CJ487/CI487-1</f>
        <v>5.3366461505408802E-2</v>
      </c>
      <c r="CK488" s="2126">
        <f>+CK487/CJ487-1</f>
        <v>1.1665259734741307E-2</v>
      </c>
    </row>
    <row r="489" spans="14:89">
      <c r="CG489" s="59"/>
      <c r="CH489" s="61"/>
      <c r="CI489" s="61"/>
      <c r="CJ489" s="61"/>
      <c r="CK489" s="60"/>
    </row>
    <row r="490" spans="14:89">
      <c r="CG490" s="3228" t="s">
        <v>1861</v>
      </c>
      <c r="CH490" s="3229">
        <f>+CH487</f>
        <v>4732.7839999999997</v>
      </c>
      <c r="CI490" s="3229">
        <f>+CI487-89.2-39.3</f>
        <v>4898.4400000000005</v>
      </c>
      <c r="CJ490" s="3229">
        <f>+CJ487-152.4-123.1</f>
        <v>5019.71</v>
      </c>
      <c r="CK490" s="3230">
        <f>+CK487-157.9-140.8</f>
        <v>5058.28</v>
      </c>
    </row>
    <row r="491" spans="14:89">
      <c r="CG491" s="3231" t="s">
        <v>1862</v>
      </c>
      <c r="CH491" s="72"/>
      <c r="CI491" s="55">
        <f>+CI490/CH490-1</f>
        <v>3.5001808660610978E-2</v>
      </c>
      <c r="CJ491" s="55">
        <f>+CJ490/CI490-1</f>
        <v>2.475686136810884E-2</v>
      </c>
      <c r="CK491" s="54">
        <f>+CK490/CJ490-1</f>
        <v>7.6837108119791608E-3</v>
      </c>
    </row>
    <row r="492" spans="14:89">
      <c r="CG492" s="79" t="s">
        <v>1857</v>
      </c>
      <c r="CH492" s="67"/>
      <c r="CI492" s="67"/>
      <c r="CJ492" s="67"/>
      <c r="CK492" s="66"/>
    </row>
    <row r="493" spans="14:89">
      <c r="CG493" s="56"/>
      <c r="CH493" s="1586" t="s">
        <v>1855</v>
      </c>
      <c r="CI493" s="73" t="s">
        <v>1414</v>
      </c>
      <c r="CJ493" s="73" t="s">
        <v>1852</v>
      </c>
      <c r="CK493" s="2610" t="s">
        <v>1853</v>
      </c>
    </row>
    <row r="494" spans="14:89">
      <c r="CG494" s="2531" t="s">
        <v>1856</v>
      </c>
      <c r="CH494" s="61"/>
      <c r="CI494" s="61"/>
      <c r="CJ494" s="61"/>
      <c r="CK494" s="60"/>
    </row>
    <row r="495" spans="14:89">
      <c r="CG495" s="2522" t="s">
        <v>552</v>
      </c>
      <c r="CH495" s="3217">
        <f>+BYD!BF55</f>
        <v>545.32049999999992</v>
      </c>
      <c r="CI495" s="3218">
        <v>617.69000000000005</v>
      </c>
      <c r="CJ495" s="3218">
        <v>640.66999999999996</v>
      </c>
      <c r="CK495" s="3219">
        <v>664.8</v>
      </c>
    </row>
    <row r="496" spans="14:89">
      <c r="CG496" s="2462" t="s">
        <v>1854</v>
      </c>
      <c r="CH496" s="3220"/>
      <c r="CI496" s="3221">
        <f>+CI495/CH495-1</f>
        <v>0.13271003015657801</v>
      </c>
      <c r="CJ496" s="3221">
        <f>+CJ495/CI495-1</f>
        <v>3.7203127782544421E-2</v>
      </c>
      <c r="CK496" s="2674">
        <f>+CK495/CJ495-1</f>
        <v>3.7663695818439979E-2</v>
      </c>
    </row>
    <row r="497" spans="85:93">
      <c r="CG497" s="2522" t="s">
        <v>706</v>
      </c>
      <c r="CH497" s="3217">
        <v>709.99099999999999</v>
      </c>
      <c r="CI497" s="3218">
        <v>772.04</v>
      </c>
      <c r="CJ497" s="3218">
        <v>828.25</v>
      </c>
      <c r="CK497" s="3219">
        <v>855.51</v>
      </c>
    </row>
    <row r="498" spans="85:93">
      <c r="CG498" s="2462" t="s">
        <v>1854</v>
      </c>
      <c r="CH498" s="3220"/>
      <c r="CI498" s="3221">
        <f>+CI497/CH497-1</f>
        <v>8.7394065558577427E-2</v>
      </c>
      <c r="CJ498" s="3221">
        <f>+CJ497/CI497-1</f>
        <v>7.2807108439977286E-2</v>
      </c>
      <c r="CK498" s="2674">
        <f>+CK497/CJ497-1</f>
        <v>3.291276788409303E-2</v>
      </c>
    </row>
    <row r="499" spans="85:93" ht="3.95" customHeight="1">
      <c r="CG499" s="2522"/>
      <c r="CH499" s="3222" t="s">
        <v>1826</v>
      </c>
      <c r="CI499" s="3222" t="s">
        <v>1826</v>
      </c>
      <c r="CJ499" s="3222" t="s">
        <v>1826</v>
      </c>
      <c r="CK499" s="3223" t="s">
        <v>1826</v>
      </c>
    </row>
    <row r="500" spans="85:93">
      <c r="CG500" s="2522" t="s">
        <v>310</v>
      </c>
      <c r="CH500" s="3217">
        <f>+CH495+CH497</f>
        <v>1255.3114999999998</v>
      </c>
      <c r="CI500" s="3217">
        <f>+CI495+CI497</f>
        <v>1389.73</v>
      </c>
      <c r="CJ500" s="3217">
        <f>+CJ495+CJ497</f>
        <v>1468.92</v>
      </c>
      <c r="CK500" s="3224">
        <f>+CK495+CK497</f>
        <v>1520.31</v>
      </c>
    </row>
    <row r="501" spans="85:93">
      <c r="CG501" s="2462" t="s">
        <v>1854</v>
      </c>
      <c r="CH501" s="61"/>
      <c r="CI501" s="58">
        <f>+CI500/CH500-1</f>
        <v>0.10707979652859101</v>
      </c>
      <c r="CJ501" s="58">
        <f>+CJ500/CI500-1</f>
        <v>5.6982291524253048E-2</v>
      </c>
      <c r="CK501" s="2126">
        <f>+CK500/CJ500-1</f>
        <v>3.4984886855649044E-2</v>
      </c>
    </row>
    <row r="502" spans="85:93">
      <c r="CG502" s="59"/>
      <c r="CH502" s="61"/>
      <c r="CI502" s="61"/>
      <c r="CJ502" s="61"/>
      <c r="CK502" s="60"/>
    </row>
    <row r="503" spans="85:93">
      <c r="CG503" s="2531" t="s">
        <v>1858</v>
      </c>
      <c r="CH503" s="61"/>
      <c r="CI503" s="61"/>
      <c r="CJ503" s="61"/>
      <c r="CK503" s="60"/>
    </row>
    <row r="504" spans="85:93">
      <c r="CG504" s="2522" t="s">
        <v>552</v>
      </c>
      <c r="CH504" s="61"/>
      <c r="CI504" s="95">
        <f>(CI495-CH495)/(CI482-CH482)</f>
        <v>1.2991795921298273</v>
      </c>
      <c r="CJ504" s="95">
        <f>(CJ495-CI495)/(CJ482-CI482)</f>
        <v>0.53603918824352603</v>
      </c>
      <c r="CK504" s="3225">
        <f>(CK495-CJ495)/(CK482-CJ482)</f>
        <v>0.63785355537932964</v>
      </c>
    </row>
    <row r="505" spans="85:93">
      <c r="CG505" s="2522" t="s">
        <v>706</v>
      </c>
      <c r="CH505" s="61"/>
      <c r="CI505" s="95">
        <f>(CI497-CH497)/(CI484-CH484)</f>
        <v>0.26021589250666766</v>
      </c>
      <c r="CJ505" s="95">
        <f>(CJ497-CI497)/(CJ484-CI484)</f>
        <v>0.24937888198757771</v>
      </c>
      <c r="CK505" s="3225">
        <f>(CK497-CJ497)/(CK484-CJ484)</f>
        <v>1.1386800334168725</v>
      </c>
    </row>
    <row r="506" spans="85:93" ht="3.95" customHeight="1">
      <c r="CG506" s="2522"/>
      <c r="CH506" s="61"/>
      <c r="CI506" s="3222" t="s">
        <v>1826</v>
      </c>
      <c r="CJ506" s="3222" t="s">
        <v>1826</v>
      </c>
      <c r="CK506" s="3223" t="s">
        <v>1826</v>
      </c>
    </row>
    <row r="507" spans="85:93">
      <c r="CG507" s="2767" t="s">
        <v>310</v>
      </c>
      <c r="CH507" s="72"/>
      <c r="CI507" s="3226">
        <f>(CI500-CH500)/(CI487-CH487)</f>
        <v>0.45696331198411672</v>
      </c>
      <c r="CJ507" s="3226">
        <f>(CJ500-CI500)/(CJ487-CI487)</f>
        <v>0.29518768404965218</v>
      </c>
      <c r="CK507" s="3227">
        <f>(CK500-CJ500)/(CK487-CJ487)</f>
        <v>0.8319572608062209</v>
      </c>
    </row>
    <row r="508" spans="85:93">
      <c r="CG508" s="61"/>
      <c r="CH508" s="61"/>
      <c r="CI508" s="61"/>
      <c r="CJ508" s="61"/>
      <c r="CK508" s="61"/>
      <c r="CL508" s="1" t="s">
        <v>1416</v>
      </c>
    </row>
    <row r="509" spans="85:93">
      <c r="CM509" s="2786" t="s">
        <v>1859</v>
      </c>
      <c r="CN509" s="2786" t="s">
        <v>1852</v>
      </c>
      <c r="CO509" s="2786" t="s">
        <v>1853</v>
      </c>
    </row>
    <row r="510" spans="85:93">
      <c r="CL510" s="1447" t="s">
        <v>552</v>
      </c>
      <c r="CM510" s="2500">
        <f>+'CompSheet - Output'!T41</f>
        <v>5.3661052476740316</v>
      </c>
      <c r="CN510" s="2500">
        <f>+'CompSheet - Output'!AA41</f>
        <v>5.3761546339652675</v>
      </c>
      <c r="CO510" s="2500">
        <f>+'CompSheet - Output'!AB41</f>
        <v>4.8972088142707246</v>
      </c>
    </row>
    <row r="511" spans="85:93">
      <c r="CL511" s="1447" t="s">
        <v>706</v>
      </c>
      <c r="CM511" s="2500">
        <v>5.25</v>
      </c>
      <c r="CN511" s="2500">
        <v>5.25</v>
      </c>
      <c r="CO511" s="2500">
        <v>5.25</v>
      </c>
    </row>
    <row r="530" spans="14:119">
      <c r="CY530" s="3268" t="s">
        <v>1852</v>
      </c>
      <c r="CZ530" s="2651" t="s">
        <v>1869</v>
      </c>
      <c r="DA530" s="2651" t="s">
        <v>1870</v>
      </c>
      <c r="DB530" s="2651" t="s">
        <v>1030</v>
      </c>
      <c r="DC530" s="3269" t="s">
        <v>594</v>
      </c>
    </row>
    <row r="531" spans="14:119">
      <c r="CY531" s="2522" t="s">
        <v>7</v>
      </c>
      <c r="CZ531" s="2589">
        <f>+BYD!BP21</f>
        <v>2183.9749999999999</v>
      </c>
      <c r="DA531" s="2589">
        <v>2327.1784982455001</v>
      </c>
      <c r="DB531" s="2589">
        <v>2246.81</v>
      </c>
      <c r="DC531" s="3271" t="s">
        <v>1751</v>
      </c>
    </row>
    <row r="532" spans="14:119">
      <c r="CY532" s="2767" t="s">
        <v>401</v>
      </c>
      <c r="CZ532" s="1448">
        <f>+BYD!BP55</f>
        <v>558.99750000000006</v>
      </c>
      <c r="DA532" s="1448">
        <v>656.93540716732741</v>
      </c>
      <c r="DB532" s="1448">
        <v>650.94000000000005</v>
      </c>
      <c r="DC532" s="3270" t="s">
        <v>1871</v>
      </c>
    </row>
    <row r="534" spans="14:119">
      <c r="DE534" s="3272" t="s">
        <v>286</v>
      </c>
      <c r="DF534" s="3273" t="s">
        <v>1872</v>
      </c>
      <c r="DG534" s="3274" t="s">
        <v>1873</v>
      </c>
      <c r="DH534" s="3274" t="s">
        <v>1874</v>
      </c>
      <c r="DI534" s="3274" t="s">
        <v>920</v>
      </c>
      <c r="DJ534" s="3275" t="s">
        <v>1875</v>
      </c>
    </row>
    <row r="535" spans="14:119">
      <c r="DE535" s="3276" t="s">
        <v>1876</v>
      </c>
      <c r="DF535" s="1449" t="s">
        <v>1877</v>
      </c>
      <c r="DG535" s="3277">
        <v>17.91</v>
      </c>
      <c r="DH535" s="3278">
        <v>712</v>
      </c>
      <c r="DI535" s="3279">
        <v>0.87</v>
      </c>
      <c r="DJ535" s="3280">
        <v>53</v>
      </c>
    </row>
    <row r="536" spans="14:119">
      <c r="DE536" s="3276" t="s">
        <v>1878</v>
      </c>
      <c r="DF536" s="1449" t="s">
        <v>1877</v>
      </c>
      <c r="DG536" s="3277">
        <v>17.91</v>
      </c>
      <c r="DH536" s="3281">
        <v>1885</v>
      </c>
      <c r="DI536" s="3279">
        <v>0.86</v>
      </c>
      <c r="DJ536" s="3280">
        <v>63</v>
      </c>
    </row>
    <row r="537" spans="14:119">
      <c r="DE537" s="3276" t="s">
        <v>1879</v>
      </c>
      <c r="DF537" s="1449" t="s">
        <v>1877</v>
      </c>
      <c r="DG537" s="3277">
        <v>17.91</v>
      </c>
      <c r="DH537" s="3281">
        <v>427</v>
      </c>
      <c r="DI537" s="3279">
        <v>0.83</v>
      </c>
      <c r="DJ537" s="3280">
        <v>76</v>
      </c>
    </row>
    <row r="538" spans="14:119">
      <c r="DE538" s="3276" t="s">
        <v>1880</v>
      </c>
      <c r="DF538" s="1449" t="s">
        <v>1877</v>
      </c>
      <c r="DG538" s="3277">
        <v>16.79</v>
      </c>
      <c r="DH538" s="3281">
        <v>645</v>
      </c>
      <c r="DI538" s="3279">
        <v>0.91</v>
      </c>
      <c r="DJ538" s="3280">
        <v>48</v>
      </c>
    </row>
    <row r="539" spans="14:119">
      <c r="DE539" s="3276" t="s">
        <v>1881</v>
      </c>
      <c r="DF539" s="1449" t="s">
        <v>1882</v>
      </c>
      <c r="DG539" s="3277">
        <v>10.08</v>
      </c>
      <c r="DH539" s="3281">
        <v>1088</v>
      </c>
      <c r="DI539" s="3279">
        <v>0.91</v>
      </c>
      <c r="DJ539" s="3280">
        <v>82</v>
      </c>
    </row>
    <row r="540" spans="14:119">
      <c r="DE540" s="3276" t="s">
        <v>1883</v>
      </c>
      <c r="DF540" s="1449" t="s">
        <v>1884</v>
      </c>
      <c r="DG540" s="3277">
        <v>10</v>
      </c>
      <c r="DH540" s="3281">
        <v>2767</v>
      </c>
      <c r="DI540" s="3279">
        <v>0.89</v>
      </c>
      <c r="DJ540" s="3280">
        <v>133</v>
      </c>
    </row>
    <row r="541" spans="14:119" ht="3.95" customHeight="1">
      <c r="DE541" s="2522"/>
      <c r="DF541" s="1449"/>
      <c r="DG541" s="1449"/>
      <c r="DH541" s="1449"/>
      <c r="DI541" s="1449"/>
      <c r="DJ541" s="2524"/>
    </row>
    <row r="542" spans="14:119" s="1" customFormat="1">
      <c r="N542" s="107"/>
      <c r="O542" s="107"/>
      <c r="P542" s="107"/>
      <c r="BC542" s="107"/>
      <c r="DE542" s="2624" t="s">
        <v>310</v>
      </c>
      <c r="DF542" s="111"/>
      <c r="DG542" s="3282">
        <f>SUMPRODUCT(DG535:DG540,$DH$535:$DH$540)/$DH$542</f>
        <v>13.772784423179159</v>
      </c>
      <c r="DH542" s="111">
        <f>SUM(DH535:DH540)</f>
        <v>7524</v>
      </c>
      <c r="DI542" s="2660">
        <f>SUMPRODUCT(DI535:DI540,$DH$535:$DH$540)/$DH$542</f>
        <v>0.8817929292929293</v>
      </c>
      <c r="DJ542" s="2783">
        <f>SUMPRODUCT(DJ535:DJ540,$DH$535:$DH$540)/$DH$542</f>
        <v>89.996012759170654</v>
      </c>
    </row>
    <row r="543" spans="14:119">
      <c r="DK543" s="79" t="s">
        <v>1930</v>
      </c>
      <c r="DL543" s="67"/>
      <c r="DM543" s="67"/>
      <c r="DN543" s="67"/>
      <c r="DO543" s="66"/>
    </row>
    <row r="544" spans="14:119">
      <c r="DK544" s="2531" t="s">
        <v>790</v>
      </c>
      <c r="DL544" s="61"/>
      <c r="DM544" s="61"/>
      <c r="DN544" s="743" t="s">
        <v>1893</v>
      </c>
      <c r="DO544" s="60"/>
    </row>
    <row r="545" spans="114:120">
      <c r="DK545" s="2522" t="s">
        <v>1886</v>
      </c>
      <c r="DL545" s="3291">
        <v>84.2</v>
      </c>
      <c r="DM545" s="61"/>
      <c r="DN545" s="1449" t="s">
        <v>1886</v>
      </c>
      <c r="DO545" s="3292">
        <f>+DO551/0.25</f>
        <v>100</v>
      </c>
      <c r="DP545" s="2">
        <f>+DO545/4</f>
        <v>25</v>
      </c>
    </row>
    <row r="546" spans="114:120">
      <c r="DK546" s="2522" t="s">
        <v>1887</v>
      </c>
      <c r="DL546" s="2526">
        <f>+DL545/4*1.02</f>
        <v>21.471</v>
      </c>
      <c r="DM546" s="61"/>
      <c r="DN546" s="1449" t="s">
        <v>1887</v>
      </c>
      <c r="DO546" s="2527">
        <f>DO545*12/365*1.02</f>
        <v>3.3534246575342466</v>
      </c>
    </row>
    <row r="547" spans="114:120">
      <c r="DK547" s="59"/>
      <c r="DL547" s="61"/>
      <c r="DM547" s="61"/>
      <c r="DN547" s="61"/>
      <c r="DO547" s="60"/>
    </row>
    <row r="548" spans="114:120">
      <c r="DK548" s="2522" t="s">
        <v>1890</v>
      </c>
      <c r="DL548" s="3293">
        <f>+DL545-DL551</f>
        <v>66</v>
      </c>
      <c r="DM548" s="61"/>
      <c r="DN548" s="1449" t="s">
        <v>1890</v>
      </c>
      <c r="DO548" s="3294">
        <f>+DO545-DO551</f>
        <v>75</v>
      </c>
    </row>
    <row r="549" spans="114:120">
      <c r="DK549" s="2522" t="s">
        <v>1887</v>
      </c>
      <c r="DL549" s="2526">
        <f>+DL548/4</f>
        <v>16.5</v>
      </c>
      <c r="DM549" s="61"/>
      <c r="DN549" s="1449" t="s">
        <v>1887</v>
      </c>
      <c r="DO549" s="3913">
        <f>+DO546-DO552</f>
        <v>2.515068493150685</v>
      </c>
    </row>
    <row r="550" spans="114:120">
      <c r="DK550" s="59"/>
      <c r="DL550" s="61"/>
      <c r="DM550" s="61"/>
      <c r="DN550" s="61"/>
      <c r="DO550" s="60"/>
    </row>
    <row r="551" spans="114:120">
      <c r="DJ551" s="105"/>
      <c r="DK551" s="2522" t="s">
        <v>1894</v>
      </c>
      <c r="DL551" s="3291">
        <f>17.2+1</f>
        <v>18.2</v>
      </c>
      <c r="DM551" s="61"/>
      <c r="DN551" s="1449" t="s">
        <v>1894</v>
      </c>
      <c r="DO551" s="3292">
        <f>+DO560-8</f>
        <v>25</v>
      </c>
    </row>
    <row r="552" spans="114:120">
      <c r="DK552" s="2522" t="s">
        <v>1887</v>
      </c>
      <c r="DL552" s="96">
        <f>+DL546-DL549</f>
        <v>4.9710000000000001</v>
      </c>
      <c r="DM552" s="61"/>
      <c r="DN552" s="1449" t="s">
        <v>1887</v>
      </c>
      <c r="DO552" s="2527">
        <f>+(DO551/DO545)*DO546</f>
        <v>0.83835616438356164</v>
      </c>
    </row>
    <row r="553" spans="114:120">
      <c r="DK553" s="59"/>
      <c r="DL553" s="61"/>
      <c r="DM553" s="61"/>
      <c r="DN553" s="61"/>
      <c r="DO553" s="60"/>
    </row>
    <row r="554" spans="114:120">
      <c r="DK554" s="2522" t="s">
        <v>1889</v>
      </c>
      <c r="DL554" s="3291">
        <v>92.4</v>
      </c>
      <c r="DM554" s="61"/>
      <c r="DN554" s="1449" t="s">
        <v>1889</v>
      </c>
      <c r="DO554" s="2523">
        <f>+DO545</f>
        <v>100</v>
      </c>
    </row>
    <row r="555" spans="114:120">
      <c r="DK555" s="2522" t="s">
        <v>1888</v>
      </c>
      <c r="DL555" s="2526">
        <f>+DL554-DL546</f>
        <v>70.929000000000002</v>
      </c>
      <c r="DM555" s="61"/>
      <c r="DN555" s="1449" t="s">
        <v>1888</v>
      </c>
      <c r="DO555" s="2527">
        <f>+DO554-DO546</f>
        <v>96.646575342465752</v>
      </c>
    </row>
    <row r="556" spans="114:120">
      <c r="DK556" s="59"/>
      <c r="DL556" s="61"/>
      <c r="DM556" s="61"/>
      <c r="DN556" s="61"/>
      <c r="DO556" s="60"/>
    </row>
    <row r="557" spans="114:120">
      <c r="DK557" s="2522" t="s">
        <v>1891</v>
      </c>
      <c r="DL557" s="3291">
        <v>61</v>
      </c>
      <c r="DM557" s="61"/>
      <c r="DN557" s="1449" t="s">
        <v>1891</v>
      </c>
      <c r="DO557" s="3294">
        <f>+DO554-DO560</f>
        <v>67</v>
      </c>
    </row>
    <row r="558" spans="114:120">
      <c r="DK558" s="2522" t="s">
        <v>1892</v>
      </c>
      <c r="DL558" s="2526">
        <f>+DL557-DL549</f>
        <v>44.5</v>
      </c>
      <c r="DM558" s="61"/>
      <c r="DN558" s="1449" t="s">
        <v>1892</v>
      </c>
      <c r="DO558" s="2527">
        <f>+DO557-DO549</f>
        <v>64.484931506849321</v>
      </c>
    </row>
    <row r="559" spans="114:120">
      <c r="DK559" s="59"/>
      <c r="DL559" s="61"/>
      <c r="DM559" s="61"/>
      <c r="DN559" s="61"/>
      <c r="DO559" s="60"/>
    </row>
    <row r="560" spans="114:120">
      <c r="DK560" s="2522" t="s">
        <v>1895</v>
      </c>
      <c r="DL560" s="2269">
        <f>+DL554-DL557</f>
        <v>31.400000000000006</v>
      </c>
      <c r="DM560" s="61"/>
      <c r="DN560" s="1449" t="s">
        <v>1895</v>
      </c>
      <c r="DO560" s="3292">
        <v>33</v>
      </c>
    </row>
    <row r="561" spans="115:127">
      <c r="DK561" s="2522" t="s">
        <v>1896</v>
      </c>
      <c r="DL561" s="2526">
        <f>+DL560-DL552</f>
        <v>26.429000000000006</v>
      </c>
      <c r="DM561" s="61"/>
      <c r="DN561" s="1449" t="s">
        <v>1896</v>
      </c>
      <c r="DO561" s="2527">
        <f>+DO560-DO552</f>
        <v>32.161643835616438</v>
      </c>
    </row>
    <row r="562" spans="115:127">
      <c r="DK562" s="59"/>
      <c r="DL562" s="61"/>
      <c r="DM562" s="61"/>
      <c r="DN562" s="61"/>
      <c r="DO562" s="60"/>
    </row>
    <row r="563" spans="115:127">
      <c r="DK563" s="2767" t="s">
        <v>1897</v>
      </c>
      <c r="DL563" s="72">
        <f>+DL561+DL552</f>
        <v>31.400000000000006</v>
      </c>
      <c r="DM563" s="72"/>
      <c r="DN563" s="72" t="s">
        <v>1897</v>
      </c>
      <c r="DO563" s="102">
        <f>+DO561+DO552</f>
        <v>33</v>
      </c>
    </row>
    <row r="565" spans="115:127" ht="25.5">
      <c r="DP565" s="3301" t="s">
        <v>1911</v>
      </c>
      <c r="DQ565" s="1613" t="s">
        <v>955</v>
      </c>
      <c r="DR565" s="1613" t="s">
        <v>474</v>
      </c>
      <c r="DS565" s="3298" t="s">
        <v>1912</v>
      </c>
      <c r="DT565" s="3298" t="s">
        <v>1899</v>
      </c>
      <c r="DU565" s="1613" t="s">
        <v>959</v>
      </c>
      <c r="DV565" s="3298" t="s">
        <v>961</v>
      </c>
      <c r="DW565" s="3299" t="s">
        <v>1001</v>
      </c>
    </row>
    <row r="566" spans="115:127">
      <c r="DP566" s="2776" t="s">
        <v>957</v>
      </c>
      <c r="DQ566" s="2777">
        <v>350</v>
      </c>
      <c r="DR566" s="2778">
        <v>8.3750000000000005E-2</v>
      </c>
      <c r="DS566" s="2589">
        <f t="shared" ref="DS566:DS572" si="3">+DQ566*DR566</f>
        <v>29.3125</v>
      </c>
      <c r="DT566" s="3295">
        <v>0</v>
      </c>
      <c r="DU566" s="2778">
        <v>0.06</v>
      </c>
      <c r="DV566" s="2589">
        <f t="shared" ref="DV566:DV572" si="4">+DT566*DU566</f>
        <v>0</v>
      </c>
      <c r="DW566" s="2590">
        <f t="shared" ref="DW566:DW572" si="5">+DS566-DV566</f>
        <v>29.3125</v>
      </c>
    </row>
    <row r="567" spans="115:127">
      <c r="DP567" s="2776" t="s">
        <v>700</v>
      </c>
      <c r="DQ567" s="2779">
        <v>350</v>
      </c>
      <c r="DR567" s="2778">
        <v>0.09</v>
      </c>
      <c r="DS567" s="2780">
        <f t="shared" si="3"/>
        <v>31.5</v>
      </c>
      <c r="DT567" s="3296">
        <v>0</v>
      </c>
      <c r="DU567" s="2778">
        <v>7.4999999999999997E-2</v>
      </c>
      <c r="DV567" s="2780">
        <f t="shared" si="4"/>
        <v>0</v>
      </c>
      <c r="DW567" s="3197">
        <f t="shared" si="5"/>
        <v>31.5</v>
      </c>
    </row>
    <row r="568" spans="115:127">
      <c r="DP568" s="2776" t="s">
        <v>1898</v>
      </c>
      <c r="DQ568" s="1449">
        <f>+BYD!BM1107</f>
        <v>610.52499999999998</v>
      </c>
      <c r="DR568" s="2778">
        <v>4.2500000000000003E-2</v>
      </c>
      <c r="DS568" s="2780">
        <f t="shared" si="3"/>
        <v>25.947312500000002</v>
      </c>
      <c r="DT568" s="3296">
        <v>0</v>
      </c>
      <c r="DU568" s="2778">
        <v>4.2500000000000003E-2</v>
      </c>
      <c r="DV568" s="2780">
        <f t="shared" si="4"/>
        <v>0</v>
      </c>
      <c r="DW568" s="3197">
        <f t="shared" si="5"/>
        <v>25.947312500000002</v>
      </c>
    </row>
    <row r="569" spans="115:127">
      <c r="DP569" s="2776" t="s">
        <v>1907</v>
      </c>
      <c r="DQ569" s="1449">
        <f>+BYD!BM1089</f>
        <v>177.02500000000001</v>
      </c>
      <c r="DR569" s="2778">
        <v>3.2500000000000001E-2</v>
      </c>
      <c r="DS569" s="2780">
        <f t="shared" si="3"/>
        <v>5.7533125000000007</v>
      </c>
      <c r="DT569" s="3296">
        <v>225</v>
      </c>
      <c r="DU569" s="2778">
        <v>0.03</v>
      </c>
      <c r="DV569" s="2780">
        <f t="shared" si="4"/>
        <v>6.75</v>
      </c>
      <c r="DW569" s="3197">
        <f t="shared" si="5"/>
        <v>-0.99668749999999928</v>
      </c>
    </row>
    <row r="570" spans="115:127">
      <c r="DP570" s="2776" t="s">
        <v>1908</v>
      </c>
      <c r="DQ570" s="1449">
        <f>+BYD!BM1090</f>
        <v>726.25</v>
      </c>
      <c r="DR570" s="2778">
        <v>0.04</v>
      </c>
      <c r="DS570" s="2780">
        <f t="shared" si="3"/>
        <v>29.05</v>
      </c>
      <c r="DT570" s="3296">
        <f>+DQ570-400</f>
        <v>326.25</v>
      </c>
      <c r="DU570" s="2778">
        <v>0.04</v>
      </c>
      <c r="DV570" s="2780">
        <f t="shared" si="4"/>
        <v>13.05</v>
      </c>
      <c r="DW570" s="3197">
        <f t="shared" si="5"/>
        <v>16</v>
      </c>
    </row>
    <row r="571" spans="115:127">
      <c r="DP571" s="2776" t="s">
        <v>1909</v>
      </c>
      <c r="DQ571" s="3300">
        <v>0</v>
      </c>
      <c r="DR571" s="2778"/>
      <c r="DS571" s="2780">
        <f t="shared" si="3"/>
        <v>0</v>
      </c>
      <c r="DT571" s="3296">
        <v>1000</v>
      </c>
      <c r="DU571" s="2778">
        <f>0.03+0.008</f>
        <v>3.7999999999999999E-2</v>
      </c>
      <c r="DV571" s="2780">
        <f t="shared" si="4"/>
        <v>38</v>
      </c>
      <c r="DW571" s="3197">
        <f t="shared" si="5"/>
        <v>-38</v>
      </c>
    </row>
    <row r="572" spans="115:127">
      <c r="DP572" s="2776" t="s">
        <v>1910</v>
      </c>
      <c r="DQ572" s="3300">
        <v>0</v>
      </c>
      <c r="DR572" s="2778"/>
      <c r="DS572" s="2780">
        <f t="shared" si="3"/>
        <v>0</v>
      </c>
      <c r="DT572" s="3300">
        <v>200</v>
      </c>
      <c r="DU572" s="2778">
        <v>2.8000000000000001E-2</v>
      </c>
      <c r="DV572" s="2780">
        <f t="shared" si="4"/>
        <v>5.6000000000000005</v>
      </c>
      <c r="DW572" s="3197">
        <f t="shared" si="5"/>
        <v>-5.6000000000000005</v>
      </c>
    </row>
    <row r="573" spans="115:127" ht="3.95" customHeight="1">
      <c r="DP573" s="2522"/>
      <c r="DQ573" s="61"/>
      <c r="DR573" s="61"/>
      <c r="DS573" s="61"/>
      <c r="DT573" s="61"/>
      <c r="DU573" s="61"/>
      <c r="DV573" s="61"/>
      <c r="DW573" s="60"/>
    </row>
    <row r="574" spans="115:127">
      <c r="DP574" s="3268" t="s">
        <v>310</v>
      </c>
      <c r="DQ574" s="3302">
        <f>+SUM(DQ566:DQ573)</f>
        <v>2213.8000000000002</v>
      </c>
      <c r="DR574" s="160"/>
      <c r="DS574" s="3302">
        <f>+SUM(DS566:DS573)</f>
        <v>121.56312500000001</v>
      </c>
      <c r="DT574" s="3302">
        <f>+SUM(DT566:DT573)</f>
        <v>1751.25</v>
      </c>
      <c r="DU574" s="160"/>
      <c r="DV574" s="160">
        <f>+SUM(DV566:DV573)</f>
        <v>63.4</v>
      </c>
      <c r="DW574" s="3297">
        <f>+SUM(DW566:DW573)</f>
        <v>58.163125000000015</v>
      </c>
    </row>
    <row r="575" spans="115:127">
      <c r="DT575" s="2">
        <f>+DT574-DQ574</f>
        <v>-462.55000000000018</v>
      </c>
    </row>
    <row r="577" spans="120:152">
      <c r="DP577" s="1447" t="s">
        <v>1900</v>
      </c>
    </row>
    <row r="578" spans="120:152">
      <c r="DP578" s="1447" t="s">
        <v>1901</v>
      </c>
    </row>
    <row r="579" spans="120:152">
      <c r="DP579" s="1447" t="s">
        <v>1902</v>
      </c>
    </row>
    <row r="580" spans="120:152">
      <c r="DP580" s="1447" t="s">
        <v>1906</v>
      </c>
      <c r="EF580" s="105"/>
    </row>
    <row r="581" spans="120:152">
      <c r="DP581" s="1447" t="s">
        <v>1903</v>
      </c>
    </row>
    <row r="583" spans="120:152">
      <c r="DP583" s="1447" t="s">
        <v>1904</v>
      </c>
    </row>
    <row r="585" spans="120:152">
      <c r="DP585" s="1447" t="s">
        <v>1905</v>
      </c>
    </row>
    <row r="587" spans="120:152">
      <c r="DX587" s="3900" t="s">
        <v>1939</v>
      </c>
      <c r="DY587" s="1613" t="s">
        <v>1753</v>
      </c>
      <c r="DZ587" s="1613" t="s">
        <v>942</v>
      </c>
      <c r="EA587" s="1613" t="s">
        <v>288</v>
      </c>
      <c r="EB587" s="1613" t="s">
        <v>1820</v>
      </c>
      <c r="EC587" s="3901">
        <v>2014</v>
      </c>
      <c r="ED587" s="1613" t="s">
        <v>1822</v>
      </c>
      <c r="EE587" s="1613" t="s">
        <v>1837</v>
      </c>
      <c r="EF587" s="1613" t="s">
        <v>1848</v>
      </c>
      <c r="EG587" s="1613" t="s">
        <v>1865</v>
      </c>
      <c r="EH587" s="3901">
        <v>2015</v>
      </c>
      <c r="EI587" s="1613" t="s">
        <v>1885</v>
      </c>
      <c r="EJ587" s="1613" t="s">
        <v>1915</v>
      </c>
      <c r="EK587" s="1613" t="s">
        <v>1926</v>
      </c>
      <c r="EL587" s="1613" t="s">
        <v>1932</v>
      </c>
      <c r="EM587" s="3901">
        <v>2016</v>
      </c>
      <c r="EN587" s="1613" t="s">
        <v>1933</v>
      </c>
      <c r="EO587" s="1613" t="s">
        <v>1917</v>
      </c>
      <c r="EP587" s="1613" t="s">
        <v>1918</v>
      </c>
      <c r="EQ587" s="1613" t="s">
        <v>1919</v>
      </c>
      <c r="ER587" s="3901" t="s">
        <v>369</v>
      </c>
      <c r="ES587" s="3901" t="s">
        <v>1598</v>
      </c>
      <c r="ET587" s="3222"/>
      <c r="EU587" s="3222"/>
      <c r="EV587" s="3222"/>
    </row>
    <row r="588" spans="120:152" ht="3.95" customHeight="1">
      <c r="DX588" s="2301"/>
      <c r="DY588" s="70"/>
      <c r="DZ588" s="70"/>
      <c r="EA588" s="70"/>
      <c r="EB588" s="70"/>
      <c r="EC588" s="3902"/>
      <c r="ED588" s="70"/>
      <c r="EE588" s="70"/>
      <c r="EF588" s="70"/>
      <c r="EG588" s="70"/>
      <c r="EH588" s="3902"/>
      <c r="EI588" s="70"/>
      <c r="EJ588" s="70"/>
      <c r="EK588" s="70"/>
      <c r="EL588" s="70"/>
      <c r="EM588" s="3902"/>
      <c r="EN588" s="70"/>
      <c r="EO588" s="70"/>
      <c r="EP588" s="70"/>
      <c r="EQ588" s="70"/>
      <c r="ER588" s="3902"/>
      <c r="ES588" s="3902"/>
      <c r="ET588" s="3222"/>
      <c r="EU588" s="3222"/>
      <c r="EV588" s="3222"/>
    </row>
    <row r="589" spans="120:152">
      <c r="DX589" s="2522" t="s">
        <v>1937</v>
      </c>
      <c r="DY589" s="818">
        <f>+BYD!BB10</f>
        <v>151.44300000000001</v>
      </c>
      <c r="DZ589" s="818">
        <f>+BYD!BC10</f>
        <v>148.27000000000001</v>
      </c>
      <c r="EA589" s="818">
        <f>+BYD!BD10</f>
        <v>141.20699999999999</v>
      </c>
      <c r="EB589" s="818">
        <f>+BYD!BE10</f>
        <v>151.732</v>
      </c>
      <c r="EC589" s="137">
        <f>+BYD!BF10</f>
        <v>592.65200000000004</v>
      </c>
      <c r="ED589" s="818">
        <f>+BYD!BG10</f>
        <v>150.30199999999999</v>
      </c>
      <c r="EE589" s="818">
        <f>+BYD!BH10</f>
        <v>153.03200000000001</v>
      </c>
      <c r="EF589" s="818">
        <f>+BYD!BI10</f>
        <v>148.02199999999999</v>
      </c>
      <c r="EG589" s="818">
        <f>+BYD!BJ10</f>
        <v>158.75</v>
      </c>
      <c r="EH589" s="137">
        <f>+BYD!BK10</f>
        <v>610.10599999999999</v>
      </c>
      <c r="EI589" s="818">
        <f>+BYD!BL10</f>
        <v>158.398</v>
      </c>
      <c r="EJ589" s="818">
        <f>+BYD!BM10</f>
        <v>154.93600000000001</v>
      </c>
      <c r="EK589" s="818">
        <f>+BYD!BN10</f>
        <v>148.87899999999999</v>
      </c>
      <c r="EL589" s="818">
        <f>+BYD!BO10-DL546</f>
        <v>164.18299999999999</v>
      </c>
      <c r="EM589" s="137">
        <f>SUM(EI589:EL589)</f>
        <v>626.39599999999996</v>
      </c>
      <c r="EN589" s="818">
        <f>+BYD!BQ10-$DL$554/4-$DO$554/4</f>
        <v>171.68100000000001</v>
      </c>
      <c r="EO589" s="818">
        <f>+BYD!BR10-$DL$554/4-$DO$554/4</f>
        <v>166.11600000000001</v>
      </c>
      <c r="EP589" s="818">
        <f>+BYD!BS10-$DL$554/4-$DO$554/4</f>
        <v>159.191</v>
      </c>
      <c r="EQ589" s="818">
        <f>+BYD!BT10-$DL$554/4-$DO$554/4+(DL554/4-DL546)</f>
        <v>171.16200000000001</v>
      </c>
      <c r="ER589" s="137">
        <f>SUM(EN589:EQ589)</f>
        <v>668.15000000000009</v>
      </c>
      <c r="ES589" s="3910">
        <f>+ER589*(1+BYD!BZ299)</f>
        <v>692.37043749999998</v>
      </c>
      <c r="ET589" s="2589" t="s">
        <v>1753</v>
      </c>
      <c r="EU589" s="3941">
        <v>8.2667584871892998</v>
      </c>
      <c r="EV589" s="3940"/>
    </row>
    <row r="590" spans="120:152">
      <c r="DX590" s="2522" t="s">
        <v>1931</v>
      </c>
      <c r="DY590" s="61">
        <f>+BYD!BB11</f>
        <v>55.732999999999997</v>
      </c>
      <c r="DZ590" s="61">
        <f>+BYD!BC11</f>
        <v>55.552</v>
      </c>
      <c r="EA590" s="61">
        <f>+BYD!BD11</f>
        <v>53.378999999999998</v>
      </c>
      <c r="EB590" s="61">
        <f>+BYD!BE11</f>
        <v>59.610999999999997</v>
      </c>
      <c r="EC590" s="112">
        <f>+BYD!BF11</f>
        <v>224.27499999999998</v>
      </c>
      <c r="ED590" s="61">
        <f>+BYD!BG11</f>
        <v>56.603000000000002</v>
      </c>
      <c r="EE590" s="61">
        <f>+BYD!BH11</f>
        <v>58.433999999999997</v>
      </c>
      <c r="EF590" s="61">
        <f>+BYD!BI11</f>
        <v>56.685000000000002</v>
      </c>
      <c r="EG590" s="61">
        <f>+BYD!BJ11</f>
        <v>62.469000000000001</v>
      </c>
      <c r="EH590" s="112">
        <f>+BYD!BK11</f>
        <v>234.191</v>
      </c>
      <c r="EI590" s="61">
        <f>+BYD!BL11</f>
        <v>58.604999999999997</v>
      </c>
      <c r="EJ590" s="61">
        <f>+BYD!BM11</f>
        <v>59.212000000000003</v>
      </c>
      <c r="EK590" s="61">
        <f>+BYD!BN11</f>
        <v>56.606000000000002</v>
      </c>
      <c r="EL590" s="61">
        <f>+BYD!BO11</f>
        <v>61.962000000000003</v>
      </c>
      <c r="EM590" s="112">
        <f>+BYD!BP11</f>
        <v>236.38499999999999</v>
      </c>
      <c r="EN590" s="61">
        <f>+BYD!BQ11</f>
        <v>60.744</v>
      </c>
      <c r="EO590" s="61">
        <f>+BYD!BR11</f>
        <v>59.561</v>
      </c>
      <c r="EP590" s="61">
        <f>+BYD!BS11</f>
        <v>58.832000000000001</v>
      </c>
      <c r="EQ590" s="61">
        <f>+BYD!BT11</f>
        <v>64.406000000000006</v>
      </c>
      <c r="ER590" s="112">
        <f>+BYD!BU11</f>
        <v>243.54300000000001</v>
      </c>
      <c r="ES590" s="112">
        <f>+BYD!BZ11</f>
        <v>250.22718499999996</v>
      </c>
      <c r="ET590" s="1449" t="s">
        <v>942</v>
      </c>
      <c r="EU590" s="3941">
        <v>8.5095323287766327</v>
      </c>
      <c r="EV590" s="61"/>
    </row>
    <row r="591" spans="120:152">
      <c r="DX591" s="59" t="s">
        <v>513</v>
      </c>
      <c r="DY591" s="61">
        <f>+BYD!BB429</f>
        <v>43.291499999999992</v>
      </c>
      <c r="DZ591" s="61">
        <f>+BYD!BC429</f>
        <v>41.789549999999991</v>
      </c>
      <c r="EA591" s="61">
        <f>+BYD!BD429</f>
        <v>43.37984999999999</v>
      </c>
      <c r="EB591" s="61">
        <f>+BYD!BE429</f>
        <v>40.251499999999993</v>
      </c>
      <c r="EC591" s="112">
        <f>+BYD!BF429</f>
        <v>168.71239999999997</v>
      </c>
      <c r="ED591" s="61">
        <f>+BYD!BG429</f>
        <v>44.590244999999996</v>
      </c>
      <c r="EE591" s="61">
        <f>+BYD!BH429</f>
        <v>44.923766249999986</v>
      </c>
      <c r="EF591" s="61">
        <f>+BYD!BI429</f>
        <v>44.247446999999994</v>
      </c>
      <c r="EG591" s="61">
        <f>+BYD!BJ429</f>
        <v>41.056529999999995</v>
      </c>
      <c r="EH591" s="112">
        <f>+BYD!BK429</f>
        <v>174.81798824999998</v>
      </c>
      <c r="EI591" s="61">
        <f>+BYD!BL429</f>
        <v>41.245976624999997</v>
      </c>
      <c r="EJ591" s="61">
        <f>+BYD!BM429</f>
        <v>42.228340274999987</v>
      </c>
      <c r="EK591" s="61">
        <f>+BYD!BN429</f>
        <v>41.592600179999991</v>
      </c>
      <c r="EL591" s="61">
        <f>+BYD!BO429</f>
        <v>37.977290249999996</v>
      </c>
      <c r="EM591" s="112">
        <f>+BYD!BP429</f>
        <v>163.04420732999998</v>
      </c>
      <c r="EN591" s="61">
        <f>+BYD!BQ429</f>
        <v>39.183677793749993</v>
      </c>
      <c r="EO591" s="61">
        <f>+BYD!BR429</f>
        <v>41.383773469499985</v>
      </c>
      <c r="EP591" s="61">
        <f>+BYD!BS429</f>
        <v>40.760748176399993</v>
      </c>
      <c r="EQ591" s="61">
        <f>+BYD!BT429</f>
        <v>34.179561225</v>
      </c>
      <c r="ER591" s="112">
        <f>+BYD!BU429</f>
        <v>155.50776066464999</v>
      </c>
      <c r="ES591" s="112">
        <f>+BYD!BZ429</f>
        <v>160.13899878154646</v>
      </c>
      <c r="ET591" s="1449" t="s">
        <v>288</v>
      </c>
      <c r="EU591" s="3941">
        <v>8.3996375420195371</v>
      </c>
      <c r="EV591" s="61"/>
    </row>
    <row r="592" spans="120:152">
      <c r="DX592" s="59" t="s">
        <v>1795</v>
      </c>
      <c r="DY592" s="61">
        <f>+BYD!BB430</f>
        <v>21.220985378703411</v>
      </c>
      <c r="DZ592" s="61">
        <f>+BYD!BC430</f>
        <v>21.0582471808717</v>
      </c>
      <c r="EA592" s="61">
        <f>+BYD!BD430</f>
        <v>21.530192405649704</v>
      </c>
      <c r="EB592" s="61">
        <f>+BYD!BE430</f>
        <v>19.944245341478709</v>
      </c>
      <c r="EC592" s="112">
        <f>+BYD!BF430</f>
        <v>83.753670306703512</v>
      </c>
      <c r="ED592" s="61">
        <f>+BYD!BG430</f>
        <v>21.008775524916377</v>
      </c>
      <c r="EE592" s="61">
        <f>+BYD!BH430</f>
        <v>21.0582471808717</v>
      </c>
      <c r="EF592" s="61">
        <f>+BYD!BI430</f>
        <v>21.314890481593206</v>
      </c>
      <c r="EG592" s="61">
        <f>+BYD!BJ430</f>
        <v>20.343130248308285</v>
      </c>
      <c r="EH592" s="112">
        <f>+BYD!BK430</f>
        <v>83.725043435689571</v>
      </c>
      <c r="EI592" s="61">
        <f>+BYD!BL430</f>
        <v>21.218863280165539</v>
      </c>
      <c r="EJ592" s="61">
        <f>+BYD!BM430</f>
        <v>21.0582471808717</v>
      </c>
      <c r="EK592" s="61">
        <f>+BYD!BN430</f>
        <v>21.101741576777275</v>
      </c>
      <c r="EL592" s="61">
        <f>+BYD!BO430</f>
        <v>19.732836340859034</v>
      </c>
      <c r="EM592" s="112">
        <f>+BYD!BP430</f>
        <v>83.111688378673549</v>
      </c>
      <c r="EN592" s="61">
        <f>+BYD!BQ430</f>
        <v>20.157920116157261</v>
      </c>
      <c r="EO592" s="61">
        <f>+BYD!BR430</f>
        <v>20.005334821828114</v>
      </c>
      <c r="EP592" s="61">
        <f>+BYD!BS430</f>
        <v>20.046654497938409</v>
      </c>
      <c r="EQ592" s="61">
        <f>+BYD!BT430</f>
        <v>20.028828885971919</v>
      </c>
      <c r="ER592" s="112">
        <f>+BYD!BU430</f>
        <v>80.238738321895696</v>
      </c>
      <c r="ES592" s="112">
        <f>+BYD!BZ430</f>
        <v>81.44231939672413</v>
      </c>
      <c r="ET592" s="1449" t="s">
        <v>1820</v>
      </c>
      <c r="EU592" s="3941">
        <v>8.150173257698258</v>
      </c>
      <c r="EV592" s="61"/>
    </row>
    <row r="593" spans="128:152">
      <c r="DX593" s="59" t="s">
        <v>873</v>
      </c>
      <c r="DY593" s="61">
        <f>+BYD!BB431</f>
        <v>23.940221000000001</v>
      </c>
      <c r="DZ593" s="61">
        <f>+BYD!BC431</f>
        <v>24.079622000000001</v>
      </c>
      <c r="EA593" s="61">
        <f>+BYD!BD431</f>
        <v>23.662437000000001</v>
      </c>
      <c r="EB593" s="61">
        <f>+BYD!BE431</f>
        <v>22.257713000000003</v>
      </c>
      <c r="EC593" s="112">
        <f>+BYD!BF431</f>
        <v>93.939993000000015</v>
      </c>
      <c r="ED593" s="61">
        <f>+BYD!BG431</f>
        <v>23.899724999999997</v>
      </c>
      <c r="EE593" s="61">
        <f>+BYD!BH431</f>
        <v>23.305405999999998</v>
      </c>
      <c r="EF593" s="61">
        <f>+BYD!BI431</f>
        <v>22.390464999999999</v>
      </c>
      <c r="EG593" s="61">
        <f>+BYD!BJ431</f>
        <v>20.397407999999999</v>
      </c>
      <c r="EH593" s="112">
        <f>+BYD!BK431</f>
        <v>89.993003999999999</v>
      </c>
      <c r="EI593" s="61">
        <f>+BYD!BL431</f>
        <v>22.183458000000002</v>
      </c>
      <c r="EJ593" s="61">
        <f>+BYD!BM431</f>
        <v>20.961190999999999</v>
      </c>
      <c r="EK593" s="61">
        <f>+BYD!BN431</f>
        <v>20.6</v>
      </c>
      <c r="EL593" s="61">
        <f>+BYD!BO431</f>
        <v>18.703845000000001</v>
      </c>
      <c r="EM593" s="112">
        <f>+BYD!BP431</f>
        <v>82.448494000000011</v>
      </c>
      <c r="EN593" s="61">
        <f>+BYD!BQ431</f>
        <v>19.949541</v>
      </c>
      <c r="EO593" s="61">
        <f>+BYD!BR431</f>
        <v>19.680392000000001</v>
      </c>
      <c r="EP593" s="61">
        <f>+BYD!BS431</f>
        <v>20.394666000000001</v>
      </c>
      <c r="EQ593" s="61">
        <f>+BYD!BT431</f>
        <v>18.814981</v>
      </c>
      <c r="ER593" s="112">
        <f>+BYD!BU431</f>
        <v>78.839579999999998</v>
      </c>
      <c r="ES593" s="112">
        <f>+BYD!BZ431</f>
        <v>77.851688789999997</v>
      </c>
      <c r="ET593" s="1449" t="s">
        <v>1822</v>
      </c>
      <c r="EU593" s="3941">
        <v>8.5892487230750305</v>
      </c>
      <c r="EV593" s="61"/>
    </row>
    <row r="594" spans="128:152">
      <c r="DX594" s="59" t="s">
        <v>632</v>
      </c>
      <c r="DY594" s="61">
        <f>+BYD!BB432</f>
        <v>25.196292870000001</v>
      </c>
      <c r="DZ594" s="61">
        <f>+BYD!BC432</f>
        <v>25.195750120000003</v>
      </c>
      <c r="EA594" s="61">
        <f>+BYD!BD432</f>
        <v>23.874771799999998</v>
      </c>
      <c r="EB594" s="61">
        <f>+BYD!BE432</f>
        <v>24.232991400000003</v>
      </c>
      <c r="EC594" s="112">
        <f>+BYD!BF432</f>
        <v>98.499806190000015</v>
      </c>
      <c r="ED594" s="61">
        <f>+BYD!BG432</f>
        <v>26.128076630000002</v>
      </c>
      <c r="EE594" s="61">
        <f>+BYD!BH432</f>
        <v>27.255032670000002</v>
      </c>
      <c r="EF594" s="61">
        <f>+BYD!BI432</f>
        <v>25.915358059999999</v>
      </c>
      <c r="EG594" s="61">
        <f>+BYD!BJ432</f>
        <v>25.613036490000002</v>
      </c>
      <c r="EH594" s="112">
        <f>+BYD!BK432</f>
        <v>104.91150385</v>
      </c>
      <c r="EI594" s="61">
        <f>+BYD!BL432</f>
        <v>26.549259110000001</v>
      </c>
      <c r="EJ594" s="61">
        <f>+BYD!BM432</f>
        <v>27.569673399999999</v>
      </c>
      <c r="EK594" s="61">
        <f>+BYD!BN432</f>
        <v>27.2</v>
      </c>
      <c r="EL594" s="61">
        <f>+BYD!BO432</f>
        <v>25.338174500000001</v>
      </c>
      <c r="EM594" s="112">
        <f>+BYD!BP432</f>
        <v>106.65710701</v>
      </c>
      <c r="EN594" s="61">
        <f>+BYD!BQ432</f>
        <v>27.233300729999996</v>
      </c>
      <c r="EO594" s="61">
        <f>+BYD!BR432</f>
        <v>28.013917469999999</v>
      </c>
      <c r="EP594" s="61">
        <f>+BYD!BS432</f>
        <v>27.315345300000001</v>
      </c>
      <c r="EQ594" s="61">
        <f>+BYD!BT432</f>
        <v>25.45939766</v>
      </c>
      <c r="ER594" s="112">
        <f>+BYD!BU432</f>
        <v>108.02196115999999</v>
      </c>
      <c r="ES594" s="112">
        <f>+BYD!BZ432</f>
        <v>111.49865449500001</v>
      </c>
      <c r="ET594" s="1449" t="s">
        <v>1837</v>
      </c>
      <c r="EU594" s="3941">
        <v>8.5480016181757232</v>
      </c>
      <c r="EV594" s="61"/>
    </row>
    <row r="595" spans="128:152">
      <c r="DX595" s="59" t="s">
        <v>917</v>
      </c>
      <c r="DY595" s="61">
        <f>+BYD!BB433</f>
        <v>36.214482000000004</v>
      </c>
      <c r="DZ595" s="61">
        <f>+BYD!BC433</f>
        <v>40.035719999999998</v>
      </c>
      <c r="EA595" s="61">
        <f>+BYD!BD433</f>
        <v>40.855370999999998</v>
      </c>
      <c r="EB595" s="61">
        <f>+BYD!BE433</f>
        <v>38.884070000000001</v>
      </c>
      <c r="EC595" s="112">
        <f>+BYD!BF433</f>
        <v>155.989643</v>
      </c>
      <c r="ED595" s="61">
        <f>+BYD!BG433</f>
        <v>37.609932000000001</v>
      </c>
      <c r="EE595" s="61">
        <f>+BYD!BH433</f>
        <v>40.151024</v>
      </c>
      <c r="EF595" s="61">
        <f>+BYD!BI433</f>
        <v>41.628427000000002</v>
      </c>
      <c r="EG595" s="61">
        <f>+BYD!BJ433</f>
        <v>40.208072999999999</v>
      </c>
      <c r="EH595" s="112">
        <f>+BYD!BK433</f>
        <v>159.59745599999999</v>
      </c>
      <c r="EI595" s="61">
        <f>+BYD!BL433</f>
        <v>40.122971</v>
      </c>
      <c r="EJ595" s="61">
        <f>+BYD!BM433</f>
        <v>40.098022</v>
      </c>
      <c r="EK595" s="61">
        <f>+BYD!BN433</f>
        <v>41.5</v>
      </c>
      <c r="EL595" s="61">
        <f>+BYD!BO433</f>
        <v>37.832386999999997</v>
      </c>
      <c r="EM595" s="112">
        <f>+BYD!BP433</f>
        <v>159.55338</v>
      </c>
      <c r="EN595" s="61">
        <f>+BYD!BQ433</f>
        <v>40.027408999999999</v>
      </c>
      <c r="EO595" s="61">
        <f>+BYD!BR433</f>
        <v>40.156139000000003</v>
      </c>
      <c r="EP595" s="61">
        <f>+BYD!BS433</f>
        <v>40.877817</v>
      </c>
      <c r="EQ595" s="61">
        <f>+BYD!BT433</f>
        <v>37.321172000000004</v>
      </c>
      <c r="ER595" s="112">
        <f>+BYD!BU433</f>
        <v>158.38253700000001</v>
      </c>
      <c r="ES595" s="112">
        <f>+BYD!BZ433</f>
        <v>139.18513101000002</v>
      </c>
      <c r="ET595" s="1449" t="s">
        <v>1848</v>
      </c>
      <c r="EU595" s="3941">
        <v>8.5121910860477961</v>
      </c>
      <c r="EV595" s="61"/>
    </row>
    <row r="596" spans="128:152">
      <c r="DX596" s="59" t="s">
        <v>775</v>
      </c>
      <c r="DY596" s="61">
        <f>+BYD!BB434</f>
        <v>48.796850320000004</v>
      </c>
      <c r="DZ596" s="61">
        <f>+BYD!BC434</f>
        <v>48.069354099999998</v>
      </c>
      <c r="EA596" s="61">
        <f>+BYD!BD434</f>
        <v>48.837237160000001</v>
      </c>
      <c r="EB596" s="61">
        <f>+BYD!BE434</f>
        <v>45.220256970000001</v>
      </c>
      <c r="EC596" s="112">
        <f>+BYD!BF434</f>
        <v>190.92369855000001</v>
      </c>
      <c r="ED596" s="61">
        <f>+BYD!BG434</f>
        <v>48.624113399999999</v>
      </c>
      <c r="EE596" s="61">
        <f>+BYD!BH434</f>
        <v>47.692614740000003</v>
      </c>
      <c r="EF596" s="61">
        <f>+BYD!BI434</f>
        <v>46.573450049999998</v>
      </c>
      <c r="EG596" s="61">
        <f>+BYD!BJ434</f>
        <v>42.942894039999999</v>
      </c>
      <c r="EH596" s="112">
        <f>+BYD!BK434</f>
        <v>185.83307223</v>
      </c>
      <c r="EI596" s="61">
        <f>+BYD!BL434</f>
        <v>44.818318589999997</v>
      </c>
      <c r="EJ596" s="61">
        <f>+BYD!BM434</f>
        <v>45.134694159999995</v>
      </c>
      <c r="EK596" s="61">
        <f>+BYD!BN434</f>
        <v>43.7</v>
      </c>
      <c r="EL596" s="61">
        <f>+BYD!BO434</f>
        <v>42.087092200000001</v>
      </c>
      <c r="EM596" s="112">
        <f>+BYD!BP434</f>
        <v>175.74010495000002</v>
      </c>
      <c r="EN596" s="61">
        <f>+BYD!BQ434</f>
        <v>46.546853560000002</v>
      </c>
      <c r="EO596" s="61">
        <f>+BYD!BR434</f>
        <v>44.519507859999997</v>
      </c>
      <c r="EP596" s="61">
        <f>+BYD!BS434</f>
        <v>41.64441309</v>
      </c>
      <c r="EQ596" s="61">
        <f>+BYD!BT434</f>
        <v>46.023463789999994</v>
      </c>
      <c r="ER596" s="112">
        <f>+BYD!BU434</f>
        <v>178.73423829999999</v>
      </c>
      <c r="ES596" s="112">
        <f>+BYD!BZ434</f>
        <v>178.62247810219998</v>
      </c>
      <c r="ET596" s="1449" t="s">
        <v>1865</v>
      </c>
      <c r="EU596" s="3941">
        <v>8.4462219840313963</v>
      </c>
      <c r="EV596" s="61"/>
    </row>
    <row r="597" spans="128:152">
      <c r="DX597" s="59" t="s">
        <v>1302</v>
      </c>
      <c r="DY597" s="61">
        <f>+BYD!BB435</f>
        <v>25.15329118</v>
      </c>
      <c r="DZ597" s="61">
        <f>+BYD!BC435</f>
        <v>21.967114859999999</v>
      </c>
      <c r="EA597" s="61">
        <f>+BYD!BD435</f>
        <v>23.311717760000001</v>
      </c>
      <c r="EB597" s="61">
        <f>+BYD!BE435</f>
        <v>22.07923138</v>
      </c>
      <c r="EC597" s="112">
        <f>+BYD!BF435</f>
        <v>92.511355179999995</v>
      </c>
      <c r="ED597" s="61">
        <f>+BYD!BG435</f>
        <v>22.92652039</v>
      </c>
      <c r="EE597" s="61">
        <f>+BYD!BH435</f>
        <v>21.227804630000001</v>
      </c>
      <c r="EF597" s="61">
        <f>+BYD!BI435</f>
        <v>21.097340760000002</v>
      </c>
      <c r="EG597" s="61">
        <f>+BYD!BJ435</f>
        <v>19.693797940000003</v>
      </c>
      <c r="EH597" s="112">
        <f>+BYD!BK435</f>
        <v>84.945463719999992</v>
      </c>
      <c r="EI597" s="61">
        <f>+BYD!BL435</f>
        <v>21.022513970000002</v>
      </c>
      <c r="EJ597" s="61">
        <f>+BYD!BM435</f>
        <v>19.870245619999999</v>
      </c>
      <c r="EK597" s="61">
        <f>+BYD!BN435</f>
        <v>19.3</v>
      </c>
      <c r="EL597" s="61">
        <f>+BYD!BO435</f>
        <v>18.090935790000003</v>
      </c>
      <c r="EM597" s="112">
        <f>+BYD!BP435</f>
        <v>78.283695379999997</v>
      </c>
      <c r="EN597" s="61">
        <f>+BYD!BQ435</f>
        <v>19.910138709999998</v>
      </c>
      <c r="EO597" s="61">
        <f>+BYD!BR435</f>
        <v>19.459831739999998</v>
      </c>
      <c r="EP597" s="61">
        <f>+BYD!BS435</f>
        <v>19.304785280000001</v>
      </c>
      <c r="EQ597" s="61">
        <f>+BYD!BT435</f>
        <v>17.667794600000001</v>
      </c>
      <c r="ER597" s="112">
        <f>+BYD!BU435</f>
        <v>76.342550329999995</v>
      </c>
      <c r="ES597" s="112">
        <f>+BYD!BZ435</f>
        <v>74.981820665399994</v>
      </c>
      <c r="ET597" s="1449" t="s">
        <v>1885</v>
      </c>
      <c r="EU597" s="3941">
        <v>7.9961153369235092</v>
      </c>
      <c r="EV597" s="61"/>
    </row>
    <row r="598" spans="128:152">
      <c r="DX598" s="59" t="s">
        <v>456</v>
      </c>
      <c r="DY598" s="61">
        <f>+BYD!BB436</f>
        <v>14.815747</v>
      </c>
      <c r="DZ598" s="61">
        <f>+BYD!BC436</f>
        <v>16.124445000000001</v>
      </c>
      <c r="EA598" s="61">
        <f>+BYD!BD436</f>
        <v>16.273275999999999</v>
      </c>
      <c r="EB598" s="61">
        <f>+BYD!BE436</f>
        <v>15.453710000000001</v>
      </c>
      <c r="EC598" s="112">
        <f>+BYD!BF436</f>
        <v>62.667178000000007</v>
      </c>
      <c r="ED598" s="61">
        <f>+BYD!BG436</f>
        <v>15.156275999999998</v>
      </c>
      <c r="EE598" s="61">
        <f>+BYD!BH436</f>
        <v>17.027394000000001</v>
      </c>
      <c r="EF598" s="61">
        <f>+BYD!BI436</f>
        <v>17.630459000000002</v>
      </c>
      <c r="EG598" s="61">
        <f>+BYD!BJ436</f>
        <v>16.403113999999999</v>
      </c>
      <c r="EH598" s="112">
        <f>+BYD!BK436</f>
        <v>66.217242999999996</v>
      </c>
      <c r="EI598" s="61">
        <f>+BYD!BL436</f>
        <v>17.052562999999999</v>
      </c>
      <c r="EJ598" s="61">
        <f>+BYD!BM436</f>
        <v>16.475560999999999</v>
      </c>
      <c r="EK598" s="61">
        <f>+BYD!BN436</f>
        <v>17.100000000000001</v>
      </c>
      <c r="EL598" s="61">
        <f>+BYD!BO436</f>
        <v>15.682066000000003</v>
      </c>
      <c r="EM598" s="112">
        <f>+BYD!BP436</f>
        <v>66.310190000000006</v>
      </c>
      <c r="EN598" s="61">
        <f>+BYD!BQ436</f>
        <v>16.518035000000001</v>
      </c>
      <c r="EO598" s="61">
        <f>+BYD!BR436</f>
        <v>17.569588</v>
      </c>
      <c r="EP598" s="61">
        <f>+BYD!BS436</f>
        <v>17.65408</v>
      </c>
      <c r="EQ598" s="61">
        <f>+BYD!BT436</f>
        <v>16.769202999999997</v>
      </c>
      <c r="ER598" s="112">
        <f>+BYD!BU436</f>
        <v>68.510906000000006</v>
      </c>
      <c r="ES598" s="112">
        <f>+BYD!BZ436</f>
        <v>70.028852874999984</v>
      </c>
      <c r="ET598" s="1449" t="s">
        <v>1915</v>
      </c>
      <c r="EU598" s="3941">
        <v>7.9946542220044785</v>
      </c>
      <c r="EV598" s="61"/>
    </row>
    <row r="599" spans="128:152">
      <c r="DX599" s="59" t="s">
        <v>457</v>
      </c>
      <c r="DY599" s="61">
        <f>+BYD!BB437</f>
        <v>19.706085999999999</v>
      </c>
      <c r="DZ599" s="61">
        <f>+BYD!BC437</f>
        <v>22.070107</v>
      </c>
      <c r="EA599" s="61">
        <f>+BYD!BD437</f>
        <v>21.412983999999998</v>
      </c>
      <c r="EB599" s="61">
        <f>+BYD!BE437</f>
        <v>19.977184000000001</v>
      </c>
      <c r="EC599" s="112">
        <f>+BYD!BF437</f>
        <v>83.166360999999995</v>
      </c>
      <c r="ED599" s="61">
        <f>+BYD!BG437</f>
        <v>20.639118999999997</v>
      </c>
      <c r="EE599" s="61">
        <f>+BYD!BH437</f>
        <v>22.228524</v>
      </c>
      <c r="EF599" s="61">
        <f>+BYD!BI437</f>
        <v>22.571198000000003</v>
      </c>
      <c r="EG599" s="61">
        <f>+BYD!BJ437</f>
        <v>20.908712999999999</v>
      </c>
      <c r="EH599" s="112">
        <f>+BYD!BK437</f>
        <v>86.347554000000002</v>
      </c>
      <c r="EI599" s="61">
        <f>+BYD!BL437</f>
        <v>21.486035999999999</v>
      </c>
      <c r="EJ599" s="61">
        <f>+BYD!BM437</f>
        <v>21.573827999999999</v>
      </c>
      <c r="EK599" s="61">
        <f>+BYD!BN437</f>
        <v>21.5</v>
      </c>
      <c r="EL599" s="61">
        <f>+BYD!BO437</f>
        <v>20.233546</v>
      </c>
      <c r="EM599" s="112">
        <f>+BYD!BP437</f>
        <v>84.793410000000009</v>
      </c>
      <c r="EN599" s="61">
        <f>+BYD!BQ437</f>
        <v>21.051293999999999</v>
      </c>
      <c r="EO599" s="61">
        <f>+BYD!BR437</f>
        <v>22.390668999999999</v>
      </c>
      <c r="EP599" s="61">
        <f>+BYD!BS437</f>
        <v>22.515214</v>
      </c>
      <c r="EQ599" s="61">
        <f>+BYD!BT437</f>
        <v>20.074172000000001</v>
      </c>
      <c r="ER599" s="112">
        <f>+BYD!BU437</f>
        <v>86.031349000000006</v>
      </c>
      <c r="ES599" s="112">
        <f>+BYD!BZ437</f>
        <v>86.891662489999987</v>
      </c>
      <c r="ET599" s="1449" t="s">
        <v>1926</v>
      </c>
      <c r="EU599" s="3941">
        <v>8.5771774581688867</v>
      </c>
      <c r="EV599" s="61"/>
    </row>
    <row r="600" spans="128:152">
      <c r="DX600" s="59" t="s">
        <v>458</v>
      </c>
      <c r="DY600" s="61">
        <f>+BYD!BB438</f>
        <v>23.32337605</v>
      </c>
      <c r="DZ600" s="61">
        <f>+BYD!BC438</f>
        <v>23.196801449999999</v>
      </c>
      <c r="EA600" s="61">
        <f>+BYD!BD438</f>
        <v>21.503838130000002</v>
      </c>
      <c r="EB600" s="61">
        <f>+BYD!BE438</f>
        <v>21.781553559999999</v>
      </c>
      <c r="EC600" s="112">
        <f>+BYD!BF438</f>
        <v>89.80556919</v>
      </c>
      <c r="ED600" s="61">
        <f>+BYD!BG438</f>
        <v>24.05629291</v>
      </c>
      <c r="EE600" s="61">
        <f>+BYD!BH438</f>
        <v>24.01095024</v>
      </c>
      <c r="EF600" s="61">
        <f>+BYD!BI438</f>
        <v>21.786152380000001</v>
      </c>
      <c r="EG600" s="61">
        <f>+BYD!BJ438</f>
        <v>21.19726013</v>
      </c>
      <c r="EH600" s="112">
        <f>+BYD!BK438</f>
        <v>91.050655660000004</v>
      </c>
      <c r="EI600" s="61">
        <f>+BYD!BL438</f>
        <v>22.49833143</v>
      </c>
      <c r="EJ600" s="61">
        <f>+BYD!BM438</f>
        <v>21.68824351</v>
      </c>
      <c r="EK600" s="61">
        <f>+BYD!BN438</f>
        <v>20.399999999999999</v>
      </c>
      <c r="EL600" s="61">
        <f>+BYD!BO438</f>
        <v>21.166731130000002</v>
      </c>
      <c r="EM600" s="112">
        <f>+BYD!BP438</f>
        <v>85.753306069999994</v>
      </c>
      <c r="EN600" s="61">
        <f>+BYD!BQ438</f>
        <v>20.98579836</v>
      </c>
      <c r="EO600" s="61">
        <f>+BYD!BR438</f>
        <v>21.93816326</v>
      </c>
      <c r="EP600" s="61">
        <f>+BYD!BS438</f>
        <v>19.983985839999999</v>
      </c>
      <c r="EQ600" s="61">
        <f>+BYD!BT438</f>
        <v>19.849439070000003</v>
      </c>
      <c r="ER600" s="112">
        <f>+BYD!BU438</f>
        <v>82.757386530000005</v>
      </c>
      <c r="ES600" s="112">
        <f>+BYD!BZ438</f>
        <v>81.697227495299998</v>
      </c>
      <c r="ET600" s="1449" t="s">
        <v>1932</v>
      </c>
      <c r="EU600" s="3941">
        <v>8.3297232518450173</v>
      </c>
      <c r="EV600" s="61"/>
    </row>
    <row r="601" spans="128:152">
      <c r="DX601" s="59" t="s">
        <v>460</v>
      </c>
      <c r="DY601" s="61">
        <f>+BYD!BB439</f>
        <v>13.208299740000001</v>
      </c>
      <c r="DZ601" s="61">
        <f>+BYD!BC439</f>
        <v>12.38728519</v>
      </c>
      <c r="EA601" s="61">
        <f>+BYD!BD439</f>
        <v>12.146559290000001</v>
      </c>
      <c r="EB601" s="61">
        <f>+BYD!BE439</f>
        <v>12.141906540000001</v>
      </c>
      <c r="EC601" s="112">
        <f>+BYD!BF439</f>
        <v>49.884050760000001</v>
      </c>
      <c r="ED601" s="61">
        <f>+BYD!BG439</f>
        <v>13.37844437</v>
      </c>
      <c r="EE601" s="61">
        <f>+BYD!BH439</f>
        <v>12.852216090000001</v>
      </c>
      <c r="EF601" s="61">
        <f>+BYD!BI439</f>
        <v>12.153359719999999</v>
      </c>
      <c r="EG601" s="61">
        <f>+BYD!BJ439</f>
        <v>11.3990809</v>
      </c>
      <c r="EH601" s="112">
        <f>+BYD!BK439</f>
        <v>49.783101080000002</v>
      </c>
      <c r="EI601" s="61">
        <f>+BYD!BL439</f>
        <v>12.569181879999999</v>
      </c>
      <c r="EJ601" s="61">
        <f>+BYD!BM439</f>
        <v>11.62006884</v>
      </c>
      <c r="EK601" s="61">
        <f>+BYD!BN439</f>
        <v>11.3</v>
      </c>
      <c r="EL601" s="61">
        <f>+BYD!BO439</f>
        <v>9.4387498600000015</v>
      </c>
      <c r="EM601" s="112">
        <f>+BYD!BP439</f>
        <v>44.928000580000003</v>
      </c>
      <c r="EN601" s="61">
        <f>+BYD!BQ439</f>
        <v>10.661326110000001</v>
      </c>
      <c r="EO601" s="61">
        <f>+BYD!BR439</f>
        <v>10.821152150000001</v>
      </c>
      <c r="EP601" s="61">
        <f>+BYD!BS439</f>
        <v>10.645624419999999</v>
      </c>
      <c r="EQ601" s="61">
        <f>+BYD!BT439</f>
        <v>9.7690395500000005</v>
      </c>
      <c r="ER601" s="112">
        <f>+BYD!BU439</f>
        <v>41.89714223</v>
      </c>
      <c r="ES601" s="112">
        <f>+BYD!BZ439</f>
        <v>42.635953435600001</v>
      </c>
      <c r="ET601" s="1449" t="s">
        <v>1933</v>
      </c>
      <c r="EU601" s="3941">
        <v>8.6366750252401285</v>
      </c>
      <c r="EV601" s="61"/>
    </row>
    <row r="602" spans="128:152">
      <c r="DX602" s="59" t="s">
        <v>459</v>
      </c>
      <c r="DY602" s="61">
        <f>+BYD!BB440</f>
        <v>45.659015789999998</v>
      </c>
      <c r="DZ602" s="61">
        <f>+BYD!BC440</f>
        <v>44.505161880000003</v>
      </c>
      <c r="EA602" s="61">
        <f>+BYD!BD440</f>
        <v>43.887869680000001</v>
      </c>
      <c r="EB602" s="61">
        <f>+BYD!BE440</f>
        <v>44.244473209999995</v>
      </c>
      <c r="EC602" s="112">
        <f>+BYD!BF440</f>
        <v>178.29652056</v>
      </c>
      <c r="ED602" s="61">
        <f>+BYD!BG440</f>
        <v>47.173029139999997</v>
      </c>
      <c r="EE602" s="61">
        <f>+BYD!BH440</f>
        <v>46.448129920000007</v>
      </c>
      <c r="EF602" s="61">
        <f>+BYD!BI440</f>
        <v>44.899907120000002</v>
      </c>
      <c r="EG602" s="61">
        <f>+BYD!BJ440</f>
        <v>44.714555009999998</v>
      </c>
      <c r="EH602" s="112">
        <f>+BYD!BK440</f>
        <v>183.23562118999999</v>
      </c>
      <c r="EI602" s="61">
        <f>+BYD!BL440</f>
        <v>47.742907250000002</v>
      </c>
      <c r="EJ602" s="61">
        <f>+BYD!BM440</f>
        <v>44.243306959999998</v>
      </c>
      <c r="EK602" s="61">
        <f>+BYD!BN440</f>
        <v>43.9</v>
      </c>
      <c r="EL602" s="61">
        <f>+BYD!BO440</f>
        <v>44.151090869999997</v>
      </c>
      <c r="EM602" s="112">
        <f>+BYD!BP440</f>
        <v>180.03730507999998</v>
      </c>
      <c r="EN602" s="61">
        <f>+BYD!BQ440</f>
        <v>45.359136139999997</v>
      </c>
      <c r="EO602" s="61">
        <f>+BYD!BR440</f>
        <v>44.735561560000001</v>
      </c>
      <c r="EP602" s="61">
        <f>+BYD!BS440</f>
        <v>44.530401459999993</v>
      </c>
      <c r="EQ602" s="61">
        <f>+BYD!BT440</f>
        <v>45.253842460000001</v>
      </c>
      <c r="ER602" s="112">
        <f>+BYD!BU440</f>
        <v>179.87894161999998</v>
      </c>
      <c r="ES602" s="112">
        <f>+BYD!BZ440</f>
        <v>183.7111041478</v>
      </c>
      <c r="ET602" s="61"/>
      <c r="EU602" s="61"/>
      <c r="EV602" s="61"/>
    </row>
    <row r="603" spans="128:152" ht="3.95" customHeight="1">
      <c r="DX603" s="59"/>
      <c r="DY603" s="2657" t="s">
        <v>1826</v>
      </c>
      <c r="DZ603" s="2657" t="s">
        <v>1826</v>
      </c>
      <c r="EA603" s="2657" t="s">
        <v>1826</v>
      </c>
      <c r="EB603" s="2657" t="s">
        <v>1826</v>
      </c>
      <c r="EC603" s="3153" t="s">
        <v>1826</v>
      </c>
      <c r="ED603" s="2657" t="s">
        <v>1826</v>
      </c>
      <c r="EE603" s="2657" t="s">
        <v>1826</v>
      </c>
      <c r="EF603" s="2657" t="s">
        <v>1826</v>
      </c>
      <c r="EG603" s="2657" t="s">
        <v>1826</v>
      </c>
      <c r="EH603" s="3153" t="s">
        <v>1826</v>
      </c>
      <c r="EI603" s="2657" t="s">
        <v>1826</v>
      </c>
      <c r="EJ603" s="2657" t="s">
        <v>1826</v>
      </c>
      <c r="EK603" s="2657" t="s">
        <v>1826</v>
      </c>
      <c r="EL603" s="2657" t="s">
        <v>1826</v>
      </c>
      <c r="EM603" s="3153" t="s">
        <v>1826</v>
      </c>
      <c r="EN603" s="2657" t="s">
        <v>1826</v>
      </c>
      <c r="EO603" s="2657" t="s">
        <v>1826</v>
      </c>
      <c r="EP603" s="2657" t="s">
        <v>1826</v>
      </c>
      <c r="EQ603" s="2657" t="s">
        <v>1826</v>
      </c>
      <c r="ER603" s="3153" t="s">
        <v>1826</v>
      </c>
      <c r="ES603" s="3153" t="s">
        <v>1826</v>
      </c>
      <c r="ET603" s="2657"/>
      <c r="EU603" s="2657"/>
      <c r="EV603" s="2657"/>
    </row>
    <row r="604" spans="128:152">
      <c r="DX604" s="2522" t="s">
        <v>310</v>
      </c>
      <c r="DY604" s="818">
        <f>SUM(DY589:DY602)</f>
        <v>547.7021473287034</v>
      </c>
      <c r="DZ604" s="818">
        <f t="shared" ref="DZ604:ER604" si="6">SUM(DZ589:DZ602)</f>
        <v>544.30115878087167</v>
      </c>
      <c r="EA604" s="818">
        <f t="shared" si="6"/>
        <v>535.26210422564986</v>
      </c>
      <c r="EB604" s="818">
        <f t="shared" si="6"/>
        <v>537.81183540147879</v>
      </c>
      <c r="EC604" s="137">
        <f t="shared" si="6"/>
        <v>2165.0772457367034</v>
      </c>
      <c r="ED604" s="818">
        <f t="shared" si="6"/>
        <v>552.09554936491645</v>
      </c>
      <c r="EE604" s="818">
        <f t="shared" si="6"/>
        <v>559.64710972087175</v>
      </c>
      <c r="EF604" s="818">
        <f t="shared" si="6"/>
        <v>546.91545457159316</v>
      </c>
      <c r="EG604" s="818">
        <f t="shared" si="6"/>
        <v>546.09659275830836</v>
      </c>
      <c r="EH604" s="137">
        <f t="shared" si="6"/>
        <v>2204.7547064156893</v>
      </c>
      <c r="EI604" s="818">
        <f t="shared" si="6"/>
        <v>555.51338013516545</v>
      </c>
      <c r="EJ604" s="818">
        <f t="shared" si="6"/>
        <v>546.6694219458717</v>
      </c>
      <c r="EK604" s="818">
        <f t="shared" si="6"/>
        <v>534.67934175677726</v>
      </c>
      <c r="EL604" s="818">
        <f t="shared" si="6"/>
        <v>536.57974494085897</v>
      </c>
      <c r="EM604" s="137">
        <f t="shared" si="6"/>
        <v>2173.4418887786733</v>
      </c>
      <c r="EN604" s="818">
        <f t="shared" si="6"/>
        <v>560.00943051990726</v>
      </c>
      <c r="EO604" s="818">
        <f t="shared" si="6"/>
        <v>556.35103033132816</v>
      </c>
      <c r="EP604" s="818">
        <f t="shared" si="6"/>
        <v>543.69673506433833</v>
      </c>
      <c r="EQ604" s="818">
        <f t="shared" si="6"/>
        <v>546.77889524097191</v>
      </c>
      <c r="ER604" s="137">
        <f t="shared" si="6"/>
        <v>2206.836091156546</v>
      </c>
      <c r="ES604" s="137">
        <f t="shared" ref="ES604" si="7">SUM(ES589:ES602)</f>
        <v>2231.2835141845703</v>
      </c>
      <c r="ET604" s="818"/>
      <c r="EU604" s="818"/>
      <c r="EV604" s="818"/>
    </row>
    <row r="605" spans="128:152">
      <c r="DX605" s="56"/>
      <c r="DY605" s="72"/>
      <c r="DZ605" s="72"/>
      <c r="EA605" s="72"/>
      <c r="EB605" s="72"/>
      <c r="EC605" s="144"/>
      <c r="ED605" s="3904">
        <f>+ED604/DY604-1</f>
        <v>8.0215169095847472E-3</v>
      </c>
      <c r="EE605" s="3904">
        <f t="shared" ref="EE605:ER605" si="8">+EE604/DZ604-1</f>
        <v>2.8193860498794576E-2</v>
      </c>
      <c r="EF605" s="3904">
        <f t="shared" si="8"/>
        <v>2.1771297190564143E-2</v>
      </c>
      <c r="EG605" s="3904">
        <f t="shared" si="8"/>
        <v>1.5404564963961809E-2</v>
      </c>
      <c r="EH605" s="3903">
        <f t="shared" si="8"/>
        <v>1.8326117812708764E-2</v>
      </c>
      <c r="EI605" s="3904">
        <f t="shared" si="8"/>
        <v>6.1906508287932205E-3</v>
      </c>
      <c r="EJ605" s="3904">
        <f t="shared" si="8"/>
        <v>-2.3189055298566186E-2</v>
      </c>
      <c r="EK605" s="3904">
        <f t="shared" si="8"/>
        <v>-2.2372951271601216E-2</v>
      </c>
      <c r="EL605" s="3904">
        <f t="shared" si="8"/>
        <v>-1.7427041193171067E-2</v>
      </c>
      <c r="EM605" s="3903">
        <f t="shared" si="8"/>
        <v>-1.4202404261071666E-2</v>
      </c>
      <c r="EN605" s="3904">
        <f t="shared" si="8"/>
        <v>8.0935051171004968E-3</v>
      </c>
      <c r="EO605" s="3904">
        <f t="shared" si="8"/>
        <v>1.7710169979865853E-2</v>
      </c>
      <c r="EP605" s="3904">
        <f t="shared" si="8"/>
        <v>1.6865049017852352E-2</v>
      </c>
      <c r="EQ605" s="3904">
        <f t="shared" si="8"/>
        <v>1.9007706489623688E-2</v>
      </c>
      <c r="ER605" s="3903">
        <f t="shared" si="8"/>
        <v>1.536466309510498E-2</v>
      </c>
      <c r="ES605" s="3903">
        <f>+ES604/ER604-1</f>
        <v>1.1078042055770565E-2</v>
      </c>
      <c r="ET605" s="2299"/>
      <c r="EU605" s="2299"/>
      <c r="EV605" s="2299"/>
    </row>
    <row r="607" spans="128:152">
      <c r="DX607" s="3900" t="s">
        <v>1940</v>
      </c>
      <c r="DY607" s="1613" t="s">
        <v>1753</v>
      </c>
      <c r="DZ607" s="1613" t="s">
        <v>942</v>
      </c>
      <c r="EA607" s="1613" t="s">
        <v>288</v>
      </c>
      <c r="EB607" s="1613" t="s">
        <v>1820</v>
      </c>
      <c r="EC607" s="3901">
        <v>2014</v>
      </c>
      <c r="ED607" s="1613" t="s">
        <v>1822</v>
      </c>
      <c r="EE607" s="1613" t="s">
        <v>1837</v>
      </c>
      <c r="EF607" s="1613" t="s">
        <v>1848</v>
      </c>
      <c r="EG607" s="1613" t="s">
        <v>1865</v>
      </c>
      <c r="EH607" s="3901">
        <v>2015</v>
      </c>
      <c r="EI607" s="1613" t="s">
        <v>1885</v>
      </c>
      <c r="EJ607" s="1613" t="s">
        <v>1915</v>
      </c>
      <c r="EK607" s="1613" t="s">
        <v>1926</v>
      </c>
      <c r="EL607" s="1613" t="s">
        <v>1932</v>
      </c>
      <c r="EM607" s="3901">
        <v>2016</v>
      </c>
      <c r="EN607" s="1613" t="s">
        <v>1933</v>
      </c>
      <c r="EO607" s="1613" t="s">
        <v>1934</v>
      </c>
      <c r="EP607" s="1613" t="s">
        <v>1935</v>
      </c>
      <c r="EQ607" s="1613" t="s">
        <v>1936</v>
      </c>
      <c r="ER607" s="3901" t="s">
        <v>369</v>
      </c>
      <c r="ES607" s="3901" t="s">
        <v>1598</v>
      </c>
      <c r="ET607" s="3222"/>
      <c r="EU607" s="3222"/>
      <c r="EV607" s="3222"/>
    </row>
    <row r="608" spans="128:152" ht="3.95" customHeight="1">
      <c r="DX608" s="2301"/>
      <c r="DY608" s="70"/>
      <c r="DZ608" s="70"/>
      <c r="EA608" s="70"/>
      <c r="EB608" s="70"/>
      <c r="EC608" s="3902"/>
      <c r="ED608" s="70"/>
      <c r="EE608" s="70"/>
      <c r="EF608" s="70"/>
      <c r="EG608" s="70"/>
      <c r="EH608" s="3902"/>
      <c r="EI608" s="70"/>
      <c r="EJ608" s="70"/>
      <c r="EK608" s="70"/>
      <c r="EL608" s="70"/>
      <c r="EM608" s="3902"/>
      <c r="EN608" s="70"/>
      <c r="EO608" s="70"/>
      <c r="EP608" s="70"/>
      <c r="EQ608" s="70"/>
      <c r="ER608" s="3902"/>
      <c r="ES608" s="3902"/>
      <c r="ET608" s="3222"/>
      <c r="EU608" s="3222"/>
      <c r="EV608" s="3222"/>
    </row>
    <row r="609" spans="128:165">
      <c r="DX609" s="2522" t="s">
        <v>1937</v>
      </c>
      <c r="DY609" s="818">
        <f>+DY589</f>
        <v>151.44300000000001</v>
      </c>
      <c r="DZ609" s="818">
        <f t="shared" ref="DZ609:ER610" si="9">+DZ589</f>
        <v>148.27000000000001</v>
      </c>
      <c r="EA609" s="818">
        <f t="shared" si="9"/>
        <v>141.20699999999999</v>
      </c>
      <c r="EB609" s="818">
        <f t="shared" si="9"/>
        <v>151.732</v>
      </c>
      <c r="EC609" s="137">
        <f t="shared" si="9"/>
        <v>592.65200000000004</v>
      </c>
      <c r="ED609" s="818">
        <f t="shared" si="9"/>
        <v>150.30199999999999</v>
      </c>
      <c r="EE609" s="818">
        <f t="shared" si="9"/>
        <v>153.03200000000001</v>
      </c>
      <c r="EF609" s="818">
        <f t="shared" si="9"/>
        <v>148.02199999999999</v>
      </c>
      <c r="EG609" s="818">
        <f t="shared" si="9"/>
        <v>158.75</v>
      </c>
      <c r="EH609" s="137">
        <f t="shared" si="9"/>
        <v>610.10599999999999</v>
      </c>
      <c r="EI609" s="818">
        <f t="shared" si="9"/>
        <v>158.398</v>
      </c>
      <c r="EJ609" s="818">
        <f t="shared" si="9"/>
        <v>154.93600000000001</v>
      </c>
      <c r="EK609" s="818">
        <f t="shared" si="9"/>
        <v>148.87899999999999</v>
      </c>
      <c r="EL609" s="818">
        <f t="shared" si="9"/>
        <v>164.18299999999999</v>
      </c>
      <c r="EM609" s="137">
        <f t="shared" si="9"/>
        <v>626.39599999999996</v>
      </c>
      <c r="EN609" s="818">
        <f t="shared" si="9"/>
        <v>171.68100000000001</v>
      </c>
      <c r="EO609" s="818">
        <f t="shared" si="9"/>
        <v>166.11600000000001</v>
      </c>
      <c r="EP609" s="818">
        <f t="shared" si="9"/>
        <v>159.191</v>
      </c>
      <c r="EQ609" s="818">
        <f t="shared" si="9"/>
        <v>171.16200000000001</v>
      </c>
      <c r="ER609" s="137">
        <f t="shared" si="9"/>
        <v>668.15000000000009</v>
      </c>
      <c r="ES609" s="137">
        <f t="shared" ref="ES609" si="10">+ES589</f>
        <v>692.37043749999998</v>
      </c>
      <c r="ET609" s="818"/>
      <c r="EU609" s="818"/>
      <c r="EV609" s="818"/>
    </row>
    <row r="610" spans="128:165">
      <c r="DX610" s="2522" t="s">
        <v>1931</v>
      </c>
      <c r="DY610" s="61">
        <f>+DY590</f>
        <v>55.732999999999997</v>
      </c>
      <c r="DZ610" s="61">
        <f t="shared" si="9"/>
        <v>55.552</v>
      </c>
      <c r="EA610" s="61">
        <f t="shared" si="9"/>
        <v>53.378999999999998</v>
      </c>
      <c r="EB610" s="61">
        <f t="shared" si="9"/>
        <v>59.610999999999997</v>
      </c>
      <c r="EC610" s="112">
        <f t="shared" si="9"/>
        <v>224.27499999999998</v>
      </c>
      <c r="ED610" s="61">
        <f t="shared" si="9"/>
        <v>56.603000000000002</v>
      </c>
      <c r="EE610" s="61">
        <f t="shared" si="9"/>
        <v>58.433999999999997</v>
      </c>
      <c r="EF610" s="61">
        <f t="shared" si="9"/>
        <v>56.685000000000002</v>
      </c>
      <c r="EG610" s="61">
        <f t="shared" si="9"/>
        <v>62.469000000000001</v>
      </c>
      <c r="EH610" s="112">
        <f t="shared" si="9"/>
        <v>234.191</v>
      </c>
      <c r="EI610" s="61">
        <f t="shared" si="9"/>
        <v>58.604999999999997</v>
      </c>
      <c r="EJ610" s="61">
        <f t="shared" si="9"/>
        <v>59.212000000000003</v>
      </c>
      <c r="EK610" s="61">
        <f t="shared" si="9"/>
        <v>56.606000000000002</v>
      </c>
      <c r="EL610" s="61">
        <f t="shared" si="9"/>
        <v>61.962000000000003</v>
      </c>
      <c r="EM610" s="112">
        <f t="shared" si="9"/>
        <v>236.38499999999999</v>
      </c>
      <c r="EN610" s="61">
        <f t="shared" si="9"/>
        <v>60.744</v>
      </c>
      <c r="EO610" s="61">
        <f t="shared" si="9"/>
        <v>59.561</v>
      </c>
      <c r="EP610" s="61">
        <f t="shared" si="9"/>
        <v>58.832000000000001</v>
      </c>
      <c r="EQ610" s="61">
        <f t="shared" si="9"/>
        <v>64.406000000000006</v>
      </c>
      <c r="ER610" s="112">
        <f t="shared" si="9"/>
        <v>243.54300000000001</v>
      </c>
      <c r="ES610" s="112">
        <f t="shared" ref="ES610" si="11">+ES590</f>
        <v>250.22718499999996</v>
      </c>
      <c r="ET610" s="61"/>
      <c r="EU610" s="61"/>
      <c r="EV610" s="61"/>
    </row>
    <row r="611" spans="128:165">
      <c r="DX611" s="2522" t="s">
        <v>1938</v>
      </c>
      <c r="DY611" s="61">
        <f>+BYD!BB16</f>
        <v>333.90899999999999</v>
      </c>
      <c r="DZ611" s="61">
        <f>+BYD!BC16</f>
        <v>336.85800000000006</v>
      </c>
      <c r="EA611" s="61">
        <f>+BYD!BD16</f>
        <v>334.31</v>
      </c>
      <c r="EB611" s="61">
        <f>+BYD!BE16</f>
        <v>320.25200000000001</v>
      </c>
      <c r="EC611" s="112">
        <f>+BYD!BF16</f>
        <v>1325.329</v>
      </c>
      <c r="ED611" s="61">
        <f>+BYD!BG16</f>
        <v>343.673</v>
      </c>
      <c r="EE611" s="61">
        <f>+BYD!BH16</f>
        <v>348.399</v>
      </c>
      <c r="EF611" s="61">
        <f>+BYD!BI16</f>
        <v>341.60599999999999</v>
      </c>
      <c r="EG611" s="61">
        <f>+BYD!BJ16</f>
        <v>321.45499999999998</v>
      </c>
      <c r="EH611" s="112">
        <f>+BYD!BK16</f>
        <v>1355.133</v>
      </c>
      <c r="EI611" s="61">
        <f>+BYD!BL16</f>
        <v>335.375</v>
      </c>
      <c r="EJ611" s="61">
        <f>+BYD!BM16</f>
        <v>330.72500000000002</v>
      </c>
      <c r="EK611" s="61">
        <f>+BYD!BN16</f>
        <v>326.416</v>
      </c>
      <c r="EL611" s="61">
        <f>+BYD!BO16</f>
        <v>307.20699999999999</v>
      </c>
      <c r="EM611" s="112">
        <f>+BYD!BP16</f>
        <v>1299.723</v>
      </c>
      <c r="EN611" s="61">
        <f>+BYD!BQ16</f>
        <v>324.81700000000001</v>
      </c>
      <c r="EO611" s="61">
        <f>+BYD!BR16</f>
        <v>326.09100000000001</v>
      </c>
      <c r="EP611" s="61">
        <f>+BYD!BS16</f>
        <v>321.54199999999997</v>
      </c>
      <c r="EQ611" s="61">
        <f>+BYD!BT16</f>
        <v>308.79300000000001</v>
      </c>
      <c r="ER611" s="112">
        <f>+BYD!BU16</f>
        <v>1281.2429999999999</v>
      </c>
      <c r="ES611" s="112">
        <f>+BYD!BZ16</f>
        <v>1671.1750688202169</v>
      </c>
      <c r="ET611" s="61"/>
      <c r="EU611" s="61"/>
      <c r="EV611" s="61"/>
    </row>
    <row r="612" spans="128:165" ht="3.95" customHeight="1">
      <c r="DX612" s="59"/>
      <c r="DY612" s="2657" t="s">
        <v>1826</v>
      </c>
      <c r="DZ612" s="2657" t="s">
        <v>1826</v>
      </c>
      <c r="EA612" s="2657" t="s">
        <v>1826</v>
      </c>
      <c r="EB612" s="2657" t="s">
        <v>1826</v>
      </c>
      <c r="EC612" s="3153" t="s">
        <v>1826</v>
      </c>
      <c r="ED612" s="2657" t="s">
        <v>1826</v>
      </c>
      <c r="EE612" s="2657" t="s">
        <v>1826</v>
      </c>
      <c r="EF612" s="2657" t="s">
        <v>1826</v>
      </c>
      <c r="EG612" s="2657" t="s">
        <v>1826</v>
      </c>
      <c r="EH612" s="3153" t="s">
        <v>1826</v>
      </c>
      <c r="EI612" s="2657" t="s">
        <v>1826</v>
      </c>
      <c r="EJ612" s="2657" t="s">
        <v>1826</v>
      </c>
      <c r="EK612" s="2657" t="s">
        <v>1826</v>
      </c>
      <c r="EL612" s="2657" t="s">
        <v>1826</v>
      </c>
      <c r="EM612" s="3153" t="s">
        <v>1826</v>
      </c>
      <c r="EN612" s="2657" t="s">
        <v>1826</v>
      </c>
      <c r="EO612" s="2657" t="s">
        <v>1826</v>
      </c>
      <c r="EP612" s="2657" t="s">
        <v>1826</v>
      </c>
      <c r="EQ612" s="2657" t="s">
        <v>1826</v>
      </c>
      <c r="ER612" s="3153" t="s">
        <v>1826</v>
      </c>
      <c r="ES612" s="3153" t="s">
        <v>1826</v>
      </c>
      <c r="ET612" s="2657"/>
      <c r="EU612" s="2657"/>
      <c r="EV612" s="2657"/>
    </row>
    <row r="613" spans="128:165">
      <c r="DX613" s="2522" t="s">
        <v>310</v>
      </c>
      <c r="DY613" s="818">
        <f t="shared" ref="DY613:ER613" si="12">SUM(DY609:DY611)</f>
        <v>541.08500000000004</v>
      </c>
      <c r="DZ613" s="818">
        <f t="shared" si="12"/>
        <v>540.68000000000006</v>
      </c>
      <c r="EA613" s="818">
        <f t="shared" si="12"/>
        <v>528.89599999999996</v>
      </c>
      <c r="EB613" s="818">
        <f t="shared" si="12"/>
        <v>531.59500000000003</v>
      </c>
      <c r="EC613" s="137">
        <f t="shared" si="12"/>
        <v>2142.2559999999999</v>
      </c>
      <c r="ED613" s="818">
        <f t="shared" si="12"/>
        <v>550.57799999999997</v>
      </c>
      <c r="EE613" s="818">
        <f t="shared" si="12"/>
        <v>559.86500000000001</v>
      </c>
      <c r="EF613" s="818">
        <f t="shared" si="12"/>
        <v>546.31299999999999</v>
      </c>
      <c r="EG613" s="818">
        <f t="shared" si="12"/>
        <v>542.67399999999998</v>
      </c>
      <c r="EH613" s="137">
        <f t="shared" si="12"/>
        <v>2199.4300000000003</v>
      </c>
      <c r="EI613" s="818">
        <f t="shared" si="12"/>
        <v>552.37799999999993</v>
      </c>
      <c r="EJ613" s="818">
        <f t="shared" si="12"/>
        <v>544.87300000000005</v>
      </c>
      <c r="EK613" s="818">
        <f t="shared" si="12"/>
        <v>531.90099999999995</v>
      </c>
      <c r="EL613" s="818">
        <f t="shared" si="12"/>
        <v>533.35199999999998</v>
      </c>
      <c r="EM613" s="137">
        <f t="shared" si="12"/>
        <v>2162.5039999999999</v>
      </c>
      <c r="EN613" s="818">
        <f t="shared" si="12"/>
        <v>557.24199999999996</v>
      </c>
      <c r="EO613" s="818">
        <f t="shared" si="12"/>
        <v>551.76800000000003</v>
      </c>
      <c r="EP613" s="818">
        <f t="shared" si="12"/>
        <v>539.56499999999994</v>
      </c>
      <c r="EQ613" s="818">
        <f t="shared" si="12"/>
        <v>544.36099999999999</v>
      </c>
      <c r="ER613" s="137">
        <f t="shared" si="12"/>
        <v>2192.9360000000001</v>
      </c>
      <c r="ES613" s="137">
        <f t="shared" ref="ES613" si="13">SUM(ES609:ES611)</f>
        <v>2613.7726913202168</v>
      </c>
      <c r="ET613" s="818"/>
      <c r="EU613" s="818"/>
      <c r="EV613" s="818"/>
    </row>
    <row r="614" spans="128:165">
      <c r="DX614" s="56"/>
      <c r="DY614" s="72"/>
      <c r="DZ614" s="72"/>
      <c r="EA614" s="72"/>
      <c r="EB614" s="72"/>
      <c r="EC614" s="144"/>
      <c r="ED614" s="3904">
        <f>+ED613/DY613-1</f>
        <v>1.7544378424831475E-2</v>
      </c>
      <c r="EE614" s="3904">
        <f t="shared" ref="EE614" si="14">+EE613/DZ613-1</f>
        <v>3.548309536139671E-2</v>
      </c>
      <c r="EF614" s="3904">
        <f t="shared" ref="EF614" si="15">+EF613/EA613-1</f>
        <v>3.2930859753146136E-2</v>
      </c>
      <c r="EG614" s="3904">
        <f t="shared" ref="EG614" si="16">+EG613/EB613-1</f>
        <v>2.0841053809761201E-2</v>
      </c>
      <c r="EH614" s="3903">
        <f t="shared" ref="EH614" si="17">+EH613/EC613-1</f>
        <v>2.6688687066345196E-2</v>
      </c>
      <c r="EI614" s="3904">
        <f t="shared" ref="EI614" si="18">+EI613/ED613-1</f>
        <v>3.2692915445222681E-3</v>
      </c>
      <c r="EJ614" s="3904">
        <f t="shared" ref="EJ614" si="19">+EJ613/EE613-1</f>
        <v>-2.677788395416747E-2</v>
      </c>
      <c r="EK614" s="3904">
        <f t="shared" ref="EK614" si="20">+EK613/EF613-1</f>
        <v>-2.6380481518836318E-2</v>
      </c>
      <c r="EL614" s="3904">
        <f t="shared" ref="EL614" si="21">+EL613/EG613-1</f>
        <v>-1.717790054434154E-2</v>
      </c>
      <c r="EM614" s="3903">
        <f t="shared" ref="EM614" si="22">+EM613/EH613-1</f>
        <v>-1.6788895304692741E-2</v>
      </c>
      <c r="EN614" s="3904">
        <f t="shared" ref="EN614" si="23">+EN613/EI613-1</f>
        <v>8.8055643056024202E-3</v>
      </c>
      <c r="EO614" s="3904">
        <f t="shared" ref="EO614" si="24">+EO613/EJ613-1</f>
        <v>1.2654324952787066E-2</v>
      </c>
      <c r="EP614" s="3904">
        <f t="shared" ref="EP614" si="25">+EP613/EK613-1</f>
        <v>1.4408696355148853E-2</v>
      </c>
      <c r="EQ614" s="3904">
        <f t="shared" ref="EQ614" si="26">+EQ613/EL613-1</f>
        <v>2.064115255966037E-2</v>
      </c>
      <c r="ER614" s="3903">
        <f t="shared" ref="ER614" si="27">+ER613/EM613-1</f>
        <v>1.4072575125872788E-2</v>
      </c>
      <c r="ES614" s="3903">
        <f>+ES613/ER613-1</f>
        <v>0.19190559657017658</v>
      </c>
      <c r="ET614" s="2299"/>
      <c r="EU614" s="2299"/>
      <c r="EV614" s="2299"/>
    </row>
    <row r="616" spans="128:165">
      <c r="FE616" s="1447" t="s">
        <v>1941</v>
      </c>
    </row>
    <row r="617" spans="128:165">
      <c r="FE617" s="174" t="s">
        <v>552</v>
      </c>
      <c r="FH617" s="2786" t="s">
        <v>552</v>
      </c>
      <c r="FI617" s="2786" t="s">
        <v>706</v>
      </c>
    </row>
    <row r="618" spans="128:165">
      <c r="FE618" s="1447" t="s">
        <v>1942</v>
      </c>
      <c r="FF618" s="113">
        <f>+BYD!BU144</f>
        <v>218.99</v>
      </c>
      <c r="FH618" s="105">
        <f>+FF623</f>
        <v>0.28443693599160541</v>
      </c>
      <c r="FI618" s="105">
        <f>+FF633</f>
        <v>0</v>
      </c>
    </row>
    <row r="619" spans="128:165">
      <c r="FE619" s="1447" t="s">
        <v>1943</v>
      </c>
      <c r="FF619" s="2">
        <f>+BYD!BU151</f>
        <v>169.41774999999998</v>
      </c>
      <c r="FH619" s="105">
        <f>+FF625</f>
        <v>3.9039072498218121E-2</v>
      </c>
      <c r="FI619" s="105">
        <f>+FF635</f>
        <v>0.40776475440403498</v>
      </c>
    </row>
    <row r="620" spans="128:165">
      <c r="FE620" s="1447" t="s">
        <v>1944</v>
      </c>
      <c r="FF620" s="2">
        <f>+BYD!BU55</f>
        <v>595.625</v>
      </c>
    </row>
    <row r="621" spans="128:165" ht="3.95" customHeight="1"/>
    <row r="622" spans="128:165">
      <c r="FE622" s="1447" t="s">
        <v>1945</v>
      </c>
      <c r="FF622" s="105">
        <f>+FF618/$FF$620</f>
        <v>0.36766421825813222</v>
      </c>
    </row>
    <row r="623" spans="128:165">
      <c r="FE623" s="1447" t="s">
        <v>1946</v>
      </c>
      <c r="FF623" s="105">
        <f>+FF619/$FF$620</f>
        <v>0.28443693599160541</v>
      </c>
    </row>
    <row r="625" spans="161:181">
      <c r="FE625" s="1447" t="s">
        <v>1947</v>
      </c>
      <c r="FF625" s="105">
        <f>+BYD!BU163</f>
        <v>3.9039072498218121E-2</v>
      </c>
    </row>
    <row r="627" spans="161:181">
      <c r="FE627" s="174" t="s">
        <v>706</v>
      </c>
    </row>
    <row r="628" spans="161:181">
      <c r="FE628" s="1447" t="s">
        <v>1942</v>
      </c>
      <c r="FF628" s="113">
        <v>962.56848430016419</v>
      </c>
    </row>
    <row r="629" spans="161:181">
      <c r="FE629" s="1447" t="s">
        <v>1943</v>
      </c>
      <c r="FF629" s="2">
        <v>0</v>
      </c>
    </row>
    <row r="630" spans="161:181">
      <c r="FE630" s="1447" t="s">
        <v>1944</v>
      </c>
      <c r="FF630" s="2">
        <v>868.68092512093199</v>
      </c>
    </row>
    <row r="631" spans="161:181" ht="3.95" customHeight="1"/>
    <row r="632" spans="161:181">
      <c r="FE632" s="1447" t="s">
        <v>1945</v>
      </c>
      <c r="FF632" s="105">
        <f>+FF628/$FF$630</f>
        <v>1.108080604125343</v>
      </c>
    </row>
    <row r="633" spans="161:181">
      <c r="FE633" s="1447" t="s">
        <v>1946</v>
      </c>
      <c r="FF633" s="105">
        <f>+FF629/$FF$630</f>
        <v>0</v>
      </c>
    </row>
    <row r="635" spans="161:181">
      <c r="FE635" s="1447" t="s">
        <v>1947</v>
      </c>
      <c r="FF635" s="105">
        <v>0.40776475440403498</v>
      </c>
    </row>
    <row r="637" spans="161:181">
      <c r="FR637" s="1" t="s">
        <v>1948</v>
      </c>
      <c r="FS637" s="1"/>
      <c r="FT637" s="1"/>
    </row>
    <row r="638" spans="161:181">
      <c r="FS638" s="3905">
        <v>2012</v>
      </c>
      <c r="FT638" s="3905">
        <v>2013</v>
      </c>
      <c r="FU638" s="3905">
        <v>2014</v>
      </c>
      <c r="FV638" s="3905">
        <v>2015</v>
      </c>
      <c r="FW638" s="3905">
        <v>2016</v>
      </c>
      <c r="FX638" s="3906" t="s">
        <v>369</v>
      </c>
      <c r="FY638" s="3906" t="s">
        <v>1598</v>
      </c>
    </row>
    <row r="639" spans="161:181">
      <c r="FR639" s="1447" t="s">
        <v>493</v>
      </c>
      <c r="FS639" s="1447">
        <f>BYD!AV306</f>
        <v>462.56400000000002</v>
      </c>
      <c r="FT639" s="1447">
        <f>BYD!BA306</f>
        <v>453.94599999999997</v>
      </c>
      <c r="FU639" s="2">
        <f>+BYD!BF306</f>
        <v>448.255</v>
      </c>
      <c r="FV639" s="2">
        <f>+BYD!BK306</f>
        <v>452.79399999999998</v>
      </c>
      <c r="FW639" s="2">
        <f>+FV639*(1+BYD!BP308)</f>
        <v>454.94700000000006</v>
      </c>
      <c r="FX639" s="2">
        <f>+FW639*(1+BYD!BU308)</f>
        <v>478.86069890358846</v>
      </c>
      <c r="FY639" s="2">
        <f>+FX639*(1+BYD!BZ308)</f>
        <v>483.34744369169323</v>
      </c>
    </row>
    <row r="640" spans="161:181">
      <c r="FR640" s="1447" t="s">
        <v>1931</v>
      </c>
      <c r="FS640" s="1447">
        <f>BYD!AV342</f>
        <v>191.346</v>
      </c>
      <c r="FT640" s="1447">
        <f>BYD!BA342</f>
        <v>187.67999999999998</v>
      </c>
      <c r="FU640" s="2">
        <f>BYD!BF342</f>
        <v>186.96600000000001</v>
      </c>
      <c r="FV640" s="2">
        <f>BYD!BK342</f>
        <v>184.87700000000001</v>
      </c>
      <c r="FW640" s="2">
        <f>BYD!BP342</f>
        <v>183.96500000000003</v>
      </c>
      <c r="FX640" s="2">
        <f>BYD!BU342</f>
        <v>189.00800000000001</v>
      </c>
      <c r="FY640" s="2">
        <f>BYD!BZ342</f>
        <v>190.66497000000001</v>
      </c>
    </row>
    <row r="641" spans="174:181">
      <c r="FR641" s="1447" t="s">
        <v>1938</v>
      </c>
      <c r="FS641" s="1447">
        <f>BYD!AV503</f>
        <v>813.14800000000002</v>
      </c>
      <c r="FT641" s="1447">
        <f>BYD!BA503</f>
        <v>1019.3299999999999</v>
      </c>
      <c r="FU641" s="2">
        <f>BYD!BF503</f>
        <v>980.27099999999996</v>
      </c>
      <c r="FV641" s="2">
        <f>BYD!BK503</f>
        <v>974.19100000000003</v>
      </c>
      <c r="FW641" s="2">
        <f>BYD!BP503</f>
        <v>932.35799999999995</v>
      </c>
      <c r="FX641" s="2">
        <f>BYD!BU503</f>
        <v>917.05</v>
      </c>
      <c r="FY641" s="2">
        <f>BYD!BZ503</f>
        <v>1197.0401883579088</v>
      </c>
    </row>
    <row r="642" spans="174:181" ht="3.95" customHeight="1"/>
    <row r="643" spans="174:181">
      <c r="FR643" s="1447" t="s">
        <v>310</v>
      </c>
      <c r="FS643" s="1447">
        <f>SUM(FS639:FS642)</f>
        <v>1467.058</v>
      </c>
      <c r="FT643" s="1447">
        <f>SUM(FT639:FT642)</f>
        <v>1660.9559999999999</v>
      </c>
      <c r="FU643" s="1447">
        <f t="shared" ref="FU643:FY643" si="28">SUM(FU639:FU642)</f>
        <v>1615.492</v>
      </c>
      <c r="FV643" s="1447">
        <f t="shared" si="28"/>
        <v>1611.8620000000001</v>
      </c>
      <c r="FW643" s="1447">
        <f t="shared" si="28"/>
        <v>1571.27</v>
      </c>
      <c r="FX643" s="1447">
        <f t="shared" si="28"/>
        <v>1584.9186989035884</v>
      </c>
      <c r="FY643" s="1447">
        <f t="shared" si="28"/>
        <v>1871.0526020496022</v>
      </c>
    </row>
    <row r="644" spans="174:181">
      <c r="FR644" s="118" t="s">
        <v>1854</v>
      </c>
      <c r="FS644" s="1150"/>
      <c r="FT644" s="1150">
        <f>FT643/FS643-1</f>
        <v>0.13216791701486907</v>
      </c>
      <c r="FU644" s="1150">
        <f>FU643/FT643-1</f>
        <v>-2.7372188065186487E-2</v>
      </c>
      <c r="FV644" s="1150">
        <f t="shared" ref="FV644:FY644" si="29">FV643/FU643-1</f>
        <v>-2.2469934855758877E-3</v>
      </c>
      <c r="FW644" s="1150">
        <f t="shared" si="29"/>
        <v>-2.5183297329424037E-2</v>
      </c>
      <c r="FX644" s="1150">
        <f>FX643/FW643-1</f>
        <v>8.6864122038785574E-3</v>
      </c>
      <c r="FY644" s="1150">
        <f t="shared" si="29"/>
        <v>0.1805353822527016</v>
      </c>
    </row>
    <row r="645" spans="174:181">
      <c r="FR645" s="1447" t="s">
        <v>1949</v>
      </c>
      <c r="FS645" s="3907">
        <v>2.0833333333333332E-2</v>
      </c>
      <c r="FT645" s="1150">
        <v>1.4833333333333337E-2</v>
      </c>
      <c r="FU645" s="1150">
        <v>1.6333333333333339E-2</v>
      </c>
      <c r="FV645" s="1150">
        <v>1.25E-3</v>
      </c>
      <c r="FW645" s="1150">
        <v>1.2999999999999999E-2</v>
      </c>
      <c r="FX645" s="1150">
        <v>2.3E-2</v>
      </c>
      <c r="FY645" s="1150">
        <v>2.4E-2</v>
      </c>
    </row>
    <row r="646" spans="174:181">
      <c r="FS646" s="1150"/>
      <c r="FT646" s="1150">
        <f>FT644-FT645</f>
        <v>0.11733458368153574</v>
      </c>
      <c r="FU646" s="1150">
        <f>FU644-FU645</f>
        <v>-4.3705521398519825E-2</v>
      </c>
      <c r="FV646" s="1150">
        <f t="shared" ref="FV646:FY646" si="30">FV644-FV645</f>
        <v>-3.496993485575888E-3</v>
      </c>
      <c r="FW646" s="1150">
        <f t="shared" si="30"/>
        <v>-3.8183297329424035E-2</v>
      </c>
      <c r="FX646" s="1150">
        <f t="shared" si="30"/>
        <v>-1.4313587796121442E-2</v>
      </c>
      <c r="FY646" s="1150">
        <f t="shared" si="30"/>
        <v>0.15653538225270161</v>
      </c>
    </row>
    <row r="647" spans="174:181">
      <c r="FW647" s="1150">
        <f>AVERAGE(FU646:FW646)</f>
        <v>-2.8461937404506584E-2</v>
      </c>
    </row>
    <row r="662" spans="189:190">
      <c r="GG662" s="1447" t="s">
        <v>1956</v>
      </c>
    </row>
    <row r="663" spans="189:190">
      <c r="GG663" s="1447" t="s">
        <v>1822</v>
      </c>
      <c r="GH663" s="1170">
        <v>1.369763253953755E-2</v>
      </c>
    </row>
    <row r="664" spans="189:190">
      <c r="GG664" s="1447" t="s">
        <v>1837</v>
      </c>
      <c r="GH664" s="1170">
        <v>2.2620917437583436E-2</v>
      </c>
    </row>
    <row r="665" spans="189:190">
      <c r="GG665" s="1447" t="s">
        <v>1848</v>
      </c>
      <c r="GH665" s="1170">
        <v>4.4979683838597588E-3</v>
      </c>
    </row>
    <row r="666" spans="189:190">
      <c r="GG666" s="1447" t="s">
        <v>1865</v>
      </c>
      <c r="GH666" s="1170">
        <v>-4.8741027339211564E-3</v>
      </c>
    </row>
    <row r="667" spans="189:190">
      <c r="GG667" s="1447" t="s">
        <v>1885</v>
      </c>
      <c r="GH667" s="1170">
        <v>-1.9352120856266374E-2</v>
      </c>
    </row>
    <row r="668" spans="189:190">
      <c r="GG668" s="1447" t="s">
        <v>1915</v>
      </c>
      <c r="GH668" s="1170">
        <v>-4.4975696089756434E-2</v>
      </c>
    </row>
    <row r="669" spans="189:190">
      <c r="GG669" s="1447" t="s">
        <v>1926</v>
      </c>
      <c r="GH669" s="1170">
        <v>-3.8029781675348116E-2</v>
      </c>
    </row>
    <row r="670" spans="189:190">
      <c r="GG670" s="1447" t="s">
        <v>1932</v>
      </c>
      <c r="GH670" s="1170">
        <v>-4.4456275653932141E-2</v>
      </c>
    </row>
    <row r="671" spans="189:190">
      <c r="GG671" s="1447" t="s">
        <v>1933</v>
      </c>
      <c r="GH671" s="1170">
        <v>-3.1022896093944874E-2</v>
      </c>
    </row>
    <row r="680" spans="14:226">
      <c r="HJ680" s="2">
        <f>+BYD!BT5</f>
        <v>92</v>
      </c>
      <c r="HK680" s="2">
        <f>+BYD!BU5</f>
        <v>365</v>
      </c>
      <c r="HL680" s="2">
        <f>+BYD!BV5</f>
        <v>90</v>
      </c>
      <c r="HM680" s="2">
        <f>+BYD!BW5</f>
        <v>91</v>
      </c>
      <c r="HN680" s="2">
        <f>+BYD!BX5</f>
        <v>92</v>
      </c>
      <c r="HO680" s="2">
        <f>+BYD!BY5</f>
        <v>92</v>
      </c>
      <c r="HP680" s="2">
        <f>+BYD!BZ5</f>
        <v>365</v>
      </c>
      <c r="HQ680" s="2">
        <f>+BYD!CA5</f>
        <v>365</v>
      </c>
      <c r="HR680" s="2">
        <f>+BYD!CB5</f>
        <v>366</v>
      </c>
    </row>
    <row r="681" spans="14:226" s="4063" customFormat="1">
      <c r="N681" s="4062"/>
      <c r="O681" s="4062"/>
      <c r="P681" s="4062"/>
      <c r="BC681" s="4062"/>
      <c r="GQ681" s="4065" t="s">
        <v>1976</v>
      </c>
      <c r="GR681" s="2306" t="s">
        <v>1753</v>
      </c>
      <c r="GS681" s="2306" t="s">
        <v>942</v>
      </c>
      <c r="GT681" s="2306" t="s">
        <v>288</v>
      </c>
      <c r="GU681" s="2306" t="s">
        <v>1820</v>
      </c>
      <c r="GV681" s="2305">
        <v>2014</v>
      </c>
      <c r="GW681" s="2306" t="s">
        <v>1822</v>
      </c>
      <c r="GX681" s="2306" t="s">
        <v>1837</v>
      </c>
      <c r="GY681" s="2306" t="s">
        <v>1848</v>
      </c>
      <c r="GZ681" s="2306" t="s">
        <v>1865</v>
      </c>
      <c r="HA681" s="2305">
        <v>2015</v>
      </c>
      <c r="HB681" s="2306" t="s">
        <v>1885</v>
      </c>
      <c r="HC681" s="2306" t="s">
        <v>1915</v>
      </c>
      <c r="HD681" s="2306" t="s">
        <v>1926</v>
      </c>
      <c r="HE681" s="2306" t="s">
        <v>1932</v>
      </c>
      <c r="HF681" s="2305">
        <v>2016</v>
      </c>
      <c r="HG681" s="2306" t="s">
        <v>1933</v>
      </c>
      <c r="HH681" s="2306" t="s">
        <v>1934</v>
      </c>
      <c r="HI681" s="4066" t="s">
        <v>1935</v>
      </c>
      <c r="HJ681" s="2306" t="s">
        <v>1919</v>
      </c>
      <c r="HK681" s="2305" t="s">
        <v>369</v>
      </c>
      <c r="HL681" s="2306" t="s">
        <v>1958</v>
      </c>
      <c r="HM681" s="2306" t="s">
        <v>1959</v>
      </c>
      <c r="HN681" s="2306" t="s">
        <v>1960</v>
      </c>
      <c r="HO681" s="2306" t="s">
        <v>1961</v>
      </c>
      <c r="HP681" s="2305" t="s">
        <v>1598</v>
      </c>
      <c r="HQ681" s="2305" t="s">
        <v>1599</v>
      </c>
      <c r="HR681" s="2307" t="s">
        <v>1600</v>
      </c>
    </row>
    <row r="682" spans="14:226" s="98" customFormat="1">
      <c r="N682" s="96"/>
      <c r="O682" s="96"/>
      <c r="P682" s="96"/>
      <c r="BC682" s="96"/>
      <c r="GQ682" s="1115" t="s">
        <v>1972</v>
      </c>
      <c r="GR682" s="4067">
        <v>62.823661900000005</v>
      </c>
      <c r="GS682" s="4067">
        <v>65.318129650000003</v>
      </c>
      <c r="GT682" s="4067">
        <v>66.54164548</v>
      </c>
      <c r="GU682" s="4067">
        <v>65.078573649999996</v>
      </c>
      <c r="GV682" s="4072">
        <v>259.76201068</v>
      </c>
      <c r="GW682" s="4067">
        <v>67.616148949999996</v>
      </c>
      <c r="GX682" s="4067">
        <v>66.77198894</v>
      </c>
      <c r="GY682" s="4067">
        <v>65.51553217</v>
      </c>
      <c r="GZ682" s="4067">
        <v>65.189602659999991</v>
      </c>
      <c r="HA682" s="4072">
        <v>265.09327271999996</v>
      </c>
      <c r="HB682" s="4067">
        <v>67.332973500000008</v>
      </c>
      <c r="HC682" s="4067">
        <v>64.194837050000004</v>
      </c>
      <c r="HD682" s="4067">
        <v>65.987183680000001</v>
      </c>
      <c r="HE682" s="4067">
        <v>63.592172680000004</v>
      </c>
      <c r="HF682" s="4072">
        <v>261.10716691000005</v>
      </c>
      <c r="HG682" s="4067">
        <v>66.112524280000002</v>
      </c>
      <c r="HH682" s="4067">
        <v>65.618191179999997</v>
      </c>
      <c r="HI682" s="4067">
        <v>67.146589160000005</v>
      </c>
      <c r="HJ682" s="96">
        <f>+HE682*(1+HJ690)</f>
        <v>63.592172680000004</v>
      </c>
      <c r="HK682" s="146">
        <f>+SUM(HG682:HJ682)</f>
        <v>262.46947729999999</v>
      </c>
      <c r="HL682" s="96">
        <f t="shared" ref="HL682:HO685" si="31">+HG682*(1+HL690)</f>
        <v>66.443086901399994</v>
      </c>
      <c r="HM682" s="96">
        <f t="shared" si="31"/>
        <v>65.946282135899992</v>
      </c>
      <c r="HN682" s="96">
        <f t="shared" si="31"/>
        <v>67.482322105799994</v>
      </c>
      <c r="HO682" s="96">
        <f t="shared" si="31"/>
        <v>63.910133543400001</v>
      </c>
      <c r="HP682" s="146">
        <f>+SUM(HL682:HO682)</f>
        <v>263.78182468649999</v>
      </c>
      <c r="HQ682" s="146">
        <f t="shared" ref="HQ682:HR685" si="32">+HP682*(1+HQ690)</f>
        <v>266.41964293336497</v>
      </c>
      <c r="HR682" s="97">
        <f t="shared" si="32"/>
        <v>266.41964293336497</v>
      </c>
    </row>
    <row r="683" spans="14:226" s="98" customFormat="1">
      <c r="N683" s="96"/>
      <c r="O683" s="96"/>
      <c r="P683" s="96"/>
      <c r="BC683" s="96"/>
      <c r="GQ683" s="1115" t="s">
        <v>1973</v>
      </c>
      <c r="GR683" s="4067">
        <v>48.75847401</v>
      </c>
      <c r="GS683" s="4067">
        <v>49.324052309999999</v>
      </c>
      <c r="GT683" s="4067">
        <v>49.508023770000001</v>
      </c>
      <c r="GU683" s="4067">
        <v>46.121346090000003</v>
      </c>
      <c r="GV683" s="4072">
        <v>193.71189618</v>
      </c>
      <c r="GW683" s="4067">
        <v>50.225298370000004</v>
      </c>
      <c r="GX683" s="4067">
        <v>50.38466794</v>
      </c>
      <c r="GY683" s="4067">
        <v>50.333657489999993</v>
      </c>
      <c r="GZ683" s="4067">
        <v>48.130167200000002</v>
      </c>
      <c r="HA683" s="4072">
        <v>199.07379100000003</v>
      </c>
      <c r="HB683" s="4067">
        <v>51.711879789999998</v>
      </c>
      <c r="HC683" s="4067">
        <v>49.74162261</v>
      </c>
      <c r="HD683" s="4067">
        <v>48.793920530000008</v>
      </c>
      <c r="HE683" s="4067">
        <v>48.773669949999999</v>
      </c>
      <c r="HF683" s="4072">
        <v>199.02109288</v>
      </c>
      <c r="HG683" s="4067">
        <v>49.99960694</v>
      </c>
      <c r="HH683" s="4067">
        <v>46.743857210000002</v>
      </c>
      <c r="HI683" s="4067">
        <v>47.693757910000002</v>
      </c>
      <c r="HJ683" s="96">
        <f>+HE683*(1+HJ691)</f>
        <v>47.798196550999997</v>
      </c>
      <c r="HK683" s="146">
        <f t="shared" ref="HK683:HK685" si="33">+SUM(HG683:HJ683)</f>
        <v>192.235418611</v>
      </c>
      <c r="HL683" s="96">
        <f t="shared" si="31"/>
        <v>48.999614801199996</v>
      </c>
      <c r="HM683" s="96">
        <f t="shared" si="31"/>
        <v>45.8089800658</v>
      </c>
      <c r="HN683" s="96">
        <f t="shared" si="31"/>
        <v>47.693757910000002</v>
      </c>
      <c r="HO683" s="96">
        <f t="shared" si="31"/>
        <v>48.754160482019998</v>
      </c>
      <c r="HP683" s="146">
        <f t="shared" ref="HP683:HP685" si="34">+SUM(HL683:HO683)</f>
        <v>191.25651325901998</v>
      </c>
      <c r="HQ683" s="146">
        <f t="shared" si="32"/>
        <v>196.99420865679059</v>
      </c>
      <c r="HR683" s="97">
        <f t="shared" si="32"/>
        <v>196.99420865679059</v>
      </c>
    </row>
    <row r="684" spans="14:226" s="98" customFormat="1">
      <c r="N684" s="96"/>
      <c r="O684" s="96"/>
      <c r="P684" s="96"/>
      <c r="BC684" s="96"/>
      <c r="GQ684" s="1115" t="s">
        <v>1974</v>
      </c>
      <c r="GR684" s="4067">
        <v>26.801147</v>
      </c>
      <c r="GS684" s="4067">
        <v>28.142730999999998</v>
      </c>
      <c r="GT684" s="4067">
        <v>29.223437000000001</v>
      </c>
      <c r="GU684" s="4067">
        <v>28.540326</v>
      </c>
      <c r="GV684" s="4072">
        <v>112.707641</v>
      </c>
      <c r="GW684" s="4067">
        <v>27.939675999999999</v>
      </c>
      <c r="GX684" s="4067">
        <v>29.431894999999997</v>
      </c>
      <c r="GY684" s="4067">
        <v>28.755972</v>
      </c>
      <c r="GZ684" s="4067">
        <v>27.291933</v>
      </c>
      <c r="HA684" s="4072">
        <v>113.419476</v>
      </c>
      <c r="HB684" s="4067">
        <v>26.533355</v>
      </c>
      <c r="HC684" s="4067">
        <v>27.602307999999997</v>
      </c>
      <c r="HD684" s="4067">
        <v>29.201089000000003</v>
      </c>
      <c r="HE684" s="4067">
        <v>27.258078999999999</v>
      </c>
      <c r="HF684" s="4072">
        <v>110.59483099999999</v>
      </c>
      <c r="HG684" s="4067">
        <v>27.041634000000002</v>
      </c>
      <c r="HH684" s="4067">
        <v>27.709169000000003</v>
      </c>
      <c r="HI684" s="4067">
        <v>28.812289</v>
      </c>
      <c r="HJ684" s="96">
        <f>+HE684*(1+HJ692)</f>
        <v>27.258078999999999</v>
      </c>
      <c r="HK684" s="146">
        <f t="shared" si="33"/>
        <v>110.82117100000001</v>
      </c>
      <c r="HL684" s="96">
        <f t="shared" si="31"/>
        <v>27.041634000000002</v>
      </c>
      <c r="HM684" s="96">
        <f t="shared" si="31"/>
        <v>27.709169000000003</v>
      </c>
      <c r="HN684" s="96">
        <f t="shared" si="31"/>
        <v>28.812289</v>
      </c>
      <c r="HO684" s="96">
        <f t="shared" si="31"/>
        <v>27.258078999999999</v>
      </c>
      <c r="HP684" s="146">
        <f t="shared" si="34"/>
        <v>110.82117100000001</v>
      </c>
      <c r="HQ684" s="146">
        <f t="shared" si="32"/>
        <v>111.92938271000001</v>
      </c>
      <c r="HR684" s="97">
        <f t="shared" si="32"/>
        <v>111.92938271000001</v>
      </c>
    </row>
    <row r="685" spans="14:226" s="98" customFormat="1">
      <c r="N685" s="96"/>
      <c r="O685" s="96"/>
      <c r="P685" s="96"/>
      <c r="BC685" s="96"/>
      <c r="GQ685" s="1115" t="s">
        <v>1975</v>
      </c>
      <c r="GR685" s="4067"/>
      <c r="GS685" s="4067">
        <v>9.3495509999999999</v>
      </c>
      <c r="GT685" s="4067">
        <v>12.650679</v>
      </c>
      <c r="GU685" s="4067">
        <v>13.664404000000001</v>
      </c>
      <c r="GV685" s="4072">
        <v>35.664634000000007</v>
      </c>
      <c r="GW685" s="4067">
        <v>13.998643000000001</v>
      </c>
      <c r="GX685" s="4067">
        <v>17.314581</v>
      </c>
      <c r="GY685" s="4067">
        <v>18.248885000000001</v>
      </c>
      <c r="GZ685" s="4067">
        <v>17.474791</v>
      </c>
      <c r="HA685" s="4072">
        <v>67.036900000000003</v>
      </c>
      <c r="HB685" s="4067">
        <v>18.558807000000002</v>
      </c>
      <c r="HC685" s="4067">
        <v>20.483868999999999</v>
      </c>
      <c r="HD685" s="4067">
        <v>20.273963999999999</v>
      </c>
      <c r="HE685" s="4067">
        <v>18.701509999999999</v>
      </c>
      <c r="HF685" s="4072">
        <v>78.018149999999991</v>
      </c>
      <c r="HG685" s="4067">
        <v>20.101488</v>
      </c>
      <c r="HH685" s="4067">
        <v>20.844179</v>
      </c>
      <c r="HI685" s="4067">
        <v>21.210324</v>
      </c>
      <c r="HJ685" s="96">
        <f>+HE685*(1+HJ693)</f>
        <v>19.636585499999999</v>
      </c>
      <c r="HK685" s="146">
        <f t="shared" si="33"/>
        <v>81.792576499999996</v>
      </c>
      <c r="HL685" s="96">
        <f t="shared" si="31"/>
        <v>21.106562400000001</v>
      </c>
      <c r="HM685" s="96">
        <f t="shared" si="31"/>
        <v>21.886387950000003</v>
      </c>
      <c r="HN685" s="96">
        <f t="shared" si="31"/>
        <v>22.270840200000002</v>
      </c>
      <c r="HO685" s="96">
        <f t="shared" si="31"/>
        <v>20.618414774999998</v>
      </c>
      <c r="HP685" s="146">
        <f t="shared" si="34"/>
        <v>85.882205325000001</v>
      </c>
      <c r="HQ685" s="146">
        <f t="shared" si="32"/>
        <v>90.176315591250003</v>
      </c>
      <c r="HR685" s="97">
        <f t="shared" si="32"/>
        <v>94.685131370812513</v>
      </c>
    </row>
    <row r="686" spans="14:226" s="98" customFormat="1" ht="3.95" customHeight="1">
      <c r="N686" s="96"/>
      <c r="O686" s="96"/>
      <c r="P686" s="96"/>
      <c r="BC686" s="96"/>
      <c r="GQ686" s="1115"/>
      <c r="GR686" s="4067"/>
      <c r="GS686" s="4067"/>
      <c r="GT686" s="4067"/>
      <c r="GU686" s="4067"/>
      <c r="GV686" s="4072"/>
      <c r="GW686" s="4067"/>
      <c r="GX686" s="4067"/>
      <c r="GY686" s="4067"/>
      <c r="GZ686" s="4067"/>
      <c r="HA686" s="4072"/>
      <c r="HB686" s="4067"/>
      <c r="HC686" s="4067"/>
      <c r="HD686" s="4067"/>
      <c r="HE686" s="4067"/>
      <c r="HF686" s="4072"/>
      <c r="HG686" s="4067"/>
      <c r="HH686" s="4067"/>
      <c r="HI686" s="4067"/>
      <c r="HJ686" s="96"/>
      <c r="HK686" s="146"/>
      <c r="HL686" s="96"/>
      <c r="HM686" s="96"/>
      <c r="HN686" s="96"/>
      <c r="HO686" s="96"/>
      <c r="HP686" s="146"/>
      <c r="HQ686" s="146"/>
      <c r="HR686" s="97"/>
    </row>
    <row r="687" spans="14:226" s="2267" customFormat="1">
      <c r="N687" s="2269"/>
      <c r="O687" s="2269"/>
      <c r="P687" s="2269"/>
      <c r="BC687" s="2269"/>
      <c r="GQ687" s="2596" t="s">
        <v>310</v>
      </c>
      <c r="GR687" s="2269">
        <f>SUM(GR682:GR686)</f>
        <v>138.38328290999999</v>
      </c>
      <c r="GS687" s="2269">
        <f t="shared" ref="GS687:HR687" si="35">SUM(GS682:GS686)</f>
        <v>152.13446395999998</v>
      </c>
      <c r="GT687" s="2269">
        <f t="shared" si="35"/>
        <v>157.92378524999998</v>
      </c>
      <c r="GU687" s="2269">
        <f t="shared" si="35"/>
        <v>153.40464974</v>
      </c>
      <c r="GV687" s="2653">
        <f t="shared" si="35"/>
        <v>601.84618186</v>
      </c>
      <c r="GW687" s="2269">
        <f t="shared" si="35"/>
        <v>159.77976632000002</v>
      </c>
      <c r="GX687" s="2269">
        <f t="shared" si="35"/>
        <v>163.90313288000002</v>
      </c>
      <c r="GY687" s="2269">
        <f t="shared" si="35"/>
        <v>162.85404665999999</v>
      </c>
      <c r="GZ687" s="2269">
        <f t="shared" si="35"/>
        <v>158.08649385999999</v>
      </c>
      <c r="HA687" s="2653">
        <f t="shared" si="35"/>
        <v>644.62343972000008</v>
      </c>
      <c r="HB687" s="2269">
        <f t="shared" si="35"/>
        <v>164.13701529000002</v>
      </c>
      <c r="HC687" s="2269">
        <f t="shared" si="35"/>
        <v>162.02263665999999</v>
      </c>
      <c r="HD687" s="2269">
        <f t="shared" si="35"/>
        <v>164.25615721000003</v>
      </c>
      <c r="HE687" s="2269">
        <f t="shared" si="35"/>
        <v>158.32543163000003</v>
      </c>
      <c r="HF687" s="2653">
        <f t="shared" si="35"/>
        <v>648.74124079000001</v>
      </c>
      <c r="HG687" s="2269">
        <f t="shared" si="35"/>
        <v>163.25525322000001</v>
      </c>
      <c r="HH687" s="2269">
        <f t="shared" si="35"/>
        <v>160.91539639000001</v>
      </c>
      <c r="HI687" s="2269">
        <f t="shared" si="35"/>
        <v>164.86296006999999</v>
      </c>
      <c r="HJ687" s="2269">
        <f t="shared" si="35"/>
        <v>158.285033731</v>
      </c>
      <c r="HK687" s="2653">
        <f t="shared" si="35"/>
        <v>647.31864341100004</v>
      </c>
      <c r="HL687" s="2269">
        <f t="shared" si="35"/>
        <v>163.59089810259999</v>
      </c>
      <c r="HM687" s="2269">
        <f t="shared" si="35"/>
        <v>161.35081915169999</v>
      </c>
      <c r="HN687" s="2269">
        <f t="shared" si="35"/>
        <v>166.25920921580001</v>
      </c>
      <c r="HO687" s="2269">
        <f t="shared" si="35"/>
        <v>160.54078780041999</v>
      </c>
      <c r="HP687" s="2653">
        <f t="shared" si="35"/>
        <v>651.74171427051999</v>
      </c>
      <c r="HQ687" s="2653">
        <f t="shared" si="35"/>
        <v>665.51954989140563</v>
      </c>
      <c r="HR687" s="2523">
        <f t="shared" si="35"/>
        <v>670.02836567096813</v>
      </c>
    </row>
    <row r="688" spans="14:226" s="105" customFormat="1">
      <c r="N688" s="58"/>
      <c r="O688" s="58"/>
      <c r="P688" s="58"/>
      <c r="BC688" s="58"/>
      <c r="GQ688" s="4078"/>
      <c r="GR688" s="4069"/>
      <c r="GS688" s="4069"/>
      <c r="GT688" s="4069"/>
      <c r="GU688" s="4069"/>
      <c r="GV688" s="4074"/>
      <c r="GW688" s="4069">
        <f>+GW687/GR687-1</f>
        <v>0.15461754454774423</v>
      </c>
      <c r="GX688" s="4069">
        <f t="shared" ref="GX688:HP688" si="36">+GX687/GS687-1</f>
        <v>7.735702097779984E-2</v>
      </c>
      <c r="GY688" s="4069">
        <f t="shared" si="36"/>
        <v>3.1219245423956821E-2</v>
      </c>
      <c r="GZ688" s="4069">
        <f t="shared" si="36"/>
        <v>3.0519571133828638E-2</v>
      </c>
      <c r="HA688" s="4074">
        <f t="shared" si="36"/>
        <v>7.1076728820971047E-2</v>
      </c>
      <c r="HB688" s="4069">
        <f t="shared" si="36"/>
        <v>2.7270342611926734E-2</v>
      </c>
      <c r="HC688" s="4069">
        <f t="shared" si="36"/>
        <v>-1.1473217057887508E-2</v>
      </c>
      <c r="HD688" s="4069">
        <f t="shared" si="36"/>
        <v>8.6096144293381638E-3</v>
      </c>
      <c r="HE688" s="4069">
        <f t="shared" si="36"/>
        <v>1.5114369619180223E-3</v>
      </c>
      <c r="HF688" s="4074">
        <f t="shared" si="36"/>
        <v>6.387917063314541E-3</v>
      </c>
      <c r="HG688" s="4069">
        <f t="shared" si="36"/>
        <v>-5.3721098098566955E-3</v>
      </c>
      <c r="HH688" s="4069">
        <f t="shared" si="36"/>
        <v>-6.8338615691305726E-3</v>
      </c>
      <c r="HI688" s="4069">
        <f t="shared" si="36"/>
        <v>3.6942472678462845E-3</v>
      </c>
      <c r="HJ688" s="58">
        <f t="shared" si="36"/>
        <v>-2.5515735901759928E-4</v>
      </c>
      <c r="HK688" s="129">
        <f t="shared" si="36"/>
        <v>-2.1928579371146562E-3</v>
      </c>
      <c r="HL688" s="58">
        <f t="shared" si="36"/>
        <v>2.0559514991389527E-3</v>
      </c>
      <c r="HM688" s="58">
        <f t="shared" si="36"/>
        <v>2.705911127637961E-3</v>
      </c>
      <c r="HN688" s="58">
        <f t="shared" si="36"/>
        <v>8.4691500456328672E-3</v>
      </c>
      <c r="HO688" s="58">
        <f t="shared" si="36"/>
        <v>1.4251215141752205E-2</v>
      </c>
      <c r="HP688" s="129">
        <f t="shared" si="36"/>
        <v>6.8329112787681723E-3</v>
      </c>
      <c r="HQ688" s="129">
        <f>+HQ687/HP687-1</f>
        <v>2.1140024213897268E-2</v>
      </c>
      <c r="HR688" s="129">
        <f>+HR687/HQ687-1</f>
        <v>6.7748810388787994E-3</v>
      </c>
    </row>
    <row r="689" spans="14:226">
      <c r="GQ689" s="2621" t="s">
        <v>1977</v>
      </c>
      <c r="GR689" s="61"/>
      <c r="GS689" s="61"/>
      <c r="GT689" s="61"/>
      <c r="GU689" s="61"/>
      <c r="GV689" s="112"/>
      <c r="GW689" s="61"/>
      <c r="GX689" s="61"/>
      <c r="GY689" s="61"/>
      <c r="GZ689" s="61"/>
      <c r="HA689" s="112"/>
      <c r="HB689" s="61"/>
      <c r="HC689" s="61"/>
      <c r="HD689" s="61"/>
      <c r="HE689" s="58"/>
      <c r="HF689" s="112"/>
      <c r="HG689" s="61"/>
      <c r="HH689" s="61"/>
      <c r="HI689" s="61"/>
      <c r="HJ689" s="61"/>
      <c r="HK689" s="112"/>
      <c r="HL689" s="61"/>
      <c r="HM689" s="61"/>
      <c r="HN689" s="61"/>
      <c r="HO689" s="61"/>
      <c r="HP689" s="112"/>
      <c r="HQ689" s="112"/>
      <c r="HR689" s="60"/>
    </row>
    <row r="690" spans="14:226" s="105" customFormat="1">
      <c r="N690" s="58"/>
      <c r="O690" s="58"/>
      <c r="P690" s="58"/>
      <c r="BC690" s="58"/>
      <c r="GQ690" s="4068" t="s">
        <v>1972</v>
      </c>
      <c r="GR690" s="58"/>
      <c r="GS690" s="58"/>
      <c r="GT690" s="58"/>
      <c r="GU690" s="58"/>
      <c r="GV690" s="129"/>
      <c r="GW690" s="58">
        <f t="shared" ref="GW690:HB690" si="37">+GW682/GR682-1</f>
        <v>7.6284745350063465E-2</v>
      </c>
      <c r="GX690" s="58">
        <f t="shared" si="37"/>
        <v>2.2258127992799803E-2</v>
      </c>
      <c r="GY690" s="58">
        <f t="shared" si="37"/>
        <v>-1.5420618209815884E-2</v>
      </c>
      <c r="GZ690" s="58">
        <f t="shared" si="37"/>
        <v>1.706076267084855E-3</v>
      </c>
      <c r="HA690" s="129">
        <f t="shared" si="37"/>
        <v>2.0523640181425717E-2</v>
      </c>
      <c r="HB690" s="58">
        <f t="shared" si="37"/>
        <v>-4.1879854797614025E-3</v>
      </c>
      <c r="HC690" s="58">
        <f t="shared" ref="HC690:HK693" si="38">+HC682/GX682-1</f>
        <v>-3.8596302595026444E-2</v>
      </c>
      <c r="HD690" s="58">
        <f t="shared" si="38"/>
        <v>7.1990792775087353E-3</v>
      </c>
      <c r="HE690" s="58">
        <f t="shared" si="38"/>
        <v>-2.4504367488347389E-2</v>
      </c>
      <c r="HF690" s="129">
        <f t="shared" si="38"/>
        <v>-1.5036616241145273E-2</v>
      </c>
      <c r="HG690" s="58">
        <f t="shared" si="38"/>
        <v>-1.8125580329524715E-2</v>
      </c>
      <c r="HH690" s="58">
        <f t="shared" si="38"/>
        <v>2.2172408178112057E-2</v>
      </c>
      <c r="HI690" s="58">
        <f t="shared" si="38"/>
        <v>1.7570161588081445E-2</v>
      </c>
      <c r="HJ690" s="4069">
        <v>0</v>
      </c>
      <c r="HK690" s="129">
        <f t="shared" si="38"/>
        <v>5.2174377521758686E-3</v>
      </c>
      <c r="HL690" s="4069">
        <v>5.0000000000000001E-3</v>
      </c>
      <c r="HM690" s="4069">
        <v>5.0000000000000001E-3</v>
      </c>
      <c r="HN690" s="4069">
        <v>5.0000000000000001E-3</v>
      </c>
      <c r="HO690" s="4069">
        <v>5.0000000000000001E-3</v>
      </c>
      <c r="HP690" s="129">
        <f t="shared" ref="HP690:HP693" si="39">+HP682/HK682-1</f>
        <v>4.9999999999998934E-3</v>
      </c>
      <c r="HQ690" s="4074">
        <v>0.01</v>
      </c>
      <c r="HR690" s="4070">
        <v>0</v>
      </c>
    </row>
    <row r="691" spans="14:226" s="105" customFormat="1">
      <c r="N691" s="58"/>
      <c r="O691" s="58"/>
      <c r="P691" s="58"/>
      <c r="BC691" s="58"/>
      <c r="GQ691" s="4068" t="s">
        <v>1973</v>
      </c>
      <c r="GR691" s="58"/>
      <c r="GS691" s="58"/>
      <c r="GT691" s="58"/>
      <c r="GU691" s="58"/>
      <c r="GV691" s="129"/>
      <c r="GW691" s="58">
        <f t="shared" ref="GW691:HA692" si="40">+GW683/GR683-1</f>
        <v>3.0083475534922854E-2</v>
      </c>
      <c r="GX691" s="58">
        <f t="shared" si="40"/>
        <v>2.1503010809697187E-2</v>
      </c>
      <c r="GY691" s="58">
        <f t="shared" si="40"/>
        <v>1.6676765847807751E-2</v>
      </c>
      <c r="GZ691" s="58">
        <f t="shared" si="40"/>
        <v>4.3555127512541425E-2</v>
      </c>
      <c r="HA691" s="129">
        <f t="shared" si="40"/>
        <v>2.7679739477732834E-2</v>
      </c>
      <c r="HB691" s="58">
        <f t="shared" ref="HB691:HB693" si="41">+HB683/GW683-1</f>
        <v>2.9598259607113375E-2</v>
      </c>
      <c r="HC691" s="58">
        <f t="shared" si="38"/>
        <v>-1.2762718427871023E-2</v>
      </c>
      <c r="HD691" s="58">
        <f t="shared" si="38"/>
        <v>-3.0590603520236792E-2</v>
      </c>
      <c r="HE691" s="58">
        <f t="shared" si="38"/>
        <v>1.3370050166790159E-2</v>
      </c>
      <c r="HF691" s="129">
        <f t="shared" si="38"/>
        <v>-2.6471651408910279E-4</v>
      </c>
      <c r="HG691" s="58">
        <f t="shared" si="38"/>
        <v>-3.3111788953592014E-2</v>
      </c>
      <c r="HH691" s="58">
        <f t="shared" si="38"/>
        <v>-6.0266739255854684E-2</v>
      </c>
      <c r="HI691" s="58">
        <f t="shared" si="38"/>
        <v>-2.2547124888716241E-2</v>
      </c>
      <c r="HJ691" s="4069">
        <v>-0.02</v>
      </c>
      <c r="HK691" s="129">
        <f t="shared" si="38"/>
        <v>-3.4095251768572199E-2</v>
      </c>
      <c r="HL691" s="4069">
        <v>-0.02</v>
      </c>
      <c r="HM691" s="4069">
        <v>-0.02</v>
      </c>
      <c r="HN691" s="4069">
        <v>0</v>
      </c>
      <c r="HO691" s="4069">
        <v>0.02</v>
      </c>
      <c r="HP691" s="129">
        <f t="shared" si="39"/>
        <v>-5.092221605431102E-3</v>
      </c>
      <c r="HQ691" s="4074">
        <v>0.03</v>
      </c>
      <c r="HR691" s="4070">
        <v>0</v>
      </c>
    </row>
    <row r="692" spans="14:226" s="105" customFormat="1">
      <c r="N692" s="58"/>
      <c r="O692" s="58"/>
      <c r="P692" s="58"/>
      <c r="BC692" s="58"/>
      <c r="GQ692" s="4068" t="s">
        <v>1974</v>
      </c>
      <c r="GR692" s="58"/>
      <c r="GS692" s="58"/>
      <c r="GT692" s="58"/>
      <c r="GU692" s="58"/>
      <c r="GV692" s="129"/>
      <c r="GW692" s="58">
        <f t="shared" si="40"/>
        <v>4.2480607266547121E-2</v>
      </c>
      <c r="GX692" s="58">
        <f t="shared" si="40"/>
        <v>4.5808063190455828E-2</v>
      </c>
      <c r="GY692" s="58">
        <f t="shared" si="40"/>
        <v>-1.5996236171672784E-2</v>
      </c>
      <c r="GZ692" s="58">
        <f t="shared" si="40"/>
        <v>-4.3741371419513619E-2</v>
      </c>
      <c r="HA692" s="129">
        <f t="shared" si="40"/>
        <v>6.3157652283754029E-3</v>
      </c>
      <c r="HB692" s="58">
        <f t="shared" si="41"/>
        <v>-5.0334191420115193E-2</v>
      </c>
      <c r="HC692" s="58">
        <f t="shared" si="38"/>
        <v>-6.2163411496269583E-2</v>
      </c>
      <c r="HD692" s="58">
        <f t="shared" si="38"/>
        <v>1.5479115086076911E-2</v>
      </c>
      <c r="HE692" s="58">
        <f t="shared" si="38"/>
        <v>-1.2404398032195285E-3</v>
      </c>
      <c r="HF692" s="129">
        <f t="shared" si="38"/>
        <v>-2.4904408833629432E-2</v>
      </c>
      <c r="HG692" s="58">
        <f t="shared" si="38"/>
        <v>1.9156228075944526E-2</v>
      </c>
      <c r="HH692" s="58">
        <f t="shared" si="38"/>
        <v>3.871451619190891E-3</v>
      </c>
      <c r="HI692" s="58">
        <f t="shared" si="38"/>
        <v>-1.3314571932574237E-2</v>
      </c>
      <c r="HJ692" s="4069">
        <v>0</v>
      </c>
      <c r="HK692" s="129">
        <f t="shared" si="38"/>
        <v>2.0465694278244406E-3</v>
      </c>
      <c r="HL692" s="4069">
        <v>0</v>
      </c>
      <c r="HM692" s="4069">
        <v>0</v>
      </c>
      <c r="HN692" s="4069">
        <v>0</v>
      </c>
      <c r="HO692" s="4069">
        <v>0</v>
      </c>
      <c r="HP692" s="129">
        <f t="shared" si="39"/>
        <v>0</v>
      </c>
      <c r="HQ692" s="4074">
        <v>0.01</v>
      </c>
      <c r="HR692" s="4070">
        <v>0</v>
      </c>
    </row>
    <row r="693" spans="14:226" s="105" customFormat="1">
      <c r="N693" s="58"/>
      <c r="O693" s="58"/>
      <c r="P693" s="58"/>
      <c r="BC693" s="58"/>
      <c r="GQ693" s="4068" t="s">
        <v>1975</v>
      </c>
      <c r="GR693" s="58"/>
      <c r="GS693" s="58"/>
      <c r="GT693" s="58"/>
      <c r="GU693" s="58"/>
      <c r="GV693" s="129"/>
      <c r="GW693" s="58"/>
      <c r="GX693" s="58">
        <f>+GX685/GS685-1</f>
        <v>0.85191577649022943</v>
      </c>
      <c r="GY693" s="58">
        <f>+GY685/GT685-1</f>
        <v>0.44252217608240652</v>
      </c>
      <c r="GZ693" s="58">
        <f>+GZ685/GU685-1</f>
        <v>0.27885497237932944</v>
      </c>
      <c r="HA693" s="129">
        <f>+HA685/GV685-1</f>
        <v>0.87964637461301276</v>
      </c>
      <c r="HB693" s="58">
        <f t="shared" si="41"/>
        <v>0.3257575752163977</v>
      </c>
      <c r="HC693" s="58">
        <f t="shared" si="38"/>
        <v>0.18304156479443523</v>
      </c>
      <c r="HD693" s="58">
        <f t="shared" si="38"/>
        <v>0.11097001268844631</v>
      </c>
      <c r="HE693" s="58">
        <f t="shared" si="38"/>
        <v>7.0199351740458438E-2</v>
      </c>
      <c r="HF693" s="129">
        <f t="shared" si="38"/>
        <v>0.16380903651570988</v>
      </c>
      <c r="HG693" s="58">
        <f t="shared" si="38"/>
        <v>8.3123931403564777E-2</v>
      </c>
      <c r="HH693" s="58">
        <f t="shared" si="38"/>
        <v>1.7589938697616159E-2</v>
      </c>
      <c r="HI693" s="58">
        <f t="shared" si="38"/>
        <v>4.618534392188911E-2</v>
      </c>
      <c r="HJ693" s="4069">
        <v>0.05</v>
      </c>
      <c r="HK693" s="129">
        <f t="shared" si="38"/>
        <v>4.837882595267895E-2</v>
      </c>
      <c r="HL693" s="4069">
        <v>0.05</v>
      </c>
      <c r="HM693" s="4069">
        <v>0.05</v>
      </c>
      <c r="HN693" s="4069">
        <v>0.05</v>
      </c>
      <c r="HO693" s="4069">
        <v>0.05</v>
      </c>
      <c r="HP693" s="129">
        <f t="shared" si="39"/>
        <v>5.0000000000000044E-2</v>
      </c>
      <c r="HQ693" s="4074">
        <v>0.05</v>
      </c>
      <c r="HR693" s="4070">
        <v>0.05</v>
      </c>
    </row>
    <row r="694" spans="14:226">
      <c r="GQ694" s="59"/>
      <c r="GR694" s="61"/>
      <c r="GS694" s="61"/>
      <c r="GT694" s="61"/>
      <c r="GU694" s="61"/>
      <c r="GV694" s="112"/>
      <c r="GW694" s="61"/>
      <c r="GX694" s="61"/>
      <c r="GY694" s="61"/>
      <c r="GZ694" s="61"/>
      <c r="HA694" s="112"/>
      <c r="HB694" s="61"/>
      <c r="HC694" s="61"/>
      <c r="HD694" s="61"/>
      <c r="HE694" s="61"/>
      <c r="HF694" s="112"/>
      <c r="HG694" s="61"/>
      <c r="HH694" s="61"/>
      <c r="HI694" s="61"/>
      <c r="HJ694" s="61"/>
      <c r="HK694" s="112"/>
      <c r="HL694" s="61"/>
      <c r="HM694" s="61"/>
      <c r="HN694" s="61"/>
      <c r="HO694" s="61"/>
      <c r="HP694" s="112"/>
      <c r="HQ694" s="112"/>
      <c r="HR694" s="60"/>
    </row>
    <row r="695" spans="14:226" s="98" customFormat="1">
      <c r="N695" s="96"/>
      <c r="O695" s="96"/>
      <c r="P695" s="96"/>
      <c r="BC695" s="96"/>
      <c r="GQ695" s="2594" t="s">
        <v>1978</v>
      </c>
      <c r="GR695" s="96"/>
      <c r="GS695" s="96"/>
      <c r="GT695" s="96"/>
      <c r="GU695" s="96"/>
      <c r="GV695" s="146"/>
      <c r="GW695" s="96"/>
      <c r="GX695" s="96"/>
      <c r="GY695" s="96"/>
      <c r="GZ695" s="96"/>
      <c r="HA695" s="146"/>
      <c r="HB695" s="96"/>
      <c r="HC695" s="96"/>
      <c r="HD695" s="96"/>
      <c r="HE695" s="96"/>
      <c r="HF695" s="146"/>
      <c r="HG695" s="96"/>
      <c r="HH695" s="96"/>
      <c r="HI695" s="96"/>
      <c r="HJ695" s="96"/>
      <c r="HK695" s="146"/>
      <c r="HL695" s="96"/>
      <c r="HM695" s="96"/>
      <c r="HN695" s="96">
        <f>+$HQ$695*25%</f>
        <v>-116.05488747285141</v>
      </c>
      <c r="HO695" s="96">
        <f>+$HQ$695*24%</f>
        <v>-111.41269197393734</v>
      </c>
      <c r="HP695" s="1201">
        <f>SUM(HL695:HO695)</f>
        <v>-227.46757944678876</v>
      </c>
      <c r="HQ695" s="146">
        <f>+HQ698-HQ687</f>
        <v>-464.21954989140562</v>
      </c>
      <c r="HR695" s="97">
        <f>+HQ695*(1+HR696)</f>
        <v>-459.57735439249154</v>
      </c>
    </row>
    <row r="696" spans="14:226" s="98" customFormat="1">
      <c r="N696" s="96"/>
      <c r="O696" s="96"/>
      <c r="P696" s="96"/>
      <c r="BC696" s="96"/>
      <c r="GQ696" s="2621" t="s">
        <v>1977</v>
      </c>
      <c r="GR696" s="96"/>
      <c r="GS696" s="96"/>
      <c r="GT696" s="96"/>
      <c r="GU696" s="96"/>
      <c r="GV696" s="146"/>
      <c r="GW696" s="96"/>
      <c r="GX696" s="96"/>
      <c r="GY696" s="96"/>
      <c r="GZ696" s="96"/>
      <c r="HA696" s="146"/>
      <c r="HB696" s="96"/>
      <c r="HC696" s="96"/>
      <c r="HD696" s="96"/>
      <c r="HE696" s="96"/>
      <c r="HF696" s="146"/>
      <c r="HG696" s="96"/>
      <c r="HH696" s="96"/>
      <c r="HI696" s="96"/>
      <c r="HJ696" s="96"/>
      <c r="HK696" s="146"/>
      <c r="HL696" s="96"/>
      <c r="HM696" s="96"/>
      <c r="HN696" s="96"/>
      <c r="HO696" s="96"/>
      <c r="HP696" s="146"/>
      <c r="HQ696" s="146"/>
      <c r="HR696" s="4070">
        <v>-0.01</v>
      </c>
    </row>
    <row r="697" spans="14:226">
      <c r="GQ697" s="59"/>
      <c r="GR697" s="61"/>
      <c r="GS697" s="61"/>
      <c r="GT697" s="61"/>
      <c r="GU697" s="61"/>
      <c r="GV697" s="112"/>
      <c r="GW697" s="61"/>
      <c r="GX697" s="61"/>
      <c r="GY697" s="61"/>
      <c r="GZ697" s="61"/>
      <c r="HA697" s="112"/>
      <c r="HB697" s="61"/>
      <c r="HC697" s="61"/>
      <c r="HD697" s="61"/>
      <c r="HE697" s="61"/>
      <c r="HF697" s="112"/>
      <c r="HG697" s="61"/>
      <c r="HH697" s="61"/>
      <c r="HI697" s="61"/>
      <c r="HJ697" s="61"/>
      <c r="HK697" s="112"/>
      <c r="HL697" s="61"/>
      <c r="HM697" s="61"/>
      <c r="HN697" s="61"/>
      <c r="HO697" s="61"/>
      <c r="HP697" s="112"/>
      <c r="HQ697" s="112"/>
      <c r="HR697" s="60"/>
    </row>
    <row r="698" spans="14:226" s="1205" customFormat="1">
      <c r="N698" s="313"/>
      <c r="O698" s="313"/>
      <c r="P698" s="313"/>
      <c r="BC698" s="313"/>
      <c r="GQ698" s="2596" t="s">
        <v>1979</v>
      </c>
      <c r="GR698" s="313"/>
      <c r="GS698" s="313"/>
      <c r="GT698" s="313"/>
      <c r="GU698" s="313"/>
      <c r="GV698" s="1201"/>
      <c r="GW698" s="313"/>
      <c r="GX698" s="313"/>
      <c r="GY698" s="313"/>
      <c r="GZ698" s="313"/>
      <c r="HA698" s="1201"/>
      <c r="HB698" s="313"/>
      <c r="HC698" s="313"/>
      <c r="HD698" s="313"/>
      <c r="HE698" s="313"/>
      <c r="HF698" s="1201"/>
      <c r="HG698" s="313"/>
      <c r="HH698" s="313"/>
      <c r="HI698" s="313"/>
      <c r="HJ698" s="313"/>
      <c r="HK698" s="1201"/>
      <c r="HL698" s="313"/>
      <c r="HM698" s="313"/>
      <c r="HN698" s="313">
        <f>+HN687+HN695</f>
        <v>50.204321742948608</v>
      </c>
      <c r="HO698" s="313">
        <f>+HO687+HO695</f>
        <v>49.128095826482649</v>
      </c>
      <c r="HP698" s="1201">
        <f>SUM(HL698:HO698)</f>
        <v>99.332417569431257</v>
      </c>
      <c r="HQ698" s="4079">
        <f>575/6.25+(98.1+7.2)+4</f>
        <v>201.3</v>
      </c>
      <c r="HR698" s="2295">
        <f>+HR687+HR695</f>
        <v>210.45101127847659</v>
      </c>
    </row>
    <row r="699" spans="14:226">
      <c r="GQ699" s="59"/>
      <c r="GR699" s="61"/>
      <c r="GS699" s="61"/>
      <c r="GT699" s="61"/>
      <c r="GU699" s="61"/>
      <c r="GV699" s="112"/>
      <c r="GW699" s="61"/>
      <c r="GX699" s="61"/>
      <c r="GY699" s="61"/>
      <c r="GZ699" s="61"/>
      <c r="HA699" s="112"/>
      <c r="HB699" s="61"/>
      <c r="HC699" s="61"/>
      <c r="HD699" s="61"/>
      <c r="HE699" s="61"/>
      <c r="HF699" s="112"/>
      <c r="HG699" s="61"/>
      <c r="HH699" s="61"/>
      <c r="HI699" s="61"/>
      <c r="HJ699" s="61"/>
      <c r="HK699" s="112"/>
      <c r="HL699" s="61"/>
      <c r="HM699" s="61"/>
      <c r="HN699" s="61"/>
      <c r="HO699" s="61"/>
      <c r="HP699" s="112"/>
      <c r="HQ699" s="112"/>
      <c r="HR699" s="60"/>
    </row>
    <row r="700" spans="14:226">
      <c r="GQ700" s="2522" t="s">
        <v>183</v>
      </c>
      <c r="GR700" s="61"/>
      <c r="GS700" s="61"/>
      <c r="GT700" s="61"/>
      <c r="GU700" s="61"/>
      <c r="GV700" s="112"/>
      <c r="GW700" s="61"/>
      <c r="GX700" s="61"/>
      <c r="GY700" s="61"/>
      <c r="GZ700" s="61"/>
      <c r="HA700" s="112"/>
      <c r="HB700" s="61"/>
      <c r="HC700" s="61"/>
      <c r="HD700" s="61"/>
      <c r="HE700" s="61"/>
      <c r="HF700" s="112"/>
      <c r="HG700" s="61"/>
      <c r="HH700" s="61"/>
      <c r="HI700" s="61"/>
      <c r="HJ700" s="61"/>
      <c r="HK700" s="112"/>
      <c r="HL700" s="61"/>
      <c r="HM700" s="61"/>
      <c r="HN700" s="61"/>
      <c r="HO700" s="61"/>
      <c r="HP700" s="112"/>
      <c r="HQ700" s="112"/>
      <c r="HR700" s="60"/>
    </row>
    <row r="701" spans="14:226">
      <c r="GQ701" s="1115" t="s">
        <v>1972</v>
      </c>
      <c r="GR701" s="4071"/>
      <c r="GS701" s="4071"/>
      <c r="GT701" s="4071"/>
      <c r="GU701" s="4071"/>
      <c r="GV701" s="4073"/>
      <c r="GW701" s="4071"/>
      <c r="GX701" s="4071"/>
      <c r="GY701" s="4071"/>
      <c r="GZ701" s="4071"/>
      <c r="HA701" s="4073"/>
      <c r="HB701" s="4071"/>
      <c r="HC701" s="4071"/>
      <c r="HD701" s="4071"/>
      <c r="HE701" s="4071">
        <v>2286</v>
      </c>
      <c r="HF701" s="4073">
        <v>2305.3333333333335</v>
      </c>
      <c r="HG701" s="4071">
        <v>2430.6666666666665</v>
      </c>
      <c r="HH701" s="4071">
        <v>2426.6666666666665</v>
      </c>
      <c r="HI701" s="4071">
        <v>2337</v>
      </c>
      <c r="HJ701" s="61"/>
      <c r="HK701" s="112"/>
      <c r="HL701" s="61"/>
      <c r="HM701" s="61"/>
      <c r="HN701" s="61"/>
      <c r="HO701" s="61"/>
      <c r="HP701" s="112"/>
      <c r="HQ701" s="112"/>
      <c r="HR701" s="60"/>
    </row>
    <row r="702" spans="14:226">
      <c r="GQ702" s="1115" t="s">
        <v>1973</v>
      </c>
      <c r="GR702" s="4071"/>
      <c r="GS702" s="4071"/>
      <c r="GT702" s="4071"/>
      <c r="GU702" s="4071"/>
      <c r="GV702" s="4073"/>
      <c r="GW702" s="4071"/>
      <c r="GX702" s="4071"/>
      <c r="GY702" s="4071"/>
      <c r="GZ702" s="4071"/>
      <c r="HA702" s="4073"/>
      <c r="HB702" s="4071"/>
      <c r="HC702" s="4071"/>
      <c r="HD702" s="4071"/>
      <c r="HE702" s="4071">
        <v>2124</v>
      </c>
      <c r="HF702" s="4073">
        <v>2152.3333333333335</v>
      </c>
      <c r="HG702" s="4071">
        <v>2130.3333333333335</v>
      </c>
      <c r="HH702" s="4071">
        <v>2135.3333333333335</v>
      </c>
      <c r="HI702" s="4071">
        <v>2114.6666666666665</v>
      </c>
      <c r="HJ702" s="61"/>
      <c r="HK702" s="112"/>
      <c r="HL702" s="61"/>
      <c r="HM702" s="61"/>
      <c r="HN702" s="61"/>
      <c r="HO702" s="61"/>
      <c r="HP702" s="112"/>
      <c r="HQ702" s="112"/>
      <c r="HR702" s="60"/>
    </row>
    <row r="703" spans="14:226">
      <c r="GQ703" s="1115" t="s">
        <v>1974</v>
      </c>
      <c r="GR703" s="4071"/>
      <c r="GS703" s="4071"/>
      <c r="GT703" s="4071"/>
      <c r="GU703" s="4071"/>
      <c r="GV703" s="4073"/>
      <c r="GW703" s="4071"/>
      <c r="GX703" s="4071"/>
      <c r="GY703" s="4071"/>
      <c r="GZ703" s="4071"/>
      <c r="HA703" s="4073"/>
      <c r="HB703" s="4071"/>
      <c r="HC703" s="4071"/>
      <c r="HD703" s="4071"/>
      <c r="HE703" s="4071">
        <v>1165</v>
      </c>
      <c r="HF703" s="4073">
        <v>1150.8333333333333</v>
      </c>
      <c r="HG703" s="4071">
        <v>1157.6666666666667</v>
      </c>
      <c r="HH703" s="4071">
        <v>1166</v>
      </c>
      <c r="HI703" s="4071">
        <v>1177.6666666666667</v>
      </c>
      <c r="HJ703" s="61"/>
      <c r="HK703" s="112"/>
      <c r="HL703" s="61"/>
      <c r="HM703" s="61"/>
      <c r="HN703" s="61"/>
      <c r="HO703" s="61"/>
      <c r="HP703" s="112"/>
      <c r="HQ703" s="112"/>
      <c r="HR703" s="60"/>
    </row>
    <row r="704" spans="14:226">
      <c r="GQ704" s="1115" t="s">
        <v>1975</v>
      </c>
      <c r="GR704" s="4071"/>
      <c r="GS704" s="4071">
        <v>983.33333333333337</v>
      </c>
      <c r="GT704" s="4071">
        <v>1366.6666666666667</v>
      </c>
      <c r="GU704" s="4071">
        <v>1321</v>
      </c>
      <c r="GV704" s="4073">
        <v>917.75</v>
      </c>
      <c r="GW704" s="4071">
        <v>1320</v>
      </c>
      <c r="GX704" s="4071">
        <v>1318.3333333333333</v>
      </c>
      <c r="GY704" s="4071">
        <v>1319.6666666666667</v>
      </c>
      <c r="GZ704" s="4071">
        <v>1325.6666666666667</v>
      </c>
      <c r="HA704" s="4073">
        <v>1980.9166666666667</v>
      </c>
      <c r="HB704" s="4071">
        <v>1325.3333333333333</v>
      </c>
      <c r="HC704" s="4071">
        <v>1337.3333333333333</v>
      </c>
      <c r="HD704" s="4071">
        <v>1371</v>
      </c>
      <c r="HE704" s="4071">
        <v>1372.3333333333333</v>
      </c>
      <c r="HF704" s="4073">
        <v>1351.5</v>
      </c>
      <c r="HG704" s="4071">
        <v>1368.3333333333333</v>
      </c>
      <c r="HH704" s="4071">
        <v>1362.3333333333333</v>
      </c>
      <c r="HI704" s="4071">
        <v>1359.6666666666667</v>
      </c>
      <c r="HJ704" s="61"/>
      <c r="HK704" s="112"/>
      <c r="HL704" s="61"/>
      <c r="HM704" s="61"/>
      <c r="HN704" s="61"/>
      <c r="HO704" s="61"/>
      <c r="HP704" s="112"/>
      <c r="HQ704" s="112"/>
      <c r="HR704" s="60"/>
    </row>
    <row r="705" spans="14:229">
      <c r="GQ705" s="59"/>
      <c r="GR705" s="4071"/>
      <c r="GS705" s="4071"/>
      <c r="GT705" s="4071"/>
      <c r="GU705" s="4071"/>
      <c r="GV705" s="4073"/>
      <c r="GW705" s="4071"/>
      <c r="GX705" s="4071"/>
      <c r="GY705" s="4071"/>
      <c r="GZ705" s="4071"/>
      <c r="HA705" s="4073"/>
      <c r="HB705" s="4071"/>
      <c r="HC705" s="4071"/>
      <c r="HD705" s="4071"/>
      <c r="HE705" s="4071"/>
      <c r="HF705" s="4073"/>
      <c r="HG705" s="4071"/>
      <c r="HH705" s="4071"/>
      <c r="HI705" s="4071"/>
      <c r="HJ705" s="61"/>
      <c r="HK705" s="112"/>
      <c r="HL705" s="61"/>
      <c r="HM705" s="61"/>
      <c r="HN705" s="61"/>
      <c r="HO705" s="61"/>
      <c r="HP705" s="112"/>
      <c r="HQ705" s="112"/>
      <c r="HR705" s="60"/>
    </row>
    <row r="706" spans="14:229">
      <c r="GQ706" s="2522" t="s">
        <v>184</v>
      </c>
      <c r="GR706" s="4071"/>
      <c r="GS706" s="4071"/>
      <c r="GT706" s="4071"/>
      <c r="GU706" s="4071"/>
      <c r="GV706" s="4073"/>
      <c r="GW706" s="4071"/>
      <c r="GX706" s="4071"/>
      <c r="GY706" s="4071"/>
      <c r="GZ706" s="4071"/>
      <c r="HA706" s="4073"/>
      <c r="HB706" s="4071"/>
      <c r="HC706" s="4071"/>
      <c r="HD706" s="4071"/>
      <c r="HE706" s="4071"/>
      <c r="HF706" s="4073"/>
      <c r="HG706" s="4071"/>
      <c r="HH706" s="4071"/>
      <c r="HI706" s="4071"/>
      <c r="HJ706" s="61"/>
      <c r="HK706" s="112"/>
      <c r="HL706" s="61"/>
      <c r="HM706" s="61"/>
      <c r="HN706" s="61"/>
      <c r="HO706" s="61"/>
      <c r="HP706" s="112"/>
      <c r="HQ706" s="112"/>
      <c r="HR706" s="60"/>
    </row>
    <row r="707" spans="14:229">
      <c r="GQ707" s="1115" t="s">
        <v>1972</v>
      </c>
      <c r="GR707" s="4071"/>
      <c r="GS707" s="4071"/>
      <c r="GT707" s="4071"/>
      <c r="GU707" s="4071"/>
      <c r="GV707" s="4073"/>
      <c r="GW707" s="4071"/>
      <c r="GX707" s="4071"/>
      <c r="GY707" s="4071"/>
      <c r="GZ707" s="4071"/>
      <c r="HA707" s="4073"/>
      <c r="HB707" s="4071"/>
      <c r="HC707" s="4071"/>
      <c r="HD707" s="4071"/>
      <c r="HE707" s="4071">
        <v>70.333333333333329</v>
      </c>
      <c r="HF707" s="4073">
        <v>73.416666666666671</v>
      </c>
      <c r="HG707" s="4071">
        <v>71</v>
      </c>
      <c r="HH707" s="4071">
        <v>69.666666666666671</v>
      </c>
      <c r="HI707" s="4071">
        <v>74.333333333333329</v>
      </c>
      <c r="HJ707" s="61"/>
      <c r="HK707" s="112"/>
      <c r="HL707" s="61"/>
      <c r="HM707" s="61"/>
      <c r="HN707" s="61"/>
      <c r="HO707" s="61"/>
      <c r="HP707" s="112"/>
      <c r="HQ707" s="112"/>
      <c r="HR707" s="60"/>
    </row>
    <row r="708" spans="14:229">
      <c r="GQ708" s="1115" t="s">
        <v>1973</v>
      </c>
      <c r="GR708" s="4071"/>
      <c r="GS708" s="4071"/>
      <c r="GT708" s="4071"/>
      <c r="GU708" s="4071"/>
      <c r="GV708" s="4073"/>
      <c r="GW708" s="4071"/>
      <c r="GX708" s="4071"/>
      <c r="GY708" s="4071"/>
      <c r="GZ708" s="4071"/>
      <c r="HA708" s="4073"/>
      <c r="HB708" s="4071"/>
      <c r="HC708" s="4071"/>
      <c r="HD708" s="4071"/>
      <c r="HE708" s="4071">
        <v>70</v>
      </c>
      <c r="HF708" s="4073">
        <v>71.416666666666671</v>
      </c>
      <c r="HG708" s="4071">
        <v>72.666666666666671</v>
      </c>
      <c r="HH708" s="4071">
        <v>72</v>
      </c>
      <c r="HI708" s="4071">
        <v>72.666666666666671</v>
      </c>
      <c r="HJ708" s="61"/>
      <c r="HK708" s="112"/>
      <c r="HL708" s="61"/>
      <c r="HM708" s="61"/>
      <c r="HN708" s="61"/>
      <c r="HO708" s="61"/>
      <c r="HP708" s="112"/>
      <c r="HQ708" s="112"/>
      <c r="HR708" s="60"/>
    </row>
    <row r="709" spans="14:229">
      <c r="GQ709" s="1115" t="s">
        <v>1974</v>
      </c>
      <c r="GR709" s="4071"/>
      <c r="GS709" s="4071"/>
      <c r="GT709" s="4071"/>
      <c r="GU709" s="4071"/>
      <c r="GV709" s="4073"/>
      <c r="GW709" s="4071"/>
      <c r="GX709" s="4071"/>
      <c r="GY709" s="4071"/>
      <c r="GZ709" s="4071"/>
      <c r="HA709" s="4073"/>
      <c r="HB709" s="4071"/>
      <c r="HC709" s="4071"/>
      <c r="HD709" s="4071"/>
      <c r="HE709" s="4071">
        <v>46.666666666666664</v>
      </c>
      <c r="HF709" s="4073">
        <v>46.25</v>
      </c>
      <c r="HG709" s="4071">
        <v>44</v>
      </c>
      <c r="HH709" s="4071">
        <v>43</v>
      </c>
      <c r="HI709" s="4071">
        <v>43</v>
      </c>
      <c r="HJ709" s="61"/>
      <c r="HK709" s="112"/>
      <c r="HL709" s="61"/>
      <c r="HM709" s="61"/>
      <c r="HN709" s="61"/>
      <c r="HO709" s="61"/>
      <c r="HP709" s="112"/>
      <c r="HQ709" s="112"/>
      <c r="HR709" s="60"/>
    </row>
    <row r="710" spans="14:229">
      <c r="GQ710" s="1115" t="s">
        <v>1975</v>
      </c>
      <c r="GR710" s="4071"/>
      <c r="GS710" s="4071">
        <v>0</v>
      </c>
      <c r="GT710" s="4071">
        <v>0</v>
      </c>
      <c r="GU710" s="4071">
        <v>0</v>
      </c>
      <c r="GV710" s="4073">
        <v>0</v>
      </c>
      <c r="GW710" s="4071">
        <v>0</v>
      </c>
      <c r="GX710" s="4071">
        <v>0</v>
      </c>
      <c r="GY710" s="4071">
        <v>0</v>
      </c>
      <c r="GZ710" s="4071">
        <v>0</v>
      </c>
      <c r="HA710" s="4073">
        <v>0</v>
      </c>
      <c r="HB710" s="4071">
        <v>0</v>
      </c>
      <c r="HC710" s="4071">
        <v>0</v>
      </c>
      <c r="HD710" s="4071">
        <v>0</v>
      </c>
      <c r="HE710" s="4071">
        <v>0</v>
      </c>
      <c r="HF710" s="4073">
        <v>0</v>
      </c>
      <c r="HG710" s="4071">
        <v>0</v>
      </c>
      <c r="HH710" s="4071">
        <v>0</v>
      </c>
      <c r="HI710" s="4071">
        <v>0</v>
      </c>
      <c r="HJ710" s="61"/>
      <c r="HK710" s="112"/>
      <c r="HL710" s="61"/>
      <c r="HM710" s="61"/>
      <c r="HN710" s="61"/>
      <c r="HO710" s="61"/>
      <c r="HP710" s="112"/>
      <c r="HQ710" s="112"/>
      <c r="HR710" s="60"/>
    </row>
    <row r="711" spans="14:229">
      <c r="GQ711" s="56"/>
      <c r="GR711" s="72"/>
      <c r="GS711" s="72"/>
      <c r="GT711" s="72"/>
      <c r="GU711" s="72"/>
      <c r="GV711" s="144"/>
      <c r="GW711" s="72"/>
      <c r="GX711" s="72"/>
      <c r="GY711" s="72"/>
      <c r="GZ711" s="72"/>
      <c r="HA711" s="144"/>
      <c r="HB711" s="72"/>
      <c r="HC711" s="72"/>
      <c r="HD711" s="72"/>
      <c r="HE711" s="72"/>
      <c r="HF711" s="144"/>
      <c r="HG711" s="72"/>
      <c r="HH711" s="72"/>
      <c r="HI711" s="72"/>
      <c r="HJ711" s="72"/>
      <c r="HK711" s="144"/>
      <c r="HL711" s="72"/>
      <c r="HM711" s="72"/>
      <c r="HN711" s="72"/>
      <c r="HO711" s="72"/>
      <c r="HP711" s="144"/>
      <c r="HQ711" s="144"/>
      <c r="HR711" s="102"/>
    </row>
    <row r="712" spans="14:229">
      <c r="GQ712" s="68"/>
      <c r="GR712" s="67"/>
      <c r="GS712" s="67"/>
      <c r="GT712" s="67"/>
      <c r="GU712" s="67"/>
      <c r="GV712" s="1198"/>
      <c r="GW712" s="67"/>
      <c r="GX712" s="67"/>
      <c r="GY712" s="67"/>
      <c r="GZ712" s="67"/>
      <c r="HA712" s="1198"/>
      <c r="HB712" s="67"/>
      <c r="HC712" s="67"/>
      <c r="HD712" s="67"/>
      <c r="HE712" s="67"/>
      <c r="HF712" s="1198"/>
      <c r="HG712" s="67"/>
      <c r="HH712" s="67"/>
      <c r="HI712" s="67"/>
      <c r="HJ712" s="67"/>
      <c r="HK712" s="1198"/>
      <c r="HL712" s="67"/>
      <c r="HM712" s="67"/>
      <c r="HN712" s="67"/>
      <c r="HO712" s="67"/>
      <c r="HP712" s="1198"/>
      <c r="HQ712" s="1198"/>
      <c r="HR712" s="1198"/>
      <c r="HT712" s="1447"/>
    </row>
    <row r="713" spans="14:229">
      <c r="GQ713" s="80" t="s">
        <v>1994</v>
      </c>
      <c r="GR713" s="61"/>
      <c r="GS713" s="61"/>
      <c r="GT713" s="61"/>
      <c r="GU713" s="61"/>
      <c r="GV713" s="112"/>
      <c r="GW713" s="61"/>
      <c r="GX713" s="61"/>
      <c r="GY713" s="61"/>
      <c r="GZ713" s="61"/>
      <c r="HA713" s="112"/>
      <c r="HB713" s="61"/>
      <c r="HC713" s="61"/>
      <c r="HD713" s="61"/>
      <c r="HE713" s="61"/>
      <c r="HF713" s="112"/>
      <c r="HG713" s="61"/>
      <c r="HH713" s="61"/>
      <c r="HI713" s="61"/>
      <c r="HJ713" s="61"/>
      <c r="HK713" s="112"/>
      <c r="HL713" s="61"/>
      <c r="HM713" s="61"/>
      <c r="HN713" s="61"/>
      <c r="HO713" s="61"/>
      <c r="HP713" s="112"/>
      <c r="HQ713" s="112"/>
      <c r="HR713" s="112"/>
      <c r="HT713" s="1447"/>
      <c r="HU713" s="113"/>
    </row>
    <row r="714" spans="14:229">
      <c r="GQ714" s="2621" t="s">
        <v>7</v>
      </c>
      <c r="GR714" s="61"/>
      <c r="GS714" s="61"/>
      <c r="GT714" s="61"/>
      <c r="GU714" s="61"/>
      <c r="GV714" s="112"/>
      <c r="GW714" s="61"/>
      <c r="GX714" s="61"/>
      <c r="GY714" s="61"/>
      <c r="GZ714" s="61"/>
      <c r="HA714" s="112"/>
      <c r="HB714" s="61"/>
      <c r="HC714" s="61"/>
      <c r="HD714" s="61"/>
      <c r="HE714" s="61"/>
      <c r="HF714" s="112"/>
      <c r="HG714" s="61"/>
      <c r="HH714" s="61"/>
      <c r="HI714" s="61"/>
      <c r="HJ714" s="61"/>
      <c r="HK714" s="112"/>
      <c r="HL714" s="61"/>
      <c r="HM714" s="61"/>
      <c r="HN714" s="61"/>
      <c r="HO714" s="61"/>
      <c r="HP714" s="112"/>
      <c r="HQ714" s="112"/>
      <c r="HR714" s="112"/>
      <c r="HT714" s="1447"/>
      <c r="HU714" s="113"/>
    </row>
    <row r="715" spans="14:229" s="1205" customFormat="1">
      <c r="N715" s="313"/>
      <c r="O715" s="313"/>
      <c r="P715" s="313"/>
      <c r="BC715" s="313"/>
      <c r="GQ715" s="2596" t="s">
        <v>1996</v>
      </c>
      <c r="GR715" s="4147">
        <v>17.591123969999998</v>
      </c>
      <c r="GS715" s="4147">
        <v>19.081512559999993</v>
      </c>
      <c r="GT715" s="4147">
        <v>18.463408509999994</v>
      </c>
      <c r="GU715" s="4147">
        <v>18.359271549999988</v>
      </c>
      <c r="GV715" s="4079">
        <v>73.495316589999973</v>
      </c>
      <c r="GW715" s="4147">
        <v>19.319367080000021</v>
      </c>
      <c r="GX715" s="4147">
        <v>20.531835299999965</v>
      </c>
      <c r="GY715" s="4147">
        <v>19.125408019999956</v>
      </c>
      <c r="GZ715" s="4147">
        <v>19.004017299999962</v>
      </c>
      <c r="HA715" s="4079">
        <v>77.9806276999999</v>
      </c>
      <c r="HB715" s="4147">
        <v>19.334627100000034</v>
      </c>
      <c r="HC715" s="4147">
        <v>19.841818310000011</v>
      </c>
      <c r="HD715" s="4147">
        <v>19.716436850000008</v>
      </c>
      <c r="HE715" s="4147">
        <v>18.908534849999995</v>
      </c>
      <c r="HF715" s="4079">
        <v>77.801417110000045</v>
      </c>
      <c r="HG715" s="4147">
        <v>20.683988070000012</v>
      </c>
      <c r="HH715" s="4147">
        <v>20.919767779999994</v>
      </c>
      <c r="HI715" s="4147">
        <v>20.694596240000031</v>
      </c>
      <c r="HJ715" s="313">
        <f>+HJ731*HJ732*HJ680/1000000</f>
        <v>19.853961592499992</v>
      </c>
      <c r="HK715" s="1201">
        <f>+SUM(HG715:HJ715)</f>
        <v>82.152313682500022</v>
      </c>
      <c r="HL715" s="313">
        <f t="shared" ref="HL715:HO715" si="42">+HL731*HL732*HL680/1000000</f>
        <v>24.906968967625012</v>
      </c>
      <c r="HM715" s="313">
        <f t="shared" si="42"/>
        <v>26.062919676524441</v>
      </c>
      <c r="HN715" s="313">
        <f t="shared" si="42"/>
        <v>26.385610206000042</v>
      </c>
      <c r="HO715" s="313">
        <f t="shared" si="42"/>
        <v>26.016962170171869</v>
      </c>
      <c r="HP715" s="1201">
        <f>+SUM(HL715:HO715)</f>
        <v>103.37246102032135</v>
      </c>
      <c r="HQ715" s="1201">
        <f t="shared" ref="HQ715:HR715" si="43">+HQ731*HQ732*HQ680/1000000</f>
        <v>103.37246102032135</v>
      </c>
      <c r="HR715" s="1201">
        <f t="shared" si="43"/>
        <v>103.65567324229484</v>
      </c>
    </row>
    <row r="716" spans="14:229" s="98" customFormat="1">
      <c r="N716" s="96"/>
      <c r="O716" s="96"/>
      <c r="P716" s="96"/>
      <c r="BC716" s="96"/>
      <c r="GQ716" s="2594" t="s">
        <v>1997</v>
      </c>
      <c r="GR716" s="4067">
        <v>9.7256429999999998</v>
      </c>
      <c r="GS716" s="4067">
        <v>8.3413310000000003</v>
      </c>
      <c r="GT716" s="4067">
        <v>7.7742269999999998</v>
      </c>
      <c r="GU716" s="4067">
        <v>7.3679700000000006</v>
      </c>
      <c r="GV716" s="4072">
        <v>33.209171000000005</v>
      </c>
      <c r="GW716" s="4067">
        <v>8.2173016400000005</v>
      </c>
      <c r="GX716" s="4067">
        <v>9.1789380000000005</v>
      </c>
      <c r="GY716" s="4067">
        <v>9.2421445300000009</v>
      </c>
      <c r="GZ716" s="4067">
        <v>8.1807175100000009</v>
      </c>
      <c r="HA716" s="4072">
        <v>34.819101680000003</v>
      </c>
      <c r="HB716" s="4067">
        <v>9.6221770000000006</v>
      </c>
      <c r="HC716" s="4067">
        <v>9.8112510000000004</v>
      </c>
      <c r="HD716" s="4067">
        <v>8.9993246099999986</v>
      </c>
      <c r="HE716" s="4067">
        <v>8.6266150199999991</v>
      </c>
      <c r="HF716" s="4072">
        <v>37.059367629999997</v>
      </c>
      <c r="HG716" s="4067">
        <v>7.9730367899999992</v>
      </c>
      <c r="HH716" s="4067">
        <v>8.6718580000000003</v>
      </c>
      <c r="HI716" s="4067">
        <v>8.6463500299999989</v>
      </c>
      <c r="HJ716" s="96">
        <f>+HE716*(1+HJ720)</f>
        <v>8.540348869799999</v>
      </c>
      <c r="HK716" s="146">
        <f>+SUM(HG716:HJ716)</f>
        <v>33.831593689799995</v>
      </c>
      <c r="HL716" s="96">
        <f t="shared" ref="HL716:HO716" si="44">+HG716*(1+HL720)</f>
        <v>7.8933064220999993</v>
      </c>
      <c r="HM716" s="96">
        <f t="shared" si="44"/>
        <v>8.5851394200000009</v>
      </c>
      <c r="HN716" s="96">
        <f t="shared" si="44"/>
        <v>8.6463500299999989</v>
      </c>
      <c r="HO716" s="96">
        <f t="shared" si="44"/>
        <v>8.540348869799999</v>
      </c>
      <c r="HP716" s="146">
        <f>+SUM(HL716:HO716)</f>
        <v>33.665144741900001</v>
      </c>
      <c r="HQ716" s="146">
        <f>+HP716*(1+HQ720)</f>
        <v>33.665144741900001</v>
      </c>
      <c r="HR716" s="146">
        <f>+HQ716*(1+HR720)</f>
        <v>33.665144741900001</v>
      </c>
    </row>
    <row r="717" spans="14:229" s="98" customFormat="1" ht="3.95" customHeight="1">
      <c r="N717" s="96"/>
      <c r="O717" s="96"/>
      <c r="P717" s="96"/>
      <c r="BC717" s="96"/>
      <c r="GQ717" s="1115"/>
      <c r="GR717" s="4067"/>
      <c r="GS717" s="4067"/>
      <c r="GT717" s="4067"/>
      <c r="GU717" s="4067"/>
      <c r="GV717" s="4072"/>
      <c r="GW717" s="4067"/>
      <c r="GX717" s="4067"/>
      <c r="GY717" s="4067"/>
      <c r="GZ717" s="4067"/>
      <c r="HA717" s="4072"/>
      <c r="HB717" s="4067"/>
      <c r="HC717" s="4067"/>
      <c r="HD717" s="4067"/>
      <c r="HE717" s="4067"/>
      <c r="HF717" s="4072"/>
      <c r="HG717" s="4067"/>
      <c r="HH717" s="4067"/>
      <c r="HI717" s="4067"/>
      <c r="HJ717" s="96"/>
      <c r="HK717" s="146"/>
      <c r="HL717" s="96"/>
      <c r="HM717" s="96"/>
      <c r="HN717" s="96"/>
      <c r="HO717" s="96"/>
      <c r="HP717" s="146"/>
      <c r="HQ717" s="146"/>
      <c r="HR717" s="146"/>
    </row>
    <row r="718" spans="14:229" s="98" customFormat="1">
      <c r="N718" s="96"/>
      <c r="O718" s="96"/>
      <c r="P718" s="96"/>
      <c r="BC718" s="96"/>
      <c r="GQ718" s="2594" t="s">
        <v>1998</v>
      </c>
      <c r="GR718" s="4067">
        <v>27.316766969999996</v>
      </c>
      <c r="GS718" s="4067">
        <v>27.422843559999993</v>
      </c>
      <c r="GT718" s="4067">
        <v>26.237635509999993</v>
      </c>
      <c r="GU718" s="4067">
        <v>25.727241549999988</v>
      </c>
      <c r="GV718" s="4072">
        <v>106.70448758999999</v>
      </c>
      <c r="GW718" s="4067">
        <v>27.536668720000023</v>
      </c>
      <c r="GX718" s="4067">
        <v>29.710773299999964</v>
      </c>
      <c r="GY718" s="4067">
        <v>28.367552549999957</v>
      </c>
      <c r="GZ718" s="4067">
        <v>27.184734809999963</v>
      </c>
      <c r="HA718" s="4072">
        <v>112.7997293799999</v>
      </c>
      <c r="HB718" s="4067">
        <v>28.956804100000035</v>
      </c>
      <c r="HC718" s="4067">
        <v>29.653069310000014</v>
      </c>
      <c r="HD718" s="4067">
        <v>28.715761460000007</v>
      </c>
      <c r="HE718" s="4067">
        <v>27.535149869999994</v>
      </c>
      <c r="HF718" s="4072">
        <v>114.86078474000004</v>
      </c>
      <c r="HG718" s="4067">
        <v>28.657024860000011</v>
      </c>
      <c r="HH718" s="4067">
        <v>29.591625779999994</v>
      </c>
      <c r="HI718" s="4067">
        <v>29.340946270000032</v>
      </c>
      <c r="HJ718" s="96">
        <f>+SUM(HJ715:HJ716)</f>
        <v>28.394310462299991</v>
      </c>
      <c r="HK718" s="146">
        <f>+SUM(HG718:HJ718)</f>
        <v>115.98390737230002</v>
      </c>
      <c r="HL718" s="96">
        <f t="shared" ref="HL718:HO718" si="45">+SUM(HL715:HL716)</f>
        <v>32.800275389725009</v>
      </c>
      <c r="HM718" s="96">
        <f t="shared" si="45"/>
        <v>34.648059096524442</v>
      </c>
      <c r="HN718" s="96">
        <f t="shared" si="45"/>
        <v>35.031960236000039</v>
      </c>
      <c r="HO718" s="96">
        <f t="shared" si="45"/>
        <v>34.557311039971864</v>
      </c>
      <c r="HP718" s="146">
        <f>+SUM(HL718:HO718)</f>
        <v>137.03760576222135</v>
      </c>
      <c r="HQ718" s="146">
        <f t="shared" ref="HQ718:HR718" si="46">+SUM(HQ715:HQ716)</f>
        <v>137.03760576222135</v>
      </c>
      <c r="HR718" s="146">
        <f t="shared" si="46"/>
        <v>137.32081798419483</v>
      </c>
    </row>
    <row r="719" spans="14:229" s="1150" customFormat="1">
      <c r="N719" s="854"/>
      <c r="O719" s="854"/>
      <c r="P719" s="854"/>
      <c r="BC719" s="854"/>
      <c r="GQ719" s="4150" t="s">
        <v>1999</v>
      </c>
      <c r="GR719" s="4145"/>
      <c r="GS719" s="4145"/>
      <c r="GT719" s="4145"/>
      <c r="GU719" s="4145"/>
      <c r="GV719" s="4154"/>
      <c r="GW719" s="4146">
        <f t="shared" ref="GW719:HK719" si="47">+GW715/GR715-1</f>
        <v>9.8245178247130749E-2</v>
      </c>
      <c r="GX719" s="4146">
        <f t="shared" si="47"/>
        <v>7.6006696819215458E-2</v>
      </c>
      <c r="GY719" s="4146">
        <f t="shared" si="47"/>
        <v>3.585467491776595E-2</v>
      </c>
      <c r="GZ719" s="4146">
        <f t="shared" si="47"/>
        <v>3.5118264264682786E-2</v>
      </c>
      <c r="HA719" s="4148">
        <f t="shared" si="47"/>
        <v>6.1028529681988131E-2</v>
      </c>
      <c r="HB719" s="4146">
        <f t="shared" si="47"/>
        <v>7.8988198406415577E-4</v>
      </c>
      <c r="HC719" s="4146">
        <f t="shared" si="47"/>
        <v>-3.3607175389720578E-2</v>
      </c>
      <c r="HD719" s="4146">
        <f t="shared" si="47"/>
        <v>3.0902808943056082E-2</v>
      </c>
      <c r="HE719" s="4146">
        <f t="shared" si="47"/>
        <v>-5.0243297768397532E-3</v>
      </c>
      <c r="HF719" s="4148">
        <f t="shared" si="47"/>
        <v>-2.2981424398030859E-3</v>
      </c>
      <c r="HG719" s="4146">
        <f t="shared" si="47"/>
        <v>6.978986266562015E-2</v>
      </c>
      <c r="HH719" s="4146">
        <f t="shared" si="47"/>
        <v>5.4327151532110873E-2</v>
      </c>
      <c r="HI719" s="4146">
        <f t="shared" si="47"/>
        <v>4.9611367279074114E-2</v>
      </c>
      <c r="HJ719" s="4146">
        <f t="shared" si="47"/>
        <v>4.9999999999999822E-2</v>
      </c>
      <c r="HK719" s="4148">
        <f t="shared" si="47"/>
        <v>5.5923101842070944E-2</v>
      </c>
      <c r="HL719" s="4146">
        <f t="shared" ref="HL719:HO719" si="48">+HL715/HG715-1</f>
        <v>0.20416666666666661</v>
      </c>
      <c r="HM719" s="4146">
        <f t="shared" si="48"/>
        <v>0.24585129006266859</v>
      </c>
      <c r="HN719" s="4146">
        <f t="shared" si="48"/>
        <v>0.27500000000000013</v>
      </c>
      <c r="HO719" s="4146">
        <f t="shared" si="48"/>
        <v>0.31041666666666679</v>
      </c>
      <c r="HP719" s="4148">
        <f>+HP715/HK715-1</f>
        <v>0.25830249187907683</v>
      </c>
      <c r="HQ719" s="4148">
        <f>+HQ715/HP715-1</f>
        <v>0</v>
      </c>
      <c r="HR719" s="4148">
        <f>+HR715/HQ715-1</f>
        <v>2.73972602739736E-3</v>
      </c>
    </row>
    <row r="720" spans="14:229" s="1150" customFormat="1">
      <c r="N720" s="854"/>
      <c r="O720" s="854"/>
      <c r="P720" s="854"/>
      <c r="BC720" s="854"/>
      <c r="GQ720" s="4150" t="s">
        <v>2000</v>
      </c>
      <c r="GR720" s="4145"/>
      <c r="GS720" s="4145"/>
      <c r="GT720" s="4145"/>
      <c r="GU720" s="4145"/>
      <c r="GV720" s="4154"/>
      <c r="GW720" s="4146">
        <f t="shared" ref="GW720:HI720" si="49">+GW716/GR716-1</f>
        <v>-0.15508911441639384</v>
      </c>
      <c r="GX720" s="4146">
        <f t="shared" si="49"/>
        <v>0.10041646830703632</v>
      </c>
      <c r="GY720" s="4146">
        <f t="shared" si="49"/>
        <v>0.1888184548766072</v>
      </c>
      <c r="GZ720" s="4146">
        <f t="shared" si="49"/>
        <v>0.11030820022339949</v>
      </c>
      <c r="HA720" s="4148">
        <f t="shared" si="49"/>
        <v>4.8478496497247558E-2</v>
      </c>
      <c r="HB720" s="4146">
        <f t="shared" si="49"/>
        <v>0.17096553364444822</v>
      </c>
      <c r="HC720" s="4146">
        <f t="shared" si="49"/>
        <v>6.8887381089184796E-2</v>
      </c>
      <c r="HD720" s="4146">
        <f t="shared" si="49"/>
        <v>-2.627311434178603E-2</v>
      </c>
      <c r="HE720" s="4146">
        <f t="shared" si="49"/>
        <v>5.4505917048833341E-2</v>
      </c>
      <c r="HF720" s="4148">
        <f t="shared" si="49"/>
        <v>6.4340142103286757E-2</v>
      </c>
      <c r="HG720" s="4146">
        <f t="shared" si="49"/>
        <v>-0.17138951091837129</v>
      </c>
      <c r="HH720" s="4146">
        <f t="shared" si="49"/>
        <v>-0.11613126603325097</v>
      </c>
      <c r="HI720" s="4146">
        <f t="shared" si="49"/>
        <v>-3.9222341152999052E-2</v>
      </c>
      <c r="HJ720" s="4164">
        <v>-0.01</v>
      </c>
      <c r="HK720" s="4165">
        <f>+HK716/HF716-1</f>
        <v>-8.7097383107721527E-2</v>
      </c>
      <c r="HL720" s="4164">
        <v>-0.01</v>
      </c>
      <c r="HM720" s="4164">
        <v>-0.01</v>
      </c>
      <c r="HN720" s="4164">
        <v>0</v>
      </c>
      <c r="HO720" s="4164">
        <v>0</v>
      </c>
      <c r="HP720" s="4165">
        <f>+HP716/HK716-1</f>
        <v>-4.9199263098911317E-3</v>
      </c>
      <c r="HQ720" s="4166">
        <v>0</v>
      </c>
      <c r="HR720" s="4166">
        <v>0</v>
      </c>
    </row>
    <row r="721" spans="14:226" s="1170" customFormat="1">
      <c r="N721" s="4146"/>
      <c r="O721" s="4146"/>
      <c r="P721" s="4146"/>
      <c r="BC721" s="4146"/>
      <c r="GQ721" s="4150" t="s">
        <v>2001</v>
      </c>
      <c r="GR721" s="4146"/>
      <c r="GS721" s="4146"/>
      <c r="GT721" s="4146"/>
      <c r="GU721" s="4146"/>
      <c r="GV721" s="4148"/>
      <c r="GW721" s="4146">
        <f>+GW718/GR718-1</f>
        <v>8.0500650110435501E-3</v>
      </c>
      <c r="GX721" s="4146">
        <f t="shared" ref="GX721:HK721" si="50">+GX718/GS718-1</f>
        <v>8.3431527988484522E-2</v>
      </c>
      <c r="GY721" s="4146">
        <f t="shared" si="50"/>
        <v>8.117793385719474E-2</v>
      </c>
      <c r="GZ721" s="4146">
        <f t="shared" si="50"/>
        <v>5.6651750136810675E-2</v>
      </c>
      <c r="HA721" s="4148">
        <f t="shared" si="50"/>
        <v>5.7122637741537252E-2</v>
      </c>
      <c r="HB721" s="4146">
        <f t="shared" si="50"/>
        <v>5.1572519335592704E-2</v>
      </c>
      <c r="HC721" s="4146">
        <f t="shared" si="50"/>
        <v>-1.9421907810104333E-3</v>
      </c>
      <c r="HD721" s="4146">
        <f t="shared" si="50"/>
        <v>1.2274901382003378E-2</v>
      </c>
      <c r="HE721" s="4146">
        <f t="shared" si="50"/>
        <v>1.2890140825325691E-2</v>
      </c>
      <c r="HF721" s="4148">
        <f t="shared" si="50"/>
        <v>1.827181121203636E-2</v>
      </c>
      <c r="HG721" s="4146">
        <f t="shared" si="50"/>
        <v>-1.0352635565884949E-2</v>
      </c>
      <c r="HH721" s="4146">
        <f t="shared" si="50"/>
        <v>-2.0720799374147614E-3</v>
      </c>
      <c r="HI721" s="4146">
        <f t="shared" si="50"/>
        <v>2.1771486396795936E-2</v>
      </c>
      <c r="HJ721" s="4146">
        <f t="shared" si="50"/>
        <v>3.1202321264140576E-2</v>
      </c>
      <c r="HK721" s="4148">
        <f t="shared" si="50"/>
        <v>9.7781208342107018E-3</v>
      </c>
      <c r="HL721" s="4146">
        <f t="shared" ref="HL721" si="51">+HL718/HG718-1</f>
        <v>0.1445806237725753</v>
      </c>
      <c r="HM721" s="4146">
        <f t="shared" ref="HM721" si="52">+HM718/HH718-1</f>
        <v>0.17087379227206645</v>
      </c>
      <c r="HN721" s="4146">
        <f t="shared" ref="HN721" si="53">+HN718/HI718-1</f>
        <v>0.19396150054706474</v>
      </c>
      <c r="HO721" s="4146">
        <f t="shared" ref="HO721:HP721" si="54">+HO718/HJ718-1</f>
        <v>0.21705054559626236</v>
      </c>
      <c r="HP721" s="4148">
        <f t="shared" si="54"/>
        <v>0.18152258245913777</v>
      </c>
      <c r="HQ721" s="4148">
        <f>+HQ718/HP718-1</f>
        <v>0</v>
      </c>
      <c r="HR721" s="4148">
        <f>+HR718/HQ718-1</f>
        <v>2.0666752049425252E-3</v>
      </c>
    </row>
    <row r="722" spans="14:226" s="105" customFormat="1">
      <c r="N722" s="58"/>
      <c r="O722" s="58"/>
      <c r="P722" s="58"/>
      <c r="BC722" s="58"/>
      <c r="GQ722" s="4151"/>
      <c r="GR722" s="58"/>
      <c r="GS722" s="58"/>
      <c r="GT722" s="58"/>
      <c r="GU722" s="58"/>
      <c r="GV722" s="129"/>
      <c r="GW722" s="58"/>
      <c r="GX722" s="58"/>
      <c r="GY722" s="58"/>
      <c r="GZ722" s="58"/>
      <c r="HA722" s="129"/>
      <c r="HB722" s="58"/>
      <c r="HC722" s="58"/>
      <c r="HD722" s="58"/>
      <c r="HE722" s="58"/>
      <c r="HF722" s="129"/>
      <c r="HG722" s="58"/>
      <c r="HH722" s="58"/>
      <c r="HI722" s="58"/>
      <c r="HJ722" s="58"/>
      <c r="HK722" s="129"/>
      <c r="HL722" s="58"/>
      <c r="HM722" s="58"/>
      <c r="HN722" s="58"/>
      <c r="HO722" s="58"/>
      <c r="HP722" s="129"/>
      <c r="HQ722" s="129"/>
      <c r="HR722" s="129"/>
    </row>
    <row r="723" spans="14:226" s="1276" customFormat="1">
      <c r="N723" s="4161"/>
      <c r="O723" s="4161"/>
      <c r="P723" s="4161"/>
      <c r="BC723" s="4161"/>
      <c r="GQ723" s="4162" t="s">
        <v>2003</v>
      </c>
      <c r="GR723" s="4161"/>
      <c r="GS723" s="4161"/>
      <c r="GT723" s="4161"/>
      <c r="GU723" s="4161"/>
      <c r="GV723" s="4163"/>
      <c r="GW723" s="4161"/>
      <c r="GX723" s="4161"/>
      <c r="GY723" s="4161"/>
      <c r="GZ723" s="4161"/>
      <c r="HA723" s="4163"/>
      <c r="HB723" s="4161"/>
      <c r="HC723" s="4161"/>
      <c r="HD723" s="4161"/>
      <c r="HE723" s="4161"/>
      <c r="HF723" s="4163"/>
      <c r="HG723" s="4161"/>
      <c r="HH723" s="4161"/>
      <c r="HI723" s="4161"/>
      <c r="HJ723" s="4161"/>
      <c r="HK723" s="4163">
        <f>-HK715*0.55</f>
        <v>-45.183772525375019</v>
      </c>
      <c r="HL723" s="4161"/>
      <c r="HM723" s="4161"/>
      <c r="HN723" s="4161">
        <f t="shared" ref="HN723:HO723" si="55">-HN715*0.55</f>
        <v>-14.512085613300025</v>
      </c>
      <c r="HO723" s="4161">
        <f t="shared" si="55"/>
        <v>-14.309329193594529</v>
      </c>
      <c r="HP723" s="4163">
        <f>+SUM(HL723:HO723)</f>
        <v>-28.821414806894552</v>
      </c>
      <c r="HQ723" s="4163">
        <f t="shared" ref="HQ723:HR723" si="56">-HQ715*0.55</f>
        <v>-56.854853561176746</v>
      </c>
      <c r="HR723" s="4163">
        <f t="shared" si="56"/>
        <v>-57.010620283262163</v>
      </c>
    </row>
    <row r="724" spans="14:226" s="1276" customFormat="1">
      <c r="N724" s="4161"/>
      <c r="O724" s="4161"/>
      <c r="P724" s="4161"/>
      <c r="BC724" s="4161"/>
      <c r="GQ724" s="4162" t="s">
        <v>2004</v>
      </c>
      <c r="GR724" s="4161"/>
      <c r="GS724" s="4161"/>
      <c r="GT724" s="4161"/>
      <c r="GU724" s="4161"/>
      <c r="GV724" s="4163"/>
      <c r="GW724" s="4161"/>
      <c r="GX724" s="4161"/>
      <c r="GY724" s="4161"/>
      <c r="GZ724" s="4161"/>
      <c r="HA724" s="4163"/>
      <c r="HB724" s="4161"/>
      <c r="HC724" s="4161"/>
      <c r="HD724" s="4161"/>
      <c r="HE724" s="4161"/>
      <c r="HF724" s="4163"/>
      <c r="HG724" s="4161"/>
      <c r="HH724" s="4161"/>
      <c r="HI724" s="4161"/>
      <c r="HJ724" s="4161"/>
      <c r="HK724" s="4163">
        <f>-HK716*0.16</f>
        <v>-5.413054990367999</v>
      </c>
      <c r="HL724" s="4161"/>
      <c r="HM724" s="4161"/>
      <c r="HN724" s="4161">
        <f t="shared" ref="HN724:HO724" si="57">-HN716*0.16</f>
        <v>-1.3834160047999999</v>
      </c>
      <c r="HO724" s="4161">
        <f t="shared" si="57"/>
        <v>-1.3664558191679999</v>
      </c>
      <c r="HP724" s="4163">
        <f t="shared" ref="HP724:HP725" si="58">+SUM(HL724:HO724)</f>
        <v>-2.7498718239679998</v>
      </c>
      <c r="HQ724" s="4163">
        <f t="shared" ref="HQ724:HR724" si="59">-HQ716*0.16</f>
        <v>-5.3864231587039999</v>
      </c>
      <c r="HR724" s="4163">
        <f t="shared" si="59"/>
        <v>-5.3864231587039999</v>
      </c>
    </row>
    <row r="725" spans="14:226" s="1276" customFormat="1">
      <c r="N725" s="4161"/>
      <c r="O725" s="4161"/>
      <c r="P725" s="4161"/>
      <c r="BC725" s="4161"/>
      <c r="GQ725" s="4162" t="s">
        <v>1591</v>
      </c>
      <c r="GR725" s="4161"/>
      <c r="GS725" s="4161"/>
      <c r="GT725" s="4161"/>
      <c r="GU725" s="4161"/>
      <c r="GV725" s="4163"/>
      <c r="GW725" s="4161"/>
      <c r="GX725" s="4161"/>
      <c r="GY725" s="4161"/>
      <c r="GZ725" s="4161"/>
      <c r="HA725" s="4163"/>
      <c r="HB725" s="4161"/>
      <c r="HC725" s="4161"/>
      <c r="HD725" s="4161"/>
      <c r="HE725" s="4161"/>
      <c r="HF725" s="4163"/>
      <c r="HG725" s="4161"/>
      <c r="HH725" s="4161"/>
      <c r="HI725" s="4161"/>
      <c r="HJ725" s="4161"/>
      <c r="HK725" s="4163">
        <f>+HK727-HK724-HK723</f>
        <v>-39.387079856557008</v>
      </c>
      <c r="HL725" s="4161"/>
      <c r="HM725" s="4161"/>
      <c r="HN725" s="4161">
        <f t="shared" ref="HN725:HO725" si="60">+HN727-HN724-HN723</f>
        <v>-10.285366223414025</v>
      </c>
      <c r="HO725" s="4161">
        <f t="shared" si="60"/>
        <v>-9.535421056843596</v>
      </c>
      <c r="HP725" s="4163">
        <f t="shared" si="58"/>
        <v>-19.820787280257619</v>
      </c>
      <c r="HQ725" s="4163">
        <f t="shared" ref="HQ725:HR725" si="61">+HQ727-HQ724-HQ723</f>
        <v>-34.724900470912026</v>
      </c>
      <c r="HR725" s="4163">
        <f t="shared" si="61"/>
        <v>-34.569133748826609</v>
      </c>
    </row>
    <row r="726" spans="14:226" s="98" customFormat="1" ht="3.95" customHeight="1">
      <c r="N726" s="96"/>
      <c r="O726" s="96"/>
      <c r="P726" s="96"/>
      <c r="BC726" s="96"/>
      <c r="GQ726" s="1115"/>
      <c r="GR726" s="4067"/>
      <c r="GS726" s="4067"/>
      <c r="GT726" s="4067"/>
      <c r="GU726" s="4067"/>
      <c r="GV726" s="4072"/>
      <c r="GW726" s="4067"/>
      <c r="GX726" s="4067"/>
      <c r="GY726" s="4067"/>
      <c r="GZ726" s="4067"/>
      <c r="HA726" s="4072"/>
      <c r="HB726" s="4067"/>
      <c r="HC726" s="4067"/>
      <c r="HD726" s="4067"/>
      <c r="HE726" s="4067"/>
      <c r="HF726" s="4072"/>
      <c r="HG726" s="4067"/>
      <c r="HH726" s="4067"/>
      <c r="HI726" s="4067"/>
      <c r="HJ726" s="96"/>
      <c r="HK726" s="146"/>
      <c r="HL726" s="96"/>
      <c r="HM726" s="96"/>
      <c r="HN726" s="96"/>
      <c r="HO726" s="96"/>
      <c r="HP726" s="146"/>
      <c r="HQ726" s="146"/>
      <c r="HR726" s="146"/>
    </row>
    <row r="727" spans="14:226" s="2145" customFormat="1">
      <c r="N727" s="4155"/>
      <c r="O727" s="4155"/>
      <c r="P727" s="4155"/>
      <c r="BC727" s="4155"/>
      <c r="GQ727" s="2596" t="s">
        <v>1978</v>
      </c>
      <c r="GR727" s="4155"/>
      <c r="GS727" s="4155"/>
      <c r="GT727" s="4155"/>
      <c r="GU727" s="4155"/>
      <c r="GV727" s="4156"/>
      <c r="GW727" s="4155"/>
      <c r="GX727" s="4155"/>
      <c r="GY727" s="4155"/>
      <c r="GZ727" s="4155"/>
      <c r="HA727" s="4156"/>
      <c r="HB727" s="4155"/>
      <c r="HC727" s="4155"/>
      <c r="HD727" s="4155"/>
      <c r="HE727" s="4155"/>
      <c r="HF727" s="4156"/>
      <c r="HG727" s="4155"/>
      <c r="HH727" s="4155"/>
      <c r="HI727" s="4155"/>
      <c r="HJ727" s="4155"/>
      <c r="HK727" s="4156">
        <f>+HK729-HK718</f>
        <v>-89.983907372300024</v>
      </c>
      <c r="HL727" s="4155"/>
      <c r="HM727" s="4155"/>
      <c r="HN727" s="4155">
        <f>+$HQ$727*0.27</f>
        <v>-26.180867841514051</v>
      </c>
      <c r="HO727" s="4155">
        <f>+$HQ$727*0.26</f>
        <v>-25.211206069606124</v>
      </c>
      <c r="HP727" s="4156">
        <f>+SUM(HL727:HO727)</f>
        <v>-51.392073911120178</v>
      </c>
      <c r="HQ727" s="4156">
        <f>+HQ729-HQ718</f>
        <v>-96.966177190792777</v>
      </c>
      <c r="HR727" s="4158">
        <f>+HQ727</f>
        <v>-96.966177190792777</v>
      </c>
    </row>
    <row r="728" spans="14:226" s="105" customFormat="1">
      <c r="N728" s="58"/>
      <c r="O728" s="58"/>
      <c r="P728" s="58"/>
      <c r="BC728" s="58"/>
      <c r="GQ728" s="4151"/>
      <c r="GR728" s="58"/>
      <c r="GS728" s="58"/>
      <c r="GT728" s="58"/>
      <c r="GU728" s="58"/>
      <c r="GV728" s="129"/>
      <c r="GW728" s="58"/>
      <c r="GX728" s="58"/>
      <c r="GY728" s="58"/>
      <c r="GZ728" s="58"/>
      <c r="HA728" s="129"/>
      <c r="HB728" s="58"/>
      <c r="HC728" s="58"/>
      <c r="HD728" s="58"/>
      <c r="HE728" s="58"/>
      <c r="HF728" s="129"/>
      <c r="HG728" s="58"/>
      <c r="HH728" s="58"/>
      <c r="HI728" s="58"/>
      <c r="HJ728" s="58"/>
      <c r="HK728" s="129"/>
      <c r="HL728" s="58"/>
      <c r="HM728" s="58"/>
      <c r="HN728" s="58"/>
      <c r="HO728" s="58"/>
      <c r="HP728" s="129"/>
      <c r="HQ728" s="129"/>
      <c r="HR728" s="129"/>
    </row>
    <row r="729" spans="14:226" s="2145" customFormat="1">
      <c r="N729" s="4155"/>
      <c r="O729" s="4155"/>
      <c r="P729" s="4155"/>
      <c r="BC729" s="4155"/>
      <c r="GQ729" s="2596" t="s">
        <v>1979</v>
      </c>
      <c r="GR729" s="4155"/>
      <c r="GS729" s="4155"/>
      <c r="GT729" s="4155"/>
      <c r="GU729" s="4155"/>
      <c r="GV729" s="4156"/>
      <c r="GW729" s="4155"/>
      <c r="GX729" s="4155"/>
      <c r="GY729" s="4155"/>
      <c r="GZ729" s="4155"/>
      <c r="HA729" s="4156"/>
      <c r="HB729" s="4155"/>
      <c r="HC729" s="4155"/>
      <c r="HD729" s="4155"/>
      <c r="HE729" s="4155"/>
      <c r="HF729" s="4156"/>
      <c r="HG729" s="4155"/>
      <c r="HH729" s="4155"/>
      <c r="HI729" s="4155"/>
      <c r="HJ729" s="4155"/>
      <c r="HK729" s="4157">
        <v>26</v>
      </c>
      <c r="HL729" s="4155"/>
      <c r="HM729" s="4155"/>
      <c r="HN729" s="4155">
        <f>+HN718+HN727</f>
        <v>8.8510923944859883</v>
      </c>
      <c r="HO729" s="4155">
        <f>+HO718+HO727</f>
        <v>9.3461049703657402</v>
      </c>
      <c r="HP729" s="4156">
        <f>+SUM(HL729:HO729)</f>
        <v>18.197197364851728</v>
      </c>
      <c r="HQ729" s="4157">
        <f>280.5/7</f>
        <v>40.071428571428569</v>
      </c>
      <c r="HR729" s="4168">
        <f>+HR718+HR727</f>
        <v>40.354640793402055</v>
      </c>
    </row>
    <row r="730" spans="14:226" s="105" customFormat="1">
      <c r="N730" s="58"/>
      <c r="O730" s="58"/>
      <c r="P730" s="58"/>
      <c r="BC730" s="58"/>
      <c r="GQ730" s="4151"/>
      <c r="GR730" s="58"/>
      <c r="GS730" s="58"/>
      <c r="GT730" s="58"/>
      <c r="GU730" s="58"/>
      <c r="GV730" s="129"/>
      <c r="GW730" s="58"/>
      <c r="GX730" s="58"/>
      <c r="GY730" s="58"/>
      <c r="GZ730" s="58"/>
      <c r="HA730" s="129"/>
      <c r="HB730" s="58"/>
      <c r="HC730" s="58"/>
      <c r="HD730" s="58"/>
      <c r="HE730" s="58"/>
      <c r="HF730" s="129"/>
      <c r="HG730" s="58"/>
      <c r="HH730" s="58"/>
      <c r="HI730" s="58"/>
      <c r="HJ730" s="58"/>
      <c r="HK730" s="129"/>
      <c r="HL730" s="58"/>
      <c r="HM730" s="58"/>
      <c r="HN730" s="58"/>
      <c r="HO730" s="58"/>
      <c r="HP730" s="129"/>
      <c r="HQ730" s="129"/>
      <c r="HR730" s="129"/>
    </row>
    <row r="731" spans="14:226">
      <c r="GQ731" s="2522" t="s">
        <v>183</v>
      </c>
      <c r="GR731" s="4071">
        <v>600</v>
      </c>
      <c r="GS731" s="4071">
        <v>600</v>
      </c>
      <c r="GT731" s="4071">
        <v>600</v>
      </c>
      <c r="GU731" s="4071">
        <v>600</v>
      </c>
      <c r="GV731" s="4073">
        <v>600</v>
      </c>
      <c r="GW731" s="4071">
        <v>599</v>
      </c>
      <c r="GX731" s="4071">
        <v>600</v>
      </c>
      <c r="GY731" s="4071">
        <v>600</v>
      </c>
      <c r="GZ731" s="4071">
        <v>600</v>
      </c>
      <c r="HA731" s="4073">
        <v>600</v>
      </c>
      <c r="HB731" s="4071">
        <v>600</v>
      </c>
      <c r="HC731" s="4071">
        <v>600</v>
      </c>
      <c r="HD731" s="4071">
        <v>600</v>
      </c>
      <c r="HE731" s="4071">
        <v>600</v>
      </c>
      <c r="HF731" s="4073">
        <v>600</v>
      </c>
      <c r="HG731" s="4071">
        <v>600</v>
      </c>
      <c r="HH731" s="4071">
        <v>597</v>
      </c>
      <c r="HI731" s="4071">
        <v>600</v>
      </c>
      <c r="HJ731" s="4152">
        <f>+HI731</f>
        <v>600</v>
      </c>
      <c r="HK731" s="4149">
        <f>+HJ731</f>
        <v>600</v>
      </c>
      <c r="HL731" s="4071">
        <f>+HK731+250</f>
        <v>850</v>
      </c>
      <c r="HM731" s="4152">
        <f>+HL731</f>
        <v>850</v>
      </c>
      <c r="HN731" s="4152">
        <f t="shared" ref="HN731:HR731" si="62">+HM731</f>
        <v>850</v>
      </c>
      <c r="HO731" s="4152">
        <f t="shared" si="62"/>
        <v>850</v>
      </c>
      <c r="HP731" s="4149">
        <f t="shared" si="62"/>
        <v>850</v>
      </c>
      <c r="HQ731" s="4149">
        <f t="shared" si="62"/>
        <v>850</v>
      </c>
      <c r="HR731" s="4149">
        <f t="shared" si="62"/>
        <v>850</v>
      </c>
    </row>
    <row r="732" spans="14:226">
      <c r="GQ732" s="2462" t="s">
        <v>1995</v>
      </c>
      <c r="GR732" s="4071">
        <v>325.76155499999999</v>
      </c>
      <c r="GS732" s="4071">
        <v>349.47825201465196</v>
      </c>
      <c r="GT732" s="4071">
        <v>334.66796487178863</v>
      </c>
      <c r="GU732" s="4071">
        <v>332.59549909420269</v>
      </c>
      <c r="GV732" s="4073">
        <v>335.64166982096054</v>
      </c>
      <c r="GW732" s="4071">
        <v>358.37619572150953</v>
      </c>
      <c r="GX732" s="4071">
        <v>376.04093956043891</v>
      </c>
      <c r="GY732" s="4071">
        <v>346.47478297101367</v>
      </c>
      <c r="GZ732" s="4071">
        <v>344.27567572463698</v>
      </c>
      <c r="HA732" s="4073">
        <v>356.22754571792274</v>
      </c>
      <c r="HB732" s="4071">
        <v>358.04865000000063</v>
      </c>
      <c r="HC732" s="4071">
        <v>363.40326575091598</v>
      </c>
      <c r="HD732" s="4071">
        <v>357.18182699275383</v>
      </c>
      <c r="HE732" s="4071">
        <v>342.54592119565206</v>
      </c>
      <c r="HF732" s="4073">
        <v>355.25761237442936</v>
      </c>
      <c r="HG732" s="4071">
        <v>383.03681611111131</v>
      </c>
      <c r="HH732" s="4071">
        <v>385.08330854593328</v>
      </c>
      <c r="HI732" s="4071">
        <v>374.90210579710202</v>
      </c>
      <c r="HJ732" s="4153">
        <f>+HE732*(1+HJ733)</f>
        <v>359.67321725543468</v>
      </c>
      <c r="HK732" s="3150">
        <f>+HK715*1000000/HK731/HK680</f>
        <v>375.12472001141555</v>
      </c>
      <c r="HL732" s="1449">
        <f>+HG732*(1+HL733)</f>
        <v>325.58129369444458</v>
      </c>
      <c r="HM732" s="1449">
        <f t="shared" ref="HM732:HO732" si="63">+HH732*(1+HM733)</f>
        <v>336.94789497769159</v>
      </c>
      <c r="HN732" s="1449">
        <f t="shared" si="63"/>
        <v>337.41189521739182</v>
      </c>
      <c r="HO732" s="1449">
        <f t="shared" si="63"/>
        <v>332.69772596127711</v>
      </c>
      <c r="HP732" s="3150">
        <f>+HP715*1000000/HP731/HP680</f>
        <v>333.19084938056841</v>
      </c>
      <c r="HQ732" s="3150">
        <f>+HP732*(1+HQ733)</f>
        <v>333.19084938056841</v>
      </c>
      <c r="HR732" s="3150">
        <f>+HQ732*(1+HR733)</f>
        <v>333.19084938056841</v>
      </c>
    </row>
    <row r="733" spans="14:226" s="1150" customFormat="1">
      <c r="N733" s="854"/>
      <c r="O733" s="854"/>
      <c r="P733" s="854"/>
      <c r="BC733" s="854"/>
      <c r="GQ733" s="4150" t="s">
        <v>1999</v>
      </c>
      <c r="GR733" s="4145"/>
      <c r="GS733" s="4145"/>
      <c r="GT733" s="4145"/>
      <c r="GU733" s="4145"/>
      <c r="GV733" s="4154"/>
      <c r="GW733" s="4146">
        <f t="shared" ref="GW733:HH733" si="64">+GW732/GR732-1</f>
        <v>0.10011813923687085</v>
      </c>
      <c r="GX733" s="4146">
        <f t="shared" si="64"/>
        <v>7.6006696819215236E-2</v>
      </c>
      <c r="GY733" s="4146">
        <f t="shared" si="64"/>
        <v>3.5279200098366825E-2</v>
      </c>
      <c r="GZ733" s="4146">
        <f t="shared" si="64"/>
        <v>3.5118264264682786E-2</v>
      </c>
      <c r="HA733" s="4148">
        <f t="shared" si="64"/>
        <v>6.1332896800159631E-2</v>
      </c>
      <c r="HB733" s="4146">
        <f t="shared" si="64"/>
        <v>-9.1397175766505523E-4</v>
      </c>
      <c r="HC733" s="4146">
        <f t="shared" si="64"/>
        <v>-3.3607175389720467E-2</v>
      </c>
      <c r="HD733" s="4146">
        <f t="shared" si="64"/>
        <v>3.0902808943056304E-2</v>
      </c>
      <c r="HE733" s="4146">
        <f t="shared" si="64"/>
        <v>-5.0243297768397532E-3</v>
      </c>
      <c r="HF733" s="4148">
        <f t="shared" si="64"/>
        <v>-2.7227915279225412E-3</v>
      </c>
      <c r="HG733" s="4146">
        <f t="shared" si="64"/>
        <v>6.9789862665619928E-2</v>
      </c>
      <c r="HH733" s="4146">
        <f t="shared" si="64"/>
        <v>5.9658359839499298E-2</v>
      </c>
      <c r="HI733" s="4146">
        <f>+HI732/HD732-1</f>
        <v>4.9611367279074114E-2</v>
      </c>
      <c r="HJ733" s="4164">
        <v>0.05</v>
      </c>
      <c r="HK733" s="4165">
        <f t="shared" ref="HK733" si="65">+HK732/HF732-1</f>
        <v>5.5923101842070944E-2</v>
      </c>
      <c r="HL733" s="4164">
        <v>-0.15</v>
      </c>
      <c r="HM733" s="4164">
        <v>-0.125</v>
      </c>
      <c r="HN733" s="4164">
        <v>-0.1</v>
      </c>
      <c r="HO733" s="4164">
        <v>-7.4999999999999997E-2</v>
      </c>
      <c r="HP733" s="4165">
        <f t="shared" ref="HP733" si="66">+HP732/HK732-1</f>
        <v>-0.11178647632065153</v>
      </c>
      <c r="HQ733" s="4166">
        <v>0</v>
      </c>
      <c r="HR733" s="4166">
        <v>0</v>
      </c>
    </row>
    <row r="734" spans="14:226">
      <c r="GQ734" s="59"/>
      <c r="GR734" s="61"/>
      <c r="GS734" s="61"/>
      <c r="GT734" s="61"/>
      <c r="GU734" s="61"/>
      <c r="GV734" s="112"/>
      <c r="GW734" s="61"/>
      <c r="GX734" s="61"/>
      <c r="GY734" s="61"/>
      <c r="GZ734" s="61"/>
      <c r="HA734" s="112"/>
      <c r="HB734" s="61"/>
      <c r="HC734" s="61"/>
      <c r="HD734" s="61"/>
      <c r="HE734" s="61"/>
      <c r="HF734" s="112"/>
      <c r="HG734" s="61"/>
      <c r="HH734" s="61"/>
      <c r="HI734" s="61"/>
      <c r="HJ734" s="77"/>
      <c r="HK734" s="4167"/>
      <c r="HL734" s="77"/>
      <c r="HM734" s="77"/>
      <c r="HN734" s="77"/>
      <c r="HO734" s="77"/>
      <c r="HP734" s="4167"/>
      <c r="HQ734" s="4167"/>
      <c r="HR734" s="4167"/>
    </row>
    <row r="735" spans="14:226">
      <c r="GQ735" s="2522" t="s">
        <v>184</v>
      </c>
      <c r="GR735" s="4071">
        <v>50</v>
      </c>
      <c r="GS735" s="4071">
        <v>50</v>
      </c>
      <c r="GT735" s="4071">
        <v>50</v>
      </c>
      <c r="GU735" s="4071">
        <v>50</v>
      </c>
      <c r="GV735" s="4073">
        <v>50</v>
      </c>
      <c r="GW735" s="4071">
        <v>50</v>
      </c>
      <c r="GX735" s="4071">
        <v>50</v>
      </c>
      <c r="GY735" s="4071">
        <v>50</v>
      </c>
      <c r="GZ735" s="4071">
        <v>50</v>
      </c>
      <c r="HA735" s="4073">
        <v>50</v>
      </c>
      <c r="HB735" s="4071">
        <v>50</v>
      </c>
      <c r="HC735" s="4071">
        <v>50</v>
      </c>
      <c r="HD735" s="4071">
        <v>50</v>
      </c>
      <c r="HE735" s="4071">
        <v>50</v>
      </c>
      <c r="HF735" s="4073">
        <v>50</v>
      </c>
      <c r="HG735" s="4071">
        <v>50</v>
      </c>
      <c r="HH735" s="4071">
        <v>50</v>
      </c>
      <c r="HI735" s="4071">
        <v>50</v>
      </c>
      <c r="HJ735" s="77"/>
      <c r="HK735" s="4167"/>
      <c r="HL735" s="77"/>
      <c r="HM735" s="77"/>
      <c r="HN735" s="77"/>
      <c r="HO735" s="77"/>
      <c r="HP735" s="4167"/>
      <c r="HQ735" s="4167"/>
      <c r="HR735" s="4167"/>
    </row>
    <row r="736" spans="14:226">
      <c r="GQ736" s="56"/>
      <c r="GR736" s="72"/>
      <c r="GS736" s="72"/>
      <c r="GT736" s="72"/>
      <c r="GU736" s="72"/>
      <c r="GV736" s="144"/>
      <c r="GW736" s="72"/>
      <c r="GX736" s="72"/>
      <c r="GY736" s="72"/>
      <c r="GZ736" s="72"/>
      <c r="HA736" s="144"/>
      <c r="HB736" s="72"/>
      <c r="HC736" s="72"/>
      <c r="HD736" s="72"/>
      <c r="HE736" s="72"/>
      <c r="HF736" s="144"/>
      <c r="HG736" s="72"/>
      <c r="HH736" s="72"/>
      <c r="HI736" s="72"/>
      <c r="HJ736" s="72"/>
      <c r="HK736" s="144"/>
      <c r="HL736" s="72"/>
      <c r="HM736" s="72"/>
      <c r="HN736" s="72"/>
      <c r="HO736" s="72"/>
      <c r="HP736" s="144"/>
      <c r="HQ736" s="144"/>
      <c r="HR736" s="144"/>
    </row>
    <row r="738" spans="227:233">
      <c r="HT738" s="1" t="s">
        <v>2005</v>
      </c>
    </row>
    <row r="739" spans="227:233">
      <c r="HS739" s="2304"/>
      <c r="HT739" s="1588"/>
      <c r="HU739" s="4169" t="s">
        <v>2007</v>
      </c>
      <c r="HV739" s="4169" t="s">
        <v>1869</v>
      </c>
      <c r="HW739" s="3269" t="s">
        <v>2006</v>
      </c>
    </row>
    <row r="740" spans="227:233">
      <c r="HS740" s="2522" t="s">
        <v>552</v>
      </c>
      <c r="HT740" s="1449" t="s">
        <v>7</v>
      </c>
      <c r="HU740" s="61">
        <v>2371.0431067174945</v>
      </c>
      <c r="HV740" s="61">
        <f>+BYD!BU21</f>
        <v>2383.7069999999999</v>
      </c>
      <c r="HW740" s="2126">
        <f>+HV740/HU740-1</f>
        <v>5.341064127694084E-3</v>
      </c>
    </row>
    <row r="741" spans="227:233">
      <c r="HS741" s="59"/>
      <c r="HT741" s="1449"/>
      <c r="HU741" s="61"/>
      <c r="HV741" s="61"/>
      <c r="HW741" s="60"/>
    </row>
    <row r="742" spans="227:233">
      <c r="HS742" s="59"/>
      <c r="HT742" s="1449" t="s">
        <v>401</v>
      </c>
      <c r="HU742" s="61">
        <v>613.79198896749472</v>
      </c>
      <c r="HV742" s="61">
        <f>+BYD!BU55</f>
        <v>595.625</v>
      </c>
      <c r="HW742" s="2126">
        <f>+HV742/HU742-1</f>
        <v>-2.9597957115821583E-2</v>
      </c>
    </row>
    <row r="743" spans="227:233">
      <c r="HS743" s="59"/>
      <c r="HT743" s="1449"/>
      <c r="HU743" s="61"/>
      <c r="HV743" s="61"/>
      <c r="HW743" s="60"/>
    </row>
    <row r="744" spans="227:233">
      <c r="HS744" s="2522" t="s">
        <v>2008</v>
      </c>
      <c r="HT744" s="1449" t="s">
        <v>7</v>
      </c>
      <c r="HU744" s="61">
        <v>3087.239192519774</v>
      </c>
      <c r="HV744" s="61">
        <v>3140.8454543606954</v>
      </c>
      <c r="HW744" s="2126">
        <f>+HV744/HU744-1</f>
        <v>1.7363818770766759E-2</v>
      </c>
      <c r="HX744" s="2">
        <f>+HV744-HU744</f>
        <v>53.606261840921434</v>
      </c>
    </row>
    <row r="745" spans="227:233" outlineLevel="1">
      <c r="HS745" s="59"/>
      <c r="HT745" s="3154"/>
      <c r="HU745" s="61"/>
      <c r="HV745" s="61"/>
      <c r="HW745" s="2144"/>
      <c r="HX745" s="2">
        <v>39.77485944123373</v>
      </c>
      <c r="HY745" s="1447" t="s">
        <v>2009</v>
      </c>
    </row>
    <row r="746" spans="227:233">
      <c r="HS746" s="59"/>
      <c r="HT746" s="1449" t="s">
        <v>401</v>
      </c>
      <c r="HU746" s="61">
        <v>854.47044517571567</v>
      </c>
      <c r="HV746" s="61">
        <v>870.51018396099755</v>
      </c>
      <c r="HW746" s="57">
        <f>+HV746/HU746-1</f>
        <v>1.8771554798461709E-2</v>
      </c>
      <c r="HX746" s="2">
        <f>+HV746-HU746</f>
        <v>16.039738785281884</v>
      </c>
    </row>
    <row r="747" spans="227:233">
      <c r="HS747" s="56"/>
      <c r="HT747" s="4170"/>
      <c r="HU747" s="72"/>
      <c r="HV747" s="72"/>
      <c r="HW747" s="4171"/>
      <c r="HX747" s="2">
        <v>20.471457218073496</v>
      </c>
      <c r="HY747" s="1447" t="s">
        <v>2009</v>
      </c>
    </row>
    <row r="749" spans="227:233">
      <c r="HT749" s="4172" t="s">
        <v>2010</v>
      </c>
      <c r="HU749" s="61">
        <v>2751.4067391940189</v>
      </c>
      <c r="HV749" s="61">
        <v>2765.2381415937066</v>
      </c>
      <c r="HW749" s="2144">
        <f>+HV749/HU749-1</f>
        <v>5.0270293383591902E-3</v>
      </c>
    </row>
    <row r="750" spans="227:233">
      <c r="HT750" s="4173" t="s">
        <v>2011</v>
      </c>
      <c r="HU750" s="72">
        <v>761.37602692417727</v>
      </c>
      <c r="HV750" s="72">
        <v>756.94430849138575</v>
      </c>
      <c r="HW750" s="4171">
        <f>+HV750/HU750-1</f>
        <v>-5.8206697821769904E-3</v>
      </c>
    </row>
  </sheetData>
  <phoneticPr fontId="10" type="noConversion"/>
  <pageMargins left="0" right="0" top="0" bottom="0" header="0" footer="0"/>
  <pageSetup paperSize="5" orientation="landscape"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AE83"/>
  <sheetViews>
    <sheetView zoomScale="85" workbookViewId="0">
      <pane xSplit="1" ySplit="7" topLeftCell="B8" activePane="bottomRight" state="frozen"/>
      <selection pane="topRight" activeCell="B1" sqref="B1"/>
      <selection pane="bottomLeft" activeCell="A8" sqref="A8"/>
      <selection pane="bottomRight" activeCell="AD16" sqref="AD16"/>
    </sheetView>
  </sheetViews>
  <sheetFormatPr defaultColWidth="7" defaultRowHeight="15.75" outlineLevelRow="1" outlineLevelCol="1"/>
  <cols>
    <col min="1" max="1" width="25.625" customWidth="1"/>
    <col min="2" max="2" width="9.125" customWidth="1"/>
    <col min="3" max="6" width="9.125" hidden="1" customWidth="1" outlineLevel="1"/>
    <col min="7" max="7" width="9.125" customWidth="1" collapsed="1"/>
    <col min="8" max="11" width="9.125" hidden="1" customWidth="1" outlineLevel="1"/>
    <col min="12" max="12" width="9.125" customWidth="1" collapsed="1"/>
    <col min="13" max="16" width="9.125" hidden="1" customWidth="1" outlineLevel="1"/>
    <col min="17" max="17" width="9.125" customWidth="1" collapsed="1"/>
    <col min="18" max="21" width="9.125" hidden="1" customWidth="1" outlineLevel="1"/>
    <col min="22" max="22" width="9.125" customWidth="1" collapsed="1"/>
    <col min="23" max="23" width="9.125" hidden="1" customWidth="1" outlineLevel="1"/>
    <col min="24" max="25" width="9.125" style="1238" hidden="1" customWidth="1" outlineLevel="1"/>
    <col min="26" max="26" width="9.125" hidden="1" customWidth="1" outlineLevel="1"/>
    <col min="27" max="27" width="9.125" customWidth="1" collapsed="1"/>
    <col min="28" max="31" width="9.125" customWidth="1"/>
  </cols>
  <sheetData>
    <row r="1" spans="1:31">
      <c r="A1" s="107" t="s">
        <v>222</v>
      </c>
      <c r="B1" s="2337"/>
      <c r="C1" s="2337"/>
      <c r="D1" s="2337"/>
      <c r="E1" s="2337"/>
      <c r="F1" s="2337"/>
      <c r="G1" s="2337"/>
      <c r="H1" s="2337"/>
      <c r="I1" s="2337"/>
      <c r="J1" s="2337"/>
      <c r="K1" s="2337"/>
      <c r="L1" s="2337"/>
      <c r="M1" s="2337"/>
      <c r="N1" s="2337"/>
      <c r="O1" s="2337"/>
      <c r="P1" s="2337"/>
      <c r="Q1" s="2337"/>
      <c r="R1" s="2337"/>
      <c r="S1" s="2337"/>
      <c r="T1" s="2337"/>
      <c r="U1" s="2337"/>
      <c r="V1" s="2337"/>
      <c r="W1" s="2337"/>
      <c r="X1" s="3046"/>
      <c r="Y1" s="3046"/>
      <c r="Z1" s="2337"/>
      <c r="AA1" s="2337"/>
      <c r="AB1" s="2337"/>
      <c r="AC1" s="2337"/>
      <c r="AD1" s="2337"/>
      <c r="AE1" s="2337"/>
    </row>
    <row r="2" spans="1:31">
      <c r="A2" s="61" t="s">
        <v>449</v>
      </c>
      <c r="B2" s="2337"/>
      <c r="C2" s="2337"/>
      <c r="D2" s="2337"/>
      <c r="E2" s="2337"/>
      <c r="F2" s="2337"/>
      <c r="G2" s="2337"/>
      <c r="H2" s="2337"/>
      <c r="I2" s="2337"/>
      <c r="J2" s="2337"/>
      <c r="K2" s="2337"/>
      <c r="L2" s="2337"/>
      <c r="M2" s="2337"/>
      <c r="N2" s="2337"/>
      <c r="O2" s="2337"/>
      <c r="P2" s="2337"/>
      <c r="Q2" s="2337"/>
      <c r="R2" s="2337"/>
      <c r="S2" s="2337"/>
      <c r="T2" s="2337"/>
      <c r="U2" s="2337"/>
      <c r="V2" s="2337"/>
      <c r="W2" s="2337"/>
      <c r="X2" s="3046"/>
      <c r="Y2" s="3046"/>
      <c r="Z2" s="2337"/>
      <c r="AA2" s="2337"/>
      <c r="AB2" s="2337"/>
      <c r="AC2" s="2337"/>
      <c r="AD2" s="2337"/>
      <c r="AE2" s="2337"/>
    </row>
    <row r="3" spans="1:31">
      <c r="A3" s="2337"/>
      <c r="B3" s="2337"/>
      <c r="C3" s="2337"/>
      <c r="D3" s="2337"/>
      <c r="E3" s="2337"/>
      <c r="F3" s="2337"/>
      <c r="G3" s="2337"/>
      <c r="H3" s="2337"/>
      <c r="I3" s="2337"/>
      <c r="J3" s="2337"/>
      <c r="K3" s="2337"/>
      <c r="L3" s="2337"/>
      <c r="M3" s="2337"/>
      <c r="N3" s="2337"/>
      <c r="O3" s="2337"/>
      <c r="P3" s="2337"/>
      <c r="Q3" s="2337"/>
      <c r="R3" s="2337"/>
      <c r="S3" s="2337"/>
      <c r="T3" s="2337"/>
      <c r="U3" s="2337"/>
      <c r="V3" s="2337"/>
      <c r="W3" s="2337"/>
      <c r="X3" s="3046"/>
      <c r="Y3" s="3046"/>
      <c r="Z3" s="2337"/>
      <c r="AA3" s="2337"/>
      <c r="AB3" s="2337"/>
      <c r="AC3" s="2337"/>
      <c r="AD3" s="2337"/>
      <c r="AE3" s="2337"/>
    </row>
    <row r="4" spans="1:31">
      <c r="A4" s="2338" t="s">
        <v>450</v>
      </c>
      <c r="B4" s="2337"/>
      <c r="C4" s="2337"/>
      <c r="D4" s="2337"/>
      <c r="E4" s="2337"/>
      <c r="F4" s="2337"/>
      <c r="G4" s="2337"/>
      <c r="H4" s="2337"/>
      <c r="I4" s="2337"/>
      <c r="J4" s="2337"/>
      <c r="K4" s="2337"/>
      <c r="L4" s="2337"/>
      <c r="M4" s="2337"/>
      <c r="N4" s="2337"/>
      <c r="O4" s="2337"/>
      <c r="P4" s="2337"/>
      <c r="Q4" s="2337"/>
      <c r="R4" s="2337"/>
      <c r="S4" s="2337"/>
      <c r="T4" s="2337"/>
      <c r="U4" s="2337"/>
      <c r="V4" s="2337"/>
      <c r="W4" s="2337"/>
      <c r="X4" s="3046"/>
      <c r="Y4" s="3046"/>
      <c r="Z4" s="2337"/>
      <c r="AA4" s="2337"/>
      <c r="AB4" s="2337"/>
      <c r="AC4" s="2337"/>
      <c r="AD4" s="2337"/>
      <c r="AE4" s="2337"/>
    </row>
    <row r="5" spans="1:31">
      <c r="A5" s="2337"/>
      <c r="B5" s="2337"/>
      <c r="C5" s="2337"/>
      <c r="D5" s="2337"/>
      <c r="E5" s="2337"/>
      <c r="F5" s="2337"/>
      <c r="G5" s="2337"/>
      <c r="H5" s="2337"/>
      <c r="I5" s="2337"/>
      <c r="J5" s="2337"/>
      <c r="K5" s="2337"/>
      <c r="L5" s="2337"/>
      <c r="M5" s="2337"/>
      <c r="N5" s="2337"/>
      <c r="O5" s="2337"/>
      <c r="P5" s="2337"/>
      <c r="Q5" s="2337"/>
      <c r="R5" s="2337"/>
      <c r="S5" s="2337"/>
      <c r="T5" s="2337"/>
      <c r="U5" s="2337"/>
      <c r="V5" s="2337"/>
      <c r="W5" s="2337"/>
      <c r="X5" s="3046"/>
      <c r="Y5" s="3046"/>
      <c r="Z5" s="2337"/>
      <c r="AA5" s="2337"/>
      <c r="AB5" s="2337"/>
      <c r="AC5" s="2337"/>
      <c r="AD5" s="2337"/>
      <c r="AE5" s="2337"/>
    </row>
    <row r="6" spans="1:31">
      <c r="A6" s="2337"/>
      <c r="B6" s="2337"/>
      <c r="C6" s="2337"/>
      <c r="D6" s="2337"/>
      <c r="E6" s="2337"/>
      <c r="F6" s="2337"/>
      <c r="G6" s="2337"/>
      <c r="H6" s="2337"/>
      <c r="I6" s="2337"/>
      <c r="J6" s="2337"/>
      <c r="K6" s="2337"/>
      <c r="L6" s="2337"/>
      <c r="M6" s="2337"/>
      <c r="N6" s="2337"/>
      <c r="O6" s="2337"/>
      <c r="P6" s="2337"/>
      <c r="Q6" s="2337"/>
      <c r="R6" s="2337"/>
      <c r="S6" s="2337"/>
      <c r="T6" s="2337"/>
      <c r="U6" s="2337"/>
      <c r="V6" s="2337"/>
      <c r="W6" s="2337"/>
      <c r="X6" s="3046"/>
      <c r="Y6" s="3046"/>
      <c r="Z6" s="2337"/>
      <c r="AA6" s="2337"/>
      <c r="AB6" s="2337"/>
      <c r="AC6" s="2337"/>
      <c r="AD6" s="2337"/>
      <c r="AE6" s="2337"/>
    </row>
    <row r="7" spans="1:31">
      <c r="A7" s="2339" t="s">
        <v>1658</v>
      </c>
      <c r="B7" s="2354" t="s">
        <v>451</v>
      </c>
      <c r="C7" s="2340" t="s">
        <v>1647</v>
      </c>
      <c r="D7" s="2340" t="s">
        <v>727</v>
      </c>
      <c r="E7" s="2340" t="s">
        <v>23</v>
      </c>
      <c r="F7" s="2340" t="s">
        <v>1660</v>
      </c>
      <c r="G7" s="2354">
        <v>2012</v>
      </c>
      <c r="H7" s="2340" t="s">
        <v>1481</v>
      </c>
      <c r="I7" s="2340" t="s">
        <v>406</v>
      </c>
      <c r="J7" s="2340" t="s">
        <v>1649</v>
      </c>
      <c r="K7" s="2340" t="s">
        <v>631</v>
      </c>
      <c r="L7" s="2354">
        <v>2013</v>
      </c>
      <c r="M7" s="2340" t="s">
        <v>1753</v>
      </c>
      <c r="N7" s="2340" t="s">
        <v>942</v>
      </c>
      <c r="O7" s="2340" t="s">
        <v>288</v>
      </c>
      <c r="P7" s="2340" t="s">
        <v>1820</v>
      </c>
      <c r="Q7" s="2354">
        <v>2014</v>
      </c>
      <c r="R7" s="2340" t="s">
        <v>1822</v>
      </c>
      <c r="S7" s="2340" t="s">
        <v>1837</v>
      </c>
      <c r="T7" s="2340" t="s">
        <v>1848</v>
      </c>
      <c r="U7" s="2340" t="s">
        <v>1865</v>
      </c>
      <c r="V7" s="2354">
        <v>2015</v>
      </c>
      <c r="W7" s="2340" t="s">
        <v>1830</v>
      </c>
      <c r="X7" s="2340" t="s">
        <v>1831</v>
      </c>
      <c r="Y7" s="2340" t="s">
        <v>1832</v>
      </c>
      <c r="Z7" s="2340" t="s">
        <v>1833</v>
      </c>
      <c r="AA7" s="2354" t="s">
        <v>368</v>
      </c>
      <c r="AB7" s="2354" t="s">
        <v>369</v>
      </c>
      <c r="AC7" s="2354" t="s">
        <v>1598</v>
      </c>
      <c r="AD7" s="2354" t="s">
        <v>1599</v>
      </c>
      <c r="AE7" s="2354" t="s">
        <v>1600</v>
      </c>
    </row>
    <row r="8" spans="1:31">
      <c r="A8" s="2337" t="s">
        <v>223</v>
      </c>
      <c r="B8" s="2355">
        <f>+BYD!AQ51</f>
        <v>506.30200000000002</v>
      </c>
      <c r="C8" s="2343">
        <f>+BYD!AR51</f>
        <v>143.929</v>
      </c>
      <c r="D8" s="2343">
        <f>+BYD!AS51</f>
        <v>124.38199999999999</v>
      </c>
      <c r="E8" s="2343">
        <f>+BYD!AT51</f>
        <v>112.685</v>
      </c>
      <c r="F8" s="2343">
        <f>+BYD!AU51</f>
        <v>111.05500000000001</v>
      </c>
      <c r="G8" s="2355">
        <f>+BYD!AV51</f>
        <v>492.05100000000004</v>
      </c>
      <c r="H8" s="2343">
        <f>+BYD!AW51</f>
        <v>160.91250000000002</v>
      </c>
      <c r="I8" s="2343">
        <f>+BYD!AX51</f>
        <v>158.89150000000001</v>
      </c>
      <c r="J8" s="2343">
        <f>+BYD!AY51</f>
        <v>142.39000000000001</v>
      </c>
      <c r="K8" s="2343">
        <f>+BYD!AZ51</f>
        <v>135.20650000000001</v>
      </c>
      <c r="L8" s="2355">
        <f>+BYD!BA51</f>
        <v>597.40049999999997</v>
      </c>
      <c r="M8" s="2343">
        <f>+BYD!BB51</f>
        <v>148.41600000000003</v>
      </c>
      <c r="N8" s="2343">
        <f>+BYD!BC51</f>
        <v>153.91200000000001</v>
      </c>
      <c r="O8" s="2343">
        <f>+BYD!BD51</f>
        <v>149.2715</v>
      </c>
      <c r="P8" s="2343">
        <f>+BYD!BE51</f>
        <v>153.142</v>
      </c>
      <c r="Q8" s="2355">
        <f>+BYD!BF51</f>
        <v>604.74149999999997</v>
      </c>
      <c r="R8" s="3026">
        <f>+BYD!BG51</f>
        <v>165.81350000000003</v>
      </c>
      <c r="S8" s="3027">
        <f>+BYD!BH51</f>
        <v>177.68650000000002</v>
      </c>
      <c r="T8" s="3027">
        <f>+BYD!BI51</f>
        <v>176.739</v>
      </c>
      <c r="U8" s="3028">
        <f>+BYD!BJ51</f>
        <v>169.42400000000001</v>
      </c>
      <c r="V8" s="2355">
        <f>+BYD!BK51</f>
        <v>689.66300000000001</v>
      </c>
      <c r="W8" s="3026">
        <f>+BYD!BL51</f>
        <v>175.5445</v>
      </c>
      <c r="X8" s="3027">
        <f>+BYD!BM51</f>
        <v>152.18299999999999</v>
      </c>
      <c r="Y8" s="3027">
        <f>+BYD!BN51</f>
        <v>136.82400000000001</v>
      </c>
      <c r="Z8" s="3028">
        <f>+BYD!BO51</f>
        <v>154.321</v>
      </c>
      <c r="AA8" s="2355">
        <f>+BYD!BP51</f>
        <v>618.87250000000006</v>
      </c>
      <c r="AB8" s="2355">
        <f>+BYD!BU51</f>
        <v>668.67100000000005</v>
      </c>
      <c r="AC8" s="2355">
        <f>+BYD!BZ51</f>
        <v>808.99432546230787</v>
      </c>
      <c r="AD8" s="2355">
        <f>+BYD!CA51</f>
        <v>943.95789252238421</v>
      </c>
      <c r="AE8" s="2355">
        <f>+BYD!CB51</f>
        <v>956.88394406042028</v>
      </c>
    </row>
    <row r="9" spans="1:31">
      <c r="A9" s="2341" t="s">
        <v>452</v>
      </c>
      <c r="B9" s="2356"/>
      <c r="C9" s="2344"/>
      <c r="D9" s="2344"/>
      <c r="E9" s="2344"/>
      <c r="F9" s="2344"/>
      <c r="G9" s="2362">
        <f t="shared" ref="G9:Q9" si="0">G8/B8-1</f>
        <v>-2.8147232284288726E-2</v>
      </c>
      <c r="H9" s="2345">
        <f t="shared" si="0"/>
        <v>0.11799915235984426</v>
      </c>
      <c r="I9" s="2345">
        <f t="shared" si="0"/>
        <v>0.27744770143589914</v>
      </c>
      <c r="J9" s="2345">
        <f t="shared" si="0"/>
        <v>0.26361095088077402</v>
      </c>
      <c r="K9" s="2345">
        <f t="shared" si="0"/>
        <v>0.2174733240286344</v>
      </c>
      <c r="L9" s="2362">
        <f t="shared" si="0"/>
        <v>0.21410280641640789</v>
      </c>
      <c r="M9" s="2345">
        <f t="shared" si="0"/>
        <v>-7.7660219063155456E-2</v>
      </c>
      <c r="N9" s="2345">
        <f t="shared" si="0"/>
        <v>-3.1338995478046305E-2</v>
      </c>
      <c r="O9" s="2345">
        <f t="shared" si="0"/>
        <v>4.8328534307184423E-2</v>
      </c>
      <c r="P9" s="2345">
        <f t="shared" si="0"/>
        <v>0.13265264613757477</v>
      </c>
      <c r="Q9" s="2362">
        <f t="shared" si="0"/>
        <v>1.2288238794577522E-2</v>
      </c>
      <c r="R9" s="3029">
        <f t="shared" ref="R9:AA9" si="1">R8/M8-1</f>
        <v>0.11722118909012513</v>
      </c>
      <c r="S9" s="3030">
        <f t="shared" si="1"/>
        <v>0.15446813763709133</v>
      </c>
      <c r="T9" s="3030">
        <f t="shared" si="1"/>
        <v>0.18401034356859824</v>
      </c>
      <c r="U9" s="3031">
        <f t="shared" si="1"/>
        <v>0.10631962492327385</v>
      </c>
      <c r="V9" s="2362">
        <f t="shared" si="1"/>
        <v>0.14042611595202259</v>
      </c>
      <c r="W9" s="3029">
        <f t="shared" si="1"/>
        <v>5.8686415762286837E-2</v>
      </c>
      <c r="X9" s="3030">
        <f t="shared" si="1"/>
        <v>-0.14353088163704064</v>
      </c>
      <c r="Y9" s="3030">
        <f t="shared" si="1"/>
        <v>-0.22584149508597418</v>
      </c>
      <c r="Z9" s="3031">
        <f t="shared" si="1"/>
        <v>-8.9143214656719261E-2</v>
      </c>
      <c r="AA9" s="2362">
        <f t="shared" si="1"/>
        <v>-0.10264505997856921</v>
      </c>
      <c r="AB9" s="2362">
        <f>AB8/AA8-1</f>
        <v>8.046649350229651E-2</v>
      </c>
      <c r="AC9" s="2362">
        <f>AC8/AB8-1</f>
        <v>0.20985406195619039</v>
      </c>
      <c r="AD9" s="2362">
        <f>AD8/AC8-1</f>
        <v>0.16682881796846982</v>
      </c>
      <c r="AE9" s="2362">
        <f>AE8/AD8-1</f>
        <v>1.3693462007607016E-2</v>
      </c>
    </row>
    <row r="10" spans="1:31">
      <c r="A10" s="118" t="s">
        <v>453</v>
      </c>
      <c r="B10" s="2357"/>
      <c r="C10" s="2297"/>
      <c r="D10" s="2297"/>
      <c r="E10" s="2297"/>
      <c r="F10" s="2297"/>
      <c r="G10" s="2363"/>
      <c r="H10" s="2296"/>
      <c r="I10" s="2296"/>
      <c r="J10" s="2296"/>
      <c r="K10" s="2296"/>
      <c r="L10" s="2363"/>
      <c r="M10" s="2296"/>
      <c r="N10" s="2296"/>
      <c r="O10" s="2296"/>
      <c r="P10" s="2296"/>
      <c r="Q10" s="2363"/>
      <c r="R10" s="3032"/>
      <c r="S10" s="215"/>
      <c r="T10" s="215"/>
      <c r="U10" s="3033"/>
      <c r="V10" s="2363"/>
      <c r="W10" s="3032"/>
      <c r="X10" s="215"/>
      <c r="Y10" s="215"/>
      <c r="Z10" s="3033"/>
      <c r="AA10" s="2363">
        <f>(AA8/L8)^(1/3)-1</f>
        <v>1.1840055498379964E-2</v>
      </c>
      <c r="AB10" s="2363">
        <f>(AB8/M8)^(1/3)-1</f>
        <v>0.65162173171334481</v>
      </c>
      <c r="AC10" s="2363">
        <f>(AC8/N8)^(1/3)-1</f>
        <v>0.73869870733656806</v>
      </c>
      <c r="AD10" s="2363">
        <f>(AD8/O8)^(1/3)-1</f>
        <v>0.84923416420958375</v>
      </c>
      <c r="AE10" s="2363">
        <f>(AE8/P8)^(1/3)-1</f>
        <v>0.84185307841079138</v>
      </c>
    </row>
    <row r="11" spans="1:31">
      <c r="A11" s="2337"/>
      <c r="B11" s="2355"/>
      <c r="C11" s="2343"/>
      <c r="D11" s="2343"/>
      <c r="E11" s="2343"/>
      <c r="F11" s="2343"/>
      <c r="G11" s="2355"/>
      <c r="H11" s="2343"/>
      <c r="I11" s="2343"/>
      <c r="J11" s="2343"/>
      <c r="K11" s="2343"/>
      <c r="L11" s="2355"/>
      <c r="M11" s="2343"/>
      <c r="N11" s="2343"/>
      <c r="O11" s="2343"/>
      <c r="P11" s="2343"/>
      <c r="Q11" s="2355"/>
      <c r="R11" s="3034"/>
      <c r="S11" s="3035"/>
      <c r="T11" s="3035"/>
      <c r="U11" s="3036"/>
      <c r="V11" s="2355"/>
      <c r="W11" s="3034"/>
      <c r="X11" s="3035"/>
      <c r="Y11" s="3035"/>
      <c r="Z11" s="3036"/>
      <c r="AA11" s="2355"/>
      <c r="AB11" s="2355"/>
      <c r="AC11" s="2355"/>
      <c r="AD11" s="2355"/>
      <c r="AE11" s="2355"/>
    </row>
    <row r="12" spans="1:31">
      <c r="A12" s="2337" t="s">
        <v>732</v>
      </c>
      <c r="B12" s="2355">
        <f>+BYD!AQ55</f>
        <v>466.113</v>
      </c>
      <c r="C12" s="2343">
        <f>+BYD!AR55</f>
        <v>133.80199999999999</v>
      </c>
      <c r="D12" s="2343">
        <f>+BYD!AS55</f>
        <v>113.83499999999999</v>
      </c>
      <c r="E12" s="2343">
        <f>+BYD!AT55</f>
        <v>103.60300000000001</v>
      </c>
      <c r="F12" s="2343">
        <f>+BYD!AU55</f>
        <v>100.857</v>
      </c>
      <c r="G12" s="2355">
        <f>+BYD!AV55</f>
        <v>452.09700000000004</v>
      </c>
      <c r="H12" s="2343">
        <f>+BYD!AW55</f>
        <v>149.27450000000002</v>
      </c>
      <c r="I12" s="2343">
        <f>+BYD!AX55</f>
        <v>146.26350000000002</v>
      </c>
      <c r="J12" s="2343">
        <f>+BYD!AY55</f>
        <v>131.98100000000002</v>
      </c>
      <c r="K12" s="2343">
        <f>+BYD!AZ55</f>
        <v>123.28750000000001</v>
      </c>
      <c r="L12" s="2355">
        <f>+BYD!BA55</f>
        <v>550.80649999999991</v>
      </c>
      <c r="M12" s="2343">
        <f>+BYD!BB55</f>
        <v>134.24500000000003</v>
      </c>
      <c r="N12" s="2343">
        <f>+BYD!BC55</f>
        <v>139.28700000000001</v>
      </c>
      <c r="O12" s="2343">
        <f>+BYD!BD55</f>
        <v>135.42349999999999</v>
      </c>
      <c r="P12" s="2343">
        <f>+BYD!BE55</f>
        <v>136.36500000000001</v>
      </c>
      <c r="Q12" s="2355">
        <f>+BYD!BF55</f>
        <v>545.32049999999992</v>
      </c>
      <c r="R12" s="3034">
        <f>+BYD!BG55</f>
        <v>149.17150000000004</v>
      </c>
      <c r="S12" s="3035">
        <f>+BYD!BH55</f>
        <v>162.90950000000004</v>
      </c>
      <c r="T12" s="3035">
        <f>+BYD!BI55</f>
        <v>163.15800000000002</v>
      </c>
      <c r="U12" s="3036">
        <f>+BYD!BJ55</f>
        <v>154.24700000000001</v>
      </c>
      <c r="V12" s="2355">
        <f>+BYD!BK55</f>
        <v>629.48599999999999</v>
      </c>
      <c r="W12" s="3034">
        <f>+BYD!BL55</f>
        <v>160.3595</v>
      </c>
      <c r="X12" s="3035">
        <f>+BYD!BM55</f>
        <v>137.89699999999999</v>
      </c>
      <c r="Y12" s="3035">
        <f>+BYD!BN55</f>
        <v>121.94000000000001</v>
      </c>
      <c r="Z12" s="3036">
        <f>+BYD!BO55</f>
        <v>138.80099999999999</v>
      </c>
      <c r="AA12" s="2355">
        <f>+BYD!BP55</f>
        <v>558.99750000000006</v>
      </c>
      <c r="AB12" s="2355">
        <f>+BYD!BU55</f>
        <v>595.625</v>
      </c>
      <c r="AC12" s="2355">
        <f>+BYD!BZ55</f>
        <v>732.99432546230787</v>
      </c>
      <c r="AD12" s="2355">
        <f>+BYD!CA55</f>
        <v>873.95789252238421</v>
      </c>
      <c r="AE12" s="2355">
        <f>+BYD!CB55</f>
        <v>885.4839440604203</v>
      </c>
    </row>
    <row r="13" spans="1:31">
      <c r="A13" s="2341" t="s">
        <v>452</v>
      </c>
      <c r="B13" s="2356"/>
      <c r="C13" s="2344"/>
      <c r="D13" s="2344"/>
      <c r="E13" s="2344"/>
      <c r="F13" s="2344"/>
      <c r="G13" s="2362">
        <f t="shared" ref="G13:Q13" si="2">G12/B12-1</f>
        <v>-3.0069961575840964E-2</v>
      </c>
      <c r="H13" s="2345">
        <f t="shared" si="2"/>
        <v>0.11563728494342396</v>
      </c>
      <c r="I13" s="2345">
        <f t="shared" si="2"/>
        <v>0.28487284227170928</v>
      </c>
      <c r="J13" s="2345">
        <f t="shared" si="2"/>
        <v>0.27391098713357742</v>
      </c>
      <c r="K13" s="2345">
        <f t="shared" si="2"/>
        <v>0.22239904022526957</v>
      </c>
      <c r="L13" s="2362">
        <f t="shared" si="2"/>
        <v>0.21833699405216112</v>
      </c>
      <c r="M13" s="2345">
        <f t="shared" si="2"/>
        <v>-0.10068363987151174</v>
      </c>
      <c r="N13" s="2345">
        <f t="shared" si="2"/>
        <v>-4.7698161195376954E-2</v>
      </c>
      <c r="O13" s="2345">
        <f t="shared" si="2"/>
        <v>2.6083299868920218E-2</v>
      </c>
      <c r="P13" s="2345">
        <f t="shared" si="2"/>
        <v>0.10607320287944844</v>
      </c>
      <c r="Q13" s="2362">
        <f t="shared" si="2"/>
        <v>-9.9599405598880253E-3</v>
      </c>
      <c r="R13" s="3029">
        <f t="shared" ref="R13:AA13" si="3">R12/M12-1</f>
        <v>0.11118849864054536</v>
      </c>
      <c r="S13" s="3030">
        <f t="shared" si="3"/>
        <v>0.1695958703970939</v>
      </c>
      <c r="T13" s="3030">
        <f t="shared" si="3"/>
        <v>0.20479828094828467</v>
      </c>
      <c r="U13" s="3031">
        <f t="shared" si="3"/>
        <v>0.13113335533311332</v>
      </c>
      <c r="V13" s="2362">
        <f t="shared" si="3"/>
        <v>0.15434134605245919</v>
      </c>
      <c r="W13" s="3029">
        <f t="shared" si="3"/>
        <v>7.5000921757842232E-2</v>
      </c>
      <c r="X13" s="3030">
        <f t="shared" si="3"/>
        <v>-0.15353616578529816</v>
      </c>
      <c r="Y13" s="3030">
        <f t="shared" si="3"/>
        <v>-0.25262628862820091</v>
      </c>
      <c r="Z13" s="3031">
        <f t="shared" si="3"/>
        <v>-0.10013809020596853</v>
      </c>
      <c r="AA13" s="2362">
        <f t="shared" si="3"/>
        <v>-0.11197786765710427</v>
      </c>
      <c r="AB13" s="2362">
        <f>AB12/AA12-1</f>
        <v>6.5523548853080538E-2</v>
      </c>
      <c r="AC13" s="2362">
        <f>AC12/AB12-1</f>
        <v>0.23063055691468271</v>
      </c>
      <c r="AD13" s="2362">
        <f>AD12/AC12-1</f>
        <v>0.19231194862411649</v>
      </c>
      <c r="AE13" s="2362">
        <f>AE12/AD12-1</f>
        <v>1.3188337374893555E-2</v>
      </c>
    </row>
    <row r="14" spans="1:31">
      <c r="A14" s="118" t="s">
        <v>453</v>
      </c>
      <c r="B14" s="2357"/>
      <c r="C14" s="2297"/>
      <c r="D14" s="2297"/>
      <c r="E14" s="2297"/>
      <c r="F14" s="2297"/>
      <c r="G14" s="2363"/>
      <c r="H14" s="2296"/>
      <c r="I14" s="2296"/>
      <c r="J14" s="2296"/>
      <c r="K14" s="2296"/>
      <c r="L14" s="2363"/>
      <c r="M14" s="2296"/>
      <c r="N14" s="2296"/>
      <c r="O14" s="2296"/>
      <c r="P14" s="2296"/>
      <c r="Q14" s="2363"/>
      <c r="R14" s="3032"/>
      <c r="S14" s="215"/>
      <c r="T14" s="215"/>
      <c r="U14" s="3033"/>
      <c r="V14" s="2363"/>
      <c r="W14" s="3032"/>
      <c r="X14" s="215"/>
      <c r="Y14" s="215"/>
      <c r="Z14" s="3033"/>
      <c r="AA14" s="2363">
        <f>(AA12/L12)^(1/3)-1</f>
        <v>4.9326031203675846E-3</v>
      </c>
      <c r="AB14" s="2363">
        <f>(AB12/M12)^(1/3)-1</f>
        <v>0.64320443943092176</v>
      </c>
      <c r="AC14" s="2363">
        <f>(AC12/N12)^(1/3)-1</f>
        <v>0.73938882679248863</v>
      </c>
      <c r="AD14" s="2363">
        <f>(AD12/O12)^(1/3)-1</f>
        <v>0.861796280289304</v>
      </c>
      <c r="AE14" s="2363">
        <f>(AE12/P12)^(1/3)-1</f>
        <v>0.8656317523058279</v>
      </c>
    </row>
    <row r="15" spans="1:31">
      <c r="A15" s="2337"/>
      <c r="B15" s="2355"/>
      <c r="C15" s="2343"/>
      <c r="D15" s="2343"/>
      <c r="E15" s="2343"/>
      <c r="F15" s="2343"/>
      <c r="G15" s="2355"/>
      <c r="H15" s="2343"/>
      <c r="I15" s="2343"/>
      <c r="J15" s="2343"/>
      <c r="K15" s="2343"/>
      <c r="L15" s="2355"/>
      <c r="M15" s="2343"/>
      <c r="N15" s="2343"/>
      <c r="O15" s="2343"/>
      <c r="P15" s="2343"/>
      <c r="Q15" s="2355"/>
      <c r="R15" s="3034"/>
      <c r="S15" s="3035"/>
      <c r="T15" s="3035"/>
      <c r="U15" s="3036"/>
      <c r="V15" s="2355"/>
      <c r="W15" s="3034"/>
      <c r="X15" s="3035"/>
      <c r="Y15" s="3035"/>
      <c r="Z15" s="3036"/>
      <c r="AA15" s="2355"/>
      <c r="AB15" s="2355"/>
      <c r="AC15" s="2355"/>
      <c r="AD15" s="2355"/>
      <c r="AE15" s="2355"/>
    </row>
    <row r="16" spans="1:31">
      <c r="A16" s="2337" t="s">
        <v>820</v>
      </c>
      <c r="B16" s="2355">
        <f>+B12-(BYD!AQ45*0.5)</f>
        <v>387.04349999999999</v>
      </c>
      <c r="C16" s="2343">
        <f>+C12-(BYD!AR45*0.5)</f>
        <v>114.36149999999999</v>
      </c>
      <c r="D16" s="2343">
        <f>+D12-(BYD!AS45*0.5)</f>
        <v>98.467500000000001</v>
      </c>
      <c r="E16" s="2343">
        <f>+E12-(BYD!AT45*0.5)</f>
        <v>86.928000000000011</v>
      </c>
      <c r="F16" s="2343">
        <f>+F12-(BYD!AU45*0.5)</f>
        <v>93.852000000000004</v>
      </c>
      <c r="G16" s="2355">
        <f>+G12-(BYD!AV45*0.5)</f>
        <v>393.60900000000004</v>
      </c>
      <c r="H16" s="3098">
        <f>+H12</f>
        <v>149.27450000000002</v>
      </c>
      <c r="I16" s="2343">
        <f t="shared" ref="I16:AA16" si="4">+I12</f>
        <v>146.26350000000002</v>
      </c>
      <c r="J16" s="2343">
        <f t="shared" si="4"/>
        <v>131.98100000000002</v>
      </c>
      <c r="K16" s="2343">
        <f t="shared" si="4"/>
        <v>123.28750000000001</v>
      </c>
      <c r="L16" s="2355">
        <f t="shared" si="4"/>
        <v>550.80649999999991</v>
      </c>
      <c r="M16" s="2343">
        <f t="shared" si="4"/>
        <v>134.24500000000003</v>
      </c>
      <c r="N16" s="2343">
        <f t="shared" si="4"/>
        <v>139.28700000000001</v>
      </c>
      <c r="O16" s="2343">
        <f t="shared" si="4"/>
        <v>135.42349999999999</v>
      </c>
      <c r="P16" s="2343">
        <f t="shared" si="4"/>
        <v>136.36500000000001</v>
      </c>
      <c r="Q16" s="2355">
        <f t="shared" si="4"/>
        <v>545.32049999999992</v>
      </c>
      <c r="R16" s="3034">
        <f t="shared" si="4"/>
        <v>149.17150000000004</v>
      </c>
      <c r="S16" s="3035">
        <f t="shared" si="4"/>
        <v>162.90950000000004</v>
      </c>
      <c r="T16" s="3035">
        <f t="shared" si="4"/>
        <v>163.15800000000002</v>
      </c>
      <c r="U16" s="3036">
        <f t="shared" si="4"/>
        <v>154.24700000000001</v>
      </c>
      <c r="V16" s="2355">
        <f t="shared" si="4"/>
        <v>629.48599999999999</v>
      </c>
      <c r="W16" s="3034">
        <f>+W12</f>
        <v>160.3595</v>
      </c>
      <c r="X16" s="3035">
        <f>+X12</f>
        <v>137.89699999999999</v>
      </c>
      <c r="Y16" s="3035">
        <f>+Y12</f>
        <v>121.94000000000001</v>
      </c>
      <c r="Z16" s="3036">
        <f>+Z12</f>
        <v>138.80099999999999</v>
      </c>
      <c r="AA16" s="2355">
        <f t="shared" si="4"/>
        <v>558.99750000000006</v>
      </c>
      <c r="AB16" s="2355">
        <f>+AB12</f>
        <v>595.625</v>
      </c>
      <c r="AC16" s="2355">
        <f>+AC12</f>
        <v>732.99432546230787</v>
      </c>
      <c r="AD16" s="2355">
        <f>+AD12</f>
        <v>873.95789252238421</v>
      </c>
      <c r="AE16" s="2355">
        <f>+AE12</f>
        <v>885.4839440604203</v>
      </c>
    </row>
    <row r="17" spans="1:31">
      <c r="A17" s="2341" t="s">
        <v>452</v>
      </c>
      <c r="B17" s="2356"/>
      <c r="C17" s="2344"/>
      <c r="D17" s="2344"/>
      <c r="E17" s="2344"/>
      <c r="F17" s="2344"/>
      <c r="G17" s="2362">
        <f t="shared" ref="G17:Q17" si="5">G16/B16-1</f>
        <v>1.6963209561716042E-2</v>
      </c>
      <c r="H17" s="2345">
        <f t="shared" si="5"/>
        <v>0.30528630701765924</v>
      </c>
      <c r="I17" s="2345">
        <f t="shared" si="5"/>
        <v>0.48539873562342928</v>
      </c>
      <c r="J17" s="2345">
        <f t="shared" si="5"/>
        <v>0.51827949567458131</v>
      </c>
      <c r="K17" s="2345">
        <f t="shared" si="5"/>
        <v>0.31363742914375825</v>
      </c>
      <c r="L17" s="2362">
        <f t="shared" si="5"/>
        <v>0.39937476023160001</v>
      </c>
      <c r="M17" s="2345">
        <f t="shared" si="5"/>
        <v>-0.10068363987151174</v>
      </c>
      <c r="N17" s="2345">
        <f t="shared" si="5"/>
        <v>-4.7698161195376954E-2</v>
      </c>
      <c r="O17" s="2345">
        <f t="shared" si="5"/>
        <v>2.6083299868920218E-2</v>
      </c>
      <c r="P17" s="2345">
        <f t="shared" si="5"/>
        <v>0.10607320287944844</v>
      </c>
      <c r="Q17" s="2362">
        <f t="shared" si="5"/>
        <v>-9.9599405598880253E-3</v>
      </c>
      <c r="R17" s="3029">
        <f t="shared" ref="R17:AA17" si="6">R16/M16-1</f>
        <v>0.11118849864054536</v>
      </c>
      <c r="S17" s="3030">
        <f t="shared" si="6"/>
        <v>0.1695958703970939</v>
      </c>
      <c r="T17" s="3030">
        <f t="shared" si="6"/>
        <v>0.20479828094828467</v>
      </c>
      <c r="U17" s="3031">
        <f t="shared" si="6"/>
        <v>0.13113335533311332</v>
      </c>
      <c r="V17" s="2362">
        <f t="shared" si="6"/>
        <v>0.15434134605245919</v>
      </c>
      <c r="W17" s="3029">
        <f t="shared" si="6"/>
        <v>7.5000921757842232E-2</v>
      </c>
      <c r="X17" s="3030">
        <f t="shared" si="6"/>
        <v>-0.15353616578529816</v>
      </c>
      <c r="Y17" s="3030">
        <f t="shared" si="6"/>
        <v>-0.25262628862820091</v>
      </c>
      <c r="Z17" s="3031">
        <f t="shared" si="6"/>
        <v>-0.10013809020596853</v>
      </c>
      <c r="AA17" s="2362">
        <f t="shared" si="6"/>
        <v>-0.11197786765710427</v>
      </c>
      <c r="AB17" s="2362">
        <f>AB16/AA16-1</f>
        <v>6.5523548853080538E-2</v>
      </c>
      <c r="AC17" s="2362">
        <f>AC16/AB16-1</f>
        <v>0.23063055691468271</v>
      </c>
      <c r="AD17" s="2362">
        <f>AD16/AC16-1</f>
        <v>0.19231194862411649</v>
      </c>
      <c r="AE17" s="2362">
        <f>AE16/AD16-1</f>
        <v>1.3188337374893555E-2</v>
      </c>
    </row>
    <row r="18" spans="1:31">
      <c r="A18" s="118" t="s">
        <v>453</v>
      </c>
      <c r="B18" s="2357"/>
      <c r="C18" s="2297"/>
      <c r="D18" s="2297"/>
      <c r="E18" s="2297"/>
      <c r="F18" s="2297"/>
      <c r="G18" s="2363"/>
      <c r="H18" s="2296"/>
      <c r="I18" s="2296"/>
      <c r="J18" s="2296"/>
      <c r="K18" s="2296"/>
      <c r="L18" s="2363"/>
      <c r="M18" s="2296"/>
      <c r="N18" s="2296"/>
      <c r="O18" s="2296"/>
      <c r="P18" s="2296"/>
      <c r="Q18" s="2363"/>
      <c r="R18" s="3032"/>
      <c r="S18" s="215"/>
      <c r="T18" s="215"/>
      <c r="U18" s="3033"/>
      <c r="V18" s="2363"/>
      <c r="W18" s="3032"/>
      <c r="X18" s="215"/>
      <c r="Y18" s="215"/>
      <c r="Z18" s="3033"/>
      <c r="AA18" s="2363">
        <f>(AA16/L16)^(1/3)-1</f>
        <v>4.9326031203675846E-3</v>
      </c>
      <c r="AB18" s="2363">
        <f>(AB16/M16)^(1/3)-1</f>
        <v>0.64320443943092176</v>
      </c>
      <c r="AC18" s="2363">
        <f>(AC16/N16)^(1/3)-1</f>
        <v>0.73938882679248863</v>
      </c>
      <c r="AD18" s="2363">
        <f>(AD16/O16)^(1/3)-1</f>
        <v>0.861796280289304</v>
      </c>
      <c r="AE18" s="2363">
        <f>(AE16/P16)^(1/3)-1</f>
        <v>0.8656317523058279</v>
      </c>
    </row>
    <row r="19" spans="1:31" ht="15.75" customHeight="1">
      <c r="A19" s="2337"/>
      <c r="B19" s="2355"/>
      <c r="C19" s="2343"/>
      <c r="D19" s="2343"/>
      <c r="E19" s="2343"/>
      <c r="F19" s="2343"/>
      <c r="G19" s="2355"/>
      <c r="H19" s="2343"/>
      <c r="I19" s="2343"/>
      <c r="J19" s="2343"/>
      <c r="K19" s="2343"/>
      <c r="L19" s="2355"/>
      <c r="M19" s="2343"/>
      <c r="N19" s="2343"/>
      <c r="O19" s="2343"/>
      <c r="P19" s="2343"/>
      <c r="Q19" s="2355"/>
      <c r="R19" s="3034"/>
      <c r="S19" s="3035"/>
      <c r="T19" s="3035"/>
      <c r="U19" s="3036"/>
      <c r="V19" s="2355"/>
      <c r="W19" s="3034"/>
      <c r="X19" s="3035"/>
      <c r="Y19" s="3035"/>
      <c r="Z19" s="3036"/>
      <c r="AA19" s="2355"/>
      <c r="AB19" s="2355"/>
      <c r="AC19" s="2355"/>
      <c r="AD19" s="2355"/>
      <c r="AE19" s="2355"/>
    </row>
    <row r="20" spans="1:31" ht="15.75" customHeight="1">
      <c r="A20" s="2337" t="s">
        <v>200</v>
      </c>
      <c r="B20" s="2358">
        <f>+BYD!AQ95</f>
        <v>-3.2745966864743742E-3</v>
      </c>
      <c r="C20" s="2342">
        <f>+BYD!AR95</f>
        <v>9.5650493822950905E-2</v>
      </c>
      <c r="D20" s="2342">
        <f>+BYD!AS95</f>
        <v>4.7575010275380213E-2</v>
      </c>
      <c r="E20" s="2342">
        <f>+BYD!AT95</f>
        <v>-0.10778955535524788</v>
      </c>
      <c r="F20" s="2342">
        <f>+BYD!AU95</f>
        <v>-0.31485781936570678</v>
      </c>
      <c r="G20" s="2358">
        <f>+BYD!AV95</f>
        <v>-0.27977684479532566</v>
      </c>
      <c r="H20" s="2342">
        <f>+BYD!AW95</f>
        <v>1.6215018073521933E-2</v>
      </c>
      <c r="I20" s="2342">
        <f>+BYD!AX95</f>
        <v>-2.553592200742044E-3</v>
      </c>
      <c r="J20" s="2342">
        <f>+BYD!AY95</f>
        <v>-8.1916203042685931E-2</v>
      </c>
      <c r="K20" s="2342">
        <f>+BYD!AZ95</f>
        <v>-0.24127394469768249</v>
      </c>
      <c r="L20" s="2358">
        <f>+BYD!BA95</f>
        <v>-0.3448628693067875</v>
      </c>
      <c r="M20" s="2342">
        <f>+BYD!BB95</f>
        <v>-3.6946598270662004E-2</v>
      </c>
      <c r="N20" s="2342">
        <f>+BYD!BC95</f>
        <v>4.6808587440101843E-2</v>
      </c>
      <c r="O20" s="2342">
        <f>+BYD!BD95</f>
        <v>3.588875849458086E-3</v>
      </c>
      <c r="P20" s="2342">
        <f>+BYD!BE95</f>
        <v>-1.2324198927069349E-3</v>
      </c>
      <c r="Q20" s="2358">
        <f>+BYD!BF95</f>
        <v>1.261679381001329E-2</v>
      </c>
      <c r="R20" s="3037">
        <f>+BYD!BG95</f>
        <v>0.12681340002492056</v>
      </c>
      <c r="S20" s="3038">
        <f>+BYD!BH95</f>
        <v>0.23949051963789345</v>
      </c>
      <c r="T20" s="3038">
        <f>+BYD!BI95</f>
        <v>0.26818081587651615</v>
      </c>
      <c r="U20" s="3039">
        <f>+BYD!BJ95</f>
        <v>0.15857738027652357</v>
      </c>
      <c r="V20" s="2358">
        <f>+BYD!BK95</f>
        <v>0.79289569418598072</v>
      </c>
      <c r="W20" s="3037">
        <f>+BYD!BL95</f>
        <v>0.29563934254970925</v>
      </c>
      <c r="X20" s="3038">
        <f>+BYD!BM95</f>
        <v>0.15732944028780721</v>
      </c>
      <c r="Y20" s="3038">
        <f>+BYD!BN95</f>
        <v>0.14479783337094876</v>
      </c>
      <c r="Z20" s="3039">
        <f>+BYD!BO95</f>
        <v>0.38308363032421011</v>
      </c>
      <c r="AA20" s="2358">
        <f>+BYD!BP95</f>
        <v>0.98128056151804388</v>
      </c>
      <c r="AB20" s="2358">
        <f>+BYD!BU95</f>
        <v>1.0274338368671503</v>
      </c>
      <c r="AC20" s="2358">
        <f>+BYD!BZ95</f>
        <v>1.6752597166470371</v>
      </c>
      <c r="AD20" s="2358">
        <f>+BYD!CA95</f>
        <v>1.9802101919296973</v>
      </c>
      <c r="AE20" s="2358">
        <f>+BYD!CB95</f>
        <v>2.0099045605795016</v>
      </c>
    </row>
    <row r="21" spans="1:31" ht="15.75" customHeight="1">
      <c r="A21" s="2341" t="s">
        <v>452</v>
      </c>
      <c r="B21" s="2356"/>
      <c r="C21" s="2344"/>
      <c r="D21" s="2344"/>
      <c r="E21" s="2344"/>
      <c r="F21" s="2344"/>
      <c r="G21" s="2362"/>
      <c r="H21" s="2345"/>
      <c r="I21" s="2345"/>
      <c r="J21" s="2345"/>
      <c r="K21" s="2345"/>
      <c r="L21" s="2362"/>
      <c r="M21" s="2345"/>
      <c r="N21" s="2345"/>
      <c r="O21" s="2345"/>
      <c r="P21" s="2345"/>
      <c r="Q21" s="2362"/>
      <c r="R21" s="3029"/>
      <c r="S21" s="3030"/>
      <c r="T21" s="3030"/>
      <c r="U21" s="3031"/>
      <c r="V21" s="2362"/>
      <c r="W21" s="3029"/>
      <c r="X21" s="3030"/>
      <c r="Y21" s="3030"/>
      <c r="Z21" s="3031"/>
      <c r="AA21" s="2362">
        <f>AA20/V20-1</f>
        <v>0.237590982916696</v>
      </c>
      <c r="AB21" s="2362">
        <f>AB20/AA20-1</f>
        <v>4.703372018060481E-2</v>
      </c>
      <c r="AC21" s="2362">
        <f>AC20/AB20-1</f>
        <v>0.63052807541869216</v>
      </c>
      <c r="AD21" s="2362">
        <f>AD20/AC20-1</f>
        <v>0.18203176036071933</v>
      </c>
      <c r="AE21" s="2362">
        <f>AE20/AD20-1</f>
        <v>1.4995563991551553E-2</v>
      </c>
    </row>
    <row r="22" spans="1:31" ht="15.75" customHeight="1">
      <c r="A22" s="118" t="s">
        <v>453</v>
      </c>
      <c r="B22" s="2357"/>
      <c r="C22" s="2297"/>
      <c r="D22" s="2297"/>
      <c r="E22" s="2297"/>
      <c r="F22" s="2297"/>
      <c r="G22" s="2363"/>
      <c r="H22" s="2296"/>
      <c r="I22" s="2296"/>
      <c r="J22" s="2296"/>
      <c r="K22" s="2296"/>
      <c r="L22" s="2363"/>
      <c r="M22" s="2296"/>
      <c r="N22" s="2296"/>
      <c r="O22" s="2296"/>
      <c r="P22" s="2296"/>
      <c r="Q22" s="2363"/>
      <c r="R22" s="3032"/>
      <c r="S22" s="215"/>
      <c r="T22" s="215"/>
      <c r="U22" s="3033"/>
      <c r="V22" s="2363"/>
      <c r="W22" s="3032"/>
      <c r="X22" s="215"/>
      <c r="Y22" s="215"/>
      <c r="Z22" s="3033"/>
      <c r="AA22" s="2363"/>
      <c r="AB22" s="2363"/>
      <c r="AC22" s="2363"/>
      <c r="AD22" s="2363"/>
      <c r="AE22" s="2363"/>
    </row>
    <row r="23" spans="1:31">
      <c r="A23" s="2337"/>
      <c r="B23" s="2355"/>
      <c r="C23" s="2343"/>
      <c r="D23" s="2343"/>
      <c r="E23" s="2343"/>
      <c r="F23" s="2343"/>
      <c r="G23" s="2355"/>
      <c r="H23" s="2343"/>
      <c r="I23" s="2343"/>
      <c r="J23" s="2343"/>
      <c r="K23" s="2343"/>
      <c r="L23" s="2355"/>
      <c r="M23" s="2343"/>
      <c r="N23" s="2343"/>
      <c r="O23" s="2343"/>
      <c r="P23" s="2343"/>
      <c r="Q23" s="2355"/>
      <c r="R23" s="3034"/>
      <c r="S23" s="3035"/>
      <c r="T23" s="3035"/>
      <c r="U23" s="3036"/>
      <c r="V23" s="2355"/>
      <c r="W23" s="3034"/>
      <c r="X23" s="3035"/>
      <c r="Y23" s="3035"/>
      <c r="Z23" s="3036"/>
      <c r="AA23" s="2355"/>
      <c r="AB23" s="2355"/>
      <c r="AC23" s="2355"/>
      <c r="AD23" s="2355"/>
      <c r="AE23" s="2355"/>
    </row>
    <row r="24" spans="1:31">
      <c r="A24" s="2337" t="s">
        <v>733</v>
      </c>
      <c r="B24" s="2355">
        <f>+BYD!AQ102</f>
        <v>87.338999999999999</v>
      </c>
      <c r="C24" s="2343">
        <f>+BYD!AR102</f>
        <v>87.53</v>
      </c>
      <c r="D24" s="2343">
        <f>+BYD!AS102</f>
        <v>87.587999999999994</v>
      </c>
      <c r="E24" s="2343">
        <f>+BYD!AT102</f>
        <v>87.643000000000001</v>
      </c>
      <c r="F24" s="2343">
        <f>+BYD!AU102</f>
        <v>87.846000000000004</v>
      </c>
      <c r="G24" s="2355">
        <f>+BYD!AV102</f>
        <v>87.652000000000001</v>
      </c>
      <c r="H24" s="2343">
        <f>+BYD!AW102</f>
        <v>87.974000000000004</v>
      </c>
      <c r="I24" s="2343">
        <f>+BYD!AX102</f>
        <v>89.23</v>
      </c>
      <c r="J24" s="2343">
        <f>+BYD!AY102</f>
        <v>101.55500000000001</v>
      </c>
      <c r="K24" s="2343">
        <f>+BYD!AZ102</f>
        <v>109.471</v>
      </c>
      <c r="L24" s="2355">
        <f>+BYD!BA102</f>
        <v>97.242999999999995</v>
      </c>
      <c r="M24" s="2343">
        <f>+BYD!BB102</f>
        <v>109.753</v>
      </c>
      <c r="N24" s="2343">
        <f>+BYD!BC102</f>
        <v>109.884</v>
      </c>
      <c r="O24" s="2343">
        <f>+BYD!BD102</f>
        <v>109.923</v>
      </c>
      <c r="P24" s="2343">
        <f>+BYD!BE102</f>
        <v>110.352</v>
      </c>
      <c r="Q24" s="2355">
        <f>+BYD!BF102</f>
        <v>109.97800000000001</v>
      </c>
      <c r="R24" s="3034">
        <f>+BYD!BG102</f>
        <v>111.446</v>
      </c>
      <c r="S24" s="3035">
        <f>+BYD!BH102</f>
        <v>112.232</v>
      </c>
      <c r="T24" s="3035">
        <f>+BYD!BI102</f>
        <v>113.375</v>
      </c>
      <c r="U24" s="3036">
        <f>+BYD!BJ102</f>
        <v>114.49299999999999</v>
      </c>
      <c r="V24" s="2355">
        <f>+BYD!BK102</f>
        <v>112.8865</v>
      </c>
      <c r="W24" s="3034">
        <f>+BYD!BL102</f>
        <v>114.86799999999999</v>
      </c>
      <c r="X24" s="3035">
        <f>+BYD!BM102</f>
        <v>115.077</v>
      </c>
      <c r="Y24" s="3035">
        <f>+BYD!BN102</f>
        <v>115.202</v>
      </c>
      <c r="Z24" s="3036">
        <f>+BYD!BO102</f>
        <v>115.604</v>
      </c>
      <c r="AA24" s="2355">
        <f>+BYD!BP102</f>
        <v>115.18774999999999</v>
      </c>
      <c r="AB24" s="2355">
        <f>+BYD!BU102</f>
        <v>115.63275</v>
      </c>
      <c r="AC24" s="2355">
        <f>+BYD!BZ102</f>
        <v>113.86978262968256</v>
      </c>
      <c r="AD24" s="2355">
        <f>+BYD!CA102</f>
        <v>113.86978262968256</v>
      </c>
      <c r="AE24" s="2355">
        <f>+BYD!CB102</f>
        <v>113.86978262968256</v>
      </c>
    </row>
    <row r="25" spans="1:31">
      <c r="A25" s="2341" t="s">
        <v>452</v>
      </c>
      <c r="B25" s="2356"/>
      <c r="C25" s="2344"/>
      <c r="D25" s="2344"/>
      <c r="E25" s="2344"/>
      <c r="F25" s="2344"/>
      <c r="G25" s="2362">
        <f t="shared" ref="G25:Q25" si="7">G24/B24-1</f>
        <v>3.5837369330997682E-3</v>
      </c>
      <c r="H25" s="2345">
        <f t="shared" si="7"/>
        <v>5.0725465554666282E-3</v>
      </c>
      <c r="I25" s="2345">
        <f t="shared" si="7"/>
        <v>1.8746860300497881E-2</v>
      </c>
      <c r="J25" s="2345">
        <f t="shared" si="7"/>
        <v>0.15873486758782795</v>
      </c>
      <c r="K25" s="2345">
        <f t="shared" si="7"/>
        <v>0.24616943287116078</v>
      </c>
      <c r="L25" s="2362">
        <f t="shared" si="7"/>
        <v>0.10942134805823023</v>
      </c>
      <c r="M25" s="2345">
        <f t="shared" si="7"/>
        <v>0.24756177961670489</v>
      </c>
      <c r="N25" s="2345">
        <f t="shared" si="7"/>
        <v>0.23146923680376541</v>
      </c>
      <c r="O25" s="2345">
        <f t="shared" si="7"/>
        <v>8.239870021170792E-2</v>
      </c>
      <c r="P25" s="2345">
        <f t="shared" si="7"/>
        <v>8.0477934795517569E-3</v>
      </c>
      <c r="Q25" s="2362">
        <f t="shared" si="7"/>
        <v>0.13096058328105897</v>
      </c>
      <c r="R25" s="3029">
        <f t="shared" ref="R25:AA25" si="8">R24/M24-1</f>
        <v>1.5425546454310934E-2</v>
      </c>
      <c r="S25" s="3030">
        <f t="shared" si="8"/>
        <v>2.1367988060136067E-2</v>
      </c>
      <c r="T25" s="3030">
        <f t="shared" si="8"/>
        <v>3.1403800842407792E-2</v>
      </c>
      <c r="U25" s="3031">
        <f t="shared" si="8"/>
        <v>3.7525373350732139E-2</v>
      </c>
      <c r="V25" s="2362">
        <f t="shared" si="8"/>
        <v>2.6446198330575044E-2</v>
      </c>
      <c r="W25" s="3029">
        <f t="shared" si="8"/>
        <v>3.0705453762360113E-2</v>
      </c>
      <c r="X25" s="3030">
        <f t="shared" si="8"/>
        <v>2.534927649868135E-2</v>
      </c>
      <c r="Y25" s="3030">
        <f t="shared" si="8"/>
        <v>1.6114663726570999E-2</v>
      </c>
      <c r="Z25" s="3031">
        <f t="shared" si="8"/>
        <v>9.7036500048037766E-3</v>
      </c>
      <c r="AA25" s="2362">
        <f t="shared" si="8"/>
        <v>2.0385519969172483E-2</v>
      </c>
      <c r="AB25" s="2362">
        <f>AB24/AA24-1</f>
        <v>3.8632580287401019E-3</v>
      </c>
      <c r="AC25" s="2362">
        <f>AC24/AB24-1</f>
        <v>-1.5246263453195019E-2</v>
      </c>
      <c r="AD25" s="2362">
        <f>AD24/AC24-1</f>
        <v>0</v>
      </c>
      <c r="AE25" s="2362">
        <f>AE24/AD24-1</f>
        <v>0</v>
      </c>
    </row>
    <row r="26" spans="1:31">
      <c r="A26" s="2337"/>
      <c r="B26" s="2355"/>
      <c r="C26" s="2343"/>
      <c r="D26" s="2343"/>
      <c r="E26" s="2343"/>
      <c r="F26" s="2343"/>
      <c r="G26" s="2355"/>
      <c r="H26" s="2343"/>
      <c r="I26" s="2343"/>
      <c r="J26" s="2343"/>
      <c r="K26" s="2343"/>
      <c r="L26" s="2355"/>
      <c r="M26" s="2343"/>
      <c r="N26" s="2343"/>
      <c r="O26" s="2343"/>
      <c r="P26" s="2343"/>
      <c r="Q26" s="2355"/>
      <c r="R26" s="3034"/>
      <c r="S26" s="3035"/>
      <c r="T26" s="3035"/>
      <c r="U26" s="3036"/>
      <c r="V26" s="2355"/>
      <c r="W26" s="3034"/>
      <c r="X26" s="3035"/>
      <c r="Y26" s="3035"/>
      <c r="Z26" s="3036"/>
      <c r="AA26" s="2355"/>
      <c r="AB26" s="2355"/>
      <c r="AC26" s="2355"/>
      <c r="AD26" s="2355"/>
      <c r="AE26" s="2355"/>
    </row>
    <row r="27" spans="1:31">
      <c r="A27" s="2337" t="s">
        <v>454</v>
      </c>
      <c r="B27" s="2355">
        <f>+BYD!AQ103</f>
        <v>87.338999999999999</v>
      </c>
      <c r="C27" s="2343">
        <f>+BYD!AR103</f>
        <v>87.986999999999995</v>
      </c>
      <c r="D27" s="2343">
        <f>+BYD!AS103</f>
        <v>87.587999999999994</v>
      </c>
      <c r="E27" s="2343">
        <f>+BYD!AT103</f>
        <v>87.643000000000001</v>
      </c>
      <c r="F27" s="2343">
        <f>+BYD!AU103</f>
        <v>87.846000000000004</v>
      </c>
      <c r="G27" s="2355">
        <f>+BYD!AV103</f>
        <v>87.652000000000001</v>
      </c>
      <c r="H27" s="2343">
        <f>+BYD!AW103</f>
        <v>87.974000000000004</v>
      </c>
      <c r="I27" s="2343">
        <f>+BYD!AX103</f>
        <v>90.265000000000001</v>
      </c>
      <c r="J27" s="2343">
        <f>+BYD!AY103</f>
        <v>101.55500000000001</v>
      </c>
      <c r="K27" s="2343">
        <f>+BYD!AZ103</f>
        <v>109.471</v>
      </c>
      <c r="L27" s="2355">
        <f>+BYD!BA103</f>
        <v>97.242999999999995</v>
      </c>
      <c r="M27" s="2343">
        <f>+BYD!BB103</f>
        <v>109.753</v>
      </c>
      <c r="N27" s="2343">
        <f>+BYD!BC103</f>
        <v>110.813</v>
      </c>
      <c r="O27" s="2343">
        <f>+BYD!BD103</f>
        <v>109.923</v>
      </c>
      <c r="P27" s="2343">
        <f>+BYD!BE103</f>
        <v>110.352</v>
      </c>
      <c r="Q27" s="2355">
        <f>+BYD!BF103</f>
        <v>110.21025</v>
      </c>
      <c r="R27" s="3034">
        <f>+BYD!BG103</f>
        <v>112.358</v>
      </c>
      <c r="S27" s="3035">
        <f>+BYD!BH103</f>
        <v>112.232</v>
      </c>
      <c r="T27" s="3035">
        <f>+BYD!BI103</f>
        <v>113.375</v>
      </c>
      <c r="U27" s="3036">
        <f>+BYD!BJ103</f>
        <v>114.49299999999999</v>
      </c>
      <c r="V27" s="2355">
        <f>+BYD!BK103</f>
        <v>113.11450000000001</v>
      </c>
      <c r="W27" s="3034">
        <f>+BYD!BL103</f>
        <v>114.86799999999999</v>
      </c>
      <c r="X27" s="3035">
        <f>+BYD!BM103</f>
        <v>115.077</v>
      </c>
      <c r="Y27" s="3035">
        <f>+BYD!BN103</f>
        <v>115.202</v>
      </c>
      <c r="Z27" s="3036">
        <f>+BYD!BO103</f>
        <v>115.604</v>
      </c>
      <c r="AA27" s="2355">
        <f>+BYD!BP103</f>
        <v>115.18774999999999</v>
      </c>
      <c r="AB27" s="2355">
        <f>+BYD!BU103</f>
        <v>115.63275</v>
      </c>
      <c r="AC27" s="2355">
        <f>+BYD!BZ103</f>
        <v>113.86978262968256</v>
      </c>
      <c r="AD27" s="2355">
        <f>+BYD!CA103</f>
        <v>113.86978262968256</v>
      </c>
      <c r="AE27" s="2355">
        <f>+BYD!CB103</f>
        <v>113.86978262968256</v>
      </c>
    </row>
    <row r="28" spans="1:31">
      <c r="A28" s="2341" t="s">
        <v>452</v>
      </c>
      <c r="B28" s="2356"/>
      <c r="C28" s="2344"/>
      <c r="D28" s="2344"/>
      <c r="E28" s="2344"/>
      <c r="F28" s="2344"/>
      <c r="G28" s="2362">
        <f t="shared" ref="G28:Q28" si="9">G27/B27-1</f>
        <v>3.5837369330997682E-3</v>
      </c>
      <c r="H28" s="2345">
        <f t="shared" si="9"/>
        <v>-1.4774909929871072E-4</v>
      </c>
      <c r="I28" s="2345">
        <f t="shared" si="9"/>
        <v>3.0563547517924894E-2</v>
      </c>
      <c r="J28" s="2345">
        <f t="shared" si="9"/>
        <v>0.15873486758782795</v>
      </c>
      <c r="K28" s="2345">
        <f t="shared" si="9"/>
        <v>0.24616943287116078</v>
      </c>
      <c r="L28" s="2362">
        <f t="shared" si="9"/>
        <v>0.10942134805823023</v>
      </c>
      <c r="M28" s="2345">
        <f t="shared" si="9"/>
        <v>0.24756177961670489</v>
      </c>
      <c r="N28" s="2345">
        <f t="shared" si="9"/>
        <v>0.22764083531822976</v>
      </c>
      <c r="O28" s="2345">
        <f t="shared" si="9"/>
        <v>8.239870021170792E-2</v>
      </c>
      <c r="P28" s="2345">
        <f t="shared" si="9"/>
        <v>8.0477934795517569E-3</v>
      </c>
      <c r="Q28" s="2362">
        <f t="shared" si="9"/>
        <v>0.13334893000010295</v>
      </c>
      <c r="R28" s="3029">
        <f t="shared" ref="R28:AA28" si="10">R27/M27-1</f>
        <v>2.3735114302114724E-2</v>
      </c>
      <c r="S28" s="3030">
        <f t="shared" si="10"/>
        <v>1.2805356772219945E-2</v>
      </c>
      <c r="T28" s="3030">
        <f t="shared" si="10"/>
        <v>3.1403800842407792E-2</v>
      </c>
      <c r="U28" s="3031">
        <f t="shared" si="10"/>
        <v>3.7525373350732139E-2</v>
      </c>
      <c r="V28" s="2362">
        <f t="shared" si="10"/>
        <v>2.6351904654966285E-2</v>
      </c>
      <c r="W28" s="3029">
        <f t="shared" si="10"/>
        <v>2.2339308282454118E-2</v>
      </c>
      <c r="X28" s="3030">
        <f t="shared" si="10"/>
        <v>2.534927649868135E-2</v>
      </c>
      <c r="Y28" s="3030">
        <f t="shared" si="10"/>
        <v>1.6114663726570999E-2</v>
      </c>
      <c r="Z28" s="3031">
        <f t="shared" si="10"/>
        <v>9.7036500048037766E-3</v>
      </c>
      <c r="AA28" s="2362">
        <f t="shared" si="10"/>
        <v>1.832877305738867E-2</v>
      </c>
      <c r="AB28" s="2362">
        <f>AB27/AA27-1</f>
        <v>3.8632580287401019E-3</v>
      </c>
      <c r="AC28" s="2362">
        <f>AC27/AB27-1</f>
        <v>-1.5246263453195019E-2</v>
      </c>
      <c r="AD28" s="2362">
        <f>AD27/AC27-1</f>
        <v>0</v>
      </c>
      <c r="AE28" s="2362">
        <f>AE27/AD27-1</f>
        <v>0</v>
      </c>
    </row>
    <row r="29" spans="1:31">
      <c r="A29" s="2337"/>
      <c r="B29" s="2355"/>
      <c r="C29" s="2343"/>
      <c r="D29" s="2343"/>
      <c r="E29" s="2343"/>
      <c r="F29" s="2343"/>
      <c r="G29" s="2355"/>
      <c r="H29" s="2343"/>
      <c r="I29" s="2343"/>
      <c r="J29" s="2343"/>
      <c r="K29" s="2343"/>
      <c r="L29" s="2355"/>
      <c r="M29" s="2343"/>
      <c r="N29" s="2343"/>
      <c r="O29" s="2343"/>
      <c r="P29" s="2343"/>
      <c r="Q29" s="2355"/>
      <c r="R29" s="3034"/>
      <c r="S29" s="3035"/>
      <c r="T29" s="3035"/>
      <c r="U29" s="3036"/>
      <c r="V29" s="2355"/>
      <c r="W29" s="3034"/>
      <c r="X29" s="3035"/>
      <c r="Y29" s="3035"/>
      <c r="Z29" s="3036"/>
      <c r="AA29" s="2355"/>
      <c r="AB29" s="2355"/>
      <c r="AC29" s="2355"/>
      <c r="AD29" s="2355"/>
      <c r="AE29" s="2355"/>
    </row>
    <row r="30" spans="1:31">
      <c r="A30" s="2337" t="s">
        <v>455</v>
      </c>
      <c r="B30" s="2358">
        <v>0</v>
      </c>
      <c r="C30" s="2342">
        <v>0</v>
      </c>
      <c r="D30" s="2342">
        <v>0</v>
      </c>
      <c r="E30" s="2342">
        <v>0</v>
      </c>
      <c r="F30" s="2342">
        <v>0</v>
      </c>
      <c r="G30" s="2358">
        <v>0</v>
      </c>
      <c r="H30" s="2342">
        <v>0</v>
      </c>
      <c r="I30" s="2342">
        <v>0</v>
      </c>
      <c r="J30" s="2342">
        <v>0</v>
      </c>
      <c r="K30" s="2342">
        <v>0</v>
      </c>
      <c r="L30" s="2358">
        <v>0</v>
      </c>
      <c r="M30" s="2342">
        <v>0</v>
      </c>
      <c r="N30" s="2342">
        <v>0</v>
      </c>
      <c r="O30" s="2342">
        <v>0</v>
      </c>
      <c r="P30" s="2342">
        <v>0</v>
      </c>
      <c r="Q30" s="2358">
        <v>0</v>
      </c>
      <c r="R30" s="3037">
        <v>0</v>
      </c>
      <c r="S30" s="3038">
        <v>0</v>
      </c>
      <c r="T30" s="3038">
        <v>0</v>
      </c>
      <c r="U30" s="3039">
        <v>0</v>
      </c>
      <c r="V30" s="2358">
        <v>0</v>
      </c>
      <c r="W30" s="3037">
        <v>0</v>
      </c>
      <c r="X30" s="3038">
        <v>0</v>
      </c>
      <c r="Y30" s="3038">
        <v>0</v>
      </c>
      <c r="Z30" s="3039">
        <v>0</v>
      </c>
      <c r="AA30" s="2358">
        <v>0</v>
      </c>
      <c r="AB30" s="2358">
        <v>0</v>
      </c>
      <c r="AC30" s="2358">
        <v>0</v>
      </c>
      <c r="AD30" s="2358">
        <v>0</v>
      </c>
      <c r="AE30" s="2358">
        <v>0</v>
      </c>
    </row>
    <row r="31" spans="1:31">
      <c r="A31" s="2341" t="s">
        <v>452</v>
      </c>
      <c r="B31" s="2356"/>
      <c r="C31" s="2344"/>
      <c r="D31" s="2344"/>
      <c r="E31" s="2344"/>
      <c r="F31" s="2344"/>
      <c r="G31" s="2362"/>
      <c r="H31" s="2345"/>
      <c r="I31" s="2345"/>
      <c r="J31" s="2345"/>
      <c r="K31" s="2345"/>
      <c r="L31" s="2362"/>
      <c r="M31" s="2345"/>
      <c r="N31" s="2345"/>
      <c r="O31" s="2345"/>
      <c r="P31" s="2345"/>
      <c r="Q31" s="2362"/>
      <c r="R31" s="3029"/>
      <c r="S31" s="3030"/>
      <c r="T31" s="3030"/>
      <c r="U31" s="3031"/>
      <c r="V31" s="2362"/>
      <c r="W31" s="3029"/>
      <c r="X31" s="3030"/>
      <c r="Y31" s="3030"/>
      <c r="Z31" s="3031"/>
      <c r="AA31" s="2362"/>
      <c r="AB31" s="2362"/>
      <c r="AC31" s="2362"/>
      <c r="AD31" s="2362"/>
      <c r="AE31" s="2362"/>
    </row>
    <row r="32" spans="1:31">
      <c r="A32" s="2337"/>
      <c r="B32" s="2355"/>
      <c r="C32" s="2343"/>
      <c r="D32" s="2343"/>
      <c r="E32" s="2343"/>
      <c r="F32" s="2343"/>
      <c r="G32" s="2355"/>
      <c r="H32" s="2343"/>
      <c r="I32" s="2343"/>
      <c r="J32" s="2343"/>
      <c r="K32" s="2343"/>
      <c r="L32" s="2355"/>
      <c r="M32" s="2343"/>
      <c r="N32" s="2343"/>
      <c r="O32" s="2343"/>
      <c r="P32" s="2343"/>
      <c r="Q32" s="2355"/>
      <c r="R32" s="3034"/>
      <c r="S32" s="3035"/>
      <c r="T32" s="3035"/>
      <c r="U32" s="3036"/>
      <c r="V32" s="2355"/>
      <c r="W32" s="3034"/>
      <c r="X32" s="3035"/>
      <c r="Y32" s="3035"/>
      <c r="Z32" s="3036"/>
      <c r="AA32" s="2355"/>
      <c r="AB32" s="2355"/>
      <c r="AC32" s="2355"/>
      <c r="AD32" s="2355"/>
      <c r="AE32" s="2355"/>
    </row>
    <row r="33" spans="1:31">
      <c r="A33" s="2346" t="s">
        <v>1320</v>
      </c>
      <c r="B33" s="2355"/>
      <c r="C33" s="2343"/>
      <c r="D33" s="2343"/>
      <c r="E33" s="2343"/>
      <c r="F33" s="2343"/>
      <c r="G33" s="2355"/>
      <c r="H33" s="2343"/>
      <c r="I33" s="2343"/>
      <c r="J33" s="2343"/>
      <c r="K33" s="2343"/>
      <c r="L33" s="2355"/>
      <c r="M33" s="2343"/>
      <c r="N33" s="2343"/>
      <c r="O33" s="2343"/>
      <c r="P33" s="2343"/>
      <c r="Q33" s="2355"/>
      <c r="R33" s="3034"/>
      <c r="S33" s="3035"/>
      <c r="T33" s="3035"/>
      <c r="U33" s="3036"/>
      <c r="V33" s="2355"/>
      <c r="W33" s="3034"/>
      <c r="X33" s="3035"/>
      <c r="Y33" s="3035"/>
      <c r="Z33" s="3036"/>
      <c r="AA33" s="2355"/>
      <c r="AB33" s="2355"/>
      <c r="AC33" s="2355"/>
      <c r="AD33" s="2355"/>
      <c r="AE33" s="2355"/>
    </row>
    <row r="34" spans="1:31">
      <c r="A34" s="2337" t="s">
        <v>777</v>
      </c>
      <c r="B34" s="2355">
        <f>+BYD!AQ1114</f>
        <v>3390.4560000000001</v>
      </c>
      <c r="C34" s="2343">
        <f>+BYD!AR1114</f>
        <v>3324.895</v>
      </c>
      <c r="D34" s="2343">
        <f>+BYD!AS1114</f>
        <v>3534.1759999999995</v>
      </c>
      <c r="E34" s="2343">
        <f>+BYD!AT1114</f>
        <v>3865.9659999999994</v>
      </c>
      <c r="F34" s="2343">
        <f>+BYD!AU1114</f>
        <v>4827.8529999999992</v>
      </c>
      <c r="G34" s="2355">
        <f>+BYD!AV1114</f>
        <v>4827.8529999999992</v>
      </c>
      <c r="H34" s="2343">
        <f>+BYD!AW1114</f>
        <v>4637.063000000001</v>
      </c>
      <c r="I34" s="2343">
        <f>+BYD!AX1114</f>
        <v>4519.4810000000007</v>
      </c>
      <c r="J34" s="2343">
        <f>+BYD!AY1114</f>
        <v>4312.9840000000004</v>
      </c>
      <c r="K34" s="2343">
        <f>+BYD!AZ1114</f>
        <v>4352.9319999999998</v>
      </c>
      <c r="L34" s="2355">
        <f>+BYD!BA1114</f>
        <v>4352.9319999999998</v>
      </c>
      <c r="M34" s="2343">
        <f>+BYD!BB1114</f>
        <v>4301.2689999999993</v>
      </c>
      <c r="N34" s="2343">
        <f>+BYD!BC1114</f>
        <v>4261.8369999999995</v>
      </c>
      <c r="O34" s="2343">
        <f>+BYD!BD1114</f>
        <v>3432.7250000000004</v>
      </c>
      <c r="P34" s="2343">
        <f>+BYD!BE1114</f>
        <v>3431.6379999999999</v>
      </c>
      <c r="Q34" s="2355">
        <f>+BYD!BF1114</f>
        <v>3431.6379999999999</v>
      </c>
      <c r="R34" s="3034">
        <f>+BYD!BG1114</f>
        <v>3376.0969999999998</v>
      </c>
      <c r="S34" s="3035">
        <f>+BYD!BH1114</f>
        <v>3361.6179999999999</v>
      </c>
      <c r="T34" s="3035">
        <f>+BYD!BI1114</f>
        <v>3302.6869999999994</v>
      </c>
      <c r="U34" s="3036">
        <f>+BYD!BJ1114</f>
        <v>3239.799</v>
      </c>
      <c r="V34" s="2355">
        <f>+BYD!BK1114</f>
        <v>3239.799</v>
      </c>
      <c r="W34" s="3034">
        <f>+BYD!BL1114</f>
        <v>3657.9110000000001</v>
      </c>
      <c r="X34" s="3035">
        <f>+BYD!BM1114</f>
        <v>3628.1120000000001</v>
      </c>
      <c r="Y34" s="3035">
        <f>+BYD!BN1114</f>
        <v>2956.998</v>
      </c>
      <c r="Z34" s="3036">
        <f>+BYD!BO1114</f>
        <v>3199.1190000000001</v>
      </c>
      <c r="AA34" s="2355">
        <f>+BYD!BP1114</f>
        <v>3199.1190000000001</v>
      </c>
      <c r="AB34" s="2355">
        <f>+BYD!BU1114</f>
        <v>3120.0000000000005</v>
      </c>
      <c r="AC34" s="2355">
        <f>+BYD!BZ1114</f>
        <v>4561.0857500000002</v>
      </c>
      <c r="AD34" s="2355">
        <f>+BYD!CA1114</f>
        <v>4534.7927135999998</v>
      </c>
      <c r="AE34" s="2355">
        <f>+BYD!CB1114</f>
        <v>4508.2394749048499</v>
      </c>
    </row>
    <row r="35" spans="1:31">
      <c r="A35" s="2714" t="s">
        <v>1542</v>
      </c>
      <c r="B35" s="2359">
        <f>BYD!AQ1053</f>
        <v>178.75600000000031</v>
      </c>
      <c r="C35" s="2347">
        <f>BYD!AR1053</f>
        <v>156.71400000000034</v>
      </c>
      <c r="D35" s="2347">
        <f>BYD!AS1053</f>
        <v>360.45500000000027</v>
      </c>
      <c r="E35" s="2347">
        <f>BYD!AT1053</f>
        <v>343.77100000000036</v>
      </c>
      <c r="F35" s="2347">
        <f>BYD!AU1053</f>
        <v>192.82800000000037</v>
      </c>
      <c r="G35" s="2359">
        <f>BYD!AV1053</f>
        <v>192.8280000000002</v>
      </c>
      <c r="H35" s="2347">
        <f>BYD!AW1053</f>
        <v>358.35400000000016</v>
      </c>
      <c r="I35" s="2347">
        <f>BYD!AX1053</f>
        <v>182.61200000000014</v>
      </c>
      <c r="J35" s="2347">
        <f>BYD!AY1053</f>
        <v>165.80300000000045</v>
      </c>
      <c r="K35" s="2347">
        <f>BYD!AZ1053</f>
        <v>177.83800000000014</v>
      </c>
      <c r="L35" s="2359">
        <f>BYD!BA1053</f>
        <v>177.83800000000019</v>
      </c>
      <c r="M35" s="2347">
        <f>BYD!BB1053</f>
        <v>162.87800000000016</v>
      </c>
      <c r="N35" s="2347">
        <f>BYD!BC1053</f>
        <v>162.51200000000017</v>
      </c>
      <c r="O35" s="2347">
        <f>BYD!BD1053</f>
        <v>120.91000000000022</v>
      </c>
      <c r="P35" s="2347">
        <f>BYD!BE1053</f>
        <v>145.34100000000012</v>
      </c>
      <c r="Q35" s="2359">
        <f>BYD!BF1053</f>
        <v>145.34100000000012</v>
      </c>
      <c r="R35" s="3040">
        <f>BYD!BG1053</f>
        <v>130.79700000000011</v>
      </c>
      <c r="S35" s="2347">
        <f>BYD!BH1053</f>
        <v>124.52300000000025</v>
      </c>
      <c r="T35" s="2347">
        <f>BYD!BI1053</f>
        <v>125.04500000000012</v>
      </c>
      <c r="U35" s="3041">
        <f>BYD!BJ1053</f>
        <v>158.82100000000008</v>
      </c>
      <c r="V35" s="2359">
        <f>BYD!BK1053</f>
        <v>158.82100000000008</v>
      </c>
      <c r="W35" s="3040">
        <f>BYD!BL1053</f>
        <v>616.20100000000002</v>
      </c>
      <c r="X35" s="2347">
        <f>BYD!BM1053</f>
        <v>628.27800000000002</v>
      </c>
      <c r="Y35" s="2347">
        <f>BYD!BN1053</f>
        <v>159.68800000000027</v>
      </c>
      <c r="Z35" s="3041">
        <f>BYD!BO1053</f>
        <v>193.86199999999991</v>
      </c>
      <c r="AA35" s="2359">
        <f>BYD!BP1053</f>
        <v>193.86199999999991</v>
      </c>
      <c r="AB35" s="2359">
        <f>BYD!BU1053</f>
        <v>203.10000000000005</v>
      </c>
      <c r="AC35" s="2359">
        <f>BYD!BZ1053</f>
        <v>206.57868206137104</v>
      </c>
      <c r="AD35" s="2359">
        <f>BYD!CA1053</f>
        <v>566.27657320781861</v>
      </c>
      <c r="AE35" s="2359">
        <f>BYD!CB1053</f>
        <v>930.93090457091466</v>
      </c>
    </row>
    <row r="36" spans="1:31">
      <c r="A36" s="2337" t="s">
        <v>673</v>
      </c>
      <c r="B36" s="2355">
        <f t="shared" ref="B36:G36" si="11">B34-B35</f>
        <v>3211.7</v>
      </c>
      <c r="C36" s="2343">
        <f t="shared" si="11"/>
        <v>3168.1809999999996</v>
      </c>
      <c r="D36" s="2343">
        <f t="shared" si="11"/>
        <v>3173.7209999999991</v>
      </c>
      <c r="E36" s="2343">
        <f t="shared" si="11"/>
        <v>3522.1949999999993</v>
      </c>
      <c r="F36" s="2343">
        <f t="shared" si="11"/>
        <v>4635.0249999999987</v>
      </c>
      <c r="G36" s="2355">
        <f t="shared" si="11"/>
        <v>4635.0249999999987</v>
      </c>
      <c r="H36" s="2343">
        <f t="shared" ref="H36:Q36" si="12">H34-H35</f>
        <v>4278.7090000000007</v>
      </c>
      <c r="I36" s="2343">
        <f t="shared" si="12"/>
        <v>4336.8690000000006</v>
      </c>
      <c r="J36" s="2343">
        <f t="shared" si="12"/>
        <v>4147.1809999999996</v>
      </c>
      <c r="K36" s="2343">
        <f t="shared" si="12"/>
        <v>4175.0940000000001</v>
      </c>
      <c r="L36" s="2355">
        <f t="shared" si="12"/>
        <v>4175.0939999999991</v>
      </c>
      <c r="M36" s="2343">
        <f t="shared" si="12"/>
        <v>4138.3909999999996</v>
      </c>
      <c r="N36" s="2343">
        <f t="shared" si="12"/>
        <v>4099.3249999999989</v>
      </c>
      <c r="O36" s="2343">
        <f t="shared" si="12"/>
        <v>3311.8150000000001</v>
      </c>
      <c r="P36" s="2343">
        <f t="shared" si="12"/>
        <v>3286.2969999999996</v>
      </c>
      <c r="Q36" s="2355">
        <f t="shared" si="12"/>
        <v>3286.2969999999996</v>
      </c>
      <c r="R36" s="3034">
        <f t="shared" ref="R36:AA36" si="13">R34-R35</f>
        <v>3245.2999999999997</v>
      </c>
      <c r="S36" s="3035">
        <f t="shared" si="13"/>
        <v>3237.0949999999998</v>
      </c>
      <c r="T36" s="3035">
        <f t="shared" si="13"/>
        <v>3177.6419999999994</v>
      </c>
      <c r="U36" s="3036">
        <f t="shared" si="13"/>
        <v>3080.9780000000001</v>
      </c>
      <c r="V36" s="2355">
        <f t="shared" si="13"/>
        <v>3080.9780000000001</v>
      </c>
      <c r="W36" s="3034">
        <f>W34-W35</f>
        <v>3041.71</v>
      </c>
      <c r="X36" s="3035">
        <f>X34-X35</f>
        <v>2999.8339999999998</v>
      </c>
      <c r="Y36" s="3035">
        <f>Y34-Y35</f>
        <v>2797.31</v>
      </c>
      <c r="Z36" s="3036">
        <f>Z34-Z35</f>
        <v>3005.2570000000001</v>
      </c>
      <c r="AA36" s="2355">
        <f t="shared" si="13"/>
        <v>3005.2570000000001</v>
      </c>
      <c r="AB36" s="2355">
        <f>AB34-AB35</f>
        <v>2916.9000000000005</v>
      </c>
      <c r="AC36" s="2355">
        <f>AC34-AC35</f>
        <v>4354.507067938629</v>
      </c>
      <c r="AD36" s="2355">
        <f>AD34-AD35</f>
        <v>3968.5161403921811</v>
      </c>
      <c r="AE36" s="2355">
        <f>AE34-AE35</f>
        <v>3577.3085703339352</v>
      </c>
    </row>
    <row r="37" spans="1:31">
      <c r="A37" s="2337"/>
      <c r="B37" s="2355"/>
      <c r="C37" s="2343"/>
      <c r="D37" s="2343"/>
      <c r="E37" s="2343"/>
      <c r="F37" s="2343"/>
      <c r="G37" s="2355"/>
      <c r="H37" s="2343"/>
      <c r="I37" s="2343"/>
      <c r="J37" s="2343"/>
      <c r="K37" s="2343"/>
      <c r="L37" s="2355"/>
      <c r="M37" s="2343"/>
      <c r="N37" s="2343"/>
      <c r="O37" s="2343"/>
      <c r="P37" s="2343"/>
      <c r="Q37" s="2355"/>
      <c r="R37" s="3034"/>
      <c r="S37" s="3035"/>
      <c r="T37" s="3035"/>
      <c r="U37" s="3036"/>
      <c r="V37" s="2355"/>
      <c r="W37" s="3034"/>
      <c r="X37" s="3035"/>
      <c r="Y37" s="3035"/>
      <c r="Z37" s="3036"/>
      <c r="AA37" s="2355"/>
      <c r="AB37" s="2355"/>
      <c r="AC37" s="2355"/>
      <c r="AD37" s="2355"/>
      <c r="AE37" s="2355"/>
    </row>
    <row r="38" spans="1:31">
      <c r="A38" s="2337" t="s">
        <v>510</v>
      </c>
      <c r="B38" s="2355">
        <f>+BYD!AQ1232</f>
        <v>2795.85</v>
      </c>
      <c r="C38" s="2343">
        <f>+BYD!AR1232</f>
        <v>2761.1809999999996</v>
      </c>
      <c r="D38" s="2343">
        <f>+BYD!AS1232</f>
        <v>2765.8709999999992</v>
      </c>
      <c r="E38" s="2343">
        <f>+BYD!AT1232</f>
        <v>2769.5949999999993</v>
      </c>
      <c r="F38" s="2343">
        <f>+BYD!AU1232</f>
        <v>4232.7029999999986</v>
      </c>
      <c r="G38" s="2355">
        <f>+BYD!AV1232</f>
        <v>4232.4249999999984</v>
      </c>
      <c r="H38" s="2343">
        <f>+BYD!AW1232</f>
        <v>3875.9590000000007</v>
      </c>
      <c r="I38" s="2343">
        <f>+BYD!AX1232</f>
        <v>3938.9190000000008</v>
      </c>
      <c r="J38" s="2343">
        <f>+BYD!AY1232</f>
        <v>3763.1809999999996</v>
      </c>
      <c r="K38" s="2343">
        <f>+BYD!AZ1232</f>
        <v>3768.6720000000005</v>
      </c>
      <c r="L38" s="2355">
        <f>+BYD!BA1232</f>
        <v>3768.3939999999993</v>
      </c>
      <c r="M38" s="2343">
        <f>+BYD!BB1232</f>
        <v>3733.7659999999996</v>
      </c>
      <c r="N38" s="2343">
        <f>+BYD!BC1232</f>
        <v>3696.974999999999</v>
      </c>
      <c r="O38" s="2343">
        <f>+BYD!BD1232+(BYD!BD979-BYD!BD978)*0.5</f>
        <v>3686.64</v>
      </c>
      <c r="P38" s="2343">
        <f>+BYD!BE1232+(BYD!BE979-BYD!BE978)*0.5</f>
        <v>3655.0374265624991</v>
      </c>
      <c r="Q38" s="2355">
        <f>+BYD!BF1232+(BYD!BF979-BYD!BF978)*0.5</f>
        <v>3654.7594265624994</v>
      </c>
      <c r="R38" s="3034">
        <f>+BYD!BG1232+(BYD!BG979-BYD!BG978)*0.5</f>
        <v>3597.6</v>
      </c>
      <c r="S38" s="3035">
        <f>+BYD!BH1232+(BYD!BH979-BYD!BH978)*0.5</f>
        <v>3574.9449999999997</v>
      </c>
      <c r="T38" s="3035">
        <f>+BYD!BI1232+(BYD!BI979-BYD!BI978)*0.5</f>
        <v>3502.0919999999992</v>
      </c>
      <c r="U38" s="3036">
        <f>+BYD!BJ1232+(BYD!BJ979-BYD!BJ978)*0.5</f>
        <v>3408.0059999999999</v>
      </c>
      <c r="V38" s="2355">
        <f>+BYD!BK1232+(BYD!BK979-BYD!BK978)*0.5</f>
        <v>3389.9204265625003</v>
      </c>
      <c r="W38" s="3034">
        <f>+BYD!BL1232+(BYD!BL979-BYD!BL978)*0.5</f>
        <v>3352.56</v>
      </c>
      <c r="X38" s="3035">
        <f>+BYD!BM1232+(BYD!BM979-BYD!BM978)*0.5</f>
        <v>3285.6839999999997</v>
      </c>
      <c r="Y38" s="3035">
        <f>+BYD!BN1232+(BYD!BN979-BYD!BN978)*0.5</f>
        <v>3023.2398895626279</v>
      </c>
      <c r="Z38" s="3036">
        <f>+BYD!BO1232+(BYD!BO979-BYD!BO978)*0.5</f>
        <v>3005.5349999999999</v>
      </c>
      <c r="AA38" s="2355">
        <f>+BYD!BP1232+(BYD!BP979-BYD!BP978)*0.5</f>
        <v>3005.2570000000001</v>
      </c>
      <c r="AB38" s="2355">
        <f>+BYD!BU1232+(BYD!BU979-BYD!BU978)*0.5</f>
        <v>2916.9000000000005</v>
      </c>
      <c r="AC38" s="2355">
        <f>+BYD!BZ1232+(BYD!BZ979-BYD!BZ978)*0.5</f>
        <v>4354.507067938629</v>
      </c>
      <c r="AD38" s="2355">
        <f>+BYD!CA1232+(BYD!CA979-BYD!CA978)*0.5</f>
        <v>3968.5161403921811</v>
      </c>
      <c r="AE38" s="2355">
        <f>+BYD!CB1232+(BYD!CB979-BYD!CB978)*0.5</f>
        <v>3577.3085703339352</v>
      </c>
    </row>
    <row r="39" spans="1:31">
      <c r="A39" s="2337"/>
      <c r="B39" s="2355"/>
      <c r="C39" s="2343"/>
      <c r="D39" s="2343"/>
      <c r="E39" s="2343"/>
      <c r="F39" s="2343"/>
      <c r="G39" s="2355"/>
      <c r="H39" s="2343"/>
      <c r="I39" s="2343"/>
      <c r="J39" s="2343"/>
      <c r="K39" s="2343"/>
      <c r="L39" s="2355"/>
      <c r="M39" s="2343"/>
      <c r="N39" s="2343"/>
      <c r="O39" s="2343"/>
      <c r="P39" s="2343"/>
      <c r="Q39" s="2355"/>
      <c r="R39" s="3034"/>
      <c r="S39" s="3035"/>
      <c r="T39" s="3035"/>
      <c r="U39" s="3036"/>
      <c r="V39" s="2355"/>
      <c r="W39" s="3034"/>
      <c r="X39" s="3035"/>
      <c r="Y39" s="3035"/>
      <c r="Z39" s="3036"/>
      <c r="AA39" s="2355"/>
      <c r="AB39" s="2355"/>
      <c r="AC39" s="2355"/>
      <c r="AD39" s="2355"/>
      <c r="AE39" s="2355"/>
    </row>
    <row r="40" spans="1:31">
      <c r="A40" s="2337" t="s">
        <v>348</v>
      </c>
      <c r="B40" s="2360">
        <f>+B36/B12</f>
        <v>6.890389240377333</v>
      </c>
      <c r="C40" s="2353">
        <f>+C36/(C12*4)</f>
        <v>5.919532219249338</v>
      </c>
      <c r="D40" s="2353">
        <f>+D36/(D12*4)</f>
        <v>6.9700026353933309</v>
      </c>
      <c r="E40" s="2353">
        <f>+E36/(E12*4)</f>
        <v>8.4992591913361561</v>
      </c>
      <c r="F40" s="2353">
        <f>+F36/(F12*4)</f>
        <v>11.489100905242072</v>
      </c>
      <c r="G40" s="2360">
        <f>+G36/G12</f>
        <v>10.252279931076734</v>
      </c>
      <c r="H40" s="2353">
        <f>+H36/(H12*4)</f>
        <v>7.1658404483016191</v>
      </c>
      <c r="I40" s="2353">
        <f>+I36/(I12*4)</f>
        <v>7.4127670266334391</v>
      </c>
      <c r="J40" s="2353">
        <f>+J36/(J12*4)</f>
        <v>7.8556402057871946</v>
      </c>
      <c r="K40" s="2353">
        <f>+K36/(K12*4)</f>
        <v>8.4661745919091551</v>
      </c>
      <c r="L40" s="2360">
        <f>+L36/L12</f>
        <v>7.5799650149371871</v>
      </c>
      <c r="M40" s="2353">
        <f>+M36/(M12*4)</f>
        <v>7.7067879623077182</v>
      </c>
      <c r="N40" s="2353">
        <f>+N36/(N12*4)</f>
        <v>7.3576949033290955</v>
      </c>
      <c r="O40" s="2353">
        <f>+O36/(O12*4)</f>
        <v>6.1138114876664691</v>
      </c>
      <c r="P40" s="2353">
        <f>+P36/(P12*4)</f>
        <v>6.0248175851574803</v>
      </c>
      <c r="Q40" s="2360">
        <f>+Q36/Q12</f>
        <v>6.0263588110111392</v>
      </c>
      <c r="R40" s="3042">
        <f>+R36/(R12*4)</f>
        <v>5.4388740476565545</v>
      </c>
      <c r="S40" s="3043">
        <f>+S36/(S12*4)</f>
        <v>4.9676277319616089</v>
      </c>
      <c r="T40" s="3043">
        <f>+T36/(T12*4)</f>
        <v>4.8689644393777796</v>
      </c>
      <c r="U40" s="3044">
        <f>+U36/(U12*4)</f>
        <v>4.9935784812670585</v>
      </c>
      <c r="V40" s="2360">
        <f t="shared" ref="V40:AE40" si="14">+V36/V12</f>
        <v>4.8944345068833943</v>
      </c>
      <c r="W40" s="3042">
        <f>+W36/(W12*4)</f>
        <v>4.7420171552044001</v>
      </c>
      <c r="X40" s="3043">
        <f>+X36/(X12*4)</f>
        <v>5.4385410850127265</v>
      </c>
      <c r="Y40" s="3043">
        <f>+Y36/(Y12*4)</f>
        <v>5.7350131212071505</v>
      </c>
      <c r="Z40" s="3044">
        <f>+Z36/(Z12*4)</f>
        <v>5.4128878754475842</v>
      </c>
      <c r="AA40" s="2360">
        <f t="shared" si="14"/>
        <v>5.3761546339652675</v>
      </c>
      <c r="AB40" s="2360">
        <f t="shared" si="14"/>
        <v>4.8972088142707246</v>
      </c>
      <c r="AC40" s="2360">
        <f t="shared" si="14"/>
        <v>5.94071047574917</v>
      </c>
      <c r="AD40" s="2360">
        <f t="shared" si="14"/>
        <v>4.5408550850641101</v>
      </c>
      <c r="AE40" s="2360">
        <f t="shared" si="14"/>
        <v>4.0399474144387648</v>
      </c>
    </row>
    <row r="41" spans="1:31">
      <c r="A41" s="2337" t="s">
        <v>1776</v>
      </c>
      <c r="B41" s="2360">
        <f>+B38/B16</f>
        <v>7.2236066488650499</v>
      </c>
      <c r="C41" s="2353">
        <f>+C38/(C16*4)</f>
        <v>6.0360807614450662</v>
      </c>
      <c r="D41" s="2353">
        <f t="shared" ref="D41:P41" si="15">+D38/(D16*4)</f>
        <v>7.0222941579709017</v>
      </c>
      <c r="E41" s="2353">
        <f t="shared" si="15"/>
        <v>7.9651982100128809</v>
      </c>
      <c r="F41" s="2353">
        <f t="shared" si="15"/>
        <v>11.274940864339595</v>
      </c>
      <c r="G41" s="2360">
        <f>+G38/G16</f>
        <v>10.752866423277919</v>
      </c>
      <c r="H41" s="2353">
        <f t="shared" si="15"/>
        <v>6.4913280567009108</v>
      </c>
      <c r="I41" s="2353">
        <f t="shared" si="15"/>
        <v>6.7325734034807043</v>
      </c>
      <c r="J41" s="2353">
        <f t="shared" si="15"/>
        <v>7.1282627802486704</v>
      </c>
      <c r="K41" s="2353">
        <f t="shared" si="15"/>
        <v>7.6420399472777047</v>
      </c>
      <c r="L41" s="2360">
        <f>+L38/L16</f>
        <v>6.841593191075269</v>
      </c>
      <c r="M41" s="2353">
        <f t="shared" si="15"/>
        <v>6.9532682781481592</v>
      </c>
      <c r="N41" s="2353">
        <f t="shared" si="15"/>
        <v>6.6355349027547419</v>
      </c>
      <c r="O41" s="2353">
        <f t="shared" si="15"/>
        <v>6.8057611862047578</v>
      </c>
      <c r="P41" s="2353">
        <f t="shared" si="15"/>
        <v>6.7008349403485115</v>
      </c>
      <c r="Q41" s="2360">
        <f>+Q38/Q16</f>
        <v>6.7020393081912379</v>
      </c>
      <c r="R41" s="3042">
        <f>+R38/(R16*4)</f>
        <v>6.0293018438508676</v>
      </c>
      <c r="S41" s="3043">
        <f>+S38/(S16*4)</f>
        <v>5.4860904367148615</v>
      </c>
      <c r="T41" s="3043">
        <f>+T38/(T16*4)</f>
        <v>5.3661052476740316</v>
      </c>
      <c r="U41" s="3044">
        <f>+U38/(U16*4)</f>
        <v>5.5236179633963705</v>
      </c>
      <c r="V41" s="2360">
        <f t="shared" ref="V41:AE41" si="16">+V38/V16</f>
        <v>5.3852197293704709</v>
      </c>
      <c r="W41" s="3042">
        <f>+W38/(W16*4)</f>
        <v>5.226631412544938</v>
      </c>
      <c r="X41" s="3043">
        <f>+X38/(X16*4)</f>
        <v>5.9567720835116065</v>
      </c>
      <c r="Y41" s="3043">
        <f>+Y38/(Y16*4)</f>
        <v>6.1982120091082242</v>
      </c>
      <c r="Z41" s="3044">
        <f>+Z38/(Z16*4)</f>
        <v>5.4133885923012084</v>
      </c>
      <c r="AA41" s="2360">
        <f t="shared" si="16"/>
        <v>5.3761546339652675</v>
      </c>
      <c r="AB41" s="2360">
        <f t="shared" si="16"/>
        <v>4.8972088142707246</v>
      </c>
      <c r="AC41" s="2360">
        <f t="shared" si="16"/>
        <v>5.94071047574917</v>
      </c>
      <c r="AD41" s="2360">
        <f t="shared" si="16"/>
        <v>4.5408550850641101</v>
      </c>
      <c r="AE41" s="2360">
        <f t="shared" si="16"/>
        <v>4.0399474144387648</v>
      </c>
    </row>
    <row r="42" spans="1:31">
      <c r="A42" s="2337"/>
      <c r="B42" s="2355"/>
      <c r="C42" s="2343"/>
      <c r="D42" s="2343"/>
      <c r="E42" s="2343"/>
      <c r="F42" s="2343"/>
      <c r="G42" s="2355"/>
      <c r="H42" s="2343"/>
      <c r="I42" s="2343"/>
      <c r="J42" s="2343"/>
      <c r="K42" s="2343"/>
      <c r="L42" s="2355"/>
      <c r="M42" s="2343"/>
      <c r="N42" s="2343"/>
      <c r="O42" s="2343"/>
      <c r="P42" s="2343"/>
      <c r="Q42" s="2355"/>
      <c r="R42" s="3034"/>
      <c r="S42" s="3035"/>
      <c r="T42" s="3035"/>
      <c r="U42" s="3036"/>
      <c r="V42" s="2355"/>
      <c r="W42" s="3034"/>
      <c r="X42" s="3035"/>
      <c r="Y42" s="3035"/>
      <c r="Z42" s="3036"/>
      <c r="AA42" s="2360">
        <f>+AA38/578</f>
        <v>5.1994065743944642</v>
      </c>
      <c r="AB42" s="2355"/>
      <c r="AC42" s="2355"/>
      <c r="AD42" s="2355"/>
      <c r="AE42" s="2355"/>
    </row>
    <row r="43" spans="1:31">
      <c r="A43" s="2337" t="s">
        <v>1636</v>
      </c>
      <c r="B43" s="2355">
        <f>+BYD!AQ1124</f>
        <v>1202.0920000000001</v>
      </c>
      <c r="C43" s="2343">
        <f>+BYD!AR1124</f>
        <v>1210.9070000000002</v>
      </c>
      <c r="D43" s="2343">
        <f>+BYD!AS1124</f>
        <v>1214.691</v>
      </c>
      <c r="E43" s="2343">
        <f>+BYD!AT1124</f>
        <v>1200.4590000000001</v>
      </c>
      <c r="F43" s="2343">
        <f>+BYD!AU1124</f>
        <v>303.791</v>
      </c>
      <c r="G43" s="2355">
        <f>+BYD!AV1124</f>
        <v>303.791</v>
      </c>
      <c r="H43" s="2343">
        <f>+BYD!AW1124</f>
        <v>300.88800000000003</v>
      </c>
      <c r="I43" s="2343">
        <f>+BYD!AX1124</f>
        <v>328.029</v>
      </c>
      <c r="J43" s="2343">
        <f>+BYD!AY1124</f>
        <v>509.77099999999996</v>
      </c>
      <c r="K43" s="2343">
        <f>+BYD!AZ1124</f>
        <v>469.98699999999997</v>
      </c>
      <c r="L43" s="2355">
        <f>+BYD!BA1124</f>
        <v>469.98699999999997</v>
      </c>
      <c r="M43" s="2343">
        <f>+BYD!BB1124</f>
        <v>471.38200000000001</v>
      </c>
      <c r="N43" s="2343">
        <f>+BYD!BC1124</f>
        <v>475.69199999999995</v>
      </c>
      <c r="O43" s="2343">
        <f>+BYD!BD1124</f>
        <v>462.5569999999999</v>
      </c>
      <c r="P43" s="2343">
        <f>+BYD!BE1124</f>
        <v>438.03699999999992</v>
      </c>
      <c r="Q43" s="2355">
        <f>+BYD!BF1124</f>
        <v>438.03699999999992</v>
      </c>
      <c r="R43" s="3034">
        <f>+BYD!BG1124</f>
        <v>478.82500000000005</v>
      </c>
      <c r="S43" s="3035">
        <f>+BYD!BH1124</f>
        <v>474.41900000000004</v>
      </c>
      <c r="T43" s="3035">
        <f>+BYD!BI1124</f>
        <v>506.12100000000004</v>
      </c>
      <c r="U43" s="3036">
        <f>+BYD!BJ1124</f>
        <v>507.96100000000007</v>
      </c>
      <c r="V43" s="2355">
        <f>+BYD!BK1124</f>
        <v>507.96100000000007</v>
      </c>
      <c r="W43" s="3034">
        <f>+BYD!BL1124</f>
        <v>543.54900000000009</v>
      </c>
      <c r="X43" s="3035">
        <f>+BYD!BM1124</f>
        <v>576.98900000000003</v>
      </c>
      <c r="Y43" s="3035">
        <f>+BYD!BN1124</f>
        <v>922.976</v>
      </c>
      <c r="Z43" s="3036">
        <f>+BYD!BO1124</f>
        <v>934.07600000000002</v>
      </c>
      <c r="AA43" s="2355">
        <f>+BYD!BP1124</f>
        <v>934.07600000000002</v>
      </c>
      <c r="AB43" s="2355">
        <f>+BYD!BU1124</f>
        <v>1034.7249999999999</v>
      </c>
      <c r="AC43" s="2355">
        <f>+BYD!BZ1124</f>
        <v>1157.525503256925</v>
      </c>
      <c r="AD43" s="2355">
        <f>+BYD!CA1124</f>
        <v>1375.0506508471053</v>
      </c>
      <c r="AE43" s="2355">
        <f>+BYD!CB1124</f>
        <v>1595.9570897407641</v>
      </c>
    </row>
    <row r="44" spans="1:31">
      <c r="A44" s="2337"/>
      <c r="B44" s="2355"/>
      <c r="C44" s="2343"/>
      <c r="D44" s="2343"/>
      <c r="E44" s="2343"/>
      <c r="F44" s="2343"/>
      <c r="G44" s="2355"/>
      <c r="H44" s="2343"/>
      <c r="I44" s="2343"/>
      <c r="J44" s="2343"/>
      <c r="K44" s="2343"/>
      <c r="L44" s="2355"/>
      <c r="M44" s="2343"/>
      <c r="N44" s="2343"/>
      <c r="O44" s="2343"/>
      <c r="P44" s="2343"/>
      <c r="Q44" s="2355"/>
      <c r="R44" s="3034"/>
      <c r="S44" s="3035"/>
      <c r="T44" s="3035"/>
      <c r="U44" s="3036"/>
      <c r="V44" s="2355"/>
      <c r="W44" s="3034"/>
      <c r="X44" s="3035"/>
      <c r="Y44" s="3035"/>
      <c r="Z44" s="3036"/>
      <c r="AA44" s="2355"/>
      <c r="AB44" s="2355"/>
      <c r="AC44" s="2355"/>
      <c r="AD44" s="2355"/>
      <c r="AE44" s="2355"/>
    </row>
    <row r="45" spans="1:31">
      <c r="A45" s="2" t="s">
        <v>1777</v>
      </c>
      <c r="B45" s="2355">
        <f>-BYD!AQ73</f>
        <v>250.733</v>
      </c>
      <c r="C45" s="2343">
        <f>-BYD!AR73</f>
        <v>63.824000000000005</v>
      </c>
      <c r="D45" s="2343">
        <f>-BYD!AS73</f>
        <v>64.38</v>
      </c>
      <c r="E45" s="2343">
        <f>-BYD!AT73</f>
        <v>73.843000000000004</v>
      </c>
      <c r="F45" s="2343">
        <f>-BYD!AU73</f>
        <v>86.787999999999997</v>
      </c>
      <c r="G45" s="2355">
        <f>-BYD!AV73</f>
        <v>288.83500000000004</v>
      </c>
      <c r="H45" s="2343">
        <f>-BYD!AW73</f>
        <v>74.2</v>
      </c>
      <c r="I45" s="2343">
        <f>-BYD!AX73</f>
        <v>66.7</v>
      </c>
      <c r="J45" s="2343">
        <f>-BYD!AY73</f>
        <v>62.3</v>
      </c>
      <c r="K45" s="2343">
        <f>-BYD!AZ73</f>
        <v>57.6</v>
      </c>
      <c r="L45" s="2355">
        <f>-BYD!BA73</f>
        <v>260.8</v>
      </c>
      <c r="M45" s="2343">
        <f>-BYD!BB73</f>
        <v>57.3</v>
      </c>
      <c r="N45" s="2343">
        <f>-BYD!BC73</f>
        <v>56.9</v>
      </c>
      <c r="O45" s="2343">
        <f>-BYD!BD73</f>
        <v>57.1</v>
      </c>
      <c r="P45" s="2343">
        <f>-BYD!BE73</f>
        <v>56.701000000000001</v>
      </c>
      <c r="Q45" s="2355">
        <f>-BYD!BF73</f>
        <v>228.00099999999998</v>
      </c>
      <c r="R45" s="3034">
        <f>-BYD!BG73</f>
        <v>56.463999999999999</v>
      </c>
      <c r="S45" s="3035">
        <f>-BYD!BH73</f>
        <v>56.665999999999997</v>
      </c>
      <c r="T45" s="3035">
        <f>-BYD!BI73</f>
        <v>56.097999999999999</v>
      </c>
      <c r="U45" s="3036">
        <f>-BYD!BJ73</f>
        <v>53.503999999999998</v>
      </c>
      <c r="V45" s="2355">
        <f>-BYD!BK73</f>
        <v>222.732</v>
      </c>
      <c r="W45" s="3034">
        <f>-BYD!BL73</f>
        <v>52.567999999999998</v>
      </c>
      <c r="X45" s="3035">
        <f>-BYD!BM73</f>
        <v>60.927999999999997</v>
      </c>
      <c r="Y45" s="3035">
        <f>-BYD!BN73</f>
        <v>54.153000000000006</v>
      </c>
      <c r="Z45" s="3036">
        <f>-BYD!BO73</f>
        <v>42.082000000000001</v>
      </c>
      <c r="AA45" s="2355">
        <f>-BYD!BP73</f>
        <v>209.73099999999999</v>
      </c>
      <c r="AB45" s="2355">
        <f>-BYD!BU73</f>
        <v>171.29</v>
      </c>
      <c r="AC45" s="2355">
        <f>-BYD!BZ73</f>
        <v>226.43468687500001</v>
      </c>
      <c r="AD45" s="2355">
        <f>-BYD!CA73</f>
        <v>312.22104485</v>
      </c>
      <c r="AE45" s="2355">
        <f>-BYD!CB73</f>
        <v>318.79065617138781</v>
      </c>
    </row>
    <row r="46" spans="1:31">
      <c r="A46" s="2" t="s">
        <v>1778</v>
      </c>
      <c r="B46" s="2360">
        <f>+B8/B45</f>
        <v>2.0192874491989485</v>
      </c>
      <c r="C46" s="2353">
        <f t="shared" ref="C46:AA46" si="17">+C8/C45</f>
        <v>2.2550921283529703</v>
      </c>
      <c r="D46" s="2353">
        <f t="shared" si="17"/>
        <v>1.9319975147561355</v>
      </c>
      <c r="E46" s="2353">
        <f t="shared" si="17"/>
        <v>1.5260078815866094</v>
      </c>
      <c r="F46" s="2353">
        <f t="shared" si="17"/>
        <v>1.279612388809513</v>
      </c>
      <c r="G46" s="2360">
        <f t="shared" si="17"/>
        <v>1.70357124309727</v>
      </c>
      <c r="H46" s="2353">
        <f t="shared" si="17"/>
        <v>2.1686320754716983</v>
      </c>
      <c r="I46" s="2353">
        <f t="shared" si="17"/>
        <v>2.3821814092953524</v>
      </c>
      <c r="J46" s="2353">
        <f t="shared" si="17"/>
        <v>2.2855537720706263</v>
      </c>
      <c r="K46" s="2353">
        <f t="shared" si="17"/>
        <v>2.3473350694444446</v>
      </c>
      <c r="L46" s="2360">
        <f t="shared" si="17"/>
        <v>2.2906460889570548</v>
      </c>
      <c r="M46" s="2353">
        <f t="shared" si="17"/>
        <v>2.5901570680628279</v>
      </c>
      <c r="N46" s="2353">
        <f t="shared" si="17"/>
        <v>2.7049560632688929</v>
      </c>
      <c r="O46" s="2353">
        <f t="shared" si="17"/>
        <v>2.6142119089316989</v>
      </c>
      <c r="P46" s="2353">
        <f t="shared" si="17"/>
        <v>2.7008694732015308</v>
      </c>
      <c r="Q46" s="2360">
        <f t="shared" si="17"/>
        <v>2.6523633668273385</v>
      </c>
      <c r="R46" s="3042">
        <f t="shared" ref="R46:Z46" si="18">+R8/R45</f>
        <v>2.9366233352224431</v>
      </c>
      <c r="S46" s="3043">
        <f t="shared" si="18"/>
        <v>3.1356810080118596</v>
      </c>
      <c r="T46" s="3043">
        <f t="shared" si="18"/>
        <v>3.1505401262077082</v>
      </c>
      <c r="U46" s="3044">
        <f t="shared" si="18"/>
        <v>3.1665669856459333</v>
      </c>
      <c r="V46" s="2360">
        <f t="shared" si="18"/>
        <v>3.0963804033547042</v>
      </c>
      <c r="W46" s="3042">
        <f t="shared" si="18"/>
        <v>3.3393794704002437</v>
      </c>
      <c r="X46" s="3043">
        <f t="shared" si="18"/>
        <v>2.4977514443277311</v>
      </c>
      <c r="Y46" s="3043">
        <f t="shared" si="18"/>
        <v>2.5266190238767936</v>
      </c>
      <c r="Z46" s="3044">
        <f t="shared" si="18"/>
        <v>3.6671498502922866</v>
      </c>
      <c r="AA46" s="2360">
        <f t="shared" si="17"/>
        <v>2.9507917284521605</v>
      </c>
      <c r="AB46" s="2360">
        <f>+AB8/AB45</f>
        <v>3.9037363535524552</v>
      </c>
      <c r="AC46" s="2360">
        <f>+AC8/AC45</f>
        <v>3.5727491075998503</v>
      </c>
      <c r="AD46" s="2360">
        <f>+AD8/AD45</f>
        <v>3.0233640816104783</v>
      </c>
      <c r="AE46" s="2360">
        <f>+AE8/AE45</f>
        <v>3.0016059929497483</v>
      </c>
    </row>
    <row r="47" spans="1:31">
      <c r="A47" s="2"/>
      <c r="B47" s="2355"/>
      <c r="C47" s="2343"/>
      <c r="D47" s="2343"/>
      <c r="E47" s="2343"/>
      <c r="F47" s="2343"/>
      <c r="G47" s="2355"/>
      <c r="H47" s="2343"/>
      <c r="I47" s="2343"/>
      <c r="J47" s="2343"/>
      <c r="K47" s="2343"/>
      <c r="L47" s="2355"/>
      <c r="M47" s="2343"/>
      <c r="N47" s="2343"/>
      <c r="O47" s="2343"/>
      <c r="P47" s="2343"/>
      <c r="Q47" s="2355"/>
      <c r="R47" s="3034"/>
      <c r="S47" s="3035"/>
      <c r="T47" s="3035"/>
      <c r="U47" s="3036"/>
      <c r="V47" s="2355"/>
      <c r="W47" s="3034"/>
      <c r="X47" s="3035"/>
      <c r="Y47" s="3035"/>
      <c r="Z47" s="3036"/>
      <c r="AA47" s="2355"/>
      <c r="AB47" s="2355"/>
      <c r="AC47" s="2355"/>
      <c r="AD47" s="2355"/>
      <c r="AE47" s="2355"/>
    </row>
    <row r="48" spans="1:31">
      <c r="A48" s="1" t="s">
        <v>13</v>
      </c>
      <c r="B48" s="2355"/>
      <c r="C48" s="2343"/>
      <c r="D48" s="2343"/>
      <c r="E48" s="2343"/>
      <c r="F48" s="2343"/>
      <c r="G48" s="2355"/>
      <c r="H48" s="2343"/>
      <c r="I48" s="2343"/>
      <c r="J48" s="2343"/>
      <c r="K48" s="2343"/>
      <c r="L48" s="2355"/>
      <c r="M48" s="2343"/>
      <c r="N48" s="2343"/>
      <c r="O48" s="2343"/>
      <c r="P48" s="2343"/>
      <c r="Q48" s="2355"/>
      <c r="R48" s="3034"/>
      <c r="S48" s="3035"/>
      <c r="T48" s="3035"/>
      <c r="U48" s="3036"/>
      <c r="V48" s="2355"/>
      <c r="W48" s="3034"/>
      <c r="X48" s="3035"/>
      <c r="Y48" s="3035"/>
      <c r="Z48" s="3036"/>
      <c r="AA48" s="2355"/>
      <c r="AB48" s="2355"/>
      <c r="AC48" s="2355"/>
      <c r="AD48" s="2355"/>
      <c r="AE48" s="2355"/>
    </row>
    <row r="49" spans="1:31">
      <c r="A49" s="2" t="s">
        <v>509</v>
      </c>
      <c r="B49" s="2355">
        <f>+BYD!AQ151-BYD!AQ150</f>
        <v>113.358</v>
      </c>
      <c r="C49" s="2343">
        <f>+BYD!AR151-BYD!AR150</f>
        <v>40.222000000000008</v>
      </c>
      <c r="D49" s="2343">
        <f>+BYD!AS151-BYD!AS150</f>
        <v>10.161000000000003</v>
      </c>
      <c r="E49" s="2343">
        <f>+BYD!AT151-BYD!AT150</f>
        <v>11.462000000000002</v>
      </c>
      <c r="F49" s="2343">
        <f>+BYD!AU151-BYD!AU150</f>
        <v>-175.17399999999998</v>
      </c>
      <c r="G49" s="2355">
        <f>+BYD!AV151-BYD!AV150</f>
        <v>-113.32899999999995</v>
      </c>
      <c r="H49" s="2343">
        <f>+BYD!AW151-BYD!AW150</f>
        <v>58.789500000000032</v>
      </c>
      <c r="I49" s="2343">
        <f>+BYD!AX151-BYD!AX150</f>
        <v>22.004500000000029</v>
      </c>
      <c r="J49" s="2343">
        <f>+BYD!AY151-BYD!AY150</f>
        <v>-12.160999999999968</v>
      </c>
      <c r="K49" s="2343">
        <f>+BYD!AZ151-BYD!AZ150</f>
        <v>-4.3465000000000273</v>
      </c>
      <c r="L49" s="2355">
        <f>+BYD!BA151-BYD!BA150</f>
        <v>64.286500000000103</v>
      </c>
      <c r="M49" s="2343">
        <f>+BYD!BB151-BYD!BB150</f>
        <v>41.063000000000038</v>
      </c>
      <c r="N49" s="2343">
        <f>+BYD!BC151-BYD!BC150</f>
        <v>21.174999999999994</v>
      </c>
      <c r="O49" s="2343">
        <f>+BYD!BD151-BYD!BD150</f>
        <v>21.288499999999971</v>
      </c>
      <c r="P49" s="2343">
        <f>+BYD!BE151-BYD!BE150</f>
        <v>-14.589999999999989</v>
      </c>
      <c r="Q49" s="2355">
        <f>+BYD!BF151-BYD!BF150</f>
        <v>68.936500000000009</v>
      </c>
      <c r="R49" s="3034">
        <f>+BYD!BG151-BYD!BG150</f>
        <v>26.872500000000024</v>
      </c>
      <c r="S49" s="3035">
        <f>+BYD!BH151-BYD!BH150</f>
        <v>64.866500000000059</v>
      </c>
      <c r="T49" s="3035">
        <f>+BYD!BI151-BYD!BI150</f>
        <v>82.126999999999995</v>
      </c>
      <c r="U49" s="3036">
        <f>+BYD!BJ151-BYD!BJ150</f>
        <v>14.686</v>
      </c>
      <c r="V49" s="2355">
        <f>+BYD!BK151-BYD!BK150</f>
        <v>188.55200000000011</v>
      </c>
      <c r="W49" s="3034">
        <f>+BYD!BL151-BYD!BL150</f>
        <v>78.45150000000001</v>
      </c>
      <c r="X49" s="3035">
        <f>+BYD!BM151-BYD!BM150</f>
        <v>27.10599999999998</v>
      </c>
      <c r="Y49" s="3035">
        <f>+BYD!BN151-BYD!BN150</f>
        <v>-132.70899999999995</v>
      </c>
      <c r="Z49" s="3036">
        <f>+BYD!BO151-BYD!BO150</f>
        <v>38.621999999999986</v>
      </c>
      <c r="AA49" s="2355">
        <f>+BYD!BP151-BYD!BP150</f>
        <v>11.470500000000015</v>
      </c>
      <c r="AB49" s="2355">
        <f>+BYD!BU151-BYD!BU150</f>
        <v>170.57074999999998</v>
      </c>
      <c r="AC49" s="2355">
        <f>+BYD!BZ151-BYD!BZ150</f>
        <v>332.02068206137147</v>
      </c>
      <c r="AD49" s="2355">
        <f>+BYD!CA151-BYD!CA150</f>
        <v>377.19789114644772</v>
      </c>
      <c r="AE49" s="2355">
        <f>+BYD!CB151-BYD!CB150</f>
        <v>382.15433136309599</v>
      </c>
    </row>
    <row r="50" spans="1:31">
      <c r="A50" s="2" t="s">
        <v>267</v>
      </c>
      <c r="B50" s="2361">
        <f>+BYD!AQ965</f>
        <v>53.521999999999998</v>
      </c>
      <c r="C50" s="2337">
        <f>+BYD!AR965</f>
        <v>1.5220000000000027</v>
      </c>
      <c r="D50" s="2337">
        <f>+BYD!AS965</f>
        <v>-1.1090000000000011</v>
      </c>
      <c r="E50" s="2337">
        <f>+BYD!AT965</f>
        <v>10.232000000000005</v>
      </c>
      <c r="F50" s="2337">
        <f>+BYD!AU965</f>
        <v>-5.1950000000000038</v>
      </c>
      <c r="G50" s="2361">
        <f>+BYD!AV965</f>
        <v>5.4500000000000268</v>
      </c>
      <c r="H50" s="2337">
        <f>+BYD!AW965</f>
        <v>6.4430000000000005</v>
      </c>
      <c r="I50" s="2337">
        <f>+BYD!AX965</f>
        <v>1.3240000000000014</v>
      </c>
      <c r="J50" s="2337">
        <f>+BYD!AY965</f>
        <v>20.778999999999996</v>
      </c>
      <c r="K50" s="2337">
        <f>+BYD!AZ965</f>
        <v>-3.7860000000000005</v>
      </c>
      <c r="L50" s="2361">
        <f>+BYD!BA965</f>
        <v>24.75999999999998</v>
      </c>
      <c r="M50" s="2337">
        <f>+BYD!BB965</f>
        <v>2.6030000000000006</v>
      </c>
      <c r="N50" s="2337">
        <f>+BYD!BC965</f>
        <v>17.907</v>
      </c>
      <c r="O50" s="2337">
        <f>+BYD!BD965</f>
        <v>34.933</v>
      </c>
      <c r="P50" s="2337">
        <f>+BYD!BE965</f>
        <v>12.725146874999997</v>
      </c>
      <c r="Q50" s="2361">
        <f>+BYD!BF965</f>
        <v>68.168146874999991</v>
      </c>
      <c r="R50" s="3045">
        <f>+BYD!BG965</f>
        <v>15.445000000000004</v>
      </c>
      <c r="S50" s="3046">
        <f>+BYD!BH965</f>
        <v>18.046000000000003</v>
      </c>
      <c r="T50" s="3046">
        <f>+BYD!BI965</f>
        <v>59.899000000000015</v>
      </c>
      <c r="U50" s="3047">
        <f>+BYD!BJ965</f>
        <v>25.649999999999995</v>
      </c>
      <c r="V50" s="2361">
        <f>+BYD!BK965</f>
        <v>119.03999999999984</v>
      </c>
      <c r="W50" s="3045">
        <f>+BYD!BL965</f>
        <v>23.697999999999997</v>
      </c>
      <c r="X50" s="3046">
        <f>+BYD!BM965</f>
        <v>38.352000000000004</v>
      </c>
      <c r="Y50" s="3046">
        <f>+BYD!BN965</f>
        <v>119.84022087474413</v>
      </c>
      <c r="Z50" s="3047">
        <f>+BYD!BO965</f>
        <v>0</v>
      </c>
      <c r="AA50" s="2361">
        <f>+BYD!BP965</f>
        <v>0</v>
      </c>
      <c r="AB50" s="2361">
        <f>+BYD!BU965</f>
        <v>0</v>
      </c>
      <c r="AC50" s="2361">
        <f>+BYD!BZ965</f>
        <v>0</v>
      </c>
      <c r="AD50" s="2361">
        <f>+BYD!CA965</f>
        <v>0</v>
      </c>
      <c r="AE50" s="2361">
        <f>+BYD!CB965</f>
        <v>0</v>
      </c>
    </row>
    <row r="51" spans="1:31">
      <c r="A51" s="2" t="s">
        <v>1779</v>
      </c>
      <c r="B51" s="2361">
        <f t="shared" ref="B51:G51" si="19">+B49-(B50*0.5)</f>
        <v>86.597000000000008</v>
      </c>
      <c r="C51" s="2337">
        <f t="shared" si="19"/>
        <v>39.461000000000006</v>
      </c>
      <c r="D51" s="2337">
        <f t="shared" si="19"/>
        <v>10.715500000000004</v>
      </c>
      <c r="E51" s="2337">
        <f t="shared" si="19"/>
        <v>6.3459999999999992</v>
      </c>
      <c r="F51" s="2337">
        <f t="shared" si="19"/>
        <v>-172.57649999999998</v>
      </c>
      <c r="G51" s="2361">
        <f t="shared" si="19"/>
        <v>-116.05399999999996</v>
      </c>
      <c r="H51" s="3101">
        <f>+H49</f>
        <v>58.789500000000032</v>
      </c>
      <c r="I51" s="2337">
        <f t="shared" ref="I51:AA51" si="20">+I49</f>
        <v>22.004500000000029</v>
      </c>
      <c r="J51" s="2337">
        <f t="shared" si="20"/>
        <v>-12.160999999999968</v>
      </c>
      <c r="K51" s="2337">
        <f t="shared" si="20"/>
        <v>-4.3465000000000273</v>
      </c>
      <c r="L51" s="2361">
        <f t="shared" si="20"/>
        <v>64.286500000000103</v>
      </c>
      <c r="M51" s="2337">
        <f t="shared" si="20"/>
        <v>41.063000000000038</v>
      </c>
      <c r="N51" s="2337">
        <f t="shared" si="20"/>
        <v>21.174999999999994</v>
      </c>
      <c r="O51" s="2337">
        <f t="shared" si="20"/>
        <v>21.288499999999971</v>
      </c>
      <c r="P51" s="2337">
        <f t="shared" si="20"/>
        <v>-14.589999999999989</v>
      </c>
      <c r="Q51" s="2361">
        <f t="shared" si="20"/>
        <v>68.936500000000009</v>
      </c>
      <c r="R51" s="3045">
        <f t="shared" si="20"/>
        <v>26.872500000000024</v>
      </c>
      <c r="S51" s="3046">
        <f t="shared" si="20"/>
        <v>64.866500000000059</v>
      </c>
      <c r="T51" s="3046">
        <f t="shared" si="20"/>
        <v>82.126999999999995</v>
      </c>
      <c r="U51" s="3047">
        <f t="shared" si="20"/>
        <v>14.686</v>
      </c>
      <c r="V51" s="2361">
        <f t="shared" si="20"/>
        <v>188.55200000000011</v>
      </c>
      <c r="W51" s="3045">
        <f>+W49</f>
        <v>78.45150000000001</v>
      </c>
      <c r="X51" s="3046">
        <f>+X49</f>
        <v>27.10599999999998</v>
      </c>
      <c r="Y51" s="3046">
        <f>+Y49</f>
        <v>-132.70899999999995</v>
      </c>
      <c r="Z51" s="3047">
        <f>+Z49</f>
        <v>38.621999999999986</v>
      </c>
      <c r="AA51" s="2361">
        <f t="shared" si="20"/>
        <v>11.470500000000015</v>
      </c>
      <c r="AB51" s="2361">
        <f>+AB49</f>
        <v>170.57074999999998</v>
      </c>
      <c r="AC51" s="2361">
        <f>+AC49</f>
        <v>332.02068206137147</v>
      </c>
      <c r="AD51" s="2361">
        <f>+AD49</f>
        <v>377.19789114644772</v>
      </c>
      <c r="AE51" s="2361">
        <f>+AE49</f>
        <v>382.15433136309599</v>
      </c>
    </row>
    <row r="52" spans="1:31" s="1238" customFormat="1">
      <c r="A52" s="3046"/>
      <c r="B52" s="2361"/>
      <c r="C52" s="3046"/>
      <c r="D52" s="3046"/>
      <c r="E52" s="3046"/>
      <c r="F52" s="3046"/>
      <c r="G52" s="2361"/>
      <c r="H52" s="3046"/>
      <c r="I52" s="3046"/>
      <c r="J52" s="3046"/>
      <c r="K52" s="3046"/>
      <c r="L52" s="2361"/>
      <c r="M52" s="3046"/>
      <c r="N52" s="3046"/>
      <c r="O52" s="3046"/>
      <c r="P52" s="3046"/>
      <c r="Q52" s="2361"/>
      <c r="R52" s="3046"/>
      <c r="S52" s="3046"/>
      <c r="T52" s="3046"/>
      <c r="U52" s="3046"/>
      <c r="V52" s="2361"/>
      <c r="W52" s="3045"/>
      <c r="X52" s="3046"/>
      <c r="Y52" s="3046"/>
      <c r="Z52" s="3047"/>
      <c r="AA52" s="2361"/>
      <c r="AB52" s="2361"/>
      <c r="AC52" s="2361"/>
      <c r="AD52" s="2361"/>
      <c r="AE52" s="2361"/>
    </row>
    <row r="53" spans="1:31" hidden="1" outlineLevel="1">
      <c r="A53" s="2346" t="s">
        <v>1780</v>
      </c>
      <c r="B53" s="2361"/>
      <c r="C53" s="2337"/>
      <c r="D53" s="2337"/>
      <c r="E53" s="2337"/>
      <c r="F53" s="2337"/>
      <c r="G53" s="2361"/>
      <c r="H53" s="2337"/>
      <c r="I53" s="2337"/>
      <c r="J53" s="2337"/>
      <c r="K53" s="2337"/>
      <c r="L53" s="2361"/>
      <c r="M53" s="2337"/>
      <c r="N53" s="2337"/>
      <c r="O53" s="2337"/>
      <c r="P53" s="2337"/>
      <c r="Q53" s="2361"/>
      <c r="R53" s="2337"/>
      <c r="S53" s="2337"/>
      <c r="T53" s="2337"/>
      <c r="U53" s="2337"/>
      <c r="V53" s="2361"/>
      <c r="W53" s="3045"/>
      <c r="X53" s="3046"/>
      <c r="Y53" s="3046"/>
      <c r="Z53" s="3047"/>
      <c r="AA53" s="2361"/>
      <c r="AB53" s="2361"/>
      <c r="AC53" s="2361"/>
      <c r="AD53" s="2361"/>
      <c r="AE53" s="2361"/>
    </row>
    <row r="54" spans="1:31" hidden="1" outlineLevel="1">
      <c r="A54" s="2337" t="s">
        <v>1781</v>
      </c>
      <c r="B54" s="2361"/>
      <c r="C54" s="2337"/>
      <c r="D54" s="2337"/>
      <c r="E54" s="2337"/>
      <c r="F54" s="2337"/>
      <c r="G54" s="2361"/>
      <c r="H54" s="2337"/>
      <c r="I54" s="2337"/>
      <c r="J54" s="2337"/>
      <c r="K54" s="2337"/>
      <c r="L54" s="2361"/>
      <c r="M54" s="2337"/>
      <c r="N54" s="2337"/>
      <c r="O54" s="2337"/>
      <c r="P54" s="2337"/>
      <c r="Q54" s="2361"/>
      <c r="R54" s="2337"/>
      <c r="S54" s="2337"/>
      <c r="T54" s="2337"/>
      <c r="U54" s="2337"/>
      <c r="V54" s="2361"/>
      <c r="W54" s="3045"/>
      <c r="X54" s="3046"/>
      <c r="Y54" s="3046"/>
      <c r="Z54" s="3047"/>
      <c r="AA54" s="2361"/>
      <c r="AB54" s="2361"/>
      <c r="AC54" s="2361"/>
      <c r="AD54" s="2361"/>
      <c r="AE54" s="2361"/>
    </row>
    <row r="55" spans="1:31" hidden="1" outlineLevel="1">
      <c r="A55" s="2337" t="s">
        <v>1782</v>
      </c>
      <c r="B55" s="2361"/>
      <c r="C55" s="2337"/>
      <c r="D55" s="2337"/>
      <c r="E55" s="2337"/>
      <c r="F55" s="2337"/>
      <c r="G55" s="2361"/>
      <c r="H55" s="2337"/>
      <c r="I55" s="2337"/>
      <c r="J55" s="2337"/>
      <c r="K55" s="2337"/>
      <c r="L55" s="2361"/>
      <c r="M55" s="2337"/>
      <c r="N55" s="2337"/>
      <c r="O55" s="2337"/>
      <c r="P55" s="2337"/>
      <c r="Q55" s="2361"/>
      <c r="R55" s="2337"/>
      <c r="S55" s="2337"/>
      <c r="T55" s="2337"/>
      <c r="U55" s="2337"/>
      <c r="V55" s="2361"/>
      <c r="W55" s="3045"/>
      <c r="X55" s="3046"/>
      <c r="Y55" s="3046"/>
      <c r="Z55" s="3047"/>
      <c r="AA55" s="2361"/>
      <c r="AB55" s="2361"/>
      <c r="AC55" s="2361"/>
      <c r="AD55" s="2361"/>
      <c r="AE55" s="2361"/>
    </row>
    <row r="56" spans="1:31" hidden="1" outlineLevel="1">
      <c r="A56" s="2337" t="s">
        <v>1783</v>
      </c>
      <c r="B56" s="2361"/>
      <c r="C56" s="2337"/>
      <c r="D56" s="2337"/>
      <c r="E56" s="2337"/>
      <c r="F56" s="2337"/>
      <c r="G56" s="2361"/>
      <c r="H56" s="2337"/>
      <c r="I56" s="2337"/>
      <c r="J56" s="2337"/>
      <c r="K56" s="2337"/>
      <c r="L56" s="2361"/>
      <c r="M56" s="2337"/>
      <c r="N56" s="2337"/>
      <c r="O56" s="2337"/>
      <c r="P56" s="2337"/>
      <c r="Q56" s="2361"/>
      <c r="R56" s="2337"/>
      <c r="S56" s="2337"/>
      <c r="T56" s="2337"/>
      <c r="U56" s="2337"/>
      <c r="V56" s="2361"/>
      <c r="W56" s="3045"/>
      <c r="X56" s="3046"/>
      <c r="Y56" s="3046"/>
      <c r="Z56" s="3047"/>
      <c r="AA56" s="2361"/>
      <c r="AB56" s="2361"/>
      <c r="AC56" s="2361"/>
      <c r="AD56" s="2361"/>
      <c r="AE56" s="2361"/>
    </row>
    <row r="57" spans="1:31" hidden="1" outlineLevel="1">
      <c r="A57" s="2337"/>
      <c r="B57" s="2361"/>
      <c r="C57" s="2337"/>
      <c r="D57" s="2337"/>
      <c r="E57" s="2337"/>
      <c r="F57" s="2337"/>
      <c r="G57" s="2361"/>
      <c r="H57" s="2337"/>
      <c r="I57" s="2337"/>
      <c r="J57" s="2337"/>
      <c r="K57" s="2337"/>
      <c r="L57" s="2361"/>
      <c r="M57" s="2337"/>
      <c r="N57" s="2337"/>
      <c r="O57" s="2337"/>
      <c r="P57" s="2337"/>
      <c r="Q57" s="2361"/>
      <c r="R57" s="2337"/>
      <c r="S57" s="2337"/>
      <c r="T57" s="2337"/>
      <c r="U57" s="2337"/>
      <c r="V57" s="2361"/>
      <c r="W57" s="3045"/>
      <c r="X57" s="3046"/>
      <c r="Y57" s="3046"/>
      <c r="Z57" s="3047"/>
      <c r="AA57" s="2361"/>
      <c r="AB57" s="2361"/>
      <c r="AC57" s="2361"/>
      <c r="AD57" s="2361"/>
      <c r="AE57" s="2361"/>
    </row>
    <row r="58" spans="1:31" hidden="1" outlineLevel="1">
      <c r="A58" s="2337" t="s">
        <v>1784</v>
      </c>
      <c r="B58" s="2361"/>
      <c r="C58" s="2337"/>
      <c r="D58" s="2337"/>
      <c r="E58" s="2337"/>
      <c r="F58" s="2337"/>
      <c r="G58" s="2361"/>
      <c r="H58" s="2337"/>
      <c r="I58" s="2337"/>
      <c r="J58" s="2337"/>
      <c r="K58" s="2337"/>
      <c r="L58" s="2361"/>
      <c r="M58" s="2337"/>
      <c r="N58" s="2337"/>
      <c r="O58" s="2337"/>
      <c r="P58" s="2337"/>
      <c r="Q58" s="2361"/>
      <c r="R58" s="2337"/>
      <c r="S58" s="2337"/>
      <c r="T58" s="2337"/>
      <c r="U58" s="2337"/>
      <c r="V58" s="2361"/>
      <c r="W58" s="3045"/>
      <c r="X58" s="3046"/>
      <c r="Y58" s="3046"/>
      <c r="Z58" s="3047"/>
      <c r="AA58" s="2361"/>
      <c r="AB58" s="2361"/>
      <c r="AC58" s="2361"/>
      <c r="AD58" s="2361"/>
      <c r="AE58" s="2361"/>
    </row>
    <row r="59" spans="1:31" hidden="1" outlineLevel="1">
      <c r="A59" s="2337" t="s">
        <v>1785</v>
      </c>
      <c r="B59" s="2361"/>
      <c r="C59" s="2337"/>
      <c r="D59" s="2337"/>
      <c r="E59" s="2337"/>
      <c r="F59" s="2337"/>
      <c r="G59" s="2361"/>
      <c r="H59" s="2337"/>
      <c r="I59" s="2337"/>
      <c r="J59" s="2337"/>
      <c r="K59" s="2337"/>
      <c r="L59" s="2361"/>
      <c r="M59" s="2337"/>
      <c r="N59" s="2337"/>
      <c r="O59" s="2337"/>
      <c r="P59" s="2337"/>
      <c r="Q59" s="2361"/>
      <c r="R59" s="2337"/>
      <c r="S59" s="2337"/>
      <c r="T59" s="2337"/>
      <c r="U59" s="2337"/>
      <c r="V59" s="2361"/>
      <c r="W59" s="3045"/>
      <c r="X59" s="3046"/>
      <c r="Y59" s="3046"/>
      <c r="Z59" s="3047"/>
      <c r="AA59" s="2361"/>
      <c r="AB59" s="2361"/>
      <c r="AC59" s="2361"/>
      <c r="AD59" s="2361"/>
      <c r="AE59" s="2361"/>
    </row>
    <row r="60" spans="1:31" hidden="1" outlineLevel="1">
      <c r="A60" s="2337" t="s">
        <v>1786</v>
      </c>
      <c r="B60" s="2361"/>
      <c r="C60" s="2337"/>
      <c r="D60" s="2337"/>
      <c r="E60" s="2337"/>
      <c r="F60" s="2337"/>
      <c r="G60" s="2361"/>
      <c r="H60" s="2337"/>
      <c r="I60" s="2337"/>
      <c r="J60" s="2337"/>
      <c r="K60" s="2337"/>
      <c r="L60" s="2361"/>
      <c r="M60" s="2337"/>
      <c r="N60" s="2337"/>
      <c r="O60" s="2337"/>
      <c r="P60" s="2337"/>
      <c r="Q60" s="2361"/>
      <c r="R60" s="2337"/>
      <c r="S60" s="2337"/>
      <c r="T60" s="2337"/>
      <c r="U60" s="2337"/>
      <c r="V60" s="2361"/>
      <c r="W60" s="3045"/>
      <c r="X60" s="3046"/>
      <c r="Y60" s="3046"/>
      <c r="Z60" s="3047"/>
      <c r="AA60" s="2361"/>
      <c r="AB60" s="2361"/>
      <c r="AC60" s="2361"/>
      <c r="AD60" s="2361"/>
      <c r="AE60" s="2361"/>
    </row>
    <row r="61" spans="1:31" hidden="1" outlineLevel="1">
      <c r="A61" s="2337"/>
      <c r="B61" s="2361"/>
      <c r="C61" s="2337"/>
      <c r="D61" s="2337"/>
      <c r="E61" s="2337"/>
      <c r="F61" s="2337"/>
      <c r="G61" s="2361"/>
      <c r="H61" s="2337"/>
      <c r="I61" s="2337"/>
      <c r="J61" s="2337"/>
      <c r="K61" s="2337"/>
      <c r="L61" s="2361"/>
      <c r="M61" s="2337"/>
      <c r="N61" s="2337"/>
      <c r="O61" s="2337"/>
      <c r="P61" s="2337"/>
      <c r="Q61" s="2361"/>
      <c r="R61" s="2337"/>
      <c r="S61" s="2337"/>
      <c r="T61" s="2337"/>
      <c r="U61" s="2337"/>
      <c r="V61" s="2361"/>
      <c r="W61" s="3045"/>
      <c r="X61" s="3046"/>
      <c r="Y61" s="3046"/>
      <c r="Z61" s="3047"/>
      <c r="AA61" s="2361"/>
      <c r="AB61" s="2361"/>
      <c r="AC61" s="2361"/>
      <c r="AD61" s="2361"/>
      <c r="AE61" s="2361"/>
    </row>
    <row r="62" spans="1:31" hidden="1" outlineLevel="1">
      <c r="A62" s="2337" t="s">
        <v>1787</v>
      </c>
      <c r="B62" s="2361"/>
      <c r="C62" s="2337"/>
      <c r="D62" s="2337"/>
      <c r="E62" s="2337"/>
      <c r="F62" s="2337"/>
      <c r="G62" s="2361"/>
      <c r="H62" s="2337"/>
      <c r="I62" s="2337"/>
      <c r="J62" s="2337"/>
      <c r="K62" s="2337"/>
      <c r="L62" s="2361"/>
      <c r="M62" s="2337"/>
      <c r="N62" s="2337"/>
      <c r="O62" s="2337"/>
      <c r="P62" s="2337"/>
      <c r="Q62" s="2361"/>
      <c r="R62" s="2337"/>
      <c r="S62" s="2337"/>
      <c r="T62" s="2337"/>
      <c r="U62" s="2337"/>
      <c r="V62" s="2361"/>
      <c r="W62" s="3045"/>
      <c r="X62" s="3046"/>
      <c r="Y62" s="3046"/>
      <c r="Z62" s="3047"/>
      <c r="AA62" s="2361"/>
      <c r="AB62" s="2361"/>
      <c r="AC62" s="2361"/>
      <c r="AD62" s="2361"/>
      <c r="AE62" s="2361"/>
    </row>
    <row r="63" spans="1:31" hidden="1" outlineLevel="1">
      <c r="A63" s="2337" t="s">
        <v>1788</v>
      </c>
      <c r="B63" s="2361"/>
      <c r="C63" s="2337"/>
      <c r="D63" s="2337"/>
      <c r="E63" s="2337"/>
      <c r="F63" s="2337"/>
      <c r="G63" s="2361"/>
      <c r="H63" s="2337"/>
      <c r="I63" s="2337"/>
      <c r="J63" s="2337"/>
      <c r="K63" s="2337"/>
      <c r="L63" s="2361"/>
      <c r="M63" s="2337"/>
      <c r="N63" s="2337"/>
      <c r="O63" s="2337"/>
      <c r="P63" s="2337"/>
      <c r="Q63" s="2361"/>
      <c r="R63" s="2337"/>
      <c r="S63" s="2337"/>
      <c r="T63" s="2337"/>
      <c r="U63" s="2337"/>
      <c r="V63" s="2361"/>
      <c r="W63" s="3045"/>
      <c r="X63" s="3046"/>
      <c r="Y63" s="3046"/>
      <c r="Z63" s="3047"/>
      <c r="AA63" s="2361"/>
      <c r="AB63" s="2361"/>
      <c r="AC63" s="2361"/>
      <c r="AD63" s="2361"/>
      <c r="AE63" s="2361"/>
    </row>
    <row r="64" spans="1:31" hidden="1" outlineLevel="1">
      <c r="A64" s="2337" t="s">
        <v>1789</v>
      </c>
      <c r="B64" s="2361"/>
      <c r="C64" s="2337"/>
      <c r="D64" s="2337"/>
      <c r="E64" s="2337"/>
      <c r="F64" s="2337"/>
      <c r="G64" s="2361"/>
      <c r="H64" s="2337"/>
      <c r="I64" s="2337"/>
      <c r="J64" s="2337"/>
      <c r="K64" s="2337"/>
      <c r="L64" s="2361"/>
      <c r="M64" s="2337"/>
      <c r="N64" s="2337"/>
      <c r="O64" s="2337"/>
      <c r="P64" s="2337"/>
      <c r="Q64" s="2361"/>
      <c r="R64" s="2337"/>
      <c r="S64" s="2337"/>
      <c r="T64" s="2337"/>
      <c r="U64" s="2337"/>
      <c r="V64" s="2361"/>
      <c r="W64" s="3045"/>
      <c r="X64" s="3046"/>
      <c r="Y64" s="3046"/>
      <c r="Z64" s="3047"/>
      <c r="AA64" s="2361"/>
      <c r="AB64" s="2361"/>
      <c r="AC64" s="2361"/>
      <c r="AD64" s="2361"/>
      <c r="AE64" s="2361"/>
    </row>
    <row r="65" spans="1:31" hidden="1" outlineLevel="1">
      <c r="A65" s="2337"/>
      <c r="B65" s="2361"/>
      <c r="C65" s="2337"/>
      <c r="D65" s="2337"/>
      <c r="E65" s="2337"/>
      <c r="F65" s="2337"/>
      <c r="G65" s="2361"/>
      <c r="H65" s="2337"/>
      <c r="I65" s="2337"/>
      <c r="J65" s="2337"/>
      <c r="K65" s="2337"/>
      <c r="L65" s="2361"/>
      <c r="M65" s="2337"/>
      <c r="N65" s="2337"/>
      <c r="O65" s="2337"/>
      <c r="P65" s="2337"/>
      <c r="Q65" s="2361"/>
      <c r="R65" s="2337"/>
      <c r="S65" s="2337"/>
      <c r="T65" s="2337"/>
      <c r="U65" s="2337"/>
      <c r="V65" s="2361"/>
      <c r="W65" s="3045"/>
      <c r="X65" s="3046"/>
      <c r="Y65" s="3046"/>
      <c r="Z65" s="3047"/>
      <c r="AA65" s="2361"/>
      <c r="AB65" s="2361"/>
      <c r="AC65" s="2361"/>
      <c r="AD65" s="2361"/>
      <c r="AE65" s="2361"/>
    </row>
    <row r="66" spans="1:31" collapsed="1">
      <c r="A66" s="2346" t="s">
        <v>731</v>
      </c>
      <c r="B66" s="2361"/>
      <c r="C66" s="2337"/>
      <c r="D66" s="2337"/>
      <c r="E66" s="2337"/>
      <c r="F66" s="2337"/>
      <c r="G66" s="2361"/>
      <c r="H66" s="2337"/>
      <c r="I66" s="2337"/>
      <c r="J66" s="2337"/>
      <c r="K66" s="2337"/>
      <c r="L66" s="2361"/>
      <c r="M66" s="2337"/>
      <c r="N66" s="2337"/>
      <c r="O66" s="2337"/>
      <c r="P66" s="2337"/>
      <c r="Q66" s="2361"/>
      <c r="R66" s="2337"/>
      <c r="S66" s="2337"/>
      <c r="T66" s="2337"/>
      <c r="U66" s="2337"/>
      <c r="V66" s="2361"/>
      <c r="W66" s="3045"/>
      <c r="X66" s="3046"/>
      <c r="Y66" s="3046"/>
      <c r="Z66" s="3047"/>
      <c r="AA66" s="2361"/>
      <c r="AB66" s="2361"/>
      <c r="AC66" s="2361"/>
      <c r="AD66" s="2361"/>
      <c r="AE66" s="2361"/>
    </row>
    <row r="67" spans="1:31">
      <c r="A67" s="2337" t="s">
        <v>1205</v>
      </c>
      <c r="B67" s="2361">
        <f>+Sensitivity!L43</f>
        <v>24</v>
      </c>
      <c r="C67" s="2337"/>
      <c r="D67" s="2337"/>
      <c r="E67" s="2337"/>
      <c r="F67" s="2337"/>
      <c r="G67" s="2361"/>
      <c r="H67" s="2337"/>
      <c r="I67" s="2337"/>
      <c r="J67" s="2337"/>
      <c r="K67" s="2337"/>
      <c r="L67" s="2361"/>
      <c r="M67" s="2337"/>
      <c r="N67" s="2337"/>
      <c r="O67" s="2337"/>
      <c r="P67" s="2337"/>
      <c r="Q67" s="2361"/>
      <c r="R67" s="2337"/>
      <c r="S67" s="2337"/>
      <c r="T67" s="2337"/>
      <c r="U67" s="2337"/>
      <c r="V67" s="2361"/>
      <c r="W67" s="3045"/>
      <c r="X67" s="3046"/>
      <c r="Y67" s="3046"/>
      <c r="Z67" s="3047"/>
      <c r="AA67" s="2361"/>
      <c r="AB67" s="2361"/>
      <c r="AC67" s="2361"/>
      <c r="AD67" s="2361"/>
      <c r="AE67" s="2361"/>
    </row>
    <row r="68" spans="1:31">
      <c r="A68" s="2337" t="s">
        <v>871</v>
      </c>
      <c r="B68" s="2361">
        <f>+Sensitivity!L42</f>
        <v>34</v>
      </c>
      <c r="C68" s="2337"/>
      <c r="D68" s="2337"/>
      <c r="E68" s="2337"/>
      <c r="F68" s="2337"/>
      <c r="G68" s="2361"/>
      <c r="H68" s="2337"/>
      <c r="I68" s="2337"/>
      <c r="J68" s="2337"/>
      <c r="K68" s="2337"/>
      <c r="L68" s="2361"/>
      <c r="M68" s="2337"/>
      <c r="N68" s="2337"/>
      <c r="O68" s="2337"/>
      <c r="P68" s="2337"/>
      <c r="Q68" s="2361"/>
      <c r="R68" s="2337"/>
      <c r="S68" s="2337"/>
      <c r="T68" s="2337"/>
      <c r="U68" s="2337"/>
      <c r="V68" s="2361"/>
      <c r="W68" s="3045"/>
      <c r="X68" s="3046"/>
      <c r="Y68" s="3046"/>
      <c r="Z68" s="3047"/>
      <c r="AA68" s="2361"/>
      <c r="AB68" s="2361"/>
      <c r="AC68" s="2361"/>
      <c r="AD68" s="2361"/>
      <c r="AE68" s="2361"/>
    </row>
    <row r="69" spans="1:31">
      <c r="A69" s="2337" t="s">
        <v>1204</v>
      </c>
      <c r="B69" s="2361">
        <f>+Sensitivity!L41</f>
        <v>48</v>
      </c>
      <c r="C69" s="2337"/>
      <c r="D69" s="2337"/>
      <c r="E69" s="2337"/>
      <c r="F69" s="2337"/>
      <c r="G69" s="2361"/>
      <c r="H69" s="2337"/>
      <c r="I69" s="2337"/>
      <c r="J69" s="2337"/>
      <c r="K69" s="2337"/>
      <c r="L69" s="2361"/>
      <c r="M69" s="2337"/>
      <c r="N69" s="2337"/>
      <c r="O69" s="2337"/>
      <c r="P69" s="2337"/>
      <c r="Q69" s="2361"/>
      <c r="R69" s="2337"/>
      <c r="S69" s="2337"/>
      <c r="T69" s="2337"/>
      <c r="U69" s="2337"/>
      <c r="V69" s="2361"/>
      <c r="W69" s="3045"/>
      <c r="X69" s="3046"/>
      <c r="Y69" s="3046"/>
      <c r="Z69" s="3047"/>
      <c r="AA69" s="2361"/>
      <c r="AB69" s="2361"/>
      <c r="AC69" s="2361"/>
      <c r="AD69" s="2361"/>
      <c r="AE69" s="2361"/>
    </row>
    <row r="70" spans="1:31">
      <c r="B70" s="3158"/>
      <c r="G70" s="3158"/>
      <c r="L70" s="3158"/>
      <c r="Q70" s="3158"/>
      <c r="V70" s="3158"/>
      <c r="W70" s="2880"/>
      <c r="Z70" s="2881"/>
      <c r="AA70" s="3158"/>
      <c r="AB70" s="3158"/>
      <c r="AC70" s="3158"/>
      <c r="AD70" s="3158"/>
      <c r="AE70" s="3158"/>
    </row>
    <row r="71" spans="1:31" s="1449" customFormat="1" ht="15.75" customHeight="1">
      <c r="A71" s="1335" t="s">
        <v>1824</v>
      </c>
      <c r="B71" s="3150"/>
      <c r="G71" s="3150"/>
      <c r="L71" s="3150"/>
      <c r="Q71" s="3150"/>
      <c r="V71" s="3150"/>
      <c r="W71" s="2522"/>
      <c r="Z71" s="2524"/>
      <c r="AA71" s="3150"/>
      <c r="AB71" s="3150"/>
      <c r="AC71" s="3150"/>
      <c r="AD71" s="3150"/>
      <c r="AE71" s="3150"/>
    </row>
    <row r="72" spans="1:31" s="1449" customFormat="1" ht="15.75" customHeight="1">
      <c r="A72" s="1449" t="s">
        <v>732</v>
      </c>
      <c r="B72" s="3151"/>
      <c r="G72" s="3151"/>
      <c r="L72" s="3151">
        <f>+L12</f>
        <v>550.80649999999991</v>
      </c>
      <c r="Q72" s="3151">
        <f>+Q12</f>
        <v>545.32049999999992</v>
      </c>
      <c r="V72" s="3151">
        <f t="shared" ref="V72:AE72" si="21">+V12</f>
        <v>629.48599999999999</v>
      </c>
      <c r="W72" s="2588"/>
      <c r="X72" s="2589"/>
      <c r="Y72" s="2589"/>
      <c r="Z72" s="2590"/>
      <c r="AA72" s="3151">
        <f t="shared" si="21"/>
        <v>558.99750000000006</v>
      </c>
      <c r="AB72" s="3151">
        <f t="shared" si="21"/>
        <v>595.625</v>
      </c>
      <c r="AC72" s="3151">
        <f t="shared" si="21"/>
        <v>732.99432546230787</v>
      </c>
      <c r="AD72" s="3151">
        <f t="shared" si="21"/>
        <v>873.95789252238421</v>
      </c>
      <c r="AE72" s="3151">
        <f t="shared" si="21"/>
        <v>885.4839440604203</v>
      </c>
    </row>
    <row r="73" spans="1:31" s="1449" customFormat="1" ht="15.75" customHeight="1">
      <c r="A73" s="1449" t="s">
        <v>1825</v>
      </c>
      <c r="B73" s="3152"/>
      <c r="G73" s="3152"/>
      <c r="L73" s="3152">
        <f>+BYD!BA143</f>
        <v>-130.14500000000001</v>
      </c>
      <c r="Q73" s="3152">
        <f>+BYD!BF143</f>
        <v>-129.37400000000002</v>
      </c>
      <c r="V73" s="3152">
        <f>+BYD!BK143</f>
        <v>-80.169999999999987</v>
      </c>
      <c r="W73" s="3194"/>
      <c r="X73" s="2780"/>
      <c r="Y73" s="2780"/>
      <c r="Z73" s="3197"/>
      <c r="AA73" s="3152">
        <f>+BYD!BP143</f>
        <v>-63.358000000000004</v>
      </c>
      <c r="AB73" s="3152">
        <f>+BYD!BU143</f>
        <v>-144.25200000000001</v>
      </c>
      <c r="AC73" s="3152">
        <f>+BYD!BZ143</f>
        <v>-110</v>
      </c>
      <c r="AD73" s="3152">
        <f>+BYD!CA143</f>
        <v>-120</v>
      </c>
      <c r="AE73" s="3152">
        <f>+BYD!CB143</f>
        <v>-120</v>
      </c>
    </row>
    <row r="74" spans="1:31" s="1449" customFormat="1" ht="3.95" customHeight="1">
      <c r="B74" s="3153"/>
      <c r="G74" s="3153"/>
      <c r="L74" s="3153" t="s">
        <v>1826</v>
      </c>
      <c r="Q74" s="3153" t="s">
        <v>1826</v>
      </c>
      <c r="V74" s="3153" t="s">
        <v>1826</v>
      </c>
      <c r="W74" s="3195"/>
      <c r="X74" s="2657"/>
      <c r="Y74" s="2657"/>
      <c r="Z74" s="3198"/>
      <c r="AA74" s="3153" t="s">
        <v>1826</v>
      </c>
      <c r="AB74" s="3153" t="s">
        <v>1826</v>
      </c>
      <c r="AC74" s="3153" t="s">
        <v>1826</v>
      </c>
      <c r="AD74" s="3153" t="s">
        <v>1826</v>
      </c>
      <c r="AE74" s="3153" t="s">
        <v>1826</v>
      </c>
    </row>
    <row r="75" spans="1:31" s="1449" customFormat="1" ht="15.75" customHeight="1">
      <c r="A75" s="1449" t="s">
        <v>1827</v>
      </c>
      <c r="B75" s="3151"/>
      <c r="G75" s="3151"/>
      <c r="L75" s="3151">
        <f>SUM(L72:L73)</f>
        <v>420.66149999999993</v>
      </c>
      <c r="Q75" s="3151">
        <f>SUM(Q72:Q73)</f>
        <v>415.9464999999999</v>
      </c>
      <c r="V75" s="3151">
        <f t="shared" ref="V75:AE75" si="22">SUM(V72:V73)</f>
        <v>549.31600000000003</v>
      </c>
      <c r="W75" s="2588"/>
      <c r="X75" s="2589"/>
      <c r="Y75" s="2589"/>
      <c r="Z75" s="2590"/>
      <c r="AA75" s="3151">
        <f t="shared" si="22"/>
        <v>495.63950000000006</v>
      </c>
      <c r="AB75" s="3151">
        <f t="shared" si="22"/>
        <v>451.37299999999999</v>
      </c>
      <c r="AC75" s="3151">
        <f t="shared" si="22"/>
        <v>622.99432546230787</v>
      </c>
      <c r="AD75" s="3151">
        <f t="shared" si="22"/>
        <v>753.95789252238421</v>
      </c>
      <c r="AE75" s="3151">
        <f t="shared" si="22"/>
        <v>765.4839440604203</v>
      </c>
    </row>
    <row r="76" spans="1:31" s="1449" customFormat="1" ht="15.75" customHeight="1">
      <c r="A76" s="1449" t="s">
        <v>1828</v>
      </c>
      <c r="B76" s="3152"/>
      <c r="G76" s="3152"/>
      <c r="L76" s="3152">
        <f>+-L75*L77</f>
        <v>38.636300254665407</v>
      </c>
      <c r="Q76" s="3152">
        <f>+-Q75*Q77</f>
        <v>-145.58127499999995</v>
      </c>
      <c r="V76" s="3152">
        <f t="shared" ref="V76:AE76" si="23">+-V75*V77</f>
        <v>-192.26060000000001</v>
      </c>
      <c r="W76" s="3194"/>
      <c r="X76" s="2780"/>
      <c r="Y76" s="2780"/>
      <c r="Z76" s="3197"/>
      <c r="AA76" s="3152">
        <f t="shared" si="23"/>
        <v>-173.47382500000001</v>
      </c>
      <c r="AB76" s="3152">
        <f t="shared" si="23"/>
        <v>-180.54920000000001</v>
      </c>
      <c r="AC76" s="3152">
        <f t="shared" si="23"/>
        <v>-174.43841112944622</v>
      </c>
      <c r="AD76" s="3152">
        <f t="shared" si="23"/>
        <v>-211.1082099062676</v>
      </c>
      <c r="AE76" s="3152">
        <f t="shared" si="23"/>
        <v>-214.33550433691769</v>
      </c>
    </row>
    <row r="77" spans="1:31" s="1449" customFormat="1" ht="15.75" customHeight="1">
      <c r="A77" s="3154" t="s">
        <v>1171</v>
      </c>
      <c r="B77" s="3155"/>
      <c r="C77" s="3156"/>
      <c r="D77" s="3156"/>
      <c r="E77" s="3156"/>
      <c r="F77" s="3156"/>
      <c r="G77" s="3155"/>
      <c r="H77" s="3156"/>
      <c r="I77" s="3156"/>
      <c r="J77" s="3156"/>
      <c r="K77" s="3156"/>
      <c r="L77" s="3155">
        <f>+BYD!BA1220</f>
        <v>-9.1846532793387115E-2</v>
      </c>
      <c r="M77" s="3156"/>
      <c r="N77" s="3156"/>
      <c r="O77" s="3156"/>
      <c r="P77" s="3156"/>
      <c r="Q77" s="3155">
        <f>+BYD!BF1220</f>
        <v>0.35</v>
      </c>
      <c r="R77" s="3156"/>
      <c r="S77" s="3156"/>
      <c r="T77" s="3156"/>
      <c r="U77" s="3156"/>
      <c r="V77" s="3155">
        <f>+BYD!BK1220</f>
        <v>0.35</v>
      </c>
      <c r="W77" s="3196"/>
      <c r="X77" s="3156"/>
      <c r="Y77" s="3156"/>
      <c r="Z77" s="3199"/>
      <c r="AA77" s="3155">
        <f>+BYD!BP1220</f>
        <v>0.35</v>
      </c>
      <c r="AB77" s="3155">
        <f>+BYD!BU1220</f>
        <v>0.4</v>
      </c>
      <c r="AC77" s="3155">
        <f>+BYD!BZ1220</f>
        <v>0.28000000000000003</v>
      </c>
      <c r="AD77" s="3155">
        <f>+BYD!CA1220</f>
        <v>0.28000000000000003</v>
      </c>
      <c r="AE77" s="3155">
        <f>+BYD!CB1220</f>
        <v>0.28000000000000003</v>
      </c>
    </row>
    <row r="78" spans="1:31" s="1449" customFormat="1" ht="3.95" customHeight="1">
      <c r="B78" s="3153"/>
      <c r="G78" s="3153"/>
      <c r="L78" s="3153" t="s">
        <v>1826</v>
      </c>
      <c r="Q78" s="3153" t="s">
        <v>1826</v>
      </c>
      <c r="V78" s="3153" t="s">
        <v>1826</v>
      </c>
      <c r="W78" s="3195"/>
      <c r="X78" s="2657"/>
      <c r="Y78" s="2657"/>
      <c r="Z78" s="3198"/>
      <c r="AA78" s="3153" t="s">
        <v>1826</v>
      </c>
      <c r="AB78" s="3153" t="s">
        <v>1826</v>
      </c>
      <c r="AC78" s="3153" t="s">
        <v>1826</v>
      </c>
      <c r="AD78" s="3153" t="s">
        <v>1826</v>
      </c>
      <c r="AE78" s="3153" t="s">
        <v>1826</v>
      </c>
    </row>
    <row r="79" spans="1:31" s="1449" customFormat="1" ht="15.75" customHeight="1">
      <c r="A79" s="1449" t="s">
        <v>1829</v>
      </c>
      <c r="B79" s="3151"/>
      <c r="G79" s="3151"/>
      <c r="L79" s="3151">
        <f>SUM(L75:L76)</f>
        <v>459.29780025466533</v>
      </c>
      <c r="Q79" s="3151">
        <f>SUM(Q75:Q76)</f>
        <v>270.36522499999995</v>
      </c>
      <c r="V79" s="3151">
        <f t="shared" ref="V79:AE79" si="24">SUM(V75:V76)</f>
        <v>357.05540000000002</v>
      </c>
      <c r="W79" s="2588"/>
      <c r="X79" s="2589"/>
      <c r="Y79" s="2589"/>
      <c r="Z79" s="2590"/>
      <c r="AA79" s="3151">
        <f t="shared" si="24"/>
        <v>322.16567500000008</v>
      </c>
      <c r="AB79" s="3151">
        <f t="shared" si="24"/>
        <v>270.82380000000001</v>
      </c>
      <c r="AC79" s="3151">
        <f t="shared" si="24"/>
        <v>448.55591433286168</v>
      </c>
      <c r="AD79" s="3151">
        <f t="shared" si="24"/>
        <v>542.84968261611664</v>
      </c>
      <c r="AE79" s="3151">
        <f t="shared" si="24"/>
        <v>551.14843972350263</v>
      </c>
    </row>
    <row r="80" spans="1:31" s="1449" customFormat="1" ht="3.95" customHeight="1">
      <c r="B80" s="3150"/>
      <c r="G80" s="3150"/>
      <c r="L80" s="3150"/>
      <c r="Q80" s="3150"/>
      <c r="V80" s="3150"/>
      <c r="W80" s="2522"/>
      <c r="Z80" s="2524"/>
      <c r="AA80" s="3150"/>
      <c r="AB80" s="3150"/>
      <c r="AC80" s="3150"/>
      <c r="AD80" s="3150"/>
      <c r="AE80" s="3150"/>
    </row>
    <row r="81" spans="1:31" s="1447" customFormat="1" ht="15.75" customHeight="1">
      <c r="A81" s="1447" t="s">
        <v>1838</v>
      </c>
      <c r="B81" s="3152"/>
      <c r="D81" s="1449"/>
      <c r="E81" s="1449"/>
      <c r="G81" s="3152"/>
      <c r="L81" s="3152">
        <f>+BYD!BA73</f>
        <v>-260.8</v>
      </c>
      <c r="Q81" s="3152">
        <f>+BYD!BF73</f>
        <v>-228.00099999999998</v>
      </c>
      <c r="V81" s="3152">
        <f>+BYD!BK73</f>
        <v>-222.732</v>
      </c>
      <c r="AA81" s="3152">
        <f>+BYD!BP73</f>
        <v>-209.73099999999999</v>
      </c>
      <c r="AB81" s="3152">
        <f>+BYD!BU73</f>
        <v>-171.29</v>
      </c>
      <c r="AC81" s="3152">
        <f>+BYD!BZ73</f>
        <v>-226.43468687500001</v>
      </c>
      <c r="AD81" s="3152">
        <f>+BYD!CA73</f>
        <v>-312.22104485</v>
      </c>
      <c r="AE81" s="3152">
        <f>+BYD!CB73</f>
        <v>-318.79065617138781</v>
      </c>
    </row>
    <row r="82" spans="1:31" s="1447" customFormat="1" ht="15.75" customHeight="1">
      <c r="A82" s="1447" t="s">
        <v>1839</v>
      </c>
      <c r="B82" s="3151"/>
      <c r="D82" s="1449"/>
      <c r="E82" s="1449"/>
      <c r="G82" s="3151"/>
      <c r="L82" s="3151">
        <f>+L79+L81</f>
        <v>198.49780025466532</v>
      </c>
      <c r="Q82" s="3151">
        <f>+Q79+Q81</f>
        <v>42.364224999999976</v>
      </c>
      <c r="V82" s="3151">
        <f>+V79+V81</f>
        <v>134.32340000000002</v>
      </c>
      <c r="AA82" s="3151">
        <f>+AA79+AA81</f>
        <v>112.43467500000008</v>
      </c>
      <c r="AB82" s="3151">
        <f>+AB79+AB81</f>
        <v>99.533800000000014</v>
      </c>
      <c r="AC82" s="3151">
        <f>+AC79+AC81</f>
        <v>222.12122745786166</v>
      </c>
      <c r="AD82" s="3151">
        <f>+AD79+AD81</f>
        <v>230.62863776611664</v>
      </c>
      <c r="AE82" s="3151">
        <f>+AE79+AE81</f>
        <v>232.35778355211482</v>
      </c>
    </row>
    <row r="83" spans="1:31" s="1447" customFormat="1" ht="15.75" customHeight="1">
      <c r="B83" s="3157"/>
      <c r="D83" s="1449"/>
      <c r="E83" s="1449"/>
      <c r="G83" s="3157"/>
      <c r="L83" s="3157"/>
      <c r="Q83" s="3157"/>
      <c r="V83" s="3157"/>
      <c r="AA83" s="3157"/>
      <c r="AB83" s="3157"/>
      <c r="AC83" s="3157"/>
      <c r="AD83" s="3157"/>
      <c r="AE83" s="3157"/>
    </row>
  </sheetData>
  <phoneticPr fontId="16" type="noConversion"/>
  <pageMargins left="0.75" right="0.75" top="1" bottom="1" header="0.5" footer="0.5"/>
  <pageSetup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autoPageBreaks="0"/>
  </sheetPr>
  <dimension ref="A1:V92"/>
  <sheetViews>
    <sheetView zoomScale="85" zoomScaleNormal="85" workbookViewId="0">
      <pane ySplit="7" topLeftCell="A8" activePane="bottomLeft" state="frozen"/>
      <selection pane="bottomLeft" activeCell="F24" sqref="F24"/>
    </sheetView>
  </sheetViews>
  <sheetFormatPr defaultRowHeight="15.75"/>
  <cols>
    <col min="1" max="1" width="20.375" bestFit="1" customWidth="1"/>
    <col min="2" max="2" width="11.875" customWidth="1"/>
    <col min="3" max="7" width="8.75" customWidth="1"/>
    <col min="8" max="8" width="2.625" customWidth="1"/>
    <col min="12" max="12" width="19.625" bestFit="1" customWidth="1"/>
    <col min="13" max="13" width="2.625" customWidth="1"/>
    <col min="14" max="17" width="10.25" customWidth="1"/>
    <col min="19" max="19" width="20.875" customWidth="1"/>
  </cols>
  <sheetData>
    <row r="1" spans="1:22">
      <c r="A1" s="1" t="s">
        <v>629</v>
      </c>
      <c r="B1" s="2"/>
      <c r="C1" s="2"/>
      <c r="D1" s="2"/>
      <c r="E1" s="2"/>
      <c r="F1" s="2"/>
      <c r="G1" s="2"/>
      <c r="H1" s="2"/>
      <c r="I1" s="2"/>
      <c r="J1" s="2"/>
      <c r="K1" s="2"/>
      <c r="L1" s="2"/>
      <c r="M1" s="2"/>
      <c r="N1" s="2"/>
      <c r="O1" s="2"/>
      <c r="P1" s="2"/>
      <c r="Q1" s="2"/>
      <c r="R1" s="2"/>
      <c r="S1" s="2"/>
      <c r="T1" s="2"/>
      <c r="U1" s="2"/>
      <c r="V1" s="2"/>
    </row>
    <row r="2" spans="1:22">
      <c r="A2" s="1" t="s">
        <v>1159</v>
      </c>
      <c r="B2" s="2"/>
      <c r="C2" s="2"/>
      <c r="D2" s="2"/>
      <c r="E2" s="2"/>
      <c r="F2" s="2"/>
      <c r="G2" s="2"/>
      <c r="H2" s="2"/>
      <c r="I2" s="2"/>
      <c r="J2" s="2"/>
      <c r="K2" s="2"/>
      <c r="L2" s="2"/>
      <c r="M2" s="2"/>
      <c r="N2" s="2"/>
      <c r="O2" s="2"/>
      <c r="P2" s="2"/>
      <c r="Q2" s="2"/>
      <c r="R2" s="2"/>
      <c r="S2" s="2"/>
      <c r="T2" s="2"/>
      <c r="U2" s="2"/>
      <c r="V2" s="2"/>
    </row>
    <row r="3" spans="1:22">
      <c r="A3" s="2" t="s">
        <v>627</v>
      </c>
      <c r="B3" s="2"/>
      <c r="C3" s="2"/>
      <c r="D3" s="2"/>
      <c r="E3" s="2"/>
      <c r="F3" s="2"/>
      <c r="G3" s="2"/>
      <c r="H3" s="2"/>
      <c r="I3" s="2"/>
      <c r="J3" s="2"/>
      <c r="K3" s="2"/>
      <c r="L3" s="2"/>
      <c r="M3" s="2"/>
      <c r="N3" s="2"/>
      <c r="O3" s="2"/>
      <c r="P3" s="2"/>
      <c r="Q3" s="2"/>
      <c r="R3" s="2"/>
      <c r="S3" s="2"/>
      <c r="T3" s="2"/>
      <c r="U3" s="2"/>
      <c r="V3" s="2"/>
    </row>
    <row r="4" spans="1:22">
      <c r="A4" s="1"/>
      <c r="B4" s="2"/>
      <c r="C4" s="2"/>
      <c r="D4" s="2"/>
      <c r="E4" s="2"/>
      <c r="F4" s="2"/>
      <c r="G4" s="2"/>
      <c r="H4" s="2"/>
      <c r="I4" s="2"/>
      <c r="J4" s="2"/>
      <c r="K4" s="2"/>
      <c r="L4" s="2"/>
      <c r="M4" s="2"/>
      <c r="N4" s="2"/>
      <c r="O4" s="2"/>
      <c r="P4" s="2"/>
      <c r="Q4" s="2"/>
      <c r="R4" s="2"/>
      <c r="S4" s="2"/>
      <c r="T4" s="2"/>
      <c r="U4" s="2"/>
      <c r="V4" s="2"/>
    </row>
    <row r="5" spans="1:22">
      <c r="A5" s="1" t="s">
        <v>1599</v>
      </c>
      <c r="B5" s="2"/>
      <c r="C5" s="2"/>
      <c r="D5" s="2"/>
      <c r="E5" s="2"/>
      <c r="F5" s="2"/>
      <c r="G5" s="2"/>
      <c r="H5" s="2"/>
      <c r="I5" s="2"/>
      <c r="J5" s="103" t="s">
        <v>533</v>
      </c>
      <c r="K5" s="2"/>
      <c r="L5" s="2"/>
      <c r="M5" s="2"/>
      <c r="N5" s="2"/>
      <c r="O5" s="103" t="s">
        <v>1127</v>
      </c>
      <c r="P5" s="2"/>
      <c r="Q5" s="2"/>
      <c r="R5" s="2"/>
      <c r="S5" s="2"/>
      <c r="T5" s="2"/>
      <c r="U5" s="2"/>
      <c r="V5" s="2"/>
    </row>
    <row r="6" spans="1:22">
      <c r="A6" s="1164"/>
      <c r="B6" s="2"/>
      <c r="C6" s="103" t="s">
        <v>1161</v>
      </c>
      <c r="D6" s="103" t="s">
        <v>829</v>
      </c>
      <c r="E6" s="103" t="s">
        <v>829</v>
      </c>
      <c r="F6" s="103" t="s">
        <v>829</v>
      </c>
      <c r="G6" s="103" t="s">
        <v>1107</v>
      </c>
      <c r="H6" s="1165"/>
      <c r="I6" s="103" t="s">
        <v>1124</v>
      </c>
      <c r="J6" s="103" t="s">
        <v>401</v>
      </c>
      <c r="K6" s="103" t="s">
        <v>17</v>
      </c>
      <c r="L6" s="103" t="s">
        <v>533</v>
      </c>
      <c r="M6" s="2"/>
      <c r="N6" s="103" t="s">
        <v>1127</v>
      </c>
      <c r="O6" s="103" t="s">
        <v>533</v>
      </c>
      <c r="P6" s="103" t="s">
        <v>1127</v>
      </c>
      <c r="Q6" s="103" t="s">
        <v>1127</v>
      </c>
      <c r="R6" s="2"/>
      <c r="S6" s="2"/>
      <c r="T6" s="2"/>
      <c r="U6" s="2"/>
      <c r="V6" s="2"/>
    </row>
    <row r="7" spans="1:22">
      <c r="A7" s="1166" t="s">
        <v>1083</v>
      </c>
      <c r="B7" s="1167" t="s">
        <v>534</v>
      </c>
      <c r="C7" s="1586">
        <v>2019</v>
      </c>
      <c r="D7" s="1586" t="s">
        <v>623</v>
      </c>
      <c r="E7" s="1586" t="s">
        <v>1125</v>
      </c>
      <c r="F7" s="1586" t="s">
        <v>1162</v>
      </c>
      <c r="G7" s="1587" t="s">
        <v>1964</v>
      </c>
      <c r="H7" s="1168"/>
      <c r="I7" s="73" t="s">
        <v>828</v>
      </c>
      <c r="J7" s="73" t="s">
        <v>828</v>
      </c>
      <c r="K7" s="73" t="s">
        <v>828</v>
      </c>
      <c r="L7" s="73" t="s">
        <v>828</v>
      </c>
      <c r="M7" s="2"/>
      <c r="N7" s="73" t="s">
        <v>535</v>
      </c>
      <c r="O7" s="73" t="s">
        <v>401</v>
      </c>
      <c r="P7" s="73" t="s">
        <v>17</v>
      </c>
      <c r="Q7" s="73" t="s">
        <v>536</v>
      </c>
      <c r="R7" s="2"/>
      <c r="S7" s="2"/>
      <c r="T7" s="2"/>
      <c r="U7" s="2"/>
      <c r="V7" s="2"/>
    </row>
    <row r="8" spans="1:22">
      <c r="A8" s="2"/>
      <c r="B8" s="2"/>
      <c r="C8" s="2"/>
      <c r="D8" s="2"/>
      <c r="E8" s="2"/>
      <c r="F8" s="2"/>
      <c r="G8" s="2"/>
      <c r="H8" s="2"/>
      <c r="I8" s="2"/>
      <c r="J8" s="2"/>
      <c r="K8" s="2"/>
      <c r="L8" s="2"/>
      <c r="M8" s="2"/>
      <c r="N8" s="2"/>
      <c r="O8" s="2"/>
      <c r="P8" s="2"/>
      <c r="Q8" s="2"/>
      <c r="R8" s="2"/>
      <c r="S8" s="2"/>
      <c r="T8" s="2"/>
      <c r="U8" s="2"/>
      <c r="V8" s="2"/>
    </row>
    <row r="9" spans="1:22">
      <c r="A9" s="1169" t="s">
        <v>538</v>
      </c>
      <c r="B9" s="173"/>
      <c r="C9" s="173"/>
      <c r="D9" s="173"/>
      <c r="E9" s="173"/>
      <c r="F9" s="173"/>
      <c r="G9" s="173"/>
      <c r="H9" s="173"/>
      <c r="I9" s="173"/>
      <c r="J9" s="173"/>
      <c r="K9" s="173"/>
      <c r="L9" s="173"/>
      <c r="M9" s="173"/>
      <c r="N9" s="173"/>
      <c r="O9" s="173"/>
      <c r="P9" s="173"/>
      <c r="Q9" s="173"/>
      <c r="R9" s="2"/>
      <c r="S9" s="2"/>
      <c r="T9" s="2"/>
      <c r="U9" s="2"/>
      <c r="V9" s="2"/>
    </row>
    <row r="10" spans="1:22">
      <c r="A10" s="2"/>
      <c r="B10" s="2"/>
      <c r="C10" s="2"/>
      <c r="D10" s="2"/>
      <c r="E10" s="2"/>
      <c r="F10" s="2"/>
      <c r="G10" s="2"/>
      <c r="H10" s="2"/>
      <c r="I10" s="2"/>
      <c r="J10" s="2"/>
      <c r="K10" s="2"/>
      <c r="L10" s="2"/>
      <c r="M10" s="2"/>
      <c r="N10" s="2"/>
      <c r="O10" s="2"/>
      <c r="P10" s="2"/>
      <c r="Q10" s="2"/>
      <c r="R10" s="2"/>
      <c r="S10" s="2"/>
      <c r="T10" s="2"/>
      <c r="U10" s="2"/>
      <c r="V10" s="2"/>
    </row>
    <row r="11" spans="1:22">
      <c r="A11" s="334" t="s">
        <v>494</v>
      </c>
      <c r="B11" s="2" t="s">
        <v>560</v>
      </c>
      <c r="C11" s="2">
        <f>C37*(1+F11)</f>
        <v>880.547325075</v>
      </c>
      <c r="D11" s="1170">
        <f>C11/BYD!$AV$10-1</f>
        <v>0.48915675652707735</v>
      </c>
      <c r="E11" s="105">
        <f>C11/BYD!W297-1</f>
        <v>3.8174379251069146E-2</v>
      </c>
      <c r="F11" s="1066">
        <v>-0.03</v>
      </c>
      <c r="G11" s="1066"/>
      <c r="H11" s="1066"/>
      <c r="I11" s="2">
        <f>C11-C37</f>
        <v>-27.233422425000072</v>
      </c>
      <c r="J11" s="2">
        <f>C13-C39</f>
        <v>-10.809868719187534</v>
      </c>
      <c r="K11" s="2">
        <f>J11*'EBITDA Val'!D8</f>
        <v>-108.09868719187534</v>
      </c>
      <c r="L11" s="1171">
        <f>K11/'EBITDA Val'!$F$15</f>
        <v>-0.95586766432278814</v>
      </c>
      <c r="M11" s="2"/>
      <c r="N11" s="2"/>
      <c r="O11" s="2"/>
      <c r="P11" s="2"/>
      <c r="Q11" s="2"/>
      <c r="R11" s="2"/>
      <c r="S11" s="2"/>
      <c r="T11" s="2"/>
      <c r="U11" s="2"/>
      <c r="V11" s="2"/>
    </row>
    <row r="12" spans="1:22">
      <c r="A12" s="334"/>
      <c r="B12" s="2" t="s">
        <v>1160</v>
      </c>
      <c r="C12" s="1066">
        <f>+C38-0.0025</f>
        <v>0.31360057201615205</v>
      </c>
      <c r="D12" s="1170">
        <f>C12-BYD!$AV$311</f>
        <v>9.5875739188479109E-2</v>
      </c>
      <c r="E12" s="1170">
        <f>C12-BYD!W311</f>
        <v>-1.1228559913923186E-2</v>
      </c>
      <c r="F12" s="133">
        <f>C12-C38</f>
        <v>-2.5000000000000022E-3</v>
      </c>
      <c r="G12" s="133"/>
      <c r="H12" s="101"/>
      <c r="I12" s="2"/>
      <c r="J12" s="2"/>
      <c r="K12" s="2"/>
      <c r="L12" s="2"/>
      <c r="M12" s="2"/>
      <c r="N12" s="2"/>
      <c r="O12" s="2"/>
      <c r="P12" s="2"/>
      <c r="Q12" s="2"/>
      <c r="R12" s="2"/>
      <c r="S12" s="2"/>
      <c r="T12" s="2"/>
      <c r="U12" s="2"/>
      <c r="V12" s="2"/>
    </row>
    <row r="13" spans="1:22">
      <c r="A13" s="334"/>
      <c r="B13" s="3093" t="s">
        <v>1963</v>
      </c>
      <c r="C13" s="2">
        <f>C12*C11</f>
        <v>276.14014483081257</v>
      </c>
      <c r="D13" s="105">
        <f>C13/BYD!$AV$310-1</f>
        <v>1.1449110999581533</v>
      </c>
      <c r="E13" s="105">
        <f>C13/BYD!M310-1</f>
        <v>-0.11799418417279661</v>
      </c>
      <c r="F13" s="105">
        <f>(C13-C39)/C39</f>
        <v>-3.7671609021562039E-2</v>
      </c>
      <c r="G13" s="105">
        <f>(C13/BYD!BU310)^(1/2)-1</f>
        <v>5.110060249621573E-2</v>
      </c>
      <c r="H13" s="105"/>
      <c r="I13" s="2"/>
      <c r="J13" s="2"/>
      <c r="K13" s="2"/>
      <c r="L13" s="2"/>
      <c r="M13" s="2"/>
      <c r="N13" s="2"/>
      <c r="O13" s="2"/>
      <c r="P13" s="2"/>
      <c r="Q13" s="2"/>
      <c r="R13" s="2"/>
      <c r="S13" s="2"/>
      <c r="T13" s="2"/>
      <c r="U13" s="2"/>
      <c r="V13" s="2"/>
    </row>
    <row r="14" spans="1:22">
      <c r="A14" s="334"/>
      <c r="B14" s="3093" t="s">
        <v>1927</v>
      </c>
      <c r="C14" s="2">
        <f>+BYD!BZ38+Sensitivity!J11/2</f>
        <v>269.89229564040625</v>
      </c>
      <c r="D14" s="105"/>
      <c r="E14" s="105"/>
      <c r="F14" s="105"/>
      <c r="G14" s="105"/>
      <c r="H14" s="105"/>
      <c r="I14" s="2"/>
      <c r="J14" s="2"/>
      <c r="K14" s="2"/>
      <c r="L14" s="2"/>
      <c r="M14" s="2"/>
      <c r="N14" s="2"/>
      <c r="O14" s="2"/>
      <c r="P14" s="2"/>
      <c r="Q14" s="2"/>
      <c r="R14" s="2"/>
      <c r="S14" s="2"/>
      <c r="T14" s="2"/>
      <c r="U14" s="2"/>
      <c r="V14" s="2"/>
    </row>
    <row r="15" spans="1:22">
      <c r="A15" s="334" t="s">
        <v>549</v>
      </c>
      <c r="B15" s="2" t="s">
        <v>560</v>
      </c>
      <c r="C15" s="2">
        <f>C42*(1+F15)</f>
        <v>247.57477683899995</v>
      </c>
      <c r="D15" s="105">
        <f>C15/BYD!$AV$11-1</f>
        <v>0.10436696214169072</v>
      </c>
      <c r="E15" s="105">
        <f>C15/BYD!W339-1</f>
        <v>-2.9282211866234586E-2</v>
      </c>
      <c r="F15" s="1066">
        <v>-0.03</v>
      </c>
      <c r="G15" s="1066"/>
      <c r="H15" s="2"/>
      <c r="I15" s="2">
        <f>C15-C42</f>
        <v>-7.6569518610000102</v>
      </c>
      <c r="J15" s="2">
        <f>C17-C44</f>
        <v>-2.498740212097502</v>
      </c>
      <c r="K15" s="2">
        <f>J15*'EBITDA Val'!D9</f>
        <v>-23.738032014926269</v>
      </c>
      <c r="L15" s="1171">
        <f>K15/'EBITDA Val'!$F$15</f>
        <v>-0.20990465108472237</v>
      </c>
      <c r="M15" s="2"/>
      <c r="N15" s="2"/>
      <c r="O15" s="2"/>
      <c r="P15" s="2"/>
      <c r="Q15" s="2"/>
      <c r="R15" s="2"/>
      <c r="S15" s="2"/>
      <c r="T15" s="2"/>
      <c r="U15" s="2"/>
      <c r="V15" s="2"/>
    </row>
    <row r="16" spans="1:22">
      <c r="A16" s="334"/>
      <c r="B16" s="2" t="s">
        <v>1160</v>
      </c>
      <c r="C16" s="1066">
        <f>+C43-0.0025</f>
        <v>0.24300281941494353</v>
      </c>
      <c r="D16" s="105">
        <f>C16-BYD!$AV$346</f>
        <v>9.6547770302184921E-2</v>
      </c>
      <c r="E16" s="105">
        <f>C16-BYD!W346</f>
        <v>3.8617676517471361E-2</v>
      </c>
      <c r="F16" s="133">
        <f>C16-C43</f>
        <v>-2.5000000000000022E-3</v>
      </c>
      <c r="G16" s="133"/>
      <c r="H16" s="2"/>
      <c r="I16" s="2"/>
      <c r="J16" s="2"/>
      <c r="K16" s="2"/>
      <c r="L16" s="2"/>
      <c r="M16" s="2"/>
      <c r="N16" s="2"/>
      <c r="O16" s="2"/>
      <c r="P16" s="2"/>
      <c r="Q16" s="2"/>
      <c r="R16" s="2"/>
      <c r="S16" s="2"/>
      <c r="T16" s="2"/>
      <c r="U16" s="2"/>
      <c r="V16" s="2"/>
    </row>
    <row r="17" spans="1:22">
      <c r="A17" s="334"/>
      <c r="B17" s="3093" t="s">
        <v>1963</v>
      </c>
      <c r="C17" s="2">
        <f>C16*C15</f>
        <v>60.161368787902447</v>
      </c>
      <c r="D17" s="105">
        <f>C17/BYD!$AV$345-1</f>
        <v>0.8324003651286076</v>
      </c>
      <c r="E17" s="105">
        <f>C17/BYD!M345-1</f>
        <v>0.1504229618109274</v>
      </c>
      <c r="F17" s="105">
        <f>(C17-C44)/C44</f>
        <v>-3.9877686968235307E-2</v>
      </c>
      <c r="G17" s="105"/>
      <c r="H17" s="2"/>
      <c r="I17" s="2"/>
      <c r="J17" s="2"/>
      <c r="K17" s="2"/>
      <c r="L17" s="2"/>
      <c r="M17" s="2"/>
      <c r="N17" s="2"/>
      <c r="O17" s="2"/>
      <c r="P17" s="2"/>
      <c r="Q17" s="2"/>
      <c r="R17" s="2"/>
      <c r="S17" s="2"/>
      <c r="T17" s="2"/>
      <c r="U17" s="2"/>
      <c r="V17" s="2"/>
    </row>
    <row r="18" spans="1:22">
      <c r="A18" s="334"/>
      <c r="B18" s="3093" t="s">
        <v>1927</v>
      </c>
      <c r="C18" s="2">
        <f>+BYD!BZ39+Sensitivity!J15/2</f>
        <v>58.312844893951237</v>
      </c>
      <c r="D18" s="2"/>
      <c r="E18" s="2"/>
      <c r="F18" s="2"/>
      <c r="G18" s="2"/>
      <c r="H18" s="2"/>
      <c r="I18" s="2"/>
      <c r="J18" s="2"/>
      <c r="K18" s="2"/>
      <c r="L18" s="2"/>
      <c r="M18" s="2"/>
      <c r="N18" s="2"/>
      <c r="O18" s="2"/>
      <c r="P18" s="2"/>
      <c r="Q18" s="2"/>
      <c r="R18" s="2"/>
      <c r="S18" s="2"/>
      <c r="T18" s="2"/>
      <c r="U18" s="2"/>
      <c r="V18" s="2"/>
    </row>
    <row r="19" spans="1:22">
      <c r="A19" s="334" t="s">
        <v>1082</v>
      </c>
      <c r="B19" s="2" t="s">
        <v>560</v>
      </c>
      <c r="C19" s="2">
        <f>C47*(1+F19)</f>
        <v>1978.7510455343531</v>
      </c>
      <c r="D19" s="105">
        <f>C19/BYD!$AV$16-1</f>
        <v>1.0168431623414969</v>
      </c>
      <c r="E19" s="105"/>
      <c r="F19" s="1066">
        <v>-0.05</v>
      </c>
      <c r="G19" s="1066"/>
      <c r="H19" s="2"/>
      <c r="I19" s="2">
        <f>C19-C47</f>
        <v>-104.14479187022926</v>
      </c>
      <c r="J19" s="2">
        <f>C21-C49</f>
        <v>-39.611143726291061</v>
      </c>
      <c r="K19" s="2">
        <f>J19*'EBITDA Val'!D7</f>
        <v>-356.50029353661955</v>
      </c>
      <c r="L19" s="1171">
        <f>K19/'EBITDA Val'!$F$15</f>
        <v>-3.1523704104599783</v>
      </c>
      <c r="M19" s="2"/>
      <c r="N19" s="2"/>
      <c r="O19" s="2"/>
      <c r="P19" s="2"/>
      <c r="Q19" s="2"/>
      <c r="R19" s="2"/>
      <c r="S19" s="2"/>
      <c r="T19" s="2"/>
      <c r="U19" s="2"/>
      <c r="V19" s="2"/>
    </row>
    <row r="20" spans="1:22">
      <c r="A20" s="2"/>
      <c r="B20" s="2" t="s">
        <v>1160</v>
      </c>
      <c r="C20" s="1066">
        <f>+C48-0.005</f>
        <v>0.280346851868012</v>
      </c>
      <c r="D20" s="105">
        <f>C20-BYD!$AV$510</f>
        <v>5.5857756637728212E-2</v>
      </c>
      <c r="E20" s="105"/>
      <c r="F20" s="105">
        <f>C20-C48</f>
        <v>-5.0000000000000044E-3</v>
      </c>
      <c r="G20" s="105"/>
      <c r="H20" s="2"/>
      <c r="I20" s="2"/>
      <c r="J20" s="2"/>
      <c r="K20" s="2"/>
      <c r="L20" s="2"/>
      <c r="M20" s="2"/>
      <c r="N20" s="2"/>
      <c r="O20" s="2"/>
      <c r="P20" s="2"/>
      <c r="Q20" s="2"/>
      <c r="R20" s="2"/>
      <c r="S20" s="2"/>
      <c r="T20" s="2"/>
      <c r="U20" s="2"/>
      <c r="V20" s="2"/>
    </row>
    <row r="21" spans="1:22">
      <c r="A21" s="2"/>
      <c r="B21" s="3093" t="s">
        <v>1963</v>
      </c>
      <c r="C21" s="2">
        <f>C20*C19</f>
        <v>554.73662624609312</v>
      </c>
      <c r="D21" s="105">
        <f>C21/BYD!$AV$508-1</f>
        <v>1.3567303905367116</v>
      </c>
      <c r="E21" s="105"/>
      <c r="F21" s="105">
        <f>(C21-C49)/C49</f>
        <v>-6.6646407587482928E-2</v>
      </c>
      <c r="G21" s="105">
        <f>(C21/BYD!$BU$44)^(1/2)-1</f>
        <v>0.23417749648062092</v>
      </c>
      <c r="H21" s="2"/>
      <c r="I21" s="2"/>
      <c r="J21" s="2"/>
      <c r="K21" s="2"/>
      <c r="L21" s="2"/>
      <c r="M21" s="2"/>
      <c r="N21" s="2"/>
      <c r="O21" s="2"/>
      <c r="P21" s="2"/>
      <c r="Q21" s="2"/>
      <c r="R21" s="2"/>
      <c r="S21" s="2"/>
      <c r="T21" s="2"/>
      <c r="U21" s="2"/>
      <c r="V21" s="2"/>
    </row>
    <row r="22" spans="1:22">
      <c r="A22" s="2"/>
      <c r="B22" s="3093" t="s">
        <v>1927</v>
      </c>
      <c r="C22" s="2">
        <f>+BYD!BZ44+Sensitivity!J19/2</f>
        <v>454.3293085991624</v>
      </c>
      <c r="D22" s="2"/>
      <c r="E22" s="2"/>
      <c r="F22" s="2"/>
      <c r="G22" s="2"/>
      <c r="H22" s="2"/>
      <c r="I22" s="2"/>
      <c r="J22" s="2"/>
      <c r="K22" s="2"/>
      <c r="L22" s="2"/>
      <c r="M22" s="2"/>
      <c r="N22" s="2"/>
      <c r="O22" s="2"/>
      <c r="P22" s="2"/>
      <c r="Q22" s="2"/>
      <c r="R22" s="2"/>
      <c r="S22" s="2"/>
      <c r="T22" s="2"/>
      <c r="U22" s="2"/>
      <c r="V22" s="2"/>
    </row>
    <row r="23" spans="1:22">
      <c r="A23" s="2"/>
      <c r="B23" s="3093"/>
      <c r="C23" s="2"/>
      <c r="D23" s="2"/>
      <c r="E23" s="2"/>
      <c r="F23" s="2"/>
      <c r="G23" s="2"/>
      <c r="H23" s="2"/>
      <c r="I23" s="2"/>
      <c r="J23" s="2"/>
      <c r="K23" s="2"/>
      <c r="L23" s="2"/>
      <c r="M23" s="2"/>
      <c r="N23" s="2"/>
      <c r="O23" s="2"/>
      <c r="P23" s="2"/>
      <c r="Q23" s="2"/>
      <c r="R23" s="2"/>
      <c r="S23" s="2"/>
      <c r="T23" s="2"/>
      <c r="U23" s="2"/>
      <c r="V23" s="2"/>
    </row>
    <row r="24" spans="1:22">
      <c r="A24" s="2" t="s">
        <v>901</v>
      </c>
      <c r="B24" s="2"/>
      <c r="C24" s="2"/>
      <c r="D24" s="105"/>
      <c r="E24" s="105"/>
      <c r="F24" s="105"/>
      <c r="G24" s="105"/>
      <c r="H24" s="2"/>
      <c r="I24" s="2"/>
      <c r="J24" s="2"/>
      <c r="K24" s="2"/>
      <c r="L24" s="1171"/>
      <c r="M24" s="2"/>
      <c r="N24" s="2"/>
      <c r="O24" s="2"/>
      <c r="P24" s="2"/>
      <c r="Q24" s="2"/>
      <c r="R24" s="2"/>
      <c r="S24" s="2"/>
      <c r="T24" s="2"/>
      <c r="U24" s="2"/>
      <c r="V24" s="2"/>
    </row>
    <row r="25" spans="1:22">
      <c r="A25" s="2"/>
      <c r="B25" s="2"/>
      <c r="C25" s="2"/>
      <c r="D25" s="105"/>
      <c r="E25" s="105"/>
      <c r="F25" s="105"/>
      <c r="G25" s="105"/>
      <c r="H25" s="2"/>
      <c r="I25" s="2"/>
      <c r="J25" s="2"/>
      <c r="K25" s="2"/>
      <c r="L25" s="2"/>
      <c r="M25" s="2"/>
      <c r="N25" s="2"/>
      <c r="O25" s="2"/>
      <c r="P25" s="2"/>
      <c r="Q25" s="2"/>
      <c r="R25" s="2"/>
      <c r="S25" s="2"/>
      <c r="T25" s="2"/>
      <c r="U25" s="2"/>
      <c r="V25" s="2"/>
    </row>
    <row r="26" spans="1:22">
      <c r="A26" s="2" t="s">
        <v>1086</v>
      </c>
      <c r="B26" s="2"/>
      <c r="C26" s="2"/>
      <c r="D26" s="105"/>
      <c r="E26" s="105"/>
      <c r="F26" s="1">
        <f>-J32*0.7</f>
        <v>37.043826860303263</v>
      </c>
      <c r="G26" s="1"/>
      <c r="H26" s="2"/>
      <c r="I26" s="2"/>
      <c r="J26" s="2"/>
      <c r="K26" s="2"/>
      <c r="L26" s="1171">
        <f>-F26/'EBITDA Val'!$F$15</f>
        <v>-0.32756176026157302</v>
      </c>
      <c r="M26" s="2"/>
      <c r="N26" s="2"/>
      <c r="O26" s="2"/>
      <c r="P26" s="2"/>
      <c r="Q26" s="2"/>
      <c r="R26" s="2"/>
      <c r="S26" s="2"/>
      <c r="T26" s="2"/>
      <c r="U26" s="2"/>
      <c r="V26" s="2"/>
    </row>
    <row r="27" spans="1:22">
      <c r="A27" s="2"/>
      <c r="B27" s="2"/>
      <c r="C27" s="2"/>
      <c r="D27" s="105"/>
      <c r="E27" s="105"/>
      <c r="F27" s="1"/>
      <c r="G27" s="1"/>
      <c r="H27" s="2"/>
      <c r="I27" s="2"/>
      <c r="J27" s="2"/>
      <c r="K27" s="2"/>
      <c r="L27" s="1171"/>
      <c r="M27" s="2"/>
      <c r="N27" s="2"/>
      <c r="O27" s="2"/>
      <c r="P27" s="2"/>
      <c r="Q27" s="2"/>
      <c r="R27" s="2"/>
      <c r="S27" s="2"/>
      <c r="T27" s="2"/>
      <c r="U27" s="2"/>
      <c r="V27" s="2"/>
    </row>
    <row r="28" spans="1:22">
      <c r="A28" s="2" t="s">
        <v>179</v>
      </c>
      <c r="B28" s="2"/>
      <c r="C28" s="2"/>
      <c r="D28" s="105"/>
      <c r="E28" s="105"/>
      <c r="F28" s="1172">
        <v>-0.75</v>
      </c>
      <c r="G28" s="1"/>
      <c r="H28" s="2"/>
      <c r="I28" s="2"/>
      <c r="J28" s="2"/>
      <c r="K28" s="2">
        <f>(J32+'EBITDA Val'!B12)*Sensitivity!F28</f>
        <v>-615.77860489860609</v>
      </c>
      <c r="L28" s="1171">
        <f>K28/'EBITDA Val'!$F$15</f>
        <v>-5.44505092610056</v>
      </c>
      <c r="M28" s="2"/>
      <c r="N28" s="2"/>
      <c r="O28" s="2"/>
      <c r="P28" s="2"/>
      <c r="Q28" s="2"/>
      <c r="R28" s="2"/>
      <c r="S28" s="2"/>
      <c r="T28" s="2"/>
      <c r="U28" s="2"/>
      <c r="V28" s="2"/>
    </row>
    <row r="29" spans="1:22">
      <c r="A29" s="2"/>
      <c r="B29" s="2"/>
      <c r="C29" s="105"/>
      <c r="D29" s="105"/>
      <c r="E29" s="105"/>
      <c r="F29" s="105"/>
      <c r="G29" s="105"/>
      <c r="H29" s="2"/>
      <c r="I29" s="2"/>
      <c r="J29" s="2"/>
      <c r="K29" s="2"/>
      <c r="L29" s="2"/>
      <c r="M29" s="2"/>
      <c r="N29" s="2"/>
      <c r="O29" s="2"/>
      <c r="P29" s="2"/>
      <c r="Q29" s="2"/>
      <c r="R29" s="2"/>
      <c r="S29" s="2"/>
      <c r="T29" s="2"/>
      <c r="U29" s="2"/>
      <c r="V29" s="2"/>
    </row>
    <row r="30" spans="1:22">
      <c r="A30" s="1447" t="s">
        <v>1868</v>
      </c>
      <c r="B30" s="2"/>
      <c r="C30" s="105"/>
      <c r="D30" s="105"/>
      <c r="E30" s="105"/>
      <c r="F30" s="105"/>
      <c r="G30" s="105"/>
      <c r="H30" s="2"/>
      <c r="I30" s="2"/>
      <c r="J30" s="2"/>
      <c r="K30" s="2"/>
      <c r="L30" s="1171">
        <f>+-BYD!BT1034/'EBITDA Val'!F15</f>
        <v>0</v>
      </c>
      <c r="M30" s="2"/>
      <c r="N30" s="2"/>
      <c r="O30" s="2"/>
      <c r="P30" s="2"/>
      <c r="Q30" s="2"/>
      <c r="R30" s="2"/>
      <c r="S30" s="2"/>
      <c r="T30" s="2"/>
      <c r="U30" s="2"/>
      <c r="V30" s="2"/>
    </row>
    <row r="31" spans="1:22">
      <c r="A31" s="2"/>
      <c r="B31" s="2"/>
      <c r="C31" s="2"/>
      <c r="D31" s="2"/>
      <c r="E31" s="2"/>
      <c r="F31" s="2"/>
      <c r="G31" s="2"/>
      <c r="H31" s="2"/>
      <c r="I31" s="2"/>
      <c r="J31" s="2"/>
      <c r="K31" s="2"/>
      <c r="L31" s="2"/>
      <c r="M31" s="2"/>
      <c r="N31" s="103" t="s">
        <v>1205</v>
      </c>
      <c r="O31" s="2"/>
      <c r="P31" s="2"/>
      <c r="Q31" s="2"/>
      <c r="R31" s="2"/>
      <c r="S31" s="2"/>
      <c r="T31" s="2"/>
      <c r="U31" s="2"/>
      <c r="V31" s="2"/>
    </row>
    <row r="32" spans="1:22">
      <c r="A32" s="147" t="s">
        <v>310</v>
      </c>
      <c r="B32" s="1588"/>
      <c r="C32" s="1588"/>
      <c r="D32" s="1588"/>
      <c r="E32" s="1588"/>
      <c r="F32" s="1588"/>
      <c r="G32" s="1588"/>
      <c r="H32" s="1588"/>
      <c r="I32" s="1588">
        <f>SUM(I11:I23)</f>
        <v>-139.03516615622934</v>
      </c>
      <c r="J32" s="1588">
        <f>SUM(J11:J23)</f>
        <v>-52.919752657576097</v>
      </c>
      <c r="K32" s="1588">
        <f>SUM(K11:K23,K28)</f>
        <v>-1104.1156176420272</v>
      </c>
      <c r="L32" s="1589">
        <f>SUM(L11:L30)</f>
        <v>-10.090755412229623</v>
      </c>
      <c r="M32" s="1588"/>
      <c r="N32" s="1591">
        <f>'EBITDA Val'!F20+Sensitivity!L32</f>
        <v>23.798274768808245</v>
      </c>
      <c r="O32" s="1588">
        <f>'EBITDA Val'!B12+J32</f>
        <v>821.03813986480816</v>
      </c>
      <c r="P32" s="1588">
        <f>+'EBITDA Val'!F12+K32</f>
        <v>7056.1831540860821</v>
      </c>
      <c r="Q32" s="1590">
        <f>P32/O32</f>
        <v>8.5942209155447404</v>
      </c>
      <c r="R32" s="1"/>
      <c r="S32" s="1"/>
      <c r="T32" s="1"/>
      <c r="U32" s="1"/>
      <c r="V32" s="1"/>
    </row>
    <row r="33" spans="1:22">
      <c r="A33" s="2"/>
      <c r="B33" s="2"/>
      <c r="C33" s="2"/>
      <c r="D33" s="2"/>
      <c r="E33" s="2"/>
      <c r="F33" s="2"/>
      <c r="G33" s="2"/>
      <c r="H33" s="2"/>
      <c r="I33" s="2"/>
      <c r="J33" s="2"/>
      <c r="K33" s="2"/>
      <c r="L33" s="2"/>
      <c r="M33" s="2"/>
      <c r="N33" s="2"/>
      <c r="O33" s="2"/>
      <c r="P33" s="2"/>
      <c r="Q33" s="2"/>
      <c r="R33" s="2"/>
      <c r="S33" s="2"/>
      <c r="T33" s="2"/>
      <c r="U33" s="2"/>
      <c r="V33" s="2"/>
    </row>
    <row r="34" spans="1:22">
      <c r="A34" s="2"/>
      <c r="B34" s="2"/>
      <c r="C34" s="2"/>
      <c r="D34" s="2"/>
      <c r="E34" s="2"/>
      <c r="F34" s="2"/>
      <c r="G34" s="2"/>
      <c r="H34" s="2"/>
      <c r="I34" s="2"/>
      <c r="J34" s="2"/>
      <c r="K34" s="1336"/>
      <c r="L34" s="1336"/>
      <c r="M34" s="2"/>
      <c r="N34" s="2"/>
      <c r="O34" s="2"/>
      <c r="P34" s="2"/>
      <c r="Q34" s="2"/>
      <c r="R34" s="2"/>
      <c r="S34" s="2"/>
      <c r="T34" s="2"/>
      <c r="U34" s="2"/>
      <c r="V34" s="2"/>
    </row>
    <row r="35" spans="1:22">
      <c r="A35" s="1169" t="s">
        <v>537</v>
      </c>
      <c r="B35" s="173"/>
      <c r="C35" s="173"/>
      <c r="D35" s="173"/>
      <c r="E35" s="173"/>
      <c r="F35" s="173"/>
      <c r="G35" s="173"/>
      <c r="H35" s="173"/>
      <c r="I35" s="173"/>
      <c r="J35" s="173"/>
      <c r="K35" s="173"/>
      <c r="L35" s="173"/>
      <c r="M35" s="173"/>
      <c r="N35" s="173"/>
      <c r="O35" s="173"/>
      <c r="P35" s="173"/>
      <c r="Q35" s="173"/>
      <c r="R35" s="2"/>
      <c r="S35" s="2"/>
      <c r="T35" s="2"/>
      <c r="U35" s="2"/>
      <c r="V35" s="2"/>
    </row>
    <row r="36" spans="1:22">
      <c r="A36" s="2"/>
      <c r="B36" s="2"/>
      <c r="C36" s="2"/>
      <c r="D36" s="2"/>
      <c r="E36" s="2"/>
      <c r="F36" s="2"/>
      <c r="G36" s="2"/>
      <c r="H36" s="2"/>
      <c r="I36" s="2"/>
      <c r="J36" s="2"/>
      <c r="K36" s="2"/>
      <c r="L36" s="2"/>
      <c r="M36" s="2"/>
      <c r="N36" s="2"/>
      <c r="O36" s="2"/>
      <c r="P36" s="2"/>
      <c r="Q36" s="2"/>
      <c r="R36" s="2"/>
      <c r="S36" s="2"/>
      <c r="T36" s="2"/>
      <c r="U36" s="2"/>
      <c r="V36" s="2"/>
    </row>
    <row r="37" spans="1:22">
      <c r="A37" s="334" t="s">
        <v>494</v>
      </c>
      <c r="B37" s="2" t="s">
        <v>560</v>
      </c>
      <c r="C37" s="2">
        <f>BYD!CA10</f>
        <v>907.78074750000007</v>
      </c>
      <c r="D37" s="105">
        <f>C37/BYD!$AV$10-1</f>
        <v>0.53521315105884271</v>
      </c>
      <c r="E37" s="105">
        <f>C37/BYD!$W$10-1</f>
        <v>7.028286520728777E-2</v>
      </c>
      <c r="F37" s="2"/>
      <c r="G37" s="2"/>
      <c r="H37" s="2"/>
      <c r="I37" s="2"/>
      <c r="J37" s="2"/>
      <c r="K37" s="2"/>
      <c r="L37" s="2"/>
      <c r="M37" s="2"/>
      <c r="N37" s="2"/>
      <c r="O37" s="2"/>
      <c r="P37" s="2"/>
      <c r="Q37" s="2"/>
      <c r="R37" s="2"/>
      <c r="S37" s="2"/>
      <c r="T37" s="2"/>
      <c r="U37" s="2"/>
      <c r="V37" s="2"/>
    </row>
    <row r="38" spans="1:22">
      <c r="A38" s="334"/>
      <c r="B38" s="2" t="s">
        <v>1160</v>
      </c>
      <c r="C38" s="105">
        <f>BYD!CA311</f>
        <v>0.31610057201615205</v>
      </c>
      <c r="D38" s="1170">
        <f>C38-BYD!$AV$311</f>
        <v>9.8375739188479111E-2</v>
      </c>
      <c r="E38" s="1170">
        <f>C38-BYD!$W$311</f>
        <v>-8.728559913923184E-3</v>
      </c>
      <c r="F38" s="2"/>
      <c r="G38" s="2"/>
      <c r="H38" s="2"/>
      <c r="I38" s="2"/>
      <c r="J38" s="2"/>
      <c r="K38" s="2"/>
      <c r="L38" s="2"/>
      <c r="M38" s="2"/>
      <c r="N38" s="2"/>
      <c r="O38" s="2"/>
      <c r="P38" s="2"/>
      <c r="Q38" s="2"/>
      <c r="R38" s="2"/>
      <c r="S38" s="2"/>
      <c r="T38" s="2"/>
      <c r="U38" s="2"/>
      <c r="V38" s="2"/>
    </row>
    <row r="39" spans="1:22" s="3911" customFormat="1">
      <c r="A39" s="334"/>
      <c r="B39" s="3093" t="s">
        <v>1963</v>
      </c>
      <c r="C39" s="2">
        <f>BYD!CA310</f>
        <v>286.95001355000011</v>
      </c>
      <c r="D39" s="105">
        <f>C39/BYD!$AV$310-1</f>
        <v>1.2288764626151538</v>
      </c>
      <c r="E39" s="105">
        <f>C39/BYD!$M$310-1</f>
        <v>-8.3466907870781482E-2</v>
      </c>
      <c r="F39" s="2"/>
      <c r="G39" s="2"/>
      <c r="H39" s="2"/>
      <c r="I39" s="2"/>
      <c r="J39" s="2"/>
      <c r="K39" s="2"/>
      <c r="L39" s="2"/>
      <c r="M39" s="2"/>
      <c r="N39" s="2"/>
      <c r="O39" s="2"/>
      <c r="P39" s="2"/>
      <c r="Q39" s="2"/>
      <c r="R39" s="2"/>
      <c r="S39" s="2"/>
      <c r="T39" s="2"/>
      <c r="U39" s="2"/>
      <c r="V39" s="2"/>
    </row>
    <row r="40" spans="1:22" ht="16.5" thickBot="1">
      <c r="A40" s="334"/>
      <c r="B40" s="3093" t="s">
        <v>1927</v>
      </c>
      <c r="C40" s="2">
        <f>BYD!BZ310</f>
        <v>275.29723000000001</v>
      </c>
      <c r="F40" s="2"/>
      <c r="G40" s="105">
        <f>(C39/BYD!BU310)^(1/2)-1</f>
        <v>7.1476463714067462E-2</v>
      </c>
      <c r="H40" s="2"/>
      <c r="I40" s="2"/>
      <c r="J40" s="2"/>
      <c r="K40" s="2"/>
      <c r="L40" s="2"/>
      <c r="M40" s="2"/>
      <c r="N40" s="2"/>
      <c r="O40" s="2"/>
      <c r="P40" s="2"/>
      <c r="Q40" s="2"/>
      <c r="R40" s="2"/>
      <c r="S40" s="2"/>
      <c r="T40" s="2"/>
      <c r="U40" s="2"/>
      <c r="V40" s="2"/>
    </row>
    <row r="41" spans="1:22">
      <c r="A41" s="334"/>
      <c r="B41" s="2"/>
      <c r="C41" s="2"/>
      <c r="D41" s="2"/>
      <c r="E41" s="2"/>
      <c r="F41" s="2"/>
      <c r="G41" s="2"/>
      <c r="H41" s="2"/>
      <c r="I41" s="2"/>
      <c r="J41" s="2"/>
      <c r="K41" s="1174" t="s">
        <v>1204</v>
      </c>
      <c r="L41" s="1175">
        <f>ROUND(N76,0)</f>
        <v>48</v>
      </c>
      <c r="M41" s="2"/>
      <c r="N41" s="105">
        <f>L41/'EBITDA Val'!F23-1</f>
        <v>0.27897681854516376</v>
      </c>
      <c r="O41" s="2"/>
      <c r="P41" s="2"/>
      <c r="Q41" s="2"/>
      <c r="R41" s="2"/>
      <c r="S41" s="2"/>
      <c r="T41" s="2"/>
      <c r="U41" s="2"/>
      <c r="V41" s="2"/>
    </row>
    <row r="42" spans="1:22">
      <c r="A42" s="334" t="s">
        <v>549</v>
      </c>
      <c r="B42" s="2" t="s">
        <v>560</v>
      </c>
      <c r="C42" s="2">
        <f>BYD!CA11</f>
        <v>255.23172869999996</v>
      </c>
      <c r="D42" s="105">
        <f>C42/BYD!$AV$11-1</f>
        <v>0.13852264138318637</v>
      </c>
      <c r="E42" s="105">
        <f>C42/BYD!$W$339-1</f>
        <v>7.3998776676864608E-4</v>
      </c>
      <c r="F42" s="2"/>
      <c r="G42" s="2"/>
      <c r="H42" s="2"/>
      <c r="I42" s="2"/>
      <c r="J42" s="2"/>
      <c r="K42" s="1176" t="s">
        <v>871</v>
      </c>
      <c r="L42" s="1177">
        <f>ROUND('EBITDA Val'!F20,0)</f>
        <v>34</v>
      </c>
      <c r="M42" s="2"/>
      <c r="N42" s="2"/>
      <c r="O42" s="2"/>
      <c r="P42" s="2"/>
      <c r="Q42" s="2"/>
      <c r="R42" s="2"/>
      <c r="S42" s="2"/>
      <c r="T42" s="2"/>
      <c r="U42" s="2"/>
      <c r="V42" s="2"/>
    </row>
    <row r="43" spans="1:22" ht="16.5" thickBot="1">
      <c r="A43" s="334"/>
      <c r="B43" s="2" t="s">
        <v>1160</v>
      </c>
      <c r="C43" s="105">
        <f>BYD!CA346</f>
        <v>0.24550281941494353</v>
      </c>
      <c r="D43" s="105">
        <f>C43-BYD!$AV$346</f>
        <v>9.9047770302184923E-2</v>
      </c>
      <c r="E43" s="105">
        <f>C43-BYD!$W$346</f>
        <v>4.1117676517471363E-2</v>
      </c>
      <c r="F43" s="2"/>
      <c r="G43" s="2"/>
      <c r="H43" s="2"/>
      <c r="I43" s="2"/>
      <c r="J43" s="2"/>
      <c r="K43" s="1178" t="s">
        <v>1205</v>
      </c>
      <c r="L43" s="1179">
        <f>ROUND(L42+L32,0)</f>
        <v>24</v>
      </c>
      <c r="M43" s="2"/>
      <c r="N43" s="105">
        <f>L43/'EBITDA Val'!F23-1</f>
        <v>-0.36051159072741812</v>
      </c>
      <c r="O43" s="2"/>
      <c r="P43" s="2"/>
      <c r="Q43" s="2"/>
      <c r="R43" s="2"/>
      <c r="S43" s="2"/>
      <c r="T43" s="2"/>
      <c r="U43" s="2"/>
      <c r="V43" s="2"/>
    </row>
    <row r="44" spans="1:22" s="3911" customFormat="1">
      <c r="A44" s="334"/>
      <c r="B44" s="3093" t="s">
        <v>1963</v>
      </c>
      <c r="C44" s="2">
        <f>BYD!CA345</f>
        <v>62.660108999999949</v>
      </c>
      <c r="D44" s="105">
        <f>C44/BYD!$AV$345-1</f>
        <v>0.90850721856724981</v>
      </c>
      <c r="E44" s="105">
        <f>C44/BYD!$M$345-1</f>
        <v>0.19820458934888507</v>
      </c>
      <c r="F44" s="2"/>
      <c r="G44" s="105">
        <f>(C44/BYD!$BU$39)^(1/2)-1</f>
        <v>7.1908992345047107E-2</v>
      </c>
      <c r="H44" s="2"/>
      <c r="I44" s="2"/>
      <c r="J44" s="2"/>
      <c r="K44" s="70"/>
      <c r="L44" s="2792"/>
      <c r="M44" s="2"/>
      <c r="N44" s="2"/>
      <c r="O44" s="2"/>
      <c r="P44" s="2"/>
      <c r="Q44" s="2"/>
      <c r="R44" s="2"/>
      <c r="S44" s="2"/>
      <c r="T44" s="2"/>
      <c r="U44" s="2"/>
      <c r="V44" s="2"/>
    </row>
    <row r="45" spans="1:22">
      <c r="A45" s="334"/>
      <c r="B45" s="3093" t="s">
        <v>1927</v>
      </c>
      <c r="C45" s="2">
        <f>BYD!BZ345</f>
        <v>59.562214999999988</v>
      </c>
      <c r="F45" s="2"/>
      <c r="G45" s="2"/>
      <c r="H45" s="2"/>
      <c r="I45" s="2"/>
      <c r="J45" s="2"/>
      <c r="M45" s="2"/>
      <c r="N45" s="2"/>
      <c r="O45" s="2"/>
      <c r="P45" s="2"/>
      <c r="Q45" s="2"/>
      <c r="R45" s="2"/>
      <c r="S45" s="2"/>
      <c r="T45" s="2"/>
      <c r="U45" s="2"/>
      <c r="V45" s="2"/>
    </row>
    <row r="46" spans="1:22">
      <c r="A46" s="334"/>
      <c r="B46" s="2"/>
      <c r="C46" s="2"/>
      <c r="D46" s="2"/>
      <c r="E46" s="2"/>
      <c r="F46" s="2"/>
      <c r="G46" s="2"/>
      <c r="H46" s="2"/>
      <c r="I46" s="2"/>
      <c r="J46" s="2"/>
      <c r="M46" s="2"/>
      <c r="N46" s="2"/>
      <c r="O46" s="2"/>
      <c r="P46" s="2"/>
      <c r="Q46" s="1173">
        <f>'EBITDA Val'!D12</f>
        <v>9.3371761289049786</v>
      </c>
      <c r="R46" s="2"/>
      <c r="S46" s="2"/>
      <c r="T46" s="2"/>
      <c r="U46" s="2"/>
      <c r="V46" s="2"/>
    </row>
    <row r="47" spans="1:22">
      <c r="A47" s="334" t="s">
        <v>1082</v>
      </c>
      <c r="B47" s="2" t="s">
        <v>560</v>
      </c>
      <c r="C47" s="2">
        <f>BYD!CA16</f>
        <v>2082.8958374045824</v>
      </c>
      <c r="D47" s="105">
        <f>+BYD!BF714</f>
        <v>-5.0885113072690502E-2</v>
      </c>
      <c r="E47" s="105">
        <f>C47/BYD!$W$499-1</f>
        <v>1.3301035089831297</v>
      </c>
      <c r="F47" s="2"/>
      <c r="G47" s="2"/>
      <c r="H47" s="2"/>
      <c r="I47" s="2"/>
      <c r="J47" s="2"/>
      <c r="K47" s="2"/>
      <c r="L47" s="2"/>
      <c r="M47" s="2"/>
      <c r="N47" s="2"/>
      <c r="O47" s="2"/>
      <c r="P47" s="2"/>
      <c r="Q47" s="2"/>
      <c r="R47" s="2"/>
      <c r="S47" s="2"/>
      <c r="T47" s="2"/>
      <c r="U47" s="2"/>
      <c r="V47" s="2"/>
    </row>
    <row r="48" spans="1:22">
      <c r="A48" s="2"/>
      <c r="B48" s="2" t="s">
        <v>1160</v>
      </c>
      <c r="C48" s="105">
        <f>+BYD!CA510</f>
        <v>0.28534685186801201</v>
      </c>
      <c r="D48" s="105">
        <f>+C48-(BYD!AV728)</f>
        <v>-0.10068171562383571</v>
      </c>
      <c r="E48" s="105">
        <f>C48-BYD!$W$510</f>
        <v>4.3953731554601305E-2</v>
      </c>
      <c r="F48" s="2"/>
      <c r="G48" s="2"/>
      <c r="H48" s="2"/>
      <c r="I48" s="2"/>
      <c r="J48" s="2"/>
      <c r="K48" s="2"/>
      <c r="L48" s="2"/>
      <c r="M48" s="2"/>
      <c r="N48" s="2"/>
      <c r="O48" s="2"/>
      <c r="P48" s="2"/>
      <c r="Q48" s="2"/>
      <c r="R48" s="2"/>
      <c r="S48" s="2"/>
      <c r="T48" s="2"/>
      <c r="U48" s="2"/>
      <c r="V48" s="2"/>
    </row>
    <row r="49" spans="1:22" s="3911" customFormat="1">
      <c r="A49" s="2"/>
      <c r="B49" s="3093" t="s">
        <v>1963</v>
      </c>
      <c r="C49" s="2">
        <f>+BYD!CA508</f>
        <v>594.34776997238419</v>
      </c>
      <c r="D49" s="105">
        <f>C49/BYD!$AV$508-1</f>
        <v>1.525013467238149</v>
      </c>
      <c r="E49" s="105">
        <f>C49/BYD!$M$508-1</f>
        <v>1.6437076096558263</v>
      </c>
      <c r="F49" s="2"/>
      <c r="G49" s="2"/>
      <c r="H49" s="2"/>
      <c r="I49" s="2"/>
      <c r="J49" s="2"/>
      <c r="K49" s="2"/>
      <c r="L49" s="2"/>
      <c r="M49" s="2"/>
      <c r="N49" s="2"/>
      <c r="O49" s="2"/>
      <c r="P49" s="2"/>
      <c r="Q49" s="2"/>
      <c r="R49" s="2"/>
      <c r="S49" s="2"/>
      <c r="T49" s="2"/>
      <c r="U49" s="2"/>
      <c r="V49" s="2"/>
    </row>
    <row r="50" spans="1:22">
      <c r="A50" s="2"/>
      <c r="B50" s="3093" t="s">
        <v>1927</v>
      </c>
      <c r="C50" s="2">
        <f>BYD!CA508</f>
        <v>594.34776997238419</v>
      </c>
      <c r="F50" s="2"/>
      <c r="G50" s="105">
        <f>(C49/BYD!$BU$44)^(1/2)-1</f>
        <v>0.27748121212679511</v>
      </c>
      <c r="H50" s="2"/>
      <c r="I50" s="2"/>
      <c r="J50" s="2"/>
      <c r="K50" s="2"/>
      <c r="L50" s="2"/>
      <c r="M50" s="2"/>
      <c r="N50" s="2"/>
      <c r="O50" s="2"/>
      <c r="P50" s="2"/>
      <c r="Q50" s="2"/>
      <c r="R50" s="2"/>
      <c r="S50" s="2"/>
      <c r="T50" s="2"/>
      <c r="U50" s="2"/>
      <c r="V50" s="2"/>
    </row>
    <row r="51" spans="1:22">
      <c r="A51" s="2"/>
      <c r="B51" s="2"/>
      <c r="C51" s="2"/>
      <c r="D51" s="105"/>
      <c r="E51" s="105"/>
      <c r="F51" s="2"/>
      <c r="G51" s="105"/>
      <c r="H51" s="2"/>
      <c r="I51" s="2"/>
      <c r="J51" s="2"/>
      <c r="K51" s="2"/>
      <c r="L51" s="2"/>
      <c r="M51" s="2"/>
      <c r="N51" s="2"/>
      <c r="O51" s="2"/>
      <c r="P51" s="2"/>
      <c r="Q51" s="2"/>
      <c r="R51" s="2"/>
      <c r="S51" s="2"/>
      <c r="T51" s="2"/>
      <c r="U51" s="2"/>
      <c r="V51" s="2"/>
    </row>
    <row r="52" spans="1:22">
      <c r="A52" s="2"/>
      <c r="B52" s="2"/>
      <c r="C52" s="2"/>
      <c r="D52" s="2"/>
      <c r="E52" s="2"/>
      <c r="F52" s="2"/>
      <c r="G52" s="2"/>
      <c r="H52" s="2"/>
      <c r="I52" s="2"/>
      <c r="J52" s="2"/>
      <c r="K52" s="2"/>
      <c r="L52" s="2"/>
      <c r="M52" s="2"/>
      <c r="N52" s="2"/>
      <c r="O52" s="2"/>
      <c r="P52" s="2"/>
      <c r="Q52" s="2"/>
      <c r="R52" s="2"/>
      <c r="S52" s="2"/>
      <c r="T52" s="2"/>
      <c r="U52" s="2"/>
      <c r="V52" s="2"/>
    </row>
    <row r="53" spans="1:22">
      <c r="A53" s="1169" t="s">
        <v>1203</v>
      </c>
      <c r="B53" s="173"/>
      <c r="C53" s="173"/>
      <c r="D53" s="173"/>
      <c r="E53" s="173"/>
      <c r="F53" s="173"/>
      <c r="G53" s="173"/>
      <c r="H53" s="173"/>
      <c r="I53" s="173"/>
      <c r="J53" s="173"/>
      <c r="K53" s="173"/>
      <c r="L53" s="173"/>
      <c r="M53" s="173"/>
      <c r="N53" s="173"/>
      <c r="O53" s="173"/>
      <c r="P53" s="173"/>
      <c r="Q53" s="173"/>
      <c r="R53" s="2"/>
      <c r="S53" s="2"/>
      <c r="T53" s="2"/>
      <c r="U53" s="2"/>
      <c r="V53" s="2"/>
    </row>
    <row r="54" spans="1:22">
      <c r="A54" s="2"/>
      <c r="B54" s="2"/>
      <c r="C54" s="2"/>
      <c r="D54" s="2"/>
      <c r="E54" s="2"/>
      <c r="F54" s="2"/>
      <c r="G54" s="2"/>
      <c r="H54" s="2"/>
      <c r="I54" s="2"/>
      <c r="J54" s="2"/>
      <c r="K54" s="2"/>
      <c r="L54" s="2"/>
      <c r="M54" s="2"/>
      <c r="N54" s="2"/>
      <c r="O54" s="2"/>
      <c r="P54" s="2"/>
      <c r="Q54" s="2"/>
      <c r="R54" s="2"/>
      <c r="S54" s="2"/>
      <c r="T54" s="2"/>
      <c r="U54" s="2"/>
      <c r="V54" s="2"/>
    </row>
    <row r="55" spans="1:22">
      <c r="A55" s="334" t="s">
        <v>494</v>
      </c>
      <c r="B55" s="2" t="s">
        <v>560</v>
      </c>
      <c r="C55" s="2">
        <f>C37*(1+F55)</f>
        <v>935.01416992500015</v>
      </c>
      <c r="D55" s="105">
        <f>C55/BYD!$AV$10-1</f>
        <v>0.58126954559060806</v>
      </c>
      <c r="E55" s="105">
        <f>C55/BYD!$W$10-1</f>
        <v>0.10239135116350662</v>
      </c>
      <c r="F55" s="1066">
        <v>0.03</v>
      </c>
      <c r="G55" s="1066"/>
      <c r="H55" s="1066"/>
      <c r="I55" s="1062">
        <f>C55-C37</f>
        <v>27.233422425000072</v>
      </c>
      <c r="J55" s="1062">
        <f>C57-C39</f>
        <v>17.958642105750016</v>
      </c>
      <c r="K55" s="2">
        <f>J55*'EBITDA Val'!D8</f>
        <v>179.58642105750016</v>
      </c>
      <c r="L55" s="1171">
        <f>K55/'EBITDA Val'!$F$15</f>
        <v>1.588001272722426</v>
      </c>
      <c r="M55" s="2"/>
      <c r="N55" s="2"/>
      <c r="O55" s="2"/>
      <c r="P55" s="2"/>
      <c r="Q55" s="2"/>
      <c r="R55" s="2"/>
      <c r="S55" s="2"/>
      <c r="T55" s="2"/>
      <c r="U55" s="2"/>
      <c r="V55" s="2"/>
    </row>
    <row r="56" spans="1:22">
      <c r="A56" s="334"/>
      <c r="B56" s="2" t="s">
        <v>1160</v>
      </c>
      <c r="C56" s="1066">
        <f>+C38+0.01</f>
        <v>0.32610057201615206</v>
      </c>
      <c r="D56" s="1170">
        <f>C56-BYD!$AV$311</f>
        <v>0.10837573918847912</v>
      </c>
      <c r="E56" s="1170">
        <f>C56-BYD!$W$311</f>
        <v>1.2714400860768249E-3</v>
      </c>
      <c r="F56" s="133">
        <f>C56-C38</f>
        <v>1.0000000000000009E-2</v>
      </c>
      <c r="G56" s="133"/>
      <c r="H56" s="101"/>
      <c r="I56" s="2"/>
      <c r="J56" s="2"/>
      <c r="K56" s="2"/>
      <c r="L56" s="2"/>
      <c r="M56" s="2"/>
      <c r="N56" s="2"/>
      <c r="O56" s="2"/>
      <c r="P56" s="2"/>
      <c r="Q56" s="2"/>
      <c r="R56" s="2"/>
      <c r="S56" s="2"/>
      <c r="T56" s="2"/>
      <c r="U56" s="2"/>
      <c r="V56" s="2"/>
    </row>
    <row r="57" spans="1:22">
      <c r="A57" s="334"/>
      <c r="B57" s="3093" t="s">
        <v>1963</v>
      </c>
      <c r="C57" s="2">
        <f>C56*C55</f>
        <v>304.90865565575012</v>
      </c>
      <c r="D57" s="105">
        <f>C57/BYD!$AV$310-1</f>
        <v>1.3683697290375334</v>
      </c>
      <c r="E57" s="105">
        <f>C57/BYD!$W$310-1</f>
        <v>0.10670631068110104</v>
      </c>
      <c r="F57" s="105">
        <f>(C57-C39)/C39</f>
        <v>6.2584566153438367E-2</v>
      </c>
      <c r="G57" s="105">
        <f>(C57/BYD!$BU$310)^(1/2)-1</f>
        <v>0.10449661055745363</v>
      </c>
      <c r="H57" s="105"/>
      <c r="I57" s="2"/>
      <c r="J57" s="2"/>
      <c r="K57" s="2"/>
      <c r="L57" s="2"/>
      <c r="M57" s="2"/>
      <c r="N57" s="2"/>
      <c r="O57" s="2"/>
      <c r="P57" s="2"/>
      <c r="Q57" s="2"/>
      <c r="R57" s="2"/>
      <c r="S57" s="2"/>
      <c r="T57" s="2"/>
      <c r="U57" s="2"/>
      <c r="V57" s="2"/>
    </row>
    <row r="58" spans="1:22">
      <c r="A58" s="334"/>
      <c r="B58" s="3093" t="s">
        <v>1927</v>
      </c>
      <c r="C58" s="2">
        <f>+BYD!BZ38+Sensitivity!J55/2</f>
        <v>284.27655105287499</v>
      </c>
      <c r="D58" s="105"/>
      <c r="E58" s="105"/>
      <c r="F58" s="105"/>
      <c r="G58" s="105"/>
      <c r="H58" s="105"/>
      <c r="I58" s="2"/>
      <c r="J58" s="2"/>
      <c r="K58" s="2"/>
      <c r="L58" s="2"/>
      <c r="M58" s="2"/>
      <c r="N58" s="2"/>
      <c r="O58" s="2"/>
      <c r="P58" s="1336"/>
      <c r="Q58" s="2"/>
      <c r="R58" s="2"/>
      <c r="S58" s="2"/>
      <c r="T58" s="2"/>
      <c r="U58" s="2"/>
      <c r="V58" s="2"/>
    </row>
    <row r="59" spans="1:22">
      <c r="A59" s="334" t="s">
        <v>549</v>
      </c>
      <c r="B59" s="2" t="s">
        <v>560</v>
      </c>
      <c r="C59" s="2">
        <f>C42*(1+F59)</f>
        <v>262.88868056099994</v>
      </c>
      <c r="D59" s="105">
        <f>C59/BYD!$AV$11-1</f>
        <v>0.17267832062468202</v>
      </c>
      <c r="E59" s="105">
        <f>C59/BYD!$W$339-1</f>
        <v>3.0762187399771657E-2</v>
      </c>
      <c r="F59" s="1066">
        <v>0.03</v>
      </c>
      <c r="G59" s="1066"/>
      <c r="H59" s="2"/>
      <c r="I59" s="2">
        <f>C59-C42</f>
        <v>7.6569518609999818</v>
      </c>
      <c r="J59" s="2">
        <f>C61-C44</f>
        <v>4.5086900756099908</v>
      </c>
      <c r="K59" s="2">
        <f>J59*'EBITDA Val'!D9</f>
        <v>42.832555718294913</v>
      </c>
      <c r="L59" s="1171">
        <f>K59/'EBITDA Val'!$F$15</f>
        <v>0.37874886416288917</v>
      </c>
      <c r="M59" s="2"/>
      <c r="N59" s="2"/>
      <c r="O59" s="2"/>
      <c r="P59" s="2"/>
      <c r="Q59" s="2"/>
      <c r="R59" s="2"/>
      <c r="S59" s="2"/>
      <c r="T59" s="2"/>
      <c r="U59" s="2"/>
      <c r="V59" s="2"/>
    </row>
    <row r="60" spans="1:22">
      <c r="A60" s="334"/>
      <c r="B60" s="2" t="s">
        <v>1160</v>
      </c>
      <c r="C60" s="1066">
        <f>+C43+0.01</f>
        <v>0.25550281941494352</v>
      </c>
      <c r="D60" s="105">
        <f>C60-BYD!$AV$346</f>
        <v>0.1090477703021849</v>
      </c>
      <c r="E60" s="105">
        <f>C60-BYD!$W$346</f>
        <v>5.1117676517471344E-2</v>
      </c>
      <c r="F60" s="133">
        <f>C60-C43</f>
        <v>9.9999999999999811E-3</v>
      </c>
      <c r="G60" s="133"/>
      <c r="H60" s="2"/>
      <c r="I60" s="2"/>
      <c r="J60" s="2"/>
      <c r="K60" s="2"/>
      <c r="L60" s="2"/>
      <c r="M60" s="2"/>
      <c r="N60" s="2"/>
      <c r="O60" s="2"/>
      <c r="P60" s="2"/>
      <c r="Q60" s="2"/>
      <c r="R60" s="2"/>
      <c r="S60" s="2"/>
      <c r="T60" s="2"/>
      <c r="U60" s="2"/>
      <c r="V60" s="2"/>
    </row>
    <row r="61" spans="1:22">
      <c r="A61" s="334"/>
      <c r="B61" s="3093" t="s">
        <v>1963</v>
      </c>
      <c r="C61" s="2">
        <f>C60*C59</f>
        <v>67.16879907560994</v>
      </c>
      <c r="D61" s="105">
        <f>C61/BYD!$AV$345-1</f>
        <v>1.0458333051781779</v>
      </c>
      <c r="E61" s="105">
        <f>C61/BYD!$W$345-1</f>
        <v>0.28856061303374347</v>
      </c>
      <c r="F61" s="105">
        <f>(C61-C44)/C44</f>
        <v>7.1954711658896012E-2</v>
      </c>
      <c r="G61" s="105"/>
      <c r="H61" s="2"/>
      <c r="I61" s="2"/>
      <c r="J61" s="2"/>
      <c r="K61" s="2"/>
      <c r="L61" s="2"/>
      <c r="M61" s="2"/>
      <c r="N61" s="2"/>
      <c r="O61" s="2"/>
      <c r="P61" s="2"/>
      <c r="Q61" s="2"/>
      <c r="R61" s="2"/>
      <c r="S61" s="2"/>
      <c r="T61" s="2"/>
      <c r="U61" s="2"/>
      <c r="V61" s="2"/>
    </row>
    <row r="62" spans="1:22">
      <c r="A62" s="334"/>
      <c r="B62" s="3093" t="s">
        <v>1927</v>
      </c>
      <c r="C62" s="2">
        <f>+BYD!BZ39+Sensitivity!J59/2</f>
        <v>61.816560037804983</v>
      </c>
      <c r="D62" s="2"/>
      <c r="E62" s="2"/>
      <c r="F62" s="2"/>
      <c r="G62" s="2"/>
      <c r="H62" s="2"/>
      <c r="I62" s="2"/>
      <c r="J62" s="2"/>
      <c r="K62" s="2"/>
      <c r="L62" s="2"/>
      <c r="M62" s="2"/>
      <c r="N62" s="2"/>
      <c r="O62" s="2"/>
      <c r="P62" s="2"/>
      <c r="Q62" s="2"/>
      <c r="R62" s="2"/>
      <c r="S62" s="2"/>
      <c r="T62" s="2"/>
      <c r="U62" s="2"/>
      <c r="V62" s="2"/>
    </row>
    <row r="63" spans="1:22">
      <c r="A63" s="334" t="s">
        <v>1082</v>
      </c>
      <c r="B63" s="2" t="s">
        <v>560</v>
      </c>
      <c r="C63" s="2">
        <f>C47*(1+F63)</f>
        <v>2145.3827125267198</v>
      </c>
      <c r="D63" s="105">
        <f>C63/BYD!$AV$499-1</f>
        <v>1.0460822488266643</v>
      </c>
      <c r="E63" s="105">
        <f>C63/BYD!$W$499-1</f>
        <v>1.4000066142526237</v>
      </c>
      <c r="F63" s="1066">
        <v>0.03</v>
      </c>
      <c r="G63" s="1066"/>
      <c r="H63" s="2"/>
      <c r="I63" s="1062">
        <f>C63-C47</f>
        <v>62.486875122137462</v>
      </c>
      <c r="J63" s="1062">
        <f>C65-C49</f>
        <v>39.284260224438754</v>
      </c>
      <c r="K63" s="2">
        <f>J63*'EBITDA Val'!D7</f>
        <v>353.55834201994878</v>
      </c>
      <c r="L63" s="1171">
        <f>K63/'EBITDA Val'!$F$15</f>
        <v>3.1263560674754105</v>
      </c>
      <c r="M63" s="2"/>
      <c r="N63" s="2"/>
      <c r="O63" s="2"/>
      <c r="P63" s="2"/>
      <c r="Q63" s="2"/>
      <c r="R63" s="2"/>
      <c r="S63" s="2"/>
      <c r="T63" s="2"/>
      <c r="U63" s="2"/>
      <c r="V63" s="2"/>
    </row>
    <row r="64" spans="1:22">
      <c r="A64" s="2"/>
      <c r="B64" s="2" t="s">
        <v>1160</v>
      </c>
      <c r="C64" s="1066">
        <f>+C48+0.01</f>
        <v>0.29534685186801202</v>
      </c>
      <c r="D64" s="105">
        <f>C64-BYD!$AV$510</f>
        <v>7.0857756637728225E-2</v>
      </c>
      <c r="E64" s="105">
        <f>C64-BYD!$W$510</f>
        <v>5.3953731554601314E-2</v>
      </c>
      <c r="F64" s="105">
        <f>C64-C48</f>
        <v>1.0000000000000009E-2</v>
      </c>
      <c r="G64" s="105"/>
      <c r="H64" s="2"/>
      <c r="I64" s="2"/>
      <c r="J64" s="2"/>
      <c r="K64" s="2"/>
      <c r="L64" s="2"/>
      <c r="M64" s="2"/>
      <c r="N64" s="2"/>
      <c r="O64" s="2"/>
      <c r="P64" s="2"/>
      <c r="Q64" s="2"/>
      <c r="R64" s="2"/>
      <c r="S64" s="2"/>
      <c r="T64" s="2"/>
      <c r="U64" s="2"/>
      <c r="V64" s="2"/>
    </row>
    <row r="65" spans="1:22">
      <c r="A65" s="2"/>
      <c r="B65" s="3093" t="s">
        <v>1963</v>
      </c>
      <c r="C65" s="2">
        <f>C64*C63</f>
        <v>633.63203019682294</v>
      </c>
      <c r="D65" s="105">
        <f>C65/BYD!$AV$508-1</f>
        <v>1.6919078195494306</v>
      </c>
      <c r="E65" s="105">
        <f>C65/BYD!$W$508-1</f>
        <v>1.9364316475200685</v>
      </c>
      <c r="F65" s="105">
        <f>(C65-C49)/C49</f>
        <v>6.6096420663383768E-2</v>
      </c>
      <c r="G65" s="105">
        <f>(C65/BYD!$BU$44)^(1/2)-1</f>
        <v>0.3190242022639338</v>
      </c>
      <c r="H65" s="2"/>
      <c r="I65" s="2"/>
      <c r="J65" s="2"/>
      <c r="K65" s="2"/>
      <c r="L65" s="2"/>
      <c r="M65" s="2"/>
      <c r="N65" s="2"/>
      <c r="O65" s="2"/>
      <c r="P65" s="2"/>
      <c r="Q65" s="2"/>
      <c r="R65" s="2"/>
      <c r="S65" s="2"/>
      <c r="T65" s="2"/>
      <c r="U65" s="2"/>
      <c r="V65" s="2"/>
    </row>
    <row r="66" spans="1:22">
      <c r="A66" s="2"/>
      <c r="B66" s="3093" t="s">
        <v>1927</v>
      </c>
      <c r="C66" s="2">
        <f>+BYD!BZ44+Sensitivity!J63/2</f>
        <v>493.77701057452731</v>
      </c>
      <c r="D66" s="2"/>
      <c r="E66" s="2"/>
      <c r="F66" s="2"/>
      <c r="G66" s="2"/>
      <c r="H66" s="2"/>
      <c r="I66" s="2"/>
      <c r="J66" s="2"/>
      <c r="K66" s="2"/>
      <c r="L66" s="2"/>
      <c r="M66" s="2"/>
      <c r="N66" s="2"/>
      <c r="O66" s="2"/>
      <c r="P66" s="2"/>
      <c r="Q66" s="2"/>
      <c r="R66" s="2"/>
      <c r="S66" s="2"/>
      <c r="T66" s="2"/>
      <c r="U66" s="2"/>
      <c r="V66" s="2"/>
    </row>
    <row r="67" spans="1:22">
      <c r="A67" s="2"/>
      <c r="B67" s="3093"/>
      <c r="C67" s="2"/>
      <c r="D67" s="2"/>
      <c r="E67" s="2"/>
      <c r="F67" s="2"/>
      <c r="G67" s="2"/>
      <c r="H67" s="2"/>
      <c r="I67" s="2"/>
      <c r="J67" s="2"/>
      <c r="K67" s="2"/>
      <c r="L67" s="2"/>
      <c r="M67" s="2"/>
      <c r="N67" s="2"/>
      <c r="O67" s="2"/>
      <c r="P67" s="2"/>
      <c r="Q67" s="2"/>
      <c r="R67" s="2"/>
      <c r="S67" s="2"/>
      <c r="T67" s="2"/>
      <c r="U67" s="2"/>
      <c r="V67" s="2"/>
    </row>
    <row r="68" spans="1:22">
      <c r="A68" s="2" t="s">
        <v>901</v>
      </c>
      <c r="B68" s="2" t="s">
        <v>401</v>
      </c>
      <c r="C68" s="2"/>
      <c r="D68" s="105"/>
      <c r="E68" s="105"/>
      <c r="F68" s="105"/>
      <c r="G68" s="105"/>
      <c r="H68" s="2"/>
      <c r="I68" s="2"/>
      <c r="J68" s="2"/>
      <c r="K68" s="2"/>
      <c r="L68" s="1171"/>
      <c r="M68" s="2"/>
      <c r="N68" s="2"/>
      <c r="O68" s="2"/>
      <c r="P68" s="2"/>
      <c r="Q68" s="2"/>
      <c r="R68" s="2"/>
      <c r="S68" s="2"/>
      <c r="T68" s="2"/>
      <c r="U68" s="2"/>
      <c r="V68" s="2"/>
    </row>
    <row r="69" spans="1:22">
      <c r="A69" s="2"/>
      <c r="B69" s="2"/>
      <c r="C69" s="2"/>
      <c r="D69" s="105"/>
      <c r="E69" s="105"/>
      <c r="F69" s="105"/>
      <c r="G69" s="105"/>
      <c r="H69" s="2"/>
      <c r="I69" s="2"/>
      <c r="J69" s="2"/>
      <c r="K69" s="2"/>
      <c r="L69" s="2"/>
      <c r="M69" s="2"/>
      <c r="N69" s="2"/>
      <c r="O69" s="2"/>
      <c r="P69" s="2"/>
      <c r="Q69" s="2"/>
      <c r="R69" s="2"/>
      <c r="S69" s="2"/>
      <c r="T69" s="2"/>
      <c r="U69" s="2"/>
      <c r="V69" s="2"/>
    </row>
    <row r="70" spans="1:22">
      <c r="A70" s="2" t="s">
        <v>1086</v>
      </c>
      <c r="B70" s="2"/>
      <c r="C70" s="2"/>
      <c r="D70" s="105"/>
      <c r="E70" s="105"/>
      <c r="F70" s="1">
        <f>-J74*0.7</f>
        <v>-43.226114684059127</v>
      </c>
      <c r="G70" s="1"/>
      <c r="H70" s="2"/>
      <c r="I70" s="2"/>
      <c r="J70" s="2"/>
      <c r="K70" s="2"/>
      <c r="L70" s="1171">
        <f>-F70/'EBITDA Val'!$F$15</f>
        <v>0.38222892760446081</v>
      </c>
      <c r="M70" s="2"/>
      <c r="N70" s="2"/>
      <c r="O70" s="2"/>
      <c r="P70" s="2"/>
      <c r="Q70" s="2"/>
      <c r="R70" s="2"/>
      <c r="S70" s="2"/>
      <c r="T70" s="2"/>
      <c r="U70" s="2"/>
      <c r="V70" s="2"/>
    </row>
    <row r="71" spans="1:22">
      <c r="A71" s="2"/>
      <c r="B71" s="2"/>
      <c r="C71" s="2"/>
      <c r="D71" s="105"/>
      <c r="E71" s="105"/>
      <c r="F71" s="1"/>
      <c r="G71" s="1"/>
      <c r="H71" s="2"/>
      <c r="I71" s="2"/>
      <c r="J71" s="2"/>
      <c r="K71" s="2"/>
      <c r="L71" s="1171"/>
      <c r="M71" s="2"/>
      <c r="N71" s="2"/>
      <c r="O71" s="2"/>
      <c r="P71" s="2"/>
      <c r="Q71" s="2"/>
      <c r="R71" s="2"/>
      <c r="S71" s="2"/>
      <c r="T71" s="2"/>
      <c r="U71" s="2"/>
      <c r="V71" s="2"/>
    </row>
    <row r="72" spans="1:22">
      <c r="A72" s="2" t="s">
        <v>180</v>
      </c>
      <c r="B72" s="2"/>
      <c r="C72" s="2"/>
      <c r="D72" s="105"/>
      <c r="E72" s="105"/>
      <c r="F72" s="1172">
        <v>1.1000000000000001</v>
      </c>
      <c r="G72" s="1"/>
      <c r="H72" s="2"/>
      <c r="I72" s="2"/>
      <c r="J72" s="2"/>
      <c r="K72" s="2">
        <f>(J74+'EBITDA Val'!B12)*Sensitivity!F72</f>
        <v>1029.2804334210014</v>
      </c>
      <c r="L72" s="1171">
        <f>K72/'EBITDA Val'!$F$15</f>
        <v>9.1014600582607805</v>
      </c>
      <c r="M72" s="2"/>
      <c r="N72" s="2"/>
      <c r="O72" s="2"/>
      <c r="P72" s="2"/>
      <c r="Q72" s="2"/>
      <c r="R72" s="2"/>
      <c r="S72" s="2"/>
      <c r="T72" s="2"/>
      <c r="U72" s="2"/>
      <c r="V72" s="2"/>
    </row>
    <row r="73" spans="1:22">
      <c r="A73" s="2"/>
      <c r="B73" s="2"/>
      <c r="C73" s="2"/>
      <c r="D73" s="105"/>
      <c r="E73" s="105"/>
      <c r="F73" s="105"/>
      <c r="G73" s="105"/>
      <c r="H73" s="2"/>
      <c r="I73" s="2"/>
      <c r="J73" s="2"/>
      <c r="K73" s="2"/>
      <c r="L73" s="2"/>
      <c r="M73" s="2"/>
      <c r="N73" s="103" t="s">
        <v>1204</v>
      </c>
      <c r="O73" s="2"/>
      <c r="P73" s="2"/>
      <c r="Q73" s="2"/>
      <c r="R73" s="2"/>
      <c r="S73" s="2"/>
      <c r="T73" s="2"/>
      <c r="U73" s="2"/>
      <c r="V73" s="2"/>
    </row>
    <row r="74" spans="1:22">
      <c r="A74" s="147" t="s">
        <v>310</v>
      </c>
      <c r="B74" s="1588"/>
      <c r="C74" s="1588"/>
      <c r="D74" s="1588"/>
      <c r="E74" s="1588"/>
      <c r="F74" s="1588"/>
      <c r="G74" s="1588"/>
      <c r="H74" s="1588"/>
      <c r="I74" s="1588">
        <f>SUM(I55:I73)</f>
        <v>97.377249408137516</v>
      </c>
      <c r="J74" s="1588">
        <f>SUM(J55:J67)</f>
        <v>61.75159240579876</v>
      </c>
      <c r="K74" s="1588">
        <f>SUM(K55:K67,K72)</f>
        <v>1605.2577522167453</v>
      </c>
      <c r="L74" s="1589">
        <f>SUM(L55:L73)</f>
        <v>14.576795190225967</v>
      </c>
      <c r="M74" s="160"/>
      <c r="N74" s="1591">
        <f>L74+'EBITDA Val'!F20</f>
        <v>48.465825371263833</v>
      </c>
      <c r="O74" s="1588">
        <f>+'EBITDA Val'!B12+Sensitivity!J74</f>
        <v>935.70948492818297</v>
      </c>
      <c r="P74" s="1588">
        <f>+K74+'EBITDA Val'!F12</f>
        <v>9765.5565239448551</v>
      </c>
      <c r="Q74" s="1590">
        <f>P74/O74</f>
        <v>10.436526166766788</v>
      </c>
      <c r="R74" s="2"/>
      <c r="S74" s="2"/>
      <c r="T74" s="2"/>
      <c r="U74" s="2"/>
      <c r="V74" s="2"/>
    </row>
    <row r="75" spans="1:22">
      <c r="A75" s="2"/>
      <c r="B75" s="2"/>
      <c r="C75" s="2"/>
      <c r="D75" s="2"/>
      <c r="E75" s="2"/>
      <c r="F75" s="2"/>
      <c r="G75" s="2"/>
      <c r="H75" s="2"/>
      <c r="I75" s="2"/>
      <c r="J75" s="2"/>
      <c r="K75" s="2"/>
      <c r="L75" s="2"/>
      <c r="M75" s="2"/>
      <c r="N75" s="2"/>
      <c r="O75" s="2"/>
      <c r="P75" s="2"/>
      <c r="Q75" s="2"/>
      <c r="R75" s="2"/>
      <c r="S75" s="2"/>
      <c r="T75" s="2"/>
      <c r="U75" s="2"/>
      <c r="V75" s="2"/>
    </row>
    <row r="76" spans="1:22">
      <c r="A76" s="2"/>
      <c r="B76" s="2"/>
      <c r="C76" s="2"/>
      <c r="D76" s="2"/>
      <c r="E76" s="2"/>
      <c r="F76" s="2"/>
      <c r="G76" s="2"/>
      <c r="H76" s="2"/>
      <c r="I76" s="2"/>
      <c r="J76" s="2"/>
      <c r="K76" s="2"/>
      <c r="L76" s="1171" t="s">
        <v>982</v>
      </c>
      <c r="M76" s="2"/>
      <c r="N76" s="2792">
        <f>+N74</f>
        <v>48.465825371263833</v>
      </c>
      <c r="O76" s="2794">
        <v>0.8</v>
      </c>
      <c r="P76" s="1"/>
      <c r="Q76" s="1173"/>
      <c r="R76" s="2"/>
      <c r="S76" s="2"/>
      <c r="T76" s="2"/>
      <c r="U76" s="2"/>
      <c r="V76" s="2"/>
    </row>
    <row r="77" spans="1:22">
      <c r="A77" s="2"/>
      <c r="B77" s="2"/>
      <c r="C77" s="2"/>
      <c r="D77" s="2"/>
      <c r="E77" s="2"/>
      <c r="F77" s="2"/>
      <c r="G77" s="2"/>
      <c r="H77" s="2"/>
      <c r="I77" s="2"/>
      <c r="J77" s="2"/>
      <c r="K77" s="2"/>
      <c r="L77" s="1" t="s">
        <v>983</v>
      </c>
      <c r="M77" s="2"/>
      <c r="N77" s="2792">
        <f>+'Tables 2'!T202</f>
        <v>25.375962571492757</v>
      </c>
      <c r="O77" s="2794">
        <v>0.2</v>
      </c>
      <c r="P77" s="2"/>
      <c r="Q77" s="2"/>
      <c r="R77" s="2"/>
      <c r="S77" s="2"/>
      <c r="T77" s="2"/>
      <c r="U77" s="2"/>
      <c r="V77" s="2"/>
    </row>
    <row r="78" spans="1:22">
      <c r="A78" s="2"/>
      <c r="B78" s="2"/>
      <c r="C78" s="105"/>
      <c r="D78" s="2"/>
      <c r="E78" s="2"/>
      <c r="F78" s="2"/>
      <c r="G78" s="105"/>
      <c r="H78" s="2"/>
      <c r="I78" s="2"/>
      <c r="J78" s="2"/>
      <c r="K78" s="2"/>
      <c r="L78" s="2793" t="s">
        <v>984</v>
      </c>
      <c r="M78" s="160"/>
      <c r="N78" s="160"/>
      <c r="O78" s="150">
        <f>SUMPRODUCT(N76:N77,O76:O77)</f>
        <v>43.847852811309622</v>
      </c>
      <c r="P78" s="2"/>
      <c r="Q78" s="2"/>
      <c r="R78" s="2"/>
      <c r="S78" s="2"/>
      <c r="T78" s="2"/>
      <c r="U78" s="2"/>
      <c r="V78" s="2"/>
    </row>
    <row r="79" spans="1:22">
      <c r="A79" s="2"/>
      <c r="B79" s="2"/>
      <c r="C79" s="2"/>
      <c r="D79" s="2"/>
      <c r="E79" s="2"/>
      <c r="F79" s="2"/>
      <c r="G79" s="2"/>
      <c r="H79" s="2"/>
      <c r="I79" s="2"/>
      <c r="J79" s="2"/>
      <c r="K79" s="2"/>
      <c r="L79" s="2"/>
      <c r="M79" s="2"/>
      <c r="N79" s="2"/>
      <c r="O79" s="2"/>
      <c r="P79" s="2"/>
      <c r="Q79" s="2"/>
      <c r="R79" s="2"/>
      <c r="S79" s="2"/>
      <c r="T79" s="2"/>
      <c r="U79" s="2"/>
      <c r="V79" s="2"/>
    </row>
    <row r="80" spans="1:22">
      <c r="A80" s="2"/>
      <c r="B80" s="2"/>
      <c r="C80" s="2"/>
      <c r="D80" s="2"/>
      <c r="E80" s="2"/>
      <c r="F80" s="2"/>
      <c r="G80" s="2"/>
      <c r="H80" s="2"/>
      <c r="I80" s="2"/>
      <c r="J80" s="2"/>
      <c r="K80" s="2"/>
      <c r="L80" s="1447" t="s">
        <v>1189</v>
      </c>
      <c r="M80" s="2"/>
      <c r="N80" s="2"/>
      <c r="O80" s="2500"/>
      <c r="P80" s="2"/>
      <c r="Q80" s="2"/>
      <c r="R80" s="2"/>
      <c r="S80" s="2"/>
      <c r="T80" s="2"/>
      <c r="U80" s="2"/>
      <c r="V80" s="2"/>
    </row>
    <row r="81" spans="1:22">
      <c r="A81" s="2"/>
      <c r="B81" s="2"/>
      <c r="C81" s="2"/>
      <c r="D81" s="2"/>
      <c r="E81" s="2"/>
      <c r="F81" s="2"/>
      <c r="G81" s="2"/>
      <c r="H81" s="2"/>
      <c r="I81" s="2"/>
      <c r="J81" s="2"/>
      <c r="K81" s="2"/>
      <c r="L81" s="2"/>
      <c r="M81" s="2"/>
      <c r="N81" s="2"/>
      <c r="O81" s="2"/>
      <c r="P81" s="2"/>
      <c r="Q81" s="2"/>
      <c r="R81" s="2"/>
      <c r="S81" s="2"/>
      <c r="T81" s="2"/>
      <c r="U81" s="2"/>
      <c r="V81" s="2"/>
    </row>
    <row r="82" spans="1:22">
      <c r="A82" s="2"/>
      <c r="B82" s="2"/>
      <c r="C82" s="2"/>
      <c r="D82" s="2"/>
      <c r="E82" s="2"/>
      <c r="F82" s="2"/>
      <c r="G82" s="2"/>
      <c r="H82" s="2"/>
      <c r="I82" s="2"/>
      <c r="J82" s="2"/>
      <c r="K82" s="2"/>
      <c r="L82" s="2"/>
      <c r="M82" s="2"/>
      <c r="N82" s="2"/>
      <c r="O82" s="2"/>
      <c r="P82" s="2"/>
      <c r="Q82" s="2"/>
      <c r="R82" s="2"/>
      <c r="S82" s="2" t="s">
        <v>627</v>
      </c>
      <c r="T82" s="1394"/>
      <c r="U82" s="1393"/>
      <c r="V82" s="1393"/>
    </row>
    <row r="83" spans="1:22">
      <c r="A83" s="2"/>
      <c r="B83" s="2"/>
      <c r="C83" s="2"/>
      <c r="D83" s="2"/>
      <c r="E83" s="2"/>
      <c r="F83" s="2"/>
      <c r="G83" s="2"/>
      <c r="H83" s="2"/>
      <c r="I83" s="2"/>
      <c r="J83" s="2"/>
      <c r="K83" s="2"/>
      <c r="L83" s="2"/>
      <c r="M83" s="2"/>
      <c r="N83" s="2"/>
      <c r="O83" s="2"/>
      <c r="P83" s="2"/>
      <c r="Q83" s="2"/>
      <c r="R83" s="2"/>
      <c r="S83" s="2"/>
      <c r="T83" s="1395" t="s">
        <v>1205</v>
      </c>
      <c r="U83" s="1395" t="s">
        <v>871</v>
      </c>
      <c r="V83" s="1395" t="s">
        <v>1204</v>
      </c>
    </row>
    <row r="84" spans="1:22" ht="5.0999999999999996" customHeight="1">
      <c r="A84" s="2"/>
      <c r="B84" s="2"/>
      <c r="C84" s="2"/>
      <c r="D84" s="2"/>
      <c r="E84" s="2"/>
      <c r="F84" s="2"/>
      <c r="G84" s="2"/>
      <c r="H84" s="2"/>
      <c r="I84" s="2"/>
      <c r="J84" s="2"/>
      <c r="K84" s="2"/>
      <c r="L84" s="2"/>
      <c r="M84" s="2"/>
      <c r="N84" s="2"/>
      <c r="O84" s="2"/>
      <c r="P84" s="2"/>
      <c r="Q84" s="2"/>
      <c r="R84" s="2"/>
      <c r="S84" s="2"/>
      <c r="T84" s="1395"/>
      <c r="U84" s="1395"/>
      <c r="V84" s="1395"/>
    </row>
    <row r="85" spans="1:22">
      <c r="A85" s="2"/>
      <c r="B85" s="2"/>
      <c r="C85" s="2"/>
      <c r="D85" s="2"/>
      <c r="E85" s="2"/>
      <c r="F85" s="2"/>
      <c r="G85" s="2"/>
      <c r="H85" s="2"/>
      <c r="I85" s="2"/>
      <c r="J85" s="2"/>
      <c r="K85" s="2"/>
      <c r="L85" s="2"/>
      <c r="M85" s="2"/>
      <c r="N85" s="2"/>
      <c r="O85" s="2"/>
      <c r="P85" s="2"/>
      <c r="Q85" s="2"/>
      <c r="R85" s="2"/>
      <c r="S85" s="2" t="s">
        <v>504</v>
      </c>
      <c r="T85" s="1398">
        <f>BYD!$AL$10*(1+T86)</f>
        <v>628.01644399999998</v>
      </c>
      <c r="U85" s="1398">
        <f>BYD!AV10</f>
        <v>591.30600000000004</v>
      </c>
      <c r="V85" s="1398">
        <f>BYD!$AL$10*(1+V86)</f>
        <v>686.32357999999988</v>
      </c>
    </row>
    <row r="86" spans="1:22" hidden="1">
      <c r="A86" s="2"/>
      <c r="B86" s="2"/>
      <c r="C86" s="2"/>
      <c r="D86" s="2"/>
      <c r="E86" s="2"/>
      <c r="F86" s="2"/>
      <c r="G86" s="2"/>
      <c r="H86" s="2"/>
      <c r="I86" s="2"/>
      <c r="J86" s="2"/>
      <c r="K86" s="2"/>
      <c r="L86" s="2"/>
      <c r="M86" s="2"/>
      <c r="N86" s="2"/>
      <c r="O86" s="2"/>
      <c r="P86" s="2"/>
      <c r="Q86" s="2"/>
      <c r="R86" s="2"/>
      <c r="S86" s="127" t="s">
        <v>990</v>
      </c>
      <c r="T86" s="1396">
        <v>3.4000000000000002E-2</v>
      </c>
      <c r="U86" s="1039">
        <f>U85/BYD!AL10-1</f>
        <v>-2.6442046476095049E-2</v>
      </c>
      <c r="V86" s="1396">
        <v>0.13</v>
      </c>
    </row>
    <row r="87" spans="1:22" ht="5.0999999999999996" customHeight="1">
      <c r="A87" s="2"/>
      <c r="B87" s="2"/>
      <c r="C87" s="2"/>
      <c r="D87" s="2"/>
      <c r="E87" s="2"/>
      <c r="F87" s="2"/>
      <c r="G87" s="2"/>
      <c r="H87" s="2"/>
      <c r="I87" s="2"/>
      <c r="J87" s="2"/>
      <c r="K87" s="2"/>
      <c r="L87" s="2"/>
      <c r="M87" s="2"/>
      <c r="N87" s="2"/>
      <c r="O87" s="2"/>
      <c r="P87" s="2"/>
      <c r="Q87" s="2"/>
      <c r="R87" s="2"/>
      <c r="S87" s="127"/>
      <c r="T87" s="1396"/>
      <c r="U87" s="1039"/>
      <c r="V87" s="1396"/>
    </row>
    <row r="88" spans="1:22">
      <c r="A88" s="2"/>
      <c r="B88" s="2"/>
      <c r="C88" s="2"/>
      <c r="D88" s="2"/>
      <c r="E88" s="2"/>
      <c r="F88" s="2"/>
      <c r="G88" s="2"/>
      <c r="H88" s="2"/>
      <c r="I88" s="2"/>
      <c r="J88" s="2"/>
      <c r="K88" s="2"/>
      <c r="L88" s="2"/>
      <c r="M88" s="2"/>
      <c r="N88" s="2"/>
      <c r="O88" s="2"/>
      <c r="P88" s="2"/>
      <c r="Q88" s="2"/>
      <c r="R88" s="2"/>
      <c r="S88" s="127" t="s">
        <v>1557</v>
      </c>
      <c r="T88" s="1397">
        <f>POWER(1+T86,0.5)-1</f>
        <v>1.6857905510892834E-2</v>
      </c>
      <c r="U88" s="1397">
        <f>POWER(1+U86,0.5)-1</f>
        <v>-1.3309595909687055E-2</v>
      </c>
      <c r="V88" s="1397">
        <f>POWER(1+V86,0.5)-1</f>
        <v>6.301458127346482E-2</v>
      </c>
    </row>
    <row r="89" spans="1:22" ht="5.0999999999999996" customHeight="1">
      <c r="A89" s="2"/>
      <c r="B89" s="2"/>
      <c r="C89" s="2"/>
      <c r="D89" s="2"/>
      <c r="E89" s="2"/>
      <c r="F89" s="2"/>
      <c r="G89" s="2"/>
      <c r="H89" s="2"/>
      <c r="I89" s="2"/>
      <c r="J89" s="2"/>
      <c r="K89" s="2"/>
      <c r="L89" s="2"/>
      <c r="M89" s="2"/>
      <c r="N89" s="2"/>
      <c r="O89" s="2"/>
      <c r="P89" s="2"/>
      <c r="Q89" s="2"/>
      <c r="R89" s="2"/>
      <c r="S89" s="127"/>
      <c r="T89" s="1397"/>
      <c r="U89" s="1397"/>
      <c r="V89" s="1397"/>
    </row>
    <row r="90" spans="1:22">
      <c r="A90" s="2"/>
      <c r="B90" s="2"/>
      <c r="C90" s="2"/>
      <c r="D90" s="2"/>
      <c r="E90" s="2"/>
      <c r="F90" s="2"/>
      <c r="G90" s="2"/>
      <c r="H90" s="2"/>
      <c r="I90" s="2"/>
      <c r="J90" s="2"/>
      <c r="K90" s="2"/>
      <c r="L90" s="2"/>
      <c r="M90" s="2"/>
      <c r="N90" s="2"/>
      <c r="O90" s="2"/>
      <c r="P90" s="2"/>
      <c r="Q90" s="2"/>
      <c r="R90" s="2"/>
      <c r="S90" s="2" t="s">
        <v>1556</v>
      </c>
      <c r="T90" s="1398">
        <f>C13</f>
        <v>276.14014483081257</v>
      </c>
      <c r="U90" s="1398">
        <f>C39</f>
        <v>286.95001355000011</v>
      </c>
      <c r="V90" s="1398">
        <f>C57</f>
        <v>304.90865565575012</v>
      </c>
    </row>
    <row r="91" spans="1:22" ht="5.0999999999999996" customHeight="1">
      <c r="A91" s="2"/>
      <c r="B91" s="2"/>
      <c r="C91" s="2"/>
      <c r="D91" s="2"/>
      <c r="E91" s="2"/>
      <c r="F91" s="2"/>
      <c r="G91" s="2"/>
      <c r="H91" s="2"/>
      <c r="I91" s="2"/>
      <c r="J91" s="2"/>
      <c r="K91" s="2"/>
      <c r="L91" s="2"/>
      <c r="M91" s="2"/>
      <c r="N91" s="2"/>
      <c r="O91" s="2"/>
      <c r="P91" s="2"/>
      <c r="Q91" s="2"/>
      <c r="R91" s="2"/>
      <c r="S91" s="2"/>
      <c r="T91" s="186"/>
      <c r="U91" s="186"/>
      <c r="V91" s="186"/>
    </row>
    <row r="92" spans="1:22">
      <c r="A92" s="2"/>
      <c r="B92" s="2"/>
      <c r="C92" s="2"/>
      <c r="D92" s="2"/>
      <c r="E92" s="2"/>
      <c r="F92" s="2"/>
      <c r="G92" s="2"/>
      <c r="H92" s="2"/>
      <c r="I92" s="2"/>
      <c r="J92" s="2"/>
      <c r="K92" s="2"/>
      <c r="L92" s="2"/>
      <c r="M92" s="2"/>
      <c r="N92" s="2"/>
      <c r="O92" s="2"/>
      <c r="P92" s="2"/>
      <c r="Q92" s="2"/>
      <c r="R92" s="2"/>
      <c r="S92" s="2" t="s">
        <v>626</v>
      </c>
      <c r="T92" s="4060">
        <f>(T90-U90)*'EBITDA Val'!D8/'EBITDA Val'!F20</f>
        <v>-3.1897840278816965</v>
      </c>
      <c r="U92" s="1399" t="s">
        <v>644</v>
      </c>
      <c r="V92" s="4060">
        <f>(V90-U90)*'EBITDA Val'!D8/'EBITDA Val'!F20</f>
        <v>5.2992493470050741</v>
      </c>
    </row>
  </sheetData>
  <phoneticPr fontId="10" type="noConversion"/>
  <pageMargins left="0.75" right="0.75" top="1" bottom="1" header="0.5" footer="0.5"/>
  <pageSetup scale="60" orientation="portrait" r:id="rId1"/>
  <headerFooter alignWithMargins="0"/>
  <colBreaks count="1" manualBreakCount="1">
    <brk id="17" max="1048575" man="1"/>
  </col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B1:IV889"/>
  <sheetViews>
    <sheetView zoomScale="85" zoomScaleNormal="85" workbookViewId="0"/>
  </sheetViews>
  <sheetFormatPr defaultColWidth="8.125" defaultRowHeight="15.75" outlineLevelCol="1"/>
  <cols>
    <col min="1" max="1" width="2.625" customWidth="1"/>
    <col min="2" max="2" width="21.625" customWidth="1"/>
    <col min="3" max="3" width="14" bestFit="1" customWidth="1"/>
    <col min="4" max="4" width="10.375" bestFit="1" customWidth="1"/>
    <col min="5" max="10" width="9" customWidth="1"/>
    <col min="11" max="11" width="2.625" customWidth="1"/>
    <col min="12" max="12" width="16.5" bestFit="1" customWidth="1"/>
    <col min="13" max="14" width="9" customWidth="1"/>
    <col min="15" max="15" width="2.625" customWidth="1"/>
    <col min="16" max="16" width="13.875" customWidth="1"/>
    <col min="17" max="22" width="9" customWidth="1"/>
    <col min="23" max="23" width="2.625" customWidth="1"/>
    <col min="24" max="24" width="13.75" customWidth="1"/>
    <col min="25" max="25" width="10.375" bestFit="1" customWidth="1"/>
    <col min="26" max="26" width="2.625" customWidth="1"/>
    <col min="27" max="27" width="17" bestFit="1" customWidth="1"/>
    <col min="28" max="32" width="4.5" customWidth="1"/>
    <col min="33" max="36" width="4.625" bestFit="1" customWidth="1"/>
    <col min="37" max="37" width="5.625" bestFit="1" customWidth="1"/>
    <col min="38" max="38" width="6.125" bestFit="1" customWidth="1"/>
    <col min="39" max="39" width="2.625" customWidth="1"/>
    <col min="40" max="47" width="9" customWidth="1"/>
    <col min="48" max="48" width="2.625" customWidth="1"/>
    <col min="49" max="49" width="12.625" customWidth="1"/>
    <col min="50" max="56" width="9" customWidth="1"/>
    <col min="57" max="57" width="2.625" customWidth="1"/>
    <col min="58" max="58" width="17.5" bestFit="1" customWidth="1"/>
    <col min="59" max="69" width="9" customWidth="1"/>
    <col min="70" max="70" width="5.625" customWidth="1"/>
    <col min="71" max="90" width="6.625" customWidth="1"/>
    <col min="91" max="91" width="2.625" customWidth="1"/>
    <col min="92" max="92" width="16.125" bestFit="1" customWidth="1"/>
    <col min="93" max="110" width="6.625" customWidth="1"/>
    <col min="111" max="119" width="9" customWidth="1"/>
    <col min="120" max="120" width="0.875" customWidth="1"/>
    <col min="121" max="130" width="9" customWidth="1"/>
    <col min="131" max="131" width="1" customWidth="1"/>
    <col min="132" max="132" width="25.375" customWidth="1"/>
    <col min="133" max="148" width="6.625" customWidth="1"/>
    <col min="149" max="149" width="1.25" customWidth="1"/>
    <col min="150" max="150" width="29.75" customWidth="1"/>
    <col min="151" max="151" width="1.75" customWidth="1"/>
    <col min="152" max="152" width="7.625" hidden="1" customWidth="1"/>
    <col min="153" max="157" width="7.625" customWidth="1"/>
    <col min="158" max="158" width="2" customWidth="1"/>
    <col min="159" max="175" width="9" customWidth="1"/>
    <col min="176" max="176" width="28.75" customWidth="1"/>
    <col min="177" max="177" width="9.25" bestFit="1" customWidth="1"/>
    <col min="178" max="180" width="9" customWidth="1"/>
    <col min="181" max="181" width="23.25" customWidth="1"/>
    <col min="182" max="183" width="9" customWidth="1"/>
    <col min="184" max="184" width="26.5" customWidth="1"/>
    <col min="185" max="199" width="9" customWidth="1"/>
    <col min="200" max="200" width="31.125" customWidth="1"/>
    <col min="201" max="203" width="9" customWidth="1"/>
    <col min="204" max="204" width="12" customWidth="1"/>
    <col min="205" max="207" width="9" customWidth="1"/>
    <col min="208" max="208" width="22.375" customWidth="1"/>
    <col min="209" max="210" width="10" customWidth="1"/>
    <col min="211" max="216" width="7.75" customWidth="1"/>
    <col min="217" max="217" width="14.625" customWidth="1"/>
    <col min="218" max="225" width="7.625" customWidth="1"/>
    <col min="226" max="226" width="29.375" customWidth="1"/>
    <col min="227" max="231" width="8.625" hidden="1" customWidth="1"/>
    <col min="232" max="244" width="8.625" customWidth="1"/>
    <col min="245" max="245" width="25.625" customWidth="1"/>
    <col min="246" max="250" width="8.125" hidden="1" customWidth="1" outlineLevel="1"/>
    <col min="251" max="251" width="8.125" hidden="1" customWidth="1" outlineLevel="1" collapsed="1"/>
    <col min="252" max="252" width="8.125" collapsed="1"/>
  </cols>
  <sheetData>
    <row r="1" spans="2:256" s="2" customFormat="1">
      <c r="GV1" s="1062"/>
      <c r="GW1" s="1062"/>
      <c r="GX1" s="1062"/>
      <c r="GY1" s="1062"/>
      <c r="HC1" s="105"/>
      <c r="HD1" s="105"/>
      <c r="HE1" s="105"/>
      <c r="HF1" s="105"/>
      <c r="HG1" s="105"/>
      <c r="HH1" s="105"/>
      <c r="IV1"/>
    </row>
    <row r="2" spans="2:256" s="2" customFormat="1">
      <c r="B2" s="79" t="s">
        <v>262</v>
      </c>
      <c r="C2" s="67"/>
      <c r="D2" s="67"/>
      <c r="E2" s="67"/>
      <c r="F2" s="67"/>
      <c r="G2" s="67"/>
      <c r="H2" s="67"/>
      <c r="I2" s="67"/>
      <c r="J2" s="66"/>
      <c r="GV2" s="1062"/>
      <c r="GW2" s="1062"/>
      <c r="GX2" s="1062"/>
      <c r="GY2" s="1062"/>
      <c r="HC2" s="105"/>
      <c r="HD2" s="105"/>
      <c r="HE2" s="105"/>
      <c r="HF2" s="105"/>
      <c r="HG2" s="105"/>
      <c r="HH2" s="105"/>
      <c r="IV2"/>
    </row>
    <row r="3" spans="2:256" s="2" customFormat="1">
      <c r="B3" s="80"/>
      <c r="C3" s="61"/>
      <c r="D3" s="61"/>
      <c r="E3" s="81"/>
      <c r="F3" s="81"/>
      <c r="G3" s="81"/>
      <c r="H3" s="4208"/>
      <c r="I3" s="4208"/>
      <c r="J3" s="4209"/>
      <c r="GV3" s="1062"/>
      <c r="GW3" s="1062"/>
      <c r="GX3" s="1062"/>
      <c r="GY3" s="1062"/>
      <c r="HC3" s="105"/>
      <c r="HD3" s="105"/>
      <c r="HE3" s="105"/>
      <c r="HF3" s="105"/>
      <c r="HG3" s="105"/>
      <c r="HH3" s="105"/>
      <c r="IV3"/>
    </row>
    <row r="4" spans="2:256" s="2" customFormat="1">
      <c r="B4" s="82"/>
      <c r="C4" s="61"/>
      <c r="D4" s="83" t="s">
        <v>263</v>
      </c>
      <c r="E4" s="4208" t="s">
        <v>391</v>
      </c>
      <c r="F4" s="4208"/>
      <c r="G4" s="4208"/>
      <c r="H4" s="4208" t="s">
        <v>1593</v>
      </c>
      <c r="I4" s="4208"/>
      <c r="J4" s="4209"/>
      <c r="GV4" s="1062"/>
      <c r="GW4" s="1062"/>
      <c r="GX4" s="1062"/>
      <c r="GY4" s="1062"/>
      <c r="HC4" s="105"/>
      <c r="HD4" s="105"/>
      <c r="HE4" s="105"/>
      <c r="HF4" s="105"/>
      <c r="HG4" s="105"/>
      <c r="HH4" s="105"/>
      <c r="IV4"/>
    </row>
    <row r="5" spans="2:256" s="2" customFormat="1">
      <c r="B5" s="84" t="s">
        <v>276</v>
      </c>
      <c r="C5" s="85" t="s">
        <v>1359</v>
      </c>
      <c r="D5" s="86" t="s">
        <v>401</v>
      </c>
      <c r="E5" s="87">
        <v>2007</v>
      </c>
      <c r="F5" s="87">
        <v>2009</v>
      </c>
      <c r="G5" s="87" t="s">
        <v>886</v>
      </c>
      <c r="H5" s="87">
        <v>2007</v>
      </c>
      <c r="I5" s="87">
        <v>2009</v>
      </c>
      <c r="J5" s="88" t="s">
        <v>887</v>
      </c>
      <c r="K5" s="89" t="s">
        <v>888</v>
      </c>
      <c r="GV5" s="1062"/>
      <c r="GW5" s="1062"/>
      <c r="GX5" s="1062"/>
      <c r="GY5" s="1062"/>
      <c r="HC5" s="105"/>
      <c r="HD5" s="105"/>
      <c r="HE5" s="105"/>
      <c r="HF5" s="105"/>
      <c r="HG5" s="105"/>
      <c r="HH5" s="105"/>
      <c r="IV5"/>
    </row>
    <row r="6" spans="2:256" s="2" customFormat="1">
      <c r="B6" s="90" t="s">
        <v>872</v>
      </c>
      <c r="C6" s="91" t="str">
        <f>Unemployment!B6</f>
        <v>Memphis</v>
      </c>
      <c r="D6" s="92" t="s">
        <v>1109</v>
      </c>
      <c r="E6" s="93">
        <f>BYD!W430</f>
        <v>115.5758795</v>
      </c>
      <c r="F6" s="94">
        <f>BYD!AG430</f>
        <v>99.866592480000008</v>
      </c>
      <c r="G6" s="95">
        <f t="shared" ref="G6:G11" si="0">(F6-E6)/E6</f>
        <v>-0.13592184708401886</v>
      </c>
      <c r="H6" s="96">
        <f>Unemployment!BD7</f>
        <v>5.2</v>
      </c>
      <c r="I6" s="96">
        <f>Unemployment!CD7</f>
        <v>9.6833333333333353</v>
      </c>
      <c r="J6" s="97">
        <f t="shared" ref="J6:J11" si="1">I6-H6</f>
        <v>4.4833333333333352</v>
      </c>
      <c r="K6" s="98">
        <f>Unemployment!CC7</f>
        <v>10.3</v>
      </c>
      <c r="GV6" s="1062"/>
      <c r="GW6" s="1062"/>
      <c r="GX6" s="1062"/>
      <c r="GY6" s="1062"/>
      <c r="HC6" s="105"/>
      <c r="HD6" s="105"/>
      <c r="HE6" s="105"/>
      <c r="HF6" s="105"/>
      <c r="HG6" s="105"/>
      <c r="HH6" s="105"/>
      <c r="IV6"/>
    </row>
    <row r="7" spans="2:256" s="2" customFormat="1">
      <c r="B7" s="90" t="s">
        <v>1712</v>
      </c>
      <c r="C7" s="99" t="str">
        <f>Unemployment!B10</f>
        <v>Peoria</v>
      </c>
      <c r="D7" s="92" t="s">
        <v>1109</v>
      </c>
      <c r="E7" s="94">
        <f>BYD!W431</f>
        <v>132.76600000000002</v>
      </c>
      <c r="F7" s="94">
        <f>BYD!AG431</f>
        <v>115.03999999999999</v>
      </c>
      <c r="G7" s="95">
        <f t="shared" si="0"/>
        <v>-0.13351309823298152</v>
      </c>
      <c r="H7" s="96">
        <f>Unemployment!BD11</f>
        <v>4.5999999999999996</v>
      </c>
      <c r="I7" s="96">
        <f>Unemployment!CD11</f>
        <v>10.083333333333334</v>
      </c>
      <c r="J7" s="97">
        <f t="shared" si="1"/>
        <v>5.4833333333333343</v>
      </c>
      <c r="K7" s="98">
        <f>Unemployment!CC11</f>
        <v>11.2</v>
      </c>
      <c r="GV7" s="1062"/>
      <c r="GW7" s="1062"/>
      <c r="GX7" s="1062"/>
      <c r="GY7" s="1062"/>
      <c r="HC7" s="105"/>
      <c r="HD7" s="105"/>
      <c r="HE7" s="105"/>
      <c r="HF7" s="105"/>
      <c r="HG7" s="105"/>
      <c r="HH7" s="105"/>
      <c r="IV7"/>
    </row>
    <row r="8" spans="2:256" s="2" customFormat="1">
      <c r="B8" s="90" t="s">
        <v>1713</v>
      </c>
      <c r="C8" s="91" t="str">
        <f>Unemployment!B14</f>
        <v>New Orleans</v>
      </c>
      <c r="D8" s="92" t="s">
        <v>1109</v>
      </c>
      <c r="E8" s="93">
        <f>BYD!W432</f>
        <v>116.087233</v>
      </c>
      <c r="F8" s="94">
        <f>BYD!AG432</f>
        <v>102.49294352000001</v>
      </c>
      <c r="G8" s="95">
        <f t="shared" si="0"/>
        <v>-0.11710408740640744</v>
      </c>
      <c r="H8" s="96">
        <f>Unemployment!BD15</f>
        <v>3.5</v>
      </c>
      <c r="I8" s="96">
        <f>Unemployment!CD15</f>
        <v>6.3833333333333329</v>
      </c>
      <c r="J8" s="97">
        <f t="shared" si="1"/>
        <v>2.8833333333333329</v>
      </c>
      <c r="K8" s="98">
        <f>Unemployment!CC15</f>
        <v>6.8</v>
      </c>
      <c r="GV8" s="1062"/>
      <c r="GW8" s="1062"/>
      <c r="GX8" s="1062"/>
      <c r="GY8" s="1062"/>
      <c r="HC8" s="105"/>
      <c r="HD8" s="105"/>
      <c r="HE8" s="105"/>
      <c r="HF8" s="105"/>
      <c r="HG8" s="105"/>
      <c r="HH8" s="105"/>
      <c r="IV8"/>
    </row>
    <row r="9" spans="2:256" s="2" customFormat="1">
      <c r="B9" s="90" t="s">
        <v>889</v>
      </c>
      <c r="C9" s="91" t="str">
        <f>Unemployment!B18</f>
        <v>Chicago CSA</v>
      </c>
      <c r="D9" s="92" t="s">
        <v>1109</v>
      </c>
      <c r="E9" s="93">
        <f>BYD!W433</f>
        <v>256.65276799999998</v>
      </c>
      <c r="F9" s="94">
        <f>BYD!AG433</f>
        <v>187.677909</v>
      </c>
      <c r="G9" s="95">
        <f t="shared" si="0"/>
        <v>-0.26874776974936032</v>
      </c>
      <c r="H9" s="96">
        <f>Unemployment!BD19</f>
        <v>4.9000000000000004</v>
      </c>
      <c r="I9" s="96">
        <f>Unemployment!CD19</f>
        <v>10.008333333333333</v>
      </c>
      <c r="J9" s="97">
        <f t="shared" si="1"/>
        <v>5.1083333333333325</v>
      </c>
      <c r="K9" s="98">
        <f>Unemployment!CC19</f>
        <v>10.7</v>
      </c>
      <c r="GV9" s="1062"/>
      <c r="GW9" s="1062"/>
      <c r="GX9" s="1062"/>
      <c r="GY9" s="1062"/>
      <c r="HC9" s="105"/>
      <c r="HD9" s="105"/>
      <c r="HE9" s="105"/>
      <c r="HF9" s="105"/>
      <c r="HG9" s="105"/>
      <c r="HH9" s="105"/>
      <c r="IV9"/>
    </row>
    <row r="10" spans="2:256" s="2" customFormat="1">
      <c r="B10" s="90" t="s">
        <v>890</v>
      </c>
      <c r="C10" s="91" t="str">
        <f>Unemployment!B22</f>
        <v>Houston CSA</v>
      </c>
      <c r="D10" s="92" t="s">
        <v>1109</v>
      </c>
      <c r="E10" s="93">
        <f>BYD!W434</f>
        <v>162.62824699999999</v>
      </c>
      <c r="F10" s="94">
        <f>BYD!AG434</f>
        <v>180.05633096</v>
      </c>
      <c r="G10" s="95">
        <f t="shared" si="0"/>
        <v>0.10716517137394964</v>
      </c>
      <c r="H10" s="96">
        <f>Unemployment!BD23</f>
        <v>4.3</v>
      </c>
      <c r="I10" s="96">
        <f>Unemployment!CD23</f>
        <v>7.6000000000000014</v>
      </c>
      <c r="J10" s="97">
        <f t="shared" si="1"/>
        <v>3.3000000000000016</v>
      </c>
      <c r="K10" s="98">
        <f>Unemployment!CC23</f>
        <v>8.4</v>
      </c>
      <c r="GV10" s="1062"/>
      <c r="GW10" s="1062"/>
      <c r="GX10" s="1062"/>
      <c r="GY10" s="1062"/>
      <c r="HC10" s="105"/>
      <c r="HD10" s="105"/>
      <c r="HE10" s="105"/>
      <c r="HF10" s="105"/>
      <c r="HG10" s="105"/>
      <c r="HH10" s="105"/>
      <c r="IV10"/>
    </row>
    <row r="11" spans="2:256" s="2" customFormat="1">
      <c r="B11" s="90" t="s">
        <v>1302</v>
      </c>
      <c r="C11" s="91" t="str">
        <f>Unemployment!B26</f>
        <v>Shreveport/Bossier</v>
      </c>
      <c r="D11" s="92" t="s">
        <v>1109</v>
      </c>
      <c r="E11" s="93">
        <f>BYD!W435</f>
        <v>129.96624200000002</v>
      </c>
      <c r="F11" s="94">
        <f>BYD!AG435</f>
        <v>125.86901923000001</v>
      </c>
      <c r="G11" s="95">
        <f t="shared" si="0"/>
        <v>-3.1525284619678511E-2</v>
      </c>
      <c r="H11" s="96">
        <f>Unemployment!BD27</f>
        <v>4.4000000000000004</v>
      </c>
      <c r="I11" s="96">
        <f>Unemployment!CD27</f>
        <v>7.3916666666666666</v>
      </c>
      <c r="J11" s="97">
        <f t="shared" si="1"/>
        <v>2.9916666666666663</v>
      </c>
      <c r="K11" s="98">
        <f>Unemployment!CC27</f>
        <v>7.3</v>
      </c>
      <c r="GV11" s="1062"/>
      <c r="GW11" s="1062"/>
      <c r="GX11" s="1062"/>
      <c r="GY11" s="1062"/>
      <c r="HC11" s="105"/>
      <c r="HD11" s="105"/>
      <c r="HE11" s="105"/>
      <c r="HF11" s="105"/>
      <c r="HG11" s="105"/>
      <c r="HH11" s="105"/>
      <c r="IV11"/>
    </row>
    <row r="12" spans="2:256" s="2" customFormat="1">
      <c r="B12" s="59" t="s">
        <v>1082</v>
      </c>
      <c r="C12" s="61" t="s">
        <v>392</v>
      </c>
      <c r="D12" s="58">
        <f>BYD!AG41/(BYD!$AG$51+BYD!$AG$114)</f>
        <v>0.3829044465468307</v>
      </c>
      <c r="E12" s="61">
        <f>SUM(E6:E11)</f>
        <v>913.67636949999996</v>
      </c>
      <c r="F12" s="61">
        <f>SUM(F6:F11)</f>
        <v>811.00279519000003</v>
      </c>
      <c r="G12" s="95">
        <f>(F12-E12)/E12</f>
        <v>-0.11237411597520794</v>
      </c>
      <c r="H12" s="83" t="s">
        <v>1109</v>
      </c>
      <c r="I12" s="83" t="s">
        <v>1109</v>
      </c>
      <c r="J12" s="100" t="s">
        <v>1109</v>
      </c>
      <c r="K12" s="101" t="s">
        <v>1109</v>
      </c>
      <c r="GV12" s="1062"/>
      <c r="GW12" s="1062"/>
      <c r="GX12" s="1062"/>
      <c r="GY12" s="1062"/>
      <c r="HC12" s="105"/>
      <c r="HD12" s="105"/>
      <c r="HE12" s="105"/>
      <c r="HF12" s="105"/>
      <c r="HG12" s="105"/>
      <c r="HH12" s="105"/>
      <c r="IV12"/>
    </row>
    <row r="13" spans="2:256" s="2" customFormat="1" ht="6" customHeight="1">
      <c r="B13" s="59"/>
      <c r="C13" s="61"/>
      <c r="D13" s="61"/>
      <c r="E13" s="61"/>
      <c r="F13" s="61"/>
      <c r="G13" s="61"/>
      <c r="H13" s="61"/>
      <c r="I13" s="61"/>
      <c r="J13" s="60"/>
      <c r="GV13" s="1062"/>
      <c r="GW13" s="1062"/>
      <c r="GX13" s="1062"/>
      <c r="GY13" s="1062"/>
      <c r="HC13" s="105"/>
      <c r="HD13" s="105"/>
      <c r="HE13" s="105"/>
      <c r="HF13" s="105"/>
      <c r="HG13" s="105"/>
      <c r="HH13" s="105"/>
      <c r="IV13"/>
    </row>
    <row r="14" spans="2:256" s="2" customFormat="1">
      <c r="B14" s="59" t="s">
        <v>1300</v>
      </c>
      <c r="C14" s="61" t="s">
        <v>278</v>
      </c>
      <c r="D14" s="58">
        <f>BYD!AG38/(BYD!$AG$51+BYD!$AG$114)</f>
        <v>0.36739829706717125</v>
      </c>
      <c r="E14" s="61">
        <f>BYD!W10</f>
        <v>848.16899999999998</v>
      </c>
      <c r="F14" s="61">
        <f>BYD!AG10</f>
        <v>641.94100000000003</v>
      </c>
      <c r="G14" s="95">
        <f>(F14-E14)/E14</f>
        <v>-0.24314493927507366</v>
      </c>
      <c r="H14" s="96">
        <v>4.7</v>
      </c>
      <c r="I14" s="96">
        <v>11.91</v>
      </c>
      <c r="J14" s="97">
        <f>I14-H14</f>
        <v>7.21</v>
      </c>
      <c r="K14" s="98">
        <v>13.1</v>
      </c>
      <c r="GV14" s="1062"/>
      <c r="GW14" s="1062"/>
      <c r="GX14" s="1062"/>
      <c r="GY14" s="1062"/>
      <c r="HC14" s="105"/>
      <c r="HD14" s="105"/>
      <c r="HE14" s="105"/>
      <c r="HF14" s="105"/>
      <c r="HG14" s="105"/>
      <c r="HH14" s="105"/>
      <c r="IV14"/>
    </row>
    <row r="15" spans="2:256" s="2" customFormat="1" ht="6" customHeight="1">
      <c r="B15" s="59"/>
      <c r="C15" s="61"/>
      <c r="D15" s="61"/>
      <c r="E15" s="61"/>
      <c r="F15" s="61"/>
      <c r="G15" s="61"/>
      <c r="H15" s="61"/>
      <c r="I15" s="61"/>
      <c r="J15" s="60"/>
      <c r="GV15" s="1062"/>
      <c r="GW15" s="1062"/>
      <c r="GX15" s="1062"/>
      <c r="GY15" s="1062"/>
      <c r="HC15" s="105"/>
      <c r="HD15" s="105"/>
      <c r="HE15" s="105"/>
      <c r="HF15" s="105"/>
      <c r="HG15" s="105"/>
      <c r="HH15" s="105"/>
      <c r="IV15"/>
    </row>
    <row r="16" spans="2:256" s="2" customFormat="1">
      <c r="B16" s="59" t="s">
        <v>1301</v>
      </c>
      <c r="C16" s="61" t="s">
        <v>277</v>
      </c>
      <c r="D16" s="58">
        <f>BYD!AG39/(BYD!$AG$51+BYD!$AG$114)</f>
        <v>0.10903973509933777</v>
      </c>
      <c r="E16" s="61">
        <f>BYD!W11</f>
        <v>255.04300000000001</v>
      </c>
      <c r="F16" s="61">
        <f>BYD!AG11</f>
        <v>229.148</v>
      </c>
      <c r="G16" s="95">
        <f>(F16-E16)/E16</f>
        <v>-0.10153189854259874</v>
      </c>
      <c r="H16" s="96">
        <v>2.63</v>
      </c>
      <c r="I16" s="96">
        <v>6.97</v>
      </c>
      <c r="J16" s="97">
        <f>I16-H16</f>
        <v>4.34</v>
      </c>
      <c r="K16" s="98">
        <v>6.9</v>
      </c>
      <c r="GV16" s="1062"/>
      <c r="GW16" s="1062"/>
      <c r="GX16" s="1062"/>
      <c r="GY16" s="1062"/>
      <c r="HC16" s="105"/>
      <c r="HD16" s="105"/>
      <c r="HE16" s="105"/>
      <c r="HF16" s="105"/>
      <c r="HG16" s="105"/>
      <c r="HH16" s="105"/>
      <c r="IV16"/>
    </row>
    <row r="17" spans="2:256" s="2" customFormat="1" ht="6" customHeight="1">
      <c r="B17" s="59"/>
      <c r="C17" s="61"/>
      <c r="D17" s="61"/>
      <c r="E17" s="61"/>
      <c r="F17" s="61"/>
      <c r="G17" s="61"/>
      <c r="H17" s="61"/>
      <c r="I17" s="61"/>
      <c r="J17" s="60"/>
      <c r="GV17" s="1062"/>
      <c r="GW17" s="1062"/>
      <c r="GX17" s="1062"/>
      <c r="GY17" s="1062"/>
      <c r="HC17" s="105"/>
      <c r="HD17" s="105"/>
      <c r="HE17" s="105"/>
      <c r="HF17" s="105"/>
      <c r="HG17" s="105"/>
      <c r="HH17" s="105"/>
      <c r="IV17"/>
    </row>
    <row r="18" spans="2:256" s="2" customFormat="1">
      <c r="B18" s="59" t="s">
        <v>280</v>
      </c>
      <c r="C18" s="61" t="s">
        <v>279</v>
      </c>
      <c r="D18" s="58">
        <f>BYD!AG114/(BYD!$AG$51+BYD!$AG$114)</f>
        <v>0.14065752128666037</v>
      </c>
      <c r="E18" s="61">
        <f>BYD!W906</f>
        <v>838.64299999999992</v>
      </c>
      <c r="F18" s="61">
        <f>BYD!AG906</f>
        <v>777.40800000000002</v>
      </c>
      <c r="G18" s="95">
        <f>(F18-E18)/E18</f>
        <v>-7.3016766371387945E-2</v>
      </c>
      <c r="H18" s="96">
        <v>4.42</v>
      </c>
      <c r="I18" s="96">
        <v>8.4700000000000006</v>
      </c>
      <c r="J18" s="97">
        <f>I18-H18</f>
        <v>4.0500000000000007</v>
      </c>
      <c r="K18" s="98">
        <v>9.1999999999999993</v>
      </c>
      <c r="GV18" s="1062"/>
      <c r="GW18" s="1062"/>
      <c r="GX18" s="1062"/>
      <c r="GY18" s="1062"/>
      <c r="HC18" s="105"/>
      <c r="HD18" s="105"/>
      <c r="HE18" s="105"/>
      <c r="HF18" s="105"/>
      <c r="HG18" s="105"/>
      <c r="HH18" s="105"/>
      <c r="IV18"/>
    </row>
    <row r="19" spans="2:256" s="2" customFormat="1">
      <c r="B19" s="59"/>
      <c r="C19" s="61"/>
      <c r="D19" s="61"/>
      <c r="E19" s="61"/>
      <c r="F19" s="61"/>
      <c r="G19" s="61"/>
      <c r="H19" s="61"/>
      <c r="I19" s="61"/>
      <c r="J19" s="60"/>
      <c r="GV19" s="1062"/>
      <c r="GW19" s="1062"/>
      <c r="GX19" s="1062"/>
      <c r="GY19" s="1062"/>
      <c r="HC19" s="105"/>
      <c r="HD19" s="105"/>
      <c r="HE19" s="105"/>
      <c r="HF19" s="105"/>
      <c r="HG19" s="105"/>
      <c r="HH19" s="105"/>
      <c r="IV19"/>
    </row>
    <row r="20" spans="2:256" s="2" customFormat="1">
      <c r="B20" s="59" t="s">
        <v>1311</v>
      </c>
      <c r="C20" s="61"/>
      <c r="D20" s="61"/>
      <c r="E20" s="61"/>
      <c r="F20" s="61"/>
      <c r="G20" s="61"/>
      <c r="H20" s="61"/>
      <c r="I20" s="61"/>
      <c r="J20" s="60"/>
      <c r="GV20" s="1062"/>
      <c r="GW20" s="1062"/>
      <c r="GX20" s="1062"/>
      <c r="GY20" s="1062"/>
      <c r="HC20" s="105"/>
      <c r="HD20" s="105"/>
      <c r="HE20" s="105"/>
      <c r="HF20" s="105"/>
      <c r="HG20" s="105"/>
      <c r="HH20" s="105"/>
      <c r="IV20"/>
    </row>
    <row r="21" spans="2:256" s="2" customFormat="1">
      <c r="B21" s="56" t="s">
        <v>393</v>
      </c>
      <c r="C21" s="72"/>
      <c r="D21" s="72"/>
      <c r="E21" s="72"/>
      <c r="F21" s="72"/>
      <c r="G21" s="72"/>
      <c r="H21" s="72"/>
      <c r="I21" s="72"/>
      <c r="J21" s="102"/>
      <c r="GV21" s="1062"/>
      <c r="GW21" s="1062"/>
      <c r="GX21" s="1062"/>
      <c r="GY21" s="1062"/>
      <c r="HC21" s="105"/>
      <c r="HD21" s="105"/>
      <c r="HE21" s="105"/>
      <c r="HF21" s="105"/>
      <c r="HG21" s="105"/>
      <c r="HH21" s="105"/>
      <c r="IV21"/>
    </row>
    <row r="22" spans="2:256" s="2" customFormat="1">
      <c r="GV22" s="1062"/>
      <c r="GW22" s="1062"/>
      <c r="GX22" s="1062"/>
      <c r="GY22" s="1062"/>
      <c r="HC22" s="105"/>
      <c r="HD22" s="105"/>
      <c r="HE22" s="105"/>
      <c r="HF22" s="105"/>
      <c r="HG22" s="105"/>
      <c r="HH22" s="105"/>
      <c r="IV22"/>
    </row>
    <row r="23" spans="2:256" s="2" customFormat="1">
      <c r="GV23" s="1062"/>
      <c r="GW23" s="1062"/>
      <c r="GX23" s="1062"/>
      <c r="GY23" s="1062"/>
      <c r="HC23" s="105"/>
      <c r="HD23" s="105"/>
      <c r="HE23" s="105"/>
      <c r="HF23" s="105"/>
      <c r="HG23" s="105"/>
      <c r="HH23" s="105"/>
      <c r="IV23"/>
    </row>
    <row r="24" spans="2:256" s="2" customFormat="1">
      <c r="L24" s="68" t="s">
        <v>914</v>
      </c>
      <c r="M24" s="67"/>
      <c r="N24" s="66"/>
      <c r="GV24" s="1062"/>
      <c r="GW24" s="1062"/>
      <c r="GX24" s="1062"/>
      <c r="GY24" s="1062"/>
      <c r="HC24" s="105"/>
      <c r="HD24" s="105"/>
      <c r="HE24" s="105"/>
      <c r="HF24" s="105"/>
      <c r="HG24" s="105"/>
      <c r="HH24" s="105"/>
      <c r="IV24"/>
    </row>
    <row r="25" spans="2:256" s="2" customFormat="1">
      <c r="L25" s="59"/>
      <c r="M25" s="65">
        <v>2008</v>
      </c>
      <c r="N25" s="64">
        <v>2009</v>
      </c>
      <c r="GV25" s="1062"/>
      <c r="GW25" s="1062"/>
      <c r="GX25" s="1062"/>
      <c r="GY25" s="1062"/>
      <c r="HC25" s="105"/>
      <c r="HD25" s="105"/>
      <c r="HE25" s="105"/>
      <c r="HF25" s="105"/>
      <c r="HG25" s="105"/>
      <c r="HH25" s="105"/>
      <c r="IV25"/>
    </row>
    <row r="26" spans="2:256" s="2" customFormat="1">
      <c r="L26" s="59" t="s">
        <v>1026</v>
      </c>
      <c r="M26" s="63"/>
      <c r="N26" s="62">
        <f>BYD!AG88</f>
        <v>31.329535999999994</v>
      </c>
      <c r="GV26" s="1062"/>
      <c r="GW26" s="1062"/>
      <c r="GX26" s="1062"/>
      <c r="GY26" s="1062"/>
      <c r="HC26" s="105"/>
      <c r="HD26" s="105"/>
      <c r="HE26" s="105"/>
      <c r="HF26" s="105"/>
      <c r="HG26" s="105"/>
      <c r="HH26" s="105"/>
      <c r="IV26"/>
    </row>
    <row r="27" spans="2:256" s="2" customFormat="1">
      <c r="L27" s="59" t="s">
        <v>913</v>
      </c>
      <c r="M27" s="63"/>
      <c r="N27" s="62">
        <f>-BYD!AG73*(1-0.4)</f>
        <v>88.094400000000007</v>
      </c>
      <c r="GV27" s="1062"/>
      <c r="GW27" s="1062"/>
      <c r="GX27" s="1062"/>
      <c r="GY27" s="1062"/>
      <c r="HC27" s="105"/>
      <c r="HD27" s="105"/>
      <c r="HE27" s="105"/>
      <c r="HF27" s="105"/>
      <c r="HG27" s="105"/>
      <c r="HH27" s="105"/>
      <c r="IV27"/>
    </row>
    <row r="28" spans="2:256" s="2" customFormat="1">
      <c r="L28" s="59" t="s">
        <v>1742</v>
      </c>
      <c r="M28" s="63"/>
      <c r="N28" s="62">
        <f>SUM(N26:N27)</f>
        <v>119.423936</v>
      </c>
      <c r="GV28" s="1062"/>
      <c r="GW28" s="1062"/>
      <c r="GX28" s="1062"/>
      <c r="GY28" s="1062"/>
      <c r="HC28" s="105"/>
      <c r="HD28" s="105"/>
      <c r="HE28" s="105"/>
      <c r="HF28" s="105"/>
      <c r="HG28" s="105"/>
      <c r="HH28" s="105"/>
      <c r="IV28"/>
    </row>
    <row r="29" spans="2:256" s="2" customFormat="1">
      <c r="L29" s="59"/>
      <c r="M29" s="63"/>
      <c r="N29" s="62"/>
      <c r="GV29" s="1062"/>
      <c r="GW29" s="1062"/>
      <c r="GX29" s="1062"/>
      <c r="GY29" s="1062"/>
      <c r="HC29" s="105"/>
      <c r="HD29" s="105"/>
      <c r="HE29" s="105"/>
      <c r="HF29" s="105"/>
      <c r="HG29" s="105"/>
      <c r="HH29" s="105"/>
      <c r="IV29"/>
    </row>
    <row r="30" spans="2:256" s="2" customFormat="1">
      <c r="L30" s="59" t="s">
        <v>777</v>
      </c>
      <c r="M30" s="63">
        <f>BYD!AB1224</f>
        <v>2647.674</v>
      </c>
      <c r="N30" s="62">
        <f>BYD!AG1114</f>
        <v>2577.5630000000001</v>
      </c>
      <c r="GV30" s="1062"/>
      <c r="GW30" s="1062"/>
      <c r="GX30" s="1062"/>
      <c r="GY30" s="1062"/>
      <c r="HC30" s="105"/>
      <c r="HD30" s="105"/>
      <c r="HE30" s="105"/>
      <c r="HF30" s="105"/>
      <c r="HG30" s="105"/>
      <c r="HH30" s="105"/>
      <c r="IV30"/>
    </row>
    <row r="31" spans="2:256" s="2" customFormat="1">
      <c r="L31" s="59" t="s">
        <v>1636</v>
      </c>
      <c r="M31" s="63">
        <f>BYD!AB1124</f>
        <v>1143.5219999999999</v>
      </c>
      <c r="N31" s="62">
        <f>BYD!AG1124</f>
        <v>1156.3689999999999</v>
      </c>
      <c r="GV31" s="1062"/>
      <c r="GW31" s="1062"/>
      <c r="GX31" s="1062"/>
      <c r="GY31" s="1062"/>
      <c r="HC31" s="105"/>
      <c r="HD31" s="105"/>
      <c r="HE31" s="105"/>
      <c r="HF31" s="105"/>
      <c r="HG31" s="105"/>
      <c r="HH31" s="105"/>
      <c r="IV31"/>
    </row>
    <row r="32" spans="2:256" s="2" customFormat="1">
      <c r="L32" s="59" t="s">
        <v>1741</v>
      </c>
      <c r="M32" s="63">
        <f>M31+M30</f>
        <v>3791.1959999999999</v>
      </c>
      <c r="N32" s="62">
        <f>N31+N30</f>
        <v>3733.9319999999998</v>
      </c>
      <c r="GV32" s="1062"/>
      <c r="GW32" s="1062"/>
      <c r="GX32" s="1062"/>
      <c r="GY32" s="1062"/>
      <c r="HC32" s="105"/>
      <c r="HD32" s="105"/>
      <c r="HE32" s="105"/>
      <c r="HF32" s="105"/>
      <c r="HG32" s="105"/>
      <c r="HH32" s="105"/>
      <c r="IV32"/>
    </row>
    <row r="33" spans="12:256" s="2" customFormat="1">
      <c r="L33" s="59"/>
      <c r="M33" s="61"/>
      <c r="N33" s="60"/>
      <c r="GV33" s="1062"/>
      <c r="GW33" s="1062"/>
      <c r="GX33" s="1062"/>
      <c r="GY33" s="1062"/>
      <c r="HC33" s="105"/>
      <c r="HD33" s="105"/>
      <c r="HE33" s="105"/>
      <c r="HF33" s="105"/>
      <c r="HG33" s="105"/>
      <c r="HH33" s="105"/>
      <c r="IV33"/>
    </row>
    <row r="34" spans="12:256" s="2" customFormat="1">
      <c r="L34" s="59" t="s">
        <v>1740</v>
      </c>
      <c r="M34" s="58"/>
      <c r="N34" s="57">
        <f>N28/AVERAGE(M32:N32)</f>
        <v>3.1740041099633125E-2</v>
      </c>
      <c r="GV34" s="1062"/>
      <c r="GW34" s="1062"/>
      <c r="GX34" s="1062"/>
      <c r="GY34" s="1062"/>
      <c r="HC34" s="105"/>
      <c r="HD34" s="105"/>
      <c r="HE34" s="105"/>
      <c r="HF34" s="105"/>
      <c r="HG34" s="105"/>
      <c r="HH34" s="105"/>
      <c r="IV34"/>
    </row>
    <row r="35" spans="12:256" s="2" customFormat="1">
      <c r="L35" s="56"/>
      <c r="M35" s="55"/>
      <c r="N35" s="54"/>
      <c r="GV35" s="1062"/>
      <c r="GW35" s="1062"/>
      <c r="GX35" s="1062"/>
      <c r="GY35" s="1062"/>
      <c r="HC35" s="105"/>
      <c r="HD35" s="105"/>
      <c r="HE35" s="105"/>
      <c r="HF35" s="105"/>
      <c r="HG35" s="105"/>
      <c r="HH35" s="105"/>
      <c r="IV35"/>
    </row>
    <row r="36" spans="12:256" s="2" customFormat="1">
      <c r="GV36" s="1062"/>
      <c r="GW36" s="1062"/>
      <c r="GX36" s="1062"/>
      <c r="GY36" s="1062"/>
      <c r="HC36" s="105"/>
      <c r="HD36" s="105"/>
      <c r="HE36" s="105"/>
      <c r="HF36" s="105"/>
      <c r="HG36" s="105"/>
      <c r="HH36" s="105"/>
      <c r="IV36"/>
    </row>
    <row r="37" spans="12:256" s="2" customFormat="1">
      <c r="P37" s="69" t="s">
        <v>894</v>
      </c>
      <c r="Q37" s="69"/>
      <c r="R37" s="106">
        <f>(R40/Q40)</f>
        <v>0.5293746143515663</v>
      </c>
      <c r="GV37" s="1062"/>
      <c r="GW37" s="1062"/>
      <c r="GX37" s="1062"/>
      <c r="GY37" s="1062"/>
      <c r="HC37" s="105"/>
      <c r="HD37" s="105"/>
      <c r="HE37" s="105"/>
      <c r="HF37" s="105"/>
      <c r="HG37" s="105"/>
      <c r="HH37" s="105"/>
      <c r="IV37"/>
    </row>
    <row r="38" spans="12:256" s="2" customFormat="1">
      <c r="Q38" s="103" t="s">
        <v>891</v>
      </c>
      <c r="R38" s="70" t="s">
        <v>891</v>
      </c>
      <c r="S38" s="71">
        <v>0.6</v>
      </c>
      <c r="T38" s="71">
        <v>0.65</v>
      </c>
      <c r="U38" s="71">
        <v>0.7</v>
      </c>
      <c r="V38" s="71">
        <v>0.75</v>
      </c>
      <c r="GV38" s="1062"/>
      <c r="GW38" s="1062"/>
      <c r="GX38" s="1062"/>
      <c r="GY38" s="1062"/>
      <c r="HC38" s="105"/>
      <c r="HD38" s="105"/>
      <c r="HE38" s="105"/>
      <c r="HF38" s="105"/>
      <c r="HG38" s="105"/>
      <c r="HH38" s="105"/>
      <c r="IV38"/>
    </row>
    <row r="39" spans="12:256" s="2" customFormat="1">
      <c r="P39" s="72"/>
      <c r="Q39" s="78">
        <v>2007</v>
      </c>
      <c r="R39" s="73" t="s">
        <v>53</v>
      </c>
      <c r="S39" s="73" t="s">
        <v>891</v>
      </c>
      <c r="T39" s="73" t="s">
        <v>891</v>
      </c>
      <c r="U39" s="73" t="s">
        <v>891</v>
      </c>
      <c r="V39" s="73" t="s">
        <v>891</v>
      </c>
      <c r="GV39" s="1062"/>
      <c r="GW39" s="1062"/>
      <c r="GX39" s="1062"/>
      <c r="GY39" s="1062"/>
      <c r="HC39" s="105"/>
      <c r="HD39" s="105"/>
      <c r="HE39" s="105"/>
      <c r="HF39" s="105"/>
      <c r="HG39" s="105"/>
      <c r="HH39" s="105"/>
      <c r="IV39"/>
    </row>
    <row r="40" spans="12:256" s="2" customFormat="1">
      <c r="P40" s="74" t="s">
        <v>895</v>
      </c>
      <c r="Q40" s="104">
        <f>BYD!W310</f>
        <v>275.51</v>
      </c>
      <c r="R40" s="104">
        <f>BYD!AQ310</f>
        <v>145.84800000000001</v>
      </c>
      <c r="S40" s="104">
        <f>S38*Q40</f>
        <v>165.30599999999998</v>
      </c>
      <c r="T40" s="104">
        <f>T38*Q40</f>
        <v>179.08150000000001</v>
      </c>
      <c r="U40" s="104">
        <f>U38*Q40</f>
        <v>192.85699999999997</v>
      </c>
      <c r="V40" s="104">
        <f>V38*Q40</f>
        <v>206.63249999999999</v>
      </c>
      <c r="GV40" s="1062"/>
      <c r="GW40" s="1062"/>
      <c r="GX40" s="1062"/>
      <c r="GY40" s="1062"/>
      <c r="HC40" s="105"/>
      <c r="HD40" s="105"/>
      <c r="HE40" s="105"/>
      <c r="HF40" s="105"/>
      <c r="HG40" s="105"/>
      <c r="HH40" s="105"/>
      <c r="IV40"/>
    </row>
    <row r="41" spans="12:256" s="2" customFormat="1">
      <c r="P41" s="75" t="s">
        <v>892</v>
      </c>
      <c r="Q41" s="75"/>
      <c r="R41" s="76">
        <v>7.5</v>
      </c>
      <c r="S41" s="76">
        <v>7.5</v>
      </c>
      <c r="T41" s="76">
        <v>7.5</v>
      </c>
      <c r="U41" s="76">
        <v>7.5</v>
      </c>
      <c r="V41" s="76">
        <v>7.5</v>
      </c>
      <c r="GV41" s="1062"/>
      <c r="GW41" s="1062"/>
      <c r="GX41" s="1062"/>
      <c r="GY41" s="1062"/>
      <c r="HC41" s="105"/>
      <c r="HD41" s="105"/>
      <c r="HE41" s="105"/>
      <c r="HF41" s="105"/>
      <c r="HG41" s="105"/>
      <c r="HH41" s="105"/>
      <c r="IV41"/>
    </row>
    <row r="42" spans="12:256" s="2" customFormat="1">
      <c r="P42" s="77" t="s">
        <v>893</v>
      </c>
      <c r="Q42" s="77"/>
      <c r="R42" s="74">
        <f>R40*R41</f>
        <v>1093.8600000000001</v>
      </c>
      <c r="S42" s="74">
        <f>S40*S41</f>
        <v>1239.7949999999998</v>
      </c>
      <c r="T42" s="74">
        <f>T40*T41</f>
        <v>1343.1112499999999</v>
      </c>
      <c r="U42" s="74">
        <f>U40*U41</f>
        <v>1446.4274999999998</v>
      </c>
      <c r="V42" s="74">
        <f>V40*V41</f>
        <v>1549.7437499999999</v>
      </c>
      <c r="GV42" s="1062"/>
      <c r="GW42" s="1062"/>
      <c r="GX42" s="1062"/>
      <c r="GY42" s="1062"/>
      <c r="HC42" s="105"/>
      <c r="HD42" s="105"/>
      <c r="HE42" s="105"/>
      <c r="HF42" s="105"/>
      <c r="HG42" s="105"/>
      <c r="HH42" s="105"/>
      <c r="IV42"/>
    </row>
    <row r="43" spans="12:256" s="2" customFormat="1">
      <c r="P43" s="2" t="s">
        <v>57</v>
      </c>
      <c r="S43" s="105">
        <f>(S42-$R$42)/$R$42</f>
        <v>0.13341286819154161</v>
      </c>
      <c r="T43" s="105">
        <f>(T42-$R$42)/$R$42</f>
        <v>0.22786394054083683</v>
      </c>
      <c r="U43" s="105">
        <f>(U42-$R$42)/$R$42</f>
        <v>0.32231501289013181</v>
      </c>
      <c r="V43" s="105">
        <f>(V42-$R$42)/$R$42</f>
        <v>0.41676608523942704</v>
      </c>
      <c r="GV43" s="1062"/>
      <c r="GW43" s="1062"/>
      <c r="GX43" s="1062"/>
      <c r="GY43" s="1062"/>
      <c r="HC43" s="105"/>
      <c r="HD43" s="105"/>
      <c r="HE43" s="105"/>
      <c r="HF43" s="105"/>
      <c r="HG43" s="105"/>
      <c r="HH43" s="105"/>
      <c r="IV43"/>
    </row>
    <row r="44" spans="12:256" s="2" customFormat="1">
      <c r="GV44" s="1062"/>
      <c r="GW44" s="1062"/>
      <c r="GX44" s="1062"/>
      <c r="GY44" s="1062"/>
      <c r="HC44" s="105"/>
      <c r="HD44" s="105"/>
      <c r="HE44" s="105"/>
      <c r="HF44" s="105"/>
      <c r="HG44" s="105"/>
      <c r="HH44" s="105"/>
      <c r="IV44"/>
    </row>
    <row r="45" spans="12:256" s="2" customFormat="1">
      <c r="GV45" s="1062"/>
      <c r="GW45" s="1062"/>
      <c r="GX45" s="1062"/>
      <c r="GY45" s="1062"/>
      <c r="HC45" s="105"/>
      <c r="HD45" s="105"/>
      <c r="HE45" s="105"/>
      <c r="HF45" s="105"/>
      <c r="HG45" s="105"/>
      <c r="HH45" s="105"/>
      <c r="IV45"/>
    </row>
    <row r="46" spans="12:256" s="2" customFormat="1">
      <c r="P46" s="69" t="s">
        <v>1137</v>
      </c>
      <c r="Q46" s="69"/>
      <c r="R46" s="106">
        <f>(R49/Q49)</f>
        <v>0.77439371961646652</v>
      </c>
      <c r="GV46" s="1062"/>
      <c r="GW46" s="1062"/>
      <c r="GX46" s="1062"/>
      <c r="GY46" s="1062"/>
      <c r="HC46" s="105"/>
      <c r="HD46" s="105"/>
      <c r="HE46" s="105"/>
      <c r="HF46" s="105"/>
      <c r="HG46" s="105"/>
      <c r="HH46" s="105"/>
      <c r="IV46"/>
    </row>
    <row r="47" spans="12:256" s="2" customFormat="1">
      <c r="Q47" s="103" t="s">
        <v>891</v>
      </c>
      <c r="R47" s="70" t="s">
        <v>891</v>
      </c>
      <c r="S47" s="71">
        <v>0.85</v>
      </c>
      <c r="T47" s="71">
        <v>0.9</v>
      </c>
      <c r="U47" s="71">
        <v>0.95</v>
      </c>
      <c r="V47" s="71">
        <v>1</v>
      </c>
      <c r="GV47" s="1062"/>
      <c r="GW47" s="1062"/>
      <c r="GX47" s="1062"/>
      <c r="GY47" s="1062"/>
      <c r="HC47" s="105"/>
      <c r="HD47" s="105"/>
      <c r="HE47" s="105"/>
      <c r="HF47" s="105"/>
      <c r="HG47" s="105"/>
      <c r="HH47" s="105"/>
      <c r="IV47"/>
    </row>
    <row r="48" spans="12:256" s="2" customFormat="1">
      <c r="P48" s="72"/>
      <c r="Q48" s="78">
        <v>2007</v>
      </c>
      <c r="R48" s="73" t="s">
        <v>53</v>
      </c>
      <c r="S48" s="73" t="s">
        <v>891</v>
      </c>
      <c r="T48" s="73" t="s">
        <v>891</v>
      </c>
      <c r="U48" s="73" t="s">
        <v>891</v>
      </c>
      <c r="V48" s="73" t="s">
        <v>891</v>
      </c>
      <c r="GV48" s="1062"/>
      <c r="GW48" s="1062"/>
      <c r="GX48" s="1062"/>
      <c r="GY48" s="1062"/>
      <c r="HC48" s="105"/>
      <c r="HD48" s="105"/>
      <c r="HE48" s="105"/>
      <c r="HF48" s="105"/>
      <c r="HG48" s="105"/>
      <c r="HH48" s="105"/>
      <c r="IV48"/>
    </row>
    <row r="49" spans="16:256" s="2" customFormat="1">
      <c r="P49" s="74" t="s">
        <v>1138</v>
      </c>
      <c r="Q49" s="104">
        <f>BYD!W508</f>
        <v>215.78300000000002</v>
      </c>
      <c r="R49" s="104">
        <f>BYD!AQ508</f>
        <v>167.101</v>
      </c>
      <c r="S49" s="104">
        <f>S47*Q49</f>
        <v>183.41555</v>
      </c>
      <c r="T49" s="104">
        <f>T47*Q49</f>
        <v>194.20470000000003</v>
      </c>
      <c r="U49" s="104">
        <f>U47*Q49</f>
        <v>204.99385000000001</v>
      </c>
      <c r="V49" s="104">
        <f>V47*Q49</f>
        <v>215.78300000000002</v>
      </c>
      <c r="GV49" s="1062"/>
      <c r="GW49" s="1062"/>
      <c r="GX49" s="1062"/>
      <c r="GY49" s="1062"/>
      <c r="HC49" s="105"/>
      <c r="HD49" s="105"/>
      <c r="HE49" s="105"/>
      <c r="HF49" s="105"/>
      <c r="HG49" s="105"/>
      <c r="HH49" s="105"/>
      <c r="IV49"/>
    </row>
    <row r="50" spans="16:256" s="2" customFormat="1">
      <c r="P50" s="75" t="s">
        <v>892</v>
      </c>
      <c r="Q50" s="75"/>
      <c r="R50" s="76">
        <v>7.25</v>
      </c>
      <c r="S50" s="76">
        <v>7.25</v>
      </c>
      <c r="T50" s="76">
        <v>7.25</v>
      </c>
      <c r="U50" s="76">
        <v>7.25</v>
      </c>
      <c r="V50" s="76">
        <v>7.25</v>
      </c>
      <c r="GV50" s="1062"/>
      <c r="GW50" s="1062"/>
      <c r="GX50" s="1062"/>
      <c r="GY50" s="1062"/>
      <c r="HC50" s="105"/>
      <c r="HD50" s="105"/>
      <c r="HE50" s="105"/>
      <c r="HF50" s="105"/>
      <c r="HG50" s="105"/>
      <c r="HH50" s="105"/>
      <c r="IV50"/>
    </row>
    <row r="51" spans="16:256" s="2" customFormat="1">
      <c r="P51" s="77" t="s">
        <v>893</v>
      </c>
      <c r="Q51" s="77"/>
      <c r="R51" s="74">
        <f>R49*R50</f>
        <v>1211.48225</v>
      </c>
      <c r="S51" s="74">
        <f>S49*S50</f>
        <v>1329.7627375</v>
      </c>
      <c r="T51" s="74">
        <f>T49*T50</f>
        <v>1407.9840750000003</v>
      </c>
      <c r="U51" s="74">
        <f>U49*U50</f>
        <v>1486.2054125</v>
      </c>
      <c r="V51" s="74">
        <f>V49*V50</f>
        <v>1564.4267500000001</v>
      </c>
      <c r="GV51" s="1062"/>
      <c r="GW51" s="1062"/>
      <c r="GX51" s="1062"/>
      <c r="GY51" s="1062"/>
      <c r="HC51" s="105"/>
      <c r="HD51" s="105"/>
      <c r="HE51" s="105"/>
      <c r="HF51" s="105"/>
      <c r="HG51" s="105"/>
      <c r="HH51" s="105"/>
      <c r="IV51"/>
    </row>
    <row r="52" spans="16:256" s="2" customFormat="1">
      <c r="P52" s="2" t="s">
        <v>57</v>
      </c>
      <c r="S52" s="105">
        <f>(S51-$R$51)/$R$51</f>
        <v>9.7632868744052942E-2</v>
      </c>
      <c r="T52" s="105">
        <f>(T51-$R$51)/$R$51</f>
        <v>0.1621995080819387</v>
      </c>
      <c r="U52" s="105">
        <f>(U51-$R$51)/$R$51</f>
        <v>0.2267661474198239</v>
      </c>
      <c r="V52" s="105">
        <f>(V51-$R$51)/$R$51</f>
        <v>0.29133278675770946</v>
      </c>
      <c r="GV52" s="1062"/>
      <c r="GW52" s="1062"/>
      <c r="GX52" s="1062"/>
      <c r="GY52" s="1062"/>
      <c r="HC52" s="105"/>
      <c r="HD52" s="105"/>
      <c r="HE52" s="105"/>
      <c r="HF52" s="105"/>
      <c r="HG52" s="105"/>
      <c r="HH52" s="105"/>
      <c r="IV52"/>
    </row>
    <row r="53" spans="16:256" s="2" customFormat="1">
      <c r="GV53" s="1062"/>
      <c r="GW53" s="1062"/>
      <c r="GX53" s="1062"/>
      <c r="GY53" s="1062"/>
      <c r="HC53" s="105"/>
      <c r="HD53" s="105"/>
      <c r="HE53" s="105"/>
      <c r="HF53" s="105"/>
      <c r="HG53" s="105"/>
      <c r="HH53" s="105"/>
      <c r="IV53"/>
    </row>
    <row r="54" spans="16:256" s="2" customFormat="1">
      <c r="X54" s="1" t="s">
        <v>394</v>
      </c>
      <c r="GV54" s="1062"/>
      <c r="GW54" s="1062"/>
      <c r="GX54" s="1062"/>
      <c r="GY54" s="1062"/>
      <c r="HC54" s="105"/>
      <c r="HD54" s="105"/>
      <c r="HE54" s="105"/>
      <c r="HF54" s="105"/>
      <c r="HG54" s="105"/>
      <c r="HH54" s="105"/>
      <c r="IV54"/>
    </row>
    <row r="55" spans="16:256" s="2" customFormat="1">
      <c r="GV55" s="1062"/>
      <c r="GW55" s="1062"/>
      <c r="GX55" s="1062"/>
      <c r="GY55" s="1062"/>
      <c r="HC55" s="105"/>
      <c r="HD55" s="105"/>
      <c r="HE55" s="105"/>
      <c r="HF55" s="105"/>
      <c r="HG55" s="105"/>
      <c r="HH55" s="105"/>
      <c r="IV55"/>
    </row>
    <row r="56" spans="16:256" s="2" customFormat="1">
      <c r="X56" s="174" t="s">
        <v>1083</v>
      </c>
      <c r="Y56" s="174" t="s">
        <v>1657</v>
      </c>
      <c r="GV56" s="1062"/>
      <c r="GW56" s="1062"/>
      <c r="GX56" s="1062"/>
      <c r="GY56" s="1062"/>
      <c r="HC56" s="105"/>
      <c r="HD56" s="105"/>
      <c r="HE56" s="105"/>
      <c r="HF56" s="105"/>
      <c r="HG56" s="105"/>
      <c r="HH56" s="105"/>
      <c r="IV56"/>
    </row>
    <row r="57" spans="16:256" s="2" customFormat="1">
      <c r="X57" s="2" t="s">
        <v>681</v>
      </c>
      <c r="Y57" s="126">
        <f>BYD!AG41/(BYD!$AG$51+BYD!$AG$927/2)</f>
        <v>0.35029464935806792</v>
      </c>
      <c r="GV57" s="1062"/>
      <c r="GW57" s="1062"/>
      <c r="GX57" s="1062"/>
      <c r="GY57" s="1062"/>
      <c r="HC57" s="105"/>
      <c r="HD57" s="105"/>
      <c r="HE57" s="105"/>
      <c r="HF57" s="105"/>
      <c r="HG57" s="105"/>
      <c r="HH57" s="105"/>
      <c r="IV57"/>
    </row>
    <row r="58" spans="16:256" s="2" customFormat="1">
      <c r="X58" s="2" t="s">
        <v>543</v>
      </c>
      <c r="Y58" s="126">
        <f>BYD!AG38/(BYD!$AG$51+BYD!$AG$927/2)</f>
        <v>0.33610907056979245</v>
      </c>
      <c r="GV58" s="1062"/>
      <c r="GW58" s="1062"/>
      <c r="GX58" s="1062"/>
      <c r="GY58" s="1062"/>
      <c r="HC58" s="105"/>
      <c r="HD58" s="105"/>
      <c r="HE58" s="105"/>
      <c r="HF58" s="105"/>
      <c r="HG58" s="105"/>
      <c r="HH58" s="105"/>
      <c r="IV58"/>
    </row>
    <row r="59" spans="16:256" s="2" customFormat="1">
      <c r="X59" s="2" t="s">
        <v>541</v>
      </c>
      <c r="Y59" s="126">
        <f>(BYD!AG927/2)/(BYD!$AG$51+BYD!$AG$927/2)</f>
        <v>0.21384283997191447</v>
      </c>
      <c r="GV59" s="1062"/>
      <c r="GW59" s="1062"/>
      <c r="GX59" s="1062"/>
      <c r="GY59" s="1062"/>
      <c r="HC59" s="105"/>
      <c r="HD59" s="105"/>
      <c r="HE59" s="105"/>
      <c r="HF59" s="105"/>
      <c r="HG59" s="105"/>
      <c r="HH59" s="105"/>
      <c r="IV59"/>
    </row>
    <row r="60" spans="16:256" s="2" customFormat="1">
      <c r="X60" s="2" t="s">
        <v>542</v>
      </c>
      <c r="Y60" s="126">
        <f>BYD!AG39/(BYD!$AG$51+BYD!$AG$927/2)</f>
        <v>9.9753440100225146E-2</v>
      </c>
      <c r="GV60" s="1062"/>
      <c r="GW60" s="1062"/>
      <c r="GX60" s="1062"/>
      <c r="GY60" s="1062"/>
      <c r="HC60" s="105"/>
      <c r="HD60" s="105"/>
      <c r="HE60" s="105"/>
      <c r="HF60" s="105"/>
      <c r="HG60" s="105"/>
      <c r="HH60" s="105"/>
      <c r="IV60"/>
    </row>
    <row r="61" spans="16:256" s="2" customFormat="1">
      <c r="GV61" s="1062"/>
      <c r="GW61" s="1062"/>
      <c r="GX61" s="1062"/>
      <c r="GY61" s="1062"/>
      <c r="HC61" s="105"/>
      <c r="HD61" s="105"/>
      <c r="HE61" s="105"/>
      <c r="HF61" s="105"/>
      <c r="HG61" s="105"/>
      <c r="HH61" s="105"/>
      <c r="IV61"/>
    </row>
    <row r="62" spans="16:256" s="2" customFormat="1">
      <c r="AA62" s="1" t="s">
        <v>547</v>
      </c>
      <c r="GV62" s="1062"/>
      <c r="GW62" s="1062"/>
      <c r="GX62" s="1062"/>
      <c r="GY62" s="1062"/>
      <c r="HC62" s="105"/>
      <c r="HD62" s="105"/>
      <c r="HE62" s="105"/>
      <c r="HF62" s="105"/>
      <c r="HG62" s="105"/>
      <c r="HH62" s="105"/>
      <c r="IV62"/>
    </row>
    <row r="63" spans="16:256" s="2" customFormat="1">
      <c r="AB63" s="177">
        <v>2000</v>
      </c>
      <c r="AC63" s="177">
        <v>2001</v>
      </c>
      <c r="AD63" s="177">
        <v>2002</v>
      </c>
      <c r="AE63" s="177">
        <v>2003</v>
      </c>
      <c r="AF63" s="177">
        <v>2004</v>
      </c>
      <c r="AG63" s="177">
        <v>2005</v>
      </c>
      <c r="AH63" s="177">
        <v>2006</v>
      </c>
      <c r="AI63" s="177">
        <v>2007</v>
      </c>
      <c r="AJ63" s="177">
        <v>2008</v>
      </c>
      <c r="AK63" s="177">
        <v>2009</v>
      </c>
      <c r="AL63" s="175" t="s">
        <v>546</v>
      </c>
      <c r="GV63" s="1062"/>
      <c r="GW63" s="1062"/>
      <c r="GX63" s="1062"/>
      <c r="GY63" s="1062"/>
      <c r="HC63" s="105"/>
      <c r="HD63" s="105"/>
      <c r="HE63" s="105"/>
      <c r="HF63" s="105"/>
      <c r="HG63" s="105"/>
      <c r="HH63" s="105"/>
      <c r="IV63"/>
    </row>
    <row r="64" spans="16:256" s="2" customFormat="1">
      <c r="AA64" s="176" t="s">
        <v>545</v>
      </c>
      <c r="AB64" s="133">
        <v>4.5999999999999999E-2</v>
      </c>
      <c r="AC64" s="133">
        <v>5.5E-2</v>
      </c>
      <c r="AD64" s="133">
        <v>5.8999999999999997E-2</v>
      </c>
      <c r="AE64" s="133">
        <v>5.3999999999999999E-2</v>
      </c>
      <c r="AF64" s="133">
        <v>4.4999999999999998E-2</v>
      </c>
      <c r="AG64" s="133">
        <v>4.3999999999999997E-2</v>
      </c>
      <c r="AH64" s="105">
        <v>4.2999999999999997E-2</v>
      </c>
      <c r="AI64" s="105">
        <v>4.7E-2</v>
      </c>
      <c r="AJ64" s="105">
        <v>6.6000000000000003E-2</v>
      </c>
      <c r="AK64" s="105">
        <v>0.11899999999999999</v>
      </c>
      <c r="AL64" s="105">
        <v>0.13900000000000001</v>
      </c>
      <c r="GV64" s="1062"/>
      <c r="GW64" s="1062"/>
      <c r="GX64" s="1062"/>
      <c r="GY64" s="1062"/>
      <c r="HC64" s="105"/>
      <c r="HD64" s="105"/>
      <c r="HE64" s="105"/>
      <c r="HF64" s="105"/>
      <c r="HG64" s="105"/>
      <c r="HH64" s="105"/>
      <c r="IV64"/>
    </row>
    <row r="65" spans="27:256" s="2" customFormat="1">
      <c r="AA65" s="2" t="s">
        <v>544</v>
      </c>
      <c r="AB65" s="105">
        <v>0.04</v>
      </c>
      <c r="AC65" s="105">
        <v>4.7E-2</v>
      </c>
      <c r="AD65" s="105">
        <v>5.8000000000000003E-2</v>
      </c>
      <c r="AE65" s="105">
        <v>0.06</v>
      </c>
      <c r="AF65" s="105">
        <v>5.5E-2</v>
      </c>
      <c r="AG65" s="105">
        <v>5.0999999999999997E-2</v>
      </c>
      <c r="AH65" s="105">
        <v>4.5999999999999999E-2</v>
      </c>
      <c r="AI65" s="105">
        <v>4.5999999999999999E-2</v>
      </c>
      <c r="AJ65" s="105">
        <v>5.8000000000000003E-2</v>
      </c>
      <c r="AK65" s="105">
        <v>9.2999999999999999E-2</v>
      </c>
      <c r="AL65" s="105">
        <v>0.104</v>
      </c>
      <c r="GV65" s="1062"/>
      <c r="GW65" s="1062"/>
      <c r="GX65" s="1062"/>
      <c r="GY65" s="1062"/>
      <c r="HC65" s="105"/>
      <c r="HD65" s="105"/>
      <c r="HE65" s="105"/>
      <c r="HF65" s="105"/>
      <c r="HG65" s="105"/>
      <c r="HH65" s="105"/>
      <c r="IV65"/>
    </row>
    <row r="66" spans="27:256" s="2" customFormat="1">
      <c r="GV66" s="1062"/>
      <c r="GW66" s="1062"/>
      <c r="GX66" s="1062"/>
      <c r="GY66" s="1062"/>
      <c r="HC66" s="105"/>
      <c r="HD66" s="105"/>
      <c r="HE66" s="105"/>
      <c r="HF66" s="105"/>
      <c r="HG66" s="105"/>
      <c r="HH66" s="105"/>
      <c r="IV66"/>
    </row>
    <row r="67" spans="27:256" s="2" customFormat="1">
      <c r="AA67" s="2" t="s">
        <v>548</v>
      </c>
      <c r="GV67" s="1062"/>
      <c r="GW67" s="1062"/>
      <c r="GX67" s="1062"/>
      <c r="GY67" s="1062"/>
      <c r="HC67" s="105"/>
      <c r="HD67" s="105"/>
      <c r="HE67" s="105"/>
      <c r="HF67" s="105"/>
      <c r="HG67" s="105"/>
      <c r="HH67" s="105"/>
      <c r="IV67"/>
    </row>
    <row r="68" spans="27:256" s="2" customFormat="1">
      <c r="GV68" s="1062"/>
      <c r="GW68" s="1062"/>
      <c r="GX68" s="1062"/>
      <c r="GY68" s="1062"/>
      <c r="HC68" s="105"/>
      <c r="HD68" s="105"/>
      <c r="HE68" s="105"/>
      <c r="HF68" s="105"/>
      <c r="HG68" s="105"/>
      <c r="HH68" s="105"/>
      <c r="IV68"/>
    </row>
    <row r="69" spans="27:256" s="2" customFormat="1">
      <c r="AN69" s="1" t="s">
        <v>561</v>
      </c>
      <c r="GV69" s="1062"/>
      <c r="GW69" s="1062"/>
      <c r="GX69" s="1062"/>
      <c r="GY69" s="1062"/>
      <c r="HC69" s="105"/>
      <c r="HD69" s="105"/>
      <c r="HE69" s="105"/>
      <c r="HF69" s="105"/>
      <c r="HG69" s="105"/>
      <c r="HH69" s="105"/>
      <c r="IV69"/>
    </row>
    <row r="70" spans="27:256" s="2" customFormat="1">
      <c r="GV70" s="1062"/>
      <c r="GW70" s="1062"/>
      <c r="GX70" s="1062"/>
      <c r="GY70" s="1062"/>
      <c r="HC70" s="105"/>
      <c r="HD70" s="105"/>
      <c r="HE70" s="105"/>
      <c r="HF70" s="105"/>
      <c r="HG70" s="105"/>
      <c r="HH70" s="105"/>
      <c r="IV70"/>
    </row>
    <row r="71" spans="27:256" s="2" customFormat="1">
      <c r="AO71" s="177">
        <v>2004</v>
      </c>
      <c r="AP71" s="177">
        <v>2005</v>
      </c>
      <c r="AQ71" s="177">
        <v>2006</v>
      </c>
      <c r="AR71" s="177">
        <v>2007</v>
      </c>
      <c r="AS71" s="177">
        <v>2008</v>
      </c>
      <c r="AT71" s="177">
        <v>2009</v>
      </c>
      <c r="GV71" s="1062"/>
      <c r="GW71" s="1062"/>
      <c r="GX71" s="1062"/>
      <c r="GY71" s="1062"/>
      <c r="HC71" s="105"/>
      <c r="HD71" s="105"/>
      <c r="HE71" s="105"/>
      <c r="HF71" s="105"/>
      <c r="HG71" s="105"/>
      <c r="HH71" s="105"/>
      <c r="IV71"/>
    </row>
    <row r="72" spans="27:256" s="2" customFormat="1">
      <c r="AN72" s="2" t="s">
        <v>1321</v>
      </c>
      <c r="AO72" s="105">
        <f>BYD!H311</f>
        <v>0.2953247367257143</v>
      </c>
      <c r="AP72" s="105">
        <f>BYD!M311</f>
        <v>0.33426647192469988</v>
      </c>
      <c r="AQ72" s="105">
        <f>BYD!R311</f>
        <v>0.31165778134206484</v>
      </c>
      <c r="AR72" s="105">
        <f>BYD!W311</f>
        <v>0.32482913193007523</v>
      </c>
      <c r="AS72" s="105">
        <f>BYD!AB311</f>
        <v>0.28648810881229669</v>
      </c>
      <c r="AT72" s="105">
        <f>BYD!AG311</f>
        <v>0.24197862420378194</v>
      </c>
      <c r="GV72" s="1062"/>
      <c r="GW72" s="1062"/>
      <c r="GX72" s="1062"/>
      <c r="GY72" s="1062"/>
      <c r="HC72" s="105"/>
      <c r="HD72" s="105"/>
      <c r="HE72" s="105"/>
      <c r="HF72" s="105"/>
      <c r="HG72" s="105"/>
      <c r="HH72" s="105"/>
      <c r="IV72"/>
    </row>
    <row r="73" spans="27:256" s="2" customFormat="1">
      <c r="AN73" s="2" t="s">
        <v>562</v>
      </c>
      <c r="AO73" s="105">
        <f>STN!C33</f>
        <v>0.37161706341430273</v>
      </c>
      <c r="AP73" s="105">
        <f>STN!D33</f>
        <v>0.4139815828722459</v>
      </c>
      <c r="AQ73" s="105">
        <f>STN!E33</f>
        <v>0.37807814426680486</v>
      </c>
      <c r="AR73" s="105">
        <f>STN!F33</f>
        <v>0.35885276135242217</v>
      </c>
      <c r="AS73" s="105">
        <f>STN!K33</f>
        <v>0.33419086964421546</v>
      </c>
      <c r="AT73" s="105">
        <f>STN!P33</f>
        <v>0.28997929647569232</v>
      </c>
      <c r="GV73" s="1062"/>
      <c r="GW73" s="1062"/>
      <c r="GX73" s="1062"/>
      <c r="GY73" s="1062"/>
      <c r="HC73" s="105"/>
      <c r="HD73" s="105"/>
      <c r="HE73" s="105"/>
      <c r="HF73" s="105"/>
      <c r="HG73" s="105"/>
      <c r="HH73" s="105"/>
      <c r="IV73"/>
    </row>
    <row r="74" spans="27:256" s="2" customFormat="1">
      <c r="AO74" s="105">
        <f t="shared" ref="AO74:AT74" si="2">AO72-AO73</f>
        <v>-7.629232668858843E-2</v>
      </c>
      <c r="AP74" s="105">
        <f t="shared" si="2"/>
        <v>-7.971511094754602E-2</v>
      </c>
      <c r="AQ74" s="105">
        <f t="shared" si="2"/>
        <v>-6.6420362924740017E-2</v>
      </c>
      <c r="AR74" s="105">
        <f t="shared" si="2"/>
        <v>-3.4023629422346935E-2</v>
      </c>
      <c r="AS74" s="105">
        <f t="shared" si="2"/>
        <v>-4.7702760831918767E-2</v>
      </c>
      <c r="AT74" s="105">
        <f t="shared" si="2"/>
        <v>-4.8000672271910377E-2</v>
      </c>
      <c r="AU74" s="105">
        <f>AVERAGE(AO74:AT74)</f>
        <v>-5.8692477181175096E-2</v>
      </c>
      <c r="GV74" s="1062"/>
      <c r="GW74" s="1062"/>
      <c r="GX74" s="1062"/>
      <c r="GY74" s="1062"/>
      <c r="HC74" s="105"/>
      <c r="HD74" s="105"/>
      <c r="HE74" s="105"/>
      <c r="HF74" s="105"/>
      <c r="HG74" s="105"/>
      <c r="HH74" s="105"/>
      <c r="IV74"/>
    </row>
    <row r="75" spans="27:256" s="2" customFormat="1">
      <c r="GV75" s="1062"/>
      <c r="GW75" s="1062"/>
      <c r="GX75" s="1062"/>
      <c r="GY75" s="1062"/>
      <c r="HC75" s="105"/>
      <c r="HD75" s="105"/>
      <c r="HE75" s="105"/>
      <c r="HF75" s="105"/>
      <c r="HG75" s="105"/>
      <c r="HH75" s="105"/>
      <c r="IV75"/>
    </row>
    <row r="76" spans="27:256" s="2" customFormat="1">
      <c r="GV76" s="1062"/>
      <c r="GW76" s="1062"/>
      <c r="GX76" s="1062"/>
      <c r="GY76" s="1062"/>
      <c r="HC76" s="105"/>
      <c r="HD76" s="105"/>
      <c r="HE76" s="105"/>
      <c r="HF76" s="105"/>
      <c r="HG76" s="105"/>
      <c r="HH76" s="105"/>
      <c r="IV76"/>
    </row>
    <row r="77" spans="27:256" s="2" customFormat="1">
      <c r="GV77" s="1062"/>
      <c r="GW77" s="1062"/>
      <c r="GX77" s="1062"/>
      <c r="GY77" s="1062"/>
      <c r="HC77" s="105"/>
      <c r="HD77" s="105"/>
      <c r="HE77" s="105"/>
      <c r="HF77" s="105"/>
      <c r="HG77" s="105"/>
      <c r="HH77" s="105"/>
      <c r="IV77"/>
    </row>
    <row r="78" spans="27:256" s="2" customFormat="1">
      <c r="GV78" s="1062"/>
      <c r="GW78" s="1062"/>
      <c r="GX78" s="1062"/>
      <c r="GY78" s="1062"/>
      <c r="HC78" s="105"/>
      <c r="HD78" s="105"/>
      <c r="HE78" s="105"/>
      <c r="HF78" s="105"/>
      <c r="HG78" s="105"/>
      <c r="HH78" s="105"/>
      <c r="IV78"/>
    </row>
    <row r="79" spans="27:256" s="2" customFormat="1">
      <c r="GV79" s="1062"/>
      <c r="GW79" s="1062"/>
      <c r="GX79" s="1062"/>
      <c r="GY79" s="1062"/>
      <c r="HC79" s="105"/>
      <c r="HD79" s="105"/>
      <c r="HE79" s="105"/>
      <c r="HF79" s="105"/>
      <c r="HG79" s="105"/>
      <c r="HH79" s="105"/>
      <c r="IV79"/>
    </row>
    <row r="80" spans="27:256" s="2" customFormat="1">
      <c r="GV80" s="1062"/>
      <c r="GW80" s="1062"/>
      <c r="GX80" s="1062"/>
      <c r="GY80" s="1062"/>
      <c r="HC80" s="105"/>
      <c r="HD80" s="105"/>
      <c r="HE80" s="105"/>
      <c r="HF80" s="105"/>
      <c r="HG80" s="105"/>
      <c r="HH80" s="105"/>
      <c r="IV80"/>
    </row>
    <row r="81" spans="49:256" s="2" customFormat="1">
      <c r="GV81" s="1062"/>
      <c r="GW81" s="1062"/>
      <c r="GX81" s="1062"/>
      <c r="GY81" s="1062"/>
      <c r="HC81" s="105"/>
      <c r="HD81" s="105"/>
      <c r="HE81" s="105"/>
      <c r="HF81" s="105"/>
      <c r="HG81" s="105"/>
      <c r="HH81" s="105"/>
      <c r="IV81"/>
    </row>
    <row r="82" spans="49:256" s="2" customFormat="1">
      <c r="GV82" s="1062"/>
      <c r="GW82" s="1062"/>
      <c r="GX82" s="1062"/>
      <c r="GY82" s="1062"/>
      <c r="HC82" s="105"/>
      <c r="HD82" s="105"/>
      <c r="HE82" s="105"/>
      <c r="HF82" s="105"/>
      <c r="HG82" s="105"/>
      <c r="HH82" s="105"/>
      <c r="IV82"/>
    </row>
    <row r="83" spans="49:256" s="2" customFormat="1">
      <c r="GV83" s="1062"/>
      <c r="GW83" s="1062"/>
      <c r="GX83" s="1062"/>
      <c r="GY83" s="1062"/>
      <c r="HC83" s="105"/>
      <c r="HD83" s="105"/>
      <c r="HE83" s="105"/>
      <c r="HF83" s="105"/>
      <c r="HG83" s="105"/>
      <c r="HH83" s="105"/>
      <c r="IV83"/>
    </row>
    <row r="84" spans="49:256" s="2" customFormat="1">
      <c r="GV84" s="1062"/>
      <c r="GW84" s="1062"/>
      <c r="GX84" s="1062"/>
      <c r="GY84" s="1062"/>
      <c r="HC84" s="105"/>
      <c r="HD84" s="105"/>
      <c r="HE84" s="105"/>
      <c r="HF84" s="105"/>
      <c r="HG84" s="105"/>
      <c r="HH84" s="105"/>
      <c r="IV84"/>
    </row>
    <row r="85" spans="49:256" s="2" customFormat="1">
      <c r="GV85" s="1062"/>
      <c r="GW85" s="1062"/>
      <c r="GX85" s="1062"/>
      <c r="GY85" s="1062"/>
      <c r="HC85" s="105"/>
      <c r="HD85" s="105"/>
      <c r="HE85" s="105"/>
      <c r="HF85" s="105"/>
      <c r="HG85" s="105"/>
      <c r="HH85" s="105"/>
      <c r="IV85"/>
    </row>
    <row r="86" spans="49:256" s="2" customFormat="1">
      <c r="GV86" s="1062"/>
      <c r="GW86" s="1062"/>
      <c r="GX86" s="1062"/>
      <c r="GY86" s="1062"/>
      <c r="HC86" s="105"/>
      <c r="HD86" s="105"/>
      <c r="HE86" s="105"/>
      <c r="HF86" s="105"/>
      <c r="HG86" s="105"/>
      <c r="HH86" s="105"/>
      <c r="IV86"/>
    </row>
    <row r="87" spans="49:256" s="2" customFormat="1">
      <c r="GV87" s="1062"/>
      <c r="GW87" s="1062"/>
      <c r="GX87" s="1062"/>
      <c r="GY87" s="1062"/>
      <c r="HC87" s="105"/>
      <c r="HD87" s="105"/>
      <c r="HE87" s="105"/>
      <c r="HF87" s="105"/>
      <c r="HG87" s="105"/>
      <c r="HH87" s="105"/>
      <c r="IV87"/>
    </row>
    <row r="88" spans="49:256" s="2" customFormat="1">
      <c r="GV88" s="1062"/>
      <c r="GW88" s="1062"/>
      <c r="GX88" s="1062"/>
      <c r="GY88" s="1062"/>
      <c r="HC88" s="105"/>
      <c r="HD88" s="105"/>
      <c r="HE88" s="105"/>
      <c r="HF88" s="105"/>
      <c r="HG88" s="105"/>
      <c r="HH88" s="105"/>
      <c r="IV88"/>
    </row>
    <row r="89" spans="49:256" s="2" customFormat="1">
      <c r="GV89" s="1062"/>
      <c r="GW89" s="1062"/>
      <c r="GX89" s="1062"/>
      <c r="GY89" s="1062"/>
      <c r="HC89" s="105"/>
      <c r="HD89" s="105"/>
      <c r="HE89" s="105"/>
      <c r="HF89" s="105"/>
      <c r="HG89" s="105"/>
      <c r="HH89" s="105"/>
      <c r="IV89"/>
    </row>
    <row r="90" spans="49:256" s="2" customFormat="1">
      <c r="GV90" s="1062"/>
      <c r="GW90" s="1062"/>
      <c r="GX90" s="1062"/>
      <c r="GY90" s="1062"/>
      <c r="HC90" s="105"/>
      <c r="HD90" s="105"/>
      <c r="HE90" s="105"/>
      <c r="HF90" s="105"/>
      <c r="HG90" s="105"/>
      <c r="HH90" s="105"/>
      <c r="IV90"/>
    </row>
    <row r="91" spans="49:256" s="2" customFormat="1">
      <c r="GV91" s="1062"/>
      <c r="GW91" s="1062"/>
      <c r="GX91" s="1062"/>
      <c r="GY91" s="1062"/>
      <c r="HC91" s="105"/>
      <c r="HD91" s="105"/>
      <c r="HE91" s="105"/>
      <c r="HF91" s="105"/>
      <c r="HG91" s="105"/>
      <c r="HH91" s="105"/>
      <c r="IV91"/>
    </row>
    <row r="92" spans="49:256" s="2" customFormat="1">
      <c r="GV92" s="1062"/>
      <c r="GW92" s="1062"/>
      <c r="GX92" s="1062"/>
      <c r="GY92" s="1062"/>
      <c r="HC92" s="105"/>
      <c r="HD92" s="105"/>
      <c r="HE92" s="105"/>
      <c r="HF92" s="105"/>
      <c r="HG92" s="105"/>
      <c r="HH92" s="105"/>
      <c r="IV92"/>
    </row>
    <row r="93" spans="49:256" s="2" customFormat="1">
      <c r="GV93" s="1062"/>
      <c r="GW93" s="1062"/>
      <c r="GX93" s="1062"/>
      <c r="GY93" s="1062"/>
      <c r="HC93" s="105"/>
      <c r="HD93" s="105"/>
      <c r="HE93" s="105"/>
      <c r="HF93" s="105"/>
      <c r="HG93" s="105"/>
      <c r="HH93" s="105"/>
      <c r="IV93"/>
    </row>
    <row r="94" spans="49:256" s="2" customFormat="1">
      <c r="GV94" s="1062"/>
      <c r="GW94" s="1062"/>
      <c r="GX94" s="1062"/>
      <c r="GY94" s="1062"/>
      <c r="HC94" s="105"/>
      <c r="HD94" s="105"/>
      <c r="HE94" s="105"/>
      <c r="HF94" s="105"/>
      <c r="HG94" s="105"/>
      <c r="HH94" s="105"/>
      <c r="IV94"/>
    </row>
    <row r="95" spans="49:256" s="2" customFormat="1">
      <c r="GV95" s="1062"/>
      <c r="GW95" s="1062"/>
      <c r="GX95" s="1062"/>
      <c r="GY95" s="1062"/>
      <c r="HC95" s="105"/>
      <c r="HD95" s="105"/>
      <c r="HE95" s="105"/>
      <c r="HF95" s="105"/>
      <c r="HG95" s="105"/>
      <c r="HH95" s="105"/>
      <c r="IV95"/>
    </row>
    <row r="96" spans="49:256" s="2" customFormat="1">
      <c r="AW96" s="1" t="s">
        <v>563</v>
      </c>
      <c r="GV96" s="1062"/>
      <c r="GW96" s="1062"/>
      <c r="GX96" s="1062"/>
      <c r="GY96" s="1062"/>
      <c r="HC96" s="105"/>
      <c r="HD96" s="105"/>
      <c r="HE96" s="105"/>
      <c r="HF96" s="105"/>
      <c r="HG96" s="105"/>
      <c r="HH96" s="105"/>
      <c r="IV96"/>
    </row>
    <row r="97" spans="49:256" s="2" customFormat="1">
      <c r="GV97" s="1062"/>
      <c r="GW97" s="1062"/>
      <c r="GX97" s="1062"/>
      <c r="GY97" s="1062"/>
      <c r="HC97" s="105"/>
      <c r="HD97" s="105"/>
      <c r="HE97" s="105"/>
      <c r="HF97" s="105"/>
      <c r="HG97" s="105"/>
      <c r="HH97" s="105"/>
      <c r="IV97"/>
    </row>
    <row r="98" spans="49:256" s="2" customFormat="1">
      <c r="AX98" s="179">
        <v>2007</v>
      </c>
      <c r="AY98" s="179">
        <v>2009</v>
      </c>
      <c r="AZ98" s="179">
        <v>2012</v>
      </c>
      <c r="GV98" s="1062"/>
      <c r="GW98" s="1062"/>
      <c r="GX98" s="1062"/>
      <c r="GY98" s="1062"/>
      <c r="HC98" s="105"/>
      <c r="HD98" s="105"/>
      <c r="HE98" s="105"/>
      <c r="HF98" s="105"/>
      <c r="HG98" s="105"/>
      <c r="HH98" s="105"/>
      <c r="IV98"/>
    </row>
    <row r="99" spans="49:256" s="2" customFormat="1">
      <c r="AW99" s="2" t="s">
        <v>679</v>
      </c>
      <c r="AX99" s="2">
        <f>BYD!W41</f>
        <v>215.78300000000002</v>
      </c>
      <c r="AY99" s="2">
        <f>BYD!AG41</f>
        <v>161.892</v>
      </c>
      <c r="AZ99" s="2">
        <f>BYD!AV41</f>
        <v>192.34900000000002</v>
      </c>
      <c r="BB99" s="105">
        <f>AZ99/AX99</f>
        <v>0.89140015663884553</v>
      </c>
      <c r="GV99" s="1062"/>
      <c r="GW99" s="1062"/>
      <c r="GX99" s="1062"/>
      <c r="GY99" s="1062"/>
      <c r="HC99" s="105"/>
      <c r="HD99" s="105"/>
      <c r="HE99" s="105"/>
      <c r="HF99" s="105"/>
      <c r="HG99" s="105"/>
      <c r="HH99" s="105"/>
      <c r="IV99"/>
    </row>
    <row r="100" spans="49:256" s="2" customFormat="1">
      <c r="AW100" s="2" t="s">
        <v>493</v>
      </c>
      <c r="AX100" s="2">
        <f>BYD!W38</f>
        <v>275.51</v>
      </c>
      <c r="AY100" s="2">
        <f>BYD!AG38</f>
        <v>155.33599999999998</v>
      </c>
      <c r="AZ100" s="2">
        <f>BYD!AV38</f>
        <v>128.74199999999999</v>
      </c>
      <c r="BB100" s="105">
        <f>AZ100/AX100</f>
        <v>0.46728612391564733</v>
      </c>
      <c r="BC100" s="105"/>
      <c r="GV100" s="1062"/>
      <c r="GW100" s="1062"/>
      <c r="GX100" s="1062"/>
      <c r="GY100" s="1062"/>
      <c r="HC100" s="105"/>
      <c r="HD100" s="105"/>
      <c r="HE100" s="105"/>
      <c r="HF100" s="105"/>
      <c r="HG100" s="105"/>
      <c r="HH100" s="105"/>
      <c r="IV100"/>
    </row>
    <row r="101" spans="49:256" s="2" customFormat="1">
      <c r="AW101" s="2" t="s">
        <v>550</v>
      </c>
      <c r="AX101" s="2">
        <f>BYD!W927*0.5</f>
        <v>120.85799999999995</v>
      </c>
      <c r="AY101" s="2">
        <f>BYD!AG927*0.5</f>
        <v>98.829499999999996</v>
      </c>
      <c r="AZ101" s="2">
        <f>BYD!AV927*0.5</f>
        <v>58.488000000000007</v>
      </c>
      <c r="BB101" s="105">
        <f>AZ101/AX101</f>
        <v>0.48393983021397036</v>
      </c>
      <c r="GV101" s="1062"/>
      <c r="GW101" s="1062"/>
      <c r="GX101" s="1062"/>
      <c r="GY101" s="1062"/>
      <c r="HC101" s="105"/>
      <c r="HD101" s="105"/>
      <c r="HE101" s="105"/>
      <c r="HF101" s="105"/>
      <c r="HG101" s="105"/>
      <c r="HH101" s="105"/>
      <c r="IV101"/>
    </row>
    <row r="102" spans="49:256" s="2" customFormat="1">
      <c r="AW102" s="2" t="s">
        <v>680</v>
      </c>
      <c r="AX102" s="2">
        <f>BYD!W39</f>
        <v>52.126999999999995</v>
      </c>
      <c r="AY102" s="2">
        <f>BYD!AG39</f>
        <v>46.102000000000004</v>
      </c>
      <c r="AZ102" s="2">
        <f>BYD!AV39</f>
        <v>32.832000000000001</v>
      </c>
      <c r="BB102" s="105">
        <f>AZ102/AX102</f>
        <v>0.62984633683120084</v>
      </c>
      <c r="GV102" s="1062"/>
      <c r="GW102" s="1062"/>
      <c r="GX102" s="1062"/>
      <c r="GY102" s="1062"/>
      <c r="HC102" s="105"/>
      <c r="HD102" s="105"/>
      <c r="HE102" s="105"/>
      <c r="HF102" s="105"/>
      <c r="HG102" s="105"/>
      <c r="HH102" s="105"/>
      <c r="IV102"/>
    </row>
    <row r="103" spans="49:256" s="2" customFormat="1">
      <c r="AX103" s="1">
        <f>SUM(AX99:AX102)</f>
        <v>664.27799999999991</v>
      </c>
      <c r="AY103" s="1">
        <f>SUM(AY99:AY102)</f>
        <v>462.15949999999998</v>
      </c>
      <c r="AZ103" s="1">
        <f>SUM(AZ99:AZ102)</f>
        <v>412.411</v>
      </c>
      <c r="BA103" s="1"/>
      <c r="BB103" s="221">
        <f>AZ103/AX103</f>
        <v>0.62084097320700082</v>
      </c>
      <c r="GV103" s="1062"/>
      <c r="GW103" s="1062"/>
      <c r="GX103" s="1062"/>
      <c r="GY103" s="1062"/>
      <c r="HC103" s="105"/>
      <c r="HD103" s="105"/>
      <c r="HE103" s="105"/>
      <c r="HF103" s="105"/>
      <c r="HG103" s="105"/>
      <c r="HH103" s="105"/>
      <c r="IV103"/>
    </row>
    <row r="104" spans="49:256" s="2" customFormat="1">
      <c r="GV104" s="1062"/>
      <c r="GW104" s="1062"/>
      <c r="GX104" s="1062"/>
      <c r="GY104" s="1062"/>
      <c r="HC104" s="105"/>
      <c r="HD104" s="105"/>
      <c r="HE104" s="105"/>
      <c r="HF104" s="105"/>
      <c r="HG104" s="105"/>
      <c r="HH104" s="105"/>
      <c r="IV104"/>
    </row>
    <row r="105" spans="49:256" s="2" customFormat="1">
      <c r="GV105" s="1062"/>
      <c r="GW105" s="1062"/>
      <c r="GX105" s="1062"/>
      <c r="GY105" s="1062"/>
      <c r="HC105" s="105"/>
      <c r="HD105" s="105"/>
      <c r="HE105" s="105"/>
      <c r="HF105" s="105"/>
      <c r="HG105" s="105"/>
      <c r="HH105" s="105"/>
      <c r="IV105"/>
    </row>
    <row r="106" spans="49:256" s="2" customFormat="1">
      <c r="GV106" s="1062"/>
      <c r="GW106" s="1062"/>
      <c r="GX106" s="1062"/>
      <c r="GY106" s="1062"/>
      <c r="HC106" s="105"/>
      <c r="HD106" s="105"/>
      <c r="HE106" s="105"/>
      <c r="HF106" s="105"/>
      <c r="HG106" s="105"/>
      <c r="HH106" s="105"/>
      <c r="IV106"/>
    </row>
    <row r="107" spans="49:256" s="2" customFormat="1">
      <c r="GV107" s="1062"/>
      <c r="GW107" s="1062"/>
      <c r="GX107" s="1062"/>
      <c r="GY107" s="1062"/>
      <c r="HC107" s="105"/>
      <c r="HD107" s="105"/>
      <c r="HE107" s="105"/>
      <c r="HF107" s="105"/>
      <c r="HG107" s="105"/>
      <c r="HH107" s="105"/>
      <c r="IV107"/>
    </row>
    <row r="108" spans="49:256" s="2" customFormat="1">
      <c r="GV108" s="1062"/>
      <c r="GW108" s="1062"/>
      <c r="GX108" s="1062"/>
      <c r="GY108" s="1062"/>
      <c r="HC108" s="105"/>
      <c r="HD108" s="105"/>
      <c r="HE108" s="105"/>
      <c r="HF108" s="105"/>
      <c r="HG108" s="105"/>
      <c r="HH108" s="105"/>
      <c r="IV108"/>
    </row>
    <row r="109" spans="49:256" s="2" customFormat="1">
      <c r="GV109" s="1062"/>
      <c r="GW109" s="1062"/>
      <c r="GX109" s="1062"/>
      <c r="GY109" s="1062"/>
      <c r="HC109" s="105"/>
      <c r="HD109" s="105"/>
      <c r="HE109" s="105"/>
      <c r="HF109" s="105"/>
      <c r="HG109" s="105"/>
      <c r="HH109" s="105"/>
      <c r="IV109"/>
    </row>
    <row r="110" spans="49:256" s="2" customFormat="1">
      <c r="GV110" s="1062"/>
      <c r="GW110" s="1062"/>
      <c r="GX110" s="1062"/>
      <c r="GY110" s="1062"/>
      <c r="HC110" s="105"/>
      <c r="HD110" s="105"/>
      <c r="HE110" s="105"/>
      <c r="HF110" s="105"/>
      <c r="HG110" s="105"/>
      <c r="HH110" s="105"/>
      <c r="IV110"/>
    </row>
    <row r="111" spans="49:256" s="2" customFormat="1">
      <c r="GV111" s="1062"/>
      <c r="GW111" s="1062"/>
      <c r="GX111" s="1062"/>
      <c r="GY111" s="1062"/>
      <c r="HC111" s="105"/>
      <c r="HD111" s="105"/>
      <c r="HE111" s="105"/>
      <c r="HF111" s="105"/>
      <c r="HG111" s="105"/>
      <c r="HH111" s="105"/>
      <c r="IV111"/>
    </row>
    <row r="112" spans="49:256" s="2" customFormat="1">
      <c r="GV112" s="1062"/>
      <c r="GW112" s="1062"/>
      <c r="GX112" s="1062"/>
      <c r="GY112" s="1062"/>
      <c r="HC112" s="105"/>
      <c r="HD112" s="105"/>
      <c r="HE112" s="105"/>
      <c r="HF112" s="105"/>
      <c r="HG112" s="105"/>
      <c r="HH112" s="105"/>
      <c r="IV112"/>
    </row>
    <row r="113" spans="58:256" s="2" customFormat="1">
      <c r="GV113" s="1062"/>
      <c r="GW113" s="1062"/>
      <c r="GX113" s="1062"/>
      <c r="GY113" s="1062"/>
      <c r="HC113" s="105"/>
      <c r="HD113" s="105"/>
      <c r="HE113" s="105"/>
      <c r="HF113" s="105"/>
      <c r="HG113" s="105"/>
      <c r="HH113" s="105"/>
      <c r="IV113"/>
    </row>
    <row r="114" spans="58:256" s="2" customFormat="1">
      <c r="GV114" s="1062"/>
      <c r="GW114" s="1062"/>
      <c r="GX114" s="1062"/>
      <c r="GY114" s="1062"/>
      <c r="HC114" s="105"/>
      <c r="HD114" s="105"/>
      <c r="HE114" s="105"/>
      <c r="HF114" s="105"/>
      <c r="HG114" s="105"/>
      <c r="HH114" s="105"/>
      <c r="IV114"/>
    </row>
    <row r="115" spans="58:256" s="2" customFormat="1">
      <c r="GV115" s="1062"/>
      <c r="GW115" s="1062"/>
      <c r="GX115" s="1062"/>
      <c r="GY115" s="1062"/>
      <c r="HC115" s="105"/>
      <c r="HD115" s="105"/>
      <c r="HE115" s="105"/>
      <c r="HF115" s="105"/>
      <c r="HG115" s="105"/>
      <c r="HH115" s="105"/>
      <c r="IV115"/>
    </row>
    <row r="116" spans="58:256" s="2" customFormat="1">
      <c r="GV116" s="1062"/>
      <c r="GW116" s="1062"/>
      <c r="GX116" s="1062"/>
      <c r="GY116" s="1062"/>
      <c r="HC116" s="105"/>
      <c r="HD116" s="105"/>
      <c r="HE116" s="105"/>
      <c r="HF116" s="105"/>
      <c r="HG116" s="105"/>
      <c r="HH116" s="105"/>
      <c r="IV116"/>
    </row>
    <row r="117" spans="58:256" s="2" customFormat="1">
      <c r="GV117" s="1062"/>
      <c r="GW117" s="1062"/>
      <c r="GX117" s="1062"/>
      <c r="GY117" s="1062"/>
      <c r="HC117" s="105"/>
      <c r="HD117" s="105"/>
      <c r="HE117" s="105"/>
      <c r="HF117" s="105"/>
      <c r="HG117" s="105"/>
      <c r="HH117" s="105"/>
      <c r="IV117"/>
    </row>
    <row r="118" spans="58:256" s="2" customFormat="1">
      <c r="GV118" s="1062"/>
      <c r="GW118" s="1062"/>
      <c r="GX118" s="1062"/>
      <c r="GY118" s="1062"/>
      <c r="HC118" s="105"/>
      <c r="HD118" s="105"/>
      <c r="HE118" s="105"/>
      <c r="HF118" s="105"/>
      <c r="HG118" s="105"/>
      <c r="HH118" s="105"/>
      <c r="IV118"/>
    </row>
    <row r="119" spans="58:256" s="2" customFormat="1">
      <c r="GV119" s="1062"/>
      <c r="GW119" s="1062"/>
      <c r="GX119" s="1062"/>
      <c r="GY119" s="1062"/>
      <c r="HC119" s="105"/>
      <c r="HD119" s="105"/>
      <c r="HE119" s="105"/>
      <c r="HF119" s="105"/>
      <c r="HG119" s="105"/>
      <c r="HH119" s="105"/>
      <c r="IV119"/>
    </row>
    <row r="120" spans="58:256" s="2" customFormat="1">
      <c r="GV120" s="1062"/>
      <c r="GW120" s="1062"/>
      <c r="GX120" s="1062"/>
      <c r="GY120" s="1062"/>
      <c r="HC120" s="105"/>
      <c r="HD120" s="105"/>
      <c r="HE120" s="105"/>
      <c r="HF120" s="105"/>
      <c r="HG120" s="105"/>
      <c r="HH120" s="105"/>
      <c r="IV120"/>
    </row>
    <row r="121" spans="58:256" s="2" customFormat="1">
      <c r="GV121" s="1062"/>
      <c r="GW121" s="1062"/>
      <c r="GX121" s="1062"/>
      <c r="GY121" s="1062"/>
      <c r="HC121" s="105"/>
      <c r="HD121" s="105"/>
      <c r="HE121" s="105"/>
      <c r="HF121" s="105"/>
      <c r="HG121" s="105"/>
      <c r="HH121" s="105"/>
      <c r="IV121"/>
    </row>
    <row r="122" spans="58:256" s="2" customFormat="1">
      <c r="GV122" s="1062"/>
      <c r="GW122" s="1062"/>
      <c r="GX122" s="1062"/>
      <c r="GY122" s="1062"/>
      <c r="HC122" s="105"/>
      <c r="HD122" s="105"/>
      <c r="HE122" s="105"/>
      <c r="HF122" s="105"/>
      <c r="HG122" s="105"/>
      <c r="HH122" s="105"/>
      <c r="IV122"/>
    </row>
    <row r="123" spans="58:256" s="2" customFormat="1">
      <c r="GV123" s="1062"/>
      <c r="GW123" s="1062"/>
      <c r="GX123" s="1062"/>
      <c r="GY123" s="1062"/>
      <c r="HC123" s="105"/>
      <c r="HD123" s="105"/>
      <c r="HE123" s="105"/>
      <c r="HF123" s="105"/>
      <c r="HG123" s="105"/>
      <c r="HH123" s="105"/>
      <c r="IV123"/>
    </row>
    <row r="124" spans="58:256" s="2" customFormat="1">
      <c r="GV124" s="1062"/>
      <c r="GW124" s="1062"/>
      <c r="GX124" s="1062"/>
      <c r="GY124" s="1062"/>
      <c r="HC124" s="105"/>
      <c r="HD124" s="105"/>
      <c r="HE124" s="105"/>
      <c r="HF124" s="105"/>
      <c r="HG124" s="105"/>
      <c r="HH124" s="105"/>
      <c r="IV124"/>
    </row>
    <row r="125" spans="58:256" s="2" customFormat="1">
      <c r="BF125" s="1" t="s">
        <v>86</v>
      </c>
      <c r="GV125" s="1062"/>
      <c r="GW125" s="1062"/>
      <c r="GX125" s="1062"/>
      <c r="GY125" s="1062"/>
      <c r="HC125" s="105"/>
      <c r="HD125" s="105"/>
      <c r="HE125" s="105"/>
      <c r="HF125" s="105"/>
      <c r="HG125" s="105"/>
      <c r="HH125" s="105"/>
      <c r="IV125"/>
    </row>
    <row r="126" spans="58:256" s="2" customFormat="1">
      <c r="GV126" s="1062"/>
      <c r="GW126" s="1062"/>
      <c r="GX126" s="1062"/>
      <c r="GY126" s="1062"/>
      <c r="HC126" s="105"/>
      <c r="HD126" s="105"/>
      <c r="HE126" s="105"/>
      <c r="HF126" s="105"/>
      <c r="HG126" s="105"/>
      <c r="HH126" s="105"/>
      <c r="IV126"/>
    </row>
    <row r="127" spans="58:256" s="2" customFormat="1">
      <c r="BF127" s="1257" t="s">
        <v>918</v>
      </c>
      <c r="BG127" s="1258">
        <v>2006</v>
      </c>
      <c r="BH127" s="1258">
        <v>2007</v>
      </c>
      <c r="BI127" s="1258">
        <v>2008</v>
      </c>
      <c r="BJ127" s="1258">
        <v>2009</v>
      </c>
      <c r="BK127" s="1258" t="s">
        <v>729</v>
      </c>
      <c r="BL127" s="1258" t="s">
        <v>612</v>
      </c>
      <c r="BM127" s="1258" t="s">
        <v>409</v>
      </c>
      <c r="BN127" s="1258" t="s">
        <v>1510</v>
      </c>
      <c r="BO127" s="1258" t="s">
        <v>1029</v>
      </c>
      <c r="BP127" s="1258" t="s">
        <v>1699</v>
      </c>
      <c r="BQ127" s="1258" t="s">
        <v>1700</v>
      </c>
      <c r="BS127" s="1258" t="s">
        <v>216</v>
      </c>
      <c r="BT127" s="1258" t="s">
        <v>574</v>
      </c>
      <c r="BU127" s="1258" t="s">
        <v>575</v>
      </c>
      <c r="BV127" s="1258" t="s">
        <v>1720</v>
      </c>
      <c r="BW127" s="1258" t="str">
        <f>BK127</f>
        <v>1Q10</v>
      </c>
      <c r="BX127" s="1258" t="s">
        <v>612</v>
      </c>
      <c r="BY127" s="1258" t="str">
        <f>BM127</f>
        <v>3Q10</v>
      </c>
      <c r="GV127" s="1062"/>
      <c r="GW127" s="1062"/>
      <c r="GX127" s="1062"/>
      <c r="GY127" s="1062"/>
      <c r="HC127" s="105"/>
      <c r="HD127" s="105"/>
      <c r="HE127" s="105"/>
      <c r="HF127" s="105"/>
      <c r="HG127" s="105"/>
      <c r="HH127" s="105"/>
      <c r="IV127"/>
    </row>
    <row r="128" spans="58:256" s="2" customFormat="1">
      <c r="BF128" s="1259" t="s">
        <v>730</v>
      </c>
      <c r="BG128" s="1260">
        <v>128.48038700000001</v>
      </c>
      <c r="BH128" s="1260">
        <v>129.96624200000002</v>
      </c>
      <c r="BI128" s="1260">
        <v>128.02701414999999</v>
      </c>
      <c r="BJ128" s="1261">
        <v>125.90256049999999</v>
      </c>
      <c r="BK128" s="1261">
        <v>31.51949316</v>
      </c>
      <c r="BL128" s="1261">
        <f>BYD!AI435</f>
        <v>30.3</v>
      </c>
      <c r="BM128" s="1261">
        <f>BYD!AJ435</f>
        <v>32.470272539999996</v>
      </c>
      <c r="BN128" s="1261">
        <f>BYD!AK435</f>
        <v>29.123105530000004</v>
      </c>
      <c r="BO128" s="1261">
        <f>BYD!AM435</f>
        <v>29.805414740000003</v>
      </c>
      <c r="BP128" s="1261">
        <f>BYD!AN435</f>
        <v>28.801183290000001</v>
      </c>
      <c r="BQ128" s="1261">
        <f>BYD!AO435</f>
        <v>29.496703419999996</v>
      </c>
      <c r="BS128" s="1261">
        <v>33.7690196</v>
      </c>
      <c r="BT128" s="1261">
        <f>BYD!AD435</f>
        <v>31.6</v>
      </c>
      <c r="BU128" s="1261">
        <f>BYD!AE435</f>
        <v>31.3</v>
      </c>
      <c r="BV128" s="1261">
        <f>BYD!AF435</f>
        <v>29.2</v>
      </c>
      <c r="BW128" s="1261">
        <f>BK128</f>
        <v>31.51949316</v>
      </c>
      <c r="BX128" s="1261">
        <f>BL128</f>
        <v>30.3</v>
      </c>
      <c r="BY128" s="1261">
        <f t="shared" ref="BY128:BY174" si="3">BM128</f>
        <v>32.470272539999996</v>
      </c>
      <c r="GV128" s="1062"/>
      <c r="GW128" s="1062"/>
      <c r="GX128" s="1062"/>
      <c r="GY128" s="1062"/>
      <c r="HC128" s="105"/>
      <c r="HD128" s="105"/>
      <c r="HE128" s="105"/>
      <c r="HF128" s="105"/>
      <c r="HG128" s="105"/>
      <c r="HH128" s="105"/>
      <c r="IV128"/>
    </row>
    <row r="129" spans="58:256" s="2" customFormat="1">
      <c r="BF129" s="1259" t="s">
        <v>1350</v>
      </c>
      <c r="BG129" s="1262">
        <v>2030.8969999999997</v>
      </c>
      <c r="BH129" s="1262">
        <v>2004.7539999999999</v>
      </c>
      <c r="BI129" s="1262">
        <v>2000.721</v>
      </c>
      <c r="BJ129" s="1263">
        <v>1925.6079999999999</v>
      </c>
      <c r="BK129" s="1264">
        <v>470.69</v>
      </c>
      <c r="BL129" s="1306">
        <v>469.35899999999998</v>
      </c>
      <c r="BM129" s="1306">
        <v>523.96</v>
      </c>
      <c r="BN129" s="1306">
        <v>456.57900000000001</v>
      </c>
      <c r="BO129" s="1306">
        <v>451.86799999999999</v>
      </c>
      <c r="BP129" s="1436">
        <f>460735/1000</f>
        <v>460.73500000000001</v>
      </c>
      <c r="BQ129" s="1436">
        <v>482.38200000000001</v>
      </c>
      <c r="BS129" s="1265">
        <v>502.11599999999999</v>
      </c>
      <c r="BT129" s="1307">
        <v>486.52499999999998</v>
      </c>
      <c r="BU129" s="1306">
        <v>499.68900000000002</v>
      </c>
      <c r="BV129" s="1306">
        <v>437.27800000000002</v>
      </c>
      <c r="BW129" s="1264">
        <f>BK129</f>
        <v>470.69</v>
      </c>
      <c r="BX129" s="1306">
        <v>469.35899999999998</v>
      </c>
      <c r="BY129" s="1306">
        <f t="shared" si="3"/>
        <v>523.96</v>
      </c>
      <c r="GV129" s="1062"/>
      <c r="GW129" s="1062"/>
      <c r="GX129" s="1062"/>
      <c r="GY129" s="1062"/>
      <c r="HC129" s="105"/>
      <c r="HD129" s="105"/>
      <c r="HE129" s="105"/>
      <c r="HF129" s="105"/>
      <c r="HG129" s="105"/>
      <c r="HH129" s="105"/>
      <c r="IV129"/>
    </row>
    <row r="130" spans="58:256" s="2" customFormat="1">
      <c r="BF130" s="1259" t="s">
        <v>85</v>
      </c>
      <c r="BG130" s="1266">
        <f t="shared" ref="BG130:BQ130" si="4">(BG128*1000)/BG129</f>
        <v>63.262876945507344</v>
      </c>
      <c r="BH130" s="1266">
        <f t="shared" si="4"/>
        <v>64.829022413722598</v>
      </c>
      <c r="BI130" s="1266">
        <f t="shared" si="4"/>
        <v>63.990438521912843</v>
      </c>
      <c r="BJ130" s="1266">
        <f t="shared" si="4"/>
        <v>65.383276606661369</v>
      </c>
      <c r="BK130" s="1266">
        <f t="shared" si="4"/>
        <v>66.964441904438161</v>
      </c>
      <c r="BL130" s="1266">
        <f t="shared" si="4"/>
        <v>64.556128677622041</v>
      </c>
      <c r="BM130" s="1266">
        <f t="shared" si="4"/>
        <v>61.970899572486438</v>
      </c>
      <c r="BN130" s="1266">
        <f t="shared" si="4"/>
        <v>63.785468735969033</v>
      </c>
      <c r="BO130" s="1266">
        <f t="shared" si="4"/>
        <v>65.960445838165143</v>
      </c>
      <c r="BP130" s="1266">
        <f t="shared" si="4"/>
        <v>62.511385698937566</v>
      </c>
      <c r="BQ130" s="1266">
        <f t="shared" si="4"/>
        <v>61.148018416939259</v>
      </c>
      <c r="BS130" s="1266">
        <f>(BS128*1000)/BS129</f>
        <v>67.253422715069831</v>
      </c>
      <c r="BT130" s="1266">
        <f>(BT128*1000)/BT129</f>
        <v>64.950413647808446</v>
      </c>
      <c r="BU130" s="1266">
        <f>(BU128*1000)/BU129</f>
        <v>62.638961434011954</v>
      </c>
      <c r="BV130" s="1266">
        <f>(BV128*1000)/BV129</f>
        <v>66.776741569436368</v>
      </c>
      <c r="BW130" s="1266">
        <f>BK130</f>
        <v>66.964441904438161</v>
      </c>
      <c r="BX130" s="1266">
        <f>(BX128*1000)/BX129</f>
        <v>64.556128677622041</v>
      </c>
      <c r="BY130" s="1266">
        <f t="shared" si="3"/>
        <v>61.970899572486438</v>
      </c>
      <c r="GV130" s="1062"/>
      <c r="GW130" s="1062"/>
      <c r="GX130" s="1062"/>
      <c r="GY130" s="1062"/>
      <c r="HC130" s="105"/>
      <c r="HD130" s="105"/>
      <c r="HE130" s="105"/>
      <c r="HF130" s="105"/>
      <c r="HG130" s="105"/>
      <c r="HH130" s="105"/>
      <c r="IV130"/>
    </row>
    <row r="131" spans="58:256" s="2" customFormat="1">
      <c r="BF131" s="1259"/>
      <c r="BG131" s="1267"/>
      <c r="BH131" s="1267"/>
      <c r="BI131" s="1267"/>
      <c r="BJ131" s="1267"/>
      <c r="BK131" s="1267"/>
      <c r="BL131" s="1267"/>
      <c r="BM131" s="1267"/>
      <c r="BN131" s="1267"/>
      <c r="BO131" s="1267"/>
      <c r="BP131" s="1267"/>
      <c r="BQ131" s="1267"/>
      <c r="BS131" s="1267"/>
      <c r="BT131" s="1267"/>
      <c r="BW131" s="1267"/>
      <c r="BX131" s="1267"/>
      <c r="BY131" s="1267"/>
      <c r="GV131" s="1062"/>
      <c r="GW131" s="1062"/>
      <c r="GX131" s="1062"/>
      <c r="GY131" s="1062"/>
      <c r="HC131" s="105"/>
      <c r="HD131" s="105"/>
      <c r="HE131" s="105"/>
      <c r="HF131" s="105"/>
      <c r="HG131" s="105"/>
      <c r="HH131" s="105"/>
      <c r="IV131"/>
    </row>
    <row r="132" spans="58:256" s="2" customFormat="1">
      <c r="BF132" s="1259" t="s">
        <v>730</v>
      </c>
      <c r="BG132" s="1267"/>
      <c r="BH132" s="1268">
        <f t="shared" ref="BH132:BJ133" si="5">(BH128-BG128)/BG128</f>
        <v>1.1564839075399227E-2</v>
      </c>
      <c r="BI132" s="1268">
        <f t="shared" si="5"/>
        <v>-1.4921011950165005E-2</v>
      </c>
      <c r="BJ132" s="1268">
        <f t="shared" si="5"/>
        <v>-1.6593792053221861E-2</v>
      </c>
      <c r="BK132" s="1268">
        <f t="shared" ref="BK132:BQ133" si="6">(BK128-BS128)/BS128</f>
        <v>-6.6615094742045758E-2</v>
      </c>
      <c r="BL132" s="1268">
        <f t="shared" si="6"/>
        <v>-4.1139240506329132E-2</v>
      </c>
      <c r="BM132" s="1268">
        <f t="shared" si="6"/>
        <v>3.7388899041533405E-2</v>
      </c>
      <c r="BN132" s="1268">
        <f t="shared" si="6"/>
        <v>-2.6333722602738222E-3</v>
      </c>
      <c r="BO132" s="1268">
        <f t="shared" si="6"/>
        <v>-5.4381534985316886E-2</v>
      </c>
      <c r="BP132" s="1268">
        <f t="shared" si="6"/>
        <v>-4.9465898019801974E-2</v>
      </c>
      <c r="BQ132" s="1268">
        <f t="shared" si="6"/>
        <v>-9.1578200224124162E-2</v>
      </c>
      <c r="BS132" s="1268"/>
      <c r="BT132" s="1268"/>
      <c r="BW132" s="1268">
        <f>BK132</f>
        <v>-6.6615094742045758E-2</v>
      </c>
      <c r="BX132" s="1268">
        <f>BL132</f>
        <v>-4.1139240506329132E-2</v>
      </c>
      <c r="BY132" s="1268">
        <f t="shared" si="3"/>
        <v>3.7388899041533405E-2</v>
      </c>
      <c r="GV132" s="1062"/>
      <c r="GW132" s="1062"/>
      <c r="GX132" s="1062"/>
      <c r="GY132" s="1062"/>
      <c r="HC132" s="105"/>
      <c r="HD132" s="105"/>
      <c r="HE132" s="105"/>
      <c r="HF132" s="105"/>
      <c r="HG132" s="105"/>
      <c r="HH132" s="105"/>
      <c r="IV132"/>
    </row>
    <row r="133" spans="58:256" s="2" customFormat="1">
      <c r="BF133" s="1259" t="s">
        <v>1350</v>
      </c>
      <c r="BG133" s="1267"/>
      <c r="BH133" s="1268">
        <f t="shared" si="5"/>
        <v>-1.2872637066281454E-2</v>
      </c>
      <c r="BI133" s="1268">
        <f t="shared" si="5"/>
        <v>-2.0117181459669876E-3</v>
      </c>
      <c r="BJ133" s="1268">
        <f t="shared" si="5"/>
        <v>-3.7542965760843247E-2</v>
      </c>
      <c r="BK133" s="1268">
        <f t="shared" si="6"/>
        <v>-6.2587131260505524E-2</v>
      </c>
      <c r="BL133" s="1268">
        <f t="shared" si="6"/>
        <v>-3.5282873439186062E-2</v>
      </c>
      <c r="BM133" s="1268">
        <f t="shared" si="6"/>
        <v>4.857221191581166E-2</v>
      </c>
      <c r="BN133" s="1268">
        <f t="shared" si="6"/>
        <v>4.4138968802455159E-2</v>
      </c>
      <c r="BO133" s="1268">
        <f t="shared" si="6"/>
        <v>-3.9988102572818637E-2</v>
      </c>
      <c r="BP133" s="1268">
        <f t="shared" si="6"/>
        <v>-1.8373995172138953E-2</v>
      </c>
      <c r="BQ133" s="1268">
        <f t="shared" si="6"/>
        <v>-7.9353385754637809E-2</v>
      </c>
      <c r="BS133" s="1268"/>
      <c r="BT133" s="1268"/>
      <c r="BW133" s="1268">
        <f>BK133</f>
        <v>-6.2587131260505524E-2</v>
      </c>
      <c r="BX133" s="1268">
        <f>BL133</f>
        <v>-3.5282873439186062E-2</v>
      </c>
      <c r="BY133" s="1268">
        <f t="shared" si="3"/>
        <v>4.857221191581166E-2</v>
      </c>
      <c r="GV133" s="1062"/>
      <c r="GW133" s="1062"/>
      <c r="GX133" s="1062"/>
      <c r="GY133" s="1062"/>
      <c r="HC133" s="105"/>
      <c r="HD133" s="105"/>
      <c r="HE133" s="105"/>
      <c r="HF133" s="105"/>
      <c r="HG133" s="105"/>
      <c r="HH133" s="105"/>
      <c r="IV133"/>
    </row>
    <row r="134" spans="58:256" s="2" customFormat="1">
      <c r="BF134" s="1259"/>
      <c r="BG134" s="1267"/>
      <c r="BH134" s="1268"/>
      <c r="BI134" s="1268"/>
      <c r="BJ134" s="1268"/>
      <c r="BK134" s="1259"/>
      <c r="BL134" s="1259"/>
      <c r="BM134" s="1259"/>
      <c r="BN134" s="1259"/>
      <c r="BO134" s="1259"/>
      <c r="BP134" s="1259"/>
      <c r="BQ134" s="1259"/>
      <c r="BS134" s="1268"/>
      <c r="BT134" s="1268"/>
      <c r="BW134" s="1259"/>
      <c r="BX134" s="1259"/>
      <c r="BY134" s="1259"/>
      <c r="GV134" s="1062"/>
      <c r="GW134" s="1062"/>
      <c r="GX134" s="1062"/>
      <c r="GY134" s="1062"/>
      <c r="HC134" s="105"/>
      <c r="HD134" s="105"/>
      <c r="HE134" s="105"/>
      <c r="HF134" s="105"/>
      <c r="HG134" s="105"/>
      <c r="HH134" s="105"/>
      <c r="IV134"/>
    </row>
    <row r="135" spans="58:256" s="2" customFormat="1">
      <c r="BF135" s="1257" t="s">
        <v>1713</v>
      </c>
      <c r="BG135" s="1258">
        <v>2006</v>
      </c>
      <c r="BH135" s="1258">
        <v>2007</v>
      </c>
      <c r="BI135" s="1258">
        <v>2008</v>
      </c>
      <c r="BJ135" s="1258">
        <v>2009</v>
      </c>
      <c r="BK135" s="1258" t="s">
        <v>729</v>
      </c>
      <c r="BL135" s="1258" t="s">
        <v>612</v>
      </c>
      <c r="BM135" s="1258" t="s">
        <v>409</v>
      </c>
      <c r="BN135" s="1258" t="s">
        <v>1510</v>
      </c>
      <c r="BO135" s="1258" t="str">
        <f>$BO$127</f>
        <v>1Q11</v>
      </c>
      <c r="BP135" s="1258" t="s">
        <v>1699</v>
      </c>
      <c r="BQ135" s="1258" t="str">
        <f>BQ127</f>
        <v>3Q11</v>
      </c>
      <c r="BS135" s="1258" t="s">
        <v>216</v>
      </c>
      <c r="BT135" s="1258" t="s">
        <v>574</v>
      </c>
      <c r="BU135" s="1258" t="s">
        <v>575</v>
      </c>
      <c r="BV135" s="1258" t="s">
        <v>1720</v>
      </c>
      <c r="BW135" s="1258" t="str">
        <f>BK135</f>
        <v>1Q10</v>
      </c>
      <c r="BX135" s="1258" t="s">
        <v>612</v>
      </c>
      <c r="BY135" s="1258" t="str">
        <f t="shared" si="3"/>
        <v>3Q10</v>
      </c>
      <c r="GV135" s="1062"/>
      <c r="GW135" s="1062"/>
      <c r="GX135" s="1062"/>
      <c r="GY135" s="1062"/>
      <c r="HC135" s="105"/>
      <c r="HD135" s="105"/>
      <c r="HE135" s="105"/>
      <c r="HF135" s="105"/>
      <c r="HG135" s="105"/>
      <c r="HH135" s="105"/>
      <c r="IV135"/>
    </row>
    <row r="136" spans="58:256" s="2" customFormat="1">
      <c r="BF136" s="1259" t="s">
        <v>730</v>
      </c>
      <c r="BG136" s="1260">
        <v>144.77252199999998</v>
      </c>
      <c r="BH136" s="1260">
        <v>116.087233</v>
      </c>
      <c r="BI136" s="1260">
        <v>111.69358377</v>
      </c>
      <c r="BJ136" s="1261">
        <v>102.49723713</v>
      </c>
      <c r="BK136" s="1261">
        <v>25.322612720000002</v>
      </c>
      <c r="BL136" s="1261">
        <f>BYD!AI432</f>
        <v>24.9</v>
      </c>
      <c r="BM136" s="1261">
        <f>BYD!AJ432</f>
        <v>26.647183350000002</v>
      </c>
      <c r="BN136" s="1261">
        <f>BYD!AK432</f>
        <v>25.970711040000001</v>
      </c>
      <c r="BO136" s="1261">
        <f>BYD!AM432</f>
        <v>27.136040880000003</v>
      </c>
      <c r="BP136" s="1261">
        <f>BYD!AN432</f>
        <v>28.289331900000001</v>
      </c>
      <c r="BQ136" s="1261">
        <f>BYD!AO432</f>
        <v>27.40054241</v>
      </c>
      <c r="BS136" s="1261">
        <v>27.892943340000002</v>
      </c>
      <c r="BT136" s="1261">
        <f>BYD!AD432</f>
        <v>25.9</v>
      </c>
      <c r="BU136" s="1261">
        <f>BYD!AE432</f>
        <v>25.8</v>
      </c>
      <c r="BV136" s="1261">
        <f>BYD!AF432</f>
        <v>22.9</v>
      </c>
      <c r="BW136" s="1261">
        <f>BK136</f>
        <v>25.322612720000002</v>
      </c>
      <c r="BX136" s="1261">
        <f>BL136</f>
        <v>24.9</v>
      </c>
      <c r="BY136" s="1261">
        <f t="shared" si="3"/>
        <v>26.647183350000002</v>
      </c>
      <c r="GV136" s="1062"/>
      <c r="GW136" s="1062"/>
      <c r="GX136" s="1062"/>
      <c r="GY136" s="1062"/>
      <c r="HC136" s="105"/>
      <c r="HD136" s="105"/>
      <c r="HE136" s="105"/>
      <c r="HF136" s="105"/>
      <c r="HG136" s="105"/>
      <c r="HH136" s="105"/>
      <c r="IV136"/>
    </row>
    <row r="137" spans="58:256" s="2" customFormat="1">
      <c r="BF137" s="1259" t="s">
        <v>1350</v>
      </c>
      <c r="BG137" s="1262">
        <v>1273.6180000000002</v>
      </c>
      <c r="BH137" s="1262">
        <v>1153.664</v>
      </c>
      <c r="BI137" s="1262">
        <v>1095.7739999999999</v>
      </c>
      <c r="BJ137" s="1263">
        <v>1067.3440000000001</v>
      </c>
      <c r="BK137" s="1264">
        <v>274.99200000000002</v>
      </c>
      <c r="BL137" s="1306">
        <v>300.43900000000002</v>
      </c>
      <c r="BM137" s="1306">
        <v>318.63099999999997</v>
      </c>
      <c r="BN137" s="1306">
        <v>280.733</v>
      </c>
      <c r="BO137" s="1306">
        <v>297.31599999999997</v>
      </c>
      <c r="BP137" s="1436">
        <f>298446/1000</f>
        <v>298.44600000000003</v>
      </c>
      <c r="BQ137" s="1436">
        <v>295.62</v>
      </c>
      <c r="BS137" s="1265">
        <v>275.99099999999999</v>
      </c>
      <c r="BT137" s="1307">
        <v>263.72899999999998</v>
      </c>
      <c r="BU137" s="116">
        <v>273.529</v>
      </c>
      <c r="BV137" s="116">
        <v>254.095</v>
      </c>
      <c r="BW137" s="1264">
        <f>BK137</f>
        <v>274.99200000000002</v>
      </c>
      <c r="BX137" s="1306">
        <v>300.43900000000002</v>
      </c>
      <c r="BY137" s="1306">
        <f t="shared" si="3"/>
        <v>318.63099999999997</v>
      </c>
      <c r="GV137" s="1062"/>
      <c r="GW137" s="1062"/>
      <c r="GX137" s="1062"/>
      <c r="GY137" s="1062"/>
      <c r="HC137" s="105"/>
      <c r="HD137" s="105"/>
      <c r="HE137" s="105"/>
      <c r="HF137" s="105"/>
      <c r="HG137" s="105"/>
      <c r="HH137" s="105"/>
      <c r="IV137"/>
    </row>
    <row r="138" spans="58:256" s="2" customFormat="1">
      <c r="BF138" s="1259" t="s">
        <v>85</v>
      </c>
      <c r="BG138" s="1266">
        <f t="shared" ref="BG138:BQ138" si="7">(BG136*1000)/BG137</f>
        <v>113.67028575287091</v>
      </c>
      <c r="BH138" s="1266">
        <f t="shared" si="7"/>
        <v>100.62482057167425</v>
      </c>
      <c r="BI138" s="1266">
        <f t="shared" si="7"/>
        <v>101.93122283427059</v>
      </c>
      <c r="BJ138" s="1266">
        <f t="shared" si="7"/>
        <v>96.030180644665634</v>
      </c>
      <c r="BK138" s="1266">
        <f t="shared" si="7"/>
        <v>92.084906906382727</v>
      </c>
      <c r="BL138" s="1266">
        <f t="shared" si="7"/>
        <v>82.87872080522169</v>
      </c>
      <c r="BM138" s="1266">
        <f t="shared" si="7"/>
        <v>83.630228540223655</v>
      </c>
      <c r="BN138" s="1266">
        <f t="shared" si="7"/>
        <v>92.510360520494572</v>
      </c>
      <c r="BO138" s="1266">
        <f t="shared" si="7"/>
        <v>91.270032154340853</v>
      </c>
      <c r="BP138" s="1266">
        <f t="shared" si="7"/>
        <v>94.788778874570269</v>
      </c>
      <c r="BQ138" s="1266">
        <f t="shared" si="7"/>
        <v>92.688391888234889</v>
      </c>
      <c r="BS138" s="1266">
        <f>(BS136*1000)/BS137</f>
        <v>101.06468450058155</v>
      </c>
      <c r="BT138" s="1266">
        <f>(BT136*1000)/BT137</f>
        <v>98.206871447584462</v>
      </c>
      <c r="BU138" s="1266">
        <f>(BU136*1000)/BU137</f>
        <v>94.322722636356659</v>
      </c>
      <c r="BV138" s="1266">
        <f>(BV136*1000)/BV137</f>
        <v>90.123772604734455</v>
      </c>
      <c r="BW138" s="1266">
        <f>BK138</f>
        <v>92.084906906382727</v>
      </c>
      <c r="BX138" s="1266">
        <f>(BX136*1000)/BX137</f>
        <v>82.87872080522169</v>
      </c>
      <c r="BY138" s="1266">
        <f t="shared" si="3"/>
        <v>83.630228540223655</v>
      </c>
      <c r="GV138" s="1062"/>
      <c r="GW138" s="1062"/>
      <c r="GX138" s="1062"/>
      <c r="GY138" s="1062"/>
      <c r="HC138" s="105"/>
      <c r="HD138" s="105"/>
      <c r="HE138" s="105"/>
      <c r="HF138" s="105"/>
      <c r="HG138" s="105"/>
      <c r="HH138" s="105"/>
      <c r="IV138"/>
    </row>
    <row r="139" spans="58:256" s="2" customFormat="1">
      <c r="BF139" s="1259"/>
      <c r="BG139" s="1269"/>
      <c r="BH139" s="1259"/>
      <c r="BI139" s="1259"/>
      <c r="BJ139" s="1259"/>
      <c r="BK139" s="1259"/>
      <c r="BL139" s="1259"/>
      <c r="BM139" s="1259"/>
      <c r="BN139" s="1259"/>
      <c r="BO139" s="1259"/>
      <c r="BP139" s="1259"/>
      <c r="BQ139" s="1259"/>
      <c r="BS139" s="1259"/>
      <c r="BT139" s="1259"/>
      <c r="BW139" s="1259"/>
      <c r="BX139" s="1259"/>
      <c r="BY139" s="1259"/>
      <c r="GV139" s="1062"/>
      <c r="GW139" s="1062"/>
      <c r="GX139" s="1062"/>
      <c r="GY139" s="1062"/>
      <c r="HC139" s="105"/>
      <c r="HD139" s="105"/>
      <c r="HE139" s="105"/>
      <c r="HF139" s="105"/>
      <c r="HG139" s="105"/>
      <c r="HH139" s="105"/>
      <c r="IV139"/>
    </row>
    <row r="140" spans="58:256" s="2" customFormat="1">
      <c r="BF140" s="1259" t="s">
        <v>730</v>
      </c>
      <c r="BG140" s="1269"/>
      <c r="BH140" s="1268">
        <f t="shared" ref="BH140:BJ141" si="8">(BH136-BG136)/BG136</f>
        <v>-0.19814042474165081</v>
      </c>
      <c r="BI140" s="1268">
        <f t="shared" si="8"/>
        <v>-3.7847824575162323E-2</v>
      </c>
      <c r="BJ140" s="1268">
        <f t="shared" si="8"/>
        <v>-8.2335496181563703E-2</v>
      </c>
      <c r="BK140" s="1268">
        <f t="shared" ref="BK140:BQ141" si="9">(BK136-BS136)/BS136</f>
        <v>-9.2149852694606293E-2</v>
      </c>
      <c r="BL140" s="1268">
        <f t="shared" si="9"/>
        <v>-3.8610038610038609E-2</v>
      </c>
      <c r="BM140" s="1268">
        <f t="shared" si="9"/>
        <v>3.2836563953488433E-2</v>
      </c>
      <c r="BN140" s="1268">
        <f t="shared" si="9"/>
        <v>0.13409218515283855</v>
      </c>
      <c r="BO140" s="1268">
        <f t="shared" si="9"/>
        <v>7.1612995864670029E-2</v>
      </c>
      <c r="BP140" s="1268">
        <f t="shared" si="9"/>
        <v>0.1361177469879519</v>
      </c>
      <c r="BQ140" s="1268">
        <f t="shared" si="9"/>
        <v>2.8271620685193261E-2</v>
      </c>
      <c r="BS140" s="1268"/>
      <c r="BT140" s="1268"/>
      <c r="BW140" s="1268">
        <f>BK140</f>
        <v>-9.2149852694606293E-2</v>
      </c>
      <c r="BX140" s="1268">
        <f>BL140</f>
        <v>-3.8610038610038609E-2</v>
      </c>
      <c r="BY140" s="1268">
        <f t="shared" si="3"/>
        <v>3.2836563953488433E-2</v>
      </c>
      <c r="GV140" s="1062"/>
      <c r="GW140" s="1062"/>
      <c r="GX140" s="1062"/>
      <c r="GY140" s="1062"/>
      <c r="HC140" s="105"/>
      <c r="HD140" s="105"/>
      <c r="HE140" s="105"/>
      <c r="HF140" s="105"/>
      <c r="HG140" s="105"/>
      <c r="HH140" s="105"/>
      <c r="IV140"/>
    </row>
    <row r="141" spans="58:256" s="2" customFormat="1">
      <c r="BF141" s="1259" t="s">
        <v>1350</v>
      </c>
      <c r="BG141" s="1269"/>
      <c r="BH141" s="1268">
        <f t="shared" si="8"/>
        <v>-9.4183656323952841E-2</v>
      </c>
      <c r="BI141" s="1268">
        <f t="shared" si="8"/>
        <v>-5.0179254965050567E-2</v>
      </c>
      <c r="BJ141" s="1268">
        <f t="shared" si="8"/>
        <v>-2.5945131021542618E-2</v>
      </c>
      <c r="BK141" s="1268">
        <f t="shared" si="9"/>
        <v>-3.6196832505406584E-3</v>
      </c>
      <c r="BL141" s="1268">
        <f t="shared" si="9"/>
        <v>0.13919591702088144</v>
      </c>
      <c r="BM141" s="1268">
        <f t="shared" si="9"/>
        <v>0.16488928047848667</v>
      </c>
      <c r="BN141" s="1268">
        <f t="shared" si="9"/>
        <v>0.10483480587969068</v>
      </c>
      <c r="BO141" s="1268">
        <f t="shared" si="9"/>
        <v>8.1180543433990643E-2</v>
      </c>
      <c r="BP141" s="1268">
        <f t="shared" si="9"/>
        <v>-6.6336261271006591E-3</v>
      </c>
      <c r="BQ141" s="1268">
        <f t="shared" si="9"/>
        <v>-7.2218334060402067E-2</v>
      </c>
      <c r="BS141" s="1268"/>
      <c r="BT141" s="1268"/>
      <c r="BW141" s="1268">
        <f>BK141</f>
        <v>-3.6196832505406584E-3</v>
      </c>
      <c r="BX141" s="1268">
        <f>BL141</f>
        <v>0.13919591702088144</v>
      </c>
      <c r="BY141" s="1268">
        <f t="shared" si="3"/>
        <v>0.16488928047848667</v>
      </c>
      <c r="GV141" s="1062"/>
      <c r="GW141" s="1062"/>
      <c r="GX141" s="1062"/>
      <c r="GY141" s="1062"/>
      <c r="HC141" s="105"/>
      <c r="HD141" s="105"/>
      <c r="HE141" s="105"/>
      <c r="HF141" s="105"/>
      <c r="HG141" s="105"/>
      <c r="HH141" s="105"/>
      <c r="IV141"/>
    </row>
    <row r="142" spans="58:256" s="2" customFormat="1">
      <c r="GV142" s="1062"/>
      <c r="GW142" s="1062"/>
      <c r="GX142" s="1062"/>
      <c r="GY142" s="1062"/>
      <c r="HC142" s="105"/>
      <c r="HD142" s="105"/>
      <c r="HE142" s="105"/>
      <c r="HF142" s="105"/>
      <c r="HG142" s="105"/>
      <c r="HH142" s="105"/>
      <c r="IV142"/>
    </row>
    <row r="143" spans="58:256" s="2" customFormat="1">
      <c r="BF143" s="1257" t="s">
        <v>890</v>
      </c>
      <c r="BG143" s="1258">
        <v>2006</v>
      </c>
      <c r="BH143" s="1258">
        <v>2007</v>
      </c>
      <c r="BI143" s="1258">
        <v>2008</v>
      </c>
      <c r="BJ143" s="1258">
        <v>2009</v>
      </c>
      <c r="BK143" s="1258" t="s">
        <v>729</v>
      </c>
      <c r="BL143" s="1258" t="s">
        <v>612</v>
      </c>
      <c r="BM143" s="1258" t="s">
        <v>409</v>
      </c>
      <c r="BN143" s="1258" t="s">
        <v>1510</v>
      </c>
      <c r="BO143" s="1258" t="str">
        <f>$BO$127</f>
        <v>1Q11</v>
      </c>
      <c r="BP143" s="1258" t="s">
        <v>1699</v>
      </c>
      <c r="BQ143" s="1258" t="str">
        <f>BQ127</f>
        <v>3Q11</v>
      </c>
      <c r="BS143" s="1258" t="s">
        <v>216</v>
      </c>
      <c r="BT143" s="1258" t="s">
        <v>574</v>
      </c>
      <c r="BU143" s="1258" t="s">
        <v>575</v>
      </c>
      <c r="BV143" s="1258" t="s">
        <v>1510</v>
      </c>
      <c r="BW143" s="1258" t="str">
        <f>BK143</f>
        <v>1Q10</v>
      </c>
      <c r="BX143" s="1258" t="s">
        <v>612</v>
      </c>
      <c r="BY143" s="1258" t="str">
        <f t="shared" si="3"/>
        <v>3Q10</v>
      </c>
      <c r="GV143" s="1062"/>
      <c r="GW143" s="1062"/>
      <c r="GX143" s="1062"/>
      <c r="GY143" s="1062"/>
      <c r="HC143" s="105"/>
      <c r="HD143" s="105"/>
      <c r="HE143" s="105"/>
      <c r="HF143" s="105"/>
      <c r="HG143" s="105"/>
      <c r="HH143" s="105"/>
      <c r="IV143"/>
    </row>
    <row r="144" spans="58:256" s="2" customFormat="1">
      <c r="BF144" s="1259" t="s">
        <v>730</v>
      </c>
      <c r="BG144" s="1260">
        <v>168.01926699999999</v>
      </c>
      <c r="BH144" s="1260">
        <v>162.62824699999999</v>
      </c>
      <c r="BI144" s="1260">
        <v>169.15863091</v>
      </c>
      <c r="BJ144" s="1261">
        <v>180.07141503</v>
      </c>
      <c r="BK144" s="1261">
        <v>44.024367439999999</v>
      </c>
      <c r="BL144" s="1261">
        <f>BYD!AI434</f>
        <v>43.3</v>
      </c>
      <c r="BM144" s="1261">
        <f>BYD!AJ434</f>
        <v>43.399548109999998</v>
      </c>
      <c r="BN144" s="1261">
        <f>BYD!AK434</f>
        <v>39.992963070000002</v>
      </c>
      <c r="BO144" s="1261">
        <f>BYD!AM434</f>
        <v>43.674731080000001</v>
      </c>
      <c r="BP144" s="1261">
        <f>BYD!AN434</f>
        <v>45.284692470000003</v>
      </c>
      <c r="BQ144" s="1261">
        <f>BYD!AO434</f>
        <v>46.427865499999996</v>
      </c>
      <c r="BS144" s="1261">
        <v>48.556331249999999</v>
      </c>
      <c r="BT144" s="1261">
        <f>BYD!AD434</f>
        <v>47.2</v>
      </c>
      <c r="BU144" s="1261">
        <f>BYD!AE434</f>
        <v>44.8</v>
      </c>
      <c r="BV144" s="1261">
        <f>BYD!AF434</f>
        <v>39.5</v>
      </c>
      <c r="BW144" s="1261">
        <f>BK144</f>
        <v>44.024367439999999</v>
      </c>
      <c r="BX144" s="1261">
        <f>BL144</f>
        <v>43.3</v>
      </c>
      <c r="BY144" s="1261">
        <f t="shared" si="3"/>
        <v>43.399548109999998</v>
      </c>
      <c r="GV144" s="1062"/>
      <c r="GW144" s="1062"/>
      <c r="GX144" s="1062"/>
      <c r="GY144" s="1062"/>
      <c r="HC144" s="105"/>
      <c r="HD144" s="105"/>
      <c r="HE144" s="105"/>
      <c r="HF144" s="105"/>
      <c r="HG144" s="105"/>
      <c r="HH144" s="105"/>
      <c r="IV144"/>
    </row>
    <row r="145" spans="58:256" s="2" customFormat="1">
      <c r="BF145" s="1259" t="s">
        <v>1350</v>
      </c>
      <c r="BG145" s="1262">
        <v>2056.2359999999999</v>
      </c>
      <c r="BH145" s="1262">
        <v>1603.65</v>
      </c>
      <c r="BI145" s="1262">
        <v>1389.377</v>
      </c>
      <c r="BJ145" s="1263">
        <v>1974.5609999999999</v>
      </c>
      <c r="BK145" s="1264">
        <v>498.755</v>
      </c>
      <c r="BL145" s="1306">
        <v>483.827</v>
      </c>
      <c r="BM145" s="116">
        <v>500.87</v>
      </c>
      <c r="BN145" s="116">
        <v>456.57799999999997</v>
      </c>
      <c r="BO145" s="116">
        <v>491.56299999999999</v>
      </c>
      <c r="BP145" s="1437">
        <f>500879/1000</f>
        <v>500.87900000000002</v>
      </c>
      <c r="BQ145" s="1437">
        <v>532.20000000000005</v>
      </c>
      <c r="BS145" s="1265">
        <v>506.98500000000001</v>
      </c>
      <c r="BT145" s="1307">
        <v>514.30899999999997</v>
      </c>
      <c r="BU145" s="116">
        <v>508.52</v>
      </c>
      <c r="BV145" s="116">
        <v>444.74700000000001</v>
      </c>
      <c r="BW145" s="1264">
        <f>BK145</f>
        <v>498.755</v>
      </c>
      <c r="BX145" s="1306">
        <v>483.827</v>
      </c>
      <c r="BY145" s="1306">
        <f t="shared" si="3"/>
        <v>500.87</v>
      </c>
      <c r="GV145" s="1062"/>
      <c r="GW145" s="1062"/>
      <c r="GX145" s="1062"/>
      <c r="GY145" s="1062"/>
      <c r="HC145" s="105"/>
      <c r="HD145" s="105"/>
      <c r="HE145" s="105"/>
      <c r="HF145" s="105"/>
      <c r="HG145" s="105"/>
      <c r="HH145" s="105"/>
      <c r="IV145"/>
    </row>
    <row r="146" spans="58:256" s="2" customFormat="1">
      <c r="BF146" s="1259" t="s">
        <v>85</v>
      </c>
      <c r="BG146" s="1275">
        <f t="shared" ref="BG146:BQ146" si="10">(BG144*1000)/BG145</f>
        <v>81.712053966568035</v>
      </c>
      <c r="BH146" s="1275">
        <f t="shared" si="10"/>
        <v>101.41130982446292</v>
      </c>
      <c r="BI146" s="1275">
        <f t="shared" si="10"/>
        <v>121.75142593406974</v>
      </c>
      <c r="BJ146" s="1275">
        <f t="shared" si="10"/>
        <v>91.195670850381433</v>
      </c>
      <c r="BK146" s="1275">
        <f t="shared" si="10"/>
        <v>88.268523503523781</v>
      </c>
      <c r="BL146" s="1275">
        <f t="shared" si="10"/>
        <v>89.494798760714062</v>
      </c>
      <c r="BM146" s="1275">
        <f t="shared" si="10"/>
        <v>86.648328129055429</v>
      </c>
      <c r="BN146" s="1275">
        <f t="shared" si="10"/>
        <v>87.59283861684095</v>
      </c>
      <c r="BO146" s="1275">
        <f t="shared" si="10"/>
        <v>88.848695040106762</v>
      </c>
      <c r="BP146" s="1275">
        <f t="shared" si="10"/>
        <v>90.410443380537018</v>
      </c>
      <c r="BQ146" s="1275">
        <f t="shared" si="10"/>
        <v>87.237627771514454</v>
      </c>
      <c r="BS146" s="1275">
        <f>(BS144*1000)/BS145</f>
        <v>95.774690079588154</v>
      </c>
      <c r="BT146" s="1275">
        <f>(BT144*1000)/BT145</f>
        <v>91.773622472093635</v>
      </c>
      <c r="BU146" s="1275">
        <f>(BU144*1000)/BU145</f>
        <v>88.098796507511992</v>
      </c>
      <c r="BV146" s="1275">
        <f>(BV144*1000)/BV145</f>
        <v>88.814539502233856</v>
      </c>
      <c r="BW146" s="1275">
        <f>BK146</f>
        <v>88.268523503523781</v>
      </c>
      <c r="BX146" s="1275">
        <f>(BX144*1000)/BX145</f>
        <v>89.494798760714062</v>
      </c>
      <c r="BY146" s="1275">
        <f t="shared" si="3"/>
        <v>86.648328129055429</v>
      </c>
      <c r="GV146" s="1062"/>
      <c r="GW146" s="1062"/>
      <c r="GX146" s="1062"/>
      <c r="GY146" s="1062"/>
      <c r="HC146" s="105"/>
      <c r="HD146" s="105"/>
      <c r="HE146" s="105"/>
      <c r="HF146" s="105"/>
      <c r="HG146" s="105"/>
      <c r="HH146" s="105"/>
      <c r="IV146"/>
    </row>
    <row r="147" spans="58:256" s="2" customFormat="1">
      <c r="BF147" s="1259"/>
      <c r="BG147" s="1269"/>
      <c r="BH147" s="1259"/>
      <c r="BI147" s="1259"/>
      <c r="BJ147" s="1259"/>
      <c r="BK147" s="1259"/>
      <c r="BL147" s="1259"/>
      <c r="BM147" s="1259"/>
      <c r="BN147" s="1259"/>
      <c r="BO147" s="1259"/>
      <c r="BP147" s="1259"/>
      <c r="BQ147" s="1259"/>
      <c r="BS147" s="1259"/>
      <c r="BT147" s="1259"/>
      <c r="BW147" s="1259"/>
      <c r="BX147" s="1259"/>
      <c r="BY147" s="1259"/>
      <c r="GV147" s="1062"/>
      <c r="GW147" s="1062"/>
      <c r="GX147" s="1062"/>
      <c r="GY147" s="1062"/>
      <c r="HC147" s="105"/>
      <c r="HD147" s="105"/>
      <c r="HE147" s="105"/>
      <c r="HF147" s="105"/>
      <c r="HG147" s="105"/>
      <c r="HH147" s="105"/>
      <c r="IV147"/>
    </row>
    <row r="148" spans="58:256" s="2" customFormat="1">
      <c r="BF148" s="1259" t="s">
        <v>730</v>
      </c>
      <c r="BG148" s="1269"/>
      <c r="BH148" s="1268">
        <f t="shared" ref="BH148:BJ149" si="11">(BH144-BG144)/BG144</f>
        <v>-3.208572502580908E-2</v>
      </c>
      <c r="BI148" s="1268">
        <f t="shared" si="11"/>
        <v>4.0155286861082704E-2</v>
      </c>
      <c r="BJ148" s="1268">
        <f t="shared" si="11"/>
        <v>6.451213314563943E-2</v>
      </c>
      <c r="BK148" s="1268">
        <f t="shared" ref="BK148:BQ149" si="12">(BK144-BS144)/BS144</f>
        <v>-9.3334148057159907E-2</v>
      </c>
      <c r="BL148" s="1268">
        <f t="shared" si="12"/>
        <v>-8.262711864406791E-2</v>
      </c>
      <c r="BM148" s="1268">
        <f t="shared" si="12"/>
        <v>-3.126008683035713E-2</v>
      </c>
      <c r="BN148" s="1268">
        <f t="shared" si="12"/>
        <v>1.2480077721519035E-2</v>
      </c>
      <c r="BO148" s="1268">
        <f t="shared" si="12"/>
        <v>-7.941882651159294E-3</v>
      </c>
      <c r="BP148" s="1268">
        <f t="shared" si="12"/>
        <v>4.5835853810623696E-2</v>
      </c>
      <c r="BQ148" s="1268">
        <f t="shared" si="12"/>
        <v>6.9777624926519038E-2</v>
      </c>
      <c r="BS148" s="1268"/>
      <c r="BT148" s="1268"/>
      <c r="BW148" s="1268">
        <f>BK148</f>
        <v>-9.3334148057159907E-2</v>
      </c>
      <c r="BX148" s="1268">
        <f>BL148</f>
        <v>-8.262711864406791E-2</v>
      </c>
      <c r="BY148" s="1268">
        <f t="shared" si="3"/>
        <v>-3.126008683035713E-2</v>
      </c>
      <c r="GV148" s="1062"/>
      <c r="GW148" s="1062"/>
      <c r="GX148" s="1062"/>
      <c r="GY148" s="1062"/>
      <c r="HC148" s="105"/>
      <c r="HD148" s="105"/>
      <c r="HE148" s="105"/>
      <c r="HF148" s="105"/>
      <c r="HG148" s="105"/>
      <c r="HH148" s="105"/>
      <c r="IV148"/>
    </row>
    <row r="149" spans="58:256" s="2" customFormat="1">
      <c r="BF149" s="1259" t="s">
        <v>1350</v>
      </c>
      <c r="BG149" s="1269"/>
      <c r="BH149" s="1268">
        <f t="shared" si="11"/>
        <v>-0.22010411256295476</v>
      </c>
      <c r="BI149" s="1268">
        <f t="shared" si="11"/>
        <v>-0.13361581392448485</v>
      </c>
      <c r="BJ149" s="1268">
        <f t="shared" si="11"/>
        <v>0.42118445893375234</v>
      </c>
      <c r="BK149" s="1268">
        <f t="shared" si="12"/>
        <v>-1.6233221890194025E-2</v>
      </c>
      <c r="BL149" s="1268">
        <f t="shared" si="12"/>
        <v>-5.9267872038016006E-2</v>
      </c>
      <c r="BM149" s="1268">
        <f t="shared" si="12"/>
        <v>-1.5043656100055017E-2</v>
      </c>
      <c r="BN149" s="1268">
        <f t="shared" si="12"/>
        <v>2.6601640932934816E-2</v>
      </c>
      <c r="BO149" s="1268">
        <f t="shared" si="12"/>
        <v>-1.4419905564856507E-2</v>
      </c>
      <c r="BP149" s="1268">
        <f t="shared" si="12"/>
        <v>3.5244002505027669E-2</v>
      </c>
      <c r="BQ149" s="1268">
        <f t="shared" si="12"/>
        <v>6.2551160979895062E-2</v>
      </c>
      <c r="BS149" s="1268"/>
      <c r="BT149" s="1268"/>
      <c r="BW149" s="1268">
        <f>BK149</f>
        <v>-1.6233221890194025E-2</v>
      </c>
      <c r="BX149" s="1268">
        <f>BL149</f>
        <v>-5.9267872038016006E-2</v>
      </c>
      <c r="BY149" s="1268">
        <f t="shared" si="3"/>
        <v>-1.5043656100055017E-2</v>
      </c>
      <c r="GV149" s="1062"/>
      <c r="GW149" s="1062"/>
      <c r="GX149" s="1062"/>
      <c r="GY149" s="1062"/>
      <c r="HC149" s="105"/>
      <c r="HD149" s="105"/>
      <c r="HE149" s="105"/>
      <c r="HF149" s="105"/>
      <c r="HG149" s="105"/>
      <c r="HH149" s="105"/>
      <c r="IV149"/>
    </row>
    <row r="150" spans="58:256" s="2" customFormat="1">
      <c r="GV150" s="1062"/>
      <c r="GW150" s="1062"/>
      <c r="GX150" s="1062"/>
      <c r="GY150" s="1062"/>
      <c r="HC150" s="105"/>
      <c r="HD150" s="105"/>
      <c r="HE150" s="105"/>
      <c r="HF150" s="105"/>
      <c r="HG150" s="105"/>
      <c r="HH150" s="105"/>
      <c r="IV150"/>
    </row>
    <row r="151" spans="58:256" s="2" customFormat="1">
      <c r="BF151" s="1257" t="s">
        <v>889</v>
      </c>
      <c r="BG151" s="1258">
        <v>2006</v>
      </c>
      <c r="BH151" s="1258">
        <v>2007</v>
      </c>
      <c r="BI151" s="1258">
        <v>2008</v>
      </c>
      <c r="BJ151" s="1258">
        <v>2009</v>
      </c>
      <c r="BK151" s="1258" t="s">
        <v>729</v>
      </c>
      <c r="BL151" s="1258" t="s">
        <v>612</v>
      </c>
      <c r="BM151" s="1258" t="s">
        <v>409</v>
      </c>
      <c r="BN151" s="1258" t="s">
        <v>1510</v>
      </c>
      <c r="BO151" s="1258" t="str">
        <f>$BO$127</f>
        <v>1Q11</v>
      </c>
      <c r="BP151" s="1258" t="s">
        <v>1699</v>
      </c>
      <c r="BQ151" s="1258" t="str">
        <f>BQ127</f>
        <v>3Q11</v>
      </c>
      <c r="BS151" s="1258" t="s">
        <v>216</v>
      </c>
      <c r="BT151" s="1258" t="s">
        <v>574</v>
      </c>
      <c r="BU151" s="1258" t="s">
        <v>575</v>
      </c>
      <c r="BV151" s="1258" t="s">
        <v>1510</v>
      </c>
      <c r="BW151" s="1258" t="str">
        <f>BK151</f>
        <v>1Q10</v>
      </c>
      <c r="BX151" s="1258" t="s">
        <v>612</v>
      </c>
      <c r="BY151" s="1258" t="str">
        <f t="shared" si="3"/>
        <v>3Q10</v>
      </c>
      <c r="GV151" s="1062"/>
      <c r="GW151" s="1062"/>
      <c r="GX151" s="1062"/>
      <c r="GY151" s="1062"/>
      <c r="HC151" s="105"/>
      <c r="HD151" s="105"/>
      <c r="HE151" s="105"/>
      <c r="HF151" s="105"/>
      <c r="HG151" s="105"/>
      <c r="HH151" s="105"/>
      <c r="IV151"/>
    </row>
    <row r="152" spans="58:256" s="2" customFormat="1">
      <c r="BF152" s="1259" t="s">
        <v>730</v>
      </c>
      <c r="BG152" s="1260">
        <v>289.18044199999997</v>
      </c>
      <c r="BH152" s="1260">
        <v>256.65276799999998</v>
      </c>
      <c r="BI152" s="1260">
        <v>181.942644</v>
      </c>
      <c r="BJ152" s="1261">
        <v>187.69475499999999</v>
      </c>
      <c r="BK152" s="1261">
        <v>43.093704000000002</v>
      </c>
      <c r="BL152" s="1261">
        <f>BYD!AI433</f>
        <v>45.4</v>
      </c>
      <c r="BM152" s="1261">
        <f>BYD!AJ433</f>
        <v>48.034393000000001</v>
      </c>
      <c r="BN152" s="1261">
        <f>BYD!AK433</f>
        <v>41.515867</v>
      </c>
      <c r="BO152" s="1261">
        <f>BYD!AM433</f>
        <v>41.370007999999999</v>
      </c>
      <c r="BP152" s="1261">
        <f>BYD!AN433</f>
        <v>43.953480999999996</v>
      </c>
      <c r="BQ152" s="1261">
        <f>BYD!AO433</f>
        <v>45.255792999999997</v>
      </c>
      <c r="BS152" s="1261">
        <v>48.477908999999997</v>
      </c>
      <c r="BT152" s="1261">
        <f>BYD!AD433</f>
        <v>50.6</v>
      </c>
      <c r="BU152" s="1261">
        <f>BYD!AE433</f>
        <v>46.5</v>
      </c>
      <c r="BV152" s="1261">
        <f>BYD!AF433</f>
        <v>42.1</v>
      </c>
      <c r="BW152" s="1261">
        <f>BK152</f>
        <v>43.093704000000002</v>
      </c>
      <c r="BX152" s="1261">
        <f>BL152</f>
        <v>45.4</v>
      </c>
      <c r="BY152" s="1261">
        <f t="shared" si="3"/>
        <v>48.034393000000001</v>
      </c>
      <c r="GV152" s="1062"/>
      <c r="GW152" s="1062"/>
      <c r="GX152" s="1062"/>
      <c r="GY152" s="1062"/>
      <c r="HC152" s="105"/>
      <c r="HD152" s="105"/>
      <c r="HE152" s="105"/>
      <c r="HF152" s="105"/>
      <c r="HG152" s="105"/>
      <c r="HH152" s="105"/>
      <c r="IV152"/>
    </row>
    <row r="153" spans="58:256" s="2" customFormat="1">
      <c r="BF153" s="1259" t="s">
        <v>1350</v>
      </c>
      <c r="BG153" s="1262">
        <v>3457.3890000000001</v>
      </c>
      <c r="BH153" s="1262">
        <v>2928.2560000000003</v>
      </c>
      <c r="BI153" s="1262">
        <v>2177.9290000000001</v>
      </c>
      <c r="BJ153" s="1263">
        <v>2550.681</v>
      </c>
      <c r="BK153" s="1264">
        <v>610.35500000000002</v>
      </c>
      <c r="BL153" s="1306">
        <v>651.54</v>
      </c>
      <c r="BM153" s="1306">
        <v>708.31700000000001</v>
      </c>
      <c r="BN153" s="1306">
        <v>596.16300000000001</v>
      </c>
      <c r="BO153" s="1306">
        <v>584.51300000000003</v>
      </c>
      <c r="BP153" s="1436">
        <f>616787/1000</f>
        <v>616.78700000000003</v>
      </c>
      <c r="BQ153" s="1436">
        <v>673.38900000000001</v>
      </c>
      <c r="BS153" s="1265">
        <v>644.63699999999994</v>
      </c>
      <c r="BT153" s="1307">
        <v>690.65700000000004</v>
      </c>
      <c r="BU153" s="116">
        <v>648.37800000000004</v>
      </c>
      <c r="BV153" s="116">
        <v>567.00900000000001</v>
      </c>
      <c r="BW153" s="1264">
        <f>BK153</f>
        <v>610.35500000000002</v>
      </c>
      <c r="BX153" s="1306">
        <v>651.54</v>
      </c>
      <c r="BY153" s="1306">
        <f t="shared" si="3"/>
        <v>708.31700000000001</v>
      </c>
      <c r="GV153" s="1062"/>
      <c r="GW153" s="1062"/>
      <c r="GX153" s="1062"/>
      <c r="GY153" s="1062"/>
      <c r="HC153" s="105"/>
      <c r="HD153" s="105"/>
      <c r="HE153" s="105"/>
      <c r="HF153" s="105"/>
      <c r="HG153" s="105"/>
      <c r="HH153" s="105"/>
      <c r="IV153"/>
    </row>
    <row r="154" spans="58:256" s="2" customFormat="1">
      <c r="BF154" s="1259" t="s">
        <v>85</v>
      </c>
      <c r="BG154" s="1266">
        <f t="shared" ref="BG154:BQ154" si="13">(BG152*1000)/BG153</f>
        <v>83.64128016835825</v>
      </c>
      <c r="BH154" s="1266">
        <f t="shared" si="13"/>
        <v>87.646970756655136</v>
      </c>
      <c r="BI154" s="1266">
        <f t="shared" si="13"/>
        <v>83.539290766595229</v>
      </c>
      <c r="BJ154" s="1266">
        <f t="shared" si="13"/>
        <v>73.586134448016026</v>
      </c>
      <c r="BK154" s="1266">
        <f t="shared" si="13"/>
        <v>70.604326990030401</v>
      </c>
      <c r="BL154" s="1266">
        <f t="shared" si="13"/>
        <v>69.68106332688707</v>
      </c>
      <c r="BM154" s="1266">
        <f t="shared" si="13"/>
        <v>67.814824435951707</v>
      </c>
      <c r="BN154" s="1266">
        <f t="shared" si="13"/>
        <v>69.638449551548817</v>
      </c>
      <c r="BO154" s="1266">
        <f t="shared" si="13"/>
        <v>70.776882635630002</v>
      </c>
      <c r="BP154" s="1266">
        <f t="shared" si="13"/>
        <v>71.262009413298259</v>
      </c>
      <c r="BQ154" s="1266">
        <f t="shared" si="13"/>
        <v>67.206017621315468</v>
      </c>
      <c r="BS154" s="1266">
        <f>(BS152*1000)/BS153</f>
        <v>75.201871751078514</v>
      </c>
      <c r="BT154" s="1266">
        <f>(BT152*1000)/BT153</f>
        <v>73.263573669708691</v>
      </c>
      <c r="BU154" s="1266">
        <f>(BU152*1000)/BU153</f>
        <v>71.717424095203725</v>
      </c>
      <c r="BV154" s="1266">
        <f>(BV152*1000)/BV153</f>
        <v>74.249262357387622</v>
      </c>
      <c r="BW154" s="1266">
        <f>BK154</f>
        <v>70.604326990030401</v>
      </c>
      <c r="BX154" s="1266">
        <f>(BX152*1000)/BX153</f>
        <v>69.68106332688707</v>
      </c>
      <c r="BY154" s="1266">
        <f t="shared" si="3"/>
        <v>67.814824435951707</v>
      </c>
      <c r="GV154" s="1062"/>
      <c r="GW154" s="1062"/>
      <c r="GX154" s="1062"/>
      <c r="GY154" s="1062"/>
      <c r="HC154" s="105"/>
      <c r="HD154" s="105"/>
      <c r="HE154" s="105"/>
      <c r="HF154" s="105"/>
      <c r="HG154" s="105"/>
      <c r="HH154" s="105"/>
      <c r="IV154"/>
    </row>
    <row r="155" spans="58:256" s="2" customFormat="1">
      <c r="BF155" s="1259"/>
      <c r="BG155" s="1269"/>
      <c r="BH155" s="1259"/>
      <c r="BI155" s="1259"/>
      <c r="BJ155" s="1259"/>
      <c r="BK155" s="1259"/>
      <c r="BL155" s="1259"/>
      <c r="BM155" s="1259"/>
      <c r="BN155" s="1259"/>
      <c r="BO155" s="1259"/>
      <c r="BP155" s="1259"/>
      <c r="BQ155" s="1259"/>
      <c r="BS155" s="1259"/>
      <c r="BT155" s="1259"/>
      <c r="BW155" s="1259"/>
      <c r="BX155" s="1259"/>
      <c r="BY155" s="1259"/>
      <c r="GV155" s="1062"/>
      <c r="GW155" s="1062"/>
      <c r="GX155" s="1062"/>
      <c r="GY155" s="1062"/>
      <c r="HC155" s="105"/>
      <c r="HD155" s="105"/>
      <c r="HE155" s="105"/>
      <c r="HF155" s="105"/>
      <c r="HG155" s="105"/>
      <c r="HH155" s="105"/>
      <c r="IV155"/>
    </row>
    <row r="156" spans="58:256" s="2" customFormat="1">
      <c r="BF156" s="1259" t="s">
        <v>730</v>
      </c>
      <c r="BG156" s="1269"/>
      <c r="BH156" s="1268">
        <f t="shared" ref="BH156:BJ157" si="14">(BH152-BG152)/BG152</f>
        <v>-0.11248227499424042</v>
      </c>
      <c r="BI156" s="1268">
        <f t="shared" si="14"/>
        <v>-0.29109416813303174</v>
      </c>
      <c r="BJ156" s="1268">
        <f t="shared" si="14"/>
        <v>3.1614968726078232E-2</v>
      </c>
      <c r="BK156" s="1268">
        <f t="shared" ref="BK156:BQ157" si="15">(BK152-BS152)/BS152</f>
        <v>-0.11106512452919524</v>
      </c>
      <c r="BL156" s="1268">
        <f t="shared" si="15"/>
        <v>-0.10276679841897239</v>
      </c>
      <c r="BM156" s="1268">
        <f t="shared" si="15"/>
        <v>3.2997698924731214E-2</v>
      </c>
      <c r="BN156" s="1268">
        <f t="shared" si="15"/>
        <v>-1.3874893111638986E-2</v>
      </c>
      <c r="BO156" s="1268">
        <f t="shared" si="15"/>
        <v>-3.9998789614371595E-2</v>
      </c>
      <c r="BP156" s="1268">
        <f t="shared" si="15"/>
        <v>-3.1861651982378905E-2</v>
      </c>
      <c r="BQ156" s="1268">
        <f t="shared" si="15"/>
        <v>-5.7846052098545396E-2</v>
      </c>
      <c r="BS156" s="1268"/>
      <c r="BT156" s="1268"/>
      <c r="BW156" s="1268">
        <f>BK156</f>
        <v>-0.11106512452919524</v>
      </c>
      <c r="BX156" s="1268">
        <f>BL156</f>
        <v>-0.10276679841897239</v>
      </c>
      <c r="BY156" s="1268">
        <f t="shared" si="3"/>
        <v>3.2997698924731214E-2</v>
      </c>
      <c r="GV156" s="1062"/>
      <c r="GW156" s="1062"/>
      <c r="GX156" s="1062"/>
      <c r="GY156" s="1062"/>
      <c r="HC156" s="105"/>
      <c r="HD156" s="105"/>
      <c r="HE156" s="105"/>
      <c r="HF156" s="105"/>
      <c r="HG156" s="105"/>
      <c r="HH156" s="105"/>
      <c r="IV156"/>
    </row>
    <row r="157" spans="58:256" s="2" customFormat="1">
      <c r="BF157" s="1259" t="s">
        <v>1350</v>
      </c>
      <c r="BG157" s="1269"/>
      <c r="BH157" s="1268">
        <f t="shared" si="14"/>
        <v>-0.15304410351279529</v>
      </c>
      <c r="BI157" s="1268">
        <f t="shared" si="14"/>
        <v>-0.25623681809240728</v>
      </c>
      <c r="BJ157" s="1268">
        <f t="shared" si="14"/>
        <v>0.17114974822411563</v>
      </c>
      <c r="BK157" s="1268">
        <f t="shared" si="15"/>
        <v>-5.3180316984597423E-2</v>
      </c>
      <c r="BL157" s="1268">
        <f t="shared" si="15"/>
        <v>-5.6637375716166019E-2</v>
      </c>
      <c r="BM157" s="1268">
        <f t="shared" si="15"/>
        <v>9.2444530813815332E-2</v>
      </c>
      <c r="BN157" s="1268">
        <f t="shared" si="15"/>
        <v>5.1417173272381912E-2</v>
      </c>
      <c r="BO157" s="1268">
        <f t="shared" si="15"/>
        <v>-4.2339294345094224E-2</v>
      </c>
      <c r="BP157" s="1268">
        <f t="shared" si="15"/>
        <v>-5.3339779599103555E-2</v>
      </c>
      <c r="BQ157" s="1268">
        <f t="shared" si="15"/>
        <v>-4.9311254706579113E-2</v>
      </c>
      <c r="BS157" s="1268"/>
      <c r="BT157" s="1268"/>
      <c r="BW157" s="1268">
        <f>BK157</f>
        <v>-5.3180316984597423E-2</v>
      </c>
      <c r="BX157" s="1268">
        <f>BL157</f>
        <v>-5.6637375716166019E-2</v>
      </c>
      <c r="BY157" s="1268">
        <f t="shared" si="3"/>
        <v>9.2444530813815332E-2</v>
      </c>
      <c r="GV157" s="1062"/>
      <c r="GW157" s="1062"/>
      <c r="GX157" s="1062"/>
      <c r="GY157" s="1062"/>
      <c r="HC157" s="105"/>
      <c r="HD157" s="105"/>
      <c r="HE157" s="105"/>
      <c r="HF157" s="105"/>
      <c r="HG157" s="105"/>
      <c r="HH157" s="105"/>
      <c r="IV157"/>
    </row>
    <row r="158" spans="58:256" s="2" customFormat="1">
      <c r="GV158" s="1062"/>
      <c r="GW158" s="1062"/>
      <c r="GX158" s="1062"/>
      <c r="GY158" s="1062"/>
      <c r="HC158" s="105"/>
      <c r="HD158" s="105"/>
      <c r="HE158" s="105"/>
      <c r="HF158" s="105"/>
      <c r="HG158" s="105"/>
      <c r="HH158" s="105"/>
      <c r="IV158"/>
    </row>
    <row r="159" spans="58:256" s="2" customFormat="1">
      <c r="BF159" s="1257" t="s">
        <v>933</v>
      </c>
      <c r="BG159" s="1258">
        <v>2006</v>
      </c>
      <c r="BH159" s="1258">
        <v>2007</v>
      </c>
      <c r="BI159" s="1258">
        <v>2008</v>
      </c>
      <c r="BJ159" s="1258">
        <v>2009</v>
      </c>
      <c r="BK159" s="1258" t="s">
        <v>729</v>
      </c>
      <c r="BL159" s="1258" t="s">
        <v>612</v>
      </c>
      <c r="BM159" s="1258" t="s">
        <v>409</v>
      </c>
      <c r="BN159" s="1258" t="s">
        <v>1510</v>
      </c>
      <c r="BO159" s="1258" t="str">
        <f>$BO$127</f>
        <v>1Q11</v>
      </c>
      <c r="BP159" s="1258" t="s">
        <v>1699</v>
      </c>
      <c r="BQ159" s="1258" t="str">
        <f>BQ127</f>
        <v>3Q11</v>
      </c>
      <c r="BS159" s="1258" t="s">
        <v>216</v>
      </c>
      <c r="BT159" s="1258" t="s">
        <v>574</v>
      </c>
      <c r="BU159" s="1258" t="s">
        <v>575</v>
      </c>
      <c r="BV159" s="1258" t="s">
        <v>1510</v>
      </c>
      <c r="BW159" s="1258" t="str">
        <f>BK159</f>
        <v>1Q10</v>
      </c>
      <c r="BX159" s="1258" t="s">
        <v>612</v>
      </c>
      <c r="BY159" s="1258" t="str">
        <f t="shared" si="3"/>
        <v>3Q10</v>
      </c>
      <c r="GV159" s="1062"/>
      <c r="GW159" s="1062"/>
      <c r="GX159" s="1062"/>
      <c r="GY159" s="1062"/>
      <c r="HC159" s="105"/>
      <c r="HD159" s="105"/>
      <c r="HE159" s="105"/>
      <c r="HF159" s="105"/>
      <c r="HG159" s="105"/>
      <c r="HH159" s="105"/>
      <c r="IV159"/>
    </row>
    <row r="160" spans="58:256" s="2" customFormat="1">
      <c r="BF160" s="1259" t="s">
        <v>730</v>
      </c>
      <c r="BG160" s="1260">
        <v>131.33399999999997</v>
      </c>
      <c r="BH160" s="1260">
        <v>132.75700000000001</v>
      </c>
      <c r="BI160" s="1260">
        <v>116.727</v>
      </c>
      <c r="BJ160" s="1261">
        <v>114.99</v>
      </c>
      <c r="BK160" s="1261">
        <v>29.488</v>
      </c>
      <c r="BL160" s="1261">
        <f>BYD!AI431</f>
        <v>29.3</v>
      </c>
      <c r="BM160" s="1261"/>
      <c r="BN160" s="1261">
        <f>BYD!AK431</f>
        <v>27.368000000000002</v>
      </c>
      <c r="BO160" s="1261">
        <f>BYD!AM431</f>
        <v>29.33</v>
      </c>
      <c r="BP160" s="1261">
        <f>BYD!AN431</f>
        <v>29.566000000000003</v>
      </c>
      <c r="BQ160" s="1261"/>
      <c r="BS160" s="1261">
        <v>28.905000000000001</v>
      </c>
      <c r="BT160" s="1261">
        <f>BYD!AD431</f>
        <v>30.4</v>
      </c>
      <c r="BU160" s="1261">
        <f>BYD!AE431</f>
        <v>29.1</v>
      </c>
      <c r="BV160" s="1261">
        <f>BYD!AF431</f>
        <v>26.6</v>
      </c>
      <c r="BW160" s="1261">
        <f>BK160</f>
        <v>29.488</v>
      </c>
      <c r="BX160" s="1261">
        <f>BL160</f>
        <v>29.3</v>
      </c>
      <c r="BY160" s="1261">
        <f t="shared" si="3"/>
        <v>0</v>
      </c>
      <c r="GV160" s="1062"/>
      <c r="GW160" s="1062"/>
      <c r="GX160" s="1062"/>
      <c r="GY160" s="1062"/>
      <c r="HC160" s="105"/>
      <c r="HD160" s="105"/>
      <c r="HE160" s="105"/>
      <c r="HF160" s="105"/>
      <c r="HG160" s="105"/>
      <c r="HH160" s="105"/>
      <c r="IV160"/>
    </row>
    <row r="161" spans="58:256" s="2" customFormat="1">
      <c r="BF161" s="1259" t="s">
        <v>1350</v>
      </c>
      <c r="BG161" s="1262">
        <v>1370.1789999999999</v>
      </c>
      <c r="BH161" s="1262">
        <v>1372.876</v>
      </c>
      <c r="BI161" s="1262">
        <v>1362.6290000000001</v>
      </c>
      <c r="BJ161" s="1263">
        <v>1335.3540000000003</v>
      </c>
      <c r="BK161" s="1264">
        <v>330.64300000000003</v>
      </c>
      <c r="BL161" s="1306">
        <v>332.8</v>
      </c>
      <c r="BM161" s="1306"/>
      <c r="BN161" s="1306">
        <v>295.72199999999998</v>
      </c>
      <c r="BO161" s="1306">
        <v>304.65699999999998</v>
      </c>
      <c r="BP161" s="1436">
        <v>305.08100000000002</v>
      </c>
      <c r="BQ161" s="1436"/>
      <c r="BS161" s="1265">
        <v>323.613</v>
      </c>
      <c r="BT161" s="1307">
        <v>348.3</v>
      </c>
      <c r="BU161" s="116">
        <v>353.113</v>
      </c>
      <c r="BV161" s="116">
        <v>310.36099999999999</v>
      </c>
      <c r="BW161" s="1264">
        <f>BK161</f>
        <v>330.64300000000003</v>
      </c>
      <c r="BX161" s="1306">
        <v>332.8</v>
      </c>
      <c r="BY161" s="1306">
        <f t="shared" si="3"/>
        <v>0</v>
      </c>
      <c r="GV161" s="1062"/>
      <c r="GW161" s="1062"/>
      <c r="GX161" s="1062"/>
      <c r="GY161" s="1062"/>
      <c r="HC161" s="105"/>
      <c r="HD161" s="105"/>
      <c r="HE161" s="105"/>
      <c r="HF161" s="105"/>
      <c r="HG161" s="105"/>
      <c r="HH161" s="105"/>
      <c r="IV161"/>
    </row>
    <row r="162" spans="58:256" s="2" customFormat="1">
      <c r="BF162" s="1259" t="s">
        <v>85</v>
      </c>
      <c r="BG162" s="1266">
        <f t="shared" ref="BG162:BP162" si="16">(BG160*1000)/BG161</f>
        <v>95.85170988608057</v>
      </c>
      <c r="BH162" s="1266">
        <f t="shared" si="16"/>
        <v>96.699920458948952</v>
      </c>
      <c r="BI162" s="1266">
        <f t="shared" si="16"/>
        <v>85.66308217423817</v>
      </c>
      <c r="BJ162" s="1266">
        <f t="shared" si="16"/>
        <v>86.111997268140115</v>
      </c>
      <c r="BK162" s="1266">
        <f t="shared" si="16"/>
        <v>89.183802469733209</v>
      </c>
      <c r="BL162" s="1266">
        <f t="shared" si="16"/>
        <v>88.040865384615387</v>
      </c>
      <c r="BM162" s="1266"/>
      <c r="BN162" s="1266">
        <f t="shared" si="16"/>
        <v>92.546378017191842</v>
      </c>
      <c r="BO162" s="1266">
        <f t="shared" si="16"/>
        <v>96.272201196755702</v>
      </c>
      <c r="BP162" s="1266">
        <f t="shared" si="16"/>
        <v>96.911967641380485</v>
      </c>
      <c r="BQ162" s="1266"/>
      <c r="BS162" s="1266">
        <f>(BS160*1000)/BS161</f>
        <v>89.319650323071073</v>
      </c>
      <c r="BT162" s="1266">
        <f>(BT160*1000)/BT161</f>
        <v>87.281079529141536</v>
      </c>
      <c r="BU162" s="1266">
        <f>(BU160*1000)/BU161</f>
        <v>82.40988012335994</v>
      </c>
      <c r="BV162" s="1266">
        <f>(BV160*1000)/BV161</f>
        <v>85.706644842618758</v>
      </c>
      <c r="BW162" s="1266">
        <f>BK162</f>
        <v>89.183802469733209</v>
      </c>
      <c r="BX162" s="1266">
        <f>(BX160*1000)/BX161</f>
        <v>88.040865384615387</v>
      </c>
      <c r="BY162" s="1266">
        <f t="shared" si="3"/>
        <v>0</v>
      </c>
      <c r="GV162" s="1062"/>
      <c r="GW162" s="1062"/>
      <c r="GX162" s="1062"/>
      <c r="GY162" s="1062"/>
      <c r="HC162" s="105"/>
      <c r="HD162" s="105"/>
      <c r="HE162" s="105"/>
      <c r="HF162" s="105"/>
      <c r="HG162" s="105"/>
      <c r="HH162" s="105"/>
      <c r="IV162"/>
    </row>
    <row r="163" spans="58:256" s="2" customFormat="1">
      <c r="BF163" s="1259"/>
      <c r="BG163" s="1269"/>
      <c r="BH163" s="1259"/>
      <c r="BI163" s="1259"/>
      <c r="BJ163" s="1259"/>
      <c r="BK163" s="1259"/>
      <c r="BL163" s="1259"/>
      <c r="BM163" s="1259"/>
      <c r="BN163" s="1259"/>
      <c r="BO163" s="1259"/>
      <c r="BP163" s="1259"/>
      <c r="BQ163" s="1259"/>
      <c r="BS163" s="1259"/>
      <c r="BT163" s="1259"/>
      <c r="BW163" s="1259"/>
      <c r="BX163" s="1259"/>
      <c r="BY163" s="1259"/>
      <c r="GV163" s="1062"/>
      <c r="GW163" s="1062"/>
      <c r="GX163" s="1062"/>
      <c r="GY163" s="1062"/>
      <c r="HC163" s="105"/>
      <c r="HD163" s="105"/>
      <c r="HE163" s="105"/>
      <c r="HF163" s="105"/>
      <c r="HG163" s="105"/>
      <c r="HH163" s="105"/>
      <c r="IV163"/>
    </row>
    <row r="164" spans="58:256" s="2" customFormat="1">
      <c r="BF164" s="1259" t="s">
        <v>730</v>
      </c>
      <c r="BG164" s="1269"/>
      <c r="BH164" s="1268">
        <f t="shared" ref="BH164:BJ165" si="17">(BH160-BG160)/BG160</f>
        <v>1.0834970380861243E-2</v>
      </c>
      <c r="BI164" s="1268">
        <f t="shared" si="17"/>
        <v>-0.12074692859886861</v>
      </c>
      <c r="BJ164" s="1268">
        <f t="shared" si="17"/>
        <v>-1.4880875889897015E-2</v>
      </c>
      <c r="BK164" s="1268">
        <f t="shared" ref="BK164:BP165" si="18">(BK160-BS160)/BS160</f>
        <v>2.0169520844144556E-2</v>
      </c>
      <c r="BL164" s="1268">
        <f t="shared" si="18"/>
        <v>-3.6184210526315722E-2</v>
      </c>
      <c r="BM164" s="1268">
        <f t="shared" si="18"/>
        <v>-1</v>
      </c>
      <c r="BN164" s="1268">
        <f t="shared" si="18"/>
        <v>2.8872180451127844E-2</v>
      </c>
      <c r="BO164" s="1268">
        <f t="shared" si="18"/>
        <v>-5.3581117742811058E-3</v>
      </c>
      <c r="BP164" s="1268">
        <f t="shared" si="18"/>
        <v>9.0784982935154194E-3</v>
      </c>
      <c r="BQ164" s="1268"/>
      <c r="BS164" s="1268"/>
      <c r="BT164" s="1268"/>
      <c r="BW164" s="1268">
        <f>BK164</f>
        <v>2.0169520844144556E-2</v>
      </c>
      <c r="BX164" s="1268">
        <f>BL164</f>
        <v>-3.6184210526315722E-2</v>
      </c>
      <c r="BY164" s="1268"/>
      <c r="GV164" s="1062"/>
      <c r="GW164" s="1062"/>
      <c r="GX164" s="1062"/>
      <c r="GY164" s="1062"/>
      <c r="HC164" s="105"/>
      <c r="HD164" s="105"/>
      <c r="HE164" s="105"/>
      <c r="HF164" s="105"/>
      <c r="HG164" s="105"/>
      <c r="HH164" s="105"/>
      <c r="IV164"/>
    </row>
    <row r="165" spans="58:256" s="2" customFormat="1">
      <c r="BF165" s="1259" t="s">
        <v>1350</v>
      </c>
      <c r="BG165" s="1269"/>
      <c r="BH165" s="1268">
        <f t="shared" si="17"/>
        <v>1.9683559593309465E-3</v>
      </c>
      <c r="BI165" s="1268">
        <f t="shared" si="17"/>
        <v>-7.4638933159293652E-3</v>
      </c>
      <c r="BJ165" s="1268">
        <f t="shared" si="17"/>
        <v>-2.0016453488073321E-2</v>
      </c>
      <c r="BK165" s="1268">
        <f t="shared" si="18"/>
        <v>2.1723478352229451E-2</v>
      </c>
      <c r="BL165" s="1268">
        <f t="shared" si="18"/>
        <v>-4.4501866207292559E-2</v>
      </c>
      <c r="BM165" s="1268">
        <f t="shared" si="18"/>
        <v>-1</v>
      </c>
      <c r="BN165" s="1268">
        <f t="shared" si="18"/>
        <v>-4.7167653152296873E-2</v>
      </c>
      <c r="BO165" s="1268">
        <f t="shared" si="18"/>
        <v>-7.8592318603448563E-2</v>
      </c>
      <c r="BP165" s="1268">
        <f t="shared" si="18"/>
        <v>-8.3290264423076896E-2</v>
      </c>
      <c r="BQ165" s="1268"/>
      <c r="BS165" s="1268"/>
      <c r="BT165" s="1268"/>
      <c r="BW165" s="1268">
        <f>BK165</f>
        <v>2.1723478352229451E-2</v>
      </c>
      <c r="BX165" s="1268">
        <f>BL165</f>
        <v>-4.4501866207292559E-2</v>
      </c>
      <c r="BY165" s="1268"/>
      <c r="GV165" s="1062"/>
      <c r="GW165" s="1062"/>
      <c r="GX165" s="1062"/>
      <c r="GY165" s="1062"/>
      <c r="HC165" s="105"/>
      <c r="HD165" s="105"/>
      <c r="HE165" s="105"/>
      <c r="HF165" s="105"/>
      <c r="HG165" s="105"/>
      <c r="HH165" s="105"/>
      <c r="IV165"/>
    </row>
    <row r="166" spans="58:256" s="2" customFormat="1">
      <c r="GV166" s="1062"/>
      <c r="GW166" s="1062"/>
      <c r="GX166" s="1062"/>
      <c r="GY166" s="1062"/>
      <c r="HC166" s="105"/>
      <c r="HD166" s="105"/>
      <c r="HE166" s="105"/>
      <c r="HF166" s="105"/>
      <c r="HG166" s="105"/>
      <c r="HH166" s="105"/>
      <c r="IV166"/>
    </row>
    <row r="167" spans="58:256" s="2" customFormat="1">
      <c r="GV167" s="1062"/>
      <c r="GW167" s="1062"/>
      <c r="GX167" s="1062"/>
      <c r="GY167" s="1062"/>
      <c r="HC167" s="105"/>
      <c r="HD167" s="105"/>
      <c r="HE167" s="105"/>
      <c r="HF167" s="105"/>
      <c r="HG167" s="105"/>
      <c r="HH167" s="105"/>
      <c r="IV167"/>
    </row>
    <row r="168" spans="58:256" s="2" customFormat="1">
      <c r="BF168" s="1257" t="s">
        <v>187</v>
      </c>
      <c r="BG168" s="1258">
        <v>2006</v>
      </c>
      <c r="BH168" s="1258">
        <v>2007</v>
      </c>
      <c r="BI168" s="1258">
        <v>2008</v>
      </c>
      <c r="BJ168" s="1258">
        <v>2009</v>
      </c>
      <c r="BK168" s="1258" t="s">
        <v>729</v>
      </c>
      <c r="BL168" s="1258" t="s">
        <v>612</v>
      </c>
      <c r="BM168" s="1258" t="s">
        <v>409</v>
      </c>
      <c r="BN168" s="1258" t="s">
        <v>1510</v>
      </c>
      <c r="BO168" s="1258" t="str">
        <f>$BO$127</f>
        <v>1Q11</v>
      </c>
      <c r="BP168" s="1258" t="s">
        <v>1699</v>
      </c>
      <c r="BQ168" s="1258" t="str">
        <f>BQ127</f>
        <v>3Q11</v>
      </c>
      <c r="BS168" s="1258" t="s">
        <v>216</v>
      </c>
      <c r="BT168" s="1258" t="s">
        <v>574</v>
      </c>
      <c r="BU168" s="1258" t="s">
        <v>575</v>
      </c>
      <c r="BV168" s="1258" t="s">
        <v>1510</v>
      </c>
      <c r="BW168" s="1258" t="str">
        <f>BK168</f>
        <v>1Q10</v>
      </c>
      <c r="BX168" s="1258" t="s">
        <v>612</v>
      </c>
      <c r="BY168" s="1258" t="str">
        <f t="shared" si="3"/>
        <v>3Q10</v>
      </c>
      <c r="GV168" s="1062"/>
      <c r="GW168" s="1062"/>
      <c r="GX168" s="1062"/>
      <c r="GY168" s="1062"/>
      <c r="HC168" s="105"/>
      <c r="HD168" s="105"/>
      <c r="HE168" s="105"/>
      <c r="HF168" s="105"/>
      <c r="HG168" s="105"/>
      <c r="HH168" s="105"/>
      <c r="IV168"/>
    </row>
    <row r="169" spans="58:256" s="2" customFormat="1">
      <c r="BF169" s="1259" t="s">
        <v>730</v>
      </c>
      <c r="BG169" s="1260">
        <f t="shared" ref="BG169:BK170" si="19">BG160+BG152+BG144+BG136+BG128</f>
        <v>861.78661799999986</v>
      </c>
      <c r="BH169" s="1260">
        <f t="shared" si="19"/>
        <v>798.09149000000002</v>
      </c>
      <c r="BI169" s="1260">
        <f t="shared" si="19"/>
        <v>707.54887283000005</v>
      </c>
      <c r="BJ169" s="1260">
        <f t="shared" si="19"/>
        <v>711.15596765999999</v>
      </c>
      <c r="BK169" s="1260">
        <f t="shared" si="19"/>
        <v>173.44817731999999</v>
      </c>
      <c r="BL169" s="1260">
        <f t="shared" ref="BL169:BQ170" si="20">BL160+BL152+BL144+BL136+BL128</f>
        <v>173.20000000000002</v>
      </c>
      <c r="BM169" s="1260">
        <f>BM160+BM152+BM144+BM136+BM128</f>
        <v>150.55139700000001</v>
      </c>
      <c r="BN169" s="1260">
        <f t="shared" si="20"/>
        <v>163.97064664000001</v>
      </c>
      <c r="BO169" s="1260">
        <f t="shared" si="20"/>
        <v>171.31619470000001</v>
      </c>
      <c r="BP169" s="1260">
        <f t="shared" si="20"/>
        <v>175.89468866000001</v>
      </c>
      <c r="BQ169" s="1260">
        <f t="shared" si="20"/>
        <v>148.58090432999998</v>
      </c>
      <c r="BS169" s="1260">
        <f t="shared" ref="BS169:BU170" si="21">BS160+BS152+BS144+BS136+BS128</f>
        <v>187.60120319000001</v>
      </c>
      <c r="BT169" s="1260">
        <f t="shared" si="21"/>
        <v>185.7</v>
      </c>
      <c r="BU169" s="1260">
        <f t="shared" si="21"/>
        <v>177.5</v>
      </c>
      <c r="BV169" s="1260">
        <f>BV160+BV152+BV144+BV136+BV128</f>
        <v>160.29999999999998</v>
      </c>
      <c r="BW169" s="1260">
        <f>BK169</f>
        <v>173.44817731999999</v>
      </c>
      <c r="BX169" s="1260">
        <f>BX160+BX152+BX144+BX136+BX128</f>
        <v>173.20000000000002</v>
      </c>
      <c r="BY169" s="1260">
        <f t="shared" si="3"/>
        <v>150.55139700000001</v>
      </c>
      <c r="GV169" s="1062"/>
      <c r="GW169" s="1062"/>
      <c r="GX169" s="1062"/>
      <c r="GY169" s="1062"/>
      <c r="HC169" s="105"/>
      <c r="HD169" s="105"/>
      <c r="HE169" s="105"/>
      <c r="HF169" s="105"/>
      <c r="HG169" s="105"/>
      <c r="HH169" s="105"/>
      <c r="IV169"/>
    </row>
    <row r="170" spans="58:256" s="2" customFormat="1">
      <c r="BF170" s="1259" t="s">
        <v>1350</v>
      </c>
      <c r="BG170" s="1262">
        <f t="shared" si="19"/>
        <v>10188.319</v>
      </c>
      <c r="BH170" s="1262">
        <f t="shared" si="19"/>
        <v>9063.2000000000007</v>
      </c>
      <c r="BI170" s="1262">
        <f t="shared" si="19"/>
        <v>8026.4299999999985</v>
      </c>
      <c r="BJ170" s="1262">
        <f t="shared" si="19"/>
        <v>8853.5480000000007</v>
      </c>
      <c r="BK170" s="1262">
        <f t="shared" si="19"/>
        <v>2185.4349999999999</v>
      </c>
      <c r="BL170" s="1262">
        <f t="shared" si="20"/>
        <v>2237.9650000000001</v>
      </c>
      <c r="BM170" s="1262">
        <f>BM161+BM153+BM145+BM137+BM129-BM161</f>
        <v>2051.7779999999998</v>
      </c>
      <c r="BN170" s="1262">
        <f t="shared" si="20"/>
        <v>2085.7750000000001</v>
      </c>
      <c r="BO170" s="1262">
        <f>BO161+BO153+BO145+BO137+BO129</f>
        <v>2129.9170000000004</v>
      </c>
      <c r="BP170" s="1263">
        <f>BP161+BP153+BP145+BP137+BP129</f>
        <v>2181.9280000000003</v>
      </c>
      <c r="BQ170" s="1263">
        <f>BQ161+BQ153+BQ145+BQ137+BQ129</f>
        <v>1983.5909999999999</v>
      </c>
      <c r="BS170" s="1262">
        <f t="shared" si="21"/>
        <v>2253.3420000000001</v>
      </c>
      <c r="BT170" s="1262">
        <f t="shared" si="21"/>
        <v>2303.52</v>
      </c>
      <c r="BU170" s="1262">
        <f t="shared" si="21"/>
        <v>2283.2289999999998</v>
      </c>
      <c r="BV170" s="1262">
        <f>BV161+BV153+BV145+BV137+BV129</f>
        <v>2013.49</v>
      </c>
      <c r="BW170" s="1262">
        <f>BK170</f>
        <v>2185.4349999999999</v>
      </c>
      <c r="BX170" s="1262">
        <f>BX161+BX153+BX145+BX137+BX129</f>
        <v>2237.9650000000001</v>
      </c>
      <c r="BY170" s="1262">
        <f>BM170</f>
        <v>2051.7779999999998</v>
      </c>
      <c r="GV170" s="1062"/>
      <c r="GW170" s="1062"/>
      <c r="GX170" s="1062"/>
      <c r="GY170" s="1062"/>
      <c r="HC170" s="105"/>
      <c r="HD170" s="105"/>
      <c r="HE170" s="105"/>
      <c r="HF170" s="105"/>
      <c r="HG170" s="105"/>
      <c r="HH170" s="105"/>
      <c r="IV170"/>
    </row>
    <row r="171" spans="58:256" s="2" customFormat="1">
      <c r="BF171" s="1259" t="s">
        <v>85</v>
      </c>
      <c r="BG171" s="1266">
        <f t="shared" ref="BG171:BP171" si="22">(BG169*1000)/BG170</f>
        <v>84.58575138842825</v>
      </c>
      <c r="BH171" s="1266">
        <f t="shared" si="22"/>
        <v>88.058466104687085</v>
      </c>
      <c r="BI171" s="1266">
        <f t="shared" si="22"/>
        <v>88.152375692555736</v>
      </c>
      <c r="BJ171" s="1266">
        <f t="shared" si="22"/>
        <v>80.324404143965779</v>
      </c>
      <c r="BK171" s="1266">
        <f t="shared" si="22"/>
        <v>79.365516393761425</v>
      </c>
      <c r="BL171" s="1266">
        <f t="shared" si="22"/>
        <v>77.391737583027449</v>
      </c>
      <c r="BM171" s="1266">
        <f>(BM169*1000)/BM170</f>
        <v>73.376065539254256</v>
      </c>
      <c r="BN171" s="1266">
        <f t="shared" si="22"/>
        <v>78.613775042849781</v>
      </c>
      <c r="BO171" s="1266">
        <f t="shared" si="22"/>
        <v>80.433272611092349</v>
      </c>
      <c r="BP171" s="1266">
        <f t="shared" si="22"/>
        <v>80.614341380650501</v>
      </c>
      <c r="BQ171" s="1266">
        <f>(BQ169*1000)/BQ170</f>
        <v>74.905010322188389</v>
      </c>
      <c r="BS171" s="1266">
        <f>(BS169*1000)/BS170</f>
        <v>83.254651619683116</v>
      </c>
      <c r="BT171" s="1266">
        <f>(BT169*1000)/BT170</f>
        <v>80.615753281933735</v>
      </c>
      <c r="BU171" s="1266">
        <f>(BU169*1000)/BU170</f>
        <v>77.740778520244803</v>
      </c>
      <c r="BV171" s="1266">
        <f>(BV169*1000)/BV170</f>
        <v>79.613010245891445</v>
      </c>
      <c r="BW171" s="1266">
        <f>BK171</f>
        <v>79.365516393761425</v>
      </c>
      <c r="BX171" s="1266">
        <f>(BX169*1000)/BX170</f>
        <v>77.391737583027449</v>
      </c>
      <c r="BY171" s="1266">
        <f t="shared" si="3"/>
        <v>73.376065539254256</v>
      </c>
      <c r="GV171" s="1062"/>
      <c r="GW171" s="1062"/>
      <c r="GX171" s="1062"/>
      <c r="GY171" s="1062"/>
      <c r="HC171" s="105"/>
      <c r="HD171" s="105"/>
      <c r="HE171" s="105"/>
      <c r="HF171" s="105"/>
      <c r="HG171" s="105"/>
      <c r="HH171" s="105"/>
      <c r="IV171"/>
    </row>
    <row r="172" spans="58:256" s="2" customFormat="1">
      <c r="BF172" s="1259"/>
      <c r="BG172" s="1269"/>
      <c r="BH172" s="1259"/>
      <c r="BI172" s="1259"/>
      <c r="BJ172" s="1259"/>
      <c r="BK172" s="1259"/>
      <c r="BL172" s="1259"/>
      <c r="BM172" s="1259"/>
      <c r="BN172" s="1259"/>
      <c r="BO172" s="1259"/>
      <c r="BP172" s="1259"/>
      <c r="BQ172" s="1259"/>
      <c r="BW172" s="1259"/>
      <c r="BX172" s="1259"/>
      <c r="BY172" s="1259"/>
      <c r="GV172" s="1062"/>
      <c r="GW172" s="1062"/>
      <c r="GX172" s="1062"/>
      <c r="GY172" s="1062"/>
      <c r="HC172" s="105"/>
      <c r="HD172" s="105"/>
      <c r="HE172" s="105"/>
      <c r="HF172" s="105"/>
      <c r="HG172" s="105"/>
      <c r="HH172" s="105"/>
      <c r="IV172"/>
    </row>
    <row r="173" spans="58:256" s="2" customFormat="1">
      <c r="BF173" s="1259" t="s">
        <v>730</v>
      </c>
      <c r="BG173" s="1269"/>
      <c r="BH173" s="1268">
        <f t="shared" ref="BH173:BJ174" si="23">(BH169-BG169)/BG169</f>
        <v>-7.3910555895867772E-2</v>
      </c>
      <c r="BI173" s="1268">
        <f t="shared" si="23"/>
        <v>-0.11344891945909606</v>
      </c>
      <c r="BJ173" s="1268">
        <f t="shared" si="23"/>
        <v>5.0980150891521518E-3</v>
      </c>
      <c r="BK173" s="1268">
        <f t="shared" ref="BK173:BQ174" si="24">(BK169-BS169)/BS169</f>
        <v>-7.5442084748603797E-2</v>
      </c>
      <c r="BL173" s="1268">
        <f t="shared" si="24"/>
        <v>-6.7312870220786067E-2</v>
      </c>
      <c r="BM173" s="1268">
        <f t="shared" si="24"/>
        <v>-0.15182311549295771</v>
      </c>
      <c r="BN173" s="1268">
        <f t="shared" si="24"/>
        <v>2.2898606612601558E-2</v>
      </c>
      <c r="BO173" s="1268">
        <f t="shared" si="24"/>
        <v>-1.2291755687156125E-2</v>
      </c>
      <c r="BP173" s="1268">
        <f t="shared" si="24"/>
        <v>1.5558248614318688E-2</v>
      </c>
      <c r="BQ173" s="1268">
        <f t="shared" si="24"/>
        <v>-1.3088504718425343E-2</v>
      </c>
      <c r="BW173" s="1268">
        <f>BK173</f>
        <v>-7.5442084748603797E-2</v>
      </c>
      <c r="BX173" s="1268">
        <f>BL173</f>
        <v>-6.7312870220786067E-2</v>
      </c>
      <c r="BY173" s="1268">
        <f t="shared" si="3"/>
        <v>-0.15182311549295771</v>
      </c>
      <c r="GV173" s="1062"/>
      <c r="GW173" s="1062"/>
      <c r="GX173" s="1062"/>
      <c r="GY173" s="1062"/>
      <c r="HC173" s="105"/>
      <c r="HD173" s="105"/>
      <c r="HE173" s="105"/>
      <c r="HF173" s="105"/>
      <c r="HG173" s="105"/>
      <c r="HH173" s="105"/>
      <c r="IV173"/>
    </row>
    <row r="174" spans="58:256" s="2" customFormat="1">
      <c r="BF174" s="1259" t="s">
        <v>1350</v>
      </c>
      <c r="BG174" s="1269"/>
      <c r="BH174" s="1268">
        <f>(BH170-BG170)/BG170</f>
        <v>-0.11043225089438197</v>
      </c>
      <c r="BI174" s="1268">
        <f t="shared" si="23"/>
        <v>-0.11439337099479237</v>
      </c>
      <c r="BJ174" s="1268">
        <f t="shared" si="23"/>
        <v>0.10304930087224362</v>
      </c>
      <c r="BK174" s="1268">
        <f t="shared" si="24"/>
        <v>-3.0136126695370764E-2</v>
      </c>
      <c r="BL174" s="1268">
        <f t="shared" si="24"/>
        <v>-2.845861985135785E-2</v>
      </c>
      <c r="BM174" s="1268">
        <f t="shared" si="24"/>
        <v>-0.10137003340444609</v>
      </c>
      <c r="BN174" s="1268">
        <f t="shared" si="24"/>
        <v>3.5900352124917476E-2</v>
      </c>
      <c r="BO174" s="1268">
        <f t="shared" si="24"/>
        <v>-2.5403638177296316E-2</v>
      </c>
      <c r="BP174" s="1268">
        <f t="shared" si="24"/>
        <v>-2.5039265582794998E-2</v>
      </c>
      <c r="BQ174" s="1268">
        <f>(BQ170-BY170)/BY170</f>
        <v>-3.323312756058399E-2</v>
      </c>
      <c r="BW174" s="1268">
        <f>BK174</f>
        <v>-3.0136126695370764E-2</v>
      </c>
      <c r="BX174" s="1268">
        <f>BL174</f>
        <v>-2.845861985135785E-2</v>
      </c>
      <c r="BY174" s="1268">
        <f t="shared" si="3"/>
        <v>-0.10137003340444609</v>
      </c>
      <c r="GV174" s="1062"/>
      <c r="GW174" s="1062"/>
      <c r="GX174" s="1062"/>
      <c r="GY174" s="1062"/>
      <c r="HC174" s="105"/>
      <c r="HD174" s="105"/>
      <c r="HE174" s="105"/>
      <c r="HF174" s="105"/>
      <c r="HG174" s="105"/>
      <c r="HH174" s="105"/>
      <c r="IV174"/>
    </row>
    <row r="175" spans="58:256" s="2" customFormat="1">
      <c r="BF175" s="1259" t="s">
        <v>1084</v>
      </c>
      <c r="BG175" s="1269"/>
      <c r="BH175" s="1268">
        <f>(BH171-BG171)/BG171</f>
        <v>4.1055552019768661E-2</v>
      </c>
      <c r="BI175" s="1268">
        <f>(BI171-BH171)/BH171</f>
        <v>1.0664458742332447E-3</v>
      </c>
      <c r="BJ175" s="1268">
        <f>(BJ171-BI171)/BI171</f>
        <v>-8.8800460419707225E-2</v>
      </c>
      <c r="BK175" s="1268">
        <f t="shared" ref="BK175:BP175" si="25">(BK171-BS171)/BS171</f>
        <v>-4.6713728905956049E-2</v>
      </c>
      <c r="BL175" s="1268">
        <f t="shared" si="25"/>
        <v>-3.9992378259260129E-2</v>
      </c>
      <c r="BM175" s="1268">
        <f t="shared" si="25"/>
        <v>-5.6144446506332754E-2</v>
      </c>
      <c r="BN175" s="1268">
        <f t="shared" si="25"/>
        <v>-1.2551154641125144E-2</v>
      </c>
      <c r="BO175" s="1268">
        <f t="shared" si="25"/>
        <v>1.3453654254996516E-2</v>
      </c>
      <c r="BP175" s="1268">
        <f t="shared" si="25"/>
        <v>4.1640153048195565E-2</v>
      </c>
      <c r="BQ175" s="1268">
        <f>(BQ171-BY171)/BY171</f>
        <v>2.0837105010981922E-2</v>
      </c>
      <c r="BW175" s="1268"/>
      <c r="BX175" s="1268"/>
      <c r="BY175" s="1268"/>
      <c r="GV175" s="1062"/>
      <c r="GW175" s="1062"/>
      <c r="GX175" s="1062"/>
      <c r="GY175" s="1062"/>
      <c r="HC175" s="105"/>
      <c r="HD175" s="105"/>
      <c r="HE175" s="105"/>
      <c r="HF175" s="105"/>
      <c r="HG175" s="105"/>
      <c r="HH175" s="105"/>
      <c r="IV175"/>
    </row>
    <row r="176" spans="58:256" s="2" customFormat="1">
      <c r="GV176" s="1062"/>
      <c r="GW176" s="1062"/>
      <c r="GX176" s="1062"/>
      <c r="GY176" s="1062"/>
      <c r="HC176" s="105"/>
      <c r="HD176" s="105"/>
      <c r="HE176" s="105"/>
      <c r="HF176" s="105"/>
      <c r="HG176" s="105"/>
      <c r="HH176" s="105"/>
      <c r="IV176"/>
    </row>
    <row r="177" spans="67:256" s="2" customFormat="1">
      <c r="BO177" s="1336">
        <f>+BO171/BK171-1</f>
        <v>1.3453654254996561E-2</v>
      </c>
      <c r="BP177" s="1336"/>
      <c r="BQ177" s="1336"/>
      <c r="GV177" s="1062"/>
      <c r="GW177" s="1062"/>
      <c r="GX177" s="1062"/>
      <c r="GY177" s="1062"/>
      <c r="HC177" s="105"/>
      <c r="HD177" s="105"/>
      <c r="HE177" s="105"/>
      <c r="HF177" s="105"/>
      <c r="HG177" s="105"/>
      <c r="HH177" s="105"/>
      <c r="IV177"/>
    </row>
    <row r="178" spans="67:256" s="2" customFormat="1">
      <c r="GV178" s="1062"/>
      <c r="GW178" s="1062"/>
      <c r="GX178" s="1062"/>
      <c r="GY178" s="1062"/>
      <c r="HC178" s="105"/>
      <c r="HD178" s="105"/>
      <c r="HE178" s="105"/>
      <c r="HF178" s="105"/>
      <c r="HG178" s="105"/>
      <c r="HH178" s="105"/>
      <c r="IV178"/>
    </row>
    <row r="179" spans="67:256" s="2" customFormat="1">
      <c r="GV179" s="1062"/>
      <c r="GW179" s="1062"/>
      <c r="GX179" s="1062"/>
      <c r="GY179" s="1062"/>
      <c r="HC179" s="105"/>
      <c r="HD179" s="105"/>
      <c r="HE179" s="105"/>
      <c r="HF179" s="105"/>
      <c r="HG179" s="105"/>
      <c r="HH179" s="105"/>
      <c r="IV179"/>
    </row>
    <row r="180" spans="67:256" s="2" customFormat="1">
      <c r="GV180" s="1062"/>
      <c r="GW180" s="1062"/>
      <c r="GX180" s="1062"/>
      <c r="GY180" s="1062"/>
      <c r="HC180" s="105"/>
      <c r="HD180" s="105"/>
      <c r="HE180" s="105"/>
      <c r="HF180" s="105"/>
      <c r="HG180" s="105"/>
      <c r="HH180" s="105"/>
      <c r="IV180"/>
    </row>
    <row r="181" spans="67:256" s="2" customFormat="1">
      <c r="GV181" s="1062"/>
      <c r="GW181" s="1062"/>
      <c r="GX181" s="1062"/>
      <c r="GY181" s="1062"/>
      <c r="HC181" s="105"/>
      <c r="HD181" s="105"/>
      <c r="HE181" s="105"/>
      <c r="HF181" s="105"/>
      <c r="HG181" s="105"/>
      <c r="HH181" s="105"/>
      <c r="IV181"/>
    </row>
    <row r="182" spans="67:256" s="2" customFormat="1">
      <c r="GV182" s="1062"/>
      <c r="GW182" s="1062"/>
      <c r="GX182" s="1062"/>
      <c r="GY182" s="1062"/>
      <c r="HC182" s="105"/>
      <c r="HD182" s="105"/>
      <c r="HE182" s="105"/>
      <c r="HF182" s="105"/>
      <c r="HG182" s="105"/>
      <c r="HH182" s="105"/>
      <c r="IV182"/>
    </row>
    <row r="183" spans="67:256" s="2" customFormat="1">
      <c r="GV183" s="1062"/>
      <c r="GW183" s="1062"/>
      <c r="GX183" s="1062"/>
      <c r="GY183" s="1062"/>
      <c r="HC183" s="105"/>
      <c r="HD183" s="105"/>
      <c r="HE183" s="105"/>
      <c r="HF183" s="105"/>
      <c r="HG183" s="105"/>
      <c r="HH183" s="105"/>
      <c r="IV183"/>
    </row>
    <row r="184" spans="67:256" s="2" customFormat="1">
      <c r="GV184" s="1062"/>
      <c r="GW184" s="1062"/>
      <c r="GX184" s="1062"/>
      <c r="GY184" s="1062"/>
      <c r="HC184" s="105"/>
      <c r="HD184" s="105"/>
      <c r="HE184" s="105"/>
      <c r="HF184" s="105"/>
      <c r="HG184" s="105"/>
      <c r="HH184" s="105"/>
      <c r="IV184"/>
    </row>
    <row r="185" spans="67:256" s="2" customFormat="1">
      <c r="GV185" s="1062"/>
      <c r="GW185" s="1062"/>
      <c r="GX185" s="1062"/>
      <c r="GY185" s="1062"/>
      <c r="HC185" s="105"/>
      <c r="HD185" s="105"/>
      <c r="HE185" s="105"/>
      <c r="HF185" s="105"/>
      <c r="HG185" s="105"/>
      <c r="HH185" s="105"/>
      <c r="IV185"/>
    </row>
    <row r="186" spans="67:256" s="2" customFormat="1">
      <c r="GV186" s="1062"/>
      <c r="GW186" s="1062"/>
      <c r="GX186" s="1062"/>
      <c r="GY186" s="1062"/>
      <c r="HC186" s="105"/>
      <c r="HD186" s="105"/>
      <c r="HE186" s="105"/>
      <c r="HF186" s="105"/>
      <c r="HG186" s="105"/>
      <c r="HH186" s="105"/>
      <c r="IV186"/>
    </row>
    <row r="187" spans="67:256" s="2" customFormat="1">
      <c r="GV187" s="1062"/>
      <c r="GW187" s="1062"/>
      <c r="GX187" s="1062"/>
      <c r="GY187" s="1062"/>
      <c r="HC187" s="105"/>
      <c r="HD187" s="105"/>
      <c r="HE187" s="105"/>
      <c r="HF187" s="105"/>
      <c r="HG187" s="105"/>
      <c r="HH187" s="105"/>
      <c r="IV187"/>
    </row>
    <row r="188" spans="67:256" s="2" customFormat="1">
      <c r="GV188" s="1062"/>
      <c r="GW188" s="1062"/>
      <c r="GX188" s="1062"/>
      <c r="GY188" s="1062"/>
      <c r="HC188" s="105"/>
      <c r="HD188" s="105"/>
      <c r="HE188" s="105"/>
      <c r="HF188" s="105"/>
      <c r="HG188" s="105"/>
      <c r="HH188" s="105"/>
      <c r="IV188"/>
    </row>
    <row r="189" spans="67:256" s="2" customFormat="1">
      <c r="GV189" s="1062"/>
      <c r="GW189" s="1062"/>
      <c r="GX189" s="1062"/>
      <c r="GY189" s="1062"/>
      <c r="HC189" s="105"/>
      <c r="HD189" s="105"/>
      <c r="HE189" s="105"/>
      <c r="HF189" s="105"/>
      <c r="HG189" s="105"/>
      <c r="HH189" s="105"/>
      <c r="IV189"/>
    </row>
    <row r="190" spans="67:256" s="2" customFormat="1">
      <c r="GV190" s="1062"/>
      <c r="GW190" s="1062"/>
      <c r="GX190" s="1062"/>
      <c r="GY190" s="1062"/>
      <c r="HC190" s="105"/>
      <c r="HD190" s="105"/>
      <c r="HE190" s="105"/>
      <c r="HF190" s="105"/>
      <c r="HG190" s="105"/>
      <c r="HH190" s="105"/>
      <c r="IV190"/>
    </row>
    <row r="191" spans="67:256" s="2" customFormat="1">
      <c r="GV191" s="1062"/>
      <c r="GW191" s="1062"/>
      <c r="GX191" s="1062"/>
      <c r="GY191" s="1062"/>
      <c r="HC191" s="105"/>
      <c r="HD191" s="105"/>
      <c r="HE191" s="105"/>
      <c r="HF191" s="105"/>
      <c r="HG191" s="105"/>
      <c r="HH191" s="105"/>
      <c r="IV191"/>
    </row>
    <row r="192" spans="67:256" s="2" customFormat="1">
      <c r="GV192" s="1062"/>
      <c r="GW192" s="1062"/>
      <c r="GX192" s="1062"/>
      <c r="GY192" s="1062"/>
      <c r="HC192" s="105"/>
      <c r="HD192" s="105"/>
      <c r="HE192" s="105"/>
      <c r="HF192" s="105"/>
      <c r="HG192" s="105"/>
      <c r="HH192" s="105"/>
      <c r="IV192"/>
    </row>
    <row r="193" spans="71:256" s="2" customFormat="1">
      <c r="GV193" s="1062"/>
      <c r="GW193" s="1062"/>
      <c r="GX193" s="1062"/>
      <c r="GY193" s="1062"/>
      <c r="HC193" s="105"/>
      <c r="HD193" s="105"/>
      <c r="HE193" s="105"/>
      <c r="HF193" s="105"/>
      <c r="HG193" s="105"/>
      <c r="HH193" s="105"/>
      <c r="IV193"/>
    </row>
    <row r="194" spans="71:256" s="2" customFormat="1">
      <c r="GV194" s="1062"/>
      <c r="GW194" s="1062"/>
      <c r="GX194" s="1062"/>
      <c r="GY194" s="1062"/>
      <c r="HC194" s="105"/>
      <c r="HD194" s="105"/>
      <c r="HE194" s="105"/>
      <c r="HF194" s="105"/>
      <c r="HG194" s="105"/>
      <c r="HH194" s="105"/>
      <c r="IV194"/>
    </row>
    <row r="195" spans="71:256" s="2" customFormat="1">
      <c r="GV195" s="1062"/>
      <c r="GW195" s="1062"/>
      <c r="GX195" s="1062"/>
      <c r="GY195" s="1062"/>
      <c r="HC195" s="105"/>
      <c r="HD195" s="105"/>
      <c r="HE195" s="105"/>
      <c r="HF195" s="105"/>
      <c r="HG195" s="105"/>
      <c r="HH195" s="105"/>
      <c r="IV195"/>
    </row>
    <row r="196" spans="71:256" s="2" customFormat="1">
      <c r="GV196" s="1062"/>
      <c r="GW196" s="1062"/>
      <c r="GX196" s="1062"/>
      <c r="GY196" s="1062"/>
      <c r="HC196" s="105"/>
      <c r="HD196" s="105"/>
      <c r="HE196" s="105"/>
      <c r="HF196" s="105"/>
      <c r="HG196" s="105"/>
      <c r="HH196" s="105"/>
      <c r="IV196"/>
    </row>
    <row r="197" spans="71:256" s="2" customFormat="1">
      <c r="GV197" s="1062"/>
      <c r="GW197" s="1062"/>
      <c r="GX197" s="1062"/>
      <c r="GY197" s="1062"/>
      <c r="HC197" s="105"/>
      <c r="HD197" s="105"/>
      <c r="HE197" s="105"/>
      <c r="HF197" s="105"/>
      <c r="HG197" s="105"/>
      <c r="HH197" s="105"/>
      <c r="IV197"/>
    </row>
    <row r="198" spans="71:256" s="2" customFormat="1">
      <c r="GV198" s="1062"/>
      <c r="GW198" s="1062"/>
      <c r="GX198" s="1062"/>
      <c r="GY198" s="1062"/>
      <c r="HC198" s="105"/>
      <c r="HD198" s="105"/>
      <c r="HE198" s="105"/>
      <c r="HF198" s="105"/>
      <c r="HG198" s="105"/>
      <c r="HH198" s="105"/>
      <c r="IV198"/>
    </row>
    <row r="199" spans="71:256" s="2" customFormat="1">
      <c r="GV199" s="1062"/>
      <c r="GW199" s="1062"/>
      <c r="GX199" s="1062"/>
      <c r="GY199" s="1062"/>
      <c r="HC199" s="105"/>
      <c r="HD199" s="105"/>
      <c r="HE199" s="105"/>
      <c r="HF199" s="105"/>
      <c r="HG199" s="105"/>
      <c r="HH199" s="105"/>
      <c r="IV199"/>
    </row>
    <row r="200" spans="71:256" s="2" customFormat="1">
      <c r="GV200" s="1062"/>
      <c r="GW200" s="1062"/>
      <c r="GX200" s="1062"/>
      <c r="GY200" s="1062"/>
      <c r="HC200" s="105"/>
      <c r="HD200" s="105"/>
      <c r="HE200" s="105"/>
      <c r="HF200" s="105"/>
      <c r="HG200" s="105"/>
      <c r="HH200" s="105"/>
      <c r="IV200"/>
    </row>
    <row r="201" spans="71:256" s="2" customFormat="1">
      <c r="GV201" s="1062"/>
      <c r="GW201" s="1062"/>
      <c r="GX201" s="1062"/>
      <c r="GY201" s="1062"/>
      <c r="HC201" s="105"/>
      <c r="HD201" s="105"/>
      <c r="HE201" s="105"/>
      <c r="HF201" s="105"/>
      <c r="HG201" s="105"/>
      <c r="HH201" s="105"/>
      <c r="IV201"/>
    </row>
    <row r="202" spans="71:256" s="2" customFormat="1">
      <c r="GV202" s="1062"/>
      <c r="GW202" s="1062"/>
      <c r="GX202" s="1062"/>
      <c r="GY202" s="1062"/>
      <c r="HC202" s="105"/>
      <c r="HD202" s="105"/>
      <c r="HE202" s="105"/>
      <c r="HF202" s="105"/>
      <c r="HG202" s="105"/>
      <c r="HH202" s="105"/>
      <c r="IV202"/>
    </row>
    <row r="203" spans="71:256" s="2" customFormat="1">
      <c r="GV203" s="1062"/>
      <c r="GW203" s="1062"/>
      <c r="GX203" s="1062"/>
      <c r="GY203" s="1062"/>
      <c r="HC203" s="105"/>
      <c r="HD203" s="105"/>
      <c r="HE203" s="105"/>
      <c r="HF203" s="105"/>
      <c r="HG203" s="105"/>
      <c r="HH203" s="105"/>
      <c r="IV203"/>
    </row>
    <row r="204" spans="71:256" s="2" customFormat="1">
      <c r="GV204" s="1062"/>
      <c r="GW204" s="1062"/>
      <c r="GX204" s="1062"/>
      <c r="GY204" s="1062"/>
      <c r="HC204" s="105"/>
      <c r="HD204" s="105"/>
      <c r="HE204" s="105"/>
      <c r="HF204" s="105"/>
      <c r="HG204" s="105"/>
      <c r="HH204" s="105"/>
      <c r="IV204"/>
    </row>
    <row r="205" spans="71:256" s="2" customFormat="1">
      <c r="GV205" s="1062"/>
      <c r="GW205" s="1062"/>
      <c r="GX205" s="1062"/>
      <c r="GY205" s="1062"/>
      <c r="HC205" s="105"/>
      <c r="HD205" s="105"/>
      <c r="HE205" s="105"/>
      <c r="HF205" s="105"/>
      <c r="HG205" s="105"/>
      <c r="HH205" s="105"/>
      <c r="IV205"/>
    </row>
    <row r="206" spans="71:256" s="2" customFormat="1">
      <c r="BS206" s="1" t="s">
        <v>934</v>
      </c>
      <c r="GV206" s="1062"/>
      <c r="GW206" s="1062"/>
      <c r="GX206" s="1062"/>
      <c r="GY206" s="1062"/>
      <c r="HC206" s="105"/>
      <c r="HD206" s="105"/>
      <c r="HE206" s="105"/>
      <c r="HF206" s="105"/>
      <c r="HG206" s="105"/>
      <c r="HH206" s="105"/>
      <c r="IV206"/>
    </row>
    <row r="207" spans="71:256" s="2" customFormat="1">
      <c r="GV207" s="1062"/>
      <c r="GW207" s="1062"/>
      <c r="GX207" s="1062"/>
      <c r="GY207" s="1062"/>
      <c r="HC207" s="105"/>
      <c r="HD207" s="105"/>
      <c r="HE207" s="105"/>
      <c r="HF207" s="105"/>
      <c r="HG207" s="105"/>
      <c r="HH207" s="105"/>
      <c r="IV207"/>
    </row>
    <row r="208" spans="71:256" s="2" customFormat="1">
      <c r="BT208" s="101" t="s">
        <v>1595</v>
      </c>
      <c r="BU208" s="101" t="s">
        <v>530</v>
      </c>
      <c r="BV208" s="101" t="s">
        <v>657</v>
      </c>
      <c r="BW208" s="101" t="s">
        <v>1324</v>
      </c>
      <c r="BX208" s="101" t="s">
        <v>216</v>
      </c>
      <c r="BY208" s="101" t="s">
        <v>574</v>
      </c>
      <c r="BZ208" s="101" t="s">
        <v>575</v>
      </c>
      <c r="CA208" s="101" t="s">
        <v>1720</v>
      </c>
      <c r="CB208" s="101" t="s">
        <v>729</v>
      </c>
      <c r="CC208" s="101" t="s">
        <v>612</v>
      </c>
      <c r="CD208" s="101" t="s">
        <v>409</v>
      </c>
      <c r="GV208" s="1062"/>
      <c r="GW208" s="1062"/>
      <c r="GX208" s="1062"/>
      <c r="GY208" s="1062"/>
      <c r="HC208" s="105"/>
      <c r="HD208" s="105"/>
      <c r="HE208" s="105"/>
      <c r="HF208" s="105"/>
      <c r="HG208" s="105"/>
      <c r="HH208" s="105"/>
      <c r="IV208"/>
    </row>
    <row r="209" spans="71:256" s="2" customFormat="1">
      <c r="BS209" s="2" t="s">
        <v>493</v>
      </c>
      <c r="BT209" s="105">
        <f>BYD!X298</f>
        <v>-5.575980392156854E-2</v>
      </c>
      <c r="BU209" s="105">
        <f>BYD!Y298</f>
        <v>-6.3138808803548718E-2</v>
      </c>
      <c r="BV209" s="105">
        <f>BYD!Z298</f>
        <v>-0.10819773459766779</v>
      </c>
      <c r="BW209" s="105">
        <f>BYD!AA298</f>
        <v>-0.17528066828669919</v>
      </c>
      <c r="BX209" s="105">
        <f>BYD!AC298</f>
        <v>-0.17625209449184964</v>
      </c>
      <c r="BY209" s="105">
        <f>BYD!AD298</f>
        <v>-0.16053381574160153</v>
      </c>
      <c r="BZ209" s="105">
        <f>BYD!AE298</f>
        <v>-0.1707656510426695</v>
      </c>
      <c r="CA209" s="105">
        <f>BYD!AF298</f>
        <v>-0.12358965948229539</v>
      </c>
      <c r="CB209" s="105">
        <f>BYD!AH298</f>
        <v>-7.9524277038665603E-2</v>
      </c>
      <c r="CC209" s="105">
        <f>BYD!AI298</f>
        <v>-7.8548339523376698E-2</v>
      </c>
      <c r="CD209" s="105">
        <f>BYD!AJ298</f>
        <v>-3.4202548607287664E-2</v>
      </c>
      <c r="GV209" s="1062"/>
      <c r="GW209" s="1062"/>
      <c r="GX209" s="1062"/>
      <c r="GY209" s="1062"/>
      <c r="HC209" s="105"/>
      <c r="HD209" s="105"/>
      <c r="HE209" s="105"/>
      <c r="HF209" s="105"/>
      <c r="HG209" s="105"/>
      <c r="HH209" s="105"/>
      <c r="IV209"/>
    </row>
    <row r="210" spans="71:256" s="2" customFormat="1">
      <c r="BS210" s="2" t="s">
        <v>272</v>
      </c>
      <c r="BT210" s="105">
        <f>BYD!X501</f>
        <v>-0.13139794208324629</v>
      </c>
      <c r="BU210" s="105">
        <f>BYD!Y501</f>
        <v>-0.14999957478292669</v>
      </c>
      <c r="BV210" s="105">
        <f>BYD!Z501</f>
        <v>-0.16657924778624544</v>
      </c>
      <c r="BW210" s="105">
        <f>BYD!AA501</f>
        <v>-6.2281159581853318E-2</v>
      </c>
      <c r="BX210" s="105">
        <f>BYD!AC501</f>
        <v>1.1713591398905265E-2</v>
      </c>
      <c r="BY210" s="105">
        <f>BYD!AD501</f>
        <v>-3.2616634483585427E-3</v>
      </c>
      <c r="BZ210" s="105">
        <f>BYD!AE501</f>
        <v>1.8790590425419307E-2</v>
      </c>
      <c r="CA210" s="105">
        <f>BYD!AF501</f>
        <v>-7.0913669375756605E-2</v>
      </c>
      <c r="CB210" s="105">
        <f>BYD!AH501</f>
        <v>-9.8383645265696429E-2</v>
      </c>
      <c r="CC210" s="105">
        <f>BYD!AI501</f>
        <v>-8.7966634210975503E-2</v>
      </c>
      <c r="CD210" s="105">
        <f>BYD!AJ501</f>
        <v>-2.0463358544827837E-2</v>
      </c>
      <c r="GV210" s="1062"/>
      <c r="GW210" s="1062"/>
      <c r="GX210" s="1062"/>
      <c r="GY210" s="1062"/>
      <c r="HC210" s="105"/>
      <c r="HD210" s="105"/>
      <c r="HE210" s="105"/>
      <c r="HF210" s="105"/>
      <c r="HG210" s="105"/>
      <c r="HH210" s="105"/>
      <c r="IV210"/>
    </row>
    <row r="211" spans="71:256" s="2" customFormat="1">
      <c r="BS211" s="2" t="s">
        <v>515</v>
      </c>
      <c r="BT211" s="105">
        <f>BYD!X340</f>
        <v>-4.5493710149922428E-2</v>
      </c>
      <c r="BU211" s="105">
        <f>BYD!Y340</f>
        <v>-3.0992244244737122E-2</v>
      </c>
      <c r="BV211" s="105">
        <f>BYD!Z340</f>
        <v>-6.3223718586188804E-2</v>
      </c>
      <c r="BW211" s="105">
        <f>BYD!AA340</f>
        <v>-9.18127868215316E-2</v>
      </c>
      <c r="BX211" s="105">
        <f>BYD!AC340</f>
        <v>-3.7158003577934973E-2</v>
      </c>
      <c r="BY211" s="105">
        <f>BYD!AD340</f>
        <v>-8.5643957440050822E-2</v>
      </c>
      <c r="BZ211" s="105">
        <f>BYD!AE340</f>
        <v>-1.2972759005361878E-2</v>
      </c>
      <c r="CA211" s="105">
        <f>BYD!AF340</f>
        <v>-4.4539544070446913E-2</v>
      </c>
      <c r="CB211" s="105">
        <f>BYD!AH340</f>
        <v>-7.9399982954061255E-2</v>
      </c>
      <c r="CC211" s="105">
        <f>BYD!AI340</f>
        <v>-4.1579102766729714E-2</v>
      </c>
      <c r="CD211" s="105">
        <f>BYD!AJ340</f>
        <v>-5.3940244636053625E-2</v>
      </c>
      <c r="GV211" s="1062"/>
      <c r="GW211" s="1062"/>
      <c r="GX211" s="1062"/>
      <c r="GY211" s="1062"/>
      <c r="HC211" s="105"/>
      <c r="HD211" s="105"/>
      <c r="HE211" s="105"/>
      <c r="HF211" s="105"/>
      <c r="HG211" s="105"/>
      <c r="HH211" s="105"/>
      <c r="IV211"/>
    </row>
    <row r="212" spans="71:256" s="2" customFormat="1">
      <c r="BS212" s="2" t="s">
        <v>693</v>
      </c>
      <c r="BT212" s="105">
        <f>BYD!X907</f>
        <v>-8.3738281058263198E-3</v>
      </c>
      <c r="BU212" s="105">
        <f>BYD!Y907</f>
        <v>1.4656183355682195E-2</v>
      </c>
      <c r="BV212" s="105">
        <f>BYD!Z907</f>
        <v>4.2735822815618274E-2</v>
      </c>
      <c r="BW212" s="105">
        <f>BYD!AA907</f>
        <v>-9.4921223720687009E-2</v>
      </c>
      <c r="BX212" s="105">
        <f>BYD!AC907</f>
        <v>-6.9961984714687397E-2</v>
      </c>
      <c r="BY212" s="105">
        <f>BYD!AD907</f>
        <v>-6.6068145576194448E-2</v>
      </c>
      <c r="BZ212" s="105">
        <f>BYD!AE907</f>
        <v>-7.220710150424503E-2</v>
      </c>
      <c r="CA212" s="105">
        <f>BYD!AF907</f>
        <v>-4.4009526768147511E-2</v>
      </c>
      <c r="CB212" s="105">
        <f>BYD!AH907</f>
        <v>-6.8252701048485687E-2</v>
      </c>
      <c r="CC212" s="105">
        <f>BYD!AI907</f>
        <v>-2.4128910308960805E-2</v>
      </c>
      <c r="CD212" s="105">
        <f>BYD!AJ907</f>
        <v>-6.6982034798312662E-2</v>
      </c>
      <c r="GV212" s="1062"/>
      <c r="GW212" s="1062"/>
      <c r="GX212" s="1062"/>
      <c r="GY212" s="1062"/>
      <c r="HC212" s="105"/>
      <c r="HD212" s="105"/>
      <c r="HE212" s="105"/>
      <c r="HF212" s="105"/>
      <c r="HG212" s="105"/>
      <c r="HH212" s="105"/>
      <c r="IV212"/>
    </row>
    <row r="213" spans="71:256" s="2" customFormat="1">
      <c r="BT213" s="105"/>
      <c r="BU213" s="105"/>
      <c r="BV213" s="105"/>
      <c r="BW213" s="105"/>
      <c r="BX213" s="105"/>
      <c r="BY213" s="105"/>
      <c r="BZ213" s="105"/>
      <c r="CA213" s="105"/>
      <c r="CB213" s="105"/>
      <c r="GV213" s="1062"/>
      <c r="GW213" s="1062"/>
      <c r="GX213" s="1062"/>
      <c r="GY213" s="1062"/>
      <c r="HC213" s="105"/>
      <c r="HD213" s="105"/>
      <c r="HE213" s="105"/>
      <c r="HF213" s="105"/>
      <c r="HG213" s="105"/>
      <c r="HH213" s="105"/>
      <c r="IV213"/>
    </row>
    <row r="214" spans="71:256" s="2" customFormat="1">
      <c r="BT214" s="101" t="s">
        <v>1322</v>
      </c>
      <c r="BU214" s="101" t="s">
        <v>1303</v>
      </c>
      <c r="BV214" s="101" t="s">
        <v>645</v>
      </c>
      <c r="BW214" s="101" t="s">
        <v>1126</v>
      </c>
      <c r="BX214" s="101" t="s">
        <v>1595</v>
      </c>
      <c r="BY214" s="101" t="s">
        <v>530</v>
      </c>
      <c r="BZ214" s="101" t="s">
        <v>657</v>
      </c>
      <c r="CA214" s="101" t="s">
        <v>1324</v>
      </c>
      <c r="CB214" s="101" t="s">
        <v>216</v>
      </c>
      <c r="CC214" s="101" t="s">
        <v>574</v>
      </c>
      <c r="CD214" s="101" t="s">
        <v>575</v>
      </c>
      <c r="CE214" s="101" t="s">
        <v>1720</v>
      </c>
      <c r="CF214" s="101" t="s">
        <v>729</v>
      </c>
      <c r="CG214" s="101" t="s">
        <v>612</v>
      </c>
      <c r="CH214" s="101" t="s">
        <v>409</v>
      </c>
      <c r="CI214" s="101" t="s">
        <v>1510</v>
      </c>
      <c r="CJ214" s="101" t="s">
        <v>1029</v>
      </c>
      <c r="CK214" s="101" t="s">
        <v>1699</v>
      </c>
      <c r="CL214" s="101" t="s">
        <v>1700</v>
      </c>
      <c r="GV214" s="1062"/>
      <c r="GW214" s="1062"/>
      <c r="GX214" s="1062"/>
      <c r="GY214" s="1062"/>
      <c r="HC214" s="105"/>
      <c r="HD214" s="105"/>
      <c r="HE214" s="105"/>
      <c r="HF214" s="105"/>
      <c r="HG214" s="105"/>
      <c r="HH214" s="105"/>
      <c r="IV214"/>
    </row>
    <row r="215" spans="71:256" s="2" customFormat="1">
      <c r="BS215" s="2" t="s">
        <v>504</v>
      </c>
      <c r="BT215" s="2">
        <f>SUM(BYD!S10:S13)</f>
        <v>517.03</v>
      </c>
      <c r="BU215" s="2">
        <f>SUM(BYD!T10:T13)</f>
        <v>511.39099999999996</v>
      </c>
      <c r="BV215" s="2">
        <f>SUM(BYD!U10:U13)</f>
        <v>490.05500000000001</v>
      </c>
      <c r="BW215" s="2">
        <f>SUM(BYD!V10:V13)</f>
        <v>478.64300000000003</v>
      </c>
      <c r="BX215" s="2">
        <f>SUM(BYD!X10:X13)</f>
        <v>471.11799999999999</v>
      </c>
      <c r="BY215" s="2">
        <f>SUM(BYD!Y10:Y13)</f>
        <v>460.76400000000001</v>
      </c>
      <c r="BZ215" s="2">
        <f>SUM(BYD!Z10:Z13)</f>
        <v>426.45500000000004</v>
      </c>
      <c r="CA215" s="2">
        <f>SUM(BYD!AA10:AA13)</f>
        <v>422.63</v>
      </c>
      <c r="CB215" s="2">
        <f>SUM(BYD!AC10:AC13)</f>
        <v>434.84499999999997</v>
      </c>
      <c r="CC215" s="2">
        <f>SUM(BYD!AD10:AD13)</f>
        <v>422.95000000000005</v>
      </c>
      <c r="CD215" s="2">
        <f>SUM(BYD!AE10:AE13)</f>
        <v>398.24299999999999</v>
      </c>
      <c r="CE215" s="2">
        <f>SUM(BYD!AF10:AF13)</f>
        <v>384.94799999999998</v>
      </c>
      <c r="CF215" s="2">
        <f>SUM(BYD!AH10:AH13)</f>
        <v>398.35900000000004</v>
      </c>
      <c r="CG215" s="2">
        <f>SUM(BYD!AI10:AI13)</f>
        <v>389.98</v>
      </c>
      <c r="CH215" s="2">
        <f>SUM(BYD!AJ10:AJ13)</f>
        <v>386.18599999999998</v>
      </c>
      <c r="CI215" s="2">
        <f>SUM(BYD!AK10:AK13)</f>
        <v>381.80200000000002</v>
      </c>
      <c r="CJ215" s="2">
        <f>SUM(BYD!AM10:AM13)</f>
        <v>394.315</v>
      </c>
      <c r="CK215" s="2">
        <f>SUM(BYD!AN10:AN13)</f>
        <v>390.17200000000003</v>
      </c>
      <c r="CL215" s="2">
        <f>SUM(BYD!AO10:AO13)</f>
        <v>387.14800000000002</v>
      </c>
      <c r="GV215" s="1062"/>
      <c r="GW215" s="1062"/>
      <c r="GX215" s="1062"/>
      <c r="GY215" s="1062"/>
      <c r="HC215" s="105"/>
      <c r="HD215" s="105"/>
      <c r="HE215" s="105"/>
      <c r="HF215" s="105"/>
      <c r="HG215" s="105"/>
      <c r="HH215" s="105"/>
      <c r="IV215"/>
    </row>
    <row r="216" spans="71:256" s="2" customFormat="1">
      <c r="BS216" s="2" t="s">
        <v>273</v>
      </c>
      <c r="BT216" s="2">
        <f>BYD!S906</f>
        <v>203.73</v>
      </c>
      <c r="BU216" s="2">
        <f>BYD!T906</f>
        <v>202.09899999999999</v>
      </c>
      <c r="BV216" s="2">
        <f>BYD!U906</f>
        <v>230.08799999999999</v>
      </c>
      <c r="BW216" s="2">
        <f>BYD!V906</f>
        <v>202.726</v>
      </c>
      <c r="BX216" s="2">
        <f>BYD!X906</f>
        <v>202.024</v>
      </c>
      <c r="BY216" s="2">
        <f>BYD!Y906</f>
        <v>205.06100000000001</v>
      </c>
      <c r="BZ216" s="2">
        <f>BYD!Z906</f>
        <v>239.92099999999999</v>
      </c>
      <c r="CA216" s="2">
        <f>BYD!AA906</f>
        <v>183.483</v>
      </c>
      <c r="CB216" s="2">
        <f>BYD!AC906</f>
        <v>187.89</v>
      </c>
      <c r="CC216" s="2">
        <f>BYD!AD906</f>
        <v>191.51300000000001</v>
      </c>
      <c r="CD216" s="2">
        <f>BYD!AE906</f>
        <v>222.59700000000001</v>
      </c>
      <c r="CE216" s="2">
        <f>BYD!AF906</f>
        <v>175.40799999999999</v>
      </c>
      <c r="CF216" s="2">
        <f>BYD!AH906</f>
        <v>175.066</v>
      </c>
      <c r="CG216" s="2">
        <f>BYD!AI906</f>
        <v>186.892</v>
      </c>
      <c r="CH216" s="2">
        <f>BYD!AJ906</f>
        <v>207.68700000000001</v>
      </c>
      <c r="CI216" s="2">
        <f>BYD!AK906</f>
        <v>168.786</v>
      </c>
      <c r="CJ216" s="2">
        <f>BYD!AM906</f>
        <v>169.09</v>
      </c>
      <c r="CK216" s="2">
        <f>BYD!AN906</f>
        <v>182.756</v>
      </c>
      <c r="CL216" s="2">
        <f>BYD!AO906</f>
        <v>202.018</v>
      </c>
      <c r="GV216" s="1062"/>
      <c r="GW216" s="1062"/>
      <c r="GX216" s="1062"/>
      <c r="GY216" s="1062"/>
      <c r="HC216" s="105"/>
      <c r="HD216" s="105"/>
      <c r="HE216" s="105"/>
      <c r="HF216" s="105"/>
      <c r="HG216" s="105"/>
      <c r="HH216" s="105"/>
      <c r="IV216"/>
    </row>
    <row r="217" spans="71:256" s="2" customFormat="1">
      <c r="BS217" s="2" t="s">
        <v>310</v>
      </c>
      <c r="BT217" s="2">
        <f t="shared" ref="BT217:CL217" si="26">SUM(BT215:BT216)</f>
        <v>720.76</v>
      </c>
      <c r="BU217" s="2">
        <f t="shared" si="26"/>
        <v>713.49</v>
      </c>
      <c r="BV217" s="2">
        <f t="shared" si="26"/>
        <v>720.14300000000003</v>
      </c>
      <c r="BW217" s="2">
        <f t="shared" si="26"/>
        <v>681.36900000000003</v>
      </c>
      <c r="BX217" s="2">
        <f t="shared" si="26"/>
        <v>673.14200000000005</v>
      </c>
      <c r="BY217" s="2">
        <f t="shared" si="26"/>
        <v>665.82500000000005</v>
      </c>
      <c r="BZ217" s="2">
        <f t="shared" si="26"/>
        <v>666.37599999999998</v>
      </c>
      <c r="CA217" s="2">
        <f t="shared" si="26"/>
        <v>606.11300000000006</v>
      </c>
      <c r="CB217" s="2">
        <f t="shared" si="26"/>
        <v>622.7349999999999</v>
      </c>
      <c r="CC217" s="2">
        <f t="shared" si="26"/>
        <v>614.46300000000008</v>
      </c>
      <c r="CD217" s="2">
        <f t="shared" si="26"/>
        <v>620.84</v>
      </c>
      <c r="CE217" s="2">
        <f t="shared" si="26"/>
        <v>560.35599999999999</v>
      </c>
      <c r="CF217" s="2">
        <f t="shared" si="26"/>
        <v>573.42500000000007</v>
      </c>
      <c r="CG217" s="2">
        <f t="shared" si="26"/>
        <v>576.87200000000007</v>
      </c>
      <c r="CH217" s="2">
        <f t="shared" si="26"/>
        <v>593.87300000000005</v>
      </c>
      <c r="CI217" s="2">
        <f t="shared" si="26"/>
        <v>550.58799999999997</v>
      </c>
      <c r="CJ217" s="2">
        <f t="shared" si="26"/>
        <v>563.40499999999997</v>
      </c>
      <c r="CK217" s="2">
        <f t="shared" si="26"/>
        <v>572.928</v>
      </c>
      <c r="CL217" s="2">
        <f t="shared" si="26"/>
        <v>589.16600000000005</v>
      </c>
      <c r="GV217" s="1062"/>
      <c r="GW217" s="1062"/>
      <c r="GX217" s="1062"/>
      <c r="GY217" s="1062"/>
      <c r="HC217" s="105"/>
      <c r="HD217" s="105"/>
      <c r="HE217" s="105"/>
      <c r="HF217" s="105"/>
      <c r="HG217" s="105"/>
      <c r="HH217" s="105"/>
      <c r="IV217"/>
    </row>
    <row r="218" spans="71:256" s="2" customFormat="1">
      <c r="BS218" s="2" t="s">
        <v>310</v>
      </c>
      <c r="BX218" s="105">
        <f>(BX217-BT217)/BT217</f>
        <v>-6.6066374382596063E-2</v>
      </c>
      <c r="BY218" s="105">
        <f>(BY217-BU217)/BU217</f>
        <v>-6.680542123926049E-2</v>
      </c>
      <c r="BZ218" s="105">
        <f t="shared" ref="BZ218:CL218" si="27">(BZ217-BV217)/BV217</f>
        <v>-7.4661560273445754E-2</v>
      </c>
      <c r="CA218" s="105">
        <f t="shared" si="27"/>
        <v>-0.11044822996056464</v>
      </c>
      <c r="CB218" s="105">
        <f t="shared" si="27"/>
        <v>-7.4883159868200391E-2</v>
      </c>
      <c r="CC218" s="105">
        <f t="shared" si="27"/>
        <v>-7.7140389742049287E-2</v>
      </c>
      <c r="CD218" s="105">
        <f t="shared" si="27"/>
        <v>-6.8333793533980738E-2</v>
      </c>
      <c r="CE218" s="105">
        <f>(CE217-CA217)/CA217</f>
        <v>-7.5492523671328707E-2</v>
      </c>
      <c r="CF218" s="105">
        <f t="shared" si="27"/>
        <v>-7.9182959043573656E-2</v>
      </c>
      <c r="CG218" s="105">
        <f t="shared" si="27"/>
        <v>-6.1176995197432561E-2</v>
      </c>
      <c r="CH218" s="105">
        <f t="shared" si="27"/>
        <v>-4.3436312093292934E-2</v>
      </c>
      <c r="CI218" s="105">
        <f t="shared" si="27"/>
        <v>-1.7431775514137493E-2</v>
      </c>
      <c r="CJ218" s="105">
        <f t="shared" si="27"/>
        <v>-1.7473950385839637E-2</v>
      </c>
      <c r="CK218" s="105">
        <f t="shared" si="27"/>
        <v>-6.8368719577307849E-3</v>
      </c>
      <c r="CL218" s="105">
        <f t="shared" si="27"/>
        <v>-7.9259370269400917E-3</v>
      </c>
      <c r="GV218" s="1062"/>
      <c r="GW218" s="1062"/>
      <c r="GX218" s="1062"/>
      <c r="GY218" s="1062"/>
      <c r="HC218" s="105"/>
      <c r="HD218" s="105"/>
      <c r="HE218" s="105"/>
      <c r="HF218" s="105"/>
      <c r="HG218" s="105"/>
      <c r="HH218" s="105"/>
      <c r="IV218"/>
    </row>
    <row r="219" spans="71:256" s="2" customFormat="1">
      <c r="GV219" s="1062"/>
      <c r="GW219" s="1062"/>
      <c r="GX219" s="1062"/>
      <c r="GY219" s="1062"/>
      <c r="HC219" s="105"/>
      <c r="HD219" s="105"/>
      <c r="HE219" s="105"/>
      <c r="HF219" s="105"/>
      <c r="HG219" s="105"/>
      <c r="HH219" s="105"/>
      <c r="IV219"/>
    </row>
    <row r="220" spans="71:256" s="2" customFormat="1">
      <c r="GV220" s="1062"/>
      <c r="GW220" s="1062"/>
      <c r="GX220" s="1062"/>
      <c r="GY220" s="1062"/>
      <c r="HC220" s="105"/>
      <c r="HD220" s="105"/>
      <c r="HE220" s="105"/>
      <c r="HF220" s="105"/>
      <c r="HG220" s="105"/>
      <c r="HH220" s="105"/>
      <c r="IV220"/>
    </row>
    <row r="221" spans="71:256" s="2" customFormat="1">
      <c r="GV221" s="1062"/>
      <c r="GW221" s="1062"/>
      <c r="GX221" s="1062"/>
      <c r="GY221" s="1062"/>
      <c r="HC221" s="105"/>
      <c r="HD221" s="105"/>
      <c r="HE221" s="105"/>
      <c r="HF221" s="105"/>
      <c r="HG221" s="105"/>
      <c r="HH221" s="105"/>
      <c r="IV221"/>
    </row>
    <row r="222" spans="71:256" s="2" customFormat="1">
      <c r="GV222" s="1062"/>
      <c r="GW222" s="1062"/>
      <c r="GX222" s="1062"/>
      <c r="GY222" s="1062"/>
      <c r="HC222" s="105"/>
      <c r="HD222" s="105"/>
      <c r="HE222" s="105"/>
      <c r="HF222" s="105"/>
      <c r="HG222" s="105"/>
      <c r="HH222" s="105"/>
      <c r="IV222"/>
    </row>
    <row r="223" spans="71:256" s="2" customFormat="1">
      <c r="GV223" s="1062"/>
      <c r="GW223" s="1062"/>
      <c r="GX223" s="1062"/>
      <c r="GY223" s="1062"/>
      <c r="HC223" s="105"/>
      <c r="HD223" s="105"/>
      <c r="HE223" s="105"/>
      <c r="HF223" s="105"/>
      <c r="HG223" s="105"/>
      <c r="HH223" s="105"/>
      <c r="IV223"/>
    </row>
    <row r="224" spans="71:256" s="2" customFormat="1">
      <c r="GV224" s="1062"/>
      <c r="GW224" s="1062"/>
      <c r="GX224" s="1062"/>
      <c r="GY224" s="1062"/>
      <c r="HC224" s="105"/>
      <c r="HD224" s="105"/>
      <c r="HE224" s="105"/>
      <c r="HF224" s="105"/>
      <c r="HG224" s="105"/>
      <c r="HH224" s="105"/>
      <c r="IV224"/>
    </row>
    <row r="225" spans="204:256" s="2" customFormat="1">
      <c r="GV225" s="1062"/>
      <c r="GW225" s="1062"/>
      <c r="GX225" s="1062"/>
      <c r="GY225" s="1062"/>
      <c r="HC225" s="105"/>
      <c r="HD225" s="105"/>
      <c r="HE225" s="105"/>
      <c r="HF225" s="105"/>
      <c r="HG225" s="105"/>
      <c r="HH225" s="105"/>
      <c r="IV225"/>
    </row>
    <row r="226" spans="204:256" s="2" customFormat="1">
      <c r="GV226" s="1062"/>
      <c r="GW226" s="1062"/>
      <c r="GX226" s="1062"/>
      <c r="GY226" s="1062"/>
      <c r="HC226" s="105"/>
      <c r="HD226" s="105"/>
      <c r="HE226" s="105"/>
      <c r="HF226" s="105"/>
      <c r="HG226" s="105"/>
      <c r="HH226" s="105"/>
      <c r="IV226"/>
    </row>
    <row r="227" spans="204:256" s="2" customFormat="1">
      <c r="GV227" s="1062"/>
      <c r="GW227" s="1062"/>
      <c r="GX227" s="1062"/>
      <c r="GY227" s="1062"/>
      <c r="HC227" s="105"/>
      <c r="HD227" s="105"/>
      <c r="HE227" s="105"/>
      <c r="HF227" s="105"/>
      <c r="HG227" s="105"/>
      <c r="HH227" s="105"/>
      <c r="IV227"/>
    </row>
    <row r="228" spans="204:256" s="2" customFormat="1">
      <c r="GV228" s="1062"/>
      <c r="GW228" s="1062"/>
      <c r="GX228" s="1062"/>
      <c r="GY228" s="1062"/>
      <c r="HC228" s="105"/>
      <c r="HD228" s="105"/>
      <c r="HE228" s="105"/>
      <c r="HF228" s="105"/>
      <c r="HG228" s="105"/>
      <c r="HH228" s="105"/>
      <c r="IV228"/>
    </row>
    <row r="229" spans="204:256" s="2" customFormat="1">
      <c r="GV229" s="1062"/>
      <c r="GW229" s="1062"/>
      <c r="GX229" s="1062"/>
      <c r="GY229" s="1062"/>
      <c r="HC229" s="105"/>
      <c r="HD229" s="105"/>
      <c r="HE229" s="105"/>
      <c r="HF229" s="105"/>
      <c r="HG229" s="105"/>
      <c r="HH229" s="105"/>
      <c r="IV229"/>
    </row>
    <row r="230" spans="204:256" s="2" customFormat="1">
      <c r="GV230" s="1062"/>
      <c r="GW230" s="1062"/>
      <c r="GX230" s="1062"/>
      <c r="GY230" s="1062"/>
      <c r="HC230" s="105"/>
      <c r="HD230" s="105"/>
      <c r="HE230" s="105"/>
      <c r="HF230" s="105"/>
      <c r="HG230" s="105"/>
      <c r="HH230" s="105"/>
      <c r="IV230"/>
    </row>
    <row r="231" spans="204:256" s="2" customFormat="1">
      <c r="GV231" s="1062"/>
      <c r="GW231" s="1062"/>
      <c r="GX231" s="1062"/>
      <c r="GY231" s="1062"/>
      <c r="HC231" s="105"/>
      <c r="HD231" s="105"/>
      <c r="HE231" s="105"/>
      <c r="HF231" s="105"/>
      <c r="HG231" s="105"/>
      <c r="HH231" s="105"/>
      <c r="IV231"/>
    </row>
    <row r="232" spans="204:256" s="2" customFormat="1">
      <c r="GV232" s="1062"/>
      <c r="GW232" s="1062"/>
      <c r="GX232" s="1062"/>
      <c r="GY232" s="1062"/>
      <c r="HC232" s="105"/>
      <c r="HD232" s="105"/>
      <c r="HE232" s="105"/>
      <c r="HF232" s="105"/>
      <c r="HG232" s="105"/>
      <c r="HH232" s="105"/>
      <c r="IV232"/>
    </row>
    <row r="233" spans="204:256" s="2" customFormat="1">
      <c r="GV233" s="1062"/>
      <c r="GW233" s="1062"/>
      <c r="GX233" s="1062"/>
      <c r="GY233" s="1062"/>
      <c r="HC233" s="105"/>
      <c r="HD233" s="105"/>
      <c r="HE233" s="105"/>
      <c r="HF233" s="105"/>
      <c r="HG233" s="105"/>
      <c r="HH233" s="105"/>
      <c r="IV233"/>
    </row>
    <row r="234" spans="204:256" s="2" customFormat="1">
      <c r="GV234" s="1062"/>
      <c r="GW234" s="1062"/>
      <c r="GX234" s="1062"/>
      <c r="GY234" s="1062"/>
      <c r="HC234" s="105"/>
      <c r="HD234" s="105"/>
      <c r="HE234" s="105"/>
      <c r="HF234" s="105"/>
      <c r="HG234" s="105"/>
      <c r="HH234" s="105"/>
      <c r="IV234"/>
    </row>
    <row r="235" spans="204:256" s="2" customFormat="1">
      <c r="GV235" s="1062"/>
      <c r="GW235" s="1062"/>
      <c r="GX235" s="1062"/>
      <c r="GY235" s="1062"/>
      <c r="HC235" s="105"/>
      <c r="HD235" s="105"/>
      <c r="HE235" s="105"/>
      <c r="HF235" s="105"/>
      <c r="HG235" s="105"/>
      <c r="HH235" s="105"/>
      <c r="IV235"/>
    </row>
    <row r="236" spans="204:256" s="2" customFormat="1">
      <c r="GV236" s="1062"/>
      <c r="GW236" s="1062"/>
      <c r="GX236" s="1062"/>
      <c r="GY236" s="1062"/>
      <c r="HC236" s="105"/>
      <c r="HD236" s="105"/>
      <c r="HE236" s="105"/>
      <c r="HF236" s="105"/>
      <c r="HG236" s="105"/>
      <c r="HH236" s="105"/>
      <c r="IV236"/>
    </row>
    <row r="237" spans="204:256" s="2" customFormat="1">
      <c r="GV237" s="1062"/>
      <c r="GW237" s="1062"/>
      <c r="GX237" s="1062"/>
      <c r="GY237" s="1062"/>
      <c r="HC237" s="105"/>
      <c r="HD237" s="105"/>
      <c r="HE237" s="105"/>
      <c r="HF237" s="105"/>
      <c r="HG237" s="105"/>
      <c r="HH237" s="105"/>
      <c r="IV237"/>
    </row>
    <row r="238" spans="204:256" s="2" customFormat="1">
      <c r="GV238" s="1062"/>
      <c r="GW238" s="1062"/>
      <c r="GX238" s="1062"/>
      <c r="GY238" s="1062"/>
      <c r="HC238" s="105"/>
      <c r="HD238" s="105"/>
      <c r="HE238" s="105"/>
      <c r="HF238" s="105"/>
      <c r="HG238" s="105"/>
      <c r="HH238" s="105"/>
      <c r="IV238"/>
    </row>
    <row r="239" spans="204:256" s="2" customFormat="1">
      <c r="GV239" s="1062"/>
      <c r="GW239" s="1062"/>
      <c r="GX239" s="1062"/>
      <c r="GY239" s="1062"/>
      <c r="HC239" s="105"/>
      <c r="HD239" s="105"/>
      <c r="HE239" s="105"/>
      <c r="HF239" s="105"/>
      <c r="HG239" s="105"/>
      <c r="HH239" s="105"/>
      <c r="IV239"/>
    </row>
    <row r="240" spans="204:256" s="2" customFormat="1">
      <c r="GV240" s="1062"/>
      <c r="GW240" s="1062"/>
      <c r="GX240" s="1062"/>
      <c r="GY240" s="1062"/>
      <c r="HC240" s="105"/>
      <c r="HD240" s="105"/>
      <c r="HE240" s="105"/>
      <c r="HF240" s="105"/>
      <c r="HG240" s="105"/>
      <c r="HH240" s="105"/>
      <c r="IV240"/>
    </row>
    <row r="241" spans="71:256" s="2" customFormat="1">
      <c r="GV241" s="1062"/>
      <c r="GW241" s="1062"/>
      <c r="GX241" s="1062"/>
      <c r="GY241" s="1062"/>
      <c r="HC241" s="105"/>
      <c r="HD241" s="105"/>
      <c r="HE241" s="105"/>
      <c r="HF241" s="105"/>
      <c r="HG241" s="105"/>
      <c r="HH241" s="105"/>
      <c r="IV241"/>
    </row>
    <row r="242" spans="71:256" s="2" customFormat="1">
      <c r="GV242" s="1062"/>
      <c r="GW242" s="1062"/>
      <c r="GX242" s="1062"/>
      <c r="GY242" s="1062"/>
      <c r="HC242" s="105"/>
      <c r="HD242" s="105"/>
      <c r="HE242" s="105"/>
      <c r="HF242" s="105"/>
      <c r="HG242" s="105"/>
      <c r="HH242" s="105"/>
      <c r="IV242"/>
    </row>
    <row r="243" spans="71:256" s="2" customFormat="1">
      <c r="GV243" s="1062"/>
      <c r="GW243" s="1062"/>
      <c r="GX243" s="1062"/>
      <c r="GY243" s="1062"/>
      <c r="HC243" s="105"/>
      <c r="HD243" s="105"/>
      <c r="HE243" s="105"/>
      <c r="HF243" s="105"/>
      <c r="HG243" s="105"/>
      <c r="HH243" s="105"/>
      <c r="IV243"/>
    </row>
    <row r="244" spans="71:256" s="2" customFormat="1">
      <c r="GV244" s="1062"/>
      <c r="GW244" s="1062"/>
      <c r="GX244" s="1062"/>
      <c r="GY244" s="1062"/>
      <c r="HC244" s="105"/>
      <c r="HD244" s="105"/>
      <c r="HE244" s="105"/>
      <c r="HF244" s="105"/>
      <c r="HG244" s="105"/>
      <c r="HH244" s="105"/>
      <c r="IV244"/>
    </row>
    <row r="245" spans="71:256" s="2" customFormat="1">
      <c r="GV245" s="1062"/>
      <c r="GW245" s="1062"/>
      <c r="GX245" s="1062"/>
      <c r="GY245" s="1062"/>
      <c r="HC245" s="105"/>
      <c r="HD245" s="105"/>
      <c r="HE245" s="105"/>
      <c r="HF245" s="105"/>
      <c r="HG245" s="105"/>
      <c r="HH245" s="105"/>
      <c r="IV245"/>
    </row>
    <row r="246" spans="71:256" s="2" customFormat="1">
      <c r="GV246" s="1062"/>
      <c r="GW246" s="1062"/>
      <c r="GX246" s="1062"/>
      <c r="GY246" s="1062"/>
      <c r="HC246" s="105"/>
      <c r="HD246" s="105"/>
      <c r="HE246" s="105"/>
      <c r="HF246" s="105"/>
      <c r="HG246" s="105"/>
      <c r="HH246" s="105"/>
      <c r="IV246"/>
    </row>
    <row r="247" spans="71:256" s="2" customFormat="1">
      <c r="GV247" s="1062"/>
      <c r="GW247" s="1062"/>
      <c r="GX247" s="1062"/>
      <c r="GY247" s="1062"/>
      <c r="HC247" s="105"/>
      <c r="HD247" s="105"/>
      <c r="HE247" s="105"/>
      <c r="HF247" s="105"/>
      <c r="HG247" s="105"/>
      <c r="HH247" s="105"/>
      <c r="IV247"/>
    </row>
    <row r="248" spans="71:256" s="2" customFormat="1">
      <c r="GV248" s="1062"/>
      <c r="GW248" s="1062"/>
      <c r="GX248" s="1062"/>
      <c r="GY248" s="1062"/>
      <c r="HC248" s="105"/>
      <c r="HD248" s="105"/>
      <c r="HE248" s="105"/>
      <c r="HF248" s="105"/>
      <c r="HG248" s="105"/>
      <c r="HH248" s="105"/>
      <c r="IV248"/>
    </row>
    <row r="249" spans="71:256" s="2" customFormat="1">
      <c r="GV249" s="1062"/>
      <c r="GW249" s="1062"/>
      <c r="GX249" s="1062"/>
      <c r="GY249" s="1062"/>
      <c r="HC249" s="105"/>
      <c r="HD249" s="105"/>
      <c r="HE249" s="105"/>
      <c r="HF249" s="105"/>
      <c r="HG249" s="105"/>
      <c r="HH249" s="105"/>
      <c r="IV249"/>
    </row>
    <row r="250" spans="71:256" s="2" customFormat="1">
      <c r="BT250" s="73" t="s">
        <v>1595</v>
      </c>
      <c r="BU250" s="73" t="s">
        <v>530</v>
      </c>
      <c r="BV250" s="73" t="s">
        <v>657</v>
      </c>
      <c r="BW250" s="73" t="s">
        <v>1324</v>
      </c>
      <c r="BX250" s="73" t="s">
        <v>216</v>
      </c>
      <c r="BY250" s="73" t="s">
        <v>574</v>
      </c>
      <c r="BZ250" s="73" t="s">
        <v>575</v>
      </c>
      <c r="CA250" s="73" t="s">
        <v>1720</v>
      </c>
      <c r="CB250" s="73" t="s">
        <v>729</v>
      </c>
      <c r="CC250" s="73" t="s">
        <v>612</v>
      </c>
      <c r="CD250" s="73" t="s">
        <v>409</v>
      </c>
      <c r="CE250" s="73" t="s">
        <v>1510</v>
      </c>
      <c r="CF250" s="73" t="s">
        <v>1029</v>
      </c>
      <c r="CG250" s="73" t="s">
        <v>1699</v>
      </c>
      <c r="CH250" s="73" t="s">
        <v>1700</v>
      </c>
      <c r="GV250" s="1062"/>
      <c r="GW250" s="1062"/>
      <c r="GX250" s="1062"/>
      <c r="GY250" s="1062"/>
      <c r="HC250" s="105"/>
      <c r="HD250" s="105"/>
      <c r="HE250" s="105"/>
      <c r="HF250" s="105"/>
      <c r="HG250" s="105"/>
      <c r="HH250" s="105"/>
      <c r="IV250"/>
    </row>
    <row r="251" spans="71:256" s="2" customFormat="1">
      <c r="BS251" s="2" t="s">
        <v>493</v>
      </c>
      <c r="BT251" s="105">
        <f>BYD!X312</f>
        <v>-0.10624974858874492</v>
      </c>
      <c r="BU251" s="105">
        <f>BYD!Y312</f>
        <v>-6.6079229250194493E-2</v>
      </c>
      <c r="BV251" s="105">
        <f>BYD!Z312</f>
        <v>-0.25495408804005693</v>
      </c>
      <c r="BW251" s="105">
        <f>BYD!AA312</f>
        <v>-0.39775194437573858</v>
      </c>
      <c r="BX251" s="105">
        <f>BYD!AC312</f>
        <v>-0.32008101417748103</v>
      </c>
      <c r="BY251" s="105">
        <f>BYD!AD312</f>
        <v>-0.29650631938103689</v>
      </c>
      <c r="BZ251" s="105">
        <f>BYD!AE312</f>
        <v>-0.31343446947308484</v>
      </c>
      <c r="CA251" s="105">
        <f>BYD!AF312</f>
        <v>-0.20744729396732697</v>
      </c>
      <c r="CB251" s="105">
        <f>BYD!AH312</f>
        <v>-0.10827449249779353</v>
      </c>
      <c r="CC251" s="105">
        <f>BYD!AI312</f>
        <v>-0.16182799371541767</v>
      </c>
      <c r="CD251" s="105">
        <f>BYD!AJ312</f>
        <v>-0.16729904664732331</v>
      </c>
      <c r="CE251" s="105">
        <f>BYD!AK312</f>
        <v>-1.7589820359281361E-2</v>
      </c>
      <c r="CF251" s="105">
        <f>BYD!AM312</f>
        <v>-1.9053274936282727E-2</v>
      </c>
      <c r="CG251" s="105">
        <f>BYD!AN312</f>
        <v>4.7813094267861844E-2</v>
      </c>
      <c r="CH251" s="105">
        <f>BYD!AO312</f>
        <v>0.17908561801194667</v>
      </c>
      <c r="GV251" s="1062"/>
      <c r="GW251" s="1062"/>
      <c r="GX251" s="1062"/>
      <c r="GY251" s="1062"/>
      <c r="HC251" s="105"/>
      <c r="HD251" s="105"/>
      <c r="HE251" s="105"/>
      <c r="HF251" s="105"/>
      <c r="HG251" s="105"/>
      <c r="HH251" s="105"/>
      <c r="IV251"/>
    </row>
    <row r="252" spans="71:256" s="2" customFormat="1">
      <c r="BS252" s="2" t="s">
        <v>272</v>
      </c>
      <c r="BT252" s="105">
        <f>BYD!X511</f>
        <v>-0.20394197028683181</v>
      </c>
      <c r="BU252" s="105">
        <f>BYD!Y511</f>
        <v>-0.21940426997245144</v>
      </c>
      <c r="BV252" s="105">
        <f>BYD!Z511</f>
        <v>-0.30707754465551462</v>
      </c>
      <c r="BW252" s="105">
        <f>BYD!AA511</f>
        <v>-0.17419868151852702</v>
      </c>
      <c r="BX252" s="105">
        <f>BYD!AC511</f>
        <v>5.3115199894734788E-2</v>
      </c>
      <c r="BY252" s="105">
        <f>BYD!AD511</f>
        <v>-2.3909830822507416E-2</v>
      </c>
      <c r="BZ252" s="105">
        <f>BYD!AE511</f>
        <v>6.2245863488734621E-2</v>
      </c>
      <c r="CA252" s="105">
        <f>BYD!AF511</f>
        <v>-0.22699369614886999</v>
      </c>
      <c r="CB252" s="105">
        <f>BYD!AH511</f>
        <v>-0.18204535515711873</v>
      </c>
      <c r="CC252" s="105">
        <f>BYD!AI511</f>
        <v>-0.19576073938490035</v>
      </c>
      <c r="CD252" s="105">
        <f>BYD!AJ511</f>
        <v>-7.5354503214002055E-2</v>
      </c>
      <c r="CE252" s="105">
        <f>BYD!AK511</f>
        <v>8.3401588262526305E-2</v>
      </c>
      <c r="CF252" s="105">
        <f>BYD!AM511</f>
        <v>4.918658825326494E-2</v>
      </c>
      <c r="CG252" s="105">
        <f>BYD!AN511</f>
        <v>0.18786175892104517</v>
      </c>
      <c r="CH252" s="105">
        <f>BYD!AO511</f>
        <v>0.15926784179967202</v>
      </c>
      <c r="GV252" s="1062"/>
      <c r="GW252" s="1062"/>
      <c r="GX252" s="1062"/>
      <c r="GY252" s="1062"/>
      <c r="HC252" s="105"/>
      <c r="HD252" s="105"/>
      <c r="HE252" s="105"/>
      <c r="HF252" s="105"/>
      <c r="HG252" s="105"/>
      <c r="HH252" s="105"/>
      <c r="IV252"/>
    </row>
    <row r="253" spans="71:256" s="2" customFormat="1">
      <c r="BS253" s="2" t="s">
        <v>515</v>
      </c>
      <c r="BT253" s="105">
        <f>BYD!X347</f>
        <v>-0.26741589222678508</v>
      </c>
      <c r="BU253" s="105">
        <f>BYD!Y347</f>
        <v>-0.21526299787169356</v>
      </c>
      <c r="BV253" s="105">
        <f>BYD!Z347</f>
        <v>-0.33243034055727538</v>
      </c>
      <c r="BW253" s="105">
        <f>BYD!AA347</f>
        <v>-0.10098956215263621</v>
      </c>
      <c r="BX253" s="105">
        <f>BYD!AC347</f>
        <v>0.31320680499557518</v>
      </c>
      <c r="BY253" s="105">
        <f>BYD!AD347</f>
        <v>0.14296784192173595</v>
      </c>
      <c r="BZ253" s="105">
        <f>BYD!AE347</f>
        <v>0.2610144927536231</v>
      </c>
      <c r="CA253" s="105">
        <f>BYD!AF347</f>
        <v>-7.6673703256936232E-2</v>
      </c>
      <c r="CB253" s="105">
        <f>BYD!AH347</f>
        <v>-0.37307173880485245</v>
      </c>
      <c r="CC253" s="105">
        <f>BYD!AI347</f>
        <v>-0.21101694915254243</v>
      </c>
      <c r="CD253" s="105">
        <f>BYD!AJ347</f>
        <v>-0.34731640041374556</v>
      </c>
      <c r="CE253" s="105">
        <f>BYD!AK347</f>
        <v>-0.11276230913693153</v>
      </c>
      <c r="CF253" s="105">
        <f>BYD!AM347</f>
        <v>7.5489727663640593E-2</v>
      </c>
      <c r="CG253" s="105">
        <f>BYD!AN347</f>
        <v>6.0150375939849177E-3</v>
      </c>
      <c r="CH253" s="105">
        <f>BYD!AO347</f>
        <v>5.7404472618418634E-2</v>
      </c>
      <c r="GV253" s="1062"/>
      <c r="GW253" s="1062"/>
      <c r="GX253" s="1062"/>
      <c r="GY253" s="1062"/>
      <c r="HC253" s="105"/>
      <c r="HD253" s="105"/>
      <c r="HE253" s="105"/>
      <c r="HF253" s="105"/>
      <c r="HG253" s="105"/>
      <c r="HH253" s="105"/>
      <c r="IV253"/>
    </row>
    <row r="254" spans="71:256" s="2" customFormat="1">
      <c r="BS254" s="2" t="s">
        <v>693</v>
      </c>
      <c r="BT254" s="105">
        <f>BYD!X929</f>
        <v>-8.4251019498422952E-2</v>
      </c>
      <c r="BU254" s="105">
        <f>BYD!Y929</f>
        <v>-0.17062960174797526</v>
      </c>
      <c r="BV254" s="105">
        <f>BYD!Z929</f>
        <v>-0.17642034496059977</v>
      </c>
      <c r="BW254" s="105">
        <f>BYD!AA929</f>
        <v>-0.321243714877255</v>
      </c>
      <c r="BX254" s="105">
        <f>BYD!AC929</f>
        <v>-0.17199725958244727</v>
      </c>
      <c r="BY254" s="105">
        <f>BYD!AD929</f>
        <v>5.6586229798538445E-2</v>
      </c>
      <c r="BZ254" s="105">
        <f>BYD!AE929</f>
        <v>0.13008932454585032</v>
      </c>
      <c r="CA254" s="105">
        <f>BYD!AF929</f>
        <v>-7.3533416852780142E-3</v>
      </c>
      <c r="CB254" s="105">
        <f>BYD!AH929</f>
        <v>-0.17221181901319504</v>
      </c>
      <c r="CC254" s="105">
        <f>BYD!AI929</f>
        <v>-9.9861710597996756E-2</v>
      </c>
      <c r="CD254" s="105">
        <f>BYD!AJ929</f>
        <v>-0.19597684986456254</v>
      </c>
      <c r="CE254" s="105">
        <f>BYD!AK929</f>
        <v>-6.3624890254609046E-2</v>
      </c>
      <c r="CF254" s="105">
        <f>BYD!AM929</f>
        <v>-0.16663597864113444</v>
      </c>
      <c r="CG254" s="105">
        <f>BYD!AN929</f>
        <v>-0.10016294227188072</v>
      </c>
      <c r="CH254" s="105">
        <f>BYD!AO929</f>
        <v>-8.061635891676977E-2</v>
      </c>
      <c r="GV254" s="1062"/>
      <c r="GW254" s="1062"/>
      <c r="GX254" s="1062"/>
      <c r="GY254" s="1062"/>
      <c r="HC254" s="105"/>
      <c r="HD254" s="105"/>
      <c r="HE254" s="105"/>
      <c r="HF254" s="105"/>
      <c r="HG254" s="105"/>
      <c r="HH254" s="105"/>
      <c r="IV254"/>
    </row>
    <row r="255" spans="71:256" s="2" customFormat="1">
      <c r="BT255" s="105"/>
      <c r="BU255" s="105"/>
      <c r="BV255" s="105"/>
      <c r="BW255" s="105"/>
      <c r="BX255" s="105"/>
      <c r="BY255" s="105"/>
      <c r="BZ255" s="105"/>
      <c r="CA255" s="105"/>
      <c r="CB255" s="105"/>
      <c r="GV255" s="1062"/>
      <c r="GW255" s="1062"/>
      <c r="GX255" s="1062"/>
      <c r="GY255" s="1062"/>
      <c r="HC255" s="105"/>
      <c r="HD255" s="105"/>
      <c r="HE255" s="105"/>
      <c r="HF255" s="105"/>
      <c r="HG255" s="105"/>
      <c r="HH255" s="105"/>
      <c r="IV255"/>
    </row>
    <row r="256" spans="71:256" s="2" customFormat="1">
      <c r="BT256" s="101" t="s">
        <v>1322</v>
      </c>
      <c r="BU256" s="101" t="s">
        <v>1303</v>
      </c>
      <c r="BV256" s="101" t="s">
        <v>645</v>
      </c>
      <c r="BW256" s="101" t="s">
        <v>1126</v>
      </c>
      <c r="BX256" s="101" t="s">
        <v>1595</v>
      </c>
      <c r="BY256" s="101" t="s">
        <v>530</v>
      </c>
      <c r="BZ256" s="101" t="s">
        <v>657</v>
      </c>
      <c r="CA256" s="101" t="s">
        <v>1324</v>
      </c>
      <c r="CB256" s="101" t="s">
        <v>216</v>
      </c>
      <c r="CC256" s="101" t="s">
        <v>574</v>
      </c>
      <c r="CD256" s="101" t="s">
        <v>575</v>
      </c>
      <c r="CE256" s="101" t="s">
        <v>1720</v>
      </c>
      <c r="CF256" s="101" t="s">
        <v>729</v>
      </c>
      <c r="CG256" s="101" t="s">
        <v>612</v>
      </c>
      <c r="CH256" s="101" t="s">
        <v>409</v>
      </c>
      <c r="CI256" s="101" t="s">
        <v>1510</v>
      </c>
      <c r="CJ256" s="101" t="s">
        <v>1029</v>
      </c>
      <c r="CK256" s="101" t="s">
        <v>1699</v>
      </c>
      <c r="CL256" s="101" t="s">
        <v>1700</v>
      </c>
      <c r="GV256" s="1062"/>
      <c r="GW256" s="1062"/>
      <c r="GX256" s="1062"/>
      <c r="GY256" s="1062"/>
      <c r="HC256" s="105"/>
      <c r="HD256" s="105"/>
      <c r="HE256" s="105"/>
      <c r="HF256" s="105"/>
      <c r="HG256" s="105"/>
      <c r="HH256" s="105"/>
      <c r="IV256"/>
    </row>
    <row r="257" spans="71:256" s="2" customFormat="1">
      <c r="BS257" s="2" t="s">
        <v>401</v>
      </c>
      <c r="BT257" s="2">
        <f>SUM(BYD!S38:S41)</f>
        <v>145.74100000000001</v>
      </c>
      <c r="BU257" s="2">
        <f>SUM(BYD!T38:T41)</f>
        <v>138.07999999999998</v>
      </c>
      <c r="BV257" s="2">
        <f>SUM(BYD!U38:U41)</f>
        <v>128.08100000000002</v>
      </c>
      <c r="BW257" s="2">
        <f>SUM(BYD!V38:V41)</f>
        <v>131.518</v>
      </c>
      <c r="BX257" s="2">
        <f>SUM(BYD!X38:X41)</f>
        <v>122.42299999999999</v>
      </c>
      <c r="BY257" s="2">
        <f>SUM(BYD!Y38:Y41)</f>
        <v>118.08800000000001</v>
      </c>
      <c r="BZ257" s="2">
        <f>SUM(BYD!Z38:Z41)</f>
        <v>91.683999999999997</v>
      </c>
      <c r="CA257" s="2">
        <f>SUM(BYD!AA38:AA41)</f>
        <v>93.419000000000011</v>
      </c>
      <c r="CB257" s="2">
        <f>SUM(BYD!AC38:AC41)</f>
        <v>106.69499999999999</v>
      </c>
      <c r="CC257" s="2">
        <f>SUM(BYD!AD38:AD41)</f>
        <v>99.97</v>
      </c>
      <c r="CD257" s="2">
        <f>SUM(BYD!AE38:AE41)</f>
        <v>81.600999999999999</v>
      </c>
      <c r="CE257" s="2">
        <f>SUM(BYD!AF38:AF41)</f>
        <v>75.063999999999993</v>
      </c>
      <c r="CF257" s="2">
        <f>SUM(BYD!AH38:AH41)</f>
        <v>87.364999999999995</v>
      </c>
      <c r="CG257" s="2">
        <f>SUM(BYD!AI38:AI41)</f>
        <v>81.710000000000008</v>
      </c>
      <c r="CH257" s="2">
        <f>SUM(BYD!AJ38:AJ41)</f>
        <v>70.201999999999998</v>
      </c>
      <c r="CI257" s="2">
        <f>SUM(BYD!AK38:AK41)</f>
        <v>75.414000000000001</v>
      </c>
      <c r="CJ257" s="2">
        <f>SUM(BYD!AM38:AM41)</f>
        <v>89.858000000000004</v>
      </c>
      <c r="CK257" s="2">
        <f>SUM(BYD!AN38:AN41)</f>
        <v>90.212000000000003</v>
      </c>
      <c r="CL257" s="2">
        <f>SUM(BYD!AO38:AO41)</f>
        <v>81.322000000000003</v>
      </c>
      <c r="GV257" s="1062"/>
      <c r="GW257" s="1062"/>
      <c r="GX257" s="1062"/>
      <c r="GY257" s="1062"/>
      <c r="HC257" s="105"/>
      <c r="HD257" s="105"/>
      <c r="HE257" s="105"/>
      <c r="HF257" s="105"/>
      <c r="HG257" s="105"/>
      <c r="HH257" s="105"/>
      <c r="IV257"/>
    </row>
    <row r="258" spans="71:256" s="2" customFormat="1">
      <c r="BS258" s="2" t="s">
        <v>273</v>
      </c>
      <c r="BT258" s="2">
        <f>BYD!S927</f>
        <v>60.568999999999988</v>
      </c>
      <c r="BU258" s="2">
        <f>BYD!T927</f>
        <v>54.462999999999994</v>
      </c>
      <c r="BV258" s="2">
        <f>BYD!U927</f>
        <v>72.587999999999994</v>
      </c>
      <c r="BW258" s="2">
        <f>BYD!V927</f>
        <v>54.096000000000004</v>
      </c>
      <c r="BX258" s="2">
        <f>BYD!X927</f>
        <v>55.466000000000008</v>
      </c>
      <c r="BY258" s="2">
        <f>BYD!Y927</f>
        <v>45.170000000000016</v>
      </c>
      <c r="BZ258" s="2">
        <f>BYD!Z927</f>
        <v>59.781999999999982</v>
      </c>
      <c r="CA258" s="2">
        <f>BYD!AA927</f>
        <v>36.718000000000018</v>
      </c>
      <c r="CB258" s="2">
        <f>BYD!AC927</f>
        <v>45.925999999999988</v>
      </c>
      <c r="CC258" s="2">
        <f>BYD!AD927</f>
        <v>47.725999999999999</v>
      </c>
      <c r="CD258" s="2">
        <f>BYD!AE927</f>
        <v>67.558999999999997</v>
      </c>
      <c r="CE258" s="2">
        <f>BYD!AF927</f>
        <v>36.447999999999979</v>
      </c>
      <c r="CF258" s="2">
        <f>BYD!AH927</f>
        <v>38.016999999999996</v>
      </c>
      <c r="CG258" s="2">
        <f>BYD!AI927</f>
        <v>42.960000000000008</v>
      </c>
      <c r="CH258" s="2">
        <f>BYD!AJ927</f>
        <v>54.319000000000017</v>
      </c>
      <c r="CI258" s="2">
        <f>BYD!AK927</f>
        <v>34.128999999999991</v>
      </c>
      <c r="CJ258" s="2">
        <f>BYD!AM927</f>
        <v>31.681999999999988</v>
      </c>
      <c r="CK258" s="2">
        <f>BYD!AN927</f>
        <v>38.657000000000011</v>
      </c>
      <c r="CL258" s="2">
        <f>BYD!AO927</f>
        <v>49.94</v>
      </c>
      <c r="GV258" s="1062"/>
      <c r="GW258" s="1062"/>
      <c r="GX258" s="1062"/>
      <c r="GY258" s="1062"/>
      <c r="HC258" s="105"/>
      <c r="HD258" s="105"/>
      <c r="HE258" s="105"/>
      <c r="HF258" s="105"/>
      <c r="HG258" s="105"/>
      <c r="HH258" s="105"/>
      <c r="IV258"/>
    </row>
    <row r="259" spans="71:256" s="2" customFormat="1">
      <c r="BS259" s="2" t="s">
        <v>310</v>
      </c>
      <c r="BT259" s="2">
        <f t="shared" ref="BT259:CH259" si="28">SUM(BT257:BT258)</f>
        <v>206.31</v>
      </c>
      <c r="BU259" s="2">
        <f t="shared" si="28"/>
        <v>192.54299999999998</v>
      </c>
      <c r="BV259" s="2">
        <f t="shared" si="28"/>
        <v>200.66900000000001</v>
      </c>
      <c r="BW259" s="2">
        <f t="shared" si="28"/>
        <v>185.614</v>
      </c>
      <c r="BX259" s="2">
        <f t="shared" si="28"/>
        <v>177.88900000000001</v>
      </c>
      <c r="BY259" s="2">
        <f t="shared" si="28"/>
        <v>163.25800000000004</v>
      </c>
      <c r="BZ259" s="2">
        <f t="shared" si="28"/>
        <v>151.46599999999998</v>
      </c>
      <c r="CA259" s="2">
        <f t="shared" si="28"/>
        <v>130.13700000000003</v>
      </c>
      <c r="CB259" s="2">
        <f t="shared" si="28"/>
        <v>152.62099999999998</v>
      </c>
      <c r="CC259" s="2">
        <f t="shared" si="28"/>
        <v>147.696</v>
      </c>
      <c r="CD259" s="2">
        <f t="shared" si="28"/>
        <v>149.16</v>
      </c>
      <c r="CE259" s="2">
        <f t="shared" si="28"/>
        <v>111.51199999999997</v>
      </c>
      <c r="CF259" s="2">
        <f t="shared" si="28"/>
        <v>125.38199999999999</v>
      </c>
      <c r="CG259" s="2">
        <f t="shared" si="28"/>
        <v>124.67000000000002</v>
      </c>
      <c r="CH259" s="2">
        <f t="shared" si="28"/>
        <v>124.52100000000002</v>
      </c>
      <c r="CI259" s="2">
        <f>SUM(CI257:CI258)</f>
        <v>109.54299999999999</v>
      </c>
      <c r="CJ259" s="2">
        <f>SUM(CJ257:CJ258)</f>
        <v>121.53999999999999</v>
      </c>
      <c r="CK259" s="2">
        <f>SUM(CK257:CK258)</f>
        <v>128.86900000000003</v>
      </c>
      <c r="CL259" s="2">
        <f>SUM(CL257:CL258)</f>
        <v>131.262</v>
      </c>
      <c r="GV259" s="1062"/>
      <c r="GW259" s="1062"/>
      <c r="GX259" s="1062"/>
      <c r="GY259" s="1062"/>
      <c r="HC259" s="105"/>
      <c r="HD259" s="105"/>
      <c r="HE259" s="105"/>
      <c r="HF259" s="105"/>
      <c r="HG259" s="105"/>
      <c r="HH259" s="105"/>
      <c r="IV259"/>
    </row>
    <row r="260" spans="71:256" s="2" customFormat="1">
      <c r="BS260" s="2" t="s">
        <v>186</v>
      </c>
      <c r="BX260" s="105">
        <f>(BX259-BT259)/BT259</f>
        <v>-0.13775871261693565</v>
      </c>
      <c r="BY260" s="105">
        <f>(BY259-BU259)/BU259</f>
        <v>-0.15209589546231203</v>
      </c>
      <c r="BZ260" s="105">
        <f t="shared" ref="BZ260:CL260" si="29">(BZ259-BV259)/BV259</f>
        <v>-0.24519482331600809</v>
      </c>
      <c r="CA260" s="105">
        <f t="shared" si="29"/>
        <v>-0.29888370489294974</v>
      </c>
      <c r="CB260" s="105">
        <f t="shared" si="29"/>
        <v>-0.14204363395150923</v>
      </c>
      <c r="CC260" s="105">
        <f t="shared" si="29"/>
        <v>-9.5321515637825011E-2</v>
      </c>
      <c r="CD260" s="105">
        <f t="shared" si="29"/>
        <v>-1.5224538840399716E-2</v>
      </c>
      <c r="CE260" s="105">
        <f t="shared" si="29"/>
        <v>-0.14311840598753661</v>
      </c>
      <c r="CF260" s="105">
        <f t="shared" si="29"/>
        <v>-0.17847478394192146</v>
      </c>
      <c r="CG260" s="105">
        <f t="shared" si="29"/>
        <v>-0.15590131080056319</v>
      </c>
      <c r="CH260" s="105">
        <f t="shared" si="29"/>
        <v>-0.1651850362027352</v>
      </c>
      <c r="CI260" s="105">
        <f t="shared" si="29"/>
        <v>-1.7657292488700592E-2</v>
      </c>
      <c r="CJ260" s="105">
        <f t="shared" si="29"/>
        <v>-3.0642356957138975E-2</v>
      </c>
      <c r="CK260" s="105">
        <f t="shared" si="29"/>
        <v>3.3680917622523558E-2</v>
      </c>
      <c r="CL260" s="105">
        <f t="shared" si="29"/>
        <v>5.413544703303045E-2</v>
      </c>
      <c r="GV260" s="1062"/>
      <c r="GW260" s="1062"/>
      <c r="GX260" s="1062"/>
      <c r="GY260" s="1062"/>
      <c r="HC260" s="105"/>
      <c r="HD260" s="105"/>
      <c r="HE260" s="105"/>
      <c r="HF260" s="105"/>
      <c r="HG260" s="105"/>
      <c r="HH260" s="105"/>
      <c r="IV260"/>
    </row>
    <row r="261" spans="71:256" s="2" customFormat="1">
      <c r="GV261" s="1062"/>
      <c r="GW261" s="1062"/>
      <c r="GX261" s="1062"/>
      <c r="GY261" s="1062"/>
      <c r="HC261" s="105"/>
      <c r="HD261" s="105"/>
      <c r="HE261" s="105"/>
      <c r="HF261" s="105"/>
      <c r="HG261" s="105"/>
      <c r="HH261" s="105"/>
      <c r="IV261"/>
    </row>
    <row r="262" spans="71:256" s="2" customFormat="1">
      <c r="BS262" s="2" t="s">
        <v>212</v>
      </c>
      <c r="BX262" s="2">
        <f>BX257+(0.5*BX258)</f>
        <v>150.15600000000001</v>
      </c>
      <c r="BY262" s="2">
        <f t="shared" ref="BY262:CF262" si="30">BY257+(0.5*BY258)</f>
        <v>140.673</v>
      </c>
      <c r="BZ262" s="2">
        <f t="shared" si="30"/>
        <v>121.57499999999999</v>
      </c>
      <c r="CA262" s="2">
        <f t="shared" si="30"/>
        <v>111.77800000000002</v>
      </c>
      <c r="CB262" s="2">
        <f t="shared" si="30"/>
        <v>129.65799999999999</v>
      </c>
      <c r="CC262" s="2">
        <f t="shared" si="30"/>
        <v>123.833</v>
      </c>
      <c r="CD262" s="2">
        <f t="shared" si="30"/>
        <v>115.3805</v>
      </c>
      <c r="CE262" s="2">
        <f t="shared" si="30"/>
        <v>93.287999999999982</v>
      </c>
      <c r="CF262" s="166">
        <f t="shared" si="30"/>
        <v>106.37349999999999</v>
      </c>
      <c r="CG262" s="166">
        <f t="shared" ref="CG262:CL262" si="31">CG257+(0.5*CG258)</f>
        <v>103.19000000000001</v>
      </c>
      <c r="CH262" s="1278">
        <f t="shared" si="31"/>
        <v>97.361500000000007</v>
      </c>
      <c r="CI262" s="1278">
        <f t="shared" si="31"/>
        <v>92.478499999999997</v>
      </c>
      <c r="CJ262" s="1278">
        <f t="shared" si="31"/>
        <v>105.699</v>
      </c>
      <c r="CK262" s="1278">
        <f t="shared" si="31"/>
        <v>109.54050000000001</v>
      </c>
      <c r="CL262" s="1278">
        <f t="shared" si="31"/>
        <v>106.292</v>
      </c>
      <c r="GV262" s="1062"/>
      <c r="GW262" s="1062"/>
      <c r="GX262" s="1062"/>
      <c r="GY262" s="1062"/>
      <c r="HC262" s="105"/>
      <c r="HD262" s="105"/>
      <c r="HE262" s="105"/>
      <c r="HF262" s="105"/>
      <c r="HG262" s="105"/>
      <c r="HH262" s="105"/>
      <c r="IV262"/>
    </row>
    <row r="263" spans="71:256" s="2" customFormat="1">
      <c r="BS263" s="2" t="s">
        <v>213</v>
      </c>
      <c r="BX263" s="2">
        <f t="shared" ref="BX263:CI263" si="32">BX215+(0.5*BX216)</f>
        <v>572.13</v>
      </c>
      <c r="BY263" s="2">
        <f t="shared" si="32"/>
        <v>563.29449999999997</v>
      </c>
      <c r="BZ263" s="2">
        <f t="shared" si="32"/>
        <v>546.41550000000007</v>
      </c>
      <c r="CA263" s="2">
        <f t="shared" si="32"/>
        <v>514.37149999999997</v>
      </c>
      <c r="CB263" s="2">
        <f t="shared" si="32"/>
        <v>528.79</v>
      </c>
      <c r="CC263" s="2">
        <f t="shared" si="32"/>
        <v>518.70650000000001</v>
      </c>
      <c r="CD263" s="2">
        <f t="shared" si="32"/>
        <v>509.54149999999998</v>
      </c>
      <c r="CE263" s="2">
        <f t="shared" si="32"/>
        <v>472.65199999999999</v>
      </c>
      <c r="CF263" s="2">
        <f t="shared" si="32"/>
        <v>485.89200000000005</v>
      </c>
      <c r="CG263" s="2">
        <f t="shared" si="32"/>
        <v>483.42600000000004</v>
      </c>
      <c r="CH263" s="1062">
        <f t="shared" si="32"/>
        <v>490.02949999999998</v>
      </c>
      <c r="CI263" s="1062">
        <f t="shared" si="32"/>
        <v>466.19500000000005</v>
      </c>
      <c r="CJ263" s="1062">
        <f>CJ215+(0.5*CJ216)</f>
        <v>478.86</v>
      </c>
      <c r="CK263" s="1062">
        <f>CK215+(0.5*CK216)</f>
        <v>481.55</v>
      </c>
      <c r="CL263" s="1062">
        <f>CL215+(0.5*CL216)</f>
        <v>488.15700000000004</v>
      </c>
      <c r="GV263" s="1062"/>
      <c r="GW263" s="1062"/>
      <c r="GX263" s="1062"/>
      <c r="GY263" s="1062"/>
      <c r="HC263" s="105"/>
      <c r="HD263" s="105"/>
      <c r="HE263" s="105"/>
      <c r="HF263" s="105"/>
      <c r="HG263" s="105"/>
      <c r="HH263" s="105"/>
      <c r="IV263"/>
    </row>
    <row r="264" spans="71:256" s="2" customFormat="1">
      <c r="BS264" s="2" t="s">
        <v>214</v>
      </c>
      <c r="BX264" s="105">
        <f>BX262/BX263</f>
        <v>0.26245084159194587</v>
      </c>
      <c r="BY264" s="105">
        <f t="shared" ref="BY264:CJ264" si="33">BY262/BY263</f>
        <v>0.2497325999099938</v>
      </c>
      <c r="BZ264" s="105">
        <f t="shared" si="33"/>
        <v>0.2224955185202469</v>
      </c>
      <c r="CA264" s="105">
        <f t="shared" si="33"/>
        <v>0.21730986261874935</v>
      </c>
      <c r="CB264" s="105">
        <f t="shared" si="33"/>
        <v>0.24519752642826073</v>
      </c>
      <c r="CC264" s="105">
        <f t="shared" si="33"/>
        <v>0.23873423602750302</v>
      </c>
      <c r="CD264" s="105">
        <f t="shared" si="33"/>
        <v>0.22643984837348871</v>
      </c>
      <c r="CE264" s="105">
        <f t="shared" si="33"/>
        <v>0.19737142760424156</v>
      </c>
      <c r="CF264" s="105">
        <f t="shared" si="33"/>
        <v>0.21892416421756272</v>
      </c>
      <c r="CG264" s="105">
        <f t="shared" si="33"/>
        <v>0.21345562712804028</v>
      </c>
      <c r="CH264" s="1290">
        <f t="shared" si="33"/>
        <v>0.19868497712892796</v>
      </c>
      <c r="CI264" s="1290">
        <f t="shared" si="33"/>
        <v>0.19836870837310563</v>
      </c>
      <c r="CJ264" s="1290">
        <f t="shared" si="33"/>
        <v>0.22073048490164138</v>
      </c>
      <c r="CK264" s="1290">
        <f>CK262/CK263</f>
        <v>0.22747482089087323</v>
      </c>
      <c r="CL264" s="1290">
        <f>CL262/CL263</f>
        <v>0.21774142335355223</v>
      </c>
      <c r="GV264" s="1062"/>
      <c r="GW264" s="1062"/>
      <c r="GX264" s="1062"/>
      <c r="GY264" s="1062"/>
      <c r="HC264" s="105"/>
      <c r="HD264" s="105"/>
      <c r="HE264" s="105"/>
      <c r="HF264" s="105"/>
      <c r="HG264" s="105"/>
      <c r="HH264" s="105"/>
      <c r="IV264"/>
    </row>
    <row r="265" spans="71:256" s="2" customFormat="1">
      <c r="GV265" s="1062"/>
      <c r="GW265" s="1062"/>
      <c r="GX265" s="1062"/>
      <c r="GY265" s="1062"/>
      <c r="HC265" s="105"/>
      <c r="HD265" s="105"/>
      <c r="HE265" s="105"/>
      <c r="HF265" s="105"/>
      <c r="HG265" s="105"/>
      <c r="HH265" s="105"/>
      <c r="IV265"/>
    </row>
    <row r="266" spans="71:256" s="2" customFormat="1">
      <c r="GV266" s="1062"/>
      <c r="GW266" s="1062"/>
      <c r="GX266" s="1062"/>
      <c r="GY266" s="1062"/>
      <c r="HC266" s="105"/>
      <c r="HD266" s="105"/>
      <c r="HE266" s="105"/>
      <c r="HF266" s="105"/>
      <c r="HG266" s="105"/>
      <c r="HH266" s="105"/>
      <c r="IV266"/>
    </row>
    <row r="267" spans="71:256" s="2" customFormat="1">
      <c r="GV267" s="1062"/>
      <c r="GW267" s="1062"/>
      <c r="GX267" s="1062"/>
      <c r="GY267" s="1062"/>
      <c r="HC267" s="105"/>
      <c r="HD267" s="105"/>
      <c r="HE267" s="105"/>
      <c r="HF267" s="105"/>
      <c r="HG267" s="105"/>
      <c r="HH267" s="105"/>
      <c r="IV267"/>
    </row>
    <row r="268" spans="71:256" s="2" customFormat="1">
      <c r="GV268" s="1062"/>
      <c r="GW268" s="1062"/>
      <c r="GX268" s="1062"/>
      <c r="GY268" s="1062"/>
      <c r="HC268" s="105"/>
      <c r="HD268" s="105"/>
      <c r="HE268" s="105"/>
      <c r="HF268" s="105"/>
      <c r="HG268" s="105"/>
      <c r="HH268" s="105"/>
      <c r="IV268"/>
    </row>
    <row r="269" spans="71:256" s="2" customFormat="1">
      <c r="GV269" s="1062"/>
      <c r="GW269" s="1062"/>
      <c r="GX269" s="1062"/>
      <c r="GY269" s="1062"/>
      <c r="HC269" s="105"/>
      <c r="HD269" s="105"/>
      <c r="HE269" s="105"/>
      <c r="HF269" s="105"/>
      <c r="HG269" s="105"/>
      <c r="HH269" s="105"/>
      <c r="IV269"/>
    </row>
    <row r="270" spans="71:256" s="2" customFormat="1">
      <c r="GV270" s="1062"/>
      <c r="GW270" s="1062"/>
      <c r="GX270" s="1062"/>
      <c r="GY270" s="1062"/>
      <c r="HC270" s="105"/>
      <c r="HD270" s="105"/>
      <c r="HE270" s="105"/>
      <c r="HF270" s="105"/>
      <c r="HG270" s="105"/>
      <c r="HH270" s="105"/>
      <c r="IV270"/>
    </row>
    <row r="271" spans="71:256" s="2" customFormat="1">
      <c r="GV271" s="1062"/>
      <c r="GW271" s="1062"/>
      <c r="GX271" s="1062"/>
      <c r="GY271" s="1062"/>
      <c r="HC271" s="105"/>
      <c r="HD271" s="105"/>
      <c r="HE271" s="105"/>
      <c r="HF271" s="105"/>
      <c r="HG271" s="105"/>
      <c r="HH271" s="105"/>
      <c r="IV271"/>
    </row>
    <row r="272" spans="71:256" s="2" customFormat="1">
      <c r="GV272" s="1062"/>
      <c r="GW272" s="1062"/>
      <c r="GX272" s="1062"/>
      <c r="GY272" s="1062"/>
      <c r="HC272" s="105"/>
      <c r="HD272" s="105"/>
      <c r="HE272" s="105"/>
      <c r="HF272" s="105"/>
      <c r="HG272" s="105"/>
      <c r="HH272" s="105"/>
      <c r="IV272"/>
    </row>
    <row r="273" spans="204:256" s="2" customFormat="1">
      <c r="GV273" s="1062"/>
      <c r="GW273" s="1062"/>
      <c r="GX273" s="1062"/>
      <c r="GY273" s="1062"/>
      <c r="HC273" s="105"/>
      <c r="HD273" s="105"/>
      <c r="HE273" s="105"/>
      <c r="HF273" s="105"/>
      <c r="HG273" s="105"/>
      <c r="HH273" s="105"/>
      <c r="IV273"/>
    </row>
    <row r="274" spans="204:256" s="2" customFormat="1">
      <c r="GV274" s="1062"/>
      <c r="GW274" s="1062"/>
      <c r="GX274" s="1062"/>
      <c r="GY274" s="1062"/>
      <c r="HC274" s="105"/>
      <c r="HD274" s="105"/>
      <c r="HE274" s="105"/>
      <c r="HF274" s="105"/>
      <c r="HG274" s="105"/>
      <c r="HH274" s="105"/>
      <c r="IV274"/>
    </row>
    <row r="275" spans="204:256" s="2" customFormat="1">
      <c r="GV275" s="1062"/>
      <c r="GW275" s="1062"/>
      <c r="GX275" s="1062"/>
      <c r="GY275" s="1062"/>
      <c r="HC275" s="105"/>
      <c r="HD275" s="105"/>
      <c r="HE275" s="105"/>
      <c r="HF275" s="105"/>
      <c r="HG275" s="105"/>
      <c r="HH275" s="105"/>
      <c r="IV275"/>
    </row>
    <row r="276" spans="204:256" s="2" customFormat="1">
      <c r="GV276" s="1062"/>
      <c r="GW276" s="1062"/>
      <c r="GX276" s="1062"/>
      <c r="GY276" s="1062"/>
      <c r="HC276" s="105"/>
      <c r="HD276" s="105"/>
      <c r="HE276" s="105"/>
      <c r="HF276" s="105"/>
      <c r="HG276" s="105"/>
      <c r="HH276" s="105"/>
      <c r="IV276"/>
    </row>
    <row r="277" spans="204:256" s="2" customFormat="1">
      <c r="GV277" s="1062"/>
      <c r="GW277" s="1062"/>
      <c r="GX277" s="1062"/>
      <c r="GY277" s="1062"/>
      <c r="HC277" s="105"/>
      <c r="HD277" s="105"/>
      <c r="HE277" s="105"/>
      <c r="HF277" s="105"/>
      <c r="HG277" s="105"/>
      <c r="HH277" s="105"/>
      <c r="IV277"/>
    </row>
    <row r="278" spans="204:256" s="2" customFormat="1">
      <c r="GV278" s="1062"/>
      <c r="GW278" s="1062"/>
      <c r="GX278" s="1062"/>
      <c r="GY278" s="1062"/>
      <c r="HC278" s="105"/>
      <c r="HD278" s="105"/>
      <c r="HE278" s="105"/>
      <c r="HF278" s="105"/>
      <c r="HG278" s="105"/>
      <c r="HH278" s="105"/>
      <c r="IV278"/>
    </row>
    <row r="279" spans="204:256" s="2" customFormat="1">
      <c r="GV279" s="1062"/>
      <c r="GW279" s="1062"/>
      <c r="GX279" s="1062"/>
      <c r="GY279" s="1062"/>
      <c r="HC279" s="105"/>
      <c r="HD279" s="105"/>
      <c r="HE279" s="105"/>
      <c r="HF279" s="105"/>
      <c r="HG279" s="105"/>
      <c r="HH279" s="105"/>
      <c r="IV279"/>
    </row>
    <row r="280" spans="204:256" s="2" customFormat="1">
      <c r="GV280" s="1062"/>
      <c r="GW280" s="1062"/>
      <c r="GX280" s="1062"/>
      <c r="GY280" s="1062"/>
      <c r="HC280" s="105"/>
      <c r="HD280" s="105"/>
      <c r="HE280" s="105"/>
      <c r="HF280" s="105"/>
      <c r="HG280" s="105"/>
      <c r="HH280" s="105"/>
      <c r="IV280"/>
    </row>
    <row r="281" spans="204:256" s="2" customFormat="1">
      <c r="GV281" s="1062"/>
      <c r="GW281" s="1062"/>
      <c r="GX281" s="1062"/>
      <c r="GY281" s="1062"/>
      <c r="HC281" s="105"/>
      <c r="HD281" s="105"/>
      <c r="HE281" s="105"/>
      <c r="HF281" s="105"/>
      <c r="HG281" s="105"/>
      <c r="HH281" s="105"/>
      <c r="IV281"/>
    </row>
    <row r="282" spans="204:256" s="2" customFormat="1">
      <c r="GV282" s="1062"/>
      <c r="GW282" s="1062"/>
      <c r="GX282" s="1062"/>
      <c r="GY282" s="1062"/>
      <c r="HC282" s="105"/>
      <c r="HD282" s="105"/>
      <c r="HE282" s="105"/>
      <c r="HF282" s="105"/>
      <c r="HG282" s="105"/>
      <c r="HH282" s="105"/>
      <c r="IV282"/>
    </row>
    <row r="283" spans="204:256" s="2" customFormat="1">
      <c r="GV283" s="1062"/>
      <c r="GW283" s="1062"/>
      <c r="GX283" s="1062"/>
      <c r="GY283" s="1062"/>
      <c r="HC283" s="105"/>
      <c r="HD283" s="105"/>
      <c r="HE283" s="105"/>
      <c r="HF283" s="105"/>
      <c r="HG283" s="105"/>
      <c r="HH283" s="105"/>
      <c r="IV283"/>
    </row>
    <row r="284" spans="204:256" s="2" customFormat="1">
      <c r="GV284" s="1062"/>
      <c r="GW284" s="1062"/>
      <c r="GX284" s="1062"/>
      <c r="GY284" s="1062"/>
      <c r="HC284" s="105"/>
      <c r="HD284" s="105"/>
      <c r="HE284" s="105"/>
      <c r="HF284" s="105"/>
      <c r="HG284" s="105"/>
      <c r="HH284" s="105"/>
      <c r="IV284"/>
    </row>
    <row r="285" spans="204:256" s="2" customFormat="1">
      <c r="GV285" s="1062"/>
      <c r="GW285" s="1062"/>
      <c r="GX285" s="1062"/>
      <c r="GY285" s="1062"/>
      <c r="HC285" s="105"/>
      <c r="HD285" s="105"/>
      <c r="HE285" s="105"/>
      <c r="HF285" s="105"/>
      <c r="HG285" s="105"/>
      <c r="HH285" s="105"/>
      <c r="IV285"/>
    </row>
    <row r="286" spans="204:256" s="2" customFormat="1">
      <c r="GV286" s="1062"/>
      <c r="GW286" s="1062"/>
      <c r="GX286" s="1062"/>
      <c r="GY286" s="1062"/>
      <c r="HC286" s="105"/>
      <c r="HD286" s="105"/>
      <c r="HE286" s="105"/>
      <c r="HF286" s="105"/>
      <c r="HG286" s="105"/>
      <c r="HH286" s="105"/>
      <c r="IV286"/>
    </row>
    <row r="287" spans="204:256" s="2" customFormat="1">
      <c r="GV287" s="1062"/>
      <c r="GW287" s="1062"/>
      <c r="GX287" s="1062"/>
      <c r="GY287" s="1062"/>
      <c r="HC287" s="105"/>
      <c r="HD287" s="105"/>
      <c r="HE287" s="105"/>
      <c r="HF287" s="105"/>
      <c r="HG287" s="105"/>
      <c r="HH287" s="105"/>
      <c r="IV287"/>
    </row>
    <row r="288" spans="204:256" s="2" customFormat="1">
      <c r="GV288" s="1062"/>
      <c r="GW288" s="1062"/>
      <c r="GX288" s="1062"/>
      <c r="GY288" s="1062"/>
      <c r="HC288" s="105"/>
      <c r="HD288" s="105"/>
      <c r="HE288" s="105"/>
      <c r="HF288" s="105"/>
      <c r="HG288" s="105"/>
      <c r="HH288" s="105"/>
      <c r="IV288"/>
    </row>
    <row r="289" spans="92:256" s="2" customFormat="1">
      <c r="GV289" s="1062"/>
      <c r="GW289" s="1062"/>
      <c r="GX289" s="1062"/>
      <c r="GY289" s="1062"/>
      <c r="HC289" s="105"/>
      <c r="HD289" s="105"/>
      <c r="HE289" s="105"/>
      <c r="HF289" s="105"/>
      <c r="HG289" s="105"/>
      <c r="HH289" s="105"/>
      <c r="IV289"/>
    </row>
    <row r="290" spans="92:256" s="2" customFormat="1">
      <c r="GV290" s="1062"/>
      <c r="GW290" s="1062"/>
      <c r="GX290" s="1062"/>
      <c r="GY290" s="1062"/>
      <c r="HC290" s="105"/>
      <c r="HD290" s="105"/>
      <c r="HE290" s="105"/>
      <c r="HF290" s="105"/>
      <c r="HG290" s="105"/>
      <c r="HH290" s="105"/>
      <c r="IV290"/>
    </row>
    <row r="291" spans="92:256" s="2" customFormat="1">
      <c r="GV291" s="1062"/>
      <c r="GW291" s="1062"/>
      <c r="GX291" s="1062"/>
      <c r="GY291" s="1062"/>
      <c r="HC291" s="105"/>
      <c r="HD291" s="105"/>
      <c r="HE291" s="105"/>
      <c r="HF291" s="105"/>
      <c r="HG291" s="105"/>
      <c r="HH291" s="105"/>
      <c r="IV291"/>
    </row>
    <row r="292" spans="92:256" s="2" customFormat="1">
      <c r="GV292" s="1062"/>
      <c r="GW292" s="1062"/>
      <c r="GX292" s="1062"/>
      <c r="GY292" s="1062"/>
      <c r="HC292" s="105"/>
      <c r="HD292" s="105"/>
      <c r="HE292" s="105"/>
      <c r="HF292" s="105"/>
      <c r="HG292" s="105"/>
      <c r="HH292" s="105"/>
      <c r="IV292"/>
    </row>
    <row r="293" spans="92:256" s="2" customFormat="1">
      <c r="CN293" s="1" t="s">
        <v>209</v>
      </c>
      <c r="GV293" s="1062"/>
      <c r="GW293" s="1062"/>
      <c r="GX293" s="1062"/>
      <c r="GY293" s="1062"/>
      <c r="HC293" s="105"/>
      <c r="HD293" s="105"/>
      <c r="HE293" s="105"/>
      <c r="HF293" s="105"/>
      <c r="HG293" s="105"/>
      <c r="HH293" s="105"/>
      <c r="IV293"/>
    </row>
    <row r="294" spans="92:256" s="2" customFormat="1">
      <c r="GV294" s="1062"/>
      <c r="GW294" s="1062"/>
      <c r="GX294" s="1062"/>
      <c r="GY294" s="1062"/>
      <c r="HC294" s="105"/>
      <c r="HD294" s="105"/>
      <c r="HE294" s="105"/>
      <c r="HF294" s="105"/>
      <c r="HG294" s="105"/>
      <c r="HH294" s="105"/>
      <c r="IV294"/>
    </row>
    <row r="295" spans="92:256" s="2" customFormat="1">
      <c r="CO295" s="101" t="s">
        <v>1322</v>
      </c>
      <c r="CP295" s="101" t="s">
        <v>1303</v>
      </c>
      <c r="CQ295" s="101" t="s">
        <v>645</v>
      </c>
      <c r="CR295" s="101" t="s">
        <v>1126</v>
      </c>
      <c r="CS295" s="101" t="s">
        <v>1595</v>
      </c>
      <c r="CT295" s="101" t="s">
        <v>530</v>
      </c>
      <c r="CU295" s="101" t="s">
        <v>657</v>
      </c>
      <c r="CV295" s="101" t="s">
        <v>1324</v>
      </c>
      <c r="CW295" s="101" t="s">
        <v>216</v>
      </c>
      <c r="CX295" s="101" t="s">
        <v>574</v>
      </c>
      <c r="CY295" s="101" t="s">
        <v>575</v>
      </c>
      <c r="CZ295" s="101" t="s">
        <v>1720</v>
      </c>
      <c r="DA295" s="101" t="s">
        <v>729</v>
      </c>
      <c r="DB295" s="101" t="s">
        <v>612</v>
      </c>
      <c r="DC295" s="101" t="s">
        <v>409</v>
      </c>
      <c r="DD295" s="101" t="s">
        <v>1510</v>
      </c>
      <c r="DE295" s="101" t="s">
        <v>1029</v>
      </c>
      <c r="DF295" s="101" t="s">
        <v>1699</v>
      </c>
      <c r="DG295" s="101" t="s">
        <v>1700</v>
      </c>
      <c r="DH295" s="101" t="s">
        <v>1565</v>
      </c>
      <c r="DI295" s="101" t="s">
        <v>1647</v>
      </c>
      <c r="DJ295" s="101" t="s">
        <v>727</v>
      </c>
      <c r="DK295" s="101" t="s">
        <v>23</v>
      </c>
      <c r="DL295" s="101" t="s">
        <v>1660</v>
      </c>
      <c r="DM295" s="101"/>
      <c r="DN295" s="101"/>
      <c r="DO295" s="101"/>
      <c r="GV295" s="1062"/>
      <c r="GW295" s="1062"/>
      <c r="GX295" s="1062"/>
      <c r="GY295" s="1062"/>
      <c r="HC295" s="105"/>
      <c r="HD295" s="105"/>
      <c r="HE295" s="105"/>
      <c r="HF295" s="105"/>
      <c r="HG295" s="105"/>
      <c r="HH295" s="105"/>
      <c r="IV295"/>
    </row>
    <row r="296" spans="92:256" s="2" customFormat="1">
      <c r="CO296" s="101"/>
      <c r="CP296" s="101"/>
      <c r="CQ296" s="101"/>
      <c r="CR296" s="101"/>
      <c r="CS296" s="101"/>
      <c r="CT296" s="101"/>
      <c r="CU296" s="101"/>
      <c r="CV296" s="101"/>
      <c r="CW296" s="101"/>
      <c r="CX296" s="101"/>
      <c r="CY296" s="101"/>
      <c r="CZ296" s="101"/>
      <c r="DA296" s="101"/>
      <c r="DB296" s="101"/>
      <c r="GV296" s="1062"/>
      <c r="GW296" s="1062"/>
      <c r="GX296" s="1062"/>
      <c r="GY296" s="1062"/>
      <c r="HC296" s="105"/>
      <c r="HD296" s="105"/>
      <c r="HE296" s="105"/>
      <c r="HF296" s="105"/>
      <c r="HG296" s="105"/>
      <c r="HH296" s="105"/>
      <c r="IV296"/>
    </row>
    <row r="297" spans="92:256" s="2" customFormat="1">
      <c r="CN297" s="2" t="s">
        <v>1312</v>
      </c>
      <c r="CO297" s="105">
        <f>BYD!S311</f>
        <v>0.34102922885572146</v>
      </c>
      <c r="CP297" s="105">
        <f>BYD!T311</f>
        <v>0.31644676731381932</v>
      </c>
      <c r="CQ297" s="105">
        <f>BYD!U311</f>
        <v>0.30077655519526703</v>
      </c>
      <c r="CR297" s="105">
        <f>BYD!V311</f>
        <v>0.33943255332347633</v>
      </c>
      <c r="CS297" s="105">
        <f>BYD!X311</f>
        <v>0.32279388263097236</v>
      </c>
      <c r="CT297" s="105">
        <f>BYD!Y311</f>
        <v>0.3154535715729474</v>
      </c>
      <c r="CU297" s="105">
        <f>BYD!Z311</f>
        <v>0.25128030232187148</v>
      </c>
      <c r="CV297" s="105">
        <f>BYD!AA311</f>
        <v>0.24786929006498173</v>
      </c>
      <c r="CW297" s="105">
        <f>BYD!AC311</f>
        <v>0.26643307720797887</v>
      </c>
      <c r="CX297" s="105">
        <f>BYD!AD311</f>
        <v>0.26435799117542602</v>
      </c>
      <c r="CY297" s="105">
        <f>BYD!AE311</f>
        <v>0.20804781457920118</v>
      </c>
      <c r="CZ297" s="105">
        <f>BYD!AF311</f>
        <v>0.22415239471884152</v>
      </c>
      <c r="DA297" s="105">
        <f>BYD!AH311</f>
        <v>0.25811128426538588</v>
      </c>
      <c r="DB297" s="105">
        <f>BYD!AI311</f>
        <v>0.24046564496531181</v>
      </c>
      <c r="DC297" s="105">
        <f>BYD!AJ311</f>
        <v>0.1793767557506199</v>
      </c>
      <c r="DD297" s="105">
        <f>BYD!AK311</f>
        <v>0.22432505275336406</v>
      </c>
      <c r="DE297" s="105">
        <f>BYD!AM311</f>
        <v>0.25655744600987579</v>
      </c>
      <c r="DF297" s="105">
        <f>BYD!AN311</f>
        <v>0.25402407861113302</v>
      </c>
      <c r="DG297" s="105">
        <f>BYD!AO311</f>
        <v>0.21103382106020629</v>
      </c>
      <c r="DH297" s="105">
        <f>BYD!AP311</f>
        <v>0.24127678524650284</v>
      </c>
      <c r="DI297" s="105">
        <f>BYD!AR311</f>
        <v>0.24863523893816744</v>
      </c>
      <c r="DJ297" s="105">
        <f>BYD!AS311</f>
        <v>0.23179874754173183</v>
      </c>
      <c r="DK297" s="105">
        <f>BYD!AT311</f>
        <v>0.1748794915950341</v>
      </c>
      <c r="DL297" s="105">
        <f>BYD!AU311</f>
        <v>0.21143852147664091</v>
      </c>
      <c r="DM297" s="105"/>
      <c r="DN297" s="105"/>
      <c r="DO297" s="105"/>
      <c r="GV297" s="1062"/>
      <c r="GW297" s="1062"/>
      <c r="GX297" s="1062"/>
      <c r="GY297" s="1062"/>
      <c r="HC297" s="105"/>
      <c r="HD297" s="105"/>
      <c r="HE297" s="105"/>
      <c r="HF297" s="105"/>
      <c r="HG297" s="105"/>
      <c r="HH297" s="105"/>
      <c r="IV297"/>
    </row>
    <row r="298" spans="92:256" s="2" customFormat="1">
      <c r="CN298" s="2" t="s">
        <v>210</v>
      </c>
      <c r="CO298" s="105">
        <f>$CO$297</f>
        <v>0.34102922885572146</v>
      </c>
      <c r="CP298" s="105">
        <f>$CP$297</f>
        <v>0.31644676731381932</v>
      </c>
      <c r="CQ298" s="105">
        <f>$CQ$297</f>
        <v>0.30077655519526703</v>
      </c>
      <c r="CR298" s="105">
        <f>$CR$297</f>
        <v>0.33943255332347633</v>
      </c>
      <c r="CS298" s="105">
        <f>$CO$297</f>
        <v>0.34102922885572146</v>
      </c>
      <c r="CT298" s="105">
        <f>$CP$297</f>
        <v>0.31644676731381932</v>
      </c>
      <c r="CU298" s="105">
        <f>$CQ$297</f>
        <v>0.30077655519526703</v>
      </c>
      <c r="CV298" s="105">
        <f>$CR$297</f>
        <v>0.33943255332347633</v>
      </c>
      <c r="CW298" s="105">
        <f>$CO$297</f>
        <v>0.34102922885572146</v>
      </c>
      <c r="CX298" s="105">
        <f>$CP$297</f>
        <v>0.31644676731381932</v>
      </c>
      <c r="CY298" s="105">
        <f>$CQ$297</f>
        <v>0.30077655519526703</v>
      </c>
      <c r="CZ298" s="105">
        <f>$CR$297</f>
        <v>0.33943255332347633</v>
      </c>
      <c r="DA298" s="105">
        <f>$CO$297</f>
        <v>0.34102922885572146</v>
      </c>
      <c r="DB298" s="105">
        <f t="shared" ref="DB298:DH298" si="34">CP298</f>
        <v>0.31644676731381932</v>
      </c>
      <c r="DC298" s="105">
        <f t="shared" si="34"/>
        <v>0.30077655519526703</v>
      </c>
      <c r="DD298" s="105">
        <f t="shared" si="34"/>
        <v>0.33943255332347633</v>
      </c>
      <c r="DE298" s="105">
        <f t="shared" si="34"/>
        <v>0.34102922885572146</v>
      </c>
      <c r="DF298" s="105">
        <f t="shared" si="34"/>
        <v>0.31644676731381932</v>
      </c>
      <c r="DG298" s="105">
        <f t="shared" si="34"/>
        <v>0.30077655519526703</v>
      </c>
      <c r="DH298" s="105">
        <f t="shared" si="34"/>
        <v>0.33943255332347633</v>
      </c>
      <c r="DI298" s="105">
        <f>CX298</f>
        <v>0.31644676731381932</v>
      </c>
      <c r="DJ298" s="105">
        <f>CY298</f>
        <v>0.30077655519526703</v>
      </c>
      <c r="DK298" s="105">
        <f>CZ298</f>
        <v>0.33943255332347633</v>
      </c>
      <c r="DL298" s="105">
        <f>DA298</f>
        <v>0.34102922885572146</v>
      </c>
      <c r="DM298" s="105"/>
      <c r="DN298" s="105"/>
      <c r="DO298" s="105"/>
      <c r="GV298" s="1062"/>
      <c r="GW298" s="1062"/>
      <c r="GX298" s="1062"/>
      <c r="GY298" s="1062"/>
      <c r="HC298" s="105"/>
      <c r="HD298" s="105"/>
      <c r="HE298" s="105"/>
      <c r="HF298" s="105"/>
      <c r="HG298" s="105"/>
      <c r="HH298" s="105"/>
      <c r="IV298"/>
    </row>
    <row r="299" spans="92:256" s="2" customFormat="1">
      <c r="CN299" s="2" t="s">
        <v>211</v>
      </c>
      <c r="CO299" s="105">
        <f>CO297/CO298</f>
        <v>1</v>
      </c>
      <c r="CP299" s="105">
        <f t="shared" ref="CP299:DF299" si="35">CP297/CP298</f>
        <v>1</v>
      </c>
      <c r="CQ299" s="105">
        <f t="shared" si="35"/>
        <v>1</v>
      </c>
      <c r="CR299" s="105">
        <f t="shared" si="35"/>
        <v>1</v>
      </c>
      <c r="CS299" s="105">
        <f t="shared" si="35"/>
        <v>0.946528494680836</v>
      </c>
      <c r="CT299" s="105">
        <f t="shared" si="35"/>
        <v>0.9968614129027048</v>
      </c>
      <c r="CU299" s="105">
        <f t="shared" si="35"/>
        <v>0.83543846081599649</v>
      </c>
      <c r="CV299" s="105">
        <f t="shared" si="35"/>
        <v>0.73024607580512291</v>
      </c>
      <c r="CW299" s="105">
        <f t="shared" si="35"/>
        <v>0.78126170622371538</v>
      </c>
      <c r="CX299" s="105">
        <f t="shared" si="35"/>
        <v>0.83539482302014789</v>
      </c>
      <c r="CY299" s="105">
        <f t="shared" si="35"/>
        <v>0.69170223205772985</v>
      </c>
      <c r="CZ299" s="105">
        <f t="shared" si="35"/>
        <v>0.66037388731311875</v>
      </c>
      <c r="DA299" s="105">
        <f t="shared" si="35"/>
        <v>0.75685971296784216</v>
      </c>
      <c r="DB299" s="105">
        <f t="shared" si="35"/>
        <v>0.75989287868705813</v>
      </c>
      <c r="DC299" s="105">
        <f t="shared" si="35"/>
        <v>0.59637878236276354</v>
      </c>
      <c r="DD299" s="105">
        <f t="shared" si="35"/>
        <v>0.66088255400649276</v>
      </c>
      <c r="DE299" s="105">
        <f t="shared" si="35"/>
        <v>0.75230339308662908</v>
      </c>
      <c r="DF299" s="105">
        <f t="shared" si="35"/>
        <v>0.80273873791612504</v>
      </c>
      <c r="DG299" s="105">
        <f t="shared" ref="DG299:DL299" si="36">DG297/DG298</f>
        <v>0.70162988908228274</v>
      </c>
      <c r="DH299" s="105">
        <f t="shared" si="36"/>
        <v>0.71082394096882073</v>
      </c>
      <c r="DI299" s="105">
        <f t="shared" si="36"/>
        <v>0.78570952406537498</v>
      </c>
      <c r="DJ299" s="105">
        <f t="shared" si="36"/>
        <v>0.77066760536321011</v>
      </c>
      <c r="DK299" s="105">
        <f t="shared" si="36"/>
        <v>0.51521131336031711</v>
      </c>
      <c r="DL299" s="105">
        <f t="shared" si="36"/>
        <v>0.62000117170629321</v>
      </c>
      <c r="DM299" s="105"/>
      <c r="DN299" s="105"/>
      <c r="DO299" s="105"/>
      <c r="GV299" s="1062"/>
      <c r="GW299" s="1062"/>
      <c r="GX299" s="1062"/>
      <c r="GY299" s="1062"/>
      <c r="HC299" s="105"/>
      <c r="HD299" s="105"/>
      <c r="HE299" s="105"/>
      <c r="HF299" s="105"/>
      <c r="HG299" s="105"/>
      <c r="HH299" s="105"/>
      <c r="IV299"/>
    </row>
    <row r="300" spans="92:256" s="2" customFormat="1">
      <c r="CO300" s="105"/>
      <c r="CP300" s="105"/>
      <c r="CQ300" s="105"/>
      <c r="CR300" s="105"/>
      <c r="CS300" s="105"/>
      <c r="CT300" s="105"/>
      <c r="CU300" s="105"/>
      <c r="CV300" s="105"/>
      <c r="CW300" s="105"/>
      <c r="CX300" s="105"/>
      <c r="CY300" s="105"/>
      <c r="CZ300" s="105"/>
      <c r="DA300" s="105"/>
      <c r="DB300" s="105"/>
      <c r="GV300" s="1062"/>
      <c r="GW300" s="1062"/>
      <c r="GX300" s="1062"/>
      <c r="GY300" s="1062"/>
      <c r="HC300" s="105"/>
      <c r="HD300" s="105"/>
      <c r="HE300" s="105"/>
      <c r="HF300" s="105"/>
      <c r="HG300" s="105"/>
      <c r="HH300" s="105"/>
      <c r="IV300"/>
    </row>
    <row r="301" spans="92:256" s="2" customFormat="1">
      <c r="CN301" s="2" t="s">
        <v>401</v>
      </c>
      <c r="CO301" s="1276">
        <f>BYD!S310</f>
        <v>74.579000000000008</v>
      </c>
      <c r="CP301" s="1276">
        <f>BYD!T310</f>
        <v>66.843999999999994</v>
      </c>
      <c r="CQ301" s="1276">
        <f>BYD!U310</f>
        <v>61.312999999999988</v>
      </c>
      <c r="CR301" s="1276">
        <f>BYD!V310</f>
        <v>72.774000000000001</v>
      </c>
      <c r="CS301" s="1276">
        <f>BYD!X310</f>
        <v>66.655000000000001</v>
      </c>
      <c r="CT301" s="1276">
        <f>BYD!Y310</f>
        <v>62.426999999999992</v>
      </c>
      <c r="CU301" s="1276">
        <f>BYD!Z310</f>
        <v>45.680999999999983</v>
      </c>
      <c r="CV301" s="1276">
        <f>BYD!AA310</f>
        <v>43.828000000000003</v>
      </c>
      <c r="CW301" s="1276">
        <f>BYD!AC310</f>
        <v>45.32</v>
      </c>
      <c r="CX301" s="1276">
        <f>BYD!AD310</f>
        <v>43.917000000000002</v>
      </c>
      <c r="CY301" s="1276">
        <f>BYD!AE310</f>
        <v>31.363</v>
      </c>
      <c r="CZ301" s="1276">
        <f>BYD!AF310</f>
        <v>34.735999999999997</v>
      </c>
      <c r="DA301" s="1276">
        <f>BYD!AH310</f>
        <v>40.412999999999997</v>
      </c>
      <c r="DB301" s="1276">
        <f>BYD!AI310</f>
        <v>36.81</v>
      </c>
      <c r="DC301" s="1276">
        <f>BYD!AJ310</f>
        <v>26.116</v>
      </c>
      <c r="DD301" s="1276">
        <f>BYD!AK310</f>
        <v>34.125</v>
      </c>
      <c r="DE301" s="1276">
        <f>BYD!AM310</f>
        <v>39.643000000000001</v>
      </c>
      <c r="DF301" s="1276">
        <f>BYD!AN310</f>
        <v>38.57</v>
      </c>
      <c r="DG301" s="1276">
        <f>BYD!AO310</f>
        <v>30.792999999999999</v>
      </c>
      <c r="DH301" s="1276">
        <f>BYD!AP310</f>
        <v>36.841999999999999</v>
      </c>
      <c r="DI301" s="1276">
        <f>BYD!AR310</f>
        <v>38.485999999999997</v>
      </c>
      <c r="DJ301" s="1276">
        <f>BYD!AS310</f>
        <v>34.534999999999997</v>
      </c>
      <c r="DK301" s="1276">
        <f>BYD!AT310</f>
        <v>24.271000000000001</v>
      </c>
      <c r="DL301" s="1276">
        <f>BYD!AU310</f>
        <v>31.45</v>
      </c>
      <c r="DM301" s="1276"/>
      <c r="DN301" s="1276"/>
      <c r="DO301" s="1276"/>
      <c r="GV301" s="1062"/>
      <c r="GW301" s="1062"/>
      <c r="GX301" s="1062"/>
      <c r="GY301" s="1062"/>
      <c r="HC301" s="105"/>
      <c r="HD301" s="105"/>
      <c r="HE301" s="105"/>
      <c r="HF301" s="105"/>
      <c r="HG301" s="105"/>
      <c r="HH301" s="105"/>
      <c r="IV301"/>
    </row>
    <row r="302" spans="92:256" s="2" customFormat="1">
      <c r="CN302" s="2" t="s">
        <v>210</v>
      </c>
      <c r="CO302" s="1276">
        <f>$CO$301</f>
        <v>74.579000000000008</v>
      </c>
      <c r="CP302" s="1276">
        <f>$CP$301</f>
        <v>66.843999999999994</v>
      </c>
      <c r="CQ302" s="1276">
        <f>$CQ$301</f>
        <v>61.312999999999988</v>
      </c>
      <c r="CR302" s="1276">
        <f>$CR$301</f>
        <v>72.774000000000001</v>
      </c>
      <c r="CS302" s="1276">
        <f>$CO$301</f>
        <v>74.579000000000008</v>
      </c>
      <c r="CT302" s="1276">
        <f>$CP$301</f>
        <v>66.843999999999994</v>
      </c>
      <c r="CU302" s="1276">
        <f>$CQ$301</f>
        <v>61.312999999999988</v>
      </c>
      <c r="CV302" s="1276">
        <f>$CR$301</f>
        <v>72.774000000000001</v>
      </c>
      <c r="CW302" s="1276">
        <f>$CO$301</f>
        <v>74.579000000000008</v>
      </c>
      <c r="CX302" s="1276">
        <f>$CP$301</f>
        <v>66.843999999999994</v>
      </c>
      <c r="CY302" s="1276">
        <f>$CQ$301</f>
        <v>61.312999999999988</v>
      </c>
      <c r="CZ302" s="1276">
        <f>$CR$301</f>
        <v>72.774000000000001</v>
      </c>
      <c r="DA302" s="1276">
        <f>$CO$301</f>
        <v>74.579000000000008</v>
      </c>
      <c r="DB302" s="1276">
        <f t="shared" ref="DB302:DH302" si="37">CP302</f>
        <v>66.843999999999994</v>
      </c>
      <c r="DC302" s="98">
        <f t="shared" si="37"/>
        <v>61.312999999999988</v>
      </c>
      <c r="DD302" s="98">
        <f t="shared" si="37"/>
        <v>72.774000000000001</v>
      </c>
      <c r="DE302" s="98">
        <f t="shared" si="37"/>
        <v>74.579000000000008</v>
      </c>
      <c r="DF302" s="98">
        <f t="shared" si="37"/>
        <v>66.843999999999994</v>
      </c>
      <c r="DG302" s="98">
        <f t="shared" si="37"/>
        <v>61.312999999999988</v>
      </c>
      <c r="DH302" s="98">
        <f t="shared" si="37"/>
        <v>72.774000000000001</v>
      </c>
      <c r="DI302" s="98">
        <f>CW302</f>
        <v>74.579000000000008</v>
      </c>
      <c r="DJ302" s="98">
        <f>CX302</f>
        <v>66.843999999999994</v>
      </c>
      <c r="DK302" s="98">
        <f>CY302</f>
        <v>61.312999999999988</v>
      </c>
      <c r="DL302" s="98">
        <f>CZ302</f>
        <v>72.774000000000001</v>
      </c>
      <c r="DM302" s="98"/>
      <c r="DN302" s="98"/>
      <c r="DO302" s="98"/>
      <c r="GV302" s="1062"/>
      <c r="GW302" s="1062"/>
      <c r="GX302" s="1062"/>
      <c r="GY302" s="1062"/>
      <c r="HC302" s="105"/>
      <c r="HD302" s="105"/>
      <c r="HE302" s="105"/>
      <c r="HF302" s="105"/>
      <c r="HG302" s="105"/>
      <c r="HH302" s="105"/>
      <c r="IV302"/>
    </row>
    <row r="303" spans="92:256" s="2" customFormat="1">
      <c r="CN303" s="2" t="s">
        <v>211</v>
      </c>
      <c r="CO303" s="105">
        <f>CO301/CO302</f>
        <v>1</v>
      </c>
      <c r="CP303" s="105">
        <f t="shared" ref="CP303:DF303" si="38">CP301/CP302</f>
        <v>1</v>
      </c>
      <c r="CQ303" s="105">
        <f t="shared" si="38"/>
        <v>1</v>
      </c>
      <c r="CR303" s="105">
        <f t="shared" si="38"/>
        <v>1</v>
      </c>
      <c r="CS303" s="105">
        <f t="shared" si="38"/>
        <v>0.89375025141125508</v>
      </c>
      <c r="CT303" s="105">
        <f t="shared" si="38"/>
        <v>0.93392077074980551</v>
      </c>
      <c r="CU303" s="105">
        <f t="shared" si="38"/>
        <v>0.74504591195994307</v>
      </c>
      <c r="CV303" s="105">
        <f t="shared" si="38"/>
        <v>0.60224805562426142</v>
      </c>
      <c r="CW303" s="105">
        <f t="shared" si="38"/>
        <v>0.60767776451816191</v>
      </c>
      <c r="CX303" s="105">
        <f t="shared" si="38"/>
        <v>0.6570073604212795</v>
      </c>
      <c r="CY303" s="105">
        <f t="shared" si="38"/>
        <v>0.51152284181168761</v>
      </c>
      <c r="CZ303" s="105">
        <f t="shared" si="38"/>
        <v>0.47731332618792421</v>
      </c>
      <c r="DA303" s="105">
        <f t="shared" si="38"/>
        <v>0.54188176296276425</v>
      </c>
      <c r="DB303" s="105">
        <f t="shared" si="38"/>
        <v>0.55068517742804146</v>
      </c>
      <c r="DC303" s="105">
        <f t="shared" si="38"/>
        <v>0.42594555803826278</v>
      </c>
      <c r="DD303" s="105">
        <f t="shared" si="38"/>
        <v>0.46891747052518756</v>
      </c>
      <c r="DE303" s="105">
        <f t="shared" si="38"/>
        <v>0.5315571407500771</v>
      </c>
      <c r="DF303" s="105">
        <f t="shared" si="38"/>
        <v>0.57701513972832275</v>
      </c>
      <c r="DG303" s="105">
        <f t="shared" ref="DG303:DL303" si="39">DG301/DG302</f>
        <v>0.50222628153898852</v>
      </c>
      <c r="DH303" s="105">
        <f t="shared" si="39"/>
        <v>0.50625223294033583</v>
      </c>
      <c r="DI303" s="105">
        <f t="shared" si="39"/>
        <v>0.51604339023049373</v>
      </c>
      <c r="DJ303" s="105">
        <f t="shared" si="39"/>
        <v>0.51665070911375743</v>
      </c>
      <c r="DK303" s="105">
        <f t="shared" si="39"/>
        <v>0.39585406031347359</v>
      </c>
      <c r="DL303" s="105">
        <f t="shared" si="39"/>
        <v>0.43215983730453184</v>
      </c>
      <c r="DM303" s="105"/>
      <c r="DN303" s="105"/>
      <c r="DO303" s="105"/>
      <c r="GV303" s="1062"/>
      <c r="GW303" s="1062"/>
      <c r="GX303" s="1062"/>
      <c r="GY303" s="1062"/>
      <c r="HC303" s="105"/>
      <c r="HD303" s="105"/>
      <c r="HE303" s="105"/>
      <c r="HF303" s="105"/>
      <c r="HG303" s="105"/>
      <c r="HH303" s="105"/>
      <c r="IV303"/>
    </row>
    <row r="304" spans="92:256" s="2" customFormat="1">
      <c r="GV304" s="1062"/>
      <c r="GW304" s="1062"/>
      <c r="GX304" s="1062"/>
      <c r="GY304" s="1062"/>
      <c r="HC304" s="105"/>
      <c r="HD304" s="105"/>
      <c r="HE304" s="105"/>
      <c r="HF304" s="105"/>
      <c r="HG304" s="105"/>
      <c r="HH304" s="105"/>
      <c r="IV304"/>
    </row>
    <row r="305" spans="110:256" s="2" customFormat="1">
      <c r="DF305" s="105">
        <f>DF301/CX301-1</f>
        <v>-0.12175239656625003</v>
      </c>
      <c r="DG305" s="105"/>
      <c r="DH305" s="105"/>
      <c r="DI305" s="105"/>
      <c r="DJ305" s="105"/>
      <c r="DK305" s="105"/>
      <c r="DL305" s="105"/>
      <c r="DM305" s="105"/>
      <c r="DN305" s="105"/>
      <c r="DO305" s="105"/>
      <c r="GV305" s="1062"/>
      <c r="GW305" s="1062"/>
      <c r="GX305" s="1062"/>
      <c r="GY305" s="1062"/>
      <c r="HC305" s="105"/>
      <c r="HD305" s="105"/>
      <c r="HE305" s="105"/>
      <c r="HF305" s="105"/>
      <c r="HG305" s="105"/>
      <c r="HH305" s="105"/>
      <c r="IV305"/>
    </row>
    <row r="306" spans="110:256" s="2" customFormat="1">
      <c r="GV306" s="1062"/>
      <c r="GW306" s="1062"/>
      <c r="GX306" s="1062"/>
      <c r="GY306" s="1062"/>
      <c r="HC306" s="105"/>
      <c r="HD306" s="105"/>
      <c r="HE306" s="105"/>
      <c r="HF306" s="105"/>
      <c r="HG306" s="105"/>
      <c r="HH306" s="105"/>
      <c r="IV306"/>
    </row>
    <row r="307" spans="110:256" s="2" customFormat="1">
      <c r="GV307" s="1062"/>
      <c r="GW307" s="1062"/>
      <c r="GX307" s="1062"/>
      <c r="GY307" s="1062"/>
      <c r="HC307" s="105"/>
      <c r="HD307" s="105"/>
      <c r="HE307" s="105"/>
      <c r="HF307" s="105"/>
      <c r="HG307" s="105"/>
      <c r="HH307" s="105"/>
      <c r="IV307"/>
    </row>
    <row r="308" spans="110:256" s="2" customFormat="1">
      <c r="GV308" s="1062"/>
      <c r="GW308" s="1062"/>
      <c r="GX308" s="1062"/>
      <c r="GY308" s="1062"/>
      <c r="HC308" s="105"/>
      <c r="HD308" s="105"/>
      <c r="HE308" s="105"/>
      <c r="HF308" s="105"/>
      <c r="HG308" s="105"/>
      <c r="HH308" s="105"/>
      <c r="IV308"/>
    </row>
    <row r="309" spans="110:256" s="2" customFormat="1">
      <c r="GV309" s="1062"/>
      <c r="GW309" s="1062"/>
      <c r="GX309" s="1062"/>
      <c r="GY309" s="1062"/>
      <c r="HC309" s="105"/>
      <c r="HD309" s="105"/>
      <c r="HE309" s="105"/>
      <c r="HF309" s="105"/>
      <c r="HG309" s="105"/>
      <c r="HH309" s="105"/>
      <c r="IV309"/>
    </row>
    <row r="310" spans="110:256" s="2" customFormat="1">
      <c r="GV310" s="1062"/>
      <c r="GW310" s="1062"/>
      <c r="GX310" s="1062"/>
      <c r="GY310" s="1062"/>
      <c r="HC310" s="105"/>
      <c r="HD310" s="105"/>
      <c r="HE310" s="105"/>
      <c r="HF310" s="105"/>
      <c r="HG310" s="105"/>
      <c r="HH310" s="105"/>
      <c r="IV310"/>
    </row>
    <row r="311" spans="110:256" s="2" customFormat="1">
      <c r="GV311" s="1062"/>
      <c r="GW311" s="1062"/>
      <c r="GX311" s="1062"/>
      <c r="GY311" s="1062"/>
      <c r="HC311" s="105"/>
      <c r="HD311" s="105"/>
      <c r="HE311" s="105"/>
      <c r="HF311" s="105"/>
      <c r="HG311" s="105"/>
      <c r="HH311" s="105"/>
      <c r="IV311"/>
    </row>
    <row r="312" spans="110:256" s="2" customFormat="1">
      <c r="GV312" s="1062"/>
      <c r="GW312" s="1062"/>
      <c r="GX312" s="1062"/>
      <c r="GY312" s="1062"/>
      <c r="HC312" s="105"/>
      <c r="HD312" s="105"/>
      <c r="HE312" s="105"/>
      <c r="HF312" s="105"/>
      <c r="HG312" s="105"/>
      <c r="HH312" s="105"/>
      <c r="IV312"/>
    </row>
    <row r="313" spans="110:256" s="2" customFormat="1">
      <c r="GV313" s="1062"/>
      <c r="GW313" s="1062"/>
      <c r="GX313" s="1062"/>
      <c r="GY313" s="1062"/>
      <c r="HC313" s="105"/>
      <c r="HD313" s="105"/>
      <c r="HE313" s="105"/>
      <c r="HF313" s="105"/>
      <c r="HG313" s="105"/>
      <c r="HH313" s="105"/>
      <c r="IV313"/>
    </row>
    <row r="314" spans="110:256" s="2" customFormat="1">
      <c r="GV314" s="1062"/>
      <c r="GW314" s="1062"/>
      <c r="GX314" s="1062"/>
      <c r="GY314" s="1062"/>
      <c r="HC314" s="105"/>
      <c r="HD314" s="105"/>
      <c r="HE314" s="105"/>
      <c r="HF314" s="105"/>
      <c r="HG314" s="105"/>
      <c r="HH314" s="105"/>
      <c r="IV314"/>
    </row>
    <row r="315" spans="110:256" s="2" customFormat="1">
      <c r="GV315" s="1062"/>
      <c r="GW315" s="1062"/>
      <c r="GX315" s="1062"/>
      <c r="GY315" s="1062"/>
      <c r="HC315" s="105"/>
      <c r="HD315" s="105"/>
      <c r="HE315" s="105"/>
      <c r="HF315" s="105"/>
      <c r="HG315" s="105"/>
      <c r="HH315" s="105"/>
      <c r="IV315"/>
    </row>
    <row r="316" spans="110:256" s="2" customFormat="1">
      <c r="GV316" s="1062"/>
      <c r="GW316" s="1062"/>
      <c r="GX316" s="1062"/>
      <c r="GY316" s="1062"/>
      <c r="HC316" s="105"/>
      <c r="HD316" s="105"/>
      <c r="HE316" s="105"/>
      <c r="HF316" s="105"/>
      <c r="HG316" s="105"/>
      <c r="HH316" s="105"/>
      <c r="IV316"/>
    </row>
    <row r="317" spans="110:256" s="2" customFormat="1">
      <c r="GV317" s="1062"/>
      <c r="GW317" s="1062"/>
      <c r="GX317" s="1062"/>
      <c r="GY317" s="1062"/>
      <c r="HC317" s="105"/>
      <c r="HD317" s="105"/>
      <c r="HE317" s="105"/>
      <c r="HF317" s="105"/>
      <c r="HG317" s="105"/>
      <c r="HH317" s="105"/>
      <c r="IV317"/>
    </row>
    <row r="318" spans="110:256" s="2" customFormat="1">
      <c r="GV318" s="1062"/>
      <c r="GW318" s="1062"/>
      <c r="GX318" s="1062"/>
      <c r="GY318" s="1062"/>
      <c r="HC318" s="105"/>
      <c r="HD318" s="105"/>
      <c r="HE318" s="105"/>
      <c r="HF318" s="105"/>
      <c r="HG318" s="105"/>
      <c r="HH318" s="105"/>
      <c r="IV318"/>
    </row>
    <row r="319" spans="110:256" s="2" customFormat="1">
      <c r="GV319" s="1062"/>
      <c r="GW319" s="1062"/>
      <c r="GX319" s="1062"/>
      <c r="GY319" s="1062"/>
      <c r="HC319" s="105"/>
      <c r="HD319" s="105"/>
      <c r="HE319" s="105"/>
      <c r="HF319" s="105"/>
      <c r="HG319" s="105"/>
      <c r="HH319" s="105"/>
      <c r="IV319"/>
    </row>
    <row r="320" spans="110:256" s="2" customFormat="1">
      <c r="GV320" s="1062"/>
      <c r="GW320" s="1062"/>
      <c r="GX320" s="1062"/>
      <c r="GY320" s="1062"/>
      <c r="HC320" s="105"/>
      <c r="HD320" s="105"/>
      <c r="HE320" s="105"/>
      <c r="HF320" s="105"/>
      <c r="HG320" s="105"/>
      <c r="HH320" s="105"/>
      <c r="IV320"/>
    </row>
    <row r="321" spans="121:256" s="2" customFormat="1">
      <c r="GV321" s="1062"/>
      <c r="GW321" s="1062"/>
      <c r="GX321" s="1062"/>
      <c r="GY321" s="1062"/>
      <c r="HC321" s="105"/>
      <c r="HD321" s="105"/>
      <c r="HE321" s="105"/>
      <c r="HF321" s="105"/>
      <c r="HG321" s="105"/>
      <c r="HH321" s="105"/>
      <c r="IV321"/>
    </row>
    <row r="322" spans="121:256" s="2" customFormat="1">
      <c r="GV322" s="1062"/>
      <c r="GW322" s="1062"/>
      <c r="GX322" s="1062"/>
      <c r="GY322" s="1062"/>
      <c r="HC322" s="105"/>
      <c r="HD322" s="105"/>
      <c r="HE322" s="105"/>
      <c r="HF322" s="105"/>
      <c r="HG322" s="105"/>
      <c r="HH322" s="105"/>
      <c r="IV322"/>
    </row>
    <row r="323" spans="121:256" s="2" customFormat="1">
      <c r="GV323" s="1062"/>
      <c r="GW323" s="1062"/>
      <c r="GX323" s="1062"/>
      <c r="GY323" s="1062"/>
      <c r="HC323" s="105"/>
      <c r="HD323" s="105"/>
      <c r="HE323" s="105"/>
      <c r="HF323" s="105"/>
      <c r="HG323" s="105"/>
      <c r="HH323" s="105"/>
      <c r="IV323"/>
    </row>
    <row r="324" spans="121:256" s="2" customFormat="1">
      <c r="GV324" s="1062"/>
      <c r="GW324" s="1062"/>
      <c r="GX324" s="1062"/>
      <c r="GY324" s="1062"/>
      <c r="HC324" s="105"/>
      <c r="HD324" s="105"/>
      <c r="HE324" s="105"/>
      <c r="HF324" s="105"/>
      <c r="HG324" s="105"/>
      <c r="HH324" s="105"/>
      <c r="IV324"/>
    </row>
    <row r="325" spans="121:256" s="2" customFormat="1">
      <c r="GV325" s="1062"/>
      <c r="GW325" s="1062"/>
      <c r="GX325" s="1062"/>
      <c r="GY325" s="1062"/>
      <c r="HC325" s="105"/>
      <c r="HD325" s="105"/>
      <c r="HE325" s="105"/>
      <c r="HF325" s="105"/>
      <c r="HG325" s="105"/>
      <c r="HH325" s="105"/>
      <c r="IV325"/>
    </row>
    <row r="326" spans="121:256" s="2" customFormat="1">
      <c r="GV326" s="1062"/>
      <c r="GW326" s="1062"/>
      <c r="GX326" s="1062"/>
      <c r="GY326" s="1062"/>
      <c r="HC326" s="105"/>
      <c r="HD326" s="105"/>
      <c r="HE326" s="105"/>
      <c r="HF326" s="105"/>
      <c r="HG326" s="105"/>
      <c r="HH326" s="105"/>
      <c r="IV326"/>
    </row>
    <row r="327" spans="121:256" s="2" customFormat="1">
      <c r="GV327" s="1062"/>
      <c r="GW327" s="1062"/>
      <c r="GX327" s="1062"/>
      <c r="GY327" s="1062"/>
      <c r="HC327" s="105"/>
      <c r="HD327" s="105"/>
      <c r="HE327" s="105"/>
      <c r="HF327" s="105"/>
      <c r="HG327" s="105"/>
      <c r="HH327" s="105"/>
      <c r="IV327"/>
    </row>
    <row r="328" spans="121:256" s="2" customFormat="1">
      <c r="GV328" s="1062"/>
      <c r="GW328" s="1062"/>
      <c r="GX328" s="1062"/>
      <c r="GY328" s="1062"/>
      <c r="HC328" s="105"/>
      <c r="HD328" s="105"/>
      <c r="HE328" s="105"/>
      <c r="HF328" s="105"/>
      <c r="HG328" s="105"/>
      <c r="HH328" s="105"/>
      <c r="IV328"/>
    </row>
    <row r="329" spans="121:256" s="2" customFormat="1" ht="3.75" customHeight="1">
      <c r="GV329" s="1062"/>
      <c r="GW329" s="1062"/>
      <c r="GX329" s="1062"/>
      <c r="GY329" s="1062"/>
      <c r="HC329" s="105"/>
      <c r="HD329" s="105"/>
      <c r="HE329" s="105"/>
      <c r="HF329" s="105"/>
      <c r="HG329" s="105"/>
      <c r="HH329" s="105"/>
      <c r="IV329"/>
    </row>
    <row r="330" spans="121:256" s="2" customFormat="1">
      <c r="DQ330" s="1" t="s">
        <v>1506</v>
      </c>
      <c r="GV330" s="1062"/>
      <c r="GW330" s="1062"/>
      <c r="GX330" s="1062"/>
      <c r="GY330" s="1062"/>
      <c r="HC330" s="105"/>
      <c r="HD330" s="105"/>
      <c r="HE330" s="105"/>
      <c r="HF330" s="105"/>
      <c r="HG330" s="105"/>
      <c r="HH330" s="105"/>
      <c r="IV330"/>
    </row>
    <row r="331" spans="121:256" s="2" customFormat="1">
      <c r="GV331" s="1062"/>
      <c r="GW331" s="1062"/>
      <c r="GX331" s="1062"/>
      <c r="GY331" s="1062"/>
      <c r="HC331" s="105"/>
      <c r="HD331" s="105"/>
      <c r="HE331" s="105"/>
      <c r="HF331" s="105"/>
      <c r="HG331" s="105"/>
      <c r="HH331" s="105"/>
      <c r="IV331"/>
    </row>
    <row r="332" spans="121:256" s="2" customFormat="1">
      <c r="DR332" s="1180">
        <v>2007</v>
      </c>
      <c r="DS332" s="1180">
        <f>DR332+1</f>
        <v>2008</v>
      </c>
      <c r="DT332" s="1180">
        <f>DS332+1</f>
        <v>2009</v>
      </c>
      <c r="DU332" s="1180">
        <f>DT332+1</f>
        <v>2010</v>
      </c>
      <c r="DX332" s="2" t="s">
        <v>1321</v>
      </c>
      <c r="DY332" s="2" t="s">
        <v>1507</v>
      </c>
      <c r="DZ332" s="2" t="s">
        <v>765</v>
      </c>
      <c r="EA332" s="2" t="s">
        <v>765</v>
      </c>
      <c r="EB332" s="2" t="s">
        <v>1321</v>
      </c>
      <c r="EC332" s="2" t="s">
        <v>1507</v>
      </c>
      <c r="GV332" s="1062"/>
      <c r="GW332" s="1062"/>
      <c r="GX332" s="1062"/>
      <c r="GY332" s="1062"/>
      <c r="HC332" s="105"/>
      <c r="HD332" s="105"/>
      <c r="HE332" s="105"/>
      <c r="HF332" s="105"/>
      <c r="HG332" s="105"/>
      <c r="HH332" s="105"/>
      <c r="IV332"/>
    </row>
    <row r="333" spans="121:256" s="2" customFormat="1">
      <c r="DQ333" s="2" t="s">
        <v>1508</v>
      </c>
      <c r="DR333" s="2">
        <f>BYD!W310</f>
        <v>275.51</v>
      </c>
      <c r="DS333" s="2">
        <f>BYD!AB310</f>
        <v>218.59099999999998</v>
      </c>
      <c r="DT333" s="2">
        <f>BYD!AG310</f>
        <v>155.33599999999998</v>
      </c>
      <c r="DU333" s="2">
        <f>BYD!AL310</f>
        <v>137.464</v>
      </c>
      <c r="DX333" s="105">
        <f>DU334</f>
        <v>0.49894377699539039</v>
      </c>
      <c r="DY333" s="105">
        <f>DU337</f>
        <v>0.81609497187989388</v>
      </c>
      <c r="DZ333" s="105">
        <v>0.46</v>
      </c>
      <c r="EA333" s="105">
        <v>0.46</v>
      </c>
      <c r="EB333" s="105">
        <f>DX333</f>
        <v>0.49894377699539039</v>
      </c>
      <c r="EC333" s="105">
        <f>DY333</f>
        <v>0.81609497187989388</v>
      </c>
      <c r="ED333" s="105"/>
      <c r="GV333" s="1062"/>
      <c r="GW333" s="1062"/>
      <c r="GX333" s="1062"/>
      <c r="GY333" s="1062"/>
      <c r="HC333" s="105"/>
      <c r="HD333" s="105"/>
      <c r="HE333" s="105"/>
      <c r="HF333" s="105"/>
      <c r="HG333" s="105"/>
      <c r="HH333" s="105"/>
      <c r="IV333"/>
    </row>
    <row r="334" spans="121:256" s="2" customFormat="1">
      <c r="DS334" s="126">
        <f>DS333/$DR$333</f>
        <v>0.79340495807774669</v>
      </c>
      <c r="DT334" s="126">
        <f>DT333/$DR$333</f>
        <v>0.56381256578708572</v>
      </c>
      <c r="DU334" s="126">
        <f>DU333/$DR$333</f>
        <v>0.49894377699539039</v>
      </c>
      <c r="GV334" s="1062"/>
      <c r="GW334" s="1062"/>
      <c r="GX334" s="1062"/>
      <c r="GY334" s="1062"/>
      <c r="HC334" s="105"/>
      <c r="HD334" s="105"/>
      <c r="HE334" s="105"/>
      <c r="HF334" s="105"/>
      <c r="HG334" s="105"/>
      <c r="HH334" s="105"/>
      <c r="IV334"/>
    </row>
    <row r="335" spans="121:256" s="2" customFormat="1">
      <c r="DS335" s="105"/>
      <c r="DT335" s="105"/>
      <c r="DU335" s="105"/>
      <c r="GV335" s="1062"/>
      <c r="GW335" s="1062"/>
      <c r="GX335" s="1062"/>
      <c r="GY335" s="1062"/>
      <c r="HC335" s="105"/>
      <c r="HD335" s="105"/>
      <c r="HE335" s="105"/>
      <c r="HF335" s="105"/>
      <c r="HG335" s="105"/>
      <c r="HH335" s="105"/>
      <c r="IV335"/>
    </row>
    <row r="336" spans="121:256" s="2" customFormat="1">
      <c r="DQ336" s="2" t="s">
        <v>1507</v>
      </c>
      <c r="DR336" s="2">
        <v>683.23</v>
      </c>
      <c r="DS336" s="1391">
        <v>613.69500000000005</v>
      </c>
      <c r="DT336" s="1391">
        <v>575.35</v>
      </c>
      <c r="DU336" s="1391">
        <v>557.58056763749994</v>
      </c>
      <c r="GV336" s="1062"/>
      <c r="GW336" s="1062"/>
      <c r="GX336" s="1062"/>
      <c r="GY336" s="1062"/>
      <c r="HC336" s="105"/>
      <c r="HD336" s="105"/>
      <c r="HE336" s="105"/>
      <c r="HF336" s="105"/>
      <c r="HG336" s="105"/>
      <c r="HH336" s="105"/>
      <c r="IV336"/>
    </row>
    <row r="337" spans="123:256" s="2" customFormat="1">
      <c r="DS337" s="126">
        <f>DS336/$DR$336</f>
        <v>0.89822607321107095</v>
      </c>
      <c r="DT337" s="126">
        <f>DT336/$DR$336</f>
        <v>0.84210295215374031</v>
      </c>
      <c r="DU337" s="126">
        <f>DU336/$DR$336</f>
        <v>0.81609497187989388</v>
      </c>
      <c r="GV337" s="1062"/>
      <c r="GW337" s="1062"/>
      <c r="GX337" s="1062"/>
      <c r="GY337" s="1062"/>
      <c r="HC337" s="105"/>
      <c r="HD337" s="105"/>
      <c r="HE337" s="105"/>
      <c r="HF337" s="105"/>
      <c r="HG337" s="105"/>
      <c r="HH337" s="105"/>
      <c r="IV337"/>
    </row>
    <row r="338" spans="123:256" s="2" customFormat="1">
      <c r="DS338" s="105"/>
      <c r="DT338" s="105"/>
      <c r="DU338" s="105"/>
      <c r="GV338" s="1062"/>
      <c r="GW338" s="1062"/>
      <c r="GX338" s="1062"/>
      <c r="GY338" s="1062"/>
      <c r="HC338" s="105"/>
      <c r="HD338" s="105"/>
      <c r="HE338" s="105"/>
      <c r="HF338" s="105"/>
      <c r="HG338" s="105"/>
      <c r="HH338" s="105"/>
      <c r="IV338"/>
    </row>
    <row r="339" spans="123:256" s="2" customFormat="1">
      <c r="GV339" s="1062"/>
      <c r="GW339" s="1062"/>
      <c r="GX339" s="1062"/>
      <c r="GY339" s="1062"/>
      <c r="HC339" s="105"/>
      <c r="HD339" s="105"/>
      <c r="HE339" s="105"/>
      <c r="HF339" s="105"/>
      <c r="HG339" s="105"/>
      <c r="HH339" s="105"/>
      <c r="IV339"/>
    </row>
    <row r="340" spans="123:256" s="2" customFormat="1">
      <c r="GV340" s="1062"/>
      <c r="GW340" s="1062"/>
      <c r="GX340" s="1062"/>
      <c r="GY340" s="1062"/>
      <c r="HC340" s="105"/>
      <c r="HD340" s="105"/>
      <c r="HE340" s="105"/>
      <c r="HF340" s="105"/>
      <c r="HG340" s="105"/>
      <c r="HH340" s="105"/>
      <c r="IV340"/>
    </row>
    <row r="341" spans="123:256" s="2" customFormat="1">
      <c r="GV341" s="1062"/>
      <c r="GW341" s="1062"/>
      <c r="GX341" s="1062"/>
      <c r="GY341" s="1062"/>
      <c r="HC341" s="105"/>
      <c r="HD341" s="105"/>
      <c r="HE341" s="105"/>
      <c r="HF341" s="105"/>
      <c r="HG341" s="105"/>
      <c r="HH341" s="105"/>
      <c r="IV341"/>
    </row>
    <row r="342" spans="123:256" s="2" customFormat="1">
      <c r="GV342" s="1062"/>
      <c r="GW342" s="1062"/>
      <c r="GX342" s="1062"/>
      <c r="GY342" s="1062"/>
      <c r="HC342" s="105"/>
      <c r="HD342" s="105"/>
      <c r="HE342" s="105"/>
      <c r="HF342" s="105"/>
      <c r="HG342" s="105"/>
      <c r="HH342" s="105"/>
      <c r="IV342"/>
    </row>
    <row r="343" spans="123:256" s="2" customFormat="1">
      <c r="GV343" s="1062"/>
      <c r="GW343" s="1062"/>
      <c r="GX343" s="1062"/>
      <c r="GY343" s="1062"/>
      <c r="HC343" s="105"/>
      <c r="HD343" s="105"/>
      <c r="HE343" s="105"/>
      <c r="HF343" s="105"/>
      <c r="HG343" s="105"/>
      <c r="HH343" s="105"/>
      <c r="IV343"/>
    </row>
    <row r="344" spans="123:256" s="2" customFormat="1">
      <c r="GV344" s="1062"/>
      <c r="GW344" s="1062"/>
      <c r="GX344" s="1062"/>
      <c r="GY344" s="1062"/>
      <c r="HC344" s="105"/>
      <c r="HD344" s="105"/>
      <c r="HE344" s="105"/>
      <c r="HF344" s="105"/>
      <c r="HG344" s="105"/>
      <c r="HH344" s="105"/>
      <c r="IV344"/>
    </row>
    <row r="345" spans="123:256" s="2" customFormat="1">
      <c r="GV345" s="1062"/>
      <c r="GW345" s="1062"/>
      <c r="GX345" s="1062"/>
      <c r="GY345" s="1062"/>
      <c r="HC345" s="105"/>
      <c r="HD345" s="105"/>
      <c r="HE345" s="105"/>
      <c r="HF345" s="105"/>
      <c r="HG345" s="105"/>
      <c r="HH345" s="105"/>
      <c r="IV345"/>
    </row>
    <row r="346" spans="123:256" s="2" customFormat="1">
      <c r="GV346" s="1062"/>
      <c r="GW346" s="1062"/>
      <c r="GX346" s="1062"/>
      <c r="GY346" s="1062"/>
      <c r="HC346" s="105"/>
      <c r="HD346" s="105"/>
      <c r="HE346" s="105"/>
      <c r="HF346" s="105"/>
      <c r="HG346" s="105"/>
      <c r="HH346" s="105"/>
      <c r="IV346"/>
    </row>
    <row r="347" spans="123:256" s="2" customFormat="1">
      <c r="GV347" s="1062"/>
      <c r="GW347" s="1062"/>
      <c r="GX347" s="1062"/>
      <c r="GY347" s="1062"/>
      <c r="HC347" s="105"/>
      <c r="HD347" s="105"/>
      <c r="HE347" s="105"/>
      <c r="HF347" s="105"/>
      <c r="HG347" s="105"/>
      <c r="HH347" s="105"/>
      <c r="IV347"/>
    </row>
    <row r="348" spans="123:256" s="2" customFormat="1">
      <c r="GV348" s="1062"/>
      <c r="GW348" s="1062"/>
      <c r="GX348" s="1062"/>
      <c r="GY348" s="1062"/>
      <c r="HC348" s="105"/>
      <c r="HD348" s="105"/>
      <c r="HE348" s="105"/>
      <c r="HF348" s="105"/>
      <c r="HG348" s="105"/>
      <c r="HH348" s="105"/>
      <c r="IV348"/>
    </row>
    <row r="349" spans="123:256" s="2" customFormat="1">
      <c r="GV349" s="1062"/>
      <c r="GW349" s="1062"/>
      <c r="GX349" s="1062"/>
      <c r="GY349" s="1062"/>
      <c r="HC349" s="105"/>
      <c r="HD349" s="105"/>
      <c r="HE349" s="105"/>
      <c r="HF349" s="105"/>
      <c r="HG349" s="105"/>
      <c r="HH349" s="105"/>
      <c r="IV349"/>
    </row>
    <row r="350" spans="123:256" s="2" customFormat="1">
      <c r="GV350" s="1062"/>
      <c r="GW350" s="1062"/>
      <c r="GX350" s="1062"/>
      <c r="GY350" s="1062"/>
      <c r="HC350" s="105"/>
      <c r="HD350" s="105"/>
      <c r="HE350" s="105"/>
      <c r="HF350" s="105"/>
      <c r="HG350" s="105"/>
      <c r="HH350" s="105"/>
      <c r="IV350"/>
    </row>
    <row r="351" spans="123:256" s="2" customFormat="1">
      <c r="GV351" s="1062"/>
      <c r="GW351" s="1062"/>
      <c r="GX351" s="1062"/>
      <c r="GY351" s="1062"/>
      <c r="HC351" s="105"/>
      <c r="HD351" s="105"/>
      <c r="HE351" s="105"/>
      <c r="HF351" s="105"/>
      <c r="HG351" s="105"/>
      <c r="HH351" s="105"/>
      <c r="IV351"/>
    </row>
    <row r="352" spans="123:256" s="2" customFormat="1">
      <c r="GV352" s="1062"/>
      <c r="GW352" s="1062"/>
      <c r="GX352" s="1062"/>
      <c r="GY352" s="1062"/>
      <c r="HC352" s="105"/>
      <c r="HD352" s="105"/>
      <c r="HE352" s="105"/>
      <c r="HF352" s="105"/>
      <c r="HG352" s="105"/>
      <c r="HH352" s="105"/>
      <c r="IV352"/>
    </row>
    <row r="353" spans="204:256" s="2" customFormat="1">
      <c r="GV353" s="1062"/>
      <c r="GW353" s="1062"/>
      <c r="GX353" s="1062"/>
      <c r="GY353" s="1062"/>
      <c r="HC353" s="105"/>
      <c r="HD353" s="105"/>
      <c r="HE353" s="105"/>
      <c r="HF353" s="105"/>
      <c r="HG353" s="105"/>
      <c r="HH353" s="105"/>
      <c r="IV353"/>
    </row>
    <row r="354" spans="204:256" s="2" customFormat="1">
      <c r="GV354" s="1062"/>
      <c r="GW354" s="1062"/>
      <c r="GX354" s="1062"/>
      <c r="GY354" s="1062"/>
      <c r="HC354" s="105"/>
      <c r="HD354" s="105"/>
      <c r="HE354" s="105"/>
      <c r="HF354" s="105"/>
      <c r="HG354" s="105"/>
      <c r="HH354" s="105"/>
      <c r="IV354"/>
    </row>
    <row r="355" spans="204:256" s="2" customFormat="1">
      <c r="GV355" s="1062"/>
      <c r="GW355" s="1062"/>
      <c r="GX355" s="1062"/>
      <c r="GY355" s="1062"/>
      <c r="HC355" s="105"/>
      <c r="HD355" s="105"/>
      <c r="HE355" s="105"/>
      <c r="HF355" s="105"/>
      <c r="HG355" s="105"/>
      <c r="HH355" s="105"/>
      <c r="IV355"/>
    </row>
    <row r="356" spans="204:256" s="2" customFormat="1">
      <c r="GV356" s="1062"/>
      <c r="GW356" s="1062"/>
      <c r="GX356" s="1062"/>
      <c r="GY356" s="1062"/>
      <c r="HC356" s="105"/>
      <c r="HD356" s="105"/>
      <c r="HE356" s="105"/>
      <c r="HF356" s="105"/>
      <c r="HG356" s="105"/>
      <c r="HH356" s="105"/>
      <c r="IV356"/>
    </row>
    <row r="357" spans="204:256" s="2" customFormat="1">
      <c r="GV357" s="1062"/>
      <c r="GW357" s="1062"/>
      <c r="GX357" s="1062"/>
      <c r="GY357" s="1062"/>
      <c r="HC357" s="105"/>
      <c r="HD357" s="105"/>
      <c r="HE357" s="105"/>
      <c r="HF357" s="105"/>
      <c r="HG357" s="105"/>
      <c r="HH357" s="105"/>
      <c r="IV357"/>
    </row>
    <row r="358" spans="204:256" s="2" customFormat="1">
      <c r="GV358" s="1062"/>
      <c r="GW358" s="1062"/>
      <c r="GX358" s="1062"/>
      <c r="GY358" s="1062"/>
      <c r="HC358" s="105"/>
      <c r="HD358" s="105"/>
      <c r="HE358" s="105"/>
      <c r="HF358" s="105"/>
      <c r="HG358" s="105"/>
      <c r="HH358" s="105"/>
      <c r="IV358"/>
    </row>
    <row r="359" spans="204:256" s="2" customFormat="1">
      <c r="GV359" s="1062"/>
      <c r="GW359" s="1062"/>
      <c r="GX359" s="1062"/>
      <c r="GY359" s="1062"/>
      <c r="HC359" s="105"/>
      <c r="HD359" s="105"/>
      <c r="HE359" s="105"/>
      <c r="HF359" s="105"/>
      <c r="HG359" s="105"/>
      <c r="HH359" s="105"/>
      <c r="IV359"/>
    </row>
    <row r="360" spans="204:256" s="2" customFormat="1">
      <c r="GV360" s="1062"/>
      <c r="GW360" s="1062"/>
      <c r="GX360" s="1062"/>
      <c r="GY360" s="1062"/>
      <c r="HC360" s="105"/>
      <c r="HD360" s="105"/>
      <c r="HE360" s="105"/>
      <c r="HF360" s="105"/>
      <c r="HG360" s="105"/>
      <c r="HH360" s="105"/>
      <c r="IV360"/>
    </row>
    <row r="361" spans="204:256" s="2" customFormat="1">
      <c r="GV361" s="1062"/>
      <c r="GW361" s="1062"/>
      <c r="GX361" s="1062"/>
      <c r="GY361" s="1062"/>
      <c r="HC361" s="105"/>
      <c r="HD361" s="105"/>
      <c r="HE361" s="105"/>
      <c r="HF361" s="105"/>
      <c r="HG361" s="105"/>
      <c r="HH361" s="105"/>
      <c r="IV361"/>
    </row>
    <row r="362" spans="204:256" s="2" customFormat="1">
      <c r="GV362" s="1062"/>
      <c r="GW362" s="1062"/>
      <c r="GX362" s="1062"/>
      <c r="GY362" s="1062"/>
      <c r="HC362" s="105"/>
      <c r="HD362" s="105"/>
      <c r="HE362" s="105"/>
      <c r="HF362" s="105"/>
      <c r="HG362" s="105"/>
      <c r="HH362" s="105"/>
      <c r="IV362"/>
    </row>
    <row r="363" spans="204:256" s="2" customFormat="1">
      <c r="GV363" s="1062"/>
      <c r="GW363" s="1062"/>
      <c r="GX363" s="1062"/>
      <c r="GY363" s="1062"/>
      <c r="HC363" s="105"/>
      <c r="HD363" s="105"/>
      <c r="HE363" s="105"/>
      <c r="HF363" s="105"/>
      <c r="HG363" s="105"/>
      <c r="HH363" s="105"/>
      <c r="IV363"/>
    </row>
    <row r="364" spans="204:256" s="2" customFormat="1">
      <c r="GV364" s="1062"/>
      <c r="GW364" s="1062"/>
      <c r="GX364" s="1062"/>
      <c r="GY364" s="1062"/>
      <c r="HC364" s="105"/>
      <c r="HD364" s="105"/>
      <c r="HE364" s="105"/>
      <c r="HF364" s="105"/>
      <c r="HG364" s="105"/>
      <c r="HH364" s="105"/>
      <c r="IV364"/>
    </row>
    <row r="365" spans="204:256" s="2" customFormat="1">
      <c r="GV365" s="1062"/>
      <c r="GW365" s="1062"/>
      <c r="GX365" s="1062"/>
      <c r="GY365" s="1062"/>
      <c r="HC365" s="105"/>
      <c r="HD365" s="105"/>
      <c r="HE365" s="105"/>
      <c r="HF365" s="105"/>
      <c r="HG365" s="105"/>
      <c r="HH365" s="105"/>
      <c r="IV365"/>
    </row>
    <row r="366" spans="204:256" s="2" customFormat="1">
      <c r="GV366" s="1062"/>
      <c r="GW366" s="1062"/>
      <c r="GX366" s="1062"/>
      <c r="GY366" s="1062"/>
      <c r="HC366" s="105"/>
      <c r="HD366" s="105"/>
      <c r="HE366" s="105"/>
      <c r="HF366" s="105"/>
      <c r="HG366" s="105"/>
      <c r="HH366" s="105"/>
      <c r="IV366"/>
    </row>
    <row r="367" spans="204:256" s="2" customFormat="1">
      <c r="GV367" s="1062"/>
      <c r="GW367" s="1062"/>
      <c r="GX367" s="1062"/>
      <c r="GY367" s="1062"/>
      <c r="HC367" s="105"/>
      <c r="HD367" s="105"/>
      <c r="HE367" s="105"/>
      <c r="HF367" s="105"/>
      <c r="HG367" s="105"/>
      <c r="HH367" s="105"/>
      <c r="IV367"/>
    </row>
    <row r="368" spans="204:256" s="2" customFormat="1">
      <c r="GV368" s="1062"/>
      <c r="GW368" s="1062"/>
      <c r="GX368" s="1062"/>
      <c r="GY368" s="1062"/>
      <c r="HC368" s="105"/>
      <c r="HD368" s="105"/>
      <c r="HE368" s="105"/>
      <c r="HF368" s="105"/>
      <c r="HG368" s="105"/>
      <c r="HH368" s="105"/>
      <c r="IV368"/>
    </row>
    <row r="369" spans="204:256" s="2" customFormat="1">
      <c r="GV369" s="1062"/>
      <c r="GW369" s="1062"/>
      <c r="GX369" s="1062"/>
      <c r="GY369" s="1062"/>
      <c r="HC369" s="105"/>
      <c r="HD369" s="105"/>
      <c r="HE369" s="105"/>
      <c r="HF369" s="105"/>
      <c r="HG369" s="105"/>
      <c r="HH369" s="105"/>
      <c r="IV369"/>
    </row>
    <row r="370" spans="204:256" s="2" customFormat="1">
      <c r="GV370" s="1062"/>
      <c r="GW370" s="1062"/>
      <c r="GX370" s="1062"/>
      <c r="GY370" s="1062"/>
      <c r="HC370" s="105"/>
      <c r="HD370" s="105"/>
      <c r="HE370" s="105"/>
      <c r="HF370" s="105"/>
      <c r="HG370" s="105"/>
      <c r="HH370" s="105"/>
      <c r="IV370"/>
    </row>
    <row r="371" spans="204:256" s="2" customFormat="1">
      <c r="GV371" s="1062"/>
      <c r="GW371" s="1062"/>
      <c r="GX371" s="1062"/>
      <c r="GY371" s="1062"/>
      <c r="HC371" s="105"/>
      <c r="HD371" s="105"/>
      <c r="HE371" s="105"/>
      <c r="HF371" s="105"/>
      <c r="HG371" s="105"/>
      <c r="HH371" s="105"/>
      <c r="IV371"/>
    </row>
    <row r="372" spans="204:256" s="2" customFormat="1">
      <c r="GV372" s="1062"/>
      <c r="GW372" s="1062"/>
      <c r="GX372" s="1062"/>
      <c r="GY372" s="1062"/>
      <c r="HC372" s="105"/>
      <c r="HD372" s="105"/>
      <c r="HE372" s="105"/>
      <c r="HF372" s="105"/>
      <c r="HG372" s="105"/>
      <c r="HH372" s="105"/>
      <c r="IV372"/>
    </row>
    <row r="373" spans="204:256" s="2" customFormat="1">
      <c r="GV373" s="1062"/>
      <c r="GW373" s="1062"/>
      <c r="GX373" s="1062"/>
      <c r="GY373" s="1062"/>
      <c r="HC373" s="105"/>
      <c r="HD373" s="105"/>
      <c r="HE373" s="105"/>
      <c r="HF373" s="105"/>
      <c r="HG373" s="105"/>
      <c r="HH373" s="105"/>
      <c r="IV373"/>
    </row>
    <row r="374" spans="204:256" s="2" customFormat="1">
      <c r="GV374" s="1062"/>
      <c r="GW374" s="1062"/>
      <c r="GX374" s="1062"/>
      <c r="GY374" s="1062"/>
      <c r="HC374" s="105"/>
      <c r="HD374" s="105"/>
      <c r="HE374" s="105"/>
      <c r="HF374" s="105"/>
      <c r="HG374" s="105"/>
      <c r="HH374" s="105"/>
      <c r="IV374"/>
    </row>
    <row r="375" spans="204:256" s="2" customFormat="1">
      <c r="GV375" s="1062"/>
      <c r="GW375" s="1062"/>
      <c r="GX375" s="1062"/>
      <c r="GY375" s="1062"/>
      <c r="HC375" s="105"/>
      <c r="HD375" s="105"/>
      <c r="HE375" s="105"/>
      <c r="HF375" s="105"/>
      <c r="HG375" s="105"/>
      <c r="HH375" s="105"/>
      <c r="IV375"/>
    </row>
    <row r="376" spans="204:256" s="2" customFormat="1">
      <c r="GV376" s="1062"/>
      <c r="GW376" s="1062"/>
      <c r="GX376" s="1062"/>
      <c r="GY376" s="1062"/>
      <c r="HC376" s="105"/>
      <c r="HD376" s="105"/>
      <c r="HE376" s="105"/>
      <c r="HF376" s="105"/>
      <c r="HG376" s="105"/>
      <c r="HH376" s="105"/>
      <c r="IV376"/>
    </row>
    <row r="377" spans="204:256" s="2" customFormat="1">
      <c r="GV377" s="1062"/>
      <c r="GW377" s="1062"/>
      <c r="GX377" s="1062"/>
      <c r="GY377" s="1062"/>
      <c r="HC377" s="105"/>
      <c r="HD377" s="105"/>
      <c r="HE377" s="105"/>
      <c r="HF377" s="105"/>
      <c r="HG377" s="105"/>
      <c r="HH377" s="105"/>
      <c r="IV377"/>
    </row>
    <row r="378" spans="204:256" s="2" customFormat="1">
      <c r="GV378" s="1062"/>
      <c r="GW378" s="1062"/>
      <c r="GX378" s="1062"/>
      <c r="GY378" s="1062"/>
      <c r="HC378" s="105"/>
      <c r="HD378" s="105"/>
      <c r="HE378" s="105"/>
      <c r="HF378" s="105"/>
      <c r="HG378" s="105"/>
      <c r="HH378" s="105"/>
      <c r="IV378"/>
    </row>
    <row r="379" spans="204:256" s="2" customFormat="1">
      <c r="GV379" s="1062"/>
      <c r="GW379" s="1062"/>
      <c r="GX379" s="1062"/>
      <c r="GY379" s="1062"/>
      <c r="HC379" s="105"/>
      <c r="HD379" s="105"/>
      <c r="HE379" s="105"/>
      <c r="HF379" s="105"/>
      <c r="HG379" s="105"/>
      <c r="HH379" s="105"/>
      <c r="IV379"/>
    </row>
    <row r="380" spans="204:256" s="2" customFormat="1">
      <c r="GV380" s="1062"/>
      <c r="GW380" s="1062"/>
      <c r="GX380" s="1062"/>
      <c r="GY380" s="1062"/>
      <c r="HC380" s="105"/>
      <c r="HD380" s="105"/>
      <c r="HE380" s="105"/>
      <c r="HF380" s="105"/>
      <c r="HG380" s="105"/>
      <c r="HH380" s="105"/>
      <c r="IV380"/>
    </row>
    <row r="381" spans="204:256" s="2" customFormat="1">
      <c r="GV381" s="1062"/>
      <c r="GW381" s="1062"/>
      <c r="GX381" s="1062"/>
      <c r="GY381" s="1062"/>
      <c r="HC381" s="105"/>
      <c r="HD381" s="105"/>
      <c r="HE381" s="105"/>
      <c r="HF381" s="105"/>
      <c r="HG381" s="105"/>
      <c r="HH381" s="105"/>
      <c r="IV381"/>
    </row>
    <row r="382" spans="204:256" s="2" customFormat="1">
      <c r="GV382" s="1062"/>
      <c r="GW382" s="1062"/>
      <c r="GX382" s="1062"/>
      <c r="GY382" s="1062"/>
      <c r="HC382" s="105"/>
      <c r="HD382" s="105"/>
      <c r="HE382" s="105"/>
      <c r="HF382" s="105"/>
      <c r="HG382" s="105"/>
      <c r="HH382" s="105"/>
      <c r="IV382"/>
    </row>
    <row r="383" spans="204:256" s="2" customFormat="1">
      <c r="GV383" s="1062"/>
      <c r="GW383" s="1062"/>
      <c r="GX383" s="1062"/>
      <c r="GY383" s="1062"/>
      <c r="HC383" s="105"/>
      <c r="HD383" s="105"/>
      <c r="HE383" s="105"/>
      <c r="HF383" s="105"/>
      <c r="HG383" s="105"/>
      <c r="HH383" s="105"/>
      <c r="IV383"/>
    </row>
    <row r="384" spans="204:256" s="2" customFormat="1">
      <c r="GV384" s="1062"/>
      <c r="GW384" s="1062"/>
      <c r="GX384" s="1062"/>
      <c r="GY384" s="1062"/>
      <c r="HC384" s="105"/>
      <c r="HD384" s="105"/>
      <c r="HE384" s="105"/>
      <c r="HF384" s="105"/>
      <c r="HG384" s="105"/>
      <c r="HH384" s="105"/>
      <c r="IV384"/>
    </row>
    <row r="385" spans="204:256" s="2" customFormat="1">
      <c r="GV385" s="1062"/>
      <c r="GW385" s="1062"/>
      <c r="GX385" s="1062"/>
      <c r="GY385" s="1062"/>
      <c r="HC385" s="105"/>
      <c r="HD385" s="105"/>
      <c r="HE385" s="105"/>
      <c r="HF385" s="105"/>
      <c r="HG385" s="105"/>
      <c r="HH385" s="105"/>
      <c r="IV385"/>
    </row>
    <row r="386" spans="204:256" s="2" customFormat="1">
      <c r="GV386" s="1062"/>
      <c r="GW386" s="1062"/>
      <c r="GX386" s="1062"/>
      <c r="GY386" s="1062"/>
      <c r="HC386" s="105"/>
      <c r="HD386" s="105"/>
      <c r="HE386" s="105"/>
      <c r="HF386" s="105"/>
      <c r="HG386" s="105"/>
      <c r="HH386" s="105"/>
      <c r="IV386"/>
    </row>
    <row r="387" spans="204:256" s="2" customFormat="1">
      <c r="GV387" s="1062"/>
      <c r="GW387" s="1062"/>
      <c r="GX387" s="1062"/>
      <c r="GY387" s="1062"/>
      <c r="HC387" s="105"/>
      <c r="HD387" s="105"/>
      <c r="HE387" s="105"/>
      <c r="HF387" s="105"/>
      <c r="HG387" s="105"/>
      <c r="HH387" s="105"/>
      <c r="IV387"/>
    </row>
    <row r="388" spans="204:256" s="2" customFormat="1">
      <c r="GV388" s="1062"/>
      <c r="GW388" s="1062"/>
      <c r="GX388" s="1062"/>
      <c r="GY388" s="1062"/>
      <c r="HC388" s="105"/>
      <c r="HD388" s="105"/>
      <c r="HE388" s="105"/>
      <c r="HF388" s="105"/>
      <c r="HG388" s="105"/>
      <c r="HH388" s="105"/>
      <c r="IV388"/>
    </row>
    <row r="389" spans="204:256" s="2" customFormat="1">
      <c r="GV389" s="1062"/>
      <c r="GW389" s="1062"/>
      <c r="GX389" s="1062"/>
      <c r="GY389" s="1062"/>
      <c r="HC389" s="105"/>
      <c r="HD389" s="105"/>
      <c r="HE389" s="105"/>
      <c r="HF389" s="105"/>
      <c r="HG389" s="105"/>
      <c r="HH389" s="105"/>
      <c r="IV389"/>
    </row>
    <row r="390" spans="204:256" s="2" customFormat="1">
      <c r="GV390" s="1062"/>
      <c r="GW390" s="1062"/>
      <c r="GX390" s="1062"/>
      <c r="GY390" s="1062"/>
      <c r="HC390" s="105"/>
      <c r="HD390" s="105"/>
      <c r="HE390" s="105"/>
      <c r="HF390" s="105"/>
      <c r="HG390" s="105"/>
      <c r="HH390" s="105"/>
      <c r="IV390"/>
    </row>
    <row r="391" spans="204:256" s="2" customFormat="1">
      <c r="GV391" s="1062"/>
      <c r="GW391" s="1062"/>
      <c r="GX391" s="1062"/>
      <c r="GY391" s="1062"/>
      <c r="HC391" s="105"/>
      <c r="HD391" s="105"/>
      <c r="HE391" s="105"/>
      <c r="HF391" s="105"/>
      <c r="HG391" s="105"/>
      <c r="HH391" s="105"/>
      <c r="IV391"/>
    </row>
    <row r="392" spans="204:256" s="2" customFormat="1">
      <c r="GV392" s="1062"/>
      <c r="GW392" s="1062"/>
      <c r="GX392" s="1062"/>
      <c r="GY392" s="1062"/>
      <c r="HC392" s="105"/>
      <c r="HD392" s="105"/>
      <c r="HE392" s="105"/>
      <c r="HF392" s="105"/>
      <c r="HG392" s="105"/>
      <c r="HH392" s="105"/>
      <c r="IV392"/>
    </row>
    <row r="393" spans="204:256" s="2" customFormat="1">
      <c r="GV393" s="1062"/>
      <c r="GW393" s="1062"/>
      <c r="GX393" s="1062"/>
      <c r="GY393" s="1062"/>
      <c r="HC393" s="105"/>
      <c r="HD393" s="105"/>
      <c r="HE393" s="105"/>
      <c r="HF393" s="105"/>
      <c r="HG393" s="105"/>
      <c r="HH393" s="105"/>
      <c r="IV393"/>
    </row>
    <row r="394" spans="204:256" s="2" customFormat="1">
      <c r="GV394" s="1062"/>
      <c r="GW394" s="1062"/>
      <c r="GX394" s="1062"/>
      <c r="GY394" s="1062"/>
      <c r="HC394" s="105"/>
      <c r="HD394" s="105"/>
      <c r="HE394" s="105"/>
      <c r="HF394" s="105"/>
      <c r="HG394" s="105"/>
      <c r="HH394" s="105"/>
      <c r="IV394"/>
    </row>
    <row r="395" spans="204:256" s="2" customFormat="1">
      <c r="GV395" s="1062"/>
      <c r="GW395" s="1062"/>
      <c r="GX395" s="1062"/>
      <c r="GY395" s="1062"/>
      <c r="HC395" s="105"/>
      <c r="HD395" s="105"/>
      <c r="HE395" s="105"/>
      <c r="HF395" s="105"/>
      <c r="HG395" s="105"/>
      <c r="HH395" s="105"/>
      <c r="IV395"/>
    </row>
    <row r="396" spans="204:256" s="2" customFormat="1">
      <c r="GV396" s="1062"/>
      <c r="GW396" s="1062"/>
      <c r="GX396" s="1062"/>
      <c r="GY396" s="1062"/>
      <c r="HC396" s="105"/>
      <c r="HD396" s="105"/>
      <c r="HE396" s="105"/>
      <c r="HF396" s="105"/>
      <c r="HG396" s="105"/>
      <c r="HH396" s="105"/>
      <c r="IV396"/>
    </row>
    <row r="397" spans="204:256" s="2" customFormat="1">
      <c r="GV397" s="1062"/>
      <c r="GW397" s="1062"/>
      <c r="GX397" s="1062"/>
      <c r="GY397" s="1062"/>
      <c r="HC397" s="105"/>
      <c r="HD397" s="105"/>
      <c r="HE397" s="105"/>
      <c r="HF397" s="105"/>
      <c r="HG397" s="105"/>
      <c r="HH397" s="105"/>
      <c r="IV397"/>
    </row>
    <row r="398" spans="204:256" s="2" customFormat="1">
      <c r="GV398" s="1062"/>
      <c r="GW398" s="1062"/>
      <c r="GX398" s="1062"/>
      <c r="GY398" s="1062"/>
      <c r="HC398" s="105"/>
      <c r="HD398" s="105"/>
      <c r="HE398" s="105"/>
      <c r="HF398" s="105"/>
      <c r="HG398" s="105"/>
      <c r="HH398" s="105"/>
      <c r="IV398"/>
    </row>
    <row r="399" spans="204:256" s="2" customFormat="1">
      <c r="GV399" s="1062"/>
      <c r="GW399" s="1062"/>
      <c r="GX399" s="1062"/>
      <c r="GY399" s="1062"/>
      <c r="HC399" s="105"/>
      <c r="HD399" s="105"/>
      <c r="HE399" s="105"/>
      <c r="HF399" s="105"/>
      <c r="HG399" s="105"/>
      <c r="HH399" s="105"/>
      <c r="IV399"/>
    </row>
    <row r="400" spans="204:256" s="2" customFormat="1">
      <c r="GV400" s="1062"/>
      <c r="GW400" s="1062"/>
      <c r="GX400" s="1062"/>
      <c r="GY400" s="1062"/>
      <c r="HC400" s="105"/>
      <c r="HD400" s="105"/>
      <c r="HE400" s="105"/>
      <c r="HF400" s="105"/>
      <c r="HG400" s="105"/>
      <c r="HH400" s="105"/>
      <c r="IV400"/>
    </row>
    <row r="401" spans="132:256" s="2" customFormat="1">
      <c r="GV401" s="1062"/>
      <c r="GW401" s="1062"/>
      <c r="GX401" s="1062"/>
      <c r="GY401" s="1062"/>
      <c r="HC401" s="105"/>
      <c r="HD401" s="105"/>
      <c r="HE401" s="105"/>
      <c r="HF401" s="105"/>
      <c r="HG401" s="105"/>
      <c r="HH401" s="105"/>
      <c r="IV401"/>
    </row>
    <row r="402" spans="132:256" s="2" customFormat="1">
      <c r="GV402" s="1062"/>
      <c r="GW402" s="1062"/>
      <c r="GX402" s="1062"/>
      <c r="GY402" s="1062"/>
      <c r="HC402" s="105"/>
      <c r="HD402" s="105"/>
      <c r="HE402" s="105"/>
      <c r="HF402" s="105"/>
      <c r="HG402" s="105"/>
      <c r="HH402" s="105"/>
      <c r="IV402"/>
    </row>
    <row r="403" spans="132:256" s="2" customFormat="1">
      <c r="GV403" s="1062"/>
      <c r="GW403" s="1062"/>
      <c r="GX403" s="1062"/>
      <c r="GY403" s="1062"/>
      <c r="HC403" s="105"/>
      <c r="HD403" s="105"/>
      <c r="HE403" s="105"/>
      <c r="HF403" s="105"/>
      <c r="HG403" s="105"/>
      <c r="HH403" s="105"/>
      <c r="IV403"/>
    </row>
    <row r="404" spans="132:256" s="2" customFormat="1">
      <c r="GV404" s="1062"/>
      <c r="GW404" s="1062"/>
      <c r="GX404" s="1062"/>
      <c r="GY404" s="1062"/>
      <c r="HC404" s="105"/>
      <c r="HD404" s="105"/>
      <c r="HE404" s="105"/>
      <c r="HF404" s="105"/>
      <c r="HG404" s="105"/>
      <c r="HH404" s="105"/>
      <c r="IV404"/>
    </row>
    <row r="405" spans="132:256" s="2" customFormat="1">
      <c r="GV405" s="1062"/>
      <c r="GW405" s="1062"/>
      <c r="GX405" s="1062"/>
      <c r="GY405" s="1062"/>
      <c r="HC405" s="105"/>
      <c r="HD405" s="105"/>
      <c r="HE405" s="105"/>
      <c r="HF405" s="105"/>
      <c r="HG405" s="105"/>
      <c r="HH405" s="105"/>
      <c r="IV405"/>
    </row>
    <row r="406" spans="132:256" s="2" customFormat="1" ht="3.75" customHeight="1">
      <c r="GV406" s="1062"/>
      <c r="GW406" s="1062"/>
      <c r="GX406" s="1062"/>
      <c r="GY406" s="1062"/>
      <c r="HC406" s="105"/>
      <c r="HD406" s="105"/>
      <c r="HE406" s="105"/>
      <c r="HF406" s="105"/>
      <c r="HG406" s="105"/>
      <c r="HH406" s="105"/>
      <c r="IV406"/>
    </row>
    <row r="407" spans="132:256" s="2" customFormat="1">
      <c r="EB407" s="69" t="s">
        <v>411</v>
      </c>
      <c r="GV407" s="1062"/>
      <c r="GW407" s="1062"/>
      <c r="GX407" s="1062"/>
      <c r="GY407" s="1062"/>
      <c r="HC407" s="105"/>
      <c r="HD407" s="105"/>
      <c r="HE407" s="105"/>
      <c r="HF407" s="105"/>
      <c r="HG407" s="105"/>
      <c r="HH407" s="105"/>
      <c r="IV407"/>
    </row>
    <row r="408" spans="132:256" s="2" customFormat="1">
      <c r="GV408" s="1062"/>
      <c r="GW408" s="1062"/>
      <c r="GX408" s="1062"/>
      <c r="GY408" s="1062"/>
      <c r="HC408" s="105"/>
      <c r="HD408" s="105"/>
      <c r="HE408" s="105"/>
      <c r="HF408" s="105"/>
      <c r="HG408" s="105"/>
      <c r="HH408" s="105"/>
      <c r="IV408"/>
    </row>
    <row r="409" spans="132:256" s="2" customFormat="1">
      <c r="EB409" s="1428"/>
      <c r="EC409" s="1424" t="s">
        <v>1595</v>
      </c>
      <c r="ED409" s="1424" t="s">
        <v>530</v>
      </c>
      <c r="EE409" s="1424" t="s">
        <v>657</v>
      </c>
      <c r="EF409" s="1424" t="s">
        <v>1324</v>
      </c>
      <c r="EG409" s="1425">
        <v>2008</v>
      </c>
      <c r="EH409" s="1424" t="s">
        <v>216</v>
      </c>
      <c r="EI409" s="1424" t="s">
        <v>574</v>
      </c>
      <c r="EJ409" s="1424" t="s">
        <v>575</v>
      </c>
      <c r="EK409" s="1424" t="s">
        <v>1720</v>
      </c>
      <c r="EL409" s="1425">
        <v>2009</v>
      </c>
      <c r="EM409" s="1424" t="s">
        <v>729</v>
      </c>
      <c r="EN409" s="1424" t="s">
        <v>612</v>
      </c>
      <c r="EO409" s="1424" t="s">
        <v>409</v>
      </c>
      <c r="EP409" s="1424" t="s">
        <v>1510</v>
      </c>
      <c r="EQ409" s="1425">
        <v>2010</v>
      </c>
      <c r="ER409" s="1426" t="s">
        <v>1029</v>
      </c>
      <c r="GV409" s="1062"/>
      <c r="GW409" s="1062"/>
      <c r="GX409" s="1062"/>
      <c r="GY409" s="1062"/>
      <c r="HC409" s="105"/>
      <c r="HD409" s="105"/>
      <c r="HE409" s="105"/>
      <c r="HF409" s="105"/>
      <c r="HG409" s="105"/>
      <c r="HH409" s="105"/>
      <c r="IV409"/>
    </row>
    <row r="410" spans="132:256" s="1062" customFormat="1">
      <c r="EB410" s="1071"/>
      <c r="EC410" s="185"/>
      <c r="ED410" s="185"/>
      <c r="EE410" s="185"/>
      <c r="EF410" s="185"/>
      <c r="EG410" s="1427"/>
      <c r="EH410" s="185"/>
      <c r="EI410" s="185"/>
      <c r="EJ410" s="185"/>
      <c r="EK410" s="185"/>
      <c r="EL410" s="1427"/>
      <c r="EM410" s="185"/>
      <c r="EN410" s="185"/>
      <c r="EO410" s="185"/>
      <c r="EP410" s="185"/>
      <c r="EQ410" s="1427"/>
      <c r="ER410" s="185"/>
      <c r="HC410" s="1290"/>
      <c r="HD410" s="1290"/>
      <c r="HE410" s="1290"/>
      <c r="HF410" s="1290"/>
      <c r="HG410" s="1290"/>
      <c r="HH410" s="1290"/>
      <c r="IV410"/>
    </row>
    <row r="411" spans="132:256" s="2" customFormat="1">
      <c r="EB411" s="1" t="s">
        <v>504</v>
      </c>
      <c r="EC411" s="185"/>
      <c r="ED411" s="185"/>
      <c r="EE411" s="185"/>
      <c r="EF411" s="185"/>
      <c r="EG411" s="1427"/>
      <c r="EH411" s="185"/>
      <c r="EI411" s="185"/>
      <c r="EJ411" s="185"/>
      <c r="EK411" s="185"/>
      <c r="EL411" s="1427"/>
      <c r="EM411" s="185"/>
      <c r="EN411" s="185"/>
      <c r="EO411" s="185"/>
      <c r="EP411" s="185"/>
      <c r="EQ411" s="1427"/>
      <c r="ER411" s="185"/>
      <c r="GV411" s="1062"/>
      <c r="GW411" s="1062"/>
      <c r="GX411" s="1062"/>
      <c r="GY411" s="1062"/>
      <c r="HC411" s="105"/>
      <c r="HD411" s="105"/>
      <c r="HE411" s="105"/>
      <c r="HF411" s="105"/>
      <c r="HG411" s="105"/>
      <c r="HH411" s="105"/>
      <c r="IV411"/>
    </row>
    <row r="412" spans="132:256" s="1419" customFormat="1">
      <c r="EB412" s="1421" t="s">
        <v>821</v>
      </c>
      <c r="EC412" s="1420"/>
      <c r="ED412" s="1420"/>
      <c r="EE412" s="1420"/>
      <c r="EF412" s="1420"/>
      <c r="EG412" s="1291">
        <f>SUM(EC412:EF412)</f>
        <v>0</v>
      </c>
      <c r="EH412" s="1418"/>
      <c r="EI412" s="1418"/>
      <c r="EJ412" s="1417">
        <v>85.97</v>
      </c>
      <c r="EK412" s="1417">
        <f>78.003</f>
        <v>78.003</v>
      </c>
      <c r="EL412" s="1291">
        <f>SUM(EH412:EK412)</f>
        <v>163.97300000000001</v>
      </c>
      <c r="EM412" s="364">
        <f>81.996</f>
        <v>81.995999999999995</v>
      </c>
      <c r="EN412" s="364">
        <f>85.127</f>
        <v>85.126999999999995</v>
      </c>
      <c r="EO412" s="364">
        <f>85.792</f>
        <v>85.792000000000002</v>
      </c>
      <c r="EP412" s="364">
        <f>75.806</f>
        <v>75.805999999999997</v>
      </c>
      <c r="EQ412" s="1291">
        <f>SUM(EM412:EP412)</f>
        <v>328.721</v>
      </c>
      <c r="ER412" s="1417">
        <f>80.097</f>
        <v>80.096999999999994</v>
      </c>
      <c r="GV412" s="1703"/>
      <c r="GW412" s="1703"/>
      <c r="GX412" s="1703"/>
      <c r="GY412" s="1703"/>
      <c r="HC412" s="105"/>
      <c r="HD412" s="105"/>
      <c r="HE412" s="105"/>
      <c r="HF412" s="105"/>
      <c r="HG412" s="105"/>
      <c r="HH412" s="105"/>
      <c r="IV412"/>
    </row>
    <row r="413" spans="132:256" s="1082" customFormat="1">
      <c r="EB413" s="1422" t="s">
        <v>822</v>
      </c>
      <c r="EC413" s="1423">
        <v>20.648</v>
      </c>
      <c r="ED413" s="1423">
        <v>18.957999999999998</v>
      </c>
      <c r="EE413" s="1423">
        <v>18.013000000000002</v>
      </c>
      <c r="EF413" s="1423">
        <v>18.082000000000001</v>
      </c>
      <c r="EG413" s="1081">
        <f>SUM(EC413:EF413)</f>
        <v>75.700999999999993</v>
      </c>
      <c r="EH413" s="1423">
        <v>19.943000000000001</v>
      </c>
      <c r="EI413" s="1423">
        <v>18.919</v>
      </c>
      <c r="EJ413" s="1423">
        <v>18.332999999999998</v>
      </c>
      <c r="EK413" s="1423">
        <v>16.686</v>
      </c>
      <c r="EL413" s="1081">
        <f>SUM(EH413:EK413)</f>
        <v>73.881</v>
      </c>
      <c r="EM413" s="1423">
        <v>18.207000000000001</v>
      </c>
      <c r="EN413" s="1423">
        <v>17.11</v>
      </c>
      <c r="EO413" s="1423">
        <v>18.27</v>
      </c>
      <c r="EP413" s="1423">
        <v>17.436</v>
      </c>
      <c r="EQ413" s="1081">
        <f>SUM(EM413:EP413)</f>
        <v>71.022999999999996</v>
      </c>
      <c r="ER413" s="1423">
        <v>18.853000000000002</v>
      </c>
      <c r="GV413" s="2215"/>
      <c r="GW413" s="2215"/>
      <c r="GX413" s="2215"/>
      <c r="GY413" s="2215"/>
      <c r="HC413" s="105"/>
      <c r="HD413" s="105"/>
      <c r="HE413" s="105"/>
      <c r="HF413" s="105"/>
      <c r="HG413" s="105"/>
      <c r="HH413" s="105"/>
      <c r="IV413"/>
    </row>
    <row r="414" spans="132:256" s="1082" customFormat="1">
      <c r="EB414" s="1422" t="s">
        <v>823</v>
      </c>
      <c r="EC414" s="1423">
        <v>25.440999999999999</v>
      </c>
      <c r="ED414" s="1423">
        <v>25.850999999999999</v>
      </c>
      <c r="EE414" s="1423">
        <v>25.036999999999999</v>
      </c>
      <c r="EF414" s="1423">
        <v>25.667999999999999</v>
      </c>
      <c r="EG414" s="1081">
        <f>SUM(EC414:EF414)</f>
        <v>101.99700000000001</v>
      </c>
      <c r="EH414" s="1423">
        <v>25.989000000000001</v>
      </c>
      <c r="EI414" s="1423">
        <v>25.422000000000001</v>
      </c>
      <c r="EJ414" s="1423">
        <v>23.393999999999998</v>
      </c>
      <c r="EK414" s="1423">
        <v>20.254999999999999</v>
      </c>
      <c r="EL414" s="1081">
        <f>SUM(EH414:EK414)</f>
        <v>95.06</v>
      </c>
      <c r="EM414" s="1423">
        <v>21.33</v>
      </c>
      <c r="EN414" s="1423">
        <v>22.123000000000001</v>
      </c>
      <c r="EO414" s="1423">
        <v>22.436</v>
      </c>
      <c r="EP414" s="1423">
        <v>20.853999999999999</v>
      </c>
      <c r="EQ414" s="1081">
        <f>SUM(EM414:EP414)</f>
        <v>86.743000000000009</v>
      </c>
      <c r="ER414" s="1423">
        <v>21.811</v>
      </c>
      <c r="GV414" s="2215"/>
      <c r="GW414" s="2215"/>
      <c r="GX414" s="2215"/>
      <c r="GY414" s="2215"/>
      <c r="HC414" s="105"/>
      <c r="HD414" s="105"/>
      <c r="HE414" s="105"/>
      <c r="HF414" s="105"/>
      <c r="HG414" s="105"/>
      <c r="HH414" s="105"/>
      <c r="IV414"/>
    </row>
    <row r="415" spans="132:256" s="2" customFormat="1">
      <c r="EG415" s="112"/>
      <c r="EL415" s="112"/>
      <c r="EQ415" s="112"/>
      <c r="GV415" s="1062"/>
      <c r="GW415" s="1062"/>
      <c r="GX415" s="1062"/>
      <c r="GY415" s="1062"/>
      <c r="HC415" s="105"/>
      <c r="HD415" s="105"/>
      <c r="HE415" s="105"/>
      <c r="HF415" s="105"/>
      <c r="HG415" s="105"/>
      <c r="HH415" s="105"/>
      <c r="IV415"/>
    </row>
    <row r="416" spans="132:256" s="2" customFormat="1">
      <c r="EB416" s="1" t="s">
        <v>820</v>
      </c>
      <c r="EG416" s="112"/>
      <c r="EL416" s="112"/>
      <c r="EQ416" s="112"/>
      <c r="GV416" s="1062"/>
      <c r="GW416" s="1062"/>
      <c r="GX416" s="1062"/>
      <c r="GY416" s="1062"/>
      <c r="HC416" s="105"/>
      <c r="HD416" s="105"/>
      <c r="HE416" s="105"/>
      <c r="HF416" s="105"/>
      <c r="HG416" s="105"/>
      <c r="HH416" s="105"/>
      <c r="IV416"/>
    </row>
    <row r="417" spans="132:256" s="1419" customFormat="1">
      <c r="EB417" s="1421" t="s">
        <v>821</v>
      </c>
      <c r="EC417" s="1420"/>
      <c r="ED417" s="1420"/>
      <c r="EE417" s="1420"/>
      <c r="EF417" s="1420"/>
      <c r="EG417" s="1291">
        <f>SUM(EC417:EF417)</f>
        <v>0</v>
      </c>
      <c r="EH417" s="1418"/>
      <c r="EI417" s="1418"/>
      <c r="EJ417" s="1417">
        <v>18.067</v>
      </c>
      <c r="EK417" s="1417">
        <f>12.517</f>
        <v>12.516999999999999</v>
      </c>
      <c r="EL417" s="1291">
        <f>SUM(EH417:EK417)</f>
        <v>30.584</v>
      </c>
      <c r="EM417" s="364">
        <f>16.703</f>
        <v>16.702999999999999</v>
      </c>
      <c r="EN417" s="364">
        <f>16.7</f>
        <v>16.7</v>
      </c>
      <c r="EO417" s="364">
        <f>17.637</f>
        <v>17.637</v>
      </c>
      <c r="EP417" s="364">
        <f>10.247</f>
        <v>10.247</v>
      </c>
      <c r="EQ417" s="1291">
        <f>SUM(EM417:EP417)</f>
        <v>61.286999999999999</v>
      </c>
      <c r="ER417" s="1417">
        <f>13.136</f>
        <v>13.135999999999999</v>
      </c>
      <c r="GV417" s="1703"/>
      <c r="GW417" s="1703"/>
      <c r="GX417" s="1703"/>
      <c r="GY417" s="1703"/>
      <c r="HC417" s="105"/>
      <c r="HD417" s="105"/>
      <c r="HE417" s="105"/>
      <c r="HF417" s="105"/>
      <c r="HG417" s="105"/>
      <c r="HH417" s="105"/>
      <c r="IV417"/>
    </row>
    <row r="418" spans="132:256" s="1082" customFormat="1">
      <c r="EB418" s="1422" t="s">
        <v>822</v>
      </c>
      <c r="EC418" s="1423">
        <v>6.8150000000000004</v>
      </c>
      <c r="ED418" s="1423">
        <v>5.1239999999999997</v>
      </c>
      <c r="EE418" s="1423">
        <v>4.593</v>
      </c>
      <c r="EF418" s="1423">
        <v>4.5309999999999997</v>
      </c>
      <c r="EG418" s="1081">
        <f>SUM(EC418:EF418)</f>
        <v>21.062999999999999</v>
      </c>
      <c r="EH418" s="1423">
        <v>6.7489999999999997</v>
      </c>
      <c r="EI418" s="1423">
        <v>4.79</v>
      </c>
      <c r="EJ418" s="1423">
        <v>4.7270000000000003</v>
      </c>
      <c r="EK418" s="1423">
        <v>3.56</v>
      </c>
      <c r="EL418" s="1081">
        <f>SUM(EH418:EK418)</f>
        <v>19.825999999999997</v>
      </c>
      <c r="EM418" s="1423">
        <v>5.2149999999999999</v>
      </c>
      <c r="EN418" s="1423">
        <v>4.0590000000000002</v>
      </c>
      <c r="EO418" s="1423">
        <v>4.5140000000000002</v>
      </c>
      <c r="EP418" s="1423">
        <v>3.9209999999999998</v>
      </c>
      <c r="EQ418" s="1081">
        <f>SUM(EM418:EP418)</f>
        <v>17.709</v>
      </c>
      <c r="ER418" s="1423">
        <v>5.7430000000000003</v>
      </c>
      <c r="GV418" s="2215"/>
      <c r="GW418" s="2215"/>
      <c r="GX418" s="2215"/>
      <c r="GY418" s="2215"/>
      <c r="HC418" s="105"/>
      <c r="HD418" s="105"/>
      <c r="HE418" s="105"/>
      <c r="HF418" s="105"/>
      <c r="HG418" s="105"/>
      <c r="HH418" s="105"/>
      <c r="IV418"/>
    </row>
    <row r="419" spans="132:256" s="1082" customFormat="1">
      <c r="EB419" s="1422" t="s">
        <v>823</v>
      </c>
      <c r="EC419" s="1423">
        <v>5.4390000000000001</v>
      </c>
      <c r="ED419" s="1423">
        <v>5.7610000000000001</v>
      </c>
      <c r="EE419" s="1423">
        <v>5.2859999999999996</v>
      </c>
      <c r="EF419" s="1423">
        <v>5.1790000000000003</v>
      </c>
      <c r="EG419" s="1081">
        <f>SUM(EC419:EF419)</f>
        <v>21.664999999999999</v>
      </c>
      <c r="EH419" s="1423">
        <v>6.133</v>
      </c>
      <c r="EI419" s="1423">
        <v>5.952</v>
      </c>
      <c r="EJ419" s="1423">
        <v>4.7530000000000001</v>
      </c>
      <c r="EK419" s="1423">
        <v>2.754</v>
      </c>
      <c r="EL419" s="1081">
        <f>SUM(EH419:EK419)</f>
        <v>19.592000000000002</v>
      </c>
      <c r="EM419" s="1423">
        <v>4.0449999999999999</v>
      </c>
      <c r="EN419" s="1423">
        <v>4.3819999999999997</v>
      </c>
      <c r="EO419" s="1423">
        <v>5.3659999999999997</v>
      </c>
      <c r="EP419" s="1423">
        <v>4.3220000000000001</v>
      </c>
      <c r="EQ419" s="1081">
        <f>SUM(EM419:EP419)</f>
        <v>18.114999999999998</v>
      </c>
      <c r="ER419" s="1423">
        <v>5.6226000000000003</v>
      </c>
      <c r="GV419" s="2215"/>
      <c r="GW419" s="2215"/>
      <c r="GX419" s="2215"/>
      <c r="GY419" s="2215"/>
      <c r="HC419" s="105"/>
      <c r="HD419" s="105"/>
      <c r="HE419" s="105"/>
      <c r="HF419" s="105"/>
      <c r="HG419" s="105"/>
      <c r="HH419" s="105"/>
      <c r="IV419"/>
    </row>
    <row r="420" spans="132:256" s="1082" customFormat="1">
      <c r="EB420" s="1422"/>
      <c r="EC420" s="1423"/>
      <c r="ED420" s="1423"/>
      <c r="EE420" s="1423"/>
      <c r="EF420" s="1423"/>
      <c r="EG420" s="1081"/>
      <c r="EH420" s="1423"/>
      <c r="EI420" s="1423"/>
      <c r="EJ420" s="1423"/>
      <c r="EK420" s="1423"/>
      <c r="EL420" s="1081"/>
      <c r="EM420" s="1423"/>
      <c r="EN420" s="1423"/>
      <c r="EO420" s="1423"/>
      <c r="EP420" s="1423"/>
      <c r="EQ420" s="1081"/>
      <c r="ER420" s="1423"/>
      <c r="GV420" s="2215"/>
      <c r="GW420" s="2215"/>
      <c r="GX420" s="2215"/>
      <c r="GY420" s="2215"/>
      <c r="HC420" s="105"/>
      <c r="HD420" s="105"/>
      <c r="HE420" s="105"/>
      <c r="HF420" s="105"/>
      <c r="HG420" s="105"/>
      <c r="HH420" s="105"/>
      <c r="IV420"/>
    </row>
    <row r="421" spans="132:256" s="1082" customFormat="1">
      <c r="EB421" s="1429" t="s">
        <v>412</v>
      </c>
      <c r="EC421" s="1452"/>
      <c r="ED421" s="1452"/>
      <c r="EE421" s="1452"/>
      <c r="EF421" s="1452"/>
      <c r="EG421" s="1145"/>
      <c r="EH421" s="1452"/>
      <c r="EI421" s="1452"/>
      <c r="EJ421" s="1452"/>
      <c r="EK421" s="1452"/>
      <c r="EL421" s="1145"/>
      <c r="EM421" s="1452"/>
      <c r="EN421" s="1452"/>
      <c r="EO421" s="1452"/>
      <c r="EP421" s="1452"/>
      <c r="EQ421" s="1145"/>
      <c r="ER421" s="1452"/>
      <c r="GV421" s="2215"/>
      <c r="GW421" s="2215"/>
      <c r="GX421" s="2215"/>
      <c r="GY421" s="2215"/>
      <c r="HC421" s="105"/>
      <c r="HD421" s="105"/>
      <c r="HE421" s="105"/>
      <c r="HF421" s="105"/>
      <c r="HG421" s="105"/>
      <c r="HH421" s="105"/>
      <c r="IV421"/>
    </row>
    <row r="422" spans="132:256" s="1082" customFormat="1">
      <c r="EB422" s="1421" t="s">
        <v>821</v>
      </c>
      <c r="EC422" s="1452"/>
      <c r="ED422" s="1452"/>
      <c r="EE422" s="1452"/>
      <c r="EF422" s="1452"/>
      <c r="EG422" s="1145"/>
      <c r="EH422" s="1452"/>
      <c r="EI422" s="1452"/>
      <c r="EJ422" s="1452"/>
      <c r="EK422" s="1452"/>
      <c r="EL422" s="1145"/>
      <c r="EM422" s="1452"/>
      <c r="EN422" s="1452"/>
      <c r="EO422" s="126">
        <f t="shared" ref="EI422:ER423" si="40">EO417/EJ417-1</f>
        <v>-2.3800298887474369E-2</v>
      </c>
      <c r="EP422" s="126">
        <f>EP417/EK417-1</f>
        <v>-0.18135335943117359</v>
      </c>
      <c r="EQ422" s="1145"/>
      <c r="ER422" s="126">
        <f>ER417/EM417-1</f>
        <v>-0.21355445129617434</v>
      </c>
      <c r="GV422" s="2215"/>
      <c r="GW422" s="2215"/>
      <c r="GX422" s="2215"/>
      <c r="GY422" s="2215"/>
      <c r="HC422" s="105"/>
      <c r="HD422" s="105"/>
      <c r="HE422" s="105"/>
      <c r="HF422" s="105"/>
      <c r="HG422" s="105"/>
      <c r="HH422" s="105"/>
      <c r="IV422"/>
    </row>
    <row r="423" spans="132:256" s="1082" customFormat="1">
      <c r="EB423" s="1422" t="s">
        <v>822</v>
      </c>
      <c r="EC423" s="1452"/>
      <c r="ED423" s="1452"/>
      <c r="EE423" s="1452"/>
      <c r="EF423" s="1452"/>
      <c r="EG423" s="1145"/>
      <c r="EH423" s="126">
        <f>EH418/EC418-1</f>
        <v>-9.6845194424065584E-3</v>
      </c>
      <c r="EI423" s="126">
        <f t="shared" si="40"/>
        <v>-6.518345042935203E-2</v>
      </c>
      <c r="EJ423" s="126">
        <f t="shared" si="40"/>
        <v>2.9174831264968448E-2</v>
      </c>
      <c r="EK423" s="126">
        <f t="shared" si="40"/>
        <v>-0.21430147870227312</v>
      </c>
      <c r="EL423" s="1145">
        <f t="shared" si="40"/>
        <v>-5.8728576176233283E-2</v>
      </c>
      <c r="EM423" s="126">
        <f t="shared" si="40"/>
        <v>-0.22729293228626457</v>
      </c>
      <c r="EN423" s="126">
        <f t="shared" si="40"/>
        <v>-0.15260960334029228</v>
      </c>
      <c r="EO423" s="126">
        <f t="shared" si="40"/>
        <v>-4.5060291939919672E-2</v>
      </c>
      <c r="EP423" s="126">
        <f t="shared" si="40"/>
        <v>0.10140449438202248</v>
      </c>
      <c r="EQ423" s="1145">
        <f t="shared" si="40"/>
        <v>-0.10677897710077666</v>
      </c>
      <c r="ER423" s="126">
        <f t="shared" si="40"/>
        <v>0.10124640460210932</v>
      </c>
      <c r="GV423" s="2215"/>
      <c r="GW423" s="2215"/>
      <c r="GX423" s="2215"/>
      <c r="GY423" s="2215"/>
      <c r="HC423" s="105"/>
      <c r="HD423" s="105"/>
      <c r="HE423" s="105"/>
      <c r="HF423" s="105"/>
      <c r="HG423" s="105"/>
      <c r="HH423" s="105"/>
      <c r="IV423"/>
    </row>
    <row r="424" spans="132:256" s="1082" customFormat="1">
      <c r="EB424" s="1422" t="s">
        <v>823</v>
      </c>
      <c r="EC424" s="1452"/>
      <c r="ED424" s="1452"/>
      <c r="EE424" s="1452"/>
      <c r="EF424" s="1452"/>
      <c r="EG424" s="1145"/>
      <c r="EH424" s="126">
        <f>EH419/EC419-1</f>
        <v>0.12759698473984193</v>
      </c>
      <c r="EI424" s="126">
        <f t="shared" ref="EI424:ER424" si="41">EI419/ED419-1</f>
        <v>3.3153966325290662E-2</v>
      </c>
      <c r="EJ424" s="126">
        <f t="shared" si="41"/>
        <v>-0.10083238743851675</v>
      </c>
      <c r="EK424" s="126">
        <f t="shared" si="41"/>
        <v>-0.4682371114114694</v>
      </c>
      <c r="EL424" s="1145">
        <f t="shared" si="41"/>
        <v>-9.5684283406415771E-2</v>
      </c>
      <c r="EM424" s="126">
        <f t="shared" si="41"/>
        <v>-0.34045328550464704</v>
      </c>
      <c r="EN424" s="126">
        <f t="shared" si="41"/>
        <v>-0.26377688172043012</v>
      </c>
      <c r="EO424" s="126">
        <f t="shared" si="41"/>
        <v>0.12897117609930553</v>
      </c>
      <c r="EP424" s="126">
        <f t="shared" si="41"/>
        <v>0.56935366739288318</v>
      </c>
      <c r="EQ424" s="1145">
        <f t="shared" si="41"/>
        <v>-7.5387913434054932E-2</v>
      </c>
      <c r="ER424" s="126">
        <f t="shared" si="41"/>
        <v>0.39001236093943148</v>
      </c>
      <c r="GV424" s="2215"/>
      <c r="GW424" s="2215"/>
      <c r="GX424" s="2215"/>
      <c r="GY424" s="2215"/>
      <c r="HC424" s="105"/>
      <c r="HD424" s="105"/>
      <c r="HE424" s="105"/>
      <c r="HF424" s="105"/>
      <c r="HG424" s="105"/>
      <c r="HH424" s="105"/>
      <c r="IV424"/>
    </row>
    <row r="425" spans="132:256" s="2" customFormat="1">
      <c r="EC425" s="126"/>
      <c r="ED425" s="126"/>
      <c r="EE425" s="126"/>
      <c r="EF425" s="126"/>
      <c r="EG425" s="1145"/>
      <c r="EH425" s="126"/>
      <c r="EI425" s="126"/>
      <c r="EJ425" s="126"/>
      <c r="EK425" s="126"/>
      <c r="EL425" s="1145"/>
      <c r="EM425" s="126"/>
      <c r="EN425" s="126"/>
      <c r="EO425" s="126"/>
      <c r="EP425" s="126"/>
      <c r="EQ425" s="1145"/>
      <c r="ER425" s="126"/>
      <c r="GV425" s="1062"/>
      <c r="GW425" s="1062"/>
      <c r="GX425" s="1062"/>
      <c r="GY425" s="1062"/>
      <c r="HC425" s="105"/>
      <c r="HD425" s="105"/>
      <c r="HE425" s="105"/>
      <c r="HF425" s="105"/>
      <c r="HG425" s="105"/>
      <c r="HH425" s="105"/>
      <c r="IV425"/>
    </row>
    <row r="426" spans="132:256" s="2" customFormat="1">
      <c r="EB426" s="1" t="s">
        <v>214</v>
      </c>
      <c r="EC426" s="126"/>
      <c r="ED426" s="126"/>
      <c r="EE426" s="126"/>
      <c r="EF426" s="126"/>
      <c r="EG426" s="1145"/>
      <c r="EH426" s="126"/>
      <c r="EI426" s="126"/>
      <c r="EJ426" s="126"/>
      <c r="EK426" s="126"/>
      <c r="EL426" s="1145"/>
      <c r="EM426" s="126"/>
      <c r="EN426" s="126"/>
      <c r="EO426" s="126"/>
      <c r="EP426" s="126"/>
      <c r="EQ426" s="1145"/>
      <c r="ER426" s="126"/>
      <c r="GV426" s="1062"/>
      <c r="GW426" s="1062"/>
      <c r="GX426" s="1062"/>
      <c r="GY426" s="1062"/>
      <c r="HC426" s="105"/>
      <c r="HD426" s="105"/>
      <c r="HE426" s="105"/>
      <c r="HF426" s="105"/>
      <c r="HG426" s="105"/>
      <c r="HH426" s="105"/>
      <c r="IV426"/>
    </row>
    <row r="427" spans="132:256" s="2" customFormat="1">
      <c r="EB427" s="127" t="s">
        <v>821</v>
      </c>
      <c r="EC427" s="126"/>
      <c r="ED427" s="126"/>
      <c r="EE427" s="126"/>
      <c r="EF427" s="126"/>
      <c r="EG427" s="1145"/>
      <c r="EH427" s="126"/>
      <c r="EI427" s="126"/>
      <c r="EJ427" s="126">
        <f t="shared" ref="EH427:EK429" si="42">EJ417/EJ412</f>
        <v>0.21015470512969642</v>
      </c>
      <c r="EK427" s="126">
        <f t="shared" si="42"/>
        <v>0.16046818712100816</v>
      </c>
      <c r="EL427" s="1145">
        <f>EL417/EL412</f>
        <v>0.18651851219408072</v>
      </c>
      <c r="EM427" s="126">
        <f t="shared" ref="EM427:EQ429" si="43">EM417/EM412</f>
        <v>0.20370505878335529</v>
      </c>
      <c r="EN427" s="126">
        <f t="shared" si="43"/>
        <v>0.19617747600643745</v>
      </c>
      <c r="EO427" s="126">
        <f t="shared" si="43"/>
        <v>0.20557860872808653</v>
      </c>
      <c r="EP427" s="126">
        <f t="shared" si="43"/>
        <v>0.13517399678125741</v>
      </c>
      <c r="EQ427" s="1145">
        <f t="shared" si="43"/>
        <v>0.18644078108791345</v>
      </c>
      <c r="ER427" s="126">
        <f>ER417/ER412</f>
        <v>0.16400114860731363</v>
      </c>
      <c r="GV427" s="1062"/>
      <c r="GW427" s="1062"/>
      <c r="GX427" s="1062"/>
      <c r="GY427" s="1062"/>
      <c r="HC427" s="105"/>
      <c r="HD427" s="105"/>
      <c r="HE427" s="105"/>
      <c r="HF427" s="105"/>
      <c r="HG427" s="105"/>
      <c r="HH427" s="105"/>
      <c r="IV427"/>
    </row>
    <row r="428" spans="132:256" s="2" customFormat="1">
      <c r="EB428" s="127" t="s">
        <v>822</v>
      </c>
      <c r="EC428" s="126">
        <f t="shared" ref="EC428:EG429" si="44">EC418/EC413</f>
        <v>0.3300561797752809</v>
      </c>
      <c r="ED428" s="126">
        <f t="shared" si="44"/>
        <v>0.27028167528220276</v>
      </c>
      <c r="EE428" s="126">
        <f t="shared" si="44"/>
        <v>0.25498251262976734</v>
      </c>
      <c r="EF428" s="126">
        <f t="shared" si="44"/>
        <v>0.25058068797699368</v>
      </c>
      <c r="EG428" s="1145">
        <f t="shared" si="44"/>
        <v>0.27823938917583652</v>
      </c>
      <c r="EH428" s="126">
        <f t="shared" si="42"/>
        <v>0.3384144812716241</v>
      </c>
      <c r="EI428" s="126">
        <f t="shared" si="42"/>
        <v>0.25318462920873197</v>
      </c>
      <c r="EJ428" s="126">
        <f t="shared" si="42"/>
        <v>0.25784105165548471</v>
      </c>
      <c r="EK428" s="126">
        <f t="shared" si="42"/>
        <v>0.21335251108713893</v>
      </c>
      <c r="EL428" s="1145">
        <f>EL418/EL413</f>
        <v>0.26835045546216207</v>
      </c>
      <c r="EM428" s="126">
        <f t="shared" si="43"/>
        <v>0.28642829680891962</v>
      </c>
      <c r="EN428" s="126">
        <f t="shared" si="43"/>
        <v>0.23722969023962598</v>
      </c>
      <c r="EO428" s="126">
        <f t="shared" si="43"/>
        <v>0.24707170224411606</v>
      </c>
      <c r="EP428" s="126">
        <f t="shared" si="43"/>
        <v>0.22487955953200275</v>
      </c>
      <c r="EQ428" s="1145">
        <f t="shared" si="43"/>
        <v>0.2493417625276319</v>
      </c>
      <c r="ER428" s="126">
        <f>ER418/ER413</f>
        <v>0.30461995438391765</v>
      </c>
      <c r="GV428" s="1062"/>
      <c r="GW428" s="1062"/>
      <c r="GX428" s="1062"/>
      <c r="GY428" s="1062"/>
      <c r="HC428" s="105"/>
      <c r="HD428" s="105"/>
      <c r="HE428" s="105"/>
      <c r="HF428" s="105"/>
      <c r="HG428" s="105"/>
      <c r="HH428" s="105"/>
      <c r="IV428"/>
    </row>
    <row r="429" spans="132:256" s="2" customFormat="1">
      <c r="EB429" s="127" t="s">
        <v>823</v>
      </c>
      <c r="EC429" s="126">
        <f t="shared" si="44"/>
        <v>0.21378876616485201</v>
      </c>
      <c r="ED429" s="126">
        <f t="shared" si="44"/>
        <v>0.22285404819929597</v>
      </c>
      <c r="EE429" s="126">
        <f t="shared" si="44"/>
        <v>0.21112753125374445</v>
      </c>
      <c r="EF429" s="126">
        <f t="shared" si="44"/>
        <v>0.20176873928627087</v>
      </c>
      <c r="EG429" s="1145">
        <f t="shared" si="44"/>
        <v>0.21240820808455146</v>
      </c>
      <c r="EH429" s="126">
        <f t="shared" si="42"/>
        <v>0.23598445496171455</v>
      </c>
      <c r="EI429" s="126">
        <f t="shared" si="42"/>
        <v>0.23412792069860749</v>
      </c>
      <c r="EJ429" s="126">
        <f t="shared" si="42"/>
        <v>0.20317175344105329</v>
      </c>
      <c r="EK429" s="126">
        <f t="shared" si="42"/>
        <v>0.13596642804245865</v>
      </c>
      <c r="EL429" s="1145">
        <f>EL419/EL414</f>
        <v>0.20610140963601939</v>
      </c>
      <c r="EM429" s="126">
        <f t="shared" si="43"/>
        <v>0.1896390060947023</v>
      </c>
      <c r="EN429" s="126">
        <f t="shared" si="43"/>
        <v>0.1980744022058491</v>
      </c>
      <c r="EO429" s="126">
        <f t="shared" si="43"/>
        <v>0.23916919236940629</v>
      </c>
      <c r="EP429" s="126">
        <f t="shared" si="43"/>
        <v>0.2072504075956651</v>
      </c>
      <c r="EQ429" s="1145">
        <f t="shared" si="43"/>
        <v>0.20883529506703707</v>
      </c>
      <c r="ER429" s="126">
        <f>ER419/ER414</f>
        <v>0.25778735500435562</v>
      </c>
      <c r="GV429" s="1062"/>
      <c r="GW429" s="1062"/>
      <c r="GX429" s="1062"/>
      <c r="GY429" s="1062"/>
      <c r="HC429" s="105"/>
      <c r="HD429" s="105"/>
      <c r="HE429" s="105"/>
      <c r="HF429" s="105"/>
      <c r="HG429" s="105"/>
      <c r="HH429" s="105"/>
      <c r="IV429"/>
    </row>
    <row r="430" spans="132:256" s="2" customFormat="1">
      <c r="EG430" s="112"/>
      <c r="EL430" s="112"/>
      <c r="EQ430" s="112"/>
      <c r="GV430" s="1062"/>
      <c r="GW430" s="1062"/>
      <c r="GX430" s="1062"/>
      <c r="GY430" s="1062"/>
      <c r="HC430" s="105"/>
      <c r="HD430" s="105"/>
      <c r="HE430" s="105"/>
      <c r="HF430" s="105"/>
      <c r="HG430" s="105"/>
      <c r="HH430" s="105"/>
      <c r="IV430"/>
    </row>
    <row r="431" spans="132:256" s="2" customFormat="1">
      <c r="EG431" s="144"/>
      <c r="EL431" s="144"/>
      <c r="EQ431" s="144"/>
      <c r="GV431" s="1062"/>
      <c r="GW431" s="1062"/>
      <c r="GX431" s="1062"/>
      <c r="GY431" s="1062"/>
      <c r="HC431" s="105"/>
      <c r="HD431" s="105"/>
      <c r="HE431" s="105"/>
      <c r="HF431" s="105"/>
      <c r="HG431" s="105"/>
      <c r="HH431" s="105"/>
      <c r="IV431"/>
    </row>
    <row r="432" spans="132:256" s="2" customFormat="1">
      <c r="GV432" s="1062"/>
      <c r="GW432" s="1062"/>
      <c r="GX432" s="1062"/>
      <c r="GY432" s="1062"/>
      <c r="HC432" s="105"/>
      <c r="HD432" s="105"/>
      <c r="HE432" s="105"/>
      <c r="HF432" s="105"/>
      <c r="HG432" s="105"/>
      <c r="HH432" s="105"/>
      <c r="IV432"/>
    </row>
    <row r="433" spans="150:256" s="2" customFormat="1">
      <c r="ET433" s="1" t="s">
        <v>1374</v>
      </c>
      <c r="GV433" s="1062"/>
      <c r="GW433" s="1062"/>
      <c r="GX433" s="1062"/>
      <c r="GY433" s="1062"/>
      <c r="HC433" s="105"/>
      <c r="HD433" s="105"/>
      <c r="HE433" s="105"/>
      <c r="HF433" s="105"/>
      <c r="HG433" s="105"/>
      <c r="HH433" s="105"/>
      <c r="IV433"/>
    </row>
    <row r="434" spans="150:256" s="2" customFormat="1">
      <c r="ET434" s="118" t="s">
        <v>1373</v>
      </c>
      <c r="GV434" s="1062"/>
      <c r="GW434" s="1062"/>
      <c r="GX434" s="1062"/>
      <c r="GY434" s="1062"/>
      <c r="HC434" s="105"/>
      <c r="HD434" s="105"/>
      <c r="HE434" s="105"/>
      <c r="HF434" s="105"/>
      <c r="HG434" s="105"/>
      <c r="HH434" s="105"/>
      <c r="IV434"/>
    </row>
    <row r="435" spans="150:256" s="2" customFormat="1">
      <c r="GV435" s="1062"/>
      <c r="GW435" s="1062"/>
      <c r="GX435" s="1062"/>
      <c r="GY435" s="1062"/>
      <c r="HC435" s="105"/>
      <c r="HD435" s="105"/>
      <c r="HE435" s="105"/>
      <c r="HF435" s="105"/>
      <c r="HG435" s="105"/>
      <c r="HH435" s="105"/>
      <c r="IV435"/>
    </row>
    <row r="436" spans="150:256" s="2" customFormat="1">
      <c r="ET436" s="72" t="s">
        <v>10</v>
      </c>
      <c r="EU436" s="72"/>
      <c r="EV436" s="78" t="s">
        <v>1029</v>
      </c>
      <c r="EW436" s="78" t="s">
        <v>1699</v>
      </c>
      <c r="EX436" s="78" t="s">
        <v>1578</v>
      </c>
      <c r="EY436" s="78" t="s">
        <v>1579</v>
      </c>
      <c r="EZ436" s="78" t="s">
        <v>54</v>
      </c>
      <c r="FA436" s="78" t="s">
        <v>55</v>
      </c>
      <c r="GV436" s="1062"/>
      <c r="GW436" s="1062"/>
      <c r="GX436" s="1062"/>
      <c r="GY436" s="1062"/>
      <c r="HC436" s="105"/>
      <c r="HD436" s="105"/>
      <c r="HE436" s="105"/>
      <c r="HF436" s="105"/>
      <c r="HG436" s="105"/>
      <c r="HH436" s="105"/>
      <c r="IV436"/>
    </row>
    <row r="437" spans="150:256" s="2" customFormat="1">
      <c r="EV437" s="1453"/>
      <c r="EW437" s="1453"/>
      <c r="EX437" s="1453"/>
      <c r="EY437" s="1453"/>
      <c r="EZ437" s="1453"/>
      <c r="GV437" s="1062"/>
      <c r="GW437" s="1062"/>
      <c r="GX437" s="1062"/>
      <c r="GY437" s="1062"/>
      <c r="HC437" s="105"/>
      <c r="HD437" s="105"/>
      <c r="HE437" s="105"/>
      <c r="HF437" s="105"/>
      <c r="HG437" s="105"/>
      <c r="HH437" s="105"/>
      <c r="IV437"/>
    </row>
    <row r="438" spans="150:256" s="2" customFormat="1">
      <c r="ET438" s="111" t="s">
        <v>1380</v>
      </c>
      <c r="EU438" s="72"/>
      <c r="EV438" s="1454"/>
      <c r="EW438" s="1454"/>
      <c r="EX438" s="1454"/>
      <c r="EY438" s="1454"/>
      <c r="EZ438" s="1454"/>
      <c r="FA438" s="72"/>
      <c r="GV438" s="1062"/>
      <c r="GW438" s="1062"/>
      <c r="GX438" s="1062"/>
      <c r="GY438" s="1062"/>
      <c r="HC438" s="105"/>
      <c r="HD438" s="105"/>
      <c r="HE438" s="105"/>
      <c r="HF438" s="105"/>
      <c r="HG438" s="105"/>
      <c r="HH438" s="105"/>
      <c r="IV438"/>
    </row>
    <row r="439" spans="150:256" s="2" customFormat="1">
      <c r="ET439" s="2" t="s">
        <v>1375</v>
      </c>
      <c r="EV439" s="116"/>
      <c r="EW439" s="1458">
        <v>80</v>
      </c>
      <c r="EX439" s="1459"/>
      <c r="EY439" s="1459"/>
      <c r="EZ439" s="1459"/>
      <c r="FA439" s="1459"/>
      <c r="GV439" s="1062"/>
      <c r="GW439" s="1062"/>
      <c r="GX439" s="1062"/>
      <c r="GY439" s="1062"/>
      <c r="HC439" s="105"/>
      <c r="HD439" s="105"/>
      <c r="HE439" s="105"/>
      <c r="HF439" s="105"/>
      <c r="HG439" s="105"/>
      <c r="HH439" s="105"/>
      <c r="IV439"/>
    </row>
    <row r="440" spans="150:256" s="2" customFormat="1">
      <c r="EW440" s="1459"/>
      <c r="EX440" s="1459"/>
      <c r="EY440" s="1459"/>
      <c r="EZ440" s="1459"/>
      <c r="FA440" s="1459"/>
      <c r="GV440" s="1062"/>
      <c r="GW440" s="1062"/>
      <c r="GX440" s="1062"/>
      <c r="GY440" s="1062"/>
      <c r="HC440" s="105"/>
      <c r="HD440" s="105"/>
      <c r="HE440" s="105"/>
      <c r="HF440" s="105"/>
      <c r="HG440" s="105"/>
      <c r="HH440" s="105"/>
      <c r="IV440"/>
    </row>
    <row r="441" spans="150:256" s="2" customFormat="1">
      <c r="ET441" s="2" t="s">
        <v>1376</v>
      </c>
      <c r="EW441" s="1459"/>
      <c r="EX441" s="1460">
        <f>BYD!AO135</f>
        <v>5.0080000000000258</v>
      </c>
      <c r="EY441" s="1460">
        <f>BYD!AP135</f>
        <v>-3.0880000000000036</v>
      </c>
      <c r="EZ441" s="1460">
        <f>BYD!AV135</f>
        <v>-1.9989999999998886</v>
      </c>
      <c r="FA441" s="1460"/>
      <c r="GV441" s="1062"/>
      <c r="GW441" s="1062"/>
      <c r="GX441" s="1062"/>
      <c r="GY441" s="1062"/>
      <c r="HC441" s="105"/>
      <c r="HD441" s="105"/>
      <c r="HE441" s="105"/>
      <c r="HF441" s="105"/>
      <c r="HG441" s="105"/>
      <c r="HH441" s="105"/>
      <c r="IV441"/>
    </row>
    <row r="442" spans="150:256" s="2" customFormat="1">
      <c r="ET442" s="174" t="s">
        <v>1377</v>
      </c>
      <c r="EW442" s="1459"/>
      <c r="EX442" s="1460"/>
      <c r="EY442" s="1460"/>
      <c r="EZ442" s="1460"/>
      <c r="FA442" s="1460"/>
      <c r="GV442" s="1062"/>
      <c r="GW442" s="1062"/>
      <c r="GX442" s="1062"/>
      <c r="GY442" s="1062"/>
      <c r="HC442" s="105"/>
      <c r="HD442" s="105"/>
      <c r="HE442" s="105"/>
      <c r="HF442" s="105"/>
      <c r="HG442" s="105"/>
      <c r="HH442" s="105"/>
      <c r="IV442"/>
    </row>
    <row r="443" spans="150:256" s="2" customFormat="1">
      <c r="ET443" s="2" t="s">
        <v>1378</v>
      </c>
      <c r="EW443" s="1459"/>
      <c r="EX443" s="1460"/>
      <c r="EY443" s="1460"/>
      <c r="EZ443" s="1460"/>
      <c r="FA443" s="1460"/>
      <c r="GV443" s="1062"/>
      <c r="GW443" s="1062"/>
      <c r="GX443" s="1062"/>
      <c r="GY443" s="1062"/>
      <c r="HC443" s="105"/>
      <c r="HD443" s="105"/>
      <c r="HE443" s="105"/>
      <c r="HF443" s="105"/>
      <c r="HG443" s="105"/>
      <c r="HH443" s="105"/>
      <c r="IV443"/>
    </row>
    <row r="444" spans="150:256" s="2" customFormat="1">
      <c r="EW444" s="1459"/>
      <c r="EX444" s="1459"/>
      <c r="EY444" s="1459"/>
      <c r="EZ444" s="1459"/>
      <c r="FA444" s="1459"/>
      <c r="GV444" s="1062"/>
      <c r="GW444" s="1062"/>
      <c r="GX444" s="1062"/>
      <c r="GY444" s="1062"/>
      <c r="HC444" s="105"/>
      <c r="HD444" s="105"/>
      <c r="HE444" s="105"/>
      <c r="HF444" s="105"/>
      <c r="HG444" s="105"/>
      <c r="HH444" s="105"/>
      <c r="IV444"/>
    </row>
    <row r="445" spans="150:256" s="2" customFormat="1">
      <c r="ET445" s="2" t="s">
        <v>1379</v>
      </c>
      <c r="EW445" s="1458"/>
      <c r="EX445" s="1458">
        <v>80</v>
      </c>
      <c r="EY445" s="1459"/>
      <c r="EZ445" s="1459"/>
      <c r="FA445" s="1459"/>
      <c r="GV445" s="1062"/>
      <c r="GW445" s="1062"/>
      <c r="GX445" s="1062"/>
      <c r="GY445" s="1062"/>
      <c r="HC445" s="105"/>
      <c r="HD445" s="105"/>
      <c r="HE445" s="105"/>
      <c r="HF445" s="105"/>
      <c r="HG445" s="105"/>
      <c r="HH445" s="105"/>
      <c r="IV445"/>
    </row>
    <row r="446" spans="150:256" s="2" customFormat="1">
      <c r="ET446" s="2" t="s">
        <v>1381</v>
      </c>
      <c r="EW446" s="1458">
        <v>350</v>
      </c>
      <c r="EX446" s="1458">
        <v>350</v>
      </c>
      <c r="EY446" s="1458">
        <v>350</v>
      </c>
      <c r="EZ446" s="1458">
        <v>350</v>
      </c>
      <c r="FA446" s="1458">
        <v>350</v>
      </c>
      <c r="GV446" s="1062"/>
      <c r="GW446" s="1062"/>
      <c r="GX446" s="1062"/>
      <c r="GY446" s="1062"/>
      <c r="HC446" s="105"/>
      <c r="HD446" s="105"/>
      <c r="HE446" s="105"/>
      <c r="HF446" s="105"/>
      <c r="HG446" s="105"/>
      <c r="HH446" s="105"/>
      <c r="IV446"/>
    </row>
    <row r="447" spans="150:256" s="2" customFormat="1">
      <c r="ET447" s="2" t="s">
        <v>78</v>
      </c>
      <c r="EW447" s="1458">
        <v>0</v>
      </c>
      <c r="EX447" s="1458">
        <v>0</v>
      </c>
      <c r="EY447" s="1458">
        <v>0</v>
      </c>
      <c r="EZ447" s="1458">
        <v>0</v>
      </c>
      <c r="FA447" s="1458">
        <v>0</v>
      </c>
      <c r="GV447" s="1062"/>
      <c r="GW447" s="1062"/>
      <c r="GX447" s="1062"/>
      <c r="GY447" s="1062"/>
      <c r="HC447" s="105"/>
      <c r="HD447" s="105"/>
      <c r="HE447" s="105"/>
      <c r="HF447" s="105"/>
      <c r="HG447" s="105"/>
      <c r="HH447" s="105"/>
      <c r="IV447"/>
    </row>
    <row r="448" spans="150:256" s="2" customFormat="1">
      <c r="ET448" s="138" t="s">
        <v>11</v>
      </c>
      <c r="EU448" s="155"/>
      <c r="EV448" s="155"/>
      <c r="EW448" s="1283">
        <f>SUM(EW439:EW447)</f>
        <v>430</v>
      </c>
      <c r="EX448" s="1283">
        <f>SUM(EX439:EX447)</f>
        <v>435.00800000000004</v>
      </c>
      <c r="EY448" s="1283">
        <f>SUM(EY439:EY447)</f>
        <v>346.91199999999998</v>
      </c>
      <c r="EZ448" s="1283">
        <f>SUM(EZ439:EZ447)</f>
        <v>348.00100000000009</v>
      </c>
      <c r="FA448" s="1461">
        <f>SUM(FA439:FA447)</f>
        <v>350</v>
      </c>
      <c r="GV448" s="1062"/>
      <c r="GW448" s="1062"/>
      <c r="GX448" s="1062"/>
      <c r="GY448" s="1062"/>
      <c r="HC448" s="105"/>
      <c r="HD448" s="105"/>
      <c r="HE448" s="105"/>
      <c r="HF448" s="105"/>
      <c r="HG448" s="105"/>
      <c r="HH448" s="105"/>
      <c r="IV448"/>
    </row>
    <row r="449" spans="150:256" s="2" customFormat="1">
      <c r="GV449" s="1062"/>
      <c r="GW449" s="1062"/>
      <c r="GX449" s="1062"/>
      <c r="GY449" s="1062"/>
      <c r="HC449" s="105"/>
      <c r="HD449" s="105"/>
      <c r="HE449" s="105"/>
      <c r="HF449" s="105"/>
      <c r="HG449" s="105"/>
      <c r="HH449" s="105"/>
      <c r="IV449"/>
    </row>
    <row r="450" spans="150:256" s="2" customFormat="1">
      <c r="ET450" s="1" t="s">
        <v>79</v>
      </c>
      <c r="GV450" s="1062"/>
      <c r="GW450" s="1062"/>
      <c r="GX450" s="1062"/>
      <c r="GY450" s="1062"/>
      <c r="HC450" s="105"/>
      <c r="HD450" s="105"/>
      <c r="HE450" s="105"/>
      <c r="HF450" s="105"/>
      <c r="HG450" s="105"/>
      <c r="HH450" s="105"/>
      <c r="IV450"/>
    </row>
    <row r="451" spans="150:256" s="2" customFormat="1">
      <c r="ET451" s="2" t="s">
        <v>1200</v>
      </c>
      <c r="EV451" s="2">
        <f>-BYD!AM1199</f>
        <v>-17.108000000000001</v>
      </c>
      <c r="EW451" s="1458"/>
      <c r="EX451" s="1459">
        <f>-BYD!AO1199</f>
        <v>-20.867000000000001</v>
      </c>
      <c r="EY451" s="1459">
        <f>-BYD!AP1199</f>
        <v>-16</v>
      </c>
      <c r="EZ451" s="1459">
        <f>-BYD!AV1199</f>
        <v>-55.099999999999994</v>
      </c>
      <c r="FA451" s="1459"/>
      <c r="GV451" s="1062"/>
      <c r="GW451" s="1062"/>
      <c r="GX451" s="1062"/>
      <c r="GY451" s="1062"/>
      <c r="HC451" s="105"/>
      <c r="HD451" s="105"/>
      <c r="HE451" s="105"/>
      <c r="HF451" s="105"/>
      <c r="HG451" s="105"/>
      <c r="HH451" s="105"/>
      <c r="IV451"/>
    </row>
    <row r="452" spans="150:256" s="2" customFormat="1">
      <c r="ET452" s="2" t="s">
        <v>80</v>
      </c>
      <c r="EV452" s="2">
        <v>0</v>
      </c>
      <c r="EW452" s="1458"/>
      <c r="EX452" s="1459">
        <v>0</v>
      </c>
      <c r="EY452" s="1459">
        <v>0</v>
      </c>
      <c r="EZ452" s="1458">
        <v>-330</v>
      </c>
      <c r="FA452" s="1459"/>
      <c r="GV452" s="1062"/>
      <c r="GW452" s="1062"/>
      <c r="GX452" s="1062"/>
      <c r="GY452" s="1062"/>
      <c r="HC452" s="105"/>
      <c r="HD452" s="105"/>
      <c r="HE452" s="105"/>
      <c r="HF452" s="105"/>
      <c r="HG452" s="105"/>
      <c r="HH452" s="105"/>
      <c r="IV452"/>
    </row>
    <row r="453" spans="150:256" s="2" customFormat="1">
      <c r="ET453" s="2" t="s">
        <v>81</v>
      </c>
      <c r="EV453" s="2">
        <v>0</v>
      </c>
      <c r="EW453" s="1458"/>
      <c r="EX453" s="1458">
        <v>0</v>
      </c>
      <c r="EY453" s="1458">
        <v>-288</v>
      </c>
      <c r="EZ453" s="1458"/>
      <c r="FA453" s="1458"/>
      <c r="GV453" s="1062"/>
      <c r="GW453" s="1062"/>
      <c r="GX453" s="1062"/>
      <c r="GY453" s="1062"/>
      <c r="HC453" s="105"/>
      <c r="HD453" s="105"/>
      <c r="HE453" s="105"/>
      <c r="HF453" s="105"/>
      <c r="HG453" s="105"/>
      <c r="HH453" s="105"/>
      <c r="IV453"/>
    </row>
    <row r="454" spans="150:256" s="2" customFormat="1">
      <c r="ET454" s="138" t="s">
        <v>82</v>
      </c>
      <c r="EU454" s="1203"/>
      <c r="EV454" s="155"/>
      <c r="EW454" s="1311">
        <f>SUM(EW451:EW453)</f>
        <v>0</v>
      </c>
      <c r="EX454" s="1311">
        <f>SUM(EX451:EX453)</f>
        <v>-20.867000000000001</v>
      </c>
      <c r="EY454" s="1311">
        <f>SUM(EY451:EY453)</f>
        <v>-304</v>
      </c>
      <c r="EZ454" s="1311">
        <f>SUM(EZ451:EZ453)</f>
        <v>-385.1</v>
      </c>
      <c r="FA454" s="1321">
        <f>SUM(FA451:FA453)</f>
        <v>0</v>
      </c>
      <c r="GV454" s="1062"/>
      <c r="GW454" s="1062"/>
      <c r="GX454" s="1062"/>
      <c r="GY454" s="1062"/>
      <c r="HC454" s="105"/>
      <c r="HD454" s="105"/>
      <c r="HE454" s="105"/>
      <c r="HF454" s="105"/>
      <c r="HG454" s="105"/>
      <c r="HH454" s="105"/>
      <c r="IV454"/>
    </row>
    <row r="455" spans="150:256" s="2" customFormat="1">
      <c r="GV455" s="1062"/>
      <c r="GW455" s="1062"/>
      <c r="GX455" s="1062"/>
      <c r="GY455" s="1062"/>
      <c r="HC455" s="105"/>
      <c r="HD455" s="105"/>
      <c r="HE455" s="105"/>
      <c r="HF455" s="105"/>
      <c r="HG455" s="105"/>
      <c r="HH455" s="105"/>
      <c r="IV455"/>
    </row>
    <row r="456" spans="150:256" s="2" customFormat="1">
      <c r="GV456" s="1062"/>
      <c r="GW456" s="1062"/>
      <c r="GX456" s="1062"/>
      <c r="GY456" s="1062"/>
      <c r="HC456" s="105"/>
      <c r="HD456" s="105"/>
      <c r="HE456" s="105"/>
      <c r="HF456" s="105"/>
      <c r="HG456" s="105"/>
      <c r="HH456" s="105"/>
      <c r="IV456"/>
    </row>
    <row r="457" spans="150:256" s="2" customFormat="1">
      <c r="ET457" s="1222" t="s">
        <v>83</v>
      </c>
      <c r="EU457" s="1223"/>
      <c r="EV457" s="1223"/>
      <c r="EW457" s="1223"/>
      <c r="EX457" s="1223">
        <f>SUM(EX454,EX448)</f>
        <v>414.14100000000002</v>
      </c>
      <c r="EY457" s="1223">
        <f>SUM(EY454,EY448)</f>
        <v>42.911999999999978</v>
      </c>
      <c r="EZ457" s="1223">
        <f>SUM(EZ454,EZ448)</f>
        <v>-37.098999999999933</v>
      </c>
      <c r="FA457" s="1455">
        <f>SUM(FA454,FA448)</f>
        <v>350</v>
      </c>
      <c r="GV457" s="1062"/>
      <c r="GW457" s="1062"/>
      <c r="GX457" s="1062"/>
      <c r="GY457" s="1062"/>
      <c r="HC457" s="105"/>
      <c r="HD457" s="105"/>
      <c r="HE457" s="105"/>
      <c r="HF457" s="105"/>
      <c r="HG457" s="105"/>
      <c r="HH457" s="105"/>
      <c r="IV457"/>
    </row>
    <row r="458" spans="150:256" s="2" customFormat="1">
      <c r="ET458" s="1456" t="s">
        <v>912</v>
      </c>
      <c r="EU458" s="1233"/>
      <c r="EV458" s="1233"/>
      <c r="EW458" s="1233"/>
      <c r="EX458" s="1233"/>
      <c r="EY458" s="1233"/>
      <c r="EZ458" s="1233"/>
      <c r="FA458" s="1457"/>
      <c r="GV458" s="1062"/>
      <c r="GW458" s="1062"/>
      <c r="GX458" s="1062"/>
      <c r="GY458" s="1062"/>
      <c r="HC458" s="105"/>
      <c r="HD458" s="105"/>
      <c r="HE458" s="105"/>
      <c r="HF458" s="105"/>
      <c r="HG458" s="105"/>
      <c r="HH458" s="105"/>
      <c r="IV458"/>
    </row>
    <row r="459" spans="150:256" s="2" customFormat="1">
      <c r="GV459" s="1062"/>
      <c r="GW459" s="1062"/>
      <c r="GX459" s="1062"/>
      <c r="GY459" s="1062"/>
      <c r="HC459" s="105"/>
      <c r="HD459" s="105"/>
      <c r="HE459" s="105"/>
      <c r="HF459" s="105"/>
      <c r="HG459" s="105"/>
      <c r="HH459" s="105"/>
      <c r="IV459"/>
    </row>
    <row r="460" spans="150:256" s="2" customFormat="1">
      <c r="FC460" s="1" t="s">
        <v>12</v>
      </c>
      <c r="GV460" s="1062"/>
      <c r="GW460" s="1062"/>
      <c r="GX460" s="1062"/>
      <c r="GY460" s="1062"/>
      <c r="HC460" s="105"/>
      <c r="HD460" s="105"/>
      <c r="HE460" s="105"/>
      <c r="HF460" s="105"/>
      <c r="HG460" s="105"/>
      <c r="HH460" s="105"/>
      <c r="IV460"/>
    </row>
    <row r="461" spans="150:256" s="2" customFormat="1">
      <c r="GV461" s="1062"/>
      <c r="GW461" s="1062"/>
      <c r="GX461" s="1062"/>
      <c r="GY461" s="1062"/>
      <c r="HC461" s="105"/>
      <c r="HD461" s="105"/>
      <c r="HE461" s="105"/>
      <c r="HF461" s="105"/>
      <c r="HG461" s="105"/>
      <c r="HH461" s="105"/>
      <c r="IV461"/>
    </row>
    <row r="462" spans="150:256" s="2" customFormat="1">
      <c r="FC462" s="72"/>
      <c r="FD462" s="73" t="str">
        <f>BYD!AE6</f>
        <v>3Q09</v>
      </c>
      <c r="FE462" s="73" t="str">
        <f>BYD!AF6</f>
        <v>4Q09</v>
      </c>
      <c r="FF462" s="73" t="str">
        <f>BYD!AH6</f>
        <v>1Q10</v>
      </c>
      <c r="FG462" s="73" t="str">
        <f>BYD!AI6</f>
        <v>2Q10</v>
      </c>
      <c r="FH462" s="73" t="str">
        <f>BYD!AJ6</f>
        <v>3Q10</v>
      </c>
      <c r="FI462" s="73" t="str">
        <f>BYD!AK6</f>
        <v>4Q10</v>
      </c>
      <c r="FJ462" s="73" t="str">
        <f>BYD!AM6</f>
        <v>1Q11</v>
      </c>
      <c r="FK462" s="73" t="str">
        <f>BYD!AN6</f>
        <v>2Q11</v>
      </c>
      <c r="FL462" s="73" t="str">
        <f>BYD!AO6</f>
        <v>3Q11</v>
      </c>
      <c r="FM462" s="73" t="str">
        <f>BYD!AP6</f>
        <v>4Q11</v>
      </c>
      <c r="FN462" s="73" t="s">
        <v>1647</v>
      </c>
      <c r="FO462" s="73" t="str">
        <f>BYD!AS6</f>
        <v>2Q12</v>
      </c>
      <c r="FP462" s="73" t="str">
        <f>BYD!AT6</f>
        <v>3Q12</v>
      </c>
      <c r="FQ462" s="73" t="str">
        <f>BYD!AU6</f>
        <v>4Q12</v>
      </c>
      <c r="GV462" s="1062"/>
      <c r="GW462" s="1062"/>
      <c r="GX462" s="1062"/>
      <c r="GY462" s="1062"/>
      <c r="HC462" s="105"/>
      <c r="HD462" s="105"/>
      <c r="HE462" s="105"/>
      <c r="HF462" s="105"/>
      <c r="HG462" s="105"/>
      <c r="HH462" s="105"/>
      <c r="IV462"/>
    </row>
    <row r="463" spans="150:256" s="2" customFormat="1">
      <c r="FC463" s="2" t="s">
        <v>493</v>
      </c>
      <c r="FD463" s="2">
        <f>BYD!AE10</f>
        <v>150.749</v>
      </c>
      <c r="FE463" s="2">
        <f>BYD!AF10</f>
        <v>154.96600000000001</v>
      </c>
      <c r="FF463" s="2">
        <f>BYD!AH10</f>
        <v>156.572</v>
      </c>
      <c r="FG463" s="2">
        <f>BYD!AI10</f>
        <v>153.078</v>
      </c>
      <c r="FH463" s="2">
        <f>BYD!AJ10</f>
        <v>145.59299999999999</v>
      </c>
      <c r="FI463" s="2">
        <f>BYD!AK10</f>
        <v>152.12299999999999</v>
      </c>
      <c r="FJ463" s="2">
        <f>BYD!AM10</f>
        <v>154.51900000000001</v>
      </c>
      <c r="FK463" s="2">
        <f>BYD!AN10</f>
        <v>151.83600000000001</v>
      </c>
      <c r="FL463" s="2">
        <f>BYD!AO10</f>
        <v>145.91499999999999</v>
      </c>
      <c r="FM463" s="2">
        <f>BYD!AP10</f>
        <v>152.696</v>
      </c>
      <c r="FN463" s="2">
        <f>BYD!AR10</f>
        <v>154.78899999999999</v>
      </c>
      <c r="FO463" s="2">
        <f>BYD!AS10</f>
        <v>148.98699999999999</v>
      </c>
      <c r="FP463" s="2">
        <f>BYD!AT10</f>
        <v>138.78700000000001</v>
      </c>
      <c r="FQ463" s="2">
        <f>BYD!AU10</f>
        <v>148.74299999999999</v>
      </c>
      <c r="GV463" s="1062"/>
      <c r="GW463" s="1062"/>
      <c r="GX463" s="1062"/>
      <c r="GY463" s="1062"/>
      <c r="HC463" s="105"/>
      <c r="HD463" s="105"/>
      <c r="HE463" s="105"/>
      <c r="HF463" s="105"/>
      <c r="HG463" s="105"/>
      <c r="HH463" s="105"/>
      <c r="IV463"/>
    </row>
    <row r="464" spans="150:256" s="2" customFormat="1">
      <c r="GV464" s="1062"/>
      <c r="GW464" s="1062"/>
      <c r="GX464" s="1062"/>
      <c r="GY464" s="1062"/>
      <c r="HC464" s="105"/>
      <c r="HD464" s="105"/>
      <c r="HE464" s="105"/>
      <c r="HF464" s="105"/>
      <c r="HG464" s="105"/>
      <c r="HH464" s="105"/>
      <c r="IV464"/>
    </row>
    <row r="465" spans="204:256" s="2" customFormat="1">
      <c r="GV465" s="1062"/>
      <c r="GW465" s="1062"/>
      <c r="GX465" s="1062"/>
      <c r="GY465" s="1062"/>
      <c r="HC465" s="105"/>
      <c r="HD465" s="105"/>
      <c r="HE465" s="105"/>
      <c r="HF465" s="105"/>
      <c r="HG465" s="105"/>
      <c r="HH465" s="105"/>
      <c r="IV465"/>
    </row>
    <row r="466" spans="204:256" s="2" customFormat="1">
      <c r="GV466" s="1062"/>
      <c r="GW466" s="1062"/>
      <c r="GX466" s="1062"/>
      <c r="GY466" s="1062"/>
      <c r="HC466" s="105"/>
      <c r="HD466" s="105"/>
      <c r="HE466" s="105"/>
      <c r="HF466" s="105"/>
      <c r="HG466" s="105"/>
      <c r="HH466" s="105"/>
      <c r="IV466"/>
    </row>
    <row r="467" spans="204:256" s="2" customFormat="1">
      <c r="GV467" s="1062"/>
      <c r="GW467" s="1062"/>
      <c r="GX467" s="1062"/>
      <c r="GY467" s="1062"/>
      <c r="HC467" s="105"/>
      <c r="HD467" s="105"/>
      <c r="HE467" s="105"/>
      <c r="HF467" s="105"/>
      <c r="HG467" s="105"/>
      <c r="HH467" s="105"/>
      <c r="IV467"/>
    </row>
    <row r="468" spans="204:256" s="2" customFormat="1">
      <c r="GV468" s="1062"/>
      <c r="GW468" s="1062"/>
      <c r="GX468" s="1062"/>
      <c r="GY468" s="1062"/>
      <c r="HC468" s="105"/>
      <c r="HD468" s="105"/>
      <c r="HE468" s="105"/>
      <c r="HF468" s="105"/>
      <c r="HG468" s="105"/>
      <c r="HH468" s="105"/>
      <c r="IV468"/>
    </row>
    <row r="469" spans="204:256" s="2" customFormat="1">
      <c r="GV469" s="1062"/>
      <c r="GW469" s="1062"/>
      <c r="GX469" s="1062"/>
      <c r="GY469" s="1062"/>
      <c r="HC469" s="105"/>
      <c r="HD469" s="105"/>
      <c r="HE469" s="105"/>
      <c r="HF469" s="105"/>
      <c r="HG469" s="105"/>
      <c r="HH469" s="105"/>
      <c r="IV469"/>
    </row>
    <row r="470" spans="204:256" s="2" customFormat="1">
      <c r="GV470" s="1062"/>
      <c r="GW470" s="1062"/>
      <c r="GX470" s="1062"/>
      <c r="GY470" s="1062"/>
      <c r="HC470" s="105"/>
      <c r="HD470" s="105"/>
      <c r="HE470" s="105"/>
      <c r="HF470" s="105"/>
      <c r="HG470" s="105"/>
      <c r="HH470" s="105"/>
      <c r="IV470"/>
    </row>
    <row r="471" spans="204:256" s="2" customFormat="1">
      <c r="GV471" s="1062"/>
      <c r="GW471" s="1062"/>
      <c r="GX471" s="1062"/>
      <c r="GY471" s="1062"/>
      <c r="HC471" s="105"/>
      <c r="HD471" s="105"/>
      <c r="HE471" s="105"/>
      <c r="HF471" s="105"/>
      <c r="HG471" s="105"/>
      <c r="HH471" s="105"/>
      <c r="IV471"/>
    </row>
    <row r="472" spans="204:256" s="2" customFormat="1">
      <c r="GV472" s="1062"/>
      <c r="GW472" s="1062"/>
      <c r="GX472" s="1062"/>
      <c r="GY472" s="1062"/>
      <c r="HC472" s="105"/>
      <c r="HD472" s="105"/>
      <c r="HE472" s="105"/>
      <c r="HF472" s="105"/>
      <c r="HG472" s="105"/>
      <c r="HH472" s="105"/>
      <c r="IV472"/>
    </row>
    <row r="473" spans="204:256" s="2" customFormat="1">
      <c r="GV473" s="1062"/>
      <c r="GW473" s="1062"/>
      <c r="GX473" s="1062"/>
      <c r="GY473" s="1062"/>
      <c r="HC473" s="105"/>
      <c r="HD473" s="105"/>
      <c r="HE473" s="105"/>
      <c r="HF473" s="105"/>
      <c r="HG473" s="105"/>
      <c r="HH473" s="105"/>
      <c r="IV473"/>
    </row>
    <row r="474" spans="204:256" s="2" customFormat="1">
      <c r="GV474" s="1062"/>
      <c r="GW474" s="1062"/>
      <c r="GX474" s="1062"/>
      <c r="GY474" s="1062"/>
      <c r="HC474" s="105"/>
      <c r="HD474" s="105"/>
      <c r="HE474" s="105"/>
      <c r="HF474" s="105"/>
      <c r="HG474" s="105"/>
      <c r="HH474" s="105"/>
      <c r="IV474"/>
    </row>
    <row r="475" spans="204:256" s="2" customFormat="1">
      <c r="GV475" s="1062"/>
      <c r="GW475" s="1062"/>
      <c r="GX475" s="1062"/>
      <c r="GY475" s="1062"/>
      <c r="HC475" s="105"/>
      <c r="HD475" s="105"/>
      <c r="HE475" s="105"/>
      <c r="HF475" s="105"/>
      <c r="HG475" s="105"/>
      <c r="HH475" s="105"/>
      <c r="IV475"/>
    </row>
    <row r="476" spans="204:256" s="2" customFormat="1">
      <c r="GV476" s="1062"/>
      <c r="GW476" s="1062"/>
      <c r="GX476" s="1062"/>
      <c r="GY476" s="1062"/>
      <c r="HC476" s="105"/>
      <c r="HD476" s="105"/>
      <c r="HE476" s="105"/>
      <c r="HF476" s="105"/>
      <c r="HG476" s="105"/>
      <c r="HH476" s="105"/>
      <c r="IV476"/>
    </row>
    <row r="477" spans="204:256" s="2" customFormat="1">
      <c r="GV477" s="1062"/>
      <c r="GW477" s="1062"/>
      <c r="GX477" s="1062"/>
      <c r="GY477" s="1062"/>
      <c r="HC477" s="105"/>
      <c r="HD477" s="105"/>
      <c r="HE477" s="105"/>
      <c r="HF477" s="105"/>
      <c r="HG477" s="105"/>
      <c r="HH477" s="105"/>
      <c r="IV477"/>
    </row>
    <row r="478" spans="204:256" s="2" customFormat="1">
      <c r="GV478" s="1062"/>
      <c r="GW478" s="1062"/>
      <c r="GX478" s="1062"/>
      <c r="GY478" s="1062"/>
      <c r="HC478" s="105"/>
      <c r="HD478" s="105"/>
      <c r="HE478" s="105"/>
      <c r="HF478" s="105"/>
      <c r="HG478" s="105"/>
      <c r="HH478" s="105"/>
      <c r="IV478"/>
    </row>
    <row r="479" spans="204:256" s="2" customFormat="1">
      <c r="GV479" s="1062"/>
      <c r="GW479" s="1062"/>
      <c r="GX479" s="1062"/>
      <c r="GY479" s="1062"/>
      <c r="HC479" s="105"/>
      <c r="HD479" s="105"/>
      <c r="HE479" s="105"/>
      <c r="HF479" s="105"/>
      <c r="HG479" s="105"/>
      <c r="HH479" s="105"/>
      <c r="IV479"/>
    </row>
    <row r="480" spans="204:256" s="2" customFormat="1">
      <c r="GV480" s="1062"/>
      <c r="GW480" s="1062"/>
      <c r="GX480" s="1062"/>
      <c r="GY480" s="1062"/>
      <c r="HC480" s="105"/>
      <c r="HD480" s="105"/>
      <c r="HE480" s="105"/>
      <c r="HF480" s="105"/>
      <c r="HG480" s="105"/>
      <c r="HH480" s="105"/>
      <c r="IV480"/>
    </row>
    <row r="481" spans="176:256" s="2" customFormat="1">
      <c r="GV481" s="1062"/>
      <c r="GW481" s="1062"/>
      <c r="GX481" s="1062"/>
      <c r="GY481" s="1062"/>
      <c r="HC481" s="105"/>
      <c r="HD481" s="105"/>
      <c r="HE481" s="105"/>
      <c r="HF481" s="105"/>
      <c r="HG481" s="105"/>
      <c r="HH481" s="105"/>
      <c r="IV481"/>
    </row>
    <row r="482" spans="176:256" s="2" customFormat="1">
      <c r="GV482" s="1062"/>
      <c r="GW482" s="1062"/>
      <c r="GX482" s="1062"/>
      <c r="GY482" s="1062"/>
      <c r="HC482" s="105"/>
      <c r="HD482" s="105"/>
      <c r="HE482" s="105"/>
      <c r="HF482" s="105"/>
      <c r="HG482" s="105"/>
      <c r="HH482" s="105"/>
      <c r="IV482"/>
    </row>
    <row r="483" spans="176:256" s="2" customFormat="1">
      <c r="FT483" s="69" t="s">
        <v>523</v>
      </c>
      <c r="GV483" s="1062"/>
      <c r="GW483" s="1062"/>
      <c r="GX483" s="1062"/>
      <c r="GY483" s="1062"/>
      <c r="HC483" s="105"/>
      <c r="HD483" s="105"/>
      <c r="HE483" s="105"/>
      <c r="HF483" s="105"/>
      <c r="HG483" s="105"/>
      <c r="HH483" s="105"/>
      <c r="IV483"/>
    </row>
    <row r="484" spans="176:256" s="2" customFormat="1">
      <c r="GV484" s="1062"/>
      <c r="GW484" s="1062"/>
      <c r="GX484" s="1062"/>
      <c r="GY484" s="1062"/>
      <c r="HC484" s="105"/>
      <c r="HD484" s="105"/>
      <c r="HE484" s="105"/>
      <c r="HF484" s="105"/>
      <c r="HG484" s="105"/>
      <c r="HH484" s="105"/>
      <c r="IV484"/>
    </row>
    <row r="485" spans="176:256" s="2" customFormat="1">
      <c r="FT485" s="69" t="s">
        <v>441</v>
      </c>
      <c r="GV485" s="1062"/>
      <c r="GW485" s="1062"/>
      <c r="GX485" s="1062"/>
      <c r="GY485" s="1062"/>
      <c r="HC485" s="105"/>
      <c r="HD485" s="105"/>
      <c r="HE485" s="105"/>
      <c r="HF485" s="105"/>
      <c r="HG485" s="105"/>
      <c r="HH485" s="105"/>
      <c r="IV485"/>
    </row>
    <row r="486" spans="176:256" s="2" customFormat="1">
      <c r="FT486" s="2" t="s">
        <v>442</v>
      </c>
      <c r="FU486" s="1205">
        <f>109+(26.8*4)-10</f>
        <v>206.2</v>
      </c>
      <c r="GV486" s="1062"/>
      <c r="GW486" s="1062"/>
      <c r="GX486" s="1062"/>
      <c r="GY486" s="1062"/>
      <c r="HC486" s="105"/>
      <c r="HD486" s="105"/>
      <c r="HE486" s="105"/>
      <c r="HF486" s="105"/>
      <c r="HG486" s="105"/>
      <c r="HH486" s="105"/>
      <c r="IV486"/>
    </row>
    <row r="487" spans="176:256" s="2" customFormat="1">
      <c r="FT487" s="2" t="s">
        <v>653</v>
      </c>
      <c r="FU487" s="1102">
        <v>-52.5</v>
      </c>
      <c r="GV487" s="1062"/>
      <c r="GW487" s="1062"/>
      <c r="GX487" s="1062"/>
      <c r="GY487" s="1062"/>
      <c r="HC487" s="105"/>
      <c r="HD487" s="105"/>
      <c r="HE487" s="105"/>
      <c r="HF487" s="105"/>
      <c r="HG487" s="105"/>
      <c r="HH487" s="105"/>
      <c r="IV487"/>
    </row>
    <row r="488" spans="176:256" s="2" customFormat="1">
      <c r="FT488" s="2" t="s">
        <v>443</v>
      </c>
      <c r="FU488" s="98">
        <f>-FW507</f>
        <v>-95.5</v>
      </c>
      <c r="GV488" s="1062"/>
      <c r="GW488" s="1062"/>
      <c r="GX488" s="1062"/>
      <c r="GY488" s="1062"/>
      <c r="HC488" s="105"/>
      <c r="HD488" s="105"/>
      <c r="HE488" s="105"/>
      <c r="HF488" s="105"/>
      <c r="HG488" s="105"/>
      <c r="HH488" s="105"/>
      <c r="IV488"/>
    </row>
    <row r="489" spans="176:256" s="2" customFormat="1">
      <c r="FT489" s="2" t="s">
        <v>444</v>
      </c>
      <c r="FU489" s="98">
        <f>-0.35*(FU486+FU487+FU488)</f>
        <v>-20.369999999999994</v>
      </c>
      <c r="GV489" s="1062"/>
      <c r="GW489" s="1062"/>
      <c r="GX489" s="1062"/>
      <c r="GY489" s="1062"/>
      <c r="HC489" s="105"/>
      <c r="HD489" s="105"/>
      <c r="HE489" s="105"/>
      <c r="HF489" s="105"/>
      <c r="HG489" s="105"/>
      <c r="HH489" s="105"/>
      <c r="IV489"/>
    </row>
    <row r="490" spans="176:256" s="2" customFormat="1">
      <c r="FT490" s="1428" t="s">
        <v>445</v>
      </c>
      <c r="FU490" s="1636">
        <f>SUM(FU486:FU489)</f>
        <v>37.83</v>
      </c>
      <c r="GV490" s="1062"/>
      <c r="GW490" s="1062"/>
      <c r="GX490" s="1062"/>
      <c r="GY490" s="1062"/>
      <c r="HC490" s="105"/>
      <c r="HD490" s="105"/>
      <c r="HE490" s="105"/>
      <c r="HF490" s="105"/>
      <c r="HG490" s="105"/>
      <c r="HH490" s="105"/>
      <c r="IV490"/>
    </row>
    <row r="491" spans="176:256" s="2" customFormat="1">
      <c r="FT491" s="77" t="s">
        <v>648</v>
      </c>
      <c r="FU491" s="1181">
        <f>+FU490/BYD!AU103</f>
        <v>0.43063998360767702</v>
      </c>
      <c r="FW491" s="1336"/>
      <c r="GV491" s="1062"/>
      <c r="GW491" s="1062"/>
      <c r="GX491" s="1062"/>
      <c r="GY491" s="1062"/>
      <c r="HC491" s="105"/>
      <c r="HD491" s="105"/>
      <c r="HE491" s="105"/>
      <c r="HF491" s="105"/>
      <c r="HG491" s="105"/>
      <c r="HH491" s="105"/>
      <c r="IV491"/>
    </row>
    <row r="492" spans="176:256" s="2" customFormat="1">
      <c r="FT492" s="212"/>
      <c r="FU492" s="122"/>
      <c r="GV492" s="1062"/>
      <c r="GW492" s="1062"/>
      <c r="GX492" s="1062"/>
      <c r="GY492" s="1062"/>
      <c r="HC492" s="105"/>
      <c r="HD492" s="105"/>
      <c r="HE492" s="105"/>
      <c r="HF492" s="105"/>
      <c r="HG492" s="105"/>
      <c r="HH492" s="105"/>
      <c r="IV492"/>
    </row>
    <row r="493" spans="176:256" s="2" customFormat="1" ht="4.5" customHeight="1">
      <c r="FU493" s="1205"/>
      <c r="GV493" s="1062"/>
      <c r="GW493" s="1062"/>
      <c r="GX493" s="1062"/>
      <c r="GY493" s="1062"/>
      <c r="HC493" s="105"/>
      <c r="HD493" s="105"/>
      <c r="HE493" s="105"/>
      <c r="HF493" s="105"/>
      <c r="HG493" s="105"/>
      <c r="HH493" s="105"/>
      <c r="IV493"/>
    </row>
    <row r="494" spans="176:256" s="2" customFormat="1">
      <c r="FT494" s="69" t="s">
        <v>446</v>
      </c>
      <c r="GV494" s="1062"/>
      <c r="GW494" s="1062"/>
      <c r="GX494" s="1062"/>
      <c r="GY494" s="1062"/>
      <c r="HC494" s="105"/>
      <c r="HD494" s="105"/>
      <c r="HE494" s="105"/>
      <c r="HF494" s="105"/>
      <c r="HG494" s="105"/>
      <c r="HH494" s="105"/>
      <c r="IV494"/>
    </row>
    <row r="495" spans="176:256" s="2" customFormat="1">
      <c r="FT495" s="2" t="s">
        <v>1141</v>
      </c>
      <c r="FU495" s="1205">
        <f>FU486</f>
        <v>206.2</v>
      </c>
      <c r="GV495" s="1062"/>
      <c r="GW495" s="1062"/>
      <c r="GX495" s="1062"/>
      <c r="GY495" s="1062"/>
      <c r="HC495" s="105"/>
      <c r="HD495" s="105"/>
      <c r="HE495" s="105"/>
      <c r="HF495" s="105"/>
      <c r="HG495" s="105"/>
      <c r="HH495" s="105"/>
      <c r="IV495"/>
    </row>
    <row r="496" spans="176:256" s="2" customFormat="1">
      <c r="FT496" s="2" t="s">
        <v>443</v>
      </c>
      <c r="FU496" s="98">
        <f>+FU488</f>
        <v>-95.5</v>
      </c>
      <c r="GV496" s="1062"/>
      <c r="GW496" s="1062"/>
      <c r="GX496" s="1062"/>
      <c r="GY496" s="1062"/>
      <c r="HC496" s="105"/>
      <c r="HD496" s="105"/>
      <c r="HE496" s="105"/>
      <c r="HF496" s="105"/>
      <c r="HG496" s="105"/>
      <c r="HH496" s="105"/>
      <c r="IV496"/>
    </row>
    <row r="497" spans="176:256" s="2" customFormat="1">
      <c r="FT497" s="2" t="s">
        <v>447</v>
      </c>
      <c r="FU497" s="98">
        <f>+FU489</f>
        <v>-20.369999999999994</v>
      </c>
      <c r="GV497" s="1062"/>
      <c r="GW497" s="1062"/>
      <c r="GX497" s="1062"/>
      <c r="GY497" s="1062"/>
      <c r="HC497" s="105"/>
      <c r="HD497" s="105"/>
      <c r="HE497" s="105"/>
      <c r="HF497" s="105"/>
      <c r="HG497" s="105"/>
      <c r="HH497" s="105"/>
      <c r="IV497"/>
    </row>
    <row r="498" spans="176:256" s="2" customFormat="1">
      <c r="FT498" s="2" t="s">
        <v>470</v>
      </c>
      <c r="FU498" s="1102">
        <v>-15</v>
      </c>
      <c r="GV498" s="1062"/>
      <c r="GW498" s="1062"/>
      <c r="GX498" s="1062"/>
      <c r="GY498" s="1062"/>
      <c r="HC498" s="105"/>
      <c r="HD498" s="105"/>
      <c r="HE498" s="105"/>
      <c r="HF498" s="105"/>
      <c r="HG498" s="105"/>
      <c r="HH498" s="105"/>
      <c r="IV498"/>
    </row>
    <row r="499" spans="176:256" s="2" customFormat="1">
      <c r="FT499" s="1428" t="s">
        <v>471</v>
      </c>
      <c r="FU499" s="1636">
        <f>SUM(FU495:FU498)</f>
        <v>75.33</v>
      </c>
      <c r="FX499" s="1336"/>
      <c r="GV499" s="1062"/>
      <c r="GW499" s="1062"/>
      <c r="GX499" s="1062"/>
      <c r="GY499" s="1062"/>
      <c r="HC499" s="105"/>
      <c r="HD499" s="105"/>
      <c r="HE499" s="105"/>
      <c r="HF499" s="105"/>
      <c r="HG499" s="105"/>
      <c r="HH499" s="105"/>
      <c r="IV499"/>
    </row>
    <row r="500" spans="176:256" s="2" customFormat="1">
      <c r="FT500" s="2" t="s">
        <v>478</v>
      </c>
      <c r="FU500" s="1641">
        <f>+FU507</f>
        <v>1444</v>
      </c>
      <c r="GV500" s="1062"/>
      <c r="GW500" s="1062"/>
      <c r="GX500" s="1062"/>
      <c r="GY500" s="1062"/>
      <c r="HC500" s="105"/>
      <c r="HD500" s="105"/>
      <c r="HE500" s="105"/>
      <c r="HF500" s="105"/>
      <c r="HG500" s="105"/>
      <c r="HH500" s="105"/>
      <c r="IV500"/>
    </row>
    <row r="501" spans="176:256" s="2" customFormat="1">
      <c r="FT501" s="212" t="s">
        <v>1035</v>
      </c>
      <c r="FU501" s="122">
        <f>FU499/FU500</f>
        <v>5.2167590027700828E-2</v>
      </c>
      <c r="GV501" s="1062"/>
      <c r="GW501" s="1062"/>
      <c r="GX501" s="1062"/>
      <c r="GY501" s="1062"/>
      <c r="HC501" s="105"/>
      <c r="HD501" s="105"/>
      <c r="HE501" s="105"/>
      <c r="HF501" s="105"/>
      <c r="HG501" s="105"/>
      <c r="HH501" s="105"/>
      <c r="IV501"/>
    </row>
    <row r="502" spans="176:256" s="2" customFormat="1">
      <c r="GV502" s="1062"/>
      <c r="GW502" s="1062"/>
      <c r="GX502" s="1062"/>
      <c r="GY502" s="1062"/>
      <c r="HC502" s="105"/>
      <c r="HD502" s="105"/>
      <c r="HE502" s="105"/>
      <c r="HF502" s="105"/>
      <c r="HG502" s="105"/>
      <c r="HH502" s="105"/>
      <c r="IV502"/>
    </row>
    <row r="503" spans="176:256" s="2" customFormat="1">
      <c r="FT503" s="69" t="s">
        <v>1169</v>
      </c>
      <c r="FV503" s="1638" t="s">
        <v>474</v>
      </c>
      <c r="GV503" s="1062"/>
      <c r="GW503" s="1062"/>
      <c r="GX503" s="1062"/>
      <c r="GY503" s="1062"/>
      <c r="HC503" s="105"/>
      <c r="HD503" s="105"/>
      <c r="HE503" s="105"/>
      <c r="HF503" s="105"/>
      <c r="HG503" s="105"/>
      <c r="HH503" s="105"/>
      <c r="IV503"/>
    </row>
    <row r="504" spans="176:256" s="2" customFormat="1">
      <c r="FT504" s="2" t="s">
        <v>777</v>
      </c>
      <c r="FU504" s="116">
        <v>1100</v>
      </c>
      <c r="FV504" s="1143">
        <v>0.08</v>
      </c>
      <c r="FW504" s="98">
        <f>+FU504*FV504</f>
        <v>88</v>
      </c>
      <c r="GV504" s="1062"/>
      <c r="GW504" s="1062"/>
      <c r="GX504" s="1062"/>
      <c r="GY504" s="1062"/>
      <c r="HC504" s="105"/>
      <c r="HD504" s="105"/>
      <c r="HE504" s="105"/>
      <c r="HF504" s="105"/>
      <c r="HG504" s="105"/>
      <c r="HH504" s="105"/>
      <c r="IV504"/>
    </row>
    <row r="505" spans="176:256" s="2" customFormat="1">
      <c r="FT505" s="2" t="s">
        <v>1170</v>
      </c>
      <c r="FU505" s="116">
        <v>200</v>
      </c>
      <c r="FV505" s="1143">
        <v>3.7499999999999999E-2</v>
      </c>
      <c r="FW505" s="98">
        <f>+FU505*FV505</f>
        <v>7.5</v>
      </c>
      <c r="GV505" s="1062"/>
      <c r="GW505" s="1062"/>
      <c r="GX505" s="1062"/>
      <c r="GY505" s="1062"/>
      <c r="HC505" s="105"/>
      <c r="HD505" s="105"/>
      <c r="HE505" s="105"/>
      <c r="HF505" s="105"/>
      <c r="HG505" s="105"/>
      <c r="HH505" s="105"/>
      <c r="IV505"/>
    </row>
    <row r="506" spans="176:256" s="2" customFormat="1">
      <c r="FT506" s="174" t="s">
        <v>472</v>
      </c>
      <c r="FU506" s="1643">
        <v>144</v>
      </c>
      <c r="FV506" s="174">
        <v>0</v>
      </c>
      <c r="FW506" s="1642">
        <f>+FU506*FV506</f>
        <v>0</v>
      </c>
      <c r="GV506" s="1062"/>
      <c r="GW506" s="1062"/>
      <c r="GX506" s="1062"/>
      <c r="GY506" s="1062"/>
      <c r="HC506" s="105"/>
      <c r="HD506" s="105"/>
      <c r="HE506" s="105"/>
      <c r="HF506" s="105"/>
      <c r="HG506" s="105"/>
      <c r="HH506" s="105"/>
      <c r="IV506"/>
    </row>
    <row r="507" spans="176:256" s="2" customFormat="1">
      <c r="FT507" s="1" t="s">
        <v>473</v>
      </c>
      <c r="FU507" s="1">
        <f>+FU504+FU505+FU506</f>
        <v>1444</v>
      </c>
      <c r="FV507" s="1637">
        <f>+FW507/FU507</f>
        <v>6.6135734072022168E-2</v>
      </c>
      <c r="FW507" s="1320">
        <f>+FW504+FW505+FW506</f>
        <v>95.5</v>
      </c>
      <c r="GV507" s="1062"/>
      <c r="GW507" s="1062"/>
      <c r="GX507" s="1062"/>
      <c r="GY507" s="1062"/>
      <c r="HC507" s="105"/>
      <c r="HD507" s="105"/>
      <c r="HE507" s="105"/>
      <c r="HF507" s="105"/>
      <c r="HG507" s="105"/>
      <c r="HH507" s="105"/>
      <c r="IV507"/>
    </row>
    <row r="508" spans="176:256" s="2" customFormat="1">
      <c r="GV508" s="1062"/>
      <c r="GW508" s="1062"/>
      <c r="GX508" s="1062"/>
      <c r="GY508" s="1062"/>
      <c r="HC508" s="105"/>
      <c r="HD508" s="105"/>
      <c r="HE508" s="105"/>
      <c r="HF508" s="105"/>
      <c r="HG508" s="105"/>
      <c r="HH508" s="105"/>
      <c r="IV508"/>
    </row>
    <row r="509" spans="176:256" s="2" customFormat="1">
      <c r="GV509" s="1062"/>
      <c r="GW509" s="1062"/>
      <c r="GX509" s="1062"/>
      <c r="GY509" s="1062"/>
      <c r="HC509" s="105"/>
      <c r="HD509" s="105"/>
      <c r="HE509" s="105"/>
      <c r="HF509" s="105"/>
      <c r="HG509" s="105"/>
      <c r="HH509" s="105"/>
      <c r="IV509"/>
    </row>
    <row r="510" spans="176:256" s="2" customFormat="1">
      <c r="FU510" s="1336"/>
      <c r="GV510" s="1062"/>
      <c r="GW510" s="1062"/>
      <c r="GX510" s="1062"/>
      <c r="GY510" s="1062"/>
      <c r="HC510" s="105"/>
      <c r="HD510" s="105"/>
      <c r="HE510" s="105"/>
      <c r="HF510" s="105"/>
      <c r="HG510" s="105"/>
      <c r="HH510" s="105"/>
      <c r="IV510"/>
    </row>
    <row r="511" spans="176:256" s="2" customFormat="1">
      <c r="GV511" s="1062"/>
      <c r="GW511" s="1062"/>
      <c r="GX511" s="1062"/>
      <c r="GY511" s="1062"/>
      <c r="HC511" s="105"/>
      <c r="HD511" s="105"/>
      <c r="HE511" s="105"/>
      <c r="HF511" s="105"/>
      <c r="HG511" s="105"/>
      <c r="HH511" s="105"/>
      <c r="IV511"/>
    </row>
    <row r="512" spans="176:256" s="2" customFormat="1">
      <c r="GV512" s="1062"/>
      <c r="GW512" s="1062"/>
      <c r="GX512" s="1062"/>
      <c r="GY512" s="1062"/>
      <c r="HC512" s="105"/>
      <c r="HD512" s="105"/>
      <c r="HE512" s="105"/>
      <c r="HF512" s="105"/>
      <c r="HG512" s="105"/>
      <c r="HH512" s="105"/>
      <c r="IV512"/>
    </row>
    <row r="513" spans="176:256" s="2" customFormat="1">
      <c r="FT513" s="69" t="s">
        <v>477</v>
      </c>
      <c r="GV513" s="1062"/>
      <c r="GW513" s="1062"/>
      <c r="GX513" s="1062"/>
      <c r="GY513" s="1062"/>
      <c r="HC513" s="105"/>
      <c r="HD513" s="105"/>
      <c r="HE513" s="105"/>
      <c r="HF513" s="105"/>
      <c r="HG513" s="105"/>
      <c r="HH513" s="105"/>
      <c r="IV513"/>
    </row>
    <row r="514" spans="176:256" s="2" customFormat="1">
      <c r="FT514" s="69"/>
      <c r="GV514" s="1062"/>
      <c r="GW514" s="1062"/>
      <c r="GX514" s="1062"/>
      <c r="GY514" s="1062"/>
      <c r="HC514" s="105"/>
      <c r="HD514" s="105"/>
      <c r="HE514" s="105"/>
      <c r="HF514" s="105"/>
      <c r="HG514" s="105"/>
      <c r="HH514" s="105"/>
      <c r="IV514"/>
    </row>
    <row r="515" spans="176:256" s="2" customFormat="1">
      <c r="FT515" s="2" t="s">
        <v>401</v>
      </c>
      <c r="FU515" s="1205">
        <f>+FU486</f>
        <v>206.2</v>
      </c>
      <c r="FV515" s="1205">
        <f>+FU515</f>
        <v>206.2</v>
      </c>
      <c r="GV515" s="1062"/>
      <c r="GW515" s="1062"/>
      <c r="GX515" s="1062"/>
      <c r="GY515" s="1062"/>
      <c r="HC515" s="105"/>
      <c r="HD515" s="105"/>
      <c r="HE515" s="105"/>
      <c r="HF515" s="105"/>
      <c r="HG515" s="105"/>
      <c r="HH515" s="105"/>
      <c r="IV515"/>
    </row>
    <row r="516" spans="176:256" s="2" customFormat="1">
      <c r="FT516" s="72" t="s">
        <v>1620</v>
      </c>
      <c r="FU516" s="1644">
        <v>7.5</v>
      </c>
      <c r="FV516" s="1644">
        <f>+'EBITDA Val'!D7</f>
        <v>9</v>
      </c>
      <c r="GV516" s="1062"/>
      <c r="GW516" s="1062"/>
      <c r="GX516" s="1062"/>
      <c r="GY516" s="1062"/>
      <c r="HC516" s="105"/>
      <c r="HD516" s="105"/>
      <c r="HE516" s="105"/>
      <c r="HF516" s="105"/>
      <c r="HG516" s="105"/>
      <c r="HH516" s="105"/>
      <c r="IV516"/>
    </row>
    <row r="517" spans="176:256" s="2" customFormat="1">
      <c r="FT517" s="1" t="s">
        <v>17</v>
      </c>
      <c r="FU517" s="1">
        <f>+FU515*FU516</f>
        <v>1546.5</v>
      </c>
      <c r="FV517" s="1">
        <f>+FV515*FV516</f>
        <v>1855.8</v>
      </c>
      <c r="GV517" s="1062"/>
      <c r="GW517" s="1062"/>
      <c r="GX517" s="1062"/>
      <c r="GY517" s="1062"/>
      <c r="HC517" s="105"/>
      <c r="HD517" s="105"/>
      <c r="HE517" s="105"/>
      <c r="HF517" s="105"/>
      <c r="HG517" s="105"/>
      <c r="HH517" s="105"/>
      <c r="IV517"/>
    </row>
    <row r="518" spans="176:256" s="2" customFormat="1">
      <c r="FT518" s="72" t="s">
        <v>1222</v>
      </c>
      <c r="FU518" s="72">
        <f>-FU507</f>
        <v>-1444</v>
      </c>
      <c r="FV518" s="72">
        <f>+FU518</f>
        <v>-1444</v>
      </c>
      <c r="GV518" s="1062"/>
      <c r="GW518" s="1062"/>
      <c r="GX518" s="1062"/>
      <c r="GY518" s="1062"/>
      <c r="HC518" s="105"/>
      <c r="HD518" s="105"/>
      <c r="HE518" s="105"/>
      <c r="HF518" s="105"/>
      <c r="HG518" s="105"/>
      <c r="HH518" s="105"/>
      <c r="IV518"/>
    </row>
    <row r="519" spans="176:256" s="2" customFormat="1">
      <c r="FT519" s="1" t="s">
        <v>1085</v>
      </c>
      <c r="FU519" s="1">
        <f>+FU517+FU518</f>
        <v>102.5</v>
      </c>
      <c r="FV519" s="1">
        <f>+FV517+FV518</f>
        <v>411.79999999999995</v>
      </c>
      <c r="GV519" s="1062"/>
      <c r="GW519" s="1062"/>
      <c r="GX519" s="1062"/>
      <c r="GY519" s="1062"/>
      <c r="HC519" s="105"/>
      <c r="HD519" s="105"/>
      <c r="HE519" s="105"/>
      <c r="HF519" s="105"/>
      <c r="HG519" s="105"/>
      <c r="HH519" s="105"/>
      <c r="IV519"/>
    </row>
    <row r="520" spans="176:256" s="2" customFormat="1">
      <c r="GV520" s="1062"/>
      <c r="GW520" s="1062"/>
      <c r="GX520" s="1062"/>
      <c r="GY520" s="1062"/>
      <c r="HC520" s="105"/>
      <c r="HD520" s="105"/>
      <c r="HE520" s="105"/>
      <c r="HF520" s="105"/>
      <c r="HG520" s="105"/>
      <c r="HH520" s="105"/>
      <c r="IV520"/>
    </row>
    <row r="521" spans="176:256" s="2" customFormat="1">
      <c r="FT521" s="2" t="s">
        <v>475</v>
      </c>
      <c r="FU521" s="2">
        <f>+BYD!AU103</f>
        <v>87.846000000000004</v>
      </c>
      <c r="FV521" s="2">
        <f>+FU521</f>
        <v>87.846000000000004</v>
      </c>
      <c r="GV521" s="1062"/>
      <c r="GW521" s="1062"/>
      <c r="GX521" s="1062"/>
      <c r="GY521" s="1062"/>
      <c r="HC521" s="105"/>
      <c r="HD521" s="105"/>
      <c r="HE521" s="105"/>
      <c r="HF521" s="105"/>
      <c r="HG521" s="105"/>
      <c r="HH521" s="105"/>
      <c r="IV521"/>
    </row>
    <row r="522" spans="176:256" s="2" customFormat="1">
      <c r="FT522" s="1428" t="s">
        <v>1642</v>
      </c>
      <c r="FU522" s="1639">
        <f>+FU519/FU521</f>
        <v>1.1668146529153292</v>
      </c>
      <c r="FV522" s="1640">
        <f>+FV519/FV521</f>
        <v>4.6877490153222681</v>
      </c>
      <c r="GV522" s="1062"/>
      <c r="GW522" s="1062"/>
      <c r="GX522" s="1062"/>
      <c r="GY522" s="1062"/>
      <c r="HC522" s="105"/>
      <c r="HD522" s="105"/>
      <c r="HE522" s="105"/>
      <c r="HF522" s="105"/>
      <c r="HG522" s="105"/>
      <c r="HH522" s="105"/>
      <c r="IV522"/>
    </row>
    <row r="523" spans="176:256" s="2" customFormat="1">
      <c r="FT523" s="118" t="s">
        <v>476</v>
      </c>
      <c r="FU523" s="122">
        <f>+FU522/7</f>
        <v>0.16668780755933274</v>
      </c>
      <c r="FV523" s="122">
        <f>+FV522/7</f>
        <v>0.66967843076032396</v>
      </c>
      <c r="GV523" s="1062"/>
      <c r="GW523" s="1062"/>
      <c r="GX523" s="1062"/>
      <c r="GY523" s="1062"/>
      <c r="HC523" s="105"/>
      <c r="HD523" s="105"/>
      <c r="HE523" s="105"/>
      <c r="HF523" s="105"/>
      <c r="HG523" s="105"/>
      <c r="HH523" s="105"/>
      <c r="IV523"/>
    </row>
    <row r="524" spans="176:256" s="2" customFormat="1">
      <c r="GV524" s="1062"/>
      <c r="GW524" s="1062"/>
      <c r="GX524" s="1062"/>
      <c r="GY524" s="1062"/>
      <c r="HC524" s="105"/>
      <c r="HD524" s="105"/>
      <c r="HE524" s="105"/>
      <c r="HF524" s="105"/>
      <c r="HG524" s="105"/>
      <c r="HH524" s="105"/>
      <c r="IV524"/>
    </row>
    <row r="525" spans="176:256" s="2" customFormat="1">
      <c r="GV525" s="1062"/>
      <c r="GW525" s="1062"/>
      <c r="GX525" s="1062"/>
      <c r="GY525" s="1062"/>
      <c r="HC525" s="105"/>
      <c r="HD525" s="105"/>
      <c r="HE525" s="105"/>
      <c r="HF525" s="105"/>
      <c r="HG525" s="105"/>
      <c r="HH525" s="105"/>
      <c r="IV525"/>
    </row>
    <row r="526" spans="176:256" s="2" customFormat="1">
      <c r="GV526" s="1062"/>
      <c r="GW526" s="1062"/>
      <c r="GX526" s="1062"/>
      <c r="GY526" s="1062"/>
      <c r="HC526" s="105"/>
      <c r="HD526" s="105"/>
      <c r="HE526" s="105"/>
      <c r="HF526" s="105"/>
      <c r="HG526" s="105"/>
      <c r="HH526" s="105"/>
      <c r="IV526"/>
    </row>
    <row r="527" spans="176:256" s="2" customFormat="1">
      <c r="FY527" s="69" t="s">
        <v>523</v>
      </c>
      <c r="GV527" s="1062"/>
      <c r="GW527" s="1062"/>
      <c r="GX527" s="1062"/>
      <c r="GY527" s="1062"/>
      <c r="HC527" s="105"/>
      <c r="HD527" s="105"/>
      <c r="HE527" s="105"/>
      <c r="HF527" s="105"/>
      <c r="HG527" s="105"/>
      <c r="HH527" s="105"/>
      <c r="IV527"/>
    </row>
    <row r="528" spans="176:256" s="2" customFormat="1">
      <c r="GV528" s="1062"/>
      <c r="GW528" s="1062"/>
      <c r="GX528" s="1062"/>
      <c r="GY528" s="1062"/>
      <c r="HC528" s="105"/>
      <c r="HD528" s="105"/>
      <c r="HE528" s="105"/>
      <c r="HF528" s="105"/>
      <c r="HG528" s="105"/>
      <c r="HH528" s="105"/>
      <c r="IV528"/>
    </row>
    <row r="529" spans="181:256" s="2" customFormat="1">
      <c r="FY529" s="69" t="s">
        <v>441</v>
      </c>
      <c r="GV529" s="1062"/>
      <c r="GW529" s="1062"/>
      <c r="GX529" s="1062"/>
      <c r="GY529" s="1062"/>
      <c r="HC529" s="105"/>
      <c r="HD529" s="105"/>
      <c r="HE529" s="105"/>
      <c r="HF529" s="105"/>
      <c r="HG529" s="105"/>
      <c r="HH529" s="105"/>
      <c r="IV529"/>
    </row>
    <row r="530" spans="181:256" s="2" customFormat="1">
      <c r="FY530" s="2" t="s">
        <v>442</v>
      </c>
      <c r="FZ530" s="1205">
        <f>+BYD!BA727-10</f>
        <v>175.26899999999998</v>
      </c>
      <c r="GV530" s="1062"/>
      <c r="GW530" s="1062"/>
      <c r="GX530" s="1062"/>
      <c r="GY530" s="1062"/>
      <c r="HC530" s="105"/>
      <c r="HD530" s="105"/>
      <c r="HE530" s="105"/>
      <c r="HF530" s="105"/>
      <c r="HG530" s="105"/>
      <c r="HH530" s="105"/>
      <c r="IV530"/>
    </row>
    <row r="531" spans="181:256" s="2" customFormat="1">
      <c r="FY531" s="2" t="s">
        <v>653</v>
      </c>
      <c r="FZ531" s="1641">
        <f>-BYD!BA1192</f>
        <v>-87.851000000000013</v>
      </c>
      <c r="GV531" s="1062"/>
      <c r="GW531" s="1062"/>
      <c r="GX531" s="1062"/>
      <c r="GY531" s="1062"/>
      <c r="HC531" s="105"/>
      <c r="HD531" s="105"/>
      <c r="HE531" s="105"/>
      <c r="HF531" s="105"/>
      <c r="HG531" s="105"/>
      <c r="HH531" s="105"/>
      <c r="IV531"/>
    </row>
    <row r="532" spans="181:256" s="2" customFormat="1">
      <c r="FY532" s="2" t="s">
        <v>443</v>
      </c>
      <c r="FZ532" s="98">
        <f>-SUM(BYD!BA1164:BA1168)-(200*0.0375)</f>
        <v>-90.06582499999999</v>
      </c>
      <c r="GV532" s="1062"/>
      <c r="GW532" s="1062"/>
      <c r="GX532" s="1062"/>
      <c r="GY532" s="1062"/>
      <c r="HC532" s="105"/>
      <c r="HD532" s="105"/>
      <c r="HE532" s="105"/>
      <c r="HF532" s="105"/>
      <c r="HG532" s="105"/>
      <c r="HH532" s="105"/>
      <c r="IV532"/>
    </row>
    <row r="533" spans="181:256" s="2" customFormat="1">
      <c r="FY533" s="2" t="s">
        <v>444</v>
      </c>
      <c r="FZ533" s="98">
        <f>-0.38*(FZ530+FZ531+FZ532)</f>
        <v>1.0061735000000098</v>
      </c>
      <c r="GV533" s="1062"/>
      <c r="GW533" s="1062"/>
      <c r="GX533" s="1062"/>
      <c r="GY533" s="1062"/>
      <c r="HC533" s="105"/>
      <c r="HD533" s="105"/>
      <c r="HE533" s="105"/>
      <c r="HF533" s="105"/>
      <c r="HG533" s="105"/>
      <c r="HH533" s="105"/>
      <c r="IV533"/>
    </row>
    <row r="534" spans="181:256" s="2" customFormat="1">
      <c r="FY534" s="1428" t="s">
        <v>445</v>
      </c>
      <c r="FZ534" s="1636">
        <f>SUM(FZ530:FZ533)</f>
        <v>-1.641651500000016</v>
      </c>
      <c r="GV534" s="1062"/>
      <c r="GW534" s="1062"/>
      <c r="GX534" s="1062"/>
      <c r="GY534" s="1062"/>
      <c r="HC534" s="105"/>
      <c r="HD534" s="105"/>
      <c r="HE534" s="105"/>
      <c r="HF534" s="105"/>
      <c r="HG534" s="105"/>
      <c r="HH534" s="105"/>
      <c r="IV534"/>
    </row>
    <row r="535" spans="181:256" s="2" customFormat="1">
      <c r="FY535" s="77" t="s">
        <v>648</v>
      </c>
      <c r="FZ535" s="1181">
        <f>+FZ534/BYD!BA103</f>
        <v>-1.6881950371749287E-2</v>
      </c>
      <c r="GV535" s="1062"/>
      <c r="GW535" s="1062"/>
      <c r="GX535" s="1062"/>
      <c r="GY535" s="1062"/>
      <c r="HC535" s="105"/>
      <c r="HD535" s="105"/>
      <c r="HE535" s="105"/>
      <c r="HF535" s="105"/>
      <c r="HG535" s="105"/>
      <c r="HH535" s="105"/>
      <c r="IV535"/>
    </row>
    <row r="536" spans="181:256" s="2" customFormat="1">
      <c r="FY536" s="212"/>
      <c r="FZ536" s="122"/>
      <c r="GV536" s="1062"/>
      <c r="GW536" s="1062"/>
      <c r="GX536" s="1062"/>
      <c r="GY536" s="1062"/>
      <c r="HC536" s="105"/>
      <c r="HD536" s="105"/>
      <c r="HE536" s="105"/>
      <c r="HF536" s="105"/>
      <c r="HG536" s="105"/>
      <c r="HH536" s="105"/>
      <c r="IV536"/>
    </row>
    <row r="537" spans="181:256" s="2" customFormat="1">
      <c r="FZ537" s="1205"/>
      <c r="GV537" s="1062"/>
      <c r="GW537" s="1062"/>
      <c r="GX537" s="1062"/>
      <c r="GY537" s="1062"/>
      <c r="HC537" s="105"/>
      <c r="HD537" s="105"/>
      <c r="HE537" s="105"/>
      <c r="HF537" s="105"/>
      <c r="HG537" s="105"/>
      <c r="HH537" s="105"/>
      <c r="IV537"/>
    </row>
    <row r="538" spans="181:256" s="2" customFormat="1">
      <c r="FY538" s="69" t="s">
        <v>446</v>
      </c>
      <c r="GV538" s="1062"/>
      <c r="GW538" s="1062"/>
      <c r="GX538" s="1062"/>
      <c r="GY538" s="1062"/>
      <c r="HC538" s="105"/>
      <c r="HD538" s="105"/>
      <c r="HE538" s="105"/>
      <c r="HF538" s="105"/>
      <c r="HG538" s="105"/>
      <c r="HH538" s="105"/>
      <c r="IV538"/>
    </row>
    <row r="539" spans="181:256" s="2" customFormat="1">
      <c r="FY539" s="2" t="s">
        <v>1141</v>
      </c>
      <c r="FZ539" s="1205">
        <f>FZ530</f>
        <v>175.26899999999998</v>
      </c>
      <c r="GV539" s="1062"/>
      <c r="GW539" s="1062"/>
      <c r="GX539" s="1062"/>
      <c r="GY539" s="1062"/>
      <c r="HC539" s="105"/>
      <c r="HD539" s="105"/>
      <c r="HE539" s="105"/>
      <c r="HF539" s="105"/>
      <c r="HG539" s="105"/>
      <c r="HH539" s="105"/>
      <c r="IV539"/>
    </row>
    <row r="540" spans="181:256" s="2" customFormat="1">
      <c r="FY540" s="2" t="s">
        <v>443</v>
      </c>
      <c r="FZ540" s="98">
        <f>+FZ532</f>
        <v>-90.06582499999999</v>
      </c>
      <c r="GV540" s="1062"/>
      <c r="GW540" s="1062"/>
      <c r="GX540" s="1062"/>
      <c r="GY540" s="1062"/>
      <c r="HC540" s="105"/>
      <c r="HD540" s="105"/>
      <c r="HE540" s="105"/>
      <c r="HF540" s="105"/>
      <c r="HG540" s="105"/>
      <c r="HH540" s="105"/>
      <c r="IV540"/>
    </row>
    <row r="541" spans="181:256" s="2" customFormat="1">
      <c r="FY541" s="2" t="s">
        <v>447</v>
      </c>
      <c r="FZ541" s="98">
        <f>+FZ533</f>
        <v>1.0061735000000098</v>
      </c>
      <c r="GV541" s="1062"/>
      <c r="GW541" s="1062"/>
      <c r="GX541" s="1062"/>
      <c r="GY541" s="1062"/>
      <c r="HC541" s="105"/>
      <c r="HD541" s="105"/>
      <c r="HE541" s="105"/>
      <c r="HF541" s="105"/>
      <c r="HG541" s="105"/>
      <c r="HH541" s="105"/>
      <c r="IV541"/>
    </row>
    <row r="542" spans="181:256" s="2" customFormat="1">
      <c r="FY542" s="2" t="s">
        <v>470</v>
      </c>
      <c r="FZ542" s="1102">
        <f>-BYD!BA1204</f>
        <v>-15.094000000000001</v>
      </c>
      <c r="GV542" s="1062"/>
      <c r="GW542" s="1062"/>
      <c r="GX542" s="1062"/>
      <c r="GY542" s="1062"/>
      <c r="HC542" s="105"/>
      <c r="HD542" s="105"/>
      <c r="HE542" s="105"/>
      <c r="HF542" s="105"/>
      <c r="HG542" s="105"/>
      <c r="HH542" s="105"/>
      <c r="IV542"/>
    </row>
    <row r="543" spans="181:256" s="2" customFormat="1">
      <c r="FY543" s="1428" t="s">
        <v>471</v>
      </c>
      <c r="FZ543" s="1636">
        <f>SUM(FZ539:FZ542)</f>
        <v>71.11534850000001</v>
      </c>
      <c r="GV543" s="1062"/>
      <c r="GW543" s="1062"/>
      <c r="GX543" s="1062"/>
      <c r="GY543" s="1062"/>
      <c r="HC543" s="105"/>
      <c r="HD543" s="105"/>
      <c r="HE543" s="105"/>
      <c r="HF543" s="105"/>
      <c r="HG543" s="105"/>
      <c r="HH543" s="105"/>
      <c r="IV543"/>
    </row>
    <row r="544" spans="181:256" s="2" customFormat="1">
      <c r="FY544" s="2" t="s">
        <v>478</v>
      </c>
      <c r="FZ544" s="1102">
        <v>1550</v>
      </c>
      <c r="GV544" s="1062"/>
      <c r="GW544" s="1062"/>
      <c r="GX544" s="1062"/>
      <c r="GY544" s="1062"/>
      <c r="HC544" s="105"/>
      <c r="HD544" s="105"/>
      <c r="HE544" s="105"/>
      <c r="HF544" s="105"/>
      <c r="HG544" s="105"/>
      <c r="HH544" s="105"/>
      <c r="IV544"/>
    </row>
    <row r="545" spans="181:256" s="2" customFormat="1">
      <c r="FY545" s="212" t="s">
        <v>1035</v>
      </c>
      <c r="FZ545" s="122">
        <f>FZ543/FZ544</f>
        <v>4.5880870000000004E-2</v>
      </c>
      <c r="GV545" s="1062"/>
      <c r="GW545" s="1062"/>
      <c r="GX545" s="1062"/>
      <c r="GY545" s="1062"/>
      <c r="HC545" s="105"/>
      <c r="HD545" s="105"/>
      <c r="HE545" s="105"/>
      <c r="HF545" s="105"/>
      <c r="HG545" s="105"/>
      <c r="HH545" s="105"/>
      <c r="IV545"/>
    </row>
    <row r="546" spans="181:256" s="2" customFormat="1">
      <c r="FY546" s="2" t="s">
        <v>195</v>
      </c>
      <c r="FZ546" s="1989">
        <f>+FZ544/FZ530</f>
        <v>8.8435490588752153</v>
      </c>
      <c r="GV546" s="1062"/>
      <c r="GW546" s="1062"/>
      <c r="GX546" s="1062"/>
      <c r="GY546" s="1062"/>
      <c r="HC546" s="105"/>
      <c r="HD546" s="105"/>
      <c r="HE546" s="105"/>
      <c r="HF546" s="105"/>
      <c r="HG546" s="105"/>
      <c r="HH546" s="105"/>
      <c r="IV546"/>
    </row>
    <row r="547" spans="181:256" s="2" customFormat="1">
      <c r="FY547" s="2" t="s">
        <v>220</v>
      </c>
      <c r="FZ547" s="2">
        <f>+SUM(BYD!BA1107:BA1111)</f>
        <v>1295.18</v>
      </c>
      <c r="GV547" s="1062"/>
      <c r="GW547" s="1062"/>
      <c r="GX547" s="1062"/>
      <c r="GY547" s="1062"/>
      <c r="HC547" s="105"/>
      <c r="HD547" s="105"/>
      <c r="HE547" s="105"/>
      <c r="HF547" s="105"/>
      <c r="HG547" s="105"/>
      <c r="HH547" s="105"/>
      <c r="IV547"/>
    </row>
    <row r="548" spans="181:256" s="2" customFormat="1">
      <c r="FY548" s="2" t="s">
        <v>221</v>
      </c>
      <c r="FZ548" s="1989">
        <f>+FZ547/FZ530</f>
        <v>7.389669593596131</v>
      </c>
      <c r="GV548" s="1062"/>
      <c r="GW548" s="1062"/>
      <c r="GX548" s="1062"/>
      <c r="GY548" s="1062"/>
      <c r="HC548" s="105"/>
      <c r="HD548" s="105"/>
      <c r="HE548" s="105"/>
      <c r="HF548" s="105"/>
      <c r="HG548" s="105"/>
      <c r="HH548" s="105"/>
      <c r="IV548"/>
    </row>
    <row r="549" spans="181:256" s="2" customFormat="1">
      <c r="GV549" s="1062"/>
      <c r="GW549" s="1062"/>
      <c r="GX549" s="1062"/>
      <c r="GY549" s="1062"/>
      <c r="HC549" s="105"/>
      <c r="HD549" s="105"/>
      <c r="HE549" s="105"/>
      <c r="HF549" s="105"/>
      <c r="HG549" s="105"/>
      <c r="HH549" s="105"/>
      <c r="IV549"/>
    </row>
    <row r="550" spans="181:256" s="2" customFormat="1">
      <c r="FY550" s="69" t="s">
        <v>477</v>
      </c>
      <c r="GV550" s="1062"/>
      <c r="GW550" s="1062"/>
      <c r="GX550" s="1062"/>
      <c r="GY550" s="1062"/>
      <c r="HC550" s="105"/>
      <c r="HD550" s="105"/>
      <c r="HE550" s="105"/>
      <c r="HF550" s="105"/>
      <c r="HG550" s="105"/>
      <c r="HH550" s="105"/>
      <c r="IV550"/>
    </row>
    <row r="551" spans="181:256" s="2" customFormat="1">
      <c r="FY551" s="69"/>
      <c r="GV551" s="1062"/>
      <c r="GW551" s="1062"/>
      <c r="GX551" s="1062"/>
      <c r="GY551" s="1062"/>
      <c r="HC551" s="105"/>
      <c r="HD551" s="105"/>
      <c r="HE551" s="105"/>
      <c r="HF551" s="105"/>
      <c r="HG551" s="105"/>
      <c r="HH551" s="105"/>
      <c r="IV551"/>
    </row>
    <row r="552" spans="181:256" s="2" customFormat="1">
      <c r="FY552" s="2" t="s">
        <v>401</v>
      </c>
      <c r="FZ552" s="1205">
        <f>+FZ530</f>
        <v>175.26899999999998</v>
      </c>
      <c r="GA552" s="1205">
        <f>+FZ552</f>
        <v>175.26899999999998</v>
      </c>
      <c r="GV552" s="1062"/>
      <c r="GW552" s="1062"/>
      <c r="GX552" s="1062"/>
      <c r="GY552" s="1062"/>
      <c r="HC552" s="105"/>
      <c r="HD552" s="105"/>
      <c r="HE552" s="105"/>
      <c r="HF552" s="105"/>
      <c r="HG552" s="105"/>
      <c r="HH552" s="105"/>
      <c r="IV552"/>
    </row>
    <row r="553" spans="181:256" s="2" customFormat="1">
      <c r="FY553" s="72" t="s">
        <v>1620</v>
      </c>
      <c r="FZ553" s="1644">
        <v>7</v>
      </c>
      <c r="GA553" s="1644">
        <v>8</v>
      </c>
      <c r="GV553" s="1062"/>
      <c r="GW553" s="1062"/>
      <c r="GX553" s="1062"/>
      <c r="GY553" s="1062"/>
      <c r="HC553" s="105"/>
      <c r="HD553" s="105"/>
      <c r="HE553" s="105"/>
      <c r="HF553" s="105"/>
      <c r="HG553" s="105"/>
      <c r="HH553" s="105"/>
      <c r="IV553"/>
    </row>
    <row r="554" spans="181:256" s="2" customFormat="1">
      <c r="FY554" s="1" t="s">
        <v>17</v>
      </c>
      <c r="FZ554" s="1">
        <f>+FZ552*FZ553</f>
        <v>1226.8829999999998</v>
      </c>
      <c r="GA554" s="1">
        <f>+GA552*GA553</f>
        <v>1402.1519999999998</v>
      </c>
      <c r="GV554" s="1062"/>
      <c r="GW554" s="1062"/>
      <c r="GX554" s="1062"/>
      <c r="GY554" s="1062"/>
      <c r="HC554" s="105"/>
      <c r="HD554" s="105"/>
      <c r="HE554" s="105"/>
      <c r="HF554" s="105"/>
      <c r="HG554" s="105"/>
      <c r="HH554" s="105"/>
      <c r="IV554"/>
    </row>
    <row r="555" spans="181:256" s="2" customFormat="1">
      <c r="FY555" s="72" t="s">
        <v>1222</v>
      </c>
      <c r="FZ555" s="72">
        <f>-FZ544</f>
        <v>-1550</v>
      </c>
      <c r="GA555" s="72">
        <f>+FZ555</f>
        <v>-1550</v>
      </c>
      <c r="GV555" s="1062"/>
      <c r="GW555" s="1062"/>
      <c r="GX555" s="1062"/>
      <c r="GY555" s="1062"/>
      <c r="HC555" s="105"/>
      <c r="HD555" s="105"/>
      <c r="HE555" s="105"/>
      <c r="HF555" s="105"/>
      <c r="HG555" s="105"/>
      <c r="HH555" s="105"/>
      <c r="IV555"/>
    </row>
    <row r="556" spans="181:256" s="2" customFormat="1">
      <c r="FY556" s="1" t="s">
        <v>1085</v>
      </c>
      <c r="FZ556" s="1">
        <f>+FZ554+FZ555</f>
        <v>-323.11700000000019</v>
      </c>
      <c r="GA556" s="1">
        <f>+GA554+GA555</f>
        <v>-147.84800000000018</v>
      </c>
      <c r="GV556" s="1062"/>
      <c r="GW556" s="1062"/>
      <c r="GX556" s="1062"/>
      <c r="GY556" s="1062"/>
      <c r="HC556" s="105"/>
      <c r="HD556" s="105"/>
      <c r="HE556" s="105"/>
      <c r="HF556" s="105"/>
      <c r="HG556" s="105"/>
      <c r="HH556" s="105"/>
      <c r="IV556"/>
    </row>
    <row r="557" spans="181:256" s="2" customFormat="1">
      <c r="GV557" s="1062"/>
      <c r="GW557" s="1062"/>
      <c r="GX557" s="1062"/>
      <c r="GY557" s="1062"/>
      <c r="HC557" s="105"/>
      <c r="HD557" s="105"/>
      <c r="HE557" s="105"/>
      <c r="HF557" s="105"/>
      <c r="HG557" s="105"/>
      <c r="HH557" s="105"/>
      <c r="IV557"/>
    </row>
    <row r="558" spans="181:256" s="2" customFormat="1">
      <c r="FY558" s="2" t="s">
        <v>475</v>
      </c>
      <c r="FZ558" s="2">
        <f>+BYD!BA103</f>
        <v>97.242999999999995</v>
      </c>
      <c r="GA558" s="2">
        <f>+FZ558</f>
        <v>97.242999999999995</v>
      </c>
      <c r="GV558" s="1062"/>
      <c r="GW558" s="1062"/>
      <c r="GX558" s="1062"/>
      <c r="GY558" s="1062"/>
      <c r="HC558" s="105"/>
      <c r="HD558" s="105"/>
      <c r="HE558" s="105"/>
      <c r="HF558" s="105"/>
      <c r="HG558" s="105"/>
      <c r="HH558" s="105"/>
      <c r="IV558"/>
    </row>
    <row r="559" spans="181:256" s="2" customFormat="1">
      <c r="FY559" s="1428" t="s">
        <v>1642</v>
      </c>
      <c r="FZ559" s="1639">
        <f>+FZ556/FZ558</f>
        <v>-3.3227790175128309</v>
      </c>
      <c r="GA559" s="1640">
        <f>+GA556/GA558</f>
        <v>-1.5203973550795449</v>
      </c>
      <c r="GV559" s="1062"/>
      <c r="GW559" s="1062"/>
      <c r="GX559" s="1062"/>
      <c r="GY559" s="1062"/>
      <c r="HC559" s="105"/>
      <c r="HD559" s="105"/>
      <c r="HE559" s="105"/>
      <c r="HF559" s="105"/>
      <c r="HG559" s="105"/>
      <c r="HH559" s="105"/>
      <c r="IV559"/>
    </row>
    <row r="560" spans="181:256" s="2" customFormat="1">
      <c r="FY560" s="118" t="s">
        <v>476</v>
      </c>
      <c r="FZ560" s="122">
        <f>+FZ559/7</f>
        <v>-0.47468271678754725</v>
      </c>
      <c r="GA560" s="122">
        <f>+GA559/7</f>
        <v>-0.2171996221542207</v>
      </c>
      <c r="GV560" s="1062"/>
      <c r="GW560" s="1062"/>
      <c r="GX560" s="1062"/>
      <c r="GY560" s="1062"/>
      <c r="HC560" s="105"/>
      <c r="HD560" s="105"/>
      <c r="HE560" s="105"/>
      <c r="HF560" s="105"/>
      <c r="HG560" s="105"/>
      <c r="HH560" s="105"/>
      <c r="IV560"/>
    </row>
    <row r="561" spans="184:256" s="2" customFormat="1">
      <c r="GB561" s="1"/>
      <c r="GJ561" s="2">
        <v>360</v>
      </c>
      <c r="GV561" s="1062"/>
      <c r="GW561" s="1062"/>
      <c r="GX561" s="1062"/>
      <c r="GY561" s="1062"/>
      <c r="HC561" s="105"/>
      <c r="HD561" s="105"/>
      <c r="HE561" s="105"/>
      <c r="HF561" s="105"/>
      <c r="HG561" s="105"/>
      <c r="HH561" s="105"/>
      <c r="IV561"/>
    </row>
    <row r="562" spans="184:256" s="2" customFormat="1">
      <c r="GB562" s="1" t="s">
        <v>28</v>
      </c>
      <c r="GJ562" s="2">
        <f>+GJ561*0.15</f>
        <v>54</v>
      </c>
      <c r="GK562" s="2">
        <f>+GJ562*0.05</f>
        <v>2.7</v>
      </c>
      <c r="GV562" s="1062"/>
      <c r="GW562" s="1062"/>
      <c r="GX562" s="1062"/>
      <c r="GY562" s="1062"/>
      <c r="HC562" s="105"/>
      <c r="HD562" s="105"/>
      <c r="HE562" s="105"/>
      <c r="HF562" s="105"/>
      <c r="HG562" s="105"/>
      <c r="HH562" s="105"/>
      <c r="IV562"/>
    </row>
    <row r="563" spans="184:256" s="2" customFormat="1">
      <c r="GB563" s="147" t="s">
        <v>843</v>
      </c>
      <c r="GC563" s="1613" t="s">
        <v>1205</v>
      </c>
      <c r="GD563" s="1613" t="s">
        <v>871</v>
      </c>
      <c r="GE563" s="2008" t="s">
        <v>1204</v>
      </c>
      <c r="GJ563" s="2">
        <f>+GJ562/0.2</f>
        <v>270</v>
      </c>
      <c r="GK563" s="2">
        <f>+GJ563*0.02</f>
        <v>5.4</v>
      </c>
      <c r="GV563" s="1062"/>
      <c r="GW563" s="1062"/>
      <c r="GX563" s="1062"/>
      <c r="GY563" s="1062"/>
      <c r="HC563" s="105"/>
      <c r="HD563" s="105"/>
      <c r="HE563" s="105"/>
      <c r="HF563" s="105"/>
      <c r="HG563" s="105"/>
      <c r="HH563" s="105"/>
      <c r="IV563"/>
    </row>
    <row r="564" spans="184:256" s="2" customFormat="1">
      <c r="GB564" s="59" t="s">
        <v>854</v>
      </c>
      <c r="GC564" s="2000">
        <v>493</v>
      </c>
      <c r="GD564" s="2000">
        <v>644</v>
      </c>
      <c r="GE564" s="2001">
        <v>1067</v>
      </c>
      <c r="GV564" s="1062"/>
      <c r="GW564" s="1062"/>
      <c r="GX564" s="1062"/>
      <c r="GY564" s="1062"/>
      <c r="HC564" s="105"/>
      <c r="HD564" s="105"/>
      <c r="HE564" s="105"/>
      <c r="HF564" s="105"/>
      <c r="HG564" s="105"/>
      <c r="HH564" s="105"/>
      <c r="IV564"/>
    </row>
    <row r="565" spans="184:256" s="2" customFormat="1">
      <c r="GB565" s="2002" t="s">
        <v>1128</v>
      </c>
      <c r="GC565" s="818">
        <f>+GC564*($GD$565/$GD$564)</f>
        <v>368.98447204968943</v>
      </c>
      <c r="GD565" s="2000">
        <v>482</v>
      </c>
      <c r="GE565" s="2005">
        <f>+GE564*($GD$565/$GD$564)</f>
        <v>798.59316770186342</v>
      </c>
      <c r="GV565" s="1062"/>
      <c r="GW565" s="1062"/>
      <c r="GX565" s="1062"/>
      <c r="GY565" s="1062"/>
      <c r="HC565" s="105"/>
      <c r="HD565" s="105"/>
      <c r="HE565" s="105"/>
      <c r="HF565" s="105"/>
      <c r="HG565" s="105"/>
      <c r="HH565" s="105"/>
      <c r="IV565"/>
    </row>
    <row r="566" spans="184:256" s="2" customFormat="1" ht="3.95" customHeight="1">
      <c r="GB566" s="59"/>
      <c r="GC566" s="61"/>
      <c r="GD566" s="61"/>
      <c r="GE566" s="60"/>
      <c r="GV566" s="1062"/>
      <c r="GW566" s="1062"/>
      <c r="GX566" s="1062"/>
      <c r="GY566" s="1062"/>
      <c r="HC566" s="105"/>
      <c r="HD566" s="105"/>
      <c r="HE566" s="105"/>
      <c r="HF566" s="105"/>
      <c r="HG566" s="105"/>
      <c r="HH566" s="105"/>
      <c r="IV566"/>
    </row>
    <row r="567" spans="184:256" s="2" customFormat="1">
      <c r="GB567" s="59" t="s">
        <v>844</v>
      </c>
      <c r="GC567" s="1139">
        <f>+SUM(GC568:GC569)</f>
        <v>0.25</v>
      </c>
      <c r="GD567" s="1139">
        <f>+SUM(GD568:GD569)</f>
        <v>0.25</v>
      </c>
      <c r="GE567" s="1140">
        <f>+SUM(GE568:GE569)</f>
        <v>0.25</v>
      </c>
      <c r="GV567" s="1062"/>
      <c r="GW567" s="1062"/>
      <c r="GX567" s="1062"/>
      <c r="GY567" s="1062"/>
      <c r="HC567" s="105"/>
      <c r="HD567" s="105"/>
      <c r="HE567" s="105"/>
      <c r="HF567" s="105"/>
      <c r="HG567" s="105"/>
      <c r="HH567" s="105"/>
      <c r="IV567"/>
    </row>
    <row r="568" spans="184:256" s="2" customFormat="1">
      <c r="GB568" s="2002" t="s">
        <v>29</v>
      </c>
      <c r="GC568" s="2003">
        <f>+GD568</f>
        <v>0.15</v>
      </c>
      <c r="GD568" s="2003">
        <v>0.15</v>
      </c>
      <c r="GE568" s="2004">
        <f>+GD568</f>
        <v>0.15</v>
      </c>
      <c r="GV568" s="1062"/>
      <c r="GW568" s="1062"/>
      <c r="GX568" s="1062"/>
      <c r="GY568" s="1062"/>
      <c r="HC568" s="105"/>
      <c r="HD568" s="105"/>
      <c r="HE568" s="105"/>
      <c r="HF568" s="105"/>
      <c r="HG568" s="105"/>
      <c r="HH568" s="105"/>
      <c r="IV568"/>
    </row>
    <row r="569" spans="184:256" s="2" customFormat="1">
      <c r="GB569" s="2002" t="s">
        <v>842</v>
      </c>
      <c r="GC569" s="2003">
        <f>+GD569</f>
        <v>0.1</v>
      </c>
      <c r="GD569" s="2003">
        <v>0.1</v>
      </c>
      <c r="GE569" s="2004">
        <f>+GD569</f>
        <v>0.1</v>
      </c>
      <c r="GV569" s="1062"/>
      <c r="GW569" s="1062"/>
      <c r="GX569" s="1062"/>
      <c r="GY569" s="1062"/>
      <c r="HC569" s="105"/>
      <c r="HD569" s="105"/>
      <c r="HE569" s="105"/>
      <c r="HF569" s="105"/>
      <c r="HG569" s="105"/>
      <c r="HH569" s="105"/>
      <c r="IV569"/>
    </row>
    <row r="570" spans="184:256" s="2" customFormat="1" ht="3.95" customHeight="1">
      <c r="GB570" s="59"/>
      <c r="GC570" s="61"/>
      <c r="GD570" s="61"/>
      <c r="GE570" s="60"/>
      <c r="GV570" s="1062"/>
      <c r="GW570" s="1062"/>
      <c r="GX570" s="1062"/>
      <c r="GY570" s="1062"/>
      <c r="HC570" s="105"/>
      <c r="HD570" s="105"/>
      <c r="HE570" s="105"/>
      <c r="HF570" s="105"/>
      <c r="HG570" s="105"/>
      <c r="HH570" s="105"/>
      <c r="IV570"/>
    </row>
    <row r="571" spans="184:256" s="2" customFormat="1">
      <c r="GB571" s="59" t="s">
        <v>845</v>
      </c>
      <c r="GC571" s="818">
        <f t="shared" ref="GC571:GE573" si="45">+GC567*GC$565</f>
        <v>92.246118012422357</v>
      </c>
      <c r="GD571" s="818">
        <f t="shared" si="45"/>
        <v>120.5</v>
      </c>
      <c r="GE571" s="2005">
        <f t="shared" si="45"/>
        <v>199.64829192546586</v>
      </c>
      <c r="GV571" s="1062"/>
      <c r="GW571" s="1062"/>
      <c r="GX571" s="1062"/>
      <c r="GY571" s="1062"/>
      <c r="HC571" s="105"/>
      <c r="HD571" s="105"/>
      <c r="HE571" s="105"/>
      <c r="HF571" s="105"/>
      <c r="HG571" s="105"/>
      <c r="HH571" s="105"/>
      <c r="IV571"/>
    </row>
    <row r="572" spans="184:256" s="2" customFormat="1">
      <c r="GB572" s="2002" t="s">
        <v>29</v>
      </c>
      <c r="GC572" s="61">
        <f t="shared" si="45"/>
        <v>55.347670807453412</v>
      </c>
      <c r="GD572" s="61">
        <f t="shared" si="45"/>
        <v>72.3</v>
      </c>
      <c r="GE572" s="60">
        <f t="shared" si="45"/>
        <v>119.7889751552795</v>
      </c>
      <c r="GV572" s="1062"/>
      <c r="GW572" s="1062"/>
      <c r="GX572" s="1062"/>
      <c r="GY572" s="1062"/>
      <c r="HC572" s="105"/>
      <c r="HD572" s="105"/>
      <c r="HE572" s="105"/>
      <c r="HF572" s="105"/>
      <c r="HG572" s="105"/>
      <c r="HH572" s="105"/>
      <c r="IV572"/>
    </row>
    <row r="573" spans="184:256" s="2" customFormat="1">
      <c r="GB573" s="2002" t="s">
        <v>842</v>
      </c>
      <c r="GC573" s="61">
        <f t="shared" si="45"/>
        <v>36.898447204968946</v>
      </c>
      <c r="GD573" s="61">
        <f t="shared" si="45"/>
        <v>48.2</v>
      </c>
      <c r="GE573" s="60">
        <f t="shared" si="45"/>
        <v>79.859316770186354</v>
      </c>
      <c r="GV573" s="1062"/>
      <c r="GW573" s="1062"/>
      <c r="GX573" s="1062"/>
      <c r="GY573" s="1062"/>
      <c r="HC573" s="105"/>
      <c r="HD573" s="105"/>
      <c r="HE573" s="105"/>
      <c r="HF573" s="105"/>
      <c r="HG573" s="105"/>
      <c r="HH573" s="105"/>
      <c r="IV573"/>
    </row>
    <row r="574" spans="184:256" s="2" customFormat="1" ht="3.95" customHeight="1">
      <c r="GB574" s="59"/>
      <c r="GC574" s="61"/>
      <c r="GD574" s="61"/>
      <c r="GE574" s="60"/>
      <c r="GV574" s="1062"/>
      <c r="GW574" s="1062"/>
      <c r="GX574" s="1062"/>
      <c r="GY574" s="1062"/>
      <c r="HC574" s="105"/>
      <c r="HD574" s="105"/>
      <c r="HE574" s="105"/>
      <c r="HF574" s="105"/>
      <c r="HG574" s="105"/>
      <c r="HH574" s="105"/>
      <c r="IV574"/>
    </row>
    <row r="575" spans="184:256" s="2" customFormat="1">
      <c r="GB575" s="59" t="s">
        <v>271</v>
      </c>
      <c r="GC575" s="2003">
        <v>0.25</v>
      </c>
      <c r="GD575" s="2003">
        <v>0.25</v>
      </c>
      <c r="GE575" s="2004">
        <v>0.25</v>
      </c>
      <c r="GV575" s="1062"/>
      <c r="GW575" s="1062"/>
      <c r="GX575" s="1062"/>
      <c r="GY575" s="1062"/>
      <c r="HC575" s="105"/>
      <c r="HD575" s="105"/>
      <c r="HE575" s="105"/>
      <c r="HF575" s="105"/>
      <c r="HG575" s="105"/>
      <c r="HH575" s="105"/>
      <c r="IV575"/>
    </row>
    <row r="576" spans="184:256" s="2" customFormat="1" ht="3.95" customHeight="1">
      <c r="GB576" s="59"/>
      <c r="GC576" s="61"/>
      <c r="GD576" s="61"/>
      <c r="GE576" s="60"/>
      <c r="GV576" s="1062"/>
      <c r="GW576" s="1062"/>
      <c r="GX576" s="1062"/>
      <c r="GY576" s="1062"/>
      <c r="HC576" s="105"/>
      <c r="HD576" s="105"/>
      <c r="HE576" s="105"/>
      <c r="HF576" s="105"/>
      <c r="HG576" s="105"/>
      <c r="HH576" s="105"/>
      <c r="IV576"/>
    </row>
    <row r="577" spans="184:256" s="2" customFormat="1">
      <c r="GB577" s="59" t="s">
        <v>846</v>
      </c>
      <c r="GC577" s="818">
        <f t="shared" ref="GC577:GE579" si="46">+GC571*GC$575</f>
        <v>23.061529503105589</v>
      </c>
      <c r="GD577" s="818">
        <f t="shared" si="46"/>
        <v>30.125</v>
      </c>
      <c r="GE577" s="2005">
        <f t="shared" si="46"/>
        <v>49.912072981366464</v>
      </c>
      <c r="GV577" s="1062"/>
      <c r="GW577" s="1062"/>
      <c r="GX577" s="1062"/>
      <c r="GY577" s="1062"/>
      <c r="HC577" s="105"/>
      <c r="HD577" s="105"/>
      <c r="HE577" s="105"/>
      <c r="HF577" s="105"/>
      <c r="HG577" s="105"/>
      <c r="HH577" s="105"/>
      <c r="IV577"/>
    </row>
    <row r="578" spans="184:256" s="2" customFormat="1">
      <c r="GB578" s="2002" t="s">
        <v>29</v>
      </c>
      <c r="GC578" s="61">
        <f t="shared" si="46"/>
        <v>13.836917701863353</v>
      </c>
      <c r="GD578" s="61">
        <f t="shared" si="46"/>
        <v>18.074999999999999</v>
      </c>
      <c r="GE578" s="60">
        <f t="shared" si="46"/>
        <v>29.947243788819875</v>
      </c>
      <c r="GV578" s="1062"/>
      <c r="GW578" s="1062"/>
      <c r="GX578" s="1062"/>
      <c r="GY578" s="1062"/>
      <c r="HC578" s="105"/>
      <c r="HD578" s="105"/>
      <c r="HE578" s="105"/>
      <c r="HF578" s="105"/>
      <c r="HG578" s="105"/>
      <c r="HH578" s="105"/>
      <c r="IV578"/>
    </row>
    <row r="579" spans="184:256" s="2" customFormat="1">
      <c r="GB579" s="2002" t="s">
        <v>842</v>
      </c>
      <c r="GC579" s="61">
        <f t="shared" si="46"/>
        <v>9.2246118012422365</v>
      </c>
      <c r="GD579" s="61">
        <f t="shared" si="46"/>
        <v>12.05</v>
      </c>
      <c r="GE579" s="60">
        <f t="shared" si="46"/>
        <v>19.964829192546588</v>
      </c>
      <c r="GV579" s="1062"/>
      <c r="GW579" s="1062"/>
      <c r="GX579" s="1062"/>
      <c r="GY579" s="1062"/>
      <c r="HC579" s="105"/>
      <c r="HD579" s="105"/>
      <c r="HE579" s="105"/>
      <c r="HF579" s="105"/>
      <c r="HG579" s="105"/>
      <c r="HH579" s="105"/>
      <c r="IV579"/>
    </row>
    <row r="580" spans="184:256" s="2" customFormat="1" ht="3.95" customHeight="1">
      <c r="GB580" s="59"/>
      <c r="GC580" s="61"/>
      <c r="GD580" s="61"/>
      <c r="GE580" s="60"/>
      <c r="GV580" s="1062"/>
      <c r="GW580" s="1062"/>
      <c r="GX580" s="1062"/>
      <c r="GY580" s="1062"/>
      <c r="HC580" s="105"/>
      <c r="HD580" s="105"/>
      <c r="HE580" s="105"/>
      <c r="HF580" s="105"/>
      <c r="HG580" s="105"/>
      <c r="HH580" s="105"/>
      <c r="IV580"/>
    </row>
    <row r="581" spans="184:256" s="2" customFormat="1" ht="12.75" customHeight="1">
      <c r="GB581" s="2010" t="s">
        <v>552</v>
      </c>
      <c r="GC581" s="61"/>
      <c r="GD581" s="61"/>
      <c r="GE581" s="60"/>
      <c r="GV581" s="1062"/>
      <c r="GW581" s="1062"/>
      <c r="GX581" s="1062"/>
      <c r="GY581" s="1062"/>
      <c r="HC581" s="105"/>
      <c r="HD581" s="105"/>
      <c r="HE581" s="105"/>
      <c r="HF581" s="105"/>
      <c r="HG581" s="105"/>
      <c r="HH581" s="105"/>
      <c r="IV581"/>
    </row>
    <row r="582" spans="184:256" s="2" customFormat="1" ht="12.75" customHeight="1">
      <c r="GB582" s="59" t="s">
        <v>30</v>
      </c>
      <c r="GC582" s="2003">
        <v>0.5</v>
      </c>
      <c r="GD582" s="2003">
        <v>0.5</v>
      </c>
      <c r="GE582" s="2004">
        <v>0.5</v>
      </c>
      <c r="GV582" s="1062"/>
      <c r="GW582" s="1062"/>
      <c r="GX582" s="1062"/>
      <c r="GY582" s="1062"/>
      <c r="HC582" s="105"/>
      <c r="HD582" s="105"/>
      <c r="HE582" s="105"/>
      <c r="HF582" s="105"/>
      <c r="HG582" s="105"/>
      <c r="HH582" s="105"/>
      <c r="IV582"/>
    </row>
    <row r="583" spans="184:256" s="2" customFormat="1">
      <c r="GB583" s="59" t="s">
        <v>839</v>
      </c>
      <c r="GC583" s="2003">
        <v>0.1</v>
      </c>
      <c r="GD583" s="2003">
        <v>0.1</v>
      </c>
      <c r="GE583" s="2004">
        <v>0.1</v>
      </c>
      <c r="GV583" s="1062"/>
      <c r="GW583" s="1062"/>
      <c r="GX583" s="1062"/>
      <c r="GY583" s="1062"/>
      <c r="HC583" s="105"/>
      <c r="HD583" s="105"/>
      <c r="HE583" s="105"/>
      <c r="HF583" s="105"/>
      <c r="HG583" s="105"/>
      <c r="HH583" s="105"/>
      <c r="IV583"/>
    </row>
    <row r="584" spans="184:256" s="2" customFormat="1" ht="3.95" customHeight="1">
      <c r="GB584" s="2002"/>
      <c r="GC584" s="61"/>
      <c r="GD584" s="61"/>
      <c r="GE584" s="60"/>
      <c r="GV584" s="1062"/>
      <c r="GW584" s="1062"/>
      <c r="GX584" s="1062"/>
      <c r="GY584" s="1062"/>
      <c r="HC584" s="105"/>
      <c r="HD584" s="105"/>
      <c r="HE584" s="105"/>
      <c r="HF584" s="105"/>
      <c r="HG584" s="105"/>
      <c r="HH584" s="105"/>
      <c r="IV584"/>
    </row>
    <row r="585" spans="184:256" s="2" customFormat="1">
      <c r="GB585" s="59" t="s">
        <v>840</v>
      </c>
      <c r="GC585" s="818">
        <f>+GC$578*GC582+GC$579*GC583</f>
        <v>7.8409200310558997</v>
      </c>
      <c r="GD585" s="818">
        <f>+GD$578*GD582+GD$579*GD583</f>
        <v>10.2425</v>
      </c>
      <c r="GE585" s="2005">
        <f>+GE$578*GE582+GE$579*GE583</f>
        <v>16.970104813664598</v>
      </c>
      <c r="GV585" s="1062"/>
      <c r="GW585" s="1062"/>
      <c r="GX585" s="1062"/>
      <c r="GY585" s="1062"/>
      <c r="HC585" s="105"/>
      <c r="HD585" s="105"/>
      <c r="HE585" s="105"/>
      <c r="HF585" s="105"/>
      <c r="HG585" s="105"/>
      <c r="HH585" s="105"/>
      <c r="IV585"/>
    </row>
    <row r="586" spans="184:256" s="2" customFormat="1">
      <c r="GB586" s="2002" t="s">
        <v>1620</v>
      </c>
      <c r="GC586" s="2006">
        <v>8</v>
      </c>
      <c r="GD586" s="2006">
        <v>14</v>
      </c>
      <c r="GE586" s="2007">
        <v>20</v>
      </c>
      <c r="GV586" s="1062"/>
      <c r="GW586" s="1062"/>
      <c r="GX586" s="1062"/>
      <c r="GY586" s="1062"/>
      <c r="HC586" s="105"/>
      <c r="HD586" s="105"/>
      <c r="HE586" s="105"/>
      <c r="HF586" s="105"/>
      <c r="HG586" s="105"/>
      <c r="HH586" s="105"/>
      <c r="IV586"/>
    </row>
    <row r="587" spans="184:256" s="2" customFormat="1">
      <c r="GB587" s="2002" t="s">
        <v>1476</v>
      </c>
      <c r="GC587" s="96">
        <f>1/(1.1^2)</f>
        <v>0.82644628099173545</v>
      </c>
      <c r="GD587" s="96">
        <f>1/(1.1^2)</f>
        <v>0.82644628099173545</v>
      </c>
      <c r="GE587" s="97">
        <f>1/(1.1^2)</f>
        <v>0.82644628099173545</v>
      </c>
      <c r="GV587" s="1062"/>
      <c r="GW587" s="1062"/>
      <c r="GX587" s="1062"/>
      <c r="GY587" s="1062"/>
      <c r="HC587" s="105"/>
      <c r="HD587" s="105"/>
      <c r="HE587" s="105"/>
      <c r="HF587" s="105"/>
      <c r="HG587" s="105"/>
      <c r="HH587" s="105"/>
      <c r="IV587"/>
    </row>
    <row r="588" spans="184:256" s="2" customFormat="1">
      <c r="GB588" s="2002" t="s">
        <v>841</v>
      </c>
      <c r="GC588" s="63">
        <f>+'EBITDA Val'!$F$15</f>
        <v>113.08959516740317</v>
      </c>
      <c r="GD588" s="63">
        <f>+'EBITDA Val'!$F$15</f>
        <v>113.08959516740317</v>
      </c>
      <c r="GE588" s="62">
        <f>+'EBITDA Val'!$F$15</f>
        <v>113.08959516740317</v>
      </c>
      <c r="GV588" s="1062"/>
      <c r="GW588" s="1062"/>
      <c r="GX588" s="1062"/>
      <c r="GY588" s="1062"/>
      <c r="HC588" s="105"/>
      <c r="HD588" s="105"/>
      <c r="HE588" s="105"/>
      <c r="HF588" s="105"/>
      <c r="HG588" s="105"/>
      <c r="HH588" s="105"/>
      <c r="IV588"/>
    </row>
    <row r="589" spans="184:256" s="2" customFormat="1" ht="3.95" customHeight="1">
      <c r="GB589" s="59"/>
      <c r="GC589" s="61"/>
      <c r="GD589" s="61"/>
      <c r="GE589" s="60"/>
      <c r="GV589" s="1062"/>
      <c r="GW589" s="1062"/>
      <c r="GX589" s="1062"/>
      <c r="GY589" s="1062"/>
      <c r="HC589" s="105"/>
      <c r="HD589" s="105"/>
      <c r="HE589" s="105"/>
      <c r="HF589" s="105"/>
      <c r="HG589" s="105"/>
      <c r="HH589" s="105"/>
      <c r="IV589"/>
    </row>
    <row r="590" spans="184:256" s="1181" customFormat="1">
      <c r="GB590" s="2009" t="s">
        <v>847</v>
      </c>
      <c r="GC590" s="1639">
        <f>+GC585*GC586*GC587/GC588</f>
        <v>0.45840462614637201</v>
      </c>
      <c r="GD590" s="1639">
        <f>+GD585*GD586*GD587/GD588</f>
        <v>1.0479148350242622</v>
      </c>
      <c r="GE590" s="1640">
        <f>+GE585*GE586*GE587/GE588</f>
        <v>2.4803130633781896</v>
      </c>
      <c r="GV590" s="2216"/>
      <c r="GW590" s="2216"/>
      <c r="GX590" s="2216"/>
      <c r="GY590" s="2216"/>
      <c r="HC590" s="105"/>
      <c r="HD590" s="105"/>
      <c r="HE590" s="105"/>
      <c r="HF590" s="105"/>
      <c r="HG590" s="105"/>
      <c r="HH590" s="105"/>
      <c r="IV590"/>
    </row>
    <row r="591" spans="184:256" s="2" customFormat="1" ht="3.95" customHeight="1">
      <c r="GB591" s="59"/>
      <c r="GC591" s="61"/>
      <c r="GD591" s="61"/>
      <c r="GE591" s="60"/>
      <c r="GV591" s="1062"/>
      <c r="GW591" s="1062"/>
      <c r="GX591" s="1062"/>
      <c r="GY591" s="1062"/>
      <c r="HC591" s="105"/>
      <c r="HD591" s="105"/>
      <c r="HE591" s="105"/>
      <c r="HF591" s="105"/>
      <c r="HG591" s="105"/>
      <c r="HH591" s="105"/>
      <c r="IV591"/>
    </row>
    <row r="592" spans="184:256" s="2" customFormat="1" ht="12.75" customHeight="1">
      <c r="GB592" s="2010" t="s">
        <v>848</v>
      </c>
      <c r="GC592" s="61"/>
      <c r="GD592" s="61"/>
      <c r="GE592" s="60"/>
      <c r="GV592" s="1062"/>
      <c r="GW592" s="1062"/>
      <c r="GX592" s="1062"/>
      <c r="GY592" s="1062"/>
      <c r="HC592" s="105"/>
      <c r="HD592" s="105"/>
      <c r="HE592" s="105"/>
      <c r="HF592" s="105"/>
      <c r="HG592" s="105"/>
      <c r="HH592" s="105"/>
      <c r="IV592"/>
    </row>
    <row r="593" spans="184:256" s="2" customFormat="1" ht="12.75" customHeight="1">
      <c r="GB593" s="59" t="s">
        <v>849</v>
      </c>
      <c r="GC593" s="2003">
        <v>0.5</v>
      </c>
      <c r="GD593" s="2003">
        <v>0.5</v>
      </c>
      <c r="GE593" s="2004">
        <v>0.5</v>
      </c>
      <c r="GV593" s="1062"/>
      <c r="GW593" s="1062"/>
      <c r="GX593" s="1062"/>
      <c r="GY593" s="1062"/>
      <c r="HC593" s="105"/>
      <c r="HD593" s="105"/>
      <c r="HE593" s="105"/>
      <c r="HF593" s="105"/>
      <c r="HG593" s="105"/>
      <c r="HH593" s="105"/>
      <c r="IV593"/>
    </row>
    <row r="594" spans="184:256" s="2" customFormat="1">
      <c r="GB594" s="59" t="s">
        <v>850</v>
      </c>
      <c r="GC594" s="2003">
        <v>0.25</v>
      </c>
      <c r="GD594" s="2003">
        <v>0.25</v>
      </c>
      <c r="GE594" s="2004">
        <v>0.25</v>
      </c>
      <c r="GV594" s="1062"/>
      <c r="GW594" s="1062"/>
      <c r="GX594" s="1062"/>
      <c r="GY594" s="1062"/>
      <c r="HC594" s="105"/>
      <c r="HD594" s="105"/>
      <c r="HE594" s="105"/>
      <c r="HF594" s="105"/>
      <c r="HG594" s="105"/>
      <c r="HH594" s="105"/>
      <c r="IV594"/>
    </row>
    <row r="595" spans="184:256" s="2" customFormat="1" ht="3.95" customHeight="1">
      <c r="GB595" s="2002"/>
      <c r="GC595" s="61"/>
      <c r="GD595" s="61"/>
      <c r="GE595" s="60"/>
      <c r="GV595" s="1062"/>
      <c r="GW595" s="1062"/>
      <c r="GX595" s="1062"/>
      <c r="GY595" s="1062"/>
      <c r="HC595" s="105"/>
      <c r="HD595" s="105"/>
      <c r="HE595" s="105"/>
      <c r="HF595" s="105"/>
      <c r="HG595" s="105"/>
      <c r="HH595" s="105"/>
      <c r="IV595"/>
    </row>
    <row r="596" spans="184:256" s="2" customFormat="1">
      <c r="GB596" s="59" t="s">
        <v>851</v>
      </c>
      <c r="GC596" s="818">
        <f>+GC$578*GC593+GC$579*GC594</f>
        <v>9.2246118012422365</v>
      </c>
      <c r="GD596" s="818">
        <f>+GD$578*GD593+GD$579*GD594</f>
        <v>12.05</v>
      </c>
      <c r="GE596" s="2005">
        <f>+GE$578*GE593+GE$579*GE594</f>
        <v>19.964829192546585</v>
      </c>
      <c r="GV596" s="1062"/>
      <c r="GW596" s="1062"/>
      <c r="GX596" s="1062"/>
      <c r="GY596" s="1062"/>
      <c r="HC596" s="105"/>
      <c r="HD596" s="105"/>
      <c r="HE596" s="105"/>
      <c r="HF596" s="105"/>
      <c r="HG596" s="105"/>
      <c r="HH596" s="105"/>
      <c r="IV596"/>
    </row>
    <row r="597" spans="184:256" s="2" customFormat="1">
      <c r="GB597" s="2002" t="s">
        <v>1620</v>
      </c>
      <c r="GC597" s="2006">
        <v>8</v>
      </c>
      <c r="GD597" s="2006">
        <v>14</v>
      </c>
      <c r="GE597" s="2007">
        <v>20</v>
      </c>
      <c r="GV597" s="1062"/>
      <c r="GW597" s="1062"/>
      <c r="GX597" s="1062"/>
      <c r="GY597" s="1062"/>
      <c r="HC597" s="105"/>
      <c r="HD597" s="105"/>
      <c r="HE597" s="105"/>
      <c r="HF597" s="105"/>
      <c r="HG597" s="105"/>
      <c r="HH597" s="105"/>
      <c r="IV597"/>
    </row>
    <row r="598" spans="184:256" s="2" customFormat="1">
      <c r="GB598" s="2002" t="s">
        <v>1476</v>
      </c>
      <c r="GC598" s="96">
        <f>1/(1.1^2)</f>
        <v>0.82644628099173545</v>
      </c>
      <c r="GD598" s="96">
        <f>1/(1.1^2)</f>
        <v>0.82644628099173545</v>
      </c>
      <c r="GE598" s="97">
        <f>1/(1.1^2)</f>
        <v>0.82644628099173545</v>
      </c>
      <c r="GV598" s="1062"/>
      <c r="GW598" s="1062"/>
      <c r="GX598" s="1062"/>
      <c r="GY598" s="1062"/>
      <c r="HC598" s="105"/>
      <c r="HD598" s="105"/>
      <c r="HE598" s="105"/>
      <c r="HF598" s="105"/>
      <c r="HG598" s="105"/>
      <c r="HH598" s="105"/>
      <c r="IV598"/>
    </row>
    <row r="599" spans="184:256" s="2" customFormat="1">
      <c r="GB599" s="2002" t="s">
        <v>852</v>
      </c>
      <c r="GC599" s="2011">
        <v>511.93799999999999</v>
      </c>
      <c r="GD599" s="2011">
        <v>511.93799999999999</v>
      </c>
      <c r="GE599" s="2012">
        <v>511.93799999999999</v>
      </c>
      <c r="GV599" s="1062"/>
      <c r="GW599" s="1062"/>
      <c r="GX599" s="1062"/>
      <c r="GY599" s="1062"/>
      <c r="HC599" s="105"/>
      <c r="HD599" s="105"/>
      <c r="HE599" s="105"/>
      <c r="HF599" s="105"/>
      <c r="HG599" s="105"/>
      <c r="HH599" s="105"/>
      <c r="IV599"/>
    </row>
    <row r="600" spans="184:256" s="2" customFormat="1" ht="3.95" customHeight="1">
      <c r="GB600" s="59"/>
      <c r="GC600" s="61"/>
      <c r="GD600" s="61"/>
      <c r="GE600" s="60"/>
      <c r="GV600" s="1062"/>
      <c r="GW600" s="1062"/>
      <c r="GX600" s="1062"/>
      <c r="GY600" s="1062"/>
      <c r="HC600" s="105"/>
      <c r="HD600" s="105"/>
      <c r="HE600" s="105"/>
      <c r="HF600" s="105"/>
      <c r="HG600" s="105"/>
      <c r="HH600" s="105"/>
      <c r="IV600"/>
    </row>
    <row r="601" spans="184:256" s="1181" customFormat="1">
      <c r="GB601" s="2009" t="s">
        <v>853</v>
      </c>
      <c r="GC601" s="1639">
        <f>+GC596*GC597*GC598/GC599</f>
        <v>0.1191338969442256</v>
      </c>
      <c r="GD601" s="1639">
        <f>+GD596*GD597*GD598/GD599</f>
        <v>0.27234057171631293</v>
      </c>
      <c r="GE601" s="1640">
        <f>+GE596*GE597*GE598/GE599</f>
        <v>0.64460379330369533</v>
      </c>
      <c r="GV601" s="2216"/>
      <c r="GW601" s="2216"/>
      <c r="GX601" s="2216"/>
      <c r="GY601" s="2216"/>
      <c r="HC601" s="105"/>
      <c r="HD601" s="105"/>
      <c r="HE601" s="105"/>
      <c r="HF601" s="105"/>
      <c r="HG601" s="105"/>
      <c r="HH601" s="105"/>
      <c r="IV601"/>
    </row>
    <row r="602" spans="184:256" s="2" customFormat="1">
      <c r="GF602" s="1" t="s">
        <v>1554</v>
      </c>
      <c r="GV602" s="1062"/>
      <c r="GW602" s="1062"/>
      <c r="GX602" s="1062"/>
      <c r="GY602" s="1062"/>
      <c r="HC602" s="105"/>
      <c r="HD602" s="105"/>
      <c r="HE602" s="105"/>
      <c r="HF602" s="105"/>
      <c r="HG602" s="105"/>
      <c r="HH602" s="105"/>
      <c r="IV602"/>
    </row>
    <row r="603" spans="184:256" s="2" customFormat="1">
      <c r="GF603" s="2" t="s">
        <v>855</v>
      </c>
      <c r="GG603" s="113">
        <v>263</v>
      </c>
      <c r="GV603" s="1062"/>
      <c r="GW603" s="1062"/>
      <c r="GX603" s="1062"/>
      <c r="GY603" s="1062"/>
      <c r="HC603" s="105"/>
      <c r="HD603" s="105"/>
      <c r="HE603" s="105"/>
      <c r="HF603" s="105"/>
      <c r="HG603" s="105"/>
      <c r="HH603" s="105"/>
      <c r="IV603"/>
    </row>
    <row r="604" spans="184:256" s="2" customFormat="1">
      <c r="GF604" s="2" t="s">
        <v>856</v>
      </c>
      <c r="GG604" s="2">
        <v>146</v>
      </c>
      <c r="GV604" s="1062"/>
      <c r="GW604" s="1062"/>
      <c r="GX604" s="1062"/>
      <c r="GY604" s="1062"/>
      <c r="HC604" s="105"/>
      <c r="HD604" s="105"/>
      <c r="HE604" s="105"/>
      <c r="HF604" s="105"/>
      <c r="HG604" s="105"/>
      <c r="HH604" s="105"/>
      <c r="IV604"/>
    </row>
    <row r="605" spans="184:256" s="2" customFormat="1">
      <c r="GF605" s="2" t="s">
        <v>857</v>
      </c>
      <c r="GG605" s="2">
        <v>73</v>
      </c>
      <c r="GV605" s="1062"/>
      <c r="GW605" s="1062"/>
      <c r="GX605" s="1062"/>
      <c r="GY605" s="1062"/>
      <c r="HC605" s="105"/>
      <c r="HD605" s="105"/>
      <c r="HE605" s="105"/>
      <c r="HF605" s="105"/>
      <c r="HG605" s="105"/>
      <c r="HH605" s="105"/>
      <c r="IV605"/>
    </row>
    <row r="606" spans="184:256" s="2" customFormat="1">
      <c r="GF606" s="2" t="s">
        <v>858</v>
      </c>
      <c r="GG606" s="2">
        <v>76</v>
      </c>
      <c r="GV606" s="1062"/>
      <c r="GW606" s="1062"/>
      <c r="GX606" s="1062"/>
      <c r="GY606" s="1062"/>
      <c r="HC606" s="105"/>
      <c r="HD606" s="105"/>
      <c r="HE606" s="105"/>
      <c r="HF606" s="105"/>
      <c r="HG606" s="105"/>
      <c r="HH606" s="105"/>
      <c r="IV606"/>
    </row>
    <row r="607" spans="184:256" s="2" customFormat="1">
      <c r="GF607" s="2" t="s">
        <v>859</v>
      </c>
      <c r="GG607" s="2">
        <v>58</v>
      </c>
      <c r="GV607" s="1062"/>
      <c r="GW607" s="1062"/>
      <c r="GX607" s="1062"/>
      <c r="GY607" s="1062"/>
      <c r="HC607" s="105"/>
      <c r="HD607" s="105"/>
      <c r="HE607" s="105"/>
      <c r="HF607" s="105"/>
      <c r="HG607" s="105"/>
      <c r="HH607" s="105"/>
      <c r="IV607"/>
    </row>
    <row r="608" spans="184:256" s="2" customFormat="1">
      <c r="GF608" s="2" t="s">
        <v>860</v>
      </c>
      <c r="GG608" s="2">
        <v>21</v>
      </c>
      <c r="GV608" s="1062"/>
      <c r="GW608" s="1062"/>
      <c r="GX608" s="1062"/>
      <c r="GY608" s="1062"/>
      <c r="HC608" s="105"/>
      <c r="HD608" s="105"/>
      <c r="HE608" s="105"/>
      <c r="HF608" s="105"/>
      <c r="HG608" s="105"/>
      <c r="HH608" s="105"/>
      <c r="IV608"/>
    </row>
    <row r="609" spans="204:256" s="2" customFormat="1">
      <c r="GV609" s="1062"/>
      <c r="GW609" s="1062"/>
      <c r="GX609" s="1062"/>
      <c r="GY609" s="1062"/>
      <c r="HC609" s="105"/>
      <c r="HD609" s="105"/>
      <c r="HE609" s="105"/>
      <c r="HF609" s="105"/>
      <c r="HG609" s="105"/>
      <c r="HH609" s="105"/>
      <c r="IV609"/>
    </row>
    <row r="610" spans="204:256" s="2" customFormat="1">
      <c r="GV610" s="1062"/>
      <c r="GW610" s="1062"/>
      <c r="GX610" s="1062"/>
      <c r="GY610" s="1062"/>
      <c r="HC610" s="105"/>
      <c r="HD610" s="105"/>
      <c r="HE610" s="105"/>
      <c r="HF610" s="105"/>
      <c r="HG610" s="105"/>
      <c r="HH610" s="105"/>
      <c r="IV610"/>
    </row>
    <row r="611" spans="204:256" s="2" customFormat="1">
      <c r="GV611" s="1062"/>
      <c r="GW611" s="1062"/>
      <c r="GX611" s="1062"/>
      <c r="GY611" s="1062"/>
      <c r="HC611" s="105"/>
      <c r="HD611" s="105"/>
      <c r="HE611" s="105"/>
      <c r="HF611" s="105"/>
      <c r="HG611" s="105"/>
      <c r="HH611" s="105"/>
      <c r="IV611"/>
    </row>
    <row r="612" spans="204:256" s="2" customFormat="1">
      <c r="GV612" s="1062"/>
      <c r="GW612" s="1062"/>
      <c r="GX612" s="1062"/>
      <c r="GY612" s="1062"/>
      <c r="HC612" s="105"/>
      <c r="HD612" s="105"/>
      <c r="HE612" s="105"/>
      <c r="HF612" s="105"/>
      <c r="HG612" s="105"/>
      <c r="HH612" s="105"/>
      <c r="IV612"/>
    </row>
    <row r="613" spans="204:256" s="2" customFormat="1">
      <c r="GV613" s="1062"/>
      <c r="GW613" s="1062"/>
      <c r="GX613" s="1062"/>
      <c r="GY613" s="1062"/>
      <c r="HC613" s="105"/>
      <c r="HD613" s="105"/>
      <c r="HE613" s="105"/>
      <c r="HF613" s="105"/>
      <c r="HG613" s="105"/>
      <c r="HH613" s="105"/>
      <c r="IV613"/>
    </row>
    <row r="614" spans="204:256" s="2" customFormat="1">
      <c r="GV614" s="1062"/>
      <c r="GW614" s="1062"/>
      <c r="GX614" s="1062"/>
      <c r="GY614" s="1062"/>
      <c r="HC614" s="105"/>
      <c r="HD614" s="105"/>
      <c r="HE614" s="105"/>
      <c r="HF614" s="105"/>
      <c r="HG614" s="105"/>
      <c r="HH614" s="105"/>
      <c r="IV614"/>
    </row>
    <row r="615" spans="204:256" s="2" customFormat="1">
      <c r="GV615" s="1062"/>
      <c r="GW615" s="1062"/>
      <c r="GX615" s="1062"/>
      <c r="GY615" s="1062"/>
      <c r="HC615" s="105"/>
      <c r="HD615" s="105"/>
      <c r="HE615" s="105"/>
      <c r="HF615" s="105"/>
      <c r="HG615" s="105"/>
      <c r="HH615" s="105"/>
      <c r="IV615"/>
    </row>
    <row r="616" spans="204:256" s="2" customFormat="1">
      <c r="GV616" s="1062"/>
      <c r="GW616" s="1062"/>
      <c r="GX616" s="1062"/>
      <c r="GY616" s="1062"/>
      <c r="HC616" s="105"/>
      <c r="HD616" s="105"/>
      <c r="HE616" s="105"/>
      <c r="HF616" s="105"/>
      <c r="HG616" s="105"/>
      <c r="HH616" s="105"/>
      <c r="IV616"/>
    </row>
    <row r="617" spans="204:256" s="2" customFormat="1">
      <c r="GV617" s="1062"/>
      <c r="GW617" s="1062"/>
      <c r="GX617" s="1062"/>
      <c r="GY617" s="1062"/>
      <c r="HC617" s="105"/>
      <c r="HD617" s="105"/>
      <c r="HE617" s="105"/>
      <c r="HF617" s="105"/>
      <c r="HG617" s="105"/>
      <c r="HH617" s="105"/>
      <c r="IV617"/>
    </row>
    <row r="618" spans="204:256" s="2" customFormat="1">
      <c r="GV618" s="1062"/>
      <c r="GW618" s="1062"/>
      <c r="GX618" s="1062"/>
      <c r="GY618" s="1062"/>
      <c r="HC618" s="105"/>
      <c r="HD618" s="105"/>
      <c r="HE618" s="105"/>
      <c r="HF618" s="105"/>
      <c r="HG618" s="105"/>
      <c r="HH618" s="105"/>
      <c r="IV618"/>
    </row>
    <row r="619" spans="204:256" s="2" customFormat="1">
      <c r="GV619" s="1062"/>
      <c r="GW619" s="1062"/>
      <c r="GX619" s="1062"/>
      <c r="GY619" s="1062"/>
      <c r="HC619" s="105"/>
      <c r="HD619" s="105"/>
      <c r="HE619" s="105"/>
      <c r="HF619" s="105"/>
      <c r="HG619" s="105"/>
      <c r="HH619" s="105"/>
      <c r="IV619"/>
    </row>
    <row r="620" spans="204:256" s="2" customFormat="1">
      <c r="GV620" s="1062"/>
      <c r="GW620" s="1062"/>
      <c r="GX620" s="1062"/>
      <c r="GY620" s="1062"/>
      <c r="HC620" s="105"/>
      <c r="HD620" s="105"/>
      <c r="HE620" s="105"/>
      <c r="HF620" s="105"/>
      <c r="HG620" s="105"/>
      <c r="HH620" s="105"/>
      <c r="IV620"/>
    </row>
    <row r="621" spans="204:256" s="2" customFormat="1">
      <c r="GV621" s="1062"/>
      <c r="GW621" s="1062"/>
      <c r="GX621" s="1062"/>
      <c r="GY621" s="1062"/>
      <c r="HC621" s="105"/>
      <c r="HD621" s="105"/>
      <c r="HE621" s="105"/>
      <c r="HF621" s="105"/>
      <c r="HG621" s="105"/>
      <c r="HH621" s="105"/>
      <c r="IV621"/>
    </row>
    <row r="622" spans="204:256" s="2" customFormat="1">
      <c r="GV622" s="1062"/>
      <c r="GW622" s="1062"/>
      <c r="GX622" s="1062"/>
      <c r="GY622" s="1062"/>
      <c r="HC622" s="105"/>
      <c r="HD622" s="105"/>
      <c r="HE622" s="105"/>
      <c r="HF622" s="105"/>
      <c r="HG622" s="105"/>
      <c r="HH622" s="105"/>
      <c r="IV622"/>
    </row>
    <row r="623" spans="204:256" s="2" customFormat="1">
      <c r="GV623" s="1062"/>
      <c r="GW623" s="1062"/>
      <c r="GX623" s="1062"/>
      <c r="GY623" s="1062"/>
      <c r="HC623" s="105"/>
      <c r="HD623" s="105"/>
      <c r="HE623" s="105"/>
      <c r="HF623" s="105"/>
      <c r="HG623" s="105"/>
      <c r="HH623" s="105"/>
      <c r="IV623"/>
    </row>
    <row r="624" spans="204:256" s="2" customFormat="1">
      <c r="GV624" s="1062"/>
      <c r="GW624" s="1062"/>
      <c r="GX624" s="1062"/>
      <c r="GY624" s="1062"/>
      <c r="HC624" s="105"/>
      <c r="HD624" s="105"/>
      <c r="HE624" s="105"/>
      <c r="HF624" s="105"/>
      <c r="HG624" s="105"/>
      <c r="HH624" s="105"/>
      <c r="IV624"/>
    </row>
    <row r="625" spans="200:256" s="2" customFormat="1">
      <c r="GV625" s="1062"/>
      <c r="GW625" s="1062"/>
      <c r="GX625" s="1062"/>
      <c r="GY625" s="1062"/>
      <c r="HC625" s="105"/>
      <c r="HD625" s="105"/>
      <c r="HE625" s="105"/>
      <c r="HF625" s="105"/>
      <c r="HG625" s="105"/>
      <c r="HH625" s="105"/>
      <c r="IV625"/>
    </row>
    <row r="626" spans="200:256" s="2" customFormat="1">
      <c r="GV626" s="1062"/>
      <c r="GW626" s="1062"/>
      <c r="GX626" s="1062"/>
      <c r="GY626" s="1062"/>
      <c r="HC626" s="105"/>
      <c r="HD626" s="105"/>
      <c r="HE626" s="105"/>
      <c r="HF626" s="105"/>
      <c r="HG626" s="105"/>
      <c r="HH626" s="105"/>
      <c r="IV626"/>
    </row>
    <row r="627" spans="200:256" s="2" customFormat="1">
      <c r="GV627" s="1062"/>
      <c r="GW627" s="1062"/>
      <c r="GX627" s="1062"/>
      <c r="GY627" s="1062"/>
      <c r="HC627" s="105"/>
      <c r="HD627" s="105"/>
      <c r="HE627" s="105"/>
      <c r="HF627" s="105"/>
      <c r="HG627" s="105"/>
      <c r="HH627" s="105"/>
      <c r="IV627"/>
    </row>
    <row r="628" spans="200:256" s="2" customFormat="1">
      <c r="GV628" s="1062"/>
      <c r="GW628" s="1062"/>
      <c r="GX628" s="1062"/>
      <c r="GY628" s="1062"/>
      <c r="HC628" s="105"/>
      <c r="HD628" s="105"/>
      <c r="HE628" s="105"/>
      <c r="HF628" s="105"/>
      <c r="HG628" s="105"/>
      <c r="HH628" s="105"/>
      <c r="IV628"/>
    </row>
    <row r="629" spans="200:256" s="2" customFormat="1">
      <c r="GV629" s="1062"/>
      <c r="GW629" s="1062"/>
      <c r="GX629" s="1062"/>
      <c r="GY629" s="1062"/>
      <c r="HC629" s="105"/>
      <c r="HD629" s="105"/>
      <c r="HE629" s="105"/>
      <c r="HF629" s="105"/>
      <c r="HG629" s="105"/>
      <c r="HH629" s="105"/>
      <c r="IV629"/>
    </row>
    <row r="630" spans="200:256" s="2" customFormat="1">
      <c r="GV630" s="1062"/>
      <c r="GW630" s="1062"/>
      <c r="GX630" s="1062"/>
      <c r="GY630" s="1062"/>
      <c r="HC630" s="105"/>
      <c r="HD630" s="105"/>
      <c r="HE630" s="105"/>
      <c r="HF630" s="105"/>
      <c r="HG630" s="105"/>
      <c r="HH630" s="105"/>
      <c r="IV630"/>
    </row>
    <row r="631" spans="200:256" s="2" customFormat="1">
      <c r="GV631" s="1062"/>
      <c r="GW631" s="1062"/>
      <c r="GX631" s="1062"/>
      <c r="GY631" s="1062"/>
      <c r="HC631" s="105"/>
      <c r="HD631" s="105"/>
      <c r="HE631" s="105"/>
      <c r="HF631" s="105"/>
      <c r="HG631" s="105"/>
      <c r="HH631" s="105"/>
      <c r="IV631"/>
    </row>
    <row r="632" spans="200:256" s="2" customFormat="1">
      <c r="GV632" s="1062"/>
      <c r="GW632" s="1062"/>
      <c r="GX632" s="1062"/>
      <c r="GY632" s="1062"/>
      <c r="HC632" s="105"/>
      <c r="HD632" s="105"/>
      <c r="HE632" s="105"/>
      <c r="HF632" s="105"/>
      <c r="HG632" s="105"/>
      <c r="HH632" s="105"/>
      <c r="IV632"/>
    </row>
    <row r="633" spans="200:256" s="2" customFormat="1">
      <c r="GV633" s="1062"/>
      <c r="GW633" s="1062"/>
      <c r="GX633" s="1062"/>
      <c r="GY633" s="1062"/>
      <c r="HC633" s="105"/>
      <c r="HD633" s="105"/>
      <c r="HE633" s="105"/>
      <c r="HF633" s="105"/>
      <c r="HG633" s="105"/>
      <c r="HH633" s="105"/>
      <c r="IV633"/>
    </row>
    <row r="634" spans="200:256" s="2" customFormat="1">
      <c r="GV634" s="1062"/>
      <c r="GW634" s="1062"/>
      <c r="GX634" s="1062"/>
      <c r="GY634" s="1062"/>
      <c r="HC634" s="105"/>
      <c r="HD634" s="105"/>
      <c r="HE634" s="105"/>
      <c r="HF634" s="105"/>
      <c r="HG634" s="105"/>
      <c r="HH634" s="105"/>
      <c r="IV634"/>
    </row>
    <row r="635" spans="200:256" s="2" customFormat="1">
      <c r="GV635" s="1062"/>
      <c r="GW635" s="1062"/>
      <c r="GX635" s="1062"/>
      <c r="GY635" s="1062"/>
      <c r="HC635" s="105"/>
      <c r="HD635" s="105"/>
      <c r="HE635" s="105"/>
      <c r="HF635" s="105"/>
      <c r="HG635" s="105"/>
      <c r="HH635" s="105"/>
      <c r="IV635"/>
    </row>
    <row r="636" spans="200:256" s="2" customFormat="1">
      <c r="GV636" s="1062"/>
      <c r="GW636" s="1062"/>
      <c r="GX636" s="1062"/>
      <c r="GY636" s="1062"/>
      <c r="HC636" s="105"/>
      <c r="HD636" s="105"/>
      <c r="HE636" s="105"/>
      <c r="HF636" s="105"/>
      <c r="HG636" s="105"/>
      <c r="HH636" s="105"/>
      <c r="IV636"/>
    </row>
    <row r="637" spans="200:256" s="2" customFormat="1">
      <c r="GR637" s="1" t="s">
        <v>926</v>
      </c>
      <c r="GV637" s="1062"/>
      <c r="GW637" s="1062"/>
      <c r="GX637" s="1062"/>
      <c r="GY637" s="1062"/>
      <c r="HC637" s="105"/>
      <c r="HD637" s="105"/>
      <c r="HE637" s="105"/>
      <c r="HF637" s="105"/>
      <c r="HG637" s="105"/>
      <c r="HH637" s="105"/>
      <c r="IV637"/>
    </row>
    <row r="638" spans="200:256" s="2" customFormat="1">
      <c r="GR638" s="147" t="s">
        <v>843</v>
      </c>
      <c r="GS638" s="2464" t="s">
        <v>1205</v>
      </c>
      <c r="GT638" s="2464" t="s">
        <v>871</v>
      </c>
      <c r="GU638" s="2465" t="s">
        <v>1204</v>
      </c>
      <c r="GV638" s="185"/>
      <c r="GW638" s="185"/>
      <c r="GX638" s="185"/>
      <c r="GY638" s="185"/>
      <c r="HC638" s="105"/>
      <c r="HD638" s="105"/>
      <c r="HE638" s="105"/>
      <c r="HF638" s="105"/>
      <c r="HG638" s="105"/>
      <c r="HH638" s="105"/>
      <c r="IV638"/>
    </row>
    <row r="639" spans="200:256" s="2" customFormat="1">
      <c r="GR639" s="59" t="s">
        <v>1622</v>
      </c>
      <c r="GS639" s="2174">
        <v>1474.2893025552999</v>
      </c>
      <c r="GT639" s="2174">
        <v>3491.6723288209005</v>
      </c>
      <c r="GU639" s="2175">
        <v>5342.8206832657997</v>
      </c>
      <c r="GV639" s="2174"/>
      <c r="GW639" s="2174"/>
      <c r="GX639" s="2174"/>
      <c r="GY639" s="2174"/>
      <c r="HC639" s="105"/>
      <c r="HD639" s="105"/>
      <c r="HE639" s="105"/>
      <c r="HF639" s="105"/>
      <c r="HG639" s="105"/>
      <c r="HH639" s="105"/>
      <c r="IV639"/>
    </row>
    <row r="640" spans="200:256" s="2" customFormat="1">
      <c r="GR640" s="2002" t="s">
        <v>1334</v>
      </c>
      <c r="GS640" s="2174">
        <f>2341.79735258632-GS641</f>
        <v>1972.8128805366305</v>
      </c>
      <c r="GT640" s="2463">
        <f>+BYD!BU777</f>
        <v>168.15</v>
      </c>
      <c r="GU640" s="2175">
        <f>3966.0607657751-GU641</f>
        <v>3167.4675980732368</v>
      </c>
      <c r="GV640" s="2174"/>
      <c r="GW640" s="2174"/>
      <c r="GX640" s="2174"/>
      <c r="GY640" s="2174"/>
      <c r="HC640" s="105"/>
      <c r="HD640" s="105"/>
      <c r="HE640" s="105"/>
      <c r="HF640" s="105"/>
      <c r="HG640" s="105"/>
      <c r="HH640" s="105"/>
      <c r="IV640"/>
    </row>
    <row r="641" spans="198:256" s="2" customFormat="1">
      <c r="GR641" s="2002" t="s">
        <v>927</v>
      </c>
      <c r="GS641" s="193">
        <f>+GC565</f>
        <v>368.98447204968943</v>
      </c>
      <c r="GT641" s="2463">
        <f>+GD565</f>
        <v>482</v>
      </c>
      <c r="GU641" s="2466">
        <f>+GE565</f>
        <v>798.59316770186342</v>
      </c>
      <c r="GV641" s="193"/>
      <c r="GW641" s="193"/>
      <c r="GX641" s="193"/>
      <c r="GY641" s="193"/>
      <c r="HC641" s="105"/>
      <c r="HD641" s="105"/>
      <c r="HE641" s="105"/>
      <c r="HF641" s="105"/>
      <c r="HG641" s="105"/>
      <c r="HH641" s="105"/>
      <c r="IV641"/>
    </row>
    <row r="642" spans="198:256" s="2" customFormat="1">
      <c r="GR642" s="59"/>
      <c r="GS642" s="77"/>
      <c r="GT642" s="77"/>
      <c r="GU642" s="2467"/>
      <c r="GV642" s="77"/>
      <c r="GW642" s="77"/>
      <c r="GX642" s="77"/>
      <c r="GY642" s="77"/>
      <c r="HC642" s="105"/>
      <c r="HD642" s="105"/>
      <c r="HE642" s="105"/>
      <c r="HF642" s="105"/>
      <c r="HG642" s="105"/>
      <c r="HH642" s="105"/>
      <c r="IV642"/>
    </row>
    <row r="643" spans="198:256" s="2" customFormat="1">
      <c r="GR643" s="59" t="s">
        <v>938</v>
      </c>
      <c r="GS643" s="807">
        <f>+GS649/GS639</f>
        <v>0.18183542843815653</v>
      </c>
      <c r="GT643" s="807">
        <f>+GT649/GT639</f>
        <v>4.9921904569033865E-2</v>
      </c>
      <c r="GU643" s="2468">
        <f>+GU649/GU639</f>
        <v>0.23642648410790934</v>
      </c>
      <c r="GV643" s="807"/>
      <c r="GW643" s="807"/>
      <c r="GX643" s="807"/>
      <c r="GY643" s="807"/>
      <c r="HC643" s="105"/>
      <c r="HD643" s="105"/>
      <c r="HE643" s="105"/>
      <c r="HF643" s="105"/>
      <c r="HG643" s="105"/>
      <c r="HH643" s="105"/>
      <c r="IV643"/>
    </row>
    <row r="644" spans="198:256" s="2" customFormat="1">
      <c r="GR644" s="2002" t="s">
        <v>1621</v>
      </c>
      <c r="GS644" s="2176">
        <f>+GT644-0.05</f>
        <v>0.15104997188467606</v>
      </c>
      <c r="GT644" s="807">
        <f>+BYD!BU782</f>
        <v>0.20104997188467608</v>
      </c>
      <c r="GU644" s="2177">
        <f>+GT644+0.05</f>
        <v>0.25104997188467609</v>
      </c>
      <c r="GV644" s="2176"/>
      <c r="GW644" s="2176"/>
      <c r="GX644" s="2176"/>
      <c r="GY644" s="2176"/>
      <c r="HC644" s="105"/>
      <c r="HD644" s="105"/>
      <c r="HE644" s="105"/>
      <c r="HF644" s="105"/>
      <c r="HG644" s="105"/>
      <c r="HH644" s="105"/>
      <c r="IV644"/>
    </row>
    <row r="645" spans="198:256" s="2" customFormat="1">
      <c r="GR645" s="2002" t="s">
        <v>1335</v>
      </c>
      <c r="GS645" s="2176">
        <f>+GT645-0.05</f>
        <v>4.081918327244681E-2</v>
      </c>
      <c r="GT645" s="807">
        <f>+BYD!BU783</f>
        <v>9.0819183272446813E-2</v>
      </c>
      <c r="GU645" s="2177">
        <f>+GT645+5%</f>
        <v>0.1408191832724468</v>
      </c>
      <c r="GV645" s="2176"/>
      <c r="GW645" s="2176"/>
      <c r="GX645" s="2176"/>
      <c r="GY645" s="2176"/>
      <c r="HC645" s="105"/>
      <c r="HD645" s="105"/>
      <c r="HE645" s="105"/>
      <c r="HF645" s="105"/>
      <c r="HG645" s="105"/>
      <c r="HH645" s="105"/>
      <c r="IV645"/>
    </row>
    <row r="646" spans="198:256" s="2" customFormat="1">
      <c r="GR646" s="2002" t="s">
        <v>1337</v>
      </c>
      <c r="GS646" s="2176">
        <f>+GT646-0.05</f>
        <v>9.9999999999999992E-2</v>
      </c>
      <c r="GT646" s="807">
        <f>+BYD!BU826</f>
        <v>0.15</v>
      </c>
      <c r="GU646" s="2177">
        <f>+GT646+5%</f>
        <v>0.2</v>
      </c>
      <c r="GV646" s="2176"/>
      <c r="GW646" s="2176"/>
      <c r="GX646" s="2176"/>
      <c r="GY646" s="2176"/>
      <c r="HC646" s="105"/>
      <c r="HD646" s="105"/>
      <c r="HE646" s="105"/>
      <c r="HF646" s="105"/>
      <c r="HG646" s="105"/>
      <c r="HH646" s="105"/>
      <c r="IV646"/>
    </row>
    <row r="647" spans="198:256" s="2" customFormat="1">
      <c r="GR647" s="2002" t="s">
        <v>1336</v>
      </c>
      <c r="GS647" s="2176">
        <f>+GT647-0.05</f>
        <v>0</v>
      </c>
      <c r="GT647" s="807">
        <f>+BYD!BU845</f>
        <v>0.05</v>
      </c>
      <c r="GU647" s="2177">
        <f>+GT647+5%</f>
        <v>0.1</v>
      </c>
      <c r="GV647" s="2176"/>
      <c r="GW647" s="2176"/>
      <c r="GX647" s="2176"/>
      <c r="GY647" s="2176"/>
      <c r="HC647" s="105"/>
      <c r="HD647" s="105"/>
      <c r="HE647" s="105"/>
      <c r="HF647" s="105"/>
      <c r="HG647" s="105"/>
      <c r="HH647" s="105"/>
      <c r="IV647"/>
    </row>
    <row r="648" spans="198:256" s="2" customFormat="1">
      <c r="GR648" s="59"/>
      <c r="GS648" s="77"/>
      <c r="GT648" s="77"/>
      <c r="GU648" s="2467"/>
      <c r="GV648" s="77"/>
      <c r="GW648" s="77"/>
      <c r="GX648" s="77"/>
      <c r="GY648" s="77"/>
      <c r="HC648" s="105"/>
      <c r="HD648" s="105"/>
      <c r="HE648" s="105"/>
      <c r="HF648" s="105"/>
      <c r="HG648" s="105"/>
      <c r="HH648" s="105"/>
      <c r="IV648"/>
    </row>
    <row r="649" spans="198:256" s="2" customFormat="1">
      <c r="GP649" s="2" t="s">
        <v>565</v>
      </c>
      <c r="GR649" s="59" t="s">
        <v>1623</v>
      </c>
      <c r="GS649" s="193">
        <f>+SUM(GS650:GS653)</f>
        <v>268.07802697193392</v>
      </c>
      <c r="GT649" s="193">
        <f>+SUM(GT650:GT653)</f>
        <v>174.31093278573323</v>
      </c>
      <c r="GU649" s="2466">
        <f>+SUM(GU650:GU653)</f>
        <v>1263.1843093635509</v>
      </c>
      <c r="GV649" s="193"/>
      <c r="GW649" s="193"/>
      <c r="GX649" s="193"/>
      <c r="GY649" s="193"/>
      <c r="HC649" s="105"/>
      <c r="HD649" s="105"/>
      <c r="HE649" s="105"/>
      <c r="HF649" s="105"/>
      <c r="HG649" s="105"/>
      <c r="HH649" s="105"/>
      <c r="IV649"/>
    </row>
    <row r="650" spans="198:256" s="2" customFormat="1">
      <c r="GP650" s="105">
        <f>+GT650/$GT$639</f>
        <v>2.7753488106124206E-2</v>
      </c>
      <c r="GR650" s="2002" t="s">
        <v>280</v>
      </c>
      <c r="GS650" s="77">
        <f t="shared" ref="GS650:GU651" si="47">+GS644*GS$641</f>
        <v>55.735094128987626</v>
      </c>
      <c r="GT650" s="77">
        <f t="shared" si="47"/>
        <v>96.906086448413873</v>
      </c>
      <c r="GU650" s="2467">
        <f t="shared" si="47"/>
        <v>200.48679229884723</v>
      </c>
      <c r="GV650" s="77"/>
      <c r="GW650" s="77"/>
      <c r="GX650" s="77"/>
      <c r="GY650" s="77"/>
      <c r="HC650" s="105"/>
      <c r="HD650" s="105"/>
      <c r="HE650" s="105"/>
      <c r="HF650" s="105"/>
      <c r="HG650" s="105"/>
      <c r="HH650" s="105"/>
      <c r="IV650"/>
    </row>
    <row r="651" spans="198:256" s="2" customFormat="1">
      <c r="GP651" s="105">
        <f>+GT651/$GT$639</f>
        <v>1.253692850156465E-2</v>
      </c>
      <c r="GR651" s="2002" t="s">
        <v>1342</v>
      </c>
      <c r="GS651" s="77">
        <f t="shared" si="47"/>
        <v>15.061644789283301</v>
      </c>
      <c r="GT651" s="77">
        <f t="shared" si="47"/>
        <v>43.774846337319367</v>
      </c>
      <c r="GU651" s="2467">
        <f t="shared" si="47"/>
        <v>112.45723764273255</v>
      </c>
      <c r="GV651" s="77"/>
      <c r="GW651" s="77"/>
      <c r="GX651" s="77"/>
      <c r="GY651" s="77"/>
      <c r="HC651" s="105"/>
      <c r="HD651" s="105"/>
      <c r="HE651" s="105"/>
      <c r="HF651" s="105"/>
      <c r="HG651" s="105"/>
      <c r="HH651" s="105"/>
      <c r="IV651"/>
    </row>
    <row r="652" spans="198:256" s="2" customFormat="1">
      <c r="GP652" s="105">
        <f>+GT652/$GT$639</f>
        <v>7.2236159710087578E-3</v>
      </c>
      <c r="GR652" s="2002" t="s">
        <v>1343</v>
      </c>
      <c r="GS652" s="77">
        <f>+GS646*(GS$640)</f>
        <v>197.28128805366302</v>
      </c>
      <c r="GT652" s="77">
        <f>+GT646*(GT$640)</f>
        <v>25.2225</v>
      </c>
      <c r="GU652" s="2467">
        <f>+GU646*(GU$640)</f>
        <v>633.49351961464743</v>
      </c>
      <c r="GV652" s="77"/>
      <c r="GW652" s="77"/>
      <c r="GX652" s="77"/>
      <c r="GY652" s="77"/>
      <c r="HC652" s="105"/>
      <c r="HD652" s="105"/>
      <c r="HE652" s="105"/>
      <c r="HF652" s="105"/>
      <c r="HG652" s="105"/>
      <c r="HH652" s="105"/>
      <c r="IV652"/>
    </row>
    <row r="653" spans="198:256" s="2" customFormat="1">
      <c r="GP653" s="105">
        <f>+GT653/$GT$639</f>
        <v>2.4078719903362529E-3</v>
      </c>
      <c r="GR653" s="2002" t="s">
        <v>1344</v>
      </c>
      <c r="GS653" s="77">
        <f>+GS647*GS$640</f>
        <v>0</v>
      </c>
      <c r="GT653" s="77">
        <f>+GT647*GT$640</f>
        <v>8.4075000000000006</v>
      </c>
      <c r="GU653" s="2467">
        <f>+GU647*GU$640</f>
        <v>316.74675980732371</v>
      </c>
      <c r="GV653" s="77"/>
      <c r="GW653" s="77"/>
      <c r="GX653" s="77"/>
      <c r="GY653" s="77"/>
      <c r="HC653" s="105"/>
      <c r="HD653" s="105"/>
      <c r="HE653" s="105"/>
      <c r="HF653" s="105"/>
      <c r="HG653" s="105"/>
      <c r="HH653" s="105"/>
      <c r="IV653"/>
    </row>
    <row r="654" spans="198:256" s="2" customFormat="1">
      <c r="GR654" s="59"/>
      <c r="GS654" s="77"/>
      <c r="GT654" s="77"/>
      <c r="GU654" s="2467"/>
      <c r="GV654" s="77"/>
      <c r="GW654" s="77"/>
      <c r="GX654" s="77"/>
      <c r="GY654" s="77"/>
      <c r="HC654" s="105"/>
      <c r="HD654" s="105"/>
      <c r="HE654" s="105"/>
      <c r="HF654" s="105"/>
      <c r="HG654" s="105"/>
      <c r="HH654" s="105"/>
      <c r="IV654"/>
    </row>
    <row r="655" spans="198:256" s="2" customFormat="1">
      <c r="GR655" s="59" t="s">
        <v>1340</v>
      </c>
      <c r="GS655" s="2176">
        <f>+GT655</f>
        <v>0.25</v>
      </c>
      <c r="GT655" s="807">
        <f>+BYD!BU812</f>
        <v>0.25</v>
      </c>
      <c r="GU655" s="2177">
        <f>+GT655</f>
        <v>0.25</v>
      </c>
      <c r="GV655" s="2176"/>
      <c r="GW655" s="2176"/>
      <c r="GX655" s="2176"/>
      <c r="GY655" s="2176"/>
      <c r="HC655" s="105"/>
      <c r="HD655" s="105"/>
      <c r="HE655" s="105"/>
      <c r="HF655" s="105"/>
      <c r="HG655" s="105"/>
      <c r="HH655" s="105"/>
      <c r="IV655"/>
    </row>
    <row r="656" spans="198:256" s="2" customFormat="1">
      <c r="GR656" s="59" t="s">
        <v>1341</v>
      </c>
      <c r="GS656" s="2176">
        <f>+GT656</f>
        <v>0.25</v>
      </c>
      <c r="GT656" s="807">
        <f>+BYD!BU813</f>
        <v>0.25</v>
      </c>
      <c r="GU656" s="2177">
        <f>+GT656</f>
        <v>0.25</v>
      </c>
      <c r="GV656" s="2176"/>
      <c r="GW656" s="2176"/>
      <c r="GX656" s="2176"/>
      <c r="GY656" s="2176"/>
      <c r="HC656" s="105"/>
      <c r="HD656" s="105"/>
      <c r="HE656" s="105"/>
      <c r="HF656" s="105"/>
      <c r="HG656" s="105"/>
      <c r="HH656" s="105"/>
      <c r="IV656"/>
    </row>
    <row r="657" spans="198:256" s="2" customFormat="1">
      <c r="GR657" s="59"/>
      <c r="GS657" s="77"/>
      <c r="GT657" s="77"/>
      <c r="GU657" s="2467"/>
      <c r="GV657" s="77"/>
      <c r="GW657" s="77"/>
      <c r="GX657" s="77"/>
      <c r="GY657" s="77"/>
      <c r="HC657" s="105"/>
      <c r="HD657" s="105"/>
      <c r="HE657" s="105"/>
      <c r="HF657" s="105"/>
      <c r="HG657" s="105"/>
      <c r="HH657" s="105"/>
      <c r="IV657"/>
    </row>
    <row r="658" spans="198:256" s="2" customFormat="1">
      <c r="GP658" s="105">
        <f>+GT658/GT649</f>
        <v>0.25</v>
      </c>
      <c r="GR658" s="59" t="s">
        <v>156</v>
      </c>
      <c r="GS658" s="193">
        <f>+SUM(GS659:GS662)</f>
        <v>67.019506742983481</v>
      </c>
      <c r="GT658" s="193">
        <f>+SUM(GT659:GT662)</f>
        <v>43.577733196433307</v>
      </c>
      <c r="GU658" s="2466">
        <f>+SUM(GU659:GU662)</f>
        <v>315.79607734088773</v>
      </c>
      <c r="GV658" s="193"/>
      <c r="GW658" s="193"/>
      <c r="GX658" s="193"/>
      <c r="GY658" s="193"/>
      <c r="HC658" s="105"/>
      <c r="HD658" s="105"/>
      <c r="HE658" s="105"/>
      <c r="HF658" s="105"/>
      <c r="HG658" s="105"/>
      <c r="HH658" s="105"/>
      <c r="IV658"/>
    </row>
    <row r="659" spans="198:256" s="2" customFormat="1">
      <c r="GR659" s="2002" t="s">
        <v>280</v>
      </c>
      <c r="GS659" s="77">
        <f>+GS650*GS$655</f>
        <v>13.933773532246907</v>
      </c>
      <c r="GT659" s="77">
        <f>+GT650*GT$655</f>
        <v>24.226521612103468</v>
      </c>
      <c r="GU659" s="2467">
        <f>+GU650*GU$655</f>
        <v>50.121698074711809</v>
      </c>
      <c r="GV659" s="77"/>
      <c r="GW659" s="77"/>
      <c r="GX659" s="77"/>
      <c r="GY659" s="77"/>
      <c r="HC659" s="105"/>
      <c r="HD659" s="105"/>
      <c r="HE659" s="105"/>
      <c r="HF659" s="105"/>
      <c r="HG659" s="105"/>
      <c r="HH659" s="105"/>
      <c r="IV659"/>
    </row>
    <row r="660" spans="198:256" s="2" customFormat="1">
      <c r="GR660" s="2002" t="s">
        <v>1342</v>
      </c>
      <c r="GS660" s="77">
        <f>+GS651*GS656</f>
        <v>3.7654111973208253</v>
      </c>
      <c r="GT660" s="77">
        <f>+GT651*GT656</f>
        <v>10.943711584329842</v>
      </c>
      <c r="GU660" s="2467">
        <f>+GU651*GU656</f>
        <v>28.114309410683138</v>
      </c>
      <c r="GV660" s="77"/>
      <c r="GW660" s="77"/>
      <c r="GX660" s="77"/>
      <c r="GY660" s="77"/>
      <c r="HC660" s="105"/>
      <c r="HD660" s="105"/>
      <c r="HE660" s="105"/>
      <c r="HF660" s="105"/>
      <c r="HG660" s="105"/>
      <c r="HH660" s="105"/>
      <c r="IV660"/>
    </row>
    <row r="661" spans="198:256" s="2" customFormat="1">
      <c r="GR661" s="2002" t="s">
        <v>1343</v>
      </c>
      <c r="GS661" s="77">
        <f>+GS652*GS$655</f>
        <v>49.320322013415755</v>
      </c>
      <c r="GT661" s="77">
        <f>+GT652*GT$655</f>
        <v>6.305625</v>
      </c>
      <c r="GU661" s="2467">
        <f>+GU652*GU$655</f>
        <v>158.37337990366186</v>
      </c>
      <c r="GV661" s="77"/>
      <c r="GW661" s="77"/>
      <c r="GX661" s="77"/>
      <c r="GY661" s="77"/>
      <c r="HC661" s="105"/>
      <c r="HD661" s="105"/>
      <c r="HE661" s="105"/>
      <c r="HF661" s="105"/>
      <c r="HG661" s="105"/>
      <c r="HH661" s="105"/>
      <c r="IV661"/>
    </row>
    <row r="662" spans="198:256" s="2" customFormat="1">
      <c r="GR662" s="2002" t="s">
        <v>1344</v>
      </c>
      <c r="GS662" s="77">
        <f>+GS653*GS$656</f>
        <v>0</v>
      </c>
      <c r="GT662" s="77">
        <f>+GT653*GT$656</f>
        <v>2.1018750000000002</v>
      </c>
      <c r="GU662" s="2467">
        <f>+GU653*GU$656</f>
        <v>79.186689951830928</v>
      </c>
      <c r="GV662" s="77"/>
      <c r="GW662" s="77"/>
      <c r="GX662" s="77"/>
      <c r="GY662" s="77"/>
      <c r="HC662" s="105"/>
      <c r="HD662" s="105"/>
      <c r="HE662" s="105"/>
      <c r="HF662" s="105"/>
      <c r="HG662" s="105"/>
      <c r="HH662" s="105"/>
      <c r="IV662"/>
    </row>
    <row r="663" spans="198:256" s="2" customFormat="1">
      <c r="GR663" s="59"/>
      <c r="GS663" s="77"/>
      <c r="GT663" s="77"/>
      <c r="GU663" s="2467"/>
      <c r="GV663" s="77"/>
      <c r="GW663" s="77"/>
      <c r="GX663" s="77"/>
      <c r="GY663" s="77"/>
      <c r="HC663" s="105"/>
      <c r="HD663" s="105"/>
      <c r="HE663" s="105"/>
      <c r="HF663" s="105"/>
      <c r="HG663" s="105"/>
      <c r="HH663" s="105"/>
      <c r="IV663"/>
    </row>
    <row r="664" spans="198:256" s="2" customFormat="1">
      <c r="GR664" s="2010" t="s">
        <v>552</v>
      </c>
      <c r="GS664" s="77"/>
      <c r="GT664" s="77"/>
      <c r="GU664" s="2467"/>
      <c r="GV664" s="77"/>
      <c r="GW664" s="77"/>
      <c r="GX664" s="77"/>
      <c r="GY664" s="77"/>
      <c r="HC664" s="105"/>
      <c r="HD664" s="105"/>
      <c r="HE664" s="105"/>
      <c r="HF664" s="105"/>
      <c r="HG664" s="105"/>
      <c r="HH664" s="105"/>
      <c r="IV664"/>
    </row>
    <row r="665" spans="198:256" s="2" customFormat="1">
      <c r="GR665" s="59" t="s">
        <v>30</v>
      </c>
      <c r="GS665" s="2176">
        <v>0.5</v>
      </c>
      <c r="GT665" s="2176">
        <v>0.5</v>
      </c>
      <c r="GU665" s="2177">
        <v>0.5</v>
      </c>
      <c r="GV665" s="2176"/>
      <c r="GW665" s="2176"/>
      <c r="GX665" s="2176"/>
      <c r="GY665" s="2176"/>
      <c r="HC665" s="105"/>
      <c r="HD665" s="105"/>
      <c r="HE665" s="105"/>
      <c r="HF665" s="105"/>
      <c r="HG665" s="105"/>
      <c r="HH665" s="105"/>
      <c r="IV665"/>
    </row>
    <row r="666" spans="198:256" s="2" customFormat="1">
      <c r="GR666" s="59" t="s">
        <v>1625</v>
      </c>
      <c r="GS666" s="2176">
        <v>1</v>
      </c>
      <c r="GT666" s="2176">
        <v>1</v>
      </c>
      <c r="GU666" s="2177">
        <v>1</v>
      </c>
      <c r="GV666" s="2176"/>
      <c r="GW666" s="2176"/>
      <c r="GX666" s="2176"/>
      <c r="GY666" s="2176"/>
      <c r="HC666" s="105"/>
      <c r="HD666" s="105"/>
      <c r="HE666" s="105"/>
      <c r="HF666" s="105"/>
      <c r="HG666" s="105"/>
      <c r="HH666" s="105"/>
      <c r="IV666"/>
    </row>
    <row r="667" spans="198:256" s="2" customFormat="1">
      <c r="GR667" s="59" t="s">
        <v>1624</v>
      </c>
      <c r="GS667" s="2176">
        <v>0.1</v>
      </c>
      <c r="GT667" s="2176">
        <v>0.1</v>
      </c>
      <c r="GU667" s="2177">
        <v>0.1</v>
      </c>
      <c r="GV667" s="2176"/>
      <c r="GW667" s="2176"/>
      <c r="GX667" s="2176"/>
      <c r="GY667" s="2176"/>
      <c r="HC667" s="105"/>
      <c r="HD667" s="105"/>
      <c r="HE667" s="105"/>
      <c r="HF667" s="105"/>
      <c r="HG667" s="105"/>
      <c r="HH667" s="105"/>
      <c r="IV667"/>
    </row>
    <row r="668" spans="198:256" s="2" customFormat="1">
      <c r="GR668" s="59"/>
      <c r="GS668" s="2176"/>
      <c r="GT668" s="2176"/>
      <c r="GU668" s="2177"/>
      <c r="GV668" s="2176"/>
      <c r="GW668" s="2176"/>
      <c r="GX668" s="2176"/>
      <c r="GY668" s="2176"/>
      <c r="HC668" s="105"/>
      <c r="HD668" s="105"/>
      <c r="HE668" s="105"/>
      <c r="HF668" s="105"/>
      <c r="HG668" s="105"/>
      <c r="HH668" s="105"/>
      <c r="IV668"/>
    </row>
    <row r="669" spans="198:256" s="2" customFormat="1">
      <c r="GR669" s="59" t="s">
        <v>490</v>
      </c>
      <c r="GS669" s="807">
        <f>+GS671/GS658</f>
        <v>0.84548145238630279</v>
      </c>
      <c r="GT669" s="807">
        <f>+GT671/GT658</f>
        <v>0.45260372712775743</v>
      </c>
      <c r="GU669" s="2468">
        <f>+GU671/GU658</f>
        <v>0.61484085081803419</v>
      </c>
      <c r="GV669" s="2176"/>
      <c r="GW669" s="2176"/>
      <c r="GX669" s="2176"/>
      <c r="GY669" s="2176"/>
      <c r="HC669" s="105"/>
      <c r="HD669" s="105"/>
      <c r="HE669" s="105"/>
      <c r="HF669" s="105"/>
      <c r="HG669" s="105"/>
      <c r="HH669" s="105"/>
      <c r="IV669"/>
    </row>
    <row r="670" spans="198:256" s="2" customFormat="1">
      <c r="GR670" s="2002"/>
      <c r="GS670" s="77"/>
      <c r="GT670" s="77"/>
      <c r="GU670" s="2467"/>
      <c r="GV670" s="77"/>
      <c r="GW670" s="77"/>
      <c r="GX670" s="77"/>
      <c r="GY670" s="77"/>
      <c r="HC670" s="105"/>
      <c r="HD670" s="105"/>
      <c r="HE670" s="105"/>
      <c r="HF670" s="105"/>
      <c r="HG670" s="105"/>
      <c r="HH670" s="105"/>
      <c r="IV670"/>
    </row>
    <row r="671" spans="198:256" s="2" customFormat="1">
      <c r="GP671" s="2">
        <f>+GT661*GT666+GT662*GT667</f>
        <v>6.5158125</v>
      </c>
      <c r="GR671" s="59" t="s">
        <v>840</v>
      </c>
      <c r="GS671" s="193">
        <f>+GS659*GS665+GS660*GS667+GS661*GS666+GS662*GS667</f>
        <v>56.663749899271288</v>
      </c>
      <c r="GT671" s="193">
        <f>+GT659*GT665+GT660*GT667+GT661*GT666+GT662*GT667</f>
        <v>19.723444464484718</v>
      </c>
      <c r="GU671" s="2466">
        <f>+GU659*GU665+GU660*GU667+GU661*GU666+GU662*GU667</f>
        <v>194.16432887726916</v>
      </c>
      <c r="GV671" s="193"/>
      <c r="GW671" s="193"/>
      <c r="GX671" s="193"/>
      <c r="GY671" s="193"/>
      <c r="HC671" s="105"/>
      <c r="HD671" s="105"/>
      <c r="HE671" s="105"/>
      <c r="HF671" s="105"/>
      <c r="HG671" s="105"/>
      <c r="HH671" s="105"/>
      <c r="IV671"/>
    </row>
    <row r="672" spans="198:256" s="2" customFormat="1">
      <c r="GR672" s="2002" t="s">
        <v>1620</v>
      </c>
      <c r="GS672" s="2217">
        <v>8</v>
      </c>
      <c r="GT672" s="2217">
        <v>10</v>
      </c>
      <c r="GU672" s="2469">
        <v>12</v>
      </c>
      <c r="GV672" s="2217"/>
      <c r="GW672" s="2217"/>
      <c r="GX672" s="2217"/>
      <c r="GY672" s="2217"/>
      <c r="HC672" s="105"/>
      <c r="HD672" s="105"/>
      <c r="HE672" s="105"/>
      <c r="HF672" s="105"/>
      <c r="HG672" s="105"/>
      <c r="HH672" s="105"/>
      <c r="IV672"/>
    </row>
    <row r="673" spans="198:256" s="2" customFormat="1">
      <c r="GR673" s="2462" t="s">
        <v>1093</v>
      </c>
      <c r="GS673" s="104">
        <f>1/(1.15^2.5)</f>
        <v>0.70510760547471751</v>
      </c>
      <c r="GT673" s="104">
        <f>1/(1.15^2.5)</f>
        <v>0.70510760547471751</v>
      </c>
      <c r="GU673" s="1800">
        <f>1/(1.15^2.5)</f>
        <v>0.70510760547471751</v>
      </c>
      <c r="GV673" s="104"/>
      <c r="GW673" s="104"/>
      <c r="GX673" s="104"/>
      <c r="GY673" s="104"/>
      <c r="HC673" s="105"/>
      <c r="HD673" s="105"/>
      <c r="HE673" s="105"/>
      <c r="HF673" s="105"/>
      <c r="HG673" s="105"/>
      <c r="HH673" s="105"/>
      <c r="IV673"/>
    </row>
    <row r="674" spans="198:256" s="2" customFormat="1">
      <c r="GR674" s="2002" t="s">
        <v>841</v>
      </c>
      <c r="GS674" s="74">
        <f>+'EBITDA Val'!$F$15</f>
        <v>113.08959516740317</v>
      </c>
      <c r="GT674" s="74">
        <f>+'EBITDA Val'!$F$15</f>
        <v>113.08959516740317</v>
      </c>
      <c r="GU674" s="2470">
        <f>+'EBITDA Val'!$F$15</f>
        <v>113.08959516740317</v>
      </c>
      <c r="GV674" s="74"/>
      <c r="GW674" s="74"/>
      <c r="GX674" s="74"/>
      <c r="GY674" s="74"/>
      <c r="HC674" s="105"/>
      <c r="HD674" s="105"/>
      <c r="HE674" s="105"/>
      <c r="HF674" s="105"/>
      <c r="HG674" s="105"/>
      <c r="HH674" s="105"/>
      <c r="IV674"/>
    </row>
    <row r="675" spans="198:256" s="2" customFormat="1">
      <c r="GR675" s="59"/>
      <c r="GS675" s="61"/>
      <c r="GT675" s="61"/>
      <c r="GU675" s="60"/>
      <c r="GV675" s="77"/>
      <c r="GW675" s="77"/>
      <c r="GX675" s="77"/>
      <c r="GY675" s="77"/>
      <c r="HC675" s="105"/>
      <c r="HD675" s="105"/>
      <c r="HE675" s="105"/>
      <c r="HF675" s="105"/>
      <c r="HG675" s="105"/>
      <c r="HH675" s="105"/>
      <c r="IV675"/>
    </row>
    <row r="676" spans="198:256" s="2" customFormat="1">
      <c r="GP676" s="2" t="s">
        <v>670</v>
      </c>
      <c r="GR676" s="2009" t="s">
        <v>847</v>
      </c>
      <c r="GS676" s="2451">
        <f>+GS671*GS672*GS673/GS674</f>
        <v>2.8263637127394903</v>
      </c>
      <c r="GT676" s="2451">
        <f>+GT671*GT672*GT673/GT674</f>
        <v>1.2297462624638498</v>
      </c>
      <c r="GU676" s="2452">
        <f>+GU671*GU672*GU673/GU674</f>
        <v>14.527251049109989</v>
      </c>
      <c r="GV676" s="210"/>
      <c r="GW676" s="210"/>
      <c r="GX676" s="210"/>
      <c r="GY676" s="210"/>
      <c r="HC676" s="105"/>
      <c r="HD676" s="105"/>
      <c r="HE676" s="105"/>
      <c r="HF676" s="105"/>
      <c r="HG676" s="105"/>
      <c r="HH676" s="105"/>
      <c r="IV676"/>
    </row>
    <row r="677" spans="198:256" s="2" customFormat="1">
      <c r="GP677" s="1401">
        <v>12.35</v>
      </c>
      <c r="GR677" s="2212" t="s">
        <v>500</v>
      </c>
      <c r="GS677" s="2213">
        <f>+GS676/$GP677</f>
        <v>0.22885536135542431</v>
      </c>
      <c r="GT677" s="2213">
        <f>+GT676/$GP677</f>
        <v>9.9574596150919015E-2</v>
      </c>
      <c r="GU677" s="2214">
        <f>+GU676/$GP677</f>
        <v>1.1762956315068818</v>
      </c>
      <c r="GV677" s="215"/>
      <c r="GW677" s="215"/>
      <c r="GX677" s="215"/>
      <c r="GY677" s="215"/>
      <c r="HC677" s="105"/>
      <c r="HD677" s="105"/>
      <c r="HE677" s="105"/>
      <c r="HF677" s="105"/>
      <c r="HG677" s="105"/>
      <c r="HH677" s="105"/>
      <c r="IV677"/>
    </row>
    <row r="678" spans="198:256" s="2" customFormat="1">
      <c r="GR678" s="147" t="s">
        <v>843</v>
      </c>
      <c r="GS678" s="1613" t="s">
        <v>1205</v>
      </c>
      <c r="GT678" s="1613" t="s">
        <v>871</v>
      </c>
      <c r="GU678" s="2008" t="s">
        <v>1204</v>
      </c>
      <c r="GV678" s="185"/>
      <c r="GW678" s="185"/>
      <c r="GX678" s="185"/>
      <c r="GY678" s="185"/>
      <c r="HC678" s="105"/>
      <c r="HD678" s="105"/>
      <c r="HE678" s="105"/>
      <c r="HF678" s="105"/>
      <c r="HG678" s="105"/>
      <c r="HH678" s="105"/>
      <c r="IV678"/>
    </row>
    <row r="679" spans="198:256" s="2" customFormat="1">
      <c r="GR679" s="59" t="s">
        <v>1628</v>
      </c>
      <c r="GS679" s="1139">
        <f>+GS685/GS639</f>
        <v>0.18183542843815653</v>
      </c>
      <c r="GT679" s="1139">
        <f>+GT685/GT639</f>
        <v>4.9921904569033865E-2</v>
      </c>
      <c r="GU679" s="1140">
        <f>+GU685/GU639</f>
        <v>0.23642648410790934</v>
      </c>
      <c r="GV679" s="807"/>
      <c r="GW679" s="807"/>
      <c r="GX679" s="807"/>
      <c r="GY679" s="807"/>
      <c r="HC679" s="105"/>
      <c r="HD679" s="105"/>
      <c r="HE679" s="105"/>
      <c r="HF679" s="105"/>
      <c r="HG679" s="105"/>
      <c r="HH679" s="105"/>
      <c r="IV679"/>
    </row>
    <row r="680" spans="198:256" s="2" customFormat="1">
      <c r="GR680" s="2002" t="s">
        <v>1621</v>
      </c>
      <c r="GS680" s="2178">
        <f t="shared" ref="GS680:GU683" si="48">+GS644</f>
        <v>0.15104997188467606</v>
      </c>
      <c r="GT680" s="2178">
        <f t="shared" si="48"/>
        <v>0.20104997188467608</v>
      </c>
      <c r="GU680" s="2179">
        <f t="shared" si="48"/>
        <v>0.25104997188467609</v>
      </c>
      <c r="GV680" s="2180"/>
      <c r="GW680" s="2180"/>
      <c r="GX680" s="2180"/>
      <c r="GY680" s="2180"/>
      <c r="HC680" s="105"/>
      <c r="HD680" s="105"/>
      <c r="HE680" s="105"/>
      <c r="HF680" s="105"/>
      <c r="HG680" s="105"/>
      <c r="HH680" s="105"/>
      <c r="IV680"/>
    </row>
    <row r="681" spans="198:256" s="2" customFormat="1">
      <c r="GR681" s="2002" t="s">
        <v>1335</v>
      </c>
      <c r="GS681" s="2180">
        <f t="shared" si="48"/>
        <v>4.081918327244681E-2</v>
      </c>
      <c r="GT681" s="2178">
        <f t="shared" si="48"/>
        <v>9.0819183272446813E-2</v>
      </c>
      <c r="GU681" s="2181">
        <f t="shared" si="48"/>
        <v>0.1408191832724468</v>
      </c>
      <c r="GV681" s="2180"/>
      <c r="GW681" s="2180"/>
      <c r="GX681" s="2180"/>
      <c r="GY681" s="2180"/>
      <c r="HC681" s="105"/>
      <c r="HD681" s="105"/>
      <c r="HE681" s="105"/>
      <c r="HF681" s="105"/>
      <c r="HG681" s="105"/>
      <c r="HH681" s="105"/>
      <c r="IV681"/>
    </row>
    <row r="682" spans="198:256" s="2" customFormat="1">
      <c r="GR682" s="2002" t="s">
        <v>1627</v>
      </c>
      <c r="GS682" s="2180">
        <f t="shared" si="48"/>
        <v>9.9999999999999992E-2</v>
      </c>
      <c r="GT682" s="2178">
        <f t="shared" si="48"/>
        <v>0.15</v>
      </c>
      <c r="GU682" s="2181">
        <f t="shared" si="48"/>
        <v>0.2</v>
      </c>
      <c r="GV682" s="2180"/>
      <c r="GW682" s="2180"/>
      <c r="GX682" s="2180"/>
      <c r="GY682" s="2180"/>
      <c r="HC682" s="105"/>
      <c r="HD682" s="105"/>
      <c r="HE682" s="105"/>
      <c r="HF682" s="105"/>
      <c r="HG682" s="105"/>
      <c r="HH682" s="105"/>
      <c r="IV682"/>
    </row>
    <row r="683" spans="198:256" s="2" customFormat="1">
      <c r="GR683" s="2002" t="s">
        <v>842</v>
      </c>
      <c r="GS683" s="2180">
        <f t="shared" si="48"/>
        <v>0</v>
      </c>
      <c r="GT683" s="2178">
        <f t="shared" si="48"/>
        <v>0.05</v>
      </c>
      <c r="GU683" s="2181">
        <f t="shared" si="48"/>
        <v>0.1</v>
      </c>
      <c r="GV683" s="2180"/>
      <c r="GW683" s="2180"/>
      <c r="GX683" s="2180"/>
      <c r="GY683" s="2180"/>
      <c r="HC683" s="105"/>
      <c r="HD683" s="105"/>
      <c r="HE683" s="105"/>
      <c r="HF683" s="105"/>
      <c r="HG683" s="105"/>
      <c r="HH683" s="105"/>
      <c r="IV683"/>
    </row>
    <row r="684" spans="198:256" s="2" customFormat="1">
      <c r="GR684" s="2010"/>
      <c r="GS684" s="61"/>
      <c r="GT684" s="61"/>
      <c r="GU684" s="60"/>
      <c r="GV684" s="77"/>
      <c r="GW684" s="77"/>
      <c r="GX684" s="77"/>
      <c r="GY684" s="77"/>
      <c r="HC684" s="105"/>
      <c r="HD684" s="105"/>
      <c r="HE684" s="105"/>
      <c r="HF684" s="105"/>
      <c r="HG684" s="105"/>
      <c r="HH684" s="105"/>
      <c r="IV684"/>
    </row>
    <row r="685" spans="198:256" s="2" customFormat="1">
      <c r="GR685" s="59" t="s">
        <v>1629</v>
      </c>
      <c r="GS685" s="818">
        <f>+SUM(GS686:GS689)</f>
        <v>268.07802697193392</v>
      </c>
      <c r="GT685" s="818">
        <f>+SUM(GT686:GT689)</f>
        <v>174.31093278573323</v>
      </c>
      <c r="GU685" s="2005">
        <f>+SUM(GU686:GU689)</f>
        <v>1263.1843093635509</v>
      </c>
      <c r="GV685" s="193"/>
      <c r="GW685" s="193"/>
      <c r="GX685" s="193"/>
      <c r="GY685" s="193"/>
      <c r="HC685" s="105"/>
      <c r="HD685" s="105"/>
      <c r="HE685" s="105"/>
      <c r="HF685" s="105"/>
      <c r="HG685" s="105"/>
      <c r="HH685" s="105"/>
      <c r="IV685"/>
    </row>
    <row r="686" spans="198:256" s="2" customFormat="1">
      <c r="GR686" s="2002" t="s">
        <v>1621</v>
      </c>
      <c r="GS686" s="61">
        <f t="shared" ref="GS686:GU687" si="49">+GS680*GS$641</f>
        <v>55.735094128987626</v>
      </c>
      <c r="GT686" s="61">
        <f t="shared" si="49"/>
        <v>96.906086448413873</v>
      </c>
      <c r="GU686" s="60">
        <f t="shared" si="49"/>
        <v>200.48679229884723</v>
      </c>
      <c r="GV686" s="77"/>
      <c r="GW686" s="77"/>
      <c r="GX686" s="77"/>
      <c r="GY686" s="77"/>
      <c r="HC686" s="105"/>
      <c r="HD686" s="105"/>
      <c r="HE686" s="105"/>
      <c r="HF686" s="105"/>
      <c r="HG686" s="105"/>
      <c r="HH686" s="105"/>
      <c r="IV686"/>
    </row>
    <row r="687" spans="198:256" s="2" customFormat="1">
      <c r="GR687" s="2002" t="s">
        <v>1342</v>
      </c>
      <c r="GS687" s="61">
        <f t="shared" si="49"/>
        <v>15.061644789283301</v>
      </c>
      <c r="GT687" s="61">
        <f t="shared" si="49"/>
        <v>43.774846337319367</v>
      </c>
      <c r="GU687" s="60">
        <f t="shared" si="49"/>
        <v>112.45723764273255</v>
      </c>
      <c r="GV687" s="77"/>
      <c r="GW687" s="77"/>
      <c r="GX687" s="77"/>
      <c r="GY687" s="77"/>
      <c r="HC687" s="105"/>
      <c r="HD687" s="105"/>
      <c r="HE687" s="105"/>
      <c r="HF687" s="105"/>
      <c r="HG687" s="105"/>
      <c r="HH687" s="105"/>
      <c r="IV687"/>
    </row>
    <row r="688" spans="198:256" s="2" customFormat="1">
      <c r="GR688" s="2002" t="s">
        <v>1627</v>
      </c>
      <c r="GS688" s="61">
        <f>+GS682*(GS$640)</f>
        <v>197.28128805366302</v>
      </c>
      <c r="GT688" s="61">
        <f>+GT682*(GT$640)</f>
        <v>25.2225</v>
      </c>
      <c r="GU688" s="60">
        <f>+GU682*(GU$640)</f>
        <v>633.49351961464743</v>
      </c>
      <c r="GV688" s="77"/>
      <c r="GW688" s="77"/>
      <c r="GX688" s="77"/>
      <c r="GY688" s="77"/>
      <c r="HC688" s="105"/>
      <c r="HD688" s="105"/>
      <c r="HE688" s="105"/>
      <c r="HF688" s="105"/>
      <c r="HG688" s="105"/>
      <c r="HH688" s="105"/>
      <c r="IV688"/>
    </row>
    <row r="689" spans="200:256" s="2" customFormat="1">
      <c r="GR689" s="2002" t="s">
        <v>842</v>
      </c>
      <c r="GS689" s="61">
        <f>+GS683*GS$640</f>
        <v>0</v>
      </c>
      <c r="GT689" s="61">
        <f>+GT683*GT$640</f>
        <v>8.4075000000000006</v>
      </c>
      <c r="GU689" s="60">
        <f>+GU683*GU$640</f>
        <v>316.74675980732371</v>
      </c>
      <c r="GV689" s="77"/>
      <c r="GW689" s="77"/>
      <c r="GX689" s="77"/>
      <c r="GY689" s="77"/>
      <c r="HC689" s="105"/>
      <c r="HD689" s="105"/>
      <c r="HE689" s="105"/>
      <c r="HF689" s="105"/>
      <c r="HG689" s="105"/>
      <c r="HH689" s="105"/>
      <c r="IV689"/>
    </row>
    <row r="690" spans="200:256" s="2" customFormat="1">
      <c r="GR690" s="59"/>
      <c r="GS690" s="61"/>
      <c r="GT690" s="61"/>
      <c r="GU690" s="60"/>
      <c r="GV690" s="77"/>
      <c r="GW690" s="77"/>
      <c r="GX690" s="77"/>
      <c r="GY690" s="77"/>
      <c r="HC690" s="105"/>
      <c r="HD690" s="105"/>
      <c r="HE690" s="105"/>
      <c r="HF690" s="105"/>
      <c r="HG690" s="105"/>
      <c r="HH690" s="105"/>
      <c r="IV690"/>
    </row>
    <row r="691" spans="200:256" s="2" customFormat="1">
      <c r="GR691" s="59" t="s">
        <v>939</v>
      </c>
      <c r="GS691" s="2176">
        <f>+GT691</f>
        <v>0.25</v>
      </c>
      <c r="GT691" s="2178">
        <f>+GT655</f>
        <v>0.25</v>
      </c>
      <c r="GU691" s="2177">
        <f>+GT691</f>
        <v>0.25</v>
      </c>
      <c r="GV691" s="2176"/>
      <c r="GW691" s="2176"/>
      <c r="GX691" s="2176"/>
      <c r="GY691" s="2176"/>
      <c r="HC691" s="105"/>
      <c r="HD691" s="105"/>
      <c r="HE691" s="105"/>
      <c r="HF691" s="105"/>
      <c r="HG691" s="105"/>
      <c r="HH691" s="105"/>
      <c r="IV691"/>
    </row>
    <row r="692" spans="200:256" s="2" customFormat="1">
      <c r="GR692" s="59" t="s">
        <v>1341</v>
      </c>
      <c r="GS692" s="2176">
        <f>+GT692</f>
        <v>0.25</v>
      </c>
      <c r="GT692" s="2178">
        <f>+GT656</f>
        <v>0.25</v>
      </c>
      <c r="GU692" s="2177">
        <f>+GT692</f>
        <v>0.25</v>
      </c>
      <c r="GV692" s="2176"/>
      <c r="GW692" s="2176"/>
      <c r="GX692" s="2176"/>
      <c r="GY692" s="2176"/>
      <c r="HC692" s="105"/>
      <c r="HD692" s="105"/>
      <c r="HE692" s="105"/>
      <c r="HF692" s="105"/>
      <c r="HG692" s="105"/>
      <c r="HH692" s="105"/>
      <c r="IV692"/>
    </row>
    <row r="693" spans="200:256" s="2" customFormat="1">
      <c r="GR693" s="59"/>
      <c r="GS693" s="61"/>
      <c r="GT693" s="61"/>
      <c r="GU693" s="60"/>
      <c r="GV693" s="77"/>
      <c r="GW693" s="77"/>
      <c r="GX693" s="77"/>
      <c r="GY693" s="77"/>
      <c r="HC693" s="105"/>
      <c r="HD693" s="105"/>
      <c r="HE693" s="105"/>
      <c r="HF693" s="105"/>
      <c r="HG693" s="105"/>
      <c r="HH693" s="105"/>
      <c r="IV693"/>
    </row>
    <row r="694" spans="200:256" s="2" customFormat="1">
      <c r="GR694" s="59" t="s">
        <v>1630</v>
      </c>
      <c r="GS694" s="818">
        <f>+SUM(GS695:GS698)</f>
        <v>67.019506742983481</v>
      </c>
      <c r="GT694" s="818">
        <f>+SUM(GT695:GT698)</f>
        <v>43.577733196433307</v>
      </c>
      <c r="GU694" s="2005">
        <f>+SUM(GU695:GU698)</f>
        <v>315.79607734088773</v>
      </c>
      <c r="GV694" s="193"/>
      <c r="GW694" s="193"/>
      <c r="GX694" s="193"/>
      <c r="GY694" s="193"/>
      <c r="HC694" s="105"/>
      <c r="HD694" s="105"/>
      <c r="HE694" s="105"/>
      <c r="HF694" s="105"/>
      <c r="HG694" s="105"/>
      <c r="HH694" s="105"/>
      <c r="IV694"/>
    </row>
    <row r="695" spans="200:256" s="2" customFormat="1">
      <c r="GR695" s="2002" t="s">
        <v>1621</v>
      </c>
      <c r="GS695" s="61">
        <f>+GS686*GS$691</f>
        <v>13.933773532246907</v>
      </c>
      <c r="GT695" s="61">
        <f>+GT686*GT$691</f>
        <v>24.226521612103468</v>
      </c>
      <c r="GU695" s="60">
        <f>+GU686*GU$691</f>
        <v>50.121698074711809</v>
      </c>
      <c r="GV695" s="77"/>
      <c r="GW695" s="77"/>
      <c r="GX695" s="77"/>
      <c r="GY695" s="77"/>
      <c r="HC695" s="105"/>
      <c r="HD695" s="105"/>
      <c r="HE695" s="105"/>
      <c r="HF695" s="105"/>
      <c r="HG695" s="105"/>
      <c r="HH695" s="105"/>
      <c r="IV695"/>
    </row>
    <row r="696" spans="200:256" s="2" customFormat="1">
      <c r="GR696" s="2002" t="s">
        <v>1342</v>
      </c>
      <c r="GS696" s="61">
        <f>+GS687*GS$692</f>
        <v>3.7654111973208253</v>
      </c>
      <c r="GT696" s="61">
        <f>+GT687*GT$692</f>
        <v>10.943711584329842</v>
      </c>
      <c r="GU696" s="60">
        <f>+GU687*GU$692</f>
        <v>28.114309410683138</v>
      </c>
      <c r="GV696" s="77"/>
      <c r="GW696" s="77"/>
      <c r="GX696" s="77"/>
      <c r="GY696" s="77"/>
      <c r="HC696" s="105"/>
      <c r="HD696" s="105"/>
      <c r="HE696" s="105"/>
      <c r="HF696" s="105"/>
      <c r="HG696" s="105"/>
      <c r="HH696" s="105"/>
      <c r="IV696"/>
    </row>
    <row r="697" spans="200:256" s="2" customFormat="1">
      <c r="GR697" s="2002" t="s">
        <v>1627</v>
      </c>
      <c r="GS697" s="61">
        <f>+GS688*GS$691</f>
        <v>49.320322013415755</v>
      </c>
      <c r="GT697" s="61">
        <f>+GT688*GT$691</f>
        <v>6.305625</v>
      </c>
      <c r="GU697" s="60">
        <f>+GU688*GU$691</f>
        <v>158.37337990366186</v>
      </c>
      <c r="GV697" s="77"/>
      <c r="GW697" s="77"/>
      <c r="GX697" s="77"/>
      <c r="GY697" s="77"/>
      <c r="HC697" s="105"/>
      <c r="HD697" s="105"/>
      <c r="HE697" s="105"/>
      <c r="HF697" s="105"/>
      <c r="HG697" s="105"/>
      <c r="HH697" s="105"/>
      <c r="IV697"/>
    </row>
    <row r="698" spans="200:256" s="2" customFormat="1">
      <c r="GR698" s="2002" t="s">
        <v>842</v>
      </c>
      <c r="GS698" s="61">
        <f>+GS689*GS$692</f>
        <v>0</v>
      </c>
      <c r="GT698" s="61">
        <f>+GT689*GT$692</f>
        <v>2.1018750000000002</v>
      </c>
      <c r="GU698" s="60">
        <f>+GU689*GU$692</f>
        <v>79.186689951830928</v>
      </c>
      <c r="GV698" s="77"/>
      <c r="GW698" s="77"/>
      <c r="GX698" s="77"/>
      <c r="GY698" s="77"/>
      <c r="HC698" s="105"/>
      <c r="HD698" s="105"/>
      <c r="HE698" s="105"/>
      <c r="HF698" s="105"/>
      <c r="HG698" s="105"/>
      <c r="HH698" s="105"/>
      <c r="IV698"/>
    </row>
    <row r="699" spans="200:256" s="2" customFormat="1">
      <c r="GR699" s="59"/>
      <c r="GS699" s="61"/>
      <c r="GT699" s="61"/>
      <c r="GU699" s="60"/>
      <c r="GV699" s="77"/>
      <c r="GW699" s="77"/>
      <c r="GX699" s="77"/>
      <c r="GY699" s="77"/>
      <c r="HC699" s="105"/>
      <c r="HD699" s="105"/>
      <c r="HE699" s="105"/>
      <c r="HF699" s="105"/>
      <c r="HG699" s="105"/>
      <c r="HH699" s="105"/>
      <c r="IV699"/>
    </row>
    <row r="700" spans="200:256" s="2" customFormat="1">
      <c r="GR700" s="2010" t="s">
        <v>848</v>
      </c>
      <c r="GS700" s="61"/>
      <c r="GT700" s="61"/>
      <c r="GU700" s="60"/>
      <c r="GV700" s="77"/>
      <c r="GW700" s="77"/>
      <c r="GX700" s="77"/>
      <c r="GY700" s="77"/>
      <c r="HC700" s="105"/>
      <c r="HD700" s="105"/>
      <c r="HE700" s="105"/>
      <c r="HF700" s="105"/>
      <c r="HG700" s="105"/>
      <c r="HH700" s="105"/>
      <c r="IV700"/>
    </row>
    <row r="701" spans="200:256" s="2" customFormat="1">
      <c r="GR701" s="59" t="s">
        <v>849</v>
      </c>
      <c r="GS701" s="2003">
        <v>0.5</v>
      </c>
      <c r="GT701" s="2003">
        <v>0.5</v>
      </c>
      <c r="GU701" s="2004">
        <v>0.5</v>
      </c>
      <c r="GV701" s="2176"/>
      <c r="GW701" s="2176"/>
      <c r="GX701" s="2176"/>
      <c r="GY701" s="2176"/>
      <c r="HC701" s="105"/>
      <c r="HD701" s="105"/>
      <c r="HE701" s="105"/>
      <c r="HF701" s="105"/>
      <c r="HG701" s="105"/>
      <c r="HH701" s="105"/>
      <c r="IV701"/>
    </row>
    <row r="702" spans="200:256" s="2" customFormat="1">
      <c r="GR702" s="59" t="s">
        <v>1626</v>
      </c>
      <c r="GS702" s="2003">
        <v>1</v>
      </c>
      <c r="GT702" s="2003">
        <v>1</v>
      </c>
      <c r="GU702" s="2004">
        <v>1</v>
      </c>
      <c r="GV702" s="2176"/>
      <c r="GW702" s="2176"/>
      <c r="GX702" s="2176"/>
      <c r="GY702" s="2176"/>
      <c r="HC702" s="105"/>
      <c r="HD702" s="105"/>
      <c r="HE702" s="105"/>
      <c r="HF702" s="105"/>
      <c r="HG702" s="105"/>
      <c r="HH702" s="105"/>
      <c r="IV702"/>
    </row>
    <row r="703" spans="200:256" s="2" customFormat="1">
      <c r="GR703" s="59" t="s">
        <v>850</v>
      </c>
      <c r="GS703" s="2003">
        <v>0.25</v>
      </c>
      <c r="GT703" s="2003">
        <v>0.25</v>
      </c>
      <c r="GU703" s="2004">
        <v>0.25</v>
      </c>
      <c r="GV703" s="2176"/>
      <c r="GW703" s="2176"/>
      <c r="GX703" s="2176"/>
      <c r="GY703" s="2176"/>
      <c r="HC703" s="105"/>
      <c r="HD703" s="105"/>
      <c r="HE703" s="105"/>
      <c r="HF703" s="105"/>
      <c r="HG703" s="105"/>
      <c r="HH703" s="105"/>
      <c r="IV703"/>
    </row>
    <row r="704" spans="200:256" s="2" customFormat="1">
      <c r="GR704" s="59"/>
      <c r="GS704" s="2003"/>
      <c r="GT704" s="2003"/>
      <c r="GU704" s="2004"/>
      <c r="GV704" s="2176"/>
      <c r="GW704" s="2176"/>
      <c r="GX704" s="2176"/>
      <c r="GY704" s="2176"/>
      <c r="HC704" s="105"/>
      <c r="HD704" s="105"/>
      <c r="HE704" s="105"/>
      <c r="HF704" s="105"/>
      <c r="HG704" s="105"/>
      <c r="HH704" s="105"/>
      <c r="IV704"/>
    </row>
    <row r="705" spans="198:256" s="2" customFormat="1">
      <c r="GR705" s="59" t="s">
        <v>490</v>
      </c>
      <c r="GS705" s="1139">
        <f>+GS707/GS694</f>
        <v>0.85390902380613065</v>
      </c>
      <c r="GT705" s="1139">
        <f>+GT707/GT694</f>
        <v>0.49750826538881687</v>
      </c>
      <c r="GU705" s="1140">
        <f>+GU707/GU694</f>
        <v>0.66580775971666228</v>
      </c>
      <c r="GV705" s="2176"/>
      <c r="GW705" s="2176"/>
      <c r="GX705" s="2176"/>
      <c r="GY705" s="2176"/>
      <c r="HC705" s="105"/>
      <c r="HD705" s="105"/>
      <c r="HE705" s="105"/>
      <c r="HF705" s="105"/>
      <c r="HG705" s="105"/>
      <c r="HH705" s="105"/>
      <c r="IV705"/>
    </row>
    <row r="706" spans="198:256" s="2" customFormat="1">
      <c r="GR706" s="2002"/>
      <c r="GS706" s="61"/>
      <c r="GT706" s="61"/>
      <c r="GU706" s="60"/>
      <c r="GV706" s="77"/>
      <c r="GW706" s="77"/>
      <c r="GX706" s="77"/>
      <c r="GY706" s="77"/>
      <c r="HC706" s="105"/>
      <c r="HD706" s="105"/>
      <c r="HE706" s="105"/>
      <c r="HF706" s="105"/>
      <c r="HG706" s="105"/>
      <c r="HH706" s="105"/>
      <c r="IV706"/>
    </row>
    <row r="707" spans="198:256" s="2" customFormat="1">
      <c r="GR707" s="59" t="s">
        <v>851</v>
      </c>
      <c r="GS707" s="818">
        <f>GS695*GS701+GS696*GS703+GS697*GS702+GS698*GS703</f>
        <v>57.228561578869417</v>
      </c>
      <c r="GT707" s="818">
        <f>GT695*GT701+GT696*GT703+GT697*GT702+GT698*GT703</f>
        <v>21.680282452134197</v>
      </c>
      <c r="GU707" s="2005">
        <f>GU695*GU701+GU696*GU703+GU697*GU702+GU698*GU703</f>
        <v>210.25947878164627</v>
      </c>
      <c r="GV707" s="193"/>
      <c r="GW707" s="193"/>
      <c r="GX707" s="193"/>
      <c r="GY707" s="193"/>
      <c r="HC707" s="105"/>
      <c r="HD707" s="105"/>
      <c r="HE707" s="105"/>
      <c r="HF707" s="105"/>
      <c r="HG707" s="105"/>
      <c r="HH707" s="105"/>
      <c r="IV707"/>
    </row>
    <row r="708" spans="198:256" s="2" customFormat="1">
      <c r="GR708" s="2002" t="s">
        <v>1620</v>
      </c>
      <c r="GS708" s="2006">
        <v>8</v>
      </c>
      <c r="GT708" s="2006">
        <v>10</v>
      </c>
      <c r="GU708" s="2007">
        <v>12</v>
      </c>
      <c r="GV708" s="2217"/>
      <c r="GW708" s="2217"/>
      <c r="GX708" s="2217"/>
      <c r="GY708" s="2217"/>
      <c r="HC708" s="105"/>
      <c r="HD708" s="105"/>
      <c r="HE708" s="105"/>
      <c r="HF708" s="105"/>
      <c r="HG708" s="105"/>
      <c r="HH708" s="105"/>
      <c r="IV708"/>
    </row>
    <row r="709" spans="198:256" s="2" customFormat="1">
      <c r="GR709" s="2002" t="s">
        <v>1501</v>
      </c>
      <c r="GS709" s="96">
        <f>1/(1.2^3)</f>
        <v>0.57870370370370372</v>
      </c>
      <c r="GT709" s="96">
        <f>1/(1.2^3)</f>
        <v>0.57870370370370372</v>
      </c>
      <c r="GU709" s="97">
        <f>1/(1.2^3)</f>
        <v>0.57870370370370372</v>
      </c>
      <c r="GV709" s="104"/>
      <c r="GW709" s="104"/>
      <c r="GX709" s="104"/>
      <c r="GY709" s="104"/>
      <c r="HC709" s="105"/>
      <c r="HD709" s="105"/>
      <c r="HE709" s="105"/>
      <c r="HF709" s="105"/>
      <c r="HG709" s="105"/>
      <c r="HH709" s="105"/>
      <c r="IV709"/>
    </row>
    <row r="710" spans="198:256" s="2" customFormat="1">
      <c r="GR710" s="2002" t="s">
        <v>852</v>
      </c>
      <c r="GS710" s="2011">
        <v>511.93799999999999</v>
      </c>
      <c r="GT710" s="2011">
        <v>511.93799999999999</v>
      </c>
      <c r="GU710" s="2012">
        <v>511.93799999999999</v>
      </c>
      <c r="GV710" s="724"/>
      <c r="GW710" s="724"/>
      <c r="GX710" s="724"/>
      <c r="GY710" s="724"/>
      <c r="HC710" s="105"/>
      <c r="HD710" s="105"/>
      <c r="HE710" s="105"/>
      <c r="HF710" s="105"/>
      <c r="HG710" s="105"/>
      <c r="HH710" s="105"/>
      <c r="IV710"/>
    </row>
    <row r="711" spans="198:256" s="2" customFormat="1">
      <c r="GR711" s="59"/>
      <c r="GS711" s="61"/>
      <c r="GT711" s="61"/>
      <c r="GU711" s="60"/>
      <c r="GV711" s="77"/>
      <c r="GW711" s="77"/>
      <c r="GX711" s="77"/>
      <c r="GY711" s="77"/>
      <c r="HC711" s="105"/>
      <c r="HD711" s="105"/>
      <c r="HE711" s="105"/>
      <c r="HF711" s="105"/>
      <c r="HG711" s="105"/>
      <c r="HH711" s="105"/>
      <c r="IV711"/>
    </row>
    <row r="712" spans="198:256" s="2" customFormat="1">
      <c r="GP712" s="2" t="s">
        <v>501</v>
      </c>
      <c r="GR712" s="2009" t="s">
        <v>853</v>
      </c>
      <c r="GS712" s="1639">
        <f>+GS707*GS708*GS709/GS710</f>
        <v>0.51753736652996596</v>
      </c>
      <c r="GT712" s="1639">
        <f>+GT707*GT708*GT709/GT710</f>
        <v>0.24507771941900144</v>
      </c>
      <c r="GU712" s="1640">
        <f>+GU707*GU708*GU709/GU710</f>
        <v>2.8521720780973241</v>
      </c>
      <c r="GV712" s="210"/>
      <c r="GW712" s="210"/>
      <c r="GX712" s="210"/>
      <c r="GY712" s="210"/>
      <c r="HC712" s="105"/>
      <c r="HD712" s="105"/>
      <c r="HE712" s="105"/>
      <c r="HF712" s="105"/>
      <c r="HG712" s="105"/>
      <c r="HH712" s="105"/>
      <c r="IV712"/>
    </row>
    <row r="713" spans="198:256" s="2" customFormat="1">
      <c r="GP713" s="1401">
        <v>12.86</v>
      </c>
      <c r="GR713" s="2212" t="s">
        <v>500</v>
      </c>
      <c r="GS713" s="2213">
        <f>+GS712/$GP713</f>
        <v>4.0243963182734523E-2</v>
      </c>
      <c r="GT713" s="2213">
        <f>+GT712/$GP713</f>
        <v>1.9057365429160301E-2</v>
      </c>
      <c r="GU713" s="2214">
        <f>+GU712/$GP713</f>
        <v>0.22178632022529737</v>
      </c>
      <c r="GV713" s="215"/>
      <c r="GW713" s="215"/>
      <c r="GX713" s="215"/>
      <c r="GY713" s="215"/>
      <c r="HC713" s="105"/>
      <c r="HD713" s="105"/>
      <c r="HE713" s="105"/>
      <c r="HF713" s="105"/>
      <c r="HG713" s="105"/>
      <c r="HH713" s="105"/>
      <c r="IV713"/>
    </row>
    <row r="714" spans="198:256" s="2" customFormat="1">
      <c r="GP714" s="1401"/>
      <c r="GR714" s="147" t="s">
        <v>809</v>
      </c>
      <c r="GS714" s="1613" t="s">
        <v>1205</v>
      </c>
      <c r="GT714" s="1613" t="s">
        <v>871</v>
      </c>
      <c r="GU714" s="2008" t="s">
        <v>1204</v>
      </c>
      <c r="GV714" s="215"/>
      <c r="GW714" s="215"/>
      <c r="GX714" s="215"/>
      <c r="GY714" s="215"/>
      <c r="HC714" s="105"/>
      <c r="HD714" s="105"/>
      <c r="HE714" s="105"/>
      <c r="HF714" s="105"/>
      <c r="HG714" s="105"/>
      <c r="HH714" s="105"/>
      <c r="IV714"/>
    </row>
    <row r="715" spans="198:256" s="2" customFormat="1">
      <c r="GR715" s="2208" t="s">
        <v>706</v>
      </c>
      <c r="GS715" s="210"/>
      <c r="GT715" s="210"/>
      <c r="GU715" s="2209"/>
      <c r="GV715" s="210"/>
      <c r="GW715" s="210"/>
      <c r="GX715" s="210"/>
      <c r="GY715" s="210"/>
      <c r="HC715" s="105"/>
      <c r="HD715" s="105"/>
      <c r="HE715" s="105"/>
      <c r="HF715" s="105"/>
      <c r="HG715" s="105"/>
      <c r="HH715" s="105"/>
      <c r="IV715"/>
    </row>
    <row r="716" spans="198:256" s="2" customFormat="1">
      <c r="GR716" s="59" t="s">
        <v>810</v>
      </c>
      <c r="GS716" s="818">
        <f>+GS639</f>
        <v>1474.2893025552999</v>
      </c>
      <c r="GT716" s="818">
        <f>+GT639</f>
        <v>3491.6723288209005</v>
      </c>
      <c r="GU716" s="2005">
        <f>+GU639</f>
        <v>5342.8206832657997</v>
      </c>
      <c r="GV716" s="193"/>
      <c r="GW716" s="193"/>
      <c r="GX716" s="193"/>
      <c r="GY716" s="193"/>
      <c r="HC716" s="105"/>
      <c r="HD716" s="105"/>
      <c r="HE716" s="105"/>
      <c r="HF716" s="105"/>
      <c r="HG716" s="105"/>
      <c r="HH716" s="105"/>
      <c r="IV716"/>
    </row>
    <row r="717" spans="198:256" s="2" customFormat="1">
      <c r="GR717" s="59" t="s">
        <v>811</v>
      </c>
      <c r="GS717" s="1139">
        <f>+GS$643</f>
        <v>0.18183542843815653</v>
      </c>
      <c r="GT717" s="1139">
        <f>+GT$643</f>
        <v>4.9921904569033865E-2</v>
      </c>
      <c r="GU717" s="1140">
        <f>+GU$643</f>
        <v>0.23642648410790934</v>
      </c>
      <c r="GV717" s="807"/>
      <c r="GW717" s="807"/>
      <c r="GX717" s="807"/>
      <c r="GY717" s="807"/>
      <c r="HC717" s="105"/>
      <c r="HD717" s="105"/>
      <c r="HE717" s="105"/>
      <c r="HF717" s="105"/>
      <c r="HG717" s="105"/>
      <c r="HH717" s="105"/>
      <c r="IV717"/>
    </row>
    <row r="718" spans="198:256" s="2" customFormat="1">
      <c r="GR718" s="59" t="s">
        <v>705</v>
      </c>
      <c r="GS718" s="818">
        <f>+GS717*GS$639</f>
        <v>268.07802697193392</v>
      </c>
      <c r="GT718" s="818">
        <f>+GT717*GT$639</f>
        <v>174.31093278573323</v>
      </c>
      <c r="GU718" s="2005">
        <f>+GU717*GU$639</f>
        <v>1263.1843093635509</v>
      </c>
      <c r="GV718" s="193"/>
      <c r="GW718" s="193"/>
      <c r="GX718" s="193"/>
      <c r="GY718" s="193"/>
      <c r="HC718" s="105"/>
      <c r="HD718" s="105"/>
      <c r="HE718" s="105"/>
      <c r="HF718" s="105"/>
      <c r="HG718" s="105"/>
      <c r="HH718" s="105"/>
      <c r="IV718"/>
    </row>
    <row r="719" spans="198:256" s="2" customFormat="1">
      <c r="GR719" s="59" t="s">
        <v>271</v>
      </c>
      <c r="GS719" s="2180">
        <f>+GT719</f>
        <v>0.25</v>
      </c>
      <c r="GT719" s="807">
        <f>+$GP$658</f>
        <v>0.25</v>
      </c>
      <c r="GU719" s="2181">
        <f>+GT719</f>
        <v>0.25</v>
      </c>
      <c r="GV719" s="2180"/>
      <c r="GW719" s="2180"/>
      <c r="GX719" s="2180"/>
      <c r="GY719" s="2180"/>
      <c r="HC719" s="105"/>
      <c r="HD719" s="105"/>
      <c r="HE719" s="105"/>
      <c r="HF719" s="105"/>
      <c r="HG719" s="105"/>
      <c r="HH719" s="105"/>
      <c r="IV719"/>
    </row>
    <row r="720" spans="198:256" s="2" customFormat="1">
      <c r="GR720" s="59" t="s">
        <v>401</v>
      </c>
      <c r="GS720" s="818">
        <f>+GS719*GS718</f>
        <v>67.019506742983481</v>
      </c>
      <c r="GT720" s="818">
        <f>+GT719*GT718</f>
        <v>43.577733196433307</v>
      </c>
      <c r="GU720" s="2005">
        <f>+GU719*GU718</f>
        <v>315.79607734088773</v>
      </c>
      <c r="GV720" s="193"/>
      <c r="GW720" s="193"/>
      <c r="GX720" s="193"/>
      <c r="GY720" s="193"/>
      <c r="HC720" s="105"/>
      <c r="HD720" s="105"/>
      <c r="HE720" s="105"/>
      <c r="HF720" s="105"/>
      <c r="HG720" s="105"/>
      <c r="HH720" s="105"/>
      <c r="IV720"/>
    </row>
    <row r="721" spans="198:256" s="2" customFormat="1">
      <c r="GR721" s="59" t="s">
        <v>503</v>
      </c>
      <c r="GS721" s="2003">
        <v>0.5</v>
      </c>
      <c r="GT721" s="2003">
        <v>0.5</v>
      </c>
      <c r="GU721" s="2004">
        <v>0.5</v>
      </c>
      <c r="GV721" s="2176"/>
      <c r="GW721" s="2176"/>
      <c r="GX721" s="2176"/>
      <c r="GY721" s="2176"/>
      <c r="HC721" s="105"/>
      <c r="HD721" s="105"/>
      <c r="HE721" s="105"/>
      <c r="HF721" s="105"/>
      <c r="HG721" s="105"/>
      <c r="HH721" s="105"/>
      <c r="IV721"/>
    </row>
    <row r="722" spans="198:256" s="2" customFormat="1" ht="3.95" customHeight="1">
      <c r="GR722" s="59"/>
      <c r="GS722" s="2003"/>
      <c r="GT722" s="2003"/>
      <c r="GU722" s="2004"/>
      <c r="GV722" s="2176"/>
      <c r="GW722" s="2176"/>
      <c r="GX722" s="2176"/>
      <c r="GY722" s="2176"/>
      <c r="HC722" s="105"/>
      <c r="HD722" s="105"/>
      <c r="HE722" s="105"/>
      <c r="HF722" s="105"/>
      <c r="HG722" s="105"/>
      <c r="HH722" s="105"/>
      <c r="IV722"/>
    </row>
    <row r="723" spans="198:256" s="2" customFormat="1">
      <c r="GR723" s="59" t="s">
        <v>702</v>
      </c>
      <c r="GS723" s="818">
        <f>+GS720*GS721</f>
        <v>33.50975337149174</v>
      </c>
      <c r="GT723" s="818">
        <f>+GT720*GT721</f>
        <v>21.788866598216654</v>
      </c>
      <c r="GU723" s="2005">
        <f>+GU720*GU721</f>
        <v>157.89803867044387</v>
      </c>
      <c r="GV723" s="193"/>
      <c r="GW723" s="193"/>
      <c r="GX723" s="193"/>
      <c r="GY723" s="193"/>
      <c r="HC723" s="105"/>
      <c r="HD723" s="105"/>
      <c r="HE723" s="105"/>
      <c r="HF723" s="105"/>
      <c r="HG723" s="105"/>
      <c r="HH723" s="105"/>
      <c r="IV723"/>
    </row>
    <row r="724" spans="198:256" s="2" customFormat="1">
      <c r="GR724" s="2002" t="s">
        <v>1620</v>
      </c>
      <c r="GS724" s="2006">
        <v>8</v>
      </c>
      <c r="GT724" s="2006">
        <v>10</v>
      </c>
      <c r="GU724" s="2007">
        <v>12</v>
      </c>
      <c r="GV724" s="2217"/>
      <c r="GW724" s="2217"/>
      <c r="GX724" s="2217"/>
      <c r="GY724" s="2217"/>
      <c r="HC724" s="105"/>
      <c r="HD724" s="105"/>
      <c r="HE724" s="105"/>
      <c r="HF724" s="105"/>
      <c r="HG724" s="105"/>
      <c r="HH724" s="105"/>
      <c r="IV724"/>
    </row>
    <row r="725" spans="198:256" s="2" customFormat="1">
      <c r="GR725" s="2002" t="s">
        <v>1501</v>
      </c>
      <c r="GS725" s="96">
        <f>1/(1.2^3)</f>
        <v>0.57870370370370372</v>
      </c>
      <c r="GT725" s="96">
        <f>1/(1.2^3)</f>
        <v>0.57870370370370372</v>
      </c>
      <c r="GU725" s="97">
        <f>1/(1.2^3)</f>
        <v>0.57870370370370372</v>
      </c>
      <c r="GV725" s="104"/>
      <c r="GW725" s="104"/>
      <c r="GX725" s="104"/>
      <c r="GY725" s="104"/>
      <c r="HC725" s="105"/>
      <c r="HD725" s="105"/>
      <c r="HE725" s="105"/>
      <c r="HF725" s="105"/>
      <c r="HG725" s="105"/>
      <c r="HH725" s="105"/>
      <c r="IV725"/>
    </row>
    <row r="726" spans="198:256" s="2" customFormat="1">
      <c r="GR726" s="2002" t="s">
        <v>475</v>
      </c>
      <c r="GS726" s="2011">
        <v>88</v>
      </c>
      <c r="GT726" s="2011">
        <v>88</v>
      </c>
      <c r="GU726" s="2012">
        <v>88</v>
      </c>
      <c r="GV726" s="724"/>
      <c r="GW726" s="724"/>
      <c r="GX726" s="724"/>
      <c r="GY726" s="724"/>
      <c r="HC726" s="105"/>
      <c r="HD726" s="105"/>
      <c r="HE726" s="105"/>
      <c r="HF726" s="105"/>
      <c r="HG726" s="105"/>
      <c r="HH726" s="105"/>
      <c r="IV726"/>
    </row>
    <row r="727" spans="198:256" s="2" customFormat="1">
      <c r="GP727" s="2" t="s">
        <v>484</v>
      </c>
      <c r="GR727" s="2009" t="s">
        <v>703</v>
      </c>
      <c r="GS727" s="1639">
        <f>+GS723*GS724*GS725/GS726</f>
        <v>1.7629289442072675</v>
      </c>
      <c r="GT727" s="1639">
        <f>+GT723*GT724*GT725/GT726</f>
        <v>1.4328747499879428</v>
      </c>
      <c r="GU727" s="1640">
        <f>+GU723*GU724*GU725/GU726</f>
        <v>12.460388152654978</v>
      </c>
      <c r="GV727" s="210"/>
      <c r="GW727" s="210"/>
      <c r="GX727" s="210"/>
      <c r="GY727" s="210"/>
      <c r="HC727" s="105"/>
      <c r="HD727" s="105"/>
      <c r="HE727" s="105"/>
      <c r="HF727" s="105"/>
      <c r="HG727" s="105"/>
      <c r="HH727" s="105"/>
      <c r="IV727"/>
    </row>
    <row r="728" spans="198:256" s="2" customFormat="1">
      <c r="GP728" s="1401">
        <v>14.59</v>
      </c>
      <c r="GR728" s="2212" t="s">
        <v>500</v>
      </c>
      <c r="GS728" s="2213">
        <f>+GS727/$GP728</f>
        <v>0.12083131899981271</v>
      </c>
      <c r="GT728" s="2213">
        <f>+GT727/$GP728</f>
        <v>9.8209372857295599E-2</v>
      </c>
      <c r="GU728" s="2214">
        <f>+GU727/$GP728</f>
        <v>0.85403619963365174</v>
      </c>
      <c r="GV728" s="215"/>
      <c r="GW728" s="215"/>
      <c r="GX728" s="215"/>
      <c r="GY728" s="215"/>
      <c r="HC728" s="105"/>
      <c r="HD728" s="105"/>
      <c r="HE728" s="105"/>
      <c r="HF728" s="105"/>
      <c r="HG728" s="105"/>
      <c r="HH728" s="105"/>
      <c r="IV728"/>
    </row>
    <row r="729" spans="198:256" s="2" customFormat="1">
      <c r="GP729" s="1401"/>
      <c r="GR729" s="147" t="s">
        <v>843</v>
      </c>
      <c r="GS729" s="1613" t="s">
        <v>1205</v>
      </c>
      <c r="GT729" s="1613" t="s">
        <v>871</v>
      </c>
      <c r="GU729" s="2008" t="s">
        <v>1204</v>
      </c>
      <c r="GV729" s="215"/>
      <c r="GW729" s="215"/>
      <c r="GX729" s="215"/>
      <c r="GY729" s="215"/>
      <c r="HC729" s="105"/>
      <c r="HD729" s="105"/>
      <c r="HE729" s="105"/>
      <c r="HF729" s="105"/>
      <c r="HG729" s="105"/>
      <c r="HH729" s="105"/>
      <c r="IV729"/>
    </row>
    <row r="730" spans="198:256" s="2" customFormat="1">
      <c r="GR730" s="2208" t="s">
        <v>707</v>
      </c>
      <c r="GS730" s="210"/>
      <c r="GT730" s="210"/>
      <c r="GU730" s="2209"/>
      <c r="GV730" s="210"/>
      <c r="GW730" s="210"/>
      <c r="GX730" s="210"/>
      <c r="GY730" s="210"/>
      <c r="HC730" s="105"/>
      <c r="HD730" s="105"/>
      <c r="HE730" s="105"/>
      <c r="HF730" s="105"/>
      <c r="HG730" s="105"/>
      <c r="HH730" s="105"/>
      <c r="IV730"/>
    </row>
    <row r="731" spans="198:256" s="2" customFormat="1">
      <c r="GR731" s="59" t="s">
        <v>1632</v>
      </c>
      <c r="GS731" s="1139">
        <f>+GS$643</f>
        <v>0.18183542843815653</v>
      </c>
      <c r="GT731" s="1139">
        <f>+GT$643</f>
        <v>4.9921904569033865E-2</v>
      </c>
      <c r="GU731" s="1140">
        <f>+GU$643</f>
        <v>0.23642648410790934</v>
      </c>
      <c r="GV731" s="807"/>
      <c r="GW731" s="807"/>
      <c r="GX731" s="807"/>
      <c r="GY731" s="807"/>
      <c r="HC731" s="105"/>
      <c r="HD731" s="105"/>
      <c r="HE731" s="105"/>
      <c r="HF731" s="105"/>
      <c r="HG731" s="105"/>
      <c r="HH731" s="105"/>
      <c r="IV731"/>
    </row>
    <row r="732" spans="198:256" s="2" customFormat="1">
      <c r="GR732" s="59" t="s">
        <v>705</v>
      </c>
      <c r="GS732" s="818">
        <f>+GS731*GS$639</f>
        <v>268.07802697193392</v>
      </c>
      <c r="GT732" s="818">
        <f>+GT731*GT$639</f>
        <v>174.31093278573323</v>
      </c>
      <c r="GU732" s="2005">
        <f>+GU731*GU$639</f>
        <v>1263.1843093635509</v>
      </c>
      <c r="GV732" s="193"/>
      <c r="GW732" s="193"/>
      <c r="GX732" s="193"/>
      <c r="GY732" s="193"/>
      <c r="HC732" s="105"/>
      <c r="HD732" s="105"/>
      <c r="HE732" s="105"/>
      <c r="HF732" s="105"/>
      <c r="HG732" s="105"/>
      <c r="HH732" s="105"/>
      <c r="IV732"/>
    </row>
    <row r="733" spans="198:256" s="2" customFormat="1">
      <c r="GR733" s="59" t="s">
        <v>271</v>
      </c>
      <c r="GS733" s="2180">
        <f>+GT733</f>
        <v>0.25</v>
      </c>
      <c r="GT733" s="807">
        <f>+$GP$658</f>
        <v>0.25</v>
      </c>
      <c r="GU733" s="2181">
        <f>+GT733</f>
        <v>0.25</v>
      </c>
      <c r="GV733" s="2180"/>
      <c r="GW733" s="2180"/>
      <c r="GX733" s="2180"/>
      <c r="GY733" s="2180"/>
      <c r="HC733" s="105"/>
      <c r="HD733" s="105"/>
      <c r="HE733" s="105"/>
      <c r="HF733" s="105"/>
      <c r="HG733" s="105"/>
      <c r="HH733" s="105"/>
      <c r="IV733"/>
    </row>
    <row r="734" spans="198:256" s="2" customFormat="1">
      <c r="GR734" s="59" t="s">
        <v>401</v>
      </c>
      <c r="GS734" s="818">
        <f>+GS733*GS732</f>
        <v>67.019506742983481</v>
      </c>
      <c r="GT734" s="818">
        <f>+GT733*GT732</f>
        <v>43.577733196433307</v>
      </c>
      <c r="GU734" s="2005">
        <f>+GU733*GU732</f>
        <v>315.79607734088773</v>
      </c>
      <c r="GV734" s="193"/>
      <c r="GW734" s="193"/>
      <c r="GX734" s="193"/>
      <c r="GY734" s="193"/>
      <c r="HC734" s="105"/>
      <c r="HD734" s="105"/>
      <c r="HE734" s="105"/>
      <c r="HF734" s="105"/>
      <c r="HG734" s="105"/>
      <c r="HH734" s="105"/>
      <c r="IV734"/>
    </row>
    <row r="735" spans="198:256" s="2" customFormat="1">
      <c r="GR735" s="59" t="s">
        <v>503</v>
      </c>
      <c r="GS735" s="2003">
        <v>0.5</v>
      </c>
      <c r="GT735" s="2003">
        <v>0.5</v>
      </c>
      <c r="GU735" s="2004">
        <v>0.5</v>
      </c>
      <c r="GV735" s="2176"/>
      <c r="GW735" s="2176"/>
      <c r="GX735" s="2176"/>
      <c r="GY735" s="2176"/>
      <c r="HC735" s="105"/>
      <c r="HD735" s="105"/>
      <c r="HE735" s="105"/>
      <c r="HF735" s="105"/>
      <c r="HG735" s="105"/>
      <c r="HH735" s="105"/>
      <c r="IV735"/>
    </row>
    <row r="736" spans="198:256" s="2" customFormat="1" ht="3.95" customHeight="1">
      <c r="GR736" s="59"/>
      <c r="GS736" s="2003"/>
      <c r="GT736" s="2003"/>
      <c r="GU736" s="2004"/>
      <c r="GV736" s="2176"/>
      <c r="GW736" s="2176"/>
      <c r="GX736" s="2176"/>
      <c r="GY736" s="2176"/>
      <c r="HC736" s="105"/>
      <c r="HD736" s="105"/>
      <c r="HE736" s="105"/>
      <c r="HF736" s="105"/>
      <c r="HG736" s="105"/>
      <c r="HH736" s="105"/>
      <c r="IV736"/>
    </row>
    <row r="737" spans="198:256" s="2" customFormat="1">
      <c r="GR737" s="59" t="s">
        <v>702</v>
      </c>
      <c r="GS737" s="818">
        <f>+GS734*GS735</f>
        <v>33.50975337149174</v>
      </c>
      <c r="GT737" s="818">
        <f>+GT734*GT735</f>
        <v>21.788866598216654</v>
      </c>
      <c r="GU737" s="2005">
        <f>+GU734*GU735</f>
        <v>157.89803867044387</v>
      </c>
      <c r="GV737" s="193"/>
      <c r="GW737" s="193"/>
      <c r="GX737" s="193"/>
      <c r="GY737" s="193"/>
      <c r="HC737" s="105"/>
      <c r="HD737" s="105"/>
      <c r="HE737" s="105"/>
      <c r="HF737" s="105"/>
      <c r="HG737" s="105"/>
      <c r="HH737" s="105"/>
      <c r="IV737"/>
    </row>
    <row r="738" spans="198:256" s="2" customFormat="1">
      <c r="GR738" s="2002" t="s">
        <v>1620</v>
      </c>
      <c r="GS738" s="2006">
        <v>8</v>
      </c>
      <c r="GT738" s="2006">
        <v>10</v>
      </c>
      <c r="GU738" s="2007">
        <v>12</v>
      </c>
      <c r="GV738" s="2217"/>
      <c r="GW738" s="2217"/>
      <c r="GX738" s="2217"/>
      <c r="GY738" s="2217"/>
      <c r="HC738" s="105"/>
      <c r="HD738" s="105"/>
      <c r="HE738" s="105"/>
      <c r="HF738" s="105"/>
      <c r="HG738" s="105"/>
      <c r="HH738" s="105"/>
      <c r="IV738"/>
    </row>
    <row r="739" spans="198:256" s="2" customFormat="1">
      <c r="GR739" s="2002" t="s">
        <v>1501</v>
      </c>
      <c r="GS739" s="96">
        <f>1/(1.2^3)</f>
        <v>0.57870370370370372</v>
      </c>
      <c r="GT739" s="96">
        <f>1/(1.2^3)</f>
        <v>0.57870370370370372</v>
      </c>
      <c r="GU739" s="97">
        <f>1/(1.2^3)</f>
        <v>0.57870370370370372</v>
      </c>
      <c r="GV739" s="104"/>
      <c r="GW739" s="104"/>
      <c r="GX739" s="104"/>
      <c r="GY739" s="104"/>
      <c r="HC739" s="105"/>
      <c r="HD739" s="105"/>
      <c r="HE739" s="105"/>
      <c r="HF739" s="105"/>
      <c r="HG739" s="105"/>
      <c r="HH739" s="105"/>
      <c r="IV739"/>
    </row>
    <row r="740" spans="198:256" s="2" customFormat="1">
      <c r="GR740" s="2002" t="s">
        <v>475</v>
      </c>
      <c r="GS740" s="2011">
        <v>826.66203599999994</v>
      </c>
      <c r="GT740" s="2011">
        <v>826.66203599999994</v>
      </c>
      <c r="GU740" s="2012">
        <v>826.66203599999994</v>
      </c>
      <c r="GV740" s="724"/>
      <c r="GW740" s="724"/>
      <c r="GX740" s="724"/>
      <c r="GY740" s="724"/>
      <c r="HC740" s="105"/>
      <c r="HD740" s="105"/>
      <c r="HE740" s="105"/>
      <c r="HF740" s="105"/>
      <c r="HG740" s="105"/>
      <c r="HH740" s="105"/>
      <c r="IV740"/>
    </row>
    <row r="741" spans="198:256" s="2" customFormat="1">
      <c r="GP741" s="2" t="s">
        <v>485</v>
      </c>
      <c r="GR741" s="2009" t="s">
        <v>703</v>
      </c>
      <c r="GS741" s="1639">
        <f>+GS737*GS738*GS739/GS740</f>
        <v>0.18766768078634682</v>
      </c>
      <c r="GT741" s="1639">
        <f>+GT737*GT738*GT739/GT740</f>
        <v>0.15253268265356629</v>
      </c>
      <c r="GU741" s="1640">
        <f>+GU737*GU738*GU739/GU740</f>
        <v>1.3264358464305213</v>
      </c>
      <c r="GV741" s="210"/>
      <c r="GW741" s="210"/>
      <c r="GX741" s="210"/>
      <c r="GY741" s="210"/>
      <c r="HC741" s="105"/>
      <c r="HD741" s="105"/>
      <c r="HE741" s="105"/>
      <c r="HF741" s="105"/>
      <c r="HG741" s="105"/>
      <c r="HH741" s="105"/>
      <c r="IV741"/>
    </row>
    <row r="742" spans="198:256" s="2" customFormat="1">
      <c r="GP742" s="1401">
        <v>54.97</v>
      </c>
      <c r="GR742" s="2212" t="s">
        <v>500</v>
      </c>
      <c r="GS742" s="2213">
        <f>+GS741/$GP742</f>
        <v>3.4140018334791128E-3</v>
      </c>
      <c r="GT742" s="2213">
        <f>+GT741/$GP742</f>
        <v>2.7748350491825775E-3</v>
      </c>
      <c r="GU742" s="2214">
        <f>+GU741/$GP742</f>
        <v>2.4130177304539226E-2</v>
      </c>
      <c r="GV742" s="215"/>
      <c r="GW742" s="215"/>
      <c r="GX742" s="215"/>
      <c r="GY742" s="215"/>
      <c r="HC742" s="105"/>
      <c r="HD742" s="105"/>
      <c r="HE742" s="105"/>
      <c r="HF742" s="105"/>
      <c r="HG742" s="105"/>
      <c r="HH742" s="105"/>
      <c r="IV742"/>
    </row>
    <row r="743" spans="198:256" s="2" customFormat="1">
      <c r="GP743" s="1401"/>
      <c r="GR743" s="147" t="s">
        <v>843</v>
      </c>
      <c r="GS743" s="1613" t="s">
        <v>1205</v>
      </c>
      <c r="GT743" s="1613" t="s">
        <v>871</v>
      </c>
      <c r="GU743" s="2008" t="s">
        <v>1204</v>
      </c>
      <c r="GV743" s="215"/>
      <c r="GW743" s="215"/>
      <c r="GX743" s="215"/>
      <c r="GY743" s="215"/>
      <c r="HC743" s="105"/>
      <c r="HD743" s="105"/>
      <c r="HE743" s="105"/>
      <c r="HF743" s="105"/>
      <c r="HG743" s="105"/>
      <c r="HH743" s="105"/>
      <c r="IV743"/>
    </row>
    <row r="744" spans="198:256" s="2" customFormat="1">
      <c r="GR744" s="2208" t="s">
        <v>502</v>
      </c>
      <c r="GS744" s="210"/>
      <c r="GT744" s="210"/>
      <c r="GU744" s="2209"/>
      <c r="GV744" s="210"/>
      <c r="GW744" s="210"/>
      <c r="GX744" s="210"/>
      <c r="GY744" s="210"/>
      <c r="HC744" s="105"/>
      <c r="HD744" s="105"/>
      <c r="HE744" s="105"/>
      <c r="HF744" s="105"/>
      <c r="HG744" s="105"/>
      <c r="HH744" s="105"/>
      <c r="IV744"/>
    </row>
    <row r="745" spans="198:256" s="2" customFormat="1">
      <c r="GR745" s="59" t="s">
        <v>1632</v>
      </c>
      <c r="GS745" s="1139">
        <f>+GS$643</f>
        <v>0.18183542843815653</v>
      </c>
      <c r="GT745" s="1139">
        <f>+GT$643</f>
        <v>4.9921904569033865E-2</v>
      </c>
      <c r="GU745" s="1140">
        <f>+GU$643</f>
        <v>0.23642648410790934</v>
      </c>
      <c r="GV745" s="807"/>
      <c r="GW745" s="807"/>
      <c r="GX745" s="807"/>
      <c r="GY745" s="807"/>
      <c r="HC745" s="105"/>
      <c r="HD745" s="105"/>
      <c r="HE745" s="105"/>
      <c r="HF745" s="105"/>
      <c r="HG745" s="105"/>
      <c r="HH745" s="105"/>
      <c r="IV745"/>
    </row>
    <row r="746" spans="198:256" s="2" customFormat="1">
      <c r="GR746" s="59" t="s">
        <v>705</v>
      </c>
      <c r="GS746" s="818">
        <f>+GS745*GS$639</f>
        <v>268.07802697193392</v>
      </c>
      <c r="GT746" s="818">
        <f>+GT745*GT$639</f>
        <v>174.31093278573323</v>
      </c>
      <c r="GU746" s="2005">
        <f>+GU745*GU$639</f>
        <v>1263.1843093635509</v>
      </c>
      <c r="GV746" s="193"/>
      <c r="GW746" s="193"/>
      <c r="GX746" s="193"/>
      <c r="GY746" s="193"/>
      <c r="HC746" s="105"/>
      <c r="HD746" s="105"/>
      <c r="HE746" s="105"/>
      <c r="HF746" s="105"/>
      <c r="HG746" s="105"/>
      <c r="HH746" s="105"/>
      <c r="IV746"/>
    </row>
    <row r="747" spans="198:256" s="2" customFormat="1">
      <c r="GR747" s="59" t="s">
        <v>271</v>
      </c>
      <c r="GS747" s="2180">
        <f>+GT747</f>
        <v>0.25</v>
      </c>
      <c r="GT747" s="807">
        <f>+$GP$658</f>
        <v>0.25</v>
      </c>
      <c r="GU747" s="2181">
        <f>+GT747</f>
        <v>0.25</v>
      </c>
      <c r="GV747" s="2180"/>
      <c r="GW747" s="2180"/>
      <c r="GX747" s="2180"/>
      <c r="GY747" s="2180"/>
      <c r="HC747" s="105"/>
      <c r="HD747" s="105"/>
      <c r="HE747" s="105"/>
      <c r="HF747" s="105"/>
      <c r="HG747" s="105"/>
      <c r="HH747" s="105"/>
      <c r="IV747"/>
    </row>
    <row r="748" spans="198:256" s="2" customFormat="1">
      <c r="GR748" s="59" t="s">
        <v>401</v>
      </c>
      <c r="GS748" s="818">
        <f>+GS747*GS746</f>
        <v>67.019506742983481</v>
      </c>
      <c r="GT748" s="818">
        <f>+GT747*GT746</f>
        <v>43.577733196433307</v>
      </c>
      <c r="GU748" s="2005">
        <f>+GU747*GU746</f>
        <v>315.79607734088773</v>
      </c>
      <c r="GV748" s="193"/>
      <c r="GW748" s="193"/>
      <c r="GX748" s="193"/>
      <c r="GY748" s="193"/>
      <c r="HC748" s="105"/>
      <c r="HD748" s="105"/>
      <c r="HE748" s="105"/>
      <c r="HF748" s="105"/>
      <c r="HG748" s="105"/>
      <c r="HH748" s="105"/>
      <c r="IV748"/>
    </row>
    <row r="749" spans="198:256" s="2" customFormat="1">
      <c r="GR749" s="59" t="s">
        <v>503</v>
      </c>
      <c r="GS749" s="2003">
        <v>0.5</v>
      </c>
      <c r="GT749" s="2003">
        <v>0.5</v>
      </c>
      <c r="GU749" s="2004">
        <v>0.5</v>
      </c>
      <c r="GV749" s="2176"/>
      <c r="GW749" s="2176"/>
      <c r="GX749" s="2176"/>
      <c r="GY749" s="2176"/>
      <c r="HC749" s="105"/>
      <c r="HD749" s="105"/>
      <c r="HE749" s="105"/>
      <c r="HF749" s="105"/>
      <c r="HG749" s="105"/>
      <c r="HH749" s="105"/>
      <c r="IV749"/>
    </row>
    <row r="750" spans="198:256" s="2" customFormat="1" ht="3.95" customHeight="1">
      <c r="GR750" s="59"/>
      <c r="GS750" s="2003"/>
      <c r="GT750" s="2003"/>
      <c r="GU750" s="2004"/>
      <c r="GV750" s="2176"/>
      <c r="GW750" s="2176"/>
      <c r="GX750" s="2176"/>
      <c r="GY750" s="2176"/>
      <c r="HC750" s="105"/>
      <c r="HD750" s="105"/>
      <c r="HE750" s="105"/>
      <c r="HF750" s="105"/>
      <c r="HG750" s="105"/>
      <c r="HH750" s="105"/>
      <c r="IV750"/>
    </row>
    <row r="751" spans="198:256" s="2" customFormat="1">
      <c r="GR751" s="59" t="s">
        <v>702</v>
      </c>
      <c r="GS751" s="818">
        <f>+GS748*GS749</f>
        <v>33.50975337149174</v>
      </c>
      <c r="GT751" s="818">
        <f>+GT748*GT749</f>
        <v>21.788866598216654</v>
      </c>
      <c r="GU751" s="2005">
        <f>+GU748*GU749</f>
        <v>157.89803867044387</v>
      </c>
      <c r="GV751" s="193"/>
      <c r="GW751" s="193"/>
      <c r="GX751" s="193"/>
      <c r="GY751" s="193"/>
      <c r="HC751" s="105"/>
      <c r="HD751" s="105"/>
      <c r="HE751" s="105"/>
      <c r="HF751" s="105"/>
      <c r="HG751" s="105"/>
      <c r="HH751" s="105"/>
      <c r="IV751"/>
    </row>
    <row r="752" spans="198:256" s="2" customFormat="1">
      <c r="GR752" s="2002" t="s">
        <v>1620</v>
      </c>
      <c r="GS752" s="2006">
        <v>8</v>
      </c>
      <c r="GT752" s="2006">
        <v>10</v>
      </c>
      <c r="GU752" s="2007">
        <v>12</v>
      </c>
      <c r="GV752" s="2217"/>
      <c r="GW752" s="2217"/>
      <c r="GX752" s="2217"/>
      <c r="GY752" s="2217"/>
      <c r="HC752" s="105"/>
      <c r="HD752" s="105"/>
      <c r="HE752" s="105"/>
      <c r="HF752" s="105"/>
      <c r="HG752" s="105"/>
      <c r="HH752" s="105"/>
      <c r="IV752"/>
    </row>
    <row r="753" spans="198:256" s="2" customFormat="1">
      <c r="GR753" s="2002" t="s">
        <v>1501</v>
      </c>
      <c r="GS753" s="96">
        <f>1/(1.2^3)</f>
        <v>0.57870370370370372</v>
      </c>
      <c r="GT753" s="96">
        <f>1/(1.2^3)</f>
        <v>0.57870370370370372</v>
      </c>
      <c r="GU753" s="97">
        <f>1/(1.2^3)</f>
        <v>0.57870370370370372</v>
      </c>
      <c r="GV753" s="104"/>
      <c r="GW753" s="104"/>
      <c r="GX753" s="104"/>
      <c r="GY753" s="104"/>
      <c r="HC753" s="105"/>
      <c r="HD753" s="105"/>
      <c r="HE753" s="105"/>
      <c r="HF753" s="105"/>
      <c r="HG753" s="105"/>
      <c r="HH753" s="105"/>
      <c r="IV753"/>
    </row>
    <row r="754" spans="198:256" s="2" customFormat="1">
      <c r="GR754" s="2002" t="s">
        <v>475</v>
      </c>
      <c r="GS754" s="2011">
        <v>101.37199999999999</v>
      </c>
      <c r="GT754" s="2011">
        <v>101.37199999999999</v>
      </c>
      <c r="GU754" s="2012">
        <v>101.37199999999999</v>
      </c>
      <c r="GV754" s="724"/>
      <c r="GW754" s="724"/>
      <c r="GX754" s="724"/>
      <c r="GY754" s="724"/>
      <c r="HC754" s="105"/>
      <c r="HD754" s="105"/>
      <c r="HE754" s="105"/>
      <c r="HF754" s="105"/>
      <c r="HG754" s="105"/>
      <c r="HH754" s="105"/>
      <c r="IV754"/>
    </row>
    <row r="755" spans="198:256" s="2" customFormat="1">
      <c r="GP755" s="2" t="s">
        <v>704</v>
      </c>
      <c r="GR755" s="2009" t="s">
        <v>703</v>
      </c>
      <c r="GS755" s="1639">
        <f>+GS751*GS752*GS753/GS754</f>
        <v>1.5303806484062616</v>
      </c>
      <c r="GT755" s="1639">
        <f>+GT751*GT752*GT753/GT754</f>
        <v>1.2438639663707829</v>
      </c>
      <c r="GU755" s="1640">
        <f>+GU751*GU752*GU753/GU754</f>
        <v>10.816735957006257</v>
      </c>
      <c r="GV755" s="210"/>
      <c r="GW755" s="210"/>
      <c r="GX755" s="210"/>
      <c r="GY755" s="210"/>
      <c r="HC755" s="105"/>
      <c r="HD755" s="105"/>
      <c r="HE755" s="105"/>
      <c r="HF755" s="105"/>
      <c r="HG755" s="105"/>
      <c r="HH755" s="105"/>
      <c r="IV755"/>
    </row>
    <row r="756" spans="198:256" s="2" customFormat="1">
      <c r="GP756" s="1401">
        <v>127.16</v>
      </c>
      <c r="GR756" s="2212" t="s">
        <v>500</v>
      </c>
      <c r="GS756" s="2213">
        <f>+GS755/$GP756</f>
        <v>1.2035079021754181E-2</v>
      </c>
      <c r="GT756" s="2213">
        <f>+GT755/$GP756</f>
        <v>9.7818808302200608E-3</v>
      </c>
      <c r="GU756" s="2214">
        <f>+GU755/$GP756</f>
        <v>8.5063982046290162E-2</v>
      </c>
      <c r="GV756" s="215"/>
      <c r="GW756" s="215"/>
      <c r="GX756" s="215"/>
      <c r="GY756" s="215"/>
      <c r="HC756" s="105"/>
      <c r="HD756" s="105"/>
      <c r="HE756" s="105"/>
      <c r="HF756" s="105"/>
      <c r="HG756" s="105"/>
      <c r="HH756" s="105"/>
      <c r="IV756"/>
    </row>
    <row r="757" spans="198:256" s="2" customFormat="1">
      <c r="GP757" s="1401"/>
      <c r="GR757" s="147" t="s">
        <v>843</v>
      </c>
      <c r="GS757" s="1613" t="s">
        <v>1205</v>
      </c>
      <c r="GT757" s="1613" t="s">
        <v>871</v>
      </c>
      <c r="GU757" s="2008" t="s">
        <v>1204</v>
      </c>
      <c r="GV757" s="215"/>
      <c r="GW757" s="215"/>
      <c r="GX757" s="215"/>
      <c r="GY757" s="215"/>
      <c r="HC757" s="105"/>
      <c r="HD757" s="105"/>
      <c r="HE757" s="105"/>
      <c r="HF757" s="105"/>
      <c r="HG757" s="105"/>
      <c r="HH757" s="105"/>
      <c r="IV757"/>
    </row>
    <row r="758" spans="198:256" s="2" customFormat="1">
      <c r="GR758" s="2208" t="s">
        <v>486</v>
      </c>
      <c r="GS758" s="210"/>
      <c r="GT758" s="210"/>
      <c r="GU758" s="2209"/>
      <c r="GV758" s="210"/>
      <c r="GW758" s="210"/>
      <c r="GX758" s="210"/>
      <c r="GY758" s="210"/>
      <c r="HC758" s="105"/>
      <c r="HD758" s="105"/>
      <c r="HE758" s="105"/>
      <c r="HF758" s="105"/>
      <c r="HG758" s="105"/>
      <c r="HH758" s="105"/>
      <c r="IV758"/>
    </row>
    <row r="759" spans="198:256" s="2" customFormat="1">
      <c r="GR759" s="59" t="s">
        <v>1632</v>
      </c>
      <c r="GS759" s="1139">
        <f>+GS$643</f>
        <v>0.18183542843815653</v>
      </c>
      <c r="GT759" s="1139">
        <f>+GT$643</f>
        <v>4.9921904569033865E-2</v>
      </c>
      <c r="GU759" s="1140">
        <f>+GU$643</f>
        <v>0.23642648410790934</v>
      </c>
      <c r="GV759" s="807"/>
      <c r="GW759" s="807"/>
      <c r="GX759" s="807"/>
      <c r="GY759" s="807"/>
      <c r="HC759" s="105"/>
      <c r="HD759" s="105"/>
      <c r="HE759" s="105"/>
      <c r="HF759" s="105"/>
      <c r="HG759" s="105"/>
      <c r="HH759" s="105"/>
      <c r="IV759"/>
    </row>
    <row r="760" spans="198:256" s="2" customFormat="1">
      <c r="GR760" s="59" t="s">
        <v>705</v>
      </c>
      <c r="GS760" s="818">
        <f>+GS759*GS$639</f>
        <v>268.07802697193392</v>
      </c>
      <c r="GT760" s="818">
        <f>+GT759*GT$639</f>
        <v>174.31093278573323</v>
      </c>
      <c r="GU760" s="2005">
        <f>+GU759*GU$639</f>
        <v>1263.1843093635509</v>
      </c>
      <c r="GV760" s="193"/>
      <c r="GW760" s="193"/>
      <c r="GX760" s="193"/>
      <c r="GY760" s="193"/>
      <c r="HC760" s="105"/>
      <c r="HD760" s="105"/>
      <c r="HE760" s="105"/>
      <c r="HF760" s="105"/>
      <c r="HG760" s="105"/>
      <c r="HH760" s="105"/>
      <c r="IV760"/>
    </row>
    <row r="761" spans="198:256" s="2" customFormat="1">
      <c r="GR761" s="59" t="s">
        <v>271</v>
      </c>
      <c r="GS761" s="2180">
        <f>+GT761</f>
        <v>0.25</v>
      </c>
      <c r="GT761" s="807">
        <f>+$GP$658</f>
        <v>0.25</v>
      </c>
      <c r="GU761" s="2181">
        <f>+GT761</f>
        <v>0.25</v>
      </c>
      <c r="GV761" s="2180"/>
      <c r="GW761" s="2180"/>
      <c r="GX761" s="2180"/>
      <c r="GY761" s="2180"/>
      <c r="HC761" s="105"/>
      <c r="HD761" s="105"/>
      <c r="HE761" s="105"/>
      <c r="HF761" s="105"/>
      <c r="HG761" s="105"/>
      <c r="HH761" s="105"/>
      <c r="IV761"/>
    </row>
    <row r="762" spans="198:256" s="2" customFormat="1">
      <c r="GR762" s="59" t="s">
        <v>401</v>
      </c>
      <c r="GS762" s="818">
        <f>+GS761*GS760</f>
        <v>67.019506742983481</v>
      </c>
      <c r="GT762" s="818">
        <f>+GT761*GT760</f>
        <v>43.577733196433307</v>
      </c>
      <c r="GU762" s="2005">
        <f>+GU761*GU760</f>
        <v>315.79607734088773</v>
      </c>
      <c r="GV762" s="193"/>
      <c r="GW762" s="193"/>
      <c r="GX762" s="193"/>
      <c r="GY762" s="193"/>
      <c r="HC762" s="105"/>
      <c r="HD762" s="105"/>
      <c r="HE762" s="105"/>
      <c r="HF762" s="105"/>
      <c r="HG762" s="105"/>
      <c r="HH762" s="105"/>
      <c r="IV762"/>
    </row>
    <row r="763" spans="198:256" s="2" customFormat="1">
      <c r="GR763" s="59" t="s">
        <v>503</v>
      </c>
      <c r="GS763" s="2003">
        <v>0.5</v>
      </c>
      <c r="GT763" s="2003">
        <v>0.5</v>
      </c>
      <c r="GU763" s="2004">
        <v>0.5</v>
      </c>
      <c r="GV763" s="2176"/>
      <c r="GW763" s="2176"/>
      <c r="GX763" s="2176"/>
      <c r="GY763" s="2176"/>
      <c r="HC763" s="105"/>
      <c r="HD763" s="105"/>
      <c r="HE763" s="105"/>
      <c r="HF763" s="105"/>
      <c r="HG763" s="105"/>
      <c r="HH763" s="105"/>
      <c r="IV763"/>
    </row>
    <row r="764" spans="198:256" s="2" customFormat="1" ht="3.95" customHeight="1">
      <c r="GR764" s="59"/>
      <c r="GS764" s="2003"/>
      <c r="GT764" s="2003"/>
      <c r="GU764" s="2004"/>
      <c r="GV764" s="2176"/>
      <c r="GW764" s="2176"/>
      <c r="GX764" s="2176"/>
      <c r="GY764" s="2176"/>
      <c r="HC764" s="105"/>
      <c r="HD764" s="105"/>
      <c r="HE764" s="105"/>
      <c r="HF764" s="105"/>
      <c r="HG764" s="105"/>
      <c r="HH764" s="105"/>
      <c r="IV764"/>
    </row>
    <row r="765" spans="198:256" s="2" customFormat="1">
      <c r="GR765" s="59" t="s">
        <v>702</v>
      </c>
      <c r="GS765" s="818">
        <f>+GS762*GS763</f>
        <v>33.50975337149174</v>
      </c>
      <c r="GT765" s="818">
        <f>+GT762*GT763</f>
        <v>21.788866598216654</v>
      </c>
      <c r="GU765" s="2005">
        <f>+GU762*GU763</f>
        <v>157.89803867044387</v>
      </c>
      <c r="GV765" s="193"/>
      <c r="GW765" s="193"/>
      <c r="GX765" s="193"/>
      <c r="GY765" s="193"/>
      <c r="HC765" s="105"/>
      <c r="HD765" s="105"/>
      <c r="HE765" s="105"/>
      <c r="HF765" s="105"/>
      <c r="HG765" s="105"/>
      <c r="HH765" s="105"/>
      <c r="IV765"/>
    </row>
    <row r="766" spans="198:256" s="2" customFormat="1">
      <c r="GR766" s="2002" t="s">
        <v>1620</v>
      </c>
      <c r="GS766" s="2006">
        <v>8</v>
      </c>
      <c r="GT766" s="2006">
        <v>10</v>
      </c>
      <c r="GU766" s="2007">
        <v>12</v>
      </c>
      <c r="GV766" s="2217"/>
      <c r="GW766" s="2217"/>
      <c r="GX766" s="2217"/>
      <c r="GY766" s="2217"/>
      <c r="HC766" s="105"/>
      <c r="HD766" s="105"/>
      <c r="HE766" s="105"/>
      <c r="HF766" s="105"/>
      <c r="HG766" s="105"/>
      <c r="HH766" s="105"/>
      <c r="IV766"/>
    </row>
    <row r="767" spans="198:256" s="2" customFormat="1">
      <c r="GR767" s="2002" t="s">
        <v>1501</v>
      </c>
      <c r="GS767" s="96">
        <f>1/(1.2^3)</f>
        <v>0.57870370370370372</v>
      </c>
      <c r="GT767" s="96">
        <f>1/(1.2^3)</f>
        <v>0.57870370370370372</v>
      </c>
      <c r="GU767" s="97">
        <f>1/(1.2^3)</f>
        <v>0.57870370370370372</v>
      </c>
      <c r="GV767" s="104"/>
      <c r="GW767" s="104"/>
      <c r="GX767" s="104"/>
      <c r="GY767" s="104"/>
      <c r="HC767" s="105"/>
      <c r="HD767" s="105"/>
      <c r="HE767" s="105"/>
      <c r="HF767" s="105"/>
      <c r="HG767" s="105"/>
      <c r="HH767" s="105"/>
      <c r="IV767"/>
    </row>
    <row r="768" spans="198:256" s="2" customFormat="1">
      <c r="GR768" s="2002" t="s">
        <v>475</v>
      </c>
      <c r="GS768" s="2011">
        <v>125.4</v>
      </c>
      <c r="GT768" s="2011">
        <v>125.4</v>
      </c>
      <c r="GU768" s="2012">
        <v>125.4</v>
      </c>
      <c r="GV768" s="724"/>
      <c r="GW768" s="724"/>
      <c r="GX768" s="724"/>
      <c r="GY768" s="724"/>
      <c r="HC768" s="105"/>
      <c r="HD768" s="105"/>
      <c r="HE768" s="105"/>
      <c r="HF768" s="105"/>
      <c r="HG768" s="105"/>
      <c r="HH768" s="105"/>
      <c r="IV768"/>
    </row>
    <row r="769" spans="198:256" s="2" customFormat="1">
      <c r="GP769" s="2" t="s">
        <v>487</v>
      </c>
      <c r="GR769" s="2009" t="s">
        <v>703</v>
      </c>
      <c r="GS769" s="1639">
        <f>+GS765*GS766*GS767/GS768</f>
        <v>1.2371431187419422</v>
      </c>
      <c r="GT769" s="1639">
        <f>+GT765*GT766*GT767/GT768</f>
        <v>1.0055261403424161</v>
      </c>
      <c r="GU769" s="1640">
        <f>+GU765*GU766*GU767/GU768</f>
        <v>8.7441320369508606</v>
      </c>
      <c r="GV769" s="210"/>
      <c r="GW769" s="210"/>
      <c r="GX769" s="210"/>
      <c r="GY769" s="210"/>
      <c r="HC769" s="105"/>
      <c r="HD769" s="105"/>
      <c r="HE769" s="105"/>
      <c r="HF769" s="105"/>
      <c r="HG769" s="105"/>
      <c r="HH769" s="105"/>
      <c r="IV769"/>
    </row>
    <row r="770" spans="198:256" s="2" customFormat="1">
      <c r="GP770" s="1401">
        <v>14.88</v>
      </c>
      <c r="GR770" s="2212" t="s">
        <v>500</v>
      </c>
      <c r="GS770" s="2213">
        <f>+GS769/$GP770</f>
        <v>8.3141338625130512E-2</v>
      </c>
      <c r="GT770" s="2213">
        <f>+GT769/$GP770</f>
        <v>6.7575681474624727E-2</v>
      </c>
      <c r="GU770" s="2214">
        <f>+GU769/$GP770</f>
        <v>0.5876432820531492</v>
      </c>
      <c r="GV770" s="215"/>
      <c r="GW770" s="215"/>
      <c r="GX770" s="215"/>
      <c r="GY770" s="215"/>
      <c r="HC770" s="105"/>
      <c r="HD770" s="105"/>
      <c r="HE770" s="105"/>
      <c r="HF770" s="105"/>
      <c r="HG770" s="105"/>
      <c r="HH770" s="105"/>
      <c r="IV770"/>
    </row>
    <row r="771" spans="198:256" s="2" customFormat="1">
      <c r="GP771" s="1401"/>
      <c r="GR771" s="147" t="s">
        <v>843</v>
      </c>
      <c r="GS771" s="1613" t="s">
        <v>1205</v>
      </c>
      <c r="GT771" s="1613" t="s">
        <v>871</v>
      </c>
      <c r="GU771" s="2008" t="s">
        <v>1204</v>
      </c>
      <c r="GV771" s="215"/>
      <c r="GW771" s="215"/>
      <c r="GX771" s="215"/>
      <c r="GY771" s="215"/>
      <c r="HC771" s="105"/>
      <c r="HD771" s="105"/>
      <c r="HE771" s="105"/>
      <c r="HF771" s="105"/>
      <c r="HG771" s="105"/>
      <c r="HH771" s="105"/>
      <c r="IV771"/>
    </row>
    <row r="772" spans="198:256" s="2" customFormat="1">
      <c r="GR772" s="2208" t="s">
        <v>489</v>
      </c>
      <c r="GS772" s="210"/>
      <c r="GT772" s="210"/>
      <c r="GU772" s="2209"/>
      <c r="GV772" s="210"/>
      <c r="GW772" s="210"/>
      <c r="GX772" s="210"/>
      <c r="GY772" s="210"/>
      <c r="HC772" s="105"/>
      <c r="HD772" s="105"/>
      <c r="HE772" s="105"/>
      <c r="HF772" s="105"/>
      <c r="HG772" s="105"/>
      <c r="HH772" s="105"/>
      <c r="IV772"/>
    </row>
    <row r="773" spans="198:256" s="2" customFormat="1">
      <c r="GR773" s="59" t="s">
        <v>1632</v>
      </c>
      <c r="GS773" s="1139">
        <f>+GS$643</f>
        <v>0.18183542843815653</v>
      </c>
      <c r="GT773" s="1139">
        <f>+GT$643</f>
        <v>4.9921904569033865E-2</v>
      </c>
      <c r="GU773" s="1140">
        <f>+GU$643</f>
        <v>0.23642648410790934</v>
      </c>
      <c r="GV773" s="807"/>
      <c r="GW773" s="807"/>
      <c r="GX773" s="807"/>
      <c r="GY773" s="807"/>
      <c r="HC773" s="105"/>
      <c r="HD773" s="105"/>
      <c r="HE773" s="105"/>
      <c r="HF773" s="105"/>
      <c r="HG773" s="105"/>
      <c r="HH773" s="105"/>
      <c r="IV773"/>
    </row>
    <row r="774" spans="198:256" s="2" customFormat="1">
      <c r="GR774" s="59" t="s">
        <v>705</v>
      </c>
      <c r="GS774" s="818">
        <f>+GS773*GS$639</f>
        <v>268.07802697193392</v>
      </c>
      <c r="GT774" s="818">
        <f>+GT773*GT$639</f>
        <v>174.31093278573323</v>
      </c>
      <c r="GU774" s="2005">
        <f>+GU773*GU$639</f>
        <v>1263.1843093635509</v>
      </c>
      <c r="GV774" s="193"/>
      <c r="GW774" s="193"/>
      <c r="GX774" s="193"/>
      <c r="GY774" s="193"/>
      <c r="HC774" s="105"/>
      <c r="HD774" s="105"/>
      <c r="HE774" s="105"/>
      <c r="HF774" s="105"/>
      <c r="HG774" s="105"/>
      <c r="HH774" s="105"/>
      <c r="IV774"/>
    </row>
    <row r="775" spans="198:256" s="2" customFormat="1">
      <c r="GR775" s="59" t="s">
        <v>271</v>
      </c>
      <c r="GS775" s="2180">
        <f>+GT775</f>
        <v>0.25</v>
      </c>
      <c r="GT775" s="807">
        <f>+$GP$658</f>
        <v>0.25</v>
      </c>
      <c r="GU775" s="2181">
        <f>+GT775</f>
        <v>0.25</v>
      </c>
      <c r="GV775" s="2180"/>
      <c r="GW775" s="2180"/>
      <c r="GX775" s="2180"/>
      <c r="GY775" s="2180"/>
      <c r="HC775" s="105"/>
      <c r="HD775" s="105"/>
      <c r="HE775" s="105"/>
      <c r="HF775" s="105"/>
      <c r="HG775" s="105"/>
      <c r="HH775" s="105"/>
      <c r="IV775"/>
    </row>
    <row r="776" spans="198:256" s="2" customFormat="1">
      <c r="GR776" s="59" t="s">
        <v>401</v>
      </c>
      <c r="GS776" s="818">
        <f>+GS775*GS774</f>
        <v>67.019506742983481</v>
      </c>
      <c r="GT776" s="818">
        <f>+GT775*GT774</f>
        <v>43.577733196433307</v>
      </c>
      <c r="GU776" s="2005">
        <f>+GU775*GU774</f>
        <v>315.79607734088773</v>
      </c>
      <c r="GV776" s="193"/>
      <c r="GW776" s="193"/>
      <c r="GX776" s="193"/>
      <c r="GY776" s="193"/>
      <c r="HC776" s="105"/>
      <c r="HD776" s="105"/>
      <c r="HE776" s="105"/>
      <c r="HF776" s="105"/>
      <c r="HG776" s="105"/>
      <c r="HH776" s="105"/>
      <c r="IV776"/>
    </row>
    <row r="777" spans="198:256" s="2" customFormat="1">
      <c r="GR777" s="59" t="s">
        <v>503</v>
      </c>
      <c r="GS777" s="2003">
        <v>0.5</v>
      </c>
      <c r="GT777" s="2003">
        <v>0.5</v>
      </c>
      <c r="GU777" s="2004">
        <v>0.5</v>
      </c>
      <c r="GV777" s="2176"/>
      <c r="GW777" s="2176"/>
      <c r="GX777" s="2176"/>
      <c r="GY777" s="2176"/>
      <c r="HC777" s="105"/>
      <c r="HD777" s="105"/>
      <c r="HE777" s="105"/>
      <c r="HF777" s="105"/>
      <c r="HG777" s="105"/>
      <c r="HH777" s="105"/>
      <c r="IV777"/>
    </row>
    <row r="778" spans="198:256" s="2" customFormat="1" ht="3.95" customHeight="1">
      <c r="GR778" s="59"/>
      <c r="GS778" s="2003"/>
      <c r="GT778" s="2003"/>
      <c r="GU778" s="2004"/>
      <c r="GV778" s="2176"/>
      <c r="GW778" s="2176"/>
      <c r="GX778" s="2176"/>
      <c r="GY778" s="2176"/>
      <c r="HC778" s="105"/>
      <c r="HD778" s="105"/>
      <c r="HE778" s="105"/>
      <c r="HF778" s="105"/>
      <c r="HG778" s="105"/>
      <c r="HH778" s="105"/>
      <c r="IV778"/>
    </row>
    <row r="779" spans="198:256" s="2" customFormat="1">
      <c r="GR779" s="59" t="s">
        <v>702</v>
      </c>
      <c r="GS779" s="818">
        <f>+GS776*GS777</f>
        <v>33.50975337149174</v>
      </c>
      <c r="GT779" s="818">
        <f>+GT776*GT777</f>
        <v>21.788866598216654</v>
      </c>
      <c r="GU779" s="2005">
        <f>+GU776*GU777</f>
        <v>157.89803867044387</v>
      </c>
      <c r="GV779" s="193"/>
      <c r="GW779" s="193"/>
      <c r="GX779" s="193"/>
      <c r="GY779" s="193"/>
      <c r="HC779" s="105"/>
      <c r="HD779" s="105"/>
      <c r="HE779" s="105"/>
      <c r="HF779" s="105"/>
      <c r="HG779" s="105"/>
      <c r="HH779" s="105"/>
      <c r="IV779"/>
    </row>
    <row r="780" spans="198:256" s="2" customFormat="1">
      <c r="GR780" s="2002" t="s">
        <v>1620</v>
      </c>
      <c r="GS780" s="2006">
        <v>8</v>
      </c>
      <c r="GT780" s="2006">
        <v>10</v>
      </c>
      <c r="GU780" s="2007">
        <v>12</v>
      </c>
      <c r="GV780" s="2217"/>
      <c r="GW780" s="2217"/>
      <c r="GX780" s="2217"/>
      <c r="GY780" s="2217"/>
      <c r="HC780" s="105"/>
      <c r="HD780" s="105"/>
      <c r="HE780" s="105"/>
      <c r="HF780" s="105"/>
      <c r="HG780" s="105"/>
      <c r="HH780" s="105"/>
      <c r="IV780"/>
    </row>
    <row r="781" spans="198:256" s="2" customFormat="1">
      <c r="GR781" s="2002" t="s">
        <v>1501</v>
      </c>
      <c r="GS781" s="96">
        <f>1/(1.2^3)</f>
        <v>0.57870370370370372</v>
      </c>
      <c r="GT781" s="96">
        <f>1/(1.2^3)</f>
        <v>0.57870370370370372</v>
      </c>
      <c r="GU781" s="97">
        <f>1/(1.2^3)</f>
        <v>0.57870370370370372</v>
      </c>
      <c r="GV781" s="104"/>
      <c r="GW781" s="104"/>
      <c r="GX781" s="104"/>
      <c r="GY781" s="104"/>
      <c r="HC781" s="105"/>
      <c r="HD781" s="105"/>
      <c r="HE781" s="105"/>
      <c r="HF781" s="105"/>
      <c r="HG781" s="105"/>
      <c r="HH781" s="105"/>
      <c r="IV781"/>
    </row>
    <row r="782" spans="198:256" s="2" customFormat="1">
      <c r="GR782" s="2002" t="s">
        <v>475</v>
      </c>
      <c r="GS782" s="2011">
        <v>58.765000000000001</v>
      </c>
      <c r="GT782" s="2011">
        <v>58.765000000000001</v>
      </c>
      <c r="GU782" s="2012">
        <v>58.765000000000001</v>
      </c>
      <c r="GV782" s="724"/>
      <c r="GW782" s="724"/>
      <c r="GX782" s="724"/>
      <c r="GY782" s="724"/>
      <c r="HC782" s="105"/>
      <c r="HD782" s="105"/>
      <c r="HE782" s="105"/>
      <c r="HF782" s="105"/>
      <c r="HG782" s="105"/>
      <c r="HH782" s="105"/>
      <c r="IV782"/>
    </row>
    <row r="783" spans="198:256" s="2" customFormat="1">
      <c r="GP783" s="2" t="s">
        <v>488</v>
      </c>
      <c r="GR783" s="2009" t="s">
        <v>703</v>
      </c>
      <c r="GS783" s="1639">
        <f>+GS779*GS780*GS781/GS782</f>
        <v>2.6399684691608871</v>
      </c>
      <c r="GT783" s="1639">
        <f>+GT779*GT780*GT781/GT782</f>
        <v>2.1457156130169146</v>
      </c>
      <c r="GU783" s="1640">
        <f>+GU779*GU780*GU781/GU782</f>
        <v>18.659306686524939</v>
      </c>
      <c r="GV783" s="210"/>
      <c r="GW783" s="210"/>
      <c r="GX783" s="210"/>
      <c r="GY783" s="210"/>
      <c r="HC783" s="105"/>
      <c r="HD783" s="105"/>
      <c r="HE783" s="105"/>
      <c r="HF783" s="105"/>
      <c r="HG783" s="105"/>
      <c r="HH783" s="105"/>
      <c r="IV783"/>
    </row>
    <row r="784" spans="198:256" s="2" customFormat="1">
      <c r="GP784" s="1401">
        <v>16.38</v>
      </c>
      <c r="GR784" s="2212" t="s">
        <v>500</v>
      </c>
      <c r="GS784" s="2213">
        <f>+GS783/$GP784</f>
        <v>0.16117023621250839</v>
      </c>
      <c r="GT784" s="2213">
        <f>+GT783/$GP784</f>
        <v>0.13099606917075182</v>
      </c>
      <c r="GU784" s="2214">
        <f>+GU783/$GP784</f>
        <v>1.13915181236416</v>
      </c>
      <c r="GV784" s="215"/>
      <c r="GW784" s="215"/>
      <c r="GX784" s="215"/>
      <c r="GY784" s="215"/>
      <c r="HC784" s="105"/>
      <c r="HD784" s="105"/>
      <c r="HE784" s="105"/>
      <c r="HF784" s="105"/>
      <c r="HG784" s="105"/>
      <c r="HH784" s="105"/>
      <c r="IV784"/>
    </row>
    <row r="785" spans="200:256" s="2" customFormat="1">
      <c r="GR785" s="210"/>
      <c r="GS785" s="210"/>
      <c r="GT785" s="210"/>
      <c r="GU785" s="210"/>
      <c r="GV785" s="210"/>
      <c r="GW785" s="210"/>
      <c r="GX785" s="210"/>
      <c r="GY785" s="210"/>
      <c r="HC785" s="105"/>
      <c r="HD785" s="105"/>
      <c r="HE785" s="105"/>
      <c r="HF785" s="105"/>
      <c r="HG785" s="105"/>
      <c r="HH785" s="105"/>
      <c r="IV785"/>
    </row>
    <row r="786" spans="200:256" s="2" customFormat="1">
      <c r="GV786" s="2211" t="s">
        <v>491</v>
      </c>
      <c r="GW786" s="2222" t="s">
        <v>1205</v>
      </c>
      <c r="GX786" s="2222" t="s">
        <v>871</v>
      </c>
      <c r="GY786" s="2224" t="s">
        <v>1204</v>
      </c>
      <c r="HC786" s="105"/>
      <c r="HD786" s="105"/>
      <c r="HE786" s="105"/>
      <c r="HF786" s="105"/>
      <c r="HG786" s="105"/>
      <c r="HH786" s="105"/>
      <c r="IV786"/>
    </row>
    <row r="787" spans="200:256" s="2" customFormat="1">
      <c r="GV787" s="2228" t="s">
        <v>552</v>
      </c>
      <c r="GW787" s="2229">
        <f>+GS677</f>
        <v>0.22885536135542431</v>
      </c>
      <c r="GX787" s="2229">
        <f>+GT677</f>
        <v>9.9574596150919015E-2</v>
      </c>
      <c r="GY787" s="2230">
        <f>+GU677</f>
        <v>1.1762956315068818</v>
      </c>
      <c r="HC787" s="105"/>
      <c r="HD787" s="105"/>
      <c r="HE787" s="105"/>
      <c r="HF787" s="105"/>
      <c r="HG787" s="105"/>
      <c r="HH787" s="105"/>
      <c r="IV787"/>
    </row>
    <row r="788" spans="200:256" s="2" customFormat="1">
      <c r="GV788" s="2210" t="s">
        <v>489</v>
      </c>
      <c r="GW788" s="2231">
        <f>+GS784</f>
        <v>0.16117023621250839</v>
      </c>
      <c r="GX788" s="2231">
        <f>+GT784</f>
        <v>0.13099606917075182</v>
      </c>
      <c r="GY788" s="2232">
        <f>+GU784</f>
        <v>1.13915181236416</v>
      </c>
      <c r="HC788" s="105"/>
      <c r="HD788" s="105"/>
      <c r="HE788" s="105"/>
      <c r="HF788" s="105"/>
      <c r="HG788" s="105"/>
      <c r="HH788" s="105"/>
      <c r="IV788"/>
    </row>
    <row r="789" spans="200:256" s="2" customFormat="1">
      <c r="GV789" s="2210" t="s">
        <v>486</v>
      </c>
      <c r="GW789" s="2231">
        <f>+GS770</f>
        <v>8.3141338625130512E-2</v>
      </c>
      <c r="GX789" s="2231">
        <f>+GT770</f>
        <v>6.7575681474624727E-2</v>
      </c>
      <c r="GY789" s="2232">
        <f>+GU770</f>
        <v>0.5876432820531492</v>
      </c>
      <c r="HC789" s="105"/>
      <c r="HD789" s="105"/>
      <c r="HE789" s="105"/>
      <c r="HF789" s="105"/>
      <c r="HG789" s="105"/>
      <c r="HH789" s="105"/>
      <c r="IV789"/>
    </row>
    <row r="790" spans="200:256" s="2" customFormat="1">
      <c r="GV790" s="2210" t="s">
        <v>706</v>
      </c>
      <c r="GW790" s="2231">
        <f>+GS728</f>
        <v>0.12083131899981271</v>
      </c>
      <c r="GX790" s="2231">
        <f>+GT728</f>
        <v>9.8209372857295599E-2</v>
      </c>
      <c r="GY790" s="2232">
        <f>+GU728</f>
        <v>0.85403619963365174</v>
      </c>
      <c r="HC790" s="105"/>
      <c r="HD790" s="105"/>
      <c r="HE790" s="105"/>
      <c r="HF790" s="105"/>
      <c r="HG790" s="105"/>
      <c r="HH790" s="105"/>
      <c r="IV790"/>
    </row>
    <row r="791" spans="200:256" s="2" customFormat="1">
      <c r="GV791" s="2210" t="s">
        <v>848</v>
      </c>
      <c r="GW791" s="2231">
        <f>+GS713</f>
        <v>4.0243963182734523E-2</v>
      </c>
      <c r="GX791" s="2231">
        <f>+GT713</f>
        <v>1.9057365429160301E-2</v>
      </c>
      <c r="GY791" s="2232">
        <f>+GU713</f>
        <v>0.22178632022529737</v>
      </c>
      <c r="HC791" s="105"/>
      <c r="HD791" s="105"/>
      <c r="HE791" s="105"/>
      <c r="HF791" s="105"/>
      <c r="HG791" s="105"/>
      <c r="HH791" s="105"/>
      <c r="IV791"/>
    </row>
    <row r="792" spans="200:256" s="2" customFormat="1">
      <c r="GV792" s="2210" t="s">
        <v>502</v>
      </c>
      <c r="GW792" s="2231">
        <f>+GS756</f>
        <v>1.2035079021754181E-2</v>
      </c>
      <c r="GX792" s="2231">
        <f>+GT756</f>
        <v>9.7818808302200608E-3</v>
      </c>
      <c r="GY792" s="2232">
        <f>+GU756</f>
        <v>8.5063982046290162E-2</v>
      </c>
      <c r="HC792" s="105"/>
      <c r="HD792" s="105"/>
      <c r="HE792" s="105"/>
      <c r="HF792" s="105"/>
      <c r="HG792" s="105"/>
      <c r="HH792" s="105"/>
      <c r="IV792"/>
    </row>
    <row r="793" spans="200:256" s="2" customFormat="1">
      <c r="GV793" s="2210" t="s">
        <v>707</v>
      </c>
      <c r="GW793" s="2233">
        <f>+GS742</f>
        <v>3.4140018334791128E-3</v>
      </c>
      <c r="GX793" s="2231">
        <f>+GT742</f>
        <v>2.7748350491825775E-3</v>
      </c>
      <c r="GY793" s="2232">
        <f>+GU742</f>
        <v>2.4130177304539226E-2</v>
      </c>
      <c r="HC793" s="105"/>
      <c r="HD793" s="105"/>
      <c r="HE793" s="105"/>
      <c r="HF793" s="105"/>
      <c r="HG793" s="105"/>
      <c r="HH793" s="105"/>
      <c r="IV793"/>
    </row>
    <row r="794" spans="200:256" s="2" customFormat="1" ht="3.95" customHeight="1">
      <c r="GV794" s="2225"/>
      <c r="GW794" s="2226"/>
      <c r="GX794" s="2226"/>
      <c r="GY794" s="2227"/>
      <c r="HC794" s="105"/>
      <c r="HD794" s="105"/>
      <c r="HE794" s="105"/>
      <c r="HF794" s="105"/>
      <c r="HG794" s="105"/>
      <c r="HH794" s="105"/>
      <c r="IV794"/>
    </row>
    <row r="795" spans="200:256" s="2" customFormat="1">
      <c r="GR795" s="210"/>
      <c r="GS795" s="210"/>
      <c r="GT795" s="210"/>
      <c r="GU795" s="210"/>
      <c r="GV795" s="210"/>
      <c r="GW795" s="210"/>
      <c r="GX795" s="210"/>
      <c r="GY795" s="210"/>
      <c r="HC795" s="105"/>
      <c r="HD795" s="105"/>
      <c r="HE795" s="105"/>
      <c r="HF795" s="105"/>
      <c r="HG795" s="105"/>
      <c r="HH795" s="105"/>
      <c r="IV795"/>
    </row>
    <row r="796" spans="200:256" s="2" customFormat="1">
      <c r="GR796" s="210"/>
      <c r="GS796" s="210"/>
      <c r="GT796" s="210"/>
      <c r="GU796" s="210"/>
      <c r="GV796" s="210"/>
      <c r="GW796" s="210"/>
      <c r="GX796" s="210"/>
      <c r="GY796" s="210"/>
      <c r="HC796" s="105"/>
      <c r="HD796" s="105"/>
      <c r="HE796" s="105"/>
      <c r="HF796" s="105"/>
      <c r="HG796" s="105"/>
      <c r="HH796" s="105"/>
      <c r="IV796"/>
    </row>
    <row r="797" spans="200:256" s="2" customFormat="1">
      <c r="GV797" s="1062"/>
      <c r="GW797" s="1062"/>
      <c r="GX797" s="1062"/>
      <c r="GY797" s="1062"/>
      <c r="GZ797" s="68" t="s">
        <v>1802</v>
      </c>
      <c r="HA797" s="2123" t="s">
        <v>389</v>
      </c>
      <c r="HB797" s="2123" t="s">
        <v>335</v>
      </c>
      <c r="HC797" s="2124" t="s">
        <v>386</v>
      </c>
      <c r="HD797" s="2185"/>
      <c r="HE797" s="2185"/>
      <c r="HF797" s="2185"/>
      <c r="HG797" s="2185"/>
      <c r="HH797" s="2185"/>
      <c r="IV797"/>
    </row>
    <row r="798" spans="200:256" s="2" customFormat="1">
      <c r="GV798" s="1062"/>
      <c r="GW798" s="1062"/>
      <c r="GX798" s="1062"/>
      <c r="GY798" s="1062"/>
      <c r="GZ798" s="56" t="s">
        <v>1803</v>
      </c>
      <c r="HA798" s="1255" t="s">
        <v>388</v>
      </c>
      <c r="HB798" s="1255" t="s">
        <v>336</v>
      </c>
      <c r="HC798" s="2125" t="s">
        <v>387</v>
      </c>
      <c r="HD798" s="2185"/>
      <c r="HE798" s="2185"/>
      <c r="HF798" s="2185"/>
      <c r="HG798" s="2185"/>
      <c r="HH798" s="2185"/>
      <c r="IV798"/>
    </row>
    <row r="799" spans="200:256" s="2" customFormat="1">
      <c r="GV799" s="1062"/>
      <c r="GW799" s="1062"/>
      <c r="GX799" s="1062"/>
      <c r="GY799" s="1062"/>
      <c r="GZ799" s="59" t="s">
        <v>1805</v>
      </c>
      <c r="HA799" s="1105">
        <v>116.30700000000002</v>
      </c>
      <c r="HB799" s="1105">
        <v>1638.1660000000002</v>
      </c>
      <c r="HC799" s="2126">
        <f t="shared" ref="HC799:HC805" si="50">+HA799/HB799</f>
        <v>7.0998299317651573E-2</v>
      </c>
      <c r="HD799" s="58"/>
      <c r="HE799" s="58"/>
      <c r="HF799" s="58"/>
      <c r="HG799" s="58"/>
      <c r="HH799" s="58"/>
      <c r="IV799"/>
    </row>
    <row r="800" spans="200:256" s="2" customFormat="1">
      <c r="GV800" s="1062"/>
      <c r="GW800" s="1062"/>
      <c r="GX800" s="1062"/>
      <c r="GY800" s="1062"/>
      <c r="GZ800" s="59" t="s">
        <v>1806</v>
      </c>
      <c r="HA800" s="1105">
        <v>175.002848</v>
      </c>
      <c r="HB800" s="1105">
        <v>2613.8587649999999</v>
      </c>
      <c r="HC800" s="2126">
        <f t="shared" si="50"/>
        <v>6.6951914289829662E-2</v>
      </c>
      <c r="HD800" s="58"/>
      <c r="HE800" s="58"/>
      <c r="HF800" s="58"/>
      <c r="HG800" s="58"/>
      <c r="HH800" s="58"/>
      <c r="IV800"/>
    </row>
    <row r="801" spans="204:256" s="2" customFormat="1">
      <c r="GV801" s="1062"/>
      <c r="GW801" s="1062"/>
      <c r="GX801" s="1062"/>
      <c r="GY801" s="1062"/>
      <c r="GZ801" s="59" t="s">
        <v>1151</v>
      </c>
      <c r="HA801" s="1105">
        <v>159.70418129999999</v>
      </c>
      <c r="HB801" s="1105">
        <v>1466.5778693000002</v>
      </c>
      <c r="HC801" s="2126">
        <f t="shared" si="50"/>
        <v>0.10889580747337135</v>
      </c>
      <c r="HD801" s="58"/>
      <c r="HE801" s="58"/>
      <c r="HF801" s="58"/>
      <c r="HG801" s="58"/>
      <c r="HH801" s="58"/>
      <c r="IV801"/>
    </row>
    <row r="802" spans="204:256" s="2" customFormat="1">
      <c r="GV802" s="1062"/>
      <c r="GW802" s="1062"/>
      <c r="GX802" s="1062"/>
      <c r="GY802" s="1062"/>
      <c r="GZ802" s="59" t="s">
        <v>1808</v>
      </c>
      <c r="HA802" s="1105">
        <v>183.19991313999998</v>
      </c>
      <c r="HB802" s="1105">
        <v>341.13446384000008</v>
      </c>
      <c r="HC802" s="2126">
        <f t="shared" si="50"/>
        <v>0.53703138368899883</v>
      </c>
      <c r="HD802" s="58"/>
      <c r="HE802" s="58"/>
      <c r="HF802" s="58"/>
      <c r="HG802" s="58"/>
      <c r="HH802" s="58"/>
      <c r="IV802"/>
    </row>
    <row r="803" spans="204:256" s="2" customFormat="1">
      <c r="GV803" s="1062"/>
      <c r="GW803" s="1062"/>
      <c r="GX803" s="1062"/>
      <c r="GY803" s="1062"/>
      <c r="GZ803" s="59" t="s">
        <v>1807</v>
      </c>
      <c r="HA803" s="1105">
        <v>557.22843968999996</v>
      </c>
      <c r="HB803" s="1105">
        <v>3014.6748078400001</v>
      </c>
      <c r="HC803" s="2126">
        <f t="shared" si="50"/>
        <v>0.18483865597737603</v>
      </c>
      <c r="HD803" s="58"/>
      <c r="HE803" s="58"/>
      <c r="HF803" s="58"/>
      <c r="HG803" s="58"/>
      <c r="HH803" s="58"/>
      <c r="IV803"/>
    </row>
    <row r="804" spans="204:256" s="2" customFormat="1">
      <c r="GV804" s="1062"/>
      <c r="GW804" s="1062"/>
      <c r="GX804" s="1062"/>
      <c r="GY804" s="1062"/>
      <c r="GZ804" s="59" t="s">
        <v>1675</v>
      </c>
      <c r="HA804" s="83">
        <f>+BYD!AV429+BYD!AV430</f>
        <v>281.70778976527333</v>
      </c>
      <c r="HB804" s="1105">
        <v>2231.55486243</v>
      </c>
      <c r="HC804" s="2126">
        <f t="shared" si="50"/>
        <v>0.12623834372528675</v>
      </c>
      <c r="HD804" s="58"/>
      <c r="HE804" s="58"/>
      <c r="HF804" s="58"/>
      <c r="HG804" s="58"/>
      <c r="HH804" s="58"/>
      <c r="IV804"/>
    </row>
    <row r="805" spans="204:256" s="2" customFormat="1">
      <c r="GV805" s="1062"/>
      <c r="GW805" s="1062"/>
      <c r="GX805" s="1062"/>
      <c r="GY805" s="1062"/>
      <c r="GZ805" s="59" t="s">
        <v>1809</v>
      </c>
      <c r="HA805" s="1105">
        <v>612.69145700000001</v>
      </c>
      <c r="HB805" s="1105">
        <v>3051.8677390999997</v>
      </c>
      <c r="HC805" s="2126">
        <f t="shared" si="50"/>
        <v>0.20075950512215959</v>
      </c>
      <c r="HD805" s="58"/>
      <c r="HE805" s="58"/>
      <c r="HF805" s="58"/>
      <c r="HG805" s="58"/>
      <c r="HH805" s="58"/>
      <c r="IV805"/>
    </row>
    <row r="806" spans="204:256" s="2" customFormat="1" ht="3.95" customHeight="1">
      <c r="GV806" s="1062"/>
      <c r="GW806" s="1062"/>
      <c r="GX806" s="1062"/>
      <c r="GY806" s="1062"/>
      <c r="GZ806" s="59"/>
      <c r="HA806" s="86" t="s">
        <v>1744</v>
      </c>
      <c r="HB806" s="86" t="s">
        <v>1744</v>
      </c>
      <c r="HC806" s="2129" t="s">
        <v>1744</v>
      </c>
      <c r="HD806" s="2186"/>
      <c r="HE806" s="2186"/>
      <c r="HF806" s="2186"/>
      <c r="HG806" s="2186"/>
      <c r="HH806" s="2186"/>
      <c r="IV806"/>
    </row>
    <row r="807" spans="204:256" s="113" customFormat="1">
      <c r="GV807" s="2218"/>
      <c r="GW807" s="2218"/>
      <c r="GX807" s="2218"/>
      <c r="GY807" s="2218"/>
      <c r="GZ807" s="2127" t="s">
        <v>243</v>
      </c>
      <c r="HA807" s="818">
        <f>+SUM(HA799:HA806)</f>
        <v>2085.8416288952731</v>
      </c>
      <c r="HB807" s="818">
        <f>+SUM(HB799:HB806)</f>
        <v>14357.834507509999</v>
      </c>
      <c r="HC807" s="2126">
        <f>+HA807/HB807</f>
        <v>0.14527550291823285</v>
      </c>
      <c r="HD807" s="58"/>
      <c r="HE807" s="58"/>
      <c r="HF807" s="58"/>
      <c r="HG807" s="58"/>
      <c r="HH807" s="58"/>
      <c r="IV807"/>
    </row>
    <row r="808" spans="204:256" s="113" customFormat="1">
      <c r="GV808" s="2218"/>
      <c r="GW808" s="2218"/>
      <c r="GX808" s="2218"/>
      <c r="GY808" s="2218"/>
      <c r="GZ808" s="2127" t="s">
        <v>242</v>
      </c>
      <c r="HA808" s="818">
        <f>+HA807</f>
        <v>2085.8416288952731</v>
      </c>
      <c r="HB808" s="818">
        <v>28010.733616577851</v>
      </c>
      <c r="HC808" s="2126">
        <f>+HA808/HB808</f>
        <v>7.4465797913296716E-2</v>
      </c>
      <c r="HD808" s="58"/>
      <c r="HE808" s="58"/>
      <c r="HF808" s="58"/>
      <c r="HG808" s="58"/>
      <c r="HH808" s="58"/>
      <c r="IV808"/>
    </row>
    <row r="809" spans="204:256" s="2" customFormat="1" ht="3.95" customHeight="1">
      <c r="GV809" s="1062"/>
      <c r="GW809" s="1062"/>
      <c r="GX809" s="1062"/>
      <c r="GY809" s="1062"/>
      <c r="GZ809" s="59"/>
      <c r="HA809" s="61"/>
      <c r="HB809" s="61"/>
      <c r="HC809" s="2126"/>
      <c r="HD809" s="58"/>
      <c r="HE809" s="58"/>
      <c r="HF809" s="58"/>
      <c r="HG809" s="58"/>
      <c r="HH809" s="58"/>
      <c r="IV809"/>
    </row>
    <row r="810" spans="204:256" s="113" customFormat="1">
      <c r="GV810" s="2218"/>
      <c r="GW810" s="2218"/>
      <c r="GX810" s="2218"/>
      <c r="GY810" s="2218"/>
      <c r="GZ810" s="2127" t="s">
        <v>1804</v>
      </c>
      <c r="HA810" s="2000">
        <f>2110.233-HA805-SUM(HA799:HA804)+438+417</f>
        <v>879.39137110472711</v>
      </c>
      <c r="HB810" s="2000">
        <v>10861.087</v>
      </c>
      <c r="HC810" s="2126">
        <f>+HA810/HB810</f>
        <v>8.0967160202724375E-2</v>
      </c>
      <c r="HD810" s="58"/>
      <c r="HE810" s="58"/>
      <c r="HF810" s="58"/>
      <c r="HG810" s="58"/>
      <c r="HH810" s="58"/>
      <c r="IV810"/>
    </row>
    <row r="811" spans="204:256" s="2" customFormat="1">
      <c r="GV811" s="1062"/>
      <c r="GW811" s="1062"/>
      <c r="GX811" s="1062"/>
      <c r="GY811" s="1062"/>
      <c r="GZ811" s="2002" t="s">
        <v>1743</v>
      </c>
      <c r="HA811" s="61">
        <f>+HA810</f>
        <v>879.39137110472711</v>
      </c>
      <c r="HB811" s="1105">
        <f>HB810-6207.228</f>
        <v>4653.8589999999995</v>
      </c>
      <c r="HC811" s="2126">
        <f>+HA811/HB811</f>
        <v>0.18895960773730516</v>
      </c>
      <c r="HD811" s="58"/>
      <c r="HE811" s="58"/>
      <c r="HF811" s="58"/>
      <c r="HG811" s="58"/>
      <c r="HH811" s="58"/>
      <c r="IV811"/>
    </row>
    <row r="812" spans="204:256" s="113" customFormat="1">
      <c r="GV812" s="2218"/>
      <c r="GW812" s="2218"/>
      <c r="GX812" s="2218"/>
      <c r="GY812" s="2218"/>
      <c r="GZ812" s="2127" t="s">
        <v>1330</v>
      </c>
      <c r="HA812" s="2132" t="s">
        <v>390</v>
      </c>
      <c r="HB812" s="2132" t="s">
        <v>390</v>
      </c>
      <c r="HC812" s="2128" t="s">
        <v>390</v>
      </c>
      <c r="HD812" s="2187"/>
      <c r="HE812" s="2187"/>
      <c r="HF812" s="2187"/>
      <c r="HG812" s="2187"/>
      <c r="HH812" s="2187"/>
      <c r="IV812"/>
    </row>
    <row r="813" spans="204:256" s="2" customFormat="1" ht="3.95" customHeight="1">
      <c r="GV813" s="1062"/>
      <c r="GW813" s="1062"/>
      <c r="GX813" s="1062"/>
      <c r="GY813" s="1062"/>
      <c r="GZ813" s="56"/>
      <c r="HA813" s="72"/>
      <c r="HB813" s="72"/>
      <c r="HC813" s="54"/>
      <c r="HD813" s="58"/>
      <c r="HE813" s="58"/>
      <c r="HF813" s="58"/>
      <c r="HG813" s="58"/>
      <c r="HH813" s="58"/>
      <c r="IV813"/>
    </row>
    <row r="814" spans="204:256" s="2" customFormat="1" ht="12.75" customHeight="1">
      <c r="GV814" s="1062"/>
      <c r="GW814" s="1062"/>
      <c r="GX814" s="1062"/>
      <c r="GY814" s="1062"/>
      <c r="GZ814" s="61"/>
      <c r="HA814" s="61"/>
      <c r="HB814" s="61"/>
      <c r="HC814" s="58"/>
      <c r="HD814" s="58" t="s">
        <v>337</v>
      </c>
      <c r="HE814" s="58"/>
      <c r="HF814" s="58"/>
      <c r="HG814" s="58"/>
      <c r="HH814" s="58"/>
      <c r="IV814"/>
    </row>
    <row r="815" spans="204:256" s="2" customFormat="1" ht="12.75" customHeight="1">
      <c r="GV815" s="1062"/>
      <c r="GW815" s="1062"/>
      <c r="GX815" s="1062"/>
      <c r="GY815" s="1062"/>
      <c r="GZ815" s="61"/>
      <c r="HA815" s="61"/>
      <c r="HB815" s="61"/>
      <c r="HC815" s="58"/>
      <c r="HE815" s="58"/>
      <c r="HF815" s="58"/>
      <c r="HG815" s="58"/>
      <c r="HH815" s="58"/>
      <c r="IV815"/>
    </row>
    <row r="816" spans="204:256" s="2" customFormat="1" ht="12.75" customHeight="1">
      <c r="GV816" s="1062"/>
      <c r="GW816" s="1062"/>
      <c r="GX816" s="1062"/>
      <c r="GY816" s="1062"/>
      <c r="GZ816" s="61"/>
      <c r="HA816" s="61"/>
      <c r="HB816" s="61"/>
      <c r="HC816" s="58"/>
      <c r="HD816" s="58" t="s">
        <v>338</v>
      </c>
      <c r="HE816" s="58"/>
      <c r="HF816" s="58"/>
      <c r="HG816" s="58"/>
      <c r="HH816" s="58"/>
      <c r="IV816"/>
    </row>
    <row r="817" spans="204:256" s="2" customFormat="1" ht="12.75" customHeight="1">
      <c r="GV817" s="1062"/>
      <c r="GW817" s="1062"/>
      <c r="GX817" s="1062"/>
      <c r="GY817" s="1062"/>
      <c r="GZ817" s="61"/>
      <c r="HA817" s="61"/>
      <c r="HB817" s="61"/>
      <c r="HC817" s="58"/>
      <c r="HD817" s="58" t="s">
        <v>1611</v>
      </c>
      <c r="HE817" s="58"/>
      <c r="HF817" s="58"/>
      <c r="HG817" s="58"/>
      <c r="HH817" s="58"/>
      <c r="IV817"/>
    </row>
    <row r="818" spans="204:256" s="2" customFormat="1" ht="12.75" customHeight="1">
      <c r="GV818" s="1062"/>
      <c r="GW818" s="1062"/>
      <c r="GX818" s="1062"/>
      <c r="GY818" s="1062"/>
      <c r="GZ818" s="61"/>
      <c r="HA818" s="61"/>
      <c r="HB818" s="61"/>
      <c r="HC818" s="58"/>
      <c r="HD818" s="58" t="s">
        <v>339</v>
      </c>
      <c r="HE818" s="58"/>
      <c r="HF818" s="58"/>
      <c r="HG818" s="58"/>
      <c r="HH818" s="58"/>
      <c r="IV818"/>
    </row>
    <row r="819" spans="204:256" s="2" customFormat="1" ht="12.75" customHeight="1">
      <c r="GV819" s="1062"/>
      <c r="GW819" s="1062"/>
      <c r="GX819" s="1062"/>
      <c r="GY819" s="1062"/>
      <c r="GZ819" s="61"/>
      <c r="HA819" s="61"/>
      <c r="HB819" s="61"/>
      <c r="HC819" s="58"/>
      <c r="HD819" s="58" t="s">
        <v>340</v>
      </c>
      <c r="HE819" s="58"/>
      <c r="HF819" s="58"/>
      <c r="HG819" s="58"/>
      <c r="HH819" s="58"/>
      <c r="IV819"/>
    </row>
    <row r="820" spans="204:256" s="2" customFormat="1" ht="12.75" customHeight="1">
      <c r="GV820" s="1062"/>
      <c r="GW820" s="1062"/>
      <c r="GX820" s="1062"/>
      <c r="GY820" s="1062"/>
      <c r="HC820" s="105"/>
      <c r="HD820" s="105"/>
      <c r="HE820" s="105"/>
      <c r="HF820" s="105"/>
      <c r="HG820" s="105"/>
      <c r="HH820" s="105"/>
      <c r="HI820" s="2" t="s">
        <v>576</v>
      </c>
      <c r="IV820"/>
    </row>
    <row r="821" spans="204:256" s="2138" customFormat="1">
      <c r="GV821" s="2219"/>
      <c r="GW821" s="2219"/>
      <c r="GX821" s="2219"/>
      <c r="GY821" s="2219"/>
      <c r="HC821" s="2139"/>
      <c r="HD821" s="2139"/>
      <c r="HE821" s="2139"/>
      <c r="HF821" s="2139"/>
      <c r="HG821" s="2139"/>
      <c r="HH821" s="2139"/>
      <c r="HI821" s="2141" t="s">
        <v>843</v>
      </c>
      <c r="HJ821" s="2142">
        <v>2008</v>
      </c>
      <c r="HK821" s="2142">
        <v>2009</v>
      </c>
      <c r="HL821" s="2142">
        <v>2010</v>
      </c>
      <c r="HM821" s="2142">
        <v>2011</v>
      </c>
      <c r="HN821" s="2142">
        <v>2012</v>
      </c>
      <c r="HO821" s="2183" t="s">
        <v>55</v>
      </c>
      <c r="HP821" s="2183" t="s">
        <v>215</v>
      </c>
      <c r="HQ821" s="2184" t="s">
        <v>1512</v>
      </c>
      <c r="IV821"/>
    </row>
    <row r="822" spans="204:256" s="1205" customFormat="1">
      <c r="GV822" s="2220"/>
      <c r="GW822" s="2220"/>
      <c r="GX822" s="2220"/>
      <c r="GY822" s="2220"/>
      <c r="HC822" s="2145"/>
      <c r="HD822" s="2145"/>
      <c r="HE822" s="2145"/>
      <c r="HF822" s="2145"/>
      <c r="HG822" s="2145"/>
      <c r="HH822" s="2145"/>
      <c r="HI822" s="2146" t="s">
        <v>514</v>
      </c>
      <c r="HJ822" s="2147">
        <f>+BYD!CU38</f>
        <v>218.59099999999998</v>
      </c>
      <c r="HK822" s="2147">
        <f>+BYD!CV38</f>
        <v>155.33599999999998</v>
      </c>
      <c r="HL822" s="2147">
        <f>+BYD!CW38</f>
        <v>137.464</v>
      </c>
      <c r="HM822" s="2147">
        <f>+BYD!CX38</f>
        <v>145.84800000000001</v>
      </c>
      <c r="HN822" s="2147">
        <f>+BYD!CY38</f>
        <v>128.74199999999999</v>
      </c>
      <c r="HO822" s="2147">
        <f>+BYD!CZ38</f>
        <v>137.50099999999998</v>
      </c>
      <c r="HP822" s="2147">
        <f>+BYD!DA38</f>
        <v>144.39699999999999</v>
      </c>
      <c r="HQ822" s="2148">
        <f>+BYD!DB38</f>
        <v>157.31199999999998</v>
      </c>
      <c r="IV822"/>
    </row>
    <row r="823" spans="204:256" s="2" customFormat="1">
      <c r="GV823" s="1062"/>
      <c r="GW823" s="1062"/>
      <c r="GX823" s="1062"/>
      <c r="GY823" s="1062"/>
      <c r="HC823" s="105"/>
      <c r="HD823" s="105"/>
      <c r="HE823" s="105"/>
      <c r="HF823" s="105"/>
      <c r="HG823" s="105"/>
      <c r="HH823" s="105"/>
      <c r="HI823" s="59" t="s">
        <v>515</v>
      </c>
      <c r="HJ823" s="61">
        <f>+BYD!CU39</f>
        <v>40.656999999999996</v>
      </c>
      <c r="HK823" s="61">
        <f>+BYD!CV39</f>
        <v>46.102000000000004</v>
      </c>
      <c r="HL823" s="61">
        <f>+BYD!CW39</f>
        <v>34.227000000000004</v>
      </c>
      <c r="HM823" s="61">
        <f>+BYD!CX39</f>
        <v>35.213999999999999</v>
      </c>
      <c r="HN823" s="61">
        <f>+BYD!CY39</f>
        <v>32.832000000000001</v>
      </c>
      <c r="HO823" s="61">
        <f>+BYD!CZ39</f>
        <v>35.036000000000001</v>
      </c>
      <c r="HP823" s="61">
        <f>+BYD!DA39</f>
        <v>37.308999999999997</v>
      </c>
      <c r="HQ823" s="60">
        <f>+BYD!DB39</f>
        <v>49.314</v>
      </c>
      <c r="IV823"/>
    </row>
    <row r="824" spans="204:256" s="2" customFormat="1">
      <c r="GV824" s="1062"/>
      <c r="GW824" s="1062"/>
      <c r="GX824" s="1062"/>
      <c r="GY824" s="1062"/>
      <c r="HC824" s="105"/>
      <c r="HD824" s="105"/>
      <c r="HE824" s="105"/>
      <c r="HF824" s="105"/>
      <c r="HG824" s="105"/>
      <c r="HH824" s="105"/>
      <c r="HI824" s="59" t="s">
        <v>516</v>
      </c>
      <c r="HJ824" s="61">
        <f>+BYD!CU41</f>
        <v>166.36600000000001</v>
      </c>
      <c r="HK824" s="61">
        <f>+BYD!CV41</f>
        <v>161.892</v>
      </c>
      <c r="HL824" s="61">
        <f>+BYD!CW41</f>
        <v>143</v>
      </c>
      <c r="HM824" s="61">
        <f>+BYD!CX41</f>
        <v>167.101</v>
      </c>
      <c r="HN824" s="61">
        <f>+BYD!CY41</f>
        <v>192.34900000000002</v>
      </c>
      <c r="HO824" s="61">
        <f>+BYD!CZ41</f>
        <v>179.976</v>
      </c>
      <c r="HP824" s="61">
        <f>+BYD!DA41</f>
        <v>169.97699999999998</v>
      </c>
      <c r="HQ824" s="60">
        <f>+BYD!DB41</f>
        <v>196.822</v>
      </c>
      <c r="IV824"/>
    </row>
    <row r="825" spans="204:256" s="2" customFormat="1">
      <c r="GV825" s="1062"/>
      <c r="GW825" s="1062"/>
      <c r="GX825" s="1062"/>
      <c r="GY825" s="1062"/>
      <c r="HC825" s="105"/>
      <c r="HD825" s="105"/>
      <c r="HE825" s="105"/>
      <c r="HF825" s="105"/>
      <c r="HG825" s="105"/>
      <c r="HH825" s="105"/>
      <c r="HI825" s="59" t="s">
        <v>517</v>
      </c>
      <c r="HJ825" s="61"/>
      <c r="HK825" s="61"/>
      <c r="HL825" s="61"/>
      <c r="HM825" s="61"/>
      <c r="HN825" s="61"/>
      <c r="HO825" s="61">
        <f>+BYD!CZ42</f>
        <v>185.26900000000001</v>
      </c>
      <c r="HP825" s="61">
        <f>+BYD!DA42</f>
        <v>175.08100000000002</v>
      </c>
      <c r="HQ825" s="60">
        <f>+BYD!DB42</f>
        <v>184.12</v>
      </c>
      <c r="IV825"/>
    </row>
    <row r="826" spans="204:256" s="2" customFormat="1">
      <c r="GV826" s="1062"/>
      <c r="GW826" s="1062"/>
      <c r="GX826" s="1062"/>
      <c r="GY826" s="1062"/>
      <c r="HC826" s="105"/>
      <c r="HD826" s="105"/>
      <c r="HE826" s="105"/>
      <c r="HF826" s="105"/>
      <c r="HG826" s="105"/>
      <c r="HH826" s="105"/>
      <c r="HI826" s="59" t="s">
        <v>550</v>
      </c>
      <c r="HJ826" s="2143">
        <f>+BYD!CU927*0.5</f>
        <v>98.56800000000004</v>
      </c>
      <c r="HK826" s="2143">
        <f>+BYD!CV927*0.5</f>
        <v>98.829499999999996</v>
      </c>
      <c r="HL826" s="61">
        <f>+BYD!CW45*0.5</f>
        <v>68.154000000000011</v>
      </c>
      <c r="HM826" s="61">
        <f>+BYD!CX45*0.5</f>
        <v>79.069499999999991</v>
      </c>
      <c r="HN826" s="61">
        <f>+BYD!CY45*0.5</f>
        <v>58.488000000000007</v>
      </c>
      <c r="HO826" s="61">
        <f>+BYD!CZ45*0.5</f>
        <v>59.618499999999997</v>
      </c>
      <c r="HP826" s="61">
        <f>+BYD!DA45*0.5</f>
        <v>79.477499999999992</v>
      </c>
      <c r="HQ826" s="60">
        <f>+BYD!DB45*0.5</f>
        <v>0</v>
      </c>
      <c r="IV826"/>
    </row>
    <row r="827" spans="204:256" s="2" customFormat="1">
      <c r="GV827" s="1062"/>
      <c r="GW827" s="1062"/>
      <c r="GX827" s="1062"/>
      <c r="GY827" s="1062"/>
      <c r="HC827" s="105"/>
      <c r="HD827" s="105"/>
      <c r="HE827" s="105"/>
      <c r="HF827" s="105"/>
      <c r="HG827" s="105"/>
      <c r="HH827" s="105"/>
      <c r="HI827" s="59" t="s">
        <v>577</v>
      </c>
      <c r="HJ827" s="2143"/>
      <c r="HK827" s="2143"/>
      <c r="HL827" s="61"/>
      <c r="HM827" s="61"/>
      <c r="HN827" s="61"/>
      <c r="HO827" s="61">
        <f>+BYD!CZ872</f>
        <v>0</v>
      </c>
      <c r="HP827" s="61">
        <f>+BYD!DA872</f>
        <v>-1.6042349527889423</v>
      </c>
      <c r="HQ827" s="60">
        <f>+BYD!DB872</f>
        <v>4.0106953723612007</v>
      </c>
      <c r="IV827"/>
    </row>
    <row r="828" spans="204:256" s="2" customFormat="1" ht="3.95" customHeight="1">
      <c r="GV828" s="1062"/>
      <c r="GW828" s="1062"/>
      <c r="GX828" s="1062"/>
      <c r="GY828" s="1062"/>
      <c r="HC828" s="105"/>
      <c r="HD828" s="105"/>
      <c r="HE828" s="105"/>
      <c r="HF828" s="105"/>
      <c r="HG828" s="105"/>
      <c r="HH828" s="105"/>
      <c r="HI828" s="59"/>
      <c r="HJ828" s="86" t="s">
        <v>580</v>
      </c>
      <c r="HK828" s="86" t="s">
        <v>580</v>
      </c>
      <c r="HL828" s="86" t="s">
        <v>580</v>
      </c>
      <c r="HM828" s="86" t="s">
        <v>580</v>
      </c>
      <c r="HN828" s="86" t="s">
        <v>580</v>
      </c>
      <c r="HO828" s="86" t="s">
        <v>580</v>
      </c>
      <c r="HP828" s="86" t="s">
        <v>580</v>
      </c>
      <c r="HQ828" s="2151" t="s">
        <v>580</v>
      </c>
      <c r="IV828"/>
    </row>
    <row r="829" spans="204:256" s="1205" customFormat="1">
      <c r="GV829" s="2220"/>
      <c r="GW829" s="2220"/>
      <c r="GX829" s="2220"/>
      <c r="GY829" s="2220"/>
      <c r="HC829" s="2145"/>
      <c r="HD829" s="2145"/>
      <c r="HE829" s="2145"/>
      <c r="HF829" s="2145"/>
      <c r="HG829" s="2145"/>
      <c r="HH829" s="2145"/>
      <c r="HI829" s="2149" t="s">
        <v>1141</v>
      </c>
      <c r="HJ829" s="325">
        <f t="shared" ref="HJ829:HQ829" si="51">+SUM(HJ822:HJ828)</f>
        <v>524.18200000000002</v>
      </c>
      <c r="HK829" s="325">
        <f t="shared" si="51"/>
        <v>462.15949999999998</v>
      </c>
      <c r="HL829" s="325">
        <f t="shared" si="51"/>
        <v>382.84500000000003</v>
      </c>
      <c r="HM829" s="325">
        <f t="shared" si="51"/>
        <v>427.23250000000002</v>
      </c>
      <c r="HN829" s="325">
        <f t="shared" si="51"/>
        <v>412.411</v>
      </c>
      <c r="HO829" s="325">
        <f t="shared" si="51"/>
        <v>597.40049999999997</v>
      </c>
      <c r="HP829" s="325">
        <f t="shared" si="51"/>
        <v>604.63726504721103</v>
      </c>
      <c r="HQ829" s="2150">
        <f t="shared" si="51"/>
        <v>591.57869537236115</v>
      </c>
      <c r="IV829"/>
    </row>
    <row r="830" spans="204:256" s="1150" customFormat="1">
      <c r="GV830" s="2221"/>
      <c r="GW830" s="2221"/>
      <c r="GX830" s="2221"/>
      <c r="GY830" s="2221"/>
      <c r="HC830" s="1170"/>
      <c r="HD830" s="1170"/>
      <c r="HE830" s="1170"/>
      <c r="HF830" s="1170"/>
      <c r="HG830" s="1170"/>
      <c r="HH830" s="1170"/>
      <c r="HI830" s="2152" t="s">
        <v>886</v>
      </c>
      <c r="HJ830" s="854"/>
      <c r="HK830" s="854">
        <f>+HK829/HJ829-1</f>
        <v>-0.11832245288850063</v>
      </c>
      <c r="HL830" s="854">
        <f t="shared" ref="HL830:HQ830" si="52">+HL829/HK829-1</f>
        <v>-0.17161715814561851</v>
      </c>
      <c r="HM830" s="854">
        <f t="shared" si="52"/>
        <v>0.11594117723883035</v>
      </c>
      <c r="HN830" s="854">
        <f t="shared" si="52"/>
        <v>-3.4691883225176023E-2</v>
      </c>
      <c r="HO830" s="854">
        <f t="shared" si="52"/>
        <v>0.44855617333194298</v>
      </c>
      <c r="HP830" s="854">
        <f t="shared" si="52"/>
        <v>1.2113757934938185E-2</v>
      </c>
      <c r="HQ830" s="2144">
        <f t="shared" si="52"/>
        <v>-2.1597361641000123E-2</v>
      </c>
      <c r="IV830"/>
    </row>
    <row r="831" spans="204:256" s="1150" customFormat="1">
      <c r="GV831" s="2221"/>
      <c r="GW831" s="2221"/>
      <c r="GX831" s="2221"/>
      <c r="GY831" s="2221"/>
      <c r="HC831" s="1170"/>
      <c r="HD831" s="1170"/>
      <c r="HE831" s="1170"/>
      <c r="HF831" s="1170"/>
      <c r="HG831" s="1170"/>
      <c r="HH831" s="1170"/>
      <c r="HI831" s="2152" t="s">
        <v>578</v>
      </c>
      <c r="HJ831" s="854"/>
      <c r="HK831" s="854">
        <f t="shared" ref="HK831:HQ831" si="53">+SUM(HK822:HK826)/SUM(HJ822:HJ826)-1</f>
        <v>-0.11832245288850063</v>
      </c>
      <c r="HL831" s="854">
        <f t="shared" si="53"/>
        <v>-0.17161715814561851</v>
      </c>
      <c r="HM831" s="854">
        <f t="shared" si="53"/>
        <v>0.11594117723883035</v>
      </c>
      <c r="HN831" s="854">
        <f t="shared" si="53"/>
        <v>-3.4691883225176023E-2</v>
      </c>
      <c r="HO831" s="854">
        <f t="shared" si="53"/>
        <v>0.44855617333194298</v>
      </c>
      <c r="HP831" s="854">
        <f t="shared" si="53"/>
        <v>1.4799117175161358E-2</v>
      </c>
      <c r="HQ831" s="2144">
        <f t="shared" si="53"/>
        <v>-3.0802081348769383E-2</v>
      </c>
      <c r="IV831"/>
    </row>
    <row r="832" spans="204:256" s="1150" customFormat="1">
      <c r="GV832" s="2221"/>
      <c r="GW832" s="2221"/>
      <c r="GX832" s="2221"/>
      <c r="GY832" s="2221"/>
      <c r="HC832" s="1170"/>
      <c r="HD832" s="1170"/>
      <c r="HE832" s="1170"/>
      <c r="HF832" s="1170"/>
      <c r="HG832" s="1170"/>
      <c r="HH832" s="1170"/>
      <c r="HI832" s="2152" t="s">
        <v>579</v>
      </c>
      <c r="HJ832" s="854"/>
      <c r="HK832" s="854">
        <f t="shared" ref="HK832:HQ832" si="54">SUM(HK822:HK824,HK826)/SUM(HJ822:HJ824,HJ826)-1</f>
        <v>-0.11832245288850063</v>
      </c>
      <c r="HL832" s="854">
        <f t="shared" si="54"/>
        <v>-0.17161715814561851</v>
      </c>
      <c r="HM832" s="854">
        <f t="shared" si="54"/>
        <v>0.11594117723883035</v>
      </c>
      <c r="HN832" s="854">
        <f t="shared" si="54"/>
        <v>-3.4691883225176023E-2</v>
      </c>
      <c r="HO832" s="854">
        <f t="shared" si="54"/>
        <v>-6.7772198122761917E-4</v>
      </c>
      <c r="HP832" s="854">
        <f t="shared" si="54"/>
        <v>4.6172156217129778E-2</v>
      </c>
      <c r="HQ832" s="2144">
        <f t="shared" si="54"/>
        <v>-6.4274208792317378E-2</v>
      </c>
      <c r="IV832"/>
    </row>
    <row r="833" spans="204:256" s="2" customFormat="1" ht="3.95" customHeight="1">
      <c r="GV833" s="1062"/>
      <c r="GW833" s="1062"/>
      <c r="GX833" s="1062"/>
      <c r="GY833" s="1062"/>
      <c r="HC833" s="105"/>
      <c r="HD833" s="105"/>
      <c r="HE833" s="105"/>
      <c r="HF833" s="105"/>
      <c r="HG833" s="105"/>
      <c r="HH833" s="105"/>
      <c r="HI833" s="56"/>
      <c r="HJ833" s="72"/>
      <c r="HK833" s="72"/>
      <c r="HL833" s="72"/>
      <c r="HM833" s="72"/>
      <c r="HN833" s="72"/>
      <c r="HO833" s="72"/>
      <c r="HP833" s="72"/>
      <c r="HQ833" s="102"/>
      <c r="IV833"/>
    </row>
    <row r="834" spans="204:256" s="2" customFormat="1">
      <c r="GV834" s="1062"/>
      <c r="GW834" s="1062"/>
      <c r="GX834" s="1062"/>
      <c r="GY834" s="1062"/>
      <c r="HC834" s="105"/>
      <c r="HD834" s="105"/>
      <c r="HE834" s="105"/>
      <c r="HF834" s="105"/>
      <c r="HG834" s="105"/>
      <c r="HH834" s="105"/>
      <c r="IV834"/>
    </row>
    <row r="835" spans="204:256" s="2" customFormat="1">
      <c r="GV835" s="1062"/>
      <c r="GW835" s="1062"/>
      <c r="GX835" s="1062"/>
      <c r="GY835" s="1062"/>
      <c r="HC835" s="105"/>
      <c r="HD835" s="105"/>
      <c r="HE835" s="105"/>
      <c r="HF835" s="105"/>
      <c r="HG835" s="105"/>
      <c r="HH835" s="105"/>
      <c r="HR835" s="2" t="s">
        <v>874</v>
      </c>
      <c r="IV835"/>
    </row>
    <row r="836" spans="204:256" s="2" customFormat="1">
      <c r="GV836" s="1062"/>
      <c r="GW836" s="1062"/>
      <c r="GX836" s="1062"/>
      <c r="GY836" s="1062"/>
      <c r="HC836" s="105"/>
      <c r="HD836" s="105"/>
      <c r="HE836" s="105"/>
      <c r="HF836" s="105"/>
      <c r="HG836" s="105"/>
      <c r="HH836" s="105"/>
      <c r="HR836" s="2304" t="s">
        <v>573</v>
      </c>
      <c r="HS836" s="2305">
        <f>+HT836-1</f>
        <v>2005</v>
      </c>
      <c r="HT836" s="2305">
        <f>+HU836-1</f>
        <v>2006</v>
      </c>
      <c r="HU836" s="2305">
        <f>+HV836-1</f>
        <v>2007</v>
      </c>
      <c r="HV836" s="2305">
        <f>+HW836-1</f>
        <v>2008</v>
      </c>
      <c r="HW836" s="2305">
        <v>2009</v>
      </c>
      <c r="HX836" s="2305">
        <v>2010</v>
      </c>
      <c r="HY836" s="2306" t="s">
        <v>1029</v>
      </c>
      <c r="HZ836" s="2306" t="s">
        <v>1699</v>
      </c>
      <c r="IA836" s="2306" t="s">
        <v>1700</v>
      </c>
      <c r="IB836" s="2306" t="s">
        <v>1565</v>
      </c>
      <c r="IC836" s="2305">
        <v>2011</v>
      </c>
      <c r="ID836" s="2306" t="s">
        <v>1647</v>
      </c>
      <c r="IE836" s="2306" t="s">
        <v>727</v>
      </c>
      <c r="IF836" s="2306" t="s">
        <v>23</v>
      </c>
      <c r="IG836" s="2306" t="s">
        <v>1660</v>
      </c>
      <c r="IH836" s="2305">
        <v>2012</v>
      </c>
      <c r="II836" s="2412" t="s">
        <v>1481</v>
      </c>
      <c r="IJ836" s="2307" t="s">
        <v>406</v>
      </c>
      <c r="IV836"/>
    </row>
    <row r="837" spans="204:256" s="1205" customFormat="1">
      <c r="GV837" s="2220"/>
      <c r="GW837" s="2220"/>
      <c r="GX837" s="2220"/>
      <c r="GY837" s="2220"/>
      <c r="HC837" s="2145"/>
      <c r="HD837" s="2145"/>
      <c r="HE837" s="2145"/>
      <c r="HF837" s="2145"/>
      <c r="HG837" s="2145"/>
      <c r="HH837" s="2145"/>
      <c r="HR837" s="2292" t="s">
        <v>1012</v>
      </c>
      <c r="HS837" s="1207">
        <v>2401.9290000000001</v>
      </c>
      <c r="HT837" s="1207">
        <v>2434.9209999999998</v>
      </c>
      <c r="HU837" s="1207">
        <v>2222.0189999999998</v>
      </c>
      <c r="HV837" s="1207">
        <v>1987.5550000000001</v>
      </c>
      <c r="HW837" s="1207">
        <v>1824.1659999999999</v>
      </c>
      <c r="HX837" s="1207">
        <v>2494.7240000000002</v>
      </c>
      <c r="HY837" s="1202">
        <v>663.63400000000001</v>
      </c>
      <c r="HZ837" s="1202">
        <v>674.87699999999995</v>
      </c>
      <c r="IA837" s="1202">
        <v>698.98099999999999</v>
      </c>
      <c r="IB837" s="1202">
        <v>718.68499999999995</v>
      </c>
      <c r="IC837" s="1201">
        <f>SUM(HY837:IB837)</f>
        <v>2756.1769999999997</v>
      </c>
      <c r="ID837" s="1202">
        <v>743.70899999999995</v>
      </c>
      <c r="IE837" s="1202">
        <v>725.77499999999998</v>
      </c>
      <c r="IF837" s="1202">
        <v>732.63499999999999</v>
      </c>
      <c r="IG837" s="1202">
        <v>735.98299999999995</v>
      </c>
      <c r="IH837" s="1201">
        <f>SUM(ID837:IG837)</f>
        <v>2938.1019999999999</v>
      </c>
      <c r="II837" s="2413">
        <v>848.90599999999995</v>
      </c>
      <c r="IJ837" s="2418">
        <v>849.78200000000004</v>
      </c>
      <c r="IV837"/>
    </row>
    <row r="838" spans="204:256" s="98" customFormat="1">
      <c r="GV838" s="1092"/>
      <c r="GW838" s="1092"/>
      <c r="GX838" s="1092"/>
      <c r="GY838" s="1092"/>
      <c r="HC838" s="1276"/>
      <c r="HD838" s="1276"/>
      <c r="HE838" s="1276"/>
      <c r="HF838" s="1276"/>
      <c r="HG838" s="1276"/>
      <c r="HH838" s="1276"/>
      <c r="HR838" s="1115" t="s">
        <v>1013</v>
      </c>
      <c r="HS838" s="1104">
        <v>-240.84399999999999</v>
      </c>
      <c r="HT838" s="1104">
        <v>-242.28700000000001</v>
      </c>
      <c r="HU838" s="1104">
        <v>-224.9</v>
      </c>
      <c r="HV838" s="1104">
        <v>-206.58799999999999</v>
      </c>
      <c r="HW838" s="1104">
        <v>-183.18</v>
      </c>
      <c r="HX838" s="1104">
        <v>-353.82499999999999</v>
      </c>
      <c r="HY838" s="1103">
        <v>-98.688000000000002</v>
      </c>
      <c r="HZ838" s="1103">
        <v>-100.474</v>
      </c>
      <c r="IA838" s="1103">
        <v>-108.76600000000001</v>
      </c>
      <c r="IB838" s="1103">
        <v>-112.011</v>
      </c>
      <c r="IC838" s="146">
        <f>SUM(HY838:IB838)</f>
        <v>-419.93899999999996</v>
      </c>
      <c r="ID838" s="1103">
        <v>-110.626</v>
      </c>
      <c r="IE838" s="1103">
        <v>-110.553</v>
      </c>
      <c r="IF838" s="1103">
        <v>-119.35599999999999</v>
      </c>
      <c r="IG838" s="1103">
        <v>-110.14100000000001</v>
      </c>
      <c r="IH838" s="146">
        <f>SUM(ID838:IG838)</f>
        <v>-450.67599999999999</v>
      </c>
      <c r="II838" s="2414">
        <v>-111.923</v>
      </c>
      <c r="IJ838" s="2294">
        <v>-111.03400000000001</v>
      </c>
      <c r="IV838"/>
    </row>
    <row r="839" spans="204:256" s="2" customFormat="1" ht="3.95" customHeight="1">
      <c r="GV839" s="1062"/>
      <c r="GW839" s="1062"/>
      <c r="GX839" s="1062"/>
      <c r="GY839" s="1062"/>
      <c r="HC839" s="105"/>
      <c r="HD839" s="105"/>
      <c r="HE839" s="105"/>
      <c r="HF839" s="105"/>
      <c r="HG839" s="105"/>
      <c r="HH839" s="105"/>
      <c r="HR839" s="59"/>
      <c r="HS839" s="2291" t="s">
        <v>1744</v>
      </c>
      <c r="HT839" s="2291" t="s">
        <v>1744</v>
      </c>
      <c r="HU839" s="2291" t="s">
        <v>1744</v>
      </c>
      <c r="HV839" s="2291" t="s">
        <v>1744</v>
      </c>
      <c r="HW839" s="2291" t="s">
        <v>1744</v>
      </c>
      <c r="HX839" s="2291" t="s">
        <v>1744</v>
      </c>
      <c r="HY839" s="86" t="s">
        <v>1744</v>
      </c>
      <c r="HZ839" s="86" t="s">
        <v>1744</v>
      </c>
      <c r="IA839" s="86" t="s">
        <v>1744</v>
      </c>
      <c r="IB839" s="86" t="s">
        <v>1744</v>
      </c>
      <c r="IC839" s="2291" t="s">
        <v>1744</v>
      </c>
      <c r="ID839" s="86" t="s">
        <v>1744</v>
      </c>
      <c r="IE839" s="86" t="s">
        <v>1744</v>
      </c>
      <c r="IF839" s="86" t="s">
        <v>1744</v>
      </c>
      <c r="IG839" s="86" t="s">
        <v>1744</v>
      </c>
      <c r="IH839" s="2291" t="s">
        <v>1744</v>
      </c>
      <c r="II839" s="2415" t="s">
        <v>1744</v>
      </c>
      <c r="IJ839" s="2151" t="s">
        <v>1744</v>
      </c>
      <c r="IV839"/>
    </row>
    <row r="840" spans="204:256" s="1205" customFormat="1">
      <c r="GV840" s="2220"/>
      <c r="GW840" s="2220"/>
      <c r="GX840" s="2220"/>
      <c r="GY840" s="2220"/>
      <c r="HC840" s="2145"/>
      <c r="HD840" s="2145"/>
      <c r="HE840" s="2145"/>
      <c r="HF840" s="2145"/>
      <c r="HG840" s="2145"/>
      <c r="HH840" s="2145"/>
      <c r="HR840" s="2292" t="s">
        <v>1014</v>
      </c>
      <c r="HS840" s="1201">
        <f t="shared" ref="HS840:IJ840" si="55">SUM(HS837:HS839)</f>
        <v>2161.085</v>
      </c>
      <c r="HT840" s="1201">
        <f t="shared" si="55"/>
        <v>2192.634</v>
      </c>
      <c r="HU840" s="1201">
        <f t="shared" si="55"/>
        <v>1997.1189999999997</v>
      </c>
      <c r="HV840" s="1201">
        <f t="shared" si="55"/>
        <v>1780.9670000000001</v>
      </c>
      <c r="HW840" s="1201">
        <f t="shared" si="55"/>
        <v>1640.9859999999999</v>
      </c>
      <c r="HX840" s="1201">
        <f t="shared" si="55"/>
        <v>2140.8990000000003</v>
      </c>
      <c r="HY840" s="313">
        <f t="shared" si="55"/>
        <v>564.94600000000003</v>
      </c>
      <c r="HZ840" s="313">
        <f t="shared" si="55"/>
        <v>574.40299999999991</v>
      </c>
      <c r="IA840" s="313">
        <f t="shared" si="55"/>
        <v>590.21500000000003</v>
      </c>
      <c r="IB840" s="313">
        <f t="shared" si="55"/>
        <v>606.67399999999998</v>
      </c>
      <c r="IC840" s="1201">
        <f t="shared" si="55"/>
        <v>2336.2379999999998</v>
      </c>
      <c r="ID840" s="313">
        <f t="shared" si="55"/>
        <v>633.08299999999997</v>
      </c>
      <c r="IE840" s="313">
        <f t="shared" si="55"/>
        <v>615.22199999999998</v>
      </c>
      <c r="IF840" s="313">
        <f t="shared" si="55"/>
        <v>613.279</v>
      </c>
      <c r="IG840" s="313">
        <f t="shared" si="55"/>
        <v>625.84199999999998</v>
      </c>
      <c r="IH840" s="1201">
        <f t="shared" si="55"/>
        <v>2487.4259999999999</v>
      </c>
      <c r="II840" s="2292">
        <f t="shared" si="55"/>
        <v>736.98299999999995</v>
      </c>
      <c r="IJ840" s="2295">
        <f t="shared" si="55"/>
        <v>738.74800000000005</v>
      </c>
      <c r="IV840"/>
    </row>
    <row r="841" spans="204:256" s="1150" customFormat="1">
      <c r="GV841" s="2221"/>
      <c r="GW841" s="2221"/>
      <c r="GX841" s="2221"/>
      <c r="GY841" s="2221"/>
      <c r="HC841" s="1170"/>
      <c r="HD841" s="1170"/>
      <c r="HE841" s="1170"/>
      <c r="HF841" s="1170"/>
      <c r="HG841" s="1170"/>
      <c r="HH841" s="1170"/>
      <c r="HR841" s="2327" t="s">
        <v>875</v>
      </c>
      <c r="HS841" s="2328">
        <f>-HS838/HS837</f>
        <v>0.10027107379110706</v>
      </c>
      <c r="HT841" s="2328">
        <f>-HT838/HT837</f>
        <v>9.950507634539274E-2</v>
      </c>
      <c r="HU841" s="2328">
        <f>-HU838/HU837</f>
        <v>0.10121425604371521</v>
      </c>
      <c r="HV841" s="2328">
        <f>-HV838/HV837</f>
        <v>0.1039407714503498</v>
      </c>
      <c r="HW841" s="2328">
        <f>-HW838/HW837</f>
        <v>0.10041849261525541</v>
      </c>
      <c r="HX841" s="2328">
        <f t="shared" ref="HX841:II841" si="56">-HX838/HX837</f>
        <v>0.14182931658973094</v>
      </c>
      <c r="HY841" s="2329">
        <f t="shared" si="56"/>
        <v>0.1487084748521022</v>
      </c>
      <c r="HZ841" s="2329">
        <f t="shared" si="56"/>
        <v>0.14887749915910606</v>
      </c>
      <c r="IA841" s="2329">
        <f t="shared" si="56"/>
        <v>0.15560651863212305</v>
      </c>
      <c r="IB841" s="2329">
        <f t="shared" si="56"/>
        <v>0.15585548606134816</v>
      </c>
      <c r="IC841" s="2328">
        <f t="shared" si="56"/>
        <v>0.15236285623165713</v>
      </c>
      <c r="ID841" s="2329">
        <f t="shared" si="56"/>
        <v>0.14874904028322908</v>
      </c>
      <c r="IE841" s="2329">
        <f t="shared" si="56"/>
        <v>0.15232406737625298</v>
      </c>
      <c r="IF841" s="2329">
        <f t="shared" si="56"/>
        <v>0.16291331972946965</v>
      </c>
      <c r="IG841" s="2329">
        <f t="shared" si="56"/>
        <v>0.14965155445166534</v>
      </c>
      <c r="IH841" s="2328">
        <f t="shared" si="56"/>
        <v>0.15339018182486516</v>
      </c>
      <c r="II841" s="2416">
        <f t="shared" si="56"/>
        <v>0.13184380838396714</v>
      </c>
      <c r="IJ841" s="2330">
        <f>-IJ838/IJ837</f>
        <v>0.1306617461890226</v>
      </c>
      <c r="IV841"/>
    </row>
    <row r="842" spans="204:256" s="1150" customFormat="1">
      <c r="GV842" s="2221"/>
      <c r="GW842" s="2221"/>
      <c r="GX842" s="2221"/>
      <c r="GY842" s="2221"/>
      <c r="HC842" s="1170"/>
      <c r="HD842" s="1170"/>
      <c r="HE842" s="1170"/>
      <c r="HF842" s="1170"/>
      <c r="HG842" s="1170"/>
      <c r="HH842" s="1170"/>
      <c r="HR842" s="2333" t="s">
        <v>876</v>
      </c>
      <c r="HS842" s="2328"/>
      <c r="HT842" s="2328">
        <f>+HT841-HS841</f>
        <v>-7.6599744571431705E-4</v>
      </c>
      <c r="HU842" s="2328">
        <f>+HU841-HT841</f>
        <v>1.7091796983224744E-3</v>
      </c>
      <c r="HV842" s="2328">
        <f>+HV841-HU841</f>
        <v>2.7265154066345859E-3</v>
      </c>
      <c r="HW842" s="2328">
        <f>+HW841-HV841</f>
        <v>-3.5222788350943862E-3</v>
      </c>
      <c r="HX842" s="2328">
        <f>+HX841-HW841</f>
        <v>4.1410823974475527E-2</v>
      </c>
      <c r="HY842" s="2329"/>
      <c r="HZ842" s="2329"/>
      <c r="IA842" s="2329"/>
      <c r="IB842" s="2329"/>
      <c r="IC842" s="2334">
        <f>+IC841-HX841</f>
        <v>1.0533539641926187E-2</v>
      </c>
      <c r="ID842" s="2335">
        <f t="shared" ref="ID842:IJ842" si="57">+ID841-HY841</f>
        <v>4.0565431126876605E-5</v>
      </c>
      <c r="IE842" s="2335">
        <f t="shared" si="57"/>
        <v>3.4465682171469225E-3</v>
      </c>
      <c r="IF842" s="2335">
        <f t="shared" si="57"/>
        <v>7.3068010973466047E-3</v>
      </c>
      <c r="IG842" s="2335">
        <f t="shared" si="57"/>
        <v>-6.2039316096828279E-3</v>
      </c>
      <c r="IH842" s="2334">
        <f t="shared" si="57"/>
        <v>1.0273255932080338E-3</v>
      </c>
      <c r="II842" s="2417">
        <f t="shared" si="57"/>
        <v>-1.6905231899261935E-2</v>
      </c>
      <c r="IJ842" s="2336">
        <f t="shared" si="57"/>
        <v>-2.1662321187230382E-2</v>
      </c>
      <c r="IV842"/>
    </row>
    <row r="843" spans="204:256" s="2" customFormat="1" ht="15.75" customHeight="1">
      <c r="GV843" s="1062"/>
      <c r="GW843" s="1062"/>
      <c r="GX843" s="1062"/>
      <c r="GY843" s="1062"/>
      <c r="HC843" s="105"/>
      <c r="HD843" s="105"/>
      <c r="HE843" s="105"/>
      <c r="HF843" s="105"/>
      <c r="HG843" s="105"/>
      <c r="HH843" s="105"/>
      <c r="HR843" s="59"/>
      <c r="HS843" s="112"/>
      <c r="HT843" s="112"/>
      <c r="HU843" s="112"/>
      <c r="HV843" s="112"/>
      <c r="HW843" s="112"/>
      <c r="HX843" s="112"/>
      <c r="HY843" s="61"/>
      <c r="HZ843" s="61"/>
      <c r="IA843" s="61"/>
      <c r="IB843" s="61"/>
      <c r="IC843" s="112"/>
      <c r="ID843" s="61"/>
      <c r="IE843" s="61"/>
      <c r="IF843" s="61"/>
      <c r="IG843" s="61"/>
      <c r="IH843" s="112"/>
      <c r="II843" s="61"/>
      <c r="IJ843" s="60"/>
      <c r="IV843"/>
    </row>
    <row r="844" spans="204:256" s="2" customFormat="1" ht="15.75" customHeight="1">
      <c r="GV844" s="1062"/>
      <c r="GW844" s="1062"/>
      <c r="GX844" s="1062"/>
      <c r="GY844" s="1062"/>
      <c r="HC844" s="105"/>
      <c r="HD844" s="105"/>
      <c r="HE844" s="105"/>
      <c r="HF844" s="105"/>
      <c r="HG844" s="105"/>
      <c r="HH844" s="105"/>
      <c r="HR844" s="2292" t="s">
        <v>1006</v>
      </c>
      <c r="HS844" s="1207"/>
      <c r="HT844" s="1207"/>
      <c r="HU844" s="1207"/>
      <c r="HV844" s="1207"/>
      <c r="HW844" s="1207"/>
      <c r="HX844" s="1207">
        <v>949.78499999999997</v>
      </c>
      <c r="HY844" s="1202">
        <v>221.916</v>
      </c>
      <c r="HZ844" s="1202">
        <v>239.60900000000001</v>
      </c>
      <c r="IA844" s="1202">
        <v>263.13299999999998</v>
      </c>
      <c r="IB844" s="1202">
        <v>229.86199999999999</v>
      </c>
      <c r="IC844" s="1201">
        <f>SUM(HY844:IB844)</f>
        <v>954.51999999999987</v>
      </c>
      <c r="ID844" s="1202">
        <v>227.434</v>
      </c>
      <c r="IE844" s="1202">
        <v>228.173</v>
      </c>
      <c r="IF844" s="1202">
        <v>249.62299999999999</v>
      </c>
      <c r="IG844" s="1202">
        <v>198.309</v>
      </c>
      <c r="IH844" s="1201">
        <f>SUM(ID844:IG844)</f>
        <v>903.53899999999999</v>
      </c>
      <c r="II844" s="2413">
        <v>215.47900000000001</v>
      </c>
      <c r="IJ844" s="2293">
        <v>223.83</v>
      </c>
      <c r="IV844"/>
    </row>
    <row r="845" spans="204:256" s="2" customFormat="1" ht="15.75" customHeight="1">
      <c r="GV845" s="1062"/>
      <c r="GW845" s="1062"/>
      <c r="GX845" s="1062"/>
      <c r="GY845" s="1062"/>
      <c r="HC845" s="105"/>
      <c r="HD845" s="105"/>
      <c r="HE845" s="105"/>
      <c r="HF845" s="105"/>
      <c r="HG845" s="105"/>
      <c r="HH845" s="105"/>
      <c r="HR845" s="1115" t="s">
        <v>1007</v>
      </c>
      <c r="HS845" s="1104"/>
      <c r="HT845" s="1104"/>
      <c r="HU845" s="1104"/>
      <c r="HV845" s="1104"/>
      <c r="HW845" s="1104"/>
      <c r="HX845" s="1104">
        <v>-211.35599999999999</v>
      </c>
      <c r="HY845" s="1103">
        <v>-52.826000000000001</v>
      </c>
      <c r="HZ845" s="1103">
        <v>-56.853000000000002</v>
      </c>
      <c r="IA845" s="1103">
        <v>-61.115000000000002</v>
      </c>
      <c r="IB845" s="1103">
        <v>-53.451999999999998</v>
      </c>
      <c r="IC845" s="146">
        <f>SUM(HY845:IB845)</f>
        <v>-224.24600000000001</v>
      </c>
      <c r="ID845" s="1103">
        <v>-51.283999999999999</v>
      </c>
      <c r="IE845" s="1103">
        <v>-52.756999999999998</v>
      </c>
      <c r="IF845" s="1103">
        <v>-62.531999999999996</v>
      </c>
      <c r="IG845" s="1103">
        <v>-50.744</v>
      </c>
      <c r="IH845" s="146">
        <f>SUM(ID845:IG845)</f>
        <v>-217.31699999999998</v>
      </c>
      <c r="II845" s="2414">
        <v>-49.835999999999999</v>
      </c>
      <c r="IJ845" s="2294">
        <v>-50.953000000000003</v>
      </c>
      <c r="IV845"/>
    </row>
    <row r="846" spans="204:256" s="2" customFormat="1" ht="3.95" customHeight="1">
      <c r="GV846" s="1062"/>
      <c r="GW846" s="1062"/>
      <c r="GX846" s="1062"/>
      <c r="GY846" s="1062"/>
      <c r="HC846" s="105"/>
      <c r="HD846" s="105"/>
      <c r="HE846" s="105"/>
      <c r="HF846" s="105"/>
      <c r="HG846" s="105"/>
      <c r="HH846" s="105"/>
      <c r="HR846" s="59"/>
      <c r="HS846" s="2291" t="s">
        <v>1744</v>
      </c>
      <c r="HT846" s="2291" t="s">
        <v>1744</v>
      </c>
      <c r="HU846" s="2291" t="s">
        <v>1744</v>
      </c>
      <c r="HV846" s="2291" t="s">
        <v>1744</v>
      </c>
      <c r="HW846" s="2291" t="s">
        <v>1744</v>
      </c>
      <c r="HX846" s="2291" t="s">
        <v>1744</v>
      </c>
      <c r="HY846" s="86" t="s">
        <v>1744</v>
      </c>
      <c r="HZ846" s="86" t="s">
        <v>1744</v>
      </c>
      <c r="IA846" s="86" t="s">
        <v>1744</v>
      </c>
      <c r="IB846" s="86" t="s">
        <v>1744</v>
      </c>
      <c r="IC846" s="2291" t="s">
        <v>1744</v>
      </c>
      <c r="ID846" s="86" t="s">
        <v>1744</v>
      </c>
      <c r="IE846" s="86" t="s">
        <v>1744</v>
      </c>
      <c r="IF846" s="86" t="s">
        <v>1744</v>
      </c>
      <c r="IG846" s="86" t="s">
        <v>1744</v>
      </c>
      <c r="IH846" s="2291" t="s">
        <v>1744</v>
      </c>
      <c r="II846" s="2415" t="s">
        <v>1744</v>
      </c>
      <c r="IJ846" s="2151" t="s">
        <v>1744</v>
      </c>
      <c r="IV846"/>
    </row>
    <row r="847" spans="204:256" s="2" customFormat="1" ht="15.75" customHeight="1">
      <c r="GV847" s="1062"/>
      <c r="GW847" s="1062"/>
      <c r="GX847" s="1062"/>
      <c r="GY847" s="1062"/>
      <c r="HC847" s="105"/>
      <c r="HD847" s="105"/>
      <c r="HE847" s="105"/>
      <c r="HF847" s="105"/>
      <c r="HG847" s="105"/>
      <c r="HH847" s="105"/>
      <c r="HR847" s="2292" t="s">
        <v>1008</v>
      </c>
      <c r="HS847" s="1201"/>
      <c r="HT847" s="1201"/>
      <c r="HU847" s="1201"/>
      <c r="HV847" s="1201"/>
      <c r="HW847" s="1201"/>
      <c r="HX847" s="1201">
        <f t="shared" ref="HX847:IC847" si="58">SUM(HX844:HX846)</f>
        <v>738.42899999999997</v>
      </c>
      <c r="HY847" s="313">
        <f t="shared" si="58"/>
        <v>169.09</v>
      </c>
      <c r="HZ847" s="313">
        <f t="shared" si="58"/>
        <v>182.756</v>
      </c>
      <c r="IA847" s="313">
        <f t="shared" si="58"/>
        <v>202.01799999999997</v>
      </c>
      <c r="IB847" s="313">
        <f t="shared" si="58"/>
        <v>176.41</v>
      </c>
      <c r="IC847" s="1201">
        <f t="shared" si="58"/>
        <v>730.27399999999989</v>
      </c>
      <c r="ID847" s="313">
        <f t="shared" ref="ID847:IJ847" si="59">SUM(ID844:ID846)</f>
        <v>176.15</v>
      </c>
      <c r="IE847" s="313">
        <f t="shared" si="59"/>
        <v>175.416</v>
      </c>
      <c r="IF847" s="313">
        <f>SUM(IF844:IF846)</f>
        <v>187.09100000000001</v>
      </c>
      <c r="IG847" s="313">
        <f t="shared" si="59"/>
        <v>147.565</v>
      </c>
      <c r="IH847" s="1201">
        <f t="shared" si="59"/>
        <v>686.22199999999998</v>
      </c>
      <c r="II847" s="2292">
        <f t="shared" si="59"/>
        <v>165.64300000000003</v>
      </c>
      <c r="IJ847" s="2295">
        <f t="shared" si="59"/>
        <v>172.87700000000001</v>
      </c>
      <c r="IV847"/>
    </row>
    <row r="848" spans="204:256" s="2" customFormat="1" ht="15.75" customHeight="1">
      <c r="GV848" s="1062"/>
      <c r="GW848" s="1062"/>
      <c r="GX848" s="1062"/>
      <c r="GY848" s="1062"/>
      <c r="HC848" s="105"/>
      <c r="HD848" s="105"/>
      <c r="HE848" s="105"/>
      <c r="HF848" s="105"/>
      <c r="HG848" s="105"/>
      <c r="HH848" s="105"/>
      <c r="HR848" s="2327" t="s">
        <v>875</v>
      </c>
      <c r="HS848" s="2328"/>
      <c r="HT848" s="2328"/>
      <c r="HU848" s="2328"/>
      <c r="HV848" s="2328"/>
      <c r="HW848" s="2328"/>
      <c r="HX848" s="2328">
        <f t="shared" ref="HX848:IJ848" si="60">-HX845/HX844</f>
        <v>0.22253036213458835</v>
      </c>
      <c r="HY848" s="2329">
        <f t="shared" si="60"/>
        <v>0.23804502604589126</v>
      </c>
      <c r="HZ848" s="2329">
        <f t="shared" si="60"/>
        <v>0.23727405898776757</v>
      </c>
      <c r="IA848" s="2329">
        <f t="shared" si="60"/>
        <v>0.23225897169872273</v>
      </c>
      <c r="IB848" s="2329">
        <f t="shared" si="60"/>
        <v>0.23253952371422854</v>
      </c>
      <c r="IC848" s="2328">
        <f t="shared" si="60"/>
        <v>0.23493064576960151</v>
      </c>
      <c r="ID848" s="2329">
        <f t="shared" si="60"/>
        <v>0.22548959258510162</v>
      </c>
      <c r="IE848" s="2329">
        <f t="shared" si="60"/>
        <v>0.23121491149259552</v>
      </c>
      <c r="IF848" s="2329">
        <f t="shared" si="60"/>
        <v>0.25050576269013675</v>
      </c>
      <c r="IG848" s="2329">
        <f t="shared" si="60"/>
        <v>0.25588349494980056</v>
      </c>
      <c r="IH848" s="2328">
        <f t="shared" si="60"/>
        <v>0.24051756482011288</v>
      </c>
      <c r="II848" s="2416">
        <f t="shared" si="60"/>
        <v>0.23128007833710013</v>
      </c>
      <c r="IJ848" s="2330">
        <f t="shared" si="60"/>
        <v>0.22764151364875129</v>
      </c>
      <c r="IV848"/>
    </row>
    <row r="849" spans="204:256" s="2" customFormat="1" ht="15.75" customHeight="1">
      <c r="GV849" s="1062"/>
      <c r="GW849" s="1062"/>
      <c r="GX849" s="1062"/>
      <c r="GY849" s="1062"/>
      <c r="HC849" s="105"/>
      <c r="HD849" s="105"/>
      <c r="HE849" s="105"/>
      <c r="HF849" s="105"/>
      <c r="HG849" s="105"/>
      <c r="HH849" s="105"/>
      <c r="HR849" s="2333" t="s">
        <v>876</v>
      </c>
      <c r="HS849" s="2328"/>
      <c r="HT849" s="2328"/>
      <c r="HU849" s="2328"/>
      <c r="HV849" s="2328"/>
      <c r="HW849" s="2328"/>
      <c r="HX849" s="2328"/>
      <c r="HY849" s="2329"/>
      <c r="HZ849" s="2329"/>
      <c r="IA849" s="2329"/>
      <c r="IB849" s="2329"/>
      <c r="IC849" s="2334">
        <f t="shared" ref="IC849:IJ849" si="61">+IC848-HX848</f>
        <v>1.2400283635013165E-2</v>
      </c>
      <c r="ID849" s="2335">
        <f t="shared" si="61"/>
        <v>-1.2555433460789633E-2</v>
      </c>
      <c r="IE849" s="2335">
        <f t="shared" si="61"/>
        <v>-6.059147495172057E-3</v>
      </c>
      <c r="IF849" s="2335">
        <f t="shared" si="61"/>
        <v>1.8246790991414019E-2</v>
      </c>
      <c r="IG849" s="2335">
        <f t="shared" si="61"/>
        <v>2.3343971235572025E-2</v>
      </c>
      <c r="IH849" s="2334">
        <f t="shared" si="61"/>
        <v>5.5869190505113686E-3</v>
      </c>
      <c r="II849" s="2417">
        <f t="shared" si="61"/>
        <v>5.7904857519985031E-3</v>
      </c>
      <c r="IJ849" s="2336">
        <f t="shared" si="61"/>
        <v>-3.5733978438442227E-3</v>
      </c>
      <c r="IV849"/>
    </row>
    <row r="850" spans="204:256" s="2" customFormat="1" ht="15.75" customHeight="1">
      <c r="GV850" s="1062"/>
      <c r="GW850" s="1062"/>
      <c r="GX850" s="1062"/>
      <c r="GY850" s="1062"/>
      <c r="HC850" s="105"/>
      <c r="HD850" s="105"/>
      <c r="HE850" s="105"/>
      <c r="HF850" s="105"/>
      <c r="HG850" s="105"/>
      <c r="HH850" s="105"/>
      <c r="HR850" s="59"/>
      <c r="HS850" s="112"/>
      <c r="HT850" s="112"/>
      <c r="HU850" s="112"/>
      <c r="HV850" s="112"/>
      <c r="HW850" s="112"/>
      <c r="HX850" s="112"/>
      <c r="HY850" s="61"/>
      <c r="HZ850" s="61"/>
      <c r="IA850" s="61"/>
      <c r="IB850" s="61"/>
      <c r="IC850" s="112"/>
      <c r="ID850" s="61"/>
      <c r="IE850" s="61"/>
      <c r="IF850" s="61"/>
      <c r="IG850" s="61"/>
      <c r="IH850" s="112"/>
      <c r="II850" s="61"/>
      <c r="IJ850" s="60"/>
      <c r="IV850"/>
    </row>
    <row r="851" spans="204:256" s="2" customFormat="1" ht="15.75" customHeight="1">
      <c r="GV851" s="1062"/>
      <c r="GW851" s="1062"/>
      <c r="GX851" s="1062"/>
      <c r="GY851" s="1062"/>
      <c r="HC851" s="105"/>
      <c r="HD851" s="105"/>
      <c r="HE851" s="105"/>
      <c r="HF851" s="105"/>
      <c r="HG851" s="105"/>
      <c r="HH851" s="105"/>
      <c r="HR851" s="2292" t="s">
        <v>1009</v>
      </c>
      <c r="HS851" s="1207"/>
      <c r="HT851" s="1207"/>
      <c r="HU851" s="1207"/>
      <c r="HV851" s="1207"/>
      <c r="HW851" s="1201"/>
      <c r="HX851" s="1201">
        <f t="shared" ref="HX851:IB852" si="62">+HX837-HX844</f>
        <v>1544.9390000000003</v>
      </c>
      <c r="HY851" s="313">
        <f t="shared" si="62"/>
        <v>441.71800000000002</v>
      </c>
      <c r="HZ851" s="313">
        <f t="shared" si="62"/>
        <v>435.26799999999992</v>
      </c>
      <c r="IA851" s="313">
        <f t="shared" si="62"/>
        <v>435.84800000000001</v>
      </c>
      <c r="IB851" s="313">
        <f t="shared" si="62"/>
        <v>488.82299999999998</v>
      </c>
      <c r="IC851" s="1201">
        <f>SUM(HY851:IB851)</f>
        <v>1801.6569999999997</v>
      </c>
      <c r="ID851" s="313">
        <f t="shared" ref="ID851:IG852" si="63">+ID837-ID844</f>
        <v>516.27499999999998</v>
      </c>
      <c r="IE851" s="313">
        <f t="shared" si="63"/>
        <v>497.60199999999998</v>
      </c>
      <c r="IF851" s="313">
        <f t="shared" si="63"/>
        <v>483.012</v>
      </c>
      <c r="IG851" s="313">
        <f t="shared" si="63"/>
        <v>537.67399999999998</v>
      </c>
      <c r="IH851" s="1201">
        <f>SUM(ID851:IG851)</f>
        <v>2034.5629999999999</v>
      </c>
      <c r="II851" s="2292">
        <f>+II837-II844</f>
        <v>633.42699999999991</v>
      </c>
      <c r="IJ851" s="2295">
        <f>+IJ837-IJ844</f>
        <v>625.952</v>
      </c>
      <c r="IV851"/>
    </row>
    <row r="852" spans="204:256" s="2" customFormat="1" ht="15.75" customHeight="1">
      <c r="GV852" s="1062"/>
      <c r="GW852" s="1062"/>
      <c r="GX852" s="1062"/>
      <c r="GY852" s="1062"/>
      <c r="HC852" s="105"/>
      <c r="HD852" s="105"/>
      <c r="HE852" s="105"/>
      <c r="HF852" s="105"/>
      <c r="HG852" s="105"/>
      <c r="HH852" s="105"/>
      <c r="HR852" s="1115" t="s">
        <v>1010</v>
      </c>
      <c r="HS852" s="1104"/>
      <c r="HT852" s="1104"/>
      <c r="HU852" s="1104"/>
      <c r="HV852" s="1104"/>
      <c r="HW852" s="146"/>
      <c r="HX852" s="146">
        <f t="shared" si="62"/>
        <v>-142.46899999999999</v>
      </c>
      <c r="HY852" s="96">
        <f t="shared" si="62"/>
        <v>-45.862000000000002</v>
      </c>
      <c r="HZ852" s="96">
        <f t="shared" si="62"/>
        <v>-43.621000000000002</v>
      </c>
      <c r="IA852" s="96">
        <f t="shared" si="62"/>
        <v>-47.651000000000003</v>
      </c>
      <c r="IB852" s="96">
        <f t="shared" si="62"/>
        <v>-58.558999999999997</v>
      </c>
      <c r="IC852" s="146">
        <f>SUM(HY852:IB852)</f>
        <v>-195.69300000000001</v>
      </c>
      <c r="ID852" s="96">
        <f t="shared" si="63"/>
        <v>-59.342000000000006</v>
      </c>
      <c r="IE852" s="96">
        <f t="shared" si="63"/>
        <v>-57.795999999999999</v>
      </c>
      <c r="IF852" s="96">
        <f t="shared" si="63"/>
        <v>-56.823999999999998</v>
      </c>
      <c r="IG852" s="96">
        <f t="shared" si="63"/>
        <v>-59.397000000000006</v>
      </c>
      <c r="IH852" s="146">
        <f>SUM(ID852:IG852)</f>
        <v>-233.35899999999998</v>
      </c>
      <c r="II852" s="1115">
        <f>+II838-II845</f>
        <v>-62.087000000000003</v>
      </c>
      <c r="IJ852" s="97">
        <f>+IJ838-IJ845</f>
        <v>-60.081000000000003</v>
      </c>
      <c r="IV852"/>
    </row>
    <row r="853" spans="204:256" s="2" customFormat="1" ht="3.95" customHeight="1">
      <c r="GV853" s="1062"/>
      <c r="GW853" s="1062"/>
      <c r="GX853" s="1062"/>
      <c r="GY853" s="1062"/>
      <c r="HC853" s="105"/>
      <c r="HD853" s="105"/>
      <c r="HE853" s="105"/>
      <c r="HF853" s="105"/>
      <c r="HG853" s="105"/>
      <c r="HH853" s="105"/>
      <c r="HR853" s="59"/>
      <c r="HS853" s="2291" t="s">
        <v>1744</v>
      </c>
      <c r="HT853" s="2291" t="s">
        <v>1744</v>
      </c>
      <c r="HU853" s="2291" t="s">
        <v>1744</v>
      </c>
      <c r="HV853" s="2291" t="s">
        <v>1744</v>
      </c>
      <c r="HW853" s="2291" t="s">
        <v>1744</v>
      </c>
      <c r="HX853" s="2291" t="s">
        <v>1744</v>
      </c>
      <c r="HY853" s="86" t="s">
        <v>1744</v>
      </c>
      <c r="HZ853" s="86" t="s">
        <v>1744</v>
      </c>
      <c r="IA853" s="86" t="s">
        <v>1744</v>
      </c>
      <c r="IB853" s="86" t="s">
        <v>1744</v>
      </c>
      <c r="IC853" s="2291" t="s">
        <v>1744</v>
      </c>
      <c r="ID853" s="86" t="s">
        <v>1744</v>
      </c>
      <c r="IE853" s="86" t="s">
        <v>1744</v>
      </c>
      <c r="IF853" s="86" t="s">
        <v>1744</v>
      </c>
      <c r="IG853" s="86" t="s">
        <v>1744</v>
      </c>
      <c r="IH853" s="2291" t="s">
        <v>1744</v>
      </c>
      <c r="II853" s="2415" t="s">
        <v>1744</v>
      </c>
      <c r="IJ853" s="2151" t="s">
        <v>1744</v>
      </c>
      <c r="IV853"/>
    </row>
    <row r="854" spans="204:256" s="2" customFormat="1" ht="15.75" customHeight="1">
      <c r="GV854" s="1062"/>
      <c r="GW854" s="1062"/>
      <c r="GX854" s="1062"/>
      <c r="GY854" s="1062"/>
      <c r="HC854" s="105"/>
      <c r="HD854" s="105"/>
      <c r="HE854" s="105"/>
      <c r="HF854" s="105"/>
      <c r="HG854" s="105"/>
      <c r="HH854" s="105"/>
      <c r="HR854" s="2292" t="s">
        <v>1011</v>
      </c>
      <c r="HS854" s="1201"/>
      <c r="HT854" s="1201"/>
      <c r="HU854" s="1201"/>
      <c r="HV854" s="1201"/>
      <c r="HW854" s="1201"/>
      <c r="HX854" s="1201">
        <f t="shared" ref="HX854:IJ854" si="64">SUM(HX851:HX853)</f>
        <v>1402.4700000000003</v>
      </c>
      <c r="HY854" s="313">
        <f t="shared" si="64"/>
        <v>395.85599999999999</v>
      </c>
      <c r="HZ854" s="313">
        <f t="shared" si="64"/>
        <v>391.64699999999993</v>
      </c>
      <c r="IA854" s="313">
        <f t="shared" si="64"/>
        <v>388.197</v>
      </c>
      <c r="IB854" s="313">
        <f t="shared" si="64"/>
        <v>430.26400000000001</v>
      </c>
      <c r="IC854" s="1201">
        <f t="shared" si="64"/>
        <v>1605.9639999999997</v>
      </c>
      <c r="ID854" s="313">
        <f t="shared" si="64"/>
        <v>456.93299999999999</v>
      </c>
      <c r="IE854" s="313">
        <f t="shared" si="64"/>
        <v>439.80599999999998</v>
      </c>
      <c r="IF854" s="313">
        <f t="shared" si="64"/>
        <v>426.18799999999999</v>
      </c>
      <c r="IG854" s="313">
        <f t="shared" si="64"/>
        <v>478.27699999999999</v>
      </c>
      <c r="IH854" s="1201">
        <f t="shared" si="64"/>
        <v>1801.204</v>
      </c>
      <c r="II854" s="2292">
        <f t="shared" si="64"/>
        <v>571.33999999999992</v>
      </c>
      <c r="IJ854" s="2295">
        <f t="shared" si="64"/>
        <v>565.87099999999998</v>
      </c>
      <c r="IV854"/>
    </row>
    <row r="855" spans="204:256" s="2" customFormat="1" ht="15.75" customHeight="1">
      <c r="GV855" s="1062"/>
      <c r="GW855" s="1062"/>
      <c r="GX855" s="1062"/>
      <c r="GY855" s="1062"/>
      <c r="HC855" s="105"/>
      <c r="HD855" s="105"/>
      <c r="HE855" s="105"/>
      <c r="HF855" s="105"/>
      <c r="HG855" s="105"/>
      <c r="HH855" s="105"/>
      <c r="HR855" s="2327" t="s">
        <v>875</v>
      </c>
      <c r="HS855" s="2328"/>
      <c r="HT855" s="2328"/>
      <c r="HU855" s="2328"/>
      <c r="HV855" s="2328"/>
      <c r="HW855" s="2328"/>
      <c r="HX855" s="2328">
        <f t="shared" ref="HX855:IJ855" si="65">-HX852/HX851</f>
        <v>9.2216585897566164E-2</v>
      </c>
      <c r="HY855" s="2329">
        <f t="shared" si="65"/>
        <v>0.10382642319307794</v>
      </c>
      <c r="HZ855" s="2329">
        <f t="shared" si="65"/>
        <v>0.10021641839050886</v>
      </c>
      <c r="IA855" s="2329">
        <f t="shared" si="65"/>
        <v>0.10932939924010206</v>
      </c>
      <c r="IB855" s="2329">
        <f t="shared" si="65"/>
        <v>0.11979591794985096</v>
      </c>
      <c r="IC855" s="2328">
        <f t="shared" si="65"/>
        <v>0.10861834411322469</v>
      </c>
      <c r="ID855" s="2329">
        <f t="shared" si="65"/>
        <v>0.11494261779090603</v>
      </c>
      <c r="IE855" s="2329">
        <f t="shared" si="65"/>
        <v>0.11614905084786638</v>
      </c>
      <c r="IF855" s="2329">
        <f t="shared" si="65"/>
        <v>0.1176451102664116</v>
      </c>
      <c r="IG855" s="2329">
        <f t="shared" si="65"/>
        <v>0.11047028496821495</v>
      </c>
      <c r="IH855" s="2328">
        <f t="shared" si="65"/>
        <v>0.11469735761438697</v>
      </c>
      <c r="II855" s="2416">
        <f t="shared" si="65"/>
        <v>9.801760897467271E-2</v>
      </c>
      <c r="IJ855" s="2330">
        <f t="shared" si="65"/>
        <v>9.5983398088032315E-2</v>
      </c>
      <c r="IV855"/>
    </row>
    <row r="856" spans="204:256" s="2" customFormat="1" ht="15.75" customHeight="1">
      <c r="GV856" s="1062"/>
      <c r="GW856" s="1062"/>
      <c r="GX856" s="1062"/>
      <c r="GY856" s="1062"/>
      <c r="HC856" s="105"/>
      <c r="HD856" s="105"/>
      <c r="HE856" s="105"/>
      <c r="HF856" s="105"/>
      <c r="HG856" s="105"/>
      <c r="HH856" s="105"/>
      <c r="HR856" s="2419" t="s">
        <v>876</v>
      </c>
      <c r="HS856" s="2420"/>
      <c r="HT856" s="2420"/>
      <c r="HU856" s="2420"/>
      <c r="HV856" s="2420"/>
      <c r="HW856" s="2420"/>
      <c r="HX856" s="2420"/>
      <c r="HY856" s="2421"/>
      <c r="HZ856" s="2421"/>
      <c r="IA856" s="2421"/>
      <c r="IB856" s="2421"/>
      <c r="IC856" s="2422">
        <f t="shared" ref="IC856:IJ856" si="66">+IC855-HX855</f>
        <v>1.6401758215658521E-2</v>
      </c>
      <c r="ID856" s="2423">
        <f t="shared" si="66"/>
        <v>1.1116194597828088E-2</v>
      </c>
      <c r="IE856" s="2423">
        <f t="shared" si="66"/>
        <v>1.5932632457357515E-2</v>
      </c>
      <c r="IF856" s="2423">
        <f t="shared" si="66"/>
        <v>8.3157110263095413E-3</v>
      </c>
      <c r="IG856" s="2423">
        <f t="shared" si="66"/>
        <v>-9.325632981636009E-3</v>
      </c>
      <c r="IH856" s="2422">
        <f t="shared" si="66"/>
        <v>6.0790135011622864E-3</v>
      </c>
      <c r="II856" s="2424">
        <f t="shared" si="66"/>
        <v>-1.6925008816233322E-2</v>
      </c>
      <c r="IJ856" s="2425">
        <f t="shared" si="66"/>
        <v>-2.0165652759834063E-2</v>
      </c>
      <c r="IV856"/>
    </row>
    <row r="857" spans="204:256" s="2" customFormat="1" ht="15.75" customHeight="1">
      <c r="GV857" s="1062"/>
      <c r="GW857" s="1062"/>
      <c r="GX857" s="1062"/>
      <c r="GY857" s="1062"/>
      <c r="HC857" s="105"/>
      <c r="HD857" s="105"/>
      <c r="HE857" s="105"/>
      <c r="HF857" s="105"/>
      <c r="HG857" s="105"/>
      <c r="HH857" s="105"/>
      <c r="HR857" s="61"/>
      <c r="HS857" s="61"/>
      <c r="HT857" s="61"/>
      <c r="HU857" s="61"/>
      <c r="HV857" s="61"/>
      <c r="HW857" s="61"/>
      <c r="HX857" s="61"/>
      <c r="HY857" s="61"/>
      <c r="HZ857" s="61"/>
      <c r="IA857" s="61"/>
      <c r="IB857" s="61"/>
      <c r="IC857" s="61"/>
      <c r="ID857" s="61"/>
      <c r="IE857" s="61"/>
      <c r="IF857" s="61"/>
      <c r="IG857" s="61"/>
      <c r="IH857" s="61"/>
      <c r="II857" s="61"/>
      <c r="IJ857" s="61"/>
      <c r="IV857"/>
    </row>
    <row r="858" spans="204:256" s="2" customFormat="1" ht="15.75" customHeight="1">
      <c r="GV858" s="1062"/>
      <c r="GW858" s="1062"/>
      <c r="GX858" s="1062"/>
      <c r="GY858" s="1062"/>
      <c r="HC858" s="105"/>
      <c r="HD858" s="105"/>
      <c r="HE858" s="105"/>
      <c r="HF858" s="105"/>
      <c r="HG858" s="105"/>
      <c r="HH858" s="105"/>
      <c r="IK858" s="2" t="s">
        <v>877</v>
      </c>
      <c r="IV858"/>
    </row>
    <row r="859" spans="204:256" s="2" customFormat="1" ht="12.75">
      <c r="GV859" s="1062"/>
      <c r="GW859" s="1062"/>
      <c r="GX859" s="1062"/>
      <c r="GY859" s="1062"/>
      <c r="HC859" s="105"/>
      <c r="HD859" s="105"/>
      <c r="HE859" s="105"/>
      <c r="HF859" s="105"/>
      <c r="HG859" s="105"/>
      <c r="HH859" s="105"/>
      <c r="IK859" s="2304" t="s">
        <v>843</v>
      </c>
      <c r="IL859" s="2308" t="s">
        <v>1484</v>
      </c>
      <c r="IM859" s="2308" t="s">
        <v>1648</v>
      </c>
      <c r="IN859" s="2308" t="s">
        <v>274</v>
      </c>
      <c r="IO859" s="2651" t="s">
        <v>1398</v>
      </c>
      <c r="IP859" s="2652" t="s">
        <v>1750</v>
      </c>
      <c r="IQ859" s="2308" t="s">
        <v>361</v>
      </c>
      <c r="IR859" s="2308" t="s">
        <v>362</v>
      </c>
      <c r="IS859" s="2308" t="s">
        <v>363</v>
      </c>
      <c r="IT859" s="2308" t="s">
        <v>364</v>
      </c>
      <c r="IU859" s="2309" t="s">
        <v>215</v>
      </c>
      <c r="IV859" s="2652" t="s">
        <v>1512</v>
      </c>
    </row>
    <row r="860" spans="204:256" s="2" customFormat="1" ht="12.75">
      <c r="GV860" s="1062"/>
      <c r="GW860" s="1062"/>
      <c r="GX860" s="1062"/>
      <c r="GY860" s="1062"/>
      <c r="HC860" s="105"/>
      <c r="HD860" s="105"/>
      <c r="HE860" s="105"/>
      <c r="HF860" s="105"/>
      <c r="HG860" s="105"/>
      <c r="HH860" s="105"/>
      <c r="IK860" s="2301" t="s">
        <v>7</v>
      </c>
      <c r="IL860" s="743"/>
      <c r="IM860" s="61"/>
      <c r="IN860" s="61"/>
      <c r="IO860" s="61"/>
      <c r="IP860" s="112"/>
      <c r="IQ860" s="61"/>
      <c r="IR860" s="61"/>
      <c r="IS860" s="61"/>
      <c r="IT860" s="61"/>
      <c r="IU860" s="112"/>
      <c r="IV860" s="112"/>
    </row>
    <row r="861" spans="204:256" s="1205" customFormat="1" ht="12.75">
      <c r="GV861" s="2220"/>
      <c r="GW861" s="2220"/>
      <c r="GX861" s="2220"/>
      <c r="GY861" s="2220"/>
      <c r="HC861" s="2145"/>
      <c r="HD861" s="2145"/>
      <c r="HE861" s="2145"/>
      <c r="HF861" s="2145"/>
      <c r="HG861" s="2145"/>
      <c r="HH861" s="2145"/>
      <c r="IK861" s="2292" t="s">
        <v>880</v>
      </c>
      <c r="IL861" s="1202">
        <v>152.83000000000001</v>
      </c>
      <c r="IM861" s="1202">
        <v>149.69999999999999</v>
      </c>
      <c r="IN861" s="1202">
        <v>140.291</v>
      </c>
      <c r="IO861" s="1202">
        <v>150.51</v>
      </c>
      <c r="IP861" s="1207">
        <v>593.32000000000005</v>
      </c>
      <c r="IQ861" s="1202">
        <v>153.68</v>
      </c>
      <c r="IR861" s="1202">
        <v>152.16999999999999</v>
      </c>
      <c r="IS861" s="1202">
        <v>142.86000000000001</v>
      </c>
      <c r="IT861" s="1202">
        <v>151.72999999999999</v>
      </c>
      <c r="IU861" s="1207">
        <v>600.44000000000005</v>
      </c>
      <c r="IV861" s="1207">
        <v>614.95000000000005</v>
      </c>
    </row>
    <row r="862" spans="204:256" s="98" customFormat="1" ht="12.75">
      <c r="GV862" s="1092"/>
      <c r="GW862" s="1092"/>
      <c r="GX862" s="1092"/>
      <c r="GY862" s="1092"/>
      <c r="HC862" s="1276"/>
      <c r="HD862" s="1276"/>
      <c r="HE862" s="1276"/>
      <c r="HF862" s="1276"/>
      <c r="HG862" s="1276"/>
      <c r="HH862" s="1276"/>
      <c r="IK862" s="1115" t="s">
        <v>879</v>
      </c>
      <c r="IL862" s="1103">
        <v>152.52000000000001</v>
      </c>
      <c r="IM862" s="1103">
        <v>149.88999999999999</v>
      </c>
      <c r="IN862" s="1103">
        <v>142.4</v>
      </c>
      <c r="IO862" s="1103">
        <v>151.08000000000001</v>
      </c>
      <c r="IP862" s="1104">
        <v>595.26</v>
      </c>
      <c r="IQ862" s="1103">
        <v>155.30000000000001</v>
      </c>
      <c r="IR862" s="1103">
        <v>152.07</v>
      </c>
      <c r="IS862" s="1103">
        <v>142.81</v>
      </c>
      <c r="IT862" s="1103">
        <v>153.61000000000001</v>
      </c>
      <c r="IU862" s="1104">
        <v>604.91999999999996</v>
      </c>
      <c r="IV862" s="1104">
        <v>617.70000000000005</v>
      </c>
    </row>
    <row r="863" spans="204:256" s="122" customFormat="1" ht="12.75">
      <c r="GV863" s="2296"/>
      <c r="GW863" s="2296"/>
      <c r="GX863" s="2296"/>
      <c r="GY863" s="2296"/>
      <c r="IK863" s="2298" t="s">
        <v>881</v>
      </c>
      <c r="IL863" s="2299">
        <f>+IL861/IL862-1</f>
        <v>2.0325203252031798E-3</v>
      </c>
      <c r="IM863" s="2299">
        <f t="shared" ref="IM863:IU863" si="67">+IM861/IM862-1</f>
        <v>-1.267596237240598E-3</v>
      </c>
      <c r="IN863" s="2299">
        <f t="shared" si="67"/>
        <v>-1.4810393258427035E-2</v>
      </c>
      <c r="IO863" s="2299">
        <f t="shared" si="67"/>
        <v>-3.7728355837968186E-3</v>
      </c>
      <c r="IP863" s="120">
        <f t="shared" si="67"/>
        <v>-3.2590800658535146E-3</v>
      </c>
      <c r="IQ863" s="2299">
        <f t="shared" si="67"/>
        <v>-1.0431423052157163E-2</v>
      </c>
      <c r="IR863" s="2299">
        <f t="shared" si="67"/>
        <v>6.5759189846770205E-4</v>
      </c>
      <c r="IS863" s="2299">
        <f t="shared" si="67"/>
        <v>3.5011553812758223E-4</v>
      </c>
      <c r="IT863" s="2299">
        <f t="shared" si="67"/>
        <v>-1.2238786537335011E-2</v>
      </c>
      <c r="IU863" s="120">
        <f t="shared" si="67"/>
        <v>-7.4059379752693388E-3</v>
      </c>
      <c r="IV863" s="120">
        <f>+IV861/IV862-1</f>
        <v>-4.4519993524364532E-3</v>
      </c>
    </row>
    <row r="864" spans="204:256" s="122" customFormat="1" ht="3.95" customHeight="1">
      <c r="GV864" s="2296"/>
      <c r="GW864" s="2296"/>
      <c r="GX864" s="2296"/>
      <c r="GY864" s="2296"/>
      <c r="IK864" s="2298"/>
      <c r="IL864" s="2299"/>
      <c r="IM864" s="2299"/>
      <c r="IN864" s="2299"/>
      <c r="IO864" s="2299"/>
      <c r="IP864" s="120"/>
      <c r="IQ864" s="2299"/>
      <c r="IR864" s="2299"/>
      <c r="IS864" s="2299"/>
      <c r="IT864" s="2299"/>
      <c r="IU864" s="120"/>
      <c r="IV864" s="120"/>
    </row>
    <row r="865" spans="204:256" s="1205" customFormat="1" ht="12.75">
      <c r="GV865" s="2220"/>
      <c r="GW865" s="2220"/>
      <c r="GX865" s="2220"/>
      <c r="GY865" s="2220"/>
      <c r="HC865" s="2145"/>
      <c r="HD865" s="2145"/>
      <c r="HE865" s="2145"/>
      <c r="HF865" s="2145"/>
      <c r="HG865" s="2145"/>
      <c r="HH865" s="2145"/>
      <c r="IK865" s="2292" t="s">
        <v>349</v>
      </c>
      <c r="IL865" s="2505">
        <v>152.827</v>
      </c>
      <c r="IM865" s="2505">
        <v>149.69</v>
      </c>
      <c r="IN865" s="2505">
        <v>140.291</v>
      </c>
      <c r="IO865" s="2505">
        <v>148.63900000000001</v>
      </c>
      <c r="IP865" s="2506">
        <v>591.447</v>
      </c>
      <c r="IQ865" s="313">
        <f>+BYD!BB10</f>
        <v>151.44300000000001</v>
      </c>
      <c r="IR865" s="313">
        <f>+BYD!BC10</f>
        <v>148.27000000000001</v>
      </c>
      <c r="IS865" s="313">
        <f>+BYD!BD10</f>
        <v>141.20699999999999</v>
      </c>
      <c r="IT865" s="313">
        <f>+BYD!BE10</f>
        <v>151.732</v>
      </c>
      <c r="IU865" s="2653">
        <f>+BYD!BF10</f>
        <v>592.65200000000004</v>
      </c>
      <c r="IV865" s="2653">
        <f>+BYD!BK10</f>
        <v>610.10599999999999</v>
      </c>
    </row>
    <row r="866" spans="204:256" s="122" customFormat="1" ht="12.75">
      <c r="GV866" s="2296"/>
      <c r="GW866" s="2296"/>
      <c r="GX866" s="2296"/>
      <c r="GY866" s="2296"/>
      <c r="IK866" s="2298" t="s">
        <v>883</v>
      </c>
      <c r="IL866" s="2299">
        <f>+IL865/BYD!AR10-1</f>
        <v>-1.2675319305635369E-2</v>
      </c>
      <c r="IM866" s="2299">
        <f>+IM865/BYD!AS10-1</f>
        <v>4.7185324894118974E-3</v>
      </c>
      <c r="IN866" s="2299">
        <f>+IN865/BYD!AT10-1</f>
        <v>1.0836749839682414E-2</v>
      </c>
      <c r="IO866" s="2299">
        <f>+IO865/BYD!AU10-1</f>
        <v>-6.9919256704509269E-4</v>
      </c>
      <c r="IP866" s="120">
        <f>+IP865/BYD!AV10-1</f>
        <v>2.3845521608101272E-4</v>
      </c>
      <c r="IQ866" s="2299">
        <f>+IQ865/BYD!AW10-1</f>
        <v>-9.0559914151294718E-3</v>
      </c>
      <c r="IR866" s="2299">
        <f>+IR865/BYD!AX10-1</f>
        <v>-9.4862716280311732E-3</v>
      </c>
      <c r="IS866" s="2299">
        <f>+IS865/BYD!AY10-1</f>
        <v>6.5292855564504926E-3</v>
      </c>
      <c r="IT866" s="2299">
        <f>+IT865/BYD!AZ10-1</f>
        <v>2.0808805226084637E-2</v>
      </c>
      <c r="IU866" s="120">
        <f>+IU865/BYD!BA10-1</f>
        <v>2.037376130067603E-3</v>
      </c>
      <c r="IV866" s="120">
        <f>+IV865/BYD!BF10-1</f>
        <v>2.9450672570074721E-2</v>
      </c>
    </row>
    <row r="867" spans="204:256" s="118" customFormat="1" ht="12.75">
      <c r="GV867" s="2297"/>
      <c r="GW867" s="2297"/>
      <c r="GX867" s="2297"/>
      <c r="GY867" s="2297"/>
      <c r="HC867" s="122"/>
      <c r="HD867" s="122"/>
      <c r="HE867" s="122"/>
      <c r="HF867" s="122"/>
      <c r="HG867" s="122"/>
      <c r="HH867" s="122"/>
      <c r="IK867" s="2331" t="s">
        <v>497</v>
      </c>
      <c r="IL867" s="755"/>
      <c r="IM867" s="755"/>
      <c r="IN867" s="755"/>
      <c r="IO867" s="755"/>
      <c r="IP867" s="2332"/>
      <c r="IQ867" s="755">
        <f t="shared" ref="IQ867:IV867" si="68">+IQ865/IQ861-1</f>
        <v>-1.4556220718375812E-2</v>
      </c>
      <c r="IR867" s="755">
        <f t="shared" si="68"/>
        <v>-2.5629230465926134E-2</v>
      </c>
      <c r="IS867" s="755">
        <f t="shared" si="68"/>
        <v>-1.1570768584628466E-2</v>
      </c>
      <c r="IT867" s="755">
        <f t="shared" si="68"/>
        <v>1.318130890393121E-5</v>
      </c>
      <c r="IU867" s="2332">
        <f t="shared" si="68"/>
        <v>-1.2970488308573724E-2</v>
      </c>
      <c r="IV867" s="2332">
        <f t="shared" si="68"/>
        <v>-7.8770631758680043E-3</v>
      </c>
    </row>
    <row r="868" spans="204:256" s="2" customFormat="1" ht="12.75">
      <c r="GV868" s="1062"/>
      <c r="GW868" s="1062"/>
      <c r="GX868" s="1062"/>
      <c r="GY868" s="1062"/>
      <c r="HC868" s="105"/>
      <c r="HD868" s="105"/>
      <c r="HE868" s="105"/>
      <c r="HF868" s="105"/>
      <c r="HG868" s="105"/>
      <c r="HH868" s="105"/>
      <c r="IK868" s="59"/>
      <c r="IL868" s="61"/>
      <c r="IM868" s="61"/>
      <c r="IN868" s="61"/>
      <c r="IO868" s="61"/>
      <c r="IP868" s="112"/>
      <c r="IQ868" s="61"/>
      <c r="IR868" s="61"/>
      <c r="IS868" s="61"/>
      <c r="IT868" s="61"/>
      <c r="IU868" s="112"/>
      <c r="IV868" s="112"/>
    </row>
    <row r="869" spans="204:256" s="2" customFormat="1" ht="12.75" hidden="1">
      <c r="GV869" s="1062"/>
      <c r="GW869" s="1062"/>
      <c r="GX869" s="1062"/>
      <c r="GY869" s="1062"/>
      <c r="HC869" s="105"/>
      <c r="HD869" s="105"/>
      <c r="HE869" s="105"/>
      <c r="HF869" s="105"/>
      <c r="HG869" s="105"/>
      <c r="HH869" s="105"/>
      <c r="IK869" s="2301" t="s">
        <v>48</v>
      </c>
      <c r="IL869" s="61"/>
      <c r="IM869" s="61"/>
      <c r="IN869" s="61"/>
      <c r="IO869" s="61"/>
      <c r="IP869" s="112"/>
      <c r="IQ869" s="61"/>
      <c r="IR869" s="61"/>
      <c r="IS869" s="61"/>
      <c r="IT869" s="61"/>
      <c r="IU869" s="112"/>
      <c r="IV869" s="112"/>
    </row>
    <row r="870" spans="204:256" s="98" customFormat="1" ht="12.75" hidden="1">
      <c r="GV870" s="1092"/>
      <c r="GW870" s="1092"/>
      <c r="GX870" s="1092"/>
      <c r="GY870" s="1092"/>
      <c r="HC870" s="1276"/>
      <c r="HD870" s="1276"/>
      <c r="HE870" s="1276"/>
      <c r="HF870" s="1276"/>
      <c r="HG870" s="1276"/>
      <c r="HH870" s="1276"/>
      <c r="IK870" s="1115" t="s">
        <v>880</v>
      </c>
      <c r="IL870" s="96">
        <f>-IL861*0.7*IL$873</f>
        <v>-7.2212175000000007</v>
      </c>
      <c r="IM870" s="96">
        <f t="shared" ref="IM870:IU870" si="69">-IM861*0.7*IM$873</f>
        <v>-7.0733249999999996</v>
      </c>
      <c r="IN870" s="96">
        <f t="shared" si="69"/>
        <v>-6.6287497499999999</v>
      </c>
      <c r="IO870" s="96">
        <f t="shared" si="69"/>
        <v>-7.1115974999999993</v>
      </c>
      <c r="IP870" s="146">
        <f t="shared" si="69"/>
        <v>-28.034370000000003</v>
      </c>
      <c r="IQ870" s="96">
        <f t="shared" si="69"/>
        <v>-7.2613799999999999</v>
      </c>
      <c r="IR870" s="96">
        <f t="shared" si="69"/>
        <v>-7.1900325</v>
      </c>
      <c r="IS870" s="96">
        <f t="shared" si="69"/>
        <v>-6.7501350000000011</v>
      </c>
      <c r="IT870" s="96">
        <f t="shared" si="69"/>
        <v>-7.1692424999999993</v>
      </c>
      <c r="IU870" s="146">
        <f t="shared" si="69"/>
        <v>-28.370790000000003</v>
      </c>
      <c r="IV870" s="146">
        <v>-28.579162499999999</v>
      </c>
    </row>
    <row r="871" spans="204:256" s="98" customFormat="1" ht="12.75" hidden="1">
      <c r="GV871" s="1092"/>
      <c r="GW871" s="1092"/>
      <c r="GX871" s="1092"/>
      <c r="GY871" s="1092"/>
      <c r="HC871" s="1276"/>
      <c r="HD871" s="1276"/>
      <c r="HE871" s="1276"/>
      <c r="HF871" s="1276"/>
      <c r="HG871" s="1276"/>
      <c r="HH871" s="1276"/>
      <c r="IK871" s="1115" t="s">
        <v>879</v>
      </c>
      <c r="IL871" s="96">
        <f>-IL862*0.7*IL$873</f>
        <v>-7.2065700000000001</v>
      </c>
      <c r="IM871" s="96">
        <f t="shared" ref="IM871:IU871" si="70">-IM862*0.7*IM$873</f>
        <v>-7.0823024999999999</v>
      </c>
      <c r="IN871" s="96">
        <f t="shared" si="70"/>
        <v>-6.7283999999999997</v>
      </c>
      <c r="IO871" s="96">
        <f t="shared" si="70"/>
        <v>-7.1385300000000003</v>
      </c>
      <c r="IP871" s="146">
        <f t="shared" si="70"/>
        <v>-28.126034999999998</v>
      </c>
      <c r="IQ871" s="96">
        <f t="shared" si="70"/>
        <v>-7.3379250000000011</v>
      </c>
      <c r="IR871" s="96">
        <f t="shared" si="70"/>
        <v>-7.1853074999999995</v>
      </c>
      <c r="IS871" s="96">
        <f t="shared" si="70"/>
        <v>-6.7477725</v>
      </c>
      <c r="IT871" s="96">
        <f t="shared" si="70"/>
        <v>-7.2580725000000008</v>
      </c>
      <c r="IU871" s="146">
        <f t="shared" si="70"/>
        <v>-28.582470000000001</v>
      </c>
      <c r="IV871" s="146">
        <v>-28.737922500000003</v>
      </c>
    </row>
    <row r="872" spans="204:256" s="98" customFormat="1" ht="12.75" hidden="1">
      <c r="GV872" s="1092"/>
      <c r="GW872" s="1092"/>
      <c r="GX872" s="1092"/>
      <c r="GY872" s="1092"/>
      <c r="HC872" s="1276"/>
      <c r="HD872" s="1276"/>
      <c r="HE872" s="1276"/>
      <c r="HF872" s="1276"/>
      <c r="HG872" s="1276"/>
      <c r="HH872" s="1276"/>
      <c r="IK872" s="1115" t="s">
        <v>349</v>
      </c>
      <c r="IL872" s="96">
        <f>-IL865*0.7*IL$873</f>
        <v>-7.2210757499999998</v>
      </c>
      <c r="IM872" s="96">
        <f t="shared" ref="IM872:IU872" si="71">-IM865*0.7*IM$873</f>
        <v>-7.0728524999999998</v>
      </c>
      <c r="IN872" s="96">
        <f t="shared" si="71"/>
        <v>-6.6287497499999999</v>
      </c>
      <c r="IO872" s="96">
        <f t="shared" si="71"/>
        <v>-7.0231927500000007</v>
      </c>
      <c r="IP872" s="146">
        <f t="shared" si="71"/>
        <v>-27.945870750000001</v>
      </c>
      <c r="IQ872" s="96">
        <f t="shared" si="71"/>
        <v>-7.1556817500000012</v>
      </c>
      <c r="IR872" s="96">
        <f t="shared" si="71"/>
        <v>-7.0057575000000005</v>
      </c>
      <c r="IS872" s="96">
        <f t="shared" si="71"/>
        <v>-6.6720307500000002</v>
      </c>
      <c r="IT872" s="96">
        <f t="shared" si="71"/>
        <v>-7.1693369999999996</v>
      </c>
      <c r="IU872" s="146">
        <f t="shared" si="71"/>
        <v>-28.002807000000001</v>
      </c>
      <c r="IV872" s="146">
        <v>-29.075764224149996</v>
      </c>
    </row>
    <row r="873" spans="204:256" s="1637" customFormat="1" ht="12.75" hidden="1">
      <c r="GV873" s="2302"/>
      <c r="GW873" s="2302"/>
      <c r="GX873" s="2302"/>
      <c r="GY873" s="2302"/>
      <c r="IK873" s="2303" t="s">
        <v>1171</v>
      </c>
      <c r="IL873" s="1146">
        <v>6.7500000000000004E-2</v>
      </c>
      <c r="IM873" s="1146">
        <v>6.7500000000000004E-2</v>
      </c>
      <c r="IN873" s="1146">
        <v>6.7500000000000004E-2</v>
      </c>
      <c r="IO873" s="1146">
        <v>6.7500000000000004E-2</v>
      </c>
      <c r="IP873" s="1144">
        <v>6.7500000000000004E-2</v>
      </c>
      <c r="IQ873" s="1146">
        <v>6.7500000000000004E-2</v>
      </c>
      <c r="IR873" s="1146">
        <v>6.7500000000000004E-2</v>
      </c>
      <c r="IS873" s="1146">
        <v>6.7500000000000004E-2</v>
      </c>
      <c r="IT873" s="1146">
        <v>6.7500000000000004E-2</v>
      </c>
      <c r="IU873" s="1144">
        <v>6.7500000000000004E-2</v>
      </c>
      <c r="IV873" s="1144">
        <v>6.7500000000000004E-2</v>
      </c>
    </row>
    <row r="874" spans="204:256" s="2" customFormat="1" ht="12.75" hidden="1">
      <c r="GV874" s="1062"/>
      <c r="GW874" s="1062"/>
      <c r="GX874" s="1062"/>
      <c r="GY874" s="1062"/>
      <c r="HC874" s="105"/>
      <c r="HD874" s="105"/>
      <c r="HE874" s="105"/>
      <c r="HF874" s="105"/>
      <c r="HG874" s="105"/>
      <c r="HH874" s="105"/>
      <c r="IK874" s="59"/>
      <c r="IL874" s="61"/>
      <c r="IM874" s="61"/>
      <c r="IN874" s="61"/>
      <c r="IO874" s="61"/>
      <c r="IP874" s="112"/>
      <c r="IQ874" s="61"/>
      <c r="IR874" s="61"/>
      <c r="IS874" s="61"/>
      <c r="IT874" s="61"/>
      <c r="IU874" s="112"/>
      <c r="IV874" s="112"/>
    </row>
    <row r="875" spans="204:256" s="2" customFormat="1" ht="12.75">
      <c r="GV875" s="1062"/>
      <c r="GW875" s="1062"/>
      <c r="GX875" s="1062"/>
      <c r="GY875" s="1062"/>
      <c r="HC875" s="105"/>
      <c r="HD875" s="105"/>
      <c r="HE875" s="105"/>
      <c r="HF875" s="105"/>
      <c r="HG875" s="105"/>
      <c r="HH875" s="105"/>
      <c r="IK875" s="2301" t="s">
        <v>882</v>
      </c>
      <c r="IL875" s="61"/>
      <c r="IM875" s="61"/>
      <c r="IN875" s="61"/>
      <c r="IO875" s="61"/>
      <c r="IP875" s="112"/>
      <c r="IQ875" s="61"/>
      <c r="IR875" s="61"/>
      <c r="IS875" s="61"/>
      <c r="IT875" s="61"/>
      <c r="IU875" s="112"/>
      <c r="IV875" s="112"/>
    </row>
    <row r="876" spans="204:256" s="98" customFormat="1" ht="12.75">
      <c r="GV876" s="1092"/>
      <c r="GW876" s="1092"/>
      <c r="GX876" s="1092"/>
      <c r="GY876" s="1092"/>
      <c r="HC876" s="1276"/>
      <c r="HD876" s="1276"/>
      <c r="HE876" s="1276"/>
      <c r="HF876" s="1276"/>
      <c r="HG876" s="1276"/>
      <c r="HH876" s="1276"/>
      <c r="IK876" s="1115" t="s">
        <v>880</v>
      </c>
      <c r="IL876" s="96">
        <f t="shared" ref="IL876:IU876" si="72">+IL882-IL870-IL861</f>
        <v>-106.40378250000001</v>
      </c>
      <c r="IM876" s="96">
        <f t="shared" si="72"/>
        <v>-103.90367499999999</v>
      </c>
      <c r="IN876" s="96">
        <f t="shared" si="72"/>
        <v>-107.31225025000001</v>
      </c>
      <c r="IO876" s="96">
        <f t="shared" si="72"/>
        <v>-110.14840249999999</v>
      </c>
      <c r="IP876" s="146">
        <f t="shared" si="72"/>
        <v>-427.42563000000007</v>
      </c>
      <c r="IQ876" s="96">
        <f t="shared" si="72"/>
        <v>-106.67862</v>
      </c>
      <c r="IR876" s="96">
        <f t="shared" si="72"/>
        <v>-103.9699675</v>
      </c>
      <c r="IS876" s="96">
        <f t="shared" si="72"/>
        <v>-106.49986500000001</v>
      </c>
      <c r="IT876" s="96">
        <f t="shared" si="72"/>
        <v>-108.4007575</v>
      </c>
      <c r="IU876" s="146">
        <f t="shared" si="72"/>
        <v>-425.52921000000003</v>
      </c>
      <c r="IV876" s="146">
        <f>+IV882-IV870-IV861</f>
        <v>-431.70083750000003</v>
      </c>
    </row>
    <row r="877" spans="204:256" s="98" customFormat="1" ht="12.75">
      <c r="GV877" s="1092"/>
      <c r="GW877" s="1092"/>
      <c r="GX877" s="1092"/>
      <c r="GY877" s="1092"/>
      <c r="HC877" s="1276"/>
      <c r="HD877" s="1276"/>
      <c r="HE877" s="1276"/>
      <c r="HF877" s="1276"/>
      <c r="HG877" s="1276"/>
      <c r="HH877" s="1276"/>
      <c r="IK877" s="1115" t="s">
        <v>879</v>
      </c>
      <c r="IL877" s="96">
        <f t="shared" ref="IL877:IU877" si="73">+IL883-IL871-IL862</f>
        <v>-110.41343000000001</v>
      </c>
      <c r="IM877" s="96">
        <f t="shared" si="73"/>
        <v>-106.83769749999999</v>
      </c>
      <c r="IN877" s="96">
        <f t="shared" si="73"/>
        <v>-108.64160000000001</v>
      </c>
      <c r="IO877" s="96">
        <f t="shared" si="73"/>
        <v>-109.14147000000001</v>
      </c>
      <c r="IP877" s="146">
        <f t="shared" si="73"/>
        <v>-425.373965</v>
      </c>
      <c r="IQ877" s="96">
        <f t="shared" si="73"/>
        <v>-106.77207500000002</v>
      </c>
      <c r="IR877" s="96">
        <f t="shared" si="73"/>
        <v>-104.27469249999999</v>
      </c>
      <c r="IS877" s="96">
        <f t="shared" si="73"/>
        <v>-107.5822275</v>
      </c>
      <c r="IT877" s="96">
        <f t="shared" si="73"/>
        <v>-110.57192750000002</v>
      </c>
      <c r="IU877" s="146">
        <f t="shared" si="73"/>
        <v>-430.30752999999993</v>
      </c>
      <c r="IV877" s="146">
        <f>+IV883-IV871-IV862</f>
        <v>-434.70207750000009</v>
      </c>
    </row>
    <row r="878" spans="204:256" s="2" customFormat="1" ht="12.75">
      <c r="GV878" s="1062"/>
      <c r="GW878" s="1062"/>
      <c r="GX878" s="1062"/>
      <c r="GY878" s="1062"/>
      <c r="HC878" s="105"/>
      <c r="HD878" s="105"/>
      <c r="HE878" s="105"/>
      <c r="HF878" s="105"/>
      <c r="HG878" s="105"/>
      <c r="HH878" s="105"/>
      <c r="IK878" s="59" t="s">
        <v>349</v>
      </c>
      <c r="IL878" s="96">
        <f t="shared" ref="IL878:IU878" si="74">+IL886-IL872-IL865</f>
        <v>-106.40092425</v>
      </c>
      <c r="IM878" s="96">
        <f t="shared" si="74"/>
        <v>-103.8941475</v>
      </c>
      <c r="IN878" s="96">
        <f t="shared" si="74"/>
        <v>-107.31225025000001</v>
      </c>
      <c r="IO878" s="96">
        <f t="shared" si="74"/>
        <v>-105.41580725</v>
      </c>
      <c r="IP878" s="146">
        <f t="shared" si="74"/>
        <v>-423.00112924999996</v>
      </c>
      <c r="IQ878" s="96">
        <f t="shared" si="74"/>
        <v>-104.28031825000002</v>
      </c>
      <c r="IR878" s="96">
        <f t="shared" si="74"/>
        <v>-104.68324250000001</v>
      </c>
      <c r="IS878" s="96">
        <f t="shared" si="74"/>
        <v>-106.48296925</v>
      </c>
      <c r="IT878" s="96">
        <f t="shared" si="74"/>
        <v>-104.80566300000001</v>
      </c>
      <c r="IU878" s="146">
        <f t="shared" si="74"/>
        <v>-420.25219300000003</v>
      </c>
      <c r="IV878" s="146">
        <f>+IV886-IV872-IV865</f>
        <v>-423.71823577585002</v>
      </c>
    </row>
    <row r="879" spans="204:256" s="1150" customFormat="1" ht="12.75">
      <c r="GV879" s="2221"/>
      <c r="GW879" s="2221"/>
      <c r="GX879" s="2221"/>
      <c r="GY879" s="2221"/>
      <c r="HC879" s="1170"/>
      <c r="HD879" s="1170"/>
      <c r="HE879" s="1170"/>
      <c r="HF879" s="1170"/>
      <c r="HG879" s="1170"/>
      <c r="HH879" s="1170"/>
      <c r="IK879" s="2331" t="s">
        <v>497</v>
      </c>
      <c r="IL879" s="784"/>
      <c r="IM879" s="784">
        <f>+IM878/IM876-1</f>
        <v>-9.1695505476496741E-5</v>
      </c>
      <c r="IN879" s="784">
        <f t="shared" ref="IN879:IU879" si="75">+IN878/IN876-1</f>
        <v>0</v>
      </c>
      <c r="IO879" s="784">
        <f t="shared" si="75"/>
        <v>-4.2965627667636785E-2</v>
      </c>
      <c r="IP879" s="2326">
        <f t="shared" si="75"/>
        <v>-1.0351510156281662E-2</v>
      </c>
      <c r="IQ879" s="784">
        <f t="shared" si="75"/>
        <v>-2.2481559566480791E-2</v>
      </c>
      <c r="IR879" s="784">
        <f t="shared" si="75"/>
        <v>6.860394565382677E-3</v>
      </c>
      <c r="IS879" s="784">
        <f t="shared" si="75"/>
        <v>-1.5864574100654671E-4</v>
      </c>
      <c r="IT879" s="784">
        <f t="shared" si="75"/>
        <v>-3.3164846657090852E-2</v>
      </c>
      <c r="IU879" s="2326">
        <f t="shared" si="75"/>
        <v>-1.2401068777393665E-2</v>
      </c>
      <c r="IV879" s="2326">
        <f>+IV878/IV876-1</f>
        <v>-1.8491049890886568E-2</v>
      </c>
    </row>
    <row r="880" spans="204:256" s="2" customFormat="1" ht="12.75">
      <c r="GV880" s="1062"/>
      <c r="GW880" s="1062"/>
      <c r="GX880" s="1062"/>
      <c r="GY880" s="1062"/>
      <c r="HC880" s="105"/>
      <c r="HD880" s="105"/>
      <c r="HE880" s="105"/>
      <c r="HF880" s="105"/>
      <c r="HG880" s="105"/>
      <c r="HH880" s="105"/>
      <c r="IK880" s="59"/>
      <c r="IL880" s="61"/>
      <c r="IM880" s="61"/>
      <c r="IN880" s="61"/>
      <c r="IO880" s="61"/>
      <c r="IP880" s="112"/>
      <c r="IQ880" s="61"/>
      <c r="IR880" s="61"/>
      <c r="IS880" s="61"/>
      <c r="IT880" s="61"/>
      <c r="IU880" s="112"/>
      <c r="IV880" s="112"/>
    </row>
    <row r="881" spans="204:256" s="2" customFormat="1" ht="12.75">
      <c r="GV881" s="1062"/>
      <c r="GW881" s="1062"/>
      <c r="GX881" s="1062"/>
      <c r="GY881" s="1062"/>
      <c r="HC881" s="105"/>
      <c r="HD881" s="105"/>
      <c r="HE881" s="105"/>
      <c r="HF881" s="105"/>
      <c r="HG881" s="105"/>
      <c r="HH881" s="105"/>
      <c r="IK881" s="2301" t="s">
        <v>401</v>
      </c>
      <c r="IL881" s="743"/>
      <c r="IM881" s="61"/>
      <c r="IN881" s="61"/>
      <c r="IO881" s="61"/>
      <c r="IP881" s="112"/>
      <c r="IQ881" s="61"/>
      <c r="IR881" s="61"/>
      <c r="IS881" s="61"/>
      <c r="IT881" s="61"/>
      <c r="IU881" s="112"/>
      <c r="IV881" s="112"/>
    </row>
    <row r="882" spans="204:256" s="1205" customFormat="1" ht="12.75">
      <c r="GV882" s="2220"/>
      <c r="GW882" s="2220"/>
      <c r="GX882" s="2220"/>
      <c r="GY882" s="2220"/>
      <c r="HC882" s="2145"/>
      <c r="HD882" s="2145"/>
      <c r="HE882" s="2145"/>
      <c r="HF882" s="2145"/>
      <c r="HG882" s="2145"/>
      <c r="HH882" s="2145"/>
      <c r="IK882" s="2292" t="s">
        <v>878</v>
      </c>
      <c r="IL882" s="1202">
        <v>39.204999999999998</v>
      </c>
      <c r="IM882" s="1202">
        <v>38.722999999999999</v>
      </c>
      <c r="IN882" s="1202">
        <v>26.35</v>
      </c>
      <c r="IO882" s="1202">
        <v>33.25</v>
      </c>
      <c r="IP882" s="1207">
        <v>137.86000000000001</v>
      </c>
      <c r="IQ882" s="1202">
        <v>39.74</v>
      </c>
      <c r="IR882" s="1202">
        <v>41.01</v>
      </c>
      <c r="IS882" s="1202">
        <v>29.61</v>
      </c>
      <c r="IT882" s="1202">
        <v>36.159999999999997</v>
      </c>
      <c r="IU882" s="1207">
        <v>146.54</v>
      </c>
      <c r="IV882" s="1207">
        <v>154.66999999999999</v>
      </c>
    </row>
    <row r="883" spans="204:256" s="98" customFormat="1" ht="12.75">
      <c r="GV883" s="1092"/>
      <c r="GW883" s="1092"/>
      <c r="GX883" s="1092"/>
      <c r="GY883" s="1092"/>
      <c r="HC883" s="1276"/>
      <c r="HD883" s="1276"/>
      <c r="HE883" s="1276"/>
      <c r="HF883" s="1276"/>
      <c r="HG883" s="1276"/>
      <c r="HH883" s="1276"/>
      <c r="IK883" s="1115" t="s">
        <v>879</v>
      </c>
      <c r="IL883" s="1103">
        <v>34.9</v>
      </c>
      <c r="IM883" s="1103">
        <v>35.97</v>
      </c>
      <c r="IN883" s="1103">
        <v>27.03</v>
      </c>
      <c r="IO883" s="1103">
        <v>34.799999999999997</v>
      </c>
      <c r="IP883" s="1104">
        <v>141.76</v>
      </c>
      <c r="IQ883" s="1103">
        <v>41.19</v>
      </c>
      <c r="IR883" s="1103">
        <v>40.61</v>
      </c>
      <c r="IS883" s="1103">
        <v>28.48</v>
      </c>
      <c r="IT883" s="1103">
        <v>35.78</v>
      </c>
      <c r="IU883" s="1104">
        <v>146.03</v>
      </c>
      <c r="IV883" s="1104">
        <v>154.26</v>
      </c>
    </row>
    <row r="884" spans="204:256" s="122" customFormat="1" ht="12.75">
      <c r="GV884" s="2296"/>
      <c r="GW884" s="2296"/>
      <c r="GX884" s="2296"/>
      <c r="GY884" s="2296"/>
      <c r="IK884" s="2298" t="s">
        <v>881</v>
      </c>
      <c r="IL884" s="2299">
        <f t="shared" ref="IL884:IU884" si="76">+IL882/IL883-1</f>
        <v>0.1233524355300859</v>
      </c>
      <c r="IM884" s="2299">
        <f t="shared" si="76"/>
        <v>7.6536002224075528E-2</v>
      </c>
      <c r="IN884" s="2299">
        <f t="shared" si="76"/>
        <v>-2.515723270440251E-2</v>
      </c>
      <c r="IO884" s="2299">
        <f t="shared" si="76"/>
        <v>-4.4540229885057347E-2</v>
      </c>
      <c r="IP884" s="120">
        <f t="shared" si="76"/>
        <v>-2.751128668171543E-2</v>
      </c>
      <c r="IQ884" s="2299">
        <f t="shared" si="76"/>
        <v>-3.5202719106579128E-2</v>
      </c>
      <c r="IR884" s="2299">
        <f t="shared" si="76"/>
        <v>9.8497906919476907E-3</v>
      </c>
      <c r="IS884" s="2299">
        <f t="shared" si="76"/>
        <v>3.9676966292134797E-2</v>
      </c>
      <c r="IT884" s="2299">
        <f t="shared" si="76"/>
        <v>1.0620458356623619E-2</v>
      </c>
      <c r="IU884" s="120">
        <f t="shared" si="76"/>
        <v>3.4924330616996624E-3</v>
      </c>
      <c r="IV884" s="120">
        <f>+IV882/IV883-1</f>
        <v>2.6578503824712385E-3</v>
      </c>
    </row>
    <row r="885" spans="204:256" s="122" customFormat="1" ht="3.95" customHeight="1">
      <c r="GV885" s="2296"/>
      <c r="GW885" s="2296"/>
      <c r="GX885" s="2296"/>
      <c r="GY885" s="2296"/>
      <c r="IK885" s="2298"/>
      <c r="IL885" s="2299"/>
      <c r="IM885" s="2299"/>
      <c r="IN885" s="2299"/>
      <c r="IO885" s="2299"/>
      <c r="IP885" s="120"/>
      <c r="IQ885" s="2299"/>
      <c r="IR885" s="2299"/>
      <c r="IS885" s="2299"/>
      <c r="IT885" s="2299"/>
      <c r="IU885" s="120"/>
      <c r="IV885" s="120"/>
    </row>
    <row r="886" spans="204:256" s="1205" customFormat="1" ht="12.75">
      <c r="GV886" s="2220"/>
      <c r="GW886" s="2220"/>
      <c r="GX886" s="2220"/>
      <c r="GY886" s="2220"/>
      <c r="HC886" s="2145"/>
      <c r="HD886" s="2145"/>
      <c r="HE886" s="2145"/>
      <c r="HF886" s="2145"/>
      <c r="HG886" s="2145"/>
      <c r="HH886" s="2145"/>
      <c r="IK886" s="2292" t="s">
        <v>349</v>
      </c>
      <c r="IL886" s="2505">
        <v>39.204999999999998</v>
      </c>
      <c r="IM886" s="2505">
        <v>38.722999999999999</v>
      </c>
      <c r="IN886" s="2505">
        <v>26.35</v>
      </c>
      <c r="IO886" s="2505">
        <v>36.200000000000003</v>
      </c>
      <c r="IP886" s="2506">
        <v>140.5</v>
      </c>
      <c r="IQ886" s="313">
        <f>+BYD!BB38</f>
        <v>40.006999999999998</v>
      </c>
      <c r="IR886" s="313">
        <f>+BYD!BC38</f>
        <v>36.581000000000003</v>
      </c>
      <c r="IS886" s="313">
        <f>+BYD!BD38</f>
        <v>28.052</v>
      </c>
      <c r="IT886" s="313">
        <f>+BYD!BE38</f>
        <v>39.756999999999998</v>
      </c>
      <c r="IU886" s="2653">
        <f>+BYD!BF38</f>
        <v>144.39699999999999</v>
      </c>
      <c r="IV886" s="2653">
        <f>+BYD!BK38</f>
        <v>157.31199999999998</v>
      </c>
    </row>
    <row r="887" spans="204:256" s="118" customFormat="1" ht="12.75">
      <c r="GV887" s="2297"/>
      <c r="GW887" s="2297"/>
      <c r="GX887" s="2297"/>
      <c r="GY887" s="2297"/>
      <c r="HC887" s="122"/>
      <c r="HD887" s="122"/>
      <c r="HE887" s="122"/>
      <c r="HF887" s="122"/>
      <c r="HG887" s="122"/>
      <c r="HH887" s="122"/>
      <c r="IK887" s="2298" t="s">
        <v>883</v>
      </c>
      <c r="IL887" s="2299">
        <f>+IL886/BYD!AR38-1</f>
        <v>1.8682118172842044E-2</v>
      </c>
      <c r="IM887" s="2299">
        <f>+IM886/BYD!AS38-1</f>
        <v>0.12126827855798483</v>
      </c>
      <c r="IN887" s="2299">
        <f>+IN886/BYD!AT38-1</f>
        <v>8.5657780890775026E-2</v>
      </c>
      <c r="IO887" s="2299">
        <f>+IO886/BYD!AU38-1</f>
        <v>0.15103338632750418</v>
      </c>
      <c r="IP887" s="120">
        <f>+IP886/BYD!AV38-1</f>
        <v>9.1329946715135835E-2</v>
      </c>
      <c r="IQ887" s="2299">
        <f>+IQ886/BYD!AW38-1</f>
        <v>2.0456574416528595E-2</v>
      </c>
      <c r="IR887" s="2299">
        <f>+IR886/BYD!AX38-1</f>
        <v>-5.531596208971401E-2</v>
      </c>
      <c r="IS887" s="2299">
        <f>+IS886/BYD!AY38-1</f>
        <v>6.4592030360531183E-2</v>
      </c>
      <c r="IT887" s="2299">
        <f>+IT886/BYD!AZ38-1</f>
        <v>0.19667098094693425</v>
      </c>
      <c r="IU887" s="120">
        <f>+IU886/BYD!BA38-1</f>
        <v>5.0152362528272709E-2</v>
      </c>
      <c r="IV887" s="120">
        <f>+IV886/BYD!BF38-1</f>
        <v>8.9440916362528267E-2</v>
      </c>
    </row>
    <row r="888" spans="204:256" s="118" customFormat="1" ht="12.75">
      <c r="GV888" s="2297"/>
      <c r="GW888" s="2297"/>
      <c r="GX888" s="2297"/>
      <c r="GY888" s="2297"/>
      <c r="HC888" s="122"/>
      <c r="HD888" s="122"/>
      <c r="HE888" s="122"/>
      <c r="HF888" s="122"/>
      <c r="HG888" s="122"/>
      <c r="HH888" s="122"/>
      <c r="IK888" s="2392" t="s">
        <v>497</v>
      </c>
      <c r="IL888" s="2393"/>
      <c r="IM888" s="2393"/>
      <c r="IN888" s="2393"/>
      <c r="IO888" s="2393">
        <f t="shared" ref="IO888:IU888" si="77">+IO886/IO882-1</f>
        <v>8.8721804511278313E-2</v>
      </c>
      <c r="IP888" s="2394">
        <f t="shared" si="77"/>
        <v>1.9149862179022037E-2</v>
      </c>
      <c r="IQ888" s="2393">
        <f t="shared" si="77"/>
        <v>6.7186713638649476E-3</v>
      </c>
      <c r="IR888" s="2393">
        <f t="shared" si="77"/>
        <v>-0.10799804925627887</v>
      </c>
      <c r="IS888" s="2393">
        <f t="shared" si="77"/>
        <v>-5.2617359000337705E-2</v>
      </c>
      <c r="IT888" s="2393">
        <f t="shared" si="77"/>
        <v>9.9474557522123863E-2</v>
      </c>
      <c r="IU888" s="2394">
        <f t="shared" si="77"/>
        <v>-1.4623993448887651E-2</v>
      </c>
      <c r="IV888" s="2394">
        <f>+IV886/IV882-1</f>
        <v>1.7081528415335834E-2</v>
      </c>
    </row>
    <row r="889" spans="204:256" ht="3.95" customHeight="1"/>
  </sheetData>
  <mergeCells count="3">
    <mergeCell ref="H3:J3"/>
    <mergeCell ref="H4:J4"/>
    <mergeCell ref="E4:G4"/>
  </mergeCells>
  <phoneticPr fontId="10" type="noConversion"/>
  <pageMargins left="0.75" right="0.75" top="1" bottom="1" header="0.5" footer="0.5"/>
  <pageSetup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R120"/>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5" max="15" width="1.5" customWidth="1"/>
    <col min="18" max="18" width="3.25" customWidth="1"/>
    <col min="20" max="20" width="1" customWidth="1"/>
    <col min="21" max="21" width="19" customWidth="1"/>
    <col min="22" max="22" width="1.625" customWidth="1"/>
    <col min="23" max="23" width="8.625" customWidth="1"/>
    <col min="24" max="24" width="1.625" customWidth="1"/>
    <col min="25" max="25" width="8.625" customWidth="1"/>
    <col min="26" max="26" width="1.625" customWidth="1"/>
    <col min="27" max="27" width="8.625" customWidth="1"/>
    <col min="30" max="30" width="7.625" customWidth="1"/>
    <col min="31" max="31" width="1.625" customWidth="1"/>
    <col min="32" max="32" width="7.625" customWidth="1"/>
    <col min="33" max="33" width="1.625" customWidth="1"/>
    <col min="34" max="34" width="7.625" customWidth="1"/>
    <col min="35" max="35" width="1.625" customWidth="1"/>
    <col min="36" max="36" width="21.5" customWidth="1"/>
    <col min="37" max="37" width="11.625" customWidth="1"/>
    <col min="38" max="38" width="1.625" customWidth="1"/>
    <col min="39" max="39" width="10.625" customWidth="1"/>
    <col min="40" max="40" width="1.625" customWidth="1"/>
    <col min="41" max="41" width="10.625" customWidth="1"/>
    <col min="42" max="42" width="16" customWidth="1"/>
  </cols>
  <sheetData>
    <row r="1" spans="1:44" ht="12.75" customHeight="1">
      <c r="A1" s="1" t="s">
        <v>629</v>
      </c>
      <c r="B1" s="2"/>
      <c r="C1" s="166"/>
      <c r="D1" s="1062"/>
      <c r="E1" s="2"/>
      <c r="F1" s="2"/>
      <c r="G1" s="2"/>
      <c r="H1" s="2"/>
      <c r="I1" s="2"/>
      <c r="J1" s="2"/>
      <c r="K1" s="2"/>
      <c r="L1" s="2"/>
      <c r="N1" s="2"/>
      <c r="O1" s="2"/>
      <c r="P1" s="2"/>
      <c r="Q1" s="2"/>
      <c r="U1" s="2"/>
      <c r="V1" s="2"/>
      <c r="W1" s="2"/>
      <c r="X1" s="2"/>
      <c r="Y1" s="2"/>
      <c r="Z1" s="2"/>
      <c r="AA1" s="2"/>
      <c r="AB1" s="2"/>
      <c r="AC1" s="2"/>
      <c r="AD1" s="2"/>
      <c r="AE1" s="2"/>
      <c r="AF1" s="2"/>
      <c r="AG1" s="2"/>
      <c r="AH1" s="2"/>
      <c r="AI1" s="2"/>
      <c r="AJ1" s="2"/>
      <c r="AK1" s="2"/>
      <c r="AL1" s="2"/>
      <c r="AM1" s="2"/>
      <c r="AN1" s="2"/>
      <c r="AO1" s="2"/>
      <c r="AP1" s="2"/>
      <c r="AQ1" s="98"/>
      <c r="AR1" s="2"/>
    </row>
    <row r="2" spans="1:44" ht="12.75" customHeight="1">
      <c r="A2" s="1" t="s">
        <v>1224</v>
      </c>
      <c r="B2" s="2"/>
      <c r="C2" s="2"/>
      <c r="D2" s="1062"/>
      <c r="E2" s="2"/>
      <c r="F2" s="2"/>
      <c r="G2" s="2"/>
      <c r="H2" s="2"/>
      <c r="I2" s="2"/>
      <c r="J2" s="2"/>
      <c r="K2" s="2"/>
      <c r="L2" s="2"/>
      <c r="N2" s="2"/>
      <c r="O2" s="2"/>
      <c r="P2" s="2"/>
      <c r="Q2" s="2"/>
      <c r="U2" s="2"/>
      <c r="V2" s="2"/>
      <c r="W2" s="2"/>
      <c r="X2" s="2"/>
      <c r="Y2" s="2"/>
      <c r="Z2" s="2"/>
      <c r="AA2" s="2"/>
      <c r="AB2" s="2"/>
      <c r="AC2" s="2"/>
      <c r="AD2" s="2"/>
      <c r="AE2" s="2"/>
      <c r="AF2" s="2"/>
      <c r="AG2" s="2"/>
      <c r="AH2" s="2"/>
      <c r="AI2" s="2"/>
      <c r="AJ2" s="2"/>
      <c r="AK2" s="2"/>
      <c r="AL2" s="2"/>
      <c r="AM2" s="2"/>
      <c r="AN2" s="2"/>
      <c r="AO2" s="2"/>
      <c r="AP2" s="2"/>
      <c r="AQ2" s="98"/>
      <c r="AR2" s="2"/>
    </row>
    <row r="3" spans="1:44" ht="12.75" customHeight="1">
      <c r="A3" s="2" t="s">
        <v>1225</v>
      </c>
      <c r="B3" s="2"/>
      <c r="C3" s="2"/>
      <c r="D3" s="1062"/>
      <c r="E3" s="2"/>
      <c r="F3" s="2"/>
      <c r="G3" s="2"/>
      <c r="H3" s="2"/>
      <c r="I3" s="2"/>
      <c r="J3" s="2"/>
      <c r="K3" s="2"/>
      <c r="L3" s="2"/>
      <c r="N3" s="2"/>
      <c r="O3" s="2"/>
      <c r="P3" s="2"/>
      <c r="Q3" s="2"/>
      <c r="U3" s="2"/>
      <c r="V3" s="2"/>
      <c r="W3" s="2"/>
      <c r="X3" s="2"/>
      <c r="Y3" s="2"/>
      <c r="Z3" s="2"/>
      <c r="AA3" s="2"/>
      <c r="AB3" s="2"/>
      <c r="AC3" s="2"/>
      <c r="AD3" s="2"/>
      <c r="AE3" s="2"/>
      <c r="AF3" s="2"/>
      <c r="AG3" s="2"/>
      <c r="AH3" s="2"/>
      <c r="AI3" s="2"/>
      <c r="AJ3" s="2"/>
      <c r="AK3" s="2"/>
      <c r="AL3" s="2"/>
      <c r="AM3" s="2"/>
      <c r="AN3" s="2"/>
      <c r="AO3" s="2"/>
      <c r="AP3" s="2"/>
      <c r="AQ3" s="98"/>
      <c r="AR3" s="2"/>
    </row>
    <row r="4" spans="1:44" ht="12.75" customHeight="1">
      <c r="A4" s="2"/>
      <c r="B4" s="2"/>
      <c r="C4" s="1195" t="s">
        <v>818</v>
      </c>
      <c r="D4" s="1310"/>
      <c r="E4" s="1196"/>
      <c r="F4" s="1196"/>
      <c r="G4" s="1196"/>
      <c r="H4" s="2"/>
      <c r="I4" s="1195" t="s">
        <v>1504</v>
      </c>
      <c r="J4" s="1197"/>
      <c r="K4" s="1196"/>
      <c r="L4" s="1196"/>
      <c r="O4" s="70"/>
      <c r="P4" s="70"/>
      <c r="Q4" s="70"/>
      <c r="U4" s="2"/>
      <c r="V4" s="2"/>
      <c r="W4" s="2"/>
      <c r="X4" s="2"/>
      <c r="Y4" s="2"/>
      <c r="Z4" s="2"/>
      <c r="AA4" s="2"/>
      <c r="AB4" s="2"/>
      <c r="AC4" s="2"/>
      <c r="AD4" s="2"/>
      <c r="AE4" s="2"/>
      <c r="AF4" s="2"/>
      <c r="AG4" s="2"/>
      <c r="AH4" s="2"/>
      <c r="AI4" s="2"/>
      <c r="AJ4" s="2"/>
      <c r="AK4" s="2"/>
      <c r="AL4" s="2"/>
      <c r="AM4" s="2"/>
      <c r="AN4" s="2"/>
      <c r="AO4" s="2"/>
      <c r="AP4" s="2"/>
      <c r="AQ4" s="98"/>
      <c r="AR4" s="2"/>
    </row>
    <row r="5" spans="1:44" ht="12.75" customHeight="1">
      <c r="A5" s="2"/>
      <c r="B5" s="2"/>
      <c r="C5" s="1198"/>
      <c r="D5" s="77"/>
      <c r="E5" s="2"/>
      <c r="F5" s="1197" t="s">
        <v>1487</v>
      </c>
      <c r="G5" s="1197"/>
      <c r="H5" s="2"/>
      <c r="I5" s="1198"/>
      <c r="J5" s="61"/>
      <c r="K5" s="1197" t="s">
        <v>1505</v>
      </c>
      <c r="L5" s="1197"/>
      <c r="N5" s="1289" t="s">
        <v>1489</v>
      </c>
      <c r="O5" s="2"/>
      <c r="P5" s="1197" t="s">
        <v>1505</v>
      </c>
      <c r="Q5" s="1197"/>
      <c r="S5" s="73" t="s">
        <v>594</v>
      </c>
      <c r="U5" s="2"/>
      <c r="V5" s="2"/>
      <c r="W5" s="2"/>
      <c r="X5" s="2"/>
      <c r="Y5" s="2"/>
      <c r="Z5" s="2"/>
      <c r="AA5" s="2"/>
      <c r="AB5" s="2"/>
      <c r="AC5" s="2"/>
      <c r="AD5" s="2"/>
      <c r="AE5" s="2"/>
      <c r="AF5" s="2"/>
      <c r="AG5" s="2"/>
      <c r="AH5" s="2"/>
      <c r="AI5" s="2"/>
      <c r="AJ5" s="2"/>
      <c r="AK5" s="2"/>
      <c r="AL5" s="2"/>
      <c r="AM5" s="2"/>
      <c r="AN5" s="2"/>
      <c r="AO5" s="2"/>
      <c r="AP5" s="2"/>
      <c r="AQ5" s="98"/>
      <c r="AR5" s="2"/>
    </row>
    <row r="6" spans="1:44" ht="12.75" customHeight="1">
      <c r="A6" s="61"/>
      <c r="B6" s="2"/>
      <c r="C6" s="1199" t="s">
        <v>1864</v>
      </c>
      <c r="D6" s="1308" t="s">
        <v>1819</v>
      </c>
      <c r="E6" s="70"/>
      <c r="F6" s="73" t="s">
        <v>658</v>
      </c>
      <c r="G6" s="73" t="s">
        <v>740</v>
      </c>
      <c r="H6" s="2"/>
      <c r="I6" s="1199" t="s">
        <v>987</v>
      </c>
      <c r="J6" s="70"/>
      <c r="K6" s="73" t="s">
        <v>658</v>
      </c>
      <c r="L6" s="73" t="s">
        <v>740</v>
      </c>
      <c r="N6" s="1165" t="s">
        <v>1865</v>
      </c>
      <c r="O6" s="2"/>
      <c r="P6" s="73" t="s">
        <v>658</v>
      </c>
      <c r="Q6" s="73" t="s">
        <v>740</v>
      </c>
      <c r="U6" s="2"/>
      <c r="V6" s="2"/>
      <c r="W6" s="2"/>
      <c r="X6" s="2"/>
      <c r="Y6" s="2"/>
      <c r="Z6" s="2"/>
      <c r="AA6" s="2"/>
      <c r="AB6" s="2"/>
      <c r="AC6" s="2"/>
      <c r="AD6" s="2"/>
      <c r="AE6" s="2"/>
      <c r="AF6" s="2"/>
      <c r="AG6" s="2"/>
      <c r="AH6" s="2"/>
      <c r="AI6" s="2"/>
      <c r="AJ6" s="2"/>
      <c r="AK6" s="2"/>
      <c r="AL6" s="2"/>
      <c r="AM6" s="2"/>
      <c r="AN6" s="2"/>
      <c r="AO6" s="2"/>
      <c r="AP6" s="2"/>
      <c r="AQ6" s="98"/>
      <c r="AR6" s="2"/>
    </row>
    <row r="7" spans="1:44" ht="12.75" customHeight="1">
      <c r="A7" s="1" t="s">
        <v>741</v>
      </c>
      <c r="B7" s="2"/>
      <c r="C7" s="112"/>
      <c r="D7" s="77"/>
      <c r="E7" s="2"/>
      <c r="F7" s="2"/>
      <c r="G7" s="2"/>
      <c r="H7" s="2"/>
      <c r="I7" s="112"/>
      <c r="J7" s="61"/>
      <c r="K7" s="2"/>
      <c r="L7" s="2"/>
      <c r="N7" s="2"/>
      <c r="O7" s="2"/>
      <c r="P7" s="2"/>
      <c r="Q7" s="2"/>
      <c r="U7" s="2"/>
      <c r="V7" s="2"/>
      <c r="W7" s="2"/>
      <c r="X7" s="2"/>
      <c r="Y7" s="2"/>
      <c r="Z7" s="2"/>
      <c r="AA7" s="2"/>
      <c r="AB7" s="2"/>
      <c r="AC7" s="2"/>
      <c r="AD7" s="2"/>
      <c r="AE7" s="2"/>
      <c r="AF7" s="2"/>
      <c r="AG7" s="2"/>
      <c r="AH7" s="2"/>
      <c r="AI7" s="2"/>
      <c r="AJ7" s="2"/>
      <c r="AK7" s="2"/>
      <c r="AL7" s="2"/>
      <c r="AM7" s="2"/>
      <c r="AN7" s="2"/>
      <c r="AO7" s="2"/>
      <c r="AP7" s="2"/>
      <c r="AQ7" s="98"/>
      <c r="AR7" s="2"/>
    </row>
    <row r="8" spans="1:44" ht="12.75" customHeight="1">
      <c r="A8" s="334" t="s">
        <v>514</v>
      </c>
      <c r="B8" s="2"/>
      <c r="C8" s="2030">
        <f>BYD!BJ10</f>
        <v>158.75</v>
      </c>
      <c r="D8" s="858">
        <f>BYD!BE10</f>
        <v>151.732</v>
      </c>
      <c r="E8" s="1202"/>
      <c r="F8" s="1205">
        <f t="shared" ref="F8:F13" si="0">C8-D8</f>
        <v>7.0180000000000007</v>
      </c>
      <c r="G8" s="126">
        <f t="shared" ref="G8:G14" si="1">IF(D8=0,0,C8/D8-1)</f>
        <v>4.6252603274193893E-2</v>
      </c>
      <c r="H8" s="1205"/>
      <c r="I8" s="3234">
        <v>154.76664</v>
      </c>
      <c r="J8" s="1202"/>
      <c r="K8" s="313">
        <f t="shared" ref="K8:K13" si="2">C8-I8</f>
        <v>3.9833600000000047</v>
      </c>
      <c r="L8" s="1204">
        <f t="shared" ref="L8:L13" si="3">IF(I8=0,"NM",C8/I8-1)</f>
        <v>2.5737846347249071E-2</v>
      </c>
      <c r="N8" s="1349">
        <v>155.49</v>
      </c>
      <c r="O8" s="1349"/>
      <c r="P8" s="313">
        <f t="shared" ref="P8:P14" si="4">C8-N8</f>
        <v>3.2599999999999909</v>
      </c>
      <c r="Q8" s="1204">
        <f t="shared" ref="Q8:Q14" si="5">IF(N8=0,"NM",C8/N8-1)</f>
        <v>2.0965978519518869E-2</v>
      </c>
      <c r="U8" s="105"/>
      <c r="V8" s="2"/>
      <c r="W8" s="2"/>
      <c r="X8" s="2"/>
      <c r="Y8" s="2"/>
      <c r="Z8" s="2"/>
      <c r="AA8" s="2"/>
      <c r="AB8" s="2"/>
      <c r="AC8" s="2"/>
      <c r="AD8" s="2"/>
      <c r="AE8" s="2"/>
      <c r="AF8" s="2"/>
      <c r="AG8" s="2"/>
      <c r="AH8" s="2"/>
      <c r="AI8" s="2"/>
      <c r="AJ8" s="2"/>
      <c r="AK8" s="2"/>
      <c r="AL8" s="2"/>
      <c r="AM8" s="2"/>
      <c r="AN8" s="2"/>
      <c r="AO8" s="2"/>
      <c r="AP8" s="2"/>
      <c r="AQ8" s="98"/>
      <c r="AR8" s="2"/>
    </row>
    <row r="9" spans="1:44" ht="12.75" customHeight="1">
      <c r="A9" s="334" t="s">
        <v>515</v>
      </c>
      <c r="B9" s="61"/>
      <c r="C9" s="2031">
        <f>BYD!BJ11</f>
        <v>62.469000000000001</v>
      </c>
      <c r="D9" s="104">
        <f>BYD!BE11</f>
        <v>59.610999999999997</v>
      </c>
      <c r="E9" s="1103"/>
      <c r="F9" s="374">
        <f t="shared" si="0"/>
        <v>2.8580000000000041</v>
      </c>
      <c r="G9" s="95">
        <f t="shared" si="1"/>
        <v>4.7944171377765965E-2</v>
      </c>
      <c r="H9" s="61"/>
      <c r="I9" s="3235">
        <v>61.399329999999999</v>
      </c>
      <c r="J9" s="1103"/>
      <c r="K9" s="374">
        <f t="shared" si="2"/>
        <v>1.0696700000000021</v>
      </c>
      <c r="L9" s="92">
        <f t="shared" si="3"/>
        <v>1.7421525609481403E-2</v>
      </c>
      <c r="N9" s="1102">
        <v>61.57</v>
      </c>
      <c r="O9" s="1102"/>
      <c r="P9" s="374">
        <f t="shared" si="4"/>
        <v>0.89900000000000091</v>
      </c>
      <c r="Q9" s="92">
        <f t="shared" si="5"/>
        <v>1.4601266850738925E-2</v>
      </c>
      <c r="U9" s="105"/>
      <c r="V9" s="2"/>
      <c r="W9" s="2"/>
      <c r="X9" s="2"/>
      <c r="Y9" s="2"/>
      <c r="Z9" s="2"/>
      <c r="AA9" s="2"/>
      <c r="AB9" s="2"/>
      <c r="AC9" s="2"/>
      <c r="AD9" s="2"/>
      <c r="AE9" s="2"/>
      <c r="AF9" s="2"/>
      <c r="AG9" s="2"/>
      <c r="AH9" s="2"/>
      <c r="AI9" s="2"/>
      <c r="AJ9" s="2"/>
      <c r="AK9" s="2"/>
      <c r="AL9" s="2"/>
      <c r="AM9" s="2"/>
      <c r="AN9" s="2"/>
      <c r="AO9" s="2"/>
      <c r="AP9" s="2"/>
      <c r="AQ9" s="98"/>
      <c r="AR9" s="2"/>
    </row>
    <row r="10" spans="1:44" ht="12.75" customHeight="1">
      <c r="A10" s="334" t="s">
        <v>516</v>
      </c>
      <c r="B10" s="61"/>
      <c r="C10" s="2031">
        <f>BYD!BJ13</f>
        <v>200.947</v>
      </c>
      <c r="D10" s="104">
        <f>BYD!BE13</f>
        <v>200.005</v>
      </c>
      <c r="E10" s="1103"/>
      <c r="F10" s="374">
        <f t="shared" si="0"/>
        <v>0.94200000000000728</v>
      </c>
      <c r="G10" s="95">
        <f t="shared" si="1"/>
        <v>4.7098822529436646E-3</v>
      </c>
      <c r="H10" s="61"/>
      <c r="I10" s="3235">
        <v>200.41395635316394</v>
      </c>
      <c r="J10" s="1103"/>
      <c r="K10" s="374">
        <f t="shared" si="2"/>
        <v>0.53304364683606309</v>
      </c>
      <c r="L10" s="92">
        <f t="shared" si="3"/>
        <v>2.6597132082795127E-3</v>
      </c>
      <c r="M10" s="1403"/>
      <c r="N10" s="1102">
        <v>201.49</v>
      </c>
      <c r="O10" s="1102"/>
      <c r="P10" s="374">
        <f t="shared" si="4"/>
        <v>-0.54300000000000637</v>
      </c>
      <c r="Q10" s="92">
        <f t="shared" si="5"/>
        <v>-2.6949228249540935E-3</v>
      </c>
      <c r="S10" s="1403"/>
      <c r="U10" s="105"/>
      <c r="V10" s="2"/>
      <c r="W10" s="2"/>
      <c r="X10" s="2"/>
      <c r="Y10" s="2"/>
      <c r="Z10" s="2"/>
      <c r="AA10" s="2"/>
      <c r="AB10" s="2"/>
      <c r="AC10" s="2"/>
      <c r="AD10" s="2"/>
      <c r="AE10" s="2"/>
      <c r="AF10" s="2"/>
      <c r="AG10" s="2"/>
      <c r="AH10" s="2"/>
      <c r="AI10" s="2"/>
      <c r="AJ10" s="2"/>
      <c r="AK10" s="2"/>
      <c r="AL10" s="2"/>
      <c r="AM10" s="2"/>
      <c r="AN10" s="2"/>
      <c r="AO10" s="2"/>
      <c r="AP10" s="2"/>
      <c r="AQ10" s="98"/>
      <c r="AR10" s="2"/>
    </row>
    <row r="11" spans="1:44" ht="12.75" customHeight="1">
      <c r="A11" s="963" t="s">
        <v>517</v>
      </c>
      <c r="B11" s="61"/>
      <c r="C11" s="2031">
        <f>BYD!BJ14</f>
        <v>120.508</v>
      </c>
      <c r="D11" s="104">
        <f>BYD!BE14</f>
        <v>120.247</v>
      </c>
      <c r="E11" s="1103"/>
      <c r="F11" s="374">
        <f t="shared" si="0"/>
        <v>0.26099999999999568</v>
      </c>
      <c r="G11" s="95">
        <f t="shared" si="1"/>
        <v>2.1705323209726402E-3</v>
      </c>
      <c r="H11" s="61"/>
      <c r="I11" s="3235">
        <v>123.91221586665</v>
      </c>
      <c r="J11" s="1103"/>
      <c r="K11" s="374">
        <f t="shared" si="2"/>
        <v>-3.4042158666500058</v>
      </c>
      <c r="L11" s="92">
        <f t="shared" si="3"/>
        <v>-2.7472802764769377E-2</v>
      </c>
      <c r="M11" s="1403"/>
      <c r="N11" s="1102">
        <v>123.15</v>
      </c>
      <c r="O11" s="1102"/>
      <c r="P11" s="374">
        <f t="shared" si="4"/>
        <v>-2.6420000000000101</v>
      </c>
      <c r="Q11" s="92">
        <f t="shared" si="5"/>
        <v>-2.1453511977263529E-2</v>
      </c>
      <c r="S11" s="1403"/>
      <c r="U11" s="105"/>
      <c r="V11" s="2"/>
      <c r="W11" s="2"/>
      <c r="X11" s="2"/>
      <c r="Y11" s="2"/>
      <c r="Z11" s="2"/>
      <c r="AA11" s="2"/>
      <c r="AB11" s="2"/>
      <c r="AC11" s="2"/>
      <c r="AD11" s="2"/>
      <c r="AE11" s="2"/>
      <c r="AF11" s="2"/>
      <c r="AG11" s="2"/>
      <c r="AH11" s="2"/>
      <c r="AI11" s="2"/>
      <c r="AJ11" s="2"/>
      <c r="AK11" s="2"/>
      <c r="AL11" s="2"/>
      <c r="AM11" s="2"/>
      <c r="AN11" s="2"/>
      <c r="AO11" s="2"/>
      <c r="AP11" s="2"/>
      <c r="AQ11" s="98"/>
      <c r="AR11" s="2"/>
    </row>
    <row r="12" spans="1:44" ht="12.75" customHeight="1">
      <c r="A12" s="334" t="s">
        <v>273</v>
      </c>
      <c r="B12" s="61"/>
      <c r="C12" s="2031">
        <f>BYD!BJ17</f>
        <v>0</v>
      </c>
      <c r="D12" s="104">
        <f>BYD!BE17</f>
        <v>0</v>
      </c>
      <c r="E12" s="1103"/>
      <c r="F12" s="374">
        <f t="shared" si="0"/>
        <v>0</v>
      </c>
      <c r="G12" s="95">
        <f t="shared" si="1"/>
        <v>0</v>
      </c>
      <c r="H12" s="61"/>
      <c r="I12" s="3235">
        <v>0</v>
      </c>
      <c r="J12" s="1103"/>
      <c r="K12" s="374">
        <f t="shared" si="2"/>
        <v>0</v>
      </c>
      <c r="L12" s="92" t="str">
        <f t="shared" si="3"/>
        <v>NM</v>
      </c>
      <c r="N12" s="1102">
        <v>0</v>
      </c>
      <c r="O12" s="1102"/>
      <c r="P12" s="374">
        <f t="shared" si="4"/>
        <v>0</v>
      </c>
      <c r="Q12" s="92" t="str">
        <f t="shared" si="5"/>
        <v>NM</v>
      </c>
      <c r="U12" s="105"/>
      <c r="V12" s="2"/>
      <c r="W12" s="2"/>
      <c r="X12" s="2"/>
      <c r="Y12" s="2"/>
      <c r="Z12" s="2"/>
      <c r="AA12" s="2"/>
      <c r="AB12" s="2"/>
      <c r="AC12" s="2"/>
      <c r="AD12" s="2"/>
      <c r="AE12" s="2"/>
      <c r="AF12" s="2"/>
      <c r="AG12" s="2"/>
      <c r="AH12" s="2"/>
      <c r="AI12" s="2"/>
      <c r="AJ12" s="2"/>
      <c r="AK12" s="2"/>
      <c r="AL12" s="2"/>
      <c r="AM12" s="2"/>
      <c r="AN12" s="2"/>
      <c r="AO12" s="2"/>
      <c r="AP12" s="2"/>
      <c r="AQ12" s="98"/>
      <c r="AR12" s="2"/>
    </row>
    <row r="13" spans="1:44" ht="12.75" customHeight="1">
      <c r="A13" s="2679" t="s">
        <v>899</v>
      </c>
      <c r="B13" s="61"/>
      <c r="C13" s="2031">
        <f>BYD!BJ18</f>
        <v>0</v>
      </c>
      <c r="D13" s="104">
        <f>BYD!BE18</f>
        <v>0</v>
      </c>
      <c r="E13" s="1103"/>
      <c r="F13" s="374">
        <f t="shared" si="0"/>
        <v>0</v>
      </c>
      <c r="G13" s="95">
        <f t="shared" si="1"/>
        <v>0</v>
      </c>
      <c r="H13" s="61"/>
      <c r="I13" s="3235">
        <v>0</v>
      </c>
      <c r="J13" s="1103"/>
      <c r="K13" s="374">
        <f t="shared" si="2"/>
        <v>0</v>
      </c>
      <c r="L13" s="92" t="str">
        <f t="shared" si="3"/>
        <v>NM</v>
      </c>
      <c r="N13" s="1102">
        <v>0</v>
      </c>
      <c r="O13" s="1102"/>
      <c r="P13" s="374">
        <f t="shared" si="4"/>
        <v>0</v>
      </c>
      <c r="Q13" s="92" t="str">
        <f t="shared" si="5"/>
        <v>NM</v>
      </c>
      <c r="U13" s="105"/>
      <c r="V13" s="2"/>
      <c r="W13" s="2"/>
      <c r="X13" s="2"/>
      <c r="Y13" s="2"/>
      <c r="Z13" s="2"/>
      <c r="AA13" s="2"/>
      <c r="AB13" s="2"/>
      <c r="AC13" s="2"/>
      <c r="AD13" s="2"/>
      <c r="AE13" s="2"/>
      <c r="AF13" s="2"/>
      <c r="AG13" s="2"/>
      <c r="AH13" s="2"/>
      <c r="AI13" s="2"/>
      <c r="AJ13" s="2"/>
      <c r="AK13" s="2"/>
      <c r="AL13" s="2"/>
      <c r="AM13" s="2"/>
      <c r="AN13" s="2"/>
      <c r="AO13" s="2"/>
      <c r="AP13" s="2"/>
      <c r="AQ13" s="98"/>
      <c r="AR13" s="2"/>
    </row>
    <row r="14" spans="1:44" ht="12.75" customHeight="1">
      <c r="A14" s="138" t="s">
        <v>813</v>
      </c>
      <c r="B14" s="1203"/>
      <c r="C14" s="2032">
        <f>SUM(C8:C13)</f>
        <v>542.67399999999998</v>
      </c>
      <c r="D14" s="1210">
        <f>SUM(D8:D13)</f>
        <v>531.59499999999991</v>
      </c>
      <c r="E14" s="1210"/>
      <c r="F14" s="1210">
        <f>SUM(F8:F13)</f>
        <v>11.079000000000008</v>
      </c>
      <c r="G14" s="1208">
        <f t="shared" si="1"/>
        <v>2.0841053809761423E-2</v>
      </c>
      <c r="H14" s="1206"/>
      <c r="I14" s="3236">
        <v>540.49214221981401</v>
      </c>
      <c r="J14" s="1210"/>
      <c r="K14" s="1210">
        <f>SUM(K8:K13)</f>
        <v>2.1818577801860641</v>
      </c>
      <c r="L14" s="1211">
        <f>C14/I14-1</f>
        <v>4.0367983357261217E-3</v>
      </c>
      <c r="M14" s="1444"/>
      <c r="N14" s="1349">
        <v>541.30999999999995</v>
      </c>
      <c r="O14" s="1349"/>
      <c r="P14" s="2368">
        <f t="shared" si="4"/>
        <v>1.3640000000000327</v>
      </c>
      <c r="Q14" s="1211">
        <f t="shared" si="5"/>
        <v>2.5198130461288049E-3</v>
      </c>
      <c r="R14" s="1299"/>
      <c r="S14" s="1617"/>
      <c r="U14" s="105">
        <f>+C14/N14-1</f>
        <v>2.5198130461288049E-3</v>
      </c>
      <c r="V14" s="2"/>
      <c r="W14" s="2"/>
      <c r="X14" s="2"/>
      <c r="Y14" s="2"/>
      <c r="Z14" s="2"/>
      <c r="AA14" s="2"/>
      <c r="AB14" s="2"/>
      <c r="AC14" s="2"/>
      <c r="AD14" s="2"/>
      <c r="AE14" s="2"/>
      <c r="AF14" s="2"/>
      <c r="AG14" s="2"/>
      <c r="AH14" s="2"/>
      <c r="AI14" s="2"/>
      <c r="AJ14" s="2"/>
      <c r="AK14" s="2"/>
      <c r="AL14" s="2"/>
      <c r="AM14" s="2"/>
      <c r="AN14" s="2"/>
      <c r="AO14" s="2"/>
      <c r="AP14" s="2"/>
      <c r="AQ14" s="98"/>
      <c r="AR14" s="2"/>
    </row>
    <row r="15" spans="1:44" ht="12.75" customHeight="1">
      <c r="A15" s="61"/>
      <c r="B15" s="61"/>
      <c r="C15" s="2033"/>
      <c r="D15" s="77"/>
      <c r="E15" s="61"/>
      <c r="F15" s="61"/>
      <c r="G15" s="1139"/>
      <c r="H15" s="61"/>
      <c r="I15" s="3237"/>
      <c r="J15" s="61"/>
      <c r="K15" s="61"/>
      <c r="L15" s="1212"/>
      <c r="N15" s="105">
        <f>C14/N14-1</f>
        <v>2.5198130461288049E-3</v>
      </c>
      <c r="O15" s="105"/>
      <c r="P15" s="105"/>
      <c r="Q15" s="105"/>
      <c r="U15" s="2"/>
      <c r="V15" s="2"/>
      <c r="W15" s="101" t="str">
        <f>+C6</f>
        <v>4Q15A</v>
      </c>
      <c r="X15" s="101"/>
      <c r="Y15" s="101" t="str">
        <f>+D6</f>
        <v>4Q14A</v>
      </c>
      <c r="Z15" s="101"/>
      <c r="AA15" s="101" t="s">
        <v>1490</v>
      </c>
      <c r="AB15" s="101"/>
      <c r="AC15" s="2"/>
      <c r="AD15" s="2"/>
      <c r="AE15" s="2"/>
      <c r="AF15" s="2"/>
      <c r="AG15" s="2"/>
      <c r="AH15" s="2"/>
      <c r="AI15" s="2"/>
      <c r="AJ15" s="2"/>
      <c r="AK15" s="2"/>
      <c r="AL15" s="2"/>
      <c r="AM15" s="2"/>
      <c r="AN15" s="2"/>
      <c r="AO15" s="2"/>
      <c r="AP15" s="2"/>
      <c r="AQ15" s="98"/>
      <c r="AR15" s="2"/>
    </row>
    <row r="16" spans="1:44" ht="12.75" customHeight="1">
      <c r="A16" s="107" t="s">
        <v>401</v>
      </c>
      <c r="B16" s="61"/>
      <c r="C16" s="2034"/>
      <c r="D16" s="1390"/>
      <c r="E16" s="61"/>
      <c r="F16" s="61"/>
      <c r="G16" s="1139"/>
      <c r="H16" s="61"/>
      <c r="I16" s="3237"/>
      <c r="J16" s="61"/>
      <c r="K16" s="61"/>
      <c r="L16" s="1212"/>
      <c r="N16" s="98"/>
      <c r="O16" s="98"/>
      <c r="P16" s="98"/>
      <c r="Q16" s="98"/>
      <c r="U16" s="101" t="s">
        <v>1488</v>
      </c>
      <c r="V16" s="2"/>
      <c r="W16" s="101" t="s">
        <v>1160</v>
      </c>
      <c r="X16" s="101"/>
      <c r="Y16" s="101" t="s">
        <v>1160</v>
      </c>
      <c r="Z16" s="101"/>
      <c r="AA16" s="101" t="s">
        <v>1160</v>
      </c>
      <c r="AB16" s="101"/>
      <c r="AC16" s="2"/>
      <c r="AD16" s="2"/>
      <c r="AE16" s="2"/>
      <c r="AF16" s="2"/>
      <c r="AG16" s="2"/>
      <c r="AH16" s="2"/>
      <c r="AI16" s="2"/>
      <c r="AJ16" s="2"/>
      <c r="AK16" s="2"/>
      <c r="AL16" s="2"/>
      <c r="AM16" s="2"/>
      <c r="AN16" s="2"/>
      <c r="AO16" s="2"/>
      <c r="AP16" s="2"/>
      <c r="AQ16" s="98"/>
      <c r="AR16" s="2"/>
    </row>
    <row r="17" spans="1:44" ht="12.75" customHeight="1">
      <c r="A17" s="334" t="s">
        <v>514</v>
      </c>
      <c r="B17" s="61"/>
      <c r="C17" s="2030">
        <f>BYD!BJ38</f>
        <v>43.999000000000002</v>
      </c>
      <c r="D17" s="858">
        <f>BYD!BE38</f>
        <v>39.756999999999998</v>
      </c>
      <c r="E17" s="1202"/>
      <c r="F17" s="897">
        <f t="shared" ref="F17:F22" si="6">C17-D17</f>
        <v>4.2420000000000044</v>
      </c>
      <c r="G17" s="95">
        <f t="shared" ref="G17:G25" si="7">IF(D17=0,0,C17/D17-1)</f>
        <v>0.1066981915134444</v>
      </c>
      <c r="H17" s="61"/>
      <c r="I17" s="3234">
        <v>42.23176500000001</v>
      </c>
      <c r="J17" s="1103"/>
      <c r="K17" s="897">
        <f t="shared" ref="K17:K22" si="8">C17-I17</f>
        <v>1.7672349999999923</v>
      </c>
      <c r="L17" s="92">
        <f t="shared" ref="L17:L22" si="9">IF(I17=0,"NM",C17/I17-1)</f>
        <v>4.1846108018454675E-2</v>
      </c>
      <c r="M17" s="1403"/>
      <c r="N17" s="1102">
        <v>41.85</v>
      </c>
      <c r="O17" s="1102"/>
      <c r="P17" s="313">
        <f t="shared" ref="P17:P23" si="10">C17-N17</f>
        <v>2.1490000000000009</v>
      </c>
      <c r="Q17" s="1204">
        <f t="shared" ref="Q17:Q23" si="11">IF(N17=0,"NM",C17/N17-1)</f>
        <v>5.1350059737156561E-2</v>
      </c>
      <c r="U17" s="126">
        <f>+C17/$C$23</f>
        <v>0.25969756350930218</v>
      </c>
      <c r="V17" s="2"/>
      <c r="W17" s="105">
        <f>+C17/C8</f>
        <v>0.27715905511811023</v>
      </c>
      <c r="X17" s="105"/>
      <c r="Y17" s="105">
        <f>+D17/D8</f>
        <v>0.26202119526533624</v>
      </c>
      <c r="Z17" s="105"/>
      <c r="AA17" s="105">
        <f>+I17/I8</f>
        <v>0.27287382474672844</v>
      </c>
      <c r="AB17" s="105"/>
      <c r="AC17" s="2"/>
      <c r="AD17" s="2"/>
      <c r="AE17" s="2"/>
      <c r="AF17" s="2"/>
      <c r="AG17" s="2"/>
      <c r="AH17" s="2"/>
      <c r="AI17" s="2"/>
      <c r="AJ17" s="2"/>
      <c r="AK17" s="2"/>
      <c r="AL17" s="2"/>
      <c r="AM17" s="2"/>
      <c r="AN17" s="2"/>
      <c r="AO17" s="2"/>
      <c r="AP17" s="2"/>
      <c r="AQ17" s="98"/>
      <c r="AR17" s="2"/>
    </row>
    <row r="18" spans="1:44" ht="12.75" customHeight="1">
      <c r="A18" s="334" t="s">
        <v>515</v>
      </c>
      <c r="B18" s="61"/>
      <c r="C18" s="2031">
        <f>BYD!BJ39</f>
        <v>16.186</v>
      </c>
      <c r="D18" s="104">
        <f>BYD!BE39</f>
        <v>13.116</v>
      </c>
      <c r="E18" s="1103"/>
      <c r="F18" s="374">
        <f t="shared" si="6"/>
        <v>3.0700000000000003</v>
      </c>
      <c r="G18" s="95">
        <f t="shared" si="7"/>
        <v>0.23406526379993897</v>
      </c>
      <c r="H18" s="61"/>
      <c r="I18" s="3235">
        <v>14.904330000000002</v>
      </c>
      <c r="J18" s="1103"/>
      <c r="K18" s="374">
        <f t="shared" si="8"/>
        <v>1.2816699999999983</v>
      </c>
      <c r="L18" s="92">
        <f t="shared" si="9"/>
        <v>8.5993130855261501E-2</v>
      </c>
      <c r="M18" s="1403"/>
      <c r="N18" s="1102">
        <v>14.02</v>
      </c>
      <c r="O18" s="1102"/>
      <c r="P18" s="374">
        <f t="shared" si="10"/>
        <v>2.1660000000000004</v>
      </c>
      <c r="Q18" s="92">
        <f t="shared" si="11"/>
        <v>0.15449358059914409</v>
      </c>
      <c r="U18" s="126">
        <f>+C18/$C$23</f>
        <v>9.5535461327793003E-2</v>
      </c>
      <c r="V18" s="2"/>
      <c r="W18" s="105">
        <f>+C18/C9</f>
        <v>0.25910451583985655</v>
      </c>
      <c r="X18" s="105"/>
      <c r="Y18" s="105">
        <f>+D18/D9</f>
        <v>0.22002650517521935</v>
      </c>
      <c r="Z18" s="105"/>
      <c r="AA18" s="105">
        <f>+I18/I9</f>
        <v>0.24274417978176638</v>
      </c>
      <c r="AB18" s="105"/>
      <c r="AC18" s="2"/>
      <c r="AD18" s="2"/>
      <c r="AE18" s="2"/>
      <c r="AF18" s="2"/>
      <c r="AG18" s="2"/>
      <c r="AH18" s="2"/>
      <c r="AI18" s="2"/>
      <c r="AJ18" s="2"/>
      <c r="AK18" s="2"/>
      <c r="AL18" s="2"/>
      <c r="AM18" s="2"/>
      <c r="AN18" s="2"/>
      <c r="AO18" s="2"/>
      <c r="AP18" s="2"/>
      <c r="AQ18" s="98"/>
      <c r="AR18" s="2"/>
    </row>
    <row r="19" spans="1:44" ht="12.75" customHeight="1">
      <c r="A19" s="334" t="s">
        <v>516</v>
      </c>
      <c r="B19" s="61"/>
      <c r="C19" s="2031">
        <f>BYD!BJ41</f>
        <v>43.344000000000001</v>
      </c>
      <c r="D19" s="104">
        <f>BYD!BE41</f>
        <v>40.087000000000003</v>
      </c>
      <c r="E19" s="1103"/>
      <c r="F19" s="374">
        <f t="shared" si="6"/>
        <v>3.2569999999999979</v>
      </c>
      <c r="G19" s="95">
        <f t="shared" si="7"/>
        <v>8.1248284980168117E-2</v>
      </c>
      <c r="H19" s="61"/>
      <c r="I19" s="3235">
        <v>41.295546353163928</v>
      </c>
      <c r="J19" s="1103"/>
      <c r="K19" s="374">
        <f t="shared" si="8"/>
        <v>2.048453646836073</v>
      </c>
      <c r="L19" s="92">
        <f t="shared" si="9"/>
        <v>4.9604711106555621E-2</v>
      </c>
      <c r="M19" s="1404"/>
      <c r="N19" s="1102">
        <v>40.6</v>
      </c>
      <c r="O19" s="1102"/>
      <c r="P19" s="374">
        <f t="shared" si="10"/>
        <v>2.7439999999999998</v>
      </c>
      <c r="Q19" s="92">
        <f t="shared" si="11"/>
        <v>6.7586206896551815E-2</v>
      </c>
      <c r="S19" s="1403"/>
      <c r="U19" s="126">
        <f>+C19/$C$23</f>
        <v>0.25583152327887432</v>
      </c>
      <c r="V19" s="2"/>
      <c r="W19" s="105">
        <f>+C19/C10</f>
        <v>0.21569866681264213</v>
      </c>
      <c r="X19" s="105"/>
      <c r="Y19" s="105">
        <f>+D19/D10</f>
        <v>0.20042998925026875</v>
      </c>
      <c r="Z19" s="105"/>
      <c r="AA19" s="105">
        <f>+I19/I10</f>
        <v>0.20605125064441149</v>
      </c>
      <c r="AB19" s="105"/>
      <c r="AC19" s="2"/>
      <c r="AD19" s="2"/>
      <c r="AE19" s="2"/>
      <c r="AF19" s="2"/>
      <c r="AG19" s="2"/>
      <c r="AH19" s="2"/>
      <c r="AI19" s="2"/>
      <c r="AJ19" s="2"/>
      <c r="AK19" s="2"/>
      <c r="AL19" s="2"/>
      <c r="AM19" s="2"/>
      <c r="AN19" s="2"/>
      <c r="AO19" s="2"/>
      <c r="AP19" s="2"/>
      <c r="AQ19" s="98"/>
      <c r="AR19" s="2"/>
    </row>
    <row r="20" spans="1:44" ht="12.75" customHeight="1">
      <c r="A20" s="963" t="s">
        <v>517</v>
      </c>
      <c r="B20" s="61"/>
      <c r="C20" s="2031">
        <f>BYD!BJ42</f>
        <v>42.963000000000001</v>
      </c>
      <c r="D20" s="104">
        <f>BYD!BE42</f>
        <v>42.162999999999997</v>
      </c>
      <c r="E20" s="1103"/>
      <c r="F20" s="374">
        <f t="shared" si="6"/>
        <v>0.80000000000000426</v>
      </c>
      <c r="G20" s="95">
        <f t="shared" si="7"/>
        <v>1.897398192728228E-2</v>
      </c>
      <c r="H20" s="61"/>
      <c r="I20" s="3235">
        <v>42.697735717816784</v>
      </c>
      <c r="J20" s="1103"/>
      <c r="K20" s="374">
        <f t="shared" si="8"/>
        <v>0.2652642821832174</v>
      </c>
      <c r="L20" s="92">
        <f t="shared" si="9"/>
        <v>6.2126077114794676E-3</v>
      </c>
      <c r="M20" s="1404"/>
      <c r="N20" s="1102">
        <v>44.1</v>
      </c>
      <c r="O20" s="1102"/>
      <c r="P20" s="374">
        <f t="shared" si="10"/>
        <v>-1.1370000000000005</v>
      </c>
      <c r="Q20" s="92">
        <f t="shared" si="11"/>
        <v>-2.5782312925170081E-2</v>
      </c>
      <c r="S20" s="1403"/>
      <c r="U20" s="126">
        <f>+C20/$C$23</f>
        <v>0.25358272735857967</v>
      </c>
      <c r="V20" s="2"/>
      <c r="W20" s="105">
        <f>+C20/C11</f>
        <v>0.35651574999170182</v>
      </c>
      <c r="X20" s="105"/>
      <c r="Y20" s="105"/>
      <c r="Z20" s="105"/>
      <c r="AA20" s="105">
        <f>+I20/I11</f>
        <v>0.34458051951686985</v>
      </c>
      <c r="AB20" s="105"/>
      <c r="AC20" s="2"/>
      <c r="AD20" s="2"/>
      <c r="AE20" s="2"/>
      <c r="AF20" s="2"/>
      <c r="AG20" s="2"/>
      <c r="AH20" s="2"/>
      <c r="AI20" s="2"/>
      <c r="AJ20" s="2"/>
      <c r="AK20" s="2"/>
      <c r="AL20" s="2"/>
      <c r="AM20" s="2"/>
      <c r="AN20" s="2"/>
      <c r="AO20" s="2"/>
      <c r="AP20" s="2"/>
      <c r="AQ20" s="98"/>
      <c r="AR20" s="2"/>
    </row>
    <row r="21" spans="1:44" ht="12.75" customHeight="1">
      <c r="A21" s="334" t="s">
        <v>273</v>
      </c>
      <c r="B21" s="61"/>
      <c r="C21" s="2031">
        <f>BYD!BJ48</f>
        <v>22.129384439999999</v>
      </c>
      <c r="D21" s="104">
        <f>BYD!BE48</f>
        <v>17.119</v>
      </c>
      <c r="E21" s="1103"/>
      <c r="F21" s="374">
        <f t="shared" si="6"/>
        <v>5.0103844399999993</v>
      </c>
      <c r="G21" s="95">
        <f t="shared" si="7"/>
        <v>0.29267973830247085</v>
      </c>
      <c r="H21" s="61"/>
      <c r="I21" s="3235">
        <v>19.458095755687516</v>
      </c>
      <c r="J21" s="1103"/>
      <c r="K21" s="374">
        <f t="shared" si="8"/>
        <v>2.6712886843124828</v>
      </c>
      <c r="L21" s="92">
        <f t="shared" si="9"/>
        <v>0.13728417815662541</v>
      </c>
      <c r="M21" s="1444"/>
      <c r="N21" s="1102">
        <v>19.05</v>
      </c>
      <c r="O21" s="1102"/>
      <c r="P21" s="374">
        <f t="shared" si="10"/>
        <v>3.0793844399999983</v>
      </c>
      <c r="Q21" s="92">
        <f t="shared" si="11"/>
        <v>0.16164747716535421</v>
      </c>
      <c r="S21" s="2369"/>
      <c r="U21" s="126">
        <f>+C21/$C$23</f>
        <v>0.1306154053735008</v>
      </c>
      <c r="V21" s="2"/>
      <c r="W21" s="105"/>
      <c r="X21" s="105"/>
      <c r="Y21" s="105"/>
      <c r="Z21" s="105"/>
      <c r="AA21" s="105"/>
      <c r="AB21" s="105"/>
      <c r="AC21" s="2"/>
      <c r="AD21" s="2"/>
      <c r="AE21" s="2"/>
      <c r="AF21" s="2"/>
      <c r="AG21" s="2"/>
      <c r="AH21" s="2"/>
      <c r="AI21" s="2"/>
      <c r="AJ21" s="2"/>
      <c r="AK21" s="2"/>
      <c r="AL21" s="2"/>
      <c r="AM21" s="2"/>
      <c r="AN21" s="2"/>
      <c r="AO21" s="2"/>
      <c r="AP21" s="2"/>
      <c r="AQ21" s="98"/>
      <c r="AR21" s="2"/>
    </row>
    <row r="22" spans="1:44" ht="12.75" customHeight="1">
      <c r="A22" s="2679" t="s">
        <v>899</v>
      </c>
      <c r="B22" s="61"/>
      <c r="C22" s="2031">
        <f>BYD!BJ49</f>
        <v>0.80261556000000012</v>
      </c>
      <c r="D22" s="104">
        <f>BYD!BE49</f>
        <v>0.9</v>
      </c>
      <c r="E22" s="1103"/>
      <c r="F22" s="374">
        <f t="shared" si="6"/>
        <v>-9.7384439999999906E-2</v>
      </c>
      <c r="G22" s="95">
        <f>IF(D22=0,0,C22/D22-1)</f>
        <v>-0.10820493333333325</v>
      </c>
      <c r="H22" s="61"/>
      <c r="I22" s="3235">
        <v>0.80261556000000012</v>
      </c>
      <c r="J22" s="1103"/>
      <c r="K22" s="374">
        <f t="shared" si="8"/>
        <v>0</v>
      </c>
      <c r="L22" s="92">
        <f t="shared" si="9"/>
        <v>0</v>
      </c>
      <c r="M22" s="1444"/>
      <c r="N22" s="1102"/>
      <c r="O22" s="1102"/>
      <c r="P22" s="374"/>
      <c r="Q22" s="92"/>
      <c r="S22" s="2369"/>
      <c r="U22" s="126"/>
      <c r="V22" s="2"/>
      <c r="W22" s="105"/>
      <c r="X22" s="105"/>
      <c r="Y22" s="105"/>
      <c r="Z22" s="105"/>
      <c r="AA22" s="105"/>
      <c r="AB22" s="105"/>
      <c r="AC22" s="2"/>
      <c r="AD22" s="2"/>
      <c r="AE22" s="2"/>
      <c r="AF22" s="2"/>
      <c r="AG22" s="2"/>
      <c r="AH22" s="2"/>
      <c r="AI22" s="2"/>
      <c r="AJ22" s="2"/>
      <c r="AK22" s="2"/>
      <c r="AL22" s="2"/>
      <c r="AM22" s="2"/>
      <c r="AN22" s="2"/>
      <c r="AO22" s="2"/>
      <c r="AP22" s="2"/>
      <c r="AQ22" s="98"/>
      <c r="AR22" s="2"/>
    </row>
    <row r="23" spans="1:44" ht="12.75" customHeight="1">
      <c r="A23" s="138" t="s">
        <v>819</v>
      </c>
      <c r="B23" s="1203"/>
      <c r="C23" s="2032">
        <f>SUM(C17:C22)</f>
        <v>169.42399999999998</v>
      </c>
      <c r="D23" s="1210">
        <f>SUM(D17:D21)</f>
        <v>152.24199999999999</v>
      </c>
      <c r="E23" s="1210"/>
      <c r="F23" s="1210">
        <f>SUM(F17:F22)</f>
        <v>16.282000000000007</v>
      </c>
      <c r="G23" s="1208">
        <f t="shared" si="7"/>
        <v>0.11285978902011262</v>
      </c>
      <c r="H23" s="1206"/>
      <c r="I23" s="3236">
        <v>161.39008838666822</v>
      </c>
      <c r="J23" s="1210"/>
      <c r="K23" s="1210">
        <f>SUM(K17:K21)</f>
        <v>8.0339116133317638</v>
      </c>
      <c r="L23" s="1211">
        <f>C23/I23-1</f>
        <v>4.9779461016736137E-2</v>
      </c>
      <c r="M23" s="1444"/>
      <c r="N23" s="1349">
        <v>159.41</v>
      </c>
      <c r="O23" s="1205"/>
      <c r="P23" s="2368">
        <f t="shared" si="10"/>
        <v>10.013999999999982</v>
      </c>
      <c r="Q23" s="1211">
        <f t="shared" si="11"/>
        <v>6.2819145599397608E-2</v>
      </c>
      <c r="U23" s="2"/>
      <c r="V23" s="2"/>
      <c r="W23" s="2"/>
      <c r="X23" s="2"/>
      <c r="Y23" s="2"/>
      <c r="Z23" s="2"/>
      <c r="AA23" s="2"/>
      <c r="AB23" s="2"/>
      <c r="AC23" s="2"/>
      <c r="AD23" s="2"/>
      <c r="AE23" s="2"/>
      <c r="AF23" s="2"/>
      <c r="AG23" s="2"/>
      <c r="AH23" s="2"/>
      <c r="AI23" s="2"/>
      <c r="AJ23" s="2"/>
      <c r="AK23" s="2"/>
      <c r="AL23" s="2"/>
      <c r="AM23" s="2"/>
      <c r="AN23" s="2"/>
      <c r="AO23" s="2"/>
      <c r="AP23" s="2"/>
      <c r="AQ23" s="98"/>
      <c r="AR23" s="2"/>
    </row>
    <row r="24" spans="1:44" ht="12.75" customHeight="1">
      <c r="A24" s="2" t="s">
        <v>742</v>
      </c>
      <c r="B24" s="2"/>
      <c r="C24" s="2031">
        <f>BYD!BJ54</f>
        <v>-15.177</v>
      </c>
      <c r="D24" s="104">
        <f>BYD!BE54</f>
        <v>-16.777000000000001</v>
      </c>
      <c r="E24" s="1103"/>
      <c r="F24" s="374">
        <f>C24-D24</f>
        <v>1.6000000000000014</v>
      </c>
      <c r="G24" s="126">
        <f t="shared" si="7"/>
        <v>-9.5368659474280304E-2</v>
      </c>
      <c r="H24" s="2"/>
      <c r="I24" s="3235">
        <v>-17.277000000000001</v>
      </c>
      <c r="J24" s="1103"/>
      <c r="K24" s="374">
        <f>C24-I24</f>
        <v>2.1000000000000014</v>
      </c>
      <c r="L24" s="1204">
        <f>IF(I24=0,"NM",C24/I24-1)</f>
        <v>-0.12154888001389141</v>
      </c>
      <c r="N24" s="1336"/>
      <c r="O24" s="1336"/>
      <c r="P24" s="1336"/>
      <c r="Q24" s="1336"/>
      <c r="U24" s="2"/>
      <c r="V24" s="2"/>
      <c r="W24" s="2"/>
      <c r="X24" s="2"/>
      <c r="Y24" s="2"/>
      <c r="Z24" s="2"/>
      <c r="AA24" s="2"/>
      <c r="AB24" s="2"/>
      <c r="AC24" s="2"/>
      <c r="AD24" s="2"/>
      <c r="AE24" s="2"/>
      <c r="AF24" s="2"/>
      <c r="AG24" s="2"/>
      <c r="AH24" s="2"/>
      <c r="AI24" s="2"/>
      <c r="AJ24" s="2"/>
      <c r="AK24" s="2"/>
      <c r="AL24" s="2"/>
      <c r="AM24" s="2"/>
      <c r="AN24" s="2"/>
      <c r="AO24" s="2"/>
      <c r="AP24" s="2"/>
      <c r="AQ24" s="98"/>
      <c r="AR24" s="2"/>
    </row>
    <row r="25" spans="1:44" ht="12.75" customHeight="1">
      <c r="A25" s="138" t="s">
        <v>555</v>
      </c>
      <c r="B25" s="1203"/>
      <c r="C25" s="2032">
        <f>SUM(C23:C24)</f>
        <v>154.24699999999999</v>
      </c>
      <c r="D25" s="1210">
        <f>SUM(D23:D24)</f>
        <v>135.46499999999997</v>
      </c>
      <c r="E25" s="1210"/>
      <c r="F25" s="1210">
        <f>F23+F24</f>
        <v>17.882000000000009</v>
      </c>
      <c r="G25" s="1208">
        <f t="shared" si="7"/>
        <v>0.1386483593548149</v>
      </c>
      <c r="H25" s="1210"/>
      <c r="I25" s="3236">
        <v>144.11308838666821</v>
      </c>
      <c r="J25" s="1210"/>
      <c r="K25" s="1210">
        <f>K23+K24</f>
        <v>10.133911613331765</v>
      </c>
      <c r="L25" s="1254">
        <f>IF(I25=0,"NM",C25/I25-1)</f>
        <v>7.0319162032955518E-2</v>
      </c>
      <c r="M25" s="1442"/>
      <c r="N25" s="1349">
        <v>143.19</v>
      </c>
      <c r="O25" s="1349"/>
      <c r="P25" s="374">
        <f>C25-N25</f>
        <v>11.056999999999988</v>
      </c>
      <c r="Q25" s="92">
        <f>IF(N25=0,"NM",C25/N25-1)</f>
        <v>7.7219079544660785E-2</v>
      </c>
      <c r="R25" s="1299"/>
      <c r="S25" s="2369"/>
      <c r="U25" s="105">
        <f>+C25/N25-1</f>
        <v>7.7219079544660785E-2</v>
      </c>
      <c r="V25" s="2"/>
      <c r="W25" s="2"/>
      <c r="X25" s="2"/>
      <c r="Y25" s="2"/>
      <c r="Z25" s="2"/>
      <c r="AA25" s="2"/>
      <c r="AB25" s="2"/>
      <c r="AC25" s="2"/>
      <c r="AD25" s="2"/>
      <c r="AE25" s="2"/>
      <c r="AF25" s="2"/>
      <c r="AG25" s="2"/>
      <c r="AH25" s="2"/>
      <c r="AI25" s="2"/>
      <c r="AJ25" s="2"/>
      <c r="AK25" s="2"/>
      <c r="AL25" s="2"/>
      <c r="AM25" s="2"/>
      <c r="AN25" s="2"/>
      <c r="AO25" s="2"/>
      <c r="AP25" s="2"/>
      <c r="AQ25" s="98"/>
      <c r="AR25" s="2"/>
    </row>
    <row r="26" spans="1:44" ht="12.75" customHeight="1">
      <c r="A26" s="2253" t="s">
        <v>1486</v>
      </c>
      <c r="B26" s="2253"/>
      <c r="C26" s="2259">
        <f>+C25/C14</f>
        <v>0.28423510247404515</v>
      </c>
      <c r="D26" s="2253">
        <f>+D25/D14</f>
        <v>0.25482745323037276</v>
      </c>
      <c r="E26" s="2253"/>
      <c r="F26" s="2253"/>
      <c r="G26" s="213">
        <f>+C26-D26</f>
        <v>2.9407649243672396E-2</v>
      </c>
      <c r="H26" s="2253"/>
      <c r="I26" s="3238">
        <v>0.2666330870136101</v>
      </c>
      <c r="J26" s="2253"/>
      <c r="K26" s="2253"/>
      <c r="L26" s="213">
        <f>+C26-I26</f>
        <v>1.760201546043505E-2</v>
      </c>
      <c r="M26" s="2254"/>
      <c r="N26" s="105">
        <f>C25/N25-1</f>
        <v>7.7219079544660785E-2</v>
      </c>
      <c r="O26" s="2258"/>
      <c r="P26" s="2258"/>
      <c r="Q26" s="2258"/>
      <c r="R26" s="2255"/>
      <c r="S26" s="2256"/>
      <c r="T26" s="2257"/>
      <c r="U26" s="2258"/>
      <c r="V26" s="2258"/>
      <c r="W26" s="2258"/>
      <c r="X26" s="2258"/>
      <c r="Y26" s="2258"/>
      <c r="Z26" s="2258"/>
      <c r="AA26" s="2258"/>
      <c r="AB26" s="2258"/>
      <c r="AC26" s="2258"/>
      <c r="AD26" s="2258"/>
      <c r="AE26" s="2258"/>
      <c r="AF26" s="2258"/>
      <c r="AG26" s="2258"/>
      <c r="AH26" s="2258"/>
      <c r="AI26" s="2258"/>
      <c r="AJ26" s="2258"/>
      <c r="AK26" s="2258"/>
      <c r="AL26" s="2258"/>
      <c r="AM26" s="2258"/>
      <c r="AN26" s="2258"/>
      <c r="AO26" s="2258"/>
      <c r="AP26" s="2258"/>
      <c r="AQ26" s="2277"/>
      <c r="AR26" s="2258"/>
    </row>
    <row r="27" spans="1:44" ht="3.95" customHeight="1">
      <c r="A27" s="198"/>
      <c r="B27" s="77"/>
      <c r="C27" s="2245"/>
      <c r="D27" s="2239"/>
      <c r="E27" s="2239"/>
      <c r="F27" s="2239"/>
      <c r="G27" s="2246"/>
      <c r="H27" s="2239"/>
      <c r="I27" s="3239"/>
      <c r="J27" s="2239"/>
      <c r="K27" s="2239"/>
      <c r="L27" s="2246"/>
      <c r="M27" s="2248"/>
      <c r="N27" s="2249"/>
      <c r="O27" s="2249"/>
      <c r="P27" s="2249"/>
      <c r="Q27" s="2249"/>
      <c r="R27" s="2250"/>
      <c r="S27" s="2251"/>
      <c r="T27" s="2252"/>
      <c r="U27" s="1062"/>
      <c r="V27" s="1062"/>
      <c r="W27" s="1062"/>
      <c r="X27" s="1062"/>
      <c r="Y27" s="1062"/>
      <c r="Z27" s="1062"/>
      <c r="AA27" s="1062"/>
      <c r="AB27" s="1062"/>
      <c r="AC27" s="1062"/>
      <c r="AD27" s="1062"/>
      <c r="AE27" s="1062"/>
      <c r="AF27" s="1062"/>
      <c r="AG27" s="1062"/>
      <c r="AH27" s="1062"/>
      <c r="AI27" s="1062"/>
      <c r="AJ27" s="1062"/>
      <c r="AK27" s="1062"/>
      <c r="AL27" s="1062"/>
      <c r="AM27" s="1062"/>
      <c r="AN27" s="1062"/>
      <c r="AO27" s="1062"/>
      <c r="AP27" s="1062"/>
      <c r="AQ27" s="1092"/>
      <c r="AR27" s="1062"/>
    </row>
    <row r="28" spans="1:44" ht="12.75" customHeight="1">
      <c r="A28" s="439" t="s">
        <v>1745</v>
      </c>
      <c r="B28" s="2"/>
      <c r="C28" s="2036">
        <f>BYD!BJ65</f>
        <v>11.037000000000001</v>
      </c>
      <c r="D28" s="374">
        <f>BYD!BE65</f>
        <v>7.2350000000000003</v>
      </c>
      <c r="E28" s="1103"/>
      <c r="F28" s="374">
        <f>C28-D28</f>
        <v>3.8020000000000005</v>
      </c>
      <c r="G28" s="126">
        <f>IF(D28=0,0,C28/D28-1)</f>
        <v>0.52550103662750525</v>
      </c>
      <c r="H28" s="2"/>
      <c r="I28" s="3105">
        <v>1.86</v>
      </c>
      <c r="J28" s="1103"/>
      <c r="K28" s="374">
        <f>C28-I28</f>
        <v>9.1770000000000014</v>
      </c>
      <c r="L28" s="1204">
        <f>IF(I28=0,"NM",C28/I28-1)</f>
        <v>4.9338709677419352</v>
      </c>
      <c r="M28" s="1646"/>
      <c r="N28" s="2"/>
      <c r="O28" s="2"/>
      <c r="P28" s="2"/>
      <c r="Q28" s="2"/>
      <c r="U28" s="2"/>
      <c r="V28" s="2"/>
      <c r="W28" s="2"/>
      <c r="X28" s="2"/>
      <c r="Y28" s="2"/>
      <c r="Z28" s="2"/>
      <c r="AA28" s="2"/>
      <c r="AB28" s="2"/>
      <c r="AC28" s="2"/>
      <c r="AD28" s="2"/>
      <c r="AE28" s="2"/>
      <c r="AF28" s="2"/>
      <c r="AG28" s="2"/>
      <c r="AH28" s="2"/>
      <c r="AI28" s="2"/>
      <c r="AJ28" s="2"/>
      <c r="AK28" s="2"/>
      <c r="AL28" s="2"/>
      <c r="AM28" s="2"/>
      <c r="AN28" s="2"/>
      <c r="AO28" s="2"/>
      <c r="AP28" s="2"/>
      <c r="AQ28" s="98"/>
      <c r="AR28" s="2"/>
    </row>
    <row r="29" spans="1:44" ht="12.75" customHeight="1">
      <c r="A29" s="439" t="s">
        <v>201</v>
      </c>
      <c r="B29" s="2"/>
      <c r="C29" s="2036">
        <f>BYD!BJ66</f>
        <v>0.85499999999999998</v>
      </c>
      <c r="D29" s="374">
        <f>BYD!BE66</f>
        <v>0.90400000000000003</v>
      </c>
      <c r="E29" s="1103"/>
      <c r="F29" s="374">
        <f>C29-D29</f>
        <v>-4.9000000000000044E-2</v>
      </c>
      <c r="G29" s="126">
        <f>IF(D29=0,0,C29/D29-1)</f>
        <v>-5.4203539823008851E-2</v>
      </c>
      <c r="H29" s="2"/>
      <c r="I29" s="3105">
        <v>0.90175000000000005</v>
      </c>
      <c r="J29" s="1103"/>
      <c r="K29" s="374">
        <f>C29-I29</f>
        <v>-4.6750000000000069E-2</v>
      </c>
      <c r="L29" s="1204">
        <f>IF(I29=0,"NM",C29/I29-1)</f>
        <v>-5.1843637371777218E-2</v>
      </c>
      <c r="M29" s="1102"/>
      <c r="N29" s="1102"/>
      <c r="O29" s="1102"/>
      <c r="P29" s="1102"/>
      <c r="Q29" s="1102"/>
      <c r="U29" s="2"/>
      <c r="V29" s="2"/>
      <c r="W29" s="2"/>
      <c r="X29" s="2"/>
      <c r="Y29" s="2"/>
      <c r="Z29" s="2"/>
      <c r="AA29" s="2"/>
      <c r="AB29" s="2"/>
      <c r="AC29" s="2"/>
      <c r="AD29" s="2"/>
      <c r="AE29" s="2"/>
      <c r="AF29" s="2"/>
      <c r="AG29" s="2"/>
      <c r="AH29" s="2"/>
      <c r="AI29" s="2"/>
      <c r="AJ29" s="2"/>
      <c r="AK29" s="2"/>
      <c r="AL29" s="2"/>
      <c r="AM29" s="2"/>
      <c r="AN29" s="2"/>
      <c r="AO29" s="2"/>
      <c r="AP29" s="2"/>
      <c r="AQ29" s="98"/>
      <c r="AR29" s="2"/>
    </row>
    <row r="30" spans="1:44" ht="12.75" customHeight="1">
      <c r="A30" s="1693" t="s">
        <v>202</v>
      </c>
      <c r="B30" s="2"/>
      <c r="C30" s="2036">
        <f>BYD!BJ67</f>
        <v>51.866999999999997</v>
      </c>
      <c r="D30" s="374">
        <f>BYD!BE67</f>
        <v>52.798999999999999</v>
      </c>
      <c r="E30" s="1103"/>
      <c r="F30" s="374">
        <f>C30-D30</f>
        <v>-0.93200000000000216</v>
      </c>
      <c r="G30" s="126">
        <f>IF(D30=0,0,C30/D30-1)</f>
        <v>-1.7651849466846059E-2</v>
      </c>
      <c r="H30" s="2"/>
      <c r="I30" s="3105">
        <v>51.344999999999999</v>
      </c>
      <c r="J30" s="1103"/>
      <c r="K30" s="374">
        <f>C30-I30</f>
        <v>0.52199999999999847</v>
      </c>
      <c r="L30" s="1204">
        <f>IF(I30=0,"NM",C30/I30-1)</f>
        <v>1.0166520595968453E-2</v>
      </c>
      <c r="M30" s="1102"/>
      <c r="N30" s="1102"/>
      <c r="O30" s="1102"/>
      <c r="P30" s="1102"/>
      <c r="Q30" s="1102"/>
      <c r="U30" s="2"/>
      <c r="V30" s="2"/>
      <c r="W30" s="2"/>
      <c r="X30" s="2"/>
      <c r="Y30" s="2"/>
      <c r="Z30" s="2"/>
      <c r="AA30" s="2"/>
      <c r="AB30" s="2"/>
      <c r="AC30" s="2"/>
      <c r="AD30" s="2"/>
      <c r="AE30" s="2"/>
      <c r="AF30" s="2"/>
      <c r="AG30" s="2"/>
      <c r="AH30" s="2"/>
      <c r="AI30" s="2"/>
      <c r="AJ30" s="2"/>
      <c r="AK30" s="2"/>
      <c r="AL30" s="2"/>
      <c r="AM30" s="2"/>
      <c r="AN30" s="2"/>
      <c r="AO30" s="2"/>
      <c r="AP30" s="2"/>
      <c r="AQ30" s="98"/>
      <c r="AR30" s="2"/>
    </row>
    <row r="31" spans="1:44" ht="12.75" customHeight="1">
      <c r="A31" s="3200" t="s">
        <v>1835</v>
      </c>
      <c r="B31" s="2"/>
      <c r="C31" s="2036">
        <f>BYD!BJ68</f>
        <v>7.3810000000000002</v>
      </c>
      <c r="D31" s="374">
        <f>BYD!BE68</f>
        <v>7.39</v>
      </c>
      <c r="E31" s="1103"/>
      <c r="F31" s="374">
        <f>C31-D31</f>
        <v>-8.9999999999994529E-3</v>
      </c>
      <c r="G31" s="126">
        <f>IF(D31=0,0,C31/D31-1)</f>
        <v>-1.2178619756426645E-3</v>
      </c>
      <c r="H31" s="2"/>
      <c r="I31" s="3105">
        <v>7.1059999999999999</v>
      </c>
      <c r="J31" s="1103"/>
      <c r="K31" s="374">
        <f>C31-I31</f>
        <v>0.27500000000000036</v>
      </c>
      <c r="L31" s="1204">
        <f>IF(I31=0,"NM",C31/I31-1)</f>
        <v>3.8699690402476783E-2</v>
      </c>
      <c r="M31" s="1102"/>
      <c r="N31" s="1102"/>
      <c r="O31" s="1102"/>
      <c r="P31" s="1102"/>
      <c r="Q31" s="1102"/>
      <c r="U31" s="2"/>
      <c r="V31" s="2"/>
      <c r="W31" s="2"/>
      <c r="X31" s="2"/>
      <c r="Y31" s="2"/>
      <c r="Z31" s="2"/>
      <c r="AA31" s="2"/>
      <c r="AB31" s="2"/>
      <c r="AC31" s="2"/>
      <c r="AD31" s="2"/>
      <c r="AE31" s="2"/>
      <c r="AF31" s="2"/>
      <c r="AG31" s="2"/>
      <c r="AH31" s="2"/>
      <c r="AI31" s="2"/>
      <c r="AJ31" s="2"/>
      <c r="AK31" s="2"/>
      <c r="AL31" s="2"/>
      <c r="AM31" s="2"/>
      <c r="AN31" s="2"/>
      <c r="AO31" s="2"/>
      <c r="AP31" s="2"/>
      <c r="AQ31" s="98"/>
      <c r="AR31" s="2"/>
    </row>
    <row r="32" spans="1:44" ht="4.5" customHeight="1">
      <c r="A32" s="964"/>
      <c r="B32" s="2"/>
      <c r="C32" s="2037" t="s">
        <v>343</v>
      </c>
      <c r="D32" s="452" t="s">
        <v>343</v>
      </c>
      <c r="E32" s="96" t="s">
        <v>343</v>
      </c>
      <c r="F32" s="452" t="s">
        <v>343</v>
      </c>
      <c r="G32" s="1251" t="s">
        <v>343</v>
      </c>
      <c r="H32" s="2" t="s">
        <v>343</v>
      </c>
      <c r="I32" s="3240" t="s">
        <v>343</v>
      </c>
      <c r="J32" s="96" t="s">
        <v>343</v>
      </c>
      <c r="K32" s="452" t="s">
        <v>343</v>
      </c>
      <c r="L32" s="1252" t="s">
        <v>343</v>
      </c>
      <c r="M32" s="1102"/>
      <c r="N32" s="1102"/>
      <c r="O32" s="1102"/>
      <c r="P32" s="1102"/>
      <c r="Q32" s="1102"/>
      <c r="U32" s="2"/>
      <c r="V32" s="2"/>
      <c r="W32" s="2"/>
      <c r="X32" s="2"/>
      <c r="Y32" s="2"/>
      <c r="Z32" s="2"/>
      <c r="AA32" s="2"/>
      <c r="AB32" s="2"/>
      <c r="AC32" s="2"/>
      <c r="AD32" s="2"/>
      <c r="AE32" s="2"/>
      <c r="AF32" s="2"/>
      <c r="AG32" s="2"/>
      <c r="AH32" s="2"/>
      <c r="AI32" s="2"/>
      <c r="AJ32" s="2"/>
      <c r="AK32" s="2"/>
      <c r="AL32" s="2"/>
      <c r="AM32" s="2"/>
      <c r="AN32" s="2"/>
      <c r="AO32" s="2"/>
      <c r="AP32" s="2"/>
      <c r="AQ32" s="98"/>
      <c r="AR32" s="2"/>
    </row>
    <row r="33" spans="1:44" ht="12.75" customHeight="1">
      <c r="A33" s="1" t="s">
        <v>744</v>
      </c>
      <c r="B33" s="2"/>
      <c r="C33" s="2235">
        <f>C25-C28-C29-C30-C31</f>
        <v>83.106999999999999</v>
      </c>
      <c r="D33" s="2236">
        <f>D25-D28-D29-D30-D31</f>
        <v>67.136999999999958</v>
      </c>
      <c r="E33" s="325"/>
      <c r="F33" s="2236">
        <f>F25-F28-F29-F30-F31</f>
        <v>15.070000000000011</v>
      </c>
      <c r="G33" s="106">
        <f>IF(D33=0,0,C33/D33-1)</f>
        <v>0.23787181434976312</v>
      </c>
      <c r="H33" s="1205"/>
      <c r="I33" s="3241">
        <v>82.90033838666821</v>
      </c>
      <c r="J33" s="932"/>
      <c r="K33" s="2236">
        <f>K25-K28-K29-K30-K31</f>
        <v>0.20666161333176514</v>
      </c>
      <c r="L33" s="1214">
        <f>C33/I33-1</f>
        <v>2.4928922770841577E-3</v>
      </c>
      <c r="N33" s="2"/>
      <c r="O33" s="2"/>
      <c r="P33" s="2"/>
      <c r="Q33" s="2"/>
      <c r="U33" s="1336"/>
      <c r="V33" s="2"/>
      <c r="W33" s="2"/>
      <c r="X33" s="2"/>
      <c r="Y33" s="2"/>
      <c r="Z33" s="2"/>
      <c r="AA33" s="2"/>
      <c r="AB33" s="2"/>
      <c r="AC33" s="2"/>
      <c r="AD33" s="2"/>
      <c r="AE33" s="2"/>
      <c r="AF33" s="2"/>
      <c r="AG33" s="2"/>
      <c r="AH33" s="2"/>
      <c r="AI33" s="2"/>
      <c r="AJ33" s="2"/>
      <c r="AK33" s="2"/>
      <c r="AL33" s="2"/>
      <c r="AM33" s="2"/>
      <c r="AN33" s="2"/>
      <c r="AO33" s="2"/>
      <c r="AP33" s="2"/>
      <c r="AQ33" s="98"/>
      <c r="AR33" s="2"/>
    </row>
    <row r="34" spans="1:44" ht="12.75" customHeight="1">
      <c r="A34" s="445" t="s">
        <v>1176</v>
      </c>
      <c r="B34" s="2"/>
      <c r="C34" s="2036">
        <f>BYD!BJ73</f>
        <v>-53.503999999999998</v>
      </c>
      <c r="D34" s="374">
        <f>BYD!BE73</f>
        <v>-56.701000000000001</v>
      </c>
      <c r="E34" s="932"/>
      <c r="F34" s="374">
        <f>C34-D34</f>
        <v>3.1970000000000027</v>
      </c>
      <c r="G34" s="126">
        <f>IF(D34=0,0,C34/D34-1)</f>
        <v>-5.6383485300082969E-2</v>
      </c>
      <c r="H34" s="1205"/>
      <c r="I34" s="3105">
        <v>-55.884078437500001</v>
      </c>
      <c r="J34" s="932"/>
      <c r="K34" s="374">
        <f>C34-I34</f>
        <v>2.3800784375000035</v>
      </c>
      <c r="L34" s="1204">
        <f>IF(I34=0,"NM",C34/I34-1)</f>
        <v>-4.2589562251829083E-2</v>
      </c>
      <c r="N34" s="2"/>
      <c r="O34" s="2"/>
      <c r="P34" s="2"/>
      <c r="Q34" s="2"/>
      <c r="U34" s="2"/>
      <c r="V34" s="2"/>
      <c r="W34" s="2"/>
      <c r="X34" s="2"/>
      <c r="Y34" s="2"/>
      <c r="Z34" s="2"/>
      <c r="AA34" s="2"/>
      <c r="AB34" s="2"/>
      <c r="AC34" s="2"/>
      <c r="AD34" s="2"/>
      <c r="AE34" s="2"/>
      <c r="AF34" s="2"/>
      <c r="AG34" s="2"/>
      <c r="AH34" s="2"/>
      <c r="AI34" s="2"/>
      <c r="AJ34" s="2"/>
      <c r="AK34" s="2"/>
      <c r="AL34" s="2"/>
      <c r="AM34" s="2"/>
      <c r="AN34" s="2"/>
      <c r="AO34" s="2"/>
      <c r="AP34" s="2"/>
      <c r="AQ34" s="98"/>
      <c r="AR34" s="2"/>
    </row>
    <row r="35" spans="1:44" ht="12.75" customHeight="1">
      <c r="A35" s="445" t="s">
        <v>203</v>
      </c>
      <c r="B35" s="2"/>
      <c r="C35" s="2036">
        <f>BYD!BJ74</f>
        <v>0</v>
      </c>
      <c r="D35" s="374">
        <f>BYD!BE74</f>
        <v>0</v>
      </c>
      <c r="E35" s="932"/>
      <c r="F35" s="374">
        <f>C35-D35</f>
        <v>0</v>
      </c>
      <c r="G35" s="126">
        <f>IF(D35=0,0,C35/D35-1)</f>
        <v>0</v>
      </c>
      <c r="H35" s="1205"/>
      <c r="I35" s="3105">
        <v>0</v>
      </c>
      <c r="J35" s="932"/>
      <c r="K35" s="374">
        <f>C35-I35</f>
        <v>0</v>
      </c>
      <c r="L35" s="1204" t="str">
        <f>IF(I35=0,"NM",C35/I35-1)</f>
        <v>NM</v>
      </c>
      <c r="N35" s="2"/>
      <c r="O35" s="2"/>
      <c r="P35" s="2"/>
      <c r="Q35" s="2"/>
      <c r="U35" s="2"/>
      <c r="V35" s="2"/>
      <c r="W35" s="2"/>
      <c r="X35" s="2"/>
      <c r="Y35" s="2"/>
      <c r="Z35" s="2"/>
      <c r="AA35" s="2"/>
      <c r="AB35" s="2"/>
      <c r="AC35" s="2"/>
      <c r="AD35" s="2"/>
      <c r="AE35" s="2"/>
      <c r="AF35" s="2"/>
      <c r="AG35" s="2"/>
      <c r="AH35" s="2"/>
      <c r="AI35" s="2"/>
      <c r="AJ35" s="2"/>
      <c r="AK35" s="2"/>
      <c r="AL35" s="2"/>
      <c r="AM35" s="2"/>
      <c r="AN35" s="2"/>
      <c r="AO35" s="2"/>
      <c r="AP35" s="2"/>
      <c r="AQ35" s="98"/>
      <c r="AR35" s="2"/>
    </row>
    <row r="36" spans="1:44" ht="12.75" customHeight="1">
      <c r="A36" s="3201" t="s">
        <v>1836</v>
      </c>
      <c r="B36" s="2"/>
      <c r="C36" s="2036">
        <f>BYD!BJ77</f>
        <v>-7.968</v>
      </c>
      <c r="D36" s="374">
        <f>BYD!BE77</f>
        <v>-9.3089999999999993</v>
      </c>
      <c r="E36" s="932"/>
      <c r="F36" s="374">
        <f>C36-D36</f>
        <v>1.3409999999999993</v>
      </c>
      <c r="G36" s="126">
        <f>IF(D36=0,0,C36/D36-1)</f>
        <v>-0.14405414115372217</v>
      </c>
      <c r="H36" s="1205"/>
      <c r="I36" s="3105">
        <v>-4.4165656250000005</v>
      </c>
      <c r="J36" s="932"/>
      <c r="K36" s="374">
        <f>C36-I36</f>
        <v>-3.5514343749999995</v>
      </c>
      <c r="L36" s="1204">
        <f>IF(I36=0,"NM",C36/I36-1)</f>
        <v>0.80411674512364995</v>
      </c>
      <c r="N36" s="2"/>
      <c r="O36" s="2"/>
      <c r="P36" s="2"/>
      <c r="Q36" s="2"/>
      <c r="U36" s="2"/>
      <c r="V36" s="2"/>
      <c r="W36" s="2"/>
      <c r="X36" s="2"/>
      <c r="Y36" s="2"/>
      <c r="Z36" s="2"/>
      <c r="AA36" s="2"/>
      <c r="AB36" s="2"/>
      <c r="AC36" s="2"/>
      <c r="AD36" s="2"/>
      <c r="AE36" s="2"/>
      <c r="AF36" s="2"/>
      <c r="AG36" s="2"/>
      <c r="AH36" s="2"/>
      <c r="AI36" s="2"/>
      <c r="AJ36" s="2"/>
      <c r="AK36" s="2"/>
      <c r="AL36" s="2"/>
      <c r="AM36" s="2"/>
      <c r="AN36" s="2"/>
      <c r="AO36" s="2"/>
      <c r="AP36" s="2"/>
      <c r="AQ36" s="98"/>
      <c r="AR36" s="2"/>
    </row>
    <row r="37" spans="1:44" ht="12.75" customHeight="1">
      <c r="A37" s="445" t="s">
        <v>814</v>
      </c>
      <c r="B37" s="2"/>
      <c r="C37" s="2036">
        <f>BYD!BJ78</f>
        <v>-29.189000000000004</v>
      </c>
      <c r="D37" s="374">
        <f>BYD!BE78</f>
        <v>-45.746999999999993</v>
      </c>
      <c r="E37" s="1103"/>
      <c r="F37" s="374">
        <f>C37-D37</f>
        <v>16.557999999999989</v>
      </c>
      <c r="G37" s="126">
        <f>IF(D37=0,0,C37/D37-1)</f>
        <v>-0.36194723151244867</v>
      </c>
      <c r="H37" s="2"/>
      <c r="I37" s="3105">
        <v>-4.3019999999999996</v>
      </c>
      <c r="J37" s="1103"/>
      <c r="K37" s="374">
        <f>C37-I37</f>
        <v>-24.887000000000004</v>
      </c>
      <c r="L37" s="1204">
        <f>IF(I37=0,"NM",C37/I37-1)</f>
        <v>5.7849837284983741</v>
      </c>
      <c r="N37" s="2"/>
      <c r="O37" s="2"/>
      <c r="P37" s="2"/>
      <c r="Q37" s="2"/>
      <c r="U37" s="2"/>
      <c r="V37" s="2"/>
      <c r="W37" s="2"/>
      <c r="X37" s="2"/>
      <c r="Y37" s="2"/>
      <c r="Z37" s="2"/>
      <c r="AA37" s="2"/>
      <c r="AB37" s="2"/>
      <c r="AC37" s="2"/>
      <c r="AD37" s="2"/>
      <c r="AE37" s="2"/>
      <c r="AF37" s="2"/>
      <c r="AG37" s="2"/>
      <c r="AH37" s="2"/>
      <c r="AI37" s="2"/>
      <c r="AJ37" s="2"/>
      <c r="AK37" s="2"/>
      <c r="AL37" s="2"/>
      <c r="AM37" s="2"/>
      <c r="AN37" s="2"/>
      <c r="AO37" s="2"/>
      <c r="AP37" s="2"/>
      <c r="AQ37" s="98"/>
      <c r="AR37" s="2"/>
    </row>
    <row r="38" spans="1:44" ht="4.5" customHeight="1">
      <c r="A38" s="964"/>
      <c r="B38" s="2"/>
      <c r="C38" s="2037" t="s">
        <v>343</v>
      </c>
      <c r="D38" s="452" t="s">
        <v>343</v>
      </c>
      <c r="E38" s="96" t="s">
        <v>343</v>
      </c>
      <c r="F38" s="452" t="s">
        <v>343</v>
      </c>
      <c r="G38" s="1251" t="s">
        <v>343</v>
      </c>
      <c r="H38" s="2" t="s">
        <v>343</v>
      </c>
      <c r="I38" s="3240" t="s">
        <v>343</v>
      </c>
      <c r="J38" s="96" t="s">
        <v>343</v>
      </c>
      <c r="K38" s="452" t="s">
        <v>343</v>
      </c>
      <c r="L38" s="1252" t="s">
        <v>343</v>
      </c>
      <c r="M38" s="1102"/>
      <c r="N38" s="1102"/>
      <c r="O38" s="1102"/>
      <c r="P38" s="1102"/>
      <c r="Q38" s="1102"/>
      <c r="U38" s="2"/>
      <c r="V38" s="2"/>
      <c r="W38" s="2"/>
      <c r="X38" s="2"/>
      <c r="Y38" s="2"/>
      <c r="Z38" s="2"/>
      <c r="AA38" s="2"/>
      <c r="AB38" s="2"/>
      <c r="AC38" s="2"/>
      <c r="AD38" s="2"/>
      <c r="AE38" s="2"/>
      <c r="AF38" s="2"/>
      <c r="AG38" s="2"/>
      <c r="AH38" s="2"/>
      <c r="AI38" s="2"/>
      <c r="AJ38" s="2"/>
      <c r="AK38" s="2"/>
      <c r="AL38" s="2"/>
      <c r="AM38" s="2"/>
      <c r="AN38" s="2"/>
      <c r="AO38" s="2"/>
      <c r="AP38" s="2"/>
      <c r="AQ38" s="98"/>
      <c r="AR38" s="2"/>
    </row>
    <row r="39" spans="1:44" ht="12.75" customHeight="1">
      <c r="A39" s="1" t="s">
        <v>745</v>
      </c>
      <c r="B39" s="2"/>
      <c r="C39" s="2240">
        <f>SUM(C33:C37)</f>
        <v>-7.554000000000002</v>
      </c>
      <c r="D39" s="2239">
        <f>SUM(D33:D37)</f>
        <v>-44.620000000000033</v>
      </c>
      <c r="E39" s="932"/>
      <c r="F39" s="2236">
        <f>C39-D39</f>
        <v>37.066000000000031</v>
      </c>
      <c r="G39" s="106">
        <f>IF(D39=0,0,C39/D39-1)</f>
        <v>-0.83070372030479611</v>
      </c>
      <c r="H39" s="1205"/>
      <c r="I39" s="3242">
        <v>18.297694324168209</v>
      </c>
      <c r="J39" s="932"/>
      <c r="K39" s="2236">
        <f>C39-I39</f>
        <v>-25.851694324168211</v>
      </c>
      <c r="L39" s="1214">
        <f>C39/I39-1</f>
        <v>-1.4128389001461472</v>
      </c>
      <c r="N39" s="2"/>
      <c r="O39" s="2"/>
      <c r="P39" s="2"/>
      <c r="Q39" s="2"/>
      <c r="U39" s="2"/>
      <c r="V39" s="2"/>
      <c r="W39" s="2"/>
      <c r="X39" s="2"/>
      <c r="Y39" s="2"/>
      <c r="Z39" s="2"/>
      <c r="AA39" s="2"/>
      <c r="AB39" s="2"/>
      <c r="AC39" s="2"/>
      <c r="AD39" s="2"/>
      <c r="AE39" s="2"/>
      <c r="AF39" s="2"/>
      <c r="AG39" s="2"/>
      <c r="AH39" s="2"/>
      <c r="AI39" s="2"/>
      <c r="AJ39" s="2"/>
      <c r="AK39" s="2"/>
      <c r="AL39" s="2"/>
      <c r="AM39" s="2"/>
      <c r="AN39" s="2"/>
      <c r="AO39" s="2"/>
      <c r="AP39" s="2"/>
      <c r="AQ39" s="98"/>
      <c r="AR39" s="2"/>
    </row>
    <row r="40" spans="1:44" ht="12.75" customHeight="1">
      <c r="A40" s="445" t="s">
        <v>205</v>
      </c>
      <c r="B40" s="2"/>
      <c r="C40" s="2036">
        <f>BYD!BJ81</f>
        <v>0.68500000000000005</v>
      </c>
      <c r="D40" s="374">
        <f>BYD!BE81</f>
        <v>11.297000000000001</v>
      </c>
      <c r="E40" s="1103"/>
      <c r="F40" s="374">
        <f>C40-D40</f>
        <v>-10.612</v>
      </c>
      <c r="G40" s="126">
        <f>IF(D40=0,0,C40/D40-1)</f>
        <v>-0.93936443303531914</v>
      </c>
      <c r="H40" s="2"/>
      <c r="I40" s="3105">
        <v>-6.4296563414996992</v>
      </c>
      <c r="J40" s="1103"/>
      <c r="K40" s="374">
        <f>C40-I40</f>
        <v>7.1146563414996997</v>
      </c>
      <c r="L40" s="1204">
        <f>IF(I40=0,"NM",C40/I40-1)</f>
        <v>-1.1065375758232556</v>
      </c>
      <c r="N40" s="2"/>
      <c r="O40" s="2"/>
      <c r="P40" s="2"/>
      <c r="Q40" s="2"/>
      <c r="U40" s="2"/>
      <c r="V40" s="2"/>
      <c r="W40" s="2"/>
      <c r="X40" s="2"/>
      <c r="Y40" s="2"/>
      <c r="Z40" s="2"/>
      <c r="AA40" s="2"/>
      <c r="AB40" s="2"/>
      <c r="AC40" s="2"/>
      <c r="AD40" s="2"/>
      <c r="AE40" s="2"/>
      <c r="AF40" s="2"/>
      <c r="AG40" s="2"/>
      <c r="AH40" s="2"/>
      <c r="AI40" s="2"/>
      <c r="AJ40" s="2"/>
      <c r="AK40" s="2"/>
      <c r="AL40" s="2"/>
      <c r="AM40" s="2"/>
      <c r="AN40" s="2"/>
      <c r="AO40" s="2"/>
      <c r="AP40" s="2"/>
      <c r="AQ40" s="98"/>
      <c r="AR40" s="2"/>
    </row>
    <row r="41" spans="1:44" ht="4.5" customHeight="1">
      <c r="A41" s="964"/>
      <c r="B41" s="2"/>
      <c r="C41" s="2037" t="s">
        <v>343</v>
      </c>
      <c r="D41" s="452" t="s">
        <v>343</v>
      </c>
      <c r="E41" s="96" t="s">
        <v>343</v>
      </c>
      <c r="F41" s="452" t="s">
        <v>343</v>
      </c>
      <c r="G41" s="1251" t="s">
        <v>343</v>
      </c>
      <c r="H41" s="2" t="s">
        <v>343</v>
      </c>
      <c r="I41" s="3240" t="s">
        <v>343</v>
      </c>
      <c r="J41" s="96" t="s">
        <v>343</v>
      </c>
      <c r="K41" s="452" t="s">
        <v>343</v>
      </c>
      <c r="L41" s="1252" t="s">
        <v>343</v>
      </c>
      <c r="M41" s="1102"/>
      <c r="N41" s="1102"/>
      <c r="O41" s="1102"/>
      <c r="P41" s="1102"/>
      <c r="Q41" s="1102"/>
      <c r="U41" s="2"/>
      <c r="V41" s="2"/>
      <c r="W41" s="2"/>
      <c r="X41" s="2"/>
      <c r="Y41" s="2"/>
      <c r="Z41" s="2"/>
      <c r="AA41" s="2"/>
      <c r="AB41" s="2"/>
      <c r="AC41" s="2"/>
      <c r="AD41" s="2"/>
      <c r="AE41" s="2"/>
      <c r="AF41" s="2"/>
      <c r="AG41" s="2"/>
      <c r="AH41" s="2"/>
      <c r="AI41" s="2"/>
      <c r="AJ41" s="2"/>
      <c r="AK41" s="2"/>
      <c r="AL41" s="2"/>
      <c r="AM41" s="2"/>
      <c r="AN41" s="2"/>
      <c r="AO41" s="2"/>
      <c r="AP41" s="2"/>
      <c r="AQ41" s="98"/>
      <c r="AR41" s="2"/>
    </row>
    <row r="42" spans="1:44" ht="12.75" customHeight="1">
      <c r="A42" s="107" t="s">
        <v>1243</v>
      </c>
      <c r="B42" s="61"/>
      <c r="C42" s="2240">
        <f>C39+C40</f>
        <v>-6.8690000000000015</v>
      </c>
      <c r="D42" s="2239">
        <f>D39+D40</f>
        <v>-33.323000000000036</v>
      </c>
      <c r="E42" s="932"/>
      <c r="F42" s="2236">
        <f>F39+F40</f>
        <v>26.454000000000029</v>
      </c>
      <c r="G42" s="1215">
        <f>G39+G40</f>
        <v>-1.7700681533401152</v>
      </c>
      <c r="H42" s="932"/>
      <c r="I42" s="3242">
        <v>11.868037982668509</v>
      </c>
      <c r="J42" s="932"/>
      <c r="K42" s="2236">
        <f>K39+K40</f>
        <v>-18.737037982668511</v>
      </c>
      <c r="L42" s="1215">
        <f>L39+L40</f>
        <v>-2.5193764759694028</v>
      </c>
      <c r="M42" s="1238"/>
      <c r="N42" s="61"/>
      <c r="O42" s="61"/>
      <c r="P42" s="61"/>
      <c r="Q42" s="61"/>
      <c r="U42" s="1336"/>
      <c r="V42" s="2"/>
      <c r="W42" s="2"/>
      <c r="X42" s="2"/>
      <c r="Y42" s="2"/>
      <c r="Z42" s="2"/>
      <c r="AA42" s="2"/>
      <c r="AB42" s="2"/>
      <c r="AC42" s="2"/>
      <c r="AD42" s="2"/>
      <c r="AE42" s="2"/>
      <c r="AF42" s="2"/>
      <c r="AG42" s="2"/>
      <c r="AH42" s="2"/>
      <c r="AI42" s="2"/>
      <c r="AJ42" s="2"/>
      <c r="AK42" s="2"/>
      <c r="AL42" s="2"/>
      <c r="AM42" s="2"/>
      <c r="AN42" s="2"/>
      <c r="AO42" s="2"/>
      <c r="AP42" s="2"/>
      <c r="AQ42" s="98"/>
      <c r="AR42" s="2"/>
    </row>
    <row r="43" spans="1:44" ht="12.75" customHeight="1">
      <c r="A43" s="445" t="s">
        <v>130</v>
      </c>
      <c r="B43" s="2"/>
      <c r="C43" s="2036">
        <f>BYD!BJ85</f>
        <v>0</v>
      </c>
      <c r="D43" s="374">
        <f>BYD!BE85</f>
        <v>0</v>
      </c>
      <c r="E43" s="1103"/>
      <c r="F43" s="374">
        <f>C43-D43</f>
        <v>0</v>
      </c>
      <c r="G43" s="126">
        <f>IF(D43=0,0,C43/D43-1)</f>
        <v>0</v>
      </c>
      <c r="H43" s="2"/>
      <c r="I43" s="3105">
        <v>0</v>
      </c>
      <c r="J43" s="1103"/>
      <c r="K43" s="374">
        <f>C43-I43</f>
        <v>0</v>
      </c>
      <c r="L43" s="1204" t="str">
        <f>IF(I43=0,"NM",C43/I43-1)</f>
        <v>NM</v>
      </c>
      <c r="N43" s="2"/>
      <c r="O43" s="2"/>
      <c r="P43" s="2"/>
      <c r="Q43" s="2"/>
      <c r="U43" s="2"/>
      <c r="V43" s="2"/>
      <c r="W43" s="2"/>
      <c r="X43" s="2"/>
      <c r="Y43" s="2"/>
      <c r="Z43" s="2"/>
      <c r="AA43" s="2"/>
      <c r="AB43" s="2"/>
      <c r="AC43" s="2"/>
      <c r="AD43" s="2"/>
      <c r="AE43" s="2"/>
      <c r="AF43" s="2"/>
      <c r="AG43" s="2"/>
      <c r="AH43" s="2"/>
      <c r="AI43" s="2"/>
      <c r="AJ43" s="2"/>
      <c r="AK43" s="2"/>
      <c r="AL43" s="2"/>
      <c r="AM43" s="2"/>
      <c r="AN43" s="2"/>
      <c r="AO43" s="2"/>
      <c r="AP43" s="2"/>
      <c r="AQ43" s="98"/>
      <c r="AR43" s="2"/>
    </row>
    <row r="44" spans="1:44" ht="4.5" customHeight="1">
      <c r="A44" s="964"/>
      <c r="B44" s="2"/>
      <c r="C44" s="2037" t="s">
        <v>343</v>
      </c>
      <c r="D44" s="452" t="s">
        <v>343</v>
      </c>
      <c r="E44" s="96" t="s">
        <v>343</v>
      </c>
      <c r="F44" s="452" t="s">
        <v>343</v>
      </c>
      <c r="G44" s="1251" t="s">
        <v>343</v>
      </c>
      <c r="H44" s="2" t="s">
        <v>343</v>
      </c>
      <c r="I44" s="3240" t="s">
        <v>343</v>
      </c>
      <c r="J44" s="96" t="s">
        <v>343</v>
      </c>
      <c r="K44" s="452" t="s">
        <v>343</v>
      </c>
      <c r="L44" s="1252" t="s">
        <v>343</v>
      </c>
      <c r="M44" s="1102"/>
      <c r="N44" s="1102"/>
      <c r="O44" s="1102"/>
      <c r="P44" s="1102"/>
      <c r="Q44" s="1102"/>
      <c r="U44" s="2"/>
      <c r="V44" s="2"/>
      <c r="W44" s="2"/>
      <c r="X44" s="2"/>
      <c r="Y44" s="2"/>
      <c r="Z44" s="2"/>
      <c r="AA44" s="2"/>
      <c r="AB44" s="2"/>
      <c r="AC44" s="2"/>
      <c r="AD44" s="2"/>
      <c r="AE44" s="2"/>
      <c r="AF44" s="2"/>
      <c r="AG44" s="2"/>
      <c r="AH44" s="2"/>
      <c r="AI44" s="2"/>
      <c r="AJ44" s="2"/>
      <c r="AK44" s="2"/>
      <c r="AL44" s="2"/>
      <c r="AM44" s="2"/>
      <c r="AN44" s="2"/>
      <c r="AO44" s="2"/>
      <c r="AP44" s="2"/>
      <c r="AQ44" s="98"/>
      <c r="AR44" s="2"/>
    </row>
    <row r="45" spans="1:44" ht="12.75" customHeight="1">
      <c r="A45" s="107" t="s">
        <v>1540</v>
      </c>
      <c r="B45" s="2"/>
      <c r="C45" s="2240">
        <f>C42+C43</f>
        <v>-6.8690000000000015</v>
      </c>
      <c r="D45" s="2239">
        <f>D42+D43</f>
        <v>-33.323000000000036</v>
      </c>
      <c r="E45" s="932"/>
      <c r="F45" s="2236">
        <f>F42+F43</f>
        <v>26.454000000000029</v>
      </c>
      <c r="G45" s="1215">
        <f>G42+G43</f>
        <v>-1.7700681533401152</v>
      </c>
      <c r="H45" s="932"/>
      <c r="I45" s="3242">
        <v>11.868037982668509</v>
      </c>
      <c r="J45" s="932"/>
      <c r="K45" s="2236">
        <f>K42+K43</f>
        <v>-18.737037982668511</v>
      </c>
      <c r="L45" s="1215"/>
      <c r="N45" s="2"/>
      <c r="O45" s="2"/>
      <c r="P45" s="2"/>
      <c r="Q45" s="2"/>
      <c r="U45" s="105"/>
      <c r="V45" s="2"/>
      <c r="W45" s="2"/>
      <c r="X45" s="2"/>
      <c r="Y45" s="2"/>
      <c r="Z45" s="2"/>
      <c r="AA45" s="2"/>
      <c r="AB45" s="2"/>
      <c r="AC45" s="2"/>
      <c r="AD45" s="2"/>
      <c r="AE45" s="2"/>
      <c r="AF45" s="2"/>
      <c r="AG45" s="2"/>
      <c r="AH45" s="2"/>
      <c r="AI45" s="2"/>
      <c r="AJ45" s="2"/>
      <c r="AK45" s="2"/>
      <c r="AL45" s="2"/>
      <c r="AM45" s="2"/>
      <c r="AN45" s="2"/>
      <c r="AO45" s="2"/>
      <c r="AP45" s="2"/>
      <c r="AQ45" s="98"/>
      <c r="AR45" s="2"/>
    </row>
    <row r="46" spans="1:44" ht="12.75" customHeight="1">
      <c r="A46" s="2" t="s">
        <v>1562</v>
      </c>
      <c r="B46" s="2"/>
      <c r="C46" s="2031">
        <f>BYD!BJ87</f>
        <v>25.025000000000002</v>
      </c>
      <c r="D46" s="104">
        <f>BYD!BE87</f>
        <v>32.287000000000006</v>
      </c>
      <c r="E46" s="61"/>
      <c r="F46" s="61"/>
      <c r="G46" s="1141"/>
      <c r="H46" s="2"/>
      <c r="I46" s="3235">
        <v>4.3019999999999996</v>
      </c>
      <c r="J46" s="61"/>
      <c r="K46" s="61"/>
      <c r="L46" s="1216"/>
      <c r="N46" s="2"/>
      <c r="O46" s="2"/>
      <c r="P46" s="2"/>
      <c r="Q46" s="2"/>
      <c r="U46" s="2"/>
      <c r="V46" s="2"/>
      <c r="W46" s="2"/>
      <c r="X46" s="2"/>
      <c r="Y46" s="2"/>
      <c r="Z46" s="2"/>
      <c r="AA46" s="2"/>
      <c r="AB46" s="2"/>
      <c r="AC46" s="2"/>
      <c r="AD46" s="2"/>
      <c r="AE46" s="2"/>
      <c r="AF46" s="2"/>
      <c r="AG46" s="2"/>
      <c r="AH46" s="2"/>
      <c r="AI46" s="2"/>
      <c r="AJ46" s="2"/>
      <c r="AK46" s="2"/>
      <c r="AL46" s="2"/>
      <c r="AM46" s="2"/>
      <c r="AN46" s="2"/>
      <c r="AO46" s="2"/>
      <c r="AP46" s="2"/>
      <c r="AQ46" s="98"/>
      <c r="AR46" s="2"/>
    </row>
    <row r="47" spans="1:44" ht="12.75" customHeight="1">
      <c r="A47" s="147" t="s">
        <v>1747</v>
      </c>
      <c r="B47" s="160"/>
      <c r="C47" s="2244">
        <f>BYD!BJ88</f>
        <v>18.156000000000013</v>
      </c>
      <c r="D47" s="2243">
        <f>BYD!BE88</f>
        <v>-0.13599999999999568</v>
      </c>
      <c r="E47" s="1218"/>
      <c r="F47" s="2241">
        <f>C47-D47</f>
        <v>18.292000000000009</v>
      </c>
      <c r="G47" s="1219">
        <f>IF(D47=0,0,C47/D47-1)</f>
        <v>-134.50000000000435</v>
      </c>
      <c r="H47" s="1220"/>
      <c r="I47" s="3243">
        <v>16.24279034849944</v>
      </c>
      <c r="J47" s="1218"/>
      <c r="K47" s="2241">
        <f>C47-I47</f>
        <v>1.9132096515005728</v>
      </c>
      <c r="L47" s="1221">
        <f>C47/I47-1</f>
        <v>0.11778823776281278</v>
      </c>
      <c r="N47" s="2"/>
      <c r="O47" s="2"/>
      <c r="P47" s="2"/>
      <c r="Q47" s="2"/>
      <c r="U47" s="2"/>
      <c r="V47" s="2"/>
      <c r="W47" s="2"/>
      <c r="X47" s="2"/>
      <c r="Y47" s="2"/>
      <c r="Z47" s="2"/>
      <c r="AA47" s="2"/>
      <c r="AB47" s="2"/>
      <c r="AC47" s="2"/>
      <c r="AD47" s="2"/>
      <c r="AE47" s="2"/>
      <c r="AF47" s="2"/>
      <c r="AG47" s="2"/>
      <c r="AH47" s="2"/>
      <c r="AI47" s="2"/>
      <c r="AJ47" s="2"/>
      <c r="AK47" s="2"/>
      <c r="AL47" s="2"/>
      <c r="AM47" s="2"/>
      <c r="AN47" s="2"/>
      <c r="AO47" s="2"/>
      <c r="AP47" s="2"/>
      <c r="AQ47" s="98"/>
      <c r="AR47" s="2"/>
    </row>
    <row r="48" spans="1:44" ht="12.75" customHeight="1">
      <c r="A48" s="2"/>
      <c r="B48" s="2"/>
      <c r="C48" s="2034"/>
      <c r="D48" s="77"/>
      <c r="E48" s="61"/>
      <c r="F48" s="61"/>
      <c r="G48" s="1141"/>
      <c r="H48" s="2"/>
      <c r="I48" s="3237"/>
      <c r="J48" s="61"/>
      <c r="K48" s="61"/>
      <c r="L48" s="1216"/>
      <c r="N48" s="2"/>
      <c r="O48" s="2"/>
      <c r="P48" s="2"/>
      <c r="Q48" s="2"/>
      <c r="U48" s="2"/>
      <c r="V48" s="2"/>
      <c r="W48" s="2"/>
      <c r="X48" s="2"/>
      <c r="Y48" s="2"/>
      <c r="Z48" s="2"/>
      <c r="AA48" s="2"/>
      <c r="AB48" s="2"/>
      <c r="AC48" s="2"/>
      <c r="AD48" s="2"/>
      <c r="AE48" s="2"/>
      <c r="AF48" s="2"/>
      <c r="AG48" s="2"/>
      <c r="AH48" s="2"/>
      <c r="AI48" s="2"/>
      <c r="AJ48" s="2"/>
      <c r="AK48" s="2"/>
      <c r="AL48" s="2"/>
      <c r="AM48" s="2"/>
      <c r="AN48" s="2"/>
      <c r="AO48" s="2"/>
      <c r="AP48" s="2"/>
      <c r="AQ48" s="98"/>
      <c r="AR48" s="2"/>
    </row>
    <row r="49" spans="1:44" ht="12.75" customHeight="1">
      <c r="A49" s="138" t="s">
        <v>746</v>
      </c>
      <c r="B49" s="155"/>
      <c r="C49" s="2041">
        <f>+C47/C50</f>
        <v>0.15857738027652357</v>
      </c>
      <c r="D49" s="152">
        <f>+D47/D50</f>
        <v>-1.2324198927069349E-3</v>
      </c>
      <c r="E49" s="152"/>
      <c r="F49" s="152">
        <f>C49-D49</f>
        <v>0.15980980016923052</v>
      </c>
      <c r="G49" s="1208">
        <f>IF(D49=0,0,C49/D49-1)</f>
        <v>-129.67155197261386</v>
      </c>
      <c r="H49" s="155"/>
      <c r="I49" s="3244">
        <v>0.14326606702094324</v>
      </c>
      <c r="J49" s="152"/>
      <c r="K49" s="152">
        <f>C49-I49</f>
        <v>1.5311313255580328E-2</v>
      </c>
      <c r="L49" s="1211">
        <f>C49/I49-1</f>
        <v>0.10687327134723423</v>
      </c>
      <c r="N49" s="1256"/>
      <c r="O49" s="1256"/>
      <c r="P49" s="1256"/>
      <c r="Q49" s="1256"/>
      <c r="S49" s="1645"/>
      <c r="U49" s="2"/>
      <c r="V49" s="2"/>
      <c r="W49" s="2"/>
      <c r="X49" s="2"/>
      <c r="Y49" s="2"/>
      <c r="Z49" s="2"/>
      <c r="AA49" s="2"/>
      <c r="AB49" s="2"/>
      <c r="AC49" s="2"/>
      <c r="AD49" s="2"/>
      <c r="AE49" s="2"/>
      <c r="AF49" s="2"/>
      <c r="AG49" s="2"/>
      <c r="AH49" s="2"/>
      <c r="AI49" s="2"/>
      <c r="AJ49" s="2"/>
      <c r="AK49" s="2"/>
      <c r="AL49" s="2"/>
      <c r="AM49" s="2"/>
      <c r="AN49" s="2"/>
      <c r="AO49" s="2"/>
      <c r="AP49" s="2"/>
      <c r="AQ49" s="98"/>
      <c r="AR49" s="2"/>
    </row>
    <row r="50" spans="1:44" ht="12.75" customHeight="1">
      <c r="A50" s="2" t="s">
        <v>769</v>
      </c>
      <c r="B50" s="2"/>
      <c r="C50" s="2031">
        <f>BYD!BJ103</f>
        <v>114.49299999999999</v>
      </c>
      <c r="D50" s="104">
        <f>BYD!BE103</f>
        <v>110.352</v>
      </c>
      <c r="E50" s="1103"/>
      <c r="F50" s="374">
        <f>C50-D50</f>
        <v>4.1409999999999911</v>
      </c>
      <c r="G50" s="126">
        <f>IF(D50=0,0,C50/D50-1)</f>
        <v>3.7525373350732139E-2</v>
      </c>
      <c r="H50" s="2"/>
      <c r="I50" s="3235">
        <v>113.375</v>
      </c>
      <c r="J50" s="1103"/>
      <c r="K50" s="374">
        <f>C50-I50</f>
        <v>1.117999999999995</v>
      </c>
      <c r="L50" s="1204">
        <f>C50/I50-1</f>
        <v>9.8610804851158029E-3</v>
      </c>
      <c r="N50" s="2"/>
      <c r="O50" s="2"/>
      <c r="P50" s="2"/>
      <c r="Q50" s="2"/>
      <c r="U50" s="2"/>
      <c r="V50" s="2"/>
      <c r="W50" s="2"/>
      <c r="X50" s="2"/>
      <c r="Y50" s="2"/>
      <c r="Z50" s="2"/>
      <c r="AA50" s="2"/>
      <c r="AB50" s="2"/>
      <c r="AC50" s="2"/>
      <c r="AD50" s="2"/>
      <c r="AE50" s="2"/>
      <c r="AF50" s="2"/>
      <c r="AG50" s="2"/>
      <c r="AH50" s="2"/>
      <c r="AI50" s="2"/>
      <c r="AJ50" s="2"/>
      <c r="AK50" s="2"/>
      <c r="AL50" s="2"/>
      <c r="AM50" s="2"/>
      <c r="AN50" s="2"/>
      <c r="AO50" s="2"/>
      <c r="AP50" s="2"/>
      <c r="AQ50" s="98"/>
      <c r="AR50" s="2"/>
    </row>
    <row r="51" spans="1:44" ht="12.75" customHeight="1">
      <c r="A51" s="2"/>
      <c r="B51" s="2"/>
      <c r="C51" s="112"/>
      <c r="D51" s="77"/>
      <c r="E51" s="61"/>
      <c r="F51" s="2"/>
      <c r="G51" s="2"/>
      <c r="H51" s="2"/>
      <c r="I51" s="3245"/>
      <c r="J51" s="61"/>
      <c r="K51" s="61"/>
      <c r="L51" s="2"/>
      <c r="N51" s="2"/>
      <c r="O51" s="2"/>
      <c r="P51" s="2"/>
      <c r="Q51" s="2"/>
      <c r="U51" s="2"/>
      <c r="V51" s="2"/>
      <c r="W51" s="2"/>
      <c r="X51" s="2"/>
      <c r="Y51" s="2"/>
      <c r="Z51" s="2"/>
      <c r="AA51" s="2"/>
      <c r="AB51" s="2"/>
      <c r="AC51" s="2"/>
      <c r="AD51" s="2"/>
      <c r="AE51" s="2"/>
      <c r="AF51" s="2"/>
      <c r="AG51" s="2"/>
      <c r="AH51" s="2"/>
      <c r="AI51" s="2"/>
      <c r="AJ51" s="2"/>
      <c r="AK51" s="2"/>
      <c r="AL51" s="2"/>
      <c r="AM51" s="2"/>
      <c r="AN51" s="2"/>
      <c r="AO51" s="2"/>
      <c r="AP51" s="2"/>
      <c r="AQ51" s="98"/>
      <c r="AR51" s="2"/>
    </row>
    <row r="52" spans="1:44" ht="12.75" customHeight="1">
      <c r="A52" s="1222" t="s">
        <v>1483</v>
      </c>
      <c r="B52" s="1223"/>
      <c r="C52" s="1224">
        <f>C23/C14</f>
        <v>0.31220216925815497</v>
      </c>
      <c r="D52" s="1400">
        <f>D23/D14</f>
        <v>0.28638719325802542</v>
      </c>
      <c r="E52" s="1225"/>
      <c r="F52" s="1223"/>
      <c r="G52" s="1226">
        <f>(C52-D52)</f>
        <v>2.5814976000129553E-2</v>
      </c>
      <c r="H52" s="1223"/>
      <c r="I52" s="3246">
        <v>0.29859839908834812</v>
      </c>
      <c r="J52" s="1225"/>
      <c r="K52" s="1223"/>
      <c r="L52" s="1227">
        <f>(C52-I52)</f>
        <v>1.360377016980685E-2</v>
      </c>
      <c r="N52" s="2"/>
      <c r="O52" s="2"/>
      <c r="P52" s="2"/>
      <c r="Q52" s="2"/>
      <c r="U52" s="2"/>
      <c r="V52" s="2"/>
      <c r="W52" s="2"/>
      <c r="X52" s="2"/>
      <c r="Y52" s="2"/>
      <c r="Z52" s="2"/>
      <c r="AA52" s="2"/>
      <c r="AB52" s="2"/>
      <c r="AC52" s="2"/>
      <c r="AD52" s="2"/>
      <c r="AE52" s="2"/>
      <c r="AF52" s="2"/>
      <c r="AG52" s="2"/>
      <c r="AH52" s="2"/>
      <c r="AI52" s="2"/>
      <c r="AJ52" s="2"/>
      <c r="AK52" s="2"/>
      <c r="AL52" s="2"/>
      <c r="AM52" s="2"/>
      <c r="AN52" s="2"/>
      <c r="AO52" s="2"/>
      <c r="AP52" s="2"/>
      <c r="AQ52" s="98"/>
      <c r="AR52" s="2"/>
    </row>
    <row r="53" spans="1:44" ht="12.75" customHeight="1">
      <c r="A53" s="1239" t="s">
        <v>514</v>
      </c>
      <c r="B53" s="1228"/>
      <c r="C53" s="1229">
        <f t="shared" ref="C53:D56" si="12">C17/C8</f>
        <v>0.27715905511811023</v>
      </c>
      <c r="D53" s="1230">
        <f t="shared" si="12"/>
        <v>0.26202119526533624</v>
      </c>
      <c r="E53" s="1230"/>
      <c r="F53" s="1228"/>
      <c r="G53" s="1231">
        <f>(C53-D53)</f>
        <v>1.5137859852773994E-2</v>
      </c>
      <c r="H53" s="1228"/>
      <c r="I53" s="3247">
        <v>0.27287382474672844</v>
      </c>
      <c r="J53" s="1230"/>
      <c r="K53" s="1228"/>
      <c r="L53" s="1232">
        <f>(C53-I53)</f>
        <v>4.2852303713817874E-3</v>
      </c>
      <c r="M53" s="1404"/>
      <c r="N53" s="1647"/>
      <c r="O53" s="1647"/>
      <c r="P53" s="1647"/>
      <c r="Q53" s="1647"/>
      <c r="U53" s="2"/>
      <c r="V53" s="2"/>
      <c r="W53" s="2"/>
      <c r="X53" s="2"/>
      <c r="Y53" s="2"/>
      <c r="Z53" s="2"/>
      <c r="AA53" s="2"/>
      <c r="AB53" s="2"/>
      <c r="AC53" s="2"/>
      <c r="AD53" s="2"/>
      <c r="AE53" s="2"/>
      <c r="AF53" s="2"/>
      <c r="AG53" s="2"/>
      <c r="AH53" s="2"/>
      <c r="AI53" s="2"/>
      <c r="AJ53" s="2"/>
      <c r="AK53" s="2"/>
      <c r="AL53" s="2"/>
      <c r="AM53" s="2"/>
      <c r="AN53" s="2"/>
      <c r="AO53" s="2"/>
      <c r="AP53" s="2"/>
      <c r="AQ53" s="98"/>
      <c r="AR53" s="2"/>
    </row>
    <row r="54" spans="1:44" ht="12.75" customHeight="1">
      <c r="A54" s="1239" t="s">
        <v>515</v>
      </c>
      <c r="B54" s="1228"/>
      <c r="C54" s="1229">
        <f t="shared" si="12"/>
        <v>0.25910451583985655</v>
      </c>
      <c r="D54" s="1230">
        <f t="shared" si="12"/>
        <v>0.22002650517521935</v>
      </c>
      <c r="E54" s="1230"/>
      <c r="F54" s="1228"/>
      <c r="G54" s="1231">
        <f>(C54-D54)</f>
        <v>3.9078010664637203E-2</v>
      </c>
      <c r="H54" s="1228"/>
      <c r="I54" s="3247">
        <v>0.24274417978176638</v>
      </c>
      <c r="J54" s="1230"/>
      <c r="K54" s="1228"/>
      <c r="L54" s="1232">
        <f>(C54-I54)</f>
        <v>1.6360336058090175E-2</v>
      </c>
      <c r="M54" s="1403"/>
      <c r="N54" s="98"/>
      <c r="O54" s="98"/>
      <c r="P54" s="98"/>
      <c r="Q54" s="98"/>
      <c r="U54" s="2"/>
      <c r="V54" s="2"/>
      <c r="W54" s="2"/>
      <c r="X54" s="2"/>
      <c r="Y54" s="2"/>
      <c r="Z54" s="2"/>
      <c r="AA54" s="2"/>
      <c r="AB54" s="2"/>
      <c r="AC54" s="2"/>
      <c r="AD54" s="2"/>
      <c r="AE54" s="2"/>
      <c r="AF54" s="2"/>
      <c r="AG54" s="2"/>
      <c r="AH54" s="2"/>
      <c r="AI54" s="2"/>
      <c r="AJ54" s="2"/>
      <c r="AK54" s="2"/>
      <c r="AL54" s="2"/>
      <c r="AM54" s="2"/>
      <c r="AN54" s="2"/>
      <c r="AO54" s="2"/>
      <c r="AP54" s="2"/>
      <c r="AQ54" s="98"/>
      <c r="AR54" s="2"/>
    </row>
    <row r="55" spans="1:44" ht="12.75" customHeight="1">
      <c r="A55" s="1239" t="s">
        <v>516</v>
      </c>
      <c r="B55" s="1228"/>
      <c r="C55" s="1229">
        <f t="shared" si="12"/>
        <v>0.21569866681264213</v>
      </c>
      <c r="D55" s="1230">
        <f t="shared" si="12"/>
        <v>0.20042998925026875</v>
      </c>
      <c r="E55" s="1230"/>
      <c r="F55" s="1228"/>
      <c r="G55" s="1231">
        <f>(C55-D55)</f>
        <v>1.5268677562373378E-2</v>
      </c>
      <c r="H55" s="1228"/>
      <c r="I55" s="3247">
        <v>0.20605125064441149</v>
      </c>
      <c r="J55" s="1230"/>
      <c r="K55" s="1228"/>
      <c r="L55" s="1232">
        <f>(C55-I55)</f>
        <v>9.6474161682306436E-3</v>
      </c>
      <c r="M55" s="1403"/>
      <c r="N55" s="98"/>
      <c r="O55" s="98"/>
      <c r="P55" s="98"/>
      <c r="Q55" s="98"/>
      <c r="U55" s="2"/>
      <c r="V55" s="2"/>
      <c r="W55" s="2"/>
      <c r="X55" s="2"/>
      <c r="Y55" s="2"/>
      <c r="Z55" s="2"/>
      <c r="AA55" s="2"/>
      <c r="AB55" s="2"/>
      <c r="AC55" s="2"/>
      <c r="AD55" s="2"/>
      <c r="AE55" s="2"/>
      <c r="AF55" s="2"/>
      <c r="AG55" s="2"/>
      <c r="AH55" s="2"/>
      <c r="AI55" s="2"/>
      <c r="AJ55" s="2"/>
      <c r="AK55" s="2"/>
      <c r="AL55" s="2"/>
      <c r="AM55" s="2"/>
      <c r="AN55" s="2"/>
      <c r="AO55" s="2"/>
      <c r="AP55" s="2"/>
      <c r="AQ55" s="98"/>
      <c r="AR55" s="2"/>
    </row>
    <row r="56" spans="1:44" ht="12.75" customHeight="1">
      <c r="A56" s="3113" t="s">
        <v>517</v>
      </c>
      <c r="B56" s="1233"/>
      <c r="C56" s="1234">
        <f t="shared" si="12"/>
        <v>0.35651574999170182</v>
      </c>
      <c r="D56" s="1235">
        <f t="shared" si="12"/>
        <v>0.35063660631866073</v>
      </c>
      <c r="E56" s="1235"/>
      <c r="F56" s="1233"/>
      <c r="G56" s="1236">
        <f>(C56-D56)</f>
        <v>5.8791436730410984E-3</v>
      </c>
      <c r="H56" s="1233"/>
      <c r="I56" s="3248">
        <v>0.34458051951686985</v>
      </c>
      <c r="J56" s="1235"/>
      <c r="K56" s="1233"/>
      <c r="L56" s="1237">
        <f>(C56-I56)</f>
        <v>1.193523047483197E-2</v>
      </c>
      <c r="M56" s="1404"/>
      <c r="N56" s="105"/>
      <c r="O56" s="105"/>
      <c r="P56" s="105"/>
      <c r="Q56" s="105"/>
      <c r="U56" s="2"/>
      <c r="V56" s="2"/>
      <c r="W56" s="2"/>
      <c r="X56" s="2"/>
      <c r="Y56" s="2"/>
      <c r="Z56" s="2"/>
      <c r="AA56" s="2"/>
      <c r="AB56" s="2"/>
      <c r="AC56" s="2"/>
      <c r="AD56" s="2"/>
      <c r="AE56" s="2"/>
      <c r="AF56" s="2"/>
      <c r="AG56" s="2"/>
      <c r="AH56" s="2"/>
      <c r="AI56" s="2"/>
      <c r="AJ56" s="2"/>
      <c r="AK56" s="2"/>
      <c r="AL56" s="2"/>
      <c r="AM56" s="2"/>
      <c r="AN56" s="2"/>
      <c r="AO56" s="2"/>
      <c r="AP56" s="2"/>
      <c r="AQ56" s="98"/>
      <c r="AR56" s="2"/>
    </row>
    <row r="57" spans="1:44" ht="12.75" customHeight="1">
      <c r="A57" s="61"/>
      <c r="B57" s="61"/>
      <c r="C57" s="144"/>
      <c r="D57" s="77"/>
      <c r="E57" s="61"/>
      <c r="F57" s="61"/>
      <c r="G57" s="61"/>
      <c r="H57" s="61"/>
      <c r="I57" s="144"/>
      <c r="J57" s="61"/>
      <c r="K57" s="61"/>
      <c r="L57" s="61"/>
      <c r="M57" s="1404"/>
      <c r="N57" s="105"/>
      <c r="O57" s="105"/>
      <c r="P57" s="105"/>
      <c r="Q57" s="105"/>
      <c r="U57" s="2"/>
      <c r="V57" s="2"/>
      <c r="W57" s="2"/>
      <c r="X57" s="2"/>
      <c r="Y57" s="2"/>
      <c r="Z57" s="2"/>
      <c r="AA57" s="2"/>
      <c r="AB57" s="2"/>
      <c r="AC57" s="2"/>
      <c r="AD57" s="2"/>
      <c r="AE57" s="2"/>
      <c r="AF57" s="2"/>
      <c r="AG57" s="2"/>
      <c r="AH57" s="2"/>
      <c r="AI57" s="2"/>
      <c r="AJ57" s="2"/>
      <c r="AK57" s="2"/>
      <c r="AL57" s="2"/>
      <c r="AM57" s="2"/>
      <c r="AN57" s="2"/>
      <c r="AO57" s="2"/>
      <c r="AP57" s="2"/>
      <c r="AQ57" s="98"/>
      <c r="AR57" s="2"/>
    </row>
    <row r="58" spans="1:44" ht="12.75" customHeight="1">
      <c r="A58" s="61"/>
      <c r="B58" s="61"/>
      <c r="C58" s="374"/>
      <c r="D58" s="374"/>
      <c r="E58" s="61"/>
      <c r="F58" s="374"/>
      <c r="G58" s="95"/>
      <c r="H58" s="313"/>
      <c r="I58" s="376"/>
      <c r="J58" s="932"/>
      <c r="K58" s="374"/>
      <c r="L58" s="1204"/>
      <c r="N58" s="2"/>
      <c r="O58" s="2"/>
      <c r="P58" s="2"/>
      <c r="Q58" s="2"/>
      <c r="U58" s="1"/>
      <c r="V58" s="2"/>
      <c r="W58" s="1"/>
      <c r="X58" s="2"/>
      <c r="Y58" s="2"/>
      <c r="Z58" s="2"/>
      <c r="AA58" s="2"/>
      <c r="AB58" s="2"/>
      <c r="AC58" s="2"/>
      <c r="AD58" s="2"/>
      <c r="AE58" s="2"/>
      <c r="AF58" s="2"/>
      <c r="AG58" s="2"/>
      <c r="AH58" s="2"/>
      <c r="AI58" s="2"/>
      <c r="AJ58" s="2"/>
      <c r="AK58" s="2"/>
      <c r="AL58" s="2"/>
      <c r="AM58" s="2"/>
      <c r="AN58" s="2"/>
      <c r="AO58" s="2"/>
      <c r="AP58" s="2"/>
      <c r="AQ58" s="98"/>
      <c r="AR58" s="2"/>
    </row>
    <row r="59" spans="1:44" ht="12.75" customHeight="1">
      <c r="A59" s="743"/>
      <c r="B59" s="61"/>
      <c r="C59" s="1618"/>
      <c r="D59" s="1618"/>
      <c r="E59" s="61"/>
      <c r="F59" s="1618"/>
      <c r="G59" s="1433"/>
      <c r="H59" s="61"/>
      <c r="I59" s="1618"/>
      <c r="J59" s="1103"/>
      <c r="K59" s="452"/>
      <c r="L59" s="1252"/>
      <c r="M59" s="1404"/>
      <c r="N59" s="1404"/>
      <c r="O59" s="1404"/>
      <c r="P59" s="1404"/>
      <c r="Q59" s="1404"/>
      <c r="U59" s="105"/>
      <c r="V59" s="2"/>
      <c r="W59" s="105"/>
      <c r="X59" s="2"/>
      <c r="Y59" s="2"/>
      <c r="Z59" s="2"/>
      <c r="AA59" s="2"/>
      <c r="AB59" s="2"/>
      <c r="AC59" s="2"/>
      <c r="AD59" s="2"/>
      <c r="AE59" s="2"/>
      <c r="AF59" s="2"/>
      <c r="AG59" s="2"/>
      <c r="AH59" s="2"/>
      <c r="AI59" s="2"/>
      <c r="AJ59" s="2"/>
      <c r="AK59" s="2"/>
      <c r="AL59" s="2"/>
      <c r="AM59" s="2"/>
      <c r="AN59" s="2"/>
      <c r="AO59" s="2"/>
      <c r="AP59" s="2"/>
      <c r="AQ59" s="98"/>
      <c r="AR59" s="2"/>
    </row>
    <row r="60" spans="1:44" ht="12.75" customHeight="1">
      <c r="A60" s="1"/>
      <c r="B60" s="2"/>
      <c r="C60" s="1241"/>
      <c r="D60" s="1241"/>
      <c r="E60" s="61"/>
      <c r="F60" s="374"/>
      <c r="G60" s="95"/>
      <c r="H60" s="61"/>
      <c r="I60" s="1434"/>
      <c r="J60" s="1103"/>
      <c r="K60" s="1241"/>
      <c r="L60" s="1204"/>
      <c r="N60" s="1143"/>
      <c r="O60" s="1143"/>
      <c r="P60" s="1143"/>
      <c r="Q60" s="1143"/>
      <c r="AQ60" s="1403"/>
    </row>
    <row r="61" spans="1:44" ht="4.5" customHeight="1">
      <c r="A61" s="2"/>
      <c r="B61" s="2"/>
      <c r="C61" s="61"/>
      <c r="D61" s="77"/>
      <c r="E61" s="61"/>
      <c r="F61" s="61"/>
      <c r="G61" s="61"/>
      <c r="H61" s="61"/>
      <c r="I61" s="61"/>
      <c r="J61" s="2"/>
      <c r="K61" s="2"/>
      <c r="L61" s="2"/>
      <c r="N61" s="2"/>
      <c r="O61" s="2"/>
      <c r="P61" s="2"/>
      <c r="Q61" s="2"/>
      <c r="AQ61" s="1403"/>
    </row>
    <row r="62" spans="1:44" ht="6" customHeight="1">
      <c r="A62" s="2"/>
      <c r="B62" s="2"/>
      <c r="C62" s="2"/>
      <c r="D62" s="1062"/>
      <c r="E62" s="2"/>
      <c r="F62" s="2"/>
      <c r="G62" s="2"/>
      <c r="H62" s="2"/>
      <c r="I62" s="2"/>
      <c r="J62" s="2"/>
      <c r="K62" s="2"/>
      <c r="L62" s="2"/>
      <c r="N62" s="2"/>
      <c r="O62" s="2"/>
      <c r="P62" s="2"/>
      <c r="Q62" s="2"/>
      <c r="AQ62" s="1403"/>
    </row>
    <row r="63" spans="1:44" ht="12.75" customHeight="1">
      <c r="A63" s="2"/>
      <c r="B63" s="2"/>
      <c r="C63" s="2"/>
      <c r="D63" s="1648"/>
      <c r="E63" s="2"/>
      <c r="F63" s="2"/>
      <c r="G63" s="2"/>
      <c r="H63" s="2"/>
      <c r="I63" s="2"/>
      <c r="J63" s="2"/>
      <c r="K63" s="2"/>
      <c r="L63" s="2"/>
      <c r="N63" s="2"/>
      <c r="O63" s="2"/>
      <c r="P63" s="2"/>
      <c r="Q63" s="2"/>
      <c r="AQ63" s="1403"/>
    </row>
    <row r="64" spans="1:44" ht="12.75" customHeight="1">
      <c r="A64" s="2"/>
      <c r="B64" s="2"/>
      <c r="C64" s="2"/>
      <c r="D64" s="1062"/>
      <c r="E64" s="2"/>
      <c r="F64" s="2"/>
      <c r="G64" s="2"/>
      <c r="H64" s="2"/>
      <c r="I64" s="2"/>
      <c r="J64" s="2"/>
      <c r="K64" s="2"/>
      <c r="L64" s="2"/>
      <c r="N64" s="2"/>
      <c r="O64" s="2"/>
      <c r="P64" s="2"/>
      <c r="Q64" s="2"/>
      <c r="AQ64" s="1403"/>
    </row>
    <row r="65" spans="1:44" ht="12.75" customHeight="1">
      <c r="A65" s="2"/>
      <c r="B65" s="2"/>
      <c r="C65" s="2"/>
      <c r="D65" s="1062"/>
      <c r="E65" s="2"/>
      <c r="F65" s="2"/>
      <c r="G65" s="2"/>
      <c r="H65" s="2"/>
      <c r="I65" s="2"/>
      <c r="J65" s="2"/>
      <c r="K65" s="2"/>
      <c r="L65" s="2"/>
      <c r="N65" s="2"/>
      <c r="O65" s="2"/>
      <c r="P65" s="2"/>
      <c r="Q65" s="2"/>
      <c r="AQ65" s="1403"/>
    </row>
    <row r="66" spans="1:44" ht="12.75" customHeight="1">
      <c r="A66" s="2"/>
      <c r="B66" s="2"/>
      <c r="C66" s="2"/>
      <c r="D66" s="1062"/>
      <c r="E66" s="2"/>
      <c r="F66" s="2"/>
      <c r="G66" s="2"/>
      <c r="H66" s="2"/>
      <c r="I66" s="2"/>
      <c r="J66" s="2"/>
      <c r="K66" s="2"/>
      <c r="L66" s="2"/>
      <c r="N66" s="2"/>
      <c r="O66" s="2"/>
      <c r="P66" s="2"/>
      <c r="Q66" s="2"/>
      <c r="AQ66" s="1403"/>
    </row>
    <row r="67" spans="1:44" ht="12.75" customHeight="1">
      <c r="A67" s="2"/>
      <c r="B67" s="2"/>
      <c r="C67" s="2"/>
      <c r="D67" s="1062"/>
      <c r="E67" s="2"/>
      <c r="F67" s="2"/>
      <c r="G67" s="2"/>
      <c r="H67" s="2"/>
      <c r="I67" s="2"/>
      <c r="J67" s="2"/>
      <c r="K67" s="2"/>
      <c r="L67" s="2"/>
      <c r="N67" s="2"/>
      <c r="O67" s="2"/>
      <c r="P67" s="2"/>
      <c r="Q67" s="2"/>
      <c r="AQ67" s="1403"/>
    </row>
    <row r="68" spans="1:44" ht="12.75" customHeight="1">
      <c r="A68" s="2"/>
      <c r="B68" s="2"/>
      <c r="C68" s="2"/>
      <c r="D68" s="1062"/>
      <c r="E68" s="2"/>
      <c r="F68" s="2"/>
      <c r="G68" s="2"/>
      <c r="H68" s="2"/>
      <c r="I68" s="2"/>
      <c r="J68" s="2"/>
      <c r="K68" s="2"/>
      <c r="L68" s="2"/>
      <c r="M68" s="69" t="s">
        <v>318</v>
      </c>
      <c r="R68" s="2"/>
      <c r="S68" s="2"/>
      <c r="T68" s="2"/>
      <c r="AQ68" s="1403"/>
    </row>
    <row r="69" spans="1:44" ht="12.75" customHeight="1">
      <c r="A69" s="2"/>
      <c r="B69" s="2"/>
      <c r="C69" s="2"/>
      <c r="D69" s="1062"/>
      <c r="E69" s="2"/>
      <c r="F69" s="2"/>
      <c r="G69" s="2"/>
      <c r="H69" s="2"/>
      <c r="I69" s="2"/>
      <c r="J69" s="2"/>
      <c r="K69" s="2"/>
      <c r="L69" s="2"/>
      <c r="M69" s="2" t="s">
        <v>319</v>
      </c>
      <c r="N69" s="2" t="s">
        <v>320</v>
      </c>
      <c r="O69" s="2"/>
      <c r="P69" s="2"/>
      <c r="Q69" s="2"/>
      <c r="R69" s="2" t="s">
        <v>321</v>
      </c>
      <c r="S69" s="98">
        <v>62.5</v>
      </c>
      <c r="T69" s="98"/>
      <c r="AQ69" s="1403"/>
    </row>
    <row r="70" spans="1:44" ht="12.75" customHeight="1">
      <c r="A70" s="2"/>
      <c r="B70" s="2"/>
      <c r="C70" s="2"/>
      <c r="D70" s="1062"/>
      <c r="E70" s="2"/>
      <c r="F70" s="2"/>
      <c r="G70" s="2"/>
      <c r="H70" s="2"/>
      <c r="I70" s="2"/>
      <c r="J70" s="2"/>
      <c r="K70" s="2"/>
      <c r="L70" s="2"/>
      <c r="M70" s="2"/>
      <c r="N70" s="2" t="s">
        <v>322</v>
      </c>
      <c r="O70" s="2"/>
      <c r="P70" s="2"/>
      <c r="Q70" s="2"/>
      <c r="R70" s="2" t="s">
        <v>321</v>
      </c>
      <c r="S70" s="98">
        <v>87.5</v>
      </c>
      <c r="T70" s="98"/>
      <c r="AQ70" s="1403"/>
    </row>
    <row r="71" spans="1:44" ht="12.75" customHeight="1">
      <c r="A71" s="2"/>
      <c r="B71" s="2"/>
      <c r="C71" s="2"/>
      <c r="D71" s="1062"/>
      <c r="E71" s="2"/>
      <c r="F71" s="2"/>
      <c r="G71" s="2"/>
      <c r="H71" s="2"/>
      <c r="I71" s="2"/>
      <c r="J71" s="2"/>
      <c r="K71" s="2"/>
      <c r="L71" s="2"/>
      <c r="M71" s="2"/>
      <c r="N71" s="2" t="s">
        <v>323</v>
      </c>
      <c r="O71" s="2"/>
      <c r="P71" s="2"/>
      <c r="Q71" s="2"/>
      <c r="R71" s="2" t="s">
        <v>321</v>
      </c>
      <c r="S71" s="98">
        <v>100</v>
      </c>
      <c r="T71" s="98"/>
      <c r="AQ71" s="1403"/>
    </row>
    <row r="72" spans="1:44" ht="12.75" customHeight="1">
      <c r="A72" s="2"/>
      <c r="B72" s="2"/>
      <c r="C72" s="2"/>
      <c r="D72" s="1062"/>
      <c r="E72" s="2"/>
      <c r="F72" s="2"/>
      <c r="G72" s="2"/>
      <c r="H72" s="2"/>
      <c r="I72" s="2"/>
      <c r="J72" s="2"/>
      <c r="K72" s="2"/>
      <c r="L72" s="2"/>
      <c r="M72" s="2"/>
      <c r="N72" s="2" t="s">
        <v>324</v>
      </c>
      <c r="O72" s="2"/>
      <c r="P72" s="2"/>
      <c r="Q72" s="2"/>
      <c r="R72" s="2" t="s">
        <v>321</v>
      </c>
      <c r="S72" s="98">
        <v>112.5</v>
      </c>
      <c r="T72" s="98"/>
      <c r="AQ72" s="1403"/>
    </row>
    <row r="73" spans="1:44" ht="12.75" customHeight="1">
      <c r="A73" s="2"/>
      <c r="B73" s="2"/>
      <c r="C73" s="2"/>
      <c r="D73" s="1062"/>
      <c r="E73" s="2"/>
      <c r="F73" s="2"/>
      <c r="G73" s="2"/>
      <c r="H73" s="2"/>
      <c r="I73" s="2"/>
      <c r="J73" s="2"/>
      <c r="K73" s="2"/>
      <c r="L73" s="2"/>
      <c r="M73" s="2"/>
      <c r="N73" s="2" t="s">
        <v>325</v>
      </c>
      <c r="O73" s="2"/>
      <c r="P73" s="2"/>
      <c r="Q73" s="2"/>
      <c r="R73" s="2" t="s">
        <v>321</v>
      </c>
      <c r="S73" s="98">
        <v>137.5</v>
      </c>
      <c r="T73" s="98"/>
      <c r="AQ73" s="1403"/>
    </row>
    <row r="74" spans="1:44" ht="12.75" customHeight="1">
      <c r="A74" s="2"/>
      <c r="B74" s="2"/>
      <c r="C74" s="2"/>
      <c r="D74" s="1062"/>
      <c r="E74" s="2"/>
      <c r="F74" s="2"/>
      <c r="G74" s="2"/>
      <c r="H74" s="2"/>
      <c r="I74" s="2"/>
      <c r="J74" s="2"/>
      <c r="K74" s="2"/>
      <c r="L74" s="2"/>
      <c r="M74" s="2"/>
      <c r="N74" s="2" t="s">
        <v>326</v>
      </c>
      <c r="O74" s="2"/>
      <c r="P74" s="2"/>
      <c r="Q74" s="2"/>
      <c r="R74" s="2" t="s">
        <v>321</v>
      </c>
      <c r="S74" s="98">
        <v>162.5</v>
      </c>
      <c r="T74" s="98"/>
      <c r="AQ74" s="1403"/>
    </row>
    <row r="75" spans="1:44" ht="12.75" customHeight="1">
      <c r="A75" s="2"/>
      <c r="B75" s="2"/>
      <c r="C75" s="2"/>
      <c r="D75" s="1062"/>
      <c r="E75" s="2"/>
      <c r="F75" s="2"/>
      <c r="G75" s="2"/>
      <c r="H75" s="2"/>
      <c r="I75" s="2"/>
      <c r="J75" s="2"/>
      <c r="K75" s="2"/>
      <c r="L75" s="2"/>
      <c r="N75" s="2"/>
      <c r="O75" s="2"/>
      <c r="P75" s="2"/>
      <c r="Q75" s="2"/>
      <c r="U75" s="2"/>
      <c r="V75" s="2"/>
      <c r="W75" s="2"/>
      <c r="X75" s="2"/>
      <c r="Y75" s="2"/>
      <c r="Z75" s="2"/>
      <c r="AA75" s="2"/>
      <c r="AB75" s="2"/>
      <c r="AC75" s="2"/>
      <c r="AD75" s="2"/>
      <c r="AE75" s="2"/>
      <c r="AF75" s="2"/>
      <c r="AG75" s="2"/>
      <c r="AH75" s="2"/>
      <c r="AI75" s="2"/>
      <c r="AJ75" s="2"/>
      <c r="AK75" s="2"/>
      <c r="AL75" s="2"/>
      <c r="AM75" s="2"/>
      <c r="AN75" s="2"/>
      <c r="AO75" s="2"/>
      <c r="AP75" s="2"/>
      <c r="AQ75" s="98"/>
      <c r="AR75" s="2"/>
    </row>
    <row r="76" spans="1:44" ht="12.75" customHeight="1">
      <c r="A76" s="2"/>
      <c r="B76" s="2"/>
      <c r="C76" s="2"/>
      <c r="D76" s="1062"/>
      <c r="E76" s="2"/>
      <c r="F76" s="2"/>
      <c r="G76" s="2"/>
      <c r="H76" s="2"/>
      <c r="I76" s="2"/>
      <c r="J76" s="2"/>
      <c r="K76" s="2"/>
      <c r="L76" s="2"/>
      <c r="N76" s="2"/>
      <c r="O76" s="2"/>
      <c r="P76" s="2"/>
      <c r="Q76" s="2"/>
      <c r="U76" s="2"/>
      <c r="V76" s="2"/>
      <c r="W76" s="2"/>
      <c r="X76" s="2"/>
      <c r="Y76" s="2"/>
      <c r="Z76" s="2"/>
      <c r="AA76" s="2"/>
      <c r="AB76" s="2"/>
      <c r="AC76" s="2"/>
      <c r="AD76" s="2"/>
      <c r="AE76" s="2"/>
      <c r="AF76" s="2"/>
      <c r="AG76" s="2"/>
      <c r="AH76" s="2"/>
      <c r="AI76" s="2"/>
      <c r="AJ76" s="2"/>
      <c r="AK76" s="2"/>
      <c r="AL76" s="2"/>
      <c r="AM76" s="2"/>
      <c r="AN76" s="2"/>
      <c r="AO76" s="2"/>
      <c r="AP76" s="2"/>
      <c r="AQ76" s="98"/>
      <c r="AR76" s="2"/>
    </row>
    <row r="77" spans="1:44" ht="12.75" customHeight="1">
      <c r="A77" s="2"/>
      <c r="B77" s="2"/>
      <c r="C77" s="2"/>
      <c r="D77" s="1062"/>
      <c r="E77" s="2"/>
      <c r="F77" s="2"/>
      <c r="G77" s="2"/>
      <c r="H77" s="2"/>
      <c r="I77" s="2"/>
      <c r="J77" s="2"/>
      <c r="K77" s="2"/>
      <c r="L77" s="2"/>
      <c r="N77" s="2"/>
      <c r="O77" s="2"/>
      <c r="P77" s="2"/>
      <c r="Q77" s="2"/>
      <c r="U77" s="1" t="s">
        <v>1140</v>
      </c>
      <c r="V77" s="1"/>
      <c r="W77" s="2"/>
      <c r="X77" s="2"/>
      <c r="Y77" s="2"/>
      <c r="Z77" s="2"/>
      <c r="AA77" s="2"/>
      <c r="AB77" s="2"/>
      <c r="AC77" s="2"/>
      <c r="AD77" s="2"/>
      <c r="AE77" s="2"/>
      <c r="AF77" s="2"/>
      <c r="AG77" s="2"/>
      <c r="AH77" s="2"/>
      <c r="AI77" s="2"/>
      <c r="AJ77" s="2"/>
      <c r="AK77" s="2"/>
      <c r="AL77" s="2"/>
      <c r="AM77" s="2"/>
      <c r="AN77" s="2"/>
      <c r="AO77" s="2"/>
      <c r="AP77" s="2"/>
      <c r="AQ77" s="98"/>
      <c r="AR77" s="2"/>
    </row>
    <row r="78" spans="1:44" ht="12.75" customHeight="1">
      <c r="A78" s="2"/>
      <c r="B78" s="2"/>
      <c r="C78" s="2"/>
      <c r="D78" s="1062"/>
      <c r="E78" s="2"/>
      <c r="F78" s="2"/>
      <c r="G78" s="2"/>
      <c r="H78" s="2"/>
      <c r="I78" s="2"/>
      <c r="J78" s="2"/>
      <c r="K78" s="2"/>
      <c r="L78" s="2"/>
      <c r="N78" s="2"/>
      <c r="O78" s="2"/>
      <c r="P78" s="2"/>
      <c r="Q78" s="2"/>
      <c r="U78" s="1"/>
      <c r="V78" s="1"/>
      <c r="W78" s="2"/>
      <c r="X78" s="2"/>
      <c r="Y78" s="2"/>
      <c r="Z78" s="2"/>
      <c r="AA78" s="2"/>
      <c r="AB78" s="2"/>
      <c r="AC78" s="2"/>
      <c r="AD78" s="2"/>
      <c r="AE78" s="2"/>
      <c r="AF78" s="2"/>
      <c r="AG78" s="2"/>
      <c r="AH78" s="2"/>
      <c r="AI78" s="2"/>
      <c r="AJ78" s="2"/>
      <c r="AK78" s="2"/>
      <c r="AL78" s="2"/>
      <c r="AM78" s="2"/>
      <c r="AN78" s="2"/>
      <c r="AO78" s="2"/>
      <c r="AP78" s="2"/>
      <c r="AQ78" s="98"/>
      <c r="AR78" s="2"/>
    </row>
    <row r="79" spans="1:44" ht="12.75" customHeight="1">
      <c r="A79" s="2"/>
      <c r="B79" s="2"/>
      <c r="C79" s="2"/>
      <c r="D79" s="1062"/>
      <c r="E79" s="2"/>
      <c r="F79" s="2"/>
      <c r="G79" s="2"/>
      <c r="H79" s="2"/>
      <c r="I79" s="2"/>
      <c r="J79" s="2"/>
      <c r="K79" s="2"/>
      <c r="L79" s="2"/>
      <c r="N79" s="2"/>
      <c r="O79" s="2"/>
      <c r="P79" s="2"/>
      <c r="Q79" s="2"/>
      <c r="U79" s="2" t="s">
        <v>1144</v>
      </c>
      <c r="V79" s="2"/>
      <c r="W79" s="2"/>
      <c r="X79" s="2"/>
      <c r="Y79" s="2"/>
      <c r="Z79" s="2"/>
      <c r="AA79" s="2"/>
      <c r="AB79" s="2"/>
      <c r="AC79" s="2"/>
      <c r="AD79" s="2"/>
      <c r="AE79" s="2"/>
      <c r="AF79" s="2"/>
      <c r="AG79" s="2"/>
      <c r="AH79" s="2"/>
      <c r="AI79" s="2"/>
      <c r="AJ79" s="2"/>
      <c r="AK79" s="2"/>
      <c r="AL79" s="2"/>
      <c r="AM79" s="2"/>
      <c r="AN79" s="2"/>
      <c r="AO79" s="2"/>
      <c r="AP79" s="2"/>
      <c r="AQ79" s="98"/>
      <c r="AR79" s="2"/>
    </row>
    <row r="80" spans="1:44" ht="12.75" customHeight="1">
      <c r="A80" s="2"/>
      <c r="B80" s="2"/>
      <c r="C80" s="2"/>
      <c r="D80" s="1062"/>
      <c r="E80" s="2"/>
      <c r="F80" s="2"/>
      <c r="G80" s="2"/>
      <c r="H80" s="2"/>
      <c r="I80" s="2"/>
      <c r="J80" s="2"/>
      <c r="K80" s="2"/>
      <c r="L80" s="2"/>
      <c r="N80" s="2"/>
      <c r="O80" s="2"/>
      <c r="P80" s="2"/>
      <c r="Q80" s="2"/>
      <c r="U80" s="2"/>
      <c r="V80" s="2"/>
      <c r="W80" s="2"/>
      <c r="X80" s="2"/>
      <c r="Y80" s="2"/>
      <c r="Z80" s="2"/>
      <c r="AA80" s="2"/>
      <c r="AB80" s="2"/>
      <c r="AC80" s="2"/>
      <c r="AD80" s="2"/>
      <c r="AE80" s="2"/>
      <c r="AF80" s="2"/>
      <c r="AG80" s="2"/>
      <c r="AH80" s="2"/>
      <c r="AI80" s="2"/>
      <c r="AJ80" s="2"/>
      <c r="AK80" s="2"/>
      <c r="AL80" s="2"/>
      <c r="AM80" s="2"/>
      <c r="AN80" s="2"/>
      <c r="AO80" s="2"/>
      <c r="AP80" s="2"/>
      <c r="AQ80" s="98"/>
      <c r="AR80" s="2"/>
    </row>
    <row r="81" spans="1:44" ht="12.75" customHeight="1">
      <c r="A81" s="2"/>
      <c r="B81" s="2"/>
      <c r="C81" s="2"/>
      <c r="D81" s="1062"/>
      <c r="E81" s="2"/>
      <c r="F81" s="2"/>
      <c r="G81" s="2"/>
      <c r="H81" s="2"/>
      <c r="I81" s="2"/>
      <c r="J81" s="2"/>
      <c r="K81" s="2"/>
      <c r="L81" s="2"/>
      <c r="N81" s="2"/>
      <c r="O81" s="2"/>
      <c r="P81" s="2"/>
      <c r="Q81" s="2"/>
      <c r="U81" s="2"/>
      <c r="V81" s="2"/>
      <c r="W81" s="1197" t="s">
        <v>55</v>
      </c>
      <c r="X81" s="1197"/>
      <c r="Y81" s="1197"/>
      <c r="Z81" s="1196"/>
      <c r="AA81" s="1196"/>
      <c r="AB81" s="2"/>
      <c r="AC81" s="2"/>
      <c r="AD81" s="2"/>
      <c r="AE81" s="2"/>
      <c r="AF81" s="2"/>
      <c r="AG81" s="2"/>
      <c r="AH81" s="2"/>
      <c r="AI81" s="2"/>
      <c r="AJ81" s="2"/>
      <c r="AK81" s="2"/>
      <c r="AL81" s="2"/>
      <c r="AM81" s="2"/>
      <c r="AN81" s="2"/>
      <c r="AO81" s="2"/>
      <c r="AP81" s="2"/>
      <c r="AQ81" s="98"/>
      <c r="AR81" s="2"/>
    </row>
    <row r="82" spans="1:44" ht="12.75" customHeight="1">
      <c r="A82" s="2"/>
      <c r="B82" s="2"/>
      <c r="C82" s="2"/>
      <c r="D82" s="1062"/>
      <c r="E82" s="2"/>
      <c r="F82" s="2"/>
      <c r="G82" s="2"/>
      <c r="H82" s="2"/>
      <c r="I82" s="2"/>
      <c r="J82" s="2"/>
      <c r="K82" s="2"/>
      <c r="L82" s="2"/>
      <c r="N82" s="2"/>
      <c r="O82" s="2"/>
      <c r="P82" s="2"/>
      <c r="Q82" s="2"/>
      <c r="U82" s="69"/>
      <c r="V82" s="69"/>
      <c r="W82" s="1289" t="s">
        <v>1142</v>
      </c>
      <c r="X82" s="1289"/>
      <c r="Y82" s="1289" t="s">
        <v>1143</v>
      </c>
      <c r="Z82" s="1289"/>
      <c r="AA82" s="1289" t="s">
        <v>829</v>
      </c>
      <c r="AB82" s="2"/>
      <c r="AC82" s="2"/>
      <c r="AD82" s="2"/>
      <c r="AE82" s="2"/>
      <c r="AF82" s="2"/>
      <c r="AG82" s="2"/>
      <c r="AH82" s="2"/>
      <c r="AI82" s="2"/>
      <c r="AJ82" s="2"/>
      <c r="AK82" s="2"/>
      <c r="AL82" s="2"/>
      <c r="AM82" s="2"/>
      <c r="AN82" s="2"/>
      <c r="AO82" s="2"/>
      <c r="AP82" s="2"/>
      <c r="AQ82" s="98"/>
      <c r="AR82" s="2"/>
    </row>
    <row r="83" spans="1:44" ht="12.75" customHeight="1">
      <c r="A83" s="2"/>
      <c r="B83" s="2"/>
      <c r="C83" s="2"/>
      <c r="D83" s="1062"/>
      <c r="E83" s="2"/>
      <c r="F83" s="2"/>
      <c r="G83" s="2"/>
      <c r="H83" s="2"/>
      <c r="I83" s="2"/>
      <c r="J83" s="2"/>
      <c r="K83" s="2"/>
      <c r="L83" s="2"/>
      <c r="N83" s="2"/>
      <c r="O83" s="2"/>
      <c r="P83" s="2"/>
      <c r="Q83" s="2"/>
      <c r="U83" s="2" t="s">
        <v>935</v>
      </c>
      <c r="V83" s="2"/>
      <c r="W83" s="1102"/>
      <c r="X83" s="98"/>
      <c r="Y83" s="1102"/>
      <c r="Z83" s="98"/>
      <c r="AA83" s="105"/>
      <c r="AB83" s="2"/>
      <c r="AC83" s="2"/>
      <c r="AD83" s="2"/>
      <c r="AE83" s="2"/>
      <c r="AF83" s="2"/>
      <c r="AG83" s="2"/>
      <c r="AH83" s="2"/>
      <c r="AI83" s="2"/>
      <c r="AJ83" s="2"/>
      <c r="AK83" s="2"/>
      <c r="AL83" s="2"/>
      <c r="AM83" s="2"/>
      <c r="AN83" s="2"/>
      <c r="AO83" s="2"/>
      <c r="AP83" s="2"/>
      <c r="AQ83" s="98"/>
      <c r="AR83" s="2"/>
    </row>
    <row r="84" spans="1:44" ht="12.75" customHeight="1">
      <c r="A84" s="2"/>
      <c r="B84" s="2"/>
      <c r="C84" s="2"/>
      <c r="D84" s="1062"/>
      <c r="E84" s="2"/>
      <c r="F84" s="2"/>
      <c r="G84" s="2"/>
      <c r="H84" s="2"/>
      <c r="I84" s="2"/>
      <c r="J84" s="2"/>
      <c r="K84" s="2"/>
      <c r="L84" s="2"/>
      <c r="N84" s="2"/>
      <c r="O84" s="2"/>
      <c r="P84" s="2"/>
      <c r="Q84" s="2"/>
      <c r="U84" s="2" t="s">
        <v>1141</v>
      </c>
      <c r="V84" s="2"/>
      <c r="W84" s="1102"/>
      <c r="X84" s="98"/>
      <c r="Y84" s="1102"/>
      <c r="Z84" s="98"/>
      <c r="AA84" s="105"/>
      <c r="AB84" s="2"/>
      <c r="AC84" s="2"/>
      <c r="AD84" s="2"/>
      <c r="AE84" s="2"/>
      <c r="AF84" s="2"/>
      <c r="AG84" s="2"/>
      <c r="AH84" s="2"/>
      <c r="AI84" s="2"/>
      <c r="AJ84" s="2"/>
      <c r="AK84" s="2"/>
      <c r="AL84" s="2"/>
      <c r="AM84" s="2"/>
      <c r="AN84" s="2"/>
      <c r="AO84" s="2"/>
      <c r="AP84" s="2"/>
      <c r="AQ84" s="98"/>
      <c r="AR84" s="2"/>
    </row>
    <row r="85" spans="1:44" ht="12.75" customHeight="1">
      <c r="A85" s="2"/>
      <c r="B85" s="2"/>
      <c r="C85" s="2"/>
      <c r="D85" s="1062"/>
      <c r="E85" s="2"/>
      <c r="F85" s="2"/>
      <c r="G85" s="2"/>
      <c r="H85" s="2"/>
      <c r="I85" s="2"/>
      <c r="J85" s="2"/>
      <c r="K85" s="2"/>
      <c r="L85" s="2"/>
      <c r="N85" s="2"/>
      <c r="O85" s="2"/>
      <c r="P85" s="2"/>
      <c r="Q85" s="2"/>
      <c r="U85" s="2" t="s">
        <v>200</v>
      </c>
      <c r="V85" s="2"/>
      <c r="W85" s="1401"/>
      <c r="X85" s="1336"/>
      <c r="Y85" s="1401"/>
      <c r="Z85" s="1336"/>
      <c r="AA85" s="105"/>
      <c r="AB85" s="2"/>
      <c r="AC85" s="2"/>
      <c r="AD85" s="2"/>
      <c r="AE85" s="2"/>
      <c r="AF85" s="2"/>
      <c r="AG85" s="2"/>
      <c r="AH85" s="2"/>
      <c r="AI85" s="2"/>
      <c r="AJ85" s="2"/>
      <c r="AK85" s="2"/>
      <c r="AL85" s="2"/>
      <c r="AM85" s="2"/>
      <c r="AN85" s="2"/>
      <c r="AO85" s="2"/>
      <c r="AP85" s="2"/>
      <c r="AQ85" s="98"/>
      <c r="AR85" s="2"/>
    </row>
    <row r="86" spans="1:44" ht="12.75" customHeight="1">
      <c r="A86" s="2"/>
      <c r="B86" s="2"/>
      <c r="C86" s="2"/>
      <c r="D86" s="1062"/>
      <c r="E86" s="2"/>
      <c r="F86" s="2"/>
      <c r="G86" s="2"/>
      <c r="H86" s="2"/>
      <c r="I86" s="2"/>
      <c r="J86" s="2"/>
      <c r="K86" s="2"/>
      <c r="L86" s="2"/>
      <c r="N86" s="2"/>
      <c r="O86" s="2"/>
      <c r="P86" s="2"/>
      <c r="Q86" s="2"/>
      <c r="U86" s="2"/>
      <c r="V86" s="2"/>
      <c r="W86" s="2"/>
      <c r="X86" s="2"/>
      <c r="Y86" s="2"/>
      <c r="Z86" s="2"/>
      <c r="AA86" s="2"/>
      <c r="AB86" s="2"/>
      <c r="AC86" s="2"/>
      <c r="AD86" s="2"/>
      <c r="AE86" s="2"/>
      <c r="AF86" s="2"/>
      <c r="AG86" s="2"/>
      <c r="AH86" s="2"/>
      <c r="AI86" s="2"/>
      <c r="AJ86" s="2"/>
      <c r="AK86" s="2"/>
      <c r="AL86" s="2"/>
      <c r="AM86" s="2"/>
      <c r="AN86" s="2"/>
      <c r="AO86" s="2"/>
      <c r="AP86" s="2"/>
      <c r="AQ86" s="98"/>
      <c r="AR86" s="2"/>
    </row>
    <row r="87" spans="1:44" ht="12.75" customHeight="1">
      <c r="A87" s="2"/>
      <c r="B87" s="2"/>
      <c r="C87" s="2"/>
      <c r="D87" s="1062"/>
      <c r="E87" s="2"/>
      <c r="F87" s="2"/>
      <c r="G87" s="2"/>
      <c r="H87" s="2"/>
      <c r="I87" s="2"/>
      <c r="J87" s="2"/>
      <c r="K87" s="2"/>
      <c r="L87" s="2"/>
      <c r="N87" s="2"/>
      <c r="O87" s="2"/>
      <c r="P87" s="2"/>
      <c r="Q87" s="2"/>
      <c r="U87" s="2"/>
      <c r="V87" s="2"/>
      <c r="W87" s="2"/>
      <c r="X87" s="2"/>
      <c r="Y87" s="2"/>
      <c r="Z87" s="2"/>
      <c r="AA87" s="2"/>
      <c r="AB87" s="2"/>
      <c r="AC87" s="1" t="s">
        <v>1650</v>
      </c>
      <c r="AD87" s="2"/>
      <c r="AE87" s="2"/>
      <c r="AF87" s="2"/>
      <c r="AG87" s="2"/>
      <c r="AH87" s="105"/>
      <c r="AI87" s="2"/>
      <c r="AJ87" s="2"/>
      <c r="AK87" s="2"/>
      <c r="AL87" s="2"/>
      <c r="AM87" s="2"/>
      <c r="AN87" s="2"/>
      <c r="AO87" s="2"/>
      <c r="AP87" s="2"/>
      <c r="AQ87" s="98"/>
      <c r="AR87" s="2"/>
    </row>
    <row r="88" spans="1:44" ht="12.75" customHeight="1">
      <c r="A88" s="2"/>
      <c r="B88" s="2"/>
      <c r="C88" s="2"/>
      <c r="D88" s="1062"/>
      <c r="E88" s="2"/>
      <c r="F88" s="2"/>
      <c r="G88" s="2"/>
      <c r="H88" s="2"/>
      <c r="I88" s="2"/>
      <c r="J88" s="2"/>
      <c r="K88" s="2"/>
      <c r="L88" s="2"/>
      <c r="N88" s="2"/>
      <c r="O88" s="2"/>
      <c r="P88" s="2"/>
      <c r="Q88" s="2"/>
      <c r="U88" s="2"/>
      <c r="V88" s="2"/>
      <c r="W88" s="2"/>
      <c r="X88" s="2"/>
      <c r="Y88" s="2"/>
      <c r="Z88" s="2"/>
      <c r="AA88" s="2"/>
      <c r="AB88" s="2"/>
      <c r="AC88" s="2"/>
      <c r="AD88" s="2"/>
      <c r="AE88" s="2"/>
      <c r="AF88" s="2"/>
      <c r="AG88" s="2"/>
      <c r="AH88" s="105"/>
      <c r="AI88" s="2"/>
      <c r="AJ88" s="2"/>
      <c r="AK88" s="2"/>
      <c r="AL88" s="2"/>
      <c r="AM88" s="2"/>
      <c r="AN88" s="2"/>
      <c r="AO88" s="2"/>
      <c r="AP88" s="2"/>
      <c r="AQ88" s="98"/>
      <c r="AR88" s="2"/>
    </row>
    <row r="89" spans="1:44" ht="12.75" customHeight="1">
      <c r="A89" s="2"/>
      <c r="B89" s="2"/>
      <c r="C89" s="2"/>
      <c r="D89" s="1062"/>
      <c r="E89" s="2"/>
      <c r="F89" s="2"/>
      <c r="G89" s="2"/>
      <c r="H89" s="2"/>
      <c r="I89" s="2"/>
      <c r="J89" s="2"/>
      <c r="K89" s="2"/>
      <c r="L89" s="2"/>
      <c r="N89" s="2"/>
      <c r="O89" s="2"/>
      <c r="P89" s="2"/>
      <c r="Q89" s="2"/>
      <c r="U89" s="2"/>
      <c r="V89" s="2"/>
      <c r="W89" s="2"/>
      <c r="X89" s="2"/>
      <c r="Y89" s="2"/>
      <c r="Z89" s="2"/>
      <c r="AA89" s="2"/>
      <c r="AB89" s="2"/>
      <c r="AC89" s="2"/>
      <c r="AD89" s="1432" t="s">
        <v>406</v>
      </c>
      <c r="AE89" s="1432"/>
      <c r="AF89" s="1432" t="s">
        <v>1649</v>
      </c>
      <c r="AG89" s="1432"/>
      <c r="AH89" s="1432">
        <v>2013</v>
      </c>
      <c r="AI89" s="2"/>
      <c r="AJ89" s="2"/>
      <c r="AK89" s="2"/>
      <c r="AL89" s="2"/>
      <c r="AM89" s="2"/>
      <c r="AN89" s="2"/>
      <c r="AO89" s="2"/>
      <c r="AP89" s="2"/>
      <c r="AQ89" s="98"/>
      <c r="AR89" s="2"/>
    </row>
    <row r="90" spans="1:44" ht="12.75" customHeight="1">
      <c r="A90" s="98"/>
      <c r="B90" s="98"/>
      <c r="C90" s="98"/>
      <c r="D90" s="1092"/>
      <c r="E90" s="98"/>
      <c r="F90" s="98"/>
      <c r="G90" s="98"/>
      <c r="H90" s="98"/>
      <c r="I90" s="98"/>
      <c r="J90" s="98"/>
      <c r="K90" s="98"/>
      <c r="L90" s="98"/>
      <c r="M90" s="1403"/>
      <c r="N90" s="98"/>
      <c r="O90" s="98"/>
      <c r="P90" s="98"/>
      <c r="Q90" s="98"/>
      <c r="R90" s="1403"/>
      <c r="S90" s="1403"/>
      <c r="T90" s="1403"/>
      <c r="U90" s="98"/>
      <c r="V90" s="98"/>
      <c r="W90" s="98"/>
      <c r="X90" s="98"/>
      <c r="Y90" s="98"/>
      <c r="Z90" s="98"/>
      <c r="AA90" s="98"/>
      <c r="AB90" s="98"/>
      <c r="AC90" s="98" t="s">
        <v>1719</v>
      </c>
      <c r="AD90" s="1423">
        <v>744.21</v>
      </c>
      <c r="AE90" s="1082"/>
      <c r="AF90" s="1423">
        <v>752.81</v>
      </c>
      <c r="AG90" s="1423"/>
      <c r="AH90" s="1423">
        <v>2957.77</v>
      </c>
      <c r="AI90" s="98"/>
      <c r="AJ90" s="98"/>
      <c r="AK90" s="98"/>
      <c r="AL90" s="98"/>
      <c r="AM90" s="98"/>
      <c r="AN90" s="98"/>
      <c r="AO90" s="98"/>
      <c r="AP90" s="98"/>
      <c r="AQ90" s="98"/>
      <c r="AR90" s="98"/>
    </row>
    <row r="91" spans="1:44" ht="12.75" customHeight="1">
      <c r="A91" s="98"/>
      <c r="B91" s="98"/>
      <c r="C91" s="98"/>
      <c r="D91" s="1092"/>
      <c r="E91" s="98"/>
      <c r="F91" s="98"/>
      <c r="G91" s="98"/>
      <c r="H91" s="98"/>
      <c r="I91" s="98"/>
      <c r="J91" s="98"/>
      <c r="K91" s="98"/>
      <c r="L91" s="98"/>
      <c r="M91" s="1403"/>
      <c r="N91" s="98"/>
      <c r="O91" s="98"/>
      <c r="P91" s="98"/>
      <c r="Q91" s="98"/>
      <c r="R91" s="1403"/>
      <c r="S91" s="1403"/>
      <c r="T91" s="1403"/>
      <c r="U91" s="98"/>
      <c r="V91" s="98"/>
      <c r="W91" s="98"/>
      <c r="X91" s="98"/>
      <c r="Y91" s="98"/>
      <c r="Z91" s="98"/>
      <c r="AA91" s="98"/>
      <c r="AB91" s="98"/>
      <c r="AC91" s="98" t="s">
        <v>401</v>
      </c>
      <c r="AD91" s="1423">
        <v>163.59</v>
      </c>
      <c r="AE91" s="1082"/>
      <c r="AF91" s="1423">
        <v>158.35</v>
      </c>
      <c r="AG91" s="1423"/>
      <c r="AH91" s="1423">
        <v>634.79</v>
      </c>
      <c r="AI91" s="98"/>
      <c r="AJ91" s="98"/>
      <c r="AK91" s="98"/>
      <c r="AL91" s="98"/>
      <c r="AM91" s="98"/>
      <c r="AN91" s="98"/>
      <c r="AO91" s="98"/>
      <c r="AP91" s="98"/>
      <c r="AQ91" s="98"/>
      <c r="AR91" s="98"/>
    </row>
    <row r="92" spans="1:44" ht="12.75" customHeight="1">
      <c r="A92" s="2"/>
      <c r="B92" s="2"/>
      <c r="C92" s="2"/>
      <c r="D92" s="1062"/>
      <c r="E92" s="2"/>
      <c r="F92" s="2"/>
      <c r="G92" s="2"/>
      <c r="H92" s="2"/>
      <c r="I92" s="2"/>
      <c r="J92" s="2"/>
      <c r="K92" s="2"/>
      <c r="L92" s="2"/>
      <c r="N92" s="2"/>
      <c r="O92" s="2"/>
      <c r="P92" s="2"/>
      <c r="Q92" s="2"/>
      <c r="U92" s="2"/>
      <c r="V92" s="2"/>
      <c r="W92" s="2"/>
      <c r="X92" s="2"/>
      <c r="Y92" s="2"/>
      <c r="Z92" s="2"/>
      <c r="AA92" s="2"/>
      <c r="AB92" s="2"/>
      <c r="AC92" s="2" t="s">
        <v>200</v>
      </c>
      <c r="AD92" s="1068">
        <v>0.01</v>
      </c>
      <c r="AE92" s="1118"/>
      <c r="AF92" s="1068">
        <v>-0.05</v>
      </c>
      <c r="AG92" s="1068"/>
      <c r="AH92" s="1068">
        <v>-0.13</v>
      </c>
      <c r="AI92" s="2"/>
      <c r="AJ92" s="2"/>
      <c r="AK92" s="2"/>
      <c r="AL92" s="2"/>
      <c r="AM92" s="2"/>
      <c r="AN92" s="2"/>
      <c r="AO92" s="2"/>
      <c r="AP92" s="2"/>
      <c r="AQ92" s="98"/>
      <c r="AR92" s="2"/>
    </row>
    <row r="93" spans="1:44" ht="12.75" customHeight="1">
      <c r="A93" s="2"/>
      <c r="B93" s="2"/>
      <c r="C93" s="2"/>
      <c r="D93" s="1062"/>
      <c r="E93" s="2"/>
      <c r="F93" s="2"/>
      <c r="G93" s="2"/>
      <c r="H93" s="2"/>
      <c r="I93" s="2"/>
      <c r="J93" s="2"/>
      <c r="K93" s="2"/>
      <c r="L93" s="2"/>
      <c r="N93" s="2"/>
      <c r="O93" s="2"/>
      <c r="P93" s="2"/>
      <c r="Q93" s="2"/>
      <c r="U93" s="2"/>
      <c r="V93" s="2"/>
      <c r="W93" s="2"/>
      <c r="X93" s="2"/>
      <c r="Y93" s="2"/>
      <c r="Z93" s="2"/>
      <c r="AA93" s="2"/>
      <c r="AB93" s="2"/>
      <c r="AC93" s="2"/>
      <c r="AD93" s="2"/>
      <c r="AE93" s="2"/>
      <c r="AF93" s="2"/>
      <c r="AG93" s="2"/>
      <c r="AH93" s="2"/>
      <c r="AI93" s="2"/>
      <c r="AJ93" s="2"/>
      <c r="AK93" s="2"/>
      <c r="AL93" s="2"/>
      <c r="AM93" s="2"/>
      <c r="AN93" s="2"/>
      <c r="AO93" s="2"/>
      <c r="AP93" s="2"/>
      <c r="AQ93" s="98"/>
      <c r="AR93" s="2"/>
    </row>
    <row r="94" spans="1:44" ht="12.75" customHeight="1">
      <c r="A94" s="2"/>
      <c r="B94" s="2"/>
      <c r="C94" s="2"/>
      <c r="D94" s="1062"/>
      <c r="E94" s="2"/>
      <c r="F94" s="2"/>
      <c r="G94" s="2"/>
      <c r="H94" s="2"/>
      <c r="I94" s="2"/>
      <c r="J94" s="2"/>
      <c r="K94" s="2"/>
      <c r="L94" s="2"/>
      <c r="N94" s="2"/>
      <c r="O94" s="2"/>
      <c r="P94" s="2"/>
      <c r="Q94" s="2"/>
      <c r="U94" s="2"/>
      <c r="V94" s="2"/>
      <c r="W94" s="2"/>
      <c r="X94" s="2"/>
      <c r="Y94" s="2"/>
      <c r="Z94" s="2"/>
      <c r="AA94" s="2"/>
      <c r="AB94" s="2"/>
      <c r="AC94" s="2"/>
      <c r="AD94" s="2"/>
      <c r="AE94" s="2"/>
      <c r="AF94" s="2"/>
      <c r="AG94" s="2"/>
      <c r="AH94" s="2"/>
      <c r="AI94" s="2"/>
      <c r="AJ94" s="69" t="s">
        <v>1651</v>
      </c>
      <c r="AQ94" s="98"/>
      <c r="AR94" s="2"/>
    </row>
    <row r="95" spans="1:44" ht="12.75" customHeight="1">
      <c r="A95" s="2"/>
      <c r="B95" s="2"/>
      <c r="C95" s="2"/>
      <c r="D95" s="1062"/>
      <c r="E95" s="2"/>
      <c r="F95" s="2"/>
      <c r="G95" s="2"/>
      <c r="H95" s="2"/>
      <c r="I95" s="2"/>
      <c r="J95" s="2"/>
      <c r="K95" s="2"/>
      <c r="L95" s="2"/>
      <c r="N95" s="2"/>
      <c r="O95" s="2"/>
      <c r="P95" s="2"/>
      <c r="Q95" s="2"/>
      <c r="U95" s="2"/>
      <c r="V95" s="2"/>
      <c r="W95" s="2"/>
      <c r="X95" s="2"/>
      <c r="Y95" s="2"/>
      <c r="Z95" s="2"/>
      <c r="AA95" s="2"/>
      <c r="AB95" s="2"/>
      <c r="AC95" s="2"/>
      <c r="AD95" s="2"/>
      <c r="AE95" s="2"/>
      <c r="AF95" s="2"/>
      <c r="AG95" s="2"/>
      <c r="AH95" s="2"/>
      <c r="AI95" s="2"/>
      <c r="AJ95" s="69"/>
      <c r="AQ95" s="98"/>
      <c r="AR95" s="2"/>
    </row>
    <row r="96" spans="1:44" ht="12.75" customHeight="1">
      <c r="A96" s="2"/>
      <c r="B96" s="2"/>
      <c r="C96" s="2"/>
      <c r="D96" s="1062"/>
      <c r="E96" s="2"/>
      <c r="F96" s="2"/>
      <c r="G96" s="2"/>
      <c r="H96" s="2"/>
      <c r="I96" s="2"/>
      <c r="J96" s="2"/>
      <c r="K96" s="2"/>
      <c r="L96" s="2"/>
      <c r="N96" s="2"/>
      <c r="O96" s="2"/>
      <c r="P96" s="2"/>
      <c r="Q96" s="2"/>
      <c r="U96" s="2"/>
      <c r="V96" s="2"/>
      <c r="W96" s="2"/>
      <c r="X96" s="2"/>
      <c r="Y96" s="2"/>
      <c r="Z96" s="2"/>
      <c r="AA96" s="2"/>
      <c r="AB96" s="2"/>
      <c r="AC96" s="2"/>
      <c r="AD96" s="2"/>
      <c r="AE96" s="2"/>
      <c r="AF96" s="2"/>
      <c r="AG96" s="2"/>
      <c r="AH96" s="2"/>
      <c r="AI96" s="2"/>
      <c r="AJ96" s="1447"/>
      <c r="AK96" s="1449"/>
      <c r="AL96" s="1447"/>
      <c r="AM96" s="1447"/>
      <c r="AN96" s="1447"/>
      <c r="AO96" s="1447"/>
      <c r="AP96" s="1447"/>
      <c r="AQ96" s="98"/>
      <c r="AR96" s="2"/>
    </row>
    <row r="97" spans="1:44" ht="12.75" customHeight="1">
      <c r="A97" s="2"/>
      <c r="B97" s="2"/>
      <c r="C97" s="2"/>
      <c r="D97" s="1062"/>
      <c r="E97" s="2"/>
      <c r="F97" s="2"/>
      <c r="G97" s="2"/>
      <c r="H97" s="2"/>
      <c r="I97" s="2"/>
      <c r="J97" s="2"/>
      <c r="K97" s="2"/>
      <c r="L97" s="2"/>
      <c r="N97" s="2"/>
      <c r="O97" s="2"/>
      <c r="P97" s="2"/>
      <c r="Q97" s="2"/>
      <c r="U97" s="2"/>
      <c r="V97" s="2"/>
      <c r="W97" s="2"/>
      <c r="X97" s="2"/>
      <c r="Y97" s="2"/>
      <c r="Z97" s="2"/>
      <c r="AA97" s="2"/>
      <c r="AB97" s="2"/>
      <c r="AC97" s="2"/>
      <c r="AD97" s="2"/>
      <c r="AE97" s="2"/>
      <c r="AF97" s="2"/>
      <c r="AG97" s="2"/>
      <c r="AH97" s="2"/>
      <c r="AI97" s="2"/>
      <c r="AJ97" s="111" t="s">
        <v>1610</v>
      </c>
      <c r="AK97" s="1289" t="s">
        <v>552</v>
      </c>
      <c r="AL97" s="1448"/>
      <c r="AM97" s="1289" t="s">
        <v>405</v>
      </c>
      <c r="AN97" s="1448"/>
      <c r="AO97" s="1289" t="s">
        <v>1489</v>
      </c>
      <c r="AP97" s="1629"/>
      <c r="AQ97" s="98"/>
      <c r="AR97" s="2"/>
    </row>
    <row r="98" spans="1:44" ht="3" customHeight="1">
      <c r="A98" s="2"/>
      <c r="B98" s="2"/>
      <c r="C98" s="2"/>
      <c r="D98" s="1062"/>
      <c r="E98" s="2"/>
      <c r="F98" s="2"/>
      <c r="G98" s="2"/>
      <c r="H98" s="2"/>
      <c r="I98" s="2"/>
      <c r="J98" s="2"/>
      <c r="K98" s="2"/>
      <c r="L98" s="2"/>
      <c r="N98" s="2"/>
      <c r="O98" s="2"/>
      <c r="P98" s="2"/>
      <c r="Q98" s="2"/>
      <c r="U98" s="2"/>
      <c r="V98" s="2"/>
      <c r="W98" s="2"/>
      <c r="X98" s="2"/>
      <c r="Y98" s="2"/>
      <c r="Z98" s="2"/>
      <c r="AA98" s="2"/>
      <c r="AB98" s="2"/>
      <c r="AC98" s="2"/>
      <c r="AD98" s="2"/>
      <c r="AE98" s="2"/>
      <c r="AF98" s="2"/>
      <c r="AG98" s="2"/>
      <c r="AH98" s="2"/>
      <c r="AI98" s="2"/>
      <c r="AJ98" s="69"/>
      <c r="AK98" s="1449"/>
      <c r="AL98" s="1449"/>
      <c r="AM98" s="1449"/>
      <c r="AN98" s="1449"/>
      <c r="AO98" s="1449"/>
      <c r="AP98" s="1449"/>
      <c r="AQ98" s="98"/>
      <c r="AR98" s="2"/>
    </row>
    <row r="99" spans="1:44" ht="12.75" customHeight="1">
      <c r="A99" s="1205"/>
      <c r="B99" s="1205"/>
      <c r="C99" s="1205"/>
      <c r="D99" s="2220"/>
      <c r="E99" s="1205"/>
      <c r="F99" s="1205"/>
      <c r="G99" s="1205"/>
      <c r="H99" s="1205"/>
      <c r="I99" s="1205"/>
      <c r="J99" s="1205"/>
      <c r="K99" s="1205"/>
      <c r="L99" s="1205"/>
      <c r="M99" s="2266"/>
      <c r="N99" s="1205"/>
      <c r="O99" s="1205"/>
      <c r="P99" s="1205"/>
      <c r="Q99" s="1205"/>
      <c r="R99" s="2266"/>
      <c r="S99" s="2266"/>
      <c r="T99" s="2266"/>
      <c r="U99" s="1205"/>
      <c r="V99" s="1205"/>
      <c r="W99" s="1205"/>
      <c r="X99" s="1205"/>
      <c r="Y99" s="1205"/>
      <c r="Z99" s="1205"/>
      <c r="AA99" s="1205"/>
      <c r="AB99" s="1205"/>
      <c r="AC99" s="1205"/>
      <c r="AD99" s="1205"/>
      <c r="AE99" s="1205"/>
      <c r="AF99" s="1205"/>
      <c r="AG99" s="1205"/>
      <c r="AH99" s="1205"/>
      <c r="AI99" s="1205"/>
      <c r="AJ99" s="2267" t="s">
        <v>407</v>
      </c>
      <c r="AK99" s="2276" t="s">
        <v>3</v>
      </c>
      <c r="AL99" s="1205"/>
      <c r="AM99" s="2272">
        <f>+BYD!AX110</f>
        <v>132.33999999999997</v>
      </c>
      <c r="AN99" s="1205"/>
      <c r="AO99" s="2272"/>
      <c r="AP99" s="1205"/>
      <c r="AQ99" s="98"/>
      <c r="AR99" s="1205"/>
    </row>
    <row r="100" spans="1:44" ht="12.75" customHeight="1">
      <c r="A100" s="1205"/>
      <c r="B100" s="1205"/>
      <c r="C100" s="1205"/>
      <c r="D100" s="2220"/>
      <c r="E100" s="1205"/>
      <c r="F100" s="1205"/>
      <c r="G100" s="1205"/>
      <c r="H100" s="1205"/>
      <c r="I100" s="1205"/>
      <c r="J100" s="1205"/>
      <c r="K100" s="1205"/>
      <c r="L100" s="1205"/>
      <c r="M100" s="2266"/>
      <c r="N100" s="1205"/>
      <c r="O100" s="1205"/>
      <c r="P100" s="1205"/>
      <c r="Q100" s="1205"/>
      <c r="R100" s="2266"/>
      <c r="S100" s="2266"/>
      <c r="T100" s="2266"/>
      <c r="U100" s="1205"/>
      <c r="V100" s="1205"/>
      <c r="W100" s="1205"/>
      <c r="X100" s="1205"/>
      <c r="Y100" s="1205"/>
      <c r="Z100" s="1205"/>
      <c r="AA100" s="1205"/>
      <c r="AB100" s="1205"/>
      <c r="AC100" s="1205"/>
      <c r="AD100" s="1205"/>
      <c r="AE100" s="1205"/>
      <c r="AF100" s="1205"/>
      <c r="AG100" s="1205"/>
      <c r="AH100" s="1205"/>
      <c r="AI100" s="1205"/>
      <c r="AJ100" s="2267" t="s">
        <v>1614</v>
      </c>
      <c r="AK100" s="2268" t="s">
        <v>4</v>
      </c>
      <c r="AL100" s="2269"/>
      <c r="AM100" s="2272">
        <f>+BYD!AY927</f>
        <v>46.591999999999999</v>
      </c>
      <c r="AN100" s="2269"/>
      <c r="AO100" s="2272"/>
      <c r="AP100" s="2271"/>
      <c r="AQ100" s="98"/>
      <c r="AR100" s="1205"/>
    </row>
    <row r="101" spans="1:44" ht="6" customHeight="1">
      <c r="A101" s="2"/>
      <c r="B101" s="2"/>
      <c r="C101" s="2"/>
      <c r="D101" s="1062"/>
      <c r="E101" s="2"/>
      <c r="F101" s="2"/>
      <c r="G101" s="2"/>
      <c r="H101" s="2"/>
      <c r="I101" s="2"/>
      <c r="J101" s="2"/>
      <c r="K101" s="2"/>
      <c r="L101" s="2"/>
      <c r="N101" s="2"/>
      <c r="O101" s="2"/>
      <c r="P101" s="2"/>
      <c r="Q101" s="2"/>
      <c r="U101" s="2"/>
      <c r="V101" s="2"/>
      <c r="W101" s="2"/>
      <c r="X101" s="2"/>
      <c r="Y101" s="2"/>
      <c r="Z101" s="2"/>
      <c r="AA101" s="2"/>
      <c r="AB101" s="2"/>
      <c r="AC101" s="2"/>
      <c r="AD101" s="2"/>
      <c r="AE101" s="2"/>
      <c r="AF101" s="2"/>
      <c r="AG101" s="2"/>
      <c r="AH101" s="2"/>
      <c r="AI101" s="2"/>
      <c r="AJ101" s="1447"/>
      <c r="AK101" s="1614"/>
      <c r="AL101" s="1449"/>
      <c r="AM101" s="1450"/>
      <c r="AN101" s="1449"/>
      <c r="AO101" s="1450"/>
      <c r="AP101" s="1450"/>
      <c r="AQ101" s="98"/>
      <c r="AR101" s="2"/>
    </row>
    <row r="102" spans="1:44" ht="12.75" customHeight="1">
      <c r="A102" s="1205"/>
      <c r="B102" s="1205"/>
      <c r="C102" s="1205"/>
      <c r="D102" s="2220"/>
      <c r="E102" s="1205"/>
      <c r="F102" s="1205"/>
      <c r="G102" s="1205"/>
      <c r="H102" s="1205"/>
      <c r="I102" s="1205"/>
      <c r="J102" s="1205"/>
      <c r="K102" s="1205"/>
      <c r="L102" s="1205"/>
      <c r="M102" s="2273"/>
      <c r="N102" s="1205"/>
      <c r="O102" s="1205"/>
      <c r="P102" s="1205"/>
      <c r="Q102" s="1205"/>
      <c r="R102" s="2273"/>
      <c r="S102" s="2273"/>
      <c r="T102" s="2273"/>
      <c r="U102" s="1205"/>
      <c r="V102" s="1205"/>
      <c r="W102" s="1205"/>
      <c r="X102" s="1205"/>
      <c r="Y102" s="1205"/>
      <c r="Z102" s="1205"/>
      <c r="AA102" s="1205"/>
      <c r="AB102" s="1205"/>
      <c r="AC102" s="1205"/>
      <c r="AD102" s="1205"/>
      <c r="AE102" s="1205"/>
      <c r="AF102" s="1205"/>
      <c r="AG102" s="1205"/>
      <c r="AH102" s="1205"/>
      <c r="AI102" s="1205"/>
      <c r="AJ102" s="2267" t="s">
        <v>498</v>
      </c>
      <c r="AK102" s="2268" t="s">
        <v>1</v>
      </c>
      <c r="AL102" s="2269"/>
      <c r="AM102" s="2270">
        <f>+SUM(AM99:AM101)</f>
        <v>178.93199999999996</v>
      </c>
      <c r="AN102" s="2269"/>
      <c r="AO102" s="2268">
        <v>158.35</v>
      </c>
      <c r="AP102" s="2271"/>
      <c r="AQ102" s="98"/>
      <c r="AR102" s="1205"/>
    </row>
    <row r="103" spans="1:44" ht="6" customHeight="1">
      <c r="A103" s="2"/>
      <c r="B103" s="2"/>
      <c r="C103" s="2"/>
      <c r="D103" s="1062"/>
      <c r="E103" s="2"/>
      <c r="F103" s="2"/>
      <c r="G103" s="2"/>
      <c r="H103" s="2"/>
      <c r="I103" s="2"/>
      <c r="J103" s="2"/>
      <c r="K103" s="2"/>
      <c r="L103" s="2"/>
      <c r="N103" s="2"/>
      <c r="O103" s="2"/>
      <c r="P103" s="2"/>
      <c r="Q103" s="2"/>
      <c r="U103" s="2"/>
      <c r="V103" s="2"/>
      <c r="W103" s="2"/>
      <c r="X103" s="2"/>
      <c r="Y103" s="2"/>
      <c r="Z103" s="2"/>
      <c r="AA103" s="2"/>
      <c r="AB103" s="2"/>
      <c r="AC103" s="2"/>
      <c r="AD103" s="2"/>
      <c r="AE103" s="2"/>
      <c r="AF103" s="2"/>
      <c r="AG103" s="2"/>
      <c r="AH103" s="2"/>
      <c r="AI103" s="2"/>
      <c r="AJ103" s="1447"/>
      <c r="AK103" s="1614"/>
      <c r="AL103" s="1449"/>
      <c r="AM103" s="1450"/>
      <c r="AN103" s="1449"/>
      <c r="AO103" s="1450"/>
      <c r="AP103" s="1450"/>
      <c r="AQ103" s="98"/>
      <c r="AR103" s="2"/>
    </row>
    <row r="104" spans="1:44" ht="12.75" customHeight="1">
      <c r="A104" s="2"/>
      <c r="B104" s="2"/>
      <c r="C104" s="2"/>
      <c r="D104" s="1062"/>
      <c r="E104" s="2"/>
      <c r="F104" s="2"/>
      <c r="G104" s="2"/>
      <c r="H104" s="2"/>
      <c r="I104" s="2"/>
      <c r="J104" s="2"/>
      <c r="K104" s="2"/>
      <c r="L104" s="2"/>
      <c r="N104" s="2"/>
      <c r="O104" s="2"/>
      <c r="P104" s="2"/>
      <c r="Q104" s="2"/>
      <c r="U104" s="2"/>
      <c r="V104" s="2"/>
      <c r="W104" s="2"/>
      <c r="X104" s="2"/>
      <c r="Y104" s="2"/>
      <c r="Z104" s="2"/>
      <c r="AA104" s="2"/>
      <c r="AB104" s="2"/>
      <c r="AC104" s="2"/>
      <c r="AD104" s="2"/>
      <c r="AE104" s="2"/>
      <c r="AF104" s="2"/>
      <c r="AG104" s="2"/>
      <c r="AH104" s="2"/>
      <c r="AI104" s="2"/>
      <c r="AJ104" s="1447" t="s">
        <v>1615</v>
      </c>
      <c r="AK104" s="1614" t="s">
        <v>5</v>
      </c>
      <c r="AL104" s="1449"/>
      <c r="AM104" s="2265">
        <f>+BYD!AY91</f>
        <v>-0.36747575205553612</v>
      </c>
      <c r="AN104" s="1449"/>
      <c r="AO104" s="2265">
        <v>-0.05</v>
      </c>
      <c r="AP104" s="1466"/>
      <c r="AQ104" s="98"/>
      <c r="AR104" s="2"/>
    </row>
    <row r="105" spans="1:44" ht="6" customHeight="1">
      <c r="A105" s="2"/>
      <c r="B105" s="2"/>
      <c r="C105" s="2"/>
      <c r="D105" s="1062"/>
      <c r="E105" s="2"/>
      <c r="F105" s="2"/>
      <c r="G105" s="2"/>
      <c r="H105" s="2"/>
      <c r="I105" s="2"/>
      <c r="J105" s="2"/>
      <c r="K105" s="2"/>
      <c r="L105" s="2"/>
      <c r="N105" s="2"/>
      <c r="O105" s="2"/>
      <c r="P105" s="2"/>
      <c r="Q105" s="2"/>
      <c r="U105" s="2"/>
      <c r="V105" s="2"/>
      <c r="W105" s="2"/>
      <c r="X105" s="2"/>
      <c r="Y105" s="2"/>
      <c r="Z105" s="2"/>
      <c r="AA105" s="2"/>
      <c r="AB105" s="2"/>
      <c r="AC105" s="2"/>
      <c r="AD105" s="2"/>
      <c r="AE105" s="2"/>
      <c r="AF105" s="2"/>
      <c r="AG105" s="2"/>
      <c r="AH105" s="2"/>
      <c r="AI105" s="2"/>
      <c r="AJ105" s="1447"/>
      <c r="AK105" s="1450"/>
      <c r="AL105" s="1449"/>
      <c r="AM105" s="1449"/>
      <c r="AN105" s="1449"/>
      <c r="AO105" s="1449"/>
      <c r="AP105" s="1449"/>
      <c r="AQ105" s="98"/>
      <c r="AR105" s="2"/>
    </row>
    <row r="106" spans="1:44" ht="12.75" customHeight="1">
      <c r="A106" s="2"/>
      <c r="B106" s="2"/>
      <c r="C106" s="2"/>
      <c r="D106" s="1062"/>
      <c r="E106" s="2"/>
      <c r="F106" s="2"/>
      <c r="G106" s="2"/>
      <c r="H106" s="2"/>
      <c r="I106" s="2"/>
      <c r="J106" s="2"/>
      <c r="K106" s="2"/>
      <c r="L106" s="2"/>
      <c r="N106" s="2"/>
      <c r="O106" s="2"/>
      <c r="P106" s="2"/>
      <c r="Q106" s="2"/>
      <c r="U106" s="2"/>
      <c r="V106" s="2"/>
      <c r="W106" s="2"/>
      <c r="X106" s="2"/>
      <c r="Y106" s="2"/>
      <c r="Z106" s="2"/>
      <c r="AA106" s="2"/>
      <c r="AB106" s="2"/>
      <c r="AC106" s="2"/>
      <c r="AD106" s="2"/>
      <c r="AE106" s="2"/>
      <c r="AF106" s="2"/>
      <c r="AG106" s="2"/>
      <c r="AH106" s="2"/>
      <c r="AI106" s="2"/>
      <c r="AJ106" s="2" t="s">
        <v>408</v>
      </c>
      <c r="AK106" s="2"/>
      <c r="AL106" s="2"/>
      <c r="AM106" s="2"/>
      <c r="AN106" s="2"/>
      <c r="AO106" s="2"/>
      <c r="AP106" s="2"/>
      <c r="AQ106" s="98"/>
      <c r="AR106" s="2"/>
    </row>
    <row r="107" spans="1:44" ht="12.75" customHeight="1">
      <c r="A107" s="2"/>
      <c r="B107" s="2"/>
      <c r="C107" s="2"/>
      <c r="D107" s="1062"/>
      <c r="E107" s="2"/>
      <c r="F107" s="2"/>
      <c r="G107" s="2"/>
      <c r="H107" s="2"/>
      <c r="I107" s="2"/>
      <c r="J107" s="2"/>
      <c r="K107" s="2"/>
      <c r="L107" s="2"/>
      <c r="N107" s="2"/>
      <c r="O107" s="2"/>
      <c r="P107" s="2"/>
      <c r="Q107" s="2"/>
      <c r="U107" s="2"/>
      <c r="V107" s="2"/>
      <c r="W107" s="2"/>
      <c r="X107" s="2"/>
      <c r="Y107" s="2"/>
      <c r="Z107" s="2"/>
      <c r="AA107" s="2"/>
      <c r="AB107" s="2"/>
      <c r="AC107" s="2"/>
      <c r="AD107" s="2"/>
      <c r="AE107" s="2"/>
      <c r="AF107" s="2"/>
      <c r="AG107" s="2"/>
      <c r="AH107" s="2"/>
      <c r="AI107" s="2"/>
      <c r="AJ107" s="2"/>
      <c r="AK107" s="2"/>
      <c r="AL107" s="2"/>
      <c r="AM107" s="2"/>
      <c r="AN107" s="2"/>
      <c r="AO107" s="2"/>
      <c r="AP107" s="1" t="s">
        <v>6</v>
      </c>
      <c r="AQ107" s="98"/>
      <c r="AR107" s="2"/>
    </row>
    <row r="108" spans="1:44" ht="12.75" customHeight="1">
      <c r="A108" s="2"/>
      <c r="B108" s="2"/>
      <c r="C108" s="2"/>
      <c r="D108" s="1062"/>
      <c r="E108" s="2"/>
      <c r="F108" s="2"/>
      <c r="G108" s="2"/>
      <c r="H108" s="2"/>
      <c r="I108" s="2"/>
      <c r="J108" s="2"/>
      <c r="K108" s="2"/>
      <c r="L108" s="2"/>
      <c r="N108" s="2"/>
      <c r="O108" s="2"/>
      <c r="P108" s="2"/>
      <c r="Q108" s="2"/>
      <c r="U108" s="2"/>
      <c r="V108" s="2"/>
      <c r="W108" s="2"/>
      <c r="X108" s="2"/>
      <c r="Y108" s="2"/>
      <c r="Z108" s="2"/>
      <c r="AA108" s="2"/>
      <c r="AB108" s="2"/>
      <c r="AC108" s="2"/>
      <c r="AD108" s="2"/>
      <c r="AE108" s="2"/>
      <c r="AF108" s="2"/>
      <c r="AG108" s="2"/>
      <c r="AH108" s="2"/>
      <c r="AI108" s="2"/>
      <c r="AJ108" s="2"/>
      <c r="AK108" s="2"/>
      <c r="AL108" s="2"/>
      <c r="AM108" s="2"/>
      <c r="AN108" s="2"/>
      <c r="AO108" s="2"/>
      <c r="AP108" s="1" t="s">
        <v>7</v>
      </c>
      <c r="AQ108" s="98"/>
      <c r="AR108" s="101" t="s">
        <v>405</v>
      </c>
    </row>
    <row r="109" spans="1:44" ht="12.75" customHeight="1">
      <c r="A109" s="2"/>
      <c r="B109" s="2"/>
      <c r="C109" s="2"/>
      <c r="D109" s="1062"/>
      <c r="E109" s="2"/>
      <c r="F109" s="2"/>
      <c r="G109" s="2"/>
      <c r="H109" s="2"/>
      <c r="I109" s="2"/>
      <c r="J109" s="2"/>
      <c r="K109" s="2"/>
      <c r="L109" s="2"/>
      <c r="N109" s="2"/>
      <c r="O109" s="2"/>
      <c r="P109" s="2"/>
      <c r="Q109" s="2"/>
      <c r="U109" s="2"/>
      <c r="V109" s="2"/>
      <c r="W109" s="2"/>
      <c r="X109" s="2"/>
      <c r="Y109" s="2"/>
      <c r="Z109" s="2"/>
      <c r="AA109" s="2"/>
      <c r="AB109" s="2"/>
      <c r="AC109" s="2"/>
      <c r="AD109" s="2"/>
      <c r="AE109" s="2"/>
      <c r="AF109" s="2"/>
      <c r="AG109" s="2"/>
      <c r="AH109" s="2"/>
      <c r="AI109" s="2"/>
      <c r="AJ109" s="2"/>
      <c r="AK109" s="2"/>
      <c r="AL109" s="2"/>
      <c r="AM109" s="2"/>
      <c r="AN109" s="2"/>
      <c r="AO109" s="2"/>
      <c r="AP109" s="2" t="s">
        <v>514</v>
      </c>
      <c r="AQ109" s="1349">
        <v>149.72999999999999</v>
      </c>
      <c r="AR109" s="2">
        <f>+BYD!AX10</f>
        <v>149.69</v>
      </c>
    </row>
    <row r="110" spans="1:44" ht="12.75" customHeight="1">
      <c r="A110" s="2"/>
      <c r="B110" s="2"/>
      <c r="C110" s="2"/>
      <c r="D110" s="1062"/>
      <c r="E110" s="2"/>
      <c r="F110" s="2"/>
      <c r="G110" s="2"/>
      <c r="H110" s="2"/>
      <c r="I110" s="2"/>
      <c r="J110" s="2"/>
      <c r="K110" s="2"/>
      <c r="L110" s="2"/>
      <c r="N110" s="2"/>
      <c r="O110" s="2"/>
      <c r="P110" s="2"/>
      <c r="Q110" s="2"/>
      <c r="U110" s="2"/>
      <c r="V110" s="2"/>
      <c r="W110" s="2"/>
      <c r="X110" s="2"/>
      <c r="Y110" s="2"/>
      <c r="Z110" s="2"/>
      <c r="AA110" s="2"/>
      <c r="AB110" s="2"/>
      <c r="AC110" s="2"/>
      <c r="AD110" s="2"/>
      <c r="AE110" s="2"/>
      <c r="AF110" s="2"/>
      <c r="AG110" s="2"/>
      <c r="AH110" s="2"/>
      <c r="AI110" s="2"/>
      <c r="AJ110" s="2"/>
      <c r="AK110" s="2"/>
      <c r="AL110" s="2"/>
      <c r="AM110" s="2"/>
      <c r="AN110" s="2"/>
      <c r="AO110" s="2"/>
      <c r="AP110" s="2" t="s">
        <v>515</v>
      </c>
      <c r="AQ110" s="1102">
        <v>56.23</v>
      </c>
      <c r="AR110" s="2">
        <f>+BYD!AX11</f>
        <v>56.128</v>
      </c>
    </row>
    <row r="111" spans="1:44" ht="12.75" customHeight="1">
      <c r="A111" s="2"/>
      <c r="B111" s="2"/>
      <c r="C111" s="2"/>
      <c r="D111" s="1062"/>
      <c r="E111" s="2"/>
      <c r="F111" s="2"/>
      <c r="G111" s="2"/>
      <c r="H111" s="2"/>
      <c r="I111" s="2"/>
      <c r="J111" s="2"/>
      <c r="K111" s="2"/>
      <c r="L111" s="2"/>
      <c r="N111" s="2"/>
      <c r="O111" s="2"/>
      <c r="P111" s="2"/>
      <c r="Q111" s="2"/>
      <c r="U111" s="2"/>
      <c r="V111" s="2"/>
      <c r="W111" s="2"/>
      <c r="X111" s="2"/>
      <c r="Y111" s="2"/>
      <c r="Z111" s="2"/>
      <c r="AA111" s="2"/>
      <c r="AB111" s="2"/>
      <c r="AC111" s="2"/>
      <c r="AD111" s="2"/>
      <c r="AE111" s="2"/>
      <c r="AF111" s="2"/>
      <c r="AG111" s="2"/>
      <c r="AH111" s="2"/>
      <c r="AI111" s="2"/>
      <c r="AJ111" s="2"/>
      <c r="AK111" s="2"/>
      <c r="AL111" s="2"/>
      <c r="AM111" s="2"/>
      <c r="AN111" s="2"/>
      <c r="AO111" s="2"/>
      <c r="AP111" s="2" t="s">
        <v>516</v>
      </c>
      <c r="AQ111" s="1102">
        <v>234.18</v>
      </c>
      <c r="AR111" s="2">
        <f>+BYD!AX13</f>
        <v>224.273</v>
      </c>
    </row>
    <row r="112" spans="1:44" ht="12.75" customHeight="1">
      <c r="A112" s="2"/>
      <c r="B112" s="2"/>
      <c r="C112" s="2"/>
      <c r="D112" s="1062"/>
      <c r="E112" s="2"/>
      <c r="F112" s="2"/>
      <c r="G112" s="2"/>
      <c r="H112" s="2"/>
      <c r="I112" s="2"/>
      <c r="J112" s="2"/>
      <c r="K112" s="2"/>
      <c r="L112" s="2"/>
      <c r="N112" s="2"/>
      <c r="O112" s="2"/>
      <c r="P112" s="2"/>
      <c r="Q112" s="2"/>
      <c r="U112" s="2"/>
      <c r="V112" s="2"/>
      <c r="W112" s="2"/>
      <c r="X112" s="2"/>
      <c r="Y112" s="2"/>
      <c r="Z112" s="2"/>
      <c r="AA112" s="2"/>
      <c r="AB112" s="2"/>
      <c r="AC112" s="2"/>
      <c r="AD112" s="2"/>
      <c r="AE112" s="2"/>
      <c r="AF112" s="2"/>
      <c r="AG112" s="2"/>
      <c r="AH112" s="2"/>
      <c r="AI112" s="2"/>
      <c r="AJ112" s="2"/>
      <c r="AK112" s="2"/>
      <c r="AL112" s="2"/>
      <c r="AM112" s="2"/>
      <c r="AN112" s="2"/>
      <c r="AO112" s="2"/>
      <c r="AP112" s="2" t="s">
        <v>517</v>
      </c>
      <c r="AQ112" s="1102">
        <v>137.13</v>
      </c>
      <c r="AR112" s="2">
        <f>+BYD!AX14</f>
        <v>135.78</v>
      </c>
    </row>
    <row r="113" spans="1:44" ht="12.75" customHeight="1">
      <c r="A113" s="2"/>
      <c r="B113" s="2"/>
      <c r="C113" s="2"/>
      <c r="D113" s="1062"/>
      <c r="E113" s="2"/>
      <c r="F113" s="2"/>
      <c r="G113" s="2"/>
      <c r="H113" s="2"/>
      <c r="I113" s="2"/>
      <c r="J113" s="2"/>
      <c r="K113" s="2"/>
      <c r="L113" s="2"/>
      <c r="N113" s="2"/>
      <c r="O113" s="2"/>
      <c r="P113" s="2"/>
      <c r="Q113" s="2"/>
      <c r="U113" s="2"/>
      <c r="V113" s="2"/>
      <c r="W113" s="2"/>
      <c r="X113" s="2"/>
      <c r="Y113" s="2"/>
      <c r="Z113" s="2"/>
      <c r="AA113" s="2"/>
      <c r="AB113" s="2"/>
      <c r="AC113" s="2"/>
      <c r="AD113" s="2"/>
      <c r="AE113" s="2"/>
      <c r="AF113" s="2"/>
      <c r="AG113" s="2"/>
      <c r="AH113" s="2"/>
      <c r="AI113" s="2"/>
      <c r="AJ113" s="2"/>
      <c r="AK113" s="2"/>
      <c r="AL113" s="2"/>
      <c r="AM113" s="2"/>
      <c r="AN113" s="2"/>
      <c r="AO113" s="2"/>
      <c r="AP113" s="2" t="s">
        <v>273</v>
      </c>
      <c r="AQ113" s="1102">
        <v>164.03</v>
      </c>
      <c r="AR113" s="2">
        <f>+BYD!AX17</f>
        <v>0</v>
      </c>
    </row>
    <row r="114" spans="1:44" ht="12.75" customHeight="1">
      <c r="A114" s="2"/>
      <c r="B114" s="2"/>
      <c r="C114" s="2"/>
      <c r="D114" s="1062"/>
      <c r="E114" s="2"/>
      <c r="F114" s="2"/>
      <c r="G114" s="2"/>
      <c r="H114" s="2"/>
      <c r="I114" s="2"/>
      <c r="J114" s="2"/>
      <c r="K114" s="2"/>
      <c r="L114" s="2"/>
      <c r="N114" s="2"/>
      <c r="O114" s="2"/>
      <c r="P114" s="2"/>
      <c r="Q114" s="2"/>
      <c r="U114" s="2"/>
      <c r="V114" s="2"/>
      <c r="W114" s="2"/>
      <c r="X114" s="2"/>
      <c r="Y114" s="2"/>
      <c r="Z114" s="2"/>
      <c r="AA114" s="2"/>
      <c r="AB114" s="2"/>
      <c r="AC114" s="2"/>
      <c r="AD114" s="2"/>
      <c r="AE114" s="2"/>
      <c r="AF114" s="2"/>
      <c r="AG114" s="2"/>
      <c r="AH114" s="2"/>
      <c r="AI114" s="2"/>
      <c r="AJ114" s="2"/>
      <c r="AK114" s="2"/>
      <c r="AL114" s="2"/>
      <c r="AM114" s="2"/>
      <c r="AN114" s="2"/>
      <c r="AO114" s="2"/>
      <c r="AP114" s="2" t="s">
        <v>1790</v>
      </c>
      <c r="AQ114" s="1102">
        <v>1.2</v>
      </c>
      <c r="AR114" s="2"/>
    </row>
    <row r="115" spans="1:44" ht="12.75" customHeight="1">
      <c r="A115" s="2"/>
      <c r="B115" s="2"/>
      <c r="C115" s="2"/>
      <c r="D115" s="1062"/>
      <c r="E115" s="2"/>
      <c r="F115" s="2"/>
      <c r="G115" s="2"/>
      <c r="H115" s="2"/>
      <c r="I115" s="2"/>
      <c r="J115" s="2"/>
      <c r="K115" s="2"/>
      <c r="L115" s="2"/>
      <c r="N115" s="2"/>
      <c r="O115" s="2"/>
      <c r="P115" s="2"/>
      <c r="Q115" s="2"/>
      <c r="U115" s="2"/>
      <c r="V115" s="2"/>
      <c r="W115" s="2"/>
      <c r="X115" s="2"/>
      <c r="Y115" s="2"/>
      <c r="Z115" s="2"/>
      <c r="AA115" s="2"/>
      <c r="AB115" s="2"/>
      <c r="AC115" s="2"/>
      <c r="AD115" s="2"/>
      <c r="AE115" s="2"/>
      <c r="AF115" s="2"/>
      <c r="AG115" s="2"/>
      <c r="AH115" s="2"/>
      <c r="AI115" s="2"/>
      <c r="AJ115" s="2"/>
      <c r="AK115" s="2"/>
      <c r="AL115" s="2"/>
      <c r="AM115" s="2"/>
      <c r="AN115" s="2"/>
      <c r="AO115" s="2"/>
      <c r="AP115" s="1" t="s">
        <v>401</v>
      </c>
      <c r="AQ115" s="98"/>
      <c r="AR115" s="2"/>
    </row>
    <row r="116" spans="1:44" ht="12.75" customHeight="1">
      <c r="A116" s="2"/>
      <c r="B116" s="2"/>
      <c r="C116" s="2"/>
      <c r="D116" s="1062"/>
      <c r="E116" s="2"/>
      <c r="F116" s="2"/>
      <c r="G116" s="2"/>
      <c r="H116" s="2"/>
      <c r="I116" s="2"/>
      <c r="J116" s="2"/>
      <c r="K116" s="2"/>
      <c r="L116" s="2"/>
      <c r="N116" s="2"/>
      <c r="O116" s="2"/>
      <c r="P116" s="2"/>
      <c r="Q116" s="2"/>
      <c r="U116" s="2"/>
      <c r="V116" s="2"/>
      <c r="W116" s="2"/>
      <c r="X116" s="2"/>
      <c r="Y116" s="2"/>
      <c r="Z116" s="2"/>
      <c r="AA116" s="2"/>
      <c r="AB116" s="2"/>
      <c r="AC116" s="2"/>
      <c r="AD116" s="2"/>
      <c r="AE116" s="2"/>
      <c r="AF116" s="2"/>
      <c r="AG116" s="2"/>
      <c r="AH116" s="2"/>
      <c r="AI116" s="2"/>
      <c r="AJ116" s="2"/>
      <c r="AK116" s="2"/>
      <c r="AL116" s="2"/>
      <c r="AM116" s="2"/>
      <c r="AN116" s="2"/>
      <c r="AO116" s="2"/>
      <c r="AP116" s="2" t="s">
        <v>514</v>
      </c>
      <c r="AQ116" s="1349">
        <v>34.83</v>
      </c>
      <c r="AR116" s="2">
        <f>+BYD!AX38</f>
        <v>38.722999999999999</v>
      </c>
    </row>
    <row r="117" spans="1:44" ht="12.75" customHeight="1">
      <c r="A117" s="2"/>
      <c r="B117" s="2"/>
      <c r="C117" s="2"/>
      <c r="D117" s="1062"/>
      <c r="E117" s="2"/>
      <c r="F117" s="2"/>
      <c r="G117" s="2"/>
      <c r="H117" s="2"/>
      <c r="I117" s="2"/>
      <c r="J117" s="2"/>
      <c r="K117" s="2"/>
      <c r="L117" s="2"/>
      <c r="N117" s="2"/>
      <c r="O117" s="2"/>
      <c r="P117" s="2"/>
      <c r="Q117" s="2"/>
      <c r="U117" s="2"/>
      <c r="V117" s="2"/>
      <c r="W117" s="2"/>
      <c r="X117" s="2"/>
      <c r="Y117" s="2"/>
      <c r="Z117" s="2"/>
      <c r="AA117" s="2"/>
      <c r="AB117" s="2"/>
      <c r="AC117" s="2"/>
      <c r="AD117" s="2"/>
      <c r="AE117" s="2"/>
      <c r="AF117" s="2"/>
      <c r="AG117" s="2"/>
      <c r="AH117" s="2"/>
      <c r="AI117" s="2"/>
      <c r="AJ117" s="2"/>
      <c r="AK117" s="2"/>
      <c r="AL117" s="2"/>
      <c r="AM117" s="2"/>
      <c r="AN117" s="2"/>
      <c r="AO117" s="2"/>
      <c r="AP117" s="2" t="s">
        <v>515</v>
      </c>
      <c r="AQ117" s="1102">
        <v>8.36</v>
      </c>
      <c r="AR117" s="2">
        <f>+BYD!AX39</f>
        <v>9.2970000000000006</v>
      </c>
    </row>
    <row r="118" spans="1:44" ht="12.75" customHeight="1">
      <c r="A118" s="2"/>
      <c r="B118" s="2"/>
      <c r="C118" s="2"/>
      <c r="D118" s="1062"/>
      <c r="E118" s="2"/>
      <c r="F118" s="2"/>
      <c r="G118" s="2"/>
      <c r="H118" s="2"/>
      <c r="I118" s="2"/>
      <c r="J118" s="2"/>
      <c r="K118" s="2"/>
      <c r="L118" s="2"/>
      <c r="N118" s="2"/>
      <c r="O118" s="2"/>
      <c r="P118" s="2"/>
      <c r="Q118" s="2"/>
      <c r="U118" s="2"/>
      <c r="V118" s="2"/>
      <c r="W118" s="2"/>
      <c r="X118" s="2"/>
      <c r="Y118" s="2"/>
      <c r="Z118" s="2"/>
      <c r="AA118" s="2"/>
      <c r="AB118" s="2"/>
      <c r="AC118" s="2"/>
      <c r="AD118" s="2"/>
      <c r="AE118" s="2"/>
      <c r="AF118" s="2"/>
      <c r="AG118" s="2"/>
      <c r="AH118" s="2"/>
      <c r="AI118" s="2"/>
      <c r="AJ118" s="2"/>
      <c r="AK118" s="2"/>
      <c r="AL118" s="2"/>
      <c r="AM118" s="2"/>
      <c r="AN118" s="2"/>
      <c r="AO118" s="2"/>
      <c r="AP118" s="2" t="s">
        <v>516</v>
      </c>
      <c r="AQ118" s="1102">
        <v>51.04</v>
      </c>
      <c r="AR118" s="2">
        <f>+BYD!AX41</f>
        <v>48.625</v>
      </c>
    </row>
    <row r="119" spans="1:44" ht="12.75" customHeight="1">
      <c r="A119" s="2"/>
      <c r="B119" s="2"/>
      <c r="C119" s="2"/>
      <c r="D119" s="1062"/>
      <c r="E119" s="2"/>
      <c r="F119" s="2"/>
      <c r="G119" s="2"/>
      <c r="H119" s="2"/>
      <c r="I119" s="2"/>
      <c r="J119" s="2"/>
      <c r="K119" s="2"/>
      <c r="L119" s="2"/>
      <c r="N119" s="2"/>
      <c r="O119" s="2"/>
      <c r="P119" s="2"/>
      <c r="Q119" s="2"/>
      <c r="U119" s="2"/>
      <c r="V119" s="2"/>
      <c r="W119" s="2"/>
      <c r="X119" s="2"/>
      <c r="Y119" s="2"/>
      <c r="Z119" s="2"/>
      <c r="AA119" s="2"/>
      <c r="AB119" s="2"/>
      <c r="AC119" s="2"/>
      <c r="AD119" s="2"/>
      <c r="AE119" s="2"/>
      <c r="AF119" s="2"/>
      <c r="AG119" s="2"/>
      <c r="AH119" s="2"/>
      <c r="AI119" s="2"/>
      <c r="AJ119" s="2"/>
      <c r="AK119" s="2"/>
      <c r="AL119" s="2"/>
      <c r="AM119" s="2"/>
      <c r="AN119" s="2"/>
      <c r="AO119" s="2"/>
      <c r="AP119" s="2" t="s">
        <v>517</v>
      </c>
      <c r="AQ119" s="1102">
        <v>52.46</v>
      </c>
      <c r="AR119" s="2">
        <f>+BYD!AX42</f>
        <v>48.323</v>
      </c>
    </row>
    <row r="120" spans="1:44" ht="12.75" customHeight="1">
      <c r="A120" s="2"/>
      <c r="B120" s="2"/>
      <c r="C120" s="2"/>
      <c r="D120" s="1062"/>
      <c r="E120" s="2"/>
      <c r="F120" s="2"/>
      <c r="G120" s="2"/>
      <c r="H120" s="2"/>
      <c r="I120" s="2"/>
      <c r="J120" s="2"/>
      <c r="K120" s="2"/>
      <c r="L120" s="2"/>
      <c r="N120" s="2"/>
      <c r="O120" s="2"/>
      <c r="P120" s="2"/>
      <c r="Q120" s="2"/>
      <c r="U120" s="2"/>
      <c r="V120" s="2"/>
      <c r="W120" s="2"/>
      <c r="X120" s="2"/>
      <c r="Y120" s="2"/>
      <c r="Z120" s="2"/>
      <c r="AA120" s="2"/>
      <c r="AB120" s="2"/>
      <c r="AC120" s="2"/>
      <c r="AD120" s="2"/>
      <c r="AE120" s="2"/>
      <c r="AF120" s="2"/>
      <c r="AG120" s="2"/>
      <c r="AH120" s="2"/>
      <c r="AI120" s="2"/>
      <c r="AJ120" s="2"/>
      <c r="AK120" s="2"/>
      <c r="AL120" s="2"/>
      <c r="AM120" s="2"/>
      <c r="AN120" s="2"/>
      <c r="AO120" s="2"/>
      <c r="AP120" s="2" t="s">
        <v>273</v>
      </c>
      <c r="AQ120" s="1102">
        <v>28.21</v>
      </c>
      <c r="AR120" s="2">
        <f>+BYD!AX45</f>
        <v>27.847000000000001</v>
      </c>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R120"/>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5" max="15" width="1.5" customWidth="1"/>
    <col min="18" max="18" width="3.25" customWidth="1"/>
    <col min="20" max="20" width="1" customWidth="1"/>
    <col min="21" max="21" width="19" customWidth="1"/>
    <col min="22" max="22" width="1.625" customWidth="1"/>
    <col min="23" max="23" width="8.625" customWidth="1"/>
    <col min="24" max="24" width="1.625" customWidth="1"/>
    <col min="25" max="25" width="8.625" customWidth="1"/>
    <col min="26" max="26" width="1.625" customWidth="1"/>
    <col min="27" max="27" width="8.625" customWidth="1"/>
    <col min="30" max="30" width="7.625" customWidth="1"/>
    <col min="31" max="31" width="1.625" customWidth="1"/>
    <col min="32" max="32" width="7.625" customWidth="1"/>
    <col min="33" max="33" width="1.625" customWidth="1"/>
    <col min="34" max="34" width="7.625" customWidth="1"/>
    <col min="35" max="35" width="1.625" customWidth="1"/>
    <col min="36" max="36" width="21.5" customWidth="1"/>
    <col min="37" max="37" width="11.625" customWidth="1"/>
    <col min="38" max="38" width="1.625" customWidth="1"/>
    <col min="39" max="39" width="10.625" customWidth="1"/>
    <col min="40" max="40" width="1.625" customWidth="1"/>
    <col min="41" max="41" width="10.625" customWidth="1"/>
    <col min="42" max="42" width="16" customWidth="1"/>
  </cols>
  <sheetData>
    <row r="1" spans="1:44" ht="12.75" customHeight="1">
      <c r="A1" s="1" t="s">
        <v>629</v>
      </c>
      <c r="B1" s="2"/>
      <c r="C1" s="166"/>
      <c r="D1" s="1062"/>
      <c r="E1" s="2"/>
      <c r="F1" s="2"/>
      <c r="G1" s="2"/>
      <c r="H1" s="2"/>
      <c r="I1" s="2"/>
      <c r="J1" s="2"/>
      <c r="K1" s="2"/>
      <c r="L1" s="2"/>
      <c r="N1" s="2"/>
      <c r="O1" s="2"/>
      <c r="P1" s="2"/>
      <c r="Q1" s="2"/>
      <c r="U1" s="2"/>
      <c r="V1" s="2"/>
      <c r="W1" s="2"/>
      <c r="X1" s="2"/>
      <c r="Y1" s="2"/>
      <c r="Z1" s="2"/>
      <c r="AA1" s="2"/>
      <c r="AB1" s="2"/>
      <c r="AC1" s="2"/>
      <c r="AD1" s="2"/>
      <c r="AE1" s="2"/>
      <c r="AF1" s="2"/>
      <c r="AG1" s="2"/>
      <c r="AH1" s="2"/>
      <c r="AI1" s="2"/>
      <c r="AJ1" s="2"/>
      <c r="AK1" s="2"/>
      <c r="AL1" s="2"/>
      <c r="AM1" s="2"/>
      <c r="AN1" s="2"/>
      <c r="AO1" s="2"/>
      <c r="AP1" s="2"/>
      <c r="AQ1" s="98"/>
      <c r="AR1" s="2"/>
    </row>
    <row r="2" spans="1:44" ht="12.75" customHeight="1">
      <c r="A2" s="1" t="s">
        <v>1224</v>
      </c>
      <c r="B2" s="2"/>
      <c r="C2" s="2"/>
      <c r="D2" s="1062"/>
      <c r="E2" s="2"/>
      <c r="F2" s="2"/>
      <c r="G2" s="2"/>
      <c r="H2" s="2"/>
      <c r="I2" s="2"/>
      <c r="J2" s="2"/>
      <c r="K2" s="2"/>
      <c r="L2" s="2"/>
      <c r="N2" s="2"/>
      <c r="O2" s="2"/>
      <c r="P2" s="2"/>
      <c r="Q2" s="2"/>
      <c r="U2" s="2"/>
      <c r="V2" s="2"/>
      <c r="W2" s="2"/>
      <c r="X2" s="2"/>
      <c r="Y2" s="2"/>
      <c r="Z2" s="2"/>
      <c r="AA2" s="2"/>
      <c r="AB2" s="2"/>
      <c r="AC2" s="2"/>
      <c r="AD2" s="2"/>
      <c r="AE2" s="2"/>
      <c r="AF2" s="2"/>
      <c r="AG2" s="2"/>
      <c r="AH2" s="2"/>
      <c r="AI2" s="2"/>
      <c r="AJ2" s="2"/>
      <c r="AK2" s="2"/>
      <c r="AL2" s="2"/>
      <c r="AM2" s="2"/>
      <c r="AN2" s="2"/>
      <c r="AO2" s="2"/>
      <c r="AP2" s="2"/>
      <c r="AQ2" s="98"/>
      <c r="AR2" s="2"/>
    </row>
    <row r="3" spans="1:44" ht="12.75" customHeight="1">
      <c r="A3" s="2" t="s">
        <v>1225</v>
      </c>
      <c r="B3" s="2"/>
      <c r="C3" s="2"/>
      <c r="D3" s="1062"/>
      <c r="E3" s="2"/>
      <c r="F3" s="2"/>
      <c r="G3" s="2"/>
      <c r="H3" s="2"/>
      <c r="I3" s="2"/>
      <c r="J3" s="2"/>
      <c r="K3" s="2"/>
      <c r="L3" s="2"/>
      <c r="N3" s="2"/>
      <c r="O3" s="2"/>
      <c r="P3" s="2"/>
      <c r="Q3" s="2"/>
      <c r="U3" s="2"/>
      <c r="V3" s="2"/>
      <c r="W3" s="2"/>
      <c r="X3" s="2"/>
      <c r="Y3" s="2"/>
      <c r="Z3" s="2"/>
      <c r="AA3" s="2"/>
      <c r="AB3" s="2"/>
      <c r="AC3" s="2"/>
      <c r="AD3" s="2"/>
      <c r="AE3" s="2"/>
      <c r="AF3" s="2"/>
      <c r="AG3" s="2"/>
      <c r="AH3" s="2"/>
      <c r="AI3" s="2"/>
      <c r="AJ3" s="2"/>
      <c r="AK3" s="2"/>
      <c r="AL3" s="2"/>
      <c r="AM3" s="2"/>
      <c r="AN3" s="2"/>
      <c r="AO3" s="2"/>
      <c r="AP3" s="2"/>
      <c r="AQ3" s="98"/>
      <c r="AR3" s="2"/>
    </row>
    <row r="4" spans="1:44" ht="12.75" customHeight="1">
      <c r="A4" s="2"/>
      <c r="B4" s="2"/>
      <c r="C4" s="1195" t="s">
        <v>818</v>
      </c>
      <c r="D4" s="1310"/>
      <c r="E4" s="1196"/>
      <c r="F4" s="1196"/>
      <c r="G4" s="1196"/>
      <c r="H4" s="2"/>
      <c r="I4" s="1195" t="s">
        <v>818</v>
      </c>
      <c r="J4" s="1197"/>
      <c r="K4" s="1196"/>
      <c r="L4" s="1196"/>
      <c r="O4" s="70"/>
      <c r="P4" s="70"/>
      <c r="Q4" s="70"/>
      <c r="U4" s="2"/>
      <c r="V4" s="2"/>
      <c r="W4" s="2"/>
      <c r="X4" s="2"/>
      <c r="Y4" s="2"/>
      <c r="Z4" s="2"/>
      <c r="AA4" s="2"/>
      <c r="AB4" s="2"/>
      <c r="AC4" s="2"/>
      <c r="AD4" s="2"/>
      <c r="AE4" s="2"/>
      <c r="AF4" s="2"/>
      <c r="AG4" s="2"/>
      <c r="AH4" s="2"/>
      <c r="AI4" s="2"/>
      <c r="AJ4" s="2"/>
      <c r="AK4" s="2"/>
      <c r="AL4" s="2"/>
      <c r="AM4" s="2"/>
      <c r="AN4" s="2"/>
      <c r="AO4" s="2"/>
      <c r="AP4" s="2"/>
      <c r="AQ4" s="98"/>
      <c r="AR4" s="2"/>
    </row>
    <row r="5" spans="1:44" ht="12.75" customHeight="1">
      <c r="A5" s="2"/>
      <c r="B5" s="2"/>
      <c r="C5" s="1198"/>
      <c r="D5" s="77"/>
      <c r="E5" s="2"/>
      <c r="F5" s="1197" t="s">
        <v>1487</v>
      </c>
      <c r="G5" s="1197"/>
      <c r="H5" s="2"/>
      <c r="I5" s="1198"/>
      <c r="J5" s="61"/>
      <c r="K5" s="1197" t="s">
        <v>1505</v>
      </c>
      <c r="L5" s="1197"/>
      <c r="N5" s="1289" t="s">
        <v>1489</v>
      </c>
      <c r="O5" s="2"/>
      <c r="P5" s="1197" t="s">
        <v>1505</v>
      </c>
      <c r="Q5" s="1197"/>
      <c r="S5" s="73" t="s">
        <v>594</v>
      </c>
      <c r="U5" s="2"/>
      <c r="V5" s="2"/>
      <c r="W5" s="2"/>
      <c r="X5" s="2"/>
      <c r="Y5" s="2"/>
      <c r="Z5" s="2"/>
      <c r="AA5" s="2"/>
      <c r="AB5" s="2"/>
      <c r="AC5" s="2"/>
      <c r="AD5" s="2"/>
      <c r="AE5" s="2"/>
      <c r="AF5" s="2"/>
      <c r="AG5" s="2"/>
      <c r="AH5" s="2"/>
      <c r="AI5" s="2"/>
      <c r="AJ5" s="2"/>
      <c r="AK5" s="2"/>
      <c r="AL5" s="2"/>
      <c r="AM5" s="2"/>
      <c r="AN5" s="2"/>
      <c r="AO5" s="2"/>
      <c r="AP5" s="2"/>
      <c r="AQ5" s="98"/>
      <c r="AR5" s="2"/>
    </row>
    <row r="6" spans="1:44" ht="12.75" customHeight="1">
      <c r="A6" s="61"/>
      <c r="B6" s="2"/>
      <c r="C6" s="1199" t="s">
        <v>1834</v>
      </c>
      <c r="D6" s="1308" t="s">
        <v>941</v>
      </c>
      <c r="E6" s="70"/>
      <c r="F6" s="73" t="s">
        <v>658</v>
      </c>
      <c r="G6" s="73" t="s">
        <v>740</v>
      </c>
      <c r="H6" s="2"/>
      <c r="I6" s="1199" t="s">
        <v>986</v>
      </c>
      <c r="J6" s="70"/>
      <c r="K6" s="73" t="s">
        <v>658</v>
      </c>
      <c r="L6" s="73" t="s">
        <v>740</v>
      </c>
      <c r="N6" s="1165" t="s">
        <v>1837</v>
      </c>
      <c r="O6" s="2"/>
      <c r="P6" s="73" t="s">
        <v>658</v>
      </c>
      <c r="Q6" s="73" t="s">
        <v>740</v>
      </c>
      <c r="U6" s="2"/>
      <c r="V6" s="2"/>
      <c r="W6" s="2"/>
      <c r="X6" s="2"/>
      <c r="Y6" s="2"/>
      <c r="Z6" s="2"/>
      <c r="AA6" s="2"/>
      <c r="AB6" s="2"/>
      <c r="AC6" s="2"/>
      <c r="AD6" s="2"/>
      <c r="AE6" s="2"/>
      <c r="AF6" s="2"/>
      <c r="AG6" s="2"/>
      <c r="AH6" s="2"/>
      <c r="AI6" s="2"/>
      <c r="AJ6" s="2"/>
      <c r="AK6" s="2"/>
      <c r="AL6" s="2"/>
      <c r="AM6" s="2"/>
      <c r="AN6" s="2"/>
      <c r="AO6" s="2"/>
      <c r="AP6" s="2"/>
      <c r="AQ6" s="98"/>
      <c r="AR6" s="2"/>
    </row>
    <row r="7" spans="1:44" ht="12.75" customHeight="1">
      <c r="A7" s="1" t="s">
        <v>741</v>
      </c>
      <c r="B7" s="2"/>
      <c r="C7" s="112"/>
      <c r="D7" s="77"/>
      <c r="E7" s="2"/>
      <c r="F7" s="2"/>
      <c r="G7" s="2"/>
      <c r="H7" s="2"/>
      <c r="I7" s="112"/>
      <c r="J7" s="61"/>
      <c r="K7" s="2"/>
      <c r="L7" s="2"/>
      <c r="N7" s="2"/>
      <c r="O7" s="2"/>
      <c r="P7" s="2"/>
      <c r="Q7" s="2"/>
      <c r="U7" s="2"/>
      <c r="V7" s="2"/>
      <c r="W7" s="2"/>
      <c r="X7" s="2"/>
      <c r="Y7" s="2"/>
      <c r="Z7" s="2"/>
      <c r="AA7" s="2"/>
      <c r="AB7" s="2"/>
      <c r="AC7" s="2"/>
      <c r="AD7" s="2"/>
      <c r="AE7" s="2"/>
      <c r="AF7" s="2"/>
      <c r="AG7" s="2"/>
      <c r="AH7" s="2"/>
      <c r="AI7" s="2"/>
      <c r="AJ7" s="2"/>
      <c r="AK7" s="2"/>
      <c r="AL7" s="2"/>
      <c r="AM7" s="2"/>
      <c r="AN7" s="2"/>
      <c r="AO7" s="2"/>
      <c r="AP7" s="2"/>
      <c r="AQ7" s="98"/>
      <c r="AR7" s="2"/>
    </row>
    <row r="8" spans="1:44" ht="12.75" customHeight="1">
      <c r="A8" s="334" t="s">
        <v>514</v>
      </c>
      <c r="B8" s="2"/>
      <c r="C8" s="2030">
        <f>BYD!BH10</f>
        <v>153.03200000000001</v>
      </c>
      <c r="D8" s="858">
        <f>BYD!BC10</f>
        <v>148.27000000000001</v>
      </c>
      <c r="E8" s="1202"/>
      <c r="F8" s="1205">
        <f t="shared" ref="F8:F13" si="0">C8-D8</f>
        <v>4.7620000000000005</v>
      </c>
      <c r="G8" s="126">
        <f t="shared" ref="G8:G14" si="1">IF(D8=0,0,C8/D8-1)</f>
        <v>3.2117083698657956E-2</v>
      </c>
      <c r="H8" s="1205"/>
      <c r="I8" s="1207">
        <v>148.27000000000001</v>
      </c>
      <c r="J8" s="1202"/>
      <c r="K8" s="313">
        <f t="shared" ref="K8:K13" si="2">C8-I8</f>
        <v>4.7620000000000005</v>
      </c>
      <c r="L8" s="1204">
        <f t="shared" ref="L8:L13" si="3">IF(I8=0,"NM",C8/I8-1)</f>
        <v>3.2117083698657956E-2</v>
      </c>
      <c r="N8" s="1349">
        <v>149.04</v>
      </c>
      <c r="O8" s="1349"/>
      <c r="P8" s="313">
        <f t="shared" ref="P8:P14" si="4">C8-N8</f>
        <v>3.9920000000000186</v>
      </c>
      <c r="Q8" s="1204">
        <f t="shared" ref="Q8:Q14" si="5">IF(N8=0,"NM",C8/N8-1)</f>
        <v>2.678475577026318E-2</v>
      </c>
      <c r="U8" s="105"/>
      <c r="V8" s="2"/>
      <c r="W8" s="2"/>
      <c r="X8" s="2"/>
      <c r="Y8" s="2"/>
      <c r="Z8" s="2"/>
      <c r="AA8" s="2"/>
      <c r="AB8" s="2"/>
      <c r="AC8" s="2"/>
      <c r="AD8" s="2"/>
      <c r="AE8" s="2"/>
      <c r="AF8" s="2"/>
      <c r="AG8" s="2"/>
      <c r="AH8" s="2"/>
      <c r="AI8" s="2"/>
      <c r="AJ8" s="2"/>
      <c r="AK8" s="2"/>
      <c r="AL8" s="2"/>
      <c r="AM8" s="2"/>
      <c r="AN8" s="2"/>
      <c r="AO8" s="2"/>
      <c r="AP8" s="2"/>
      <c r="AQ8" s="98"/>
      <c r="AR8" s="2"/>
    </row>
    <row r="9" spans="1:44" ht="12.75" customHeight="1">
      <c r="A9" s="334" t="s">
        <v>515</v>
      </c>
      <c r="B9" s="61"/>
      <c r="C9" s="2031">
        <f>BYD!BH11</f>
        <v>58.433999999999997</v>
      </c>
      <c r="D9" s="104">
        <f>BYD!BC11</f>
        <v>55.552</v>
      </c>
      <c r="E9" s="1103"/>
      <c r="F9" s="374">
        <f t="shared" si="0"/>
        <v>2.8819999999999979</v>
      </c>
      <c r="G9" s="95">
        <f t="shared" si="1"/>
        <v>5.1879320276497554E-2</v>
      </c>
      <c r="H9" s="61"/>
      <c r="I9" s="1104">
        <v>55.829759999999993</v>
      </c>
      <c r="J9" s="1103"/>
      <c r="K9" s="374">
        <f t="shared" si="2"/>
        <v>2.6042400000000043</v>
      </c>
      <c r="L9" s="92">
        <f t="shared" si="3"/>
        <v>4.664608982736107E-2</v>
      </c>
      <c r="N9" s="1102">
        <v>56.49</v>
      </c>
      <c r="O9" s="1102"/>
      <c r="P9" s="374">
        <f t="shared" si="4"/>
        <v>1.9439999999999955</v>
      </c>
      <c r="Q9" s="92">
        <f t="shared" si="5"/>
        <v>3.4413170472650023E-2</v>
      </c>
      <c r="U9" s="105"/>
      <c r="V9" s="2"/>
      <c r="W9" s="2"/>
      <c r="X9" s="2"/>
      <c r="Y9" s="2"/>
      <c r="Z9" s="2"/>
      <c r="AA9" s="2"/>
      <c r="AB9" s="2"/>
      <c r="AC9" s="2"/>
      <c r="AD9" s="2"/>
      <c r="AE9" s="2"/>
      <c r="AF9" s="2"/>
      <c r="AG9" s="2"/>
      <c r="AH9" s="2"/>
      <c r="AI9" s="2"/>
      <c r="AJ9" s="2"/>
      <c r="AK9" s="2"/>
      <c r="AL9" s="2"/>
      <c r="AM9" s="2"/>
      <c r="AN9" s="2"/>
      <c r="AO9" s="2"/>
      <c r="AP9" s="2"/>
      <c r="AQ9" s="98"/>
      <c r="AR9" s="2"/>
    </row>
    <row r="10" spans="1:44" ht="12.75" customHeight="1">
      <c r="A10" s="334" t="s">
        <v>516</v>
      </c>
      <c r="B10" s="61"/>
      <c r="C10" s="2031">
        <f>BYD!BH13</f>
        <v>217.77699999999999</v>
      </c>
      <c r="D10" s="104">
        <f>BYD!BC13</f>
        <v>209.10400000000001</v>
      </c>
      <c r="E10" s="1103"/>
      <c r="F10" s="374">
        <f t="shared" si="0"/>
        <v>8.6729999999999734</v>
      </c>
      <c r="G10" s="95">
        <f t="shared" si="1"/>
        <v>4.1476968398500125E-2</v>
      </c>
      <c r="H10" s="61"/>
      <c r="I10" s="1104">
        <v>208.31450448659129</v>
      </c>
      <c r="J10" s="1103"/>
      <c r="K10" s="374">
        <f t="shared" si="2"/>
        <v>9.4624955134086974</v>
      </c>
      <c r="L10" s="92">
        <f t="shared" si="3"/>
        <v>4.5424083823302652E-2</v>
      </c>
      <c r="M10" s="1403"/>
      <c r="N10" s="1102">
        <v>212.22</v>
      </c>
      <c r="O10" s="1102"/>
      <c r="P10" s="374">
        <f t="shared" si="4"/>
        <v>5.5569999999999879</v>
      </c>
      <c r="Q10" s="92">
        <f t="shared" si="5"/>
        <v>2.6185090943360523E-2</v>
      </c>
      <c r="S10" s="1403"/>
      <c r="U10" s="105"/>
      <c r="V10" s="2"/>
      <c r="W10" s="2"/>
      <c r="X10" s="2"/>
      <c r="Y10" s="2"/>
      <c r="Z10" s="2"/>
      <c r="AA10" s="2"/>
      <c r="AB10" s="2"/>
      <c r="AC10" s="2"/>
      <c r="AD10" s="2"/>
      <c r="AE10" s="2"/>
      <c r="AF10" s="2"/>
      <c r="AG10" s="2"/>
      <c r="AH10" s="2"/>
      <c r="AI10" s="2"/>
      <c r="AJ10" s="2"/>
      <c r="AK10" s="2"/>
      <c r="AL10" s="2"/>
      <c r="AM10" s="2"/>
      <c r="AN10" s="2"/>
      <c r="AO10" s="2"/>
      <c r="AP10" s="2"/>
      <c r="AQ10" s="98"/>
      <c r="AR10" s="2"/>
    </row>
    <row r="11" spans="1:44" ht="12.75" customHeight="1">
      <c r="A11" s="963" t="s">
        <v>517</v>
      </c>
      <c r="B11" s="61"/>
      <c r="C11" s="2031">
        <f>BYD!BH14</f>
        <v>130.62200000000001</v>
      </c>
      <c r="D11" s="104">
        <f>BYD!BC14</f>
        <v>127.75400000000002</v>
      </c>
      <c r="E11" s="1103"/>
      <c r="F11" s="374">
        <f t="shared" si="0"/>
        <v>2.867999999999995</v>
      </c>
      <c r="G11" s="95">
        <f t="shared" si="1"/>
        <v>2.2449394930882827E-2</v>
      </c>
      <c r="H11" s="61"/>
      <c r="I11" s="1104">
        <v>129.3497401555</v>
      </c>
      <c r="J11" s="1103"/>
      <c r="K11" s="374">
        <f t="shared" si="2"/>
        <v>1.2722598445000131</v>
      </c>
      <c r="L11" s="92">
        <f t="shared" si="3"/>
        <v>9.835812912886821E-3</v>
      </c>
      <c r="M11" s="1403"/>
      <c r="N11" s="1102">
        <v>129.80000000000001</v>
      </c>
      <c r="O11" s="1102"/>
      <c r="P11" s="374">
        <f t="shared" si="4"/>
        <v>0.82200000000000273</v>
      </c>
      <c r="Q11" s="92">
        <f t="shared" si="5"/>
        <v>6.332819722650207E-3</v>
      </c>
      <c r="S11" s="1403"/>
      <c r="U11" s="105"/>
      <c r="V11" s="2"/>
      <c r="W11" s="2"/>
      <c r="X11" s="2"/>
      <c r="Y11" s="2"/>
      <c r="Z11" s="2"/>
      <c r="AA11" s="2"/>
      <c r="AB11" s="2"/>
      <c r="AC11" s="2"/>
      <c r="AD11" s="2"/>
      <c r="AE11" s="2"/>
      <c r="AF11" s="2"/>
      <c r="AG11" s="2"/>
      <c r="AH11" s="2"/>
      <c r="AI11" s="2"/>
      <c r="AJ11" s="2"/>
      <c r="AK11" s="2"/>
      <c r="AL11" s="2"/>
      <c r="AM11" s="2"/>
      <c r="AN11" s="2"/>
      <c r="AO11" s="2"/>
      <c r="AP11" s="2"/>
      <c r="AQ11" s="98"/>
      <c r="AR11" s="2"/>
    </row>
    <row r="12" spans="1:44" ht="12.75" customHeight="1">
      <c r="A12" s="334" t="s">
        <v>273</v>
      </c>
      <c r="B12" s="61"/>
      <c r="C12" s="2031">
        <f>BYD!BH17</f>
        <v>0</v>
      </c>
      <c r="D12" s="104">
        <f>BYD!BC17</f>
        <v>0</v>
      </c>
      <c r="E12" s="1103"/>
      <c r="F12" s="374">
        <f t="shared" si="0"/>
        <v>0</v>
      </c>
      <c r="G12" s="95">
        <f t="shared" si="1"/>
        <v>0</v>
      </c>
      <c r="H12" s="61"/>
      <c r="I12" s="1104">
        <v>0</v>
      </c>
      <c r="J12" s="1103"/>
      <c r="K12" s="374">
        <f t="shared" si="2"/>
        <v>0</v>
      </c>
      <c r="L12" s="92" t="str">
        <f t="shared" si="3"/>
        <v>NM</v>
      </c>
      <c r="N12" s="1102">
        <v>0</v>
      </c>
      <c r="O12" s="1102"/>
      <c r="P12" s="374">
        <f t="shared" si="4"/>
        <v>0</v>
      </c>
      <c r="Q12" s="92" t="str">
        <f t="shared" si="5"/>
        <v>NM</v>
      </c>
      <c r="U12" s="105"/>
      <c r="V12" s="2"/>
      <c r="W12" s="2"/>
      <c r="X12" s="2"/>
      <c r="Y12" s="2"/>
      <c r="Z12" s="2"/>
      <c r="AA12" s="2"/>
      <c r="AB12" s="2"/>
      <c r="AC12" s="2"/>
      <c r="AD12" s="2"/>
      <c r="AE12" s="2"/>
      <c r="AF12" s="2"/>
      <c r="AG12" s="2"/>
      <c r="AH12" s="2"/>
      <c r="AI12" s="2"/>
      <c r="AJ12" s="2"/>
      <c r="AK12" s="2"/>
      <c r="AL12" s="2"/>
      <c r="AM12" s="2"/>
      <c r="AN12" s="2"/>
      <c r="AO12" s="2"/>
      <c r="AP12" s="2"/>
      <c r="AQ12" s="98"/>
      <c r="AR12" s="2"/>
    </row>
    <row r="13" spans="1:44" ht="12.75" customHeight="1">
      <c r="A13" s="2679" t="s">
        <v>899</v>
      </c>
      <c r="B13" s="61"/>
      <c r="C13" s="2031">
        <f>BYD!BH18</f>
        <v>0</v>
      </c>
      <c r="D13" s="104">
        <f>BYD!BC18</f>
        <v>0</v>
      </c>
      <c r="E13" s="1103"/>
      <c r="F13" s="374">
        <f t="shared" si="0"/>
        <v>0</v>
      </c>
      <c r="G13" s="95">
        <f t="shared" si="1"/>
        <v>0</v>
      </c>
      <c r="H13" s="61"/>
      <c r="I13" s="1104">
        <v>0</v>
      </c>
      <c r="J13" s="1103"/>
      <c r="K13" s="374">
        <f t="shared" si="2"/>
        <v>0</v>
      </c>
      <c r="L13" s="92" t="str">
        <f t="shared" si="3"/>
        <v>NM</v>
      </c>
      <c r="N13" s="1102">
        <v>0</v>
      </c>
      <c r="O13" s="1102"/>
      <c r="P13" s="374">
        <f t="shared" si="4"/>
        <v>0</v>
      </c>
      <c r="Q13" s="92" t="str">
        <f t="shared" si="5"/>
        <v>NM</v>
      </c>
      <c r="U13" s="105"/>
      <c r="V13" s="2"/>
      <c r="W13" s="2"/>
      <c r="X13" s="2"/>
      <c r="Y13" s="2"/>
      <c r="Z13" s="2"/>
      <c r="AA13" s="2"/>
      <c r="AB13" s="2"/>
      <c r="AC13" s="2"/>
      <c r="AD13" s="2"/>
      <c r="AE13" s="2"/>
      <c r="AF13" s="2"/>
      <c r="AG13" s="2"/>
      <c r="AH13" s="2"/>
      <c r="AI13" s="2"/>
      <c r="AJ13" s="2"/>
      <c r="AK13" s="2"/>
      <c r="AL13" s="2"/>
      <c r="AM13" s="2"/>
      <c r="AN13" s="2"/>
      <c r="AO13" s="2"/>
      <c r="AP13" s="2"/>
      <c r="AQ13" s="98"/>
      <c r="AR13" s="2"/>
    </row>
    <row r="14" spans="1:44" ht="12.75" customHeight="1">
      <c r="A14" s="138" t="s">
        <v>813</v>
      </c>
      <c r="B14" s="1203"/>
      <c r="C14" s="2032">
        <f>SUM(C8:C13)</f>
        <v>559.86500000000001</v>
      </c>
      <c r="D14" s="1210">
        <f>SUM(D8:D13)</f>
        <v>540.68000000000006</v>
      </c>
      <c r="E14" s="1210"/>
      <c r="F14" s="1210">
        <f>SUM(F8:F13)</f>
        <v>19.184999999999967</v>
      </c>
      <c r="G14" s="1208">
        <f t="shared" si="1"/>
        <v>3.548309536139671E-2</v>
      </c>
      <c r="H14" s="1206"/>
      <c r="I14" s="1250">
        <v>541.76400464209132</v>
      </c>
      <c r="J14" s="1210"/>
      <c r="K14" s="1210">
        <f>SUM(K8:K13)</f>
        <v>18.100995357908715</v>
      </c>
      <c r="L14" s="1211">
        <f>C14/I14-1</f>
        <v>3.3411218173984958E-2</v>
      </c>
      <c r="M14" s="1444"/>
      <c r="N14" s="1349">
        <v>548.26</v>
      </c>
      <c r="O14" s="1349"/>
      <c r="P14" s="2368">
        <f t="shared" si="4"/>
        <v>11.605000000000018</v>
      </c>
      <c r="Q14" s="1211">
        <f t="shared" si="5"/>
        <v>2.1166964578849479E-2</v>
      </c>
      <c r="R14" s="1299"/>
      <c r="S14" s="1617"/>
      <c r="U14" s="105">
        <f>+C14/N14-1</f>
        <v>2.1166964578849479E-2</v>
      </c>
      <c r="V14" s="2"/>
      <c r="W14" s="2"/>
      <c r="X14" s="2"/>
      <c r="Y14" s="2"/>
      <c r="Z14" s="2"/>
      <c r="AA14" s="2"/>
      <c r="AB14" s="2"/>
      <c r="AC14" s="2"/>
      <c r="AD14" s="2"/>
      <c r="AE14" s="2"/>
      <c r="AF14" s="2"/>
      <c r="AG14" s="2"/>
      <c r="AH14" s="2"/>
      <c r="AI14" s="2"/>
      <c r="AJ14" s="2"/>
      <c r="AK14" s="2"/>
      <c r="AL14" s="2"/>
      <c r="AM14" s="2"/>
      <c r="AN14" s="2"/>
      <c r="AO14" s="2"/>
      <c r="AP14" s="2"/>
      <c r="AQ14" s="98"/>
      <c r="AR14" s="2"/>
    </row>
    <row r="15" spans="1:44" ht="12.75" customHeight="1">
      <c r="A15" s="61"/>
      <c r="B15" s="61"/>
      <c r="C15" s="2033"/>
      <c r="D15" s="77"/>
      <c r="E15" s="61"/>
      <c r="F15" s="61"/>
      <c r="G15" s="1139"/>
      <c r="H15" s="61"/>
      <c r="I15" s="115"/>
      <c r="J15" s="61"/>
      <c r="K15" s="61"/>
      <c r="L15" s="1212"/>
      <c r="N15" s="105">
        <f>C14/N14-1</f>
        <v>2.1166964578849479E-2</v>
      </c>
      <c r="O15" s="105"/>
      <c r="P15" s="105"/>
      <c r="Q15" s="105"/>
      <c r="U15" s="2"/>
      <c r="V15" s="2"/>
      <c r="W15" s="101" t="str">
        <f>+C6</f>
        <v>2Q15A</v>
      </c>
      <c r="X15" s="101"/>
      <c r="Y15" s="101" t="str">
        <f>+D6</f>
        <v>2Q14A</v>
      </c>
      <c r="Z15" s="101"/>
      <c r="AA15" s="101" t="s">
        <v>1490</v>
      </c>
      <c r="AB15" s="101"/>
      <c r="AC15" s="2"/>
      <c r="AD15" s="2"/>
      <c r="AE15" s="2"/>
      <c r="AF15" s="2"/>
      <c r="AG15" s="2"/>
      <c r="AH15" s="2"/>
      <c r="AI15" s="2"/>
      <c r="AJ15" s="2"/>
      <c r="AK15" s="2"/>
      <c r="AL15" s="2"/>
      <c r="AM15" s="2"/>
      <c r="AN15" s="2"/>
      <c r="AO15" s="2"/>
      <c r="AP15" s="2"/>
      <c r="AQ15" s="98"/>
      <c r="AR15" s="2"/>
    </row>
    <row r="16" spans="1:44" ht="12.75" customHeight="1">
      <c r="A16" s="107" t="s">
        <v>401</v>
      </c>
      <c r="B16" s="61"/>
      <c r="C16" s="2034"/>
      <c r="D16" s="1390"/>
      <c r="E16" s="61"/>
      <c r="F16" s="61"/>
      <c r="G16" s="1139"/>
      <c r="H16" s="61"/>
      <c r="I16" s="115"/>
      <c r="J16" s="61"/>
      <c r="K16" s="61"/>
      <c r="L16" s="1212"/>
      <c r="N16" s="98"/>
      <c r="O16" s="98"/>
      <c r="P16" s="98"/>
      <c r="Q16" s="98"/>
      <c r="U16" s="101" t="s">
        <v>1488</v>
      </c>
      <c r="V16" s="2"/>
      <c r="W16" s="101" t="s">
        <v>1160</v>
      </c>
      <c r="X16" s="101"/>
      <c r="Y16" s="101" t="s">
        <v>1160</v>
      </c>
      <c r="Z16" s="101"/>
      <c r="AA16" s="101" t="s">
        <v>1160</v>
      </c>
      <c r="AB16" s="101"/>
      <c r="AC16" s="2"/>
      <c r="AD16" s="2"/>
      <c r="AE16" s="2"/>
      <c r="AF16" s="2"/>
      <c r="AG16" s="2"/>
      <c r="AH16" s="2"/>
      <c r="AI16" s="2"/>
      <c r="AJ16" s="2"/>
      <c r="AK16" s="2"/>
      <c r="AL16" s="2"/>
      <c r="AM16" s="2"/>
      <c r="AN16" s="2"/>
      <c r="AO16" s="2"/>
      <c r="AP16" s="2"/>
      <c r="AQ16" s="98"/>
      <c r="AR16" s="2"/>
    </row>
    <row r="17" spans="1:44" ht="12.75" customHeight="1">
      <c r="A17" s="334" t="s">
        <v>514</v>
      </c>
      <c r="B17" s="61"/>
      <c r="C17" s="2030">
        <f>BYD!BH38</f>
        <v>42.174999999999997</v>
      </c>
      <c r="D17" s="858">
        <f>BYD!BC38</f>
        <v>36.581000000000003</v>
      </c>
      <c r="E17" s="1202"/>
      <c r="F17" s="897">
        <f t="shared" ref="F17:F22" si="6">C17-D17</f>
        <v>5.5939999999999941</v>
      </c>
      <c r="G17" s="95">
        <f t="shared" ref="G17:G25" si="7">IF(D17=0,0,C17/D17-1)</f>
        <v>0.15292091522921725</v>
      </c>
      <c r="H17" s="61"/>
      <c r="I17" s="1207">
        <v>37.139445000000009</v>
      </c>
      <c r="J17" s="1103"/>
      <c r="K17" s="897">
        <f t="shared" ref="K17:K22" si="8">C17-I17</f>
        <v>5.035554999999988</v>
      </c>
      <c r="L17" s="92">
        <f t="shared" ref="L17:L22" si="9">IF(I17=0,"NM",C17/I17-1)</f>
        <v>0.13558509019184295</v>
      </c>
      <c r="M17" s="1403"/>
      <c r="N17" s="1102">
        <v>37.01</v>
      </c>
      <c r="O17" s="1102"/>
      <c r="P17" s="313">
        <f t="shared" ref="P17:P23" si="10">C17-N17</f>
        <v>5.1649999999999991</v>
      </c>
      <c r="Q17" s="1204">
        <f t="shared" ref="Q17:Q23" si="11">IF(N17=0,"NM",C17/N17-1)</f>
        <v>0.13955687651985937</v>
      </c>
      <c r="U17" s="126">
        <f>+C17/$C$23</f>
        <v>0.23735624259580773</v>
      </c>
      <c r="V17" s="2"/>
      <c r="W17" s="105">
        <f>+C17/C8</f>
        <v>0.27559595378744312</v>
      </c>
      <c r="X17" s="105"/>
      <c r="Y17" s="105">
        <f>+D17/D8</f>
        <v>0.24671882376745127</v>
      </c>
      <c r="Z17" s="105"/>
      <c r="AA17" s="105">
        <f>+I17/I8</f>
        <v>0.25048522964861408</v>
      </c>
      <c r="AB17" s="105"/>
      <c r="AC17" s="2"/>
      <c r="AD17" s="2"/>
      <c r="AE17" s="2"/>
      <c r="AF17" s="2"/>
      <c r="AG17" s="2"/>
      <c r="AH17" s="2"/>
      <c r="AI17" s="2"/>
      <c r="AJ17" s="2"/>
      <c r="AK17" s="2"/>
      <c r="AL17" s="2"/>
      <c r="AM17" s="2"/>
      <c r="AN17" s="2"/>
      <c r="AO17" s="2"/>
      <c r="AP17" s="2"/>
      <c r="AQ17" s="98"/>
      <c r="AR17" s="2"/>
    </row>
    <row r="18" spans="1:44" ht="12.75" customHeight="1">
      <c r="A18" s="334" t="s">
        <v>515</v>
      </c>
      <c r="B18" s="61"/>
      <c r="C18" s="2031">
        <f>BYD!BH39</f>
        <v>12.307</v>
      </c>
      <c r="D18" s="104">
        <f>BYD!BC39</f>
        <v>8.5510000000000002</v>
      </c>
      <c r="E18" s="1103"/>
      <c r="F18" s="374">
        <f t="shared" si="6"/>
        <v>3.7560000000000002</v>
      </c>
      <c r="G18" s="95">
        <f t="shared" si="7"/>
        <v>0.43924687171091104</v>
      </c>
      <c r="H18" s="61"/>
      <c r="I18" s="1104">
        <v>9.0637649999999965</v>
      </c>
      <c r="J18" s="1103"/>
      <c r="K18" s="374">
        <f t="shared" si="8"/>
        <v>3.2432350000000039</v>
      </c>
      <c r="L18" s="92">
        <f t="shared" si="9"/>
        <v>0.35782425956542396</v>
      </c>
      <c r="M18" s="1403"/>
      <c r="N18" s="1102">
        <v>8.9600000000000009</v>
      </c>
      <c r="O18" s="1102"/>
      <c r="P18" s="374">
        <f t="shared" si="10"/>
        <v>3.3469999999999995</v>
      </c>
      <c r="Q18" s="92">
        <f t="shared" si="11"/>
        <v>0.37354910714285716</v>
      </c>
      <c r="U18" s="126">
        <f>+C18/$C$23</f>
        <v>6.9262436932462507E-2</v>
      </c>
      <c r="V18" s="2"/>
      <c r="W18" s="105">
        <f>+C18/C9</f>
        <v>0.21061368381421777</v>
      </c>
      <c r="X18" s="105"/>
      <c r="Y18" s="105">
        <f>+D18/D9</f>
        <v>0.15392785138248849</v>
      </c>
      <c r="Z18" s="105"/>
      <c r="AA18" s="105">
        <f>+I18/I9</f>
        <v>0.1623464797269413</v>
      </c>
      <c r="AB18" s="105"/>
      <c r="AC18" s="2"/>
      <c r="AD18" s="2"/>
      <c r="AE18" s="2"/>
      <c r="AF18" s="2"/>
      <c r="AG18" s="2"/>
      <c r="AH18" s="2"/>
      <c r="AI18" s="2"/>
      <c r="AJ18" s="2"/>
      <c r="AK18" s="2"/>
      <c r="AL18" s="2"/>
      <c r="AM18" s="2"/>
      <c r="AN18" s="2"/>
      <c r="AO18" s="2"/>
      <c r="AP18" s="2"/>
      <c r="AQ18" s="98"/>
      <c r="AR18" s="2"/>
    </row>
    <row r="19" spans="1:44" ht="12.75" customHeight="1">
      <c r="A19" s="334" t="s">
        <v>516</v>
      </c>
      <c r="B19" s="61"/>
      <c r="C19" s="2031">
        <f>BYD!BH41</f>
        <v>51.777000000000001</v>
      </c>
      <c r="D19" s="104">
        <f>BYD!BC41</f>
        <v>42.198999999999998</v>
      </c>
      <c r="E19" s="1103"/>
      <c r="F19" s="374">
        <f t="shared" si="6"/>
        <v>9.578000000000003</v>
      </c>
      <c r="G19" s="95">
        <f t="shared" si="7"/>
        <v>0.22697220313277566</v>
      </c>
      <c r="H19" s="61"/>
      <c r="I19" s="1104">
        <v>42.244029486591273</v>
      </c>
      <c r="J19" s="1103"/>
      <c r="K19" s="374">
        <f t="shared" si="8"/>
        <v>9.5329705134087277</v>
      </c>
      <c r="L19" s="92">
        <f t="shared" si="9"/>
        <v>0.2256643276994823</v>
      </c>
      <c r="M19" s="1404"/>
      <c r="N19" s="1102">
        <v>44.04</v>
      </c>
      <c r="O19" s="1102"/>
      <c r="P19" s="374">
        <f t="shared" si="10"/>
        <v>7.7370000000000019</v>
      </c>
      <c r="Q19" s="92">
        <f t="shared" si="11"/>
        <v>0.17568119891008172</v>
      </c>
      <c r="S19" s="1403"/>
      <c r="U19" s="126">
        <f>+C19/$C$23</f>
        <v>0.29139523824263519</v>
      </c>
      <c r="V19" s="2"/>
      <c r="W19" s="105">
        <f>+C19/C10</f>
        <v>0.23775237972788679</v>
      </c>
      <c r="X19" s="105"/>
      <c r="Y19" s="105">
        <f>+D19/D10</f>
        <v>0.20180866937026548</v>
      </c>
      <c r="Z19" s="105"/>
      <c r="AA19" s="105">
        <f>+I19/I10</f>
        <v>0.20278966935454282</v>
      </c>
      <c r="AB19" s="105"/>
      <c r="AC19" s="2"/>
      <c r="AD19" s="2"/>
      <c r="AE19" s="2"/>
      <c r="AF19" s="2"/>
      <c r="AG19" s="2"/>
      <c r="AH19" s="2"/>
      <c r="AI19" s="2"/>
      <c r="AJ19" s="2"/>
      <c r="AK19" s="2"/>
      <c r="AL19" s="2"/>
      <c r="AM19" s="2"/>
      <c r="AN19" s="2"/>
      <c r="AO19" s="2"/>
      <c r="AP19" s="2"/>
      <c r="AQ19" s="98"/>
      <c r="AR19" s="2"/>
    </row>
    <row r="20" spans="1:44" ht="12.75" customHeight="1">
      <c r="A20" s="963" t="s">
        <v>517</v>
      </c>
      <c r="B20" s="61"/>
      <c r="C20" s="2031">
        <f>BYD!BH42</f>
        <v>49.164000000000001</v>
      </c>
      <c r="D20" s="104">
        <f>BYD!BC42</f>
        <v>45.281999999999996</v>
      </c>
      <c r="E20" s="1103"/>
      <c r="F20" s="374">
        <f t="shared" si="6"/>
        <v>3.882000000000005</v>
      </c>
      <c r="G20" s="95">
        <f t="shared" si="7"/>
        <v>8.5729428912150629E-2</v>
      </c>
      <c r="H20" s="61"/>
      <c r="I20" s="1104">
        <v>46.590297524582887</v>
      </c>
      <c r="J20" s="1103"/>
      <c r="K20" s="374">
        <f t="shared" si="8"/>
        <v>2.5737024754171145</v>
      </c>
      <c r="L20" s="92">
        <f t="shared" si="9"/>
        <v>5.5241168487046632E-2</v>
      </c>
      <c r="M20" s="1404"/>
      <c r="N20" s="1102">
        <v>46.74</v>
      </c>
      <c r="O20" s="1102"/>
      <c r="P20" s="374">
        <f t="shared" si="10"/>
        <v>2.4239999999999995</v>
      </c>
      <c r="Q20" s="92">
        <f t="shared" si="11"/>
        <v>5.1861360718870264E-2</v>
      </c>
      <c r="S20" s="1403"/>
      <c r="U20" s="126">
        <f>+C20/$C$23</f>
        <v>0.27668956279739876</v>
      </c>
      <c r="V20" s="2"/>
      <c r="W20" s="105">
        <f>+C20/C11</f>
        <v>0.37638376383763833</v>
      </c>
      <c r="X20" s="105"/>
      <c r="Y20" s="105"/>
      <c r="Z20" s="105"/>
      <c r="AA20" s="105">
        <f>+I20/I11</f>
        <v>0.36018856681562378</v>
      </c>
      <c r="AB20" s="105"/>
      <c r="AC20" s="2"/>
      <c r="AD20" s="2"/>
      <c r="AE20" s="2"/>
      <c r="AF20" s="2"/>
      <c r="AG20" s="2"/>
      <c r="AH20" s="2"/>
      <c r="AI20" s="2"/>
      <c r="AJ20" s="2"/>
      <c r="AK20" s="2"/>
      <c r="AL20" s="2"/>
      <c r="AM20" s="2"/>
      <c r="AN20" s="2"/>
      <c r="AO20" s="2"/>
      <c r="AP20" s="2"/>
      <c r="AQ20" s="98"/>
      <c r="AR20" s="2"/>
    </row>
    <row r="21" spans="1:44" ht="12.75" customHeight="1">
      <c r="A21" s="334" t="s">
        <v>273</v>
      </c>
      <c r="B21" s="61"/>
      <c r="C21" s="2031">
        <f>BYD!BH48</f>
        <v>21.4635</v>
      </c>
      <c r="D21" s="104">
        <f>BYD!BC48</f>
        <v>22.198999999999998</v>
      </c>
      <c r="E21" s="1103"/>
      <c r="F21" s="374">
        <f t="shared" si="6"/>
        <v>-0.73549999999999827</v>
      </c>
      <c r="G21" s="95">
        <f t="shared" si="7"/>
        <v>-3.3132123068606578E-2</v>
      </c>
      <c r="H21" s="61"/>
      <c r="I21" s="1104">
        <v>19.261178460749967</v>
      </c>
      <c r="J21" s="1103"/>
      <c r="K21" s="374">
        <f t="shared" si="8"/>
        <v>2.2023215392500326</v>
      </c>
      <c r="L21" s="92">
        <f t="shared" si="9"/>
        <v>0.11433991662233334</v>
      </c>
      <c r="M21" s="1444"/>
      <c r="N21" s="1102">
        <v>19.59</v>
      </c>
      <c r="O21" s="1102"/>
      <c r="P21" s="374">
        <f t="shared" si="10"/>
        <v>1.8734999999999999</v>
      </c>
      <c r="Q21" s="92">
        <f t="shared" si="11"/>
        <v>9.5635528330781039E-2</v>
      </c>
      <c r="S21" s="2369"/>
      <c r="U21" s="126">
        <f>+C21/$C$23</f>
        <v>0.120794207776055</v>
      </c>
      <c r="V21" s="2"/>
      <c r="W21" s="105"/>
      <c r="X21" s="105"/>
      <c r="Y21" s="105"/>
      <c r="Z21" s="105"/>
      <c r="AA21" s="105"/>
      <c r="AB21" s="105"/>
      <c r="AC21" s="2"/>
      <c r="AD21" s="2"/>
      <c r="AE21" s="2"/>
      <c r="AF21" s="2"/>
      <c r="AG21" s="2"/>
      <c r="AH21" s="2"/>
      <c r="AI21" s="2"/>
      <c r="AJ21" s="2"/>
      <c r="AK21" s="2"/>
      <c r="AL21" s="2"/>
      <c r="AM21" s="2"/>
      <c r="AN21" s="2"/>
      <c r="AO21" s="2"/>
      <c r="AP21" s="2"/>
      <c r="AQ21" s="98"/>
      <c r="AR21" s="2"/>
    </row>
    <row r="22" spans="1:44" ht="12.75" customHeight="1">
      <c r="A22" s="2679" t="s">
        <v>899</v>
      </c>
      <c r="B22" s="61"/>
      <c r="C22" s="2031">
        <f>BYD!BH49</f>
        <v>0.8</v>
      </c>
      <c r="D22" s="104">
        <f>BYD!BC49</f>
        <v>-0.9</v>
      </c>
      <c r="E22" s="1103"/>
      <c r="F22" s="374">
        <f t="shared" si="6"/>
        <v>1.7000000000000002</v>
      </c>
      <c r="G22" s="95">
        <f>IF(D22=0,0,C22/D22-1)</f>
        <v>-1.8888888888888888</v>
      </c>
      <c r="H22" s="61"/>
      <c r="I22" s="1104">
        <v>0.2113650678125</v>
      </c>
      <c r="J22" s="1103"/>
      <c r="K22" s="374">
        <f t="shared" si="8"/>
        <v>0.58863493218750007</v>
      </c>
      <c r="L22" s="92">
        <f t="shared" si="9"/>
        <v>2.7849206033878438</v>
      </c>
      <c r="M22" s="1444"/>
      <c r="N22" s="1102"/>
      <c r="O22" s="1102"/>
      <c r="P22" s="374"/>
      <c r="Q22" s="92"/>
      <c r="S22" s="2369"/>
      <c r="U22" s="126"/>
      <c r="V22" s="2"/>
      <c r="W22" s="105"/>
      <c r="X22" s="105"/>
      <c r="Y22" s="105"/>
      <c r="Z22" s="105"/>
      <c r="AA22" s="105"/>
      <c r="AB22" s="105"/>
      <c r="AC22" s="2"/>
      <c r="AD22" s="2"/>
      <c r="AE22" s="2"/>
      <c r="AF22" s="2"/>
      <c r="AG22" s="2"/>
      <c r="AH22" s="2"/>
      <c r="AI22" s="2"/>
      <c r="AJ22" s="2"/>
      <c r="AK22" s="2"/>
      <c r="AL22" s="2"/>
      <c r="AM22" s="2"/>
      <c r="AN22" s="2"/>
      <c r="AO22" s="2"/>
      <c r="AP22" s="2"/>
      <c r="AQ22" s="98"/>
      <c r="AR22" s="2"/>
    </row>
    <row r="23" spans="1:44" ht="12.75" customHeight="1">
      <c r="A23" s="138" t="s">
        <v>819</v>
      </c>
      <c r="B23" s="1203"/>
      <c r="C23" s="2032">
        <f>SUM(C17:C22)</f>
        <v>177.68650000000002</v>
      </c>
      <c r="D23" s="1210">
        <f>SUM(D17:D21)</f>
        <v>154.81200000000001</v>
      </c>
      <c r="E23" s="1210"/>
      <c r="F23" s="1210">
        <f>SUM(F17:F22)</f>
        <v>23.774500000000003</v>
      </c>
      <c r="G23" s="1208">
        <f t="shared" si="7"/>
        <v>0.14775663385267301</v>
      </c>
      <c r="H23" s="1206"/>
      <c r="I23" s="1250">
        <v>154.51008053973663</v>
      </c>
      <c r="J23" s="1210"/>
      <c r="K23" s="1210">
        <f>SUM(K17:K21)</f>
        <v>22.587784528075868</v>
      </c>
      <c r="L23" s="1211">
        <f>C23/I23-1</f>
        <v>0.14999940055239902</v>
      </c>
      <c r="M23" s="1444"/>
      <c r="N23" s="1349">
        <v>156.35</v>
      </c>
      <c r="O23" s="1205"/>
      <c r="P23" s="2368">
        <f t="shared" si="10"/>
        <v>21.336500000000029</v>
      </c>
      <c r="Q23" s="1211">
        <f t="shared" si="11"/>
        <v>0.13646626159258091</v>
      </c>
      <c r="U23" s="2"/>
      <c r="V23" s="2"/>
      <c r="W23" s="2"/>
      <c r="X23" s="2"/>
      <c r="Y23" s="2"/>
      <c r="Z23" s="2"/>
      <c r="AA23" s="2"/>
      <c r="AB23" s="2"/>
      <c r="AC23" s="2"/>
      <c r="AD23" s="2"/>
      <c r="AE23" s="2"/>
      <c r="AF23" s="2"/>
      <c r="AG23" s="2"/>
      <c r="AH23" s="2"/>
      <c r="AI23" s="2"/>
      <c r="AJ23" s="2"/>
      <c r="AK23" s="2"/>
      <c r="AL23" s="2"/>
      <c r="AM23" s="2"/>
      <c r="AN23" s="2"/>
      <c r="AO23" s="2"/>
      <c r="AP23" s="2"/>
      <c r="AQ23" s="98"/>
      <c r="AR23" s="2"/>
    </row>
    <row r="24" spans="1:44" ht="12.75" customHeight="1">
      <c r="A24" s="2" t="s">
        <v>742</v>
      </c>
      <c r="B24" s="2"/>
      <c r="C24" s="2031">
        <f>BYD!BH54</f>
        <v>-14.776999999999999</v>
      </c>
      <c r="D24" s="104">
        <f>BYD!BC54</f>
        <v>-14.625</v>
      </c>
      <c r="E24" s="1103"/>
      <c r="F24" s="374">
        <f>C24-D24</f>
        <v>-0.15199999999999925</v>
      </c>
      <c r="G24" s="126">
        <f t="shared" si="7"/>
        <v>1.0393162393162347E-2</v>
      </c>
      <c r="H24" s="2"/>
      <c r="I24" s="1104">
        <v>-16.25</v>
      </c>
      <c r="J24" s="1103"/>
      <c r="K24" s="374">
        <f>C24-I24</f>
        <v>1.4730000000000008</v>
      </c>
      <c r="L24" s="1204">
        <f>IF(I24=0,"NM",C24/I24-1)</f>
        <v>-9.0646153846153932E-2</v>
      </c>
      <c r="N24" s="1336"/>
      <c r="O24" s="1336"/>
      <c r="P24" s="1336"/>
      <c r="Q24" s="1336"/>
      <c r="U24" s="2"/>
      <c r="V24" s="2"/>
      <c r="W24" s="2"/>
      <c r="X24" s="2"/>
      <c r="Y24" s="2"/>
      <c r="Z24" s="2"/>
      <c r="AA24" s="2"/>
      <c r="AB24" s="2"/>
      <c r="AC24" s="2"/>
      <c r="AD24" s="2"/>
      <c r="AE24" s="2"/>
      <c r="AF24" s="2"/>
      <c r="AG24" s="2"/>
      <c r="AH24" s="2"/>
      <c r="AI24" s="2"/>
      <c r="AJ24" s="2"/>
      <c r="AK24" s="2"/>
      <c r="AL24" s="2"/>
      <c r="AM24" s="2"/>
      <c r="AN24" s="2"/>
      <c r="AO24" s="2"/>
      <c r="AP24" s="2"/>
      <c r="AQ24" s="98"/>
      <c r="AR24" s="2"/>
    </row>
    <row r="25" spans="1:44" ht="12.75" customHeight="1">
      <c r="A25" s="138" t="s">
        <v>555</v>
      </c>
      <c r="B25" s="1203"/>
      <c r="C25" s="2032">
        <f>SUM(C23:C24)</f>
        <v>162.90950000000004</v>
      </c>
      <c r="D25" s="1210">
        <f>SUM(D23:D24)</f>
        <v>140.18700000000001</v>
      </c>
      <c r="E25" s="1210"/>
      <c r="F25" s="1210">
        <f>F23+F24</f>
        <v>23.622500000000002</v>
      </c>
      <c r="G25" s="1208">
        <f t="shared" si="7"/>
        <v>0.16208706941442519</v>
      </c>
      <c r="H25" s="1210"/>
      <c r="I25" s="1250">
        <v>138.26008053973663</v>
      </c>
      <c r="J25" s="1210"/>
      <c r="K25" s="1210">
        <f>K23+K24</f>
        <v>24.060784528075871</v>
      </c>
      <c r="L25" s="1254">
        <f>IF(I25=0,"NM",C25/I25-1)</f>
        <v>0.17828298207289883</v>
      </c>
      <c r="M25" s="1442"/>
      <c r="N25" s="1349">
        <v>140.05000000000001</v>
      </c>
      <c r="O25" s="1349"/>
      <c r="P25" s="374">
        <f>C25-N25</f>
        <v>22.859500000000025</v>
      </c>
      <c r="Q25" s="92">
        <f>IF(N25=0,"NM",C25/N25-1)</f>
        <v>0.16322384862549111</v>
      </c>
      <c r="R25" s="1299"/>
      <c r="S25" s="2369"/>
      <c r="U25" s="105">
        <f>+C25/N25-1</f>
        <v>0.16322384862549111</v>
      </c>
      <c r="V25" s="2"/>
      <c r="W25" s="2"/>
      <c r="X25" s="2"/>
      <c r="Y25" s="2"/>
      <c r="Z25" s="2"/>
      <c r="AA25" s="2"/>
      <c r="AB25" s="2"/>
      <c r="AC25" s="2"/>
      <c r="AD25" s="2"/>
      <c r="AE25" s="2"/>
      <c r="AF25" s="2"/>
      <c r="AG25" s="2"/>
      <c r="AH25" s="2"/>
      <c r="AI25" s="2"/>
      <c r="AJ25" s="2"/>
      <c r="AK25" s="2"/>
      <c r="AL25" s="2"/>
      <c r="AM25" s="2"/>
      <c r="AN25" s="2"/>
      <c r="AO25" s="2"/>
      <c r="AP25" s="2"/>
      <c r="AQ25" s="98"/>
      <c r="AR25" s="2"/>
    </row>
    <row r="26" spans="1:44" ht="12.75" customHeight="1">
      <c r="A26" s="2253" t="s">
        <v>1486</v>
      </c>
      <c r="B26" s="2253"/>
      <c r="C26" s="2259">
        <f>+C25/C14</f>
        <v>0.29097996838523577</v>
      </c>
      <c r="D26" s="2253">
        <f>+D25/D14</f>
        <v>0.25927905600355106</v>
      </c>
      <c r="E26" s="2253"/>
      <c r="F26" s="2253"/>
      <c r="G26" s="213">
        <f>+C26-D26</f>
        <v>3.1700912381684709E-2</v>
      </c>
      <c r="H26" s="2253"/>
      <c r="I26" s="2260"/>
      <c r="J26" s="2253"/>
      <c r="K26" s="2253"/>
      <c r="L26" s="213">
        <f>+C26-I26</f>
        <v>0.29097996838523577</v>
      </c>
      <c r="M26" s="2254"/>
      <c r="N26" s="105">
        <f>C25/N25-1</f>
        <v>0.16322384862549111</v>
      </c>
      <c r="O26" s="2258"/>
      <c r="P26" s="2258"/>
      <c r="Q26" s="2258"/>
      <c r="R26" s="2255"/>
      <c r="S26" s="2256"/>
      <c r="T26" s="2257"/>
      <c r="U26" s="2258"/>
      <c r="V26" s="2258"/>
      <c r="W26" s="2258"/>
      <c r="X26" s="2258"/>
      <c r="Y26" s="2258"/>
      <c r="Z26" s="2258"/>
      <c r="AA26" s="2258"/>
      <c r="AB26" s="2258"/>
      <c r="AC26" s="2258"/>
      <c r="AD26" s="2258"/>
      <c r="AE26" s="2258"/>
      <c r="AF26" s="2258"/>
      <c r="AG26" s="2258"/>
      <c r="AH26" s="2258"/>
      <c r="AI26" s="2258"/>
      <c r="AJ26" s="2258"/>
      <c r="AK26" s="2258"/>
      <c r="AL26" s="2258"/>
      <c r="AM26" s="2258"/>
      <c r="AN26" s="2258"/>
      <c r="AO26" s="2258"/>
      <c r="AP26" s="2258"/>
      <c r="AQ26" s="2277"/>
      <c r="AR26" s="2258"/>
    </row>
    <row r="27" spans="1:44" ht="3.95" customHeight="1">
      <c r="A27" s="198"/>
      <c r="B27" s="77"/>
      <c r="C27" s="2245"/>
      <c r="D27" s="2239"/>
      <c r="E27" s="2239"/>
      <c r="F27" s="2239"/>
      <c r="G27" s="2246"/>
      <c r="H27" s="2239"/>
      <c r="I27" s="2247"/>
      <c r="J27" s="2239"/>
      <c r="K27" s="2239"/>
      <c r="L27" s="2246"/>
      <c r="M27" s="2248"/>
      <c r="N27" s="2249"/>
      <c r="O27" s="2249"/>
      <c r="P27" s="2249"/>
      <c r="Q27" s="2249"/>
      <c r="R27" s="2250"/>
      <c r="S27" s="2251"/>
      <c r="T27" s="2252"/>
      <c r="U27" s="1062"/>
      <c r="V27" s="1062"/>
      <c r="W27" s="1062"/>
      <c r="X27" s="1062"/>
      <c r="Y27" s="1062"/>
      <c r="Z27" s="1062"/>
      <c r="AA27" s="1062"/>
      <c r="AB27" s="1062"/>
      <c r="AC27" s="1062"/>
      <c r="AD27" s="1062"/>
      <c r="AE27" s="1062"/>
      <c r="AF27" s="1062"/>
      <c r="AG27" s="1062"/>
      <c r="AH27" s="1062"/>
      <c r="AI27" s="1062"/>
      <c r="AJ27" s="1062"/>
      <c r="AK27" s="1062"/>
      <c r="AL27" s="1062"/>
      <c r="AM27" s="1062"/>
      <c r="AN27" s="1062"/>
      <c r="AO27" s="1062"/>
      <c r="AP27" s="1062"/>
      <c r="AQ27" s="1092"/>
      <c r="AR27" s="1062"/>
    </row>
    <row r="28" spans="1:44" ht="12.75" customHeight="1">
      <c r="A28" s="439" t="s">
        <v>1745</v>
      </c>
      <c r="B28" s="2"/>
      <c r="C28" s="2036">
        <f>BYD!BH65</f>
        <v>2.9260000000000002</v>
      </c>
      <c r="D28" s="374">
        <f>BYD!BC65</f>
        <v>3.4</v>
      </c>
      <c r="E28" s="1103"/>
      <c r="F28" s="374">
        <f>C28-D28</f>
        <v>-0.47399999999999975</v>
      </c>
      <c r="G28" s="126">
        <f>IF(D28=0,0,C28/D28-1)</f>
        <v>-0.13941176470588224</v>
      </c>
      <c r="H28" s="2"/>
      <c r="I28" s="432">
        <v>3.4409999999999998</v>
      </c>
      <c r="J28" s="1103"/>
      <c r="K28" s="374">
        <f>C28-I28</f>
        <v>-0.51499999999999968</v>
      </c>
      <c r="L28" s="1204">
        <f>IF(I28=0,"NM",C28/I28-1)</f>
        <v>-0.14966579482708509</v>
      </c>
      <c r="M28" s="1646"/>
      <c r="N28" s="2"/>
      <c r="O28" s="2"/>
      <c r="P28" s="2"/>
      <c r="Q28" s="2"/>
      <c r="U28" s="2"/>
      <c r="V28" s="2"/>
      <c r="W28" s="2"/>
      <c r="X28" s="2"/>
      <c r="Y28" s="2"/>
      <c r="Z28" s="2"/>
      <c r="AA28" s="2"/>
      <c r="AB28" s="2"/>
      <c r="AC28" s="2"/>
      <c r="AD28" s="2"/>
      <c r="AE28" s="2"/>
      <c r="AF28" s="2"/>
      <c r="AG28" s="2"/>
      <c r="AH28" s="2"/>
      <c r="AI28" s="2"/>
      <c r="AJ28" s="2"/>
      <c r="AK28" s="2"/>
      <c r="AL28" s="2"/>
      <c r="AM28" s="2"/>
      <c r="AN28" s="2"/>
      <c r="AO28" s="2"/>
      <c r="AP28" s="2"/>
      <c r="AQ28" s="98"/>
      <c r="AR28" s="2"/>
    </row>
    <row r="29" spans="1:44" ht="12.75" customHeight="1">
      <c r="A29" s="439" t="s">
        <v>201</v>
      </c>
      <c r="B29" s="2"/>
      <c r="C29" s="2036">
        <f>BYD!BH66</f>
        <v>0.85899999999999999</v>
      </c>
      <c r="D29" s="374">
        <f>BYD!BC66</f>
        <v>0.9</v>
      </c>
      <c r="E29" s="1103"/>
      <c r="F29" s="374">
        <f>C29-D29</f>
        <v>-4.1000000000000036E-2</v>
      </c>
      <c r="G29" s="126">
        <f>IF(D29=0,0,C29/D29-1)</f>
        <v>-4.5555555555555571E-2</v>
      </c>
      <c r="H29" s="2"/>
      <c r="I29" s="432">
        <v>0.90175000000000005</v>
      </c>
      <c r="J29" s="1103"/>
      <c r="K29" s="374">
        <f>C29-I29</f>
        <v>-4.2750000000000066E-2</v>
      </c>
      <c r="L29" s="1204">
        <f>IF(I29=0,"NM",C29/I29-1)</f>
        <v>-4.7407818131411261E-2</v>
      </c>
      <c r="M29" s="1102"/>
      <c r="N29" s="1102"/>
      <c r="O29" s="1102"/>
      <c r="P29" s="1102"/>
      <c r="Q29" s="1102"/>
      <c r="U29" s="2"/>
      <c r="V29" s="2"/>
      <c r="W29" s="2"/>
      <c r="X29" s="2"/>
      <c r="Y29" s="2"/>
      <c r="Z29" s="2"/>
      <c r="AA29" s="2"/>
      <c r="AB29" s="2"/>
      <c r="AC29" s="2"/>
      <c r="AD29" s="2"/>
      <c r="AE29" s="2"/>
      <c r="AF29" s="2"/>
      <c r="AG29" s="2"/>
      <c r="AH29" s="2"/>
      <c r="AI29" s="2"/>
      <c r="AJ29" s="2"/>
      <c r="AK29" s="2"/>
      <c r="AL29" s="2"/>
      <c r="AM29" s="2"/>
      <c r="AN29" s="2"/>
      <c r="AO29" s="2"/>
      <c r="AP29" s="2"/>
      <c r="AQ29" s="98"/>
      <c r="AR29" s="2"/>
    </row>
    <row r="30" spans="1:44" ht="12.75" customHeight="1">
      <c r="A30" s="1693" t="s">
        <v>202</v>
      </c>
      <c r="B30" s="2"/>
      <c r="C30" s="2036">
        <f>BYD!BH67</f>
        <v>51.963999999999999</v>
      </c>
      <c r="D30" s="374">
        <f>BYD!BC67</f>
        <v>51.8</v>
      </c>
      <c r="E30" s="1103"/>
      <c r="F30" s="374">
        <f>C30-D30</f>
        <v>0.16400000000000148</v>
      </c>
      <c r="G30" s="126">
        <f>IF(D30=0,0,C30/D30-1)</f>
        <v>3.166023166023102E-3</v>
      </c>
      <c r="H30" s="2"/>
      <c r="I30" s="432">
        <v>51.942</v>
      </c>
      <c r="J30" s="1103"/>
      <c r="K30" s="374">
        <f>C30-I30</f>
        <v>2.1999999999998465E-2</v>
      </c>
      <c r="L30" s="1204">
        <f>IF(I30=0,"NM",C30/I30-1)</f>
        <v>4.2354934349853046E-4</v>
      </c>
      <c r="M30" s="1102"/>
      <c r="N30" s="1102"/>
      <c r="O30" s="1102"/>
      <c r="P30" s="1102"/>
      <c r="Q30" s="1102"/>
      <c r="U30" s="2"/>
      <c r="V30" s="2"/>
      <c r="W30" s="2"/>
      <c r="X30" s="2"/>
      <c r="Y30" s="2"/>
      <c r="Z30" s="2"/>
      <c r="AA30" s="2"/>
      <c r="AB30" s="2"/>
      <c r="AC30" s="2"/>
      <c r="AD30" s="2"/>
      <c r="AE30" s="2"/>
      <c r="AF30" s="2"/>
      <c r="AG30" s="2"/>
      <c r="AH30" s="2"/>
      <c r="AI30" s="2"/>
      <c r="AJ30" s="2"/>
      <c r="AK30" s="2"/>
      <c r="AL30" s="2"/>
      <c r="AM30" s="2"/>
      <c r="AN30" s="2"/>
      <c r="AO30" s="2"/>
      <c r="AP30" s="2"/>
      <c r="AQ30" s="98"/>
      <c r="AR30" s="2"/>
    </row>
    <row r="31" spans="1:44" ht="12.75" customHeight="1">
      <c r="A31" s="3200" t="s">
        <v>1835</v>
      </c>
      <c r="B31" s="2"/>
      <c r="C31" s="2036">
        <f>BYD!BH68</f>
        <v>7.1760000000000002</v>
      </c>
      <c r="D31" s="374">
        <f>BYD!BC68</f>
        <v>7.2</v>
      </c>
      <c r="E31" s="1103"/>
      <c r="F31" s="374">
        <f>C31-D31</f>
        <v>-2.4000000000000021E-2</v>
      </c>
      <c r="G31" s="126">
        <f>IF(D31=0,0,C31/D31-1)</f>
        <v>-3.3333333333332993E-3</v>
      </c>
      <c r="H31" s="2"/>
      <c r="I31" s="432">
        <v>7.3994999999999997</v>
      </c>
      <c r="J31" s="1103"/>
      <c r="K31" s="374">
        <f>C31-I31</f>
        <v>-0.22349999999999959</v>
      </c>
      <c r="L31" s="1204">
        <f>IF(I31=0,"NM",C31/I31-1)</f>
        <v>-3.0204743563754244E-2</v>
      </c>
      <c r="M31" s="1102"/>
      <c r="N31" s="1102"/>
      <c r="O31" s="1102"/>
      <c r="P31" s="1102"/>
      <c r="Q31" s="1102"/>
      <c r="U31" s="2"/>
      <c r="V31" s="2"/>
      <c r="W31" s="2"/>
      <c r="X31" s="2"/>
      <c r="Y31" s="2"/>
      <c r="Z31" s="2"/>
      <c r="AA31" s="2"/>
      <c r="AB31" s="2"/>
      <c r="AC31" s="2"/>
      <c r="AD31" s="2"/>
      <c r="AE31" s="2"/>
      <c r="AF31" s="2"/>
      <c r="AG31" s="2"/>
      <c r="AH31" s="2"/>
      <c r="AI31" s="2"/>
      <c r="AJ31" s="2"/>
      <c r="AK31" s="2"/>
      <c r="AL31" s="2"/>
      <c r="AM31" s="2"/>
      <c r="AN31" s="2"/>
      <c r="AO31" s="2"/>
      <c r="AP31" s="2"/>
      <c r="AQ31" s="98"/>
      <c r="AR31" s="2"/>
    </row>
    <row r="32" spans="1:44" ht="4.5" customHeight="1">
      <c r="A32" s="964"/>
      <c r="B32" s="2"/>
      <c r="C32" s="2037" t="s">
        <v>343</v>
      </c>
      <c r="D32" s="452" t="s">
        <v>343</v>
      </c>
      <c r="E32" s="96" t="s">
        <v>343</v>
      </c>
      <c r="F32" s="452" t="s">
        <v>343</v>
      </c>
      <c r="G32" s="1251" t="s">
        <v>343</v>
      </c>
      <c r="H32" s="2" t="s">
        <v>343</v>
      </c>
      <c r="I32" s="2037" t="s">
        <v>343</v>
      </c>
      <c r="J32" s="96" t="s">
        <v>343</v>
      </c>
      <c r="K32" s="452" t="s">
        <v>343</v>
      </c>
      <c r="L32" s="1252" t="s">
        <v>343</v>
      </c>
      <c r="M32" s="1102"/>
      <c r="N32" s="1102"/>
      <c r="O32" s="1102"/>
      <c r="P32" s="1102"/>
      <c r="Q32" s="1102"/>
      <c r="U32" s="2"/>
      <c r="V32" s="2"/>
      <c r="W32" s="2"/>
      <c r="X32" s="2"/>
      <c r="Y32" s="2"/>
      <c r="Z32" s="2"/>
      <c r="AA32" s="2"/>
      <c r="AB32" s="2"/>
      <c r="AC32" s="2"/>
      <c r="AD32" s="2"/>
      <c r="AE32" s="2"/>
      <c r="AF32" s="2"/>
      <c r="AG32" s="2"/>
      <c r="AH32" s="2"/>
      <c r="AI32" s="2"/>
      <c r="AJ32" s="2"/>
      <c r="AK32" s="2"/>
      <c r="AL32" s="2"/>
      <c r="AM32" s="2"/>
      <c r="AN32" s="2"/>
      <c r="AO32" s="2"/>
      <c r="AP32" s="2"/>
      <c r="AQ32" s="98"/>
      <c r="AR32" s="2"/>
    </row>
    <row r="33" spans="1:44" ht="12.75" customHeight="1">
      <c r="A33" s="1" t="s">
        <v>744</v>
      </c>
      <c r="B33" s="2"/>
      <c r="C33" s="2235">
        <f>C25-C28-C29-C30-C31</f>
        <v>99.98450000000004</v>
      </c>
      <c r="D33" s="2236">
        <f>D25-D28-D29-D30-D31</f>
        <v>76.887</v>
      </c>
      <c r="E33" s="325"/>
      <c r="F33" s="2236">
        <f>F25-F28-F29-F30-F31</f>
        <v>23.997500000000002</v>
      </c>
      <c r="G33" s="106">
        <f>IF(D33=0,0,C33/D33-1)</f>
        <v>0.30040839153563081</v>
      </c>
      <c r="H33" s="1205"/>
      <c r="I33" s="2237">
        <v>74.575830539736629</v>
      </c>
      <c r="J33" s="932"/>
      <c r="K33" s="2236">
        <f>K25-K28-K29-K30-K31</f>
        <v>24.820034528075873</v>
      </c>
      <c r="L33" s="1214">
        <f>C33/I33-1</f>
        <v>0.34070917181035987</v>
      </c>
      <c r="N33" s="2"/>
      <c r="O33" s="2"/>
      <c r="P33" s="2"/>
      <c r="Q33" s="2"/>
      <c r="U33" s="1336"/>
      <c r="V33" s="2"/>
      <c r="W33" s="2"/>
      <c r="X33" s="2"/>
      <c r="Y33" s="2"/>
      <c r="Z33" s="2"/>
      <c r="AA33" s="2"/>
      <c r="AB33" s="2"/>
      <c r="AC33" s="2"/>
      <c r="AD33" s="2"/>
      <c r="AE33" s="2"/>
      <c r="AF33" s="2"/>
      <c r="AG33" s="2"/>
      <c r="AH33" s="2"/>
      <c r="AI33" s="2"/>
      <c r="AJ33" s="2"/>
      <c r="AK33" s="2"/>
      <c r="AL33" s="2"/>
      <c r="AM33" s="2"/>
      <c r="AN33" s="2"/>
      <c r="AO33" s="2"/>
      <c r="AP33" s="2"/>
      <c r="AQ33" s="98"/>
      <c r="AR33" s="2"/>
    </row>
    <row r="34" spans="1:44" ht="12.75" customHeight="1">
      <c r="A34" s="445" t="s">
        <v>1176</v>
      </c>
      <c r="B34" s="2"/>
      <c r="C34" s="2036">
        <f>BYD!BH73</f>
        <v>-56.665999999999997</v>
      </c>
      <c r="D34" s="374">
        <f>BYD!BC73</f>
        <v>-56.9</v>
      </c>
      <c r="E34" s="932"/>
      <c r="F34" s="374">
        <f>C34-D34</f>
        <v>0.23400000000000176</v>
      </c>
      <c r="G34" s="126">
        <f>IF(D34=0,0,C34/D34-1)</f>
        <v>-4.1124780316345033E-3</v>
      </c>
      <c r="H34" s="1205"/>
      <c r="I34" s="432">
        <v>-56.391461249999999</v>
      </c>
      <c r="J34" s="932"/>
      <c r="K34" s="374">
        <f>C34-I34</f>
        <v>-0.27453874999999783</v>
      </c>
      <c r="L34" s="1204">
        <f>IF(I34=0,"NM",C34/I34-1)</f>
        <v>4.8684453978393716E-3</v>
      </c>
      <c r="N34" s="2"/>
      <c r="O34" s="2"/>
      <c r="P34" s="2"/>
      <c r="Q34" s="2"/>
      <c r="U34" s="2"/>
      <c r="V34" s="2"/>
      <c r="W34" s="2"/>
      <c r="X34" s="2"/>
      <c r="Y34" s="2"/>
      <c r="Z34" s="2"/>
      <c r="AA34" s="2"/>
      <c r="AB34" s="2"/>
      <c r="AC34" s="2"/>
      <c r="AD34" s="2"/>
      <c r="AE34" s="2"/>
      <c r="AF34" s="2"/>
      <c r="AG34" s="2"/>
      <c r="AH34" s="2"/>
      <c r="AI34" s="2"/>
      <c r="AJ34" s="2"/>
      <c r="AK34" s="2"/>
      <c r="AL34" s="2"/>
      <c r="AM34" s="2"/>
      <c r="AN34" s="2"/>
      <c r="AO34" s="2"/>
      <c r="AP34" s="2"/>
      <c r="AQ34" s="98"/>
      <c r="AR34" s="2"/>
    </row>
    <row r="35" spans="1:44" ht="12.75" customHeight="1">
      <c r="A35" s="445" t="s">
        <v>203</v>
      </c>
      <c r="B35" s="2"/>
      <c r="C35" s="2036">
        <f>BYD!BH74</f>
        <v>0</v>
      </c>
      <c r="D35" s="374">
        <f>BYD!BC74</f>
        <v>0</v>
      </c>
      <c r="E35" s="932"/>
      <c r="F35" s="374">
        <f>C35-D35</f>
        <v>0</v>
      </c>
      <c r="G35" s="126">
        <f>IF(D35=0,0,C35/D35-1)</f>
        <v>0</v>
      </c>
      <c r="H35" s="1205"/>
      <c r="I35" s="432">
        <v>0</v>
      </c>
      <c r="J35" s="932"/>
      <c r="K35" s="374">
        <f>C35-I35</f>
        <v>0</v>
      </c>
      <c r="L35" s="1204" t="str">
        <f>IF(I35=0,"NM",C35/I35-1)</f>
        <v>NM</v>
      </c>
      <c r="N35" s="2"/>
      <c r="O35" s="2"/>
      <c r="P35" s="2"/>
      <c r="Q35" s="2"/>
      <c r="U35" s="2"/>
      <c r="V35" s="2"/>
      <c r="W35" s="2"/>
      <c r="X35" s="2"/>
      <c r="Y35" s="2"/>
      <c r="Z35" s="2"/>
      <c r="AA35" s="2"/>
      <c r="AB35" s="2"/>
      <c r="AC35" s="2"/>
      <c r="AD35" s="2"/>
      <c r="AE35" s="2"/>
      <c r="AF35" s="2"/>
      <c r="AG35" s="2"/>
      <c r="AH35" s="2"/>
      <c r="AI35" s="2"/>
      <c r="AJ35" s="2"/>
      <c r="AK35" s="2"/>
      <c r="AL35" s="2"/>
      <c r="AM35" s="2"/>
      <c r="AN35" s="2"/>
      <c r="AO35" s="2"/>
      <c r="AP35" s="2"/>
      <c r="AQ35" s="98"/>
      <c r="AR35" s="2"/>
    </row>
    <row r="36" spans="1:44" ht="12.75" customHeight="1">
      <c r="A36" s="3201" t="s">
        <v>1836</v>
      </c>
      <c r="B36" s="2"/>
      <c r="C36" s="2036">
        <f>BYD!BH77</f>
        <v>-9.1120000000000001</v>
      </c>
      <c r="D36" s="374">
        <f>BYD!BC77</f>
        <v>-9.5</v>
      </c>
      <c r="E36" s="932"/>
      <c r="F36" s="374">
        <f>C36-D36</f>
        <v>0.3879999999999999</v>
      </c>
      <c r="G36" s="126">
        <f>IF(D36=0,0,C36/D36-1)</f>
        <v>-4.0842105263157902E-2</v>
      </c>
      <c r="H36" s="1205"/>
      <c r="I36" s="432">
        <v>-8.5755156250000013</v>
      </c>
      <c r="J36" s="932"/>
      <c r="K36" s="374">
        <f>C36-I36</f>
        <v>-0.53648437499999879</v>
      </c>
      <c r="L36" s="1204">
        <f>IF(I36=0,"NM",C36/I36-1)</f>
        <v>6.2560013701799866E-2</v>
      </c>
      <c r="N36" s="2"/>
      <c r="O36" s="2"/>
      <c r="P36" s="2"/>
      <c r="Q36" s="2"/>
      <c r="U36" s="2"/>
      <c r="V36" s="2"/>
      <c r="W36" s="2"/>
      <c r="X36" s="2"/>
      <c r="Y36" s="2"/>
      <c r="Z36" s="2"/>
      <c r="AA36" s="2"/>
      <c r="AB36" s="2"/>
      <c r="AC36" s="2"/>
      <c r="AD36" s="2"/>
      <c r="AE36" s="2"/>
      <c r="AF36" s="2"/>
      <c r="AG36" s="2"/>
      <c r="AH36" s="2"/>
      <c r="AI36" s="2"/>
      <c r="AJ36" s="2"/>
      <c r="AK36" s="2"/>
      <c r="AL36" s="2"/>
      <c r="AM36" s="2"/>
      <c r="AN36" s="2"/>
      <c r="AO36" s="2"/>
      <c r="AP36" s="2"/>
      <c r="AQ36" s="98"/>
      <c r="AR36" s="2"/>
    </row>
    <row r="37" spans="1:44" ht="12.75" customHeight="1">
      <c r="A37" s="445" t="s">
        <v>814</v>
      </c>
      <c r="B37" s="2"/>
      <c r="C37" s="2036">
        <f>BYD!BH78</f>
        <v>-34.035000000000004</v>
      </c>
      <c r="D37" s="374">
        <f>BYD!BC78</f>
        <v>-4.8</v>
      </c>
      <c r="E37" s="1103"/>
      <c r="F37" s="374">
        <f>C37-D37</f>
        <v>-29.235000000000003</v>
      </c>
      <c r="G37" s="126">
        <f>IF(D37=0,0,C37/D37-1)</f>
        <v>6.0906250000000011</v>
      </c>
      <c r="H37" s="2"/>
      <c r="I37" s="432">
        <v>-3.262</v>
      </c>
      <c r="J37" s="1103"/>
      <c r="K37" s="374">
        <f>C37-I37</f>
        <v>-30.773000000000003</v>
      </c>
      <c r="L37" s="1204">
        <f>IF(I37=0,"NM",C37/I37-1)</f>
        <v>9.433782955242183</v>
      </c>
      <c r="N37" s="2"/>
      <c r="O37" s="2"/>
      <c r="P37" s="2"/>
      <c r="Q37" s="2"/>
      <c r="U37" s="2"/>
      <c r="V37" s="2"/>
      <c r="W37" s="2"/>
      <c r="X37" s="2"/>
      <c r="Y37" s="2"/>
      <c r="Z37" s="2"/>
      <c r="AA37" s="2"/>
      <c r="AB37" s="2"/>
      <c r="AC37" s="2"/>
      <c r="AD37" s="2"/>
      <c r="AE37" s="2"/>
      <c r="AF37" s="2"/>
      <c r="AG37" s="2"/>
      <c r="AH37" s="2"/>
      <c r="AI37" s="2"/>
      <c r="AJ37" s="2"/>
      <c r="AK37" s="2"/>
      <c r="AL37" s="2"/>
      <c r="AM37" s="2"/>
      <c r="AN37" s="2"/>
      <c r="AO37" s="2"/>
      <c r="AP37" s="2"/>
      <c r="AQ37" s="98"/>
      <c r="AR37" s="2"/>
    </row>
    <row r="38" spans="1:44" ht="4.5" customHeight="1">
      <c r="A38" s="964"/>
      <c r="B38" s="2"/>
      <c r="C38" s="2037" t="s">
        <v>343</v>
      </c>
      <c r="D38" s="452" t="s">
        <v>343</v>
      </c>
      <c r="E38" s="96" t="s">
        <v>343</v>
      </c>
      <c r="F38" s="452" t="s">
        <v>343</v>
      </c>
      <c r="G38" s="1251" t="s">
        <v>343</v>
      </c>
      <c r="H38" s="2" t="s">
        <v>343</v>
      </c>
      <c r="I38" s="2223" t="s">
        <v>343</v>
      </c>
      <c r="J38" s="96" t="s">
        <v>343</v>
      </c>
      <c r="K38" s="452" t="s">
        <v>343</v>
      </c>
      <c r="L38" s="1252" t="s">
        <v>343</v>
      </c>
      <c r="M38" s="1102"/>
      <c r="N38" s="1102"/>
      <c r="O38" s="1102"/>
      <c r="P38" s="1102"/>
      <c r="Q38" s="1102"/>
      <c r="U38" s="2"/>
      <c r="V38" s="2"/>
      <c r="W38" s="2"/>
      <c r="X38" s="2"/>
      <c r="Y38" s="2"/>
      <c r="Z38" s="2"/>
      <c r="AA38" s="2"/>
      <c r="AB38" s="2"/>
      <c r="AC38" s="2"/>
      <c r="AD38" s="2"/>
      <c r="AE38" s="2"/>
      <c r="AF38" s="2"/>
      <c r="AG38" s="2"/>
      <c r="AH38" s="2"/>
      <c r="AI38" s="2"/>
      <c r="AJ38" s="2"/>
      <c r="AK38" s="2"/>
      <c r="AL38" s="2"/>
      <c r="AM38" s="2"/>
      <c r="AN38" s="2"/>
      <c r="AO38" s="2"/>
      <c r="AP38" s="2"/>
      <c r="AQ38" s="98"/>
      <c r="AR38" s="2"/>
    </row>
    <row r="39" spans="1:44" ht="12.75" customHeight="1">
      <c r="A39" s="1" t="s">
        <v>745</v>
      </c>
      <c r="B39" s="2"/>
      <c r="C39" s="2240">
        <f>SUM(C33:C37)</f>
        <v>0.17150000000003729</v>
      </c>
      <c r="D39" s="2239">
        <f>SUM(D33:D37)</f>
        <v>5.6870000000000021</v>
      </c>
      <c r="E39" s="932"/>
      <c r="F39" s="2236">
        <f>C39-D39</f>
        <v>-5.5154999999999648</v>
      </c>
      <c r="G39" s="106">
        <f>IF(D39=0,0,C39/D39-1)</f>
        <v>-0.96984350272550779</v>
      </c>
      <c r="H39" s="1205"/>
      <c r="I39" s="2238">
        <v>6.3615090666363159</v>
      </c>
      <c r="J39" s="932"/>
      <c r="K39" s="2236">
        <f>C39-I39</f>
        <v>-6.1900090666362786</v>
      </c>
      <c r="L39" s="1214">
        <f>C39/I39-1</f>
        <v>-0.97304098788454307</v>
      </c>
      <c r="N39" s="2"/>
      <c r="O39" s="2"/>
      <c r="P39" s="2"/>
      <c r="Q39" s="2"/>
      <c r="U39" s="2"/>
      <c r="V39" s="2"/>
      <c r="W39" s="2"/>
      <c r="X39" s="2"/>
      <c r="Y39" s="2"/>
      <c r="Z39" s="2"/>
      <c r="AA39" s="2"/>
      <c r="AB39" s="2"/>
      <c r="AC39" s="2"/>
      <c r="AD39" s="2"/>
      <c r="AE39" s="2"/>
      <c r="AF39" s="2"/>
      <c r="AG39" s="2"/>
      <c r="AH39" s="2"/>
      <c r="AI39" s="2"/>
      <c r="AJ39" s="2"/>
      <c r="AK39" s="2"/>
      <c r="AL39" s="2"/>
      <c r="AM39" s="2"/>
      <c r="AN39" s="2"/>
      <c r="AO39" s="2"/>
      <c r="AP39" s="2"/>
      <c r="AQ39" s="98"/>
      <c r="AR39" s="2"/>
    </row>
    <row r="40" spans="1:44" ht="12.75" customHeight="1">
      <c r="A40" s="445" t="s">
        <v>205</v>
      </c>
      <c r="B40" s="2"/>
      <c r="C40" s="2036">
        <f>BYD!BH81</f>
        <v>-6.5960000000000001</v>
      </c>
      <c r="D40" s="374">
        <f>BYD!BC81</f>
        <v>-4.0999999999999996</v>
      </c>
      <c r="E40" s="1103"/>
      <c r="F40" s="374">
        <f>C40-D40</f>
        <v>-2.4960000000000004</v>
      </c>
      <c r="G40" s="126">
        <f>IF(D40=0,0,C40/D40-1)</f>
        <v>0.60878048780487815</v>
      </c>
      <c r="H40" s="2"/>
      <c r="I40" s="432">
        <v>-2.2265281733227105</v>
      </c>
      <c r="J40" s="1103"/>
      <c r="K40" s="374">
        <f>C40-I40</f>
        <v>-4.3694718266772892</v>
      </c>
      <c r="L40" s="1204">
        <f>IF(I40=0,"NM",C40/I40-1)</f>
        <v>1.962459707013994</v>
      </c>
      <c r="N40" s="2"/>
      <c r="O40" s="2"/>
      <c r="P40" s="2"/>
      <c r="Q40" s="2"/>
      <c r="U40" s="2"/>
      <c r="V40" s="2"/>
      <c r="W40" s="2"/>
      <c r="X40" s="2"/>
      <c r="Y40" s="2"/>
      <c r="Z40" s="2"/>
      <c r="AA40" s="2"/>
      <c r="AB40" s="2"/>
      <c r="AC40" s="2"/>
      <c r="AD40" s="2"/>
      <c r="AE40" s="2"/>
      <c r="AF40" s="2"/>
      <c r="AG40" s="2"/>
      <c r="AH40" s="2"/>
      <c r="AI40" s="2"/>
      <c r="AJ40" s="2"/>
      <c r="AK40" s="2"/>
      <c r="AL40" s="2"/>
      <c r="AM40" s="2"/>
      <c r="AN40" s="2"/>
      <c r="AO40" s="2"/>
      <c r="AP40" s="2"/>
      <c r="AQ40" s="98"/>
      <c r="AR40" s="2"/>
    </row>
    <row r="41" spans="1:44" ht="4.5" customHeight="1">
      <c r="A41" s="964"/>
      <c r="B41" s="2"/>
      <c r="C41" s="2037" t="s">
        <v>343</v>
      </c>
      <c r="D41" s="452" t="s">
        <v>343</v>
      </c>
      <c r="E41" s="96" t="s">
        <v>343</v>
      </c>
      <c r="F41" s="452" t="s">
        <v>343</v>
      </c>
      <c r="G41" s="1251" t="s">
        <v>343</v>
      </c>
      <c r="H41" s="2" t="s">
        <v>343</v>
      </c>
      <c r="I41" s="2223" t="s">
        <v>343</v>
      </c>
      <c r="J41" s="96" t="s">
        <v>343</v>
      </c>
      <c r="K41" s="452" t="s">
        <v>343</v>
      </c>
      <c r="L41" s="1252" t="s">
        <v>343</v>
      </c>
      <c r="M41" s="1102"/>
      <c r="N41" s="1102"/>
      <c r="O41" s="1102"/>
      <c r="P41" s="1102"/>
      <c r="Q41" s="1102"/>
      <c r="U41" s="2"/>
      <c r="V41" s="2"/>
      <c r="W41" s="2"/>
      <c r="X41" s="2"/>
      <c r="Y41" s="2"/>
      <c r="Z41" s="2"/>
      <c r="AA41" s="2"/>
      <c r="AB41" s="2"/>
      <c r="AC41" s="2"/>
      <c r="AD41" s="2"/>
      <c r="AE41" s="2"/>
      <c r="AF41" s="2"/>
      <c r="AG41" s="2"/>
      <c r="AH41" s="2"/>
      <c r="AI41" s="2"/>
      <c r="AJ41" s="2"/>
      <c r="AK41" s="2"/>
      <c r="AL41" s="2"/>
      <c r="AM41" s="2"/>
      <c r="AN41" s="2"/>
      <c r="AO41" s="2"/>
      <c r="AP41" s="2"/>
      <c r="AQ41" s="98"/>
      <c r="AR41" s="2"/>
    </row>
    <row r="42" spans="1:44" ht="12.75" customHeight="1">
      <c r="A42" s="107" t="s">
        <v>1243</v>
      </c>
      <c r="B42" s="61"/>
      <c r="C42" s="2240">
        <f>C39+C40</f>
        <v>-6.4244999999999628</v>
      </c>
      <c r="D42" s="2239">
        <f>D39+D40</f>
        <v>1.5870000000000024</v>
      </c>
      <c r="E42" s="932"/>
      <c r="F42" s="2236">
        <f>F39+F40</f>
        <v>-8.0114999999999661</v>
      </c>
      <c r="G42" s="1215">
        <f>G39+G40</f>
        <v>-0.36106301492062964</v>
      </c>
      <c r="H42" s="932"/>
      <c r="I42" s="2238">
        <v>4.134980893313605</v>
      </c>
      <c r="J42" s="932"/>
      <c r="K42" s="2236">
        <f>K39+K40</f>
        <v>-10.559480893313568</v>
      </c>
      <c r="L42" s="1215">
        <f>L39+L40</f>
        <v>0.9894187191294509</v>
      </c>
      <c r="M42" s="1238"/>
      <c r="N42" s="61"/>
      <c r="O42" s="61"/>
      <c r="P42" s="61"/>
      <c r="Q42" s="61"/>
      <c r="U42" s="1336"/>
      <c r="V42" s="2"/>
      <c r="W42" s="2"/>
      <c r="X42" s="2"/>
      <c r="Y42" s="2"/>
      <c r="Z42" s="2"/>
      <c r="AA42" s="2"/>
      <c r="AB42" s="2"/>
      <c r="AC42" s="2"/>
      <c r="AD42" s="2"/>
      <c r="AE42" s="2"/>
      <c r="AF42" s="2"/>
      <c r="AG42" s="2"/>
      <c r="AH42" s="2"/>
      <c r="AI42" s="2"/>
      <c r="AJ42" s="2"/>
      <c r="AK42" s="2"/>
      <c r="AL42" s="2"/>
      <c r="AM42" s="2"/>
      <c r="AN42" s="2"/>
      <c r="AO42" s="2"/>
      <c r="AP42" s="2"/>
      <c r="AQ42" s="98"/>
      <c r="AR42" s="2"/>
    </row>
    <row r="43" spans="1:44" ht="12.75" customHeight="1">
      <c r="A43" s="445" t="s">
        <v>130</v>
      </c>
      <c r="B43" s="2"/>
      <c r="C43" s="2036">
        <f>BYD!BH85</f>
        <v>0</v>
      </c>
      <c r="D43" s="374">
        <f>BYD!BC85</f>
        <v>0</v>
      </c>
      <c r="E43" s="1103"/>
      <c r="F43" s="374">
        <f>C43-D43</f>
        <v>0</v>
      </c>
      <c r="G43" s="126">
        <f>IF(D43=0,0,C43/D43-1)</f>
        <v>0</v>
      </c>
      <c r="H43" s="2"/>
      <c r="I43" s="432">
        <v>0</v>
      </c>
      <c r="J43" s="1103"/>
      <c r="K43" s="374">
        <f>C43-I43</f>
        <v>0</v>
      </c>
      <c r="L43" s="1204" t="str">
        <f>IF(I43=0,"NM",C43/I43-1)</f>
        <v>NM</v>
      </c>
      <c r="N43" s="2"/>
      <c r="O43" s="2"/>
      <c r="P43" s="2"/>
      <c r="Q43" s="2"/>
      <c r="U43" s="2"/>
      <c r="V43" s="2"/>
      <c r="W43" s="2"/>
      <c r="X43" s="2"/>
      <c r="Y43" s="2"/>
      <c r="Z43" s="2"/>
      <c r="AA43" s="2"/>
      <c r="AB43" s="2"/>
      <c r="AC43" s="2"/>
      <c r="AD43" s="2"/>
      <c r="AE43" s="2"/>
      <c r="AF43" s="2"/>
      <c r="AG43" s="2"/>
      <c r="AH43" s="2"/>
      <c r="AI43" s="2"/>
      <c r="AJ43" s="2"/>
      <c r="AK43" s="2"/>
      <c r="AL43" s="2"/>
      <c r="AM43" s="2"/>
      <c r="AN43" s="2"/>
      <c r="AO43" s="2"/>
      <c r="AP43" s="2"/>
      <c r="AQ43" s="98"/>
      <c r="AR43" s="2"/>
    </row>
    <row r="44" spans="1:44" ht="4.5" customHeight="1">
      <c r="A44" s="964"/>
      <c r="B44" s="2"/>
      <c r="C44" s="2037" t="s">
        <v>343</v>
      </c>
      <c r="D44" s="452" t="s">
        <v>343</v>
      </c>
      <c r="E44" s="96" t="s">
        <v>343</v>
      </c>
      <c r="F44" s="452" t="s">
        <v>343</v>
      </c>
      <c r="G44" s="1251" t="s">
        <v>343</v>
      </c>
      <c r="H44" s="2" t="s">
        <v>343</v>
      </c>
      <c r="I44" s="2223" t="s">
        <v>343</v>
      </c>
      <c r="J44" s="96" t="s">
        <v>343</v>
      </c>
      <c r="K44" s="452" t="s">
        <v>343</v>
      </c>
      <c r="L44" s="1252" t="s">
        <v>343</v>
      </c>
      <c r="M44" s="1102"/>
      <c r="N44" s="1102"/>
      <c r="O44" s="1102"/>
      <c r="P44" s="1102"/>
      <c r="Q44" s="1102"/>
      <c r="U44" s="2"/>
      <c r="V44" s="2"/>
      <c r="W44" s="2"/>
      <c r="X44" s="2"/>
      <c r="Y44" s="2"/>
      <c r="Z44" s="2"/>
      <c r="AA44" s="2"/>
      <c r="AB44" s="2"/>
      <c r="AC44" s="2"/>
      <c r="AD44" s="2"/>
      <c r="AE44" s="2"/>
      <c r="AF44" s="2"/>
      <c r="AG44" s="2"/>
      <c r="AH44" s="2"/>
      <c r="AI44" s="2"/>
      <c r="AJ44" s="2"/>
      <c r="AK44" s="2"/>
      <c r="AL44" s="2"/>
      <c r="AM44" s="2"/>
      <c r="AN44" s="2"/>
      <c r="AO44" s="2"/>
      <c r="AP44" s="2"/>
      <c r="AQ44" s="98"/>
      <c r="AR44" s="2"/>
    </row>
    <row r="45" spans="1:44" ht="12.75" customHeight="1">
      <c r="A45" s="107" t="s">
        <v>1540</v>
      </c>
      <c r="B45" s="2"/>
      <c r="C45" s="2240">
        <f>C42+C43</f>
        <v>-6.4244999999999628</v>
      </c>
      <c r="D45" s="2239">
        <f>D42+D43</f>
        <v>1.5870000000000024</v>
      </c>
      <c r="E45" s="932"/>
      <c r="F45" s="2236">
        <f>F42+F43</f>
        <v>-8.0114999999999661</v>
      </c>
      <c r="G45" s="1215">
        <f>G42+G43</f>
        <v>-0.36106301492062964</v>
      </c>
      <c r="H45" s="932"/>
      <c r="I45" s="2238">
        <v>4.134980893313605</v>
      </c>
      <c r="J45" s="932"/>
      <c r="K45" s="2236">
        <f>K42+K43</f>
        <v>-10.559480893313568</v>
      </c>
      <c r="L45" s="1215"/>
      <c r="N45" s="2"/>
      <c r="O45" s="2"/>
      <c r="P45" s="2"/>
      <c r="Q45" s="2"/>
      <c r="U45" s="105"/>
      <c r="V45" s="2"/>
      <c r="W45" s="2"/>
      <c r="X45" s="2"/>
      <c r="Y45" s="2"/>
      <c r="Z45" s="2"/>
      <c r="AA45" s="2"/>
      <c r="AB45" s="2"/>
      <c r="AC45" s="2"/>
      <c r="AD45" s="2"/>
      <c r="AE45" s="2"/>
      <c r="AF45" s="2"/>
      <c r="AG45" s="2"/>
      <c r="AH45" s="2"/>
      <c r="AI45" s="2"/>
      <c r="AJ45" s="2"/>
      <c r="AK45" s="2"/>
      <c r="AL45" s="2"/>
      <c r="AM45" s="2"/>
      <c r="AN45" s="2"/>
      <c r="AO45" s="2"/>
      <c r="AP45" s="2"/>
      <c r="AQ45" s="98"/>
      <c r="AR45" s="2"/>
    </row>
    <row r="46" spans="1:44" ht="12.75" customHeight="1">
      <c r="A46" s="2" t="s">
        <v>1562</v>
      </c>
      <c r="B46" s="2"/>
      <c r="C46" s="2031">
        <f>BYD!BH87</f>
        <v>33.303000000000004</v>
      </c>
      <c r="D46" s="104">
        <f>BYD!BC87</f>
        <v>4.4999999999999991</v>
      </c>
      <c r="E46" s="61"/>
      <c r="F46" s="61"/>
      <c r="G46" s="1141"/>
      <c r="H46" s="2"/>
      <c r="I46" s="1104">
        <v>3.262</v>
      </c>
      <c r="J46" s="61"/>
      <c r="K46" s="61"/>
      <c r="L46" s="1216"/>
      <c r="N46" s="2"/>
      <c r="O46" s="2"/>
      <c r="P46" s="2"/>
      <c r="Q46" s="2"/>
      <c r="U46" s="2"/>
      <c r="V46" s="2"/>
      <c r="W46" s="2"/>
      <c r="X46" s="2"/>
      <c r="Y46" s="2"/>
      <c r="Z46" s="2"/>
      <c r="AA46" s="2"/>
      <c r="AB46" s="2"/>
      <c r="AC46" s="2"/>
      <c r="AD46" s="2"/>
      <c r="AE46" s="2"/>
      <c r="AF46" s="2"/>
      <c r="AG46" s="2"/>
      <c r="AH46" s="2"/>
      <c r="AI46" s="2"/>
      <c r="AJ46" s="2"/>
      <c r="AK46" s="2"/>
      <c r="AL46" s="2"/>
      <c r="AM46" s="2"/>
      <c r="AN46" s="2"/>
      <c r="AO46" s="2"/>
      <c r="AP46" s="2"/>
      <c r="AQ46" s="98"/>
      <c r="AR46" s="2"/>
    </row>
    <row r="47" spans="1:44" ht="12.75" customHeight="1">
      <c r="A47" s="147" t="s">
        <v>1747</v>
      </c>
      <c r="B47" s="160"/>
      <c r="C47" s="2244">
        <f>BYD!BH88</f>
        <v>26.878500000000056</v>
      </c>
      <c r="D47" s="2243">
        <f>BYD!BC88</f>
        <v>5.1870000000000056</v>
      </c>
      <c r="E47" s="1218"/>
      <c r="F47" s="2241">
        <f>C47-D47</f>
        <v>21.691500000000051</v>
      </c>
      <c r="G47" s="1219">
        <f>IF(D47=0,0,C47/D47-1)</f>
        <v>4.1818970503181081</v>
      </c>
      <c r="H47" s="1220"/>
      <c r="I47" s="2242">
        <v>7.3969808933136054</v>
      </c>
      <c r="J47" s="1218"/>
      <c r="K47" s="2241">
        <f>C47-I47</f>
        <v>19.481519106686449</v>
      </c>
      <c r="L47" s="1221">
        <f>C47/I47-1</f>
        <v>2.6337122385021288</v>
      </c>
      <c r="N47" s="2"/>
      <c r="O47" s="2"/>
      <c r="P47" s="2"/>
      <c r="Q47" s="2"/>
      <c r="U47" s="2"/>
      <c r="V47" s="2"/>
      <c r="W47" s="2"/>
      <c r="X47" s="2"/>
      <c r="Y47" s="2"/>
      <c r="Z47" s="2"/>
      <c r="AA47" s="2"/>
      <c r="AB47" s="2"/>
      <c r="AC47" s="2"/>
      <c r="AD47" s="2"/>
      <c r="AE47" s="2"/>
      <c r="AF47" s="2"/>
      <c r="AG47" s="2"/>
      <c r="AH47" s="2"/>
      <c r="AI47" s="2"/>
      <c r="AJ47" s="2"/>
      <c r="AK47" s="2"/>
      <c r="AL47" s="2"/>
      <c r="AM47" s="2"/>
      <c r="AN47" s="2"/>
      <c r="AO47" s="2"/>
      <c r="AP47" s="2"/>
      <c r="AQ47" s="98"/>
      <c r="AR47" s="2"/>
    </row>
    <row r="48" spans="1:44" ht="12.75" customHeight="1">
      <c r="A48" s="2"/>
      <c r="B48" s="2"/>
      <c r="C48" s="2034"/>
      <c r="D48" s="77"/>
      <c r="E48" s="61"/>
      <c r="F48" s="61"/>
      <c r="G48" s="1141"/>
      <c r="H48" s="2"/>
      <c r="I48" s="115"/>
      <c r="J48" s="61"/>
      <c r="K48" s="61"/>
      <c r="L48" s="1216"/>
      <c r="N48" s="2"/>
      <c r="O48" s="2"/>
      <c r="P48" s="2"/>
      <c r="Q48" s="2"/>
      <c r="U48" s="2"/>
      <c r="V48" s="2"/>
      <c r="W48" s="2"/>
      <c r="X48" s="2"/>
      <c r="Y48" s="2"/>
      <c r="Z48" s="2"/>
      <c r="AA48" s="2"/>
      <c r="AB48" s="2"/>
      <c r="AC48" s="2"/>
      <c r="AD48" s="2"/>
      <c r="AE48" s="2"/>
      <c r="AF48" s="2"/>
      <c r="AG48" s="2"/>
      <c r="AH48" s="2"/>
      <c r="AI48" s="2"/>
      <c r="AJ48" s="2"/>
      <c r="AK48" s="2"/>
      <c r="AL48" s="2"/>
      <c r="AM48" s="2"/>
      <c r="AN48" s="2"/>
      <c r="AO48" s="2"/>
      <c r="AP48" s="2"/>
      <c r="AQ48" s="98"/>
      <c r="AR48" s="2"/>
    </row>
    <row r="49" spans="1:44" ht="12.75" customHeight="1">
      <c r="A49" s="138" t="s">
        <v>746</v>
      </c>
      <c r="B49" s="155"/>
      <c r="C49" s="2041">
        <f>+C47/C50</f>
        <v>0.23949051963789345</v>
      </c>
      <c r="D49" s="152">
        <f>+D47/D50</f>
        <v>4.6808587440101843E-2</v>
      </c>
      <c r="E49" s="152"/>
      <c r="F49" s="152">
        <f>C49-D49</f>
        <v>0.19268193219779162</v>
      </c>
      <c r="G49" s="1208">
        <f>IF(D49=0,0,C49/D49-1)</f>
        <v>4.116379979300917</v>
      </c>
      <c r="H49" s="155"/>
      <c r="I49" s="2041">
        <f>+I47/I50</f>
        <v>6.583403846022183E-2</v>
      </c>
      <c r="J49" s="152"/>
      <c r="K49" s="152">
        <f>C49-I49</f>
        <v>0.17365648117767163</v>
      </c>
      <c r="L49" s="1211">
        <f>C49/I49-1</f>
        <v>2.6377917144274559</v>
      </c>
      <c r="N49" s="1256"/>
      <c r="O49" s="1256"/>
      <c r="P49" s="1256"/>
      <c r="Q49" s="1256"/>
      <c r="S49" s="1645"/>
      <c r="U49" s="2"/>
      <c r="V49" s="2"/>
      <c r="W49" s="2"/>
      <c r="X49" s="2"/>
      <c r="Y49" s="2"/>
      <c r="Z49" s="2"/>
      <c r="AA49" s="2"/>
      <c r="AB49" s="2"/>
      <c r="AC49" s="2"/>
      <c r="AD49" s="2"/>
      <c r="AE49" s="2"/>
      <c r="AF49" s="2"/>
      <c r="AG49" s="2"/>
      <c r="AH49" s="2"/>
      <c r="AI49" s="2"/>
      <c r="AJ49" s="2"/>
      <c r="AK49" s="2"/>
      <c r="AL49" s="2"/>
      <c r="AM49" s="2"/>
      <c r="AN49" s="2"/>
      <c r="AO49" s="2"/>
      <c r="AP49" s="2"/>
      <c r="AQ49" s="98"/>
      <c r="AR49" s="2"/>
    </row>
    <row r="50" spans="1:44" ht="12.75" customHeight="1">
      <c r="A50" s="2" t="s">
        <v>769</v>
      </c>
      <c r="B50" s="2"/>
      <c r="C50" s="2031">
        <f>BYD!BH103</f>
        <v>112.232</v>
      </c>
      <c r="D50" s="104">
        <f>BYD!BC103</f>
        <v>110.813</v>
      </c>
      <c r="E50" s="1103"/>
      <c r="F50" s="374">
        <f>C50-D50</f>
        <v>1.4189999999999969</v>
      </c>
      <c r="G50" s="126">
        <f>IF(D50=0,0,C50/D50-1)</f>
        <v>1.2805356772219945E-2</v>
      </c>
      <c r="H50" s="2"/>
      <c r="I50" s="1104">
        <v>112.358</v>
      </c>
      <c r="J50" s="1103"/>
      <c r="K50" s="374">
        <f>C50-I50</f>
        <v>-0.12600000000000477</v>
      </c>
      <c r="L50" s="1204">
        <f>C50/I50-1</f>
        <v>-1.1214154755335715E-3</v>
      </c>
      <c r="N50" s="2"/>
      <c r="O50" s="2"/>
      <c r="P50" s="2"/>
      <c r="Q50" s="2"/>
      <c r="U50" s="2"/>
      <c r="V50" s="2"/>
      <c r="W50" s="2"/>
      <c r="X50" s="2"/>
      <c r="Y50" s="2"/>
      <c r="Z50" s="2"/>
      <c r="AA50" s="2"/>
      <c r="AB50" s="2"/>
      <c r="AC50" s="2"/>
      <c r="AD50" s="2"/>
      <c r="AE50" s="2"/>
      <c r="AF50" s="2"/>
      <c r="AG50" s="2"/>
      <c r="AH50" s="2"/>
      <c r="AI50" s="2"/>
      <c r="AJ50" s="2"/>
      <c r="AK50" s="2"/>
      <c r="AL50" s="2"/>
      <c r="AM50" s="2"/>
      <c r="AN50" s="2"/>
      <c r="AO50" s="2"/>
      <c r="AP50" s="2"/>
      <c r="AQ50" s="98"/>
      <c r="AR50" s="2"/>
    </row>
    <row r="51" spans="1:44" ht="12.75" customHeight="1">
      <c r="A51" s="2"/>
      <c r="B51" s="2"/>
      <c r="C51" s="112"/>
      <c r="D51" s="77"/>
      <c r="E51" s="61"/>
      <c r="F51" s="2"/>
      <c r="G51" s="2"/>
      <c r="H51" s="2"/>
      <c r="I51" s="142"/>
      <c r="J51" s="61"/>
      <c r="K51" s="61"/>
      <c r="L51" s="2"/>
      <c r="N51" s="2"/>
      <c r="O51" s="2"/>
      <c r="P51" s="2"/>
      <c r="Q51" s="2"/>
      <c r="U51" s="2"/>
      <c r="V51" s="2"/>
      <c r="W51" s="2"/>
      <c r="X51" s="2"/>
      <c r="Y51" s="2"/>
      <c r="Z51" s="2"/>
      <c r="AA51" s="2"/>
      <c r="AB51" s="2"/>
      <c r="AC51" s="2"/>
      <c r="AD51" s="2"/>
      <c r="AE51" s="2"/>
      <c r="AF51" s="2"/>
      <c r="AG51" s="2"/>
      <c r="AH51" s="2"/>
      <c r="AI51" s="2"/>
      <c r="AJ51" s="2"/>
      <c r="AK51" s="2"/>
      <c r="AL51" s="2"/>
      <c r="AM51" s="2"/>
      <c r="AN51" s="2"/>
      <c r="AO51" s="2"/>
      <c r="AP51" s="2"/>
      <c r="AQ51" s="98"/>
      <c r="AR51" s="2"/>
    </row>
    <row r="52" spans="1:44" ht="12.75" customHeight="1">
      <c r="A52" s="1222" t="s">
        <v>1483</v>
      </c>
      <c r="B52" s="1223"/>
      <c r="C52" s="1224">
        <f>C23/C14</f>
        <v>0.31737383119144796</v>
      </c>
      <c r="D52" s="1400">
        <f>D23/D14</f>
        <v>0.28632832729155877</v>
      </c>
      <c r="E52" s="1225"/>
      <c r="F52" s="1223"/>
      <c r="G52" s="1226">
        <f>(C52-D52)</f>
        <v>3.1045503899889193E-2</v>
      </c>
      <c r="H52" s="1223"/>
      <c r="I52" s="1224">
        <f>I23/I14</f>
        <v>0.28519812910385495</v>
      </c>
      <c r="J52" s="1225"/>
      <c r="K52" s="1223"/>
      <c r="L52" s="1227">
        <f>(C52-I52)</f>
        <v>3.2175702087593017E-2</v>
      </c>
      <c r="N52" s="2"/>
      <c r="O52" s="2"/>
      <c r="P52" s="2"/>
      <c r="Q52" s="2"/>
      <c r="U52" s="2"/>
      <c r="V52" s="2"/>
      <c r="W52" s="2"/>
      <c r="X52" s="2"/>
      <c r="Y52" s="2"/>
      <c r="Z52" s="2"/>
      <c r="AA52" s="2"/>
      <c r="AB52" s="2"/>
      <c r="AC52" s="2"/>
      <c r="AD52" s="2"/>
      <c r="AE52" s="2"/>
      <c r="AF52" s="2"/>
      <c r="AG52" s="2"/>
      <c r="AH52" s="2"/>
      <c r="AI52" s="2"/>
      <c r="AJ52" s="2"/>
      <c r="AK52" s="2"/>
      <c r="AL52" s="2"/>
      <c r="AM52" s="2"/>
      <c r="AN52" s="2"/>
      <c r="AO52" s="2"/>
      <c r="AP52" s="2"/>
      <c r="AQ52" s="98"/>
      <c r="AR52" s="2"/>
    </row>
    <row r="53" spans="1:44" ht="12.75" customHeight="1">
      <c r="A53" s="1239" t="s">
        <v>514</v>
      </c>
      <c r="B53" s="1228"/>
      <c r="C53" s="1229">
        <f t="shared" ref="C53:D56" si="12">C17/C8</f>
        <v>0.27559595378744312</v>
      </c>
      <c r="D53" s="1230">
        <f t="shared" si="12"/>
        <v>0.24671882376745127</v>
      </c>
      <c r="E53" s="1230"/>
      <c r="F53" s="1228"/>
      <c r="G53" s="1231">
        <f>(C53-D53)</f>
        <v>2.8877130019991842E-2</v>
      </c>
      <c r="H53" s="1228"/>
      <c r="I53" s="1229">
        <f>I17/I8</f>
        <v>0.25048522964861408</v>
      </c>
      <c r="J53" s="1230"/>
      <c r="K53" s="1228"/>
      <c r="L53" s="1232">
        <f>(C53-I53)</f>
        <v>2.5110724138829033E-2</v>
      </c>
      <c r="M53" s="1404"/>
      <c r="N53" s="1647"/>
      <c r="O53" s="1647"/>
      <c r="P53" s="1647"/>
      <c r="Q53" s="1647"/>
      <c r="U53" s="2"/>
      <c r="V53" s="2"/>
      <c r="W53" s="2"/>
      <c r="X53" s="2"/>
      <c r="Y53" s="2"/>
      <c r="Z53" s="2"/>
      <c r="AA53" s="2"/>
      <c r="AB53" s="2"/>
      <c r="AC53" s="2"/>
      <c r="AD53" s="2"/>
      <c r="AE53" s="2"/>
      <c r="AF53" s="2"/>
      <c r="AG53" s="2"/>
      <c r="AH53" s="2"/>
      <c r="AI53" s="2"/>
      <c r="AJ53" s="2"/>
      <c r="AK53" s="2"/>
      <c r="AL53" s="2"/>
      <c r="AM53" s="2"/>
      <c r="AN53" s="2"/>
      <c r="AO53" s="2"/>
      <c r="AP53" s="2"/>
      <c r="AQ53" s="98"/>
      <c r="AR53" s="2"/>
    </row>
    <row r="54" spans="1:44" ht="12.75" customHeight="1">
      <c r="A54" s="1239" t="s">
        <v>515</v>
      </c>
      <c r="B54" s="1228"/>
      <c r="C54" s="1229">
        <f t="shared" si="12"/>
        <v>0.21061368381421777</v>
      </c>
      <c r="D54" s="1230">
        <f t="shared" si="12"/>
        <v>0.15392785138248849</v>
      </c>
      <c r="E54" s="1230"/>
      <c r="F54" s="1228"/>
      <c r="G54" s="1231">
        <f>(C54-D54)</f>
        <v>5.6685832431729283E-2</v>
      </c>
      <c r="H54" s="1228"/>
      <c r="I54" s="1229">
        <f>I18/I9</f>
        <v>0.1623464797269413</v>
      </c>
      <c r="J54" s="1230"/>
      <c r="K54" s="1228"/>
      <c r="L54" s="1232">
        <f>(C54-I54)</f>
        <v>4.8267204087276472E-2</v>
      </c>
      <c r="M54" s="1403"/>
      <c r="N54" s="98"/>
      <c r="O54" s="98"/>
      <c r="P54" s="98"/>
      <c r="Q54" s="98"/>
      <c r="U54" s="2"/>
      <c r="V54" s="2"/>
      <c r="W54" s="2"/>
      <c r="X54" s="2"/>
      <c r="Y54" s="2"/>
      <c r="Z54" s="2"/>
      <c r="AA54" s="2"/>
      <c r="AB54" s="2"/>
      <c r="AC54" s="2"/>
      <c r="AD54" s="2"/>
      <c r="AE54" s="2"/>
      <c r="AF54" s="2"/>
      <c r="AG54" s="2"/>
      <c r="AH54" s="2"/>
      <c r="AI54" s="2"/>
      <c r="AJ54" s="2"/>
      <c r="AK54" s="2"/>
      <c r="AL54" s="2"/>
      <c r="AM54" s="2"/>
      <c r="AN54" s="2"/>
      <c r="AO54" s="2"/>
      <c r="AP54" s="2"/>
      <c r="AQ54" s="98"/>
      <c r="AR54" s="2"/>
    </row>
    <row r="55" spans="1:44" ht="12.75" customHeight="1">
      <c r="A55" s="1239" t="s">
        <v>516</v>
      </c>
      <c r="B55" s="1228"/>
      <c r="C55" s="1229">
        <f t="shared" si="12"/>
        <v>0.23775237972788679</v>
      </c>
      <c r="D55" s="1230">
        <f t="shared" si="12"/>
        <v>0.20180866937026548</v>
      </c>
      <c r="E55" s="1230"/>
      <c r="F55" s="1228"/>
      <c r="G55" s="1231">
        <f>(C55-D55)</f>
        <v>3.5943710357621311E-2</v>
      </c>
      <c r="H55" s="1228"/>
      <c r="I55" s="1229">
        <f>I19/I10</f>
        <v>0.20278966935454282</v>
      </c>
      <c r="J55" s="1230"/>
      <c r="K55" s="1228"/>
      <c r="L55" s="1232">
        <f>(C55-I55)</f>
        <v>3.4962710373343975E-2</v>
      </c>
      <c r="M55" s="1403"/>
      <c r="N55" s="98"/>
      <c r="O55" s="98"/>
      <c r="P55" s="98"/>
      <c r="Q55" s="98"/>
      <c r="U55" s="2"/>
      <c r="V55" s="2"/>
      <c r="W55" s="2"/>
      <c r="X55" s="2"/>
      <c r="Y55" s="2"/>
      <c r="Z55" s="2"/>
      <c r="AA55" s="2"/>
      <c r="AB55" s="2"/>
      <c r="AC55" s="2"/>
      <c r="AD55" s="2"/>
      <c r="AE55" s="2"/>
      <c r="AF55" s="2"/>
      <c r="AG55" s="2"/>
      <c r="AH55" s="2"/>
      <c r="AI55" s="2"/>
      <c r="AJ55" s="2"/>
      <c r="AK55" s="2"/>
      <c r="AL55" s="2"/>
      <c r="AM55" s="2"/>
      <c r="AN55" s="2"/>
      <c r="AO55" s="2"/>
      <c r="AP55" s="2"/>
      <c r="AQ55" s="98"/>
      <c r="AR55" s="2"/>
    </row>
    <row r="56" spans="1:44" ht="12.75" customHeight="1">
      <c r="A56" s="3113" t="s">
        <v>517</v>
      </c>
      <c r="B56" s="1233"/>
      <c r="C56" s="1234">
        <f t="shared" si="12"/>
        <v>0.37638376383763833</v>
      </c>
      <c r="D56" s="1235">
        <f t="shared" si="12"/>
        <v>0.35444682749659495</v>
      </c>
      <c r="E56" s="1235"/>
      <c r="F56" s="1233"/>
      <c r="G56" s="1236">
        <f>(C56-D56)</f>
        <v>2.1936936341043378E-2</v>
      </c>
      <c r="H56" s="1233"/>
      <c r="I56" s="1234">
        <f>I20/I11</f>
        <v>0.36018856681562378</v>
      </c>
      <c r="J56" s="1235"/>
      <c r="K56" s="1233"/>
      <c r="L56" s="1237">
        <f>(C56-I56)</f>
        <v>1.6195197022014551E-2</v>
      </c>
      <c r="M56" s="1404"/>
      <c r="N56" s="105"/>
      <c r="O56" s="105"/>
      <c r="P56" s="105"/>
      <c r="Q56" s="105"/>
      <c r="U56" s="2"/>
      <c r="V56" s="2"/>
      <c r="W56" s="2"/>
      <c r="X56" s="2"/>
      <c r="Y56" s="2"/>
      <c r="Z56" s="2"/>
      <c r="AA56" s="2"/>
      <c r="AB56" s="2"/>
      <c r="AC56" s="2"/>
      <c r="AD56" s="2"/>
      <c r="AE56" s="2"/>
      <c r="AF56" s="2"/>
      <c r="AG56" s="2"/>
      <c r="AH56" s="2"/>
      <c r="AI56" s="2"/>
      <c r="AJ56" s="2"/>
      <c r="AK56" s="2"/>
      <c r="AL56" s="2"/>
      <c r="AM56" s="2"/>
      <c r="AN56" s="2"/>
      <c r="AO56" s="2"/>
      <c r="AP56" s="2"/>
      <c r="AQ56" s="98"/>
      <c r="AR56" s="2"/>
    </row>
    <row r="57" spans="1:44" ht="12.75" customHeight="1">
      <c r="A57" s="61"/>
      <c r="B57" s="61"/>
      <c r="C57" s="144"/>
      <c r="D57" s="77"/>
      <c r="E57" s="61"/>
      <c r="F57" s="61"/>
      <c r="G57" s="61"/>
      <c r="H57" s="61"/>
      <c r="I57" s="144"/>
      <c r="J57" s="61"/>
      <c r="K57" s="61"/>
      <c r="L57" s="61"/>
      <c r="M57" s="1404"/>
      <c r="N57" s="105"/>
      <c r="O57" s="105"/>
      <c r="P57" s="105"/>
      <c r="Q57" s="105"/>
      <c r="U57" s="2"/>
      <c r="V57" s="2"/>
      <c r="W57" s="2"/>
      <c r="X57" s="2"/>
      <c r="Y57" s="2"/>
      <c r="Z57" s="2"/>
      <c r="AA57" s="2"/>
      <c r="AB57" s="2"/>
      <c r="AC57" s="2"/>
      <c r="AD57" s="2"/>
      <c r="AE57" s="2"/>
      <c r="AF57" s="2"/>
      <c r="AG57" s="2"/>
      <c r="AH57" s="2"/>
      <c r="AI57" s="2"/>
      <c r="AJ57" s="2"/>
      <c r="AK57" s="2"/>
      <c r="AL57" s="2"/>
      <c r="AM57" s="2"/>
      <c r="AN57" s="2"/>
      <c r="AO57" s="2"/>
      <c r="AP57" s="2"/>
      <c r="AQ57" s="98"/>
      <c r="AR57" s="2"/>
    </row>
    <row r="58" spans="1:44" ht="12.75" customHeight="1">
      <c r="A58" s="61"/>
      <c r="B58" s="61"/>
      <c r="C58" s="374"/>
      <c r="D58" s="374"/>
      <c r="E58" s="61"/>
      <c r="F58" s="374"/>
      <c r="G58" s="95"/>
      <c r="H58" s="313"/>
      <c r="I58" s="376"/>
      <c r="J58" s="932"/>
      <c r="K58" s="374"/>
      <c r="L58" s="1204"/>
      <c r="N58" s="2"/>
      <c r="O58" s="2"/>
      <c r="P58" s="2"/>
      <c r="Q58" s="2"/>
      <c r="U58" s="1"/>
      <c r="V58" s="2"/>
      <c r="W58" s="1"/>
      <c r="X58" s="2"/>
      <c r="Y58" s="2"/>
      <c r="Z58" s="2"/>
      <c r="AA58" s="2"/>
      <c r="AB58" s="2"/>
      <c r="AC58" s="2"/>
      <c r="AD58" s="2"/>
      <c r="AE58" s="2"/>
      <c r="AF58" s="2"/>
      <c r="AG58" s="2"/>
      <c r="AH58" s="2"/>
      <c r="AI58" s="2"/>
      <c r="AJ58" s="2"/>
      <c r="AK58" s="2"/>
      <c r="AL58" s="2"/>
      <c r="AM58" s="2"/>
      <c r="AN58" s="2"/>
      <c r="AO58" s="2"/>
      <c r="AP58" s="2"/>
      <c r="AQ58" s="98"/>
      <c r="AR58" s="2"/>
    </row>
    <row r="59" spans="1:44" ht="12.75" customHeight="1">
      <c r="A59" s="743"/>
      <c r="B59" s="61"/>
      <c r="C59" s="1618"/>
      <c r="D59" s="1618"/>
      <c r="E59" s="61"/>
      <c r="F59" s="1618"/>
      <c r="G59" s="1433"/>
      <c r="H59" s="61"/>
      <c r="I59" s="1618"/>
      <c r="J59" s="1103"/>
      <c r="K59" s="452"/>
      <c r="L59" s="1252"/>
      <c r="M59" s="1404"/>
      <c r="N59" s="1404"/>
      <c r="O59" s="1404"/>
      <c r="P59" s="1404"/>
      <c r="Q59" s="1404"/>
      <c r="U59" s="105"/>
      <c r="V59" s="2"/>
      <c r="W59" s="105"/>
      <c r="X59" s="2"/>
      <c r="Y59" s="2"/>
      <c r="Z59" s="2"/>
      <c r="AA59" s="2"/>
      <c r="AB59" s="2"/>
      <c r="AC59" s="2"/>
      <c r="AD59" s="2"/>
      <c r="AE59" s="2"/>
      <c r="AF59" s="2"/>
      <c r="AG59" s="2"/>
      <c r="AH59" s="2"/>
      <c r="AI59" s="2"/>
      <c r="AJ59" s="2"/>
      <c r="AK59" s="2"/>
      <c r="AL59" s="2"/>
      <c r="AM59" s="2"/>
      <c r="AN59" s="2"/>
      <c r="AO59" s="2"/>
      <c r="AP59" s="2"/>
      <c r="AQ59" s="98"/>
      <c r="AR59" s="2"/>
    </row>
    <row r="60" spans="1:44" ht="12.75" customHeight="1">
      <c r="A60" s="1"/>
      <c r="B60" s="2"/>
      <c r="C60" s="1241"/>
      <c r="D60" s="1241"/>
      <c r="E60" s="61"/>
      <c r="F60" s="374"/>
      <c r="G60" s="95"/>
      <c r="H60" s="61"/>
      <c r="I60" s="1434"/>
      <c r="J60" s="1103"/>
      <c r="K60" s="1241"/>
      <c r="L60" s="1204"/>
      <c r="N60" s="1143"/>
      <c r="O60" s="1143"/>
      <c r="P60" s="1143"/>
      <c r="Q60" s="1143"/>
      <c r="AQ60" s="1403"/>
    </row>
    <row r="61" spans="1:44" ht="4.5" customHeight="1">
      <c r="A61" s="2"/>
      <c r="B61" s="2"/>
      <c r="C61" s="61"/>
      <c r="D61" s="77"/>
      <c r="E61" s="61"/>
      <c r="F61" s="61"/>
      <c r="G61" s="61"/>
      <c r="H61" s="61"/>
      <c r="I61" s="61"/>
      <c r="J61" s="2"/>
      <c r="K61" s="2"/>
      <c r="L61" s="2"/>
      <c r="N61" s="2"/>
      <c r="O61" s="2"/>
      <c r="P61" s="2"/>
      <c r="Q61" s="2"/>
      <c r="AQ61" s="1403"/>
    </row>
    <row r="62" spans="1:44" ht="6" customHeight="1">
      <c r="A62" s="2"/>
      <c r="B62" s="2"/>
      <c r="C62" s="2"/>
      <c r="D62" s="1062"/>
      <c r="E62" s="2"/>
      <c r="F62" s="2"/>
      <c r="G62" s="2"/>
      <c r="H62" s="2"/>
      <c r="I62" s="2"/>
      <c r="J62" s="2"/>
      <c r="K62" s="2"/>
      <c r="L62" s="2"/>
      <c r="N62" s="2"/>
      <c r="O62" s="2"/>
      <c r="P62" s="2"/>
      <c r="Q62" s="2"/>
      <c r="AQ62" s="1403"/>
    </row>
    <row r="63" spans="1:44" ht="12.75" customHeight="1">
      <c r="A63" s="2"/>
      <c r="B63" s="2"/>
      <c r="C63" s="2"/>
      <c r="D63" s="1648"/>
      <c r="E63" s="2"/>
      <c r="F63" s="2"/>
      <c r="G63" s="2"/>
      <c r="H63" s="2"/>
      <c r="I63" s="2"/>
      <c r="J63" s="2"/>
      <c r="K63" s="2"/>
      <c r="L63" s="2"/>
      <c r="N63" s="2"/>
      <c r="O63" s="2"/>
      <c r="P63" s="2"/>
      <c r="Q63" s="2"/>
      <c r="AQ63" s="1403"/>
    </row>
    <row r="64" spans="1:44" ht="12.75" customHeight="1">
      <c r="A64" s="2"/>
      <c r="B64" s="2"/>
      <c r="C64" s="2"/>
      <c r="D64" s="1062"/>
      <c r="E64" s="2"/>
      <c r="F64" s="2"/>
      <c r="G64" s="2"/>
      <c r="H64" s="2"/>
      <c r="I64" s="2"/>
      <c r="J64" s="2"/>
      <c r="K64" s="2"/>
      <c r="L64" s="2"/>
      <c r="N64" s="2"/>
      <c r="O64" s="2"/>
      <c r="P64" s="2"/>
      <c r="Q64" s="2"/>
      <c r="AQ64" s="1403"/>
    </row>
    <row r="65" spans="1:44" ht="12.75" customHeight="1">
      <c r="A65" s="2"/>
      <c r="B65" s="2"/>
      <c r="C65" s="2"/>
      <c r="D65" s="1062"/>
      <c r="E65" s="2"/>
      <c r="F65" s="2"/>
      <c r="G65" s="2"/>
      <c r="H65" s="2"/>
      <c r="I65" s="2"/>
      <c r="J65" s="2"/>
      <c r="K65" s="2"/>
      <c r="L65" s="2"/>
      <c r="N65" s="2"/>
      <c r="O65" s="2"/>
      <c r="P65" s="2"/>
      <c r="Q65" s="2"/>
      <c r="AQ65" s="1403"/>
    </row>
    <row r="66" spans="1:44" ht="12.75" customHeight="1">
      <c r="A66" s="2"/>
      <c r="B66" s="2"/>
      <c r="C66" s="2"/>
      <c r="D66" s="1062"/>
      <c r="E66" s="2"/>
      <c r="F66" s="2"/>
      <c r="G66" s="2"/>
      <c r="H66" s="2"/>
      <c r="I66" s="2"/>
      <c r="J66" s="2"/>
      <c r="K66" s="2"/>
      <c r="L66" s="2"/>
      <c r="N66" s="2"/>
      <c r="O66" s="2"/>
      <c r="P66" s="2"/>
      <c r="Q66" s="2"/>
      <c r="AQ66" s="1403"/>
    </row>
    <row r="67" spans="1:44" ht="12.75" customHeight="1">
      <c r="A67" s="2"/>
      <c r="B67" s="2"/>
      <c r="C67" s="2"/>
      <c r="D67" s="1062"/>
      <c r="E67" s="2"/>
      <c r="F67" s="2"/>
      <c r="G67" s="2"/>
      <c r="H67" s="2"/>
      <c r="I67" s="2"/>
      <c r="J67" s="2"/>
      <c r="K67" s="2"/>
      <c r="L67" s="2"/>
      <c r="N67" s="2"/>
      <c r="O67" s="2"/>
      <c r="P67" s="2"/>
      <c r="Q67" s="2"/>
      <c r="AQ67" s="1403"/>
    </row>
    <row r="68" spans="1:44" ht="12.75" customHeight="1">
      <c r="A68" s="2"/>
      <c r="B68" s="2"/>
      <c r="C68" s="2"/>
      <c r="D68" s="1062"/>
      <c r="E68" s="2"/>
      <c r="F68" s="2"/>
      <c r="G68" s="2"/>
      <c r="H68" s="2"/>
      <c r="I68" s="2"/>
      <c r="J68" s="2"/>
      <c r="K68" s="2"/>
      <c r="L68" s="2"/>
      <c r="M68" s="69" t="s">
        <v>318</v>
      </c>
      <c r="R68" s="2"/>
      <c r="S68" s="2"/>
      <c r="T68" s="2"/>
      <c r="AQ68" s="1403"/>
    </row>
    <row r="69" spans="1:44" ht="12.75" customHeight="1">
      <c r="A69" s="2"/>
      <c r="B69" s="2"/>
      <c r="C69" s="2"/>
      <c r="D69" s="1062"/>
      <c r="E69" s="2"/>
      <c r="F69" s="2"/>
      <c r="G69" s="2"/>
      <c r="H69" s="2"/>
      <c r="I69" s="2"/>
      <c r="J69" s="2"/>
      <c r="K69" s="2"/>
      <c r="L69" s="2"/>
      <c r="M69" s="2" t="s">
        <v>319</v>
      </c>
      <c r="N69" s="2" t="s">
        <v>320</v>
      </c>
      <c r="O69" s="2"/>
      <c r="P69" s="2"/>
      <c r="Q69" s="2"/>
      <c r="R69" s="2" t="s">
        <v>321</v>
      </c>
      <c r="S69" s="98">
        <v>62.5</v>
      </c>
      <c r="T69" s="98"/>
      <c r="AQ69" s="1403"/>
    </row>
    <row r="70" spans="1:44" ht="12.75" customHeight="1">
      <c r="A70" s="2"/>
      <c r="B70" s="2"/>
      <c r="C70" s="2"/>
      <c r="D70" s="1062"/>
      <c r="E70" s="2"/>
      <c r="F70" s="2"/>
      <c r="G70" s="2"/>
      <c r="H70" s="2"/>
      <c r="I70" s="2"/>
      <c r="J70" s="2"/>
      <c r="K70" s="2"/>
      <c r="L70" s="2"/>
      <c r="M70" s="2"/>
      <c r="N70" s="2" t="s">
        <v>322</v>
      </c>
      <c r="O70" s="2"/>
      <c r="P70" s="2"/>
      <c r="Q70" s="2"/>
      <c r="R70" s="2" t="s">
        <v>321</v>
      </c>
      <c r="S70" s="98">
        <v>87.5</v>
      </c>
      <c r="T70" s="98"/>
      <c r="AQ70" s="1403"/>
    </row>
    <row r="71" spans="1:44" ht="12.75" customHeight="1">
      <c r="A71" s="2"/>
      <c r="B71" s="2"/>
      <c r="C71" s="2"/>
      <c r="D71" s="1062"/>
      <c r="E71" s="2"/>
      <c r="F71" s="2"/>
      <c r="G71" s="2"/>
      <c r="H71" s="2"/>
      <c r="I71" s="2"/>
      <c r="J71" s="2"/>
      <c r="K71" s="2"/>
      <c r="L71" s="2"/>
      <c r="M71" s="2"/>
      <c r="N71" s="2" t="s">
        <v>323</v>
      </c>
      <c r="O71" s="2"/>
      <c r="P71" s="2"/>
      <c r="Q71" s="2"/>
      <c r="R71" s="2" t="s">
        <v>321</v>
      </c>
      <c r="S71" s="98">
        <v>100</v>
      </c>
      <c r="T71" s="98"/>
      <c r="AQ71" s="1403"/>
    </row>
    <row r="72" spans="1:44" ht="12.75" customHeight="1">
      <c r="A72" s="2"/>
      <c r="B72" s="2"/>
      <c r="C72" s="2"/>
      <c r="D72" s="1062"/>
      <c r="E72" s="2"/>
      <c r="F72" s="2"/>
      <c r="G72" s="2"/>
      <c r="H72" s="2"/>
      <c r="I72" s="2"/>
      <c r="J72" s="2"/>
      <c r="K72" s="2"/>
      <c r="L72" s="2"/>
      <c r="M72" s="2"/>
      <c r="N72" s="2" t="s">
        <v>324</v>
      </c>
      <c r="O72" s="2"/>
      <c r="P72" s="2"/>
      <c r="Q72" s="2"/>
      <c r="R72" s="2" t="s">
        <v>321</v>
      </c>
      <c r="S72" s="98">
        <v>112.5</v>
      </c>
      <c r="T72" s="98"/>
      <c r="AQ72" s="1403"/>
    </row>
    <row r="73" spans="1:44" ht="12.75" customHeight="1">
      <c r="A73" s="2"/>
      <c r="B73" s="2"/>
      <c r="C73" s="2"/>
      <c r="D73" s="1062"/>
      <c r="E73" s="2"/>
      <c r="F73" s="2"/>
      <c r="G73" s="2"/>
      <c r="H73" s="2"/>
      <c r="I73" s="2"/>
      <c r="J73" s="2"/>
      <c r="K73" s="2"/>
      <c r="L73" s="2"/>
      <c r="M73" s="2"/>
      <c r="N73" s="2" t="s">
        <v>325</v>
      </c>
      <c r="O73" s="2"/>
      <c r="P73" s="2"/>
      <c r="Q73" s="2"/>
      <c r="R73" s="2" t="s">
        <v>321</v>
      </c>
      <c r="S73" s="98">
        <v>137.5</v>
      </c>
      <c r="T73" s="98"/>
      <c r="AQ73" s="1403"/>
    </row>
    <row r="74" spans="1:44" ht="12.75" customHeight="1">
      <c r="A74" s="2"/>
      <c r="B74" s="2"/>
      <c r="C74" s="2"/>
      <c r="D74" s="1062"/>
      <c r="E74" s="2"/>
      <c r="F74" s="2"/>
      <c r="G74" s="2"/>
      <c r="H74" s="2"/>
      <c r="I74" s="2"/>
      <c r="J74" s="2"/>
      <c r="K74" s="2"/>
      <c r="L74" s="2"/>
      <c r="M74" s="2"/>
      <c r="N74" s="2" t="s">
        <v>326</v>
      </c>
      <c r="O74" s="2"/>
      <c r="P74" s="2"/>
      <c r="Q74" s="2"/>
      <c r="R74" s="2" t="s">
        <v>321</v>
      </c>
      <c r="S74" s="98">
        <v>162.5</v>
      </c>
      <c r="T74" s="98"/>
      <c r="AQ74" s="1403"/>
    </row>
    <row r="75" spans="1:44" ht="12.75" customHeight="1">
      <c r="A75" s="2"/>
      <c r="B75" s="2"/>
      <c r="C75" s="2"/>
      <c r="D75" s="1062"/>
      <c r="E75" s="2"/>
      <c r="F75" s="2"/>
      <c r="G75" s="2"/>
      <c r="H75" s="2"/>
      <c r="I75" s="2"/>
      <c r="J75" s="2"/>
      <c r="K75" s="2"/>
      <c r="L75" s="2"/>
      <c r="N75" s="2"/>
      <c r="O75" s="2"/>
      <c r="P75" s="2"/>
      <c r="Q75" s="2"/>
      <c r="U75" s="2"/>
      <c r="V75" s="2"/>
      <c r="W75" s="2"/>
      <c r="X75" s="2"/>
      <c r="Y75" s="2"/>
      <c r="Z75" s="2"/>
      <c r="AA75" s="2"/>
      <c r="AB75" s="2"/>
      <c r="AC75" s="2"/>
      <c r="AD75" s="2"/>
      <c r="AE75" s="2"/>
      <c r="AF75" s="2"/>
      <c r="AG75" s="2"/>
      <c r="AH75" s="2"/>
      <c r="AI75" s="2"/>
      <c r="AJ75" s="2"/>
      <c r="AK75" s="2"/>
      <c r="AL75" s="2"/>
      <c r="AM75" s="2"/>
      <c r="AN75" s="2"/>
      <c r="AO75" s="2"/>
      <c r="AP75" s="2"/>
      <c r="AQ75" s="98"/>
      <c r="AR75" s="2"/>
    </row>
    <row r="76" spans="1:44" ht="12.75" customHeight="1">
      <c r="A76" s="2"/>
      <c r="B76" s="2"/>
      <c r="C76" s="2"/>
      <c r="D76" s="1062"/>
      <c r="E76" s="2"/>
      <c r="F76" s="2"/>
      <c r="G76" s="2"/>
      <c r="H76" s="2"/>
      <c r="I76" s="2"/>
      <c r="J76" s="2"/>
      <c r="K76" s="2"/>
      <c r="L76" s="2"/>
      <c r="N76" s="2"/>
      <c r="O76" s="2"/>
      <c r="P76" s="2"/>
      <c r="Q76" s="2"/>
      <c r="U76" s="2"/>
      <c r="V76" s="2"/>
      <c r="W76" s="2"/>
      <c r="X76" s="2"/>
      <c r="Y76" s="2"/>
      <c r="Z76" s="2"/>
      <c r="AA76" s="2"/>
      <c r="AB76" s="2"/>
      <c r="AC76" s="2"/>
      <c r="AD76" s="2"/>
      <c r="AE76" s="2"/>
      <c r="AF76" s="2"/>
      <c r="AG76" s="2"/>
      <c r="AH76" s="2"/>
      <c r="AI76" s="2"/>
      <c r="AJ76" s="2"/>
      <c r="AK76" s="2"/>
      <c r="AL76" s="2"/>
      <c r="AM76" s="2"/>
      <c r="AN76" s="2"/>
      <c r="AO76" s="2"/>
      <c r="AP76" s="2"/>
      <c r="AQ76" s="98"/>
      <c r="AR76" s="2"/>
    </row>
    <row r="77" spans="1:44" ht="12.75" customHeight="1">
      <c r="A77" s="2"/>
      <c r="B77" s="2"/>
      <c r="C77" s="2"/>
      <c r="D77" s="1062"/>
      <c r="E77" s="2"/>
      <c r="F77" s="2"/>
      <c r="G77" s="2"/>
      <c r="H77" s="2"/>
      <c r="I77" s="2"/>
      <c r="J77" s="2"/>
      <c r="K77" s="2"/>
      <c r="L77" s="2"/>
      <c r="N77" s="2"/>
      <c r="O77" s="2"/>
      <c r="P77" s="2"/>
      <c r="Q77" s="2"/>
      <c r="U77" s="1" t="s">
        <v>1140</v>
      </c>
      <c r="V77" s="1"/>
      <c r="W77" s="2"/>
      <c r="X77" s="2"/>
      <c r="Y77" s="2"/>
      <c r="Z77" s="2"/>
      <c r="AA77" s="2"/>
      <c r="AB77" s="2"/>
      <c r="AC77" s="2"/>
      <c r="AD77" s="2"/>
      <c r="AE77" s="2"/>
      <c r="AF77" s="2"/>
      <c r="AG77" s="2"/>
      <c r="AH77" s="2"/>
      <c r="AI77" s="2"/>
      <c r="AJ77" s="2"/>
      <c r="AK77" s="2"/>
      <c r="AL77" s="2"/>
      <c r="AM77" s="2"/>
      <c r="AN77" s="2"/>
      <c r="AO77" s="2"/>
      <c r="AP77" s="2"/>
      <c r="AQ77" s="98"/>
      <c r="AR77" s="2"/>
    </row>
    <row r="78" spans="1:44" ht="12.75" customHeight="1">
      <c r="A78" s="2"/>
      <c r="B78" s="2"/>
      <c r="C78" s="2"/>
      <c r="D78" s="1062"/>
      <c r="E78" s="2"/>
      <c r="F78" s="2"/>
      <c r="G78" s="2"/>
      <c r="H78" s="2"/>
      <c r="I78" s="2"/>
      <c r="J78" s="2"/>
      <c r="K78" s="2"/>
      <c r="L78" s="2"/>
      <c r="N78" s="2"/>
      <c r="O78" s="2"/>
      <c r="P78" s="2"/>
      <c r="Q78" s="2"/>
      <c r="U78" s="1"/>
      <c r="V78" s="1"/>
      <c r="W78" s="2"/>
      <c r="X78" s="2"/>
      <c r="Y78" s="2"/>
      <c r="Z78" s="2"/>
      <c r="AA78" s="2"/>
      <c r="AB78" s="2"/>
      <c r="AC78" s="2"/>
      <c r="AD78" s="2"/>
      <c r="AE78" s="2"/>
      <c r="AF78" s="2"/>
      <c r="AG78" s="2"/>
      <c r="AH78" s="2"/>
      <c r="AI78" s="2"/>
      <c r="AJ78" s="2"/>
      <c r="AK78" s="2"/>
      <c r="AL78" s="2"/>
      <c r="AM78" s="2"/>
      <c r="AN78" s="2"/>
      <c r="AO78" s="2"/>
      <c r="AP78" s="2"/>
      <c r="AQ78" s="98"/>
      <c r="AR78" s="2"/>
    </row>
    <row r="79" spans="1:44" ht="12.75" customHeight="1">
      <c r="A79" s="2"/>
      <c r="B79" s="2"/>
      <c r="C79" s="2"/>
      <c r="D79" s="1062"/>
      <c r="E79" s="2"/>
      <c r="F79" s="2"/>
      <c r="G79" s="2"/>
      <c r="H79" s="2"/>
      <c r="I79" s="2"/>
      <c r="J79" s="2"/>
      <c r="K79" s="2"/>
      <c r="L79" s="2"/>
      <c r="N79" s="2"/>
      <c r="O79" s="2"/>
      <c r="P79" s="2"/>
      <c r="Q79" s="2"/>
      <c r="U79" s="2" t="s">
        <v>1144</v>
      </c>
      <c r="V79" s="2"/>
      <c r="W79" s="2"/>
      <c r="X79" s="2"/>
      <c r="Y79" s="2"/>
      <c r="Z79" s="2"/>
      <c r="AA79" s="2"/>
      <c r="AB79" s="2"/>
      <c r="AC79" s="2"/>
      <c r="AD79" s="2"/>
      <c r="AE79" s="2"/>
      <c r="AF79" s="2"/>
      <c r="AG79" s="2"/>
      <c r="AH79" s="2"/>
      <c r="AI79" s="2"/>
      <c r="AJ79" s="2"/>
      <c r="AK79" s="2"/>
      <c r="AL79" s="2"/>
      <c r="AM79" s="2"/>
      <c r="AN79" s="2"/>
      <c r="AO79" s="2"/>
      <c r="AP79" s="2"/>
      <c r="AQ79" s="98"/>
      <c r="AR79" s="2"/>
    </row>
    <row r="80" spans="1:44" ht="12.75" customHeight="1">
      <c r="A80" s="2"/>
      <c r="B80" s="2"/>
      <c r="C80" s="2"/>
      <c r="D80" s="1062"/>
      <c r="E80" s="2"/>
      <c r="F80" s="2"/>
      <c r="G80" s="2"/>
      <c r="H80" s="2"/>
      <c r="I80" s="2"/>
      <c r="J80" s="2"/>
      <c r="K80" s="2"/>
      <c r="L80" s="2"/>
      <c r="N80" s="2"/>
      <c r="O80" s="2"/>
      <c r="P80" s="2"/>
      <c r="Q80" s="2"/>
      <c r="U80" s="2"/>
      <c r="V80" s="2"/>
      <c r="W80" s="2"/>
      <c r="X80" s="2"/>
      <c r="Y80" s="2"/>
      <c r="Z80" s="2"/>
      <c r="AA80" s="2"/>
      <c r="AB80" s="2"/>
      <c r="AC80" s="2"/>
      <c r="AD80" s="2"/>
      <c r="AE80" s="2"/>
      <c r="AF80" s="2"/>
      <c r="AG80" s="2"/>
      <c r="AH80" s="2"/>
      <c r="AI80" s="2"/>
      <c r="AJ80" s="2"/>
      <c r="AK80" s="2"/>
      <c r="AL80" s="2"/>
      <c r="AM80" s="2"/>
      <c r="AN80" s="2"/>
      <c r="AO80" s="2"/>
      <c r="AP80" s="2"/>
      <c r="AQ80" s="98"/>
      <c r="AR80" s="2"/>
    </row>
    <row r="81" spans="1:44" ht="12.75" customHeight="1">
      <c r="A81" s="2"/>
      <c r="B81" s="2"/>
      <c r="C81" s="2"/>
      <c r="D81" s="1062"/>
      <c r="E81" s="2"/>
      <c r="F81" s="2"/>
      <c r="G81" s="2"/>
      <c r="H81" s="2"/>
      <c r="I81" s="2"/>
      <c r="J81" s="2"/>
      <c r="K81" s="2"/>
      <c r="L81" s="2"/>
      <c r="N81" s="2"/>
      <c r="O81" s="2"/>
      <c r="P81" s="2"/>
      <c r="Q81" s="2"/>
      <c r="U81" s="2"/>
      <c r="V81" s="2"/>
      <c r="W81" s="1197" t="s">
        <v>55</v>
      </c>
      <c r="X81" s="1197"/>
      <c r="Y81" s="1197"/>
      <c r="Z81" s="1196"/>
      <c r="AA81" s="1196"/>
      <c r="AB81" s="2"/>
      <c r="AC81" s="2"/>
      <c r="AD81" s="2"/>
      <c r="AE81" s="2"/>
      <c r="AF81" s="2"/>
      <c r="AG81" s="2"/>
      <c r="AH81" s="2"/>
      <c r="AI81" s="2"/>
      <c r="AJ81" s="2"/>
      <c r="AK81" s="2"/>
      <c r="AL81" s="2"/>
      <c r="AM81" s="2"/>
      <c r="AN81" s="2"/>
      <c r="AO81" s="2"/>
      <c r="AP81" s="2"/>
      <c r="AQ81" s="98"/>
      <c r="AR81" s="2"/>
    </row>
    <row r="82" spans="1:44" ht="12.75" customHeight="1">
      <c r="A82" s="2"/>
      <c r="B82" s="2"/>
      <c r="C82" s="2"/>
      <c r="D82" s="1062"/>
      <c r="E82" s="2"/>
      <c r="F82" s="2"/>
      <c r="G82" s="2"/>
      <c r="H82" s="2"/>
      <c r="I82" s="2"/>
      <c r="J82" s="2"/>
      <c r="K82" s="2"/>
      <c r="L82" s="2"/>
      <c r="N82" s="2"/>
      <c r="O82" s="2"/>
      <c r="P82" s="2"/>
      <c r="Q82" s="2"/>
      <c r="U82" s="69"/>
      <c r="V82" s="69"/>
      <c r="W82" s="1289" t="s">
        <v>1142</v>
      </c>
      <c r="X82" s="1289"/>
      <c r="Y82" s="1289" t="s">
        <v>1143</v>
      </c>
      <c r="Z82" s="1289"/>
      <c r="AA82" s="1289" t="s">
        <v>829</v>
      </c>
      <c r="AB82" s="2"/>
      <c r="AC82" s="2"/>
      <c r="AD82" s="2"/>
      <c r="AE82" s="2"/>
      <c r="AF82" s="2"/>
      <c r="AG82" s="2"/>
      <c r="AH82" s="2"/>
      <c r="AI82" s="2"/>
      <c r="AJ82" s="2"/>
      <c r="AK82" s="2"/>
      <c r="AL82" s="2"/>
      <c r="AM82" s="2"/>
      <c r="AN82" s="2"/>
      <c r="AO82" s="2"/>
      <c r="AP82" s="2"/>
      <c r="AQ82" s="98"/>
      <c r="AR82" s="2"/>
    </row>
    <row r="83" spans="1:44" ht="12.75" customHeight="1">
      <c r="A83" s="2"/>
      <c r="B83" s="2"/>
      <c r="C83" s="2"/>
      <c r="D83" s="1062"/>
      <c r="E83" s="2"/>
      <c r="F83" s="2"/>
      <c r="G83" s="2"/>
      <c r="H83" s="2"/>
      <c r="I83" s="2"/>
      <c r="J83" s="2"/>
      <c r="K83" s="2"/>
      <c r="L83" s="2"/>
      <c r="N83" s="2"/>
      <c r="O83" s="2"/>
      <c r="P83" s="2"/>
      <c r="Q83" s="2"/>
      <c r="U83" s="2" t="s">
        <v>935</v>
      </c>
      <c r="V83" s="2"/>
      <c r="W83" s="1102"/>
      <c r="X83" s="98"/>
      <c r="Y83" s="1102"/>
      <c r="Z83" s="98"/>
      <c r="AA83" s="105"/>
      <c r="AB83" s="2"/>
      <c r="AC83" s="2"/>
      <c r="AD83" s="2"/>
      <c r="AE83" s="2"/>
      <c r="AF83" s="2"/>
      <c r="AG83" s="2"/>
      <c r="AH83" s="2"/>
      <c r="AI83" s="2"/>
      <c r="AJ83" s="2"/>
      <c r="AK83" s="2"/>
      <c r="AL83" s="2"/>
      <c r="AM83" s="2"/>
      <c r="AN83" s="2"/>
      <c r="AO83" s="2"/>
      <c r="AP83" s="2"/>
      <c r="AQ83" s="98"/>
      <c r="AR83" s="2"/>
    </row>
    <row r="84" spans="1:44" ht="12.75" customHeight="1">
      <c r="A84" s="2"/>
      <c r="B84" s="2"/>
      <c r="C84" s="2"/>
      <c r="D84" s="1062"/>
      <c r="E84" s="2"/>
      <c r="F84" s="2"/>
      <c r="G84" s="2"/>
      <c r="H84" s="2"/>
      <c r="I84" s="2"/>
      <c r="J84" s="2"/>
      <c r="K84" s="2"/>
      <c r="L84" s="2"/>
      <c r="N84" s="2"/>
      <c r="O84" s="2"/>
      <c r="P84" s="2"/>
      <c r="Q84" s="2"/>
      <c r="U84" s="2" t="s">
        <v>1141</v>
      </c>
      <c r="V84" s="2"/>
      <c r="W84" s="1102"/>
      <c r="X84" s="98"/>
      <c r="Y84" s="1102"/>
      <c r="Z84" s="98"/>
      <c r="AA84" s="105"/>
      <c r="AB84" s="2"/>
      <c r="AC84" s="2"/>
      <c r="AD84" s="2"/>
      <c r="AE84" s="2"/>
      <c r="AF84" s="2"/>
      <c r="AG84" s="2"/>
      <c r="AH84" s="2"/>
      <c r="AI84" s="2"/>
      <c r="AJ84" s="2"/>
      <c r="AK84" s="2"/>
      <c r="AL84" s="2"/>
      <c r="AM84" s="2"/>
      <c r="AN84" s="2"/>
      <c r="AO84" s="2"/>
      <c r="AP84" s="2"/>
      <c r="AQ84" s="98"/>
      <c r="AR84" s="2"/>
    </row>
    <row r="85" spans="1:44" ht="12.75" customHeight="1">
      <c r="A85" s="2"/>
      <c r="B85" s="2"/>
      <c r="C85" s="2"/>
      <c r="D85" s="1062"/>
      <c r="E85" s="2"/>
      <c r="F85" s="2"/>
      <c r="G85" s="2"/>
      <c r="H85" s="2"/>
      <c r="I85" s="2"/>
      <c r="J85" s="2"/>
      <c r="K85" s="2"/>
      <c r="L85" s="2"/>
      <c r="N85" s="2"/>
      <c r="O85" s="2"/>
      <c r="P85" s="2"/>
      <c r="Q85" s="2"/>
      <c r="U85" s="2" t="s">
        <v>200</v>
      </c>
      <c r="V85" s="2"/>
      <c r="W85" s="1401"/>
      <c r="X85" s="1336"/>
      <c r="Y85" s="1401"/>
      <c r="Z85" s="1336"/>
      <c r="AA85" s="105"/>
      <c r="AB85" s="2"/>
      <c r="AC85" s="2"/>
      <c r="AD85" s="2"/>
      <c r="AE85" s="2"/>
      <c r="AF85" s="2"/>
      <c r="AG85" s="2"/>
      <c r="AH85" s="2"/>
      <c r="AI85" s="2"/>
      <c r="AJ85" s="2"/>
      <c r="AK85" s="2"/>
      <c r="AL85" s="2"/>
      <c r="AM85" s="2"/>
      <c r="AN85" s="2"/>
      <c r="AO85" s="2"/>
      <c r="AP85" s="2"/>
      <c r="AQ85" s="98"/>
      <c r="AR85" s="2"/>
    </row>
    <row r="86" spans="1:44" ht="12.75" customHeight="1">
      <c r="A86" s="2"/>
      <c r="B86" s="2"/>
      <c r="C86" s="2"/>
      <c r="D86" s="1062"/>
      <c r="E86" s="2"/>
      <c r="F86" s="2"/>
      <c r="G86" s="2"/>
      <c r="H86" s="2"/>
      <c r="I86" s="2"/>
      <c r="J86" s="2"/>
      <c r="K86" s="2"/>
      <c r="L86" s="2"/>
      <c r="N86" s="2"/>
      <c r="O86" s="2"/>
      <c r="P86" s="2"/>
      <c r="Q86" s="2"/>
      <c r="U86" s="2"/>
      <c r="V86" s="2"/>
      <c r="W86" s="2"/>
      <c r="X86" s="2"/>
      <c r="Y86" s="2"/>
      <c r="Z86" s="2"/>
      <c r="AA86" s="2"/>
      <c r="AB86" s="2"/>
      <c r="AC86" s="2"/>
      <c r="AD86" s="2"/>
      <c r="AE86" s="2"/>
      <c r="AF86" s="2"/>
      <c r="AG86" s="2"/>
      <c r="AH86" s="2"/>
      <c r="AI86" s="2"/>
      <c r="AJ86" s="2"/>
      <c r="AK86" s="2"/>
      <c r="AL86" s="2"/>
      <c r="AM86" s="2"/>
      <c r="AN86" s="2"/>
      <c r="AO86" s="2"/>
      <c r="AP86" s="2"/>
      <c r="AQ86" s="98"/>
      <c r="AR86" s="2"/>
    </row>
    <row r="87" spans="1:44" ht="12.75" customHeight="1">
      <c r="A87" s="2"/>
      <c r="B87" s="2"/>
      <c r="C87" s="2"/>
      <c r="D87" s="1062"/>
      <c r="E87" s="2"/>
      <c r="F87" s="2"/>
      <c r="G87" s="2"/>
      <c r="H87" s="2"/>
      <c r="I87" s="2"/>
      <c r="J87" s="2"/>
      <c r="K87" s="2"/>
      <c r="L87" s="2"/>
      <c r="N87" s="2"/>
      <c r="O87" s="2"/>
      <c r="P87" s="2"/>
      <c r="Q87" s="2"/>
      <c r="U87" s="2"/>
      <c r="V87" s="2"/>
      <c r="W87" s="2"/>
      <c r="X87" s="2"/>
      <c r="Y87" s="2"/>
      <c r="Z87" s="2"/>
      <c r="AA87" s="2"/>
      <c r="AB87" s="2"/>
      <c r="AC87" s="1" t="s">
        <v>1650</v>
      </c>
      <c r="AD87" s="2"/>
      <c r="AE87" s="2"/>
      <c r="AF87" s="2"/>
      <c r="AG87" s="2"/>
      <c r="AH87" s="105"/>
      <c r="AI87" s="2"/>
      <c r="AJ87" s="2"/>
      <c r="AK87" s="2"/>
      <c r="AL87" s="2"/>
      <c r="AM87" s="2"/>
      <c r="AN87" s="2"/>
      <c r="AO87" s="2"/>
      <c r="AP87" s="2"/>
      <c r="AQ87" s="98"/>
      <c r="AR87" s="2"/>
    </row>
    <row r="88" spans="1:44" ht="12.75" customHeight="1">
      <c r="A88" s="2"/>
      <c r="B88" s="2"/>
      <c r="C88" s="2"/>
      <c r="D88" s="1062"/>
      <c r="E88" s="2"/>
      <c r="F88" s="2"/>
      <c r="G88" s="2"/>
      <c r="H88" s="2"/>
      <c r="I88" s="2"/>
      <c r="J88" s="2"/>
      <c r="K88" s="2"/>
      <c r="L88" s="2"/>
      <c r="N88" s="2"/>
      <c r="O88" s="2"/>
      <c r="P88" s="2"/>
      <c r="Q88" s="2"/>
      <c r="U88" s="2"/>
      <c r="V88" s="2"/>
      <c r="W88" s="2"/>
      <c r="X88" s="2"/>
      <c r="Y88" s="2"/>
      <c r="Z88" s="2"/>
      <c r="AA88" s="2"/>
      <c r="AB88" s="2"/>
      <c r="AC88" s="2"/>
      <c r="AD88" s="2"/>
      <c r="AE88" s="2"/>
      <c r="AF88" s="2"/>
      <c r="AG88" s="2"/>
      <c r="AH88" s="105"/>
      <c r="AI88" s="2"/>
      <c r="AJ88" s="2"/>
      <c r="AK88" s="2"/>
      <c r="AL88" s="2"/>
      <c r="AM88" s="2"/>
      <c r="AN88" s="2"/>
      <c r="AO88" s="2"/>
      <c r="AP88" s="2"/>
      <c r="AQ88" s="98"/>
      <c r="AR88" s="2"/>
    </row>
    <row r="89" spans="1:44" ht="12.75" customHeight="1">
      <c r="A89" s="2"/>
      <c r="B89" s="2"/>
      <c r="C89" s="2"/>
      <c r="D89" s="1062"/>
      <c r="E89" s="2"/>
      <c r="F89" s="2"/>
      <c r="G89" s="2"/>
      <c r="H89" s="2"/>
      <c r="I89" s="2"/>
      <c r="J89" s="2"/>
      <c r="K89" s="2"/>
      <c r="L89" s="2"/>
      <c r="N89" s="2"/>
      <c r="O89" s="2"/>
      <c r="P89" s="2"/>
      <c r="Q89" s="2"/>
      <c r="U89" s="2"/>
      <c r="V89" s="2"/>
      <c r="W89" s="2"/>
      <c r="X89" s="2"/>
      <c r="Y89" s="2"/>
      <c r="Z89" s="2"/>
      <c r="AA89" s="2"/>
      <c r="AB89" s="2"/>
      <c r="AC89" s="2"/>
      <c r="AD89" s="1432" t="s">
        <v>406</v>
      </c>
      <c r="AE89" s="1432"/>
      <c r="AF89" s="1432" t="s">
        <v>1649</v>
      </c>
      <c r="AG89" s="1432"/>
      <c r="AH89" s="1432">
        <v>2013</v>
      </c>
      <c r="AI89" s="2"/>
      <c r="AJ89" s="2"/>
      <c r="AK89" s="2"/>
      <c r="AL89" s="2"/>
      <c r="AM89" s="2"/>
      <c r="AN89" s="2"/>
      <c r="AO89" s="2"/>
      <c r="AP89" s="2"/>
      <c r="AQ89" s="98"/>
      <c r="AR89" s="2"/>
    </row>
    <row r="90" spans="1:44" ht="12.75" customHeight="1">
      <c r="A90" s="98"/>
      <c r="B90" s="98"/>
      <c r="C90" s="98"/>
      <c r="D90" s="1092"/>
      <c r="E90" s="98"/>
      <c r="F90" s="98"/>
      <c r="G90" s="98"/>
      <c r="H90" s="98"/>
      <c r="I90" s="98"/>
      <c r="J90" s="98"/>
      <c r="K90" s="98"/>
      <c r="L90" s="98"/>
      <c r="M90" s="1403"/>
      <c r="N90" s="98"/>
      <c r="O90" s="98"/>
      <c r="P90" s="98"/>
      <c r="Q90" s="98"/>
      <c r="R90" s="1403"/>
      <c r="S90" s="1403"/>
      <c r="T90" s="1403"/>
      <c r="U90" s="98"/>
      <c r="V90" s="98"/>
      <c r="W90" s="98"/>
      <c r="X90" s="98"/>
      <c r="Y90" s="98"/>
      <c r="Z90" s="98"/>
      <c r="AA90" s="98"/>
      <c r="AB90" s="98"/>
      <c r="AC90" s="98" t="s">
        <v>1719</v>
      </c>
      <c r="AD90" s="1423">
        <v>744.21</v>
      </c>
      <c r="AE90" s="1082"/>
      <c r="AF90" s="1423">
        <v>752.81</v>
      </c>
      <c r="AG90" s="1423"/>
      <c r="AH90" s="1423">
        <v>2957.77</v>
      </c>
      <c r="AI90" s="98"/>
      <c r="AJ90" s="98"/>
      <c r="AK90" s="98"/>
      <c r="AL90" s="98"/>
      <c r="AM90" s="98"/>
      <c r="AN90" s="98"/>
      <c r="AO90" s="98"/>
      <c r="AP90" s="98"/>
      <c r="AQ90" s="98"/>
      <c r="AR90" s="98"/>
    </row>
    <row r="91" spans="1:44" ht="12.75" customHeight="1">
      <c r="A91" s="98"/>
      <c r="B91" s="98"/>
      <c r="C91" s="98"/>
      <c r="D91" s="1092"/>
      <c r="E91" s="98"/>
      <c r="F91" s="98"/>
      <c r="G91" s="98"/>
      <c r="H91" s="98"/>
      <c r="I91" s="98"/>
      <c r="J91" s="98"/>
      <c r="K91" s="98"/>
      <c r="L91" s="98"/>
      <c r="M91" s="1403"/>
      <c r="N91" s="98"/>
      <c r="O91" s="98"/>
      <c r="P91" s="98"/>
      <c r="Q91" s="98"/>
      <c r="R91" s="1403"/>
      <c r="S91" s="1403"/>
      <c r="T91" s="1403"/>
      <c r="U91" s="98"/>
      <c r="V91" s="98"/>
      <c r="W91" s="98"/>
      <c r="X91" s="98"/>
      <c r="Y91" s="98"/>
      <c r="Z91" s="98"/>
      <c r="AA91" s="98"/>
      <c r="AB91" s="98"/>
      <c r="AC91" s="98" t="s">
        <v>401</v>
      </c>
      <c r="AD91" s="1423">
        <v>163.59</v>
      </c>
      <c r="AE91" s="1082"/>
      <c r="AF91" s="1423">
        <v>158.35</v>
      </c>
      <c r="AG91" s="1423"/>
      <c r="AH91" s="1423">
        <v>634.79</v>
      </c>
      <c r="AI91" s="98"/>
      <c r="AJ91" s="98"/>
      <c r="AK91" s="98"/>
      <c r="AL91" s="98"/>
      <c r="AM91" s="98"/>
      <c r="AN91" s="98"/>
      <c r="AO91" s="98"/>
      <c r="AP91" s="98"/>
      <c r="AQ91" s="98"/>
      <c r="AR91" s="98"/>
    </row>
    <row r="92" spans="1:44" ht="12.75" customHeight="1">
      <c r="A92" s="2"/>
      <c r="B92" s="2"/>
      <c r="C92" s="2"/>
      <c r="D92" s="1062"/>
      <c r="E92" s="2"/>
      <c r="F92" s="2"/>
      <c r="G92" s="2"/>
      <c r="H92" s="2"/>
      <c r="I92" s="2"/>
      <c r="J92" s="2"/>
      <c r="K92" s="2"/>
      <c r="L92" s="2"/>
      <c r="N92" s="2"/>
      <c r="O92" s="2"/>
      <c r="P92" s="2"/>
      <c r="Q92" s="2"/>
      <c r="U92" s="2"/>
      <c r="V92" s="2"/>
      <c r="W92" s="2"/>
      <c r="X92" s="2"/>
      <c r="Y92" s="2"/>
      <c r="Z92" s="2"/>
      <c r="AA92" s="2"/>
      <c r="AB92" s="2"/>
      <c r="AC92" s="2" t="s">
        <v>200</v>
      </c>
      <c r="AD92" s="1068">
        <v>0.01</v>
      </c>
      <c r="AE92" s="1118"/>
      <c r="AF92" s="1068">
        <v>-0.05</v>
      </c>
      <c r="AG92" s="1068"/>
      <c r="AH92" s="1068">
        <v>-0.13</v>
      </c>
      <c r="AI92" s="2"/>
      <c r="AJ92" s="2"/>
      <c r="AK92" s="2"/>
      <c r="AL92" s="2"/>
      <c r="AM92" s="2"/>
      <c r="AN92" s="2"/>
      <c r="AO92" s="2"/>
      <c r="AP92" s="2"/>
      <c r="AQ92" s="98"/>
      <c r="AR92" s="2"/>
    </row>
    <row r="93" spans="1:44" ht="12.75" customHeight="1">
      <c r="A93" s="2"/>
      <c r="B93" s="2"/>
      <c r="C93" s="2"/>
      <c r="D93" s="1062"/>
      <c r="E93" s="2"/>
      <c r="F93" s="2"/>
      <c r="G93" s="2"/>
      <c r="H93" s="2"/>
      <c r="I93" s="2"/>
      <c r="J93" s="2"/>
      <c r="K93" s="2"/>
      <c r="L93" s="2"/>
      <c r="N93" s="2"/>
      <c r="O93" s="2"/>
      <c r="P93" s="2"/>
      <c r="Q93" s="2"/>
      <c r="U93" s="2"/>
      <c r="V93" s="2"/>
      <c r="W93" s="2"/>
      <c r="X93" s="2"/>
      <c r="Y93" s="2"/>
      <c r="Z93" s="2"/>
      <c r="AA93" s="2"/>
      <c r="AB93" s="2"/>
      <c r="AC93" s="2"/>
      <c r="AD93" s="2"/>
      <c r="AE93" s="2"/>
      <c r="AF93" s="2"/>
      <c r="AG93" s="2"/>
      <c r="AH93" s="2"/>
      <c r="AI93" s="2"/>
      <c r="AJ93" s="2"/>
      <c r="AK93" s="2"/>
      <c r="AL93" s="2"/>
      <c r="AM93" s="2"/>
      <c r="AN93" s="2"/>
      <c r="AO93" s="2"/>
      <c r="AP93" s="2"/>
      <c r="AQ93" s="98"/>
      <c r="AR93" s="2"/>
    </row>
    <row r="94" spans="1:44" ht="12.75" customHeight="1">
      <c r="A94" s="2"/>
      <c r="B94" s="2"/>
      <c r="C94" s="2"/>
      <c r="D94" s="1062"/>
      <c r="E94" s="2"/>
      <c r="F94" s="2"/>
      <c r="G94" s="2"/>
      <c r="H94" s="2"/>
      <c r="I94" s="2"/>
      <c r="J94" s="2"/>
      <c r="K94" s="2"/>
      <c r="L94" s="2"/>
      <c r="N94" s="2"/>
      <c r="O94" s="2"/>
      <c r="P94" s="2"/>
      <c r="Q94" s="2"/>
      <c r="U94" s="2"/>
      <c r="V94" s="2"/>
      <c r="W94" s="2"/>
      <c r="X94" s="2"/>
      <c r="Y94" s="2"/>
      <c r="Z94" s="2"/>
      <c r="AA94" s="2"/>
      <c r="AB94" s="2"/>
      <c r="AC94" s="2"/>
      <c r="AD94" s="2"/>
      <c r="AE94" s="2"/>
      <c r="AF94" s="2"/>
      <c r="AG94" s="2"/>
      <c r="AH94" s="2"/>
      <c r="AI94" s="2"/>
      <c r="AJ94" s="69" t="s">
        <v>1651</v>
      </c>
      <c r="AQ94" s="98"/>
      <c r="AR94" s="2"/>
    </row>
    <row r="95" spans="1:44" ht="12.75" customHeight="1">
      <c r="A95" s="2"/>
      <c r="B95" s="2"/>
      <c r="C95" s="2"/>
      <c r="D95" s="1062"/>
      <c r="E95" s="2"/>
      <c r="F95" s="2"/>
      <c r="G95" s="2"/>
      <c r="H95" s="2"/>
      <c r="I95" s="2"/>
      <c r="J95" s="2"/>
      <c r="K95" s="2"/>
      <c r="L95" s="2"/>
      <c r="N95" s="2"/>
      <c r="O95" s="2"/>
      <c r="P95" s="2"/>
      <c r="Q95" s="2"/>
      <c r="U95" s="2"/>
      <c r="V95" s="2"/>
      <c r="W95" s="2"/>
      <c r="X95" s="2"/>
      <c r="Y95" s="2"/>
      <c r="Z95" s="2"/>
      <c r="AA95" s="2"/>
      <c r="AB95" s="2"/>
      <c r="AC95" s="2"/>
      <c r="AD95" s="2"/>
      <c r="AE95" s="2"/>
      <c r="AF95" s="2"/>
      <c r="AG95" s="2"/>
      <c r="AH95" s="2"/>
      <c r="AI95" s="2"/>
      <c r="AJ95" s="69"/>
      <c r="AQ95" s="98"/>
      <c r="AR95" s="2"/>
    </row>
    <row r="96" spans="1:44" ht="12.75" customHeight="1">
      <c r="A96" s="2"/>
      <c r="B96" s="2"/>
      <c r="C96" s="2"/>
      <c r="D96" s="1062"/>
      <c r="E96" s="2"/>
      <c r="F96" s="2"/>
      <c r="G96" s="2"/>
      <c r="H96" s="2"/>
      <c r="I96" s="2"/>
      <c r="J96" s="2"/>
      <c r="K96" s="2"/>
      <c r="L96" s="2"/>
      <c r="N96" s="2"/>
      <c r="O96" s="2"/>
      <c r="P96" s="2"/>
      <c r="Q96" s="2"/>
      <c r="U96" s="2"/>
      <c r="V96" s="2"/>
      <c r="W96" s="2"/>
      <c r="X96" s="2"/>
      <c r="Y96" s="2"/>
      <c r="Z96" s="2"/>
      <c r="AA96" s="2"/>
      <c r="AB96" s="2"/>
      <c r="AC96" s="2"/>
      <c r="AD96" s="2"/>
      <c r="AE96" s="2"/>
      <c r="AF96" s="2"/>
      <c r="AG96" s="2"/>
      <c r="AH96" s="2"/>
      <c r="AI96" s="2"/>
      <c r="AJ96" s="1447"/>
      <c r="AK96" s="1449"/>
      <c r="AL96" s="1447"/>
      <c r="AM96" s="1447"/>
      <c r="AN96" s="1447"/>
      <c r="AO96" s="1447"/>
      <c r="AP96" s="1447"/>
      <c r="AQ96" s="98"/>
      <c r="AR96" s="2"/>
    </row>
    <row r="97" spans="1:44" ht="12.75" customHeight="1">
      <c r="A97" s="2"/>
      <c r="B97" s="2"/>
      <c r="C97" s="2"/>
      <c r="D97" s="1062"/>
      <c r="E97" s="2"/>
      <c r="F97" s="2"/>
      <c r="G97" s="2"/>
      <c r="H97" s="2"/>
      <c r="I97" s="2"/>
      <c r="J97" s="2"/>
      <c r="K97" s="2"/>
      <c r="L97" s="2"/>
      <c r="N97" s="2"/>
      <c r="O97" s="2"/>
      <c r="P97" s="2"/>
      <c r="Q97" s="2"/>
      <c r="U97" s="2"/>
      <c r="V97" s="2"/>
      <c r="W97" s="2"/>
      <c r="X97" s="2"/>
      <c r="Y97" s="2"/>
      <c r="Z97" s="2"/>
      <c r="AA97" s="2"/>
      <c r="AB97" s="2"/>
      <c r="AC97" s="2"/>
      <c r="AD97" s="2"/>
      <c r="AE97" s="2"/>
      <c r="AF97" s="2"/>
      <c r="AG97" s="2"/>
      <c r="AH97" s="2"/>
      <c r="AI97" s="2"/>
      <c r="AJ97" s="111" t="s">
        <v>1610</v>
      </c>
      <c r="AK97" s="1289" t="s">
        <v>552</v>
      </c>
      <c r="AL97" s="1448"/>
      <c r="AM97" s="1289" t="s">
        <v>405</v>
      </c>
      <c r="AN97" s="1448"/>
      <c r="AO97" s="1289" t="s">
        <v>1489</v>
      </c>
      <c r="AP97" s="1629"/>
      <c r="AQ97" s="98"/>
      <c r="AR97" s="2"/>
    </row>
    <row r="98" spans="1:44" ht="3" customHeight="1">
      <c r="A98" s="2"/>
      <c r="B98" s="2"/>
      <c r="C98" s="2"/>
      <c r="D98" s="1062"/>
      <c r="E98" s="2"/>
      <c r="F98" s="2"/>
      <c r="G98" s="2"/>
      <c r="H98" s="2"/>
      <c r="I98" s="2"/>
      <c r="J98" s="2"/>
      <c r="K98" s="2"/>
      <c r="L98" s="2"/>
      <c r="N98" s="2"/>
      <c r="O98" s="2"/>
      <c r="P98" s="2"/>
      <c r="Q98" s="2"/>
      <c r="U98" s="2"/>
      <c r="V98" s="2"/>
      <c r="W98" s="2"/>
      <c r="X98" s="2"/>
      <c r="Y98" s="2"/>
      <c r="Z98" s="2"/>
      <c r="AA98" s="2"/>
      <c r="AB98" s="2"/>
      <c r="AC98" s="2"/>
      <c r="AD98" s="2"/>
      <c r="AE98" s="2"/>
      <c r="AF98" s="2"/>
      <c r="AG98" s="2"/>
      <c r="AH98" s="2"/>
      <c r="AI98" s="2"/>
      <c r="AJ98" s="69"/>
      <c r="AK98" s="1449"/>
      <c r="AL98" s="1449"/>
      <c r="AM98" s="1449"/>
      <c r="AN98" s="1449"/>
      <c r="AO98" s="1449"/>
      <c r="AP98" s="1449"/>
      <c r="AQ98" s="98"/>
      <c r="AR98" s="2"/>
    </row>
    <row r="99" spans="1:44" ht="12.75" customHeight="1">
      <c r="A99" s="1205"/>
      <c r="B99" s="1205"/>
      <c r="C99" s="1205"/>
      <c r="D99" s="2220"/>
      <c r="E99" s="1205"/>
      <c r="F99" s="1205"/>
      <c r="G99" s="1205"/>
      <c r="H99" s="1205"/>
      <c r="I99" s="1205"/>
      <c r="J99" s="1205"/>
      <c r="K99" s="1205"/>
      <c r="L99" s="1205"/>
      <c r="M99" s="2266"/>
      <c r="N99" s="1205"/>
      <c r="O99" s="1205"/>
      <c r="P99" s="1205"/>
      <c r="Q99" s="1205"/>
      <c r="R99" s="2266"/>
      <c r="S99" s="2266"/>
      <c r="T99" s="2266"/>
      <c r="U99" s="1205"/>
      <c r="V99" s="1205"/>
      <c r="W99" s="1205"/>
      <c r="X99" s="1205"/>
      <c r="Y99" s="1205"/>
      <c r="Z99" s="1205"/>
      <c r="AA99" s="1205"/>
      <c r="AB99" s="1205"/>
      <c r="AC99" s="1205"/>
      <c r="AD99" s="1205"/>
      <c r="AE99" s="1205"/>
      <c r="AF99" s="1205"/>
      <c r="AG99" s="1205"/>
      <c r="AH99" s="1205"/>
      <c r="AI99" s="1205"/>
      <c r="AJ99" s="2267" t="s">
        <v>407</v>
      </c>
      <c r="AK99" s="2276" t="s">
        <v>3</v>
      </c>
      <c r="AL99" s="1205"/>
      <c r="AM99" s="2272">
        <f>+BYD!AX110</f>
        <v>132.33999999999997</v>
      </c>
      <c r="AN99" s="1205"/>
      <c r="AO99" s="2272"/>
      <c r="AP99" s="1205"/>
      <c r="AQ99" s="98"/>
      <c r="AR99" s="1205"/>
    </row>
    <row r="100" spans="1:44" ht="12.75" customHeight="1">
      <c r="A100" s="1205"/>
      <c r="B100" s="1205"/>
      <c r="C100" s="1205"/>
      <c r="D100" s="2220"/>
      <c r="E100" s="1205"/>
      <c r="F100" s="1205"/>
      <c r="G100" s="1205"/>
      <c r="H100" s="1205"/>
      <c r="I100" s="1205"/>
      <c r="J100" s="1205"/>
      <c r="K100" s="1205"/>
      <c r="L100" s="1205"/>
      <c r="M100" s="2266"/>
      <c r="N100" s="1205"/>
      <c r="O100" s="1205"/>
      <c r="P100" s="1205"/>
      <c r="Q100" s="1205"/>
      <c r="R100" s="2266"/>
      <c r="S100" s="2266"/>
      <c r="T100" s="2266"/>
      <c r="U100" s="1205"/>
      <c r="V100" s="1205"/>
      <c r="W100" s="1205"/>
      <c r="X100" s="1205"/>
      <c r="Y100" s="1205"/>
      <c r="Z100" s="1205"/>
      <c r="AA100" s="1205"/>
      <c r="AB100" s="1205"/>
      <c r="AC100" s="1205"/>
      <c r="AD100" s="1205"/>
      <c r="AE100" s="1205"/>
      <c r="AF100" s="1205"/>
      <c r="AG100" s="1205"/>
      <c r="AH100" s="1205"/>
      <c r="AI100" s="1205"/>
      <c r="AJ100" s="2267" t="s">
        <v>1614</v>
      </c>
      <c r="AK100" s="2268" t="s">
        <v>4</v>
      </c>
      <c r="AL100" s="2269"/>
      <c r="AM100" s="2272">
        <f>+BYD!AY927</f>
        <v>46.591999999999999</v>
      </c>
      <c r="AN100" s="2269"/>
      <c r="AO100" s="2272"/>
      <c r="AP100" s="2271"/>
      <c r="AQ100" s="98"/>
      <c r="AR100" s="1205"/>
    </row>
    <row r="101" spans="1:44" ht="6" customHeight="1">
      <c r="A101" s="2"/>
      <c r="B101" s="2"/>
      <c r="C101" s="2"/>
      <c r="D101" s="1062"/>
      <c r="E101" s="2"/>
      <c r="F101" s="2"/>
      <c r="G101" s="2"/>
      <c r="H101" s="2"/>
      <c r="I101" s="2"/>
      <c r="J101" s="2"/>
      <c r="K101" s="2"/>
      <c r="L101" s="2"/>
      <c r="N101" s="2"/>
      <c r="O101" s="2"/>
      <c r="P101" s="2"/>
      <c r="Q101" s="2"/>
      <c r="U101" s="2"/>
      <c r="V101" s="2"/>
      <c r="W101" s="2"/>
      <c r="X101" s="2"/>
      <c r="Y101" s="2"/>
      <c r="Z101" s="2"/>
      <c r="AA101" s="2"/>
      <c r="AB101" s="2"/>
      <c r="AC101" s="2"/>
      <c r="AD101" s="2"/>
      <c r="AE101" s="2"/>
      <c r="AF101" s="2"/>
      <c r="AG101" s="2"/>
      <c r="AH101" s="2"/>
      <c r="AI101" s="2"/>
      <c r="AJ101" s="1447"/>
      <c r="AK101" s="1614"/>
      <c r="AL101" s="1449"/>
      <c r="AM101" s="1450"/>
      <c r="AN101" s="1449"/>
      <c r="AO101" s="1450"/>
      <c r="AP101" s="1450"/>
      <c r="AQ101" s="98"/>
      <c r="AR101" s="2"/>
    </row>
    <row r="102" spans="1:44" ht="12.75" customHeight="1">
      <c r="A102" s="1205"/>
      <c r="B102" s="1205"/>
      <c r="C102" s="1205"/>
      <c r="D102" s="2220"/>
      <c r="E102" s="1205"/>
      <c r="F102" s="1205"/>
      <c r="G102" s="1205"/>
      <c r="H102" s="1205"/>
      <c r="I102" s="1205"/>
      <c r="J102" s="1205"/>
      <c r="K102" s="1205"/>
      <c r="L102" s="1205"/>
      <c r="M102" s="2273"/>
      <c r="N102" s="1205"/>
      <c r="O102" s="1205"/>
      <c r="P102" s="1205"/>
      <c r="Q102" s="1205"/>
      <c r="R102" s="2273"/>
      <c r="S102" s="2273"/>
      <c r="T102" s="2273"/>
      <c r="U102" s="1205"/>
      <c r="V102" s="1205"/>
      <c r="W102" s="1205"/>
      <c r="X102" s="1205"/>
      <c r="Y102" s="1205"/>
      <c r="Z102" s="1205"/>
      <c r="AA102" s="1205"/>
      <c r="AB102" s="1205"/>
      <c r="AC102" s="1205"/>
      <c r="AD102" s="1205"/>
      <c r="AE102" s="1205"/>
      <c r="AF102" s="1205"/>
      <c r="AG102" s="1205"/>
      <c r="AH102" s="1205"/>
      <c r="AI102" s="1205"/>
      <c r="AJ102" s="2267" t="s">
        <v>498</v>
      </c>
      <c r="AK102" s="2268" t="s">
        <v>1</v>
      </c>
      <c r="AL102" s="2269"/>
      <c r="AM102" s="2270">
        <f>+SUM(AM99:AM101)</f>
        <v>178.93199999999996</v>
      </c>
      <c r="AN102" s="2269"/>
      <c r="AO102" s="2268">
        <v>158.35</v>
      </c>
      <c r="AP102" s="2271"/>
      <c r="AQ102" s="98"/>
      <c r="AR102" s="1205"/>
    </row>
    <row r="103" spans="1:44" ht="6" customHeight="1">
      <c r="A103" s="2"/>
      <c r="B103" s="2"/>
      <c r="C103" s="2"/>
      <c r="D103" s="1062"/>
      <c r="E103" s="2"/>
      <c r="F103" s="2"/>
      <c r="G103" s="2"/>
      <c r="H103" s="2"/>
      <c r="I103" s="2"/>
      <c r="J103" s="2"/>
      <c r="K103" s="2"/>
      <c r="L103" s="2"/>
      <c r="N103" s="2"/>
      <c r="O103" s="2"/>
      <c r="P103" s="2"/>
      <c r="Q103" s="2"/>
      <c r="U103" s="2"/>
      <c r="V103" s="2"/>
      <c r="W103" s="2"/>
      <c r="X103" s="2"/>
      <c r="Y103" s="2"/>
      <c r="Z103" s="2"/>
      <c r="AA103" s="2"/>
      <c r="AB103" s="2"/>
      <c r="AC103" s="2"/>
      <c r="AD103" s="2"/>
      <c r="AE103" s="2"/>
      <c r="AF103" s="2"/>
      <c r="AG103" s="2"/>
      <c r="AH103" s="2"/>
      <c r="AI103" s="2"/>
      <c r="AJ103" s="1447"/>
      <c r="AK103" s="1614"/>
      <c r="AL103" s="1449"/>
      <c r="AM103" s="1450"/>
      <c r="AN103" s="1449"/>
      <c r="AO103" s="1450"/>
      <c r="AP103" s="1450"/>
      <c r="AQ103" s="98"/>
      <c r="AR103" s="2"/>
    </row>
    <row r="104" spans="1:44" ht="12.75" customHeight="1">
      <c r="A104" s="2"/>
      <c r="B104" s="2"/>
      <c r="C104" s="2"/>
      <c r="D104" s="1062"/>
      <c r="E104" s="2"/>
      <c r="F104" s="2"/>
      <c r="G104" s="2"/>
      <c r="H104" s="2"/>
      <c r="I104" s="2"/>
      <c r="J104" s="2"/>
      <c r="K104" s="2"/>
      <c r="L104" s="2"/>
      <c r="N104" s="2"/>
      <c r="O104" s="2"/>
      <c r="P104" s="2"/>
      <c r="Q104" s="2"/>
      <c r="U104" s="2"/>
      <c r="V104" s="2"/>
      <c r="W104" s="2"/>
      <c r="X104" s="2"/>
      <c r="Y104" s="2"/>
      <c r="Z104" s="2"/>
      <c r="AA104" s="2"/>
      <c r="AB104" s="2"/>
      <c r="AC104" s="2"/>
      <c r="AD104" s="2"/>
      <c r="AE104" s="2"/>
      <c r="AF104" s="2"/>
      <c r="AG104" s="2"/>
      <c r="AH104" s="2"/>
      <c r="AI104" s="2"/>
      <c r="AJ104" s="1447" t="s">
        <v>1615</v>
      </c>
      <c r="AK104" s="1614" t="s">
        <v>5</v>
      </c>
      <c r="AL104" s="1449"/>
      <c r="AM104" s="2265">
        <f>+BYD!AY91</f>
        <v>-0.36747575205553612</v>
      </c>
      <c r="AN104" s="1449"/>
      <c r="AO104" s="2265">
        <v>-0.05</v>
      </c>
      <c r="AP104" s="1466"/>
      <c r="AQ104" s="98"/>
      <c r="AR104" s="2"/>
    </row>
    <row r="105" spans="1:44" ht="6" customHeight="1">
      <c r="A105" s="2"/>
      <c r="B105" s="2"/>
      <c r="C105" s="2"/>
      <c r="D105" s="1062"/>
      <c r="E105" s="2"/>
      <c r="F105" s="2"/>
      <c r="G105" s="2"/>
      <c r="H105" s="2"/>
      <c r="I105" s="2"/>
      <c r="J105" s="2"/>
      <c r="K105" s="2"/>
      <c r="L105" s="2"/>
      <c r="N105" s="2"/>
      <c r="O105" s="2"/>
      <c r="P105" s="2"/>
      <c r="Q105" s="2"/>
      <c r="U105" s="2"/>
      <c r="V105" s="2"/>
      <c r="W105" s="2"/>
      <c r="X105" s="2"/>
      <c r="Y105" s="2"/>
      <c r="Z105" s="2"/>
      <c r="AA105" s="2"/>
      <c r="AB105" s="2"/>
      <c r="AC105" s="2"/>
      <c r="AD105" s="2"/>
      <c r="AE105" s="2"/>
      <c r="AF105" s="2"/>
      <c r="AG105" s="2"/>
      <c r="AH105" s="2"/>
      <c r="AI105" s="2"/>
      <c r="AJ105" s="1447"/>
      <c r="AK105" s="1450"/>
      <c r="AL105" s="1449"/>
      <c r="AM105" s="1449"/>
      <c r="AN105" s="1449"/>
      <c r="AO105" s="1449"/>
      <c r="AP105" s="1449"/>
      <c r="AQ105" s="98"/>
      <c r="AR105" s="2"/>
    </row>
    <row r="106" spans="1:44" ht="12.75" customHeight="1">
      <c r="A106" s="2"/>
      <c r="B106" s="2"/>
      <c r="C106" s="2"/>
      <c r="D106" s="1062"/>
      <c r="E106" s="2"/>
      <c r="F106" s="2"/>
      <c r="G106" s="2"/>
      <c r="H106" s="2"/>
      <c r="I106" s="2"/>
      <c r="J106" s="2"/>
      <c r="K106" s="2"/>
      <c r="L106" s="2"/>
      <c r="N106" s="2"/>
      <c r="O106" s="2"/>
      <c r="P106" s="2"/>
      <c r="Q106" s="2"/>
      <c r="U106" s="2"/>
      <c r="V106" s="2"/>
      <c r="W106" s="2"/>
      <c r="X106" s="2"/>
      <c r="Y106" s="2"/>
      <c r="Z106" s="2"/>
      <c r="AA106" s="2"/>
      <c r="AB106" s="2"/>
      <c r="AC106" s="2"/>
      <c r="AD106" s="2"/>
      <c r="AE106" s="2"/>
      <c r="AF106" s="2"/>
      <c r="AG106" s="2"/>
      <c r="AH106" s="2"/>
      <c r="AI106" s="2"/>
      <c r="AJ106" s="2" t="s">
        <v>408</v>
      </c>
      <c r="AK106" s="2"/>
      <c r="AL106" s="2"/>
      <c r="AM106" s="2"/>
      <c r="AN106" s="2"/>
      <c r="AO106" s="2"/>
      <c r="AP106" s="2"/>
      <c r="AQ106" s="98"/>
      <c r="AR106" s="2"/>
    </row>
    <row r="107" spans="1:44" ht="12.75" customHeight="1">
      <c r="A107" s="2"/>
      <c r="B107" s="2"/>
      <c r="C107" s="2"/>
      <c r="D107" s="1062"/>
      <c r="E107" s="2"/>
      <c r="F107" s="2"/>
      <c r="G107" s="2"/>
      <c r="H107" s="2"/>
      <c r="I107" s="2"/>
      <c r="J107" s="2"/>
      <c r="K107" s="2"/>
      <c r="L107" s="2"/>
      <c r="N107" s="2"/>
      <c r="O107" s="2"/>
      <c r="P107" s="2"/>
      <c r="Q107" s="2"/>
      <c r="U107" s="2"/>
      <c r="V107" s="2"/>
      <c r="W107" s="2"/>
      <c r="X107" s="2"/>
      <c r="Y107" s="2"/>
      <c r="Z107" s="2"/>
      <c r="AA107" s="2"/>
      <c r="AB107" s="2"/>
      <c r="AC107" s="2"/>
      <c r="AD107" s="2"/>
      <c r="AE107" s="2"/>
      <c r="AF107" s="2"/>
      <c r="AG107" s="2"/>
      <c r="AH107" s="2"/>
      <c r="AI107" s="2"/>
      <c r="AJ107" s="2"/>
      <c r="AK107" s="2"/>
      <c r="AL107" s="2"/>
      <c r="AM107" s="2"/>
      <c r="AN107" s="2"/>
      <c r="AO107" s="2"/>
      <c r="AP107" s="1" t="s">
        <v>6</v>
      </c>
      <c r="AQ107" s="98"/>
      <c r="AR107" s="2"/>
    </row>
    <row r="108" spans="1:44" ht="12.75" customHeight="1">
      <c r="A108" s="2"/>
      <c r="B108" s="2"/>
      <c r="C108" s="2"/>
      <c r="D108" s="1062"/>
      <c r="E108" s="2"/>
      <c r="F108" s="2"/>
      <c r="G108" s="2"/>
      <c r="H108" s="2"/>
      <c r="I108" s="2"/>
      <c r="J108" s="2"/>
      <c r="K108" s="2"/>
      <c r="L108" s="2"/>
      <c r="N108" s="2"/>
      <c r="O108" s="2"/>
      <c r="P108" s="2"/>
      <c r="Q108" s="2"/>
      <c r="U108" s="2"/>
      <c r="V108" s="2"/>
      <c r="W108" s="2"/>
      <c r="X108" s="2"/>
      <c r="Y108" s="2"/>
      <c r="Z108" s="2"/>
      <c r="AA108" s="2"/>
      <c r="AB108" s="2"/>
      <c r="AC108" s="2"/>
      <c r="AD108" s="2"/>
      <c r="AE108" s="2"/>
      <c r="AF108" s="2"/>
      <c r="AG108" s="2"/>
      <c r="AH108" s="2"/>
      <c r="AI108" s="2"/>
      <c r="AJ108" s="2"/>
      <c r="AK108" s="2"/>
      <c r="AL108" s="2"/>
      <c r="AM108" s="2"/>
      <c r="AN108" s="2"/>
      <c r="AO108" s="2"/>
      <c r="AP108" s="1" t="s">
        <v>7</v>
      </c>
      <c r="AQ108" s="98"/>
      <c r="AR108" s="101" t="s">
        <v>405</v>
      </c>
    </row>
    <row r="109" spans="1:44" ht="12.75" customHeight="1">
      <c r="A109" s="2"/>
      <c r="B109" s="2"/>
      <c r="C109" s="2"/>
      <c r="D109" s="1062"/>
      <c r="E109" s="2"/>
      <c r="F109" s="2"/>
      <c r="G109" s="2"/>
      <c r="H109" s="2"/>
      <c r="I109" s="2"/>
      <c r="J109" s="2"/>
      <c r="K109" s="2"/>
      <c r="L109" s="2"/>
      <c r="N109" s="2"/>
      <c r="O109" s="2"/>
      <c r="P109" s="2"/>
      <c r="Q109" s="2"/>
      <c r="U109" s="2"/>
      <c r="V109" s="2"/>
      <c r="W109" s="2"/>
      <c r="X109" s="2"/>
      <c r="Y109" s="2"/>
      <c r="Z109" s="2"/>
      <c r="AA109" s="2"/>
      <c r="AB109" s="2"/>
      <c r="AC109" s="2"/>
      <c r="AD109" s="2"/>
      <c r="AE109" s="2"/>
      <c r="AF109" s="2"/>
      <c r="AG109" s="2"/>
      <c r="AH109" s="2"/>
      <c r="AI109" s="2"/>
      <c r="AJ109" s="2"/>
      <c r="AK109" s="2"/>
      <c r="AL109" s="2"/>
      <c r="AM109" s="2"/>
      <c r="AN109" s="2"/>
      <c r="AO109" s="2"/>
      <c r="AP109" s="2" t="s">
        <v>514</v>
      </c>
      <c r="AQ109" s="1349">
        <v>149.72999999999999</v>
      </c>
      <c r="AR109" s="2">
        <f>+BYD!AX10</f>
        <v>149.69</v>
      </c>
    </row>
    <row r="110" spans="1:44" ht="12.75" customHeight="1">
      <c r="A110" s="2"/>
      <c r="B110" s="2"/>
      <c r="C110" s="2"/>
      <c r="D110" s="1062"/>
      <c r="E110" s="2"/>
      <c r="F110" s="2"/>
      <c r="G110" s="2"/>
      <c r="H110" s="2"/>
      <c r="I110" s="2"/>
      <c r="J110" s="2"/>
      <c r="K110" s="2"/>
      <c r="L110" s="2"/>
      <c r="N110" s="2"/>
      <c r="O110" s="2"/>
      <c r="P110" s="2"/>
      <c r="Q110" s="2"/>
      <c r="U110" s="2"/>
      <c r="V110" s="2"/>
      <c r="W110" s="2"/>
      <c r="X110" s="2"/>
      <c r="Y110" s="2"/>
      <c r="Z110" s="2"/>
      <c r="AA110" s="2"/>
      <c r="AB110" s="2"/>
      <c r="AC110" s="2"/>
      <c r="AD110" s="2"/>
      <c r="AE110" s="2"/>
      <c r="AF110" s="2"/>
      <c r="AG110" s="2"/>
      <c r="AH110" s="2"/>
      <c r="AI110" s="2"/>
      <c r="AJ110" s="2"/>
      <c r="AK110" s="2"/>
      <c r="AL110" s="2"/>
      <c r="AM110" s="2"/>
      <c r="AN110" s="2"/>
      <c r="AO110" s="2"/>
      <c r="AP110" s="2" t="s">
        <v>515</v>
      </c>
      <c r="AQ110" s="1102">
        <v>56.23</v>
      </c>
      <c r="AR110" s="2">
        <f>+BYD!AX11</f>
        <v>56.128</v>
      </c>
    </row>
    <row r="111" spans="1:44" ht="12.75" customHeight="1">
      <c r="A111" s="2"/>
      <c r="B111" s="2"/>
      <c r="C111" s="2"/>
      <c r="D111" s="1062"/>
      <c r="E111" s="2"/>
      <c r="F111" s="2"/>
      <c r="G111" s="2"/>
      <c r="H111" s="2"/>
      <c r="I111" s="2"/>
      <c r="J111" s="2"/>
      <c r="K111" s="2"/>
      <c r="L111" s="2"/>
      <c r="N111" s="2"/>
      <c r="O111" s="2"/>
      <c r="P111" s="2"/>
      <c r="Q111" s="2"/>
      <c r="U111" s="2"/>
      <c r="V111" s="2"/>
      <c r="W111" s="2"/>
      <c r="X111" s="2"/>
      <c r="Y111" s="2"/>
      <c r="Z111" s="2"/>
      <c r="AA111" s="2"/>
      <c r="AB111" s="2"/>
      <c r="AC111" s="2"/>
      <c r="AD111" s="2"/>
      <c r="AE111" s="2"/>
      <c r="AF111" s="2"/>
      <c r="AG111" s="2"/>
      <c r="AH111" s="2"/>
      <c r="AI111" s="2"/>
      <c r="AJ111" s="2"/>
      <c r="AK111" s="2"/>
      <c r="AL111" s="2"/>
      <c r="AM111" s="2"/>
      <c r="AN111" s="2"/>
      <c r="AO111" s="2"/>
      <c r="AP111" s="2" t="s">
        <v>516</v>
      </c>
      <c r="AQ111" s="1102">
        <v>234.18</v>
      </c>
      <c r="AR111" s="2">
        <f>+BYD!AX13</f>
        <v>224.273</v>
      </c>
    </row>
    <row r="112" spans="1:44" ht="12.75" customHeight="1">
      <c r="A112" s="2"/>
      <c r="B112" s="2"/>
      <c r="C112" s="2"/>
      <c r="D112" s="1062"/>
      <c r="E112" s="2"/>
      <c r="F112" s="2"/>
      <c r="G112" s="2"/>
      <c r="H112" s="2"/>
      <c r="I112" s="2"/>
      <c r="J112" s="2"/>
      <c r="K112" s="2"/>
      <c r="L112" s="2"/>
      <c r="N112" s="2"/>
      <c r="O112" s="2"/>
      <c r="P112" s="2"/>
      <c r="Q112" s="2"/>
      <c r="U112" s="2"/>
      <c r="V112" s="2"/>
      <c r="W112" s="2"/>
      <c r="X112" s="2"/>
      <c r="Y112" s="2"/>
      <c r="Z112" s="2"/>
      <c r="AA112" s="2"/>
      <c r="AB112" s="2"/>
      <c r="AC112" s="2"/>
      <c r="AD112" s="2"/>
      <c r="AE112" s="2"/>
      <c r="AF112" s="2"/>
      <c r="AG112" s="2"/>
      <c r="AH112" s="2"/>
      <c r="AI112" s="2"/>
      <c r="AJ112" s="2"/>
      <c r="AK112" s="2"/>
      <c r="AL112" s="2"/>
      <c r="AM112" s="2"/>
      <c r="AN112" s="2"/>
      <c r="AO112" s="2"/>
      <c r="AP112" s="2" t="s">
        <v>517</v>
      </c>
      <c r="AQ112" s="1102">
        <v>137.13</v>
      </c>
      <c r="AR112" s="2">
        <f>+BYD!AX14</f>
        <v>135.78</v>
      </c>
    </row>
    <row r="113" spans="1:44" ht="12.75" customHeight="1">
      <c r="A113" s="2"/>
      <c r="B113" s="2"/>
      <c r="C113" s="2"/>
      <c r="D113" s="1062"/>
      <c r="E113" s="2"/>
      <c r="F113" s="2"/>
      <c r="G113" s="2"/>
      <c r="H113" s="2"/>
      <c r="I113" s="2"/>
      <c r="J113" s="2"/>
      <c r="K113" s="2"/>
      <c r="L113" s="2"/>
      <c r="N113" s="2"/>
      <c r="O113" s="2"/>
      <c r="P113" s="2"/>
      <c r="Q113" s="2"/>
      <c r="U113" s="2"/>
      <c r="V113" s="2"/>
      <c r="W113" s="2"/>
      <c r="X113" s="2"/>
      <c r="Y113" s="2"/>
      <c r="Z113" s="2"/>
      <c r="AA113" s="2"/>
      <c r="AB113" s="2"/>
      <c r="AC113" s="2"/>
      <c r="AD113" s="2"/>
      <c r="AE113" s="2"/>
      <c r="AF113" s="2"/>
      <c r="AG113" s="2"/>
      <c r="AH113" s="2"/>
      <c r="AI113" s="2"/>
      <c r="AJ113" s="2"/>
      <c r="AK113" s="2"/>
      <c r="AL113" s="2"/>
      <c r="AM113" s="2"/>
      <c r="AN113" s="2"/>
      <c r="AO113" s="2"/>
      <c r="AP113" s="2" t="s">
        <v>273</v>
      </c>
      <c r="AQ113" s="1102">
        <v>164.03</v>
      </c>
      <c r="AR113" s="2">
        <f>+BYD!AX17</f>
        <v>0</v>
      </c>
    </row>
    <row r="114" spans="1:44" ht="12.75" customHeight="1">
      <c r="A114" s="2"/>
      <c r="B114" s="2"/>
      <c r="C114" s="2"/>
      <c r="D114" s="1062"/>
      <c r="E114" s="2"/>
      <c r="F114" s="2"/>
      <c r="G114" s="2"/>
      <c r="H114" s="2"/>
      <c r="I114" s="2"/>
      <c r="J114" s="2"/>
      <c r="K114" s="2"/>
      <c r="L114" s="2"/>
      <c r="N114" s="2"/>
      <c r="O114" s="2"/>
      <c r="P114" s="2"/>
      <c r="Q114" s="2"/>
      <c r="U114" s="2"/>
      <c r="V114" s="2"/>
      <c r="W114" s="2"/>
      <c r="X114" s="2"/>
      <c r="Y114" s="2"/>
      <c r="Z114" s="2"/>
      <c r="AA114" s="2"/>
      <c r="AB114" s="2"/>
      <c r="AC114" s="2"/>
      <c r="AD114" s="2"/>
      <c r="AE114" s="2"/>
      <c r="AF114" s="2"/>
      <c r="AG114" s="2"/>
      <c r="AH114" s="2"/>
      <c r="AI114" s="2"/>
      <c r="AJ114" s="2"/>
      <c r="AK114" s="2"/>
      <c r="AL114" s="2"/>
      <c r="AM114" s="2"/>
      <c r="AN114" s="2"/>
      <c r="AO114" s="2"/>
      <c r="AP114" s="2" t="s">
        <v>1790</v>
      </c>
      <c r="AQ114" s="1102">
        <v>1.2</v>
      </c>
      <c r="AR114" s="2"/>
    </row>
    <row r="115" spans="1:44" ht="12.75" customHeight="1">
      <c r="A115" s="2"/>
      <c r="B115" s="2"/>
      <c r="C115" s="2"/>
      <c r="D115" s="1062"/>
      <c r="E115" s="2"/>
      <c r="F115" s="2"/>
      <c r="G115" s="2"/>
      <c r="H115" s="2"/>
      <c r="I115" s="2"/>
      <c r="J115" s="2"/>
      <c r="K115" s="2"/>
      <c r="L115" s="2"/>
      <c r="N115" s="2"/>
      <c r="O115" s="2"/>
      <c r="P115" s="2"/>
      <c r="Q115" s="2"/>
      <c r="U115" s="2"/>
      <c r="V115" s="2"/>
      <c r="W115" s="2"/>
      <c r="X115" s="2"/>
      <c r="Y115" s="2"/>
      <c r="Z115" s="2"/>
      <c r="AA115" s="2"/>
      <c r="AB115" s="2"/>
      <c r="AC115" s="2"/>
      <c r="AD115" s="2"/>
      <c r="AE115" s="2"/>
      <c r="AF115" s="2"/>
      <c r="AG115" s="2"/>
      <c r="AH115" s="2"/>
      <c r="AI115" s="2"/>
      <c r="AJ115" s="2"/>
      <c r="AK115" s="2"/>
      <c r="AL115" s="2"/>
      <c r="AM115" s="2"/>
      <c r="AN115" s="2"/>
      <c r="AO115" s="2"/>
      <c r="AP115" s="1" t="s">
        <v>401</v>
      </c>
      <c r="AQ115" s="98"/>
      <c r="AR115" s="2"/>
    </row>
    <row r="116" spans="1:44" ht="12.75" customHeight="1">
      <c r="A116" s="2"/>
      <c r="B116" s="2"/>
      <c r="C116" s="2"/>
      <c r="D116" s="1062"/>
      <c r="E116" s="2"/>
      <c r="F116" s="2"/>
      <c r="G116" s="2"/>
      <c r="H116" s="2"/>
      <c r="I116" s="2"/>
      <c r="J116" s="2"/>
      <c r="K116" s="2"/>
      <c r="L116" s="2"/>
      <c r="N116" s="2"/>
      <c r="O116" s="2"/>
      <c r="P116" s="2"/>
      <c r="Q116" s="2"/>
      <c r="U116" s="2"/>
      <c r="V116" s="2"/>
      <c r="W116" s="2"/>
      <c r="X116" s="2"/>
      <c r="Y116" s="2"/>
      <c r="Z116" s="2"/>
      <c r="AA116" s="2"/>
      <c r="AB116" s="2"/>
      <c r="AC116" s="2"/>
      <c r="AD116" s="2"/>
      <c r="AE116" s="2"/>
      <c r="AF116" s="2"/>
      <c r="AG116" s="2"/>
      <c r="AH116" s="2"/>
      <c r="AI116" s="2"/>
      <c r="AJ116" s="2"/>
      <c r="AK116" s="2"/>
      <c r="AL116" s="2"/>
      <c r="AM116" s="2"/>
      <c r="AN116" s="2"/>
      <c r="AO116" s="2"/>
      <c r="AP116" s="2" t="s">
        <v>514</v>
      </c>
      <c r="AQ116" s="1349">
        <v>34.83</v>
      </c>
      <c r="AR116" s="2">
        <f>+BYD!AX38</f>
        <v>38.722999999999999</v>
      </c>
    </row>
    <row r="117" spans="1:44" ht="12.75" customHeight="1">
      <c r="A117" s="2"/>
      <c r="B117" s="2"/>
      <c r="C117" s="2"/>
      <c r="D117" s="1062"/>
      <c r="E117" s="2"/>
      <c r="F117" s="2"/>
      <c r="G117" s="2"/>
      <c r="H117" s="2"/>
      <c r="I117" s="2"/>
      <c r="J117" s="2"/>
      <c r="K117" s="2"/>
      <c r="L117" s="2"/>
      <c r="N117" s="2"/>
      <c r="O117" s="2"/>
      <c r="P117" s="2"/>
      <c r="Q117" s="2"/>
      <c r="U117" s="2"/>
      <c r="V117" s="2"/>
      <c r="W117" s="2"/>
      <c r="X117" s="2"/>
      <c r="Y117" s="2"/>
      <c r="Z117" s="2"/>
      <c r="AA117" s="2"/>
      <c r="AB117" s="2"/>
      <c r="AC117" s="2"/>
      <c r="AD117" s="2"/>
      <c r="AE117" s="2"/>
      <c r="AF117" s="2"/>
      <c r="AG117" s="2"/>
      <c r="AH117" s="2"/>
      <c r="AI117" s="2"/>
      <c r="AJ117" s="2"/>
      <c r="AK117" s="2"/>
      <c r="AL117" s="2"/>
      <c r="AM117" s="2"/>
      <c r="AN117" s="2"/>
      <c r="AO117" s="2"/>
      <c r="AP117" s="2" t="s">
        <v>515</v>
      </c>
      <c r="AQ117" s="1102">
        <v>8.36</v>
      </c>
      <c r="AR117" s="2">
        <f>+BYD!AX39</f>
        <v>9.2970000000000006</v>
      </c>
    </row>
    <row r="118" spans="1:44" ht="12.75" customHeight="1">
      <c r="A118" s="2"/>
      <c r="B118" s="2"/>
      <c r="C118" s="2"/>
      <c r="D118" s="1062"/>
      <c r="E118" s="2"/>
      <c r="F118" s="2"/>
      <c r="G118" s="2"/>
      <c r="H118" s="2"/>
      <c r="I118" s="2"/>
      <c r="J118" s="2"/>
      <c r="K118" s="2"/>
      <c r="L118" s="2"/>
      <c r="N118" s="2"/>
      <c r="O118" s="2"/>
      <c r="P118" s="2"/>
      <c r="Q118" s="2"/>
      <c r="U118" s="2"/>
      <c r="V118" s="2"/>
      <c r="W118" s="2"/>
      <c r="X118" s="2"/>
      <c r="Y118" s="2"/>
      <c r="Z118" s="2"/>
      <c r="AA118" s="2"/>
      <c r="AB118" s="2"/>
      <c r="AC118" s="2"/>
      <c r="AD118" s="2"/>
      <c r="AE118" s="2"/>
      <c r="AF118" s="2"/>
      <c r="AG118" s="2"/>
      <c r="AH118" s="2"/>
      <c r="AI118" s="2"/>
      <c r="AJ118" s="2"/>
      <c r="AK118" s="2"/>
      <c r="AL118" s="2"/>
      <c r="AM118" s="2"/>
      <c r="AN118" s="2"/>
      <c r="AO118" s="2"/>
      <c r="AP118" s="2" t="s">
        <v>516</v>
      </c>
      <c r="AQ118" s="1102">
        <v>51.04</v>
      </c>
      <c r="AR118" s="2">
        <f>+BYD!AX41</f>
        <v>48.625</v>
      </c>
    </row>
    <row r="119" spans="1:44" ht="12.75" customHeight="1">
      <c r="A119" s="2"/>
      <c r="B119" s="2"/>
      <c r="C119" s="2"/>
      <c r="D119" s="1062"/>
      <c r="E119" s="2"/>
      <c r="F119" s="2"/>
      <c r="G119" s="2"/>
      <c r="H119" s="2"/>
      <c r="I119" s="2"/>
      <c r="J119" s="2"/>
      <c r="K119" s="2"/>
      <c r="L119" s="2"/>
      <c r="N119" s="2"/>
      <c r="O119" s="2"/>
      <c r="P119" s="2"/>
      <c r="Q119" s="2"/>
      <c r="U119" s="2"/>
      <c r="V119" s="2"/>
      <c r="W119" s="2"/>
      <c r="X119" s="2"/>
      <c r="Y119" s="2"/>
      <c r="Z119" s="2"/>
      <c r="AA119" s="2"/>
      <c r="AB119" s="2"/>
      <c r="AC119" s="2"/>
      <c r="AD119" s="2"/>
      <c r="AE119" s="2"/>
      <c r="AF119" s="2"/>
      <c r="AG119" s="2"/>
      <c r="AH119" s="2"/>
      <c r="AI119" s="2"/>
      <c r="AJ119" s="2"/>
      <c r="AK119" s="2"/>
      <c r="AL119" s="2"/>
      <c r="AM119" s="2"/>
      <c r="AN119" s="2"/>
      <c r="AO119" s="2"/>
      <c r="AP119" s="2" t="s">
        <v>517</v>
      </c>
      <c r="AQ119" s="1102">
        <v>52.46</v>
      </c>
      <c r="AR119" s="2">
        <f>+BYD!AX42</f>
        <v>48.323</v>
      </c>
    </row>
    <row r="120" spans="1:44" ht="12.75" customHeight="1">
      <c r="A120" s="2"/>
      <c r="B120" s="2"/>
      <c r="C120" s="2"/>
      <c r="D120" s="1062"/>
      <c r="E120" s="2"/>
      <c r="F120" s="2"/>
      <c r="G120" s="2"/>
      <c r="H120" s="2"/>
      <c r="I120" s="2"/>
      <c r="J120" s="2"/>
      <c r="K120" s="2"/>
      <c r="L120" s="2"/>
      <c r="N120" s="2"/>
      <c r="O120" s="2"/>
      <c r="P120" s="2"/>
      <c r="Q120" s="2"/>
      <c r="U120" s="2"/>
      <c r="V120" s="2"/>
      <c r="W120" s="2"/>
      <c r="X120" s="2"/>
      <c r="Y120" s="2"/>
      <c r="Z120" s="2"/>
      <c r="AA120" s="2"/>
      <c r="AB120" s="2"/>
      <c r="AC120" s="2"/>
      <c r="AD120" s="2"/>
      <c r="AE120" s="2"/>
      <c r="AF120" s="2"/>
      <c r="AG120" s="2"/>
      <c r="AH120" s="2"/>
      <c r="AI120" s="2"/>
      <c r="AJ120" s="2"/>
      <c r="AK120" s="2"/>
      <c r="AL120" s="2"/>
      <c r="AM120" s="2"/>
      <c r="AN120" s="2"/>
      <c r="AO120" s="2"/>
      <c r="AP120" s="2" t="s">
        <v>273</v>
      </c>
      <c r="AQ120" s="1102">
        <v>28.21</v>
      </c>
      <c r="AR120" s="2">
        <f>+BYD!AX45</f>
        <v>27.847000000000001</v>
      </c>
    </row>
  </sheetData>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R118"/>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5" max="15" width="1.5" customWidth="1"/>
    <col min="18" max="18" width="3.25" customWidth="1"/>
    <col min="20" max="20" width="1" customWidth="1"/>
    <col min="21" max="21" width="19" customWidth="1"/>
    <col min="22" max="22" width="1.625" customWidth="1"/>
    <col min="23" max="23" width="8.625" customWidth="1"/>
    <col min="24" max="24" width="1.625" customWidth="1"/>
    <col min="25" max="25" width="8.625" customWidth="1"/>
    <col min="26" max="26" width="1.625" customWidth="1"/>
    <col min="27" max="27" width="8.625" customWidth="1"/>
    <col min="30" max="30" width="7.625" customWidth="1"/>
    <col min="31" max="31" width="1.625" customWidth="1"/>
    <col min="32" max="32" width="7.625" customWidth="1"/>
    <col min="33" max="33" width="1.625" customWidth="1"/>
    <col min="34" max="34" width="7.625" customWidth="1"/>
    <col min="35" max="35" width="1.625" customWidth="1"/>
    <col min="36" max="36" width="21.5" customWidth="1"/>
    <col min="37" max="37" width="11.625" customWidth="1"/>
    <col min="38" max="38" width="1.625" customWidth="1"/>
    <col min="39" max="39" width="10.625" customWidth="1"/>
    <col min="40" max="40" width="1.625" customWidth="1"/>
    <col min="41" max="41" width="10.625" customWidth="1"/>
    <col min="42" max="42" width="16" customWidth="1"/>
  </cols>
  <sheetData>
    <row r="1" spans="1:44" ht="12.75" customHeight="1">
      <c r="A1" s="1" t="s">
        <v>629</v>
      </c>
      <c r="B1" s="2"/>
      <c r="C1" s="166"/>
      <c r="D1" s="1062"/>
      <c r="E1" s="2"/>
      <c r="F1" s="2"/>
      <c r="G1" s="2"/>
      <c r="H1" s="2"/>
      <c r="I1" s="2"/>
      <c r="J1" s="2"/>
      <c r="K1" s="2"/>
      <c r="L1" s="2"/>
      <c r="N1" s="2"/>
      <c r="O1" s="2"/>
      <c r="P1" s="2"/>
      <c r="Q1" s="2"/>
      <c r="U1" s="2"/>
      <c r="V1" s="2"/>
      <c r="W1" s="2"/>
      <c r="X1" s="2"/>
      <c r="Y1" s="2"/>
      <c r="Z1" s="2"/>
      <c r="AA1" s="2"/>
      <c r="AB1" s="2"/>
      <c r="AC1" s="2"/>
      <c r="AD1" s="2"/>
      <c r="AE1" s="2"/>
      <c r="AF1" s="2"/>
      <c r="AG1" s="2"/>
      <c r="AH1" s="2"/>
      <c r="AI1" s="2"/>
      <c r="AJ1" s="2"/>
      <c r="AK1" s="2"/>
      <c r="AL1" s="2"/>
      <c r="AM1" s="2"/>
      <c r="AN1" s="2"/>
      <c r="AO1" s="2"/>
      <c r="AP1" s="2"/>
      <c r="AQ1" s="98"/>
      <c r="AR1" s="2"/>
    </row>
    <row r="2" spans="1:44" ht="12.75" customHeight="1">
      <c r="A2" s="1" t="s">
        <v>1224</v>
      </c>
      <c r="B2" s="2"/>
      <c r="C2" s="2"/>
      <c r="D2" s="1062"/>
      <c r="E2" s="2"/>
      <c r="F2" s="2"/>
      <c r="G2" s="2"/>
      <c r="H2" s="2"/>
      <c r="I2" s="2"/>
      <c r="J2" s="2"/>
      <c r="K2" s="2"/>
      <c r="L2" s="2"/>
      <c r="N2" s="2"/>
      <c r="O2" s="2"/>
      <c r="P2" s="2"/>
      <c r="Q2" s="2"/>
      <c r="U2" s="2"/>
      <c r="V2" s="2"/>
      <c r="W2" s="2"/>
      <c r="X2" s="2"/>
      <c r="Y2" s="2"/>
      <c r="Z2" s="2"/>
      <c r="AA2" s="2"/>
      <c r="AB2" s="2"/>
      <c r="AC2" s="2"/>
      <c r="AD2" s="2"/>
      <c r="AE2" s="2"/>
      <c r="AF2" s="2"/>
      <c r="AG2" s="2"/>
      <c r="AH2" s="2"/>
      <c r="AI2" s="2"/>
      <c r="AJ2" s="2"/>
      <c r="AK2" s="2"/>
      <c r="AL2" s="2"/>
      <c r="AM2" s="2"/>
      <c r="AN2" s="2"/>
      <c r="AO2" s="2"/>
      <c r="AP2" s="2"/>
      <c r="AQ2" s="98"/>
      <c r="AR2" s="2"/>
    </row>
    <row r="3" spans="1:44" ht="12.75" customHeight="1">
      <c r="A3" s="2" t="s">
        <v>1225</v>
      </c>
      <c r="B3" s="2"/>
      <c r="C3" s="2"/>
      <c r="D3" s="1062"/>
      <c r="E3" s="2"/>
      <c r="F3" s="2"/>
      <c r="G3" s="2"/>
      <c r="H3" s="2"/>
      <c r="I3" s="2"/>
      <c r="J3" s="2"/>
      <c r="K3" s="2"/>
      <c r="L3" s="2"/>
      <c r="N3" s="2"/>
      <c r="O3" s="2"/>
      <c r="P3" s="2"/>
      <c r="Q3" s="2"/>
      <c r="U3" s="2"/>
      <c r="V3" s="2"/>
      <c r="W3" s="2"/>
      <c r="X3" s="2"/>
      <c r="Y3" s="2"/>
      <c r="Z3" s="2"/>
      <c r="AA3" s="2"/>
      <c r="AB3" s="2"/>
      <c r="AC3" s="2"/>
      <c r="AD3" s="2"/>
      <c r="AE3" s="2"/>
      <c r="AF3" s="2"/>
      <c r="AG3" s="2"/>
      <c r="AH3" s="2"/>
      <c r="AI3" s="2"/>
      <c r="AJ3" s="2"/>
      <c r="AK3" s="2"/>
      <c r="AL3" s="2"/>
      <c r="AM3" s="2"/>
      <c r="AN3" s="2"/>
      <c r="AO3" s="2"/>
      <c r="AP3" s="2"/>
      <c r="AQ3" s="98"/>
      <c r="AR3" s="2"/>
    </row>
    <row r="4" spans="1:44" ht="12.75" customHeight="1">
      <c r="A4" s="2"/>
      <c r="B4" s="2"/>
      <c r="C4" s="1195" t="s">
        <v>818</v>
      </c>
      <c r="D4" s="1310"/>
      <c r="E4" s="1196"/>
      <c r="F4" s="1196"/>
      <c r="G4" s="1196"/>
      <c r="H4" s="2"/>
      <c r="I4" s="1195" t="s">
        <v>818</v>
      </c>
      <c r="J4" s="1197"/>
      <c r="K4" s="1196"/>
      <c r="L4" s="1196"/>
      <c r="O4" s="70"/>
      <c r="P4" s="70"/>
      <c r="Q4" s="70"/>
      <c r="U4" s="2"/>
      <c r="V4" s="2"/>
      <c r="W4" s="2"/>
      <c r="X4" s="2"/>
      <c r="Y4" s="2"/>
      <c r="Z4" s="2"/>
      <c r="AA4" s="2"/>
      <c r="AB4" s="2"/>
      <c r="AC4" s="2"/>
      <c r="AD4" s="2"/>
      <c r="AE4" s="2"/>
      <c r="AF4" s="2"/>
      <c r="AG4" s="2"/>
      <c r="AH4" s="2"/>
      <c r="AI4" s="2"/>
      <c r="AJ4" s="2"/>
      <c r="AK4" s="2"/>
      <c r="AL4" s="2"/>
      <c r="AM4" s="2"/>
      <c r="AN4" s="2"/>
      <c r="AO4" s="2"/>
      <c r="AP4" s="2"/>
      <c r="AQ4" s="98"/>
      <c r="AR4" s="2"/>
    </row>
    <row r="5" spans="1:44" ht="12.75" customHeight="1">
      <c r="A5" s="2"/>
      <c r="B5" s="2"/>
      <c r="C5" s="1198"/>
      <c r="D5" s="77"/>
      <c r="E5" s="2"/>
      <c r="F5" s="1197" t="s">
        <v>1487</v>
      </c>
      <c r="G5" s="1197"/>
      <c r="H5" s="2"/>
      <c r="I5" s="1198"/>
      <c r="J5" s="61"/>
      <c r="K5" s="1197" t="s">
        <v>1505</v>
      </c>
      <c r="L5" s="1197"/>
      <c r="N5" s="1289" t="s">
        <v>1489</v>
      </c>
      <c r="O5" s="2"/>
      <c r="P5" s="1197" t="s">
        <v>1505</v>
      </c>
      <c r="Q5" s="1197"/>
      <c r="S5" s="73" t="s">
        <v>594</v>
      </c>
      <c r="U5" s="2"/>
      <c r="V5" s="2"/>
      <c r="W5" s="2"/>
      <c r="X5" s="2"/>
      <c r="Y5" s="2"/>
      <c r="Z5" s="2"/>
      <c r="AA5" s="2"/>
      <c r="AB5" s="2"/>
      <c r="AC5" s="2"/>
      <c r="AD5" s="2"/>
      <c r="AE5" s="2"/>
      <c r="AF5" s="2"/>
      <c r="AG5" s="2"/>
      <c r="AH5" s="2"/>
      <c r="AI5" s="2"/>
      <c r="AJ5" s="2"/>
      <c r="AK5" s="2"/>
      <c r="AL5" s="2"/>
      <c r="AM5" s="2"/>
      <c r="AN5" s="2"/>
      <c r="AO5" s="2"/>
      <c r="AP5" s="2"/>
      <c r="AQ5" s="98"/>
      <c r="AR5" s="2"/>
    </row>
    <row r="6" spans="1:44" ht="12.75" customHeight="1">
      <c r="A6" s="61"/>
      <c r="B6" s="2"/>
      <c r="C6" s="1199" t="s">
        <v>1821</v>
      </c>
      <c r="D6" s="1308" t="s">
        <v>1764</v>
      </c>
      <c r="E6" s="70"/>
      <c r="F6" s="73" t="s">
        <v>658</v>
      </c>
      <c r="G6" s="73" t="s">
        <v>740</v>
      </c>
      <c r="H6" s="2"/>
      <c r="I6" s="1199" t="s">
        <v>985</v>
      </c>
      <c r="J6" s="70"/>
      <c r="K6" s="73" t="s">
        <v>658</v>
      </c>
      <c r="L6" s="73" t="s">
        <v>740</v>
      </c>
      <c r="N6" s="1165" t="s">
        <v>1820</v>
      </c>
      <c r="O6" s="2"/>
      <c r="P6" s="73" t="s">
        <v>658</v>
      </c>
      <c r="Q6" s="73" t="s">
        <v>740</v>
      </c>
      <c r="U6" s="2"/>
      <c r="V6" s="2"/>
      <c r="W6" s="2"/>
      <c r="X6" s="2"/>
      <c r="Y6" s="2"/>
      <c r="Z6" s="2"/>
      <c r="AA6" s="2"/>
      <c r="AB6" s="2"/>
      <c r="AC6" s="2"/>
      <c r="AD6" s="2"/>
      <c r="AE6" s="2"/>
      <c r="AF6" s="2"/>
      <c r="AG6" s="2"/>
      <c r="AH6" s="2"/>
      <c r="AI6" s="2"/>
      <c r="AJ6" s="2"/>
      <c r="AK6" s="2"/>
      <c r="AL6" s="2"/>
      <c r="AM6" s="2"/>
      <c r="AN6" s="2"/>
      <c r="AO6" s="2"/>
      <c r="AP6" s="2"/>
      <c r="AQ6" s="98"/>
      <c r="AR6" s="2"/>
    </row>
    <row r="7" spans="1:44" ht="12.75" customHeight="1">
      <c r="A7" s="1" t="s">
        <v>741</v>
      </c>
      <c r="B7" s="2"/>
      <c r="C7" s="112"/>
      <c r="D7" s="77"/>
      <c r="E7" s="2"/>
      <c r="F7" s="2"/>
      <c r="G7" s="2"/>
      <c r="H7" s="2"/>
      <c r="I7" s="112"/>
      <c r="J7" s="61"/>
      <c r="K7" s="2"/>
      <c r="L7" s="2"/>
      <c r="N7" s="2"/>
      <c r="O7" s="2"/>
      <c r="P7" s="2"/>
      <c r="Q7" s="2"/>
      <c r="U7" s="2"/>
      <c r="V7" s="2"/>
      <c r="W7" s="2"/>
      <c r="X7" s="2"/>
      <c r="Y7" s="2"/>
      <c r="Z7" s="2"/>
      <c r="AA7" s="2"/>
      <c r="AB7" s="2"/>
      <c r="AC7" s="2"/>
      <c r="AD7" s="2"/>
      <c r="AE7" s="2"/>
      <c r="AF7" s="2"/>
      <c r="AG7" s="2"/>
      <c r="AH7" s="2"/>
      <c r="AI7" s="2"/>
      <c r="AJ7" s="2"/>
      <c r="AK7" s="2"/>
      <c r="AL7" s="2"/>
      <c r="AM7" s="2"/>
      <c r="AN7" s="2"/>
      <c r="AO7" s="2"/>
      <c r="AP7" s="2"/>
      <c r="AQ7" s="98"/>
      <c r="AR7" s="2"/>
    </row>
    <row r="8" spans="1:44" ht="12.75" customHeight="1">
      <c r="A8" s="334" t="s">
        <v>514</v>
      </c>
      <c r="B8" s="2"/>
      <c r="C8" s="2030">
        <f>BYD!BG10</f>
        <v>150.30199999999999</v>
      </c>
      <c r="D8" s="858">
        <f>BYD!BB10</f>
        <v>151.44300000000001</v>
      </c>
      <c r="E8" s="1202"/>
      <c r="F8" s="1205">
        <f t="shared" ref="F8:F13" si="0">C8-D8</f>
        <v>-1.1410000000000196</v>
      </c>
      <c r="G8" s="126">
        <f t="shared" ref="G8:G14" si="1">IF(D8=0,0,C8/D8-1)</f>
        <v>-7.5341877802210799E-3</v>
      </c>
      <c r="H8" s="1205"/>
      <c r="I8" s="1207">
        <v>152.95743000000002</v>
      </c>
      <c r="J8" s="1202"/>
      <c r="K8" s="313">
        <f t="shared" ref="K8:K13" si="2">C8-I8</f>
        <v>-2.6554300000000239</v>
      </c>
      <c r="L8" s="1204">
        <f t="shared" ref="L8:L13" si="3">IF(I8=0,"NM",C8/I8-1)</f>
        <v>-1.7360581960614963E-2</v>
      </c>
      <c r="N8" s="1349">
        <v>149.74</v>
      </c>
      <c r="O8" s="1349"/>
      <c r="P8" s="313">
        <f t="shared" ref="P8:P14" si="4">C8-N8</f>
        <v>0.5619999999999834</v>
      </c>
      <c r="Q8" s="1204">
        <f t="shared" ref="Q8:Q14" si="5">IF(N8=0,"NM",C8/N8-1)</f>
        <v>3.7531721650860828E-3</v>
      </c>
      <c r="U8" s="105"/>
      <c r="V8" s="2"/>
      <c r="W8" s="2"/>
      <c r="X8" s="2"/>
      <c r="Y8" s="2"/>
      <c r="Z8" s="2"/>
      <c r="AA8" s="2"/>
      <c r="AB8" s="2"/>
      <c r="AC8" s="2"/>
      <c r="AD8" s="2"/>
      <c r="AE8" s="2"/>
      <c r="AF8" s="2"/>
      <c r="AG8" s="2"/>
      <c r="AH8" s="2"/>
      <c r="AI8" s="2"/>
      <c r="AJ8" s="2"/>
      <c r="AK8" s="2"/>
      <c r="AL8" s="2"/>
      <c r="AM8" s="2"/>
      <c r="AN8" s="2"/>
      <c r="AO8" s="2"/>
      <c r="AP8" s="2"/>
      <c r="AQ8" s="98"/>
      <c r="AR8" s="2"/>
    </row>
    <row r="9" spans="1:44" ht="12.75" customHeight="1">
      <c r="A9" s="334" t="s">
        <v>515</v>
      </c>
      <c r="B9" s="61"/>
      <c r="C9" s="2031">
        <f>BYD!BG11</f>
        <v>56.603000000000002</v>
      </c>
      <c r="D9" s="104">
        <f>BYD!BB11</f>
        <v>55.732999999999997</v>
      </c>
      <c r="E9" s="1103"/>
      <c r="F9" s="374">
        <f t="shared" si="0"/>
        <v>0.87000000000000455</v>
      </c>
      <c r="G9" s="95">
        <f t="shared" si="1"/>
        <v>1.5610141208978634E-2</v>
      </c>
      <c r="H9" s="61"/>
      <c r="I9" s="1104">
        <v>55.732999999999997</v>
      </c>
      <c r="J9" s="1103"/>
      <c r="K9" s="374">
        <f t="shared" si="2"/>
        <v>0.87000000000000455</v>
      </c>
      <c r="L9" s="92">
        <f t="shared" si="3"/>
        <v>1.5610141208978634E-2</v>
      </c>
      <c r="N9" s="1102">
        <v>60.07</v>
      </c>
      <c r="O9" s="1102"/>
      <c r="P9" s="374">
        <f t="shared" si="4"/>
        <v>-3.4669999999999987</v>
      </c>
      <c r="Q9" s="92">
        <f t="shared" si="5"/>
        <v>-5.7715998002330626E-2</v>
      </c>
      <c r="U9" s="105"/>
      <c r="V9" s="2"/>
      <c r="W9" s="2"/>
      <c r="X9" s="2"/>
      <c r="Y9" s="2"/>
      <c r="Z9" s="2"/>
      <c r="AA9" s="2"/>
      <c r="AB9" s="2"/>
      <c r="AC9" s="2"/>
      <c r="AD9" s="2"/>
      <c r="AE9" s="2"/>
      <c r="AF9" s="2"/>
      <c r="AG9" s="2"/>
      <c r="AH9" s="2"/>
      <c r="AI9" s="2"/>
      <c r="AJ9" s="2"/>
      <c r="AK9" s="2"/>
      <c r="AL9" s="2"/>
      <c r="AM9" s="2"/>
      <c r="AN9" s="2"/>
      <c r="AO9" s="2"/>
      <c r="AP9" s="2"/>
      <c r="AQ9" s="98"/>
      <c r="AR9" s="2"/>
    </row>
    <row r="10" spans="1:44" ht="12.75" customHeight="1">
      <c r="A10" s="334" t="s">
        <v>516</v>
      </c>
      <c r="B10" s="61"/>
      <c r="C10" s="2031">
        <f>BYD!BG13</f>
        <v>217.76400000000001</v>
      </c>
      <c r="D10" s="104">
        <f>BYD!BB13</f>
        <v>211.636</v>
      </c>
      <c r="E10" s="1103"/>
      <c r="F10" s="374">
        <f t="shared" si="0"/>
        <v>6.1280000000000143</v>
      </c>
      <c r="G10" s="95">
        <f t="shared" si="1"/>
        <v>2.8955376211986739E-2</v>
      </c>
      <c r="H10" s="61"/>
      <c r="I10" s="1104">
        <v>210.31324205822591</v>
      </c>
      <c r="J10" s="1103"/>
      <c r="K10" s="374">
        <f t="shared" si="2"/>
        <v>7.4507579417740999</v>
      </c>
      <c r="L10" s="92">
        <f t="shared" si="3"/>
        <v>3.542695585336153E-2</v>
      </c>
      <c r="M10" s="1403"/>
      <c r="N10" s="1102">
        <v>196.39</v>
      </c>
      <c r="O10" s="1102"/>
      <c r="P10" s="374">
        <f t="shared" si="4"/>
        <v>21.374000000000024</v>
      </c>
      <c r="Q10" s="92">
        <f t="shared" si="5"/>
        <v>0.10883446203981895</v>
      </c>
      <c r="S10" s="1403"/>
      <c r="U10" s="105"/>
      <c r="V10" s="2"/>
      <c r="W10" s="2"/>
      <c r="X10" s="2"/>
      <c r="Y10" s="2"/>
      <c r="Z10" s="2"/>
      <c r="AA10" s="2"/>
      <c r="AB10" s="2"/>
      <c r="AC10" s="2"/>
      <c r="AD10" s="2"/>
      <c r="AE10" s="2"/>
      <c r="AF10" s="2"/>
      <c r="AG10" s="2"/>
      <c r="AH10" s="2"/>
      <c r="AI10" s="2"/>
      <c r="AJ10" s="2"/>
      <c r="AK10" s="2"/>
      <c r="AL10" s="2"/>
      <c r="AM10" s="2"/>
      <c r="AN10" s="2"/>
      <c r="AO10" s="2"/>
      <c r="AP10" s="2"/>
      <c r="AQ10" s="98"/>
      <c r="AR10" s="2"/>
    </row>
    <row r="11" spans="1:44" ht="12.75" customHeight="1">
      <c r="A11" s="963" t="s">
        <v>517</v>
      </c>
      <c r="B11" s="61"/>
      <c r="C11" s="2031">
        <f>BYD!BG14</f>
        <v>125.90900000000001</v>
      </c>
      <c r="D11" s="104">
        <f>BYD!BB14</f>
        <v>122.273</v>
      </c>
      <c r="E11" s="1103"/>
      <c r="F11" s="374">
        <f t="shared" si="0"/>
        <v>3.6360000000000099</v>
      </c>
      <c r="G11" s="95">
        <f t="shared" si="1"/>
        <v>2.9736736646684081E-2</v>
      </c>
      <c r="H11" s="61"/>
      <c r="I11" s="1104">
        <v>124.41106335598866</v>
      </c>
      <c r="J11" s="1103"/>
      <c r="K11" s="374">
        <f t="shared" si="2"/>
        <v>1.4979366440113466</v>
      </c>
      <c r="L11" s="92">
        <f t="shared" si="3"/>
        <v>1.2040220568850568E-2</v>
      </c>
      <c r="M11" s="1403"/>
      <c r="N11" s="1102">
        <v>118.15</v>
      </c>
      <c r="O11" s="1102"/>
      <c r="P11" s="374">
        <f t="shared" si="4"/>
        <v>7.7590000000000003</v>
      </c>
      <c r="Q11" s="92">
        <f t="shared" si="5"/>
        <v>6.5670757511637756E-2</v>
      </c>
      <c r="S11" s="1403"/>
      <c r="U11" s="105"/>
      <c r="V11" s="2"/>
      <c r="W11" s="2"/>
      <c r="X11" s="2"/>
      <c r="Y11" s="2"/>
      <c r="Z11" s="2"/>
      <c r="AA11" s="2"/>
      <c r="AB11" s="2"/>
      <c r="AC11" s="2"/>
      <c r="AD11" s="2"/>
      <c r="AE11" s="2"/>
      <c r="AF11" s="2"/>
      <c r="AG11" s="2"/>
      <c r="AH11" s="2"/>
      <c r="AI11" s="2"/>
      <c r="AJ11" s="2"/>
      <c r="AK11" s="2"/>
      <c r="AL11" s="2"/>
      <c r="AM11" s="2"/>
      <c r="AN11" s="2"/>
      <c r="AO11" s="2"/>
      <c r="AP11" s="2"/>
      <c r="AQ11" s="98"/>
      <c r="AR11" s="2"/>
    </row>
    <row r="12" spans="1:44" ht="12.75" customHeight="1">
      <c r="A12" s="334" t="s">
        <v>273</v>
      </c>
      <c r="B12" s="61"/>
      <c r="C12" s="2031">
        <f>BYD!BG17</f>
        <v>0</v>
      </c>
      <c r="D12" s="104">
        <f>BYD!BB17</f>
        <v>0</v>
      </c>
      <c r="E12" s="1103"/>
      <c r="F12" s="374">
        <f t="shared" si="0"/>
        <v>0</v>
      </c>
      <c r="G12" s="95">
        <f t="shared" si="1"/>
        <v>0</v>
      </c>
      <c r="H12" s="61"/>
      <c r="I12" s="1104">
        <v>0</v>
      </c>
      <c r="J12" s="1103"/>
      <c r="K12" s="374">
        <f t="shared" si="2"/>
        <v>0</v>
      </c>
      <c r="L12" s="92" t="str">
        <f t="shared" si="3"/>
        <v>NM</v>
      </c>
      <c r="N12" s="1102">
        <v>0</v>
      </c>
      <c r="O12" s="1102"/>
      <c r="P12" s="374">
        <f t="shared" si="4"/>
        <v>0</v>
      </c>
      <c r="Q12" s="92" t="str">
        <f t="shared" si="5"/>
        <v>NM</v>
      </c>
      <c r="U12" s="105"/>
      <c r="V12" s="2"/>
      <c r="W12" s="2"/>
      <c r="X12" s="2"/>
      <c r="Y12" s="2"/>
      <c r="Z12" s="2"/>
      <c r="AA12" s="2"/>
      <c r="AB12" s="2"/>
      <c r="AC12" s="2"/>
      <c r="AD12" s="2"/>
      <c r="AE12" s="2"/>
      <c r="AF12" s="2"/>
      <c r="AG12" s="2"/>
      <c r="AH12" s="2"/>
      <c r="AI12" s="2"/>
      <c r="AJ12" s="2"/>
      <c r="AK12" s="2"/>
      <c r="AL12" s="2"/>
      <c r="AM12" s="2"/>
      <c r="AN12" s="2"/>
      <c r="AO12" s="2"/>
      <c r="AP12" s="2"/>
      <c r="AQ12" s="98"/>
      <c r="AR12" s="2"/>
    </row>
    <row r="13" spans="1:44" ht="12.75" customHeight="1">
      <c r="A13" s="2679" t="s">
        <v>899</v>
      </c>
      <c r="B13" s="61"/>
      <c r="C13" s="2031">
        <f>BYD!BG18</f>
        <v>0</v>
      </c>
      <c r="D13" s="104">
        <f>BYD!BB18</f>
        <v>0</v>
      </c>
      <c r="E13" s="1103"/>
      <c r="F13" s="374">
        <f t="shared" si="0"/>
        <v>0</v>
      </c>
      <c r="G13" s="95">
        <f t="shared" si="1"/>
        <v>0</v>
      </c>
      <c r="H13" s="61"/>
      <c r="I13" s="1104">
        <v>0</v>
      </c>
      <c r="J13" s="1103"/>
      <c r="K13" s="374">
        <f t="shared" si="2"/>
        <v>0</v>
      </c>
      <c r="L13" s="92" t="str">
        <f t="shared" si="3"/>
        <v>NM</v>
      </c>
      <c r="N13" s="1102">
        <v>0</v>
      </c>
      <c r="O13" s="1102"/>
      <c r="P13" s="374">
        <f t="shared" si="4"/>
        <v>0</v>
      </c>
      <c r="Q13" s="92" t="str">
        <f t="shared" si="5"/>
        <v>NM</v>
      </c>
      <c r="U13" s="105"/>
      <c r="V13" s="2"/>
      <c r="W13" s="2"/>
      <c r="X13" s="2"/>
      <c r="Y13" s="2"/>
      <c r="Z13" s="2"/>
      <c r="AA13" s="2"/>
      <c r="AB13" s="2"/>
      <c r="AC13" s="2"/>
      <c r="AD13" s="2"/>
      <c r="AE13" s="2"/>
      <c r="AF13" s="2"/>
      <c r="AG13" s="2"/>
      <c r="AH13" s="2"/>
      <c r="AI13" s="2"/>
      <c r="AJ13" s="2"/>
      <c r="AK13" s="2"/>
      <c r="AL13" s="2"/>
      <c r="AM13" s="2"/>
      <c r="AN13" s="2"/>
      <c r="AO13" s="2"/>
      <c r="AP13" s="2"/>
      <c r="AQ13" s="98"/>
      <c r="AR13" s="2"/>
    </row>
    <row r="14" spans="1:44" ht="12.75" customHeight="1">
      <c r="A14" s="138" t="s">
        <v>813</v>
      </c>
      <c r="B14" s="1203"/>
      <c r="C14" s="2032">
        <f>SUM(C8:C13)</f>
        <v>550.57799999999997</v>
      </c>
      <c r="D14" s="1210">
        <f>SUM(D8:D13)</f>
        <v>541.08500000000004</v>
      </c>
      <c r="E14" s="1210"/>
      <c r="F14" s="1210">
        <f>SUM(F8:F13)</f>
        <v>9.4930000000000092</v>
      </c>
      <c r="G14" s="1208">
        <f t="shared" si="1"/>
        <v>1.7544378424831475E-2</v>
      </c>
      <c r="H14" s="1206"/>
      <c r="I14" s="1250">
        <v>543.41473541421453</v>
      </c>
      <c r="J14" s="1210"/>
      <c r="K14" s="1210">
        <f>SUM(K8:K13)</f>
        <v>7.1632645857854271</v>
      </c>
      <c r="L14" s="1211">
        <f>C14/I14-1</f>
        <v>1.3181947634020696E-2</v>
      </c>
      <c r="M14" s="1444"/>
      <c r="N14" s="1349">
        <v>524.80999999999995</v>
      </c>
      <c r="O14" s="1349"/>
      <c r="P14" s="2368">
        <f t="shared" si="4"/>
        <v>25.768000000000029</v>
      </c>
      <c r="Q14" s="1211">
        <f t="shared" si="5"/>
        <v>4.9099674167794038E-2</v>
      </c>
      <c r="R14" s="1299"/>
      <c r="S14" s="1617"/>
      <c r="U14" s="105">
        <f>+C14/N14-1</f>
        <v>4.9099674167794038E-2</v>
      </c>
      <c r="V14" s="2"/>
      <c r="W14" s="2"/>
      <c r="X14" s="2"/>
      <c r="Y14" s="2"/>
      <c r="Z14" s="2"/>
      <c r="AA14" s="2"/>
      <c r="AB14" s="2"/>
      <c r="AC14" s="2"/>
      <c r="AD14" s="2"/>
      <c r="AE14" s="2"/>
      <c r="AF14" s="2"/>
      <c r="AG14" s="2"/>
      <c r="AH14" s="2"/>
      <c r="AI14" s="2"/>
      <c r="AJ14" s="2"/>
      <c r="AK14" s="2"/>
      <c r="AL14" s="2"/>
      <c r="AM14" s="2"/>
      <c r="AN14" s="2"/>
      <c r="AO14" s="2"/>
      <c r="AP14" s="2"/>
      <c r="AQ14" s="98"/>
      <c r="AR14" s="2"/>
    </row>
    <row r="15" spans="1:44" ht="12.75" customHeight="1">
      <c r="A15" s="61"/>
      <c r="B15" s="61"/>
      <c r="C15" s="2033"/>
      <c r="D15" s="77"/>
      <c r="E15" s="61"/>
      <c r="F15" s="61"/>
      <c r="G15" s="1139"/>
      <c r="H15" s="61"/>
      <c r="I15" s="115"/>
      <c r="J15" s="61"/>
      <c r="K15" s="61"/>
      <c r="L15" s="1212"/>
      <c r="N15" s="105">
        <f>C14/N14-1</f>
        <v>4.9099674167794038E-2</v>
      </c>
      <c r="O15" s="105"/>
      <c r="P15" s="105"/>
      <c r="Q15" s="105"/>
      <c r="U15" s="2"/>
      <c r="V15" s="2"/>
      <c r="W15" s="101" t="str">
        <f>+C6</f>
        <v>1Q15A</v>
      </c>
      <c r="X15" s="101"/>
      <c r="Y15" s="101" t="str">
        <f>+D6</f>
        <v>1Q14A</v>
      </c>
      <c r="Z15" s="101"/>
      <c r="AA15" s="101" t="s">
        <v>1490</v>
      </c>
      <c r="AB15" s="101"/>
      <c r="AC15" s="2"/>
      <c r="AD15" s="2"/>
      <c r="AE15" s="2"/>
      <c r="AF15" s="2"/>
      <c r="AG15" s="2"/>
      <c r="AH15" s="2"/>
      <c r="AI15" s="2"/>
      <c r="AJ15" s="2"/>
      <c r="AK15" s="2"/>
      <c r="AL15" s="2"/>
      <c r="AM15" s="2"/>
      <c r="AN15" s="2"/>
      <c r="AO15" s="2"/>
      <c r="AP15" s="2"/>
      <c r="AQ15" s="98"/>
      <c r="AR15" s="2"/>
    </row>
    <row r="16" spans="1:44" ht="12.75" customHeight="1">
      <c r="A16" s="107" t="s">
        <v>401</v>
      </c>
      <c r="B16" s="61"/>
      <c r="C16" s="2034"/>
      <c r="D16" s="1390"/>
      <c r="E16" s="61"/>
      <c r="F16" s="61"/>
      <c r="G16" s="1139"/>
      <c r="H16" s="61"/>
      <c r="I16" s="115"/>
      <c r="J16" s="61"/>
      <c r="K16" s="61"/>
      <c r="L16" s="1212"/>
      <c r="N16" s="98"/>
      <c r="O16" s="98"/>
      <c r="P16" s="98"/>
      <c r="Q16" s="98"/>
      <c r="U16" s="101" t="s">
        <v>1488</v>
      </c>
      <c r="V16" s="2"/>
      <c r="W16" s="101" t="s">
        <v>1160</v>
      </c>
      <c r="X16" s="101"/>
      <c r="Y16" s="101" t="s">
        <v>1160</v>
      </c>
      <c r="Z16" s="101"/>
      <c r="AA16" s="101" t="s">
        <v>1160</v>
      </c>
      <c r="AB16" s="101"/>
      <c r="AC16" s="2"/>
      <c r="AD16" s="2"/>
      <c r="AE16" s="2"/>
      <c r="AF16" s="2"/>
      <c r="AG16" s="2"/>
      <c r="AH16" s="2"/>
      <c r="AI16" s="2"/>
      <c r="AJ16" s="2"/>
      <c r="AK16" s="2"/>
      <c r="AL16" s="2"/>
      <c r="AM16" s="2"/>
      <c r="AN16" s="2"/>
      <c r="AO16" s="2"/>
      <c r="AP16" s="2"/>
      <c r="AQ16" s="98"/>
      <c r="AR16" s="2"/>
    </row>
    <row r="17" spans="1:44" ht="12.75" customHeight="1">
      <c r="A17" s="334" t="s">
        <v>514</v>
      </c>
      <c r="B17" s="61"/>
      <c r="C17" s="2030">
        <f>BYD!BG38</f>
        <v>38.877000000000002</v>
      </c>
      <c r="D17" s="858">
        <f>BYD!BB38</f>
        <v>40.006999999999998</v>
      </c>
      <c r="E17" s="1202"/>
      <c r="F17" s="897">
        <f>C17-D17</f>
        <v>-1.1299999999999955</v>
      </c>
      <c r="G17" s="95">
        <f t="shared" ref="G17:G25" si="6">IF(D17=0,0,C17/D17-1)</f>
        <v>-2.8245057115004801E-2</v>
      </c>
      <c r="H17" s="61"/>
      <c r="I17" s="1207">
        <v>41.521430000000009</v>
      </c>
      <c r="J17" s="1103"/>
      <c r="K17" s="897">
        <f>C17-I17</f>
        <v>-2.6444300000000069</v>
      </c>
      <c r="L17" s="92">
        <f>IF(I17=0,"NM",C17/I17-1)</f>
        <v>-6.368831709312528E-2</v>
      </c>
      <c r="M17" s="1403"/>
      <c r="N17" s="1102">
        <v>34.07</v>
      </c>
      <c r="O17" s="1102"/>
      <c r="P17" s="313">
        <f t="shared" ref="P17:P23" si="7">C17-N17</f>
        <v>4.8070000000000022</v>
      </c>
      <c r="Q17" s="1204">
        <f t="shared" ref="Q17:Q23" si="8">IF(N17=0,"NM",C17/N17-1)</f>
        <v>0.14109186968007048</v>
      </c>
      <c r="U17" s="126">
        <f>+C17/$C$23</f>
        <v>0.23524250666360083</v>
      </c>
      <c r="V17" s="2"/>
      <c r="W17" s="105">
        <f>+C17/C8</f>
        <v>0.25865923274474062</v>
      </c>
      <c r="X17" s="105"/>
      <c r="Y17" s="105">
        <f>+D17/D8</f>
        <v>0.26417199870578367</v>
      </c>
      <c r="Z17" s="105"/>
      <c r="AA17" s="105">
        <f>+I17/I8</f>
        <v>0.27145742446117199</v>
      </c>
      <c r="AB17" s="105"/>
      <c r="AC17" s="2"/>
      <c r="AD17" s="2"/>
      <c r="AE17" s="2"/>
      <c r="AF17" s="2"/>
      <c r="AG17" s="2"/>
      <c r="AH17" s="2"/>
      <c r="AI17" s="2"/>
      <c r="AJ17" s="2"/>
      <c r="AK17" s="2"/>
      <c r="AL17" s="2"/>
      <c r="AM17" s="2"/>
      <c r="AN17" s="2"/>
      <c r="AO17" s="2"/>
      <c r="AP17" s="2"/>
      <c r="AQ17" s="98"/>
      <c r="AR17" s="2"/>
    </row>
    <row r="18" spans="1:44" ht="12.75" customHeight="1">
      <c r="A18" s="334" t="s">
        <v>515</v>
      </c>
      <c r="B18" s="61"/>
      <c r="C18" s="2031">
        <f>BYD!BG39</f>
        <v>10.677</v>
      </c>
      <c r="D18" s="104">
        <f>BYD!BB39</f>
        <v>9.327</v>
      </c>
      <c r="E18" s="1103"/>
      <c r="F18" s="374">
        <f>C18-D18</f>
        <v>1.3499999999999996</v>
      </c>
      <c r="G18" s="95">
        <f t="shared" si="6"/>
        <v>0.14474107430041805</v>
      </c>
      <c r="H18" s="61"/>
      <c r="I18" s="1104">
        <v>9.3269999999999982</v>
      </c>
      <c r="J18" s="1103"/>
      <c r="K18" s="374">
        <f>C18-I18</f>
        <v>1.3500000000000014</v>
      </c>
      <c r="L18" s="92">
        <f>IF(I18=0,"NM",C18/I18-1)</f>
        <v>0.14474107430041827</v>
      </c>
      <c r="M18" s="1403"/>
      <c r="N18" s="1102">
        <v>12.19</v>
      </c>
      <c r="O18" s="1102"/>
      <c r="P18" s="374">
        <f t="shared" si="7"/>
        <v>-1.5129999999999999</v>
      </c>
      <c r="Q18" s="92">
        <f t="shared" si="8"/>
        <v>-0.12411812961443802</v>
      </c>
      <c r="U18" s="126">
        <f>+C18/$C$23</f>
        <v>6.4605917217050335E-2</v>
      </c>
      <c r="V18" s="2"/>
      <c r="W18" s="105">
        <f>+C18/C9</f>
        <v>0.18862957793756513</v>
      </c>
      <c r="X18" s="105"/>
      <c r="Y18" s="105">
        <f>+D18/D9</f>
        <v>0.16735147937487665</v>
      </c>
      <c r="Z18" s="105"/>
      <c r="AA18" s="105">
        <f>+I18/I9</f>
        <v>0.16735147937487663</v>
      </c>
      <c r="AB18" s="105"/>
      <c r="AC18" s="2"/>
      <c r="AD18" s="2"/>
      <c r="AE18" s="2"/>
      <c r="AF18" s="2"/>
      <c r="AG18" s="2"/>
      <c r="AH18" s="2"/>
      <c r="AI18" s="2"/>
      <c r="AJ18" s="2"/>
      <c r="AK18" s="2"/>
      <c r="AL18" s="2"/>
      <c r="AM18" s="2"/>
      <c r="AN18" s="2"/>
      <c r="AO18" s="2"/>
      <c r="AP18" s="2"/>
      <c r="AQ18" s="98"/>
      <c r="AR18" s="2"/>
    </row>
    <row r="19" spans="1:44" ht="12.75" customHeight="1">
      <c r="A19" s="334" t="s">
        <v>516</v>
      </c>
      <c r="B19" s="61"/>
      <c r="C19" s="2031">
        <f>BYD!BG41</f>
        <v>50.984000000000002</v>
      </c>
      <c r="D19" s="104">
        <f>BYD!BB41</f>
        <v>44.097999999999999</v>
      </c>
      <c r="E19" s="1103"/>
      <c r="F19" s="374">
        <f>C19-D19</f>
        <v>6.8860000000000028</v>
      </c>
      <c r="G19" s="95">
        <f t="shared" si="6"/>
        <v>0.15615220644927219</v>
      </c>
      <c r="H19" s="61"/>
      <c r="I19" s="1104">
        <v>45.288312058225898</v>
      </c>
      <c r="J19" s="1103"/>
      <c r="K19" s="374">
        <f>C19-I19</f>
        <v>5.6956879417741035</v>
      </c>
      <c r="L19" s="92">
        <f>IF(I19=0,"NM",C19/I19-1)</f>
        <v>0.12576507453957042</v>
      </c>
      <c r="M19" s="1404"/>
      <c r="N19" s="1102">
        <v>32.43</v>
      </c>
      <c r="O19" s="1102"/>
      <c r="P19" s="374">
        <f t="shared" si="7"/>
        <v>18.554000000000002</v>
      </c>
      <c r="Q19" s="92">
        <f t="shared" si="8"/>
        <v>0.57212457600986744</v>
      </c>
      <c r="S19" s="1403"/>
      <c r="U19" s="126">
        <f>+C19/$C$23</f>
        <v>0.30850127221074219</v>
      </c>
      <c r="V19" s="2"/>
      <c r="W19" s="105">
        <f>+C19/C10</f>
        <v>0.2341250160724454</v>
      </c>
      <c r="X19" s="105"/>
      <c r="Y19" s="105">
        <f>+D19/D10</f>
        <v>0.2083671965072105</v>
      </c>
      <c r="Z19" s="105"/>
      <c r="AA19" s="105">
        <f>+I19/I10</f>
        <v>0.2153374253328646</v>
      </c>
      <c r="AB19" s="105"/>
      <c r="AC19" s="2"/>
      <c r="AD19" s="2"/>
      <c r="AE19" s="2"/>
      <c r="AF19" s="2"/>
      <c r="AG19" s="2"/>
      <c r="AH19" s="2"/>
      <c r="AI19" s="2"/>
      <c r="AJ19" s="2"/>
      <c r="AK19" s="2"/>
      <c r="AL19" s="2"/>
      <c r="AM19" s="2"/>
      <c r="AN19" s="2"/>
      <c r="AO19" s="2"/>
      <c r="AP19" s="2"/>
      <c r="AQ19" s="98"/>
      <c r="AR19" s="2"/>
    </row>
    <row r="20" spans="1:44" ht="12.75" customHeight="1">
      <c r="A20" s="963" t="s">
        <v>517</v>
      </c>
      <c r="B20" s="61"/>
      <c r="C20" s="2031">
        <f>BYD!BG42</f>
        <v>46.363</v>
      </c>
      <c r="D20" s="104">
        <f>BYD!BB42</f>
        <v>44.761000000000003</v>
      </c>
      <c r="E20" s="1103"/>
      <c r="F20" s="374">
        <f>C20-D20</f>
        <v>1.6019999999999968</v>
      </c>
      <c r="G20" s="95">
        <f t="shared" si="6"/>
        <v>3.5790085118741599E-2</v>
      </c>
      <c r="H20" s="61"/>
      <c r="I20" s="1104">
        <v>45.755603900586536</v>
      </c>
      <c r="J20" s="1103"/>
      <c r="K20" s="374">
        <f>C20-I20</f>
        <v>0.60739609941346373</v>
      </c>
      <c r="L20" s="92">
        <f>IF(I20=0,"NM",C20/I20-1)</f>
        <v>1.3274791449221279E-2</v>
      </c>
      <c r="M20" s="1404"/>
      <c r="N20" s="1102">
        <v>40.14</v>
      </c>
      <c r="O20" s="1102"/>
      <c r="P20" s="374">
        <f t="shared" si="7"/>
        <v>6.222999999999999</v>
      </c>
      <c r="Q20" s="92">
        <f t="shared" si="8"/>
        <v>0.15503238664673646</v>
      </c>
      <c r="S20" s="1403"/>
      <c r="U20" s="126">
        <f>+C20/$C$23</f>
        <v>0.28053986512448298</v>
      </c>
      <c r="V20" s="2"/>
      <c r="W20" s="105">
        <f>+C20/C11</f>
        <v>0.36822625864711811</v>
      </c>
      <c r="X20" s="105"/>
      <c r="Y20" s="105"/>
      <c r="Z20" s="105"/>
      <c r="AA20" s="105">
        <f>+I20/I11</f>
        <v>0.36777761290940725</v>
      </c>
      <c r="AB20" s="105"/>
      <c r="AC20" s="2"/>
      <c r="AD20" s="2"/>
      <c r="AE20" s="2"/>
      <c r="AF20" s="2"/>
      <c r="AG20" s="2"/>
      <c r="AH20" s="2"/>
      <c r="AI20" s="2"/>
      <c r="AJ20" s="2"/>
      <c r="AK20" s="2"/>
      <c r="AL20" s="2"/>
      <c r="AM20" s="2"/>
      <c r="AN20" s="2"/>
      <c r="AO20" s="2"/>
      <c r="AP20" s="2"/>
      <c r="AQ20" s="98"/>
      <c r="AR20" s="2"/>
    </row>
    <row r="21" spans="1:44" ht="12.75" customHeight="1">
      <c r="A21" s="334" t="s">
        <v>273</v>
      </c>
      <c r="B21" s="61"/>
      <c r="C21" s="2031">
        <f>BYD!BG48</f>
        <v>18.362500000000001</v>
      </c>
      <c r="D21" s="104">
        <f>BYD!BB48</f>
        <v>11.823</v>
      </c>
      <c r="E21" s="1103"/>
      <c r="F21" s="374">
        <f>C21-D21</f>
        <v>6.5395000000000003</v>
      </c>
      <c r="G21" s="95">
        <f t="shared" si="6"/>
        <v>0.55311680622515436</v>
      </c>
      <c r="H21" s="61"/>
      <c r="I21" s="1104">
        <v>16.603576251906812</v>
      </c>
      <c r="J21" s="1103"/>
      <c r="K21" s="374">
        <f>C21-I21</f>
        <v>1.7589237480931885</v>
      </c>
      <c r="L21" s="92">
        <f>IF(I21=0,"NM",C21/I21-1)</f>
        <v>0.10593643931928143</v>
      </c>
      <c r="M21" s="1444"/>
      <c r="N21" s="1102">
        <v>14.56</v>
      </c>
      <c r="O21" s="1102"/>
      <c r="P21" s="374">
        <f t="shared" si="7"/>
        <v>3.8025000000000002</v>
      </c>
      <c r="Q21" s="92">
        <f t="shared" si="8"/>
        <v>0.26116071428571419</v>
      </c>
      <c r="S21" s="2369"/>
      <c r="U21" s="126">
        <f>+C21/$C$23</f>
        <v>0.11111043878412352</v>
      </c>
      <c r="V21" s="2"/>
      <c r="W21" s="105"/>
      <c r="X21" s="105"/>
      <c r="Y21" s="105"/>
      <c r="Z21" s="105"/>
      <c r="AA21" s="105"/>
      <c r="AB21" s="105"/>
      <c r="AC21" s="2"/>
      <c r="AD21" s="2"/>
      <c r="AE21" s="2"/>
      <c r="AF21" s="2"/>
      <c r="AG21" s="2"/>
      <c r="AH21" s="2"/>
      <c r="AI21" s="2"/>
      <c r="AJ21" s="2"/>
      <c r="AK21" s="2"/>
      <c r="AL21" s="2"/>
      <c r="AM21" s="2"/>
      <c r="AN21" s="2"/>
      <c r="AO21" s="2"/>
      <c r="AP21" s="2"/>
      <c r="AQ21" s="98"/>
      <c r="AR21" s="2"/>
    </row>
    <row r="22" spans="1:44" ht="12.75" customHeight="1">
      <c r="A22" s="2679" t="s">
        <v>899</v>
      </c>
      <c r="B22" s="61"/>
      <c r="C22" s="2031">
        <f>BYD!BG46</f>
        <v>0</v>
      </c>
      <c r="D22" s="104">
        <f>BYD!BB46</f>
        <v>-3.2</v>
      </c>
      <c r="E22" s="1103"/>
      <c r="F22" s="374"/>
      <c r="G22" s="95"/>
      <c r="H22" s="61"/>
      <c r="I22" s="1104">
        <v>0</v>
      </c>
      <c r="J22" s="1103"/>
      <c r="K22" s="374"/>
      <c r="L22" s="92"/>
      <c r="M22" s="1444"/>
      <c r="N22" s="1102"/>
      <c r="O22" s="1102"/>
      <c r="P22" s="374"/>
      <c r="Q22" s="92"/>
      <c r="S22" s="2369"/>
      <c r="U22" s="126"/>
      <c r="V22" s="2"/>
      <c r="W22" s="105"/>
      <c r="X22" s="105"/>
      <c r="Y22" s="105"/>
      <c r="Z22" s="105"/>
      <c r="AA22" s="105"/>
      <c r="AB22" s="105"/>
      <c r="AC22" s="2"/>
      <c r="AD22" s="2"/>
      <c r="AE22" s="2"/>
      <c r="AF22" s="2"/>
      <c r="AG22" s="2"/>
      <c r="AH22" s="2"/>
      <c r="AI22" s="2"/>
      <c r="AJ22" s="2"/>
      <c r="AK22" s="2"/>
      <c r="AL22" s="2"/>
      <c r="AM22" s="2"/>
      <c r="AN22" s="2"/>
      <c r="AO22" s="2"/>
      <c r="AP22" s="2"/>
      <c r="AQ22" s="98"/>
      <c r="AR22" s="2"/>
    </row>
    <row r="23" spans="1:44" ht="12.75" customHeight="1">
      <c r="A23" s="138" t="s">
        <v>819</v>
      </c>
      <c r="B23" s="1203"/>
      <c r="C23" s="2032">
        <f>SUM(C17:C22)</f>
        <v>165.26350000000002</v>
      </c>
      <c r="D23" s="1210">
        <f>SUM(D17:D21)</f>
        <v>150.01599999999999</v>
      </c>
      <c r="E23" s="1210"/>
      <c r="F23" s="1210">
        <f>SUM(F17:F22)</f>
        <v>15.247500000000004</v>
      </c>
      <c r="G23" s="1208">
        <f t="shared" si="6"/>
        <v>0.10163915848976135</v>
      </c>
      <c r="H23" s="1206"/>
      <c r="I23" s="1250">
        <v>158.49592221071924</v>
      </c>
      <c r="J23" s="1210"/>
      <c r="K23" s="1210">
        <f>SUM(K17:K21)</f>
        <v>6.7675777892807503</v>
      </c>
      <c r="L23" s="1211">
        <f>C23/I23-1</f>
        <v>4.26987501942373E-2</v>
      </c>
      <c r="M23" s="1444"/>
      <c r="N23" s="1349">
        <v>133.44999999999999</v>
      </c>
      <c r="O23" s="1205"/>
      <c r="P23" s="2368">
        <f t="shared" si="7"/>
        <v>31.813500000000033</v>
      </c>
      <c r="Q23" s="1211">
        <f t="shared" si="8"/>
        <v>0.23839265642562779</v>
      </c>
      <c r="U23" s="2"/>
      <c r="V23" s="2"/>
      <c r="W23" s="2"/>
      <c r="X23" s="2"/>
      <c r="Y23" s="2"/>
      <c r="Z23" s="2"/>
      <c r="AA23" s="2"/>
      <c r="AB23" s="2"/>
      <c r="AC23" s="2"/>
      <c r="AD23" s="2"/>
      <c r="AE23" s="2"/>
      <c r="AF23" s="2"/>
      <c r="AG23" s="2"/>
      <c r="AH23" s="2"/>
      <c r="AI23" s="2"/>
      <c r="AJ23" s="2"/>
      <c r="AK23" s="2"/>
      <c r="AL23" s="2"/>
      <c r="AM23" s="2"/>
      <c r="AN23" s="2"/>
      <c r="AO23" s="2"/>
      <c r="AP23" s="2"/>
      <c r="AQ23" s="98"/>
      <c r="AR23" s="2"/>
    </row>
    <row r="24" spans="1:44" ht="12.75" customHeight="1">
      <c r="A24" s="2" t="s">
        <v>742</v>
      </c>
      <c r="B24" s="2"/>
      <c r="C24" s="2031">
        <f>BYD!BG54</f>
        <v>-16.641999999999999</v>
      </c>
      <c r="D24" s="104">
        <f>BYD!BB54</f>
        <v>-14.170999999999999</v>
      </c>
      <c r="E24" s="1103"/>
      <c r="F24" s="374">
        <f>C24-D24</f>
        <v>-2.4710000000000001</v>
      </c>
      <c r="G24" s="126">
        <f t="shared" si="6"/>
        <v>0.17437019264695497</v>
      </c>
      <c r="H24" s="2"/>
      <c r="I24" s="1104">
        <v>-16.25</v>
      </c>
      <c r="J24" s="1103"/>
      <c r="K24" s="374">
        <f>C24-I24</f>
        <v>-0.39199999999999946</v>
      </c>
      <c r="L24" s="1204">
        <f>IF(I24=0,"NM",C24/I24-1)</f>
        <v>2.4123076923076914E-2</v>
      </c>
      <c r="N24" s="1336"/>
      <c r="O24" s="1336"/>
      <c r="P24" s="1336"/>
      <c r="Q24" s="1336"/>
      <c r="U24" s="2"/>
      <c r="V24" s="2"/>
      <c r="W24" s="2"/>
      <c r="X24" s="2"/>
      <c r="Y24" s="2"/>
      <c r="Z24" s="2"/>
      <c r="AA24" s="2"/>
      <c r="AB24" s="2"/>
      <c r="AC24" s="2"/>
      <c r="AD24" s="2"/>
      <c r="AE24" s="2"/>
      <c r="AF24" s="2"/>
      <c r="AG24" s="2"/>
      <c r="AH24" s="2"/>
      <c r="AI24" s="2"/>
      <c r="AJ24" s="2"/>
      <c r="AK24" s="2"/>
      <c r="AL24" s="2"/>
      <c r="AM24" s="2"/>
      <c r="AN24" s="2"/>
      <c r="AO24" s="2"/>
      <c r="AP24" s="2"/>
      <c r="AQ24" s="98"/>
      <c r="AR24" s="2"/>
    </row>
    <row r="25" spans="1:44" ht="12.75" customHeight="1">
      <c r="A25" s="138" t="s">
        <v>555</v>
      </c>
      <c r="B25" s="1203"/>
      <c r="C25" s="2032">
        <f>SUM(C23:C24)</f>
        <v>148.62150000000003</v>
      </c>
      <c r="D25" s="1210">
        <f>SUM(D23:D24)</f>
        <v>135.845</v>
      </c>
      <c r="E25" s="1210"/>
      <c r="F25" s="1210">
        <f>F23+F24</f>
        <v>12.776500000000004</v>
      </c>
      <c r="G25" s="1208">
        <f t="shared" si="6"/>
        <v>9.4052044609665542E-2</v>
      </c>
      <c r="H25" s="1210"/>
      <c r="I25" s="1250">
        <v>142.24592221071924</v>
      </c>
      <c r="J25" s="1210"/>
      <c r="K25" s="1210">
        <f>K23+K24</f>
        <v>6.3755777892807508</v>
      </c>
      <c r="L25" s="1254">
        <f>IF(I25=0,"NM",C25/I25-1)</f>
        <v>4.4820812366319851E-2</v>
      </c>
      <c r="M25" s="1442"/>
      <c r="N25" s="1349">
        <v>119.24</v>
      </c>
      <c r="O25" s="1349"/>
      <c r="P25" s="374">
        <f>C25-N25</f>
        <v>29.381500000000031</v>
      </c>
      <c r="Q25" s="92">
        <f>IF(N25=0,"NM",C25/N25-1)</f>
        <v>0.24640640724589091</v>
      </c>
      <c r="R25" s="1299"/>
      <c r="S25" s="2369"/>
      <c r="U25" s="105">
        <f>+C25/N25-1</f>
        <v>0.24640640724589091</v>
      </c>
      <c r="V25" s="2"/>
      <c r="W25" s="2"/>
      <c r="X25" s="2"/>
      <c r="Y25" s="2"/>
      <c r="Z25" s="2"/>
      <c r="AA25" s="2"/>
      <c r="AB25" s="2"/>
      <c r="AC25" s="2"/>
      <c r="AD25" s="2"/>
      <c r="AE25" s="2"/>
      <c r="AF25" s="2"/>
      <c r="AG25" s="2"/>
      <c r="AH25" s="2"/>
      <c r="AI25" s="2"/>
      <c r="AJ25" s="2"/>
      <c r="AK25" s="2"/>
      <c r="AL25" s="2"/>
      <c r="AM25" s="2"/>
      <c r="AN25" s="2"/>
      <c r="AO25" s="2"/>
      <c r="AP25" s="2"/>
      <c r="AQ25" s="98"/>
      <c r="AR25" s="2"/>
    </row>
    <row r="26" spans="1:44" ht="12.75" customHeight="1">
      <c r="A26" s="2253" t="s">
        <v>1486</v>
      </c>
      <c r="B26" s="2253"/>
      <c r="C26" s="2259">
        <f>+C25/C14</f>
        <v>0.26993722960234523</v>
      </c>
      <c r="D26" s="2253">
        <f>+D25/D14</f>
        <v>0.25106036944287863</v>
      </c>
      <c r="E26" s="2253"/>
      <c r="F26" s="2253"/>
      <c r="G26" s="213">
        <f>+C26-D26</f>
        <v>1.8876860159466602E-2</v>
      </c>
      <c r="H26" s="2253"/>
      <c r="I26" s="2260">
        <v>0.26176309352799049</v>
      </c>
      <c r="J26" s="2253"/>
      <c r="K26" s="2253"/>
      <c r="L26" s="213">
        <f>+C26-I26</f>
        <v>8.1741360743547431E-3</v>
      </c>
      <c r="M26" s="2254"/>
      <c r="N26" s="105">
        <f>C25/N25-1</f>
        <v>0.24640640724589091</v>
      </c>
      <c r="O26" s="2258"/>
      <c r="P26" s="2258"/>
      <c r="Q26" s="2258"/>
      <c r="R26" s="2255"/>
      <c r="S26" s="2256"/>
      <c r="T26" s="2257"/>
      <c r="U26" s="2258"/>
      <c r="V26" s="2258"/>
      <c r="W26" s="2258"/>
      <c r="X26" s="2258"/>
      <c r="Y26" s="2258"/>
      <c r="Z26" s="2258"/>
      <c r="AA26" s="2258"/>
      <c r="AB26" s="2258"/>
      <c r="AC26" s="2258"/>
      <c r="AD26" s="2258"/>
      <c r="AE26" s="2258"/>
      <c r="AF26" s="2258"/>
      <c r="AG26" s="2258"/>
      <c r="AH26" s="2258"/>
      <c r="AI26" s="2258"/>
      <c r="AJ26" s="2258"/>
      <c r="AK26" s="2258"/>
      <c r="AL26" s="2258"/>
      <c r="AM26" s="2258"/>
      <c r="AN26" s="2258"/>
      <c r="AO26" s="2258"/>
      <c r="AP26" s="2258"/>
      <c r="AQ26" s="2277"/>
      <c r="AR26" s="2258"/>
    </row>
    <row r="27" spans="1:44" ht="3.95" customHeight="1">
      <c r="A27" s="198"/>
      <c r="B27" s="77"/>
      <c r="C27" s="2245"/>
      <c r="D27" s="2239"/>
      <c r="E27" s="2239"/>
      <c r="F27" s="2239"/>
      <c r="G27" s="2246"/>
      <c r="H27" s="2239"/>
      <c r="I27" s="2247"/>
      <c r="J27" s="2239"/>
      <c r="K27" s="2239"/>
      <c r="L27" s="2246"/>
      <c r="M27" s="2248"/>
      <c r="N27" s="2249"/>
      <c r="O27" s="2249"/>
      <c r="P27" s="2249"/>
      <c r="Q27" s="2249"/>
      <c r="R27" s="2250"/>
      <c r="S27" s="2251"/>
      <c r="T27" s="2252"/>
      <c r="U27" s="1062"/>
      <c r="V27" s="1062"/>
      <c r="W27" s="1062"/>
      <c r="X27" s="1062"/>
      <c r="Y27" s="1062"/>
      <c r="Z27" s="1062"/>
      <c r="AA27" s="1062"/>
      <c r="AB27" s="1062"/>
      <c r="AC27" s="1062"/>
      <c r="AD27" s="1062"/>
      <c r="AE27" s="1062"/>
      <c r="AF27" s="1062"/>
      <c r="AG27" s="1062"/>
      <c r="AH27" s="1062"/>
      <c r="AI27" s="1062"/>
      <c r="AJ27" s="1062"/>
      <c r="AK27" s="1062"/>
      <c r="AL27" s="1062"/>
      <c r="AM27" s="1062"/>
      <c r="AN27" s="1062"/>
      <c r="AO27" s="1062"/>
      <c r="AP27" s="1062"/>
      <c r="AQ27" s="1092"/>
      <c r="AR27" s="1062"/>
    </row>
    <row r="28" spans="1:44" ht="12.75" customHeight="1">
      <c r="A28" s="439" t="s">
        <v>1745</v>
      </c>
      <c r="B28" s="2"/>
      <c r="C28" s="2036">
        <f>BYD!BG65</f>
        <v>3.4409999999999998</v>
      </c>
      <c r="D28" s="374">
        <f>BYD!BB65</f>
        <v>6.5</v>
      </c>
      <c r="E28" s="1103"/>
      <c r="F28" s="374">
        <f>C28-D28</f>
        <v>-3.0590000000000002</v>
      </c>
      <c r="G28" s="126">
        <f>IF(D28=0,0,C28/D28-1)</f>
        <v>-0.47061538461538466</v>
      </c>
      <c r="H28" s="2"/>
      <c r="I28" s="432">
        <v>3</v>
      </c>
      <c r="J28" s="1103"/>
      <c r="K28" s="374">
        <f>C28-I28</f>
        <v>0.44099999999999984</v>
      </c>
      <c r="L28" s="1204">
        <f>IF(I28=0,"NM",C28/I28-1)</f>
        <v>0.14700000000000002</v>
      </c>
      <c r="M28" s="1646"/>
      <c r="N28" s="2"/>
      <c r="O28" s="2"/>
      <c r="P28" s="2"/>
      <c r="Q28" s="2"/>
      <c r="U28" s="2"/>
      <c r="V28" s="2"/>
      <c r="W28" s="2"/>
      <c r="X28" s="2"/>
      <c r="Y28" s="2"/>
      <c r="Z28" s="2"/>
      <c r="AA28" s="2"/>
      <c r="AB28" s="2"/>
      <c r="AC28" s="2"/>
      <c r="AD28" s="2"/>
      <c r="AE28" s="2"/>
      <c r="AF28" s="2"/>
      <c r="AG28" s="2"/>
      <c r="AH28" s="2"/>
      <c r="AI28" s="2"/>
      <c r="AJ28" s="2"/>
      <c r="AK28" s="2"/>
      <c r="AL28" s="2"/>
      <c r="AM28" s="2"/>
      <c r="AN28" s="2"/>
      <c r="AO28" s="2"/>
      <c r="AP28" s="2"/>
      <c r="AQ28" s="98"/>
      <c r="AR28" s="2"/>
    </row>
    <row r="29" spans="1:44" ht="12.75" customHeight="1">
      <c r="A29" s="439" t="s">
        <v>201</v>
      </c>
      <c r="B29" s="2"/>
      <c r="C29" s="2036">
        <f>BYD!BG66</f>
        <v>0.85699999999999998</v>
      </c>
      <c r="D29" s="374">
        <f>BYD!BB66</f>
        <v>0.9</v>
      </c>
      <c r="E29" s="1103"/>
      <c r="F29" s="374">
        <f>C29-D29</f>
        <v>-4.3000000000000038E-2</v>
      </c>
      <c r="G29" s="126">
        <f>IF(D29=0,0,C29/D29-1)</f>
        <v>-4.7777777777777808E-2</v>
      </c>
      <c r="H29" s="2"/>
      <c r="I29" s="432">
        <v>0.90175000000000005</v>
      </c>
      <c r="J29" s="1103"/>
      <c r="K29" s="374">
        <f>C29-I29</f>
        <v>-4.4750000000000068E-2</v>
      </c>
      <c r="L29" s="1204">
        <f>IF(I29=0,"NM",C29/I29-1)</f>
        <v>-4.962572775159424E-2</v>
      </c>
      <c r="M29" s="1102"/>
      <c r="N29" s="1102"/>
      <c r="O29" s="1102"/>
      <c r="P29" s="1102"/>
      <c r="Q29" s="1102"/>
      <c r="U29" s="2"/>
      <c r="V29" s="2"/>
      <c r="W29" s="2"/>
      <c r="X29" s="2"/>
      <c r="Y29" s="2"/>
      <c r="Z29" s="2"/>
      <c r="AA29" s="2"/>
      <c r="AB29" s="2"/>
      <c r="AC29" s="2"/>
      <c r="AD29" s="2"/>
      <c r="AE29" s="2"/>
      <c r="AF29" s="2"/>
      <c r="AG29" s="2"/>
      <c r="AH29" s="2"/>
      <c r="AI29" s="2"/>
      <c r="AJ29" s="2"/>
      <c r="AK29" s="2"/>
      <c r="AL29" s="2"/>
      <c r="AM29" s="2"/>
      <c r="AN29" s="2"/>
      <c r="AO29" s="2"/>
      <c r="AP29" s="2"/>
      <c r="AQ29" s="98"/>
      <c r="AR29" s="2"/>
    </row>
    <row r="30" spans="1:44" ht="12.75" customHeight="1">
      <c r="A30" s="1693" t="s">
        <v>202</v>
      </c>
      <c r="B30" s="2"/>
      <c r="C30" s="2036">
        <f>BYD!BG67</f>
        <v>51.942</v>
      </c>
      <c r="D30" s="374">
        <f>BYD!BB67</f>
        <v>52.3</v>
      </c>
      <c r="E30" s="1103"/>
      <c r="F30" s="374">
        <f>C30-D30</f>
        <v>-0.35799999999999699</v>
      </c>
      <c r="G30" s="126">
        <f>IF(D30=0,0,C30/D30-1)</f>
        <v>-6.8451242829827841E-3</v>
      </c>
      <c r="H30" s="2"/>
      <c r="I30" s="432">
        <v>52.5</v>
      </c>
      <c r="J30" s="1103"/>
      <c r="K30" s="374">
        <f>C30-I30</f>
        <v>-0.55799999999999983</v>
      </c>
      <c r="L30" s="1204">
        <f>IF(I30=0,"NM",C30/I30-1)</f>
        <v>-1.0628571428571432E-2</v>
      </c>
      <c r="M30" s="1102"/>
      <c r="N30" s="1102"/>
      <c r="O30" s="1102"/>
      <c r="P30" s="1102"/>
      <c r="Q30" s="1102"/>
      <c r="U30" s="2"/>
      <c r="V30" s="2"/>
      <c r="W30" s="2"/>
      <c r="X30" s="2"/>
      <c r="Y30" s="2"/>
      <c r="Z30" s="2"/>
      <c r="AA30" s="2"/>
      <c r="AB30" s="2"/>
      <c r="AC30" s="2"/>
      <c r="AD30" s="2"/>
      <c r="AE30" s="2"/>
      <c r="AF30" s="2"/>
      <c r="AG30" s="2"/>
      <c r="AH30" s="2"/>
      <c r="AI30" s="2"/>
      <c r="AJ30" s="2"/>
      <c r="AK30" s="2"/>
      <c r="AL30" s="2"/>
      <c r="AM30" s="2"/>
      <c r="AN30" s="2"/>
      <c r="AO30" s="2"/>
      <c r="AP30" s="2"/>
      <c r="AQ30" s="98"/>
      <c r="AR30" s="2"/>
    </row>
    <row r="31" spans="1:44" ht="4.5" customHeight="1">
      <c r="A31" s="964"/>
      <c r="B31" s="2"/>
      <c r="C31" s="2037" t="s">
        <v>343</v>
      </c>
      <c r="D31" s="452" t="s">
        <v>343</v>
      </c>
      <c r="E31" s="96" t="s">
        <v>343</v>
      </c>
      <c r="F31" s="452" t="s">
        <v>343</v>
      </c>
      <c r="G31" s="1251" t="s">
        <v>343</v>
      </c>
      <c r="H31" s="2" t="s">
        <v>343</v>
      </c>
      <c r="I31" s="2223" t="s">
        <v>343</v>
      </c>
      <c r="J31" s="96" t="s">
        <v>343</v>
      </c>
      <c r="K31" s="452" t="s">
        <v>343</v>
      </c>
      <c r="L31" s="1252" t="s">
        <v>343</v>
      </c>
      <c r="M31" s="1102"/>
      <c r="N31" s="1102"/>
      <c r="O31" s="1102"/>
      <c r="P31" s="1102"/>
      <c r="Q31" s="1102"/>
      <c r="U31" s="2"/>
      <c r="V31" s="2"/>
      <c r="W31" s="2"/>
      <c r="X31" s="2"/>
      <c r="Y31" s="2"/>
      <c r="Z31" s="2"/>
      <c r="AA31" s="2"/>
      <c r="AB31" s="2"/>
      <c r="AC31" s="2"/>
      <c r="AD31" s="2"/>
      <c r="AE31" s="2"/>
      <c r="AF31" s="2"/>
      <c r="AG31" s="2"/>
      <c r="AH31" s="2"/>
      <c r="AI31" s="2"/>
      <c r="AJ31" s="2"/>
      <c r="AK31" s="2"/>
      <c r="AL31" s="2"/>
      <c r="AM31" s="2"/>
      <c r="AN31" s="2"/>
      <c r="AO31" s="2"/>
      <c r="AP31" s="2"/>
      <c r="AQ31" s="98"/>
      <c r="AR31" s="2"/>
    </row>
    <row r="32" spans="1:44" ht="12.75" customHeight="1">
      <c r="A32" s="1" t="s">
        <v>744</v>
      </c>
      <c r="B32" s="2"/>
      <c r="C32" s="2235">
        <f>C25-C28-C29-C30</f>
        <v>92.381500000000017</v>
      </c>
      <c r="D32" s="2236">
        <f>D25-D28-D29-D30</f>
        <v>76.144999999999996</v>
      </c>
      <c r="E32" s="325"/>
      <c r="F32" s="2236">
        <f>F25-F28-F29-F30</f>
        <v>16.236499999999999</v>
      </c>
      <c r="G32" s="106">
        <f>IF(D32=0,0,C32/D32-1)</f>
        <v>0.21323133495305036</v>
      </c>
      <c r="H32" s="1205"/>
      <c r="I32" s="2237">
        <v>85.84417221071925</v>
      </c>
      <c r="J32" s="932"/>
      <c r="K32" s="2236">
        <f>C32-I32</f>
        <v>6.5373277892807664</v>
      </c>
      <c r="L32" s="1214">
        <f>C32/I32-1</f>
        <v>7.6153425688977094E-2</v>
      </c>
      <c r="N32" s="2"/>
      <c r="O32" s="2"/>
      <c r="P32" s="2"/>
      <c r="Q32" s="2"/>
      <c r="U32" s="1336"/>
      <c r="V32" s="2"/>
      <c r="W32" s="2"/>
      <c r="X32" s="2"/>
      <c r="Y32" s="2"/>
      <c r="Z32" s="2"/>
      <c r="AA32" s="2"/>
      <c r="AB32" s="2"/>
      <c r="AC32" s="2"/>
      <c r="AD32" s="2"/>
      <c r="AE32" s="2"/>
      <c r="AF32" s="2"/>
      <c r="AG32" s="2"/>
      <c r="AH32" s="2"/>
      <c r="AI32" s="2"/>
      <c r="AJ32" s="2"/>
      <c r="AK32" s="2"/>
      <c r="AL32" s="2"/>
      <c r="AM32" s="2"/>
      <c r="AN32" s="2"/>
      <c r="AO32" s="2"/>
      <c r="AP32" s="2"/>
      <c r="AQ32" s="98"/>
      <c r="AR32" s="2"/>
    </row>
    <row r="33" spans="1:44" ht="12.75" customHeight="1">
      <c r="A33" s="445" t="s">
        <v>1176</v>
      </c>
      <c r="B33" s="2"/>
      <c r="C33" s="2036">
        <f>BYD!BG73</f>
        <v>-56.463999999999999</v>
      </c>
      <c r="D33" s="374">
        <f>BYD!BB73</f>
        <v>-57.3</v>
      </c>
      <c r="E33" s="932"/>
      <c r="F33" s="374">
        <f>C33-D33</f>
        <v>0.83599999999999852</v>
      </c>
      <c r="G33" s="126">
        <f>IF(D33=0,0,C33/D33-1)</f>
        <v>-1.4589877835951115E-2</v>
      </c>
      <c r="H33" s="1205"/>
      <c r="I33" s="432">
        <v>-56.143711250000003</v>
      </c>
      <c r="J33" s="932"/>
      <c r="K33" s="374">
        <f>C33-I33</f>
        <v>-0.32028874999999601</v>
      </c>
      <c r="L33" s="1204">
        <f>IF(I33=0,"NM",C33/I33-1)</f>
        <v>5.7048018890983876E-3</v>
      </c>
      <c r="N33" s="2"/>
      <c r="O33" s="2"/>
      <c r="P33" s="2"/>
      <c r="Q33" s="2"/>
      <c r="U33" s="2"/>
      <c r="V33" s="2"/>
      <c r="W33" s="2"/>
      <c r="X33" s="2"/>
      <c r="Y33" s="2"/>
      <c r="Z33" s="2"/>
      <c r="AA33" s="2"/>
      <c r="AB33" s="2"/>
      <c r="AC33" s="2"/>
      <c r="AD33" s="2"/>
      <c r="AE33" s="2"/>
      <c r="AF33" s="2"/>
      <c r="AG33" s="2"/>
      <c r="AH33" s="2"/>
      <c r="AI33" s="2"/>
      <c r="AJ33" s="2"/>
      <c r="AK33" s="2"/>
      <c r="AL33" s="2"/>
      <c r="AM33" s="2"/>
      <c r="AN33" s="2"/>
      <c r="AO33" s="2"/>
      <c r="AP33" s="2"/>
      <c r="AQ33" s="98"/>
      <c r="AR33" s="2"/>
    </row>
    <row r="34" spans="1:44" ht="12.75" customHeight="1">
      <c r="A34" s="445" t="s">
        <v>203</v>
      </c>
      <c r="B34" s="2"/>
      <c r="C34" s="2036">
        <f>BYD!BG74</f>
        <v>0</v>
      </c>
      <c r="D34" s="374">
        <f>BYD!BB74</f>
        <v>0</v>
      </c>
      <c r="E34" s="932"/>
      <c r="F34" s="374">
        <f>C34-D34</f>
        <v>0</v>
      </c>
      <c r="G34" s="126">
        <f>IF(D34=0,0,C34/D34-1)</f>
        <v>0</v>
      </c>
      <c r="H34" s="1205"/>
      <c r="I34" s="432">
        <v>0</v>
      </c>
      <c r="J34" s="932"/>
      <c r="K34" s="374">
        <f>C34-I34</f>
        <v>0</v>
      </c>
      <c r="L34" s="1204" t="str">
        <f>IF(I34=0,"NM",C34/I34-1)</f>
        <v>NM</v>
      </c>
      <c r="N34" s="2"/>
      <c r="O34" s="2"/>
      <c r="P34" s="2"/>
      <c r="Q34" s="2"/>
      <c r="U34" s="2"/>
      <c r="V34" s="2"/>
      <c r="W34" s="2"/>
      <c r="X34" s="2"/>
      <c r="Y34" s="2"/>
      <c r="Z34" s="2"/>
      <c r="AA34" s="2"/>
      <c r="AB34" s="2"/>
      <c r="AC34" s="2"/>
      <c r="AD34" s="2"/>
      <c r="AE34" s="2"/>
      <c r="AF34" s="2"/>
      <c r="AG34" s="2"/>
      <c r="AH34" s="2"/>
      <c r="AI34" s="2"/>
      <c r="AJ34" s="2"/>
      <c r="AK34" s="2"/>
      <c r="AL34" s="2"/>
      <c r="AM34" s="2"/>
      <c r="AN34" s="2"/>
      <c r="AO34" s="2"/>
      <c r="AP34" s="2"/>
      <c r="AQ34" s="98"/>
      <c r="AR34" s="2"/>
    </row>
    <row r="35" spans="1:44" ht="12.75" customHeight="1">
      <c r="A35" s="445" t="s">
        <v>814</v>
      </c>
      <c r="B35" s="2"/>
      <c r="C35" s="2036">
        <f>BYD!BG78</f>
        <v>-3.262</v>
      </c>
      <c r="D35" s="374">
        <f>BYD!BB78</f>
        <v>-2.7000000000000011</v>
      </c>
      <c r="E35" s="1103"/>
      <c r="F35" s="374">
        <f>C35-D35</f>
        <v>-0.56199999999999894</v>
      </c>
      <c r="G35" s="126">
        <f>IF(D35=0,0,C35/D35-1)</f>
        <v>0.20814814814814775</v>
      </c>
      <c r="H35" s="2"/>
      <c r="I35" s="432">
        <v>-5</v>
      </c>
      <c r="J35" s="1103"/>
      <c r="K35" s="374">
        <f>C35-I35</f>
        <v>1.738</v>
      </c>
      <c r="L35" s="1204">
        <f>IF(I35=0,"NM",C35/I35-1)</f>
        <v>-0.34760000000000002</v>
      </c>
      <c r="N35" s="2"/>
      <c r="O35" s="2"/>
      <c r="P35" s="2"/>
      <c r="Q35" s="2"/>
      <c r="U35" s="2"/>
      <c r="V35" s="2"/>
      <c r="W35" s="2"/>
      <c r="X35" s="2"/>
      <c r="Y35" s="2"/>
      <c r="Z35" s="2"/>
      <c r="AA35" s="2"/>
      <c r="AB35" s="2"/>
      <c r="AC35" s="2"/>
      <c r="AD35" s="2"/>
      <c r="AE35" s="2"/>
      <c r="AF35" s="2"/>
      <c r="AG35" s="2"/>
      <c r="AH35" s="2"/>
      <c r="AI35" s="2"/>
      <c r="AJ35" s="2"/>
      <c r="AK35" s="2"/>
      <c r="AL35" s="2"/>
      <c r="AM35" s="2"/>
      <c r="AN35" s="2"/>
      <c r="AO35" s="2"/>
      <c r="AP35" s="2"/>
      <c r="AQ35" s="98"/>
      <c r="AR35" s="2"/>
    </row>
    <row r="36" spans="1:44" ht="4.5" customHeight="1">
      <c r="A36" s="964"/>
      <c r="B36" s="2"/>
      <c r="C36" s="2037" t="s">
        <v>343</v>
      </c>
      <c r="D36" s="452" t="s">
        <v>343</v>
      </c>
      <c r="E36" s="96" t="s">
        <v>343</v>
      </c>
      <c r="F36" s="452" t="s">
        <v>343</v>
      </c>
      <c r="G36" s="1251" t="s">
        <v>343</v>
      </c>
      <c r="H36" s="2" t="s">
        <v>343</v>
      </c>
      <c r="I36" s="2223" t="s">
        <v>343</v>
      </c>
      <c r="J36" s="96" t="s">
        <v>343</v>
      </c>
      <c r="K36" s="452" t="s">
        <v>343</v>
      </c>
      <c r="L36" s="1252" t="s">
        <v>343</v>
      </c>
      <c r="M36" s="1102"/>
      <c r="N36" s="1102"/>
      <c r="O36" s="1102"/>
      <c r="P36" s="1102"/>
      <c r="Q36" s="1102"/>
      <c r="U36" s="2"/>
      <c r="V36" s="2"/>
      <c r="W36" s="2"/>
      <c r="X36" s="2"/>
      <c r="Y36" s="2"/>
      <c r="Z36" s="2"/>
      <c r="AA36" s="2"/>
      <c r="AB36" s="2"/>
      <c r="AC36" s="2"/>
      <c r="AD36" s="2"/>
      <c r="AE36" s="2"/>
      <c r="AF36" s="2"/>
      <c r="AG36" s="2"/>
      <c r="AH36" s="2"/>
      <c r="AI36" s="2"/>
      <c r="AJ36" s="2"/>
      <c r="AK36" s="2"/>
      <c r="AL36" s="2"/>
      <c r="AM36" s="2"/>
      <c r="AN36" s="2"/>
      <c r="AO36" s="2"/>
      <c r="AP36" s="2"/>
      <c r="AQ36" s="98"/>
      <c r="AR36" s="2"/>
    </row>
    <row r="37" spans="1:44" ht="12.75" customHeight="1">
      <c r="A37" s="1" t="s">
        <v>745</v>
      </c>
      <c r="B37" s="2"/>
      <c r="C37" s="2240">
        <f>SUM(C32:C35)</f>
        <v>32.655500000000018</v>
      </c>
      <c r="D37" s="2239">
        <f>SUM(D32:D35)</f>
        <v>16.144999999999996</v>
      </c>
      <c r="E37" s="932"/>
      <c r="F37" s="2236">
        <f>C37-D37</f>
        <v>16.510500000000022</v>
      </c>
      <c r="G37" s="106">
        <f>IF(D37=0,0,C37/D37-1)</f>
        <v>1.0226385877980815</v>
      </c>
      <c r="H37" s="1205"/>
      <c r="I37" s="2238">
        <v>24.700460960719248</v>
      </c>
      <c r="J37" s="932"/>
      <c r="K37" s="2236">
        <f>C37-I37</f>
        <v>7.9550390392807699</v>
      </c>
      <c r="L37" s="1214">
        <f>C37/I37-1</f>
        <v>0.32206034745390144</v>
      </c>
      <c r="N37" s="2"/>
      <c r="O37" s="2"/>
      <c r="P37" s="2"/>
      <c r="Q37" s="2"/>
      <c r="U37" s="2"/>
      <c r="V37" s="2"/>
      <c r="W37" s="2"/>
      <c r="X37" s="2"/>
      <c r="Y37" s="2"/>
      <c r="Z37" s="2"/>
      <c r="AA37" s="2"/>
      <c r="AB37" s="2"/>
      <c r="AC37" s="2"/>
      <c r="AD37" s="2"/>
      <c r="AE37" s="2"/>
      <c r="AF37" s="2"/>
      <c r="AG37" s="2"/>
      <c r="AH37" s="2"/>
      <c r="AI37" s="2"/>
      <c r="AJ37" s="2"/>
      <c r="AK37" s="2"/>
      <c r="AL37" s="2"/>
      <c r="AM37" s="2"/>
      <c r="AN37" s="2"/>
      <c r="AO37" s="2"/>
      <c r="AP37" s="2"/>
      <c r="AQ37" s="98"/>
      <c r="AR37" s="2"/>
    </row>
    <row r="38" spans="1:44" ht="12.75" customHeight="1">
      <c r="A38" s="445" t="s">
        <v>205</v>
      </c>
      <c r="B38" s="2"/>
      <c r="C38" s="2036">
        <f>BYD!BG81</f>
        <v>16.795999999999999</v>
      </c>
      <c r="D38" s="374">
        <f>BYD!BB81</f>
        <v>-5.4</v>
      </c>
      <c r="E38" s="1103"/>
      <c r="F38" s="374">
        <f>C38-D38</f>
        <v>22.195999999999998</v>
      </c>
      <c r="G38" s="126">
        <f>IF(D38=0,0,C38/D38-1)</f>
        <v>-4.1103703703703705</v>
      </c>
      <c r="H38" s="2"/>
      <c r="I38" s="432">
        <v>-3.1263576309678816</v>
      </c>
      <c r="J38" s="1103"/>
      <c r="K38" s="374">
        <f>C38-I38</f>
        <v>19.92235763096788</v>
      </c>
      <c r="L38" s="1204">
        <f>IF(I38=0,"NM",C38/I38-1)</f>
        <v>-6.3723860103618941</v>
      </c>
      <c r="N38" s="2"/>
      <c r="O38" s="2"/>
      <c r="P38" s="2"/>
      <c r="Q38" s="2"/>
      <c r="U38" s="2"/>
      <c r="V38" s="2"/>
      <c r="W38" s="2"/>
      <c r="X38" s="2"/>
      <c r="Y38" s="2"/>
      <c r="Z38" s="2"/>
      <c r="AA38" s="2"/>
      <c r="AB38" s="2"/>
      <c r="AC38" s="2"/>
      <c r="AD38" s="2"/>
      <c r="AE38" s="2"/>
      <c r="AF38" s="2"/>
      <c r="AG38" s="2"/>
      <c r="AH38" s="2"/>
      <c r="AI38" s="2"/>
      <c r="AJ38" s="2"/>
      <c r="AK38" s="2"/>
      <c r="AL38" s="2"/>
      <c r="AM38" s="2"/>
      <c r="AN38" s="2"/>
      <c r="AO38" s="2"/>
      <c r="AP38" s="2"/>
      <c r="AQ38" s="98"/>
      <c r="AR38" s="2"/>
    </row>
    <row r="39" spans="1:44" ht="4.5" customHeight="1">
      <c r="A39" s="964"/>
      <c r="B39" s="2"/>
      <c r="C39" s="2037" t="s">
        <v>343</v>
      </c>
      <c r="D39" s="452" t="s">
        <v>343</v>
      </c>
      <c r="E39" s="96" t="s">
        <v>343</v>
      </c>
      <c r="F39" s="452" t="s">
        <v>343</v>
      </c>
      <c r="G39" s="1251" t="s">
        <v>343</v>
      </c>
      <c r="H39" s="2" t="s">
        <v>343</v>
      </c>
      <c r="I39" s="2223" t="s">
        <v>343</v>
      </c>
      <c r="J39" s="96" t="s">
        <v>343</v>
      </c>
      <c r="K39" s="452" t="s">
        <v>343</v>
      </c>
      <c r="L39" s="1252" t="s">
        <v>343</v>
      </c>
      <c r="M39" s="1102"/>
      <c r="N39" s="1102"/>
      <c r="O39" s="1102"/>
      <c r="P39" s="1102"/>
      <c r="Q39" s="1102"/>
      <c r="U39" s="2"/>
      <c r="V39" s="2"/>
      <c r="W39" s="2"/>
      <c r="X39" s="2"/>
      <c r="Y39" s="2"/>
      <c r="Z39" s="2"/>
      <c r="AA39" s="2"/>
      <c r="AB39" s="2"/>
      <c r="AC39" s="2"/>
      <c r="AD39" s="2"/>
      <c r="AE39" s="2"/>
      <c r="AF39" s="2"/>
      <c r="AG39" s="2"/>
      <c r="AH39" s="2"/>
      <c r="AI39" s="2"/>
      <c r="AJ39" s="2"/>
      <c r="AK39" s="2"/>
      <c r="AL39" s="2"/>
      <c r="AM39" s="2"/>
      <c r="AN39" s="2"/>
      <c r="AO39" s="2"/>
      <c r="AP39" s="2"/>
      <c r="AQ39" s="98"/>
      <c r="AR39" s="2"/>
    </row>
    <row r="40" spans="1:44" ht="12.75" customHeight="1">
      <c r="A40" s="107" t="s">
        <v>1243</v>
      </c>
      <c r="B40" s="61"/>
      <c r="C40" s="2240">
        <f>C37+C38</f>
        <v>49.451500000000017</v>
      </c>
      <c r="D40" s="2239">
        <f>D37+D38</f>
        <v>10.744999999999996</v>
      </c>
      <c r="E40" s="932"/>
      <c r="F40" s="2236">
        <f>F37+F38</f>
        <v>38.70650000000002</v>
      </c>
      <c r="G40" s="1215">
        <f>G37+G38</f>
        <v>-3.087731782572289</v>
      </c>
      <c r="H40" s="932"/>
      <c r="I40" s="2238">
        <v>21.574103329751367</v>
      </c>
      <c r="J40" s="932"/>
      <c r="K40" s="2236">
        <f>K37+K38</f>
        <v>27.87739667024865</v>
      </c>
      <c r="L40" s="1215">
        <f>L37+L38</f>
        <v>-6.0503256629079925</v>
      </c>
      <c r="M40" s="1238"/>
      <c r="N40" s="61"/>
      <c r="O40" s="61"/>
      <c r="P40" s="61"/>
      <c r="Q40" s="61"/>
      <c r="U40" s="1336"/>
      <c r="V40" s="2"/>
      <c r="W40" s="2"/>
      <c r="X40" s="2"/>
      <c r="Y40" s="2"/>
      <c r="Z40" s="2"/>
      <c r="AA40" s="2"/>
      <c r="AB40" s="2"/>
      <c r="AC40" s="2"/>
      <c r="AD40" s="2"/>
      <c r="AE40" s="2"/>
      <c r="AF40" s="2"/>
      <c r="AG40" s="2"/>
      <c r="AH40" s="2"/>
      <c r="AI40" s="2"/>
      <c r="AJ40" s="2"/>
      <c r="AK40" s="2"/>
      <c r="AL40" s="2"/>
      <c r="AM40" s="2"/>
      <c r="AN40" s="2"/>
      <c r="AO40" s="2"/>
      <c r="AP40" s="2"/>
      <c r="AQ40" s="98"/>
      <c r="AR40" s="2"/>
    </row>
    <row r="41" spans="1:44" ht="12.75" customHeight="1">
      <c r="A41" s="445" t="s">
        <v>130</v>
      </c>
      <c r="B41" s="2"/>
      <c r="C41" s="2036">
        <f>BYD!BG85</f>
        <v>0</v>
      </c>
      <c r="D41" s="374">
        <f>BYD!BB85</f>
        <v>0</v>
      </c>
      <c r="E41" s="1103"/>
      <c r="F41" s="374">
        <f>C41-D41</f>
        <v>0</v>
      </c>
      <c r="G41" s="126">
        <f>IF(D41=0,0,C41/D41-1)</f>
        <v>0</v>
      </c>
      <c r="H41" s="2"/>
      <c r="I41" s="432">
        <v>0</v>
      </c>
      <c r="J41" s="1103"/>
      <c r="K41" s="374">
        <f>C41-I41</f>
        <v>0</v>
      </c>
      <c r="L41" s="1204" t="str">
        <f>IF(I41=0,"NM",C41/I41-1)</f>
        <v>NM</v>
      </c>
      <c r="N41" s="2"/>
      <c r="O41" s="2"/>
      <c r="P41" s="2"/>
      <c r="Q41" s="2"/>
      <c r="U41" s="2"/>
      <c r="V41" s="2"/>
      <c r="W41" s="2"/>
      <c r="X41" s="2"/>
      <c r="Y41" s="2"/>
      <c r="Z41" s="2"/>
      <c r="AA41" s="2"/>
      <c r="AB41" s="2"/>
      <c r="AC41" s="2"/>
      <c r="AD41" s="2"/>
      <c r="AE41" s="2"/>
      <c r="AF41" s="2"/>
      <c r="AG41" s="2"/>
      <c r="AH41" s="2"/>
      <c r="AI41" s="2"/>
      <c r="AJ41" s="2"/>
      <c r="AK41" s="2"/>
      <c r="AL41" s="2"/>
      <c r="AM41" s="2"/>
      <c r="AN41" s="2"/>
      <c r="AO41" s="2"/>
      <c r="AP41" s="2"/>
      <c r="AQ41" s="98"/>
      <c r="AR41" s="2"/>
    </row>
    <row r="42" spans="1:44" ht="4.5" customHeight="1">
      <c r="A42" s="964"/>
      <c r="B42" s="2"/>
      <c r="C42" s="2037" t="s">
        <v>343</v>
      </c>
      <c r="D42" s="452" t="s">
        <v>343</v>
      </c>
      <c r="E42" s="96" t="s">
        <v>343</v>
      </c>
      <c r="F42" s="452" t="s">
        <v>343</v>
      </c>
      <c r="G42" s="1251" t="s">
        <v>343</v>
      </c>
      <c r="H42" s="2" t="s">
        <v>343</v>
      </c>
      <c r="I42" s="2223" t="s">
        <v>343</v>
      </c>
      <c r="J42" s="96" t="s">
        <v>343</v>
      </c>
      <c r="K42" s="452" t="s">
        <v>343</v>
      </c>
      <c r="L42" s="1252" t="s">
        <v>343</v>
      </c>
      <c r="M42" s="1102"/>
      <c r="N42" s="1102"/>
      <c r="O42" s="1102"/>
      <c r="P42" s="1102"/>
      <c r="Q42" s="1102"/>
      <c r="U42" s="2"/>
      <c r="V42" s="2"/>
      <c r="W42" s="2"/>
      <c r="X42" s="2"/>
      <c r="Y42" s="2"/>
      <c r="Z42" s="2"/>
      <c r="AA42" s="2"/>
      <c r="AB42" s="2"/>
      <c r="AC42" s="2"/>
      <c r="AD42" s="2"/>
      <c r="AE42" s="2"/>
      <c r="AF42" s="2"/>
      <c r="AG42" s="2"/>
      <c r="AH42" s="2"/>
      <c r="AI42" s="2"/>
      <c r="AJ42" s="2"/>
      <c r="AK42" s="2"/>
      <c r="AL42" s="2"/>
      <c r="AM42" s="2"/>
      <c r="AN42" s="2"/>
      <c r="AO42" s="2"/>
      <c r="AP42" s="2"/>
      <c r="AQ42" s="98"/>
      <c r="AR42" s="2"/>
    </row>
    <row r="43" spans="1:44" ht="12.75" customHeight="1">
      <c r="A43" s="107" t="s">
        <v>1540</v>
      </c>
      <c r="B43" s="2"/>
      <c r="C43" s="2240">
        <f>C40+C41</f>
        <v>49.451500000000017</v>
      </c>
      <c r="D43" s="2239">
        <f>D40+D41</f>
        <v>10.744999999999996</v>
      </c>
      <c r="E43" s="932"/>
      <c r="F43" s="2236">
        <f>F40+F41</f>
        <v>38.70650000000002</v>
      </c>
      <c r="G43" s="1215">
        <f>G40+G41</f>
        <v>-3.087731782572289</v>
      </c>
      <c r="H43" s="932"/>
      <c r="I43" s="2238">
        <v>21.574103329751367</v>
      </c>
      <c r="J43" s="932"/>
      <c r="K43" s="2236">
        <f>K40+K41</f>
        <v>27.87739667024865</v>
      </c>
      <c r="L43" s="1215"/>
      <c r="N43" s="2"/>
      <c r="O43" s="2"/>
      <c r="P43" s="2"/>
      <c r="Q43" s="2"/>
      <c r="U43" s="105"/>
      <c r="V43" s="2"/>
      <c r="W43" s="2"/>
      <c r="X43" s="2"/>
      <c r="Y43" s="2"/>
      <c r="Z43" s="2"/>
      <c r="AA43" s="2"/>
      <c r="AB43" s="2"/>
      <c r="AC43" s="2"/>
      <c r="AD43" s="2"/>
      <c r="AE43" s="2"/>
      <c r="AF43" s="2"/>
      <c r="AG43" s="2"/>
      <c r="AH43" s="2"/>
      <c r="AI43" s="2"/>
      <c r="AJ43" s="2"/>
      <c r="AK43" s="2"/>
      <c r="AL43" s="2"/>
      <c r="AM43" s="2"/>
      <c r="AN43" s="2"/>
      <c r="AO43" s="2"/>
      <c r="AP43" s="2"/>
      <c r="AQ43" s="98"/>
      <c r="AR43" s="2"/>
    </row>
    <row r="44" spans="1:44" ht="12.75" customHeight="1">
      <c r="A44" s="2" t="s">
        <v>1562</v>
      </c>
      <c r="B44" s="2"/>
      <c r="C44" s="2031">
        <f>BYD!BG87</f>
        <v>-20.854000000000003</v>
      </c>
      <c r="D44" s="104">
        <f>BYD!BB87</f>
        <v>2.1000000000000005</v>
      </c>
      <c r="E44" s="61"/>
      <c r="F44" s="61"/>
      <c r="G44" s="1141"/>
      <c r="H44" s="2"/>
      <c r="I44" s="1104">
        <v>5</v>
      </c>
      <c r="J44" s="61"/>
      <c r="K44" s="61"/>
      <c r="L44" s="1216"/>
      <c r="N44" s="2"/>
      <c r="O44" s="2"/>
      <c r="P44" s="2"/>
      <c r="Q44" s="2"/>
      <c r="U44" s="2"/>
      <c r="V44" s="2"/>
      <c r="W44" s="2"/>
      <c r="X44" s="2"/>
      <c r="Y44" s="2"/>
      <c r="Z44" s="2"/>
      <c r="AA44" s="2"/>
      <c r="AB44" s="2"/>
      <c r="AC44" s="2"/>
      <c r="AD44" s="2"/>
      <c r="AE44" s="2"/>
      <c r="AF44" s="2"/>
      <c r="AG44" s="2"/>
      <c r="AH44" s="2"/>
      <c r="AI44" s="2"/>
      <c r="AJ44" s="2"/>
      <c r="AK44" s="2"/>
      <c r="AL44" s="2"/>
      <c r="AM44" s="2"/>
      <c r="AN44" s="2"/>
      <c r="AO44" s="2"/>
      <c r="AP44" s="2"/>
      <c r="AQ44" s="98"/>
      <c r="AR44" s="2"/>
    </row>
    <row r="45" spans="1:44" ht="12.75" customHeight="1">
      <c r="A45" s="147" t="s">
        <v>1747</v>
      </c>
      <c r="B45" s="160"/>
      <c r="C45" s="2244">
        <f>BYD!BG88</f>
        <v>14.248500000000025</v>
      </c>
      <c r="D45" s="2243">
        <f>BYD!BB88</f>
        <v>-4.0549999999999669</v>
      </c>
      <c r="E45" s="1218"/>
      <c r="F45" s="2241">
        <f>C45-D45</f>
        <v>18.303499999999993</v>
      </c>
      <c r="G45" s="1219">
        <f>IF(D45=0,0,C45/D45-1)</f>
        <v>-4.5138101109741413</v>
      </c>
      <c r="H45" s="1220"/>
      <c r="I45" s="2242">
        <v>10.806092743226067</v>
      </c>
      <c r="J45" s="1218"/>
      <c r="K45" s="2241">
        <f>C45-I45</f>
        <v>3.4424072567739579</v>
      </c>
      <c r="L45" s="1221">
        <f>C45/I45-1</f>
        <v>0.3185616983466919</v>
      </c>
      <c r="N45" s="2"/>
      <c r="O45" s="2"/>
      <c r="P45" s="2"/>
      <c r="Q45" s="2"/>
      <c r="U45" s="2"/>
      <c r="V45" s="2"/>
      <c r="W45" s="2"/>
      <c r="X45" s="2"/>
      <c r="Y45" s="2"/>
      <c r="Z45" s="2"/>
      <c r="AA45" s="2"/>
      <c r="AB45" s="2"/>
      <c r="AC45" s="2"/>
      <c r="AD45" s="2"/>
      <c r="AE45" s="2"/>
      <c r="AF45" s="2"/>
      <c r="AG45" s="2"/>
      <c r="AH45" s="2"/>
      <c r="AI45" s="2"/>
      <c r="AJ45" s="2"/>
      <c r="AK45" s="2"/>
      <c r="AL45" s="2"/>
      <c r="AM45" s="2"/>
      <c r="AN45" s="2"/>
      <c r="AO45" s="2"/>
      <c r="AP45" s="2"/>
      <c r="AQ45" s="98"/>
      <c r="AR45" s="2"/>
    </row>
    <row r="46" spans="1:44" ht="12.75" customHeight="1">
      <c r="A46" s="2"/>
      <c r="B46" s="2"/>
      <c r="C46" s="2034"/>
      <c r="D46" s="77"/>
      <c r="E46" s="61"/>
      <c r="F46" s="61"/>
      <c r="G46" s="1141"/>
      <c r="H46" s="2"/>
      <c r="I46" s="115"/>
      <c r="J46" s="61"/>
      <c r="K46" s="61"/>
      <c r="L46" s="1216"/>
      <c r="N46" s="2"/>
      <c r="O46" s="2"/>
      <c r="P46" s="2"/>
      <c r="Q46" s="2"/>
      <c r="U46" s="2"/>
      <c r="V46" s="2"/>
      <c r="W46" s="2"/>
      <c r="X46" s="2"/>
      <c r="Y46" s="2"/>
      <c r="Z46" s="2"/>
      <c r="AA46" s="2"/>
      <c r="AB46" s="2"/>
      <c r="AC46" s="2"/>
      <c r="AD46" s="2"/>
      <c r="AE46" s="2"/>
      <c r="AF46" s="2"/>
      <c r="AG46" s="2"/>
      <c r="AH46" s="2"/>
      <c r="AI46" s="2"/>
      <c r="AJ46" s="2"/>
      <c r="AK46" s="2"/>
      <c r="AL46" s="2"/>
      <c r="AM46" s="2"/>
      <c r="AN46" s="2"/>
      <c r="AO46" s="2"/>
      <c r="AP46" s="2"/>
      <c r="AQ46" s="98"/>
      <c r="AR46" s="2"/>
    </row>
    <row r="47" spans="1:44" ht="12.75" customHeight="1">
      <c r="A47" s="138" t="s">
        <v>746</v>
      </c>
      <c r="B47" s="155"/>
      <c r="C47" s="2041">
        <f>+C45/C48</f>
        <v>0.12681340002492056</v>
      </c>
      <c r="D47" s="152">
        <f>+D45/D48</f>
        <v>-3.6946598270662004E-2</v>
      </c>
      <c r="E47" s="152"/>
      <c r="F47" s="152">
        <f>C47-D47</f>
        <v>0.16375999829558258</v>
      </c>
      <c r="G47" s="1208">
        <f>IF(D47=0,0,C47/D47-1)</f>
        <v>-4.4323430562109047</v>
      </c>
      <c r="H47" s="155"/>
      <c r="I47" s="1246">
        <v>9.8049797938268596E-2</v>
      </c>
      <c r="J47" s="152"/>
      <c r="K47" s="152">
        <f>C47-I47</f>
        <v>2.8763602086651963E-2</v>
      </c>
      <c r="L47" s="1211">
        <f>C47/I47-1</f>
        <v>0.29335707662305754</v>
      </c>
      <c r="N47" s="1256"/>
      <c r="O47" s="1256"/>
      <c r="P47" s="1256"/>
      <c r="Q47" s="1256"/>
      <c r="S47" s="1645"/>
      <c r="U47" s="2"/>
      <c r="V47" s="2"/>
      <c r="W47" s="2"/>
      <c r="X47" s="2"/>
      <c r="Y47" s="2"/>
      <c r="Z47" s="2"/>
      <c r="AA47" s="2"/>
      <c r="AB47" s="2"/>
      <c r="AC47" s="2"/>
      <c r="AD47" s="2"/>
      <c r="AE47" s="2"/>
      <c r="AF47" s="2"/>
      <c r="AG47" s="2"/>
      <c r="AH47" s="2"/>
      <c r="AI47" s="2"/>
      <c r="AJ47" s="2"/>
      <c r="AK47" s="2"/>
      <c r="AL47" s="2"/>
      <c r="AM47" s="2"/>
      <c r="AN47" s="2"/>
      <c r="AO47" s="2"/>
      <c r="AP47" s="2"/>
      <c r="AQ47" s="98"/>
      <c r="AR47" s="2"/>
    </row>
    <row r="48" spans="1:44" ht="12.75" customHeight="1">
      <c r="A48" s="2" t="s">
        <v>769</v>
      </c>
      <c r="B48" s="2"/>
      <c r="C48" s="2031">
        <f>BYD!BG103</f>
        <v>112.358</v>
      </c>
      <c r="D48" s="104">
        <f>BYD!BB103</f>
        <v>109.753</v>
      </c>
      <c r="E48" s="1103"/>
      <c r="F48" s="374">
        <f>C48-D48</f>
        <v>2.605000000000004</v>
      </c>
      <c r="G48" s="126">
        <f>IF(D48=0,0,C48/D48-1)</f>
        <v>2.3735114302114724E-2</v>
      </c>
      <c r="H48" s="2"/>
      <c r="I48" s="1104">
        <v>110.21025</v>
      </c>
      <c r="J48" s="1103"/>
      <c r="K48" s="374">
        <f>C48-I48</f>
        <v>2.147750000000002</v>
      </c>
      <c r="L48" s="1204">
        <f>C48/I48-1</f>
        <v>1.9487751819817101E-2</v>
      </c>
      <c r="N48" s="2"/>
      <c r="O48" s="2"/>
      <c r="P48" s="2"/>
      <c r="Q48" s="2"/>
      <c r="U48" s="2"/>
      <c r="V48" s="2"/>
      <c r="W48" s="2"/>
      <c r="X48" s="2"/>
      <c r="Y48" s="2"/>
      <c r="Z48" s="2"/>
      <c r="AA48" s="2"/>
      <c r="AB48" s="2"/>
      <c r="AC48" s="2"/>
      <c r="AD48" s="2"/>
      <c r="AE48" s="2"/>
      <c r="AF48" s="2"/>
      <c r="AG48" s="2"/>
      <c r="AH48" s="2"/>
      <c r="AI48" s="2"/>
      <c r="AJ48" s="2"/>
      <c r="AK48" s="2"/>
      <c r="AL48" s="2"/>
      <c r="AM48" s="2"/>
      <c r="AN48" s="2"/>
      <c r="AO48" s="2"/>
      <c r="AP48" s="2"/>
      <c r="AQ48" s="98"/>
      <c r="AR48" s="2"/>
    </row>
    <row r="49" spans="1:44" ht="12.75" customHeight="1">
      <c r="A49" s="2"/>
      <c r="B49" s="2"/>
      <c r="C49" s="112"/>
      <c r="D49" s="77"/>
      <c r="E49" s="61"/>
      <c r="F49" s="2"/>
      <c r="G49" s="2"/>
      <c r="H49" s="2"/>
      <c r="I49" s="142"/>
      <c r="J49" s="61"/>
      <c r="K49" s="61"/>
      <c r="L49" s="2"/>
      <c r="N49" s="2"/>
      <c r="O49" s="2"/>
      <c r="P49" s="2"/>
      <c r="Q49" s="2"/>
      <c r="U49" s="2"/>
      <c r="V49" s="2"/>
      <c r="W49" s="2"/>
      <c r="X49" s="2"/>
      <c r="Y49" s="2"/>
      <c r="Z49" s="2"/>
      <c r="AA49" s="2"/>
      <c r="AB49" s="2"/>
      <c r="AC49" s="2"/>
      <c r="AD49" s="2"/>
      <c r="AE49" s="2"/>
      <c r="AF49" s="2"/>
      <c r="AG49" s="2"/>
      <c r="AH49" s="2"/>
      <c r="AI49" s="2"/>
      <c r="AJ49" s="2"/>
      <c r="AK49" s="2"/>
      <c r="AL49" s="2"/>
      <c r="AM49" s="2"/>
      <c r="AN49" s="2"/>
      <c r="AO49" s="2"/>
      <c r="AP49" s="2"/>
      <c r="AQ49" s="98"/>
      <c r="AR49" s="2"/>
    </row>
    <row r="50" spans="1:44" ht="12.75" customHeight="1">
      <c r="A50" s="1222" t="s">
        <v>1483</v>
      </c>
      <c r="B50" s="1223"/>
      <c r="C50" s="1224">
        <f>C23/C14</f>
        <v>0.30016364620453417</v>
      </c>
      <c r="D50" s="1400">
        <f>D23/D14</f>
        <v>0.27725033959544243</v>
      </c>
      <c r="E50" s="1225"/>
      <c r="F50" s="1223"/>
      <c r="G50" s="1226">
        <f>(C50-D50)</f>
        <v>2.2913306609091744E-2</v>
      </c>
      <c r="H50" s="1223"/>
      <c r="I50" s="3112">
        <v>0.29166658885299956</v>
      </c>
      <c r="J50" s="1225"/>
      <c r="K50" s="1223"/>
      <c r="L50" s="1227">
        <f>(C50-I50)</f>
        <v>8.4970573515346093E-3</v>
      </c>
      <c r="N50" s="2"/>
      <c r="O50" s="2"/>
      <c r="P50" s="2"/>
      <c r="Q50" s="2"/>
      <c r="U50" s="2"/>
      <c r="V50" s="2"/>
      <c r="W50" s="2"/>
      <c r="X50" s="2"/>
      <c r="Y50" s="2"/>
      <c r="Z50" s="2"/>
      <c r="AA50" s="2"/>
      <c r="AB50" s="2"/>
      <c r="AC50" s="2"/>
      <c r="AD50" s="2"/>
      <c r="AE50" s="2"/>
      <c r="AF50" s="2"/>
      <c r="AG50" s="2"/>
      <c r="AH50" s="2"/>
      <c r="AI50" s="2"/>
      <c r="AJ50" s="2"/>
      <c r="AK50" s="2"/>
      <c r="AL50" s="2"/>
      <c r="AM50" s="2"/>
      <c r="AN50" s="2"/>
      <c r="AO50" s="2"/>
      <c r="AP50" s="2"/>
      <c r="AQ50" s="98"/>
      <c r="AR50" s="2"/>
    </row>
    <row r="51" spans="1:44" ht="12.75" customHeight="1">
      <c r="A51" s="1239" t="s">
        <v>514</v>
      </c>
      <c r="B51" s="1228"/>
      <c r="C51" s="1229">
        <f t="shared" ref="C51:D54" si="9">C17/C8</f>
        <v>0.25865923274474062</v>
      </c>
      <c r="D51" s="1230">
        <f t="shared" si="9"/>
        <v>0.26417199870578367</v>
      </c>
      <c r="E51" s="1230"/>
      <c r="F51" s="1228"/>
      <c r="G51" s="1231">
        <f>(C51-D51)</f>
        <v>-5.5127659610430535E-3</v>
      </c>
      <c r="H51" s="1228"/>
      <c r="I51" s="1248">
        <v>0.27145742446117199</v>
      </c>
      <c r="J51" s="1230"/>
      <c r="K51" s="1228"/>
      <c r="L51" s="1232">
        <f>(C51-I51)</f>
        <v>-1.2798191716431373E-2</v>
      </c>
      <c r="M51" s="1404"/>
      <c r="N51" s="1647"/>
      <c r="O51" s="1647"/>
      <c r="P51" s="1647"/>
      <c r="Q51" s="1647"/>
      <c r="U51" s="2"/>
      <c r="V51" s="2"/>
      <c r="W51" s="2"/>
      <c r="X51" s="2"/>
      <c r="Y51" s="2"/>
      <c r="Z51" s="2"/>
      <c r="AA51" s="2"/>
      <c r="AB51" s="2"/>
      <c r="AC51" s="2"/>
      <c r="AD51" s="2"/>
      <c r="AE51" s="2"/>
      <c r="AF51" s="2"/>
      <c r="AG51" s="2"/>
      <c r="AH51" s="2"/>
      <c r="AI51" s="2"/>
      <c r="AJ51" s="2"/>
      <c r="AK51" s="2"/>
      <c r="AL51" s="2"/>
      <c r="AM51" s="2"/>
      <c r="AN51" s="2"/>
      <c r="AO51" s="2"/>
      <c r="AP51" s="2"/>
      <c r="AQ51" s="98"/>
      <c r="AR51" s="2"/>
    </row>
    <row r="52" spans="1:44" ht="12.75" customHeight="1">
      <c r="A52" s="1239" t="s">
        <v>515</v>
      </c>
      <c r="B52" s="1228"/>
      <c r="C52" s="1229">
        <f t="shared" si="9"/>
        <v>0.18862957793756513</v>
      </c>
      <c r="D52" s="1230">
        <f t="shared" si="9"/>
        <v>0.16735147937487665</v>
      </c>
      <c r="E52" s="1230"/>
      <c r="F52" s="1228"/>
      <c r="G52" s="1231">
        <f>(C52-D52)</f>
        <v>2.1278098562688474E-2</v>
      </c>
      <c r="H52" s="1228"/>
      <c r="I52" s="1248">
        <v>0.16735147937487663</v>
      </c>
      <c r="J52" s="1230"/>
      <c r="K52" s="1228"/>
      <c r="L52" s="1232">
        <f>(C52-I52)</f>
        <v>2.1278098562688502E-2</v>
      </c>
      <c r="M52" s="1403"/>
      <c r="N52" s="98"/>
      <c r="O52" s="98"/>
      <c r="P52" s="98"/>
      <c r="Q52" s="98"/>
      <c r="U52" s="2"/>
      <c r="V52" s="2"/>
      <c r="W52" s="2"/>
      <c r="X52" s="2"/>
      <c r="Y52" s="2"/>
      <c r="Z52" s="2"/>
      <c r="AA52" s="2"/>
      <c r="AB52" s="2"/>
      <c r="AC52" s="2"/>
      <c r="AD52" s="2"/>
      <c r="AE52" s="2"/>
      <c r="AF52" s="2"/>
      <c r="AG52" s="2"/>
      <c r="AH52" s="2"/>
      <c r="AI52" s="2"/>
      <c r="AJ52" s="2"/>
      <c r="AK52" s="2"/>
      <c r="AL52" s="2"/>
      <c r="AM52" s="2"/>
      <c r="AN52" s="2"/>
      <c r="AO52" s="2"/>
      <c r="AP52" s="2"/>
      <c r="AQ52" s="98"/>
      <c r="AR52" s="2"/>
    </row>
    <row r="53" spans="1:44" ht="12.75" customHeight="1">
      <c r="A53" s="1239" t="s">
        <v>516</v>
      </c>
      <c r="B53" s="1228"/>
      <c r="C53" s="1229">
        <f t="shared" si="9"/>
        <v>0.2341250160724454</v>
      </c>
      <c r="D53" s="1230">
        <f t="shared" si="9"/>
        <v>0.2083671965072105</v>
      </c>
      <c r="E53" s="1230"/>
      <c r="F53" s="1228"/>
      <c r="G53" s="1231">
        <f>(C53-D53)</f>
        <v>2.5757819565234902E-2</v>
      </c>
      <c r="H53" s="1228"/>
      <c r="I53" s="1248">
        <v>0.2153374253328646</v>
      </c>
      <c r="J53" s="1230"/>
      <c r="K53" s="1228"/>
      <c r="L53" s="1232">
        <f>(C53-I53)</f>
        <v>1.8787590739580806E-2</v>
      </c>
      <c r="M53" s="1403"/>
      <c r="N53" s="98"/>
      <c r="O53" s="98"/>
      <c r="P53" s="98"/>
      <c r="Q53" s="98"/>
      <c r="U53" s="2"/>
      <c r="V53" s="2"/>
      <c r="W53" s="2"/>
      <c r="X53" s="2"/>
      <c r="Y53" s="2"/>
      <c r="Z53" s="2"/>
      <c r="AA53" s="2"/>
      <c r="AB53" s="2"/>
      <c r="AC53" s="2"/>
      <c r="AD53" s="2"/>
      <c r="AE53" s="2"/>
      <c r="AF53" s="2"/>
      <c r="AG53" s="2"/>
      <c r="AH53" s="2"/>
      <c r="AI53" s="2"/>
      <c r="AJ53" s="2"/>
      <c r="AK53" s="2"/>
      <c r="AL53" s="2"/>
      <c r="AM53" s="2"/>
      <c r="AN53" s="2"/>
      <c r="AO53" s="2"/>
      <c r="AP53" s="2"/>
      <c r="AQ53" s="98"/>
      <c r="AR53" s="2"/>
    </row>
    <row r="54" spans="1:44" ht="12.75" customHeight="1">
      <c r="A54" s="3113" t="s">
        <v>517</v>
      </c>
      <c r="B54" s="1233"/>
      <c r="C54" s="1234">
        <f t="shared" si="9"/>
        <v>0.36822625864711811</v>
      </c>
      <c r="D54" s="1235">
        <f t="shared" si="9"/>
        <v>0.36607427641425339</v>
      </c>
      <c r="E54" s="1235"/>
      <c r="F54" s="1233"/>
      <c r="G54" s="1236">
        <f>(C54-D54)</f>
        <v>2.1519822328647242E-3</v>
      </c>
      <c r="H54" s="1233"/>
      <c r="I54" s="1249">
        <v>0.36777761290940725</v>
      </c>
      <c r="J54" s="1235"/>
      <c r="K54" s="1233"/>
      <c r="L54" s="1237">
        <f>(C54-I54)</f>
        <v>4.4864573771086214E-4</v>
      </c>
      <c r="M54" s="1404"/>
      <c r="N54" s="105"/>
      <c r="O54" s="105"/>
      <c r="P54" s="105"/>
      <c r="Q54" s="105"/>
      <c r="U54" s="2"/>
      <c r="V54" s="2"/>
      <c r="W54" s="2"/>
      <c r="X54" s="2"/>
      <c r="Y54" s="2"/>
      <c r="Z54" s="2"/>
      <c r="AA54" s="2"/>
      <c r="AB54" s="2"/>
      <c r="AC54" s="2"/>
      <c r="AD54" s="2"/>
      <c r="AE54" s="2"/>
      <c r="AF54" s="2"/>
      <c r="AG54" s="2"/>
      <c r="AH54" s="2"/>
      <c r="AI54" s="2"/>
      <c r="AJ54" s="2"/>
      <c r="AK54" s="2"/>
      <c r="AL54" s="2"/>
      <c r="AM54" s="2"/>
      <c r="AN54" s="2"/>
      <c r="AO54" s="2"/>
      <c r="AP54" s="2"/>
      <c r="AQ54" s="98"/>
      <c r="AR54" s="2"/>
    </row>
    <row r="55" spans="1:44" ht="12.75" customHeight="1">
      <c r="A55" s="61"/>
      <c r="B55" s="61"/>
      <c r="C55" s="144"/>
      <c r="D55" s="77"/>
      <c r="E55" s="61"/>
      <c r="F55" s="61"/>
      <c r="G55" s="61"/>
      <c r="H55" s="61"/>
      <c r="I55" s="144"/>
      <c r="J55" s="61"/>
      <c r="K55" s="61"/>
      <c r="L55" s="61"/>
      <c r="M55" s="1404"/>
      <c r="N55" s="105"/>
      <c r="O55" s="105"/>
      <c r="P55" s="105"/>
      <c r="Q55" s="105"/>
      <c r="U55" s="2"/>
      <c r="V55" s="2"/>
      <c r="W55" s="2"/>
      <c r="X55" s="2"/>
      <c r="Y55" s="2"/>
      <c r="Z55" s="2"/>
      <c r="AA55" s="2"/>
      <c r="AB55" s="2"/>
      <c r="AC55" s="2"/>
      <c r="AD55" s="2"/>
      <c r="AE55" s="2"/>
      <c r="AF55" s="2"/>
      <c r="AG55" s="2"/>
      <c r="AH55" s="2"/>
      <c r="AI55" s="2"/>
      <c r="AJ55" s="2"/>
      <c r="AK55" s="2"/>
      <c r="AL55" s="2"/>
      <c r="AM55" s="2"/>
      <c r="AN55" s="2"/>
      <c r="AO55" s="2"/>
      <c r="AP55" s="2"/>
      <c r="AQ55" s="98"/>
      <c r="AR55" s="2"/>
    </row>
    <row r="56" spans="1:44" ht="12.75" customHeight="1">
      <c r="A56" s="61"/>
      <c r="B56" s="61"/>
      <c r="C56" s="374"/>
      <c r="D56" s="374"/>
      <c r="E56" s="61"/>
      <c r="F56" s="374"/>
      <c r="G56" s="95"/>
      <c r="H56" s="313"/>
      <c r="I56" s="376"/>
      <c r="J56" s="932"/>
      <c r="K56" s="374"/>
      <c r="L56" s="1204"/>
      <c r="N56" s="2"/>
      <c r="O56" s="2"/>
      <c r="P56" s="2"/>
      <c r="Q56" s="2"/>
      <c r="U56" s="1"/>
      <c r="V56" s="2"/>
      <c r="W56" s="1"/>
      <c r="X56" s="2"/>
      <c r="Y56" s="2"/>
      <c r="Z56" s="2"/>
      <c r="AA56" s="2"/>
      <c r="AB56" s="2"/>
      <c r="AC56" s="2"/>
      <c r="AD56" s="2"/>
      <c r="AE56" s="2"/>
      <c r="AF56" s="2"/>
      <c r="AG56" s="2"/>
      <c r="AH56" s="2"/>
      <c r="AI56" s="2"/>
      <c r="AJ56" s="2"/>
      <c r="AK56" s="2"/>
      <c r="AL56" s="2"/>
      <c r="AM56" s="2"/>
      <c r="AN56" s="2"/>
      <c r="AO56" s="2"/>
      <c r="AP56" s="2"/>
      <c r="AQ56" s="98"/>
      <c r="AR56" s="2"/>
    </row>
    <row r="57" spans="1:44" ht="12.75" customHeight="1">
      <c r="A57" s="743"/>
      <c r="B57" s="61"/>
      <c r="C57" s="1618"/>
      <c r="D57" s="1618"/>
      <c r="E57" s="61"/>
      <c r="F57" s="1618"/>
      <c r="G57" s="1433"/>
      <c r="H57" s="61"/>
      <c r="I57" s="1618"/>
      <c r="J57" s="1103"/>
      <c r="K57" s="452"/>
      <c r="L57" s="1252"/>
      <c r="M57" s="1404"/>
      <c r="N57" s="1404"/>
      <c r="O57" s="1404"/>
      <c r="P57" s="1404"/>
      <c r="Q57" s="1404"/>
      <c r="U57" s="105"/>
      <c r="V57" s="2"/>
      <c r="W57" s="105"/>
      <c r="X57" s="2"/>
      <c r="Y57" s="2"/>
      <c r="Z57" s="2"/>
      <c r="AA57" s="2"/>
      <c r="AB57" s="2"/>
      <c r="AC57" s="2"/>
      <c r="AD57" s="2"/>
      <c r="AE57" s="2"/>
      <c r="AF57" s="2"/>
      <c r="AG57" s="2"/>
      <c r="AH57" s="2"/>
      <c r="AI57" s="2"/>
      <c r="AJ57" s="2"/>
      <c r="AK57" s="2"/>
      <c r="AL57" s="2"/>
      <c r="AM57" s="2"/>
      <c r="AN57" s="2"/>
      <c r="AO57" s="2"/>
      <c r="AP57" s="2"/>
      <c r="AQ57" s="98"/>
      <c r="AR57" s="2"/>
    </row>
    <row r="58" spans="1:44" ht="12.75" customHeight="1">
      <c r="A58" s="1"/>
      <c r="B58" s="2"/>
      <c r="C58" s="1241"/>
      <c r="D58" s="1241"/>
      <c r="E58" s="61"/>
      <c r="F58" s="374"/>
      <c r="G58" s="95"/>
      <c r="H58" s="61"/>
      <c r="I58" s="1434"/>
      <c r="J58" s="1103"/>
      <c r="K58" s="1241"/>
      <c r="L58" s="1204"/>
      <c r="N58" s="1143"/>
      <c r="O58" s="1143"/>
      <c r="P58" s="1143"/>
      <c r="Q58" s="1143"/>
      <c r="AQ58" s="1403"/>
    </row>
    <row r="59" spans="1:44" ht="4.5" customHeight="1">
      <c r="A59" s="2"/>
      <c r="B59" s="2"/>
      <c r="C59" s="61"/>
      <c r="D59" s="77"/>
      <c r="E59" s="61"/>
      <c r="F59" s="61"/>
      <c r="G59" s="61"/>
      <c r="H59" s="61"/>
      <c r="I59" s="61"/>
      <c r="J59" s="2"/>
      <c r="K59" s="2"/>
      <c r="L59" s="2"/>
      <c r="N59" s="2"/>
      <c r="O59" s="2"/>
      <c r="P59" s="2"/>
      <c r="Q59" s="2"/>
      <c r="AQ59" s="1403"/>
    </row>
    <row r="60" spans="1:44" ht="6" customHeight="1">
      <c r="A60" s="2"/>
      <c r="B60" s="2"/>
      <c r="C60" s="2"/>
      <c r="D60" s="1062"/>
      <c r="E60" s="2"/>
      <c r="F60" s="2"/>
      <c r="G60" s="2"/>
      <c r="H60" s="2"/>
      <c r="I60" s="2"/>
      <c r="J60" s="2"/>
      <c r="K60" s="2"/>
      <c r="L60" s="2"/>
      <c r="N60" s="2"/>
      <c r="O60" s="2"/>
      <c r="P60" s="2"/>
      <c r="Q60" s="2"/>
      <c r="AQ60" s="1403"/>
    </row>
    <row r="61" spans="1:44" ht="12.75" customHeight="1">
      <c r="A61" s="2"/>
      <c r="B61" s="2"/>
      <c r="C61" s="2"/>
      <c r="D61" s="1648"/>
      <c r="E61" s="2"/>
      <c r="F61" s="2"/>
      <c r="G61" s="2"/>
      <c r="H61" s="2"/>
      <c r="I61" s="2"/>
      <c r="J61" s="2"/>
      <c r="K61" s="2"/>
      <c r="L61" s="2"/>
      <c r="N61" s="2"/>
      <c r="O61" s="2"/>
      <c r="P61" s="2"/>
      <c r="Q61" s="2"/>
      <c r="AQ61" s="1403"/>
    </row>
    <row r="62" spans="1:44" ht="12.75" customHeight="1">
      <c r="A62" s="2"/>
      <c r="B62" s="2"/>
      <c r="C62" s="2"/>
      <c r="D62" s="1062"/>
      <c r="E62" s="2"/>
      <c r="F62" s="2"/>
      <c r="G62" s="2"/>
      <c r="H62" s="2"/>
      <c r="I62" s="2"/>
      <c r="J62" s="2"/>
      <c r="K62" s="2"/>
      <c r="L62" s="2"/>
      <c r="N62" s="2"/>
      <c r="O62" s="2"/>
      <c r="P62" s="2"/>
      <c r="Q62" s="2"/>
      <c r="AQ62" s="1403"/>
    </row>
    <row r="63" spans="1:44" ht="12.75" customHeight="1">
      <c r="A63" s="2"/>
      <c r="B63" s="2"/>
      <c r="C63" s="2"/>
      <c r="D63" s="1062"/>
      <c r="E63" s="2"/>
      <c r="F63" s="2"/>
      <c r="G63" s="2"/>
      <c r="H63" s="2"/>
      <c r="I63" s="2"/>
      <c r="J63" s="2"/>
      <c r="K63" s="2"/>
      <c r="L63" s="2"/>
      <c r="N63" s="2"/>
      <c r="O63" s="2"/>
      <c r="P63" s="2"/>
      <c r="Q63" s="2"/>
      <c r="AQ63" s="1403"/>
    </row>
    <row r="64" spans="1:44" ht="12.75" customHeight="1">
      <c r="A64" s="2"/>
      <c r="B64" s="2"/>
      <c r="C64" s="2"/>
      <c r="D64" s="1062"/>
      <c r="E64" s="2"/>
      <c r="F64" s="2"/>
      <c r="G64" s="2"/>
      <c r="H64" s="2"/>
      <c r="I64" s="2"/>
      <c r="J64" s="2"/>
      <c r="K64" s="2"/>
      <c r="L64" s="2"/>
      <c r="N64" s="2"/>
      <c r="O64" s="2"/>
      <c r="P64" s="2"/>
      <c r="Q64" s="2"/>
      <c r="AQ64" s="1403"/>
    </row>
    <row r="65" spans="1:44" ht="12.75" customHeight="1">
      <c r="A65" s="2"/>
      <c r="B65" s="2"/>
      <c r="C65" s="2"/>
      <c r="D65" s="1062"/>
      <c r="E65" s="2"/>
      <c r="F65" s="2"/>
      <c r="G65" s="2"/>
      <c r="H65" s="2"/>
      <c r="I65" s="2"/>
      <c r="J65" s="2"/>
      <c r="K65" s="2"/>
      <c r="L65" s="2"/>
      <c r="N65" s="2"/>
      <c r="O65" s="2"/>
      <c r="P65" s="2"/>
      <c r="Q65" s="2"/>
      <c r="AQ65" s="1403"/>
    </row>
    <row r="66" spans="1:44" ht="12.75" customHeight="1">
      <c r="A66" s="2"/>
      <c r="B66" s="2"/>
      <c r="C66" s="2"/>
      <c r="D66" s="1062"/>
      <c r="E66" s="2"/>
      <c r="F66" s="2"/>
      <c r="G66" s="2"/>
      <c r="H66" s="2"/>
      <c r="I66" s="2"/>
      <c r="J66" s="2"/>
      <c r="K66" s="2"/>
      <c r="L66" s="2"/>
      <c r="M66" s="69" t="s">
        <v>318</v>
      </c>
      <c r="R66" s="2"/>
      <c r="S66" s="2"/>
      <c r="T66" s="2"/>
      <c r="AQ66" s="1403"/>
    </row>
    <row r="67" spans="1:44" ht="12.75" customHeight="1">
      <c r="A67" s="2"/>
      <c r="B67" s="2"/>
      <c r="C67" s="2"/>
      <c r="D67" s="1062"/>
      <c r="E67" s="2"/>
      <c r="F67" s="2"/>
      <c r="G67" s="2"/>
      <c r="H67" s="2"/>
      <c r="I67" s="2"/>
      <c r="J67" s="2"/>
      <c r="K67" s="2"/>
      <c r="L67" s="2"/>
      <c r="M67" s="2" t="s">
        <v>319</v>
      </c>
      <c r="N67" s="2" t="s">
        <v>320</v>
      </c>
      <c r="O67" s="2"/>
      <c r="P67" s="2"/>
      <c r="Q67" s="2"/>
      <c r="R67" s="2" t="s">
        <v>321</v>
      </c>
      <c r="S67" s="98">
        <v>62.5</v>
      </c>
      <c r="T67" s="98"/>
      <c r="AQ67" s="1403"/>
    </row>
    <row r="68" spans="1:44" ht="12.75" customHeight="1">
      <c r="A68" s="2"/>
      <c r="B68" s="2"/>
      <c r="C68" s="2"/>
      <c r="D68" s="1062"/>
      <c r="E68" s="2"/>
      <c r="F68" s="2"/>
      <c r="G68" s="2"/>
      <c r="H68" s="2"/>
      <c r="I68" s="2"/>
      <c r="J68" s="2"/>
      <c r="K68" s="2"/>
      <c r="L68" s="2"/>
      <c r="M68" s="2"/>
      <c r="N68" s="2" t="s">
        <v>322</v>
      </c>
      <c r="O68" s="2"/>
      <c r="P68" s="2"/>
      <c r="Q68" s="2"/>
      <c r="R68" s="2" t="s">
        <v>321</v>
      </c>
      <c r="S68" s="98">
        <v>87.5</v>
      </c>
      <c r="T68" s="98"/>
      <c r="AQ68" s="1403"/>
    </row>
    <row r="69" spans="1:44" ht="12.75" customHeight="1">
      <c r="A69" s="2"/>
      <c r="B69" s="2"/>
      <c r="C69" s="2"/>
      <c r="D69" s="1062"/>
      <c r="E69" s="2"/>
      <c r="F69" s="2"/>
      <c r="G69" s="2"/>
      <c r="H69" s="2"/>
      <c r="I69" s="2"/>
      <c r="J69" s="2"/>
      <c r="K69" s="2"/>
      <c r="L69" s="2"/>
      <c r="M69" s="2"/>
      <c r="N69" s="2" t="s">
        <v>323</v>
      </c>
      <c r="O69" s="2"/>
      <c r="P69" s="2"/>
      <c r="Q69" s="2"/>
      <c r="R69" s="2" t="s">
        <v>321</v>
      </c>
      <c r="S69" s="98">
        <v>100</v>
      </c>
      <c r="T69" s="98"/>
      <c r="AQ69" s="1403"/>
    </row>
    <row r="70" spans="1:44" ht="12.75" customHeight="1">
      <c r="A70" s="2"/>
      <c r="B70" s="2"/>
      <c r="C70" s="2"/>
      <c r="D70" s="1062"/>
      <c r="E70" s="2"/>
      <c r="F70" s="2"/>
      <c r="G70" s="2"/>
      <c r="H70" s="2"/>
      <c r="I70" s="2"/>
      <c r="J70" s="2"/>
      <c r="K70" s="2"/>
      <c r="L70" s="2"/>
      <c r="M70" s="2"/>
      <c r="N70" s="2" t="s">
        <v>324</v>
      </c>
      <c r="O70" s="2"/>
      <c r="P70" s="2"/>
      <c r="Q70" s="2"/>
      <c r="R70" s="2" t="s">
        <v>321</v>
      </c>
      <c r="S70" s="98">
        <v>112.5</v>
      </c>
      <c r="T70" s="98"/>
      <c r="AQ70" s="1403"/>
    </row>
    <row r="71" spans="1:44" ht="12.75" customHeight="1">
      <c r="A71" s="2"/>
      <c r="B71" s="2"/>
      <c r="C71" s="2"/>
      <c r="D71" s="1062"/>
      <c r="E71" s="2"/>
      <c r="F71" s="2"/>
      <c r="G71" s="2"/>
      <c r="H71" s="2"/>
      <c r="I71" s="2"/>
      <c r="J71" s="2"/>
      <c r="K71" s="2"/>
      <c r="L71" s="2"/>
      <c r="M71" s="2"/>
      <c r="N71" s="2" t="s">
        <v>325</v>
      </c>
      <c r="O71" s="2"/>
      <c r="P71" s="2"/>
      <c r="Q71" s="2"/>
      <c r="R71" s="2" t="s">
        <v>321</v>
      </c>
      <c r="S71" s="98">
        <v>137.5</v>
      </c>
      <c r="T71" s="98"/>
      <c r="AQ71" s="1403"/>
    </row>
    <row r="72" spans="1:44" ht="12.75" customHeight="1">
      <c r="A72" s="2"/>
      <c r="B72" s="2"/>
      <c r="C72" s="2"/>
      <c r="D72" s="1062"/>
      <c r="E72" s="2"/>
      <c r="F72" s="2"/>
      <c r="G72" s="2"/>
      <c r="H72" s="2"/>
      <c r="I72" s="2"/>
      <c r="J72" s="2"/>
      <c r="K72" s="2"/>
      <c r="L72" s="2"/>
      <c r="M72" s="2"/>
      <c r="N72" s="2" t="s">
        <v>326</v>
      </c>
      <c r="O72" s="2"/>
      <c r="P72" s="2"/>
      <c r="Q72" s="2"/>
      <c r="R72" s="2" t="s">
        <v>321</v>
      </c>
      <c r="S72" s="98">
        <v>162.5</v>
      </c>
      <c r="T72" s="98"/>
      <c r="AQ72" s="1403"/>
    </row>
    <row r="73" spans="1:44" ht="12.75" customHeight="1">
      <c r="A73" s="2"/>
      <c r="B73" s="2"/>
      <c r="C73" s="2"/>
      <c r="D73" s="1062"/>
      <c r="E73" s="2"/>
      <c r="F73" s="2"/>
      <c r="G73" s="2"/>
      <c r="H73" s="2"/>
      <c r="I73" s="2"/>
      <c r="J73" s="2"/>
      <c r="K73" s="2"/>
      <c r="L73" s="2"/>
      <c r="N73" s="2"/>
      <c r="O73" s="2"/>
      <c r="P73" s="2"/>
      <c r="Q73" s="2"/>
      <c r="U73" s="2"/>
      <c r="V73" s="2"/>
      <c r="W73" s="2"/>
      <c r="X73" s="2"/>
      <c r="Y73" s="2"/>
      <c r="Z73" s="2"/>
      <c r="AA73" s="2"/>
      <c r="AB73" s="2"/>
      <c r="AC73" s="2"/>
      <c r="AD73" s="2"/>
      <c r="AE73" s="2"/>
      <c r="AF73" s="2"/>
      <c r="AG73" s="2"/>
      <c r="AH73" s="2"/>
      <c r="AI73" s="2"/>
      <c r="AJ73" s="2"/>
      <c r="AK73" s="2"/>
      <c r="AL73" s="2"/>
      <c r="AM73" s="2"/>
      <c r="AN73" s="2"/>
      <c r="AO73" s="2"/>
      <c r="AP73" s="2"/>
      <c r="AQ73" s="98"/>
      <c r="AR73" s="2"/>
    </row>
    <row r="74" spans="1:44" ht="12.75" customHeight="1">
      <c r="A74" s="2"/>
      <c r="B74" s="2"/>
      <c r="C74" s="2"/>
      <c r="D74" s="1062"/>
      <c r="E74" s="2"/>
      <c r="F74" s="2"/>
      <c r="G74" s="2"/>
      <c r="H74" s="2"/>
      <c r="I74" s="2"/>
      <c r="J74" s="2"/>
      <c r="K74" s="2"/>
      <c r="L74" s="2"/>
      <c r="N74" s="2"/>
      <c r="O74" s="2"/>
      <c r="P74" s="2"/>
      <c r="Q74" s="2"/>
      <c r="U74" s="2"/>
      <c r="V74" s="2"/>
      <c r="W74" s="2"/>
      <c r="X74" s="2"/>
      <c r="Y74" s="2"/>
      <c r="Z74" s="2"/>
      <c r="AA74" s="2"/>
      <c r="AB74" s="2"/>
      <c r="AC74" s="2"/>
      <c r="AD74" s="2"/>
      <c r="AE74" s="2"/>
      <c r="AF74" s="2"/>
      <c r="AG74" s="2"/>
      <c r="AH74" s="2"/>
      <c r="AI74" s="2"/>
      <c r="AJ74" s="2"/>
      <c r="AK74" s="2"/>
      <c r="AL74" s="2"/>
      <c r="AM74" s="2"/>
      <c r="AN74" s="2"/>
      <c r="AO74" s="2"/>
      <c r="AP74" s="2"/>
      <c r="AQ74" s="98"/>
      <c r="AR74" s="2"/>
    </row>
    <row r="75" spans="1:44" ht="12.75" customHeight="1">
      <c r="A75" s="2"/>
      <c r="B75" s="2"/>
      <c r="C75" s="2"/>
      <c r="D75" s="1062"/>
      <c r="E75" s="2"/>
      <c r="F75" s="2"/>
      <c r="G75" s="2"/>
      <c r="H75" s="2"/>
      <c r="I75" s="2"/>
      <c r="J75" s="2"/>
      <c r="K75" s="2"/>
      <c r="L75" s="2"/>
      <c r="N75" s="2"/>
      <c r="O75" s="2"/>
      <c r="P75" s="2"/>
      <c r="Q75" s="2"/>
      <c r="U75" s="1" t="s">
        <v>1140</v>
      </c>
      <c r="V75" s="1"/>
      <c r="W75" s="2"/>
      <c r="X75" s="2"/>
      <c r="Y75" s="2"/>
      <c r="Z75" s="2"/>
      <c r="AA75" s="2"/>
      <c r="AB75" s="2"/>
      <c r="AC75" s="2"/>
      <c r="AD75" s="2"/>
      <c r="AE75" s="2"/>
      <c r="AF75" s="2"/>
      <c r="AG75" s="2"/>
      <c r="AH75" s="2"/>
      <c r="AI75" s="2"/>
      <c r="AJ75" s="2"/>
      <c r="AK75" s="2"/>
      <c r="AL75" s="2"/>
      <c r="AM75" s="2"/>
      <c r="AN75" s="2"/>
      <c r="AO75" s="2"/>
      <c r="AP75" s="2"/>
      <c r="AQ75" s="98"/>
      <c r="AR75" s="2"/>
    </row>
    <row r="76" spans="1:44" ht="12.75" customHeight="1">
      <c r="A76" s="2"/>
      <c r="B76" s="2"/>
      <c r="C76" s="2"/>
      <c r="D76" s="1062"/>
      <c r="E76" s="2"/>
      <c r="F76" s="2"/>
      <c r="G76" s="2"/>
      <c r="H76" s="2"/>
      <c r="I76" s="2"/>
      <c r="J76" s="2"/>
      <c r="K76" s="2"/>
      <c r="L76" s="2"/>
      <c r="N76" s="2"/>
      <c r="O76" s="2"/>
      <c r="P76" s="2"/>
      <c r="Q76" s="2"/>
      <c r="U76" s="1"/>
      <c r="V76" s="1"/>
      <c r="W76" s="2"/>
      <c r="X76" s="2"/>
      <c r="Y76" s="2"/>
      <c r="Z76" s="2"/>
      <c r="AA76" s="2"/>
      <c r="AB76" s="2"/>
      <c r="AC76" s="2"/>
      <c r="AD76" s="2"/>
      <c r="AE76" s="2"/>
      <c r="AF76" s="2"/>
      <c r="AG76" s="2"/>
      <c r="AH76" s="2"/>
      <c r="AI76" s="2"/>
      <c r="AJ76" s="2"/>
      <c r="AK76" s="2"/>
      <c r="AL76" s="2"/>
      <c r="AM76" s="2"/>
      <c r="AN76" s="2"/>
      <c r="AO76" s="2"/>
      <c r="AP76" s="2"/>
      <c r="AQ76" s="98"/>
      <c r="AR76" s="2"/>
    </row>
    <row r="77" spans="1:44" ht="12.75" customHeight="1">
      <c r="A77" s="2"/>
      <c r="B77" s="2"/>
      <c r="C77" s="2"/>
      <c r="D77" s="1062"/>
      <c r="E77" s="2"/>
      <c r="F77" s="2"/>
      <c r="G77" s="2"/>
      <c r="H77" s="2"/>
      <c r="I77" s="2"/>
      <c r="J77" s="2"/>
      <c r="K77" s="2"/>
      <c r="L77" s="2"/>
      <c r="N77" s="2"/>
      <c r="O77" s="2"/>
      <c r="P77" s="2"/>
      <c r="Q77" s="2"/>
      <c r="U77" s="2" t="s">
        <v>1144</v>
      </c>
      <c r="V77" s="2"/>
      <c r="W77" s="2"/>
      <c r="X77" s="2"/>
      <c r="Y77" s="2"/>
      <c r="Z77" s="2"/>
      <c r="AA77" s="2"/>
      <c r="AB77" s="2"/>
      <c r="AC77" s="2"/>
      <c r="AD77" s="2"/>
      <c r="AE77" s="2"/>
      <c r="AF77" s="2"/>
      <c r="AG77" s="2"/>
      <c r="AH77" s="2"/>
      <c r="AI77" s="2"/>
      <c r="AJ77" s="2"/>
      <c r="AK77" s="2"/>
      <c r="AL77" s="2"/>
      <c r="AM77" s="2"/>
      <c r="AN77" s="2"/>
      <c r="AO77" s="2"/>
      <c r="AP77" s="2"/>
      <c r="AQ77" s="98"/>
      <c r="AR77" s="2"/>
    </row>
    <row r="78" spans="1:44" ht="12.75" customHeight="1">
      <c r="A78" s="2"/>
      <c r="B78" s="2"/>
      <c r="C78" s="2"/>
      <c r="D78" s="1062"/>
      <c r="E78" s="2"/>
      <c r="F78" s="2"/>
      <c r="G78" s="2"/>
      <c r="H78" s="2"/>
      <c r="I78" s="2"/>
      <c r="J78" s="2"/>
      <c r="K78" s="2"/>
      <c r="L78" s="2"/>
      <c r="N78" s="2"/>
      <c r="O78" s="2"/>
      <c r="P78" s="2"/>
      <c r="Q78" s="2"/>
      <c r="U78" s="2"/>
      <c r="V78" s="2"/>
      <c r="W78" s="2"/>
      <c r="X78" s="2"/>
      <c r="Y78" s="2"/>
      <c r="Z78" s="2"/>
      <c r="AA78" s="2"/>
      <c r="AB78" s="2"/>
      <c r="AC78" s="2"/>
      <c r="AD78" s="2"/>
      <c r="AE78" s="2"/>
      <c r="AF78" s="2"/>
      <c r="AG78" s="2"/>
      <c r="AH78" s="2"/>
      <c r="AI78" s="2"/>
      <c r="AJ78" s="2"/>
      <c r="AK78" s="2"/>
      <c r="AL78" s="2"/>
      <c r="AM78" s="2"/>
      <c r="AN78" s="2"/>
      <c r="AO78" s="2"/>
      <c r="AP78" s="2"/>
      <c r="AQ78" s="98"/>
      <c r="AR78" s="2"/>
    </row>
    <row r="79" spans="1:44" ht="12.75" customHeight="1">
      <c r="A79" s="2"/>
      <c r="B79" s="2"/>
      <c r="C79" s="2"/>
      <c r="D79" s="1062"/>
      <c r="E79" s="2"/>
      <c r="F79" s="2"/>
      <c r="G79" s="2"/>
      <c r="H79" s="2"/>
      <c r="I79" s="2"/>
      <c r="J79" s="2"/>
      <c r="K79" s="2"/>
      <c r="L79" s="2"/>
      <c r="N79" s="2"/>
      <c r="O79" s="2"/>
      <c r="P79" s="2"/>
      <c r="Q79" s="2"/>
      <c r="U79" s="2"/>
      <c r="V79" s="2"/>
      <c r="W79" s="1197" t="s">
        <v>55</v>
      </c>
      <c r="X79" s="1197"/>
      <c r="Y79" s="1197"/>
      <c r="Z79" s="1196"/>
      <c r="AA79" s="1196"/>
      <c r="AB79" s="2"/>
      <c r="AC79" s="2"/>
      <c r="AD79" s="2"/>
      <c r="AE79" s="2"/>
      <c r="AF79" s="2"/>
      <c r="AG79" s="2"/>
      <c r="AH79" s="2"/>
      <c r="AI79" s="2"/>
      <c r="AJ79" s="2"/>
      <c r="AK79" s="2"/>
      <c r="AL79" s="2"/>
      <c r="AM79" s="2"/>
      <c r="AN79" s="2"/>
      <c r="AO79" s="2"/>
      <c r="AP79" s="2"/>
      <c r="AQ79" s="98"/>
      <c r="AR79" s="2"/>
    </row>
    <row r="80" spans="1:44" ht="12.75" customHeight="1">
      <c r="A80" s="2"/>
      <c r="B80" s="2"/>
      <c r="C80" s="2"/>
      <c r="D80" s="1062"/>
      <c r="E80" s="2"/>
      <c r="F80" s="2"/>
      <c r="G80" s="2"/>
      <c r="H80" s="2"/>
      <c r="I80" s="2"/>
      <c r="J80" s="2"/>
      <c r="K80" s="2"/>
      <c r="L80" s="2"/>
      <c r="N80" s="2"/>
      <c r="O80" s="2"/>
      <c r="P80" s="2"/>
      <c r="Q80" s="2"/>
      <c r="U80" s="69"/>
      <c r="V80" s="69"/>
      <c r="W80" s="1289" t="s">
        <v>1142</v>
      </c>
      <c r="X80" s="1289"/>
      <c r="Y80" s="1289" t="s">
        <v>1143</v>
      </c>
      <c r="Z80" s="1289"/>
      <c r="AA80" s="1289" t="s">
        <v>829</v>
      </c>
      <c r="AB80" s="2"/>
      <c r="AC80" s="2"/>
      <c r="AD80" s="2"/>
      <c r="AE80" s="2"/>
      <c r="AF80" s="2"/>
      <c r="AG80" s="2"/>
      <c r="AH80" s="2"/>
      <c r="AI80" s="2"/>
      <c r="AJ80" s="2"/>
      <c r="AK80" s="2"/>
      <c r="AL80" s="2"/>
      <c r="AM80" s="2"/>
      <c r="AN80" s="2"/>
      <c r="AO80" s="2"/>
      <c r="AP80" s="2"/>
      <c r="AQ80" s="98"/>
      <c r="AR80" s="2"/>
    </row>
    <row r="81" spans="1:44" ht="12.75" customHeight="1">
      <c r="A81" s="2"/>
      <c r="B81" s="2"/>
      <c r="C81" s="2"/>
      <c r="D81" s="1062"/>
      <c r="E81" s="2"/>
      <c r="F81" s="2"/>
      <c r="G81" s="2"/>
      <c r="H81" s="2"/>
      <c r="I81" s="2"/>
      <c r="J81" s="2"/>
      <c r="K81" s="2"/>
      <c r="L81" s="2"/>
      <c r="N81" s="2"/>
      <c r="O81" s="2"/>
      <c r="P81" s="2"/>
      <c r="Q81" s="2"/>
      <c r="U81" s="2" t="s">
        <v>935</v>
      </c>
      <c r="V81" s="2"/>
      <c r="W81" s="1102"/>
      <c r="X81" s="98"/>
      <c r="Y81" s="1102"/>
      <c r="Z81" s="98"/>
      <c r="AA81" s="105"/>
      <c r="AB81" s="2"/>
      <c r="AC81" s="2"/>
      <c r="AD81" s="2"/>
      <c r="AE81" s="2"/>
      <c r="AF81" s="2"/>
      <c r="AG81" s="2"/>
      <c r="AH81" s="2"/>
      <c r="AI81" s="2"/>
      <c r="AJ81" s="2"/>
      <c r="AK81" s="2"/>
      <c r="AL81" s="2"/>
      <c r="AM81" s="2"/>
      <c r="AN81" s="2"/>
      <c r="AO81" s="2"/>
      <c r="AP81" s="2"/>
      <c r="AQ81" s="98"/>
      <c r="AR81" s="2"/>
    </row>
    <row r="82" spans="1:44" ht="12.75" customHeight="1">
      <c r="A82" s="2"/>
      <c r="B82" s="2"/>
      <c r="C82" s="2"/>
      <c r="D82" s="1062"/>
      <c r="E82" s="2"/>
      <c r="F82" s="2"/>
      <c r="G82" s="2"/>
      <c r="H82" s="2"/>
      <c r="I82" s="2"/>
      <c r="J82" s="2"/>
      <c r="K82" s="2"/>
      <c r="L82" s="2"/>
      <c r="N82" s="2"/>
      <c r="O82" s="2"/>
      <c r="P82" s="2"/>
      <c r="Q82" s="2"/>
      <c r="U82" s="2" t="s">
        <v>1141</v>
      </c>
      <c r="V82" s="2"/>
      <c r="W82" s="1102"/>
      <c r="X82" s="98"/>
      <c r="Y82" s="1102"/>
      <c r="Z82" s="98"/>
      <c r="AA82" s="105"/>
      <c r="AB82" s="2"/>
      <c r="AC82" s="2"/>
      <c r="AD82" s="2"/>
      <c r="AE82" s="2"/>
      <c r="AF82" s="2"/>
      <c r="AG82" s="2"/>
      <c r="AH82" s="2"/>
      <c r="AI82" s="2"/>
      <c r="AJ82" s="2"/>
      <c r="AK82" s="2"/>
      <c r="AL82" s="2"/>
      <c r="AM82" s="2"/>
      <c r="AN82" s="2"/>
      <c r="AO82" s="2"/>
      <c r="AP82" s="2"/>
      <c r="AQ82" s="98"/>
      <c r="AR82" s="2"/>
    </row>
    <row r="83" spans="1:44" ht="12.75" customHeight="1">
      <c r="A83" s="2"/>
      <c r="B83" s="2"/>
      <c r="C83" s="2"/>
      <c r="D83" s="1062"/>
      <c r="E83" s="2"/>
      <c r="F83" s="2"/>
      <c r="G83" s="2"/>
      <c r="H83" s="2"/>
      <c r="I83" s="2"/>
      <c r="J83" s="2"/>
      <c r="K83" s="2"/>
      <c r="L83" s="2"/>
      <c r="N83" s="2"/>
      <c r="O83" s="2"/>
      <c r="P83" s="2"/>
      <c r="Q83" s="2"/>
      <c r="U83" s="2" t="s">
        <v>200</v>
      </c>
      <c r="V83" s="2"/>
      <c r="W83" s="1401"/>
      <c r="X83" s="1336"/>
      <c r="Y83" s="1401"/>
      <c r="Z83" s="1336"/>
      <c r="AA83" s="105"/>
      <c r="AB83" s="2"/>
      <c r="AC83" s="2"/>
      <c r="AD83" s="2"/>
      <c r="AE83" s="2"/>
      <c r="AF83" s="2"/>
      <c r="AG83" s="2"/>
      <c r="AH83" s="2"/>
      <c r="AI83" s="2"/>
      <c r="AJ83" s="2"/>
      <c r="AK83" s="2"/>
      <c r="AL83" s="2"/>
      <c r="AM83" s="2"/>
      <c r="AN83" s="2"/>
      <c r="AO83" s="2"/>
      <c r="AP83" s="2"/>
      <c r="AQ83" s="98"/>
      <c r="AR83" s="2"/>
    </row>
    <row r="84" spans="1:44" ht="12.75" customHeight="1">
      <c r="A84" s="2"/>
      <c r="B84" s="2"/>
      <c r="C84" s="2"/>
      <c r="D84" s="1062"/>
      <c r="E84" s="2"/>
      <c r="F84" s="2"/>
      <c r="G84" s="2"/>
      <c r="H84" s="2"/>
      <c r="I84" s="2"/>
      <c r="J84" s="2"/>
      <c r="K84" s="2"/>
      <c r="L84" s="2"/>
      <c r="N84" s="2"/>
      <c r="O84" s="2"/>
      <c r="P84" s="2"/>
      <c r="Q84" s="2"/>
      <c r="U84" s="2"/>
      <c r="V84" s="2"/>
      <c r="W84" s="2"/>
      <c r="X84" s="2"/>
      <c r="Y84" s="2"/>
      <c r="Z84" s="2"/>
      <c r="AA84" s="2"/>
      <c r="AB84" s="2"/>
      <c r="AC84" s="2"/>
      <c r="AD84" s="2"/>
      <c r="AE84" s="2"/>
      <c r="AF84" s="2"/>
      <c r="AG84" s="2"/>
      <c r="AH84" s="2"/>
      <c r="AI84" s="2"/>
      <c r="AJ84" s="2"/>
      <c r="AK84" s="2"/>
      <c r="AL84" s="2"/>
      <c r="AM84" s="2"/>
      <c r="AN84" s="2"/>
      <c r="AO84" s="2"/>
      <c r="AP84" s="2"/>
      <c r="AQ84" s="98"/>
      <c r="AR84" s="2"/>
    </row>
    <row r="85" spans="1:44" ht="12.75" customHeight="1">
      <c r="A85" s="2"/>
      <c r="B85" s="2"/>
      <c r="C85" s="2"/>
      <c r="D85" s="1062"/>
      <c r="E85" s="2"/>
      <c r="F85" s="2"/>
      <c r="G85" s="2"/>
      <c r="H85" s="2"/>
      <c r="I85" s="2"/>
      <c r="J85" s="2"/>
      <c r="K85" s="2"/>
      <c r="L85" s="2"/>
      <c r="N85" s="2"/>
      <c r="O85" s="2"/>
      <c r="P85" s="2"/>
      <c r="Q85" s="2"/>
      <c r="U85" s="2"/>
      <c r="V85" s="2"/>
      <c r="W85" s="2"/>
      <c r="X85" s="2"/>
      <c r="Y85" s="2"/>
      <c r="Z85" s="2"/>
      <c r="AA85" s="2"/>
      <c r="AB85" s="2"/>
      <c r="AC85" s="1" t="s">
        <v>1650</v>
      </c>
      <c r="AD85" s="2"/>
      <c r="AE85" s="2"/>
      <c r="AF85" s="2"/>
      <c r="AG85" s="2"/>
      <c r="AH85" s="105"/>
      <c r="AI85" s="2"/>
      <c r="AJ85" s="2"/>
      <c r="AK85" s="2"/>
      <c r="AL85" s="2"/>
      <c r="AM85" s="2"/>
      <c r="AN85" s="2"/>
      <c r="AO85" s="2"/>
      <c r="AP85" s="2"/>
      <c r="AQ85" s="98"/>
      <c r="AR85" s="2"/>
    </row>
    <row r="86" spans="1:44" ht="12.75" customHeight="1">
      <c r="A86" s="2"/>
      <c r="B86" s="2"/>
      <c r="C86" s="2"/>
      <c r="D86" s="1062"/>
      <c r="E86" s="2"/>
      <c r="F86" s="2"/>
      <c r="G86" s="2"/>
      <c r="H86" s="2"/>
      <c r="I86" s="2"/>
      <c r="J86" s="2"/>
      <c r="K86" s="2"/>
      <c r="L86" s="2"/>
      <c r="N86" s="2"/>
      <c r="O86" s="2"/>
      <c r="P86" s="2"/>
      <c r="Q86" s="2"/>
      <c r="U86" s="2"/>
      <c r="V86" s="2"/>
      <c r="W86" s="2"/>
      <c r="X86" s="2"/>
      <c r="Y86" s="2"/>
      <c r="Z86" s="2"/>
      <c r="AA86" s="2"/>
      <c r="AB86" s="2"/>
      <c r="AC86" s="2"/>
      <c r="AD86" s="2"/>
      <c r="AE86" s="2"/>
      <c r="AF86" s="2"/>
      <c r="AG86" s="2"/>
      <c r="AH86" s="105"/>
      <c r="AI86" s="2"/>
      <c r="AJ86" s="2"/>
      <c r="AK86" s="2"/>
      <c r="AL86" s="2"/>
      <c r="AM86" s="2"/>
      <c r="AN86" s="2"/>
      <c r="AO86" s="2"/>
      <c r="AP86" s="2"/>
      <c r="AQ86" s="98"/>
      <c r="AR86" s="2"/>
    </row>
    <row r="87" spans="1:44" ht="12.75" customHeight="1">
      <c r="A87" s="2"/>
      <c r="B87" s="2"/>
      <c r="C87" s="2"/>
      <c r="D87" s="1062"/>
      <c r="E87" s="2"/>
      <c r="F87" s="2"/>
      <c r="G87" s="2"/>
      <c r="H87" s="2"/>
      <c r="I87" s="2"/>
      <c r="J87" s="2"/>
      <c r="K87" s="2"/>
      <c r="L87" s="2"/>
      <c r="N87" s="2"/>
      <c r="O87" s="2"/>
      <c r="P87" s="2"/>
      <c r="Q87" s="2"/>
      <c r="U87" s="2"/>
      <c r="V87" s="2"/>
      <c r="W87" s="2"/>
      <c r="X87" s="2"/>
      <c r="Y87" s="2"/>
      <c r="Z87" s="2"/>
      <c r="AA87" s="2"/>
      <c r="AB87" s="2"/>
      <c r="AC87" s="2"/>
      <c r="AD87" s="1432" t="s">
        <v>406</v>
      </c>
      <c r="AE87" s="1432"/>
      <c r="AF87" s="1432" t="s">
        <v>1649</v>
      </c>
      <c r="AG87" s="1432"/>
      <c r="AH87" s="1432">
        <v>2013</v>
      </c>
      <c r="AI87" s="2"/>
      <c r="AJ87" s="2"/>
      <c r="AK87" s="2"/>
      <c r="AL87" s="2"/>
      <c r="AM87" s="2"/>
      <c r="AN87" s="2"/>
      <c r="AO87" s="2"/>
      <c r="AP87" s="2"/>
      <c r="AQ87" s="98"/>
      <c r="AR87" s="2"/>
    </row>
    <row r="88" spans="1:44" ht="12.75" customHeight="1">
      <c r="A88" s="98"/>
      <c r="B88" s="98"/>
      <c r="C88" s="98"/>
      <c r="D88" s="1092"/>
      <c r="E88" s="98"/>
      <c r="F88" s="98"/>
      <c r="G88" s="98"/>
      <c r="H88" s="98"/>
      <c r="I88" s="98"/>
      <c r="J88" s="98"/>
      <c r="K88" s="98"/>
      <c r="L88" s="98"/>
      <c r="M88" s="1403"/>
      <c r="N88" s="98"/>
      <c r="O88" s="98"/>
      <c r="P88" s="98"/>
      <c r="Q88" s="98"/>
      <c r="R88" s="1403"/>
      <c r="S88" s="1403"/>
      <c r="T88" s="1403"/>
      <c r="U88" s="98"/>
      <c r="V88" s="98"/>
      <c r="W88" s="98"/>
      <c r="X88" s="98"/>
      <c r="Y88" s="98"/>
      <c r="Z88" s="98"/>
      <c r="AA88" s="98"/>
      <c r="AB88" s="98"/>
      <c r="AC88" s="98" t="s">
        <v>1719</v>
      </c>
      <c r="AD88" s="1423">
        <v>744.21</v>
      </c>
      <c r="AE88" s="1082"/>
      <c r="AF88" s="1423">
        <v>752.81</v>
      </c>
      <c r="AG88" s="1423"/>
      <c r="AH88" s="1423">
        <v>2957.77</v>
      </c>
      <c r="AI88" s="98"/>
      <c r="AJ88" s="98"/>
      <c r="AK88" s="98"/>
      <c r="AL88" s="98"/>
      <c r="AM88" s="98"/>
      <c r="AN88" s="98"/>
      <c r="AO88" s="98"/>
      <c r="AP88" s="98"/>
      <c r="AQ88" s="98"/>
      <c r="AR88" s="98"/>
    </row>
    <row r="89" spans="1:44" ht="12.75" customHeight="1">
      <c r="A89" s="98"/>
      <c r="B89" s="98"/>
      <c r="C89" s="98"/>
      <c r="D89" s="1092"/>
      <c r="E89" s="98"/>
      <c r="F89" s="98"/>
      <c r="G89" s="98"/>
      <c r="H89" s="98"/>
      <c r="I89" s="98"/>
      <c r="J89" s="98"/>
      <c r="K89" s="98"/>
      <c r="L89" s="98"/>
      <c r="M89" s="1403"/>
      <c r="N89" s="98"/>
      <c r="O89" s="98"/>
      <c r="P89" s="98"/>
      <c r="Q89" s="98"/>
      <c r="R89" s="1403"/>
      <c r="S89" s="1403"/>
      <c r="T89" s="1403"/>
      <c r="U89" s="98"/>
      <c r="V89" s="98"/>
      <c r="W89" s="98"/>
      <c r="X89" s="98"/>
      <c r="Y89" s="98"/>
      <c r="Z89" s="98"/>
      <c r="AA89" s="98"/>
      <c r="AB89" s="98"/>
      <c r="AC89" s="98" t="s">
        <v>401</v>
      </c>
      <c r="AD89" s="1423">
        <v>163.59</v>
      </c>
      <c r="AE89" s="1082"/>
      <c r="AF89" s="1423">
        <v>158.35</v>
      </c>
      <c r="AG89" s="1423"/>
      <c r="AH89" s="1423">
        <v>634.79</v>
      </c>
      <c r="AI89" s="98"/>
      <c r="AJ89" s="98"/>
      <c r="AK89" s="98"/>
      <c r="AL89" s="98"/>
      <c r="AM89" s="98"/>
      <c r="AN89" s="98"/>
      <c r="AO89" s="98"/>
      <c r="AP89" s="98"/>
      <c r="AQ89" s="98"/>
      <c r="AR89" s="98"/>
    </row>
    <row r="90" spans="1:44" ht="12.75" customHeight="1">
      <c r="A90" s="2"/>
      <c r="B90" s="2"/>
      <c r="C90" s="2"/>
      <c r="D90" s="1062"/>
      <c r="E90" s="2"/>
      <c r="F90" s="2"/>
      <c r="G90" s="2"/>
      <c r="H90" s="2"/>
      <c r="I90" s="2"/>
      <c r="J90" s="2"/>
      <c r="K90" s="2"/>
      <c r="L90" s="2"/>
      <c r="N90" s="2"/>
      <c r="O90" s="2"/>
      <c r="P90" s="2"/>
      <c r="Q90" s="2"/>
      <c r="U90" s="2"/>
      <c r="V90" s="2"/>
      <c r="W90" s="2"/>
      <c r="X90" s="2"/>
      <c r="Y90" s="2"/>
      <c r="Z90" s="2"/>
      <c r="AA90" s="2"/>
      <c r="AB90" s="2"/>
      <c r="AC90" s="2" t="s">
        <v>200</v>
      </c>
      <c r="AD90" s="1068">
        <v>0.01</v>
      </c>
      <c r="AE90" s="1118"/>
      <c r="AF90" s="1068">
        <v>-0.05</v>
      </c>
      <c r="AG90" s="1068"/>
      <c r="AH90" s="1068">
        <v>-0.13</v>
      </c>
      <c r="AI90" s="2"/>
      <c r="AJ90" s="2"/>
      <c r="AK90" s="2"/>
      <c r="AL90" s="2"/>
      <c r="AM90" s="2"/>
      <c r="AN90" s="2"/>
      <c r="AO90" s="2"/>
      <c r="AP90" s="2"/>
      <c r="AQ90" s="98"/>
      <c r="AR90" s="2"/>
    </row>
    <row r="91" spans="1:44" ht="12.75" customHeight="1">
      <c r="A91" s="2"/>
      <c r="B91" s="2"/>
      <c r="C91" s="2"/>
      <c r="D91" s="1062"/>
      <c r="E91" s="2"/>
      <c r="F91" s="2"/>
      <c r="G91" s="2"/>
      <c r="H91" s="2"/>
      <c r="I91" s="2"/>
      <c r="J91" s="2"/>
      <c r="K91" s="2"/>
      <c r="L91" s="2"/>
      <c r="N91" s="2"/>
      <c r="O91" s="2"/>
      <c r="P91" s="2"/>
      <c r="Q91" s="2"/>
      <c r="U91" s="2"/>
      <c r="V91" s="2"/>
      <c r="W91" s="2"/>
      <c r="X91" s="2"/>
      <c r="Y91" s="2"/>
      <c r="Z91" s="2"/>
      <c r="AA91" s="2"/>
      <c r="AB91" s="2"/>
      <c r="AC91" s="2"/>
      <c r="AD91" s="2"/>
      <c r="AE91" s="2"/>
      <c r="AF91" s="2"/>
      <c r="AG91" s="2"/>
      <c r="AH91" s="2"/>
      <c r="AI91" s="2"/>
      <c r="AJ91" s="2"/>
      <c r="AK91" s="2"/>
      <c r="AL91" s="2"/>
      <c r="AM91" s="2"/>
      <c r="AN91" s="2"/>
      <c r="AO91" s="2"/>
      <c r="AP91" s="2"/>
      <c r="AQ91" s="98"/>
      <c r="AR91" s="2"/>
    </row>
    <row r="92" spans="1:44" ht="12.75" customHeight="1">
      <c r="A92" s="2"/>
      <c r="B92" s="2"/>
      <c r="C92" s="2"/>
      <c r="D92" s="1062"/>
      <c r="E92" s="2"/>
      <c r="F92" s="2"/>
      <c r="G92" s="2"/>
      <c r="H92" s="2"/>
      <c r="I92" s="2"/>
      <c r="J92" s="2"/>
      <c r="K92" s="2"/>
      <c r="L92" s="2"/>
      <c r="N92" s="2"/>
      <c r="O92" s="2"/>
      <c r="P92" s="2"/>
      <c r="Q92" s="2"/>
      <c r="U92" s="2"/>
      <c r="V92" s="2"/>
      <c r="W92" s="2"/>
      <c r="X92" s="2"/>
      <c r="Y92" s="2"/>
      <c r="Z92" s="2"/>
      <c r="AA92" s="2"/>
      <c r="AB92" s="2"/>
      <c r="AC92" s="2"/>
      <c r="AD92" s="2"/>
      <c r="AE92" s="2"/>
      <c r="AF92" s="2"/>
      <c r="AG92" s="2"/>
      <c r="AH92" s="2"/>
      <c r="AI92" s="2"/>
      <c r="AJ92" s="69" t="s">
        <v>1651</v>
      </c>
      <c r="AQ92" s="98"/>
      <c r="AR92" s="2"/>
    </row>
    <row r="93" spans="1:44" ht="12.75" customHeight="1">
      <c r="A93" s="2"/>
      <c r="B93" s="2"/>
      <c r="C93" s="2"/>
      <c r="D93" s="1062"/>
      <c r="E93" s="2"/>
      <c r="F93" s="2"/>
      <c r="G93" s="2"/>
      <c r="H93" s="2"/>
      <c r="I93" s="2"/>
      <c r="J93" s="2"/>
      <c r="K93" s="2"/>
      <c r="L93" s="2"/>
      <c r="N93" s="2"/>
      <c r="O93" s="2"/>
      <c r="P93" s="2"/>
      <c r="Q93" s="2"/>
      <c r="U93" s="2"/>
      <c r="V93" s="2"/>
      <c r="W93" s="2"/>
      <c r="X93" s="2"/>
      <c r="Y93" s="2"/>
      <c r="Z93" s="2"/>
      <c r="AA93" s="2"/>
      <c r="AB93" s="2"/>
      <c r="AC93" s="2"/>
      <c r="AD93" s="2"/>
      <c r="AE93" s="2"/>
      <c r="AF93" s="2"/>
      <c r="AG93" s="2"/>
      <c r="AH93" s="2"/>
      <c r="AI93" s="2"/>
      <c r="AJ93" s="69"/>
      <c r="AQ93" s="98"/>
      <c r="AR93" s="2"/>
    </row>
    <row r="94" spans="1:44" ht="12.75" customHeight="1">
      <c r="A94" s="2"/>
      <c r="B94" s="2"/>
      <c r="C94" s="2"/>
      <c r="D94" s="1062"/>
      <c r="E94" s="2"/>
      <c r="F94" s="2"/>
      <c r="G94" s="2"/>
      <c r="H94" s="2"/>
      <c r="I94" s="2"/>
      <c r="J94" s="2"/>
      <c r="K94" s="2"/>
      <c r="L94" s="2"/>
      <c r="N94" s="2"/>
      <c r="O94" s="2"/>
      <c r="P94" s="2"/>
      <c r="Q94" s="2"/>
      <c r="U94" s="2"/>
      <c r="V94" s="2"/>
      <c r="W94" s="2"/>
      <c r="X94" s="2"/>
      <c r="Y94" s="2"/>
      <c r="Z94" s="2"/>
      <c r="AA94" s="2"/>
      <c r="AB94" s="2"/>
      <c r="AC94" s="2"/>
      <c r="AD94" s="2"/>
      <c r="AE94" s="2"/>
      <c r="AF94" s="2"/>
      <c r="AG94" s="2"/>
      <c r="AH94" s="2"/>
      <c r="AI94" s="2"/>
      <c r="AJ94" s="1447"/>
      <c r="AK94" s="1449"/>
      <c r="AL94" s="1447"/>
      <c r="AM94" s="1447"/>
      <c r="AN94" s="1447"/>
      <c r="AO94" s="1447"/>
      <c r="AP94" s="1447"/>
      <c r="AQ94" s="98"/>
      <c r="AR94" s="2"/>
    </row>
    <row r="95" spans="1:44" ht="12.75" customHeight="1">
      <c r="A95" s="2"/>
      <c r="B95" s="2"/>
      <c r="C95" s="2"/>
      <c r="D95" s="1062"/>
      <c r="E95" s="2"/>
      <c r="F95" s="2"/>
      <c r="G95" s="2"/>
      <c r="H95" s="2"/>
      <c r="I95" s="2"/>
      <c r="J95" s="2"/>
      <c r="K95" s="2"/>
      <c r="L95" s="2"/>
      <c r="N95" s="2"/>
      <c r="O95" s="2"/>
      <c r="P95" s="2"/>
      <c r="Q95" s="2"/>
      <c r="U95" s="2"/>
      <c r="V95" s="2"/>
      <c r="W95" s="2"/>
      <c r="X95" s="2"/>
      <c r="Y95" s="2"/>
      <c r="Z95" s="2"/>
      <c r="AA95" s="2"/>
      <c r="AB95" s="2"/>
      <c r="AC95" s="2"/>
      <c r="AD95" s="2"/>
      <c r="AE95" s="2"/>
      <c r="AF95" s="2"/>
      <c r="AG95" s="2"/>
      <c r="AH95" s="2"/>
      <c r="AI95" s="2"/>
      <c r="AJ95" s="111" t="s">
        <v>1610</v>
      </c>
      <c r="AK95" s="1289" t="s">
        <v>552</v>
      </c>
      <c r="AL95" s="1448"/>
      <c r="AM95" s="1289" t="s">
        <v>405</v>
      </c>
      <c r="AN95" s="1448"/>
      <c r="AO95" s="1289" t="s">
        <v>1489</v>
      </c>
      <c r="AP95" s="1629"/>
      <c r="AQ95" s="98"/>
      <c r="AR95" s="2"/>
    </row>
    <row r="96" spans="1:44" ht="3" customHeight="1">
      <c r="A96" s="2"/>
      <c r="B96" s="2"/>
      <c r="C96" s="2"/>
      <c r="D96" s="1062"/>
      <c r="E96" s="2"/>
      <c r="F96" s="2"/>
      <c r="G96" s="2"/>
      <c r="H96" s="2"/>
      <c r="I96" s="2"/>
      <c r="J96" s="2"/>
      <c r="K96" s="2"/>
      <c r="L96" s="2"/>
      <c r="N96" s="2"/>
      <c r="O96" s="2"/>
      <c r="P96" s="2"/>
      <c r="Q96" s="2"/>
      <c r="U96" s="2"/>
      <c r="V96" s="2"/>
      <c r="W96" s="2"/>
      <c r="X96" s="2"/>
      <c r="Y96" s="2"/>
      <c r="Z96" s="2"/>
      <c r="AA96" s="2"/>
      <c r="AB96" s="2"/>
      <c r="AC96" s="2"/>
      <c r="AD96" s="2"/>
      <c r="AE96" s="2"/>
      <c r="AF96" s="2"/>
      <c r="AG96" s="2"/>
      <c r="AH96" s="2"/>
      <c r="AI96" s="2"/>
      <c r="AJ96" s="69"/>
      <c r="AK96" s="1449"/>
      <c r="AL96" s="1449"/>
      <c r="AM96" s="1449"/>
      <c r="AN96" s="1449"/>
      <c r="AO96" s="1449"/>
      <c r="AP96" s="1449"/>
      <c r="AQ96" s="98"/>
      <c r="AR96" s="2"/>
    </row>
    <row r="97" spans="1:44" ht="12.75" customHeight="1">
      <c r="A97" s="1205"/>
      <c r="B97" s="1205"/>
      <c r="C97" s="1205"/>
      <c r="D97" s="2220"/>
      <c r="E97" s="1205"/>
      <c r="F97" s="1205"/>
      <c r="G97" s="1205"/>
      <c r="H97" s="1205"/>
      <c r="I97" s="1205"/>
      <c r="J97" s="1205"/>
      <c r="K97" s="1205"/>
      <c r="L97" s="1205"/>
      <c r="M97" s="2266"/>
      <c r="N97" s="1205"/>
      <c r="O97" s="1205"/>
      <c r="P97" s="1205"/>
      <c r="Q97" s="1205"/>
      <c r="R97" s="2266"/>
      <c r="S97" s="2266"/>
      <c r="T97" s="2266"/>
      <c r="U97" s="1205"/>
      <c r="V97" s="1205"/>
      <c r="W97" s="1205"/>
      <c r="X97" s="1205"/>
      <c r="Y97" s="1205"/>
      <c r="Z97" s="1205"/>
      <c r="AA97" s="1205"/>
      <c r="AB97" s="1205"/>
      <c r="AC97" s="1205"/>
      <c r="AD97" s="1205"/>
      <c r="AE97" s="1205"/>
      <c r="AF97" s="1205"/>
      <c r="AG97" s="1205"/>
      <c r="AH97" s="1205"/>
      <c r="AI97" s="1205"/>
      <c r="AJ97" s="2267" t="s">
        <v>407</v>
      </c>
      <c r="AK97" s="2276" t="s">
        <v>3</v>
      </c>
      <c r="AL97" s="1205"/>
      <c r="AM97" s="2272">
        <f>+BYD!AX110</f>
        <v>132.33999999999997</v>
      </c>
      <c r="AN97" s="1205"/>
      <c r="AO97" s="2272"/>
      <c r="AP97" s="1205"/>
      <c r="AQ97" s="98"/>
      <c r="AR97" s="1205"/>
    </row>
    <row r="98" spans="1:44" ht="12.75" customHeight="1">
      <c r="A98" s="1205"/>
      <c r="B98" s="1205"/>
      <c r="C98" s="1205"/>
      <c r="D98" s="2220"/>
      <c r="E98" s="1205"/>
      <c r="F98" s="1205"/>
      <c r="G98" s="1205"/>
      <c r="H98" s="1205"/>
      <c r="I98" s="1205"/>
      <c r="J98" s="1205"/>
      <c r="K98" s="1205"/>
      <c r="L98" s="1205"/>
      <c r="M98" s="2266"/>
      <c r="N98" s="1205"/>
      <c r="O98" s="1205"/>
      <c r="P98" s="1205"/>
      <c r="Q98" s="1205"/>
      <c r="R98" s="2266"/>
      <c r="S98" s="2266"/>
      <c r="T98" s="2266"/>
      <c r="U98" s="1205"/>
      <c r="V98" s="1205"/>
      <c r="W98" s="1205"/>
      <c r="X98" s="1205"/>
      <c r="Y98" s="1205"/>
      <c r="Z98" s="1205"/>
      <c r="AA98" s="1205"/>
      <c r="AB98" s="1205"/>
      <c r="AC98" s="1205"/>
      <c r="AD98" s="1205"/>
      <c r="AE98" s="1205"/>
      <c r="AF98" s="1205"/>
      <c r="AG98" s="1205"/>
      <c r="AH98" s="1205"/>
      <c r="AI98" s="1205"/>
      <c r="AJ98" s="2267" t="s">
        <v>1614</v>
      </c>
      <c r="AK98" s="2268" t="s">
        <v>4</v>
      </c>
      <c r="AL98" s="2269"/>
      <c r="AM98" s="2272">
        <f>+BYD!AY927</f>
        <v>46.591999999999999</v>
      </c>
      <c r="AN98" s="2269"/>
      <c r="AO98" s="2272"/>
      <c r="AP98" s="2271"/>
      <c r="AQ98" s="98"/>
      <c r="AR98" s="1205"/>
    </row>
    <row r="99" spans="1:44" ht="6" customHeight="1">
      <c r="A99" s="2"/>
      <c r="B99" s="2"/>
      <c r="C99" s="2"/>
      <c r="D99" s="1062"/>
      <c r="E99" s="2"/>
      <c r="F99" s="2"/>
      <c r="G99" s="2"/>
      <c r="H99" s="2"/>
      <c r="I99" s="2"/>
      <c r="J99" s="2"/>
      <c r="K99" s="2"/>
      <c r="L99" s="2"/>
      <c r="N99" s="2"/>
      <c r="O99" s="2"/>
      <c r="P99" s="2"/>
      <c r="Q99" s="2"/>
      <c r="U99" s="2"/>
      <c r="V99" s="2"/>
      <c r="W99" s="2"/>
      <c r="X99" s="2"/>
      <c r="Y99" s="2"/>
      <c r="Z99" s="2"/>
      <c r="AA99" s="2"/>
      <c r="AB99" s="2"/>
      <c r="AC99" s="2"/>
      <c r="AD99" s="2"/>
      <c r="AE99" s="2"/>
      <c r="AF99" s="2"/>
      <c r="AG99" s="2"/>
      <c r="AH99" s="2"/>
      <c r="AI99" s="2"/>
      <c r="AJ99" s="1447"/>
      <c r="AK99" s="1614"/>
      <c r="AL99" s="1449"/>
      <c r="AM99" s="1450"/>
      <c r="AN99" s="1449"/>
      <c r="AO99" s="1450"/>
      <c r="AP99" s="1450"/>
      <c r="AQ99" s="98"/>
      <c r="AR99" s="2"/>
    </row>
    <row r="100" spans="1:44" ht="12.75" customHeight="1">
      <c r="A100" s="1205"/>
      <c r="B100" s="1205"/>
      <c r="C100" s="1205"/>
      <c r="D100" s="2220"/>
      <c r="E100" s="1205"/>
      <c r="F100" s="1205"/>
      <c r="G100" s="1205"/>
      <c r="H100" s="1205"/>
      <c r="I100" s="1205"/>
      <c r="J100" s="1205"/>
      <c r="K100" s="1205"/>
      <c r="L100" s="1205"/>
      <c r="M100" s="2273"/>
      <c r="N100" s="1205"/>
      <c r="O100" s="1205"/>
      <c r="P100" s="1205"/>
      <c r="Q100" s="1205"/>
      <c r="R100" s="2273"/>
      <c r="S100" s="2273"/>
      <c r="T100" s="2273"/>
      <c r="U100" s="1205"/>
      <c r="V100" s="1205"/>
      <c r="W100" s="1205"/>
      <c r="X100" s="1205"/>
      <c r="Y100" s="1205"/>
      <c r="Z100" s="1205"/>
      <c r="AA100" s="1205"/>
      <c r="AB100" s="1205"/>
      <c r="AC100" s="1205"/>
      <c r="AD100" s="1205"/>
      <c r="AE100" s="1205"/>
      <c r="AF100" s="1205"/>
      <c r="AG100" s="1205"/>
      <c r="AH100" s="1205"/>
      <c r="AI100" s="1205"/>
      <c r="AJ100" s="2267" t="s">
        <v>498</v>
      </c>
      <c r="AK100" s="2268" t="s">
        <v>1</v>
      </c>
      <c r="AL100" s="2269"/>
      <c r="AM100" s="2270">
        <f>+SUM(AM97:AM99)</f>
        <v>178.93199999999996</v>
      </c>
      <c r="AN100" s="2269"/>
      <c r="AO100" s="2268">
        <v>158.35</v>
      </c>
      <c r="AP100" s="2271"/>
      <c r="AQ100" s="98"/>
      <c r="AR100" s="1205"/>
    </row>
    <row r="101" spans="1:44" ht="6" customHeight="1">
      <c r="A101" s="2"/>
      <c r="B101" s="2"/>
      <c r="C101" s="2"/>
      <c r="D101" s="1062"/>
      <c r="E101" s="2"/>
      <c r="F101" s="2"/>
      <c r="G101" s="2"/>
      <c r="H101" s="2"/>
      <c r="I101" s="2"/>
      <c r="J101" s="2"/>
      <c r="K101" s="2"/>
      <c r="L101" s="2"/>
      <c r="N101" s="2"/>
      <c r="O101" s="2"/>
      <c r="P101" s="2"/>
      <c r="Q101" s="2"/>
      <c r="U101" s="2"/>
      <c r="V101" s="2"/>
      <c r="W101" s="2"/>
      <c r="X101" s="2"/>
      <c r="Y101" s="2"/>
      <c r="Z101" s="2"/>
      <c r="AA101" s="2"/>
      <c r="AB101" s="2"/>
      <c r="AC101" s="2"/>
      <c r="AD101" s="2"/>
      <c r="AE101" s="2"/>
      <c r="AF101" s="2"/>
      <c r="AG101" s="2"/>
      <c r="AH101" s="2"/>
      <c r="AI101" s="2"/>
      <c r="AJ101" s="1447"/>
      <c r="AK101" s="1614"/>
      <c r="AL101" s="1449"/>
      <c r="AM101" s="1450"/>
      <c r="AN101" s="1449"/>
      <c r="AO101" s="1450"/>
      <c r="AP101" s="1450"/>
      <c r="AQ101" s="98"/>
      <c r="AR101" s="2"/>
    </row>
    <row r="102" spans="1:44" ht="12.75" customHeight="1">
      <c r="A102" s="2"/>
      <c r="B102" s="2"/>
      <c r="C102" s="2"/>
      <c r="D102" s="1062"/>
      <c r="E102" s="2"/>
      <c r="F102" s="2"/>
      <c r="G102" s="2"/>
      <c r="H102" s="2"/>
      <c r="I102" s="2"/>
      <c r="J102" s="2"/>
      <c r="K102" s="2"/>
      <c r="L102" s="2"/>
      <c r="N102" s="2"/>
      <c r="O102" s="2"/>
      <c r="P102" s="2"/>
      <c r="Q102" s="2"/>
      <c r="U102" s="2"/>
      <c r="V102" s="2"/>
      <c r="W102" s="2"/>
      <c r="X102" s="2"/>
      <c r="Y102" s="2"/>
      <c r="Z102" s="2"/>
      <c r="AA102" s="2"/>
      <c r="AB102" s="2"/>
      <c r="AC102" s="2"/>
      <c r="AD102" s="2"/>
      <c r="AE102" s="2"/>
      <c r="AF102" s="2"/>
      <c r="AG102" s="2"/>
      <c r="AH102" s="2"/>
      <c r="AI102" s="2"/>
      <c r="AJ102" s="1447" t="s">
        <v>1615</v>
      </c>
      <c r="AK102" s="1614" t="s">
        <v>5</v>
      </c>
      <c r="AL102" s="1449"/>
      <c r="AM102" s="2265">
        <f>+BYD!AY91</f>
        <v>-0.36747575205553612</v>
      </c>
      <c r="AN102" s="1449"/>
      <c r="AO102" s="2265">
        <v>-0.05</v>
      </c>
      <c r="AP102" s="1466"/>
      <c r="AQ102" s="98"/>
      <c r="AR102" s="2"/>
    </row>
    <row r="103" spans="1:44" ht="6" customHeight="1">
      <c r="A103" s="2"/>
      <c r="B103" s="2"/>
      <c r="C103" s="2"/>
      <c r="D103" s="1062"/>
      <c r="E103" s="2"/>
      <c r="F103" s="2"/>
      <c r="G103" s="2"/>
      <c r="H103" s="2"/>
      <c r="I103" s="2"/>
      <c r="J103" s="2"/>
      <c r="K103" s="2"/>
      <c r="L103" s="2"/>
      <c r="N103" s="2"/>
      <c r="O103" s="2"/>
      <c r="P103" s="2"/>
      <c r="Q103" s="2"/>
      <c r="U103" s="2"/>
      <c r="V103" s="2"/>
      <c r="W103" s="2"/>
      <c r="X103" s="2"/>
      <c r="Y103" s="2"/>
      <c r="Z103" s="2"/>
      <c r="AA103" s="2"/>
      <c r="AB103" s="2"/>
      <c r="AC103" s="2"/>
      <c r="AD103" s="2"/>
      <c r="AE103" s="2"/>
      <c r="AF103" s="2"/>
      <c r="AG103" s="2"/>
      <c r="AH103" s="2"/>
      <c r="AI103" s="2"/>
      <c r="AJ103" s="1447"/>
      <c r="AK103" s="1450"/>
      <c r="AL103" s="1449"/>
      <c r="AM103" s="1449"/>
      <c r="AN103" s="1449"/>
      <c r="AO103" s="1449"/>
      <c r="AP103" s="1449"/>
      <c r="AQ103" s="98"/>
      <c r="AR103" s="2"/>
    </row>
    <row r="104" spans="1:44" ht="12.75" customHeight="1">
      <c r="A104" s="2"/>
      <c r="B104" s="2"/>
      <c r="C104" s="2"/>
      <c r="D104" s="1062"/>
      <c r="E104" s="2"/>
      <c r="F104" s="2"/>
      <c r="G104" s="2"/>
      <c r="H104" s="2"/>
      <c r="I104" s="2"/>
      <c r="J104" s="2"/>
      <c r="K104" s="2"/>
      <c r="L104" s="2"/>
      <c r="N104" s="2"/>
      <c r="O104" s="2"/>
      <c r="P104" s="2"/>
      <c r="Q104" s="2"/>
      <c r="U104" s="2"/>
      <c r="V104" s="2"/>
      <c r="W104" s="2"/>
      <c r="X104" s="2"/>
      <c r="Y104" s="2"/>
      <c r="Z104" s="2"/>
      <c r="AA104" s="2"/>
      <c r="AB104" s="2"/>
      <c r="AC104" s="2"/>
      <c r="AD104" s="2"/>
      <c r="AE104" s="2"/>
      <c r="AF104" s="2"/>
      <c r="AG104" s="2"/>
      <c r="AH104" s="2"/>
      <c r="AI104" s="2"/>
      <c r="AJ104" s="2" t="s">
        <v>408</v>
      </c>
      <c r="AK104" s="2"/>
      <c r="AL104" s="2"/>
      <c r="AM104" s="2"/>
      <c r="AN104" s="2"/>
      <c r="AO104" s="2"/>
      <c r="AP104" s="2"/>
      <c r="AQ104" s="98"/>
      <c r="AR104" s="2"/>
    </row>
    <row r="105" spans="1:44" ht="12.75" customHeight="1">
      <c r="A105" s="2"/>
      <c r="B105" s="2"/>
      <c r="C105" s="2"/>
      <c r="D105" s="1062"/>
      <c r="E105" s="2"/>
      <c r="F105" s="2"/>
      <c r="G105" s="2"/>
      <c r="H105" s="2"/>
      <c r="I105" s="2"/>
      <c r="J105" s="2"/>
      <c r="K105" s="2"/>
      <c r="L105" s="2"/>
      <c r="N105" s="2"/>
      <c r="O105" s="2"/>
      <c r="P105" s="2"/>
      <c r="Q105" s="2"/>
      <c r="U105" s="2"/>
      <c r="V105" s="2"/>
      <c r="W105" s="2"/>
      <c r="X105" s="2"/>
      <c r="Y105" s="2"/>
      <c r="Z105" s="2"/>
      <c r="AA105" s="2"/>
      <c r="AB105" s="2"/>
      <c r="AC105" s="2"/>
      <c r="AD105" s="2"/>
      <c r="AE105" s="2"/>
      <c r="AF105" s="2"/>
      <c r="AG105" s="2"/>
      <c r="AH105" s="2"/>
      <c r="AI105" s="2"/>
      <c r="AJ105" s="2"/>
      <c r="AK105" s="2"/>
      <c r="AL105" s="2"/>
      <c r="AM105" s="2"/>
      <c r="AN105" s="2"/>
      <c r="AO105" s="2"/>
      <c r="AP105" s="1" t="s">
        <v>6</v>
      </c>
      <c r="AQ105" s="98"/>
      <c r="AR105" s="2"/>
    </row>
    <row r="106" spans="1:44" ht="12.75" customHeight="1">
      <c r="A106" s="2"/>
      <c r="B106" s="2"/>
      <c r="C106" s="2"/>
      <c r="D106" s="1062"/>
      <c r="E106" s="2"/>
      <c r="F106" s="2"/>
      <c r="G106" s="2"/>
      <c r="H106" s="2"/>
      <c r="I106" s="2"/>
      <c r="J106" s="2"/>
      <c r="K106" s="2"/>
      <c r="L106" s="2"/>
      <c r="N106" s="2"/>
      <c r="O106" s="2"/>
      <c r="P106" s="2"/>
      <c r="Q106" s="2"/>
      <c r="U106" s="2"/>
      <c r="V106" s="2"/>
      <c r="W106" s="2"/>
      <c r="X106" s="2"/>
      <c r="Y106" s="2"/>
      <c r="Z106" s="2"/>
      <c r="AA106" s="2"/>
      <c r="AB106" s="2"/>
      <c r="AC106" s="2"/>
      <c r="AD106" s="2"/>
      <c r="AE106" s="2"/>
      <c r="AF106" s="2"/>
      <c r="AG106" s="2"/>
      <c r="AH106" s="2"/>
      <c r="AI106" s="2"/>
      <c r="AJ106" s="2"/>
      <c r="AK106" s="2"/>
      <c r="AL106" s="2"/>
      <c r="AM106" s="2"/>
      <c r="AN106" s="2"/>
      <c r="AO106" s="2"/>
      <c r="AP106" s="1" t="s">
        <v>7</v>
      </c>
      <c r="AQ106" s="98"/>
      <c r="AR106" s="101" t="s">
        <v>405</v>
      </c>
    </row>
    <row r="107" spans="1:44" ht="12.75" customHeight="1">
      <c r="A107" s="2"/>
      <c r="B107" s="2"/>
      <c r="C107" s="2"/>
      <c r="D107" s="1062"/>
      <c r="E107" s="2"/>
      <c r="F107" s="2"/>
      <c r="G107" s="2"/>
      <c r="H107" s="2"/>
      <c r="I107" s="2"/>
      <c r="J107" s="2"/>
      <c r="K107" s="2"/>
      <c r="L107" s="2"/>
      <c r="N107" s="2"/>
      <c r="O107" s="2"/>
      <c r="P107" s="2"/>
      <c r="Q107" s="2"/>
      <c r="U107" s="2"/>
      <c r="V107" s="2"/>
      <c r="W107" s="2"/>
      <c r="X107" s="2"/>
      <c r="Y107" s="2"/>
      <c r="Z107" s="2"/>
      <c r="AA107" s="2"/>
      <c r="AB107" s="2"/>
      <c r="AC107" s="2"/>
      <c r="AD107" s="2"/>
      <c r="AE107" s="2"/>
      <c r="AF107" s="2"/>
      <c r="AG107" s="2"/>
      <c r="AH107" s="2"/>
      <c r="AI107" s="2"/>
      <c r="AJ107" s="2"/>
      <c r="AK107" s="2"/>
      <c r="AL107" s="2"/>
      <c r="AM107" s="2"/>
      <c r="AN107" s="2"/>
      <c r="AO107" s="2"/>
      <c r="AP107" s="2" t="s">
        <v>514</v>
      </c>
      <c r="AQ107" s="1349">
        <v>149.72999999999999</v>
      </c>
      <c r="AR107" s="2">
        <f>+BYD!AX10</f>
        <v>149.69</v>
      </c>
    </row>
    <row r="108" spans="1:44" ht="12.75" customHeight="1">
      <c r="A108" s="2"/>
      <c r="B108" s="2"/>
      <c r="C108" s="2"/>
      <c r="D108" s="1062"/>
      <c r="E108" s="2"/>
      <c r="F108" s="2"/>
      <c r="G108" s="2"/>
      <c r="H108" s="2"/>
      <c r="I108" s="2"/>
      <c r="J108" s="2"/>
      <c r="K108" s="2"/>
      <c r="L108" s="2"/>
      <c r="N108" s="2"/>
      <c r="O108" s="2"/>
      <c r="P108" s="2"/>
      <c r="Q108" s="2"/>
      <c r="U108" s="2"/>
      <c r="V108" s="2"/>
      <c r="W108" s="2"/>
      <c r="X108" s="2"/>
      <c r="Y108" s="2"/>
      <c r="Z108" s="2"/>
      <c r="AA108" s="2"/>
      <c r="AB108" s="2"/>
      <c r="AC108" s="2"/>
      <c r="AD108" s="2"/>
      <c r="AE108" s="2"/>
      <c r="AF108" s="2"/>
      <c r="AG108" s="2"/>
      <c r="AH108" s="2"/>
      <c r="AI108" s="2"/>
      <c r="AJ108" s="2"/>
      <c r="AK108" s="2"/>
      <c r="AL108" s="2"/>
      <c r="AM108" s="2"/>
      <c r="AN108" s="2"/>
      <c r="AO108" s="2"/>
      <c r="AP108" s="2" t="s">
        <v>515</v>
      </c>
      <c r="AQ108" s="1102">
        <v>56.23</v>
      </c>
      <c r="AR108" s="2">
        <f>+BYD!AX11</f>
        <v>56.128</v>
      </c>
    </row>
    <row r="109" spans="1:44" ht="12.75" customHeight="1">
      <c r="A109" s="2"/>
      <c r="B109" s="2"/>
      <c r="C109" s="2"/>
      <c r="D109" s="1062"/>
      <c r="E109" s="2"/>
      <c r="F109" s="2"/>
      <c r="G109" s="2"/>
      <c r="H109" s="2"/>
      <c r="I109" s="2"/>
      <c r="J109" s="2"/>
      <c r="K109" s="2"/>
      <c r="L109" s="2"/>
      <c r="N109" s="2"/>
      <c r="O109" s="2"/>
      <c r="P109" s="2"/>
      <c r="Q109" s="2"/>
      <c r="U109" s="2"/>
      <c r="V109" s="2"/>
      <c r="W109" s="2"/>
      <c r="X109" s="2"/>
      <c r="Y109" s="2"/>
      <c r="Z109" s="2"/>
      <c r="AA109" s="2"/>
      <c r="AB109" s="2"/>
      <c r="AC109" s="2"/>
      <c r="AD109" s="2"/>
      <c r="AE109" s="2"/>
      <c r="AF109" s="2"/>
      <c r="AG109" s="2"/>
      <c r="AH109" s="2"/>
      <c r="AI109" s="2"/>
      <c r="AJ109" s="2"/>
      <c r="AK109" s="2"/>
      <c r="AL109" s="2"/>
      <c r="AM109" s="2"/>
      <c r="AN109" s="2"/>
      <c r="AO109" s="2"/>
      <c r="AP109" s="2" t="s">
        <v>516</v>
      </c>
      <c r="AQ109" s="1102">
        <v>234.18</v>
      </c>
      <c r="AR109" s="2">
        <f>+BYD!AX13</f>
        <v>224.273</v>
      </c>
    </row>
    <row r="110" spans="1:44" ht="12.75" customHeight="1">
      <c r="A110" s="2"/>
      <c r="B110" s="2"/>
      <c r="C110" s="2"/>
      <c r="D110" s="1062"/>
      <c r="E110" s="2"/>
      <c r="F110" s="2"/>
      <c r="G110" s="2"/>
      <c r="H110" s="2"/>
      <c r="I110" s="2"/>
      <c r="J110" s="2"/>
      <c r="K110" s="2"/>
      <c r="L110" s="2"/>
      <c r="N110" s="2"/>
      <c r="O110" s="2"/>
      <c r="P110" s="2"/>
      <c r="Q110" s="2"/>
      <c r="U110" s="2"/>
      <c r="V110" s="2"/>
      <c r="W110" s="2"/>
      <c r="X110" s="2"/>
      <c r="Y110" s="2"/>
      <c r="Z110" s="2"/>
      <c r="AA110" s="2"/>
      <c r="AB110" s="2"/>
      <c r="AC110" s="2"/>
      <c r="AD110" s="2"/>
      <c r="AE110" s="2"/>
      <c r="AF110" s="2"/>
      <c r="AG110" s="2"/>
      <c r="AH110" s="2"/>
      <c r="AI110" s="2"/>
      <c r="AJ110" s="2"/>
      <c r="AK110" s="2"/>
      <c r="AL110" s="2"/>
      <c r="AM110" s="2"/>
      <c r="AN110" s="2"/>
      <c r="AO110" s="2"/>
      <c r="AP110" s="2" t="s">
        <v>517</v>
      </c>
      <c r="AQ110" s="1102">
        <v>137.13</v>
      </c>
      <c r="AR110" s="2">
        <f>+BYD!AX14</f>
        <v>135.78</v>
      </c>
    </row>
    <row r="111" spans="1:44" ht="12.75" customHeight="1">
      <c r="A111" s="2"/>
      <c r="B111" s="2"/>
      <c r="C111" s="2"/>
      <c r="D111" s="1062"/>
      <c r="E111" s="2"/>
      <c r="F111" s="2"/>
      <c r="G111" s="2"/>
      <c r="H111" s="2"/>
      <c r="I111" s="2"/>
      <c r="J111" s="2"/>
      <c r="K111" s="2"/>
      <c r="L111" s="2"/>
      <c r="N111" s="2"/>
      <c r="O111" s="2"/>
      <c r="P111" s="2"/>
      <c r="Q111" s="2"/>
      <c r="U111" s="2"/>
      <c r="V111" s="2"/>
      <c r="W111" s="2"/>
      <c r="X111" s="2"/>
      <c r="Y111" s="2"/>
      <c r="Z111" s="2"/>
      <c r="AA111" s="2"/>
      <c r="AB111" s="2"/>
      <c r="AC111" s="2"/>
      <c r="AD111" s="2"/>
      <c r="AE111" s="2"/>
      <c r="AF111" s="2"/>
      <c r="AG111" s="2"/>
      <c r="AH111" s="2"/>
      <c r="AI111" s="2"/>
      <c r="AJ111" s="2"/>
      <c r="AK111" s="2"/>
      <c r="AL111" s="2"/>
      <c r="AM111" s="2"/>
      <c r="AN111" s="2"/>
      <c r="AO111" s="2"/>
      <c r="AP111" s="2" t="s">
        <v>273</v>
      </c>
      <c r="AQ111" s="1102">
        <v>164.03</v>
      </c>
      <c r="AR111" s="2">
        <f>+BYD!AX17</f>
        <v>0</v>
      </c>
    </row>
    <row r="112" spans="1:44" ht="12.75" customHeight="1">
      <c r="A112" s="2"/>
      <c r="B112" s="2"/>
      <c r="C112" s="2"/>
      <c r="D112" s="1062"/>
      <c r="E112" s="2"/>
      <c r="F112" s="2"/>
      <c r="G112" s="2"/>
      <c r="H112" s="2"/>
      <c r="I112" s="2"/>
      <c r="J112" s="2"/>
      <c r="K112" s="2"/>
      <c r="L112" s="2"/>
      <c r="N112" s="2"/>
      <c r="O112" s="2"/>
      <c r="P112" s="2"/>
      <c r="Q112" s="2"/>
      <c r="U112" s="2"/>
      <c r="V112" s="2"/>
      <c r="W112" s="2"/>
      <c r="X112" s="2"/>
      <c r="Y112" s="2"/>
      <c r="Z112" s="2"/>
      <c r="AA112" s="2"/>
      <c r="AB112" s="2"/>
      <c r="AC112" s="2"/>
      <c r="AD112" s="2"/>
      <c r="AE112" s="2"/>
      <c r="AF112" s="2"/>
      <c r="AG112" s="2"/>
      <c r="AH112" s="2"/>
      <c r="AI112" s="2"/>
      <c r="AJ112" s="2"/>
      <c r="AK112" s="2"/>
      <c r="AL112" s="2"/>
      <c r="AM112" s="2"/>
      <c r="AN112" s="2"/>
      <c r="AO112" s="2"/>
      <c r="AP112" s="2" t="s">
        <v>1790</v>
      </c>
      <c r="AQ112" s="1102">
        <v>1.2</v>
      </c>
      <c r="AR112" s="2"/>
    </row>
    <row r="113" spans="1:44" ht="12.75" customHeight="1">
      <c r="A113" s="2"/>
      <c r="B113" s="2"/>
      <c r="C113" s="2"/>
      <c r="D113" s="1062"/>
      <c r="E113" s="2"/>
      <c r="F113" s="2"/>
      <c r="G113" s="2"/>
      <c r="H113" s="2"/>
      <c r="I113" s="2"/>
      <c r="J113" s="2"/>
      <c r="K113" s="2"/>
      <c r="L113" s="2"/>
      <c r="N113" s="2"/>
      <c r="O113" s="2"/>
      <c r="P113" s="2"/>
      <c r="Q113" s="2"/>
      <c r="U113" s="2"/>
      <c r="V113" s="2"/>
      <c r="W113" s="2"/>
      <c r="X113" s="2"/>
      <c r="Y113" s="2"/>
      <c r="Z113" s="2"/>
      <c r="AA113" s="2"/>
      <c r="AB113" s="2"/>
      <c r="AC113" s="2"/>
      <c r="AD113" s="2"/>
      <c r="AE113" s="2"/>
      <c r="AF113" s="2"/>
      <c r="AG113" s="2"/>
      <c r="AH113" s="2"/>
      <c r="AI113" s="2"/>
      <c r="AJ113" s="2"/>
      <c r="AK113" s="2"/>
      <c r="AL113" s="2"/>
      <c r="AM113" s="2"/>
      <c r="AN113" s="2"/>
      <c r="AO113" s="2"/>
      <c r="AP113" s="1" t="s">
        <v>401</v>
      </c>
      <c r="AQ113" s="98"/>
      <c r="AR113" s="2"/>
    </row>
    <row r="114" spans="1:44" ht="12.75" customHeight="1">
      <c r="A114" s="2"/>
      <c r="B114" s="2"/>
      <c r="C114" s="2"/>
      <c r="D114" s="1062"/>
      <c r="E114" s="2"/>
      <c r="F114" s="2"/>
      <c r="G114" s="2"/>
      <c r="H114" s="2"/>
      <c r="I114" s="2"/>
      <c r="J114" s="2"/>
      <c r="K114" s="2"/>
      <c r="L114" s="2"/>
      <c r="N114" s="2"/>
      <c r="O114" s="2"/>
      <c r="P114" s="2"/>
      <c r="Q114" s="2"/>
      <c r="U114" s="2"/>
      <c r="V114" s="2"/>
      <c r="W114" s="2"/>
      <c r="X114" s="2"/>
      <c r="Y114" s="2"/>
      <c r="Z114" s="2"/>
      <c r="AA114" s="2"/>
      <c r="AB114" s="2"/>
      <c r="AC114" s="2"/>
      <c r="AD114" s="2"/>
      <c r="AE114" s="2"/>
      <c r="AF114" s="2"/>
      <c r="AG114" s="2"/>
      <c r="AH114" s="2"/>
      <c r="AI114" s="2"/>
      <c r="AJ114" s="2"/>
      <c r="AK114" s="2"/>
      <c r="AL114" s="2"/>
      <c r="AM114" s="2"/>
      <c r="AN114" s="2"/>
      <c r="AO114" s="2"/>
      <c r="AP114" s="2" t="s">
        <v>514</v>
      </c>
      <c r="AQ114" s="1349">
        <v>34.83</v>
      </c>
      <c r="AR114" s="2">
        <f>+BYD!AX38</f>
        <v>38.722999999999999</v>
      </c>
    </row>
    <row r="115" spans="1:44" ht="12.75" customHeight="1">
      <c r="A115" s="2"/>
      <c r="B115" s="2"/>
      <c r="C115" s="2"/>
      <c r="D115" s="1062"/>
      <c r="E115" s="2"/>
      <c r="F115" s="2"/>
      <c r="G115" s="2"/>
      <c r="H115" s="2"/>
      <c r="I115" s="2"/>
      <c r="J115" s="2"/>
      <c r="K115" s="2"/>
      <c r="L115" s="2"/>
      <c r="N115" s="2"/>
      <c r="O115" s="2"/>
      <c r="P115" s="2"/>
      <c r="Q115" s="2"/>
      <c r="U115" s="2"/>
      <c r="V115" s="2"/>
      <c r="W115" s="2"/>
      <c r="X115" s="2"/>
      <c r="Y115" s="2"/>
      <c r="Z115" s="2"/>
      <c r="AA115" s="2"/>
      <c r="AB115" s="2"/>
      <c r="AC115" s="2"/>
      <c r="AD115" s="2"/>
      <c r="AE115" s="2"/>
      <c r="AF115" s="2"/>
      <c r="AG115" s="2"/>
      <c r="AH115" s="2"/>
      <c r="AI115" s="2"/>
      <c r="AJ115" s="2"/>
      <c r="AK115" s="2"/>
      <c r="AL115" s="2"/>
      <c r="AM115" s="2"/>
      <c r="AN115" s="2"/>
      <c r="AO115" s="2"/>
      <c r="AP115" s="2" t="s">
        <v>515</v>
      </c>
      <c r="AQ115" s="1102">
        <v>8.36</v>
      </c>
      <c r="AR115" s="2">
        <f>+BYD!AX39</f>
        <v>9.2970000000000006</v>
      </c>
    </row>
    <row r="116" spans="1:44" ht="12.75" customHeight="1">
      <c r="A116" s="2"/>
      <c r="B116" s="2"/>
      <c r="C116" s="2"/>
      <c r="D116" s="1062"/>
      <c r="E116" s="2"/>
      <c r="F116" s="2"/>
      <c r="G116" s="2"/>
      <c r="H116" s="2"/>
      <c r="I116" s="2"/>
      <c r="J116" s="2"/>
      <c r="K116" s="2"/>
      <c r="L116" s="2"/>
      <c r="N116" s="2"/>
      <c r="O116" s="2"/>
      <c r="P116" s="2"/>
      <c r="Q116" s="2"/>
      <c r="U116" s="2"/>
      <c r="V116" s="2"/>
      <c r="W116" s="2"/>
      <c r="X116" s="2"/>
      <c r="Y116" s="2"/>
      <c r="Z116" s="2"/>
      <c r="AA116" s="2"/>
      <c r="AB116" s="2"/>
      <c r="AC116" s="2"/>
      <c r="AD116" s="2"/>
      <c r="AE116" s="2"/>
      <c r="AF116" s="2"/>
      <c r="AG116" s="2"/>
      <c r="AH116" s="2"/>
      <c r="AI116" s="2"/>
      <c r="AJ116" s="2"/>
      <c r="AK116" s="2"/>
      <c r="AL116" s="2"/>
      <c r="AM116" s="2"/>
      <c r="AN116" s="2"/>
      <c r="AO116" s="2"/>
      <c r="AP116" s="2" t="s">
        <v>516</v>
      </c>
      <c r="AQ116" s="1102">
        <v>51.04</v>
      </c>
      <c r="AR116" s="2">
        <f>+BYD!AX41</f>
        <v>48.625</v>
      </c>
    </row>
    <row r="117" spans="1:44" ht="12.75" customHeight="1">
      <c r="A117" s="2"/>
      <c r="B117" s="2"/>
      <c r="C117" s="2"/>
      <c r="D117" s="1062"/>
      <c r="E117" s="2"/>
      <c r="F117" s="2"/>
      <c r="G117" s="2"/>
      <c r="H117" s="2"/>
      <c r="I117" s="2"/>
      <c r="J117" s="2"/>
      <c r="K117" s="2"/>
      <c r="L117" s="2"/>
      <c r="N117" s="2"/>
      <c r="O117" s="2"/>
      <c r="P117" s="2"/>
      <c r="Q117" s="2"/>
      <c r="U117" s="2"/>
      <c r="V117" s="2"/>
      <c r="W117" s="2"/>
      <c r="X117" s="2"/>
      <c r="Y117" s="2"/>
      <c r="Z117" s="2"/>
      <c r="AA117" s="2"/>
      <c r="AB117" s="2"/>
      <c r="AC117" s="2"/>
      <c r="AD117" s="2"/>
      <c r="AE117" s="2"/>
      <c r="AF117" s="2"/>
      <c r="AG117" s="2"/>
      <c r="AH117" s="2"/>
      <c r="AI117" s="2"/>
      <c r="AJ117" s="2"/>
      <c r="AK117" s="2"/>
      <c r="AL117" s="2"/>
      <c r="AM117" s="2"/>
      <c r="AN117" s="2"/>
      <c r="AO117" s="2"/>
      <c r="AP117" s="2" t="s">
        <v>517</v>
      </c>
      <c r="AQ117" s="1102">
        <v>52.46</v>
      </c>
      <c r="AR117" s="2">
        <f>+BYD!AX42</f>
        <v>48.323</v>
      </c>
    </row>
    <row r="118" spans="1:44" ht="12.75" customHeight="1">
      <c r="A118" s="2"/>
      <c r="B118" s="2"/>
      <c r="C118" s="2"/>
      <c r="D118" s="1062"/>
      <c r="E118" s="2"/>
      <c r="F118" s="2"/>
      <c r="G118" s="2"/>
      <c r="H118" s="2"/>
      <c r="I118" s="2"/>
      <c r="J118" s="2"/>
      <c r="K118" s="2"/>
      <c r="L118" s="2"/>
      <c r="N118" s="2"/>
      <c r="O118" s="2"/>
      <c r="P118" s="2"/>
      <c r="Q118" s="2"/>
      <c r="U118" s="2"/>
      <c r="V118" s="2"/>
      <c r="W118" s="2"/>
      <c r="X118" s="2"/>
      <c r="Y118" s="2"/>
      <c r="Z118" s="2"/>
      <c r="AA118" s="2"/>
      <c r="AB118" s="2"/>
      <c r="AC118" s="2"/>
      <c r="AD118" s="2"/>
      <c r="AE118" s="2"/>
      <c r="AF118" s="2"/>
      <c r="AG118" s="2"/>
      <c r="AH118" s="2"/>
      <c r="AI118" s="2"/>
      <c r="AJ118" s="2"/>
      <c r="AK118" s="2"/>
      <c r="AL118" s="2"/>
      <c r="AM118" s="2"/>
      <c r="AN118" s="2"/>
      <c r="AO118" s="2"/>
      <c r="AP118" s="2" t="s">
        <v>273</v>
      </c>
      <c r="AQ118" s="1102">
        <v>28.21</v>
      </c>
      <c r="AR118" s="2">
        <f>+BYD!AX45</f>
        <v>27.847000000000001</v>
      </c>
    </row>
  </sheetData>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R118"/>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5" max="15" width="1.5" customWidth="1"/>
    <col min="18" max="18" width="3.25" customWidth="1"/>
    <col min="20" max="20" width="1" customWidth="1"/>
    <col min="21" max="21" width="19" customWidth="1"/>
    <col min="22" max="22" width="1.625" customWidth="1"/>
    <col min="23" max="23" width="8.625" customWidth="1"/>
    <col min="24" max="24" width="1.625" customWidth="1"/>
    <col min="25" max="25" width="8.625" customWidth="1"/>
    <col min="26" max="26" width="1.625" customWidth="1"/>
    <col min="27" max="27" width="8.625" customWidth="1"/>
    <col min="30" max="30" width="7.625" customWidth="1"/>
    <col min="31" max="31" width="1.625" customWidth="1"/>
    <col min="32" max="32" width="7.625" customWidth="1"/>
    <col min="33" max="33" width="1.625" customWidth="1"/>
    <col min="34" max="34" width="7.625" customWidth="1"/>
    <col min="35" max="35" width="1.625" customWidth="1"/>
    <col min="36" max="36" width="21.5" customWidth="1"/>
    <col min="37" max="37" width="11.625" customWidth="1"/>
    <col min="38" max="38" width="1.625" customWidth="1"/>
    <col min="39" max="39" width="10.625" customWidth="1"/>
    <col min="40" max="40" width="1.625" customWidth="1"/>
    <col min="41" max="41" width="10.625" customWidth="1"/>
    <col min="42" max="42" width="16" customWidth="1"/>
  </cols>
  <sheetData>
    <row r="1" spans="1:44" ht="12.75" customHeight="1">
      <c r="A1" s="1" t="s">
        <v>629</v>
      </c>
      <c r="B1" s="2"/>
      <c r="C1" s="166"/>
      <c r="D1" s="1062"/>
      <c r="E1" s="2"/>
      <c r="F1" s="2"/>
      <c r="G1" s="2"/>
      <c r="H1" s="2"/>
      <c r="I1" s="2"/>
      <c r="J1" s="2"/>
      <c r="K1" s="2"/>
      <c r="L1" s="2"/>
      <c r="N1" s="2"/>
      <c r="O1" s="2"/>
      <c r="P1" s="2"/>
      <c r="Q1" s="2"/>
      <c r="U1" s="2"/>
      <c r="V1" s="2"/>
      <c r="W1" s="2"/>
      <c r="X1" s="2"/>
      <c r="Y1" s="2"/>
      <c r="Z1" s="2"/>
      <c r="AA1" s="2"/>
      <c r="AB1" s="2"/>
      <c r="AC1" s="2"/>
      <c r="AD1" s="2"/>
      <c r="AE1" s="2"/>
      <c r="AF1" s="2"/>
      <c r="AG1" s="2"/>
      <c r="AH1" s="2"/>
      <c r="AI1" s="2"/>
      <c r="AJ1" s="2"/>
      <c r="AK1" s="2"/>
      <c r="AL1" s="2"/>
      <c r="AM1" s="2"/>
      <c r="AN1" s="2"/>
      <c r="AO1" s="2"/>
      <c r="AP1" s="2"/>
      <c r="AQ1" s="98"/>
      <c r="AR1" s="2"/>
    </row>
    <row r="2" spans="1:44" ht="12.75" customHeight="1">
      <c r="A2" s="1" t="s">
        <v>1224</v>
      </c>
      <c r="B2" s="2"/>
      <c r="C2" s="2"/>
      <c r="D2" s="1062"/>
      <c r="E2" s="2"/>
      <c r="F2" s="2"/>
      <c r="G2" s="2"/>
      <c r="H2" s="2"/>
      <c r="I2" s="2"/>
      <c r="J2" s="2"/>
      <c r="K2" s="2"/>
      <c r="L2" s="2"/>
      <c r="N2" s="2"/>
      <c r="O2" s="2"/>
      <c r="P2" s="2"/>
      <c r="Q2" s="2"/>
      <c r="U2" s="2"/>
      <c r="V2" s="2"/>
      <c r="W2" s="2"/>
      <c r="X2" s="2"/>
      <c r="Y2" s="2"/>
      <c r="Z2" s="2"/>
      <c r="AA2" s="2"/>
      <c r="AB2" s="2"/>
      <c r="AC2" s="2"/>
      <c r="AD2" s="2"/>
      <c r="AE2" s="2"/>
      <c r="AF2" s="2"/>
      <c r="AG2" s="2"/>
      <c r="AH2" s="2"/>
      <c r="AI2" s="2"/>
      <c r="AJ2" s="2"/>
      <c r="AK2" s="2"/>
      <c r="AL2" s="2"/>
      <c r="AM2" s="2"/>
      <c r="AN2" s="2"/>
      <c r="AO2" s="2"/>
      <c r="AP2" s="2"/>
      <c r="AQ2" s="98"/>
      <c r="AR2" s="2"/>
    </row>
    <row r="3" spans="1:44" ht="12.75" customHeight="1">
      <c r="A3" s="2" t="s">
        <v>1225</v>
      </c>
      <c r="B3" s="2"/>
      <c r="C3" s="2"/>
      <c r="D3" s="1062"/>
      <c r="E3" s="2"/>
      <c r="F3" s="2"/>
      <c r="G3" s="2"/>
      <c r="H3" s="2"/>
      <c r="I3" s="2"/>
      <c r="J3" s="2"/>
      <c r="K3" s="2"/>
      <c r="L3" s="2"/>
      <c r="N3" s="2"/>
      <c r="O3" s="2"/>
      <c r="P3" s="2"/>
      <c r="Q3" s="2"/>
      <c r="U3" s="2"/>
      <c r="V3" s="2"/>
      <c r="W3" s="2"/>
      <c r="X3" s="2"/>
      <c r="Y3" s="2"/>
      <c r="Z3" s="2"/>
      <c r="AA3" s="2"/>
      <c r="AB3" s="2"/>
      <c r="AC3" s="2"/>
      <c r="AD3" s="2"/>
      <c r="AE3" s="2"/>
      <c r="AF3" s="2"/>
      <c r="AG3" s="2"/>
      <c r="AH3" s="2"/>
      <c r="AI3" s="2"/>
      <c r="AJ3" s="2"/>
      <c r="AK3" s="2"/>
      <c r="AL3" s="2"/>
      <c r="AM3" s="2"/>
      <c r="AN3" s="2"/>
      <c r="AO3" s="2"/>
      <c r="AP3" s="2"/>
      <c r="AQ3" s="98"/>
      <c r="AR3" s="2"/>
    </row>
    <row r="4" spans="1:44" ht="12.75" customHeight="1">
      <c r="A4" s="2"/>
      <c r="B4" s="2"/>
      <c r="C4" s="1195" t="s">
        <v>818</v>
      </c>
      <c r="D4" s="1310"/>
      <c r="E4" s="1196"/>
      <c r="F4" s="1196"/>
      <c r="G4" s="1196"/>
      <c r="H4" s="2"/>
      <c r="I4" s="1195" t="s">
        <v>1504</v>
      </c>
      <c r="J4" s="1197"/>
      <c r="K4" s="1196"/>
      <c r="L4" s="1196"/>
      <c r="O4" s="70"/>
      <c r="P4" s="70"/>
      <c r="Q4" s="70"/>
      <c r="U4" s="2"/>
      <c r="V4" s="2"/>
      <c r="W4" s="2"/>
      <c r="X4" s="2"/>
      <c r="Y4" s="2"/>
      <c r="Z4" s="2"/>
      <c r="AA4" s="2"/>
      <c r="AB4" s="2"/>
      <c r="AC4" s="2"/>
      <c r="AD4" s="2"/>
      <c r="AE4" s="2"/>
      <c r="AF4" s="2"/>
      <c r="AG4" s="2"/>
      <c r="AH4" s="2"/>
      <c r="AI4" s="2"/>
      <c r="AJ4" s="2"/>
      <c r="AK4" s="2"/>
      <c r="AL4" s="2"/>
      <c r="AM4" s="2"/>
      <c r="AN4" s="2"/>
      <c r="AO4" s="2"/>
      <c r="AP4" s="2"/>
      <c r="AQ4" s="98"/>
      <c r="AR4" s="2"/>
    </row>
    <row r="5" spans="1:44" ht="12.75" customHeight="1">
      <c r="A5" s="2"/>
      <c r="B5" s="2"/>
      <c r="C5" s="1198"/>
      <c r="D5" s="77"/>
      <c r="E5" s="2"/>
      <c r="F5" s="1197" t="s">
        <v>1487</v>
      </c>
      <c r="G5" s="1197"/>
      <c r="H5" s="2"/>
      <c r="I5" s="1198"/>
      <c r="J5" s="61"/>
      <c r="K5" s="1197" t="s">
        <v>1505</v>
      </c>
      <c r="L5" s="1197"/>
      <c r="N5" s="1289" t="s">
        <v>1489</v>
      </c>
      <c r="O5" s="2"/>
      <c r="P5" s="1197" t="s">
        <v>1505</v>
      </c>
      <c r="Q5" s="1197"/>
      <c r="S5" s="73" t="s">
        <v>594</v>
      </c>
      <c r="U5" s="2"/>
      <c r="V5" s="2"/>
      <c r="W5" s="2"/>
      <c r="X5" s="2"/>
      <c r="Y5" s="2"/>
      <c r="Z5" s="2"/>
      <c r="AA5" s="2"/>
      <c r="AB5" s="2"/>
      <c r="AC5" s="2"/>
      <c r="AD5" s="2"/>
      <c r="AE5" s="2"/>
      <c r="AF5" s="2"/>
      <c r="AG5" s="2"/>
      <c r="AH5" s="2"/>
      <c r="AI5" s="2"/>
      <c r="AJ5" s="2"/>
      <c r="AK5" s="2"/>
      <c r="AL5" s="2"/>
      <c r="AM5" s="2"/>
      <c r="AN5" s="2"/>
      <c r="AO5" s="2"/>
      <c r="AP5" s="2"/>
      <c r="AQ5" s="98"/>
      <c r="AR5" s="2"/>
    </row>
    <row r="6" spans="1:44" ht="12.75" customHeight="1">
      <c r="A6" s="61"/>
      <c r="B6" s="2"/>
      <c r="C6" s="1199" t="s">
        <v>1819</v>
      </c>
      <c r="D6" s="1308" t="s">
        <v>1398</v>
      </c>
      <c r="E6" s="70"/>
      <c r="F6" s="73" t="s">
        <v>658</v>
      </c>
      <c r="G6" s="73" t="s">
        <v>740</v>
      </c>
      <c r="H6" s="2"/>
      <c r="I6" s="1199" t="s">
        <v>364</v>
      </c>
      <c r="J6" s="70"/>
      <c r="K6" s="73" t="s">
        <v>658</v>
      </c>
      <c r="L6" s="73" t="s">
        <v>740</v>
      </c>
      <c r="N6" s="1165" t="s">
        <v>1820</v>
      </c>
      <c r="O6" s="2"/>
      <c r="P6" s="73" t="s">
        <v>658</v>
      </c>
      <c r="Q6" s="73" t="s">
        <v>740</v>
      </c>
      <c r="U6" s="2"/>
      <c r="V6" s="2"/>
      <c r="W6" s="2"/>
      <c r="X6" s="2"/>
      <c r="Y6" s="2"/>
      <c r="Z6" s="2"/>
      <c r="AA6" s="2"/>
      <c r="AB6" s="2"/>
      <c r="AC6" s="2"/>
      <c r="AD6" s="2"/>
      <c r="AE6" s="2"/>
      <c r="AF6" s="2"/>
      <c r="AG6" s="2"/>
      <c r="AH6" s="2"/>
      <c r="AI6" s="2"/>
      <c r="AJ6" s="2"/>
      <c r="AK6" s="2"/>
      <c r="AL6" s="2"/>
      <c r="AM6" s="2"/>
      <c r="AN6" s="2"/>
      <c r="AO6" s="2"/>
      <c r="AP6" s="2"/>
      <c r="AQ6" s="98"/>
      <c r="AR6" s="2"/>
    </row>
    <row r="7" spans="1:44" ht="12.75" customHeight="1">
      <c r="A7" s="1" t="s">
        <v>741</v>
      </c>
      <c r="B7" s="2"/>
      <c r="C7" s="112"/>
      <c r="D7" s="77"/>
      <c r="E7" s="2"/>
      <c r="F7" s="2"/>
      <c r="G7" s="2"/>
      <c r="H7" s="2"/>
      <c r="I7" s="112"/>
      <c r="J7" s="61"/>
      <c r="K7" s="2"/>
      <c r="L7" s="2"/>
      <c r="N7" s="2"/>
      <c r="O7" s="2"/>
      <c r="P7" s="2"/>
      <c r="Q7" s="2"/>
      <c r="U7" s="2"/>
      <c r="V7" s="2"/>
      <c r="W7" s="2"/>
      <c r="X7" s="2"/>
      <c r="Y7" s="2"/>
      <c r="Z7" s="2"/>
      <c r="AA7" s="2"/>
      <c r="AB7" s="2"/>
      <c r="AC7" s="2"/>
      <c r="AD7" s="2"/>
      <c r="AE7" s="2"/>
      <c r="AF7" s="2"/>
      <c r="AG7" s="2"/>
      <c r="AH7" s="2"/>
      <c r="AI7" s="2"/>
      <c r="AJ7" s="2"/>
      <c r="AK7" s="2"/>
      <c r="AL7" s="2"/>
      <c r="AM7" s="2"/>
      <c r="AN7" s="2"/>
      <c r="AO7" s="2"/>
      <c r="AP7" s="2"/>
      <c r="AQ7" s="98"/>
      <c r="AR7" s="2"/>
    </row>
    <row r="8" spans="1:44" ht="12.75" customHeight="1">
      <c r="A8" s="334" t="s">
        <v>514</v>
      </c>
      <c r="B8" s="2"/>
      <c r="C8" s="2030">
        <f>BYD!BE10</f>
        <v>151.732</v>
      </c>
      <c r="D8" s="858">
        <f>BYD!AZ10</f>
        <v>148.63900000000001</v>
      </c>
      <c r="E8" s="1202"/>
      <c r="F8" s="1205">
        <f t="shared" ref="F8:F13" si="0">C8-D8</f>
        <v>3.0929999999999893</v>
      </c>
      <c r="G8" s="126">
        <f t="shared" ref="G8:G14" si="1">IF(D8=0,0,C8/D8-1)</f>
        <v>2.0808805226084637E-2</v>
      </c>
      <c r="H8" s="1205"/>
      <c r="I8" s="1207">
        <v>150.12539000000001</v>
      </c>
      <c r="J8" s="1202"/>
      <c r="K8" s="313">
        <f t="shared" ref="K8:K13" si="2">C8-I8</f>
        <v>1.6066099999999892</v>
      </c>
      <c r="L8" s="1204">
        <f t="shared" ref="L8:L13" si="3">IF(I8=0,"NM",C8/I8-1)</f>
        <v>1.0701787352559E-2</v>
      </c>
      <c r="N8" s="1349">
        <v>149.74</v>
      </c>
      <c r="O8" s="1349"/>
      <c r="P8" s="313">
        <f t="shared" ref="P8:P14" si="4">C8-N8</f>
        <v>1.9919999999999902</v>
      </c>
      <c r="Q8" s="1204">
        <f t="shared" ref="Q8:Q14" si="5">IF(N8=0,"NM",C8/N8-1)</f>
        <v>1.3303058634967169E-2</v>
      </c>
      <c r="U8" s="105"/>
      <c r="V8" s="2"/>
      <c r="W8" s="2"/>
      <c r="X8" s="2"/>
      <c r="Y8" s="2"/>
      <c r="Z8" s="2"/>
      <c r="AA8" s="2"/>
      <c r="AB8" s="2"/>
      <c r="AC8" s="2"/>
      <c r="AD8" s="2"/>
      <c r="AE8" s="2"/>
      <c r="AF8" s="2"/>
      <c r="AG8" s="2"/>
      <c r="AH8" s="2"/>
      <c r="AI8" s="2"/>
      <c r="AJ8" s="2"/>
      <c r="AK8" s="2"/>
      <c r="AL8" s="2"/>
      <c r="AM8" s="2"/>
      <c r="AN8" s="2"/>
      <c r="AO8" s="2"/>
      <c r="AP8" s="2"/>
      <c r="AQ8" s="98"/>
      <c r="AR8" s="2"/>
    </row>
    <row r="9" spans="1:44" ht="12.75" customHeight="1">
      <c r="A9" s="334" t="s">
        <v>515</v>
      </c>
      <c r="B9" s="61"/>
      <c r="C9" s="2031">
        <f>BYD!BE11</f>
        <v>59.610999999999997</v>
      </c>
      <c r="D9" s="104">
        <f>BYD!AZ11</f>
        <v>59.831000000000003</v>
      </c>
      <c r="E9" s="1103"/>
      <c r="F9" s="374">
        <f t="shared" si="0"/>
        <v>-0.22000000000000597</v>
      </c>
      <c r="G9" s="95">
        <f t="shared" si="1"/>
        <v>-3.6770236165200032E-3</v>
      </c>
      <c r="H9" s="61"/>
      <c r="I9" s="1104">
        <v>60.429310000000001</v>
      </c>
      <c r="J9" s="1103"/>
      <c r="K9" s="374">
        <f t="shared" si="2"/>
        <v>-0.81831000000000387</v>
      </c>
      <c r="L9" s="92">
        <f t="shared" si="3"/>
        <v>-1.3541607541108891E-2</v>
      </c>
      <c r="N9" s="1102">
        <v>60.07</v>
      </c>
      <c r="O9" s="1102"/>
      <c r="P9" s="374">
        <f t="shared" si="4"/>
        <v>-0.45900000000000318</v>
      </c>
      <c r="Q9" s="92">
        <f t="shared" si="5"/>
        <v>-7.6410854003663431E-3</v>
      </c>
      <c r="U9" s="105"/>
      <c r="V9" s="2"/>
      <c r="W9" s="2"/>
      <c r="X9" s="2"/>
      <c r="Y9" s="2"/>
      <c r="Z9" s="2"/>
      <c r="AA9" s="2"/>
      <c r="AB9" s="2"/>
      <c r="AC9" s="2"/>
      <c r="AD9" s="2"/>
      <c r="AE9" s="2"/>
      <c r="AF9" s="2"/>
      <c r="AG9" s="2"/>
      <c r="AH9" s="2"/>
      <c r="AI9" s="2"/>
      <c r="AJ9" s="2"/>
      <c r="AK9" s="2"/>
      <c r="AL9" s="2"/>
      <c r="AM9" s="2"/>
      <c r="AN9" s="2"/>
      <c r="AO9" s="2"/>
      <c r="AP9" s="2"/>
      <c r="AQ9" s="98"/>
      <c r="AR9" s="2"/>
    </row>
    <row r="10" spans="1:44" ht="12.75" customHeight="1">
      <c r="A10" s="334" t="s">
        <v>516</v>
      </c>
      <c r="B10" s="61"/>
      <c r="C10" s="2031">
        <f>BYD!BE13</f>
        <v>200.005</v>
      </c>
      <c r="D10" s="104">
        <f>BYD!AZ13</f>
        <v>196.02500000000001</v>
      </c>
      <c r="E10" s="1103"/>
      <c r="F10" s="374">
        <f t="shared" si="0"/>
        <v>3.9799999999999898</v>
      </c>
      <c r="G10" s="95">
        <f t="shared" si="1"/>
        <v>2.0303532712664163E-2</v>
      </c>
      <c r="H10" s="61"/>
      <c r="I10" s="1104">
        <v>197.37000809147872</v>
      </c>
      <c r="J10" s="1103"/>
      <c r="K10" s="374">
        <f t="shared" si="2"/>
        <v>2.6349919085212719</v>
      </c>
      <c r="L10" s="92">
        <f t="shared" si="3"/>
        <v>1.3350518318365756E-2</v>
      </c>
      <c r="M10" s="1403"/>
      <c r="N10" s="1102">
        <v>196.39</v>
      </c>
      <c r="O10" s="1102"/>
      <c r="P10" s="374">
        <f t="shared" si="4"/>
        <v>3.6150000000000091</v>
      </c>
      <c r="Q10" s="92">
        <f t="shared" si="5"/>
        <v>1.8407250878354375E-2</v>
      </c>
      <c r="S10" s="1403"/>
      <c r="U10" s="105"/>
      <c r="V10" s="2"/>
      <c r="W10" s="2"/>
      <c r="X10" s="2"/>
      <c r="Y10" s="2"/>
      <c r="Z10" s="2"/>
      <c r="AA10" s="2"/>
      <c r="AB10" s="2"/>
      <c r="AC10" s="2"/>
      <c r="AD10" s="2"/>
      <c r="AE10" s="2"/>
      <c r="AF10" s="2"/>
      <c r="AG10" s="2"/>
      <c r="AH10" s="2"/>
      <c r="AI10" s="2"/>
      <c r="AJ10" s="2"/>
      <c r="AK10" s="2"/>
      <c r="AL10" s="2"/>
      <c r="AM10" s="2"/>
      <c r="AN10" s="2"/>
      <c r="AO10" s="2"/>
      <c r="AP10" s="2"/>
      <c r="AQ10" s="98"/>
      <c r="AR10" s="2"/>
    </row>
    <row r="11" spans="1:44" ht="12.75" customHeight="1">
      <c r="A11" s="963" t="s">
        <v>517</v>
      </c>
      <c r="B11" s="61"/>
      <c r="C11" s="2031">
        <f>BYD!BE14</f>
        <v>120.247</v>
      </c>
      <c r="D11" s="104">
        <f>BYD!AZ14</f>
        <v>119.914</v>
      </c>
      <c r="E11" s="1103"/>
      <c r="F11" s="374">
        <f t="shared" si="0"/>
        <v>0.33299999999999841</v>
      </c>
      <c r="G11" s="95">
        <f t="shared" si="1"/>
        <v>2.7769901762930704E-3</v>
      </c>
      <c r="H11" s="61"/>
      <c r="I11" s="1104">
        <v>122.25807937499999</v>
      </c>
      <c r="J11" s="1103"/>
      <c r="K11" s="374">
        <f t="shared" si="2"/>
        <v>-2.0110793749999942</v>
      </c>
      <c r="L11" s="92">
        <f t="shared" si="3"/>
        <v>-1.6449459907115438E-2</v>
      </c>
      <c r="M11" s="1403"/>
      <c r="N11" s="1102">
        <v>118.15</v>
      </c>
      <c r="O11" s="1102"/>
      <c r="P11" s="374">
        <f t="shared" si="4"/>
        <v>2.0969999999999942</v>
      </c>
      <c r="Q11" s="92">
        <f t="shared" si="5"/>
        <v>1.7748624629708054E-2</v>
      </c>
      <c r="S11" s="1403"/>
      <c r="U11" s="105"/>
      <c r="V11" s="2"/>
      <c r="W11" s="2"/>
      <c r="X11" s="2"/>
      <c r="Y11" s="2"/>
      <c r="Z11" s="2"/>
      <c r="AA11" s="2"/>
      <c r="AB11" s="2"/>
      <c r="AC11" s="2"/>
      <c r="AD11" s="2"/>
      <c r="AE11" s="2"/>
      <c r="AF11" s="2"/>
      <c r="AG11" s="2"/>
      <c r="AH11" s="2"/>
      <c r="AI11" s="2"/>
      <c r="AJ11" s="2"/>
      <c r="AK11" s="2"/>
      <c r="AL11" s="2"/>
      <c r="AM11" s="2"/>
      <c r="AN11" s="2"/>
      <c r="AO11" s="2"/>
      <c r="AP11" s="2"/>
      <c r="AQ11" s="98"/>
      <c r="AR11" s="2"/>
    </row>
    <row r="12" spans="1:44" ht="12.75" customHeight="1">
      <c r="A12" s="334" t="s">
        <v>273</v>
      </c>
      <c r="B12" s="61"/>
      <c r="C12" s="2031">
        <f>BYD!BE17</f>
        <v>0</v>
      </c>
      <c r="D12" s="104">
        <f>BYD!AZ17</f>
        <v>0</v>
      </c>
      <c r="E12" s="1103"/>
      <c r="F12" s="374">
        <f t="shared" si="0"/>
        <v>0</v>
      </c>
      <c r="G12" s="95">
        <f t="shared" si="1"/>
        <v>0</v>
      </c>
      <c r="H12" s="61"/>
      <c r="I12" s="1104">
        <v>0</v>
      </c>
      <c r="J12" s="1103"/>
      <c r="K12" s="374">
        <f t="shared" si="2"/>
        <v>0</v>
      </c>
      <c r="L12" s="92" t="str">
        <f t="shared" si="3"/>
        <v>NM</v>
      </c>
      <c r="N12" s="1102">
        <v>0</v>
      </c>
      <c r="O12" s="1102"/>
      <c r="P12" s="374">
        <f t="shared" si="4"/>
        <v>0</v>
      </c>
      <c r="Q12" s="92" t="str">
        <f t="shared" si="5"/>
        <v>NM</v>
      </c>
      <c r="U12" s="105"/>
      <c r="V12" s="2"/>
      <c r="W12" s="2"/>
      <c r="X12" s="2"/>
      <c r="Y12" s="2"/>
      <c r="Z12" s="2"/>
      <c r="AA12" s="2"/>
      <c r="AB12" s="2"/>
      <c r="AC12" s="2"/>
      <c r="AD12" s="2"/>
      <c r="AE12" s="2"/>
      <c r="AF12" s="2"/>
      <c r="AG12" s="2"/>
      <c r="AH12" s="2"/>
      <c r="AI12" s="2"/>
      <c r="AJ12" s="2"/>
      <c r="AK12" s="2"/>
      <c r="AL12" s="2"/>
      <c r="AM12" s="2"/>
      <c r="AN12" s="2"/>
      <c r="AO12" s="2"/>
      <c r="AP12" s="2"/>
      <c r="AQ12" s="98"/>
      <c r="AR12" s="2"/>
    </row>
    <row r="13" spans="1:44" ht="12.75" customHeight="1">
      <c r="A13" s="2679" t="s">
        <v>899</v>
      </c>
      <c r="B13" s="61"/>
      <c r="C13" s="2031">
        <f>BYD!BE18</f>
        <v>0</v>
      </c>
      <c r="D13" s="104">
        <f>BYD!AZ18</f>
        <v>0</v>
      </c>
      <c r="E13" s="1103"/>
      <c r="F13" s="374">
        <f t="shared" si="0"/>
        <v>0</v>
      </c>
      <c r="G13" s="95">
        <f t="shared" si="1"/>
        <v>0</v>
      </c>
      <c r="H13" s="61"/>
      <c r="I13" s="1104">
        <v>0</v>
      </c>
      <c r="J13" s="1103"/>
      <c r="K13" s="374">
        <f t="shared" si="2"/>
        <v>0</v>
      </c>
      <c r="L13" s="92" t="str">
        <f t="shared" si="3"/>
        <v>NM</v>
      </c>
      <c r="N13" s="1102">
        <v>0</v>
      </c>
      <c r="O13" s="1102"/>
      <c r="P13" s="374">
        <f t="shared" si="4"/>
        <v>0</v>
      </c>
      <c r="Q13" s="92" t="str">
        <f t="shared" si="5"/>
        <v>NM</v>
      </c>
      <c r="U13" s="105"/>
      <c r="V13" s="2"/>
      <c r="W13" s="2"/>
      <c r="X13" s="2"/>
      <c r="Y13" s="2"/>
      <c r="Z13" s="2"/>
      <c r="AA13" s="2"/>
      <c r="AB13" s="2"/>
      <c r="AC13" s="2"/>
      <c r="AD13" s="2"/>
      <c r="AE13" s="2"/>
      <c r="AF13" s="2"/>
      <c r="AG13" s="2"/>
      <c r="AH13" s="2"/>
      <c r="AI13" s="2"/>
      <c r="AJ13" s="2"/>
      <c r="AK13" s="2"/>
      <c r="AL13" s="2"/>
      <c r="AM13" s="2"/>
      <c r="AN13" s="2"/>
      <c r="AO13" s="2"/>
      <c r="AP13" s="2"/>
      <c r="AQ13" s="98"/>
      <c r="AR13" s="2"/>
    </row>
    <row r="14" spans="1:44" ht="12.75" customHeight="1">
      <c r="A14" s="138" t="s">
        <v>813</v>
      </c>
      <c r="B14" s="1203"/>
      <c r="C14" s="2032">
        <f>SUM(C8:C13)</f>
        <v>531.59499999999991</v>
      </c>
      <c r="D14" s="1210">
        <f>SUM(D8:D13)</f>
        <v>524.40899999999999</v>
      </c>
      <c r="E14" s="1210"/>
      <c r="F14" s="1210">
        <f>SUM(F8:F13)</f>
        <v>7.1859999999999715</v>
      </c>
      <c r="G14" s="1208">
        <f t="shared" si="1"/>
        <v>1.3703044760863925E-2</v>
      </c>
      <c r="H14" s="1206"/>
      <c r="I14" s="1250">
        <v>530.18278746647877</v>
      </c>
      <c r="J14" s="1210"/>
      <c r="K14" s="1210">
        <f>SUM(K8:K13)</f>
        <v>1.412212533521263</v>
      </c>
      <c r="L14" s="1211">
        <f>C14/I14-1</f>
        <v>2.6636333108238652E-3</v>
      </c>
      <c r="M14" s="1444"/>
      <c r="N14" s="1349">
        <v>524.80999999999995</v>
      </c>
      <c r="O14" s="1349"/>
      <c r="P14" s="2368">
        <f t="shared" si="4"/>
        <v>6.7849999999999682</v>
      </c>
      <c r="Q14" s="1211">
        <f t="shared" si="5"/>
        <v>1.2928488405327565E-2</v>
      </c>
      <c r="R14" s="1299"/>
      <c r="S14" s="1617"/>
      <c r="U14" s="105">
        <f>+C14/N14-1</f>
        <v>1.2928488405327565E-2</v>
      </c>
      <c r="V14" s="2"/>
      <c r="W14" s="2"/>
      <c r="X14" s="2"/>
      <c r="Y14" s="2"/>
      <c r="Z14" s="2"/>
      <c r="AA14" s="2"/>
      <c r="AB14" s="2"/>
      <c r="AC14" s="2"/>
      <c r="AD14" s="2"/>
      <c r="AE14" s="2"/>
      <c r="AF14" s="2"/>
      <c r="AG14" s="2"/>
      <c r="AH14" s="2"/>
      <c r="AI14" s="2"/>
      <c r="AJ14" s="2"/>
      <c r="AK14" s="2"/>
      <c r="AL14" s="2"/>
      <c r="AM14" s="2"/>
      <c r="AN14" s="2"/>
      <c r="AO14" s="2"/>
      <c r="AP14" s="2"/>
      <c r="AQ14" s="98"/>
      <c r="AR14" s="2"/>
    </row>
    <row r="15" spans="1:44" ht="12.75" customHeight="1">
      <c r="A15" s="61"/>
      <c r="B15" s="61"/>
      <c r="C15" s="2033"/>
      <c r="D15" s="77"/>
      <c r="E15" s="61"/>
      <c r="F15" s="61"/>
      <c r="G15" s="1139"/>
      <c r="H15" s="61"/>
      <c r="I15" s="115"/>
      <c r="J15" s="61"/>
      <c r="K15" s="61"/>
      <c r="L15" s="1212"/>
      <c r="N15" s="105">
        <f>C14/N14-1</f>
        <v>1.2928488405327565E-2</v>
      </c>
      <c r="O15" s="105"/>
      <c r="P15" s="105"/>
      <c r="Q15" s="105"/>
      <c r="U15" s="2"/>
      <c r="V15" s="2"/>
      <c r="W15" s="101" t="str">
        <f>+C6</f>
        <v>4Q14A</v>
      </c>
      <c r="X15" s="101"/>
      <c r="Y15" s="101" t="str">
        <f>+D6</f>
        <v>4Q13A</v>
      </c>
      <c r="Z15" s="101"/>
      <c r="AA15" s="101" t="s">
        <v>1490</v>
      </c>
      <c r="AB15" s="101"/>
      <c r="AC15" s="2"/>
      <c r="AD15" s="2"/>
      <c r="AE15" s="2"/>
      <c r="AF15" s="2"/>
      <c r="AG15" s="2"/>
      <c r="AH15" s="2"/>
      <c r="AI15" s="2"/>
      <c r="AJ15" s="2"/>
      <c r="AK15" s="2"/>
      <c r="AL15" s="2"/>
      <c r="AM15" s="2"/>
      <c r="AN15" s="2"/>
      <c r="AO15" s="2"/>
      <c r="AP15" s="2"/>
      <c r="AQ15" s="98"/>
      <c r="AR15" s="2"/>
    </row>
    <row r="16" spans="1:44" ht="12.75" customHeight="1">
      <c r="A16" s="107" t="s">
        <v>401</v>
      </c>
      <c r="B16" s="61"/>
      <c r="C16" s="2034"/>
      <c r="D16" s="1390"/>
      <c r="E16" s="61"/>
      <c r="F16" s="61"/>
      <c r="G16" s="1139"/>
      <c r="H16" s="61"/>
      <c r="I16" s="115"/>
      <c r="J16" s="61"/>
      <c r="K16" s="61"/>
      <c r="L16" s="1212"/>
      <c r="N16" s="98"/>
      <c r="O16" s="98"/>
      <c r="P16" s="98"/>
      <c r="Q16" s="98"/>
      <c r="U16" s="101" t="s">
        <v>1488</v>
      </c>
      <c r="V16" s="2"/>
      <c r="W16" s="101" t="s">
        <v>1160</v>
      </c>
      <c r="X16" s="101"/>
      <c r="Y16" s="101" t="s">
        <v>1160</v>
      </c>
      <c r="Z16" s="101"/>
      <c r="AA16" s="101" t="s">
        <v>1160</v>
      </c>
      <c r="AB16" s="101"/>
      <c r="AC16" s="2"/>
      <c r="AD16" s="2"/>
      <c r="AE16" s="2"/>
      <c r="AF16" s="2"/>
      <c r="AG16" s="2"/>
      <c r="AH16" s="2"/>
      <c r="AI16" s="2"/>
      <c r="AJ16" s="2"/>
      <c r="AK16" s="2"/>
      <c r="AL16" s="2"/>
      <c r="AM16" s="2"/>
      <c r="AN16" s="2"/>
      <c r="AO16" s="2"/>
      <c r="AP16" s="2"/>
      <c r="AQ16" s="98"/>
      <c r="AR16" s="2"/>
    </row>
    <row r="17" spans="1:44" ht="12.75" customHeight="1">
      <c r="A17" s="334" t="s">
        <v>514</v>
      </c>
      <c r="B17" s="61"/>
      <c r="C17" s="2030">
        <f>BYD!BE38</f>
        <v>39.756999999999998</v>
      </c>
      <c r="D17" s="858">
        <f>BYD!AZ38</f>
        <v>33.222999999999999</v>
      </c>
      <c r="E17" s="1202"/>
      <c r="F17" s="897">
        <f>C17-D17</f>
        <v>6.5339999999999989</v>
      </c>
      <c r="G17" s="95">
        <f t="shared" ref="G17:G25" si="6">IF(D17=0,0,C17/D17-1)</f>
        <v>0.19667098094693425</v>
      </c>
      <c r="H17" s="61"/>
      <c r="I17" s="1207">
        <v>35.286469999999994</v>
      </c>
      <c r="J17" s="1103"/>
      <c r="K17" s="897">
        <f>C17-I17</f>
        <v>4.4705300000000037</v>
      </c>
      <c r="L17" s="92">
        <f>IF(I17=0,"NM",C17/I17-1)</f>
        <v>0.12669246881311746</v>
      </c>
      <c r="M17" s="1403"/>
      <c r="N17" s="1102">
        <v>34.07</v>
      </c>
      <c r="O17" s="1102"/>
      <c r="P17" s="313">
        <f t="shared" ref="P17:P23" si="7">C17-N17</f>
        <v>5.6869999999999976</v>
      </c>
      <c r="Q17" s="1204">
        <f t="shared" ref="Q17:Q23" si="8">IF(N17=0,"NM",C17/N17-1)</f>
        <v>0.16692104490754311</v>
      </c>
      <c r="U17" s="126">
        <f>+C17/$C$23</f>
        <v>0.2580919489489879</v>
      </c>
      <c r="V17" s="2"/>
      <c r="W17" s="105">
        <f>+C17/C8</f>
        <v>0.26202119526533624</v>
      </c>
      <c r="X17" s="105"/>
      <c r="Y17" s="105">
        <f>+D17/D8</f>
        <v>0.22351468995351151</v>
      </c>
      <c r="Z17" s="105"/>
      <c r="AA17" s="105">
        <f>+I17/I8</f>
        <v>0.23504665000370684</v>
      </c>
      <c r="AB17" s="105"/>
      <c r="AC17" s="2"/>
      <c r="AD17" s="2"/>
      <c r="AE17" s="2"/>
      <c r="AF17" s="2"/>
      <c r="AG17" s="2"/>
      <c r="AH17" s="2"/>
      <c r="AI17" s="2"/>
      <c r="AJ17" s="2"/>
      <c r="AK17" s="2"/>
      <c r="AL17" s="2"/>
      <c r="AM17" s="2"/>
      <c r="AN17" s="2"/>
      <c r="AO17" s="2"/>
      <c r="AP17" s="2"/>
      <c r="AQ17" s="98"/>
      <c r="AR17" s="2"/>
    </row>
    <row r="18" spans="1:44" ht="12.75" customHeight="1">
      <c r="A18" s="334" t="s">
        <v>515</v>
      </c>
      <c r="B18" s="61"/>
      <c r="C18" s="2031">
        <f>BYD!BE39</f>
        <v>13.116</v>
      </c>
      <c r="D18" s="104">
        <f>BYD!AZ39</f>
        <v>13.093999999999999</v>
      </c>
      <c r="E18" s="1103"/>
      <c r="F18" s="374">
        <f>C18-D18</f>
        <v>2.2000000000000242E-2</v>
      </c>
      <c r="G18" s="95">
        <f t="shared" si="6"/>
        <v>1.6801588513823962E-3</v>
      </c>
      <c r="H18" s="61"/>
      <c r="I18" s="1104">
        <v>11.589145000000002</v>
      </c>
      <c r="J18" s="1103"/>
      <c r="K18" s="374">
        <f>C18-I18</f>
        <v>1.5268549999999976</v>
      </c>
      <c r="L18" s="92">
        <f>IF(I18=0,"NM",C18/I18-1)</f>
        <v>0.13174871830493085</v>
      </c>
      <c r="M18" s="1403"/>
      <c r="N18" s="1102">
        <v>12.19</v>
      </c>
      <c r="O18" s="1102"/>
      <c r="P18" s="374">
        <f t="shared" si="7"/>
        <v>0.92600000000000016</v>
      </c>
      <c r="Q18" s="92">
        <f t="shared" si="8"/>
        <v>7.5963904840032903E-2</v>
      </c>
      <c r="U18" s="126">
        <f>+C18/$C$23</f>
        <v>8.5145609638929642E-2</v>
      </c>
      <c r="V18" s="2"/>
      <c r="W18" s="105">
        <f>+C18/C9</f>
        <v>0.22002650517521935</v>
      </c>
      <c r="X18" s="105"/>
      <c r="Y18" s="105">
        <f>+D18/D9</f>
        <v>0.21884976015777771</v>
      </c>
      <c r="Z18" s="105"/>
      <c r="AA18" s="105">
        <f>+I18/I9</f>
        <v>0.19178019739096808</v>
      </c>
      <c r="AB18" s="105"/>
      <c r="AC18" s="2"/>
      <c r="AD18" s="2"/>
      <c r="AE18" s="2"/>
      <c r="AF18" s="2"/>
      <c r="AG18" s="2"/>
      <c r="AH18" s="2"/>
      <c r="AI18" s="2"/>
      <c r="AJ18" s="2"/>
      <c r="AK18" s="2"/>
      <c r="AL18" s="2"/>
      <c r="AM18" s="2"/>
      <c r="AN18" s="2"/>
      <c r="AO18" s="2"/>
      <c r="AP18" s="2"/>
      <c r="AQ18" s="98"/>
      <c r="AR18" s="2"/>
    </row>
    <row r="19" spans="1:44" ht="12.75" customHeight="1">
      <c r="A19" s="334" t="s">
        <v>516</v>
      </c>
      <c r="B19" s="61"/>
      <c r="C19" s="2031">
        <f>BYD!BE41</f>
        <v>40.087000000000003</v>
      </c>
      <c r="D19" s="104">
        <f>BYD!AZ41</f>
        <v>39.732999999999997</v>
      </c>
      <c r="E19" s="1103"/>
      <c r="F19" s="374">
        <f>C19-D19</f>
        <v>0.35400000000000631</v>
      </c>
      <c r="G19" s="95">
        <f t="shared" si="6"/>
        <v>8.9094707170362941E-3</v>
      </c>
      <c r="H19" s="61"/>
      <c r="I19" s="1104">
        <v>31.700488091478718</v>
      </c>
      <c r="J19" s="1103"/>
      <c r="K19" s="374">
        <f>C19-I19</f>
        <v>8.3865119085212854</v>
      </c>
      <c r="L19" s="92">
        <f>IF(I19=0,"NM",C19/I19-1)</f>
        <v>0.26455466188155108</v>
      </c>
      <c r="M19" s="1404"/>
      <c r="N19" s="1102">
        <v>32.43</v>
      </c>
      <c r="O19" s="1102"/>
      <c r="P19" s="374">
        <f t="shared" si="7"/>
        <v>7.6570000000000036</v>
      </c>
      <c r="Q19" s="92">
        <f t="shared" si="8"/>
        <v>0.23610854147394389</v>
      </c>
      <c r="S19" s="1403"/>
      <c r="U19" s="126">
        <f>+C19/$C$23</f>
        <v>0.2602342218356033</v>
      </c>
      <c r="V19" s="2"/>
      <c r="W19" s="105">
        <f>+C19/C10</f>
        <v>0.20042998925026875</v>
      </c>
      <c r="X19" s="105"/>
      <c r="Y19" s="105">
        <f>+D19/D10</f>
        <v>0.20269353398801171</v>
      </c>
      <c r="Z19" s="105"/>
      <c r="AA19" s="105">
        <f>+I19/I10</f>
        <v>0.16061451482935496</v>
      </c>
      <c r="AB19" s="105"/>
      <c r="AC19" s="2"/>
      <c r="AD19" s="2"/>
      <c r="AE19" s="2"/>
      <c r="AF19" s="2"/>
      <c r="AG19" s="2"/>
      <c r="AH19" s="2"/>
      <c r="AI19" s="2"/>
      <c r="AJ19" s="2"/>
      <c r="AK19" s="2"/>
      <c r="AL19" s="2"/>
      <c r="AM19" s="2"/>
      <c r="AN19" s="2"/>
      <c r="AO19" s="2"/>
      <c r="AP19" s="2"/>
      <c r="AQ19" s="98"/>
      <c r="AR19" s="2"/>
    </row>
    <row r="20" spans="1:44" ht="12.75" customHeight="1">
      <c r="A20" s="963" t="s">
        <v>517</v>
      </c>
      <c r="B20" s="61"/>
      <c r="C20" s="2031">
        <f>BYD!BE42</f>
        <v>42.162999999999997</v>
      </c>
      <c r="D20" s="104">
        <f>BYD!AZ42</f>
        <v>40.96</v>
      </c>
      <c r="E20" s="1103"/>
      <c r="F20" s="374">
        <f>C20-D20</f>
        <v>1.2029999999999959</v>
      </c>
      <c r="G20" s="95">
        <f t="shared" si="6"/>
        <v>2.9370117187499822E-2</v>
      </c>
      <c r="H20" s="61"/>
      <c r="I20" s="1104">
        <v>39.105345480583438</v>
      </c>
      <c r="J20" s="1103"/>
      <c r="K20" s="374">
        <f>C20-I20</f>
        <v>3.057654519416559</v>
      </c>
      <c r="L20" s="92">
        <f>IF(I20=0,"NM",C20/I20-1)</f>
        <v>7.8190193229075167E-2</v>
      </c>
      <c r="M20" s="1404"/>
      <c r="N20" s="1102">
        <v>40.14</v>
      </c>
      <c r="O20" s="1102"/>
      <c r="P20" s="374">
        <f t="shared" si="7"/>
        <v>2.0229999999999961</v>
      </c>
      <c r="Q20" s="92">
        <f t="shared" si="8"/>
        <v>5.0398604882909703E-2</v>
      </c>
      <c r="S20" s="1403"/>
      <c r="U20" s="126">
        <f>+C20/$C$23</f>
        <v>0.27371106581321974</v>
      </c>
      <c r="V20" s="2"/>
      <c r="W20" s="105">
        <f>+C20/C11</f>
        <v>0.35063660631866073</v>
      </c>
      <c r="X20" s="105"/>
      <c r="Y20" s="105"/>
      <c r="Z20" s="105"/>
      <c r="AA20" s="105">
        <f>+I20/I11</f>
        <v>0.31985898748365182</v>
      </c>
      <c r="AB20" s="105"/>
      <c r="AC20" s="2"/>
      <c r="AD20" s="2"/>
      <c r="AE20" s="2"/>
      <c r="AF20" s="2"/>
      <c r="AG20" s="2"/>
      <c r="AH20" s="2"/>
      <c r="AI20" s="2"/>
      <c r="AJ20" s="2"/>
      <c r="AK20" s="2"/>
      <c r="AL20" s="2"/>
      <c r="AM20" s="2"/>
      <c r="AN20" s="2"/>
      <c r="AO20" s="2"/>
      <c r="AP20" s="2"/>
      <c r="AQ20" s="98"/>
      <c r="AR20" s="2"/>
    </row>
    <row r="21" spans="1:44" ht="12.75" customHeight="1">
      <c r="A21" s="334" t="s">
        <v>273</v>
      </c>
      <c r="B21" s="61"/>
      <c r="C21" s="2031">
        <f>BYD!BE48</f>
        <v>17.119</v>
      </c>
      <c r="D21" s="104">
        <f>BYD!AZ48</f>
        <v>8.1965000000000003</v>
      </c>
      <c r="E21" s="1103"/>
      <c r="F21" s="374">
        <f>C21-D21</f>
        <v>8.9224999999999994</v>
      </c>
      <c r="G21" s="95">
        <f t="shared" si="6"/>
        <v>1.0885743915085708</v>
      </c>
      <c r="H21" s="61"/>
      <c r="I21" s="1104">
        <v>16.347184183687546</v>
      </c>
      <c r="J21" s="1103"/>
      <c r="K21" s="374">
        <f>C21-I21</f>
        <v>0.77181581631245422</v>
      </c>
      <c r="L21" s="92">
        <f>IF(I21=0,"NM",C21/I21-1)</f>
        <v>4.7213991574318381E-2</v>
      </c>
      <c r="M21" s="1444"/>
      <c r="N21" s="1102">
        <v>14.56</v>
      </c>
      <c r="O21" s="1102"/>
      <c r="P21" s="374">
        <f t="shared" si="7"/>
        <v>2.5589999999999993</v>
      </c>
      <c r="Q21" s="92">
        <f t="shared" si="8"/>
        <v>0.17575549450549444</v>
      </c>
      <c r="S21" s="2369"/>
      <c r="U21" s="126">
        <f>+C21/$C$23</f>
        <v>0.11113202892717571</v>
      </c>
      <c r="V21" s="2"/>
      <c r="W21" s="105"/>
      <c r="X21" s="105"/>
      <c r="Y21" s="105"/>
      <c r="Z21" s="105"/>
      <c r="AA21" s="105"/>
      <c r="AB21" s="105"/>
      <c r="AC21" s="2"/>
      <c r="AD21" s="2"/>
      <c r="AE21" s="2"/>
      <c r="AF21" s="2"/>
      <c r="AG21" s="2"/>
      <c r="AH21" s="2"/>
      <c r="AI21" s="2"/>
      <c r="AJ21" s="2"/>
      <c r="AK21" s="2"/>
      <c r="AL21" s="2"/>
      <c r="AM21" s="2"/>
      <c r="AN21" s="2"/>
      <c r="AO21" s="2"/>
      <c r="AP21" s="2"/>
      <c r="AQ21" s="98"/>
      <c r="AR21" s="2"/>
    </row>
    <row r="22" spans="1:44" ht="12.75" customHeight="1">
      <c r="A22" s="2679" t="s">
        <v>899</v>
      </c>
      <c r="B22" s="61"/>
      <c r="C22" s="2031">
        <f>BYD!BE46</f>
        <v>1.8</v>
      </c>
      <c r="D22" s="104">
        <f>BYD!AZ46</f>
        <v>0</v>
      </c>
      <c r="E22" s="1103"/>
      <c r="F22" s="374"/>
      <c r="G22" s="95"/>
      <c r="H22" s="61"/>
      <c r="I22" s="1104">
        <v>0</v>
      </c>
      <c r="J22" s="1103"/>
      <c r="K22" s="374"/>
      <c r="L22" s="92"/>
      <c r="M22" s="1444"/>
      <c r="N22" s="1102"/>
      <c r="O22" s="1102"/>
      <c r="P22" s="374"/>
      <c r="Q22" s="92"/>
      <c r="S22" s="2369"/>
      <c r="U22" s="126"/>
      <c r="V22" s="2"/>
      <c r="W22" s="105"/>
      <c r="X22" s="105"/>
      <c r="Y22" s="105"/>
      <c r="Z22" s="105"/>
      <c r="AA22" s="105"/>
      <c r="AB22" s="105"/>
      <c r="AC22" s="2"/>
      <c r="AD22" s="2"/>
      <c r="AE22" s="2"/>
      <c r="AF22" s="2"/>
      <c r="AG22" s="2"/>
      <c r="AH22" s="2"/>
      <c r="AI22" s="2"/>
      <c r="AJ22" s="2"/>
      <c r="AK22" s="2"/>
      <c r="AL22" s="2"/>
      <c r="AM22" s="2"/>
      <c r="AN22" s="2"/>
      <c r="AO22" s="2"/>
      <c r="AP22" s="2"/>
      <c r="AQ22" s="98"/>
      <c r="AR22" s="2"/>
    </row>
    <row r="23" spans="1:44" ht="12.75" customHeight="1">
      <c r="A23" s="138" t="s">
        <v>819</v>
      </c>
      <c r="B23" s="1203"/>
      <c r="C23" s="2032">
        <f>SUM(C17:C22)</f>
        <v>154.042</v>
      </c>
      <c r="D23" s="1210">
        <f>SUM(D17:D21)</f>
        <v>135.20650000000001</v>
      </c>
      <c r="E23" s="1210"/>
      <c r="F23" s="1210">
        <f>SUM(F17:F22)</f>
        <v>17.035499999999999</v>
      </c>
      <c r="G23" s="1208">
        <f t="shared" si="6"/>
        <v>0.13930913084799923</v>
      </c>
      <c r="H23" s="1206"/>
      <c r="I23" s="1250">
        <v>117.68144857206215</v>
      </c>
      <c r="J23" s="1210"/>
      <c r="K23" s="1210">
        <f>SUM(K17:K21)</f>
        <v>18.2133672442503</v>
      </c>
      <c r="L23" s="1211">
        <f>C23/I23-1</f>
        <v>0.30897436995494232</v>
      </c>
      <c r="M23" s="1444"/>
      <c r="N23" s="1349">
        <v>133.44999999999999</v>
      </c>
      <c r="O23" s="1205"/>
      <c r="P23" s="2368">
        <f t="shared" si="7"/>
        <v>20.592000000000013</v>
      </c>
      <c r="Q23" s="1211">
        <f t="shared" si="8"/>
        <v>0.15430498313975272</v>
      </c>
      <c r="U23" s="2"/>
      <c r="V23" s="2"/>
      <c r="W23" s="2"/>
      <c r="X23" s="2"/>
      <c r="Y23" s="2"/>
      <c r="Z23" s="2"/>
      <c r="AA23" s="2"/>
      <c r="AB23" s="2"/>
      <c r="AC23" s="2"/>
      <c r="AD23" s="2"/>
      <c r="AE23" s="2"/>
      <c r="AF23" s="2"/>
      <c r="AG23" s="2"/>
      <c r="AH23" s="2"/>
      <c r="AI23" s="2"/>
      <c r="AJ23" s="2"/>
      <c r="AK23" s="2"/>
      <c r="AL23" s="2"/>
      <c r="AM23" s="2"/>
      <c r="AN23" s="2"/>
      <c r="AO23" s="2"/>
      <c r="AP23" s="2"/>
      <c r="AQ23" s="98"/>
      <c r="AR23" s="2"/>
    </row>
    <row r="24" spans="1:44" ht="12.75" customHeight="1">
      <c r="A24" s="2" t="s">
        <v>742</v>
      </c>
      <c r="B24" s="2"/>
      <c r="C24" s="2031">
        <f>BYD!BE54</f>
        <v>-16.777000000000001</v>
      </c>
      <c r="D24" s="104">
        <f>BYD!AZ54</f>
        <v>-11.919</v>
      </c>
      <c r="E24" s="1103"/>
      <c r="F24" s="374">
        <f>C24-D24</f>
        <v>-4.8580000000000005</v>
      </c>
      <c r="G24" s="126">
        <f t="shared" si="6"/>
        <v>0.40758452890343144</v>
      </c>
      <c r="H24" s="2"/>
      <c r="I24" s="1104">
        <v>-15</v>
      </c>
      <c r="J24" s="1103"/>
      <c r="K24" s="374">
        <f>C24-I24</f>
        <v>-1.777000000000001</v>
      </c>
      <c r="L24" s="1204">
        <f>IF(I24=0,"NM",C24/I24-1)</f>
        <v>0.11846666666666672</v>
      </c>
      <c r="N24" s="1336"/>
      <c r="O24" s="1336"/>
      <c r="P24" s="1336"/>
      <c r="Q24" s="1336"/>
      <c r="U24" s="2"/>
      <c r="V24" s="2"/>
      <c r="W24" s="2"/>
      <c r="X24" s="2"/>
      <c r="Y24" s="2"/>
      <c r="Z24" s="2"/>
      <c r="AA24" s="2"/>
      <c r="AB24" s="2"/>
      <c r="AC24" s="2"/>
      <c r="AD24" s="2"/>
      <c r="AE24" s="2"/>
      <c r="AF24" s="2"/>
      <c r="AG24" s="2"/>
      <c r="AH24" s="2"/>
      <c r="AI24" s="2"/>
      <c r="AJ24" s="2"/>
      <c r="AK24" s="2"/>
      <c r="AL24" s="2"/>
      <c r="AM24" s="2"/>
      <c r="AN24" s="2"/>
      <c r="AO24" s="2"/>
      <c r="AP24" s="2"/>
      <c r="AQ24" s="98"/>
      <c r="AR24" s="2"/>
    </row>
    <row r="25" spans="1:44" ht="12.75" customHeight="1">
      <c r="A25" s="138" t="s">
        <v>555</v>
      </c>
      <c r="B25" s="1203"/>
      <c r="C25" s="2032">
        <f>SUM(C23:C24)</f>
        <v>137.26499999999999</v>
      </c>
      <c r="D25" s="1210">
        <f>SUM(D23:D24)</f>
        <v>123.28750000000001</v>
      </c>
      <c r="E25" s="1210"/>
      <c r="F25" s="1210">
        <f>F23+F24</f>
        <v>12.177499999999998</v>
      </c>
      <c r="G25" s="1208">
        <f t="shared" si="6"/>
        <v>0.11337321301835113</v>
      </c>
      <c r="H25" s="1210"/>
      <c r="I25" s="1250">
        <v>102.68144857206215</v>
      </c>
      <c r="J25" s="1210"/>
      <c r="K25" s="1210">
        <f>K23+K24</f>
        <v>16.436367244250299</v>
      </c>
      <c r="L25" s="1254">
        <f>IF(I25=0,"NM",C25/I25-1)</f>
        <v>0.33680428070380208</v>
      </c>
      <c r="M25" s="1442"/>
      <c r="N25" s="1349">
        <v>119.24</v>
      </c>
      <c r="O25" s="1349"/>
      <c r="P25" s="374">
        <f>C25-N25</f>
        <v>18.024999999999991</v>
      </c>
      <c r="Q25" s="92">
        <f>IF(N25=0,"NM",C25/N25-1)</f>
        <v>0.15116571620261654</v>
      </c>
      <c r="R25" s="1299"/>
      <c r="S25" s="2369"/>
      <c r="U25" s="105">
        <f>+C25/N25-1</f>
        <v>0.15116571620261654</v>
      </c>
      <c r="V25" s="2"/>
      <c r="W25" s="2"/>
      <c r="X25" s="2"/>
      <c r="Y25" s="2"/>
      <c r="Z25" s="2"/>
      <c r="AA25" s="2"/>
      <c r="AB25" s="2"/>
      <c r="AC25" s="2"/>
      <c r="AD25" s="2"/>
      <c r="AE25" s="2"/>
      <c r="AF25" s="2"/>
      <c r="AG25" s="2"/>
      <c r="AH25" s="2"/>
      <c r="AI25" s="2"/>
      <c r="AJ25" s="2"/>
      <c r="AK25" s="2"/>
      <c r="AL25" s="2"/>
      <c r="AM25" s="2"/>
      <c r="AN25" s="2"/>
      <c r="AO25" s="2"/>
      <c r="AP25" s="2"/>
      <c r="AQ25" s="98"/>
      <c r="AR25" s="2"/>
    </row>
    <row r="26" spans="1:44" ht="12.75" customHeight="1">
      <c r="A26" s="2253" t="s">
        <v>1486</v>
      </c>
      <c r="B26" s="2253"/>
      <c r="C26" s="2259">
        <f>+C25/C14</f>
        <v>0.25821348959264101</v>
      </c>
      <c r="D26" s="2253">
        <f>+D25/D14</f>
        <v>0.23509798649527375</v>
      </c>
      <c r="E26" s="2253"/>
      <c r="F26" s="2253"/>
      <c r="G26" s="213">
        <f>+C26-D26</f>
        <v>2.3115503097367263E-2</v>
      </c>
      <c r="H26" s="2253"/>
      <c r="I26" s="2260">
        <v>0.19367178829537968</v>
      </c>
      <c r="J26" s="2253"/>
      <c r="K26" s="2253"/>
      <c r="L26" s="213">
        <f>+C26-I26</f>
        <v>6.4541701297261334E-2</v>
      </c>
      <c r="M26" s="2254"/>
      <c r="N26" s="105">
        <f>C25/N25-1</f>
        <v>0.15116571620261654</v>
      </c>
      <c r="O26" s="2258"/>
      <c r="P26" s="2258"/>
      <c r="Q26" s="2258"/>
      <c r="R26" s="2255"/>
      <c r="S26" s="2256"/>
      <c r="T26" s="2257"/>
      <c r="U26" s="2258"/>
      <c r="V26" s="2258"/>
      <c r="W26" s="2258"/>
      <c r="X26" s="2258"/>
      <c r="Y26" s="2258"/>
      <c r="Z26" s="2258"/>
      <c r="AA26" s="2258"/>
      <c r="AB26" s="2258"/>
      <c r="AC26" s="2258"/>
      <c r="AD26" s="2258"/>
      <c r="AE26" s="2258"/>
      <c r="AF26" s="2258"/>
      <c r="AG26" s="2258"/>
      <c r="AH26" s="2258"/>
      <c r="AI26" s="2258"/>
      <c r="AJ26" s="2258"/>
      <c r="AK26" s="2258"/>
      <c r="AL26" s="2258"/>
      <c r="AM26" s="2258"/>
      <c r="AN26" s="2258"/>
      <c r="AO26" s="2258"/>
      <c r="AP26" s="2258"/>
      <c r="AQ26" s="2277"/>
      <c r="AR26" s="2258"/>
    </row>
    <row r="27" spans="1:44" ht="3.95" customHeight="1">
      <c r="A27" s="198"/>
      <c r="B27" s="77"/>
      <c r="C27" s="2245"/>
      <c r="D27" s="2239"/>
      <c r="E27" s="2239"/>
      <c r="F27" s="2239"/>
      <c r="G27" s="2246"/>
      <c r="H27" s="2239"/>
      <c r="I27" s="2247"/>
      <c r="J27" s="2239"/>
      <c r="K27" s="2239"/>
      <c r="L27" s="2246"/>
      <c r="M27" s="2248"/>
      <c r="N27" s="2249"/>
      <c r="O27" s="2249"/>
      <c r="P27" s="2249"/>
      <c r="Q27" s="2249"/>
      <c r="R27" s="2250"/>
      <c r="S27" s="2251"/>
      <c r="T27" s="2252"/>
      <c r="U27" s="1062"/>
      <c r="V27" s="1062"/>
      <c r="W27" s="1062"/>
      <c r="X27" s="1062"/>
      <c r="Y27" s="1062"/>
      <c r="Z27" s="1062"/>
      <c r="AA27" s="1062"/>
      <c r="AB27" s="1062"/>
      <c r="AC27" s="1062"/>
      <c r="AD27" s="1062"/>
      <c r="AE27" s="1062"/>
      <c r="AF27" s="1062"/>
      <c r="AG27" s="1062"/>
      <c r="AH27" s="1062"/>
      <c r="AI27" s="1062"/>
      <c r="AJ27" s="1062"/>
      <c r="AK27" s="1062"/>
      <c r="AL27" s="1062"/>
      <c r="AM27" s="1062"/>
      <c r="AN27" s="1062"/>
      <c r="AO27" s="1062"/>
      <c r="AP27" s="1062"/>
      <c r="AQ27" s="1092"/>
      <c r="AR27" s="1062"/>
    </row>
    <row r="28" spans="1:44" ht="12.75" customHeight="1">
      <c r="A28" s="439" t="s">
        <v>1745</v>
      </c>
      <c r="B28" s="2"/>
      <c r="C28" s="2036">
        <f>BYD!BE65</f>
        <v>7.2350000000000003</v>
      </c>
      <c r="D28" s="374">
        <f>BYD!AZ65</f>
        <v>9.9</v>
      </c>
      <c r="E28" s="1103"/>
      <c r="F28" s="374">
        <f>C28-D28</f>
        <v>-2.665</v>
      </c>
      <c r="G28" s="126">
        <f>IF(D28=0,0,C28/D28-1)</f>
        <v>-0.2691919191919192</v>
      </c>
      <c r="H28" s="2"/>
      <c r="I28" s="432">
        <v>3.5</v>
      </c>
      <c r="J28" s="1103"/>
      <c r="K28" s="374">
        <f>C28-I28</f>
        <v>3.7350000000000003</v>
      </c>
      <c r="L28" s="1204">
        <f>IF(I28=0,"NM",C28/I28-1)</f>
        <v>1.0671428571428572</v>
      </c>
      <c r="M28" s="1646"/>
      <c r="N28" s="2"/>
      <c r="O28" s="2"/>
      <c r="P28" s="2"/>
      <c r="Q28" s="2"/>
      <c r="U28" s="2"/>
      <c r="V28" s="2"/>
      <c r="W28" s="2"/>
      <c r="X28" s="2"/>
      <c r="Y28" s="2"/>
      <c r="Z28" s="2"/>
      <c r="AA28" s="2"/>
      <c r="AB28" s="2"/>
      <c r="AC28" s="2"/>
      <c r="AD28" s="2"/>
      <c r="AE28" s="2"/>
      <c r="AF28" s="2"/>
      <c r="AG28" s="2"/>
      <c r="AH28" s="2"/>
      <c r="AI28" s="2"/>
      <c r="AJ28" s="2"/>
      <c r="AK28" s="2"/>
      <c r="AL28" s="2"/>
      <c r="AM28" s="2"/>
      <c r="AN28" s="2"/>
      <c r="AO28" s="2"/>
      <c r="AP28" s="2"/>
      <c r="AQ28" s="98"/>
      <c r="AR28" s="2"/>
    </row>
    <row r="29" spans="1:44" ht="12.75" customHeight="1">
      <c r="A29" s="439" t="s">
        <v>201</v>
      </c>
      <c r="B29" s="2"/>
      <c r="C29" s="2036">
        <f>BYD!BE66</f>
        <v>0.90400000000000003</v>
      </c>
      <c r="D29" s="374">
        <f>BYD!AZ66</f>
        <v>1</v>
      </c>
      <c r="E29" s="1103"/>
      <c r="F29" s="374">
        <f>C29-D29</f>
        <v>-9.5999999999999974E-2</v>
      </c>
      <c r="G29" s="126">
        <f>IF(D29=0,0,C29/D29-1)</f>
        <v>-9.5999999999999974E-2</v>
      </c>
      <c r="H29" s="2"/>
      <c r="I29" s="432">
        <v>1</v>
      </c>
      <c r="J29" s="1103"/>
      <c r="K29" s="374">
        <f>C29-I29</f>
        <v>-9.5999999999999974E-2</v>
      </c>
      <c r="L29" s="1204">
        <f>IF(I29=0,"NM",C29/I29-1)</f>
        <v>-9.5999999999999974E-2</v>
      </c>
      <c r="M29" s="1102"/>
      <c r="N29" s="1102"/>
      <c r="O29" s="1102"/>
      <c r="P29" s="1102"/>
      <c r="Q29" s="1102"/>
      <c r="U29" s="2"/>
      <c r="V29" s="2"/>
      <c r="W29" s="2"/>
      <c r="X29" s="2"/>
      <c r="Y29" s="2"/>
      <c r="Z29" s="2"/>
      <c r="AA29" s="2"/>
      <c r="AB29" s="2"/>
      <c r="AC29" s="2"/>
      <c r="AD29" s="2"/>
      <c r="AE29" s="2"/>
      <c r="AF29" s="2"/>
      <c r="AG29" s="2"/>
      <c r="AH29" s="2"/>
      <c r="AI29" s="2"/>
      <c r="AJ29" s="2"/>
      <c r="AK29" s="2"/>
      <c r="AL29" s="2"/>
      <c r="AM29" s="2"/>
      <c r="AN29" s="2"/>
      <c r="AO29" s="2"/>
      <c r="AP29" s="2"/>
      <c r="AQ29" s="98"/>
      <c r="AR29" s="2"/>
    </row>
    <row r="30" spans="1:44" ht="12.75" customHeight="1">
      <c r="A30" s="1693" t="s">
        <v>202</v>
      </c>
      <c r="B30" s="2"/>
      <c r="C30" s="2036">
        <f>BYD!BE67</f>
        <v>52.798999999999999</v>
      </c>
      <c r="D30" s="374">
        <f>BYD!AZ67</f>
        <v>54.8</v>
      </c>
      <c r="E30" s="1103"/>
      <c r="F30" s="374">
        <f>C30-D30</f>
        <v>-2.0009999999999977</v>
      </c>
      <c r="G30" s="126">
        <f>IF(D30=0,0,C30/D30-1)</f>
        <v>-3.6514598540145937E-2</v>
      </c>
      <c r="H30" s="2"/>
      <c r="I30" s="432">
        <v>52.1</v>
      </c>
      <c r="J30" s="1103"/>
      <c r="K30" s="374">
        <f>C30-I30</f>
        <v>0.69899999999999807</v>
      </c>
      <c r="L30" s="1204">
        <f>IF(I30=0,"NM",C30/I30-1)</f>
        <v>1.3416506717850218E-2</v>
      </c>
      <c r="M30" s="1102"/>
      <c r="N30" s="1102"/>
      <c r="O30" s="1102"/>
      <c r="P30" s="1102"/>
      <c r="Q30" s="1102"/>
      <c r="U30" s="2"/>
      <c r="V30" s="2"/>
      <c r="W30" s="2"/>
      <c r="X30" s="2"/>
      <c r="Y30" s="2"/>
      <c r="Z30" s="2"/>
      <c r="AA30" s="2"/>
      <c r="AB30" s="2"/>
      <c r="AC30" s="2"/>
      <c r="AD30" s="2"/>
      <c r="AE30" s="2"/>
      <c r="AF30" s="2"/>
      <c r="AG30" s="2"/>
      <c r="AH30" s="2"/>
      <c r="AI30" s="2"/>
      <c r="AJ30" s="2"/>
      <c r="AK30" s="2"/>
      <c r="AL30" s="2"/>
      <c r="AM30" s="2"/>
      <c r="AN30" s="2"/>
      <c r="AO30" s="2"/>
      <c r="AP30" s="2"/>
      <c r="AQ30" s="98"/>
      <c r="AR30" s="2"/>
    </row>
    <row r="31" spans="1:44" ht="4.5" customHeight="1">
      <c r="A31" s="964"/>
      <c r="B31" s="2"/>
      <c r="C31" s="2037" t="s">
        <v>343</v>
      </c>
      <c r="D31" s="452" t="s">
        <v>343</v>
      </c>
      <c r="E31" s="96" t="s">
        <v>343</v>
      </c>
      <c r="F31" s="452" t="s">
        <v>343</v>
      </c>
      <c r="G31" s="1251" t="s">
        <v>343</v>
      </c>
      <c r="H31" s="2" t="s">
        <v>343</v>
      </c>
      <c r="I31" s="2223" t="s">
        <v>343</v>
      </c>
      <c r="J31" s="96" t="s">
        <v>343</v>
      </c>
      <c r="K31" s="452" t="s">
        <v>343</v>
      </c>
      <c r="L31" s="1252" t="s">
        <v>343</v>
      </c>
      <c r="M31" s="1102"/>
      <c r="N31" s="1102"/>
      <c r="O31" s="1102"/>
      <c r="P31" s="1102"/>
      <c r="Q31" s="1102"/>
      <c r="U31" s="2"/>
      <c r="V31" s="2"/>
      <c r="W31" s="2"/>
      <c r="X31" s="2"/>
      <c r="Y31" s="2"/>
      <c r="Z31" s="2"/>
      <c r="AA31" s="2"/>
      <c r="AB31" s="2"/>
      <c r="AC31" s="2"/>
      <c r="AD31" s="2"/>
      <c r="AE31" s="2"/>
      <c r="AF31" s="2"/>
      <c r="AG31" s="2"/>
      <c r="AH31" s="2"/>
      <c r="AI31" s="2"/>
      <c r="AJ31" s="2"/>
      <c r="AK31" s="2"/>
      <c r="AL31" s="2"/>
      <c r="AM31" s="2"/>
      <c r="AN31" s="2"/>
      <c r="AO31" s="2"/>
      <c r="AP31" s="2"/>
      <c r="AQ31" s="98"/>
      <c r="AR31" s="2"/>
    </row>
    <row r="32" spans="1:44" ht="12.75" customHeight="1">
      <c r="A32" s="1" t="s">
        <v>744</v>
      </c>
      <c r="B32" s="2"/>
      <c r="C32" s="2235">
        <f>C25-C28-C29-C30</f>
        <v>76.32699999999997</v>
      </c>
      <c r="D32" s="2236">
        <f>D25-D28-D29-D30</f>
        <v>57.587500000000006</v>
      </c>
      <c r="E32" s="325"/>
      <c r="F32" s="2236">
        <f>F25-F28-F29-F30</f>
        <v>16.939499999999995</v>
      </c>
      <c r="G32" s="106">
        <f>IF(D32=0,0,C32/D32-1)</f>
        <v>0.32540915997395192</v>
      </c>
      <c r="H32" s="1205"/>
      <c r="I32" s="2237">
        <v>46.081448572062151</v>
      </c>
      <c r="J32" s="932"/>
      <c r="K32" s="2236">
        <f>C32-I32</f>
        <v>30.245551427937819</v>
      </c>
      <c r="L32" s="1214">
        <f>C32/I32-1</f>
        <v>0.65634984066613788</v>
      </c>
      <c r="N32" s="2"/>
      <c r="O32" s="2"/>
      <c r="P32" s="2"/>
      <c r="Q32" s="2"/>
      <c r="U32" s="1336"/>
      <c r="V32" s="2"/>
      <c r="W32" s="2"/>
      <c r="X32" s="2"/>
      <c r="Y32" s="2"/>
      <c r="Z32" s="2"/>
      <c r="AA32" s="2"/>
      <c r="AB32" s="2"/>
      <c r="AC32" s="2"/>
      <c r="AD32" s="2"/>
      <c r="AE32" s="2"/>
      <c r="AF32" s="2"/>
      <c r="AG32" s="2"/>
      <c r="AH32" s="2"/>
      <c r="AI32" s="2"/>
      <c r="AJ32" s="2"/>
      <c r="AK32" s="2"/>
      <c r="AL32" s="2"/>
      <c r="AM32" s="2"/>
      <c r="AN32" s="2"/>
      <c r="AO32" s="2"/>
      <c r="AP32" s="2"/>
      <c r="AQ32" s="98"/>
      <c r="AR32" s="2"/>
    </row>
    <row r="33" spans="1:44" ht="12.75" customHeight="1">
      <c r="A33" s="445" t="s">
        <v>1176</v>
      </c>
      <c r="B33" s="2"/>
      <c r="C33" s="2036">
        <f>BYD!BE73</f>
        <v>-56.701000000000001</v>
      </c>
      <c r="D33" s="374">
        <f>BYD!AZ73</f>
        <v>-57.6</v>
      </c>
      <c r="E33" s="932"/>
      <c r="F33" s="374">
        <f>C33-D33</f>
        <v>0.89900000000000091</v>
      </c>
      <c r="G33" s="126">
        <f>IF(D33=0,0,C33/D33-1)</f>
        <v>-1.5607638888888942E-2</v>
      </c>
      <c r="H33" s="1205"/>
      <c r="I33" s="432">
        <v>-55.664687500000007</v>
      </c>
      <c r="J33" s="932"/>
      <c r="K33" s="374">
        <f>C33-I33</f>
        <v>-1.036312499999994</v>
      </c>
      <c r="L33" s="1204">
        <f>IF(I33=0,"NM",C33/I33-1)</f>
        <v>1.8617054124304477E-2</v>
      </c>
      <c r="N33" s="2"/>
      <c r="O33" s="2"/>
      <c r="P33" s="2"/>
      <c r="Q33" s="2"/>
      <c r="U33" s="2"/>
      <c r="V33" s="2"/>
      <c r="W33" s="2"/>
      <c r="X33" s="2"/>
      <c r="Y33" s="2"/>
      <c r="Z33" s="2"/>
      <c r="AA33" s="2"/>
      <c r="AB33" s="2"/>
      <c r="AC33" s="2"/>
      <c r="AD33" s="2"/>
      <c r="AE33" s="2"/>
      <c r="AF33" s="2"/>
      <c r="AG33" s="2"/>
      <c r="AH33" s="2"/>
      <c r="AI33" s="2"/>
      <c r="AJ33" s="2"/>
      <c r="AK33" s="2"/>
      <c r="AL33" s="2"/>
      <c r="AM33" s="2"/>
      <c r="AN33" s="2"/>
      <c r="AO33" s="2"/>
      <c r="AP33" s="2"/>
      <c r="AQ33" s="98"/>
      <c r="AR33" s="2"/>
    </row>
    <row r="34" spans="1:44" ht="12.75" customHeight="1">
      <c r="A34" s="445" t="s">
        <v>203</v>
      </c>
      <c r="B34" s="2"/>
      <c r="C34" s="2036">
        <f>BYD!BE74</f>
        <v>0</v>
      </c>
      <c r="D34" s="374">
        <f>BYD!AZ74</f>
        <v>0</v>
      </c>
      <c r="E34" s="932"/>
      <c r="F34" s="374">
        <f>C34-D34</f>
        <v>0</v>
      </c>
      <c r="G34" s="126">
        <f>IF(D34=0,0,C34/D34-1)</f>
        <v>0</v>
      </c>
      <c r="H34" s="1205"/>
      <c r="I34" s="432">
        <v>0</v>
      </c>
      <c r="J34" s="932"/>
      <c r="K34" s="374">
        <f>C34-I34</f>
        <v>0</v>
      </c>
      <c r="L34" s="1204" t="str">
        <f>IF(I34=0,"NM",C34/I34-1)</f>
        <v>NM</v>
      </c>
      <c r="N34" s="2"/>
      <c r="O34" s="2"/>
      <c r="P34" s="2"/>
      <c r="Q34" s="2"/>
      <c r="U34" s="2"/>
      <c r="V34" s="2"/>
      <c r="W34" s="2"/>
      <c r="X34" s="2"/>
      <c r="Y34" s="2"/>
      <c r="Z34" s="2"/>
      <c r="AA34" s="2"/>
      <c r="AB34" s="2"/>
      <c r="AC34" s="2"/>
      <c r="AD34" s="2"/>
      <c r="AE34" s="2"/>
      <c r="AF34" s="2"/>
      <c r="AG34" s="2"/>
      <c r="AH34" s="2"/>
      <c r="AI34" s="2"/>
      <c r="AJ34" s="2"/>
      <c r="AK34" s="2"/>
      <c r="AL34" s="2"/>
      <c r="AM34" s="2"/>
      <c r="AN34" s="2"/>
      <c r="AO34" s="2"/>
      <c r="AP34" s="2"/>
      <c r="AQ34" s="98"/>
      <c r="AR34" s="2"/>
    </row>
    <row r="35" spans="1:44" ht="12.75" customHeight="1">
      <c r="A35" s="445" t="s">
        <v>814</v>
      </c>
      <c r="B35" s="2"/>
      <c r="C35" s="2036">
        <f>BYD!BE78</f>
        <v>-45.746999999999993</v>
      </c>
      <c r="D35" s="374">
        <f>BYD!AZ78</f>
        <v>-8.3999999999999986</v>
      </c>
      <c r="E35" s="1103"/>
      <c r="F35" s="374">
        <f>C35-D35</f>
        <v>-37.346999999999994</v>
      </c>
      <c r="G35" s="126">
        <f>IF(D35=0,0,C35/D35-1)</f>
        <v>4.4460714285714289</v>
      </c>
      <c r="H35" s="2"/>
      <c r="I35" s="432">
        <v>-5</v>
      </c>
      <c r="J35" s="1103"/>
      <c r="K35" s="374">
        <f>C35-I35</f>
        <v>-40.746999999999993</v>
      </c>
      <c r="L35" s="1204">
        <f>IF(I35=0,"NM",C35/I35-1)</f>
        <v>8.1493999999999982</v>
      </c>
      <c r="N35" s="2"/>
      <c r="O35" s="2"/>
      <c r="P35" s="2"/>
      <c r="Q35" s="2"/>
      <c r="U35" s="2"/>
      <c r="V35" s="2"/>
      <c r="W35" s="2"/>
      <c r="X35" s="2"/>
      <c r="Y35" s="2"/>
      <c r="Z35" s="2"/>
      <c r="AA35" s="2"/>
      <c r="AB35" s="2"/>
      <c r="AC35" s="2"/>
      <c r="AD35" s="2"/>
      <c r="AE35" s="2"/>
      <c r="AF35" s="2"/>
      <c r="AG35" s="2"/>
      <c r="AH35" s="2"/>
      <c r="AI35" s="2"/>
      <c r="AJ35" s="2"/>
      <c r="AK35" s="2"/>
      <c r="AL35" s="2"/>
      <c r="AM35" s="2"/>
      <c r="AN35" s="2"/>
      <c r="AO35" s="2"/>
      <c r="AP35" s="2"/>
      <c r="AQ35" s="98"/>
      <c r="AR35" s="2"/>
    </row>
    <row r="36" spans="1:44" ht="4.5" customHeight="1">
      <c r="A36" s="964"/>
      <c r="B36" s="2"/>
      <c r="C36" s="2037" t="s">
        <v>343</v>
      </c>
      <c r="D36" s="452" t="s">
        <v>343</v>
      </c>
      <c r="E36" s="96" t="s">
        <v>343</v>
      </c>
      <c r="F36" s="452" t="s">
        <v>343</v>
      </c>
      <c r="G36" s="1251" t="s">
        <v>343</v>
      </c>
      <c r="H36" s="2" t="s">
        <v>343</v>
      </c>
      <c r="I36" s="2223" t="s">
        <v>343</v>
      </c>
      <c r="J36" s="96" t="s">
        <v>343</v>
      </c>
      <c r="K36" s="452" t="s">
        <v>343</v>
      </c>
      <c r="L36" s="1252" t="s">
        <v>343</v>
      </c>
      <c r="M36" s="1102"/>
      <c r="N36" s="1102"/>
      <c r="O36" s="1102"/>
      <c r="P36" s="1102"/>
      <c r="Q36" s="1102"/>
      <c r="U36" s="2"/>
      <c r="V36" s="2"/>
      <c r="W36" s="2"/>
      <c r="X36" s="2"/>
      <c r="Y36" s="2"/>
      <c r="Z36" s="2"/>
      <c r="AA36" s="2"/>
      <c r="AB36" s="2"/>
      <c r="AC36" s="2"/>
      <c r="AD36" s="2"/>
      <c r="AE36" s="2"/>
      <c r="AF36" s="2"/>
      <c r="AG36" s="2"/>
      <c r="AH36" s="2"/>
      <c r="AI36" s="2"/>
      <c r="AJ36" s="2"/>
      <c r="AK36" s="2"/>
      <c r="AL36" s="2"/>
      <c r="AM36" s="2"/>
      <c r="AN36" s="2"/>
      <c r="AO36" s="2"/>
      <c r="AP36" s="2"/>
      <c r="AQ36" s="98"/>
      <c r="AR36" s="2"/>
    </row>
    <row r="37" spans="1:44" ht="12.75" customHeight="1">
      <c r="A37" s="1" t="s">
        <v>745</v>
      </c>
      <c r="B37" s="2"/>
      <c r="C37" s="2240">
        <f>SUM(C32:C35)</f>
        <v>-26.121000000000024</v>
      </c>
      <c r="D37" s="2239">
        <f>SUM(D32:D35)</f>
        <v>-8.4124999999999943</v>
      </c>
      <c r="E37" s="932"/>
      <c r="F37" s="2236">
        <f>C37-D37</f>
        <v>-17.708500000000029</v>
      </c>
      <c r="G37" s="106">
        <f>IF(D37=0,0,C37/D37-1)</f>
        <v>2.1050222882615204</v>
      </c>
      <c r="H37" s="1205"/>
      <c r="I37" s="2238">
        <v>-14.583238927937856</v>
      </c>
      <c r="J37" s="932"/>
      <c r="K37" s="2236">
        <f>C37-I37</f>
        <v>-11.537761072062168</v>
      </c>
      <c r="L37" s="1214">
        <f>C37/I37-1</f>
        <v>0.79116588084960249</v>
      </c>
      <c r="N37" s="2"/>
      <c r="O37" s="2"/>
      <c r="P37" s="2"/>
      <c r="Q37" s="2"/>
      <c r="U37" s="2"/>
      <c r="V37" s="2"/>
      <c r="W37" s="2"/>
      <c r="X37" s="2"/>
      <c r="Y37" s="2"/>
      <c r="Z37" s="2"/>
      <c r="AA37" s="2"/>
      <c r="AB37" s="2"/>
      <c r="AC37" s="2"/>
      <c r="AD37" s="2"/>
      <c r="AE37" s="2"/>
      <c r="AF37" s="2"/>
      <c r="AG37" s="2"/>
      <c r="AH37" s="2"/>
      <c r="AI37" s="2"/>
      <c r="AJ37" s="2"/>
      <c r="AK37" s="2"/>
      <c r="AL37" s="2"/>
      <c r="AM37" s="2"/>
      <c r="AN37" s="2"/>
      <c r="AO37" s="2"/>
      <c r="AP37" s="2"/>
      <c r="AQ37" s="98"/>
      <c r="AR37" s="2"/>
    </row>
    <row r="38" spans="1:44" ht="12.75" customHeight="1">
      <c r="A38" s="445" t="s">
        <v>205</v>
      </c>
      <c r="B38" s="2"/>
      <c r="C38" s="2036">
        <f>BYD!BE81</f>
        <v>11.297000000000001</v>
      </c>
      <c r="D38" s="374">
        <f>BYD!AZ81</f>
        <v>-10.5</v>
      </c>
      <c r="E38" s="1103"/>
      <c r="F38" s="374">
        <f>C38-D38</f>
        <v>21.797000000000001</v>
      </c>
      <c r="G38" s="126">
        <f>IF(D38=0,0,C38/D38-1)</f>
        <v>-2.0759047619047619</v>
      </c>
      <c r="H38" s="2"/>
      <c r="I38" s="432">
        <v>4.7820664261126078</v>
      </c>
      <c r="J38" s="1103"/>
      <c r="K38" s="374">
        <f>C38-I38</f>
        <v>6.5149335738873928</v>
      </c>
      <c r="L38" s="1204">
        <f>IF(I38=0,"NM",C38/I38-1)</f>
        <v>1.362367853845027</v>
      </c>
      <c r="N38" s="2"/>
      <c r="O38" s="2"/>
      <c r="P38" s="2"/>
      <c r="Q38" s="2"/>
      <c r="U38" s="2"/>
      <c r="V38" s="2"/>
      <c r="W38" s="2"/>
      <c r="X38" s="2"/>
      <c r="Y38" s="2"/>
      <c r="Z38" s="2"/>
      <c r="AA38" s="2"/>
      <c r="AB38" s="2"/>
      <c r="AC38" s="2"/>
      <c r="AD38" s="2"/>
      <c r="AE38" s="2"/>
      <c r="AF38" s="2"/>
      <c r="AG38" s="2"/>
      <c r="AH38" s="2"/>
      <c r="AI38" s="2"/>
      <c r="AJ38" s="2"/>
      <c r="AK38" s="2"/>
      <c r="AL38" s="2"/>
      <c r="AM38" s="2"/>
      <c r="AN38" s="2"/>
      <c r="AO38" s="2"/>
      <c r="AP38" s="2"/>
      <c r="AQ38" s="98"/>
      <c r="AR38" s="2"/>
    </row>
    <row r="39" spans="1:44" ht="4.5" customHeight="1">
      <c r="A39" s="964"/>
      <c r="B39" s="2"/>
      <c r="C39" s="2037" t="s">
        <v>343</v>
      </c>
      <c r="D39" s="452" t="s">
        <v>343</v>
      </c>
      <c r="E39" s="96" t="s">
        <v>343</v>
      </c>
      <c r="F39" s="452" t="s">
        <v>343</v>
      </c>
      <c r="G39" s="1251" t="s">
        <v>343</v>
      </c>
      <c r="H39" s="2" t="s">
        <v>343</v>
      </c>
      <c r="I39" s="2223" t="s">
        <v>343</v>
      </c>
      <c r="J39" s="96" t="s">
        <v>343</v>
      </c>
      <c r="K39" s="452" t="s">
        <v>343</v>
      </c>
      <c r="L39" s="1252" t="s">
        <v>343</v>
      </c>
      <c r="M39" s="1102"/>
      <c r="N39" s="1102"/>
      <c r="O39" s="1102"/>
      <c r="P39" s="1102"/>
      <c r="Q39" s="1102"/>
      <c r="U39" s="2"/>
      <c r="V39" s="2"/>
      <c r="W39" s="2"/>
      <c r="X39" s="2"/>
      <c r="Y39" s="2"/>
      <c r="Z39" s="2"/>
      <c r="AA39" s="2"/>
      <c r="AB39" s="2"/>
      <c r="AC39" s="2"/>
      <c r="AD39" s="2"/>
      <c r="AE39" s="2"/>
      <c r="AF39" s="2"/>
      <c r="AG39" s="2"/>
      <c r="AH39" s="2"/>
      <c r="AI39" s="2"/>
      <c r="AJ39" s="2"/>
      <c r="AK39" s="2"/>
      <c r="AL39" s="2"/>
      <c r="AM39" s="2"/>
      <c r="AN39" s="2"/>
      <c r="AO39" s="2"/>
      <c r="AP39" s="2"/>
      <c r="AQ39" s="98"/>
      <c r="AR39" s="2"/>
    </row>
    <row r="40" spans="1:44" ht="12.75" customHeight="1">
      <c r="A40" s="107" t="s">
        <v>1243</v>
      </c>
      <c r="B40" s="61"/>
      <c r="C40" s="2240">
        <f>C37+C38</f>
        <v>-14.824000000000023</v>
      </c>
      <c r="D40" s="2239">
        <f>D37+D38</f>
        <v>-18.912499999999994</v>
      </c>
      <c r="E40" s="932"/>
      <c r="F40" s="2236">
        <f>F37+F38</f>
        <v>4.0884999999999714</v>
      </c>
      <c r="G40" s="1215">
        <f>G37+G38</f>
        <v>2.9117526356758461E-2</v>
      </c>
      <c r="H40" s="932"/>
      <c r="I40" s="2238">
        <v>-9.8011725018252491</v>
      </c>
      <c r="J40" s="932"/>
      <c r="K40" s="2236">
        <f>K37+K38</f>
        <v>-5.0228274981747747</v>
      </c>
      <c r="L40" s="1215">
        <f>L37+L38</f>
        <v>2.1535337346946295</v>
      </c>
      <c r="M40" s="1238"/>
      <c r="N40" s="61"/>
      <c r="O40" s="61"/>
      <c r="P40" s="61"/>
      <c r="Q40" s="61"/>
      <c r="U40" s="1336"/>
      <c r="V40" s="2"/>
      <c r="W40" s="2"/>
      <c r="X40" s="2"/>
      <c r="Y40" s="2"/>
      <c r="Z40" s="2"/>
      <c r="AA40" s="2"/>
      <c r="AB40" s="2"/>
      <c r="AC40" s="2"/>
      <c r="AD40" s="2"/>
      <c r="AE40" s="2"/>
      <c r="AF40" s="2"/>
      <c r="AG40" s="2"/>
      <c r="AH40" s="2"/>
      <c r="AI40" s="2"/>
      <c r="AJ40" s="2"/>
      <c r="AK40" s="2"/>
      <c r="AL40" s="2"/>
      <c r="AM40" s="2"/>
      <c r="AN40" s="2"/>
      <c r="AO40" s="2"/>
      <c r="AP40" s="2"/>
      <c r="AQ40" s="98"/>
      <c r="AR40" s="2"/>
    </row>
    <row r="41" spans="1:44" ht="12.75" customHeight="1">
      <c r="A41" s="445" t="s">
        <v>130</v>
      </c>
      <c r="B41" s="2"/>
      <c r="C41" s="2036">
        <f>BYD!BE85</f>
        <v>0</v>
      </c>
      <c r="D41" s="374">
        <f>BYD!AZ85</f>
        <v>0</v>
      </c>
      <c r="E41" s="1103"/>
      <c r="F41" s="374">
        <f>C41-D41</f>
        <v>0</v>
      </c>
      <c r="G41" s="126">
        <f>IF(D41=0,0,C41/D41-1)</f>
        <v>0</v>
      </c>
      <c r="H41" s="2"/>
      <c r="I41" s="432">
        <v>0</v>
      </c>
      <c r="J41" s="1103"/>
      <c r="K41" s="374">
        <f>C41-I41</f>
        <v>0</v>
      </c>
      <c r="L41" s="1204" t="str">
        <f>IF(I41=0,"NM",C41/I41-1)</f>
        <v>NM</v>
      </c>
      <c r="N41" s="2"/>
      <c r="O41" s="2"/>
      <c r="P41" s="2"/>
      <c r="Q41" s="2"/>
      <c r="U41" s="2"/>
      <c r="V41" s="2"/>
      <c r="W41" s="2"/>
      <c r="X41" s="2"/>
      <c r="Y41" s="2"/>
      <c r="Z41" s="2"/>
      <c r="AA41" s="2"/>
      <c r="AB41" s="2"/>
      <c r="AC41" s="2"/>
      <c r="AD41" s="2"/>
      <c r="AE41" s="2"/>
      <c r="AF41" s="2"/>
      <c r="AG41" s="2"/>
      <c r="AH41" s="2"/>
      <c r="AI41" s="2"/>
      <c r="AJ41" s="2"/>
      <c r="AK41" s="2"/>
      <c r="AL41" s="2"/>
      <c r="AM41" s="2"/>
      <c r="AN41" s="2"/>
      <c r="AO41" s="2"/>
      <c r="AP41" s="2"/>
      <c r="AQ41" s="98"/>
      <c r="AR41" s="2"/>
    </row>
    <row r="42" spans="1:44" ht="4.5" customHeight="1">
      <c r="A42" s="964"/>
      <c r="B42" s="2"/>
      <c r="C42" s="2037" t="s">
        <v>343</v>
      </c>
      <c r="D42" s="452" t="s">
        <v>343</v>
      </c>
      <c r="E42" s="96" t="s">
        <v>343</v>
      </c>
      <c r="F42" s="452" t="s">
        <v>343</v>
      </c>
      <c r="G42" s="1251" t="s">
        <v>343</v>
      </c>
      <c r="H42" s="2" t="s">
        <v>343</v>
      </c>
      <c r="I42" s="2223" t="s">
        <v>343</v>
      </c>
      <c r="J42" s="96" t="s">
        <v>343</v>
      </c>
      <c r="K42" s="452" t="s">
        <v>343</v>
      </c>
      <c r="L42" s="1252" t="s">
        <v>343</v>
      </c>
      <c r="M42" s="1102"/>
      <c r="N42" s="1102"/>
      <c r="O42" s="1102"/>
      <c r="P42" s="1102"/>
      <c r="Q42" s="1102"/>
      <c r="U42" s="2"/>
      <c r="V42" s="2"/>
      <c r="W42" s="2"/>
      <c r="X42" s="2"/>
      <c r="Y42" s="2"/>
      <c r="Z42" s="2"/>
      <c r="AA42" s="2"/>
      <c r="AB42" s="2"/>
      <c r="AC42" s="2"/>
      <c r="AD42" s="2"/>
      <c r="AE42" s="2"/>
      <c r="AF42" s="2"/>
      <c r="AG42" s="2"/>
      <c r="AH42" s="2"/>
      <c r="AI42" s="2"/>
      <c r="AJ42" s="2"/>
      <c r="AK42" s="2"/>
      <c r="AL42" s="2"/>
      <c r="AM42" s="2"/>
      <c r="AN42" s="2"/>
      <c r="AO42" s="2"/>
      <c r="AP42" s="2"/>
      <c r="AQ42" s="98"/>
      <c r="AR42" s="2"/>
    </row>
    <row r="43" spans="1:44" ht="12.75" customHeight="1">
      <c r="A43" s="107" t="s">
        <v>1540</v>
      </c>
      <c r="B43" s="2"/>
      <c r="C43" s="2240">
        <f>C40+C41</f>
        <v>-14.824000000000023</v>
      </c>
      <c r="D43" s="2239">
        <f>D40+D41</f>
        <v>-18.912499999999994</v>
      </c>
      <c r="E43" s="932"/>
      <c r="F43" s="2236">
        <f>F40+F41</f>
        <v>4.0884999999999714</v>
      </c>
      <c r="G43" s="1215">
        <f>G40+G41</f>
        <v>2.9117526356758461E-2</v>
      </c>
      <c r="H43" s="932"/>
      <c r="I43" s="2238">
        <v>-9.8011725018252491</v>
      </c>
      <c r="J43" s="932"/>
      <c r="K43" s="2236">
        <f>K40+K41</f>
        <v>-5.0228274981747747</v>
      </c>
      <c r="L43" s="1215"/>
      <c r="N43" s="2"/>
      <c r="O43" s="2"/>
      <c r="P43" s="2"/>
      <c r="Q43" s="2"/>
      <c r="U43" s="105"/>
      <c r="V43" s="2"/>
      <c r="W43" s="2"/>
      <c r="X43" s="2"/>
      <c r="Y43" s="2"/>
      <c r="Z43" s="2"/>
      <c r="AA43" s="2"/>
      <c r="AB43" s="2"/>
      <c r="AC43" s="2"/>
      <c r="AD43" s="2"/>
      <c r="AE43" s="2"/>
      <c r="AF43" s="2"/>
      <c r="AG43" s="2"/>
      <c r="AH43" s="2"/>
      <c r="AI43" s="2"/>
      <c r="AJ43" s="2"/>
      <c r="AK43" s="2"/>
      <c r="AL43" s="2"/>
      <c r="AM43" s="2"/>
      <c r="AN43" s="2"/>
      <c r="AO43" s="2"/>
      <c r="AP43" s="2"/>
      <c r="AQ43" s="98"/>
      <c r="AR43" s="2"/>
    </row>
    <row r="44" spans="1:44" ht="12.75" customHeight="1">
      <c r="A44" s="2" t="s">
        <v>1562</v>
      </c>
      <c r="B44" s="2"/>
      <c r="C44" s="2031">
        <f>BYD!BE87</f>
        <v>32.287000000000006</v>
      </c>
      <c r="D44" s="104">
        <f>BYD!AZ87</f>
        <v>20.9</v>
      </c>
      <c r="E44" s="61"/>
      <c r="F44" s="61"/>
      <c r="G44" s="1141"/>
      <c r="H44" s="2"/>
      <c r="I44" s="1104">
        <v>5</v>
      </c>
      <c r="J44" s="61"/>
      <c r="K44" s="61"/>
      <c r="L44" s="1216"/>
      <c r="N44" s="2"/>
      <c r="O44" s="2"/>
      <c r="P44" s="2"/>
      <c r="Q44" s="2"/>
      <c r="U44" s="2"/>
      <c r="V44" s="2"/>
      <c r="W44" s="2"/>
      <c r="X44" s="2"/>
      <c r="Y44" s="2"/>
      <c r="Z44" s="2"/>
      <c r="AA44" s="2"/>
      <c r="AB44" s="2"/>
      <c r="AC44" s="2"/>
      <c r="AD44" s="2"/>
      <c r="AE44" s="2"/>
      <c r="AF44" s="2"/>
      <c r="AG44" s="2"/>
      <c r="AH44" s="2"/>
      <c r="AI44" s="2"/>
      <c r="AJ44" s="2"/>
      <c r="AK44" s="2"/>
      <c r="AL44" s="2"/>
      <c r="AM44" s="2"/>
      <c r="AN44" s="2"/>
      <c r="AO44" s="2"/>
      <c r="AP44" s="2"/>
      <c r="AQ44" s="98"/>
      <c r="AR44" s="2"/>
    </row>
    <row r="45" spans="1:44" ht="12.75" customHeight="1">
      <c r="A45" s="147" t="s">
        <v>1747</v>
      </c>
      <c r="B45" s="160"/>
      <c r="C45" s="2244">
        <f>BYD!BE88</f>
        <v>-0.13599999999999568</v>
      </c>
      <c r="D45" s="2243">
        <f>BYD!AZ88</f>
        <v>-26.412500000000001</v>
      </c>
      <c r="E45" s="1218"/>
      <c r="F45" s="2241">
        <f>C45-D45</f>
        <v>26.276500000000006</v>
      </c>
      <c r="G45" s="1219">
        <f>IF(D45=0,0,C45/D45-1)</f>
        <v>-0.99485092285849519</v>
      </c>
      <c r="H45" s="1220"/>
      <c r="I45" s="2242">
        <v>-3.8809805056377016</v>
      </c>
      <c r="J45" s="1218"/>
      <c r="K45" s="2241">
        <f>C45-I45</f>
        <v>3.7449805056377059</v>
      </c>
      <c r="L45" s="1221">
        <f>C45/I45-1</f>
        <v>-0.96495730916389932</v>
      </c>
      <c r="N45" s="2"/>
      <c r="O45" s="2"/>
      <c r="P45" s="2"/>
      <c r="Q45" s="2"/>
      <c r="U45" s="2"/>
      <c r="V45" s="2"/>
      <c r="W45" s="2"/>
      <c r="X45" s="2"/>
      <c r="Y45" s="2"/>
      <c r="Z45" s="2"/>
      <c r="AA45" s="2"/>
      <c r="AB45" s="2"/>
      <c r="AC45" s="2"/>
      <c r="AD45" s="2"/>
      <c r="AE45" s="2"/>
      <c r="AF45" s="2"/>
      <c r="AG45" s="2"/>
      <c r="AH45" s="2"/>
      <c r="AI45" s="2"/>
      <c r="AJ45" s="2"/>
      <c r="AK45" s="2"/>
      <c r="AL45" s="2"/>
      <c r="AM45" s="2"/>
      <c r="AN45" s="2"/>
      <c r="AO45" s="2"/>
      <c r="AP45" s="2"/>
      <c r="AQ45" s="98"/>
      <c r="AR45" s="2"/>
    </row>
    <row r="46" spans="1:44" ht="12.75" customHeight="1">
      <c r="A46" s="2"/>
      <c r="B46" s="2"/>
      <c r="C46" s="2034"/>
      <c r="D46" s="77"/>
      <c r="E46" s="61"/>
      <c r="F46" s="61"/>
      <c r="G46" s="1141"/>
      <c r="H46" s="2"/>
      <c r="I46" s="115"/>
      <c r="J46" s="61"/>
      <c r="K46" s="61"/>
      <c r="L46" s="1216"/>
      <c r="N46" s="2"/>
      <c r="O46" s="2"/>
      <c r="P46" s="2"/>
      <c r="Q46" s="2"/>
      <c r="U46" s="2"/>
      <c r="V46" s="2"/>
      <c r="W46" s="2"/>
      <c r="X46" s="2"/>
      <c r="Y46" s="2"/>
      <c r="Z46" s="2"/>
      <c r="AA46" s="2"/>
      <c r="AB46" s="2"/>
      <c r="AC46" s="2"/>
      <c r="AD46" s="2"/>
      <c r="AE46" s="2"/>
      <c r="AF46" s="2"/>
      <c r="AG46" s="2"/>
      <c r="AH46" s="2"/>
      <c r="AI46" s="2"/>
      <c r="AJ46" s="2"/>
      <c r="AK46" s="2"/>
      <c r="AL46" s="2"/>
      <c r="AM46" s="2"/>
      <c r="AN46" s="2"/>
      <c r="AO46" s="2"/>
      <c r="AP46" s="2"/>
      <c r="AQ46" s="98"/>
      <c r="AR46" s="2"/>
    </row>
    <row r="47" spans="1:44" ht="12.75" customHeight="1">
      <c r="A47" s="138" t="s">
        <v>746</v>
      </c>
      <c r="B47" s="155"/>
      <c r="C47" s="2041">
        <f>+C45/C48</f>
        <v>-1.2324198927069349E-3</v>
      </c>
      <c r="D47" s="152">
        <f>+D45/D48</f>
        <v>-0.24127394469768249</v>
      </c>
      <c r="E47" s="152"/>
      <c r="F47" s="152">
        <f>C47-D47</f>
        <v>0.24004152480497554</v>
      </c>
      <c r="G47" s="1208">
        <f>IF(D47=0,0,C47/D47-1)</f>
        <v>-0.99489203074019794</v>
      </c>
      <c r="H47" s="155"/>
      <c r="I47" s="1246">
        <v>-3.5306355409129131E-2</v>
      </c>
      <c r="J47" s="152"/>
      <c r="K47" s="152">
        <f>C47-I47</f>
        <v>3.4073935516422196E-2</v>
      </c>
      <c r="L47" s="1211">
        <f>C47/I47-1</f>
        <v>-0.96509353972037937</v>
      </c>
      <c r="N47" s="1256"/>
      <c r="O47" s="1256"/>
      <c r="P47" s="1256"/>
      <c r="Q47" s="1256"/>
      <c r="S47" s="1645"/>
      <c r="U47" s="2"/>
      <c r="V47" s="2"/>
      <c r="W47" s="2"/>
      <c r="X47" s="2"/>
      <c r="Y47" s="2"/>
      <c r="Z47" s="2"/>
      <c r="AA47" s="2"/>
      <c r="AB47" s="2"/>
      <c r="AC47" s="2"/>
      <c r="AD47" s="2"/>
      <c r="AE47" s="2"/>
      <c r="AF47" s="2"/>
      <c r="AG47" s="2"/>
      <c r="AH47" s="2"/>
      <c r="AI47" s="2"/>
      <c r="AJ47" s="2"/>
      <c r="AK47" s="2"/>
      <c r="AL47" s="2"/>
      <c r="AM47" s="2"/>
      <c r="AN47" s="2"/>
      <c r="AO47" s="2"/>
      <c r="AP47" s="2"/>
      <c r="AQ47" s="98"/>
      <c r="AR47" s="2"/>
    </row>
    <row r="48" spans="1:44" ht="12.75" customHeight="1">
      <c r="A48" s="2" t="s">
        <v>769</v>
      </c>
      <c r="B48" s="2"/>
      <c r="C48" s="2031">
        <f>BYD!BE103</f>
        <v>110.352</v>
      </c>
      <c r="D48" s="104">
        <f>BYD!AZ103</f>
        <v>109.471</v>
      </c>
      <c r="E48" s="1103"/>
      <c r="F48" s="374">
        <f>C48-D48</f>
        <v>0.88100000000000023</v>
      </c>
      <c r="G48" s="126">
        <f>IF(D48=0,0,C48/D48-1)</f>
        <v>8.0477934795517569E-3</v>
      </c>
      <c r="H48" s="2"/>
      <c r="I48" s="1104">
        <v>109.923</v>
      </c>
      <c r="J48" s="1103"/>
      <c r="K48" s="374">
        <f>C48-I48</f>
        <v>0.42900000000000205</v>
      </c>
      <c r="L48" s="1204">
        <f>C48/I48-1</f>
        <v>3.9027319123385862E-3</v>
      </c>
      <c r="N48" s="2"/>
      <c r="O48" s="2"/>
      <c r="P48" s="2"/>
      <c r="Q48" s="2"/>
      <c r="U48" s="2"/>
      <c r="V48" s="2"/>
      <c r="W48" s="2"/>
      <c r="X48" s="2"/>
      <c r="Y48" s="2"/>
      <c r="Z48" s="2"/>
      <c r="AA48" s="2"/>
      <c r="AB48" s="2"/>
      <c r="AC48" s="2"/>
      <c r="AD48" s="2"/>
      <c r="AE48" s="2"/>
      <c r="AF48" s="2"/>
      <c r="AG48" s="2"/>
      <c r="AH48" s="2"/>
      <c r="AI48" s="2"/>
      <c r="AJ48" s="2"/>
      <c r="AK48" s="2"/>
      <c r="AL48" s="2"/>
      <c r="AM48" s="2"/>
      <c r="AN48" s="2"/>
      <c r="AO48" s="2"/>
      <c r="AP48" s="2"/>
      <c r="AQ48" s="98"/>
      <c r="AR48" s="2"/>
    </row>
    <row r="49" spans="1:44" ht="12.75" customHeight="1">
      <c r="A49" s="2"/>
      <c r="B49" s="2"/>
      <c r="C49" s="112"/>
      <c r="D49" s="77"/>
      <c r="E49" s="61"/>
      <c r="F49" s="2"/>
      <c r="G49" s="2"/>
      <c r="H49" s="2"/>
      <c r="I49" s="142"/>
      <c r="J49" s="61"/>
      <c r="K49" s="61"/>
      <c r="L49" s="2"/>
      <c r="N49" s="2"/>
      <c r="O49" s="2"/>
      <c r="P49" s="2"/>
      <c r="Q49" s="2"/>
      <c r="U49" s="2"/>
      <c r="V49" s="2"/>
      <c r="W49" s="2"/>
      <c r="X49" s="2"/>
      <c r="Y49" s="2"/>
      <c r="Z49" s="2"/>
      <c r="AA49" s="2"/>
      <c r="AB49" s="2"/>
      <c r="AC49" s="2"/>
      <c r="AD49" s="2"/>
      <c r="AE49" s="2"/>
      <c r="AF49" s="2"/>
      <c r="AG49" s="2"/>
      <c r="AH49" s="2"/>
      <c r="AI49" s="2"/>
      <c r="AJ49" s="2"/>
      <c r="AK49" s="2"/>
      <c r="AL49" s="2"/>
      <c r="AM49" s="2"/>
      <c r="AN49" s="2"/>
      <c r="AO49" s="2"/>
      <c r="AP49" s="2"/>
      <c r="AQ49" s="98"/>
      <c r="AR49" s="2"/>
    </row>
    <row r="50" spans="1:44" ht="12.75" customHeight="1">
      <c r="A50" s="1222" t="s">
        <v>1483</v>
      </c>
      <c r="B50" s="1223"/>
      <c r="C50" s="1224">
        <f>C23/C14</f>
        <v>0.28977322962029367</v>
      </c>
      <c r="D50" s="1400">
        <f>D23/D14</f>
        <v>0.25782642937096811</v>
      </c>
      <c r="E50" s="1225"/>
      <c r="F50" s="1223"/>
      <c r="G50" s="1226">
        <f>(C50-D50)</f>
        <v>3.1946800249325558E-2</v>
      </c>
      <c r="H50" s="1223"/>
      <c r="I50" s="3112">
        <v>0.22196391764133355</v>
      </c>
      <c r="J50" s="1225"/>
      <c r="K50" s="1223"/>
      <c r="L50" s="1227">
        <f>(C50-I50)</f>
        <v>6.7809311978960118E-2</v>
      </c>
      <c r="N50" s="2"/>
      <c r="O50" s="2"/>
      <c r="P50" s="2"/>
      <c r="Q50" s="2"/>
      <c r="U50" s="2"/>
      <c r="V50" s="2"/>
      <c r="W50" s="2"/>
      <c r="X50" s="2"/>
      <c r="Y50" s="2"/>
      <c r="Z50" s="2"/>
      <c r="AA50" s="2"/>
      <c r="AB50" s="2"/>
      <c r="AC50" s="2"/>
      <c r="AD50" s="2"/>
      <c r="AE50" s="2"/>
      <c r="AF50" s="2"/>
      <c r="AG50" s="2"/>
      <c r="AH50" s="2"/>
      <c r="AI50" s="2"/>
      <c r="AJ50" s="2"/>
      <c r="AK50" s="2"/>
      <c r="AL50" s="2"/>
      <c r="AM50" s="2"/>
      <c r="AN50" s="2"/>
      <c r="AO50" s="2"/>
      <c r="AP50" s="2"/>
      <c r="AQ50" s="98"/>
      <c r="AR50" s="2"/>
    </row>
    <row r="51" spans="1:44" ht="12.75" customHeight="1">
      <c r="A51" s="1239" t="s">
        <v>514</v>
      </c>
      <c r="B51" s="1228"/>
      <c r="C51" s="1229">
        <f t="shared" ref="C51:D54" si="9">C17/C8</f>
        <v>0.26202119526533624</v>
      </c>
      <c r="D51" s="1230">
        <f t="shared" si="9"/>
        <v>0.22351468995351151</v>
      </c>
      <c r="E51" s="1230"/>
      <c r="F51" s="1228"/>
      <c r="G51" s="1231">
        <f>(C51-D51)</f>
        <v>3.8506505311824729E-2</v>
      </c>
      <c r="H51" s="1228"/>
      <c r="I51" s="1248">
        <v>0.23504665000370684</v>
      </c>
      <c r="J51" s="1230"/>
      <c r="K51" s="1228"/>
      <c r="L51" s="1232">
        <f>(C51-I51)</f>
        <v>2.6974545261629401E-2</v>
      </c>
      <c r="M51" s="1404"/>
      <c r="N51" s="1647"/>
      <c r="O51" s="1647"/>
      <c r="P51" s="1647"/>
      <c r="Q51" s="1647"/>
      <c r="U51" s="2"/>
      <c r="V51" s="2"/>
      <c r="W51" s="2"/>
      <c r="X51" s="2"/>
      <c r="Y51" s="2"/>
      <c r="Z51" s="2"/>
      <c r="AA51" s="2"/>
      <c r="AB51" s="2"/>
      <c r="AC51" s="2"/>
      <c r="AD51" s="2"/>
      <c r="AE51" s="2"/>
      <c r="AF51" s="2"/>
      <c r="AG51" s="2"/>
      <c r="AH51" s="2"/>
      <c r="AI51" s="2"/>
      <c r="AJ51" s="2"/>
      <c r="AK51" s="2"/>
      <c r="AL51" s="2"/>
      <c r="AM51" s="2"/>
      <c r="AN51" s="2"/>
      <c r="AO51" s="2"/>
      <c r="AP51" s="2"/>
      <c r="AQ51" s="98"/>
      <c r="AR51" s="2"/>
    </row>
    <row r="52" spans="1:44" ht="12.75" customHeight="1">
      <c r="A52" s="1239" t="s">
        <v>515</v>
      </c>
      <c r="B52" s="1228"/>
      <c r="C52" s="1229">
        <f t="shared" si="9"/>
        <v>0.22002650517521935</v>
      </c>
      <c r="D52" s="1230">
        <f t="shared" si="9"/>
        <v>0.21884976015777771</v>
      </c>
      <c r="E52" s="1230"/>
      <c r="F52" s="1228"/>
      <c r="G52" s="1231">
        <f>(C52-D52)</f>
        <v>1.1767450174416383E-3</v>
      </c>
      <c r="H52" s="1228"/>
      <c r="I52" s="1248">
        <v>0.19178019739096808</v>
      </c>
      <c r="J52" s="1230"/>
      <c r="K52" s="1228"/>
      <c r="L52" s="1232">
        <f>(C52-I52)</f>
        <v>2.8246307784251273E-2</v>
      </c>
      <c r="M52" s="1403"/>
      <c r="N52" s="98"/>
      <c r="O52" s="98"/>
      <c r="P52" s="98"/>
      <c r="Q52" s="98"/>
      <c r="U52" s="2"/>
      <c r="V52" s="2"/>
      <c r="W52" s="2"/>
      <c r="X52" s="2"/>
      <c r="Y52" s="2"/>
      <c r="Z52" s="2"/>
      <c r="AA52" s="2"/>
      <c r="AB52" s="2"/>
      <c r="AC52" s="2"/>
      <c r="AD52" s="2"/>
      <c r="AE52" s="2"/>
      <c r="AF52" s="2"/>
      <c r="AG52" s="2"/>
      <c r="AH52" s="2"/>
      <c r="AI52" s="2"/>
      <c r="AJ52" s="2"/>
      <c r="AK52" s="2"/>
      <c r="AL52" s="2"/>
      <c r="AM52" s="2"/>
      <c r="AN52" s="2"/>
      <c r="AO52" s="2"/>
      <c r="AP52" s="2"/>
      <c r="AQ52" s="98"/>
      <c r="AR52" s="2"/>
    </row>
    <row r="53" spans="1:44" ht="12.75" customHeight="1">
      <c r="A53" s="1239" t="s">
        <v>516</v>
      </c>
      <c r="B53" s="1228"/>
      <c r="C53" s="1229">
        <f t="shared" si="9"/>
        <v>0.20042998925026875</v>
      </c>
      <c r="D53" s="1230">
        <f t="shared" si="9"/>
        <v>0.20269353398801171</v>
      </c>
      <c r="E53" s="1230"/>
      <c r="F53" s="1228"/>
      <c r="G53" s="1231">
        <f>(C53-D53)</f>
        <v>-2.2635447377429563E-3</v>
      </c>
      <c r="H53" s="1228"/>
      <c r="I53" s="1248">
        <v>0.16061451482935496</v>
      </c>
      <c r="J53" s="1230"/>
      <c r="K53" s="1228"/>
      <c r="L53" s="1232">
        <f>(C53-I53)</f>
        <v>3.9815474420913793E-2</v>
      </c>
      <c r="M53" s="1403"/>
      <c r="N53" s="98"/>
      <c r="O53" s="98"/>
      <c r="P53" s="98"/>
      <c r="Q53" s="98"/>
      <c r="U53" s="2"/>
      <c r="V53" s="2"/>
      <c r="W53" s="2"/>
      <c r="X53" s="2"/>
      <c r="Y53" s="2"/>
      <c r="Z53" s="2"/>
      <c r="AA53" s="2"/>
      <c r="AB53" s="2"/>
      <c r="AC53" s="2"/>
      <c r="AD53" s="2"/>
      <c r="AE53" s="2"/>
      <c r="AF53" s="2"/>
      <c r="AG53" s="2"/>
      <c r="AH53" s="2"/>
      <c r="AI53" s="2"/>
      <c r="AJ53" s="2"/>
      <c r="AK53" s="2"/>
      <c r="AL53" s="2"/>
      <c r="AM53" s="2"/>
      <c r="AN53" s="2"/>
      <c r="AO53" s="2"/>
      <c r="AP53" s="2"/>
      <c r="AQ53" s="98"/>
      <c r="AR53" s="2"/>
    </row>
    <row r="54" spans="1:44" ht="12.75" customHeight="1">
      <c r="A54" s="3113" t="s">
        <v>517</v>
      </c>
      <c r="B54" s="1233"/>
      <c r="C54" s="1234">
        <f t="shared" si="9"/>
        <v>0.35063660631866073</v>
      </c>
      <c r="D54" s="1235">
        <f t="shared" si="9"/>
        <v>0.34157813099387896</v>
      </c>
      <c r="E54" s="1235"/>
      <c r="F54" s="1233"/>
      <c r="G54" s="1236">
        <f>(C54-D54)</f>
        <v>9.0584753247817673E-3</v>
      </c>
      <c r="H54" s="1233"/>
      <c r="I54" s="1249">
        <v>0.31985898748365182</v>
      </c>
      <c r="J54" s="1235"/>
      <c r="K54" s="1233"/>
      <c r="L54" s="1237">
        <f>(C54-I54)</f>
        <v>3.0777618835008902E-2</v>
      </c>
      <c r="M54" s="1404"/>
      <c r="N54" s="105"/>
      <c r="O54" s="105"/>
      <c r="P54" s="105"/>
      <c r="Q54" s="105"/>
      <c r="U54" s="2"/>
      <c r="V54" s="2"/>
      <c r="W54" s="2"/>
      <c r="X54" s="2"/>
      <c r="Y54" s="2"/>
      <c r="Z54" s="2"/>
      <c r="AA54" s="2"/>
      <c r="AB54" s="2"/>
      <c r="AC54" s="2"/>
      <c r="AD54" s="2"/>
      <c r="AE54" s="2"/>
      <c r="AF54" s="2"/>
      <c r="AG54" s="2"/>
      <c r="AH54" s="2"/>
      <c r="AI54" s="2"/>
      <c r="AJ54" s="2"/>
      <c r="AK54" s="2"/>
      <c r="AL54" s="2"/>
      <c r="AM54" s="2"/>
      <c r="AN54" s="2"/>
      <c r="AO54" s="2"/>
      <c r="AP54" s="2"/>
      <c r="AQ54" s="98"/>
      <c r="AR54" s="2"/>
    </row>
    <row r="55" spans="1:44" ht="12.75" customHeight="1">
      <c r="A55" s="61"/>
      <c r="B55" s="61"/>
      <c r="C55" s="144"/>
      <c r="D55" s="77"/>
      <c r="E55" s="61"/>
      <c r="F55" s="61"/>
      <c r="G55" s="61"/>
      <c r="H55" s="61"/>
      <c r="I55" s="144"/>
      <c r="J55" s="61"/>
      <c r="K55" s="61"/>
      <c r="L55" s="61"/>
      <c r="M55" s="1404"/>
      <c r="N55" s="105"/>
      <c r="O55" s="105"/>
      <c r="P55" s="105"/>
      <c r="Q55" s="105"/>
      <c r="U55" s="2"/>
      <c r="V55" s="2"/>
      <c r="W55" s="2"/>
      <c r="X55" s="2"/>
      <c r="Y55" s="2"/>
      <c r="Z55" s="2"/>
      <c r="AA55" s="2"/>
      <c r="AB55" s="2"/>
      <c r="AC55" s="2"/>
      <c r="AD55" s="2"/>
      <c r="AE55" s="2"/>
      <c r="AF55" s="2"/>
      <c r="AG55" s="2"/>
      <c r="AH55" s="2"/>
      <c r="AI55" s="2"/>
      <c r="AJ55" s="2"/>
      <c r="AK55" s="2"/>
      <c r="AL55" s="2"/>
      <c r="AM55" s="2"/>
      <c r="AN55" s="2"/>
      <c r="AO55" s="2"/>
      <c r="AP55" s="2"/>
      <c r="AQ55" s="98"/>
      <c r="AR55" s="2"/>
    </row>
    <row r="56" spans="1:44" ht="12.75" customHeight="1">
      <c r="A56" s="61"/>
      <c r="B56" s="61"/>
      <c r="C56" s="374"/>
      <c r="D56" s="374"/>
      <c r="E56" s="61"/>
      <c r="F56" s="374"/>
      <c r="G56" s="95"/>
      <c r="H56" s="313"/>
      <c r="I56" s="376"/>
      <c r="J56" s="932"/>
      <c r="K56" s="374"/>
      <c r="L56" s="1204"/>
      <c r="N56" s="2"/>
      <c r="O56" s="2"/>
      <c r="P56" s="2"/>
      <c r="Q56" s="2"/>
      <c r="U56" s="1"/>
      <c r="V56" s="2"/>
      <c r="W56" s="1"/>
      <c r="X56" s="2"/>
      <c r="Y56" s="2"/>
      <c r="Z56" s="2"/>
      <c r="AA56" s="2"/>
      <c r="AB56" s="2"/>
      <c r="AC56" s="2"/>
      <c r="AD56" s="2"/>
      <c r="AE56" s="2"/>
      <c r="AF56" s="2"/>
      <c r="AG56" s="2"/>
      <c r="AH56" s="2"/>
      <c r="AI56" s="2"/>
      <c r="AJ56" s="2"/>
      <c r="AK56" s="2"/>
      <c r="AL56" s="2"/>
      <c r="AM56" s="2"/>
      <c r="AN56" s="2"/>
      <c r="AO56" s="2"/>
      <c r="AP56" s="2"/>
      <c r="AQ56" s="98"/>
      <c r="AR56" s="2"/>
    </row>
    <row r="57" spans="1:44" ht="12.75" customHeight="1">
      <c r="A57" s="743"/>
      <c r="B57" s="61"/>
      <c r="C57" s="1618"/>
      <c r="D57" s="1618"/>
      <c r="E57" s="61"/>
      <c r="F57" s="1618"/>
      <c r="G57" s="1433"/>
      <c r="H57" s="61"/>
      <c r="I57" s="1618"/>
      <c r="J57" s="1103"/>
      <c r="K57" s="452"/>
      <c r="L57" s="1252"/>
      <c r="M57" s="1404"/>
      <c r="N57" s="1404"/>
      <c r="O57" s="1404"/>
      <c r="P57" s="1404"/>
      <c r="Q57" s="1404"/>
      <c r="U57" s="105"/>
      <c r="V57" s="2"/>
      <c r="W57" s="105"/>
      <c r="X57" s="2"/>
      <c r="Y57" s="2"/>
      <c r="Z57" s="2"/>
      <c r="AA57" s="2"/>
      <c r="AB57" s="2"/>
      <c r="AC57" s="2"/>
      <c r="AD57" s="2"/>
      <c r="AE57" s="2"/>
      <c r="AF57" s="2"/>
      <c r="AG57" s="2"/>
      <c r="AH57" s="2"/>
      <c r="AI57" s="2"/>
      <c r="AJ57" s="2"/>
      <c r="AK57" s="2"/>
      <c r="AL57" s="2"/>
      <c r="AM57" s="2"/>
      <c r="AN57" s="2"/>
      <c r="AO57" s="2"/>
      <c r="AP57" s="2"/>
      <c r="AQ57" s="98"/>
      <c r="AR57" s="2"/>
    </row>
    <row r="58" spans="1:44" ht="12.75" customHeight="1">
      <c r="A58" s="1"/>
      <c r="B58" s="2"/>
      <c r="C58" s="1241"/>
      <c r="D58" s="1241"/>
      <c r="E58" s="61"/>
      <c r="F58" s="374"/>
      <c r="G58" s="95"/>
      <c r="H58" s="61"/>
      <c r="I58" s="1434"/>
      <c r="J58" s="1103"/>
      <c r="K58" s="1241"/>
      <c r="L58" s="1204"/>
      <c r="N58" s="1143"/>
      <c r="O58" s="1143"/>
      <c r="P58" s="1143"/>
      <c r="Q58" s="1143"/>
      <c r="AQ58" s="1403"/>
    </row>
    <row r="59" spans="1:44" ht="4.5" customHeight="1">
      <c r="A59" s="2"/>
      <c r="B59" s="2"/>
      <c r="C59" s="61"/>
      <c r="D59" s="77"/>
      <c r="E59" s="61"/>
      <c r="F59" s="61"/>
      <c r="G59" s="61"/>
      <c r="H59" s="61"/>
      <c r="I59" s="61"/>
      <c r="J59" s="2"/>
      <c r="K59" s="2"/>
      <c r="L59" s="2"/>
      <c r="N59" s="2"/>
      <c r="O59" s="2"/>
      <c r="P59" s="2"/>
      <c r="Q59" s="2"/>
      <c r="AQ59" s="1403"/>
    </row>
    <row r="60" spans="1:44" ht="6" customHeight="1">
      <c r="A60" s="2"/>
      <c r="B60" s="2"/>
      <c r="C60" s="2"/>
      <c r="D60" s="1062"/>
      <c r="E60" s="2"/>
      <c r="F60" s="2"/>
      <c r="G60" s="2"/>
      <c r="H60" s="2"/>
      <c r="I60" s="2"/>
      <c r="J60" s="2"/>
      <c r="K60" s="2"/>
      <c r="L60" s="2"/>
      <c r="N60" s="2"/>
      <c r="O60" s="2"/>
      <c r="P60" s="2"/>
      <c r="Q60" s="2"/>
      <c r="AQ60" s="1403"/>
    </row>
    <row r="61" spans="1:44" ht="12.75" customHeight="1">
      <c r="A61" s="2"/>
      <c r="B61" s="2"/>
      <c r="C61" s="2"/>
      <c r="D61" s="1648"/>
      <c r="E61" s="2"/>
      <c r="F61" s="2"/>
      <c r="G61" s="2"/>
      <c r="H61" s="2"/>
      <c r="I61" s="2"/>
      <c r="J61" s="2"/>
      <c r="K61" s="2"/>
      <c r="L61" s="2"/>
      <c r="N61" s="2"/>
      <c r="O61" s="2"/>
      <c r="P61" s="2"/>
      <c r="Q61" s="2"/>
      <c r="AQ61" s="1403"/>
    </row>
    <row r="62" spans="1:44" ht="12.75" customHeight="1">
      <c r="A62" s="2"/>
      <c r="B62" s="2"/>
      <c r="C62" s="2"/>
      <c r="D62" s="1062"/>
      <c r="E62" s="2"/>
      <c r="F62" s="2"/>
      <c r="G62" s="2"/>
      <c r="H62" s="2"/>
      <c r="I62" s="2"/>
      <c r="J62" s="2"/>
      <c r="K62" s="2"/>
      <c r="L62" s="2"/>
      <c r="N62" s="2"/>
      <c r="O62" s="2"/>
      <c r="P62" s="2"/>
      <c r="Q62" s="2"/>
      <c r="AQ62" s="1403"/>
    </row>
    <row r="63" spans="1:44" ht="12.75" customHeight="1">
      <c r="A63" s="2"/>
      <c r="B63" s="2"/>
      <c r="C63" s="2"/>
      <c r="D63" s="1062"/>
      <c r="E63" s="2"/>
      <c r="F63" s="2"/>
      <c r="G63" s="2"/>
      <c r="H63" s="2"/>
      <c r="I63" s="2"/>
      <c r="J63" s="2"/>
      <c r="K63" s="2"/>
      <c r="L63" s="2"/>
      <c r="N63" s="2"/>
      <c r="O63" s="2"/>
      <c r="P63" s="2"/>
      <c r="Q63" s="2"/>
      <c r="AQ63" s="1403"/>
    </row>
    <row r="64" spans="1:44" ht="12.75" customHeight="1">
      <c r="A64" s="2"/>
      <c r="B64" s="2"/>
      <c r="C64" s="2"/>
      <c r="D64" s="1062"/>
      <c r="E64" s="2"/>
      <c r="F64" s="2"/>
      <c r="G64" s="2"/>
      <c r="H64" s="2"/>
      <c r="I64" s="2"/>
      <c r="J64" s="2"/>
      <c r="K64" s="2"/>
      <c r="L64" s="2"/>
      <c r="N64" s="2"/>
      <c r="O64" s="2"/>
      <c r="P64" s="2"/>
      <c r="Q64" s="2"/>
      <c r="AQ64" s="1403"/>
    </row>
    <row r="65" spans="1:44" ht="12.75" customHeight="1">
      <c r="A65" s="2"/>
      <c r="B65" s="2"/>
      <c r="C65" s="2"/>
      <c r="D65" s="1062"/>
      <c r="E65" s="2"/>
      <c r="F65" s="2"/>
      <c r="G65" s="2"/>
      <c r="H65" s="2"/>
      <c r="I65" s="2"/>
      <c r="J65" s="2"/>
      <c r="K65" s="2"/>
      <c r="L65" s="2"/>
      <c r="N65" s="2"/>
      <c r="O65" s="2"/>
      <c r="P65" s="2"/>
      <c r="Q65" s="2"/>
      <c r="AQ65" s="1403"/>
    </row>
    <row r="66" spans="1:44" ht="12.75" customHeight="1">
      <c r="A66" s="2"/>
      <c r="B66" s="2"/>
      <c r="C66" s="2"/>
      <c r="D66" s="1062"/>
      <c r="E66" s="2"/>
      <c r="F66" s="2"/>
      <c r="G66" s="2"/>
      <c r="H66" s="2"/>
      <c r="I66" s="2"/>
      <c r="J66" s="2"/>
      <c r="K66" s="2"/>
      <c r="L66" s="2"/>
      <c r="M66" s="69" t="s">
        <v>318</v>
      </c>
      <c r="R66" s="2"/>
      <c r="S66" s="2"/>
      <c r="T66" s="2"/>
      <c r="AQ66" s="1403"/>
    </row>
    <row r="67" spans="1:44" ht="12.75" customHeight="1">
      <c r="A67" s="2"/>
      <c r="B67" s="2"/>
      <c r="C67" s="2"/>
      <c r="D67" s="1062"/>
      <c r="E67" s="2"/>
      <c r="F67" s="2"/>
      <c r="G67" s="2"/>
      <c r="H67" s="2"/>
      <c r="I67" s="2"/>
      <c r="J67" s="2"/>
      <c r="K67" s="2"/>
      <c r="L67" s="2"/>
      <c r="M67" s="2" t="s">
        <v>319</v>
      </c>
      <c r="N67" s="2" t="s">
        <v>320</v>
      </c>
      <c r="O67" s="2"/>
      <c r="P67" s="2"/>
      <c r="Q67" s="2"/>
      <c r="R67" s="2" t="s">
        <v>321</v>
      </c>
      <c r="S67" s="98">
        <v>62.5</v>
      </c>
      <c r="T67" s="98"/>
      <c r="AQ67" s="1403"/>
    </row>
    <row r="68" spans="1:44" ht="12.75" customHeight="1">
      <c r="A68" s="2"/>
      <c r="B68" s="2"/>
      <c r="C68" s="2"/>
      <c r="D68" s="1062"/>
      <c r="E68" s="2"/>
      <c r="F68" s="2"/>
      <c r="G68" s="2"/>
      <c r="H68" s="2"/>
      <c r="I68" s="2"/>
      <c r="J68" s="2"/>
      <c r="K68" s="2"/>
      <c r="L68" s="2"/>
      <c r="M68" s="2"/>
      <c r="N68" s="2" t="s">
        <v>322</v>
      </c>
      <c r="O68" s="2"/>
      <c r="P68" s="2"/>
      <c r="Q68" s="2"/>
      <c r="R68" s="2" t="s">
        <v>321</v>
      </c>
      <c r="S68" s="98">
        <v>87.5</v>
      </c>
      <c r="T68" s="98"/>
      <c r="AQ68" s="1403"/>
    </row>
    <row r="69" spans="1:44" ht="12.75" customHeight="1">
      <c r="A69" s="2"/>
      <c r="B69" s="2"/>
      <c r="C69" s="2"/>
      <c r="D69" s="1062"/>
      <c r="E69" s="2"/>
      <c r="F69" s="2"/>
      <c r="G69" s="2"/>
      <c r="H69" s="2"/>
      <c r="I69" s="2"/>
      <c r="J69" s="2"/>
      <c r="K69" s="2"/>
      <c r="L69" s="2"/>
      <c r="M69" s="2"/>
      <c r="N69" s="2" t="s">
        <v>323</v>
      </c>
      <c r="O69" s="2"/>
      <c r="P69" s="2"/>
      <c r="Q69" s="2"/>
      <c r="R69" s="2" t="s">
        <v>321</v>
      </c>
      <c r="S69" s="98">
        <v>100</v>
      </c>
      <c r="T69" s="98"/>
      <c r="AQ69" s="1403"/>
    </row>
    <row r="70" spans="1:44" ht="12.75" customHeight="1">
      <c r="A70" s="2"/>
      <c r="B70" s="2"/>
      <c r="C70" s="2"/>
      <c r="D70" s="1062"/>
      <c r="E70" s="2"/>
      <c r="F70" s="2"/>
      <c r="G70" s="2"/>
      <c r="H70" s="2"/>
      <c r="I70" s="2"/>
      <c r="J70" s="2"/>
      <c r="K70" s="2"/>
      <c r="L70" s="2"/>
      <c r="M70" s="2"/>
      <c r="N70" s="2" t="s">
        <v>324</v>
      </c>
      <c r="O70" s="2"/>
      <c r="P70" s="2"/>
      <c r="Q70" s="2"/>
      <c r="R70" s="2" t="s">
        <v>321</v>
      </c>
      <c r="S70" s="98">
        <v>112.5</v>
      </c>
      <c r="T70" s="98"/>
      <c r="AQ70" s="1403"/>
    </row>
    <row r="71" spans="1:44" ht="12.75" customHeight="1">
      <c r="A71" s="2"/>
      <c r="B71" s="2"/>
      <c r="C71" s="2"/>
      <c r="D71" s="1062"/>
      <c r="E71" s="2"/>
      <c r="F71" s="2"/>
      <c r="G71" s="2"/>
      <c r="H71" s="2"/>
      <c r="I71" s="2"/>
      <c r="J71" s="2"/>
      <c r="K71" s="2"/>
      <c r="L71" s="2"/>
      <c r="M71" s="2"/>
      <c r="N71" s="2" t="s">
        <v>325</v>
      </c>
      <c r="O71" s="2"/>
      <c r="P71" s="2"/>
      <c r="Q71" s="2"/>
      <c r="R71" s="2" t="s">
        <v>321</v>
      </c>
      <c r="S71" s="98">
        <v>137.5</v>
      </c>
      <c r="T71" s="98"/>
      <c r="AQ71" s="1403"/>
    </row>
    <row r="72" spans="1:44" ht="12.75" customHeight="1">
      <c r="A72" s="2"/>
      <c r="B72" s="2"/>
      <c r="C72" s="2"/>
      <c r="D72" s="1062"/>
      <c r="E72" s="2"/>
      <c r="F72" s="2"/>
      <c r="G72" s="2"/>
      <c r="H72" s="2"/>
      <c r="I72" s="2"/>
      <c r="J72" s="2"/>
      <c r="K72" s="2"/>
      <c r="L72" s="2"/>
      <c r="M72" s="2"/>
      <c r="N72" s="2" t="s">
        <v>326</v>
      </c>
      <c r="O72" s="2"/>
      <c r="P72" s="2"/>
      <c r="Q72" s="2"/>
      <c r="R72" s="2" t="s">
        <v>321</v>
      </c>
      <c r="S72" s="98">
        <v>162.5</v>
      </c>
      <c r="T72" s="98"/>
      <c r="AQ72" s="1403"/>
    </row>
    <row r="73" spans="1:44" ht="12.75" customHeight="1">
      <c r="A73" s="2"/>
      <c r="B73" s="2"/>
      <c r="C73" s="2"/>
      <c r="D73" s="1062"/>
      <c r="E73" s="2"/>
      <c r="F73" s="2"/>
      <c r="G73" s="2"/>
      <c r="H73" s="2"/>
      <c r="I73" s="2"/>
      <c r="J73" s="2"/>
      <c r="K73" s="2"/>
      <c r="L73" s="2"/>
      <c r="N73" s="2"/>
      <c r="O73" s="2"/>
      <c r="P73" s="2"/>
      <c r="Q73" s="2"/>
      <c r="U73" s="2"/>
      <c r="V73" s="2"/>
      <c r="W73" s="2"/>
      <c r="X73" s="2"/>
      <c r="Y73" s="2"/>
      <c r="Z73" s="2"/>
      <c r="AA73" s="2"/>
      <c r="AB73" s="2"/>
      <c r="AC73" s="2"/>
      <c r="AD73" s="2"/>
      <c r="AE73" s="2"/>
      <c r="AF73" s="2"/>
      <c r="AG73" s="2"/>
      <c r="AH73" s="2"/>
      <c r="AI73" s="2"/>
      <c r="AJ73" s="2"/>
      <c r="AK73" s="2"/>
      <c r="AL73" s="2"/>
      <c r="AM73" s="2"/>
      <c r="AN73" s="2"/>
      <c r="AO73" s="2"/>
      <c r="AP73" s="2"/>
      <c r="AQ73" s="98"/>
      <c r="AR73" s="2"/>
    </row>
    <row r="74" spans="1:44" ht="12.75" customHeight="1">
      <c r="A74" s="2"/>
      <c r="B74" s="2"/>
      <c r="C74" s="2"/>
      <c r="D74" s="1062"/>
      <c r="E74" s="2"/>
      <c r="F74" s="2"/>
      <c r="G74" s="2"/>
      <c r="H74" s="2"/>
      <c r="I74" s="2"/>
      <c r="J74" s="2"/>
      <c r="K74" s="2"/>
      <c r="L74" s="2"/>
      <c r="N74" s="2"/>
      <c r="O74" s="2"/>
      <c r="P74" s="2"/>
      <c r="Q74" s="2"/>
      <c r="U74" s="2"/>
      <c r="V74" s="2"/>
      <c r="W74" s="2"/>
      <c r="X74" s="2"/>
      <c r="Y74" s="2"/>
      <c r="Z74" s="2"/>
      <c r="AA74" s="2"/>
      <c r="AB74" s="2"/>
      <c r="AC74" s="2"/>
      <c r="AD74" s="2"/>
      <c r="AE74" s="2"/>
      <c r="AF74" s="2"/>
      <c r="AG74" s="2"/>
      <c r="AH74" s="2"/>
      <c r="AI74" s="2"/>
      <c r="AJ74" s="2"/>
      <c r="AK74" s="2"/>
      <c r="AL74" s="2"/>
      <c r="AM74" s="2"/>
      <c r="AN74" s="2"/>
      <c r="AO74" s="2"/>
      <c r="AP74" s="2"/>
      <c r="AQ74" s="98"/>
      <c r="AR74" s="2"/>
    </row>
    <row r="75" spans="1:44" ht="12.75" customHeight="1">
      <c r="A75" s="2"/>
      <c r="B75" s="2"/>
      <c r="C75" s="2"/>
      <c r="D75" s="1062"/>
      <c r="E75" s="2"/>
      <c r="F75" s="2"/>
      <c r="G75" s="2"/>
      <c r="H75" s="2"/>
      <c r="I75" s="2"/>
      <c r="J75" s="2"/>
      <c r="K75" s="2"/>
      <c r="L75" s="2"/>
      <c r="N75" s="2"/>
      <c r="O75" s="2"/>
      <c r="P75" s="2"/>
      <c r="Q75" s="2"/>
      <c r="U75" s="1" t="s">
        <v>1140</v>
      </c>
      <c r="V75" s="1"/>
      <c r="W75" s="2"/>
      <c r="X75" s="2"/>
      <c r="Y75" s="2"/>
      <c r="Z75" s="2"/>
      <c r="AA75" s="2"/>
      <c r="AB75" s="2"/>
      <c r="AC75" s="2"/>
      <c r="AD75" s="2"/>
      <c r="AE75" s="2"/>
      <c r="AF75" s="2"/>
      <c r="AG75" s="2"/>
      <c r="AH75" s="2"/>
      <c r="AI75" s="2"/>
      <c r="AJ75" s="2"/>
      <c r="AK75" s="2"/>
      <c r="AL75" s="2"/>
      <c r="AM75" s="2"/>
      <c r="AN75" s="2"/>
      <c r="AO75" s="2"/>
      <c r="AP75" s="2"/>
      <c r="AQ75" s="98"/>
      <c r="AR75" s="2"/>
    </row>
    <row r="76" spans="1:44" ht="12.75" customHeight="1">
      <c r="A76" s="2"/>
      <c r="B76" s="2"/>
      <c r="C76" s="2"/>
      <c r="D76" s="1062"/>
      <c r="E76" s="2"/>
      <c r="F76" s="2"/>
      <c r="G76" s="2"/>
      <c r="H76" s="2"/>
      <c r="I76" s="2"/>
      <c r="J76" s="2"/>
      <c r="K76" s="2"/>
      <c r="L76" s="2"/>
      <c r="N76" s="2"/>
      <c r="O76" s="2"/>
      <c r="P76" s="2"/>
      <c r="Q76" s="2"/>
      <c r="U76" s="1"/>
      <c r="V76" s="1"/>
      <c r="W76" s="2"/>
      <c r="X76" s="2"/>
      <c r="Y76" s="2"/>
      <c r="Z76" s="2"/>
      <c r="AA76" s="2"/>
      <c r="AB76" s="2"/>
      <c r="AC76" s="2"/>
      <c r="AD76" s="2"/>
      <c r="AE76" s="2"/>
      <c r="AF76" s="2"/>
      <c r="AG76" s="2"/>
      <c r="AH76" s="2"/>
      <c r="AI76" s="2"/>
      <c r="AJ76" s="2"/>
      <c r="AK76" s="2"/>
      <c r="AL76" s="2"/>
      <c r="AM76" s="2"/>
      <c r="AN76" s="2"/>
      <c r="AO76" s="2"/>
      <c r="AP76" s="2"/>
      <c r="AQ76" s="98"/>
      <c r="AR76" s="2"/>
    </row>
    <row r="77" spans="1:44" ht="12.75" customHeight="1">
      <c r="A77" s="2"/>
      <c r="B77" s="2"/>
      <c r="C77" s="2"/>
      <c r="D77" s="1062"/>
      <c r="E77" s="2"/>
      <c r="F77" s="2"/>
      <c r="G77" s="2"/>
      <c r="H77" s="2"/>
      <c r="I77" s="2"/>
      <c r="J77" s="2"/>
      <c r="K77" s="2"/>
      <c r="L77" s="2"/>
      <c r="N77" s="2"/>
      <c r="O77" s="2"/>
      <c r="P77" s="2"/>
      <c r="Q77" s="2"/>
      <c r="U77" s="2" t="s">
        <v>1144</v>
      </c>
      <c r="V77" s="2"/>
      <c r="W77" s="2"/>
      <c r="X77" s="2"/>
      <c r="Y77" s="2"/>
      <c r="Z77" s="2"/>
      <c r="AA77" s="2"/>
      <c r="AB77" s="2"/>
      <c r="AC77" s="2"/>
      <c r="AD77" s="2"/>
      <c r="AE77" s="2"/>
      <c r="AF77" s="2"/>
      <c r="AG77" s="2"/>
      <c r="AH77" s="2"/>
      <c r="AI77" s="2"/>
      <c r="AJ77" s="2"/>
      <c r="AK77" s="2"/>
      <c r="AL77" s="2"/>
      <c r="AM77" s="2"/>
      <c r="AN77" s="2"/>
      <c r="AO77" s="2"/>
      <c r="AP77" s="2"/>
      <c r="AQ77" s="98"/>
      <c r="AR77" s="2"/>
    </row>
    <row r="78" spans="1:44" ht="12.75" customHeight="1">
      <c r="A78" s="2"/>
      <c r="B78" s="2"/>
      <c r="C78" s="2"/>
      <c r="D78" s="1062"/>
      <c r="E78" s="2"/>
      <c r="F78" s="2"/>
      <c r="G78" s="2"/>
      <c r="H78" s="2"/>
      <c r="I78" s="2"/>
      <c r="J78" s="2"/>
      <c r="K78" s="2"/>
      <c r="L78" s="2"/>
      <c r="N78" s="2"/>
      <c r="O78" s="2"/>
      <c r="P78" s="2"/>
      <c r="Q78" s="2"/>
      <c r="U78" s="2"/>
      <c r="V78" s="2"/>
      <c r="W78" s="2"/>
      <c r="X78" s="2"/>
      <c r="Y78" s="2"/>
      <c r="Z78" s="2"/>
      <c r="AA78" s="2"/>
      <c r="AB78" s="2"/>
      <c r="AC78" s="2"/>
      <c r="AD78" s="2"/>
      <c r="AE78" s="2"/>
      <c r="AF78" s="2"/>
      <c r="AG78" s="2"/>
      <c r="AH78" s="2"/>
      <c r="AI78" s="2"/>
      <c r="AJ78" s="2"/>
      <c r="AK78" s="2"/>
      <c r="AL78" s="2"/>
      <c r="AM78" s="2"/>
      <c r="AN78" s="2"/>
      <c r="AO78" s="2"/>
      <c r="AP78" s="2"/>
      <c r="AQ78" s="98"/>
      <c r="AR78" s="2"/>
    </row>
    <row r="79" spans="1:44" ht="12.75" customHeight="1">
      <c r="A79" s="2"/>
      <c r="B79" s="2"/>
      <c r="C79" s="2"/>
      <c r="D79" s="1062"/>
      <c r="E79" s="2"/>
      <c r="F79" s="2"/>
      <c r="G79" s="2"/>
      <c r="H79" s="2"/>
      <c r="I79" s="2"/>
      <c r="J79" s="2"/>
      <c r="K79" s="2"/>
      <c r="L79" s="2"/>
      <c r="N79" s="2"/>
      <c r="O79" s="2"/>
      <c r="P79" s="2"/>
      <c r="Q79" s="2"/>
      <c r="U79" s="2"/>
      <c r="V79" s="2"/>
      <c r="W79" s="1197" t="s">
        <v>55</v>
      </c>
      <c r="X79" s="1197"/>
      <c r="Y79" s="1197"/>
      <c r="Z79" s="1196"/>
      <c r="AA79" s="1196"/>
      <c r="AB79" s="2"/>
      <c r="AC79" s="2"/>
      <c r="AD79" s="2"/>
      <c r="AE79" s="2"/>
      <c r="AF79" s="2"/>
      <c r="AG79" s="2"/>
      <c r="AH79" s="2"/>
      <c r="AI79" s="2"/>
      <c r="AJ79" s="2"/>
      <c r="AK79" s="2"/>
      <c r="AL79" s="2"/>
      <c r="AM79" s="2"/>
      <c r="AN79" s="2"/>
      <c r="AO79" s="2"/>
      <c r="AP79" s="2"/>
      <c r="AQ79" s="98"/>
      <c r="AR79" s="2"/>
    </row>
    <row r="80" spans="1:44" ht="12.75" customHeight="1">
      <c r="A80" s="2"/>
      <c r="B80" s="2"/>
      <c r="C80" s="2"/>
      <c r="D80" s="1062"/>
      <c r="E80" s="2"/>
      <c r="F80" s="2"/>
      <c r="G80" s="2"/>
      <c r="H80" s="2"/>
      <c r="I80" s="2"/>
      <c r="J80" s="2"/>
      <c r="K80" s="2"/>
      <c r="L80" s="2"/>
      <c r="N80" s="2"/>
      <c r="O80" s="2"/>
      <c r="P80" s="2"/>
      <c r="Q80" s="2"/>
      <c r="U80" s="69"/>
      <c r="V80" s="69"/>
      <c r="W80" s="1289" t="s">
        <v>1142</v>
      </c>
      <c r="X80" s="1289"/>
      <c r="Y80" s="1289" t="s">
        <v>1143</v>
      </c>
      <c r="Z80" s="1289"/>
      <c r="AA80" s="1289" t="s">
        <v>829</v>
      </c>
      <c r="AB80" s="2"/>
      <c r="AC80" s="2"/>
      <c r="AD80" s="2"/>
      <c r="AE80" s="2"/>
      <c r="AF80" s="2"/>
      <c r="AG80" s="2"/>
      <c r="AH80" s="2"/>
      <c r="AI80" s="2"/>
      <c r="AJ80" s="2"/>
      <c r="AK80" s="2"/>
      <c r="AL80" s="2"/>
      <c r="AM80" s="2"/>
      <c r="AN80" s="2"/>
      <c r="AO80" s="2"/>
      <c r="AP80" s="2"/>
      <c r="AQ80" s="98"/>
      <c r="AR80" s="2"/>
    </row>
    <row r="81" spans="1:44" ht="12.75" customHeight="1">
      <c r="A81" s="2"/>
      <c r="B81" s="2"/>
      <c r="C81" s="2"/>
      <c r="D81" s="1062"/>
      <c r="E81" s="2"/>
      <c r="F81" s="2"/>
      <c r="G81" s="2"/>
      <c r="H81" s="2"/>
      <c r="I81" s="2"/>
      <c r="J81" s="2"/>
      <c r="K81" s="2"/>
      <c r="L81" s="2"/>
      <c r="N81" s="2"/>
      <c r="O81" s="2"/>
      <c r="P81" s="2"/>
      <c r="Q81" s="2"/>
      <c r="U81" s="2" t="s">
        <v>935</v>
      </c>
      <c r="V81" s="2"/>
      <c r="W81" s="1102"/>
      <c r="X81" s="98"/>
      <c r="Y81" s="1102"/>
      <c r="Z81" s="98"/>
      <c r="AA81" s="105"/>
      <c r="AB81" s="2"/>
      <c r="AC81" s="2"/>
      <c r="AD81" s="2"/>
      <c r="AE81" s="2"/>
      <c r="AF81" s="2"/>
      <c r="AG81" s="2"/>
      <c r="AH81" s="2"/>
      <c r="AI81" s="2"/>
      <c r="AJ81" s="2"/>
      <c r="AK81" s="2"/>
      <c r="AL81" s="2"/>
      <c r="AM81" s="2"/>
      <c r="AN81" s="2"/>
      <c r="AO81" s="2"/>
      <c r="AP81" s="2"/>
      <c r="AQ81" s="98"/>
      <c r="AR81" s="2"/>
    </row>
    <row r="82" spans="1:44" ht="12.75" customHeight="1">
      <c r="A82" s="2"/>
      <c r="B82" s="2"/>
      <c r="C82" s="2"/>
      <c r="D82" s="1062"/>
      <c r="E82" s="2"/>
      <c r="F82" s="2"/>
      <c r="G82" s="2"/>
      <c r="H82" s="2"/>
      <c r="I82" s="2"/>
      <c r="J82" s="2"/>
      <c r="K82" s="2"/>
      <c r="L82" s="2"/>
      <c r="N82" s="2"/>
      <c r="O82" s="2"/>
      <c r="P82" s="2"/>
      <c r="Q82" s="2"/>
      <c r="U82" s="2" t="s">
        <v>1141</v>
      </c>
      <c r="V82" s="2"/>
      <c r="W82" s="1102"/>
      <c r="X82" s="98"/>
      <c r="Y82" s="1102"/>
      <c r="Z82" s="98"/>
      <c r="AA82" s="105"/>
      <c r="AB82" s="2"/>
      <c r="AC82" s="2"/>
      <c r="AD82" s="2"/>
      <c r="AE82" s="2"/>
      <c r="AF82" s="2"/>
      <c r="AG82" s="2"/>
      <c r="AH82" s="2"/>
      <c r="AI82" s="2"/>
      <c r="AJ82" s="2"/>
      <c r="AK82" s="2"/>
      <c r="AL82" s="2"/>
      <c r="AM82" s="2"/>
      <c r="AN82" s="2"/>
      <c r="AO82" s="2"/>
      <c r="AP82" s="2"/>
      <c r="AQ82" s="98"/>
      <c r="AR82" s="2"/>
    </row>
    <row r="83" spans="1:44" ht="12.75" customHeight="1">
      <c r="A83" s="2"/>
      <c r="B83" s="2"/>
      <c r="C83" s="2"/>
      <c r="D83" s="1062"/>
      <c r="E83" s="2"/>
      <c r="F83" s="2"/>
      <c r="G83" s="2"/>
      <c r="H83" s="2"/>
      <c r="I83" s="2"/>
      <c r="J83" s="2"/>
      <c r="K83" s="2"/>
      <c r="L83" s="2"/>
      <c r="N83" s="2"/>
      <c r="O83" s="2"/>
      <c r="P83" s="2"/>
      <c r="Q83" s="2"/>
      <c r="U83" s="2" t="s">
        <v>200</v>
      </c>
      <c r="V83" s="2"/>
      <c r="W83" s="1401"/>
      <c r="X83" s="1336"/>
      <c r="Y83" s="1401"/>
      <c r="Z83" s="1336"/>
      <c r="AA83" s="105"/>
      <c r="AB83" s="2"/>
      <c r="AC83" s="2"/>
      <c r="AD83" s="2"/>
      <c r="AE83" s="2"/>
      <c r="AF83" s="2"/>
      <c r="AG83" s="2"/>
      <c r="AH83" s="2"/>
      <c r="AI83" s="2"/>
      <c r="AJ83" s="2"/>
      <c r="AK83" s="2"/>
      <c r="AL83" s="2"/>
      <c r="AM83" s="2"/>
      <c r="AN83" s="2"/>
      <c r="AO83" s="2"/>
      <c r="AP83" s="2"/>
      <c r="AQ83" s="98"/>
      <c r="AR83" s="2"/>
    </row>
    <row r="84" spans="1:44" ht="12.75" customHeight="1">
      <c r="A84" s="2"/>
      <c r="B84" s="2"/>
      <c r="C84" s="2"/>
      <c r="D84" s="1062"/>
      <c r="E84" s="2"/>
      <c r="F84" s="2"/>
      <c r="G84" s="2"/>
      <c r="H84" s="2"/>
      <c r="I84" s="2"/>
      <c r="J84" s="2"/>
      <c r="K84" s="2"/>
      <c r="L84" s="2"/>
      <c r="N84" s="2"/>
      <c r="O84" s="2"/>
      <c r="P84" s="2"/>
      <c r="Q84" s="2"/>
      <c r="U84" s="2"/>
      <c r="V84" s="2"/>
      <c r="W84" s="2"/>
      <c r="X84" s="2"/>
      <c r="Y84" s="2"/>
      <c r="Z84" s="2"/>
      <c r="AA84" s="2"/>
      <c r="AB84" s="2"/>
      <c r="AC84" s="2"/>
      <c r="AD84" s="2"/>
      <c r="AE84" s="2"/>
      <c r="AF84" s="2"/>
      <c r="AG84" s="2"/>
      <c r="AH84" s="2"/>
      <c r="AI84" s="2"/>
      <c r="AJ84" s="2"/>
      <c r="AK84" s="2"/>
      <c r="AL84" s="2"/>
      <c r="AM84" s="2"/>
      <c r="AN84" s="2"/>
      <c r="AO84" s="2"/>
      <c r="AP84" s="2"/>
      <c r="AQ84" s="98"/>
      <c r="AR84" s="2"/>
    </row>
    <row r="85" spans="1:44" ht="12.75" customHeight="1">
      <c r="A85" s="2"/>
      <c r="B85" s="2"/>
      <c r="C85" s="2"/>
      <c r="D85" s="1062"/>
      <c r="E85" s="2"/>
      <c r="F85" s="2"/>
      <c r="G85" s="2"/>
      <c r="H85" s="2"/>
      <c r="I85" s="2"/>
      <c r="J85" s="2"/>
      <c r="K85" s="2"/>
      <c r="L85" s="2"/>
      <c r="N85" s="2"/>
      <c r="O85" s="2"/>
      <c r="P85" s="2"/>
      <c r="Q85" s="2"/>
      <c r="U85" s="2"/>
      <c r="V85" s="2"/>
      <c r="W85" s="2"/>
      <c r="X85" s="2"/>
      <c r="Y85" s="2"/>
      <c r="Z85" s="2"/>
      <c r="AA85" s="2"/>
      <c r="AB85" s="2"/>
      <c r="AC85" s="1" t="s">
        <v>1650</v>
      </c>
      <c r="AD85" s="2"/>
      <c r="AE85" s="2"/>
      <c r="AF85" s="2"/>
      <c r="AG85" s="2"/>
      <c r="AH85" s="105"/>
      <c r="AI85" s="2"/>
      <c r="AJ85" s="2"/>
      <c r="AK85" s="2"/>
      <c r="AL85" s="2"/>
      <c r="AM85" s="2"/>
      <c r="AN85" s="2"/>
      <c r="AO85" s="2"/>
      <c r="AP85" s="2"/>
      <c r="AQ85" s="98"/>
      <c r="AR85" s="2"/>
    </row>
    <row r="86" spans="1:44" ht="12.75" customHeight="1">
      <c r="A86" s="2"/>
      <c r="B86" s="2"/>
      <c r="C86" s="2"/>
      <c r="D86" s="1062"/>
      <c r="E86" s="2"/>
      <c r="F86" s="2"/>
      <c r="G86" s="2"/>
      <c r="H86" s="2"/>
      <c r="I86" s="2"/>
      <c r="J86" s="2"/>
      <c r="K86" s="2"/>
      <c r="L86" s="2"/>
      <c r="N86" s="2"/>
      <c r="O86" s="2"/>
      <c r="P86" s="2"/>
      <c r="Q86" s="2"/>
      <c r="U86" s="2"/>
      <c r="V86" s="2"/>
      <c r="W86" s="2"/>
      <c r="X86" s="2"/>
      <c r="Y86" s="2"/>
      <c r="Z86" s="2"/>
      <c r="AA86" s="2"/>
      <c r="AB86" s="2"/>
      <c r="AC86" s="2"/>
      <c r="AD86" s="2"/>
      <c r="AE86" s="2"/>
      <c r="AF86" s="2"/>
      <c r="AG86" s="2"/>
      <c r="AH86" s="105"/>
      <c r="AI86" s="2"/>
      <c r="AJ86" s="2"/>
      <c r="AK86" s="2"/>
      <c r="AL86" s="2"/>
      <c r="AM86" s="2"/>
      <c r="AN86" s="2"/>
      <c r="AO86" s="2"/>
      <c r="AP86" s="2"/>
      <c r="AQ86" s="98"/>
      <c r="AR86" s="2"/>
    </row>
    <row r="87" spans="1:44" ht="12.75" customHeight="1">
      <c r="A87" s="2"/>
      <c r="B87" s="2"/>
      <c r="C87" s="2"/>
      <c r="D87" s="1062"/>
      <c r="E87" s="2"/>
      <c r="F87" s="2"/>
      <c r="G87" s="2"/>
      <c r="H87" s="2"/>
      <c r="I87" s="2"/>
      <c r="J87" s="2"/>
      <c r="K87" s="2"/>
      <c r="L87" s="2"/>
      <c r="N87" s="2"/>
      <c r="O87" s="2"/>
      <c r="P87" s="2"/>
      <c r="Q87" s="2"/>
      <c r="U87" s="2"/>
      <c r="V87" s="2"/>
      <c r="W87" s="2"/>
      <c r="X87" s="2"/>
      <c r="Y87" s="2"/>
      <c r="Z87" s="2"/>
      <c r="AA87" s="2"/>
      <c r="AB87" s="2"/>
      <c r="AC87" s="2"/>
      <c r="AD87" s="1432" t="s">
        <v>406</v>
      </c>
      <c r="AE87" s="1432"/>
      <c r="AF87" s="1432" t="s">
        <v>1649</v>
      </c>
      <c r="AG87" s="1432"/>
      <c r="AH87" s="1432">
        <v>2013</v>
      </c>
      <c r="AI87" s="2"/>
      <c r="AJ87" s="2"/>
      <c r="AK87" s="2"/>
      <c r="AL87" s="2"/>
      <c r="AM87" s="2"/>
      <c r="AN87" s="2"/>
      <c r="AO87" s="2"/>
      <c r="AP87" s="2"/>
      <c r="AQ87" s="98"/>
      <c r="AR87" s="2"/>
    </row>
    <row r="88" spans="1:44" ht="12.75" customHeight="1">
      <c r="A88" s="98"/>
      <c r="B88" s="98"/>
      <c r="C88" s="98"/>
      <c r="D88" s="1092"/>
      <c r="E88" s="98"/>
      <c r="F88" s="98"/>
      <c r="G88" s="98"/>
      <c r="H88" s="98"/>
      <c r="I88" s="98"/>
      <c r="J88" s="98"/>
      <c r="K88" s="98"/>
      <c r="L88" s="98"/>
      <c r="M88" s="1403"/>
      <c r="N88" s="98"/>
      <c r="O88" s="98"/>
      <c r="P88" s="98"/>
      <c r="Q88" s="98"/>
      <c r="R88" s="1403"/>
      <c r="S88" s="1403"/>
      <c r="T88" s="1403"/>
      <c r="U88" s="98"/>
      <c r="V88" s="98"/>
      <c r="W88" s="98"/>
      <c r="X88" s="98"/>
      <c r="Y88" s="98"/>
      <c r="Z88" s="98"/>
      <c r="AA88" s="98"/>
      <c r="AB88" s="98"/>
      <c r="AC88" s="98" t="s">
        <v>1719</v>
      </c>
      <c r="AD88" s="1423">
        <v>744.21</v>
      </c>
      <c r="AE88" s="1082"/>
      <c r="AF88" s="1423">
        <v>752.81</v>
      </c>
      <c r="AG88" s="1423"/>
      <c r="AH88" s="1423">
        <v>2957.77</v>
      </c>
      <c r="AI88" s="98"/>
      <c r="AJ88" s="98"/>
      <c r="AK88" s="98"/>
      <c r="AL88" s="98"/>
      <c r="AM88" s="98"/>
      <c r="AN88" s="98"/>
      <c r="AO88" s="98"/>
      <c r="AP88" s="98"/>
      <c r="AQ88" s="98"/>
      <c r="AR88" s="98"/>
    </row>
    <row r="89" spans="1:44" ht="12.75" customHeight="1">
      <c r="A89" s="98"/>
      <c r="B89" s="98"/>
      <c r="C89" s="98"/>
      <c r="D89" s="1092"/>
      <c r="E89" s="98"/>
      <c r="F89" s="98"/>
      <c r="G89" s="98"/>
      <c r="H89" s="98"/>
      <c r="I89" s="98"/>
      <c r="J89" s="98"/>
      <c r="K89" s="98"/>
      <c r="L89" s="98"/>
      <c r="M89" s="1403"/>
      <c r="N89" s="98"/>
      <c r="O89" s="98"/>
      <c r="P89" s="98"/>
      <c r="Q89" s="98"/>
      <c r="R89" s="1403"/>
      <c r="S89" s="1403"/>
      <c r="T89" s="1403"/>
      <c r="U89" s="98"/>
      <c r="V89" s="98"/>
      <c r="W89" s="98"/>
      <c r="X89" s="98"/>
      <c r="Y89" s="98"/>
      <c r="Z89" s="98"/>
      <c r="AA89" s="98"/>
      <c r="AB89" s="98"/>
      <c r="AC89" s="98" t="s">
        <v>401</v>
      </c>
      <c r="AD89" s="1423">
        <v>163.59</v>
      </c>
      <c r="AE89" s="1082"/>
      <c r="AF89" s="1423">
        <v>158.35</v>
      </c>
      <c r="AG89" s="1423"/>
      <c r="AH89" s="1423">
        <v>634.79</v>
      </c>
      <c r="AI89" s="98"/>
      <c r="AJ89" s="98"/>
      <c r="AK89" s="98"/>
      <c r="AL89" s="98"/>
      <c r="AM89" s="98"/>
      <c r="AN89" s="98"/>
      <c r="AO89" s="98"/>
      <c r="AP89" s="98"/>
      <c r="AQ89" s="98"/>
      <c r="AR89" s="98"/>
    </row>
    <row r="90" spans="1:44" ht="12.75" customHeight="1">
      <c r="A90" s="2"/>
      <c r="B90" s="2"/>
      <c r="C90" s="2"/>
      <c r="D90" s="1062"/>
      <c r="E90" s="2"/>
      <c r="F90" s="2"/>
      <c r="G90" s="2"/>
      <c r="H90" s="2"/>
      <c r="I90" s="2"/>
      <c r="J90" s="2"/>
      <c r="K90" s="2"/>
      <c r="L90" s="2"/>
      <c r="N90" s="2"/>
      <c r="O90" s="2"/>
      <c r="P90" s="2"/>
      <c r="Q90" s="2"/>
      <c r="U90" s="2"/>
      <c r="V90" s="2"/>
      <c r="W90" s="2"/>
      <c r="X90" s="2"/>
      <c r="Y90" s="2"/>
      <c r="Z90" s="2"/>
      <c r="AA90" s="2"/>
      <c r="AB90" s="2"/>
      <c r="AC90" s="2" t="s">
        <v>200</v>
      </c>
      <c r="AD90" s="1068">
        <v>0.01</v>
      </c>
      <c r="AE90" s="1118"/>
      <c r="AF90" s="1068">
        <v>-0.05</v>
      </c>
      <c r="AG90" s="1068"/>
      <c r="AH90" s="1068">
        <v>-0.13</v>
      </c>
      <c r="AI90" s="2"/>
      <c r="AJ90" s="2"/>
      <c r="AK90" s="2"/>
      <c r="AL90" s="2"/>
      <c r="AM90" s="2"/>
      <c r="AN90" s="2"/>
      <c r="AO90" s="2"/>
      <c r="AP90" s="2"/>
      <c r="AQ90" s="98"/>
      <c r="AR90" s="2"/>
    </row>
    <row r="91" spans="1:44" ht="12.75" customHeight="1">
      <c r="A91" s="2"/>
      <c r="B91" s="2"/>
      <c r="C91" s="2"/>
      <c r="D91" s="1062"/>
      <c r="E91" s="2"/>
      <c r="F91" s="2"/>
      <c r="G91" s="2"/>
      <c r="H91" s="2"/>
      <c r="I91" s="2"/>
      <c r="J91" s="2"/>
      <c r="K91" s="2"/>
      <c r="L91" s="2"/>
      <c r="N91" s="2"/>
      <c r="O91" s="2"/>
      <c r="P91" s="2"/>
      <c r="Q91" s="2"/>
      <c r="U91" s="2"/>
      <c r="V91" s="2"/>
      <c r="W91" s="2"/>
      <c r="X91" s="2"/>
      <c r="Y91" s="2"/>
      <c r="Z91" s="2"/>
      <c r="AA91" s="2"/>
      <c r="AB91" s="2"/>
      <c r="AC91" s="2"/>
      <c r="AD91" s="2"/>
      <c r="AE91" s="2"/>
      <c r="AF91" s="2"/>
      <c r="AG91" s="2"/>
      <c r="AH91" s="2"/>
      <c r="AI91" s="2"/>
      <c r="AJ91" s="2"/>
      <c r="AK91" s="2"/>
      <c r="AL91" s="2"/>
      <c r="AM91" s="2"/>
      <c r="AN91" s="2"/>
      <c r="AO91" s="2"/>
      <c r="AP91" s="2"/>
      <c r="AQ91" s="98"/>
      <c r="AR91" s="2"/>
    </row>
    <row r="92" spans="1:44" ht="12.75" customHeight="1">
      <c r="A92" s="2"/>
      <c r="B92" s="2"/>
      <c r="C92" s="2"/>
      <c r="D92" s="1062"/>
      <c r="E92" s="2"/>
      <c r="F92" s="2"/>
      <c r="G92" s="2"/>
      <c r="H92" s="2"/>
      <c r="I92" s="2"/>
      <c r="J92" s="2"/>
      <c r="K92" s="2"/>
      <c r="L92" s="2"/>
      <c r="N92" s="2"/>
      <c r="O92" s="2"/>
      <c r="P92" s="2"/>
      <c r="Q92" s="2"/>
      <c r="U92" s="2"/>
      <c r="V92" s="2"/>
      <c r="W92" s="2"/>
      <c r="X92" s="2"/>
      <c r="Y92" s="2"/>
      <c r="Z92" s="2"/>
      <c r="AA92" s="2"/>
      <c r="AB92" s="2"/>
      <c r="AC92" s="2"/>
      <c r="AD92" s="2"/>
      <c r="AE92" s="2"/>
      <c r="AF92" s="2"/>
      <c r="AG92" s="2"/>
      <c r="AH92" s="2"/>
      <c r="AI92" s="2"/>
      <c r="AJ92" s="69" t="s">
        <v>1651</v>
      </c>
      <c r="AQ92" s="98"/>
      <c r="AR92" s="2"/>
    </row>
    <row r="93" spans="1:44" ht="12.75" customHeight="1">
      <c r="A93" s="2"/>
      <c r="B93" s="2"/>
      <c r="C93" s="2"/>
      <c r="D93" s="1062"/>
      <c r="E93" s="2"/>
      <c r="F93" s="2"/>
      <c r="G93" s="2"/>
      <c r="H93" s="2"/>
      <c r="I93" s="2"/>
      <c r="J93" s="2"/>
      <c r="K93" s="2"/>
      <c r="L93" s="2"/>
      <c r="N93" s="2"/>
      <c r="O93" s="2"/>
      <c r="P93" s="2"/>
      <c r="Q93" s="2"/>
      <c r="U93" s="2"/>
      <c r="V93" s="2"/>
      <c r="W93" s="2"/>
      <c r="X93" s="2"/>
      <c r="Y93" s="2"/>
      <c r="Z93" s="2"/>
      <c r="AA93" s="2"/>
      <c r="AB93" s="2"/>
      <c r="AC93" s="2"/>
      <c r="AD93" s="2"/>
      <c r="AE93" s="2"/>
      <c r="AF93" s="2"/>
      <c r="AG93" s="2"/>
      <c r="AH93" s="2"/>
      <c r="AI93" s="2"/>
      <c r="AJ93" s="69"/>
      <c r="AQ93" s="98"/>
      <c r="AR93" s="2"/>
    </row>
    <row r="94" spans="1:44" ht="12.75" customHeight="1">
      <c r="A94" s="2"/>
      <c r="B94" s="2"/>
      <c r="C94" s="2"/>
      <c r="D94" s="1062"/>
      <c r="E94" s="2"/>
      <c r="F94" s="2"/>
      <c r="G94" s="2"/>
      <c r="H94" s="2"/>
      <c r="I94" s="2"/>
      <c r="J94" s="2"/>
      <c r="K94" s="2"/>
      <c r="L94" s="2"/>
      <c r="N94" s="2"/>
      <c r="O94" s="2"/>
      <c r="P94" s="2"/>
      <c r="Q94" s="2"/>
      <c r="U94" s="2"/>
      <c r="V94" s="2"/>
      <c r="W94" s="2"/>
      <c r="X94" s="2"/>
      <c r="Y94" s="2"/>
      <c r="Z94" s="2"/>
      <c r="AA94" s="2"/>
      <c r="AB94" s="2"/>
      <c r="AC94" s="2"/>
      <c r="AD94" s="2"/>
      <c r="AE94" s="2"/>
      <c r="AF94" s="2"/>
      <c r="AG94" s="2"/>
      <c r="AH94" s="2"/>
      <c r="AI94" s="2"/>
      <c r="AJ94" s="1447"/>
      <c r="AK94" s="1449"/>
      <c r="AL94" s="1447"/>
      <c r="AM94" s="1447"/>
      <c r="AN94" s="1447"/>
      <c r="AO94" s="1447"/>
      <c r="AP94" s="1447"/>
      <c r="AQ94" s="98"/>
      <c r="AR94" s="2"/>
    </row>
    <row r="95" spans="1:44" ht="12.75" customHeight="1">
      <c r="A95" s="2"/>
      <c r="B95" s="2"/>
      <c r="C95" s="2"/>
      <c r="D95" s="1062"/>
      <c r="E95" s="2"/>
      <c r="F95" s="2"/>
      <c r="G95" s="2"/>
      <c r="H95" s="2"/>
      <c r="I95" s="2"/>
      <c r="J95" s="2"/>
      <c r="K95" s="2"/>
      <c r="L95" s="2"/>
      <c r="N95" s="2"/>
      <c r="O95" s="2"/>
      <c r="P95" s="2"/>
      <c r="Q95" s="2"/>
      <c r="U95" s="2"/>
      <c r="V95" s="2"/>
      <c r="W95" s="2"/>
      <c r="X95" s="2"/>
      <c r="Y95" s="2"/>
      <c r="Z95" s="2"/>
      <c r="AA95" s="2"/>
      <c r="AB95" s="2"/>
      <c r="AC95" s="2"/>
      <c r="AD95" s="2"/>
      <c r="AE95" s="2"/>
      <c r="AF95" s="2"/>
      <c r="AG95" s="2"/>
      <c r="AH95" s="2"/>
      <c r="AI95" s="2"/>
      <c r="AJ95" s="111" t="s">
        <v>1610</v>
      </c>
      <c r="AK95" s="1289" t="s">
        <v>552</v>
      </c>
      <c r="AL95" s="1448"/>
      <c r="AM95" s="1289" t="s">
        <v>405</v>
      </c>
      <c r="AN95" s="1448"/>
      <c r="AO95" s="1289" t="s">
        <v>1489</v>
      </c>
      <c r="AP95" s="1629"/>
      <c r="AQ95" s="98"/>
      <c r="AR95" s="2"/>
    </row>
    <row r="96" spans="1:44" ht="3" customHeight="1">
      <c r="A96" s="2"/>
      <c r="B96" s="2"/>
      <c r="C96" s="2"/>
      <c r="D96" s="1062"/>
      <c r="E96" s="2"/>
      <c r="F96" s="2"/>
      <c r="G96" s="2"/>
      <c r="H96" s="2"/>
      <c r="I96" s="2"/>
      <c r="J96" s="2"/>
      <c r="K96" s="2"/>
      <c r="L96" s="2"/>
      <c r="N96" s="2"/>
      <c r="O96" s="2"/>
      <c r="P96" s="2"/>
      <c r="Q96" s="2"/>
      <c r="U96" s="2"/>
      <c r="V96" s="2"/>
      <c r="W96" s="2"/>
      <c r="X96" s="2"/>
      <c r="Y96" s="2"/>
      <c r="Z96" s="2"/>
      <c r="AA96" s="2"/>
      <c r="AB96" s="2"/>
      <c r="AC96" s="2"/>
      <c r="AD96" s="2"/>
      <c r="AE96" s="2"/>
      <c r="AF96" s="2"/>
      <c r="AG96" s="2"/>
      <c r="AH96" s="2"/>
      <c r="AI96" s="2"/>
      <c r="AJ96" s="69"/>
      <c r="AK96" s="1449"/>
      <c r="AL96" s="1449"/>
      <c r="AM96" s="1449"/>
      <c r="AN96" s="1449"/>
      <c r="AO96" s="1449"/>
      <c r="AP96" s="1449"/>
      <c r="AQ96" s="98"/>
      <c r="AR96" s="2"/>
    </row>
    <row r="97" spans="1:44" ht="12.75" customHeight="1">
      <c r="A97" s="1205"/>
      <c r="B97" s="1205"/>
      <c r="C97" s="1205"/>
      <c r="D97" s="2220"/>
      <c r="E97" s="1205"/>
      <c r="F97" s="1205"/>
      <c r="G97" s="1205"/>
      <c r="H97" s="1205"/>
      <c r="I97" s="1205"/>
      <c r="J97" s="1205"/>
      <c r="K97" s="1205"/>
      <c r="L97" s="1205"/>
      <c r="M97" s="2266"/>
      <c r="N97" s="1205"/>
      <c r="O97" s="1205"/>
      <c r="P97" s="1205"/>
      <c r="Q97" s="1205"/>
      <c r="R97" s="2266"/>
      <c r="S97" s="2266"/>
      <c r="T97" s="2266"/>
      <c r="U97" s="1205"/>
      <c r="V97" s="1205"/>
      <c r="W97" s="1205"/>
      <c r="X97" s="1205"/>
      <c r="Y97" s="1205"/>
      <c r="Z97" s="1205"/>
      <c r="AA97" s="1205"/>
      <c r="AB97" s="1205"/>
      <c r="AC97" s="1205"/>
      <c r="AD97" s="1205"/>
      <c r="AE97" s="1205"/>
      <c r="AF97" s="1205"/>
      <c r="AG97" s="1205"/>
      <c r="AH97" s="1205"/>
      <c r="AI97" s="1205"/>
      <c r="AJ97" s="2267" t="s">
        <v>407</v>
      </c>
      <c r="AK97" s="2276" t="s">
        <v>3</v>
      </c>
      <c r="AL97" s="1205"/>
      <c r="AM97" s="2272">
        <f>+BYD!AX110</f>
        <v>132.33999999999997</v>
      </c>
      <c r="AN97" s="1205"/>
      <c r="AO97" s="2272"/>
      <c r="AP97" s="1205"/>
      <c r="AQ97" s="98"/>
      <c r="AR97" s="1205"/>
    </row>
    <row r="98" spans="1:44" ht="12.75" customHeight="1">
      <c r="A98" s="1205"/>
      <c r="B98" s="1205"/>
      <c r="C98" s="1205"/>
      <c r="D98" s="2220"/>
      <c r="E98" s="1205"/>
      <c r="F98" s="1205"/>
      <c r="G98" s="1205"/>
      <c r="H98" s="1205"/>
      <c r="I98" s="1205"/>
      <c r="J98" s="1205"/>
      <c r="K98" s="1205"/>
      <c r="L98" s="1205"/>
      <c r="M98" s="2266"/>
      <c r="N98" s="1205"/>
      <c r="O98" s="1205"/>
      <c r="P98" s="1205"/>
      <c r="Q98" s="1205"/>
      <c r="R98" s="2266"/>
      <c r="S98" s="2266"/>
      <c r="T98" s="2266"/>
      <c r="U98" s="1205"/>
      <c r="V98" s="1205"/>
      <c r="W98" s="1205"/>
      <c r="X98" s="1205"/>
      <c r="Y98" s="1205"/>
      <c r="Z98" s="1205"/>
      <c r="AA98" s="1205"/>
      <c r="AB98" s="1205"/>
      <c r="AC98" s="1205"/>
      <c r="AD98" s="1205"/>
      <c r="AE98" s="1205"/>
      <c r="AF98" s="1205"/>
      <c r="AG98" s="1205"/>
      <c r="AH98" s="1205"/>
      <c r="AI98" s="1205"/>
      <c r="AJ98" s="2267" t="s">
        <v>1614</v>
      </c>
      <c r="AK98" s="2268" t="s">
        <v>4</v>
      </c>
      <c r="AL98" s="2269"/>
      <c r="AM98" s="2272">
        <f>+BYD!AY927</f>
        <v>46.591999999999999</v>
      </c>
      <c r="AN98" s="2269"/>
      <c r="AO98" s="2272"/>
      <c r="AP98" s="2271"/>
      <c r="AQ98" s="98"/>
      <c r="AR98" s="1205"/>
    </row>
    <row r="99" spans="1:44" ht="6" customHeight="1">
      <c r="A99" s="2"/>
      <c r="B99" s="2"/>
      <c r="C99" s="2"/>
      <c r="D99" s="1062"/>
      <c r="E99" s="2"/>
      <c r="F99" s="2"/>
      <c r="G99" s="2"/>
      <c r="H99" s="2"/>
      <c r="I99" s="2"/>
      <c r="J99" s="2"/>
      <c r="K99" s="2"/>
      <c r="L99" s="2"/>
      <c r="N99" s="2"/>
      <c r="O99" s="2"/>
      <c r="P99" s="2"/>
      <c r="Q99" s="2"/>
      <c r="U99" s="2"/>
      <c r="V99" s="2"/>
      <c r="W99" s="2"/>
      <c r="X99" s="2"/>
      <c r="Y99" s="2"/>
      <c r="Z99" s="2"/>
      <c r="AA99" s="2"/>
      <c r="AB99" s="2"/>
      <c r="AC99" s="2"/>
      <c r="AD99" s="2"/>
      <c r="AE99" s="2"/>
      <c r="AF99" s="2"/>
      <c r="AG99" s="2"/>
      <c r="AH99" s="2"/>
      <c r="AI99" s="2"/>
      <c r="AJ99" s="1447"/>
      <c r="AK99" s="1614"/>
      <c r="AL99" s="1449"/>
      <c r="AM99" s="1450"/>
      <c r="AN99" s="1449"/>
      <c r="AO99" s="1450"/>
      <c r="AP99" s="1450"/>
      <c r="AQ99" s="98"/>
      <c r="AR99" s="2"/>
    </row>
    <row r="100" spans="1:44" ht="12.75" customHeight="1">
      <c r="A100" s="1205"/>
      <c r="B100" s="1205"/>
      <c r="C100" s="1205"/>
      <c r="D100" s="2220"/>
      <c r="E100" s="1205"/>
      <c r="F100" s="1205"/>
      <c r="G100" s="1205"/>
      <c r="H100" s="1205"/>
      <c r="I100" s="1205"/>
      <c r="J100" s="1205"/>
      <c r="K100" s="1205"/>
      <c r="L100" s="1205"/>
      <c r="M100" s="2273"/>
      <c r="N100" s="1205"/>
      <c r="O100" s="1205"/>
      <c r="P100" s="1205"/>
      <c r="Q100" s="1205"/>
      <c r="R100" s="2273"/>
      <c r="S100" s="2273"/>
      <c r="T100" s="2273"/>
      <c r="U100" s="1205"/>
      <c r="V100" s="1205"/>
      <c r="W100" s="1205"/>
      <c r="X100" s="1205"/>
      <c r="Y100" s="1205"/>
      <c r="Z100" s="1205"/>
      <c r="AA100" s="1205"/>
      <c r="AB100" s="1205"/>
      <c r="AC100" s="1205"/>
      <c r="AD100" s="1205"/>
      <c r="AE100" s="1205"/>
      <c r="AF100" s="1205"/>
      <c r="AG100" s="1205"/>
      <c r="AH100" s="1205"/>
      <c r="AI100" s="1205"/>
      <c r="AJ100" s="2267" t="s">
        <v>498</v>
      </c>
      <c r="AK100" s="2268" t="s">
        <v>1</v>
      </c>
      <c r="AL100" s="2269"/>
      <c r="AM100" s="2270">
        <f>+SUM(AM97:AM99)</f>
        <v>178.93199999999996</v>
      </c>
      <c r="AN100" s="2269"/>
      <c r="AO100" s="2268">
        <v>158.35</v>
      </c>
      <c r="AP100" s="2271"/>
      <c r="AQ100" s="98"/>
      <c r="AR100" s="1205"/>
    </row>
    <row r="101" spans="1:44" ht="6" customHeight="1">
      <c r="A101" s="2"/>
      <c r="B101" s="2"/>
      <c r="C101" s="2"/>
      <c r="D101" s="1062"/>
      <c r="E101" s="2"/>
      <c r="F101" s="2"/>
      <c r="G101" s="2"/>
      <c r="H101" s="2"/>
      <c r="I101" s="2"/>
      <c r="J101" s="2"/>
      <c r="K101" s="2"/>
      <c r="L101" s="2"/>
      <c r="N101" s="2"/>
      <c r="O101" s="2"/>
      <c r="P101" s="2"/>
      <c r="Q101" s="2"/>
      <c r="U101" s="2"/>
      <c r="V101" s="2"/>
      <c r="W101" s="2"/>
      <c r="X101" s="2"/>
      <c r="Y101" s="2"/>
      <c r="Z101" s="2"/>
      <c r="AA101" s="2"/>
      <c r="AB101" s="2"/>
      <c r="AC101" s="2"/>
      <c r="AD101" s="2"/>
      <c r="AE101" s="2"/>
      <c r="AF101" s="2"/>
      <c r="AG101" s="2"/>
      <c r="AH101" s="2"/>
      <c r="AI101" s="2"/>
      <c r="AJ101" s="1447"/>
      <c r="AK101" s="1614"/>
      <c r="AL101" s="1449"/>
      <c r="AM101" s="1450"/>
      <c r="AN101" s="1449"/>
      <c r="AO101" s="1450"/>
      <c r="AP101" s="1450"/>
      <c r="AQ101" s="98"/>
      <c r="AR101" s="2"/>
    </row>
    <row r="102" spans="1:44" ht="12.75" customHeight="1">
      <c r="A102" s="2"/>
      <c r="B102" s="2"/>
      <c r="C102" s="2"/>
      <c r="D102" s="1062"/>
      <c r="E102" s="2"/>
      <c r="F102" s="2"/>
      <c r="G102" s="2"/>
      <c r="H102" s="2"/>
      <c r="I102" s="2"/>
      <c r="J102" s="2"/>
      <c r="K102" s="2"/>
      <c r="L102" s="2"/>
      <c r="N102" s="2"/>
      <c r="O102" s="2"/>
      <c r="P102" s="2"/>
      <c r="Q102" s="2"/>
      <c r="U102" s="2"/>
      <c r="V102" s="2"/>
      <c r="W102" s="2"/>
      <c r="X102" s="2"/>
      <c r="Y102" s="2"/>
      <c r="Z102" s="2"/>
      <c r="AA102" s="2"/>
      <c r="AB102" s="2"/>
      <c r="AC102" s="2"/>
      <c r="AD102" s="2"/>
      <c r="AE102" s="2"/>
      <c r="AF102" s="2"/>
      <c r="AG102" s="2"/>
      <c r="AH102" s="2"/>
      <c r="AI102" s="2"/>
      <c r="AJ102" s="1447" t="s">
        <v>1615</v>
      </c>
      <c r="AK102" s="1614" t="s">
        <v>5</v>
      </c>
      <c r="AL102" s="1449"/>
      <c r="AM102" s="2265">
        <f>+BYD!AY91</f>
        <v>-0.36747575205553612</v>
      </c>
      <c r="AN102" s="1449"/>
      <c r="AO102" s="2265">
        <v>-0.05</v>
      </c>
      <c r="AP102" s="1466"/>
      <c r="AQ102" s="98"/>
      <c r="AR102" s="2"/>
    </row>
    <row r="103" spans="1:44" ht="6" customHeight="1">
      <c r="A103" s="2"/>
      <c r="B103" s="2"/>
      <c r="C103" s="2"/>
      <c r="D103" s="1062"/>
      <c r="E103" s="2"/>
      <c r="F103" s="2"/>
      <c r="G103" s="2"/>
      <c r="H103" s="2"/>
      <c r="I103" s="2"/>
      <c r="J103" s="2"/>
      <c r="K103" s="2"/>
      <c r="L103" s="2"/>
      <c r="N103" s="2"/>
      <c r="O103" s="2"/>
      <c r="P103" s="2"/>
      <c r="Q103" s="2"/>
      <c r="U103" s="2"/>
      <c r="V103" s="2"/>
      <c r="W103" s="2"/>
      <c r="X103" s="2"/>
      <c r="Y103" s="2"/>
      <c r="Z103" s="2"/>
      <c r="AA103" s="2"/>
      <c r="AB103" s="2"/>
      <c r="AC103" s="2"/>
      <c r="AD103" s="2"/>
      <c r="AE103" s="2"/>
      <c r="AF103" s="2"/>
      <c r="AG103" s="2"/>
      <c r="AH103" s="2"/>
      <c r="AI103" s="2"/>
      <c r="AJ103" s="1447"/>
      <c r="AK103" s="1450"/>
      <c r="AL103" s="1449"/>
      <c r="AM103" s="1449"/>
      <c r="AN103" s="1449"/>
      <c r="AO103" s="1449"/>
      <c r="AP103" s="1449"/>
      <c r="AQ103" s="98"/>
      <c r="AR103" s="2"/>
    </row>
    <row r="104" spans="1:44" ht="12.75" customHeight="1">
      <c r="A104" s="2"/>
      <c r="B104" s="2"/>
      <c r="C104" s="2"/>
      <c r="D104" s="1062"/>
      <c r="E104" s="2"/>
      <c r="F104" s="2"/>
      <c r="G104" s="2"/>
      <c r="H104" s="2"/>
      <c r="I104" s="2"/>
      <c r="J104" s="2"/>
      <c r="K104" s="2"/>
      <c r="L104" s="2"/>
      <c r="N104" s="2"/>
      <c r="O104" s="2"/>
      <c r="P104" s="2"/>
      <c r="Q104" s="2"/>
      <c r="U104" s="2"/>
      <c r="V104" s="2"/>
      <c r="W104" s="2"/>
      <c r="X104" s="2"/>
      <c r="Y104" s="2"/>
      <c r="Z104" s="2"/>
      <c r="AA104" s="2"/>
      <c r="AB104" s="2"/>
      <c r="AC104" s="2"/>
      <c r="AD104" s="2"/>
      <c r="AE104" s="2"/>
      <c r="AF104" s="2"/>
      <c r="AG104" s="2"/>
      <c r="AH104" s="2"/>
      <c r="AI104" s="2"/>
      <c r="AJ104" s="2" t="s">
        <v>408</v>
      </c>
      <c r="AK104" s="2"/>
      <c r="AL104" s="2"/>
      <c r="AM104" s="2"/>
      <c r="AN104" s="2"/>
      <c r="AO104" s="2"/>
      <c r="AP104" s="2"/>
      <c r="AQ104" s="98"/>
      <c r="AR104" s="2"/>
    </row>
    <row r="105" spans="1:44" ht="12.75" customHeight="1">
      <c r="A105" s="2"/>
      <c r="B105" s="2"/>
      <c r="C105" s="2"/>
      <c r="D105" s="1062"/>
      <c r="E105" s="2"/>
      <c r="F105" s="2"/>
      <c r="G105" s="2"/>
      <c r="H105" s="2"/>
      <c r="I105" s="2"/>
      <c r="J105" s="2"/>
      <c r="K105" s="2"/>
      <c r="L105" s="2"/>
      <c r="N105" s="2"/>
      <c r="O105" s="2"/>
      <c r="P105" s="2"/>
      <c r="Q105" s="2"/>
      <c r="U105" s="2"/>
      <c r="V105" s="2"/>
      <c r="W105" s="2"/>
      <c r="X105" s="2"/>
      <c r="Y105" s="2"/>
      <c r="Z105" s="2"/>
      <c r="AA105" s="2"/>
      <c r="AB105" s="2"/>
      <c r="AC105" s="2"/>
      <c r="AD105" s="2"/>
      <c r="AE105" s="2"/>
      <c r="AF105" s="2"/>
      <c r="AG105" s="2"/>
      <c r="AH105" s="2"/>
      <c r="AI105" s="2"/>
      <c r="AJ105" s="2"/>
      <c r="AK105" s="2"/>
      <c r="AL105" s="2"/>
      <c r="AM105" s="2"/>
      <c r="AN105" s="2"/>
      <c r="AO105" s="2"/>
      <c r="AP105" s="1" t="s">
        <v>6</v>
      </c>
      <c r="AQ105" s="98"/>
      <c r="AR105" s="2"/>
    </row>
    <row r="106" spans="1:44" ht="12.75" customHeight="1">
      <c r="A106" s="2"/>
      <c r="B106" s="2"/>
      <c r="C106" s="2"/>
      <c r="D106" s="1062"/>
      <c r="E106" s="2"/>
      <c r="F106" s="2"/>
      <c r="G106" s="2"/>
      <c r="H106" s="2"/>
      <c r="I106" s="2"/>
      <c r="J106" s="2"/>
      <c r="K106" s="2"/>
      <c r="L106" s="2"/>
      <c r="N106" s="2"/>
      <c r="O106" s="2"/>
      <c r="P106" s="2"/>
      <c r="Q106" s="2"/>
      <c r="U106" s="2"/>
      <c r="V106" s="2"/>
      <c r="W106" s="2"/>
      <c r="X106" s="2"/>
      <c r="Y106" s="2"/>
      <c r="Z106" s="2"/>
      <c r="AA106" s="2"/>
      <c r="AB106" s="2"/>
      <c r="AC106" s="2"/>
      <c r="AD106" s="2"/>
      <c r="AE106" s="2"/>
      <c r="AF106" s="2"/>
      <c r="AG106" s="2"/>
      <c r="AH106" s="2"/>
      <c r="AI106" s="2"/>
      <c r="AJ106" s="2"/>
      <c r="AK106" s="2"/>
      <c r="AL106" s="2"/>
      <c r="AM106" s="2"/>
      <c r="AN106" s="2"/>
      <c r="AO106" s="2"/>
      <c r="AP106" s="1" t="s">
        <v>7</v>
      </c>
      <c r="AQ106" s="98"/>
      <c r="AR106" s="101" t="s">
        <v>405</v>
      </c>
    </row>
    <row r="107" spans="1:44" ht="12.75" customHeight="1">
      <c r="A107" s="2"/>
      <c r="B107" s="2"/>
      <c r="C107" s="2"/>
      <c r="D107" s="1062"/>
      <c r="E107" s="2"/>
      <c r="F107" s="2"/>
      <c r="G107" s="2"/>
      <c r="H107" s="2"/>
      <c r="I107" s="2"/>
      <c r="J107" s="2"/>
      <c r="K107" s="2"/>
      <c r="L107" s="2"/>
      <c r="N107" s="2"/>
      <c r="O107" s="2"/>
      <c r="P107" s="2"/>
      <c r="Q107" s="2"/>
      <c r="U107" s="2"/>
      <c r="V107" s="2"/>
      <c r="W107" s="2"/>
      <c r="X107" s="2"/>
      <c r="Y107" s="2"/>
      <c r="Z107" s="2"/>
      <c r="AA107" s="2"/>
      <c r="AB107" s="2"/>
      <c r="AC107" s="2"/>
      <c r="AD107" s="2"/>
      <c r="AE107" s="2"/>
      <c r="AF107" s="2"/>
      <c r="AG107" s="2"/>
      <c r="AH107" s="2"/>
      <c r="AI107" s="2"/>
      <c r="AJ107" s="2"/>
      <c r="AK107" s="2"/>
      <c r="AL107" s="2"/>
      <c r="AM107" s="2"/>
      <c r="AN107" s="2"/>
      <c r="AO107" s="2"/>
      <c r="AP107" s="2" t="s">
        <v>514</v>
      </c>
      <c r="AQ107" s="1349">
        <v>149.72999999999999</v>
      </c>
      <c r="AR107" s="2">
        <f>+BYD!AX10</f>
        <v>149.69</v>
      </c>
    </row>
    <row r="108" spans="1:44" ht="12.75" customHeight="1">
      <c r="A108" s="2"/>
      <c r="B108" s="2"/>
      <c r="C108" s="2"/>
      <c r="D108" s="1062"/>
      <c r="E108" s="2"/>
      <c r="F108" s="2"/>
      <c r="G108" s="2"/>
      <c r="H108" s="2"/>
      <c r="I108" s="2"/>
      <c r="J108" s="2"/>
      <c r="K108" s="2"/>
      <c r="L108" s="2"/>
      <c r="N108" s="2"/>
      <c r="O108" s="2"/>
      <c r="P108" s="2"/>
      <c r="Q108" s="2"/>
      <c r="U108" s="2"/>
      <c r="V108" s="2"/>
      <c r="W108" s="2"/>
      <c r="X108" s="2"/>
      <c r="Y108" s="2"/>
      <c r="Z108" s="2"/>
      <c r="AA108" s="2"/>
      <c r="AB108" s="2"/>
      <c r="AC108" s="2"/>
      <c r="AD108" s="2"/>
      <c r="AE108" s="2"/>
      <c r="AF108" s="2"/>
      <c r="AG108" s="2"/>
      <c r="AH108" s="2"/>
      <c r="AI108" s="2"/>
      <c r="AJ108" s="2"/>
      <c r="AK108" s="2"/>
      <c r="AL108" s="2"/>
      <c r="AM108" s="2"/>
      <c r="AN108" s="2"/>
      <c r="AO108" s="2"/>
      <c r="AP108" s="2" t="s">
        <v>515</v>
      </c>
      <c r="AQ108" s="1102">
        <v>56.23</v>
      </c>
      <c r="AR108" s="2">
        <f>+BYD!AX11</f>
        <v>56.128</v>
      </c>
    </row>
    <row r="109" spans="1:44" ht="12.75" customHeight="1">
      <c r="A109" s="2"/>
      <c r="B109" s="2"/>
      <c r="C109" s="2"/>
      <c r="D109" s="1062"/>
      <c r="E109" s="2"/>
      <c r="F109" s="2"/>
      <c r="G109" s="2"/>
      <c r="H109" s="2"/>
      <c r="I109" s="2"/>
      <c r="J109" s="2"/>
      <c r="K109" s="2"/>
      <c r="L109" s="2"/>
      <c r="N109" s="2"/>
      <c r="O109" s="2"/>
      <c r="P109" s="2"/>
      <c r="Q109" s="2"/>
      <c r="U109" s="2"/>
      <c r="V109" s="2"/>
      <c r="W109" s="2"/>
      <c r="X109" s="2"/>
      <c r="Y109" s="2"/>
      <c r="Z109" s="2"/>
      <c r="AA109" s="2"/>
      <c r="AB109" s="2"/>
      <c r="AC109" s="2"/>
      <c r="AD109" s="2"/>
      <c r="AE109" s="2"/>
      <c r="AF109" s="2"/>
      <c r="AG109" s="2"/>
      <c r="AH109" s="2"/>
      <c r="AI109" s="2"/>
      <c r="AJ109" s="2"/>
      <c r="AK109" s="2"/>
      <c r="AL109" s="2"/>
      <c r="AM109" s="2"/>
      <c r="AN109" s="2"/>
      <c r="AO109" s="2"/>
      <c r="AP109" s="2" t="s">
        <v>516</v>
      </c>
      <c r="AQ109" s="1102">
        <v>234.18</v>
      </c>
      <c r="AR109" s="2">
        <f>+BYD!AX13</f>
        <v>224.273</v>
      </c>
    </row>
    <row r="110" spans="1:44" ht="12.75" customHeight="1">
      <c r="A110" s="2"/>
      <c r="B110" s="2"/>
      <c r="C110" s="2"/>
      <c r="D110" s="1062"/>
      <c r="E110" s="2"/>
      <c r="F110" s="2"/>
      <c r="G110" s="2"/>
      <c r="H110" s="2"/>
      <c r="I110" s="2"/>
      <c r="J110" s="2"/>
      <c r="K110" s="2"/>
      <c r="L110" s="2"/>
      <c r="N110" s="2"/>
      <c r="O110" s="2"/>
      <c r="P110" s="2"/>
      <c r="Q110" s="2"/>
      <c r="U110" s="2"/>
      <c r="V110" s="2"/>
      <c r="W110" s="2"/>
      <c r="X110" s="2"/>
      <c r="Y110" s="2"/>
      <c r="Z110" s="2"/>
      <c r="AA110" s="2"/>
      <c r="AB110" s="2"/>
      <c r="AC110" s="2"/>
      <c r="AD110" s="2"/>
      <c r="AE110" s="2"/>
      <c r="AF110" s="2"/>
      <c r="AG110" s="2"/>
      <c r="AH110" s="2"/>
      <c r="AI110" s="2"/>
      <c r="AJ110" s="2"/>
      <c r="AK110" s="2"/>
      <c r="AL110" s="2"/>
      <c r="AM110" s="2"/>
      <c r="AN110" s="2"/>
      <c r="AO110" s="2"/>
      <c r="AP110" s="2" t="s">
        <v>517</v>
      </c>
      <c r="AQ110" s="1102">
        <v>137.13</v>
      </c>
      <c r="AR110" s="2">
        <f>+BYD!AX14</f>
        <v>135.78</v>
      </c>
    </row>
    <row r="111" spans="1:44" ht="12.75" customHeight="1">
      <c r="A111" s="2"/>
      <c r="B111" s="2"/>
      <c r="C111" s="2"/>
      <c r="D111" s="1062"/>
      <c r="E111" s="2"/>
      <c r="F111" s="2"/>
      <c r="G111" s="2"/>
      <c r="H111" s="2"/>
      <c r="I111" s="2"/>
      <c r="J111" s="2"/>
      <c r="K111" s="2"/>
      <c r="L111" s="2"/>
      <c r="N111" s="2"/>
      <c r="O111" s="2"/>
      <c r="P111" s="2"/>
      <c r="Q111" s="2"/>
      <c r="U111" s="2"/>
      <c r="V111" s="2"/>
      <c r="W111" s="2"/>
      <c r="X111" s="2"/>
      <c r="Y111" s="2"/>
      <c r="Z111" s="2"/>
      <c r="AA111" s="2"/>
      <c r="AB111" s="2"/>
      <c r="AC111" s="2"/>
      <c r="AD111" s="2"/>
      <c r="AE111" s="2"/>
      <c r="AF111" s="2"/>
      <c r="AG111" s="2"/>
      <c r="AH111" s="2"/>
      <c r="AI111" s="2"/>
      <c r="AJ111" s="2"/>
      <c r="AK111" s="2"/>
      <c r="AL111" s="2"/>
      <c r="AM111" s="2"/>
      <c r="AN111" s="2"/>
      <c r="AO111" s="2"/>
      <c r="AP111" s="2" t="s">
        <v>273</v>
      </c>
      <c r="AQ111" s="1102">
        <v>164.03</v>
      </c>
      <c r="AR111" s="2">
        <f>+BYD!AX17</f>
        <v>0</v>
      </c>
    </row>
    <row r="112" spans="1:44" ht="12.75" customHeight="1">
      <c r="A112" s="2"/>
      <c r="B112" s="2"/>
      <c r="C112" s="2"/>
      <c r="D112" s="1062"/>
      <c r="E112" s="2"/>
      <c r="F112" s="2"/>
      <c r="G112" s="2"/>
      <c r="H112" s="2"/>
      <c r="I112" s="2"/>
      <c r="J112" s="2"/>
      <c r="K112" s="2"/>
      <c r="L112" s="2"/>
      <c r="N112" s="2"/>
      <c r="O112" s="2"/>
      <c r="P112" s="2"/>
      <c r="Q112" s="2"/>
      <c r="U112" s="2"/>
      <c r="V112" s="2"/>
      <c r="W112" s="2"/>
      <c r="X112" s="2"/>
      <c r="Y112" s="2"/>
      <c r="Z112" s="2"/>
      <c r="AA112" s="2"/>
      <c r="AB112" s="2"/>
      <c r="AC112" s="2"/>
      <c r="AD112" s="2"/>
      <c r="AE112" s="2"/>
      <c r="AF112" s="2"/>
      <c r="AG112" s="2"/>
      <c r="AH112" s="2"/>
      <c r="AI112" s="2"/>
      <c r="AJ112" s="2"/>
      <c r="AK112" s="2"/>
      <c r="AL112" s="2"/>
      <c r="AM112" s="2"/>
      <c r="AN112" s="2"/>
      <c r="AO112" s="2"/>
      <c r="AP112" s="2" t="s">
        <v>1790</v>
      </c>
      <c r="AQ112" s="1102">
        <v>1.2</v>
      </c>
      <c r="AR112" s="2"/>
    </row>
    <row r="113" spans="1:44" ht="12.75" customHeight="1">
      <c r="A113" s="2"/>
      <c r="B113" s="2"/>
      <c r="C113" s="2"/>
      <c r="D113" s="1062"/>
      <c r="E113" s="2"/>
      <c r="F113" s="2"/>
      <c r="G113" s="2"/>
      <c r="H113" s="2"/>
      <c r="I113" s="2"/>
      <c r="J113" s="2"/>
      <c r="K113" s="2"/>
      <c r="L113" s="2"/>
      <c r="N113" s="2"/>
      <c r="O113" s="2"/>
      <c r="P113" s="2"/>
      <c r="Q113" s="2"/>
      <c r="U113" s="2"/>
      <c r="V113" s="2"/>
      <c r="W113" s="2"/>
      <c r="X113" s="2"/>
      <c r="Y113" s="2"/>
      <c r="Z113" s="2"/>
      <c r="AA113" s="2"/>
      <c r="AB113" s="2"/>
      <c r="AC113" s="2"/>
      <c r="AD113" s="2"/>
      <c r="AE113" s="2"/>
      <c r="AF113" s="2"/>
      <c r="AG113" s="2"/>
      <c r="AH113" s="2"/>
      <c r="AI113" s="2"/>
      <c r="AJ113" s="2"/>
      <c r="AK113" s="2"/>
      <c r="AL113" s="2"/>
      <c r="AM113" s="2"/>
      <c r="AN113" s="2"/>
      <c r="AO113" s="2"/>
      <c r="AP113" s="1" t="s">
        <v>401</v>
      </c>
      <c r="AQ113" s="98"/>
      <c r="AR113" s="2"/>
    </row>
    <row r="114" spans="1:44" ht="12.75" customHeight="1">
      <c r="A114" s="2"/>
      <c r="B114" s="2"/>
      <c r="C114" s="2"/>
      <c r="D114" s="1062"/>
      <c r="E114" s="2"/>
      <c r="F114" s="2"/>
      <c r="G114" s="2"/>
      <c r="H114" s="2"/>
      <c r="I114" s="2"/>
      <c r="J114" s="2"/>
      <c r="K114" s="2"/>
      <c r="L114" s="2"/>
      <c r="N114" s="2"/>
      <c r="O114" s="2"/>
      <c r="P114" s="2"/>
      <c r="Q114" s="2"/>
      <c r="U114" s="2"/>
      <c r="V114" s="2"/>
      <c r="W114" s="2"/>
      <c r="X114" s="2"/>
      <c r="Y114" s="2"/>
      <c r="Z114" s="2"/>
      <c r="AA114" s="2"/>
      <c r="AB114" s="2"/>
      <c r="AC114" s="2"/>
      <c r="AD114" s="2"/>
      <c r="AE114" s="2"/>
      <c r="AF114" s="2"/>
      <c r="AG114" s="2"/>
      <c r="AH114" s="2"/>
      <c r="AI114" s="2"/>
      <c r="AJ114" s="2"/>
      <c r="AK114" s="2"/>
      <c r="AL114" s="2"/>
      <c r="AM114" s="2"/>
      <c r="AN114" s="2"/>
      <c r="AO114" s="2"/>
      <c r="AP114" s="2" t="s">
        <v>514</v>
      </c>
      <c r="AQ114" s="1349">
        <v>34.83</v>
      </c>
      <c r="AR114" s="2">
        <f>+BYD!AX38</f>
        <v>38.722999999999999</v>
      </c>
    </row>
    <row r="115" spans="1:44" ht="12.75" customHeight="1">
      <c r="A115" s="2"/>
      <c r="B115" s="2"/>
      <c r="C115" s="2"/>
      <c r="D115" s="1062"/>
      <c r="E115" s="2"/>
      <c r="F115" s="2"/>
      <c r="G115" s="2"/>
      <c r="H115" s="2"/>
      <c r="I115" s="2"/>
      <c r="J115" s="2"/>
      <c r="K115" s="2"/>
      <c r="L115" s="2"/>
      <c r="N115" s="2"/>
      <c r="O115" s="2"/>
      <c r="P115" s="2"/>
      <c r="Q115" s="2"/>
      <c r="U115" s="2"/>
      <c r="V115" s="2"/>
      <c r="W115" s="2"/>
      <c r="X115" s="2"/>
      <c r="Y115" s="2"/>
      <c r="Z115" s="2"/>
      <c r="AA115" s="2"/>
      <c r="AB115" s="2"/>
      <c r="AC115" s="2"/>
      <c r="AD115" s="2"/>
      <c r="AE115" s="2"/>
      <c r="AF115" s="2"/>
      <c r="AG115" s="2"/>
      <c r="AH115" s="2"/>
      <c r="AI115" s="2"/>
      <c r="AJ115" s="2"/>
      <c r="AK115" s="2"/>
      <c r="AL115" s="2"/>
      <c r="AM115" s="2"/>
      <c r="AN115" s="2"/>
      <c r="AO115" s="2"/>
      <c r="AP115" s="2" t="s">
        <v>515</v>
      </c>
      <c r="AQ115" s="1102">
        <v>8.36</v>
      </c>
      <c r="AR115" s="2">
        <f>+BYD!AX39</f>
        <v>9.2970000000000006</v>
      </c>
    </row>
    <row r="116" spans="1:44" ht="12.75" customHeight="1">
      <c r="A116" s="2"/>
      <c r="B116" s="2"/>
      <c r="C116" s="2"/>
      <c r="D116" s="1062"/>
      <c r="E116" s="2"/>
      <c r="F116" s="2"/>
      <c r="G116" s="2"/>
      <c r="H116" s="2"/>
      <c r="I116" s="2"/>
      <c r="J116" s="2"/>
      <c r="K116" s="2"/>
      <c r="L116" s="2"/>
      <c r="N116" s="2"/>
      <c r="O116" s="2"/>
      <c r="P116" s="2"/>
      <c r="Q116" s="2"/>
      <c r="U116" s="2"/>
      <c r="V116" s="2"/>
      <c r="W116" s="2"/>
      <c r="X116" s="2"/>
      <c r="Y116" s="2"/>
      <c r="Z116" s="2"/>
      <c r="AA116" s="2"/>
      <c r="AB116" s="2"/>
      <c r="AC116" s="2"/>
      <c r="AD116" s="2"/>
      <c r="AE116" s="2"/>
      <c r="AF116" s="2"/>
      <c r="AG116" s="2"/>
      <c r="AH116" s="2"/>
      <c r="AI116" s="2"/>
      <c r="AJ116" s="2"/>
      <c r="AK116" s="2"/>
      <c r="AL116" s="2"/>
      <c r="AM116" s="2"/>
      <c r="AN116" s="2"/>
      <c r="AO116" s="2"/>
      <c r="AP116" s="2" t="s">
        <v>516</v>
      </c>
      <c r="AQ116" s="1102">
        <v>51.04</v>
      </c>
      <c r="AR116" s="2">
        <f>+BYD!AX41</f>
        <v>48.625</v>
      </c>
    </row>
    <row r="117" spans="1:44" ht="12.75" customHeight="1">
      <c r="A117" s="2"/>
      <c r="B117" s="2"/>
      <c r="C117" s="2"/>
      <c r="D117" s="1062"/>
      <c r="E117" s="2"/>
      <c r="F117" s="2"/>
      <c r="G117" s="2"/>
      <c r="H117" s="2"/>
      <c r="I117" s="2"/>
      <c r="J117" s="2"/>
      <c r="K117" s="2"/>
      <c r="L117" s="2"/>
      <c r="N117" s="2"/>
      <c r="O117" s="2"/>
      <c r="P117" s="2"/>
      <c r="Q117" s="2"/>
      <c r="U117" s="2"/>
      <c r="V117" s="2"/>
      <c r="W117" s="2"/>
      <c r="X117" s="2"/>
      <c r="Y117" s="2"/>
      <c r="Z117" s="2"/>
      <c r="AA117" s="2"/>
      <c r="AB117" s="2"/>
      <c r="AC117" s="2"/>
      <c r="AD117" s="2"/>
      <c r="AE117" s="2"/>
      <c r="AF117" s="2"/>
      <c r="AG117" s="2"/>
      <c r="AH117" s="2"/>
      <c r="AI117" s="2"/>
      <c r="AJ117" s="2"/>
      <c r="AK117" s="2"/>
      <c r="AL117" s="2"/>
      <c r="AM117" s="2"/>
      <c r="AN117" s="2"/>
      <c r="AO117" s="2"/>
      <c r="AP117" s="2" t="s">
        <v>517</v>
      </c>
      <c r="AQ117" s="1102">
        <v>52.46</v>
      </c>
      <c r="AR117" s="2">
        <f>+BYD!AX42</f>
        <v>48.323</v>
      </c>
    </row>
    <row r="118" spans="1:44" ht="12.75" customHeight="1">
      <c r="A118" s="2"/>
      <c r="B118" s="2"/>
      <c r="C118" s="2"/>
      <c r="D118" s="1062"/>
      <c r="E118" s="2"/>
      <c r="F118" s="2"/>
      <c r="G118" s="2"/>
      <c r="H118" s="2"/>
      <c r="I118" s="2"/>
      <c r="J118" s="2"/>
      <c r="K118" s="2"/>
      <c r="L118" s="2"/>
      <c r="N118" s="2"/>
      <c r="O118" s="2"/>
      <c r="P118" s="2"/>
      <c r="Q118" s="2"/>
      <c r="U118" s="2"/>
      <c r="V118" s="2"/>
      <c r="W118" s="2"/>
      <c r="X118" s="2"/>
      <c r="Y118" s="2"/>
      <c r="Z118" s="2"/>
      <c r="AA118" s="2"/>
      <c r="AB118" s="2"/>
      <c r="AC118" s="2"/>
      <c r="AD118" s="2"/>
      <c r="AE118" s="2"/>
      <c r="AF118" s="2"/>
      <c r="AG118" s="2"/>
      <c r="AH118" s="2"/>
      <c r="AI118" s="2"/>
      <c r="AJ118" s="2"/>
      <c r="AK118" s="2"/>
      <c r="AL118" s="2"/>
      <c r="AM118" s="2"/>
      <c r="AN118" s="2"/>
      <c r="AO118" s="2"/>
      <c r="AP118" s="2" t="s">
        <v>273</v>
      </c>
      <c r="AQ118" s="1102">
        <v>28.21</v>
      </c>
      <c r="AR118" s="2">
        <f>+BYD!AX45</f>
        <v>27.847000000000001</v>
      </c>
    </row>
  </sheetData>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19"/>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5" max="15" width="1.5" customWidth="1"/>
    <col min="18" max="18" width="3.25" customWidth="1"/>
    <col min="20" max="20" width="1" customWidth="1"/>
    <col min="21" max="21" width="19" customWidth="1"/>
    <col min="22" max="22" width="1.625" customWidth="1"/>
    <col min="23" max="23" width="8.625" customWidth="1"/>
    <col min="24" max="24" width="1.625" customWidth="1"/>
    <col min="25" max="25" width="8.625" customWidth="1"/>
    <col min="26" max="26" width="1.625" customWidth="1"/>
    <col min="27" max="27" width="8.625" customWidth="1"/>
    <col min="30" max="30" width="7.625" customWidth="1"/>
    <col min="31" max="31" width="1.625" customWidth="1"/>
    <col min="32" max="32" width="7.625" customWidth="1"/>
    <col min="33" max="33" width="1.625" customWidth="1"/>
    <col min="34" max="34" width="7.625" customWidth="1"/>
    <col min="35" max="35" width="1.625" customWidth="1"/>
    <col min="36" max="36" width="21.5" customWidth="1"/>
    <col min="37" max="37" width="11.625" customWidth="1"/>
    <col min="38" max="38" width="1.625" customWidth="1"/>
    <col min="39" max="39" width="10.625" customWidth="1"/>
    <col min="40" max="40" width="1.625" customWidth="1"/>
    <col min="41" max="41" width="10.625" customWidth="1"/>
    <col min="42" max="42" width="16" customWidth="1"/>
  </cols>
  <sheetData>
    <row r="1" spans="1:44" ht="12.75" customHeight="1">
      <c r="A1" s="1" t="s">
        <v>629</v>
      </c>
      <c r="B1" s="2"/>
      <c r="C1" s="166"/>
      <c r="D1" s="1062"/>
      <c r="E1" s="2"/>
      <c r="F1" s="2"/>
      <c r="G1" s="2"/>
      <c r="H1" s="2"/>
      <c r="I1" s="2"/>
      <c r="J1" s="2"/>
      <c r="K1" s="2"/>
      <c r="L1" s="2"/>
      <c r="N1" s="2"/>
      <c r="O1" s="2"/>
      <c r="P1" s="2"/>
      <c r="Q1" s="2"/>
      <c r="U1" s="2"/>
      <c r="V1" s="2"/>
      <c r="W1" s="2"/>
      <c r="X1" s="2"/>
      <c r="Y1" s="2"/>
      <c r="Z1" s="2"/>
      <c r="AA1" s="2"/>
      <c r="AB1" s="2"/>
      <c r="AC1" s="2"/>
      <c r="AD1" s="2"/>
      <c r="AE1" s="2"/>
      <c r="AF1" s="2"/>
      <c r="AG1" s="2"/>
      <c r="AH1" s="2"/>
      <c r="AI1" s="2"/>
      <c r="AJ1" s="2"/>
      <c r="AK1" s="2"/>
      <c r="AL1" s="2"/>
      <c r="AM1" s="2"/>
      <c r="AN1" s="2"/>
      <c r="AO1" s="2"/>
      <c r="AP1" s="2"/>
      <c r="AQ1" s="98"/>
      <c r="AR1" s="2"/>
    </row>
    <row r="2" spans="1:44" ht="12.75" customHeight="1">
      <c r="A2" s="1" t="s">
        <v>1224</v>
      </c>
      <c r="B2" s="2"/>
      <c r="C2" s="2"/>
      <c r="D2" s="1062"/>
      <c r="E2" s="2"/>
      <c r="F2" s="2"/>
      <c r="G2" s="2"/>
      <c r="H2" s="2"/>
      <c r="I2" s="2"/>
      <c r="J2" s="2"/>
      <c r="K2" s="2"/>
      <c r="L2" s="2"/>
      <c r="N2" s="2"/>
      <c r="O2" s="2"/>
      <c r="P2" s="2"/>
      <c r="Q2" s="2"/>
      <c r="U2" s="2"/>
      <c r="V2" s="2"/>
      <c r="W2" s="2"/>
      <c r="X2" s="2"/>
      <c r="Y2" s="2"/>
      <c r="Z2" s="2"/>
      <c r="AA2" s="2"/>
      <c r="AB2" s="2"/>
      <c r="AC2" s="2"/>
      <c r="AD2" s="2"/>
      <c r="AE2" s="2"/>
      <c r="AF2" s="2"/>
      <c r="AG2" s="2"/>
      <c r="AH2" s="2"/>
      <c r="AI2" s="2"/>
      <c r="AJ2" s="2"/>
      <c r="AK2" s="2"/>
      <c r="AL2" s="2"/>
      <c r="AM2" s="2"/>
      <c r="AN2" s="2"/>
      <c r="AO2" s="2"/>
      <c r="AP2" s="2"/>
      <c r="AQ2" s="98"/>
      <c r="AR2" s="2"/>
    </row>
    <row r="3" spans="1:44" ht="12.75" customHeight="1">
      <c r="A3" s="2" t="s">
        <v>1225</v>
      </c>
      <c r="B3" s="2"/>
      <c r="C3" s="2"/>
      <c r="D3" s="1062"/>
      <c r="E3" s="2"/>
      <c r="F3" s="2"/>
      <c r="G3" s="2"/>
      <c r="H3" s="2"/>
      <c r="I3" s="2"/>
      <c r="J3" s="2"/>
      <c r="K3" s="2"/>
      <c r="L3" s="2"/>
      <c r="N3" s="2"/>
      <c r="O3" s="2"/>
      <c r="P3" s="2"/>
      <c r="Q3" s="2"/>
      <c r="U3" s="2"/>
      <c r="V3" s="2"/>
      <c r="W3" s="2"/>
      <c r="X3" s="2"/>
      <c r="Y3" s="2"/>
      <c r="Z3" s="2"/>
      <c r="AA3" s="2"/>
      <c r="AB3" s="2"/>
      <c r="AC3" s="2"/>
      <c r="AD3" s="2"/>
      <c r="AE3" s="2"/>
      <c r="AF3" s="2"/>
      <c r="AG3" s="2"/>
      <c r="AH3" s="2"/>
      <c r="AI3" s="2"/>
      <c r="AJ3" s="2"/>
      <c r="AK3" s="2"/>
      <c r="AL3" s="2"/>
      <c r="AM3" s="2"/>
      <c r="AN3" s="2"/>
      <c r="AO3" s="2"/>
      <c r="AP3" s="2"/>
      <c r="AQ3" s="98"/>
      <c r="AR3" s="2"/>
    </row>
    <row r="4" spans="1:44" ht="12.75" customHeight="1">
      <c r="A4" s="2"/>
      <c r="B4" s="2"/>
      <c r="C4" s="1195" t="s">
        <v>818</v>
      </c>
      <c r="D4" s="1310"/>
      <c r="E4" s="1196"/>
      <c r="F4" s="1196"/>
      <c r="G4" s="1196"/>
      <c r="H4" s="2"/>
      <c r="I4" s="1195" t="s">
        <v>1504</v>
      </c>
      <c r="J4" s="1197"/>
      <c r="K4" s="1196"/>
      <c r="L4" s="1196"/>
      <c r="O4" s="70"/>
      <c r="P4" s="70"/>
      <c r="Q4" s="70"/>
      <c r="U4" s="2"/>
      <c r="V4" s="2"/>
      <c r="W4" s="2"/>
      <c r="X4" s="2"/>
      <c r="Y4" s="2"/>
      <c r="Z4" s="2"/>
      <c r="AA4" s="2"/>
      <c r="AB4" s="2"/>
      <c r="AC4" s="2"/>
      <c r="AD4" s="2"/>
      <c r="AE4" s="2"/>
      <c r="AF4" s="2"/>
      <c r="AG4" s="2"/>
      <c r="AH4" s="2"/>
      <c r="AI4" s="2"/>
      <c r="AJ4" s="2"/>
      <c r="AK4" s="2"/>
      <c r="AL4" s="2"/>
      <c r="AM4" s="2"/>
      <c r="AN4" s="2"/>
      <c r="AO4" s="2"/>
      <c r="AP4" s="2"/>
      <c r="AQ4" s="98"/>
      <c r="AR4" s="2"/>
    </row>
    <row r="5" spans="1:44" ht="12.75" customHeight="1">
      <c r="A5" s="2"/>
      <c r="B5" s="2"/>
      <c r="C5" s="1198"/>
      <c r="D5" s="77"/>
      <c r="E5" s="2"/>
      <c r="F5" s="1197" t="s">
        <v>1487</v>
      </c>
      <c r="G5" s="1197"/>
      <c r="H5" s="2"/>
      <c r="I5" s="1198"/>
      <c r="J5" s="61"/>
      <c r="K5" s="1197" t="s">
        <v>1505</v>
      </c>
      <c r="L5" s="1197"/>
      <c r="N5" s="1289" t="s">
        <v>1489</v>
      </c>
      <c r="O5" s="2"/>
      <c r="P5" s="1197" t="s">
        <v>1505</v>
      </c>
      <c r="Q5" s="1197"/>
      <c r="S5" s="73" t="s">
        <v>594</v>
      </c>
      <c r="U5" s="2"/>
      <c r="V5" s="2"/>
      <c r="W5" s="2"/>
      <c r="X5" s="2"/>
      <c r="Y5" s="2"/>
      <c r="Z5" s="2"/>
      <c r="AA5" s="2"/>
      <c r="AB5" s="2"/>
      <c r="AC5" s="2"/>
      <c r="AD5" s="2"/>
      <c r="AE5" s="2"/>
      <c r="AF5" s="2"/>
      <c r="AG5" s="2"/>
      <c r="AH5" s="2"/>
      <c r="AI5" s="2"/>
      <c r="AJ5" s="2"/>
      <c r="AK5" s="2"/>
      <c r="AL5" s="2"/>
      <c r="AM5" s="2"/>
      <c r="AN5" s="2"/>
      <c r="AO5" s="2"/>
      <c r="AP5" s="2"/>
      <c r="AQ5" s="98"/>
      <c r="AR5" s="2"/>
    </row>
    <row r="6" spans="1:44" ht="12.75" customHeight="1">
      <c r="A6" s="61"/>
      <c r="B6" s="2"/>
      <c r="C6" s="1199" t="s">
        <v>287</v>
      </c>
      <c r="D6" s="1308" t="s">
        <v>274</v>
      </c>
      <c r="E6" s="70"/>
      <c r="F6" s="73" t="s">
        <v>658</v>
      </c>
      <c r="G6" s="73" t="s">
        <v>740</v>
      </c>
      <c r="H6" s="2"/>
      <c r="I6" s="1199" t="s">
        <v>363</v>
      </c>
      <c r="J6" s="70"/>
      <c r="K6" s="73" t="s">
        <v>658</v>
      </c>
      <c r="L6" s="73" t="s">
        <v>740</v>
      </c>
      <c r="N6" s="1165" t="s">
        <v>288</v>
      </c>
      <c r="O6" s="2"/>
      <c r="P6" s="73" t="s">
        <v>658</v>
      </c>
      <c r="Q6" s="73" t="s">
        <v>740</v>
      </c>
      <c r="U6" s="2"/>
      <c r="V6" s="2"/>
      <c r="W6" s="2"/>
      <c r="X6" s="2"/>
      <c r="Y6" s="2"/>
      <c r="Z6" s="2"/>
      <c r="AA6" s="2"/>
      <c r="AB6" s="2"/>
      <c r="AC6" s="2"/>
      <c r="AD6" s="2"/>
      <c r="AE6" s="2"/>
      <c r="AF6" s="2"/>
      <c r="AG6" s="2"/>
      <c r="AH6" s="2"/>
      <c r="AI6" s="2"/>
      <c r="AJ6" s="2"/>
      <c r="AK6" s="2"/>
      <c r="AL6" s="2"/>
      <c r="AM6" s="2"/>
      <c r="AN6" s="2"/>
      <c r="AO6" s="2"/>
      <c r="AP6" s="2"/>
      <c r="AQ6" s="98"/>
      <c r="AR6" s="2"/>
    </row>
    <row r="7" spans="1:44" ht="12.75" customHeight="1">
      <c r="A7" s="1" t="s">
        <v>741</v>
      </c>
      <c r="B7" s="2"/>
      <c r="C7" s="112"/>
      <c r="D7" s="77"/>
      <c r="E7" s="2"/>
      <c r="F7" s="2"/>
      <c r="G7" s="2"/>
      <c r="H7" s="2"/>
      <c r="I7" s="112"/>
      <c r="J7" s="61"/>
      <c r="K7" s="2"/>
      <c r="L7" s="2"/>
      <c r="N7" s="2"/>
      <c r="O7" s="2"/>
      <c r="P7" s="2"/>
      <c r="Q7" s="2"/>
      <c r="U7" s="2"/>
      <c r="V7" s="2"/>
      <c r="W7" s="2"/>
      <c r="X7" s="2"/>
      <c r="Y7" s="2"/>
      <c r="Z7" s="2"/>
      <c r="AA7" s="2"/>
      <c r="AB7" s="2"/>
      <c r="AC7" s="2"/>
      <c r="AD7" s="2"/>
      <c r="AE7" s="2"/>
      <c r="AF7" s="2"/>
      <c r="AG7" s="2"/>
      <c r="AH7" s="2"/>
      <c r="AI7" s="2"/>
      <c r="AJ7" s="2"/>
      <c r="AK7" s="2"/>
      <c r="AL7" s="2"/>
      <c r="AM7" s="2"/>
      <c r="AN7" s="2"/>
      <c r="AO7" s="2"/>
      <c r="AP7" s="2"/>
      <c r="AQ7" s="98"/>
      <c r="AR7" s="2"/>
    </row>
    <row r="8" spans="1:44" ht="12.75" customHeight="1">
      <c r="A8" s="334" t="s">
        <v>514</v>
      </c>
      <c r="B8" s="2"/>
      <c r="C8" s="2030">
        <f>BYD!BD10</f>
        <v>141.20699999999999</v>
      </c>
      <c r="D8" s="858">
        <f>BYD!AY10</f>
        <v>140.291</v>
      </c>
      <c r="E8" s="1202"/>
      <c r="F8" s="1205">
        <f t="shared" ref="F8:F13" si="0">C8-D8</f>
        <v>0.91599999999999682</v>
      </c>
      <c r="G8" s="126">
        <f t="shared" ref="G8:G14" si="1">IF(D8=0,0,C8/D8-1)</f>
        <v>6.5292855564504926E-3</v>
      </c>
      <c r="H8" s="1205"/>
      <c r="I8" s="1207">
        <v>140.99245499999998</v>
      </c>
      <c r="J8" s="1202"/>
      <c r="K8" s="313">
        <f t="shared" ref="K8:K13" si="2">C8-I8</f>
        <v>0.21454500000001531</v>
      </c>
      <c r="L8" s="1204">
        <f t="shared" ref="L8:L13" si="3">IF(I8=0,"NM",C8/I8-1)</f>
        <v>1.5216771705977017E-3</v>
      </c>
      <c r="N8" s="1349">
        <v>140.13999999999999</v>
      </c>
      <c r="O8" s="1349"/>
      <c r="P8" s="313">
        <f t="shared" ref="P8:P14" si="4">C8-N8</f>
        <v>1.0670000000000073</v>
      </c>
      <c r="Q8" s="1204">
        <f t="shared" ref="Q8:Q14" si="5">IF(N8=0,"NM",C8/N8-1)</f>
        <v>7.6138147566719994E-3</v>
      </c>
      <c r="U8" s="105"/>
      <c r="V8" s="2"/>
      <c r="W8" s="2"/>
      <c r="X8" s="2"/>
      <c r="Y8" s="2"/>
      <c r="Z8" s="2"/>
      <c r="AA8" s="2"/>
      <c r="AB8" s="2"/>
      <c r="AC8" s="2"/>
      <c r="AD8" s="2"/>
      <c r="AE8" s="2"/>
      <c r="AF8" s="2"/>
      <c r="AG8" s="2"/>
      <c r="AH8" s="2"/>
      <c r="AI8" s="2"/>
      <c r="AJ8" s="2"/>
      <c r="AK8" s="2"/>
      <c r="AL8" s="2"/>
      <c r="AM8" s="2"/>
      <c r="AN8" s="2"/>
      <c r="AO8" s="2"/>
      <c r="AP8" s="2"/>
      <c r="AQ8" s="98"/>
      <c r="AR8" s="2"/>
    </row>
    <row r="9" spans="1:44" ht="12.75" customHeight="1">
      <c r="A9" s="334" t="s">
        <v>515</v>
      </c>
      <c r="B9" s="61"/>
      <c r="C9" s="2031">
        <f>BYD!BD11</f>
        <v>53.378999999999998</v>
      </c>
      <c r="D9" s="104">
        <f>BYD!AY11</f>
        <v>52.673999999999999</v>
      </c>
      <c r="E9" s="1103"/>
      <c r="F9" s="374">
        <f t="shared" si="0"/>
        <v>0.70499999999999829</v>
      </c>
      <c r="G9" s="95">
        <f t="shared" si="1"/>
        <v>1.3384212324866196E-2</v>
      </c>
      <c r="H9" s="61"/>
      <c r="I9" s="1104">
        <v>53.200740000000003</v>
      </c>
      <c r="J9" s="1103"/>
      <c r="K9" s="374">
        <f t="shared" si="2"/>
        <v>0.17825999999999453</v>
      </c>
      <c r="L9" s="92">
        <f t="shared" si="3"/>
        <v>3.3507052721446495E-3</v>
      </c>
      <c r="N9" s="1102">
        <v>52.83</v>
      </c>
      <c r="O9" s="1102"/>
      <c r="P9" s="374">
        <f t="shared" si="4"/>
        <v>0.54899999999999949</v>
      </c>
      <c r="Q9" s="92">
        <f t="shared" si="5"/>
        <v>1.0391822827938713E-2</v>
      </c>
      <c r="U9" s="105"/>
      <c r="V9" s="2"/>
      <c r="W9" s="2"/>
      <c r="X9" s="2"/>
      <c r="Y9" s="2"/>
      <c r="Z9" s="2"/>
      <c r="AA9" s="2"/>
      <c r="AB9" s="2"/>
      <c r="AC9" s="2"/>
      <c r="AD9" s="2"/>
      <c r="AE9" s="2"/>
      <c r="AF9" s="2"/>
      <c r="AG9" s="2"/>
      <c r="AH9" s="2"/>
      <c r="AI9" s="2"/>
      <c r="AJ9" s="2"/>
      <c r="AK9" s="2"/>
      <c r="AL9" s="2"/>
      <c r="AM9" s="2"/>
      <c r="AN9" s="2"/>
      <c r="AO9" s="2"/>
      <c r="AP9" s="2"/>
      <c r="AQ9" s="98"/>
      <c r="AR9" s="2"/>
    </row>
    <row r="10" spans="1:44" ht="12.75" customHeight="1">
      <c r="A10" s="334" t="s">
        <v>516</v>
      </c>
      <c r="B10" s="61"/>
      <c r="C10" s="2031">
        <f>BYD!BD13</f>
        <v>210.732</v>
      </c>
      <c r="D10" s="104">
        <f>BYD!AY13</f>
        <v>214.83099999999999</v>
      </c>
      <c r="E10" s="1103"/>
      <c r="F10" s="374">
        <f t="shared" si="0"/>
        <v>-4.0989999999999895</v>
      </c>
      <c r="G10" s="95">
        <f t="shared" si="1"/>
        <v>-1.908011413622801E-2</v>
      </c>
      <c r="H10" s="61"/>
      <c r="I10" s="1104">
        <v>206.02863558804995</v>
      </c>
      <c r="J10" s="1103"/>
      <c r="K10" s="374">
        <f t="shared" si="2"/>
        <v>4.703364411950048</v>
      </c>
      <c r="L10" s="92">
        <f t="shared" si="3"/>
        <v>2.2828692713154242E-2</v>
      </c>
      <c r="M10" s="1403"/>
      <c r="N10" s="1102">
        <v>207.96</v>
      </c>
      <c r="O10" s="1102"/>
      <c r="P10" s="374">
        <f t="shared" si="4"/>
        <v>2.7719999999999914</v>
      </c>
      <c r="Q10" s="92">
        <f t="shared" si="5"/>
        <v>1.33294864397E-2</v>
      </c>
      <c r="S10" s="1403"/>
      <c r="U10" s="105"/>
      <c r="V10" s="2"/>
      <c r="W10" s="2"/>
      <c r="X10" s="2"/>
      <c r="Y10" s="2"/>
      <c r="Z10" s="2"/>
      <c r="AA10" s="2"/>
      <c r="AB10" s="2"/>
      <c r="AC10" s="2"/>
      <c r="AD10" s="2"/>
      <c r="AE10" s="2"/>
      <c r="AF10" s="2"/>
      <c r="AG10" s="2"/>
      <c r="AH10" s="2"/>
      <c r="AI10" s="2"/>
      <c r="AJ10" s="2"/>
      <c r="AK10" s="2"/>
      <c r="AL10" s="2"/>
      <c r="AM10" s="2"/>
      <c r="AN10" s="2"/>
      <c r="AO10" s="2"/>
      <c r="AP10" s="2"/>
      <c r="AQ10" s="98"/>
      <c r="AR10" s="2"/>
    </row>
    <row r="11" spans="1:44" ht="12.75" customHeight="1">
      <c r="A11" s="963" t="s">
        <v>517</v>
      </c>
      <c r="B11" s="61"/>
      <c r="C11" s="2031">
        <f>BYD!BD14</f>
        <v>123.578</v>
      </c>
      <c r="D11" s="104">
        <f>BYD!AY14</f>
        <v>130.72200000000001</v>
      </c>
      <c r="E11" s="1103"/>
      <c r="F11" s="374">
        <f t="shared" si="0"/>
        <v>-7.1440000000000055</v>
      </c>
      <c r="G11" s="95">
        <f t="shared" si="1"/>
        <v>-5.4650326647389114E-2</v>
      </c>
      <c r="H11" s="61"/>
      <c r="I11" s="1104">
        <v>128.15496769993135</v>
      </c>
      <c r="J11" s="1103"/>
      <c r="K11" s="374">
        <f t="shared" si="2"/>
        <v>-4.5769676999313447</v>
      </c>
      <c r="L11" s="92">
        <f t="shared" si="3"/>
        <v>-3.5714321357000367E-2</v>
      </c>
      <c r="M11" s="1403"/>
      <c r="N11" s="1102">
        <v>126.83</v>
      </c>
      <c r="O11" s="1102"/>
      <c r="P11" s="374">
        <f t="shared" si="4"/>
        <v>-3.2519999999999953</v>
      </c>
      <c r="Q11" s="92">
        <f t="shared" si="5"/>
        <v>-2.5640621304107825E-2</v>
      </c>
      <c r="S11" s="1403"/>
      <c r="U11" s="105"/>
      <c r="V11" s="2"/>
      <c r="W11" s="2"/>
      <c r="X11" s="2"/>
      <c r="Y11" s="2"/>
      <c r="Z11" s="2"/>
      <c r="AA11" s="2"/>
      <c r="AB11" s="2"/>
      <c r="AC11" s="2"/>
      <c r="AD11" s="2"/>
      <c r="AE11" s="2"/>
      <c r="AF11" s="2"/>
      <c r="AG11" s="2"/>
      <c r="AH11" s="2"/>
      <c r="AI11" s="2"/>
      <c r="AJ11" s="2"/>
      <c r="AK11" s="2"/>
      <c r="AL11" s="2"/>
      <c r="AM11" s="2"/>
      <c r="AN11" s="2"/>
      <c r="AO11" s="2"/>
      <c r="AP11" s="2"/>
      <c r="AQ11" s="98"/>
      <c r="AR11" s="2"/>
    </row>
    <row r="12" spans="1:44" ht="12.75" customHeight="1">
      <c r="A12" s="334" t="s">
        <v>273</v>
      </c>
      <c r="B12" s="61"/>
      <c r="C12" s="2031">
        <f>BYD!BD17</f>
        <v>0</v>
      </c>
      <c r="D12" s="104">
        <f>BYD!AY17</f>
        <v>0</v>
      </c>
      <c r="E12" s="1103"/>
      <c r="F12" s="374">
        <f t="shared" si="0"/>
        <v>0</v>
      </c>
      <c r="G12" s="95">
        <f t="shared" si="1"/>
        <v>0</v>
      </c>
      <c r="H12" s="61"/>
      <c r="I12" s="1104">
        <v>193.4577195</v>
      </c>
      <c r="J12" s="1103"/>
      <c r="K12" s="374">
        <f t="shared" si="2"/>
        <v>-193.4577195</v>
      </c>
      <c r="L12" s="92">
        <f t="shared" si="3"/>
        <v>-1</v>
      </c>
      <c r="N12" s="1102">
        <v>206.23</v>
      </c>
      <c r="O12" s="1102"/>
      <c r="P12" s="374">
        <f t="shared" si="4"/>
        <v>-206.23</v>
      </c>
      <c r="Q12" s="92">
        <f t="shared" si="5"/>
        <v>-1</v>
      </c>
      <c r="U12" s="105"/>
      <c r="V12" s="2"/>
      <c r="W12" s="2"/>
      <c r="X12" s="2"/>
      <c r="Y12" s="2"/>
      <c r="Z12" s="2"/>
      <c r="AA12" s="2"/>
      <c r="AB12" s="2"/>
      <c r="AC12" s="2"/>
      <c r="AD12" s="2"/>
      <c r="AE12" s="2"/>
      <c r="AF12" s="2"/>
      <c r="AG12" s="2"/>
      <c r="AH12" s="2"/>
      <c r="AI12" s="2"/>
      <c r="AJ12" s="2"/>
      <c r="AK12" s="2"/>
      <c r="AL12" s="2"/>
      <c r="AM12" s="2"/>
      <c r="AN12" s="2"/>
      <c r="AO12" s="2"/>
      <c r="AP12" s="2"/>
      <c r="AQ12" s="98"/>
      <c r="AR12" s="2"/>
    </row>
    <row r="13" spans="1:44" ht="12.75" customHeight="1">
      <c r="A13" s="2679" t="s">
        <v>899</v>
      </c>
      <c r="B13" s="61"/>
      <c r="C13" s="2031">
        <f>BYD!BD18</f>
        <v>0</v>
      </c>
      <c r="D13" s="104">
        <f>BYD!AY18</f>
        <v>0</v>
      </c>
      <c r="E13" s="1103"/>
      <c r="F13" s="374">
        <f t="shared" si="0"/>
        <v>0</v>
      </c>
      <c r="G13" s="95">
        <f t="shared" si="1"/>
        <v>0</v>
      </c>
      <c r="H13" s="61"/>
      <c r="I13" s="1104">
        <v>7.8469281425390642</v>
      </c>
      <c r="J13" s="1103"/>
      <c r="K13" s="374">
        <f t="shared" si="2"/>
        <v>-7.8469281425390642</v>
      </c>
      <c r="L13" s="92">
        <f t="shared" si="3"/>
        <v>-1</v>
      </c>
      <c r="N13" s="1102">
        <v>1.2</v>
      </c>
      <c r="O13" s="1102"/>
      <c r="P13" s="374">
        <f t="shared" si="4"/>
        <v>-1.2</v>
      </c>
      <c r="Q13" s="92">
        <f t="shared" si="5"/>
        <v>-1</v>
      </c>
      <c r="U13" s="105"/>
      <c r="V13" s="2"/>
      <c r="W13" s="2"/>
      <c r="X13" s="2"/>
      <c r="Y13" s="2"/>
      <c r="Z13" s="2"/>
      <c r="AA13" s="2"/>
      <c r="AB13" s="2"/>
      <c r="AC13" s="2"/>
      <c r="AD13" s="2"/>
      <c r="AE13" s="2"/>
      <c r="AF13" s="2"/>
      <c r="AG13" s="2"/>
      <c r="AH13" s="2"/>
      <c r="AI13" s="2"/>
      <c r="AJ13" s="2"/>
      <c r="AK13" s="2"/>
      <c r="AL13" s="2"/>
      <c r="AM13" s="2"/>
      <c r="AN13" s="2"/>
      <c r="AO13" s="2"/>
      <c r="AP13" s="2"/>
      <c r="AQ13" s="98"/>
      <c r="AR13" s="2"/>
    </row>
    <row r="14" spans="1:44" ht="12.75" customHeight="1">
      <c r="A14" s="138" t="s">
        <v>813</v>
      </c>
      <c r="B14" s="1203"/>
      <c r="C14" s="2032">
        <f>SUM(C8:C13)</f>
        <v>528.89599999999996</v>
      </c>
      <c r="D14" s="1210">
        <f>SUM(D8:D13)</f>
        <v>538.51800000000003</v>
      </c>
      <c r="E14" s="1210"/>
      <c r="F14" s="1210">
        <f>SUM(F8:F13)</f>
        <v>-9.6219999999999999</v>
      </c>
      <c r="G14" s="1208">
        <f t="shared" si="1"/>
        <v>-1.78675550306584E-2</v>
      </c>
      <c r="H14" s="1206"/>
      <c r="I14" s="1250">
        <v>729.68144593052023</v>
      </c>
      <c r="J14" s="1210"/>
      <c r="K14" s="1210">
        <f>SUM(K8:K13)</f>
        <v>-200.78544593052035</v>
      </c>
      <c r="L14" s="1211">
        <f>C14/I14-1</f>
        <v>-0.27516863290181415</v>
      </c>
      <c r="M14" s="1444"/>
      <c r="N14" s="1349">
        <v>736.08</v>
      </c>
      <c r="O14" s="1349"/>
      <c r="P14" s="2368">
        <f t="shared" si="4"/>
        <v>-207.18400000000008</v>
      </c>
      <c r="Q14" s="1211">
        <f t="shared" si="5"/>
        <v>-0.28146940549940236</v>
      </c>
      <c r="R14" s="1299"/>
      <c r="S14" s="1617"/>
      <c r="U14" s="105">
        <f>+C14/N14-1</f>
        <v>-0.28146940549940236</v>
      </c>
      <c r="V14" s="2"/>
      <c r="W14" s="2"/>
      <c r="X14" s="2"/>
      <c r="Y14" s="2"/>
      <c r="Z14" s="2"/>
      <c r="AA14" s="2"/>
      <c r="AB14" s="2"/>
      <c r="AC14" s="2"/>
      <c r="AD14" s="2"/>
      <c r="AE14" s="2"/>
      <c r="AF14" s="2"/>
      <c r="AG14" s="2"/>
      <c r="AH14" s="2"/>
      <c r="AI14" s="2"/>
      <c r="AJ14" s="2"/>
      <c r="AK14" s="2"/>
      <c r="AL14" s="2"/>
      <c r="AM14" s="2"/>
      <c r="AN14" s="2"/>
      <c r="AO14" s="2"/>
      <c r="AP14" s="2"/>
      <c r="AQ14" s="98"/>
      <c r="AR14" s="2"/>
    </row>
    <row r="15" spans="1:44" ht="12.75" customHeight="1">
      <c r="A15" s="61"/>
      <c r="B15" s="61"/>
      <c r="C15" s="2033"/>
      <c r="D15" s="77"/>
      <c r="E15" s="61"/>
      <c r="F15" s="61"/>
      <c r="G15" s="1139"/>
      <c r="H15" s="61"/>
      <c r="I15" s="115"/>
      <c r="J15" s="61"/>
      <c r="K15" s="61"/>
      <c r="L15" s="1212"/>
      <c r="N15" s="105">
        <f>C14/N14-1</f>
        <v>-0.28146940549940236</v>
      </c>
      <c r="O15" s="105"/>
      <c r="P15" s="105"/>
      <c r="Q15" s="105"/>
      <c r="U15" s="2"/>
      <c r="V15" s="2"/>
      <c r="W15" s="101" t="str">
        <f>+C6</f>
        <v>3Q14A</v>
      </c>
      <c r="X15" s="101"/>
      <c r="Y15" s="101" t="str">
        <f>+D6</f>
        <v>3Q13A</v>
      </c>
      <c r="Z15" s="101"/>
      <c r="AA15" s="101" t="s">
        <v>1490</v>
      </c>
      <c r="AB15" s="101"/>
      <c r="AC15" s="2"/>
      <c r="AD15" s="2"/>
      <c r="AE15" s="2"/>
      <c r="AF15" s="2"/>
      <c r="AG15" s="2"/>
      <c r="AH15" s="2"/>
      <c r="AI15" s="2"/>
      <c r="AJ15" s="2"/>
      <c r="AK15" s="2"/>
      <c r="AL15" s="2"/>
      <c r="AM15" s="2"/>
      <c r="AN15" s="2"/>
      <c r="AO15" s="2"/>
      <c r="AP15" s="2"/>
      <c r="AQ15" s="98"/>
      <c r="AR15" s="2"/>
    </row>
    <row r="16" spans="1:44" ht="12.75" customHeight="1">
      <c r="A16" s="107" t="s">
        <v>401</v>
      </c>
      <c r="B16" s="61"/>
      <c r="C16" s="2034"/>
      <c r="D16" s="1390"/>
      <c r="E16" s="61"/>
      <c r="F16" s="61"/>
      <c r="G16" s="1139"/>
      <c r="H16" s="61"/>
      <c r="I16" s="115"/>
      <c r="J16" s="61"/>
      <c r="K16" s="61"/>
      <c r="L16" s="1212"/>
      <c r="N16" s="98"/>
      <c r="O16" s="98"/>
      <c r="P16" s="98"/>
      <c r="Q16" s="98"/>
      <c r="U16" s="101" t="s">
        <v>1488</v>
      </c>
      <c r="V16" s="2"/>
      <c r="W16" s="101" t="s">
        <v>1160</v>
      </c>
      <c r="X16" s="101"/>
      <c r="Y16" s="101" t="s">
        <v>1160</v>
      </c>
      <c r="Z16" s="101"/>
      <c r="AA16" s="101" t="s">
        <v>1160</v>
      </c>
      <c r="AB16" s="101"/>
      <c r="AC16" s="2"/>
      <c r="AD16" s="2"/>
      <c r="AE16" s="2"/>
      <c r="AF16" s="2"/>
      <c r="AG16" s="2"/>
      <c r="AH16" s="2"/>
      <c r="AI16" s="2"/>
      <c r="AJ16" s="2"/>
      <c r="AK16" s="2"/>
      <c r="AL16" s="2"/>
      <c r="AM16" s="2"/>
      <c r="AN16" s="2"/>
      <c r="AO16" s="2"/>
      <c r="AP16" s="2"/>
      <c r="AQ16" s="98"/>
      <c r="AR16" s="2"/>
    </row>
    <row r="17" spans="1:44" ht="12.75" customHeight="1">
      <c r="A17" s="334" t="s">
        <v>514</v>
      </c>
      <c r="B17" s="61"/>
      <c r="C17" s="2030">
        <f>BYD!BD38</f>
        <v>28.052</v>
      </c>
      <c r="D17" s="858">
        <f>BYD!AY38</f>
        <v>26.35</v>
      </c>
      <c r="E17" s="1202"/>
      <c r="F17" s="897">
        <f>C17-D17</f>
        <v>1.7019999999999982</v>
      </c>
      <c r="G17" s="95">
        <f t="shared" ref="G17:G25" si="6">IF(D17=0,0,C17/D17-1)</f>
        <v>6.4592030360531183E-2</v>
      </c>
      <c r="H17" s="61"/>
      <c r="I17" s="1207">
        <v>26.196897499999963</v>
      </c>
      <c r="J17" s="1103"/>
      <c r="K17" s="897">
        <f>C17-I17</f>
        <v>1.8551025000000365</v>
      </c>
      <c r="L17" s="92">
        <f>IF(I17=0,"NM",C17/I17-1)</f>
        <v>7.0813824423294314E-2</v>
      </c>
      <c r="M17" s="1403"/>
      <c r="N17" s="1102">
        <v>26.42</v>
      </c>
      <c r="O17" s="1102"/>
      <c r="P17" s="313">
        <f t="shared" ref="P17:P23" si="7">C17-N17</f>
        <v>1.6319999999999979</v>
      </c>
      <c r="Q17" s="1204">
        <f t="shared" ref="Q17:Q23" si="8">IF(N17=0,"NM",C17/N17-1)</f>
        <v>6.1771385314155935E-2</v>
      </c>
      <c r="U17" s="126">
        <f>+C17/$C$23</f>
        <v>0.15785445787471583</v>
      </c>
      <c r="V17" s="2"/>
      <c r="W17" s="105">
        <f>+C17/C8</f>
        <v>0.19865870672133817</v>
      </c>
      <c r="X17" s="105"/>
      <c r="Y17" s="105">
        <f>+D17/D8</f>
        <v>0.18782388036295986</v>
      </c>
      <c r="Z17" s="105"/>
      <c r="AA17" s="105">
        <f>+I17/I8</f>
        <v>0.18580354175689734</v>
      </c>
      <c r="AB17" s="105"/>
      <c r="AC17" s="2"/>
      <c r="AD17" s="2"/>
      <c r="AE17" s="2"/>
      <c r="AF17" s="2"/>
      <c r="AG17" s="2"/>
      <c r="AH17" s="2"/>
      <c r="AI17" s="2"/>
      <c r="AJ17" s="2"/>
      <c r="AK17" s="2"/>
      <c r="AL17" s="2"/>
      <c r="AM17" s="2"/>
      <c r="AN17" s="2"/>
      <c r="AO17" s="2"/>
      <c r="AP17" s="2"/>
      <c r="AQ17" s="98"/>
      <c r="AR17" s="2"/>
    </row>
    <row r="18" spans="1:44" ht="12.75" customHeight="1">
      <c r="A18" s="334" t="s">
        <v>515</v>
      </c>
      <c r="B18" s="61"/>
      <c r="C18" s="2031">
        <f>BYD!BD39</f>
        <v>6.3150000000000004</v>
      </c>
      <c r="D18" s="104">
        <f>BYD!AY39</f>
        <v>5.5339999999999998</v>
      </c>
      <c r="E18" s="1103"/>
      <c r="F18" s="374">
        <f>C18-D18</f>
        <v>0.78100000000000058</v>
      </c>
      <c r="G18" s="95">
        <f t="shared" si="6"/>
        <v>0.14112757499096507</v>
      </c>
      <c r="H18" s="61"/>
      <c r="I18" s="1104">
        <v>5.58934</v>
      </c>
      <c r="J18" s="1103"/>
      <c r="K18" s="374">
        <f>C18-I18</f>
        <v>0.72566000000000042</v>
      </c>
      <c r="L18" s="92">
        <f>IF(I18=0,"NM",C18/I18-1)</f>
        <v>0.12982928216927236</v>
      </c>
      <c r="M18" s="1403"/>
      <c r="N18" s="1102">
        <v>5.73</v>
      </c>
      <c r="O18" s="1102"/>
      <c r="P18" s="374">
        <f t="shared" si="7"/>
        <v>0.58499999999999996</v>
      </c>
      <c r="Q18" s="92">
        <f t="shared" si="8"/>
        <v>0.10209424083769636</v>
      </c>
      <c r="U18" s="126">
        <f>+C18/$C$23</f>
        <v>3.5535822810453102E-2</v>
      </c>
      <c r="V18" s="2"/>
      <c r="W18" s="105">
        <f>+C18/C9</f>
        <v>0.11830495138537628</v>
      </c>
      <c r="X18" s="105"/>
      <c r="Y18" s="105">
        <f>+D18/D9</f>
        <v>0.10506132057561605</v>
      </c>
      <c r="Z18" s="105"/>
      <c r="AA18" s="105">
        <f>+I18/I9</f>
        <v>0.10506132057561604</v>
      </c>
      <c r="AB18" s="105"/>
      <c r="AC18" s="2"/>
      <c r="AD18" s="2"/>
      <c r="AE18" s="2"/>
      <c r="AF18" s="2"/>
      <c r="AG18" s="2"/>
      <c r="AH18" s="2"/>
      <c r="AI18" s="2"/>
      <c r="AJ18" s="2"/>
      <c r="AK18" s="2"/>
      <c r="AL18" s="2"/>
      <c r="AM18" s="2"/>
      <c r="AN18" s="2"/>
      <c r="AO18" s="2"/>
      <c r="AP18" s="2"/>
      <c r="AQ18" s="98"/>
      <c r="AR18" s="2"/>
    </row>
    <row r="19" spans="1:44" ht="12.75" customHeight="1">
      <c r="A19" s="334" t="s">
        <v>516</v>
      </c>
      <c r="B19" s="61"/>
      <c r="C19" s="2031">
        <f>BYD!BD41</f>
        <v>43.593000000000004</v>
      </c>
      <c r="D19" s="104">
        <f>BYD!AY41</f>
        <v>41.936</v>
      </c>
      <c r="E19" s="1103"/>
      <c r="F19" s="374">
        <f>C19-D19</f>
        <v>1.6570000000000036</v>
      </c>
      <c r="G19" s="95">
        <f t="shared" si="6"/>
        <v>3.9512590614269483E-2</v>
      </c>
      <c r="H19" s="61"/>
      <c r="I19" s="1104">
        <v>38.320485588049962</v>
      </c>
      <c r="J19" s="1103"/>
      <c r="K19" s="374">
        <f>C19-I19</f>
        <v>5.2725144119500413</v>
      </c>
      <c r="L19" s="92">
        <f>IF(I19=0,"NM",C19/I19-1)</f>
        <v>0.13758996868229256</v>
      </c>
      <c r="M19" s="1404"/>
      <c r="N19" s="1102">
        <v>40.31</v>
      </c>
      <c r="O19" s="1102"/>
      <c r="P19" s="374">
        <f t="shared" si="7"/>
        <v>3.2830000000000013</v>
      </c>
      <c r="Q19" s="92">
        <f t="shared" si="8"/>
        <v>8.1443810468866396E-2</v>
      </c>
      <c r="S19" s="1403"/>
      <c r="U19" s="126">
        <f>+C19/$C$23</f>
        <v>0.24530690796137486</v>
      </c>
      <c r="V19" s="2"/>
      <c r="W19" s="105">
        <f>+C19/C10</f>
        <v>0.20686464324355106</v>
      </c>
      <c r="X19" s="105"/>
      <c r="Y19" s="105">
        <f>+D19/D10</f>
        <v>0.19520460268769405</v>
      </c>
      <c r="Z19" s="105"/>
      <c r="AA19" s="105">
        <f>+I19/I10</f>
        <v>0.18599591983257605</v>
      </c>
      <c r="AB19" s="105"/>
      <c r="AC19" s="2"/>
      <c r="AD19" s="2"/>
      <c r="AE19" s="2"/>
      <c r="AF19" s="2"/>
      <c r="AG19" s="2"/>
      <c r="AH19" s="2"/>
      <c r="AI19" s="2"/>
      <c r="AJ19" s="2"/>
      <c r="AK19" s="2"/>
      <c r="AL19" s="2"/>
      <c r="AM19" s="2"/>
      <c r="AN19" s="2"/>
      <c r="AO19" s="2"/>
      <c r="AP19" s="2"/>
      <c r="AQ19" s="98"/>
      <c r="AR19" s="2"/>
    </row>
    <row r="20" spans="1:44" ht="12.75" customHeight="1">
      <c r="A20" s="963" t="s">
        <v>517</v>
      </c>
      <c r="B20" s="61"/>
      <c r="C20" s="2031">
        <f>BYD!BD42</f>
        <v>42.875</v>
      </c>
      <c r="D20" s="104">
        <f>BYD!AY42</f>
        <v>45.274000000000001</v>
      </c>
      <c r="E20" s="1103"/>
      <c r="F20" s="374">
        <f>C20-D20</f>
        <v>-2.3990000000000009</v>
      </c>
      <c r="G20" s="95">
        <f t="shared" si="6"/>
        <v>-5.2988470203648941E-2</v>
      </c>
      <c r="H20" s="61"/>
      <c r="I20" s="1104">
        <v>46.406507704128153</v>
      </c>
      <c r="J20" s="1103"/>
      <c r="K20" s="374">
        <f>C20-I20</f>
        <v>-3.5315077041281526</v>
      </c>
      <c r="L20" s="92">
        <f>IF(I20=0,"NM",C20/I20-1)</f>
        <v>-7.6099406717778151E-2</v>
      </c>
      <c r="M20" s="1404"/>
      <c r="N20" s="1102">
        <v>45.04</v>
      </c>
      <c r="O20" s="1102"/>
      <c r="P20" s="374">
        <f t="shared" si="7"/>
        <v>-2.1649999999999991</v>
      </c>
      <c r="Q20" s="92">
        <f t="shared" si="8"/>
        <v>-4.8068383658969815E-2</v>
      </c>
      <c r="S20" s="1403"/>
      <c r="U20" s="126">
        <f>+C20/$C$23</f>
        <v>0.24126657212956085</v>
      </c>
      <c r="V20" s="2"/>
      <c r="W20" s="105">
        <f>+C20/C11</f>
        <v>0.34694686756542426</v>
      </c>
      <c r="X20" s="105"/>
      <c r="Y20" s="105"/>
      <c r="Z20" s="105"/>
      <c r="AA20" s="105">
        <f>+I20/I11</f>
        <v>0.36211243728597975</v>
      </c>
      <c r="AB20" s="105"/>
      <c r="AC20" s="2"/>
      <c r="AD20" s="2"/>
      <c r="AE20" s="2"/>
      <c r="AF20" s="2"/>
      <c r="AG20" s="2"/>
      <c r="AH20" s="2"/>
      <c r="AI20" s="2"/>
      <c r="AJ20" s="2"/>
      <c r="AK20" s="2"/>
      <c r="AL20" s="2"/>
      <c r="AM20" s="2"/>
      <c r="AN20" s="2"/>
      <c r="AO20" s="2"/>
      <c r="AP20" s="2"/>
      <c r="AQ20" s="98"/>
      <c r="AR20" s="2"/>
    </row>
    <row r="21" spans="1:44" ht="12.75" customHeight="1">
      <c r="A21" s="334" t="s">
        <v>273</v>
      </c>
      <c r="B21" s="61"/>
      <c r="C21" s="2031">
        <f>BYD!BD45</f>
        <v>56.672999999999995</v>
      </c>
      <c r="D21" s="104">
        <f>BYD!AY45</f>
        <v>46.591999999999999</v>
      </c>
      <c r="E21" s="1103"/>
      <c r="F21" s="374">
        <f>C21-D21</f>
        <v>10.080999999999996</v>
      </c>
      <c r="G21" s="95">
        <f t="shared" si="6"/>
        <v>0.21636761675824179</v>
      </c>
      <c r="H21" s="61"/>
      <c r="I21" s="1104">
        <v>47.000024577023424</v>
      </c>
      <c r="J21" s="1103"/>
      <c r="K21" s="374">
        <f>C21-I21</f>
        <v>9.6729754229765703</v>
      </c>
      <c r="L21" s="92">
        <f>IF(I21=0,"NM",C21/I21-1)</f>
        <v>0.20580788010279738</v>
      </c>
      <c r="M21" s="1444"/>
      <c r="N21" s="1102">
        <v>50.33</v>
      </c>
      <c r="O21" s="1102"/>
      <c r="P21" s="374">
        <f t="shared" si="7"/>
        <v>6.3429999999999964</v>
      </c>
      <c r="Q21" s="92">
        <f t="shared" si="8"/>
        <v>0.12602821378899254</v>
      </c>
      <c r="S21" s="2369"/>
      <c r="U21" s="126">
        <f>+C21/$C$23</f>
        <v>0.31891079748801404</v>
      </c>
      <c r="V21" s="2"/>
      <c r="W21" s="105"/>
      <c r="X21" s="105"/>
      <c r="Y21" s="105"/>
      <c r="Z21" s="105"/>
      <c r="AA21" s="105">
        <f>+I21/I12</f>
        <v>0.24294726878047079</v>
      </c>
      <c r="AB21" s="105"/>
      <c r="AC21" s="2"/>
      <c r="AD21" s="2"/>
      <c r="AE21" s="2"/>
      <c r="AF21" s="2"/>
      <c r="AG21" s="2"/>
      <c r="AH21" s="2"/>
      <c r="AI21" s="2"/>
      <c r="AJ21" s="2"/>
      <c r="AK21" s="2"/>
      <c r="AL21" s="2"/>
      <c r="AM21" s="2"/>
      <c r="AN21" s="2"/>
      <c r="AO21" s="2"/>
      <c r="AP21" s="2"/>
      <c r="AQ21" s="98"/>
      <c r="AR21" s="2"/>
    </row>
    <row r="22" spans="1:44" ht="12.75" customHeight="1">
      <c r="A22" s="2679" t="s">
        <v>899</v>
      </c>
      <c r="B22" s="61"/>
      <c r="C22" s="2031">
        <f>BYD!BD46</f>
        <v>0.2</v>
      </c>
      <c r="D22" s="104">
        <f>BYD!AY46</f>
        <v>0</v>
      </c>
      <c r="E22" s="1103"/>
      <c r="F22" s="374"/>
      <c r="G22" s="95"/>
      <c r="H22" s="61"/>
      <c r="I22" s="1104">
        <v>0</v>
      </c>
      <c r="J22" s="1103"/>
      <c r="K22" s="374"/>
      <c r="L22" s="92"/>
      <c r="M22" s="1444"/>
      <c r="N22" s="1102"/>
      <c r="O22" s="1102"/>
      <c r="P22" s="374"/>
      <c r="Q22" s="92"/>
      <c r="S22" s="2369"/>
      <c r="U22" s="126"/>
      <c r="V22" s="2"/>
      <c r="W22" s="105"/>
      <c r="X22" s="105"/>
      <c r="Y22" s="105"/>
      <c r="Z22" s="105"/>
      <c r="AA22" s="105"/>
      <c r="AB22" s="105"/>
      <c r="AC22" s="2"/>
      <c r="AD22" s="2"/>
      <c r="AE22" s="2"/>
      <c r="AF22" s="2"/>
      <c r="AG22" s="2"/>
      <c r="AH22" s="2"/>
      <c r="AI22" s="2"/>
      <c r="AJ22" s="2"/>
      <c r="AK22" s="2"/>
      <c r="AL22" s="2"/>
      <c r="AM22" s="2"/>
      <c r="AN22" s="2"/>
      <c r="AO22" s="2"/>
      <c r="AP22" s="2"/>
      <c r="AQ22" s="98"/>
      <c r="AR22" s="2"/>
    </row>
    <row r="23" spans="1:44" ht="12.75" customHeight="1">
      <c r="A23" s="138" t="s">
        <v>819</v>
      </c>
      <c r="B23" s="1203"/>
      <c r="C23" s="2032">
        <f>SUM(C17:C22)</f>
        <v>177.708</v>
      </c>
      <c r="D23" s="1210">
        <f>SUM(D17:D21)</f>
        <v>165.68599999999998</v>
      </c>
      <c r="E23" s="1210"/>
      <c r="F23" s="1210">
        <f>SUM(F17:F22)</f>
        <v>11.821999999999997</v>
      </c>
      <c r="G23" s="1208">
        <f t="shared" si="6"/>
        <v>7.2558936784037353E-2</v>
      </c>
      <c r="H23" s="1206"/>
      <c r="I23" s="1250">
        <v>163.51325536920152</v>
      </c>
      <c r="J23" s="1210"/>
      <c r="K23" s="1210">
        <f>SUM(K17:K21)</f>
        <v>13.994744630798497</v>
      </c>
      <c r="L23" s="1211">
        <f>C23/I23-1</f>
        <v>8.6810971983572349E-2</v>
      </c>
      <c r="M23" s="1444"/>
      <c r="N23" s="1349">
        <v>171.97</v>
      </c>
      <c r="O23" s="1205"/>
      <c r="P23" s="2368">
        <f t="shared" si="7"/>
        <v>5.7379999999999995</v>
      </c>
      <c r="Q23" s="1211">
        <f t="shared" si="8"/>
        <v>3.3366284817119229E-2</v>
      </c>
      <c r="U23" s="2"/>
      <c r="V23" s="2"/>
      <c r="W23" s="2"/>
      <c r="X23" s="2"/>
      <c r="Y23" s="2"/>
      <c r="Z23" s="2"/>
      <c r="AA23" s="2"/>
      <c r="AB23" s="2"/>
      <c r="AC23" s="2"/>
      <c r="AD23" s="2"/>
      <c r="AE23" s="2"/>
      <c r="AF23" s="2"/>
      <c r="AG23" s="2"/>
      <c r="AH23" s="2"/>
      <c r="AI23" s="2"/>
      <c r="AJ23" s="2"/>
      <c r="AK23" s="2"/>
      <c r="AL23" s="2"/>
      <c r="AM23" s="2"/>
      <c r="AN23" s="2"/>
      <c r="AO23" s="2"/>
      <c r="AP23" s="2"/>
      <c r="AQ23" s="98"/>
      <c r="AR23" s="2"/>
    </row>
    <row r="24" spans="1:44" ht="12.75" customHeight="1">
      <c r="A24" s="2" t="s">
        <v>742</v>
      </c>
      <c r="B24" s="2"/>
      <c r="C24" s="2031">
        <f>BYD!BD54</f>
        <v>-13.848000000000001</v>
      </c>
      <c r="D24" s="104">
        <f>BYD!AY54</f>
        <v>-10.409000000000001</v>
      </c>
      <c r="E24" s="1103"/>
      <c r="F24" s="374">
        <f>C24-D24</f>
        <v>-3.4390000000000001</v>
      </c>
      <c r="G24" s="126">
        <f t="shared" si="6"/>
        <v>0.33038716495340559</v>
      </c>
      <c r="H24" s="2"/>
      <c r="I24" s="1104">
        <v>-12.409000000000001</v>
      </c>
      <c r="J24" s="1103"/>
      <c r="K24" s="374">
        <f>C24-I24</f>
        <v>-1.4390000000000001</v>
      </c>
      <c r="L24" s="1204">
        <f>IF(I24=0,"NM",C24/I24-1)</f>
        <v>0.11596421951809166</v>
      </c>
      <c r="N24" s="1336"/>
      <c r="O24" s="1336"/>
      <c r="P24" s="1336"/>
      <c r="Q24" s="1336"/>
      <c r="U24" s="2"/>
      <c r="V24" s="2"/>
      <c r="W24" s="2"/>
      <c r="X24" s="2"/>
      <c r="Y24" s="2"/>
      <c r="Z24" s="2"/>
      <c r="AA24" s="2"/>
      <c r="AB24" s="2"/>
      <c r="AC24" s="2"/>
      <c r="AD24" s="2"/>
      <c r="AE24" s="2"/>
      <c r="AF24" s="2"/>
      <c r="AG24" s="2"/>
      <c r="AH24" s="2"/>
      <c r="AI24" s="2"/>
      <c r="AJ24" s="2"/>
      <c r="AK24" s="2"/>
      <c r="AL24" s="2"/>
      <c r="AM24" s="2"/>
      <c r="AN24" s="2"/>
      <c r="AO24" s="2"/>
      <c r="AP24" s="2"/>
      <c r="AQ24" s="98"/>
      <c r="AR24" s="2"/>
    </row>
    <row r="25" spans="1:44" ht="12.75" customHeight="1">
      <c r="A25" s="138" t="s">
        <v>555</v>
      </c>
      <c r="B25" s="1203"/>
      <c r="C25" s="2032">
        <f>SUM(C23:C24)</f>
        <v>163.85999999999999</v>
      </c>
      <c r="D25" s="1210">
        <f>SUM(D23:D24)</f>
        <v>155.27699999999999</v>
      </c>
      <c r="E25" s="1210"/>
      <c r="F25" s="1210">
        <f>F23+F24</f>
        <v>8.3829999999999973</v>
      </c>
      <c r="G25" s="1208">
        <f t="shared" si="6"/>
        <v>5.5275411039625855E-2</v>
      </c>
      <c r="H25" s="1210"/>
      <c r="I25" s="1250">
        <v>151.10425536920152</v>
      </c>
      <c r="J25" s="1210"/>
      <c r="K25" s="1210">
        <f>K23+K24</f>
        <v>12.555744630798497</v>
      </c>
      <c r="L25" s="1254">
        <f>IF(I25=0,"NM",C25/I25-1)</f>
        <v>8.4416845836880139E-2</v>
      </c>
      <c r="M25" s="1442"/>
      <c r="N25" s="1349">
        <v>158.19999999999999</v>
      </c>
      <c r="O25" s="1349"/>
      <c r="P25" s="374">
        <f>C25-N25</f>
        <v>5.6599999999999966</v>
      </c>
      <c r="Q25" s="92">
        <f>IF(N25=0,"NM",C25/N25-1)</f>
        <v>3.5777496839443756E-2</v>
      </c>
      <c r="R25" s="1299"/>
      <c r="S25" s="2369"/>
      <c r="U25" s="105">
        <f>+C25/N25-1</f>
        <v>3.5777496839443756E-2</v>
      </c>
      <c r="V25" s="2"/>
      <c r="W25" s="2"/>
      <c r="X25" s="2"/>
      <c r="Y25" s="2"/>
      <c r="Z25" s="2"/>
      <c r="AA25" s="2"/>
      <c r="AB25" s="2"/>
      <c r="AC25" s="2"/>
      <c r="AD25" s="2"/>
      <c r="AE25" s="2"/>
      <c r="AF25" s="2"/>
      <c r="AG25" s="2"/>
      <c r="AH25" s="2"/>
      <c r="AI25" s="2"/>
      <c r="AJ25" s="2"/>
      <c r="AK25" s="2"/>
      <c r="AL25" s="2"/>
      <c r="AM25" s="2"/>
      <c r="AN25" s="2"/>
      <c r="AO25" s="2"/>
      <c r="AP25" s="2"/>
      <c r="AQ25" s="98"/>
      <c r="AR25" s="2"/>
    </row>
    <row r="26" spans="1:44" ht="12.75" customHeight="1">
      <c r="A26" s="2253" t="s">
        <v>1486</v>
      </c>
      <c r="B26" s="2253"/>
      <c r="C26" s="2259">
        <f>+C25/C14</f>
        <v>0.30981516214908034</v>
      </c>
      <c r="D26" s="2253">
        <f>+D25/D14</f>
        <v>0.28834133677982904</v>
      </c>
      <c r="E26" s="2253"/>
      <c r="F26" s="2253"/>
      <c r="G26" s="213">
        <f>+C26-D26</f>
        <v>2.1473825369251298E-2</v>
      </c>
      <c r="H26" s="2253"/>
      <c r="I26" s="2260">
        <v>0.20708249635771822</v>
      </c>
      <c r="J26" s="2253"/>
      <c r="K26" s="2253"/>
      <c r="L26" s="213">
        <f>+C26-I26</f>
        <v>0.10273266579136212</v>
      </c>
      <c r="M26" s="2254"/>
      <c r="N26" s="105">
        <f>C25/N25-1</f>
        <v>3.5777496839443756E-2</v>
      </c>
      <c r="O26" s="2258"/>
      <c r="P26" s="2258"/>
      <c r="Q26" s="2258"/>
      <c r="R26" s="2255"/>
      <c r="S26" s="2256"/>
      <c r="T26" s="2257"/>
      <c r="U26" s="2258"/>
      <c r="V26" s="2258"/>
      <c r="W26" s="2258"/>
      <c r="X26" s="2258"/>
      <c r="Y26" s="2258"/>
      <c r="Z26" s="2258"/>
      <c r="AA26" s="2258"/>
      <c r="AB26" s="2258"/>
      <c r="AC26" s="2258"/>
      <c r="AD26" s="2258"/>
      <c r="AE26" s="2258"/>
      <c r="AF26" s="2258"/>
      <c r="AG26" s="2258"/>
      <c r="AH26" s="2258"/>
      <c r="AI26" s="2258"/>
      <c r="AJ26" s="2258"/>
      <c r="AK26" s="2258"/>
      <c r="AL26" s="2258"/>
      <c r="AM26" s="2258"/>
      <c r="AN26" s="2258"/>
      <c r="AO26" s="2258"/>
      <c r="AP26" s="2258"/>
      <c r="AQ26" s="2277"/>
      <c r="AR26" s="2258"/>
    </row>
    <row r="27" spans="1:44" ht="3.95" customHeight="1">
      <c r="A27" s="198"/>
      <c r="B27" s="77"/>
      <c r="C27" s="2245"/>
      <c r="D27" s="2239"/>
      <c r="E27" s="2239"/>
      <c r="F27" s="2239"/>
      <c r="G27" s="2246"/>
      <c r="H27" s="2239"/>
      <c r="I27" s="2247"/>
      <c r="J27" s="2239"/>
      <c r="K27" s="2239"/>
      <c r="L27" s="2246"/>
      <c r="M27" s="2248"/>
      <c r="N27" s="2249"/>
      <c r="O27" s="2249"/>
      <c r="P27" s="2249"/>
      <c r="Q27" s="2249"/>
      <c r="R27" s="2250"/>
      <c r="S27" s="2251"/>
      <c r="T27" s="2252"/>
      <c r="U27" s="1062"/>
      <c r="V27" s="1062"/>
      <c r="W27" s="1062"/>
      <c r="X27" s="1062"/>
      <c r="Y27" s="1062"/>
      <c r="Z27" s="1062"/>
      <c r="AA27" s="1062"/>
      <c r="AB27" s="1062"/>
      <c r="AC27" s="1062"/>
      <c r="AD27" s="1062"/>
      <c r="AE27" s="1062"/>
      <c r="AF27" s="1062"/>
      <c r="AG27" s="1062"/>
      <c r="AH27" s="1062"/>
      <c r="AI27" s="1062"/>
      <c r="AJ27" s="1062"/>
      <c r="AK27" s="1062"/>
      <c r="AL27" s="1062"/>
      <c r="AM27" s="1062"/>
      <c r="AN27" s="1062"/>
      <c r="AO27" s="1062"/>
      <c r="AP27" s="1062"/>
      <c r="AQ27" s="1092"/>
      <c r="AR27" s="1062"/>
    </row>
    <row r="28" spans="1:44" ht="12.75" customHeight="1">
      <c r="A28" s="439" t="s">
        <v>1745</v>
      </c>
      <c r="B28" s="2"/>
      <c r="C28" s="2036">
        <f>BYD!BD65</f>
        <v>1.526</v>
      </c>
      <c r="D28" s="374">
        <f>BYD!AY65</f>
        <v>2</v>
      </c>
      <c r="E28" s="1103"/>
      <c r="F28" s="374">
        <f>C28-D28</f>
        <v>-0.47399999999999998</v>
      </c>
      <c r="G28" s="126">
        <f>IF(D28=0,0,C28/D28-1)</f>
        <v>-0.23699999999999999</v>
      </c>
      <c r="H28" s="2"/>
      <c r="I28" s="432">
        <v>3.5</v>
      </c>
      <c r="J28" s="1103"/>
      <c r="K28" s="374">
        <f>C28-I28</f>
        <v>-1.974</v>
      </c>
      <c r="L28" s="1204">
        <f>IF(I28=0,"NM",C28/I28-1)</f>
        <v>-0.56400000000000006</v>
      </c>
      <c r="M28" s="1646"/>
      <c r="N28" s="2"/>
      <c r="O28" s="2"/>
      <c r="P28" s="2"/>
      <c r="Q28" s="2"/>
      <c r="U28" s="2"/>
      <c r="V28" s="2"/>
      <c r="W28" s="2"/>
      <c r="X28" s="2"/>
      <c r="Y28" s="2"/>
      <c r="Z28" s="2"/>
      <c r="AA28" s="2"/>
      <c r="AB28" s="2"/>
      <c r="AC28" s="2"/>
      <c r="AD28" s="2"/>
      <c r="AE28" s="2"/>
      <c r="AF28" s="2"/>
      <c r="AG28" s="2"/>
      <c r="AH28" s="2"/>
      <c r="AI28" s="2"/>
      <c r="AJ28" s="2"/>
      <c r="AK28" s="2"/>
      <c r="AL28" s="2"/>
      <c r="AM28" s="2"/>
      <c r="AN28" s="2"/>
      <c r="AO28" s="2"/>
      <c r="AP28" s="2"/>
      <c r="AQ28" s="98"/>
      <c r="AR28" s="2"/>
    </row>
    <row r="29" spans="1:44" ht="12.75" customHeight="1">
      <c r="A29" s="439" t="s">
        <v>201</v>
      </c>
      <c r="B29" s="2"/>
      <c r="C29" s="2036">
        <f>BYD!BD66</f>
        <v>0.90300000000000002</v>
      </c>
      <c r="D29" s="374">
        <f>BYD!AY66</f>
        <v>1.1000000000000001</v>
      </c>
      <c r="E29" s="1103"/>
      <c r="F29" s="374">
        <f>C29-D29</f>
        <v>-0.19700000000000006</v>
      </c>
      <c r="G29" s="126">
        <f>IF(D29=0,0,C29/D29-1)</f>
        <v>-0.17909090909090919</v>
      </c>
      <c r="H29" s="2"/>
      <c r="I29" s="432">
        <v>1</v>
      </c>
      <c r="J29" s="1103"/>
      <c r="K29" s="374">
        <f>C29-I29</f>
        <v>-9.6999999999999975E-2</v>
      </c>
      <c r="L29" s="1204">
        <f>IF(I29=0,"NM",C29/I29-1)</f>
        <v>-9.6999999999999975E-2</v>
      </c>
      <c r="M29" s="1102"/>
      <c r="N29" s="1102"/>
      <c r="O29" s="1102"/>
      <c r="P29" s="1102"/>
      <c r="Q29" s="1102"/>
      <c r="U29" s="2"/>
      <c r="V29" s="2"/>
      <c r="W29" s="2"/>
      <c r="X29" s="2"/>
      <c r="Y29" s="2"/>
      <c r="Z29" s="2"/>
      <c r="AA29" s="2"/>
      <c r="AB29" s="2"/>
      <c r="AC29" s="2"/>
      <c r="AD29" s="2"/>
      <c r="AE29" s="2"/>
      <c r="AF29" s="2"/>
      <c r="AG29" s="2"/>
      <c r="AH29" s="2"/>
      <c r="AI29" s="2"/>
      <c r="AJ29" s="2"/>
      <c r="AK29" s="2"/>
      <c r="AL29" s="2"/>
      <c r="AM29" s="2"/>
      <c r="AN29" s="2"/>
      <c r="AO29" s="2"/>
      <c r="AP29" s="2"/>
      <c r="AQ29" s="98"/>
      <c r="AR29" s="2"/>
    </row>
    <row r="30" spans="1:44" ht="12.75" customHeight="1">
      <c r="A30" s="1693" t="s">
        <v>202</v>
      </c>
      <c r="B30" s="2"/>
      <c r="C30" s="2036">
        <f>BYD!BD67</f>
        <v>52.1</v>
      </c>
      <c r="D30" s="374">
        <f>BYD!AY67</f>
        <v>54.7</v>
      </c>
      <c r="E30" s="1103"/>
      <c r="F30" s="374">
        <f>C30-D30</f>
        <v>-2.6000000000000014</v>
      </c>
      <c r="G30" s="126">
        <f>IF(D30=0,0,C30/D30-1)</f>
        <v>-4.7531992687385727E-2</v>
      </c>
      <c r="H30" s="2"/>
      <c r="I30" s="432">
        <v>65.897999999999996</v>
      </c>
      <c r="J30" s="1103"/>
      <c r="K30" s="374">
        <f>C30-I30</f>
        <v>-13.797999999999995</v>
      </c>
      <c r="L30" s="1204">
        <f>IF(I30=0,"NM",C30/I30-1)</f>
        <v>-0.20938419982397027</v>
      </c>
      <c r="M30" s="1102"/>
      <c r="N30" s="1102"/>
      <c r="O30" s="1102"/>
      <c r="P30" s="1102"/>
      <c r="Q30" s="1102"/>
      <c r="U30" s="2"/>
      <c r="V30" s="2"/>
      <c r="W30" s="2"/>
      <c r="X30" s="2"/>
      <c r="Y30" s="2"/>
      <c r="Z30" s="2"/>
      <c r="AA30" s="2"/>
      <c r="AB30" s="2"/>
      <c r="AC30" s="2"/>
      <c r="AD30" s="2"/>
      <c r="AE30" s="2"/>
      <c r="AF30" s="2"/>
      <c r="AG30" s="2"/>
      <c r="AH30" s="2"/>
      <c r="AI30" s="2"/>
      <c r="AJ30" s="2"/>
      <c r="AK30" s="2"/>
      <c r="AL30" s="2"/>
      <c r="AM30" s="2"/>
      <c r="AN30" s="2"/>
      <c r="AO30" s="2"/>
      <c r="AP30" s="2"/>
      <c r="AQ30" s="98"/>
      <c r="AR30" s="2"/>
    </row>
    <row r="31" spans="1:44" ht="4.5" customHeight="1">
      <c r="A31" s="964"/>
      <c r="B31" s="2"/>
      <c r="C31" s="2037" t="s">
        <v>343</v>
      </c>
      <c r="D31" s="452" t="s">
        <v>343</v>
      </c>
      <c r="E31" s="96" t="s">
        <v>343</v>
      </c>
      <c r="F31" s="452" t="s">
        <v>343</v>
      </c>
      <c r="G31" s="1251" t="s">
        <v>343</v>
      </c>
      <c r="H31" s="2" t="s">
        <v>343</v>
      </c>
      <c r="I31" s="2223" t="s">
        <v>343</v>
      </c>
      <c r="J31" s="96" t="s">
        <v>343</v>
      </c>
      <c r="K31" s="452" t="s">
        <v>343</v>
      </c>
      <c r="L31" s="1252" t="s">
        <v>343</v>
      </c>
      <c r="M31" s="1102"/>
      <c r="N31" s="1102"/>
      <c r="O31" s="1102"/>
      <c r="P31" s="1102"/>
      <c r="Q31" s="1102"/>
      <c r="U31" s="2"/>
      <c r="V31" s="2"/>
      <c r="W31" s="2"/>
      <c r="X31" s="2"/>
      <c r="Y31" s="2"/>
      <c r="Z31" s="2"/>
      <c r="AA31" s="2"/>
      <c r="AB31" s="2"/>
      <c r="AC31" s="2"/>
      <c r="AD31" s="2"/>
      <c r="AE31" s="2"/>
      <c r="AF31" s="2"/>
      <c r="AG31" s="2"/>
      <c r="AH31" s="2"/>
      <c r="AI31" s="2"/>
      <c r="AJ31" s="2"/>
      <c r="AK31" s="2"/>
      <c r="AL31" s="2"/>
      <c r="AM31" s="2"/>
      <c r="AN31" s="2"/>
      <c r="AO31" s="2"/>
      <c r="AP31" s="2"/>
      <c r="AQ31" s="98"/>
      <c r="AR31" s="2"/>
    </row>
    <row r="32" spans="1:44" ht="12.75" customHeight="1">
      <c r="A32" s="1" t="s">
        <v>744</v>
      </c>
      <c r="B32" s="2"/>
      <c r="C32" s="2235">
        <f>C25-C28-C29-C30</f>
        <v>109.33099999999999</v>
      </c>
      <c r="D32" s="2236">
        <f>D25-D28-D29-D30</f>
        <v>97.47699999999999</v>
      </c>
      <c r="E32" s="325"/>
      <c r="F32" s="2236">
        <f>F25-F28-F29-F30</f>
        <v>11.654</v>
      </c>
      <c r="G32" s="106">
        <f>IF(D32=0,0,C32/D32-1)</f>
        <v>0.12160817423597359</v>
      </c>
      <c r="H32" s="1205"/>
      <c r="I32" s="2237">
        <v>80.706255369201529</v>
      </c>
      <c r="J32" s="932"/>
      <c r="K32" s="2236">
        <f>C32-I32</f>
        <v>28.62474463079846</v>
      </c>
      <c r="L32" s="1214">
        <f>C32/I32-1</f>
        <v>0.35467814111620899</v>
      </c>
      <c r="N32" s="2"/>
      <c r="O32" s="2"/>
      <c r="P32" s="2"/>
      <c r="Q32" s="2"/>
      <c r="U32" s="1336"/>
      <c r="V32" s="2"/>
      <c r="W32" s="2"/>
      <c r="X32" s="2"/>
      <c r="Y32" s="2"/>
      <c r="Z32" s="2"/>
      <c r="AA32" s="2"/>
      <c r="AB32" s="2"/>
      <c r="AC32" s="2"/>
      <c r="AD32" s="2"/>
      <c r="AE32" s="2"/>
      <c r="AF32" s="2"/>
      <c r="AG32" s="2"/>
      <c r="AH32" s="2"/>
      <c r="AI32" s="2"/>
      <c r="AJ32" s="2"/>
      <c r="AK32" s="2"/>
      <c r="AL32" s="2"/>
      <c r="AM32" s="2"/>
      <c r="AN32" s="2"/>
      <c r="AO32" s="2"/>
      <c r="AP32" s="2"/>
      <c r="AQ32" s="98"/>
      <c r="AR32" s="2"/>
    </row>
    <row r="33" spans="1:44" ht="12.75" customHeight="1">
      <c r="A33" s="445" t="s">
        <v>1176</v>
      </c>
      <c r="B33" s="2"/>
      <c r="C33" s="2036">
        <f>BYD!BD73</f>
        <v>-57.1</v>
      </c>
      <c r="D33" s="374">
        <f>BYD!AY73</f>
        <v>-62.3</v>
      </c>
      <c r="E33" s="932"/>
      <c r="F33" s="374">
        <f>C33-D33</f>
        <v>5.1999999999999957</v>
      </c>
      <c r="G33" s="126">
        <f>IF(D33=0,0,C33/D33-1)</f>
        <v>-8.3467094703049693E-2</v>
      </c>
      <c r="H33" s="1205"/>
      <c r="I33" s="432">
        <v>-74.62063375000001</v>
      </c>
      <c r="J33" s="932"/>
      <c r="K33" s="374">
        <f>C33-I33</f>
        <v>17.520633750000009</v>
      </c>
      <c r="L33" s="1204">
        <f>IF(I33=0,"NM",C33/I33-1)</f>
        <v>-0.23479609954398173</v>
      </c>
      <c r="N33" s="2"/>
      <c r="O33" s="2"/>
      <c r="P33" s="2"/>
      <c r="Q33" s="2"/>
      <c r="U33" s="2"/>
      <c r="V33" s="2"/>
      <c r="W33" s="2"/>
      <c r="X33" s="2"/>
      <c r="Y33" s="2"/>
      <c r="Z33" s="2"/>
      <c r="AA33" s="2"/>
      <c r="AB33" s="2"/>
      <c r="AC33" s="2"/>
      <c r="AD33" s="2"/>
      <c r="AE33" s="2"/>
      <c r="AF33" s="2"/>
      <c r="AG33" s="2"/>
      <c r="AH33" s="2"/>
      <c r="AI33" s="2"/>
      <c r="AJ33" s="2"/>
      <c r="AK33" s="2"/>
      <c r="AL33" s="2"/>
      <c r="AM33" s="2"/>
      <c r="AN33" s="2"/>
      <c r="AO33" s="2"/>
      <c r="AP33" s="2"/>
      <c r="AQ33" s="98"/>
      <c r="AR33" s="2"/>
    </row>
    <row r="34" spans="1:44" ht="12.75" customHeight="1">
      <c r="A34" s="445" t="s">
        <v>203</v>
      </c>
      <c r="B34" s="2"/>
      <c r="C34" s="2036">
        <f>BYD!BD74</f>
        <v>0</v>
      </c>
      <c r="D34" s="374">
        <f>BYD!AY74</f>
        <v>0</v>
      </c>
      <c r="E34" s="932"/>
      <c r="F34" s="374">
        <f>C34-D34</f>
        <v>0</v>
      </c>
      <c r="G34" s="126">
        <f>IF(D34=0,0,C34/D34-1)</f>
        <v>0</v>
      </c>
      <c r="H34" s="1205"/>
      <c r="I34" s="432">
        <v>0</v>
      </c>
      <c r="J34" s="932"/>
      <c r="K34" s="374">
        <f>C34-I34</f>
        <v>0</v>
      </c>
      <c r="L34" s="1204" t="str">
        <f>IF(I34=0,"NM",C34/I34-1)</f>
        <v>NM</v>
      </c>
      <c r="N34" s="2"/>
      <c r="O34" s="2"/>
      <c r="P34" s="2"/>
      <c r="Q34" s="2"/>
      <c r="U34" s="2"/>
      <c r="V34" s="2"/>
      <c r="W34" s="2"/>
      <c r="X34" s="2"/>
      <c r="Y34" s="2"/>
      <c r="Z34" s="2"/>
      <c r="AA34" s="2"/>
      <c r="AB34" s="2"/>
      <c r="AC34" s="2"/>
      <c r="AD34" s="2"/>
      <c r="AE34" s="2"/>
      <c r="AF34" s="2"/>
      <c r="AG34" s="2"/>
      <c r="AH34" s="2"/>
      <c r="AI34" s="2"/>
      <c r="AJ34" s="2"/>
      <c r="AK34" s="2"/>
      <c r="AL34" s="2"/>
      <c r="AM34" s="2"/>
      <c r="AN34" s="2"/>
      <c r="AO34" s="2"/>
      <c r="AP34" s="2"/>
      <c r="AQ34" s="98"/>
      <c r="AR34" s="2"/>
    </row>
    <row r="35" spans="1:44" ht="12.75" customHeight="1">
      <c r="A35" s="445" t="s">
        <v>814</v>
      </c>
      <c r="B35" s="2"/>
      <c r="C35" s="2036">
        <f>BYD!BD78</f>
        <v>-22.900000000000002</v>
      </c>
      <c r="D35" s="374">
        <f>BYD!AY78</f>
        <v>-26.200000000000003</v>
      </c>
      <c r="E35" s="1103"/>
      <c r="F35" s="374">
        <f>C35-D35</f>
        <v>3.3000000000000007</v>
      </c>
      <c r="G35" s="126">
        <f>IF(D35=0,0,C35/D35-1)</f>
        <v>-0.12595419847328249</v>
      </c>
      <c r="H35" s="2"/>
      <c r="I35" s="432">
        <v>-4.9550000000000001</v>
      </c>
      <c r="J35" s="1103"/>
      <c r="K35" s="374">
        <f>C35-I35</f>
        <v>-17.945</v>
      </c>
      <c r="L35" s="1204">
        <f>IF(I35=0,"NM",C35/I35-1)</f>
        <v>3.6215943491422813</v>
      </c>
      <c r="N35" s="2"/>
      <c r="O35" s="2"/>
      <c r="P35" s="2"/>
      <c r="Q35" s="2"/>
      <c r="U35" s="2"/>
      <c r="V35" s="2"/>
      <c r="W35" s="2"/>
      <c r="X35" s="2"/>
      <c r="Y35" s="2"/>
      <c r="Z35" s="2"/>
      <c r="AA35" s="2"/>
      <c r="AB35" s="2"/>
      <c r="AC35" s="2"/>
      <c r="AD35" s="2"/>
      <c r="AE35" s="2"/>
      <c r="AF35" s="2"/>
      <c r="AG35" s="2"/>
      <c r="AH35" s="2"/>
      <c r="AI35" s="2"/>
      <c r="AJ35" s="2"/>
      <c r="AK35" s="2"/>
      <c r="AL35" s="2"/>
      <c r="AM35" s="2"/>
      <c r="AN35" s="2"/>
      <c r="AO35" s="2"/>
      <c r="AP35" s="2"/>
      <c r="AQ35" s="98"/>
      <c r="AR35" s="2"/>
    </row>
    <row r="36" spans="1:44" ht="4.5" customHeight="1">
      <c r="A36" s="964"/>
      <c r="B36" s="2"/>
      <c r="C36" s="2037" t="s">
        <v>343</v>
      </c>
      <c r="D36" s="452" t="s">
        <v>343</v>
      </c>
      <c r="E36" s="96" t="s">
        <v>343</v>
      </c>
      <c r="F36" s="452" t="s">
        <v>343</v>
      </c>
      <c r="G36" s="1251" t="s">
        <v>343</v>
      </c>
      <c r="H36" s="2" t="s">
        <v>343</v>
      </c>
      <c r="I36" s="2223" t="s">
        <v>343</v>
      </c>
      <c r="J36" s="96" t="s">
        <v>343</v>
      </c>
      <c r="K36" s="452" t="s">
        <v>343</v>
      </c>
      <c r="L36" s="1252" t="s">
        <v>343</v>
      </c>
      <c r="M36" s="1102"/>
      <c r="N36" s="1102"/>
      <c r="O36" s="1102"/>
      <c r="P36" s="1102"/>
      <c r="Q36" s="1102"/>
      <c r="U36" s="2"/>
      <c r="V36" s="2"/>
      <c r="W36" s="2"/>
      <c r="X36" s="2"/>
      <c r="Y36" s="2"/>
      <c r="Z36" s="2"/>
      <c r="AA36" s="2"/>
      <c r="AB36" s="2"/>
      <c r="AC36" s="2"/>
      <c r="AD36" s="2"/>
      <c r="AE36" s="2"/>
      <c r="AF36" s="2"/>
      <c r="AG36" s="2"/>
      <c r="AH36" s="2"/>
      <c r="AI36" s="2"/>
      <c r="AJ36" s="2"/>
      <c r="AK36" s="2"/>
      <c r="AL36" s="2"/>
      <c r="AM36" s="2"/>
      <c r="AN36" s="2"/>
      <c r="AO36" s="2"/>
      <c r="AP36" s="2"/>
      <c r="AQ36" s="98"/>
      <c r="AR36" s="2"/>
    </row>
    <row r="37" spans="1:44" ht="12.75" customHeight="1">
      <c r="A37" s="1" t="s">
        <v>745</v>
      </c>
      <c r="B37" s="2"/>
      <c r="C37" s="2240">
        <f>SUM(C32:C35)</f>
        <v>29.330999999999985</v>
      </c>
      <c r="D37" s="2239">
        <f>SUM(D32:D35)</f>
        <v>8.9769999999999897</v>
      </c>
      <c r="E37" s="932"/>
      <c r="F37" s="2236">
        <f>C37-D37</f>
        <v>20.353999999999996</v>
      </c>
      <c r="G37" s="106">
        <f>IF(D37=0,0,C37/D37-1)</f>
        <v>2.2673498941740022</v>
      </c>
      <c r="H37" s="1205"/>
      <c r="I37" s="2238">
        <v>1.1306216192015182</v>
      </c>
      <c r="J37" s="932"/>
      <c r="K37" s="2236">
        <f>C37-I37</f>
        <v>28.200378380798469</v>
      </c>
      <c r="L37" s="1214">
        <f>C37/I37-1</f>
        <v>24.942366130159879</v>
      </c>
      <c r="N37" s="2"/>
      <c r="O37" s="2"/>
      <c r="P37" s="2"/>
      <c r="Q37" s="2"/>
      <c r="U37" s="2"/>
      <c r="V37" s="2"/>
      <c r="W37" s="2"/>
      <c r="X37" s="2"/>
      <c r="Y37" s="2"/>
      <c r="Z37" s="2"/>
      <c r="AA37" s="2"/>
      <c r="AB37" s="2"/>
      <c r="AC37" s="2"/>
      <c r="AD37" s="2"/>
      <c r="AE37" s="2"/>
      <c r="AF37" s="2"/>
      <c r="AG37" s="2"/>
      <c r="AH37" s="2"/>
      <c r="AI37" s="2"/>
      <c r="AJ37" s="2"/>
      <c r="AK37" s="2"/>
      <c r="AL37" s="2"/>
      <c r="AM37" s="2"/>
      <c r="AN37" s="2"/>
      <c r="AO37" s="2"/>
      <c r="AP37" s="2"/>
      <c r="AQ37" s="98"/>
      <c r="AR37" s="2"/>
    </row>
    <row r="38" spans="1:44" ht="12.75" customHeight="1">
      <c r="A38" s="445" t="s">
        <v>205</v>
      </c>
      <c r="B38" s="2"/>
      <c r="C38" s="2036">
        <f>BYD!BD81</f>
        <v>0.8</v>
      </c>
      <c r="D38" s="374">
        <f>BYD!AY81</f>
        <v>-2.2999999999999998</v>
      </c>
      <c r="E38" s="1103"/>
      <c r="F38" s="374">
        <f>C38-D38</f>
        <v>3.0999999999999996</v>
      </c>
      <c r="G38" s="126">
        <f>IF(D38=0,0,C38/D38-1)</f>
        <v>-1.3478260869565217</v>
      </c>
      <c r="H38" s="2"/>
      <c r="I38" s="432">
        <v>-0.39571756672053193</v>
      </c>
      <c r="J38" s="1103"/>
      <c r="K38" s="374">
        <f>C38-I38</f>
        <v>1.195717566720532</v>
      </c>
      <c r="L38" s="1204">
        <f>IF(I38=0,"NM",C38/I38-1)</f>
        <v>-3.0216438876593643</v>
      </c>
      <c r="N38" s="2"/>
      <c r="O38" s="2"/>
      <c r="P38" s="2"/>
      <c r="Q38" s="2"/>
      <c r="U38" s="2"/>
      <c r="V38" s="2"/>
      <c r="W38" s="2"/>
      <c r="X38" s="2"/>
      <c r="Y38" s="2"/>
      <c r="Z38" s="2"/>
      <c r="AA38" s="2"/>
      <c r="AB38" s="2"/>
      <c r="AC38" s="2"/>
      <c r="AD38" s="2"/>
      <c r="AE38" s="2"/>
      <c r="AF38" s="2"/>
      <c r="AG38" s="2"/>
      <c r="AH38" s="2"/>
      <c r="AI38" s="2"/>
      <c r="AJ38" s="2"/>
      <c r="AK38" s="2"/>
      <c r="AL38" s="2"/>
      <c r="AM38" s="2"/>
      <c r="AN38" s="2"/>
      <c r="AO38" s="2"/>
      <c r="AP38" s="2"/>
      <c r="AQ38" s="98"/>
      <c r="AR38" s="2"/>
    </row>
    <row r="39" spans="1:44" ht="4.5" customHeight="1">
      <c r="A39" s="964"/>
      <c r="B39" s="2"/>
      <c r="C39" s="2037" t="s">
        <v>343</v>
      </c>
      <c r="D39" s="452" t="s">
        <v>343</v>
      </c>
      <c r="E39" s="96" t="s">
        <v>343</v>
      </c>
      <c r="F39" s="452" t="s">
        <v>343</v>
      </c>
      <c r="G39" s="1251" t="s">
        <v>343</v>
      </c>
      <c r="H39" s="2" t="s">
        <v>343</v>
      </c>
      <c r="I39" s="2223" t="s">
        <v>343</v>
      </c>
      <c r="J39" s="96" t="s">
        <v>343</v>
      </c>
      <c r="K39" s="452" t="s">
        <v>343</v>
      </c>
      <c r="L39" s="1252" t="s">
        <v>343</v>
      </c>
      <c r="M39" s="1102"/>
      <c r="N39" s="1102"/>
      <c r="O39" s="1102"/>
      <c r="P39" s="1102"/>
      <c r="Q39" s="1102"/>
      <c r="U39" s="2"/>
      <c r="V39" s="2"/>
      <c r="W39" s="2"/>
      <c r="X39" s="2"/>
      <c r="Y39" s="2"/>
      <c r="Z39" s="2"/>
      <c r="AA39" s="2"/>
      <c r="AB39" s="2"/>
      <c r="AC39" s="2"/>
      <c r="AD39" s="2"/>
      <c r="AE39" s="2"/>
      <c r="AF39" s="2"/>
      <c r="AG39" s="2"/>
      <c r="AH39" s="2"/>
      <c r="AI39" s="2"/>
      <c r="AJ39" s="2"/>
      <c r="AK39" s="2"/>
      <c r="AL39" s="2"/>
      <c r="AM39" s="2"/>
      <c r="AN39" s="2"/>
      <c r="AO39" s="2"/>
      <c r="AP39" s="2"/>
      <c r="AQ39" s="98"/>
      <c r="AR39" s="2"/>
    </row>
    <row r="40" spans="1:44" ht="12.75" customHeight="1">
      <c r="A40" s="107" t="s">
        <v>1243</v>
      </c>
      <c r="B40" s="61"/>
      <c r="C40" s="2240">
        <f>C37+C38</f>
        <v>30.130999999999986</v>
      </c>
      <c r="D40" s="2239">
        <f>D37+D38</f>
        <v>6.6769999999999898</v>
      </c>
      <c r="E40" s="932"/>
      <c r="F40" s="2236">
        <f>F37+F38</f>
        <v>23.453999999999994</v>
      </c>
      <c r="G40" s="1215">
        <f>G37+G38</f>
        <v>0.9195238072174805</v>
      </c>
      <c r="H40" s="932"/>
      <c r="I40" s="2238">
        <v>0.73490405248098623</v>
      </c>
      <c r="J40" s="932"/>
      <c r="K40" s="2236">
        <f>K37+K38</f>
        <v>29.396095947519001</v>
      </c>
      <c r="L40" s="1215">
        <f>L37+L38</f>
        <v>21.920722242500513</v>
      </c>
      <c r="M40" s="1238"/>
      <c r="N40" s="61"/>
      <c r="O40" s="61"/>
      <c r="P40" s="61"/>
      <c r="Q40" s="61"/>
      <c r="U40" s="1336"/>
      <c r="V40" s="2"/>
      <c r="W40" s="2"/>
      <c r="X40" s="2"/>
      <c r="Y40" s="2"/>
      <c r="Z40" s="2"/>
      <c r="AA40" s="2"/>
      <c r="AB40" s="2"/>
      <c r="AC40" s="2"/>
      <c r="AD40" s="2"/>
      <c r="AE40" s="2"/>
      <c r="AF40" s="2"/>
      <c r="AG40" s="2"/>
      <c r="AH40" s="2"/>
      <c r="AI40" s="2"/>
      <c r="AJ40" s="2"/>
      <c r="AK40" s="2"/>
      <c r="AL40" s="2"/>
      <c r="AM40" s="2"/>
      <c r="AN40" s="2"/>
      <c r="AO40" s="2"/>
      <c r="AP40" s="2"/>
      <c r="AQ40" s="98"/>
      <c r="AR40" s="2"/>
    </row>
    <row r="41" spans="1:44" ht="12.75" customHeight="1">
      <c r="A41" s="445" t="s">
        <v>130</v>
      </c>
      <c r="B41" s="2"/>
      <c r="C41" s="2036">
        <f>BYD!BD85</f>
        <v>0</v>
      </c>
      <c r="D41" s="374">
        <f>BYD!AY85</f>
        <v>0</v>
      </c>
      <c r="E41" s="1103"/>
      <c r="F41" s="374">
        <f>C41-D41</f>
        <v>0</v>
      </c>
      <c r="G41" s="126">
        <f>IF(D41=0,0,C41/D41-1)</f>
        <v>0</v>
      </c>
      <c r="H41" s="2"/>
      <c r="I41" s="432">
        <v>-6.8529344971605406</v>
      </c>
      <c r="J41" s="1103"/>
      <c r="K41" s="374">
        <f>C41-I41</f>
        <v>6.8529344971605406</v>
      </c>
      <c r="L41" s="1204">
        <f>IF(I41=0,"NM",C41/I41-1)</f>
        <v>-1</v>
      </c>
      <c r="N41" s="2"/>
      <c r="O41" s="2"/>
      <c r="P41" s="2"/>
      <c r="Q41" s="2"/>
      <c r="U41" s="2"/>
      <c r="V41" s="2"/>
      <c r="W41" s="2"/>
      <c r="X41" s="2"/>
      <c r="Y41" s="2"/>
      <c r="Z41" s="2"/>
      <c r="AA41" s="2"/>
      <c r="AB41" s="2"/>
      <c r="AC41" s="2"/>
      <c r="AD41" s="2"/>
      <c r="AE41" s="2"/>
      <c r="AF41" s="2"/>
      <c r="AG41" s="2"/>
      <c r="AH41" s="2"/>
      <c r="AI41" s="2"/>
      <c r="AJ41" s="2"/>
      <c r="AK41" s="2"/>
      <c r="AL41" s="2"/>
      <c r="AM41" s="2"/>
      <c r="AN41" s="2"/>
      <c r="AO41" s="2"/>
      <c r="AP41" s="2"/>
      <c r="AQ41" s="98"/>
      <c r="AR41" s="2"/>
    </row>
    <row r="42" spans="1:44" ht="4.5" customHeight="1">
      <c r="A42" s="964"/>
      <c r="B42" s="2"/>
      <c r="C42" s="2037" t="s">
        <v>343</v>
      </c>
      <c r="D42" s="452" t="s">
        <v>343</v>
      </c>
      <c r="E42" s="96" t="s">
        <v>343</v>
      </c>
      <c r="F42" s="452" t="s">
        <v>343</v>
      </c>
      <c r="G42" s="1251" t="s">
        <v>343</v>
      </c>
      <c r="H42" s="2" t="s">
        <v>343</v>
      </c>
      <c r="I42" s="2223" t="s">
        <v>343</v>
      </c>
      <c r="J42" s="96" t="s">
        <v>343</v>
      </c>
      <c r="K42" s="452" t="s">
        <v>343</v>
      </c>
      <c r="L42" s="1252" t="s">
        <v>343</v>
      </c>
      <c r="M42" s="1102"/>
      <c r="N42" s="1102"/>
      <c r="O42" s="1102"/>
      <c r="P42" s="1102"/>
      <c r="Q42" s="1102"/>
      <c r="U42" s="2"/>
      <c r="V42" s="2"/>
      <c r="W42" s="2"/>
      <c r="X42" s="2"/>
      <c r="Y42" s="2"/>
      <c r="Z42" s="2"/>
      <c r="AA42" s="2"/>
      <c r="AB42" s="2"/>
      <c r="AC42" s="2"/>
      <c r="AD42" s="2"/>
      <c r="AE42" s="2"/>
      <c r="AF42" s="2"/>
      <c r="AG42" s="2"/>
      <c r="AH42" s="2"/>
      <c r="AI42" s="2"/>
      <c r="AJ42" s="2"/>
      <c r="AK42" s="2"/>
      <c r="AL42" s="2"/>
      <c r="AM42" s="2"/>
      <c r="AN42" s="2"/>
      <c r="AO42" s="2"/>
      <c r="AP42" s="2"/>
      <c r="AQ42" s="98"/>
      <c r="AR42" s="2"/>
    </row>
    <row r="43" spans="1:44" ht="12.75" customHeight="1">
      <c r="A43" s="107" t="s">
        <v>1540</v>
      </c>
      <c r="B43" s="2"/>
      <c r="C43" s="2240">
        <f>C40+C41</f>
        <v>30.130999999999986</v>
      </c>
      <c r="D43" s="2239">
        <f>D40+D41</f>
        <v>6.6769999999999898</v>
      </c>
      <c r="E43" s="932"/>
      <c r="F43" s="2236">
        <f>F40+F41</f>
        <v>23.453999999999994</v>
      </c>
      <c r="G43" s="1215">
        <f>G40+G41</f>
        <v>0.9195238072174805</v>
      </c>
      <c r="H43" s="932"/>
      <c r="I43" s="2238">
        <v>-6.1180304446795546</v>
      </c>
      <c r="J43" s="932"/>
      <c r="K43" s="2236">
        <f>K40+K41</f>
        <v>36.249030444679541</v>
      </c>
      <c r="L43" s="1215">
        <f>L40+L41</f>
        <v>20.920722242500513</v>
      </c>
      <c r="N43" s="2"/>
      <c r="O43" s="2"/>
      <c r="P43" s="2"/>
      <c r="Q43" s="2"/>
      <c r="U43" s="105"/>
      <c r="V43" s="2"/>
      <c r="W43" s="2"/>
      <c r="X43" s="2"/>
      <c r="Y43" s="2"/>
      <c r="Z43" s="2"/>
      <c r="AA43" s="2"/>
      <c r="AB43" s="2"/>
      <c r="AC43" s="2"/>
      <c r="AD43" s="2"/>
      <c r="AE43" s="2"/>
      <c r="AF43" s="2"/>
      <c r="AG43" s="2"/>
      <c r="AH43" s="2"/>
      <c r="AI43" s="2"/>
      <c r="AJ43" s="2"/>
      <c r="AK43" s="2"/>
      <c r="AL43" s="2"/>
      <c r="AM43" s="2"/>
      <c r="AN43" s="2"/>
      <c r="AO43" s="2"/>
      <c r="AP43" s="2"/>
      <c r="AQ43" s="98"/>
      <c r="AR43" s="2"/>
    </row>
    <row r="44" spans="1:44" ht="12.75" customHeight="1">
      <c r="A44" s="2" t="s">
        <v>1562</v>
      </c>
      <c r="B44" s="2"/>
      <c r="C44" s="2031">
        <f>BYD!BD87</f>
        <v>15.400000000000004</v>
      </c>
      <c r="D44" s="104">
        <f>BYD!AY87</f>
        <v>29.000000000000004</v>
      </c>
      <c r="E44" s="61"/>
      <c r="F44" s="61"/>
      <c r="G44" s="1141"/>
      <c r="H44" s="2"/>
      <c r="I44" s="1104">
        <v>4.9550000000000001</v>
      </c>
      <c r="J44" s="61"/>
      <c r="K44" s="61"/>
      <c r="L44" s="1216"/>
      <c r="N44" s="2"/>
      <c r="O44" s="2"/>
      <c r="P44" s="2"/>
      <c r="Q44" s="2"/>
      <c r="U44" s="2"/>
      <c r="V44" s="2"/>
      <c r="W44" s="2"/>
      <c r="X44" s="2"/>
      <c r="Y44" s="2"/>
      <c r="Z44" s="2"/>
      <c r="AA44" s="2"/>
      <c r="AB44" s="2"/>
      <c r="AC44" s="2"/>
      <c r="AD44" s="2"/>
      <c r="AE44" s="2"/>
      <c r="AF44" s="2"/>
      <c r="AG44" s="2"/>
      <c r="AH44" s="2"/>
      <c r="AI44" s="2"/>
      <c r="AJ44" s="2"/>
      <c r="AK44" s="2"/>
      <c r="AL44" s="2"/>
      <c r="AM44" s="2"/>
      <c r="AN44" s="2"/>
      <c r="AO44" s="2"/>
      <c r="AP44" s="2"/>
      <c r="AQ44" s="98"/>
      <c r="AR44" s="2"/>
    </row>
    <row r="45" spans="1:44" ht="12.75" customHeight="1">
      <c r="A45" s="147" t="s">
        <v>1747</v>
      </c>
      <c r="B45" s="160"/>
      <c r="C45" s="2244">
        <f>BYD!BD88</f>
        <v>0.3944999999999812</v>
      </c>
      <c r="D45" s="2243">
        <f>BYD!AY88</f>
        <v>-8.3189999999999706</v>
      </c>
      <c r="E45" s="1218"/>
      <c r="F45" s="2241">
        <f>C45-D45</f>
        <v>8.7134999999999518</v>
      </c>
      <c r="G45" s="1219">
        <f>IF(D45=0,0,C45/D45-1)</f>
        <v>-1.0474215650919561</v>
      </c>
      <c r="H45" s="1220"/>
      <c r="I45" s="2242">
        <v>-1.1630304446795527</v>
      </c>
      <c r="J45" s="1218"/>
      <c r="K45" s="2241">
        <f>C45-I45</f>
        <v>1.5575304446795339</v>
      </c>
      <c r="L45" s="1221">
        <f>C45/I45-1</f>
        <v>-1.3392000629086516</v>
      </c>
      <c r="N45" s="2"/>
      <c r="O45" s="2"/>
      <c r="P45" s="2"/>
      <c r="Q45" s="2"/>
      <c r="U45" s="2"/>
      <c r="V45" s="2"/>
      <c r="W45" s="2"/>
      <c r="X45" s="2"/>
      <c r="Y45" s="2"/>
      <c r="Z45" s="2"/>
      <c r="AA45" s="2"/>
      <c r="AB45" s="2"/>
      <c r="AC45" s="2"/>
      <c r="AD45" s="2"/>
      <c r="AE45" s="2"/>
      <c r="AF45" s="2"/>
      <c r="AG45" s="2"/>
      <c r="AH45" s="2"/>
      <c r="AI45" s="2"/>
      <c r="AJ45" s="2"/>
      <c r="AK45" s="2"/>
      <c r="AL45" s="2"/>
      <c r="AM45" s="2"/>
      <c r="AN45" s="2"/>
      <c r="AO45" s="2"/>
      <c r="AP45" s="2"/>
      <c r="AQ45" s="98"/>
      <c r="AR45" s="2"/>
    </row>
    <row r="46" spans="1:44" ht="12.75" customHeight="1">
      <c r="A46" s="2"/>
      <c r="B46" s="2"/>
      <c r="C46" s="2034"/>
      <c r="D46" s="77"/>
      <c r="E46" s="61"/>
      <c r="F46" s="61"/>
      <c r="G46" s="1141"/>
      <c r="H46" s="2"/>
      <c r="I46" s="115"/>
      <c r="J46" s="61"/>
      <c r="K46" s="61"/>
      <c r="L46" s="1216"/>
      <c r="N46" s="2"/>
      <c r="O46" s="2"/>
      <c r="P46" s="2"/>
      <c r="Q46" s="2"/>
      <c r="U46" s="2"/>
      <c r="V46" s="2"/>
      <c r="W46" s="2"/>
      <c r="X46" s="2"/>
      <c r="Y46" s="2"/>
      <c r="Z46" s="2"/>
      <c r="AA46" s="2"/>
      <c r="AB46" s="2"/>
      <c r="AC46" s="2"/>
      <c r="AD46" s="2"/>
      <c r="AE46" s="2"/>
      <c r="AF46" s="2"/>
      <c r="AG46" s="2"/>
      <c r="AH46" s="2"/>
      <c r="AI46" s="2"/>
      <c r="AJ46" s="2"/>
      <c r="AK46" s="2"/>
      <c r="AL46" s="2"/>
      <c r="AM46" s="2"/>
      <c r="AN46" s="2"/>
      <c r="AO46" s="2"/>
      <c r="AP46" s="2"/>
      <c r="AQ46" s="98"/>
      <c r="AR46" s="2"/>
    </row>
    <row r="47" spans="1:44" ht="12.75" customHeight="1">
      <c r="A47" s="138" t="s">
        <v>746</v>
      </c>
      <c r="B47" s="155"/>
      <c r="C47" s="2041">
        <f>+C45/C48</f>
        <v>3.588875849458086E-3</v>
      </c>
      <c r="D47" s="152">
        <f>+D45/D48</f>
        <v>-8.1916203042685931E-2</v>
      </c>
      <c r="E47" s="152"/>
      <c r="F47" s="152">
        <f>C47-D47</f>
        <v>8.5505078892144024E-2</v>
      </c>
      <c r="G47" s="1208">
        <f>IF(D47=0,0,C47/D47-1)</f>
        <v>-1.0438115502935108</v>
      </c>
      <c r="H47" s="155"/>
      <c r="I47" s="1246">
        <v>-1.0495433249524448E-2</v>
      </c>
      <c r="J47" s="152"/>
      <c r="K47" s="152">
        <f>C47-I47</f>
        <v>1.4084309098982534E-2</v>
      </c>
      <c r="L47" s="1211">
        <f>C47/I47-1</f>
        <v>-1.341946422232803</v>
      </c>
      <c r="N47" s="1256"/>
      <c r="O47" s="1256"/>
      <c r="P47" s="1256"/>
      <c r="Q47" s="1256"/>
      <c r="S47" s="1645"/>
      <c r="U47" s="2"/>
      <c r="V47" s="2"/>
      <c r="W47" s="2"/>
      <c r="X47" s="2"/>
      <c r="Y47" s="2"/>
      <c r="Z47" s="2"/>
      <c r="AA47" s="2"/>
      <c r="AB47" s="2"/>
      <c r="AC47" s="2"/>
      <c r="AD47" s="2"/>
      <c r="AE47" s="2"/>
      <c r="AF47" s="2"/>
      <c r="AG47" s="2"/>
      <c r="AH47" s="2"/>
      <c r="AI47" s="2"/>
      <c r="AJ47" s="2"/>
      <c r="AK47" s="2"/>
      <c r="AL47" s="2"/>
      <c r="AM47" s="2"/>
      <c r="AN47" s="2"/>
      <c r="AO47" s="2"/>
      <c r="AP47" s="2"/>
      <c r="AQ47" s="98"/>
      <c r="AR47" s="2"/>
    </row>
    <row r="48" spans="1:44" ht="12.75" customHeight="1">
      <c r="A48" s="2" t="s">
        <v>769</v>
      </c>
      <c r="B48" s="2"/>
      <c r="C48" s="2031">
        <f>BYD!BD103</f>
        <v>109.923</v>
      </c>
      <c r="D48" s="104">
        <f>BYD!AY103</f>
        <v>101.55500000000001</v>
      </c>
      <c r="E48" s="1103"/>
      <c r="F48" s="374">
        <f>C48-D48</f>
        <v>8.367999999999995</v>
      </c>
      <c r="G48" s="126">
        <f>IF(D48=0,0,C48/D48-1)</f>
        <v>8.239870021170792E-2</v>
      </c>
      <c r="H48" s="2"/>
      <c r="I48" s="1104">
        <v>110.813</v>
      </c>
      <c r="J48" s="1103"/>
      <c r="K48" s="374">
        <f>C48-I48</f>
        <v>-0.89000000000000057</v>
      </c>
      <c r="L48" s="1204">
        <f>C48/I48-1</f>
        <v>-8.0315486450145412E-3</v>
      </c>
      <c r="N48" s="2"/>
      <c r="O48" s="2"/>
      <c r="P48" s="2"/>
      <c r="Q48" s="2"/>
      <c r="U48" s="2"/>
      <c r="V48" s="2"/>
      <c r="W48" s="2"/>
      <c r="X48" s="2"/>
      <c r="Y48" s="2"/>
      <c r="Z48" s="2"/>
      <c r="AA48" s="2"/>
      <c r="AB48" s="2"/>
      <c r="AC48" s="2"/>
      <c r="AD48" s="2"/>
      <c r="AE48" s="2"/>
      <c r="AF48" s="2"/>
      <c r="AG48" s="2"/>
      <c r="AH48" s="2"/>
      <c r="AI48" s="2"/>
      <c r="AJ48" s="2"/>
      <c r="AK48" s="2"/>
      <c r="AL48" s="2"/>
      <c r="AM48" s="2"/>
      <c r="AN48" s="2"/>
      <c r="AO48" s="2"/>
      <c r="AP48" s="2"/>
      <c r="AQ48" s="98"/>
      <c r="AR48" s="2"/>
    </row>
    <row r="49" spans="1:44" ht="12.75" customHeight="1">
      <c r="A49" s="2"/>
      <c r="B49" s="2"/>
      <c r="C49" s="112"/>
      <c r="D49" s="77"/>
      <c r="E49" s="61"/>
      <c r="F49" s="2"/>
      <c r="G49" s="2"/>
      <c r="H49" s="2"/>
      <c r="I49" s="142"/>
      <c r="J49" s="61"/>
      <c r="K49" s="61"/>
      <c r="L49" s="2"/>
      <c r="N49" s="2"/>
      <c r="O49" s="2"/>
      <c r="P49" s="2"/>
      <c r="Q49" s="2"/>
      <c r="U49" s="2"/>
      <c r="V49" s="2"/>
      <c r="W49" s="2"/>
      <c r="X49" s="2"/>
      <c r="Y49" s="2"/>
      <c r="Z49" s="2"/>
      <c r="AA49" s="2"/>
      <c r="AB49" s="2"/>
      <c r="AC49" s="2"/>
      <c r="AD49" s="2"/>
      <c r="AE49" s="2"/>
      <c r="AF49" s="2"/>
      <c r="AG49" s="2"/>
      <c r="AH49" s="2"/>
      <c r="AI49" s="2"/>
      <c r="AJ49" s="2"/>
      <c r="AK49" s="2"/>
      <c r="AL49" s="2"/>
      <c r="AM49" s="2"/>
      <c r="AN49" s="2"/>
      <c r="AO49" s="2"/>
      <c r="AP49" s="2"/>
      <c r="AQ49" s="98"/>
      <c r="AR49" s="2"/>
    </row>
    <row r="50" spans="1:44" ht="12.75" customHeight="1">
      <c r="A50" s="1222" t="s">
        <v>1483</v>
      </c>
      <c r="B50" s="1223"/>
      <c r="C50" s="1224">
        <f>C23/C14</f>
        <v>0.33599800338818975</v>
      </c>
      <c r="D50" s="1400">
        <f>D23/D14</f>
        <v>0.30767030999892292</v>
      </c>
      <c r="E50" s="1225"/>
      <c r="F50" s="1223"/>
      <c r="G50" s="1226">
        <f>(C50-D50)</f>
        <v>2.8327693389266828E-2</v>
      </c>
      <c r="H50" s="1223"/>
      <c r="I50" s="2234">
        <v>0.22408854751772206</v>
      </c>
      <c r="J50" s="1225"/>
      <c r="K50" s="1223"/>
      <c r="L50" s="1227">
        <f>(C50-I50)</f>
        <v>0.11190945587046769</v>
      </c>
      <c r="N50" s="2"/>
      <c r="O50" s="2"/>
      <c r="P50" s="2"/>
      <c r="Q50" s="2"/>
      <c r="U50" s="2"/>
      <c r="V50" s="2"/>
      <c r="W50" s="2"/>
      <c r="X50" s="2"/>
      <c r="Y50" s="2"/>
      <c r="Z50" s="2"/>
      <c r="AA50" s="2"/>
      <c r="AB50" s="2"/>
      <c r="AC50" s="2"/>
      <c r="AD50" s="2"/>
      <c r="AE50" s="2"/>
      <c r="AF50" s="2"/>
      <c r="AG50" s="2"/>
      <c r="AH50" s="2"/>
      <c r="AI50" s="2"/>
      <c r="AJ50" s="2"/>
      <c r="AK50" s="2"/>
      <c r="AL50" s="2"/>
      <c r="AM50" s="2"/>
      <c r="AN50" s="2"/>
      <c r="AO50" s="2"/>
      <c r="AP50" s="2"/>
      <c r="AQ50" s="98"/>
      <c r="AR50" s="2"/>
    </row>
    <row r="51" spans="1:44" ht="12.75" customHeight="1">
      <c r="A51" s="1239" t="s">
        <v>514</v>
      </c>
      <c r="B51" s="1228"/>
      <c r="C51" s="1229">
        <f t="shared" ref="C51:D53" si="9">C17/C8</f>
        <v>0.19865870672133817</v>
      </c>
      <c r="D51" s="1230">
        <f t="shared" si="9"/>
        <v>0.18782388036295986</v>
      </c>
      <c r="E51" s="1230"/>
      <c r="F51" s="1228"/>
      <c r="G51" s="1231">
        <f>(C51-D51)</f>
        <v>1.0834826358378319E-2</v>
      </c>
      <c r="H51" s="1228"/>
      <c r="I51" s="1248">
        <v>0.18580354175689734</v>
      </c>
      <c r="J51" s="1230"/>
      <c r="K51" s="1228"/>
      <c r="L51" s="1232">
        <f>(C51-I51)</f>
        <v>1.2855164964440835E-2</v>
      </c>
      <c r="M51" s="1404"/>
      <c r="N51" s="1647"/>
      <c r="O51" s="1647"/>
      <c r="P51" s="1647"/>
      <c r="Q51" s="1647"/>
      <c r="U51" s="2"/>
      <c r="V51" s="2"/>
      <c r="W51" s="2"/>
      <c r="X51" s="2"/>
      <c r="Y51" s="2"/>
      <c r="Z51" s="2"/>
      <c r="AA51" s="2"/>
      <c r="AB51" s="2"/>
      <c r="AC51" s="2"/>
      <c r="AD51" s="2"/>
      <c r="AE51" s="2"/>
      <c r="AF51" s="2"/>
      <c r="AG51" s="2"/>
      <c r="AH51" s="2"/>
      <c r="AI51" s="2"/>
      <c r="AJ51" s="2"/>
      <c r="AK51" s="2"/>
      <c r="AL51" s="2"/>
      <c r="AM51" s="2"/>
      <c r="AN51" s="2"/>
      <c r="AO51" s="2"/>
      <c r="AP51" s="2"/>
      <c r="AQ51" s="98"/>
      <c r="AR51" s="2"/>
    </row>
    <row r="52" spans="1:44" ht="12.75" customHeight="1">
      <c r="A52" s="1239" t="s">
        <v>515</v>
      </c>
      <c r="B52" s="1228"/>
      <c r="C52" s="1229">
        <f t="shared" si="9"/>
        <v>0.11830495138537628</v>
      </c>
      <c r="D52" s="1230">
        <f t="shared" si="9"/>
        <v>0.10506132057561605</v>
      </c>
      <c r="E52" s="1230"/>
      <c r="F52" s="1228"/>
      <c r="G52" s="1231">
        <f>(C52-D52)</f>
        <v>1.3243630809760223E-2</v>
      </c>
      <c r="H52" s="1228"/>
      <c r="I52" s="1248">
        <v>0.10506132057561604</v>
      </c>
      <c r="J52" s="1230"/>
      <c r="K52" s="1228"/>
      <c r="L52" s="1232">
        <f>(C52-I52)</f>
        <v>1.3243630809760237E-2</v>
      </c>
      <c r="M52" s="1403"/>
      <c r="N52" s="98"/>
      <c r="O52" s="98"/>
      <c r="P52" s="98"/>
      <c r="Q52" s="98"/>
      <c r="U52" s="2"/>
      <c r="V52" s="2"/>
      <c r="W52" s="2"/>
      <c r="X52" s="2"/>
      <c r="Y52" s="2"/>
      <c r="Z52" s="2"/>
      <c r="AA52" s="2"/>
      <c r="AB52" s="2"/>
      <c r="AC52" s="2"/>
      <c r="AD52" s="2"/>
      <c r="AE52" s="2"/>
      <c r="AF52" s="2"/>
      <c r="AG52" s="2"/>
      <c r="AH52" s="2"/>
      <c r="AI52" s="2"/>
      <c r="AJ52" s="2"/>
      <c r="AK52" s="2"/>
      <c r="AL52" s="2"/>
      <c r="AM52" s="2"/>
      <c r="AN52" s="2"/>
      <c r="AO52" s="2"/>
      <c r="AP52" s="2"/>
      <c r="AQ52" s="98"/>
      <c r="AR52" s="2"/>
    </row>
    <row r="53" spans="1:44" ht="12.75" customHeight="1">
      <c r="A53" s="1239" t="s">
        <v>517</v>
      </c>
      <c r="B53" s="1228"/>
      <c r="C53" s="1229">
        <f t="shared" si="9"/>
        <v>0.20686464324355106</v>
      </c>
      <c r="D53" s="1230">
        <f t="shared" si="9"/>
        <v>0.19520460268769405</v>
      </c>
      <c r="E53" s="1230"/>
      <c r="F53" s="1228"/>
      <c r="G53" s="1231">
        <f>(C53-D53)</f>
        <v>1.166004055585701E-2</v>
      </c>
      <c r="H53" s="1228"/>
      <c r="I53" s="1248">
        <v>0.18599591983257605</v>
      </c>
      <c r="J53" s="1230"/>
      <c r="K53" s="1228"/>
      <c r="L53" s="1232">
        <f>(C53-I53)</f>
        <v>2.086872341097501E-2</v>
      </c>
      <c r="M53" s="1403"/>
      <c r="N53" s="98"/>
      <c r="O53" s="98"/>
      <c r="P53" s="98"/>
      <c r="Q53" s="98"/>
      <c r="U53" s="2"/>
      <c r="V53" s="2"/>
      <c r="W53" s="2"/>
      <c r="X53" s="2"/>
      <c r="Y53" s="2"/>
      <c r="Z53" s="2"/>
      <c r="AA53" s="2"/>
      <c r="AB53" s="2"/>
      <c r="AC53" s="2"/>
      <c r="AD53" s="2"/>
      <c r="AE53" s="2"/>
      <c r="AF53" s="2"/>
      <c r="AG53" s="2"/>
      <c r="AH53" s="2"/>
      <c r="AI53" s="2"/>
      <c r="AJ53" s="2"/>
      <c r="AK53" s="2"/>
      <c r="AL53" s="2"/>
      <c r="AM53" s="2"/>
      <c r="AN53" s="2"/>
      <c r="AO53" s="2"/>
      <c r="AP53" s="2"/>
      <c r="AQ53" s="98"/>
      <c r="AR53" s="2"/>
    </row>
    <row r="54" spans="1:44" ht="12.75" customHeight="1">
      <c r="A54" s="1239" t="s">
        <v>516</v>
      </c>
      <c r="B54" s="1228"/>
      <c r="C54" s="1229">
        <f>C19/C10</f>
        <v>0.20686464324355106</v>
      </c>
      <c r="D54" s="1230">
        <f>D19/D10</f>
        <v>0.19520460268769405</v>
      </c>
      <c r="E54" s="1230"/>
      <c r="F54" s="1228"/>
      <c r="G54" s="1231">
        <f>(C54-D54)</f>
        <v>1.166004055585701E-2</v>
      </c>
      <c r="H54" s="1228"/>
      <c r="I54" s="1248">
        <v>0.18599591983257605</v>
      </c>
      <c r="J54" s="1230"/>
      <c r="K54" s="1228"/>
      <c r="L54" s="1232">
        <f>(C54-I54)</f>
        <v>2.086872341097501E-2</v>
      </c>
      <c r="M54" s="1404"/>
      <c r="N54" s="105"/>
      <c r="O54" s="105"/>
      <c r="P54" s="105"/>
      <c r="Q54" s="105"/>
      <c r="U54" s="2"/>
      <c r="V54" s="2"/>
      <c r="W54" s="2"/>
      <c r="X54" s="2"/>
      <c r="Y54" s="2"/>
      <c r="Z54" s="2"/>
      <c r="AA54" s="2"/>
      <c r="AB54" s="2"/>
      <c r="AC54" s="2"/>
      <c r="AD54" s="2"/>
      <c r="AE54" s="2"/>
      <c r="AF54" s="2"/>
      <c r="AG54" s="2"/>
      <c r="AH54" s="2"/>
      <c r="AI54" s="2"/>
      <c r="AJ54" s="2"/>
      <c r="AK54" s="2"/>
      <c r="AL54" s="2"/>
      <c r="AM54" s="2"/>
      <c r="AN54" s="2"/>
      <c r="AO54" s="2"/>
      <c r="AP54" s="2"/>
      <c r="AQ54" s="98"/>
      <c r="AR54" s="2"/>
    </row>
    <row r="55" spans="1:44" ht="12.75" customHeight="1">
      <c r="A55" s="1240" t="s">
        <v>273</v>
      </c>
      <c r="B55" s="1233"/>
      <c r="C55" s="1234"/>
      <c r="D55" s="1235"/>
      <c r="E55" s="1235"/>
      <c r="F55" s="1233"/>
      <c r="G55" s="1235"/>
      <c r="H55" s="1233"/>
      <c r="I55" s="1249">
        <v>0.24294726878047079</v>
      </c>
      <c r="J55" s="1235"/>
      <c r="K55" s="1233"/>
      <c r="L55" s="1237"/>
      <c r="M55" s="1404"/>
      <c r="N55" s="105"/>
      <c r="O55" s="105"/>
      <c r="P55" s="105"/>
      <c r="Q55" s="105"/>
      <c r="U55" s="2"/>
      <c r="V55" s="2"/>
      <c r="W55" s="2"/>
      <c r="X55" s="2"/>
      <c r="Y55" s="2"/>
      <c r="Z55" s="2"/>
      <c r="AA55" s="2"/>
      <c r="AB55" s="2"/>
      <c r="AC55" s="2"/>
      <c r="AD55" s="2"/>
      <c r="AE55" s="2"/>
      <c r="AF55" s="2"/>
      <c r="AG55" s="2"/>
      <c r="AH55" s="2"/>
      <c r="AI55" s="2"/>
      <c r="AJ55" s="2"/>
      <c r="AK55" s="2"/>
      <c r="AL55" s="2"/>
      <c r="AM55" s="2"/>
      <c r="AN55" s="2"/>
      <c r="AO55" s="2"/>
      <c r="AP55" s="2"/>
      <c r="AQ55" s="98"/>
      <c r="AR55" s="2"/>
    </row>
    <row r="56" spans="1:44" ht="12.75" customHeight="1">
      <c r="A56" s="61"/>
      <c r="B56" s="61"/>
      <c r="C56" s="1435"/>
      <c r="D56" s="77"/>
      <c r="E56" s="61"/>
      <c r="F56" s="61"/>
      <c r="G56" s="61"/>
      <c r="H56" s="61"/>
      <c r="I56" s="1435"/>
      <c r="J56" s="61"/>
      <c r="K56" s="61"/>
      <c r="L56" s="61"/>
      <c r="M56" s="1404"/>
      <c r="N56" s="105"/>
      <c r="O56" s="105"/>
      <c r="P56" s="105"/>
      <c r="Q56" s="105"/>
      <c r="U56" s="2"/>
      <c r="V56" s="2"/>
      <c r="W56" s="2"/>
      <c r="X56" s="2"/>
      <c r="Y56" s="2"/>
      <c r="Z56" s="2"/>
      <c r="AA56" s="2"/>
      <c r="AB56" s="2"/>
      <c r="AC56" s="2"/>
      <c r="AD56" s="2"/>
      <c r="AE56" s="2"/>
      <c r="AF56" s="2"/>
      <c r="AG56" s="2"/>
      <c r="AH56" s="2"/>
      <c r="AI56" s="2"/>
      <c r="AJ56" s="2"/>
      <c r="AK56" s="2"/>
      <c r="AL56" s="2"/>
      <c r="AM56" s="2"/>
      <c r="AN56" s="2"/>
      <c r="AO56" s="2"/>
      <c r="AP56" s="2"/>
      <c r="AQ56" s="98"/>
      <c r="AR56" s="2"/>
    </row>
    <row r="57" spans="1:44" ht="12.75" customHeight="1">
      <c r="A57" s="61"/>
      <c r="B57" s="61"/>
      <c r="C57" s="374"/>
      <c r="D57" s="374"/>
      <c r="E57" s="61"/>
      <c r="F57" s="374"/>
      <c r="G57" s="95"/>
      <c r="H57" s="313"/>
      <c r="I57" s="376"/>
      <c r="J57" s="932"/>
      <c r="K57" s="374"/>
      <c r="L57" s="1204"/>
      <c r="N57" s="2"/>
      <c r="O57" s="2"/>
      <c r="P57" s="2"/>
      <c r="Q57" s="2"/>
      <c r="U57" s="1"/>
      <c r="V57" s="2"/>
      <c r="W57" s="1"/>
      <c r="X57" s="2"/>
      <c r="Y57" s="2"/>
      <c r="Z57" s="2"/>
      <c r="AA57" s="2"/>
      <c r="AB57" s="2"/>
      <c r="AC57" s="2"/>
      <c r="AD57" s="2"/>
      <c r="AE57" s="2"/>
      <c r="AF57" s="2"/>
      <c r="AG57" s="2"/>
      <c r="AH57" s="2"/>
      <c r="AI57" s="2"/>
      <c r="AJ57" s="2"/>
      <c r="AK57" s="2"/>
      <c r="AL57" s="2"/>
      <c r="AM57" s="2"/>
      <c r="AN57" s="2"/>
      <c r="AO57" s="2"/>
      <c r="AP57" s="2"/>
      <c r="AQ57" s="98"/>
      <c r="AR57" s="2"/>
    </row>
    <row r="58" spans="1:44" ht="12.75" customHeight="1">
      <c r="A58" s="743"/>
      <c r="B58" s="61"/>
      <c r="C58" s="1618"/>
      <c r="D58" s="1618"/>
      <c r="E58" s="61"/>
      <c r="F58" s="1618"/>
      <c r="G58" s="1433"/>
      <c r="H58" s="61"/>
      <c r="I58" s="1618"/>
      <c r="J58" s="1103"/>
      <c r="K58" s="452"/>
      <c r="L58" s="1252"/>
      <c r="M58" s="1404"/>
      <c r="N58" s="1404"/>
      <c r="O58" s="1404"/>
      <c r="P58" s="1404"/>
      <c r="Q58" s="1404"/>
      <c r="U58" s="105"/>
      <c r="V58" s="2"/>
      <c r="W58" s="105"/>
      <c r="X58" s="2"/>
      <c r="Y58" s="2"/>
      <c r="Z58" s="2"/>
      <c r="AA58" s="2"/>
      <c r="AB58" s="2"/>
      <c r="AC58" s="2"/>
      <c r="AD58" s="2"/>
      <c r="AE58" s="2"/>
      <c r="AF58" s="2"/>
      <c r="AG58" s="2"/>
      <c r="AH58" s="2"/>
      <c r="AI58" s="2"/>
      <c r="AJ58" s="2"/>
      <c r="AK58" s="2"/>
      <c r="AL58" s="2"/>
      <c r="AM58" s="2"/>
      <c r="AN58" s="2"/>
      <c r="AO58" s="2"/>
      <c r="AP58" s="2"/>
      <c r="AQ58" s="98"/>
      <c r="AR58" s="2"/>
    </row>
    <row r="59" spans="1:44" ht="12.75" customHeight="1">
      <c r="A59" s="1"/>
      <c r="B59" s="2"/>
      <c r="C59" s="1241"/>
      <c r="D59" s="1241"/>
      <c r="E59" s="61"/>
      <c r="F59" s="374"/>
      <c r="G59" s="95"/>
      <c r="H59" s="61"/>
      <c r="I59" s="1434"/>
      <c r="J59" s="1103"/>
      <c r="K59" s="1241"/>
      <c r="L59" s="1204"/>
      <c r="N59" s="1143"/>
      <c r="O59" s="1143"/>
      <c r="P59" s="1143"/>
      <c r="Q59" s="1143"/>
      <c r="AQ59" s="1403"/>
    </row>
    <row r="60" spans="1:44" ht="4.5" customHeight="1">
      <c r="A60" s="2"/>
      <c r="B60" s="2"/>
      <c r="C60" s="61"/>
      <c r="D60" s="77"/>
      <c r="E60" s="61"/>
      <c r="F60" s="61"/>
      <c r="G60" s="61"/>
      <c r="H60" s="61"/>
      <c r="I60" s="61"/>
      <c r="J60" s="2"/>
      <c r="K60" s="2"/>
      <c r="L60" s="2"/>
      <c r="N60" s="2"/>
      <c r="O60" s="2"/>
      <c r="P60" s="2"/>
      <c r="Q60" s="2"/>
      <c r="AQ60" s="1403"/>
    </row>
    <row r="61" spans="1:44" ht="6" customHeight="1">
      <c r="A61" s="2"/>
      <c r="B61" s="2"/>
      <c r="C61" s="2"/>
      <c r="D61" s="1062"/>
      <c r="E61" s="2"/>
      <c r="F61" s="2"/>
      <c r="G61" s="2"/>
      <c r="H61" s="2"/>
      <c r="I61" s="2"/>
      <c r="J61" s="2"/>
      <c r="K61" s="2"/>
      <c r="L61" s="2"/>
      <c r="N61" s="2"/>
      <c r="O61" s="2"/>
      <c r="P61" s="2"/>
      <c r="Q61" s="2"/>
      <c r="AQ61" s="1403"/>
    </row>
    <row r="62" spans="1:44" ht="12.75" customHeight="1">
      <c r="A62" s="2"/>
      <c r="B62" s="2"/>
      <c r="C62" s="2"/>
      <c r="D62" s="1648"/>
      <c r="E62" s="2"/>
      <c r="F62" s="2"/>
      <c r="G62" s="2"/>
      <c r="H62" s="2"/>
      <c r="I62" s="2"/>
      <c r="J62" s="2"/>
      <c r="K62" s="2"/>
      <c r="L62" s="2"/>
      <c r="N62" s="2"/>
      <c r="O62" s="2"/>
      <c r="P62" s="2"/>
      <c r="Q62" s="2"/>
      <c r="AQ62" s="1403"/>
    </row>
    <row r="63" spans="1:44" ht="12.75" customHeight="1">
      <c r="A63" s="2"/>
      <c r="B63" s="2"/>
      <c r="C63" s="2"/>
      <c r="D63" s="1062"/>
      <c r="E63" s="2"/>
      <c r="F63" s="2"/>
      <c r="G63" s="2"/>
      <c r="H63" s="2"/>
      <c r="I63" s="2"/>
      <c r="J63" s="2"/>
      <c r="K63" s="2"/>
      <c r="L63" s="2"/>
      <c r="N63" s="2"/>
      <c r="O63" s="2"/>
      <c r="P63" s="2"/>
      <c r="Q63" s="2"/>
      <c r="AQ63" s="1403"/>
    </row>
    <row r="64" spans="1:44" ht="12.75" customHeight="1">
      <c r="A64" s="2"/>
      <c r="B64" s="2"/>
      <c r="C64" s="2"/>
      <c r="D64" s="1062"/>
      <c r="E64" s="2"/>
      <c r="F64" s="2"/>
      <c r="G64" s="2"/>
      <c r="H64" s="2"/>
      <c r="I64" s="2"/>
      <c r="J64" s="2"/>
      <c r="K64" s="2"/>
      <c r="L64" s="2"/>
      <c r="N64" s="2"/>
      <c r="O64" s="2"/>
      <c r="P64" s="2"/>
      <c r="Q64" s="2"/>
      <c r="AQ64" s="1403"/>
    </row>
    <row r="65" spans="1:44" ht="12.75" customHeight="1">
      <c r="A65" s="2"/>
      <c r="B65" s="2"/>
      <c r="C65" s="2"/>
      <c r="D65" s="1062"/>
      <c r="E65" s="2"/>
      <c r="F65" s="2"/>
      <c r="G65" s="2"/>
      <c r="H65" s="2"/>
      <c r="I65" s="2"/>
      <c r="J65" s="2"/>
      <c r="K65" s="2"/>
      <c r="L65" s="2"/>
      <c r="N65" s="2"/>
      <c r="O65" s="2"/>
      <c r="P65" s="2"/>
      <c r="Q65" s="2"/>
      <c r="AQ65" s="1403"/>
    </row>
    <row r="66" spans="1:44" ht="12.75" customHeight="1">
      <c r="A66" s="2"/>
      <c r="B66" s="2"/>
      <c r="C66" s="2"/>
      <c r="D66" s="1062"/>
      <c r="E66" s="2"/>
      <c r="F66" s="2"/>
      <c r="G66" s="2"/>
      <c r="H66" s="2"/>
      <c r="I66" s="2"/>
      <c r="J66" s="2"/>
      <c r="K66" s="2"/>
      <c r="L66" s="2"/>
      <c r="N66" s="2"/>
      <c r="O66" s="2"/>
      <c r="P66" s="2"/>
      <c r="Q66" s="2"/>
      <c r="AQ66" s="1403"/>
    </row>
    <row r="67" spans="1:44" ht="12.75" customHeight="1">
      <c r="A67" s="2"/>
      <c r="B67" s="2"/>
      <c r="C67" s="2"/>
      <c r="D67" s="1062"/>
      <c r="E67" s="2"/>
      <c r="F67" s="2"/>
      <c r="G67" s="2"/>
      <c r="H67" s="2"/>
      <c r="I67" s="2"/>
      <c r="J67" s="2"/>
      <c r="K67" s="2"/>
      <c r="L67" s="2"/>
      <c r="M67" s="69" t="s">
        <v>318</v>
      </c>
      <c r="R67" s="2"/>
      <c r="S67" s="2"/>
      <c r="T67" s="2"/>
      <c r="AQ67" s="1403"/>
    </row>
    <row r="68" spans="1:44" ht="12.75" customHeight="1">
      <c r="A68" s="2"/>
      <c r="B68" s="2"/>
      <c r="C68" s="2"/>
      <c r="D68" s="1062"/>
      <c r="E68" s="2"/>
      <c r="F68" s="2"/>
      <c r="G68" s="2"/>
      <c r="H68" s="2"/>
      <c r="I68" s="2"/>
      <c r="J68" s="2"/>
      <c r="K68" s="2"/>
      <c r="L68" s="2"/>
      <c r="M68" s="2" t="s">
        <v>319</v>
      </c>
      <c r="N68" s="2" t="s">
        <v>320</v>
      </c>
      <c r="O68" s="2"/>
      <c r="P68" s="2"/>
      <c r="Q68" s="2"/>
      <c r="R68" s="2" t="s">
        <v>321</v>
      </c>
      <c r="S68" s="98">
        <v>62.5</v>
      </c>
      <c r="T68" s="98"/>
      <c r="AQ68" s="1403"/>
    </row>
    <row r="69" spans="1:44" ht="12.75" customHeight="1">
      <c r="A69" s="2"/>
      <c r="B69" s="2"/>
      <c r="C69" s="2"/>
      <c r="D69" s="1062"/>
      <c r="E69" s="2"/>
      <c r="F69" s="2"/>
      <c r="G69" s="2"/>
      <c r="H69" s="2"/>
      <c r="I69" s="2"/>
      <c r="J69" s="2"/>
      <c r="K69" s="2"/>
      <c r="L69" s="2"/>
      <c r="M69" s="2"/>
      <c r="N69" s="2" t="s">
        <v>322</v>
      </c>
      <c r="O69" s="2"/>
      <c r="P69" s="2"/>
      <c r="Q69" s="2"/>
      <c r="R69" s="2" t="s">
        <v>321</v>
      </c>
      <c r="S69" s="98">
        <v>87.5</v>
      </c>
      <c r="T69" s="98"/>
      <c r="AQ69" s="1403"/>
    </row>
    <row r="70" spans="1:44" ht="12.75" customHeight="1">
      <c r="A70" s="2"/>
      <c r="B70" s="2"/>
      <c r="C70" s="2"/>
      <c r="D70" s="1062"/>
      <c r="E70" s="2"/>
      <c r="F70" s="2"/>
      <c r="G70" s="2"/>
      <c r="H70" s="2"/>
      <c r="I70" s="2"/>
      <c r="J70" s="2"/>
      <c r="K70" s="2"/>
      <c r="L70" s="2"/>
      <c r="M70" s="2"/>
      <c r="N70" s="2" t="s">
        <v>323</v>
      </c>
      <c r="O70" s="2"/>
      <c r="P70" s="2"/>
      <c r="Q70" s="2"/>
      <c r="R70" s="2" t="s">
        <v>321</v>
      </c>
      <c r="S70" s="98">
        <v>100</v>
      </c>
      <c r="T70" s="98"/>
      <c r="AQ70" s="1403"/>
    </row>
    <row r="71" spans="1:44" ht="12.75" customHeight="1">
      <c r="A71" s="2"/>
      <c r="B71" s="2"/>
      <c r="C71" s="2"/>
      <c r="D71" s="1062"/>
      <c r="E71" s="2"/>
      <c r="F71" s="2"/>
      <c r="G71" s="2"/>
      <c r="H71" s="2"/>
      <c r="I71" s="2"/>
      <c r="J71" s="2"/>
      <c r="K71" s="2"/>
      <c r="L71" s="2"/>
      <c r="M71" s="2"/>
      <c r="N71" s="2" t="s">
        <v>324</v>
      </c>
      <c r="O71" s="2"/>
      <c r="P71" s="2"/>
      <c r="Q71" s="2"/>
      <c r="R71" s="2" t="s">
        <v>321</v>
      </c>
      <c r="S71" s="98">
        <v>112.5</v>
      </c>
      <c r="T71" s="98"/>
      <c r="AQ71" s="1403"/>
    </row>
    <row r="72" spans="1:44" ht="12.75" customHeight="1">
      <c r="A72" s="2"/>
      <c r="B72" s="2"/>
      <c r="C72" s="2"/>
      <c r="D72" s="1062"/>
      <c r="E72" s="2"/>
      <c r="F72" s="2"/>
      <c r="G72" s="2"/>
      <c r="H72" s="2"/>
      <c r="I72" s="2"/>
      <c r="J72" s="2"/>
      <c r="K72" s="2"/>
      <c r="L72" s="2"/>
      <c r="M72" s="2"/>
      <c r="N72" s="2" t="s">
        <v>325</v>
      </c>
      <c r="O72" s="2"/>
      <c r="P72" s="2"/>
      <c r="Q72" s="2"/>
      <c r="R72" s="2" t="s">
        <v>321</v>
      </c>
      <c r="S72" s="98">
        <v>137.5</v>
      </c>
      <c r="T72" s="98"/>
      <c r="AQ72" s="1403"/>
    </row>
    <row r="73" spans="1:44" ht="12.75" customHeight="1">
      <c r="A73" s="2"/>
      <c r="B73" s="2"/>
      <c r="C73" s="2"/>
      <c r="D73" s="1062"/>
      <c r="E73" s="2"/>
      <c r="F73" s="2"/>
      <c r="G73" s="2"/>
      <c r="H73" s="2"/>
      <c r="I73" s="2"/>
      <c r="J73" s="2"/>
      <c r="K73" s="2"/>
      <c r="L73" s="2"/>
      <c r="M73" s="2"/>
      <c r="N73" s="2" t="s">
        <v>326</v>
      </c>
      <c r="O73" s="2"/>
      <c r="P73" s="2"/>
      <c r="Q73" s="2"/>
      <c r="R73" s="2" t="s">
        <v>321</v>
      </c>
      <c r="S73" s="98">
        <v>162.5</v>
      </c>
      <c r="T73" s="98"/>
      <c r="AQ73" s="1403"/>
    </row>
    <row r="74" spans="1:44" ht="12.75" customHeight="1">
      <c r="A74" s="2"/>
      <c r="B74" s="2"/>
      <c r="C74" s="2"/>
      <c r="D74" s="1062"/>
      <c r="E74" s="2"/>
      <c r="F74" s="2"/>
      <c r="G74" s="2"/>
      <c r="H74" s="2"/>
      <c r="I74" s="2"/>
      <c r="J74" s="2"/>
      <c r="K74" s="2"/>
      <c r="L74" s="2"/>
      <c r="N74" s="2"/>
      <c r="O74" s="2"/>
      <c r="P74" s="2"/>
      <c r="Q74" s="2"/>
      <c r="U74" s="2"/>
      <c r="V74" s="2"/>
      <c r="W74" s="2"/>
      <c r="X74" s="2"/>
      <c r="Y74" s="2"/>
      <c r="Z74" s="2"/>
      <c r="AA74" s="2"/>
      <c r="AB74" s="2"/>
      <c r="AC74" s="2"/>
      <c r="AD74" s="2"/>
      <c r="AE74" s="2"/>
      <c r="AF74" s="2"/>
      <c r="AG74" s="2"/>
      <c r="AH74" s="2"/>
      <c r="AI74" s="2"/>
      <c r="AJ74" s="2"/>
      <c r="AK74" s="2"/>
      <c r="AL74" s="2"/>
      <c r="AM74" s="2"/>
      <c r="AN74" s="2"/>
      <c r="AO74" s="2"/>
      <c r="AP74" s="2"/>
      <c r="AQ74" s="98"/>
      <c r="AR74" s="2"/>
    </row>
    <row r="75" spans="1:44" ht="12.75" customHeight="1">
      <c r="A75" s="2"/>
      <c r="B75" s="2"/>
      <c r="C75" s="2"/>
      <c r="D75" s="1062"/>
      <c r="E75" s="2"/>
      <c r="F75" s="2"/>
      <c r="G75" s="2"/>
      <c r="H75" s="2"/>
      <c r="I75" s="2"/>
      <c r="J75" s="2"/>
      <c r="K75" s="2"/>
      <c r="L75" s="2"/>
      <c r="N75" s="2"/>
      <c r="O75" s="2"/>
      <c r="P75" s="2"/>
      <c r="Q75" s="2"/>
      <c r="U75" s="2"/>
      <c r="V75" s="2"/>
      <c r="W75" s="2"/>
      <c r="X75" s="2"/>
      <c r="Y75" s="2"/>
      <c r="Z75" s="2"/>
      <c r="AA75" s="2"/>
      <c r="AB75" s="2"/>
      <c r="AC75" s="2"/>
      <c r="AD75" s="2"/>
      <c r="AE75" s="2"/>
      <c r="AF75" s="2"/>
      <c r="AG75" s="2"/>
      <c r="AH75" s="2"/>
      <c r="AI75" s="2"/>
      <c r="AJ75" s="2"/>
      <c r="AK75" s="2"/>
      <c r="AL75" s="2"/>
      <c r="AM75" s="2"/>
      <c r="AN75" s="2"/>
      <c r="AO75" s="2"/>
      <c r="AP75" s="2"/>
      <c r="AQ75" s="98"/>
      <c r="AR75" s="2"/>
    </row>
    <row r="76" spans="1:44" ht="12.75" customHeight="1">
      <c r="A76" s="2"/>
      <c r="B76" s="2"/>
      <c r="C76" s="2"/>
      <c r="D76" s="1062"/>
      <c r="E76" s="2"/>
      <c r="F76" s="2"/>
      <c r="G76" s="2"/>
      <c r="H76" s="2"/>
      <c r="I76" s="2"/>
      <c r="J76" s="2"/>
      <c r="K76" s="2"/>
      <c r="L76" s="2"/>
      <c r="N76" s="2"/>
      <c r="O76" s="2"/>
      <c r="P76" s="2"/>
      <c r="Q76" s="2"/>
      <c r="U76" s="1" t="s">
        <v>1140</v>
      </c>
      <c r="V76" s="1"/>
      <c r="W76" s="2"/>
      <c r="X76" s="2"/>
      <c r="Y76" s="2"/>
      <c r="Z76" s="2"/>
      <c r="AA76" s="2"/>
      <c r="AB76" s="2"/>
      <c r="AC76" s="2"/>
      <c r="AD76" s="2"/>
      <c r="AE76" s="2"/>
      <c r="AF76" s="2"/>
      <c r="AG76" s="2"/>
      <c r="AH76" s="2"/>
      <c r="AI76" s="2"/>
      <c r="AJ76" s="2"/>
      <c r="AK76" s="2"/>
      <c r="AL76" s="2"/>
      <c r="AM76" s="2"/>
      <c r="AN76" s="2"/>
      <c r="AO76" s="2"/>
      <c r="AP76" s="2"/>
      <c r="AQ76" s="98"/>
      <c r="AR76" s="2"/>
    </row>
    <row r="77" spans="1:44" ht="12.75" customHeight="1">
      <c r="A77" s="2"/>
      <c r="B77" s="2"/>
      <c r="C77" s="2"/>
      <c r="D77" s="1062"/>
      <c r="E77" s="2"/>
      <c r="F77" s="2"/>
      <c r="G77" s="2"/>
      <c r="H77" s="2"/>
      <c r="I77" s="2"/>
      <c r="J77" s="2"/>
      <c r="K77" s="2"/>
      <c r="L77" s="2"/>
      <c r="N77" s="2"/>
      <c r="O77" s="2"/>
      <c r="P77" s="2"/>
      <c r="Q77" s="2"/>
      <c r="U77" s="1"/>
      <c r="V77" s="1"/>
      <c r="W77" s="2"/>
      <c r="X77" s="2"/>
      <c r="Y77" s="2"/>
      <c r="Z77" s="2"/>
      <c r="AA77" s="2"/>
      <c r="AB77" s="2"/>
      <c r="AC77" s="2"/>
      <c r="AD77" s="2"/>
      <c r="AE77" s="2"/>
      <c r="AF77" s="2"/>
      <c r="AG77" s="2"/>
      <c r="AH77" s="2"/>
      <c r="AI77" s="2"/>
      <c r="AJ77" s="2"/>
      <c r="AK77" s="2"/>
      <c r="AL77" s="2"/>
      <c r="AM77" s="2"/>
      <c r="AN77" s="2"/>
      <c r="AO77" s="2"/>
      <c r="AP77" s="2"/>
      <c r="AQ77" s="98"/>
      <c r="AR77" s="2"/>
    </row>
    <row r="78" spans="1:44" ht="12.75" customHeight="1">
      <c r="A78" s="2"/>
      <c r="B78" s="2"/>
      <c r="C78" s="2"/>
      <c r="D78" s="1062"/>
      <c r="E78" s="2"/>
      <c r="F78" s="2"/>
      <c r="G78" s="2"/>
      <c r="H78" s="2"/>
      <c r="I78" s="2"/>
      <c r="J78" s="2"/>
      <c r="K78" s="2"/>
      <c r="L78" s="2"/>
      <c r="N78" s="2"/>
      <c r="O78" s="2"/>
      <c r="P78" s="2"/>
      <c r="Q78" s="2"/>
      <c r="U78" s="2" t="s">
        <v>1144</v>
      </c>
      <c r="V78" s="2"/>
      <c r="W78" s="2"/>
      <c r="X78" s="2"/>
      <c r="Y78" s="2"/>
      <c r="Z78" s="2"/>
      <c r="AA78" s="2"/>
      <c r="AB78" s="2"/>
      <c r="AC78" s="2"/>
      <c r="AD78" s="2"/>
      <c r="AE78" s="2"/>
      <c r="AF78" s="2"/>
      <c r="AG78" s="2"/>
      <c r="AH78" s="2"/>
      <c r="AI78" s="2"/>
      <c r="AJ78" s="2"/>
      <c r="AK78" s="2"/>
      <c r="AL78" s="2"/>
      <c r="AM78" s="2"/>
      <c r="AN78" s="2"/>
      <c r="AO78" s="2"/>
      <c r="AP78" s="2"/>
      <c r="AQ78" s="98"/>
      <c r="AR78" s="2"/>
    </row>
    <row r="79" spans="1:44" ht="12.75" customHeight="1">
      <c r="A79" s="2"/>
      <c r="B79" s="2"/>
      <c r="C79" s="2"/>
      <c r="D79" s="1062"/>
      <c r="E79" s="2"/>
      <c r="F79" s="2"/>
      <c r="G79" s="2"/>
      <c r="H79" s="2"/>
      <c r="I79" s="2"/>
      <c r="J79" s="2"/>
      <c r="K79" s="2"/>
      <c r="L79" s="2"/>
      <c r="N79" s="2"/>
      <c r="O79" s="2"/>
      <c r="P79" s="2"/>
      <c r="Q79" s="2"/>
      <c r="U79" s="2"/>
      <c r="V79" s="2"/>
      <c r="W79" s="2"/>
      <c r="X79" s="2"/>
      <c r="Y79" s="2"/>
      <c r="Z79" s="2"/>
      <c r="AA79" s="2"/>
      <c r="AB79" s="2"/>
      <c r="AC79" s="2"/>
      <c r="AD79" s="2"/>
      <c r="AE79" s="2"/>
      <c r="AF79" s="2"/>
      <c r="AG79" s="2"/>
      <c r="AH79" s="2"/>
      <c r="AI79" s="2"/>
      <c r="AJ79" s="2"/>
      <c r="AK79" s="2"/>
      <c r="AL79" s="2"/>
      <c r="AM79" s="2"/>
      <c r="AN79" s="2"/>
      <c r="AO79" s="2"/>
      <c r="AP79" s="2"/>
      <c r="AQ79" s="98"/>
      <c r="AR79" s="2"/>
    </row>
    <row r="80" spans="1:44" ht="12.75" customHeight="1">
      <c r="A80" s="2"/>
      <c r="B80" s="2"/>
      <c r="C80" s="2"/>
      <c r="D80" s="1062"/>
      <c r="E80" s="2"/>
      <c r="F80" s="2"/>
      <c r="G80" s="2"/>
      <c r="H80" s="2"/>
      <c r="I80" s="2"/>
      <c r="J80" s="2"/>
      <c r="K80" s="2"/>
      <c r="L80" s="2"/>
      <c r="N80" s="2"/>
      <c r="O80" s="2"/>
      <c r="P80" s="2"/>
      <c r="Q80" s="2"/>
      <c r="U80" s="2"/>
      <c r="V80" s="2"/>
      <c r="W80" s="1197" t="s">
        <v>55</v>
      </c>
      <c r="X80" s="1197"/>
      <c r="Y80" s="1197"/>
      <c r="Z80" s="1196"/>
      <c r="AA80" s="1196"/>
      <c r="AB80" s="2"/>
      <c r="AC80" s="2"/>
      <c r="AD80" s="2"/>
      <c r="AE80" s="2"/>
      <c r="AF80" s="2"/>
      <c r="AG80" s="2"/>
      <c r="AH80" s="2"/>
      <c r="AI80" s="2"/>
      <c r="AJ80" s="2"/>
      <c r="AK80" s="2"/>
      <c r="AL80" s="2"/>
      <c r="AM80" s="2"/>
      <c r="AN80" s="2"/>
      <c r="AO80" s="2"/>
      <c r="AP80" s="2"/>
      <c r="AQ80" s="98"/>
      <c r="AR80" s="2"/>
    </row>
    <row r="81" spans="1:44" ht="12.75" customHeight="1">
      <c r="A81" s="2"/>
      <c r="B81" s="2"/>
      <c r="C81" s="2"/>
      <c r="D81" s="1062"/>
      <c r="E81" s="2"/>
      <c r="F81" s="2"/>
      <c r="G81" s="2"/>
      <c r="H81" s="2"/>
      <c r="I81" s="2"/>
      <c r="J81" s="2"/>
      <c r="K81" s="2"/>
      <c r="L81" s="2"/>
      <c r="N81" s="2"/>
      <c r="O81" s="2"/>
      <c r="P81" s="2"/>
      <c r="Q81" s="2"/>
      <c r="U81" s="69"/>
      <c r="V81" s="69"/>
      <c r="W81" s="1289" t="s">
        <v>1142</v>
      </c>
      <c r="X81" s="1289"/>
      <c r="Y81" s="1289" t="s">
        <v>1143</v>
      </c>
      <c r="Z81" s="1289"/>
      <c r="AA81" s="1289" t="s">
        <v>829</v>
      </c>
      <c r="AB81" s="2"/>
      <c r="AC81" s="2"/>
      <c r="AD81" s="2"/>
      <c r="AE81" s="2"/>
      <c r="AF81" s="2"/>
      <c r="AG81" s="2"/>
      <c r="AH81" s="2"/>
      <c r="AI81" s="2"/>
      <c r="AJ81" s="2"/>
      <c r="AK81" s="2"/>
      <c r="AL81" s="2"/>
      <c r="AM81" s="2"/>
      <c r="AN81" s="2"/>
      <c r="AO81" s="2"/>
      <c r="AP81" s="2"/>
      <c r="AQ81" s="98"/>
      <c r="AR81" s="2"/>
    </row>
    <row r="82" spans="1:44" ht="12.75" customHeight="1">
      <c r="A82" s="2"/>
      <c r="B82" s="2"/>
      <c r="C82" s="2"/>
      <c r="D82" s="1062"/>
      <c r="E82" s="2"/>
      <c r="F82" s="2"/>
      <c r="G82" s="2"/>
      <c r="H82" s="2"/>
      <c r="I82" s="2"/>
      <c r="J82" s="2"/>
      <c r="K82" s="2"/>
      <c r="L82" s="2"/>
      <c r="N82" s="2"/>
      <c r="O82" s="2"/>
      <c r="P82" s="2"/>
      <c r="Q82" s="2"/>
      <c r="U82" s="2" t="s">
        <v>935</v>
      </c>
      <c r="V82" s="2"/>
      <c r="W82" s="1102"/>
      <c r="X82" s="98"/>
      <c r="Y82" s="1102"/>
      <c r="Z82" s="98"/>
      <c r="AA82" s="105"/>
      <c r="AB82" s="2"/>
      <c r="AC82" s="2"/>
      <c r="AD82" s="2"/>
      <c r="AE82" s="2"/>
      <c r="AF82" s="2"/>
      <c r="AG82" s="2"/>
      <c r="AH82" s="2"/>
      <c r="AI82" s="2"/>
      <c r="AJ82" s="2"/>
      <c r="AK82" s="2"/>
      <c r="AL82" s="2"/>
      <c r="AM82" s="2"/>
      <c r="AN82" s="2"/>
      <c r="AO82" s="2"/>
      <c r="AP82" s="2"/>
      <c r="AQ82" s="98"/>
      <c r="AR82" s="2"/>
    </row>
    <row r="83" spans="1:44" ht="12.75" customHeight="1">
      <c r="A83" s="2"/>
      <c r="B83" s="2"/>
      <c r="C83" s="2"/>
      <c r="D83" s="1062"/>
      <c r="E83" s="2"/>
      <c r="F83" s="2"/>
      <c r="G83" s="2"/>
      <c r="H83" s="2"/>
      <c r="I83" s="2"/>
      <c r="J83" s="2"/>
      <c r="K83" s="2"/>
      <c r="L83" s="2"/>
      <c r="N83" s="2"/>
      <c r="O83" s="2"/>
      <c r="P83" s="2"/>
      <c r="Q83" s="2"/>
      <c r="U83" s="2" t="s">
        <v>1141</v>
      </c>
      <c r="V83" s="2"/>
      <c r="W83" s="1102"/>
      <c r="X83" s="98"/>
      <c r="Y83" s="1102"/>
      <c r="Z83" s="98"/>
      <c r="AA83" s="105"/>
      <c r="AB83" s="2"/>
      <c r="AC83" s="2"/>
      <c r="AD83" s="2"/>
      <c r="AE83" s="2"/>
      <c r="AF83" s="2"/>
      <c r="AG83" s="2"/>
      <c r="AH83" s="2"/>
      <c r="AI83" s="2"/>
      <c r="AJ83" s="2"/>
      <c r="AK83" s="2"/>
      <c r="AL83" s="2"/>
      <c r="AM83" s="2"/>
      <c r="AN83" s="2"/>
      <c r="AO83" s="2"/>
      <c r="AP83" s="2"/>
      <c r="AQ83" s="98"/>
      <c r="AR83" s="2"/>
    </row>
    <row r="84" spans="1:44" ht="12.75" customHeight="1">
      <c r="A84" s="2"/>
      <c r="B84" s="2"/>
      <c r="C84" s="2"/>
      <c r="D84" s="1062"/>
      <c r="E84" s="2"/>
      <c r="F84" s="2"/>
      <c r="G84" s="2"/>
      <c r="H84" s="2"/>
      <c r="I84" s="2"/>
      <c r="J84" s="2"/>
      <c r="K84" s="2"/>
      <c r="L84" s="2"/>
      <c r="N84" s="2"/>
      <c r="O84" s="2"/>
      <c r="P84" s="2"/>
      <c r="Q84" s="2"/>
      <c r="U84" s="2" t="s">
        <v>200</v>
      </c>
      <c r="V84" s="2"/>
      <c r="W84" s="1401"/>
      <c r="X84" s="1336"/>
      <c r="Y84" s="1401"/>
      <c r="Z84" s="1336"/>
      <c r="AA84" s="105"/>
      <c r="AB84" s="2"/>
      <c r="AC84" s="2"/>
      <c r="AD84" s="2"/>
      <c r="AE84" s="2"/>
      <c r="AF84" s="2"/>
      <c r="AG84" s="2"/>
      <c r="AH84" s="2"/>
      <c r="AI84" s="2"/>
      <c r="AJ84" s="2"/>
      <c r="AK84" s="2"/>
      <c r="AL84" s="2"/>
      <c r="AM84" s="2"/>
      <c r="AN84" s="2"/>
      <c r="AO84" s="2"/>
      <c r="AP84" s="2"/>
      <c r="AQ84" s="98"/>
      <c r="AR84" s="2"/>
    </row>
    <row r="85" spans="1:44" ht="12.75" customHeight="1">
      <c r="A85" s="2"/>
      <c r="B85" s="2"/>
      <c r="C85" s="2"/>
      <c r="D85" s="1062"/>
      <c r="E85" s="2"/>
      <c r="F85" s="2"/>
      <c r="G85" s="2"/>
      <c r="H85" s="2"/>
      <c r="I85" s="2"/>
      <c r="J85" s="2"/>
      <c r="K85" s="2"/>
      <c r="L85" s="2"/>
      <c r="N85" s="2"/>
      <c r="O85" s="2"/>
      <c r="P85" s="2"/>
      <c r="Q85" s="2"/>
      <c r="U85" s="2"/>
      <c r="V85" s="2"/>
      <c r="W85" s="2"/>
      <c r="X85" s="2"/>
      <c r="Y85" s="2"/>
      <c r="Z85" s="2"/>
      <c r="AA85" s="2"/>
      <c r="AB85" s="2"/>
      <c r="AC85" s="2"/>
      <c r="AD85" s="2"/>
      <c r="AE85" s="2"/>
      <c r="AF85" s="2"/>
      <c r="AG85" s="2"/>
      <c r="AH85" s="2"/>
      <c r="AI85" s="2"/>
      <c r="AJ85" s="2"/>
      <c r="AK85" s="2"/>
      <c r="AL85" s="2"/>
      <c r="AM85" s="2"/>
      <c r="AN85" s="2"/>
      <c r="AO85" s="2"/>
      <c r="AP85" s="2"/>
      <c r="AQ85" s="98"/>
      <c r="AR85" s="2"/>
    </row>
    <row r="86" spans="1:44" ht="12.75" customHeight="1">
      <c r="A86" s="2"/>
      <c r="B86" s="2"/>
      <c r="C86" s="2"/>
      <c r="D86" s="1062"/>
      <c r="E86" s="2"/>
      <c r="F86" s="2"/>
      <c r="G86" s="2"/>
      <c r="H86" s="2"/>
      <c r="I86" s="2"/>
      <c r="J86" s="2"/>
      <c r="K86" s="2"/>
      <c r="L86" s="2"/>
      <c r="N86" s="2"/>
      <c r="O86" s="2"/>
      <c r="P86" s="2"/>
      <c r="Q86" s="2"/>
      <c r="U86" s="2"/>
      <c r="V86" s="2"/>
      <c r="W86" s="2"/>
      <c r="X86" s="2"/>
      <c r="Y86" s="2"/>
      <c r="Z86" s="2"/>
      <c r="AA86" s="2"/>
      <c r="AB86" s="2"/>
      <c r="AC86" s="1" t="s">
        <v>1650</v>
      </c>
      <c r="AD86" s="2"/>
      <c r="AE86" s="2"/>
      <c r="AF86" s="2"/>
      <c r="AG86" s="2"/>
      <c r="AH86" s="105"/>
      <c r="AI86" s="2"/>
      <c r="AJ86" s="2"/>
      <c r="AK86" s="2"/>
      <c r="AL86" s="2"/>
      <c r="AM86" s="2"/>
      <c r="AN86" s="2"/>
      <c r="AO86" s="2"/>
      <c r="AP86" s="2"/>
      <c r="AQ86" s="98"/>
      <c r="AR86" s="2"/>
    </row>
    <row r="87" spans="1:44" ht="12.75" customHeight="1">
      <c r="A87" s="2"/>
      <c r="B87" s="2"/>
      <c r="C87" s="2"/>
      <c r="D87" s="1062"/>
      <c r="E87" s="2"/>
      <c r="F87" s="2"/>
      <c r="G87" s="2"/>
      <c r="H87" s="2"/>
      <c r="I87" s="2"/>
      <c r="J87" s="2"/>
      <c r="K87" s="2"/>
      <c r="L87" s="2"/>
      <c r="N87" s="2"/>
      <c r="O87" s="2"/>
      <c r="P87" s="2"/>
      <c r="Q87" s="2"/>
      <c r="U87" s="2"/>
      <c r="V87" s="2"/>
      <c r="W87" s="2"/>
      <c r="X87" s="2"/>
      <c r="Y87" s="2"/>
      <c r="Z87" s="2"/>
      <c r="AA87" s="2"/>
      <c r="AB87" s="2"/>
      <c r="AC87" s="2"/>
      <c r="AD87" s="2"/>
      <c r="AE87" s="2"/>
      <c r="AF87" s="2"/>
      <c r="AG87" s="2"/>
      <c r="AH87" s="105"/>
      <c r="AI87" s="2"/>
      <c r="AJ87" s="2"/>
      <c r="AK87" s="2"/>
      <c r="AL87" s="2"/>
      <c r="AM87" s="2"/>
      <c r="AN87" s="2"/>
      <c r="AO87" s="2"/>
      <c r="AP87" s="2"/>
      <c r="AQ87" s="98"/>
      <c r="AR87" s="2"/>
    </row>
    <row r="88" spans="1:44" ht="12.75" customHeight="1">
      <c r="A88" s="2"/>
      <c r="B88" s="2"/>
      <c r="C88" s="2"/>
      <c r="D88" s="1062"/>
      <c r="E88" s="2"/>
      <c r="F88" s="2"/>
      <c r="G88" s="2"/>
      <c r="H88" s="2"/>
      <c r="I88" s="2"/>
      <c r="J88" s="2"/>
      <c r="K88" s="2"/>
      <c r="L88" s="2"/>
      <c r="N88" s="2"/>
      <c r="O88" s="2"/>
      <c r="P88" s="2"/>
      <c r="Q88" s="2"/>
      <c r="U88" s="2"/>
      <c r="V88" s="2"/>
      <c r="W88" s="2"/>
      <c r="X88" s="2"/>
      <c r="Y88" s="2"/>
      <c r="Z88" s="2"/>
      <c r="AA88" s="2"/>
      <c r="AB88" s="2"/>
      <c r="AC88" s="2"/>
      <c r="AD88" s="1432" t="s">
        <v>406</v>
      </c>
      <c r="AE88" s="1432"/>
      <c r="AF88" s="1432" t="s">
        <v>1649</v>
      </c>
      <c r="AG88" s="1432"/>
      <c r="AH88" s="1432">
        <v>2013</v>
      </c>
      <c r="AI88" s="2"/>
      <c r="AJ88" s="2"/>
      <c r="AK88" s="2"/>
      <c r="AL88" s="2"/>
      <c r="AM88" s="2"/>
      <c r="AN88" s="2"/>
      <c r="AO88" s="2"/>
      <c r="AP88" s="2"/>
      <c r="AQ88" s="98"/>
      <c r="AR88" s="2"/>
    </row>
    <row r="89" spans="1:44" ht="12.75" customHeight="1">
      <c r="A89" s="98"/>
      <c r="B89" s="98"/>
      <c r="C89" s="98"/>
      <c r="D89" s="1092"/>
      <c r="E89" s="98"/>
      <c r="F89" s="98"/>
      <c r="G89" s="98"/>
      <c r="H89" s="98"/>
      <c r="I89" s="98"/>
      <c r="J89" s="98"/>
      <c r="K89" s="98"/>
      <c r="L89" s="98"/>
      <c r="M89" s="1403"/>
      <c r="N89" s="98"/>
      <c r="O89" s="98"/>
      <c r="P89" s="98"/>
      <c r="Q89" s="98"/>
      <c r="R89" s="1403"/>
      <c r="S89" s="1403"/>
      <c r="T89" s="1403"/>
      <c r="U89" s="98"/>
      <c r="V89" s="98"/>
      <c r="W89" s="98"/>
      <c r="X89" s="98"/>
      <c r="Y89" s="98"/>
      <c r="Z89" s="98"/>
      <c r="AA89" s="98"/>
      <c r="AB89" s="98"/>
      <c r="AC89" s="98" t="s">
        <v>1719</v>
      </c>
      <c r="AD89" s="1423">
        <v>744.21</v>
      </c>
      <c r="AE89" s="1082"/>
      <c r="AF89" s="1423">
        <v>752.81</v>
      </c>
      <c r="AG89" s="1423"/>
      <c r="AH89" s="1423">
        <v>2957.77</v>
      </c>
      <c r="AI89" s="98"/>
      <c r="AJ89" s="98"/>
      <c r="AK89" s="98"/>
      <c r="AL89" s="98"/>
      <c r="AM89" s="98"/>
      <c r="AN89" s="98"/>
      <c r="AO89" s="98"/>
      <c r="AP89" s="98"/>
      <c r="AQ89" s="98"/>
      <c r="AR89" s="98"/>
    </row>
    <row r="90" spans="1:44" ht="12.75" customHeight="1">
      <c r="A90" s="98"/>
      <c r="B90" s="98"/>
      <c r="C90" s="98"/>
      <c r="D90" s="1092"/>
      <c r="E90" s="98"/>
      <c r="F90" s="98"/>
      <c r="G90" s="98"/>
      <c r="H90" s="98"/>
      <c r="I90" s="98"/>
      <c r="J90" s="98"/>
      <c r="K90" s="98"/>
      <c r="L90" s="98"/>
      <c r="M90" s="1403"/>
      <c r="N90" s="98"/>
      <c r="O90" s="98"/>
      <c r="P90" s="98"/>
      <c r="Q90" s="98"/>
      <c r="R90" s="1403"/>
      <c r="S90" s="1403"/>
      <c r="T90" s="1403"/>
      <c r="U90" s="98"/>
      <c r="V90" s="98"/>
      <c r="W90" s="98"/>
      <c r="X90" s="98"/>
      <c r="Y90" s="98"/>
      <c r="Z90" s="98"/>
      <c r="AA90" s="98"/>
      <c r="AB90" s="98"/>
      <c r="AC90" s="98" t="s">
        <v>401</v>
      </c>
      <c r="AD90" s="1423">
        <v>163.59</v>
      </c>
      <c r="AE90" s="1082"/>
      <c r="AF90" s="1423">
        <v>158.35</v>
      </c>
      <c r="AG90" s="1423"/>
      <c r="AH90" s="1423">
        <v>634.79</v>
      </c>
      <c r="AI90" s="98"/>
      <c r="AJ90" s="98"/>
      <c r="AK90" s="98"/>
      <c r="AL90" s="98"/>
      <c r="AM90" s="98"/>
      <c r="AN90" s="98"/>
      <c r="AO90" s="98"/>
      <c r="AP90" s="98"/>
      <c r="AQ90" s="98"/>
      <c r="AR90" s="98"/>
    </row>
    <row r="91" spans="1:44" ht="12.75" customHeight="1">
      <c r="A91" s="2"/>
      <c r="B91" s="2"/>
      <c r="C91" s="2"/>
      <c r="D91" s="1062"/>
      <c r="E91" s="2"/>
      <c r="F91" s="2"/>
      <c r="G91" s="2"/>
      <c r="H91" s="2"/>
      <c r="I91" s="2"/>
      <c r="J91" s="2"/>
      <c r="K91" s="2"/>
      <c r="L91" s="2"/>
      <c r="N91" s="2"/>
      <c r="O91" s="2"/>
      <c r="P91" s="2"/>
      <c r="Q91" s="2"/>
      <c r="U91" s="2"/>
      <c r="V91" s="2"/>
      <c r="W91" s="2"/>
      <c r="X91" s="2"/>
      <c r="Y91" s="2"/>
      <c r="Z91" s="2"/>
      <c r="AA91" s="2"/>
      <c r="AB91" s="2"/>
      <c r="AC91" s="2" t="s">
        <v>200</v>
      </c>
      <c r="AD91" s="1068">
        <v>0.01</v>
      </c>
      <c r="AE91" s="1118"/>
      <c r="AF91" s="1068">
        <v>-0.05</v>
      </c>
      <c r="AG91" s="1068"/>
      <c r="AH91" s="1068">
        <v>-0.13</v>
      </c>
      <c r="AI91" s="2"/>
      <c r="AJ91" s="2"/>
      <c r="AK91" s="2"/>
      <c r="AL91" s="2"/>
      <c r="AM91" s="2"/>
      <c r="AN91" s="2"/>
      <c r="AO91" s="2"/>
      <c r="AP91" s="2"/>
      <c r="AQ91" s="98"/>
      <c r="AR91" s="2"/>
    </row>
    <row r="92" spans="1:44" ht="12.75" customHeight="1">
      <c r="A92" s="2"/>
      <c r="B92" s="2"/>
      <c r="C92" s="2"/>
      <c r="D92" s="1062"/>
      <c r="E92" s="2"/>
      <c r="F92" s="2"/>
      <c r="G92" s="2"/>
      <c r="H92" s="2"/>
      <c r="I92" s="2"/>
      <c r="J92" s="2"/>
      <c r="K92" s="2"/>
      <c r="L92" s="2"/>
      <c r="N92" s="2"/>
      <c r="O92" s="2"/>
      <c r="P92" s="2"/>
      <c r="Q92" s="2"/>
      <c r="U92" s="2"/>
      <c r="V92" s="2"/>
      <c r="W92" s="2"/>
      <c r="X92" s="2"/>
      <c r="Y92" s="2"/>
      <c r="Z92" s="2"/>
      <c r="AA92" s="2"/>
      <c r="AB92" s="2"/>
      <c r="AC92" s="2"/>
      <c r="AD92" s="2"/>
      <c r="AE92" s="2"/>
      <c r="AF92" s="2"/>
      <c r="AG92" s="2"/>
      <c r="AH92" s="2"/>
      <c r="AI92" s="2"/>
      <c r="AJ92" s="2"/>
      <c r="AK92" s="2"/>
      <c r="AL92" s="2"/>
      <c r="AM92" s="2"/>
      <c r="AN92" s="2"/>
      <c r="AO92" s="2"/>
      <c r="AP92" s="2"/>
      <c r="AQ92" s="98"/>
      <c r="AR92" s="2"/>
    </row>
    <row r="93" spans="1:44" ht="12.75" customHeight="1">
      <c r="A93" s="2"/>
      <c r="B93" s="2"/>
      <c r="C93" s="2"/>
      <c r="D93" s="1062"/>
      <c r="E93" s="2"/>
      <c r="F93" s="2"/>
      <c r="G93" s="2"/>
      <c r="H93" s="2"/>
      <c r="I93" s="2"/>
      <c r="J93" s="2"/>
      <c r="K93" s="2"/>
      <c r="L93" s="2"/>
      <c r="N93" s="2"/>
      <c r="O93" s="2"/>
      <c r="P93" s="2"/>
      <c r="Q93" s="2"/>
      <c r="U93" s="2"/>
      <c r="V93" s="2"/>
      <c r="W93" s="2"/>
      <c r="X93" s="2"/>
      <c r="Y93" s="2"/>
      <c r="Z93" s="2"/>
      <c r="AA93" s="2"/>
      <c r="AB93" s="2"/>
      <c r="AC93" s="2"/>
      <c r="AD93" s="2"/>
      <c r="AE93" s="2"/>
      <c r="AF93" s="2"/>
      <c r="AG93" s="2"/>
      <c r="AH93" s="2"/>
      <c r="AI93" s="2"/>
      <c r="AJ93" s="69" t="s">
        <v>1651</v>
      </c>
      <c r="AQ93" s="98"/>
      <c r="AR93" s="2"/>
    </row>
    <row r="94" spans="1:44" ht="12.75" customHeight="1">
      <c r="A94" s="2"/>
      <c r="B94" s="2"/>
      <c r="C94" s="2"/>
      <c r="D94" s="1062"/>
      <c r="E94" s="2"/>
      <c r="F94" s="2"/>
      <c r="G94" s="2"/>
      <c r="H94" s="2"/>
      <c r="I94" s="2"/>
      <c r="J94" s="2"/>
      <c r="K94" s="2"/>
      <c r="L94" s="2"/>
      <c r="N94" s="2"/>
      <c r="O94" s="2"/>
      <c r="P94" s="2"/>
      <c r="Q94" s="2"/>
      <c r="U94" s="2"/>
      <c r="V94" s="2"/>
      <c r="W94" s="2"/>
      <c r="X94" s="2"/>
      <c r="Y94" s="2"/>
      <c r="Z94" s="2"/>
      <c r="AA94" s="2"/>
      <c r="AB94" s="2"/>
      <c r="AC94" s="2"/>
      <c r="AD94" s="2"/>
      <c r="AE94" s="2"/>
      <c r="AF94" s="2"/>
      <c r="AG94" s="2"/>
      <c r="AH94" s="2"/>
      <c r="AI94" s="2"/>
      <c r="AJ94" s="69"/>
      <c r="AQ94" s="98"/>
      <c r="AR94" s="2"/>
    </row>
    <row r="95" spans="1:44" ht="12.75" customHeight="1">
      <c r="A95" s="2"/>
      <c r="B95" s="2"/>
      <c r="C95" s="2"/>
      <c r="D95" s="1062"/>
      <c r="E95" s="2"/>
      <c r="F95" s="2"/>
      <c r="G95" s="2"/>
      <c r="H95" s="2"/>
      <c r="I95" s="2"/>
      <c r="J95" s="2"/>
      <c r="K95" s="2"/>
      <c r="L95" s="2"/>
      <c r="N95" s="2"/>
      <c r="O95" s="2"/>
      <c r="P95" s="2"/>
      <c r="Q95" s="2"/>
      <c r="U95" s="2"/>
      <c r="V95" s="2"/>
      <c r="W95" s="2"/>
      <c r="X95" s="2"/>
      <c r="Y95" s="2"/>
      <c r="Z95" s="2"/>
      <c r="AA95" s="2"/>
      <c r="AB95" s="2"/>
      <c r="AC95" s="2"/>
      <c r="AD95" s="2"/>
      <c r="AE95" s="2"/>
      <c r="AF95" s="2"/>
      <c r="AG95" s="2"/>
      <c r="AH95" s="2"/>
      <c r="AI95" s="2"/>
      <c r="AJ95" s="1447"/>
      <c r="AK95" s="1449"/>
      <c r="AL95" s="1447"/>
      <c r="AM95" s="1447"/>
      <c r="AN95" s="1447"/>
      <c r="AO95" s="1447"/>
      <c r="AP95" s="1447"/>
      <c r="AQ95" s="98"/>
      <c r="AR95" s="2"/>
    </row>
    <row r="96" spans="1:44" ht="12.75" customHeight="1">
      <c r="A96" s="2"/>
      <c r="B96" s="2"/>
      <c r="C96" s="2"/>
      <c r="D96" s="1062"/>
      <c r="E96" s="2"/>
      <c r="F96" s="2"/>
      <c r="G96" s="2"/>
      <c r="H96" s="2"/>
      <c r="I96" s="2"/>
      <c r="J96" s="2"/>
      <c r="K96" s="2"/>
      <c r="L96" s="2"/>
      <c r="N96" s="2"/>
      <c r="O96" s="2"/>
      <c r="P96" s="2"/>
      <c r="Q96" s="2"/>
      <c r="U96" s="2"/>
      <c r="V96" s="2"/>
      <c r="W96" s="2"/>
      <c r="X96" s="2"/>
      <c r="Y96" s="2"/>
      <c r="Z96" s="2"/>
      <c r="AA96" s="2"/>
      <c r="AB96" s="2"/>
      <c r="AC96" s="2"/>
      <c r="AD96" s="2"/>
      <c r="AE96" s="2"/>
      <c r="AF96" s="2"/>
      <c r="AG96" s="2"/>
      <c r="AH96" s="2"/>
      <c r="AI96" s="2"/>
      <c r="AJ96" s="111" t="s">
        <v>1610</v>
      </c>
      <c r="AK96" s="1289" t="s">
        <v>552</v>
      </c>
      <c r="AL96" s="1448"/>
      <c r="AM96" s="1289" t="s">
        <v>405</v>
      </c>
      <c r="AN96" s="1448"/>
      <c r="AO96" s="1289" t="s">
        <v>1489</v>
      </c>
      <c r="AP96" s="1629"/>
      <c r="AQ96" s="98"/>
      <c r="AR96" s="2"/>
    </row>
    <row r="97" spans="1:44" ht="3" customHeight="1">
      <c r="A97" s="2"/>
      <c r="B97" s="2"/>
      <c r="C97" s="2"/>
      <c r="D97" s="1062"/>
      <c r="E97" s="2"/>
      <c r="F97" s="2"/>
      <c r="G97" s="2"/>
      <c r="H97" s="2"/>
      <c r="I97" s="2"/>
      <c r="J97" s="2"/>
      <c r="K97" s="2"/>
      <c r="L97" s="2"/>
      <c r="N97" s="2"/>
      <c r="O97" s="2"/>
      <c r="P97" s="2"/>
      <c r="Q97" s="2"/>
      <c r="U97" s="2"/>
      <c r="V97" s="2"/>
      <c r="W97" s="2"/>
      <c r="X97" s="2"/>
      <c r="Y97" s="2"/>
      <c r="Z97" s="2"/>
      <c r="AA97" s="2"/>
      <c r="AB97" s="2"/>
      <c r="AC97" s="2"/>
      <c r="AD97" s="2"/>
      <c r="AE97" s="2"/>
      <c r="AF97" s="2"/>
      <c r="AG97" s="2"/>
      <c r="AH97" s="2"/>
      <c r="AI97" s="2"/>
      <c r="AJ97" s="69"/>
      <c r="AK97" s="1449"/>
      <c r="AL97" s="1449"/>
      <c r="AM97" s="1449"/>
      <c r="AN97" s="1449"/>
      <c r="AO97" s="1449"/>
      <c r="AP97" s="1449"/>
      <c r="AQ97" s="98"/>
      <c r="AR97" s="2"/>
    </row>
    <row r="98" spans="1:44" ht="12.75" customHeight="1">
      <c r="A98" s="1205"/>
      <c r="B98" s="1205"/>
      <c r="C98" s="1205"/>
      <c r="D98" s="2220"/>
      <c r="E98" s="1205"/>
      <c r="F98" s="1205"/>
      <c r="G98" s="1205"/>
      <c r="H98" s="1205"/>
      <c r="I98" s="1205"/>
      <c r="J98" s="1205"/>
      <c r="K98" s="1205"/>
      <c r="L98" s="1205"/>
      <c r="M98" s="2266"/>
      <c r="N98" s="1205"/>
      <c r="O98" s="1205"/>
      <c r="P98" s="1205"/>
      <c r="Q98" s="1205"/>
      <c r="R98" s="2266"/>
      <c r="S98" s="2266"/>
      <c r="T98" s="2266"/>
      <c r="U98" s="1205"/>
      <c r="V98" s="1205"/>
      <c r="W98" s="1205"/>
      <c r="X98" s="1205"/>
      <c r="Y98" s="1205"/>
      <c r="Z98" s="1205"/>
      <c r="AA98" s="1205"/>
      <c r="AB98" s="1205"/>
      <c r="AC98" s="1205"/>
      <c r="AD98" s="1205"/>
      <c r="AE98" s="1205"/>
      <c r="AF98" s="1205"/>
      <c r="AG98" s="1205"/>
      <c r="AH98" s="1205"/>
      <c r="AI98" s="1205"/>
      <c r="AJ98" s="2267" t="s">
        <v>407</v>
      </c>
      <c r="AK98" s="2276" t="s">
        <v>3</v>
      </c>
      <c r="AL98" s="1205"/>
      <c r="AM98" s="2272">
        <f>+BYD!AX110</f>
        <v>132.33999999999997</v>
      </c>
      <c r="AN98" s="1205"/>
      <c r="AO98" s="2272"/>
      <c r="AP98" s="1205"/>
      <c r="AQ98" s="98"/>
      <c r="AR98" s="1205"/>
    </row>
    <row r="99" spans="1:44" ht="12.75" customHeight="1">
      <c r="A99" s="1205"/>
      <c r="B99" s="1205"/>
      <c r="C99" s="1205"/>
      <c r="D99" s="2220"/>
      <c r="E99" s="1205"/>
      <c r="F99" s="1205"/>
      <c r="G99" s="1205"/>
      <c r="H99" s="1205"/>
      <c r="I99" s="1205"/>
      <c r="J99" s="1205"/>
      <c r="K99" s="1205"/>
      <c r="L99" s="1205"/>
      <c r="M99" s="2266"/>
      <c r="N99" s="1205"/>
      <c r="O99" s="1205"/>
      <c r="P99" s="1205"/>
      <c r="Q99" s="1205"/>
      <c r="R99" s="2266"/>
      <c r="S99" s="2266"/>
      <c r="T99" s="2266"/>
      <c r="U99" s="1205"/>
      <c r="V99" s="1205"/>
      <c r="W99" s="1205"/>
      <c r="X99" s="1205"/>
      <c r="Y99" s="1205"/>
      <c r="Z99" s="1205"/>
      <c r="AA99" s="1205"/>
      <c r="AB99" s="1205"/>
      <c r="AC99" s="1205"/>
      <c r="AD99" s="1205"/>
      <c r="AE99" s="1205"/>
      <c r="AF99" s="1205"/>
      <c r="AG99" s="1205"/>
      <c r="AH99" s="1205"/>
      <c r="AI99" s="1205"/>
      <c r="AJ99" s="2267" t="s">
        <v>1614</v>
      </c>
      <c r="AK99" s="2268" t="s">
        <v>4</v>
      </c>
      <c r="AL99" s="2269"/>
      <c r="AM99" s="2272">
        <f>+BYD!AY927</f>
        <v>46.591999999999999</v>
      </c>
      <c r="AN99" s="2269"/>
      <c r="AO99" s="2272"/>
      <c r="AP99" s="2271"/>
      <c r="AQ99" s="98"/>
      <c r="AR99" s="1205"/>
    </row>
    <row r="100" spans="1:44" ht="6" customHeight="1">
      <c r="A100" s="2"/>
      <c r="B100" s="2"/>
      <c r="C100" s="2"/>
      <c r="D100" s="1062"/>
      <c r="E100" s="2"/>
      <c r="F100" s="2"/>
      <c r="G100" s="2"/>
      <c r="H100" s="2"/>
      <c r="I100" s="2"/>
      <c r="J100" s="2"/>
      <c r="K100" s="2"/>
      <c r="L100" s="2"/>
      <c r="N100" s="2"/>
      <c r="O100" s="2"/>
      <c r="P100" s="2"/>
      <c r="Q100" s="2"/>
      <c r="U100" s="2"/>
      <c r="V100" s="2"/>
      <c r="W100" s="2"/>
      <c r="X100" s="2"/>
      <c r="Y100" s="2"/>
      <c r="Z100" s="2"/>
      <c r="AA100" s="2"/>
      <c r="AB100" s="2"/>
      <c r="AC100" s="2"/>
      <c r="AD100" s="2"/>
      <c r="AE100" s="2"/>
      <c r="AF100" s="2"/>
      <c r="AG100" s="2"/>
      <c r="AH100" s="2"/>
      <c r="AI100" s="2"/>
      <c r="AJ100" s="1447"/>
      <c r="AK100" s="1614"/>
      <c r="AL100" s="1449"/>
      <c r="AM100" s="1450"/>
      <c r="AN100" s="1449"/>
      <c r="AO100" s="1450"/>
      <c r="AP100" s="1450"/>
      <c r="AQ100" s="98"/>
      <c r="AR100" s="2"/>
    </row>
    <row r="101" spans="1:44" ht="12.75" customHeight="1">
      <c r="A101" s="1205"/>
      <c r="B101" s="1205"/>
      <c r="C101" s="1205"/>
      <c r="D101" s="2220"/>
      <c r="E101" s="1205"/>
      <c r="F101" s="1205"/>
      <c r="G101" s="1205"/>
      <c r="H101" s="1205"/>
      <c r="I101" s="1205"/>
      <c r="J101" s="1205"/>
      <c r="K101" s="1205"/>
      <c r="L101" s="1205"/>
      <c r="M101" s="2273"/>
      <c r="N101" s="1205"/>
      <c r="O101" s="1205"/>
      <c r="P101" s="1205"/>
      <c r="Q101" s="1205"/>
      <c r="R101" s="2273"/>
      <c r="S101" s="2273"/>
      <c r="T101" s="2273"/>
      <c r="U101" s="1205"/>
      <c r="V101" s="1205"/>
      <c r="W101" s="1205"/>
      <c r="X101" s="1205"/>
      <c r="Y101" s="1205"/>
      <c r="Z101" s="1205"/>
      <c r="AA101" s="1205"/>
      <c r="AB101" s="1205"/>
      <c r="AC101" s="1205"/>
      <c r="AD101" s="1205"/>
      <c r="AE101" s="1205"/>
      <c r="AF101" s="1205"/>
      <c r="AG101" s="1205"/>
      <c r="AH101" s="1205"/>
      <c r="AI101" s="1205"/>
      <c r="AJ101" s="2267" t="s">
        <v>498</v>
      </c>
      <c r="AK101" s="2268" t="s">
        <v>1</v>
      </c>
      <c r="AL101" s="2269"/>
      <c r="AM101" s="2270">
        <f>+SUM(AM98:AM100)</f>
        <v>178.93199999999996</v>
      </c>
      <c r="AN101" s="2269"/>
      <c r="AO101" s="2268">
        <v>158.35</v>
      </c>
      <c r="AP101" s="2271"/>
      <c r="AQ101" s="98"/>
      <c r="AR101" s="1205"/>
    </row>
    <row r="102" spans="1:44" ht="6" customHeight="1">
      <c r="A102" s="2"/>
      <c r="B102" s="2"/>
      <c r="C102" s="2"/>
      <c r="D102" s="1062"/>
      <c r="E102" s="2"/>
      <c r="F102" s="2"/>
      <c r="G102" s="2"/>
      <c r="H102" s="2"/>
      <c r="I102" s="2"/>
      <c r="J102" s="2"/>
      <c r="K102" s="2"/>
      <c r="L102" s="2"/>
      <c r="N102" s="2"/>
      <c r="O102" s="2"/>
      <c r="P102" s="2"/>
      <c r="Q102" s="2"/>
      <c r="U102" s="2"/>
      <c r="V102" s="2"/>
      <c r="W102" s="2"/>
      <c r="X102" s="2"/>
      <c r="Y102" s="2"/>
      <c r="Z102" s="2"/>
      <c r="AA102" s="2"/>
      <c r="AB102" s="2"/>
      <c r="AC102" s="2"/>
      <c r="AD102" s="2"/>
      <c r="AE102" s="2"/>
      <c r="AF102" s="2"/>
      <c r="AG102" s="2"/>
      <c r="AH102" s="2"/>
      <c r="AI102" s="2"/>
      <c r="AJ102" s="1447"/>
      <c r="AK102" s="1614"/>
      <c r="AL102" s="1449"/>
      <c r="AM102" s="1450"/>
      <c r="AN102" s="1449"/>
      <c r="AO102" s="1450"/>
      <c r="AP102" s="1450"/>
      <c r="AQ102" s="98"/>
      <c r="AR102" s="2"/>
    </row>
    <row r="103" spans="1:44" ht="12.75" customHeight="1">
      <c r="A103" s="2"/>
      <c r="B103" s="2"/>
      <c r="C103" s="2"/>
      <c r="D103" s="1062"/>
      <c r="E103" s="2"/>
      <c r="F103" s="2"/>
      <c r="G103" s="2"/>
      <c r="H103" s="2"/>
      <c r="I103" s="2"/>
      <c r="J103" s="2"/>
      <c r="K103" s="2"/>
      <c r="L103" s="2"/>
      <c r="N103" s="2"/>
      <c r="O103" s="2"/>
      <c r="P103" s="2"/>
      <c r="Q103" s="2"/>
      <c r="U103" s="2"/>
      <c r="V103" s="2"/>
      <c r="W103" s="2"/>
      <c r="X103" s="2"/>
      <c r="Y103" s="2"/>
      <c r="Z103" s="2"/>
      <c r="AA103" s="2"/>
      <c r="AB103" s="2"/>
      <c r="AC103" s="2"/>
      <c r="AD103" s="2"/>
      <c r="AE103" s="2"/>
      <c r="AF103" s="2"/>
      <c r="AG103" s="2"/>
      <c r="AH103" s="2"/>
      <c r="AI103" s="2"/>
      <c r="AJ103" s="1447" t="s">
        <v>1615</v>
      </c>
      <c r="AK103" s="1614" t="s">
        <v>5</v>
      </c>
      <c r="AL103" s="1449"/>
      <c r="AM103" s="2265">
        <f>+BYD!AY91</f>
        <v>-0.36747575205553612</v>
      </c>
      <c r="AN103" s="1449"/>
      <c r="AO103" s="2265">
        <v>-0.05</v>
      </c>
      <c r="AP103" s="1466"/>
      <c r="AQ103" s="98"/>
      <c r="AR103" s="2"/>
    </row>
    <row r="104" spans="1:44" ht="6" customHeight="1">
      <c r="A104" s="2"/>
      <c r="B104" s="2"/>
      <c r="C104" s="2"/>
      <c r="D104" s="1062"/>
      <c r="E104" s="2"/>
      <c r="F104" s="2"/>
      <c r="G104" s="2"/>
      <c r="H104" s="2"/>
      <c r="I104" s="2"/>
      <c r="J104" s="2"/>
      <c r="K104" s="2"/>
      <c r="L104" s="2"/>
      <c r="N104" s="2"/>
      <c r="O104" s="2"/>
      <c r="P104" s="2"/>
      <c r="Q104" s="2"/>
      <c r="U104" s="2"/>
      <c r="V104" s="2"/>
      <c r="W104" s="2"/>
      <c r="X104" s="2"/>
      <c r="Y104" s="2"/>
      <c r="Z104" s="2"/>
      <c r="AA104" s="2"/>
      <c r="AB104" s="2"/>
      <c r="AC104" s="2"/>
      <c r="AD104" s="2"/>
      <c r="AE104" s="2"/>
      <c r="AF104" s="2"/>
      <c r="AG104" s="2"/>
      <c r="AH104" s="2"/>
      <c r="AI104" s="2"/>
      <c r="AJ104" s="1447"/>
      <c r="AK104" s="1450"/>
      <c r="AL104" s="1449"/>
      <c r="AM104" s="1449"/>
      <c r="AN104" s="1449"/>
      <c r="AO104" s="1449"/>
      <c r="AP104" s="1449"/>
      <c r="AQ104" s="98"/>
      <c r="AR104" s="2"/>
    </row>
    <row r="105" spans="1:44" ht="12.75" customHeight="1">
      <c r="A105" s="2"/>
      <c r="B105" s="2"/>
      <c r="C105" s="2"/>
      <c r="D105" s="1062"/>
      <c r="E105" s="2"/>
      <c r="F105" s="2"/>
      <c r="G105" s="2"/>
      <c r="H105" s="2"/>
      <c r="I105" s="2"/>
      <c r="J105" s="2"/>
      <c r="K105" s="2"/>
      <c r="L105" s="2"/>
      <c r="N105" s="2"/>
      <c r="O105" s="2"/>
      <c r="P105" s="2"/>
      <c r="Q105" s="2"/>
      <c r="U105" s="2"/>
      <c r="V105" s="2"/>
      <c r="W105" s="2"/>
      <c r="X105" s="2"/>
      <c r="Y105" s="2"/>
      <c r="Z105" s="2"/>
      <c r="AA105" s="2"/>
      <c r="AB105" s="2"/>
      <c r="AC105" s="2"/>
      <c r="AD105" s="2"/>
      <c r="AE105" s="2"/>
      <c r="AF105" s="2"/>
      <c r="AG105" s="2"/>
      <c r="AH105" s="2"/>
      <c r="AI105" s="2"/>
      <c r="AJ105" s="2" t="s">
        <v>408</v>
      </c>
      <c r="AK105" s="2"/>
      <c r="AL105" s="2"/>
      <c r="AM105" s="2"/>
      <c r="AN105" s="2"/>
      <c r="AO105" s="2"/>
      <c r="AP105" s="2"/>
      <c r="AQ105" s="98"/>
      <c r="AR105" s="2"/>
    </row>
    <row r="106" spans="1:44" ht="12.75" customHeight="1">
      <c r="A106" s="2"/>
      <c r="B106" s="2"/>
      <c r="C106" s="2"/>
      <c r="D106" s="1062"/>
      <c r="E106" s="2"/>
      <c r="F106" s="2"/>
      <c r="G106" s="2"/>
      <c r="H106" s="2"/>
      <c r="I106" s="2"/>
      <c r="J106" s="2"/>
      <c r="K106" s="2"/>
      <c r="L106" s="2"/>
      <c r="N106" s="2"/>
      <c r="O106" s="2"/>
      <c r="P106" s="2"/>
      <c r="Q106" s="2"/>
      <c r="U106" s="2"/>
      <c r="V106" s="2"/>
      <c r="W106" s="2"/>
      <c r="X106" s="2"/>
      <c r="Y106" s="2"/>
      <c r="Z106" s="2"/>
      <c r="AA106" s="2"/>
      <c r="AB106" s="2"/>
      <c r="AC106" s="2"/>
      <c r="AD106" s="2"/>
      <c r="AE106" s="2"/>
      <c r="AF106" s="2"/>
      <c r="AG106" s="2"/>
      <c r="AH106" s="2"/>
      <c r="AI106" s="2"/>
      <c r="AJ106" s="2"/>
      <c r="AK106" s="2"/>
      <c r="AL106" s="2"/>
      <c r="AM106" s="2"/>
      <c r="AN106" s="2"/>
      <c r="AO106" s="2"/>
      <c r="AP106" s="1" t="s">
        <v>6</v>
      </c>
      <c r="AQ106" s="98"/>
      <c r="AR106" s="2"/>
    </row>
    <row r="107" spans="1:44" ht="12.75" customHeight="1">
      <c r="A107" s="2"/>
      <c r="B107" s="2"/>
      <c r="C107" s="2"/>
      <c r="D107" s="1062"/>
      <c r="E107" s="2"/>
      <c r="F107" s="2"/>
      <c r="G107" s="2"/>
      <c r="H107" s="2"/>
      <c r="I107" s="2"/>
      <c r="J107" s="2"/>
      <c r="K107" s="2"/>
      <c r="L107" s="2"/>
      <c r="N107" s="2"/>
      <c r="O107" s="2"/>
      <c r="P107" s="2"/>
      <c r="Q107" s="2"/>
      <c r="U107" s="2"/>
      <c r="V107" s="2"/>
      <c r="W107" s="2"/>
      <c r="X107" s="2"/>
      <c r="Y107" s="2"/>
      <c r="Z107" s="2"/>
      <c r="AA107" s="2"/>
      <c r="AB107" s="2"/>
      <c r="AC107" s="2"/>
      <c r="AD107" s="2"/>
      <c r="AE107" s="2"/>
      <c r="AF107" s="2"/>
      <c r="AG107" s="2"/>
      <c r="AH107" s="2"/>
      <c r="AI107" s="2"/>
      <c r="AJ107" s="2"/>
      <c r="AK107" s="2"/>
      <c r="AL107" s="2"/>
      <c r="AM107" s="2"/>
      <c r="AN107" s="2"/>
      <c r="AO107" s="2"/>
      <c r="AP107" s="1" t="s">
        <v>7</v>
      </c>
      <c r="AQ107" s="98"/>
      <c r="AR107" s="101" t="s">
        <v>405</v>
      </c>
    </row>
    <row r="108" spans="1:44" ht="12.75" customHeight="1">
      <c r="A108" s="2"/>
      <c r="B108" s="2"/>
      <c r="C108" s="2"/>
      <c r="D108" s="1062"/>
      <c r="E108" s="2"/>
      <c r="F108" s="2"/>
      <c r="G108" s="2"/>
      <c r="H108" s="2"/>
      <c r="I108" s="2"/>
      <c r="J108" s="2"/>
      <c r="K108" s="2"/>
      <c r="L108" s="2"/>
      <c r="N108" s="2"/>
      <c r="O108" s="2"/>
      <c r="P108" s="2"/>
      <c r="Q108" s="2"/>
      <c r="U108" s="2"/>
      <c r="V108" s="2"/>
      <c r="W108" s="2"/>
      <c r="X108" s="2"/>
      <c r="Y108" s="2"/>
      <c r="Z108" s="2"/>
      <c r="AA108" s="2"/>
      <c r="AB108" s="2"/>
      <c r="AC108" s="2"/>
      <c r="AD108" s="2"/>
      <c r="AE108" s="2"/>
      <c r="AF108" s="2"/>
      <c r="AG108" s="2"/>
      <c r="AH108" s="2"/>
      <c r="AI108" s="2"/>
      <c r="AJ108" s="2"/>
      <c r="AK108" s="2"/>
      <c r="AL108" s="2"/>
      <c r="AM108" s="2"/>
      <c r="AN108" s="2"/>
      <c r="AO108" s="2"/>
      <c r="AP108" s="2" t="s">
        <v>514</v>
      </c>
      <c r="AQ108" s="1349">
        <v>149.72999999999999</v>
      </c>
      <c r="AR108" s="2">
        <f>+BYD!AX10</f>
        <v>149.69</v>
      </c>
    </row>
    <row r="109" spans="1:44" ht="12.75" customHeight="1">
      <c r="A109" s="2"/>
      <c r="B109" s="2"/>
      <c r="C109" s="2"/>
      <c r="D109" s="1062"/>
      <c r="E109" s="2"/>
      <c r="F109" s="2"/>
      <c r="G109" s="2"/>
      <c r="H109" s="2"/>
      <c r="I109" s="2"/>
      <c r="J109" s="2"/>
      <c r="K109" s="2"/>
      <c r="L109" s="2"/>
      <c r="N109" s="2"/>
      <c r="O109" s="2"/>
      <c r="P109" s="2"/>
      <c r="Q109" s="2"/>
      <c r="U109" s="2"/>
      <c r="V109" s="2"/>
      <c r="W109" s="2"/>
      <c r="X109" s="2"/>
      <c r="Y109" s="2"/>
      <c r="Z109" s="2"/>
      <c r="AA109" s="2"/>
      <c r="AB109" s="2"/>
      <c r="AC109" s="2"/>
      <c r="AD109" s="2"/>
      <c r="AE109" s="2"/>
      <c r="AF109" s="2"/>
      <c r="AG109" s="2"/>
      <c r="AH109" s="2"/>
      <c r="AI109" s="2"/>
      <c r="AJ109" s="2"/>
      <c r="AK109" s="2"/>
      <c r="AL109" s="2"/>
      <c r="AM109" s="2"/>
      <c r="AN109" s="2"/>
      <c r="AO109" s="2"/>
      <c r="AP109" s="2" t="s">
        <v>515</v>
      </c>
      <c r="AQ109" s="1102">
        <v>56.23</v>
      </c>
      <c r="AR109" s="2">
        <f>+BYD!AX11</f>
        <v>56.128</v>
      </c>
    </row>
    <row r="110" spans="1:44" ht="12.75" customHeight="1">
      <c r="A110" s="2"/>
      <c r="B110" s="2"/>
      <c r="C110" s="2"/>
      <c r="D110" s="1062"/>
      <c r="E110" s="2"/>
      <c r="F110" s="2"/>
      <c r="G110" s="2"/>
      <c r="H110" s="2"/>
      <c r="I110" s="2"/>
      <c r="J110" s="2"/>
      <c r="K110" s="2"/>
      <c r="L110" s="2"/>
      <c r="N110" s="2"/>
      <c r="O110" s="2"/>
      <c r="P110" s="2"/>
      <c r="Q110" s="2"/>
      <c r="U110" s="2"/>
      <c r="V110" s="2"/>
      <c r="W110" s="2"/>
      <c r="X110" s="2"/>
      <c r="Y110" s="2"/>
      <c r="Z110" s="2"/>
      <c r="AA110" s="2"/>
      <c r="AB110" s="2"/>
      <c r="AC110" s="2"/>
      <c r="AD110" s="2"/>
      <c r="AE110" s="2"/>
      <c r="AF110" s="2"/>
      <c r="AG110" s="2"/>
      <c r="AH110" s="2"/>
      <c r="AI110" s="2"/>
      <c r="AJ110" s="2"/>
      <c r="AK110" s="2"/>
      <c r="AL110" s="2"/>
      <c r="AM110" s="2"/>
      <c r="AN110" s="2"/>
      <c r="AO110" s="2"/>
      <c r="AP110" s="2" t="s">
        <v>516</v>
      </c>
      <c r="AQ110" s="1102">
        <v>234.18</v>
      </c>
      <c r="AR110" s="2">
        <f>+BYD!AX13</f>
        <v>224.273</v>
      </c>
    </row>
    <row r="111" spans="1:44" ht="12.75" customHeight="1">
      <c r="A111" s="2"/>
      <c r="B111" s="2"/>
      <c r="C111" s="2"/>
      <c r="D111" s="1062"/>
      <c r="E111" s="2"/>
      <c r="F111" s="2"/>
      <c r="G111" s="2"/>
      <c r="H111" s="2"/>
      <c r="I111" s="2"/>
      <c r="J111" s="2"/>
      <c r="K111" s="2"/>
      <c r="L111" s="2"/>
      <c r="N111" s="2"/>
      <c r="O111" s="2"/>
      <c r="P111" s="2"/>
      <c r="Q111" s="2"/>
      <c r="U111" s="2"/>
      <c r="V111" s="2"/>
      <c r="W111" s="2"/>
      <c r="X111" s="2"/>
      <c r="Y111" s="2"/>
      <c r="Z111" s="2"/>
      <c r="AA111" s="2"/>
      <c r="AB111" s="2"/>
      <c r="AC111" s="2"/>
      <c r="AD111" s="2"/>
      <c r="AE111" s="2"/>
      <c r="AF111" s="2"/>
      <c r="AG111" s="2"/>
      <c r="AH111" s="2"/>
      <c r="AI111" s="2"/>
      <c r="AJ111" s="2"/>
      <c r="AK111" s="2"/>
      <c r="AL111" s="2"/>
      <c r="AM111" s="2"/>
      <c r="AN111" s="2"/>
      <c r="AO111" s="2"/>
      <c r="AP111" s="2" t="s">
        <v>517</v>
      </c>
      <c r="AQ111" s="1102">
        <v>137.13</v>
      </c>
      <c r="AR111" s="2">
        <f>+BYD!AX14</f>
        <v>135.78</v>
      </c>
    </row>
    <row r="112" spans="1:44" ht="12.75" customHeight="1">
      <c r="A112" s="2"/>
      <c r="B112" s="2"/>
      <c r="C112" s="2"/>
      <c r="D112" s="1062"/>
      <c r="E112" s="2"/>
      <c r="F112" s="2"/>
      <c r="G112" s="2"/>
      <c r="H112" s="2"/>
      <c r="I112" s="2"/>
      <c r="J112" s="2"/>
      <c r="K112" s="2"/>
      <c r="L112" s="2"/>
      <c r="N112" s="2"/>
      <c r="O112" s="2"/>
      <c r="P112" s="2"/>
      <c r="Q112" s="2"/>
      <c r="U112" s="2"/>
      <c r="V112" s="2"/>
      <c r="W112" s="2"/>
      <c r="X112" s="2"/>
      <c r="Y112" s="2"/>
      <c r="Z112" s="2"/>
      <c r="AA112" s="2"/>
      <c r="AB112" s="2"/>
      <c r="AC112" s="2"/>
      <c r="AD112" s="2"/>
      <c r="AE112" s="2"/>
      <c r="AF112" s="2"/>
      <c r="AG112" s="2"/>
      <c r="AH112" s="2"/>
      <c r="AI112" s="2"/>
      <c r="AJ112" s="2"/>
      <c r="AK112" s="2"/>
      <c r="AL112" s="2"/>
      <c r="AM112" s="2"/>
      <c r="AN112" s="2"/>
      <c r="AO112" s="2"/>
      <c r="AP112" s="2" t="s">
        <v>273</v>
      </c>
      <c r="AQ112" s="1102">
        <v>164.03</v>
      </c>
      <c r="AR112" s="2">
        <f>+BYD!AX17</f>
        <v>0</v>
      </c>
    </row>
    <row r="113" spans="1:44" ht="12.75" customHeight="1">
      <c r="A113" s="2"/>
      <c r="B113" s="2"/>
      <c r="C113" s="2"/>
      <c r="D113" s="1062"/>
      <c r="E113" s="2"/>
      <c r="F113" s="2"/>
      <c r="G113" s="2"/>
      <c r="H113" s="2"/>
      <c r="I113" s="2"/>
      <c r="J113" s="2"/>
      <c r="K113" s="2"/>
      <c r="L113" s="2"/>
      <c r="N113" s="2"/>
      <c r="O113" s="2"/>
      <c r="P113" s="2"/>
      <c r="Q113" s="2"/>
      <c r="U113" s="2"/>
      <c r="V113" s="2"/>
      <c r="W113" s="2"/>
      <c r="X113" s="2"/>
      <c r="Y113" s="2"/>
      <c r="Z113" s="2"/>
      <c r="AA113" s="2"/>
      <c r="AB113" s="2"/>
      <c r="AC113" s="2"/>
      <c r="AD113" s="2"/>
      <c r="AE113" s="2"/>
      <c r="AF113" s="2"/>
      <c r="AG113" s="2"/>
      <c r="AH113" s="2"/>
      <c r="AI113" s="2"/>
      <c r="AJ113" s="2"/>
      <c r="AK113" s="2"/>
      <c r="AL113" s="2"/>
      <c r="AM113" s="2"/>
      <c r="AN113" s="2"/>
      <c r="AO113" s="2"/>
      <c r="AP113" s="2" t="s">
        <v>1790</v>
      </c>
      <c r="AQ113" s="1102">
        <v>1.2</v>
      </c>
      <c r="AR113" s="2"/>
    </row>
    <row r="114" spans="1:44" ht="12.75" customHeight="1">
      <c r="A114" s="2"/>
      <c r="B114" s="2"/>
      <c r="C114" s="2"/>
      <c r="D114" s="1062"/>
      <c r="E114" s="2"/>
      <c r="F114" s="2"/>
      <c r="G114" s="2"/>
      <c r="H114" s="2"/>
      <c r="I114" s="2"/>
      <c r="J114" s="2"/>
      <c r="K114" s="2"/>
      <c r="L114" s="2"/>
      <c r="N114" s="2"/>
      <c r="O114" s="2"/>
      <c r="P114" s="2"/>
      <c r="Q114" s="2"/>
      <c r="U114" s="2"/>
      <c r="V114" s="2"/>
      <c r="W114" s="2"/>
      <c r="X114" s="2"/>
      <c r="Y114" s="2"/>
      <c r="Z114" s="2"/>
      <c r="AA114" s="2"/>
      <c r="AB114" s="2"/>
      <c r="AC114" s="2"/>
      <c r="AD114" s="2"/>
      <c r="AE114" s="2"/>
      <c r="AF114" s="2"/>
      <c r="AG114" s="2"/>
      <c r="AH114" s="2"/>
      <c r="AI114" s="2"/>
      <c r="AJ114" s="2"/>
      <c r="AK114" s="2"/>
      <c r="AL114" s="2"/>
      <c r="AM114" s="2"/>
      <c r="AN114" s="2"/>
      <c r="AO114" s="2"/>
      <c r="AP114" s="1" t="s">
        <v>401</v>
      </c>
      <c r="AQ114" s="98"/>
      <c r="AR114" s="2"/>
    </row>
    <row r="115" spans="1:44" ht="12.75" customHeight="1">
      <c r="A115" s="2"/>
      <c r="B115" s="2"/>
      <c r="C115" s="2"/>
      <c r="D115" s="1062"/>
      <c r="E115" s="2"/>
      <c r="F115" s="2"/>
      <c r="G115" s="2"/>
      <c r="H115" s="2"/>
      <c r="I115" s="2"/>
      <c r="J115" s="2"/>
      <c r="K115" s="2"/>
      <c r="L115" s="2"/>
      <c r="N115" s="2"/>
      <c r="O115" s="2"/>
      <c r="P115" s="2"/>
      <c r="Q115" s="2"/>
      <c r="U115" s="2"/>
      <c r="V115" s="2"/>
      <c r="W115" s="2"/>
      <c r="X115" s="2"/>
      <c r="Y115" s="2"/>
      <c r="Z115" s="2"/>
      <c r="AA115" s="2"/>
      <c r="AB115" s="2"/>
      <c r="AC115" s="2"/>
      <c r="AD115" s="2"/>
      <c r="AE115" s="2"/>
      <c r="AF115" s="2"/>
      <c r="AG115" s="2"/>
      <c r="AH115" s="2"/>
      <c r="AI115" s="2"/>
      <c r="AJ115" s="2"/>
      <c r="AK115" s="2"/>
      <c r="AL115" s="2"/>
      <c r="AM115" s="2"/>
      <c r="AN115" s="2"/>
      <c r="AO115" s="2"/>
      <c r="AP115" s="2" t="s">
        <v>514</v>
      </c>
      <c r="AQ115" s="1349">
        <v>34.83</v>
      </c>
      <c r="AR115" s="2">
        <f>+BYD!AX38</f>
        <v>38.722999999999999</v>
      </c>
    </row>
    <row r="116" spans="1:44" ht="12.75" customHeight="1">
      <c r="A116" s="2"/>
      <c r="B116" s="2"/>
      <c r="C116" s="2"/>
      <c r="D116" s="1062"/>
      <c r="E116" s="2"/>
      <c r="F116" s="2"/>
      <c r="G116" s="2"/>
      <c r="H116" s="2"/>
      <c r="I116" s="2"/>
      <c r="J116" s="2"/>
      <c r="K116" s="2"/>
      <c r="L116" s="2"/>
      <c r="N116" s="2"/>
      <c r="O116" s="2"/>
      <c r="P116" s="2"/>
      <c r="Q116" s="2"/>
      <c r="U116" s="2"/>
      <c r="V116" s="2"/>
      <c r="W116" s="2"/>
      <c r="X116" s="2"/>
      <c r="Y116" s="2"/>
      <c r="Z116" s="2"/>
      <c r="AA116" s="2"/>
      <c r="AB116" s="2"/>
      <c r="AC116" s="2"/>
      <c r="AD116" s="2"/>
      <c r="AE116" s="2"/>
      <c r="AF116" s="2"/>
      <c r="AG116" s="2"/>
      <c r="AH116" s="2"/>
      <c r="AI116" s="2"/>
      <c r="AJ116" s="2"/>
      <c r="AK116" s="2"/>
      <c r="AL116" s="2"/>
      <c r="AM116" s="2"/>
      <c r="AN116" s="2"/>
      <c r="AO116" s="2"/>
      <c r="AP116" s="2" t="s">
        <v>515</v>
      </c>
      <c r="AQ116" s="1102">
        <v>8.36</v>
      </c>
      <c r="AR116" s="2">
        <f>+BYD!AX39</f>
        <v>9.2970000000000006</v>
      </c>
    </row>
    <row r="117" spans="1:44" ht="12.75" customHeight="1">
      <c r="A117" s="2"/>
      <c r="B117" s="2"/>
      <c r="C117" s="2"/>
      <c r="D117" s="1062"/>
      <c r="E117" s="2"/>
      <c r="F117" s="2"/>
      <c r="G117" s="2"/>
      <c r="H117" s="2"/>
      <c r="I117" s="2"/>
      <c r="J117" s="2"/>
      <c r="K117" s="2"/>
      <c r="L117" s="2"/>
      <c r="N117" s="2"/>
      <c r="O117" s="2"/>
      <c r="P117" s="2"/>
      <c r="Q117" s="2"/>
      <c r="U117" s="2"/>
      <c r="V117" s="2"/>
      <c r="W117" s="2"/>
      <c r="X117" s="2"/>
      <c r="Y117" s="2"/>
      <c r="Z117" s="2"/>
      <c r="AA117" s="2"/>
      <c r="AB117" s="2"/>
      <c r="AC117" s="2"/>
      <c r="AD117" s="2"/>
      <c r="AE117" s="2"/>
      <c r="AF117" s="2"/>
      <c r="AG117" s="2"/>
      <c r="AH117" s="2"/>
      <c r="AI117" s="2"/>
      <c r="AJ117" s="2"/>
      <c r="AK117" s="2"/>
      <c r="AL117" s="2"/>
      <c r="AM117" s="2"/>
      <c r="AN117" s="2"/>
      <c r="AO117" s="2"/>
      <c r="AP117" s="2" t="s">
        <v>516</v>
      </c>
      <c r="AQ117" s="1102">
        <v>51.04</v>
      </c>
      <c r="AR117" s="2">
        <f>+BYD!AX41</f>
        <v>48.625</v>
      </c>
    </row>
    <row r="118" spans="1:44" ht="12.75" customHeight="1">
      <c r="A118" s="2"/>
      <c r="B118" s="2"/>
      <c r="C118" s="2"/>
      <c r="D118" s="1062"/>
      <c r="E118" s="2"/>
      <c r="F118" s="2"/>
      <c r="G118" s="2"/>
      <c r="H118" s="2"/>
      <c r="I118" s="2"/>
      <c r="J118" s="2"/>
      <c r="K118" s="2"/>
      <c r="L118" s="2"/>
      <c r="N118" s="2"/>
      <c r="O118" s="2"/>
      <c r="P118" s="2"/>
      <c r="Q118" s="2"/>
      <c r="U118" s="2"/>
      <c r="V118" s="2"/>
      <c r="W118" s="2"/>
      <c r="X118" s="2"/>
      <c r="Y118" s="2"/>
      <c r="Z118" s="2"/>
      <c r="AA118" s="2"/>
      <c r="AB118" s="2"/>
      <c r="AC118" s="2"/>
      <c r="AD118" s="2"/>
      <c r="AE118" s="2"/>
      <c r="AF118" s="2"/>
      <c r="AG118" s="2"/>
      <c r="AH118" s="2"/>
      <c r="AI118" s="2"/>
      <c r="AJ118" s="2"/>
      <c r="AK118" s="2"/>
      <c r="AL118" s="2"/>
      <c r="AM118" s="2"/>
      <c r="AN118" s="2"/>
      <c r="AO118" s="2"/>
      <c r="AP118" s="2" t="s">
        <v>517</v>
      </c>
      <c r="AQ118" s="1102">
        <v>52.46</v>
      </c>
      <c r="AR118" s="2">
        <f>+BYD!AX42</f>
        <v>48.323</v>
      </c>
    </row>
    <row r="119" spans="1:44" ht="12.75" customHeight="1">
      <c r="A119" s="2"/>
      <c r="B119" s="2"/>
      <c r="C119" s="2"/>
      <c r="D119" s="1062"/>
      <c r="E119" s="2"/>
      <c r="F119" s="2"/>
      <c r="G119" s="2"/>
      <c r="H119" s="2"/>
      <c r="I119" s="2"/>
      <c r="J119" s="2"/>
      <c r="K119" s="2"/>
      <c r="L119" s="2"/>
      <c r="N119" s="2"/>
      <c r="O119" s="2"/>
      <c r="P119" s="2"/>
      <c r="Q119" s="2"/>
      <c r="U119" s="2"/>
      <c r="V119" s="2"/>
      <c r="W119" s="2"/>
      <c r="X119" s="2"/>
      <c r="Y119" s="2"/>
      <c r="Z119" s="2"/>
      <c r="AA119" s="2"/>
      <c r="AB119" s="2"/>
      <c r="AC119" s="2"/>
      <c r="AD119" s="2"/>
      <c r="AE119" s="2"/>
      <c r="AF119" s="2"/>
      <c r="AG119" s="2"/>
      <c r="AH119" s="2"/>
      <c r="AI119" s="2"/>
      <c r="AJ119" s="2"/>
      <c r="AK119" s="2"/>
      <c r="AL119" s="2"/>
      <c r="AM119" s="2"/>
      <c r="AN119" s="2"/>
      <c r="AO119" s="2"/>
      <c r="AP119" s="2" t="s">
        <v>273</v>
      </c>
      <c r="AQ119" s="1102">
        <v>28.21</v>
      </c>
      <c r="AR119" s="2">
        <f>+BYD!AX45</f>
        <v>27.847000000000001</v>
      </c>
    </row>
  </sheetData>
  <phoneticPr fontId="117"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R119"/>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5" max="15" width="1.5" customWidth="1"/>
    <col min="18" max="18" width="3.25" customWidth="1"/>
    <col min="20" max="20" width="1" customWidth="1"/>
    <col min="21" max="21" width="19" customWidth="1"/>
    <col min="22" max="22" width="1.625" customWidth="1"/>
    <col min="23" max="23" width="8.625" customWidth="1"/>
    <col min="24" max="24" width="1.625" customWidth="1"/>
    <col min="25" max="25" width="8.625" customWidth="1"/>
    <col min="26" max="26" width="1.625" customWidth="1"/>
    <col min="27" max="27" width="8.625" customWidth="1"/>
    <col min="30" max="30" width="7.625" customWidth="1"/>
    <col min="31" max="31" width="1.625" customWidth="1"/>
    <col min="32" max="32" width="7.625" customWidth="1"/>
    <col min="33" max="33" width="1.625" customWidth="1"/>
    <col min="34" max="34" width="7.625" customWidth="1"/>
    <col min="35" max="35" width="1.625" customWidth="1"/>
    <col min="36" max="36" width="21.5" customWidth="1"/>
    <col min="37" max="37" width="11.625" customWidth="1"/>
    <col min="38" max="38" width="1.625" customWidth="1"/>
    <col min="39" max="39" width="10.625" customWidth="1"/>
    <col min="40" max="40" width="1.625" customWidth="1"/>
    <col min="41" max="41" width="10.625" customWidth="1"/>
    <col min="42" max="42" width="16" customWidth="1"/>
  </cols>
  <sheetData>
    <row r="1" spans="1:44" ht="12.75" customHeight="1">
      <c r="A1" s="1" t="s">
        <v>629</v>
      </c>
      <c r="B1" s="2"/>
      <c r="C1" s="166"/>
      <c r="D1" s="1062"/>
      <c r="E1" s="2"/>
      <c r="F1" s="2"/>
      <c r="G1" s="2"/>
      <c r="H1" s="2"/>
      <c r="I1" s="2"/>
      <c r="J1" s="2"/>
      <c r="K1" s="2"/>
      <c r="L1" s="2"/>
      <c r="N1" s="2"/>
      <c r="O1" s="2"/>
      <c r="P1" s="2"/>
      <c r="Q1" s="2"/>
      <c r="U1" s="2"/>
      <c r="V1" s="2"/>
      <c r="W1" s="2"/>
      <c r="X1" s="2"/>
      <c r="Y1" s="2"/>
      <c r="Z1" s="2"/>
      <c r="AA1" s="2"/>
      <c r="AB1" s="2"/>
      <c r="AC1" s="2"/>
      <c r="AD1" s="2"/>
      <c r="AE1" s="2"/>
      <c r="AF1" s="2"/>
      <c r="AG1" s="2"/>
      <c r="AH1" s="2"/>
      <c r="AI1" s="2"/>
      <c r="AJ1" s="2"/>
      <c r="AK1" s="2"/>
      <c r="AL1" s="2"/>
      <c r="AM1" s="2"/>
      <c r="AN1" s="2"/>
      <c r="AO1" s="2"/>
      <c r="AP1" s="2"/>
      <c r="AQ1" s="98"/>
      <c r="AR1" s="2"/>
    </row>
    <row r="2" spans="1:44" ht="12.75" customHeight="1">
      <c r="A2" s="1" t="s">
        <v>1224</v>
      </c>
      <c r="B2" s="2"/>
      <c r="C2" s="2"/>
      <c r="D2" s="1062"/>
      <c r="E2" s="2"/>
      <c r="F2" s="2"/>
      <c r="G2" s="2"/>
      <c r="H2" s="2"/>
      <c r="I2" s="2"/>
      <c r="J2" s="2"/>
      <c r="K2" s="2"/>
      <c r="L2" s="2"/>
      <c r="N2" s="2"/>
      <c r="O2" s="2"/>
      <c r="P2" s="2"/>
      <c r="Q2" s="2"/>
      <c r="U2" s="2"/>
      <c r="V2" s="2"/>
      <c r="W2" s="2"/>
      <c r="X2" s="2"/>
      <c r="Y2" s="2"/>
      <c r="Z2" s="2"/>
      <c r="AA2" s="2"/>
      <c r="AB2" s="2"/>
      <c r="AC2" s="2"/>
      <c r="AD2" s="2"/>
      <c r="AE2" s="2"/>
      <c r="AF2" s="2"/>
      <c r="AG2" s="2"/>
      <c r="AH2" s="2"/>
      <c r="AI2" s="2"/>
      <c r="AJ2" s="2"/>
      <c r="AK2" s="2"/>
      <c r="AL2" s="2"/>
      <c r="AM2" s="2"/>
      <c r="AN2" s="2"/>
      <c r="AO2" s="2"/>
      <c r="AP2" s="2"/>
      <c r="AQ2" s="98"/>
      <c r="AR2" s="2"/>
    </row>
    <row r="3" spans="1:44" ht="12.75" customHeight="1">
      <c r="A3" s="2" t="s">
        <v>1225</v>
      </c>
      <c r="B3" s="2"/>
      <c r="C3" s="2"/>
      <c r="D3" s="1062"/>
      <c r="E3" s="2"/>
      <c r="F3" s="2"/>
      <c r="G3" s="2"/>
      <c r="H3" s="2"/>
      <c r="I3" s="2"/>
      <c r="J3" s="2"/>
      <c r="K3" s="2"/>
      <c r="L3" s="2"/>
      <c r="N3" s="2"/>
      <c r="O3" s="2"/>
      <c r="P3" s="2"/>
      <c r="Q3" s="2"/>
      <c r="U3" s="2"/>
      <c r="V3" s="2"/>
      <c r="W3" s="2"/>
      <c r="X3" s="2"/>
      <c r="Y3" s="2"/>
      <c r="Z3" s="2"/>
      <c r="AA3" s="2"/>
      <c r="AB3" s="2"/>
      <c r="AC3" s="2"/>
      <c r="AD3" s="2"/>
      <c r="AE3" s="2"/>
      <c r="AF3" s="2"/>
      <c r="AG3" s="2"/>
      <c r="AH3" s="2"/>
      <c r="AI3" s="2"/>
      <c r="AJ3" s="2"/>
      <c r="AK3" s="2"/>
      <c r="AL3" s="2"/>
      <c r="AM3" s="2"/>
      <c r="AN3" s="2"/>
      <c r="AO3" s="2"/>
      <c r="AP3" s="2"/>
      <c r="AQ3" s="98"/>
      <c r="AR3" s="2"/>
    </row>
    <row r="4" spans="1:44" ht="12.75" customHeight="1">
      <c r="A4" s="2"/>
      <c r="B4" s="2"/>
      <c r="C4" s="1195" t="s">
        <v>818</v>
      </c>
      <c r="D4" s="1310"/>
      <c r="E4" s="1196"/>
      <c r="F4" s="1196"/>
      <c r="G4" s="1196"/>
      <c r="H4" s="2"/>
      <c r="I4" s="1195" t="s">
        <v>1504</v>
      </c>
      <c r="J4" s="1197"/>
      <c r="K4" s="1196"/>
      <c r="L4" s="1196"/>
      <c r="O4" s="70"/>
      <c r="P4" s="70"/>
      <c r="Q4" s="70"/>
      <c r="U4" s="2"/>
      <c r="V4" s="2"/>
      <c r="W4" s="2"/>
      <c r="X4" s="2"/>
      <c r="Y4" s="2"/>
      <c r="Z4" s="2"/>
      <c r="AA4" s="2"/>
      <c r="AB4" s="2"/>
      <c r="AC4" s="2"/>
      <c r="AD4" s="2"/>
      <c r="AE4" s="2"/>
      <c r="AF4" s="2"/>
      <c r="AG4" s="2"/>
      <c r="AH4" s="2"/>
      <c r="AI4" s="2"/>
      <c r="AJ4" s="2"/>
      <c r="AK4" s="2"/>
      <c r="AL4" s="2"/>
      <c r="AM4" s="2"/>
      <c r="AN4" s="2"/>
      <c r="AO4" s="2"/>
      <c r="AP4" s="2"/>
      <c r="AQ4" s="98"/>
      <c r="AR4" s="2"/>
    </row>
    <row r="5" spans="1:44" ht="12.75" customHeight="1">
      <c r="A5" s="2"/>
      <c r="B5" s="2"/>
      <c r="C5" s="1198"/>
      <c r="D5" s="77"/>
      <c r="E5" s="2"/>
      <c r="F5" s="1197" t="s">
        <v>1487</v>
      </c>
      <c r="G5" s="1197"/>
      <c r="H5" s="2"/>
      <c r="I5" s="1198"/>
      <c r="J5" s="61"/>
      <c r="K5" s="1197" t="s">
        <v>1505</v>
      </c>
      <c r="L5" s="1197"/>
      <c r="N5" s="1289" t="s">
        <v>1489</v>
      </c>
      <c r="O5" s="2"/>
      <c r="P5" s="1197" t="s">
        <v>1505</v>
      </c>
      <c r="Q5" s="1197"/>
      <c r="S5" s="73" t="s">
        <v>594</v>
      </c>
      <c r="U5" s="2"/>
      <c r="V5" s="2"/>
      <c r="W5" s="2"/>
      <c r="X5" s="2"/>
      <c r="Y5" s="2"/>
      <c r="Z5" s="2"/>
      <c r="AA5" s="2"/>
      <c r="AB5" s="2"/>
      <c r="AC5" s="2"/>
      <c r="AD5" s="2"/>
      <c r="AE5" s="2"/>
      <c r="AF5" s="2"/>
      <c r="AG5" s="2"/>
      <c r="AH5" s="2"/>
      <c r="AI5" s="2"/>
      <c r="AJ5" s="2"/>
      <c r="AK5" s="2"/>
      <c r="AL5" s="2"/>
      <c r="AM5" s="2"/>
      <c r="AN5" s="2"/>
      <c r="AO5" s="2"/>
      <c r="AP5" s="2"/>
      <c r="AQ5" s="98"/>
      <c r="AR5" s="2"/>
    </row>
    <row r="6" spans="1:44" ht="12.75" customHeight="1">
      <c r="A6" s="61"/>
      <c r="B6" s="2"/>
      <c r="C6" s="1199" t="s">
        <v>941</v>
      </c>
      <c r="D6" s="1308" t="s">
        <v>1648</v>
      </c>
      <c r="E6" s="70"/>
      <c r="F6" s="73" t="s">
        <v>658</v>
      </c>
      <c r="G6" s="73" t="s">
        <v>740</v>
      </c>
      <c r="H6" s="2"/>
      <c r="I6" s="1199" t="s">
        <v>362</v>
      </c>
      <c r="J6" s="70"/>
      <c r="K6" s="73" t="s">
        <v>658</v>
      </c>
      <c r="L6" s="73" t="s">
        <v>740</v>
      </c>
      <c r="N6" s="1165" t="s">
        <v>942</v>
      </c>
      <c r="O6" s="2"/>
      <c r="P6" s="73" t="s">
        <v>658</v>
      </c>
      <c r="Q6" s="73" t="s">
        <v>740</v>
      </c>
      <c r="U6" s="2"/>
      <c r="V6" s="2"/>
      <c r="W6" s="2"/>
      <c r="X6" s="2"/>
      <c r="Y6" s="2"/>
      <c r="Z6" s="2"/>
      <c r="AA6" s="2"/>
      <c r="AB6" s="2"/>
      <c r="AC6" s="2"/>
      <c r="AD6" s="2"/>
      <c r="AE6" s="2"/>
      <c r="AF6" s="2"/>
      <c r="AG6" s="2"/>
      <c r="AH6" s="2"/>
      <c r="AI6" s="2"/>
      <c r="AJ6" s="2"/>
      <c r="AK6" s="2"/>
      <c r="AL6" s="2"/>
      <c r="AM6" s="2"/>
      <c r="AN6" s="2"/>
      <c r="AO6" s="2"/>
      <c r="AP6" s="2"/>
      <c r="AQ6" s="98"/>
      <c r="AR6" s="2"/>
    </row>
    <row r="7" spans="1:44" ht="12.75" customHeight="1">
      <c r="A7" s="1" t="s">
        <v>741</v>
      </c>
      <c r="B7" s="2"/>
      <c r="C7" s="112"/>
      <c r="D7" s="77"/>
      <c r="E7" s="2"/>
      <c r="F7" s="2"/>
      <c r="G7" s="2"/>
      <c r="H7" s="2"/>
      <c r="I7" s="112"/>
      <c r="J7" s="61"/>
      <c r="K7" s="2"/>
      <c r="L7" s="2"/>
      <c r="N7" s="2"/>
      <c r="O7" s="2"/>
      <c r="P7" s="2"/>
      <c r="Q7" s="2"/>
      <c r="U7" s="2"/>
      <c r="V7" s="2"/>
      <c r="W7" s="2"/>
      <c r="X7" s="2"/>
      <c r="Y7" s="2"/>
      <c r="Z7" s="2"/>
      <c r="AA7" s="2"/>
      <c r="AB7" s="2"/>
      <c r="AC7" s="2"/>
      <c r="AD7" s="2"/>
      <c r="AE7" s="2"/>
      <c r="AF7" s="2"/>
      <c r="AG7" s="2"/>
      <c r="AH7" s="2"/>
      <c r="AI7" s="2"/>
      <c r="AJ7" s="2"/>
      <c r="AK7" s="2"/>
      <c r="AL7" s="2"/>
      <c r="AM7" s="2"/>
      <c r="AN7" s="2"/>
      <c r="AO7" s="2"/>
      <c r="AP7" s="2"/>
      <c r="AQ7" s="98"/>
      <c r="AR7" s="2"/>
    </row>
    <row r="8" spans="1:44" ht="12.75" customHeight="1">
      <c r="A8" s="334" t="s">
        <v>514</v>
      </c>
      <c r="B8" s="2"/>
      <c r="C8" s="2030">
        <f>BYD!BC10</f>
        <v>148.27000000000001</v>
      </c>
      <c r="D8" s="858">
        <f>BYD!AX10</f>
        <v>149.69</v>
      </c>
      <c r="E8" s="1202"/>
      <c r="F8" s="1205">
        <f t="shared" ref="F8:F13" si="0">C8-D8</f>
        <v>-1.4199999999999875</v>
      </c>
      <c r="G8" s="126">
        <f t="shared" ref="G8:G14" si="1">IF(D8=0,0,C8/D8-1)</f>
        <v>-9.4862716280311732E-3</v>
      </c>
      <c r="H8" s="1205"/>
      <c r="I8" s="1207">
        <v>147.44465</v>
      </c>
      <c r="J8" s="1202"/>
      <c r="K8" s="313">
        <f t="shared" ref="K8:K13" si="2">C8-I8</f>
        <v>0.82535000000001446</v>
      </c>
      <c r="L8" s="1204">
        <f t="shared" ref="L8:L13" si="3">IF(I8=0,"NM",C8/I8-1)</f>
        <v>5.5976937786486047E-3</v>
      </c>
      <c r="N8" s="1349">
        <v>149.69</v>
      </c>
      <c r="O8" s="1349"/>
      <c r="P8" s="313">
        <f t="shared" ref="P8:P14" si="4">C8-N8</f>
        <v>-1.4199999999999875</v>
      </c>
      <c r="Q8" s="1204">
        <f t="shared" ref="Q8:Q14" si="5">IF(N8=0,"NM",C8/N8-1)</f>
        <v>-9.4862716280311732E-3</v>
      </c>
      <c r="U8" s="105"/>
      <c r="V8" s="2"/>
      <c r="W8" s="2"/>
      <c r="X8" s="2"/>
      <c r="Y8" s="2"/>
      <c r="Z8" s="2"/>
      <c r="AA8" s="2"/>
      <c r="AB8" s="2"/>
      <c r="AC8" s="2"/>
      <c r="AD8" s="2"/>
      <c r="AE8" s="2"/>
      <c r="AF8" s="2"/>
      <c r="AG8" s="2"/>
      <c r="AH8" s="2"/>
      <c r="AI8" s="2"/>
      <c r="AJ8" s="2"/>
      <c r="AK8" s="2"/>
      <c r="AL8" s="2"/>
      <c r="AM8" s="2"/>
      <c r="AN8" s="2"/>
      <c r="AO8" s="2"/>
      <c r="AP8" s="2"/>
      <c r="AQ8" s="98"/>
      <c r="AR8" s="2"/>
    </row>
    <row r="9" spans="1:44" ht="12.75" customHeight="1">
      <c r="A9" s="334" t="s">
        <v>515</v>
      </c>
      <c r="B9" s="61"/>
      <c r="C9" s="2031">
        <f>BYD!BC11</f>
        <v>55.552</v>
      </c>
      <c r="D9" s="104">
        <f>BYD!AX11</f>
        <v>56.128</v>
      </c>
      <c r="E9" s="1103"/>
      <c r="F9" s="374">
        <f t="shared" si="0"/>
        <v>-0.57600000000000051</v>
      </c>
      <c r="G9" s="95">
        <f t="shared" si="1"/>
        <v>-1.0262257696693311E-2</v>
      </c>
      <c r="H9" s="61"/>
      <c r="I9" s="1104">
        <v>56.128</v>
      </c>
      <c r="J9" s="1103"/>
      <c r="K9" s="374">
        <f t="shared" si="2"/>
        <v>-0.57600000000000051</v>
      </c>
      <c r="L9" s="92">
        <f t="shared" si="3"/>
        <v>-1.0262257696693311E-2</v>
      </c>
      <c r="N9" s="1102">
        <v>56.02</v>
      </c>
      <c r="O9" s="1102"/>
      <c r="P9" s="374">
        <f t="shared" si="4"/>
        <v>-0.46800000000000352</v>
      </c>
      <c r="Q9" s="92">
        <f t="shared" si="5"/>
        <v>-8.354159228846858E-3</v>
      </c>
      <c r="U9" s="105"/>
      <c r="V9" s="2"/>
      <c r="W9" s="2"/>
      <c r="X9" s="2"/>
      <c r="Y9" s="2"/>
      <c r="Z9" s="2"/>
      <c r="AA9" s="2"/>
      <c r="AB9" s="2"/>
      <c r="AC9" s="2"/>
      <c r="AD9" s="2"/>
      <c r="AE9" s="2"/>
      <c r="AF9" s="2"/>
      <c r="AG9" s="2"/>
      <c r="AH9" s="2"/>
      <c r="AI9" s="2"/>
      <c r="AJ9" s="2"/>
      <c r="AK9" s="2"/>
      <c r="AL9" s="2"/>
      <c r="AM9" s="2"/>
      <c r="AN9" s="2"/>
      <c r="AO9" s="2"/>
      <c r="AP9" s="2"/>
      <c r="AQ9" s="98"/>
      <c r="AR9" s="2"/>
    </row>
    <row r="10" spans="1:44" ht="12.75" customHeight="1">
      <c r="A10" s="334" t="s">
        <v>516</v>
      </c>
      <c r="B10" s="61"/>
      <c r="C10" s="2031">
        <f>BYD!BC13</f>
        <v>209.10400000000001</v>
      </c>
      <c r="D10" s="104">
        <f>BYD!AX13</f>
        <v>224.273</v>
      </c>
      <c r="E10" s="1103"/>
      <c r="F10" s="374">
        <f t="shared" si="0"/>
        <v>-15.168999999999983</v>
      </c>
      <c r="G10" s="95">
        <f t="shared" si="1"/>
        <v>-6.7636318237148441E-2</v>
      </c>
      <c r="H10" s="61"/>
      <c r="I10" s="1104">
        <v>212.96802116784272</v>
      </c>
      <c r="J10" s="1103"/>
      <c r="K10" s="374">
        <f t="shared" si="2"/>
        <v>-3.8640211678427079</v>
      </c>
      <c r="L10" s="92">
        <f t="shared" si="3"/>
        <v>-1.8143668456201856E-2</v>
      </c>
      <c r="M10" s="1403"/>
      <c r="N10" s="1102">
        <v>216.43</v>
      </c>
      <c r="O10" s="1102"/>
      <c r="P10" s="374">
        <f t="shared" si="4"/>
        <v>-7.3259999999999934</v>
      </c>
      <c r="Q10" s="92">
        <f t="shared" si="5"/>
        <v>-3.3849281522894237E-2</v>
      </c>
      <c r="S10" s="1403"/>
      <c r="U10" s="105"/>
      <c r="V10" s="2"/>
      <c r="W10" s="2"/>
      <c r="X10" s="2"/>
      <c r="Y10" s="2"/>
      <c r="Z10" s="2"/>
      <c r="AA10" s="2"/>
      <c r="AB10" s="2"/>
      <c r="AC10" s="2"/>
      <c r="AD10" s="2"/>
      <c r="AE10" s="2"/>
      <c r="AF10" s="2"/>
      <c r="AG10" s="2"/>
      <c r="AH10" s="2"/>
      <c r="AI10" s="2"/>
      <c r="AJ10" s="2"/>
      <c r="AK10" s="2"/>
      <c r="AL10" s="2"/>
      <c r="AM10" s="2"/>
      <c r="AN10" s="2"/>
      <c r="AO10" s="2"/>
      <c r="AP10" s="2"/>
      <c r="AQ10" s="98"/>
      <c r="AR10" s="2"/>
    </row>
    <row r="11" spans="1:44" ht="12.75" customHeight="1">
      <c r="A11" s="963" t="s">
        <v>517</v>
      </c>
      <c r="B11" s="61"/>
      <c r="C11" s="2031">
        <f>BYD!BC14</f>
        <v>127.75400000000002</v>
      </c>
      <c r="D11" s="104">
        <f>BYD!AX14</f>
        <v>135.78</v>
      </c>
      <c r="E11" s="1103"/>
      <c r="F11" s="374">
        <f t="shared" si="0"/>
        <v>-8.025999999999982</v>
      </c>
      <c r="G11" s="95">
        <f t="shared" si="1"/>
        <v>-5.9110325526587015E-2</v>
      </c>
      <c r="H11" s="61"/>
      <c r="I11" s="1104">
        <v>129.53106598219063</v>
      </c>
      <c r="J11" s="1103"/>
      <c r="K11" s="374">
        <f t="shared" si="2"/>
        <v>-1.7770659821906065</v>
      </c>
      <c r="L11" s="92">
        <f t="shared" si="3"/>
        <v>-1.3719226107773541E-2</v>
      </c>
      <c r="M11" s="1403"/>
      <c r="N11" s="1102">
        <v>130.72</v>
      </c>
      <c r="O11" s="1102"/>
      <c r="P11" s="374">
        <f t="shared" si="4"/>
        <v>-2.9659999999999798</v>
      </c>
      <c r="Q11" s="92">
        <f t="shared" si="5"/>
        <v>-2.2689718482251986E-2</v>
      </c>
      <c r="S11" s="1403"/>
      <c r="U11" s="105"/>
      <c r="V11" s="2"/>
      <c r="W11" s="2"/>
      <c r="X11" s="2"/>
      <c r="Y11" s="2"/>
      <c r="Z11" s="2"/>
      <c r="AA11" s="2"/>
      <c r="AB11" s="2"/>
      <c r="AC11" s="2"/>
      <c r="AD11" s="2"/>
      <c r="AE11" s="2"/>
      <c r="AF11" s="2"/>
      <c r="AG11" s="2"/>
      <c r="AH11" s="2"/>
      <c r="AI11" s="2"/>
      <c r="AJ11" s="2"/>
      <c r="AK11" s="2"/>
      <c r="AL11" s="2"/>
      <c r="AM11" s="2"/>
      <c r="AN11" s="2"/>
      <c r="AO11" s="2"/>
      <c r="AP11" s="2"/>
      <c r="AQ11" s="98"/>
      <c r="AR11" s="2"/>
    </row>
    <row r="12" spans="1:44" ht="12.75" customHeight="1">
      <c r="A12" s="334" t="s">
        <v>273</v>
      </c>
      <c r="B12" s="61"/>
      <c r="C12" s="2031">
        <f>BYD!BC17</f>
        <v>0</v>
      </c>
      <c r="D12" s="104">
        <f>BYD!AX17</f>
        <v>0</v>
      </c>
      <c r="E12" s="1103"/>
      <c r="F12" s="374">
        <f t="shared" si="0"/>
        <v>0</v>
      </c>
      <c r="G12" s="95">
        <f t="shared" si="1"/>
        <v>0</v>
      </c>
      <c r="H12" s="61"/>
      <c r="I12" s="1104">
        <v>182.02271169859821</v>
      </c>
      <c r="J12" s="1103"/>
      <c r="K12" s="374">
        <f t="shared" si="2"/>
        <v>-182.02271169859821</v>
      </c>
      <c r="L12" s="92">
        <f t="shared" si="3"/>
        <v>-1</v>
      </c>
      <c r="N12" s="1102">
        <v>180.26</v>
      </c>
      <c r="O12" s="1102"/>
      <c r="P12" s="374">
        <f t="shared" si="4"/>
        <v>-180.26</v>
      </c>
      <c r="Q12" s="92">
        <f t="shared" si="5"/>
        <v>-1</v>
      </c>
      <c r="U12" s="105"/>
      <c r="V12" s="2"/>
      <c r="W12" s="2"/>
      <c r="X12" s="2"/>
      <c r="Y12" s="2"/>
      <c r="Z12" s="2"/>
      <c r="AA12" s="2"/>
      <c r="AB12" s="2"/>
      <c r="AC12" s="2"/>
      <c r="AD12" s="2"/>
      <c r="AE12" s="2"/>
      <c r="AF12" s="2"/>
      <c r="AG12" s="2"/>
      <c r="AH12" s="2"/>
      <c r="AI12" s="2"/>
      <c r="AJ12" s="2"/>
      <c r="AK12" s="2"/>
      <c r="AL12" s="2"/>
      <c r="AM12" s="2"/>
      <c r="AN12" s="2"/>
      <c r="AO12" s="2"/>
      <c r="AP12" s="2"/>
      <c r="AQ12" s="98"/>
      <c r="AR12" s="2"/>
    </row>
    <row r="13" spans="1:44" ht="12.75" customHeight="1">
      <c r="A13" s="2679" t="s">
        <v>899</v>
      </c>
      <c r="B13" s="61"/>
      <c r="C13" s="2031">
        <f>BYD!BC18</f>
        <v>0</v>
      </c>
      <c r="D13" s="104">
        <f>BYD!AX18</f>
        <v>0</v>
      </c>
      <c r="E13" s="1103"/>
      <c r="F13" s="374">
        <f t="shared" si="0"/>
        <v>0</v>
      </c>
      <c r="G13" s="95">
        <f t="shared" si="1"/>
        <v>0</v>
      </c>
      <c r="H13" s="61"/>
      <c r="I13" s="1104">
        <v>8.370000000000001</v>
      </c>
      <c r="J13" s="1103"/>
      <c r="K13" s="374">
        <f t="shared" si="2"/>
        <v>-8.370000000000001</v>
      </c>
      <c r="L13" s="92">
        <f t="shared" si="3"/>
        <v>-1</v>
      </c>
      <c r="N13" s="1102">
        <v>1.5</v>
      </c>
      <c r="O13" s="1102"/>
      <c r="P13" s="374">
        <f t="shared" si="4"/>
        <v>-1.5</v>
      </c>
      <c r="Q13" s="92">
        <f t="shared" si="5"/>
        <v>-1</v>
      </c>
      <c r="U13" s="105"/>
      <c r="V13" s="2"/>
      <c r="W13" s="2"/>
      <c r="X13" s="2"/>
      <c r="Y13" s="2"/>
      <c r="Z13" s="2"/>
      <c r="AA13" s="2"/>
      <c r="AB13" s="2"/>
      <c r="AC13" s="2"/>
      <c r="AD13" s="2"/>
      <c r="AE13" s="2"/>
      <c r="AF13" s="2"/>
      <c r="AG13" s="2"/>
      <c r="AH13" s="2"/>
      <c r="AI13" s="2"/>
      <c r="AJ13" s="2"/>
      <c r="AK13" s="2"/>
      <c r="AL13" s="2"/>
      <c r="AM13" s="2"/>
      <c r="AN13" s="2"/>
      <c r="AO13" s="2"/>
      <c r="AP13" s="2"/>
      <c r="AQ13" s="98"/>
      <c r="AR13" s="2"/>
    </row>
    <row r="14" spans="1:44" ht="12.75" customHeight="1">
      <c r="A14" s="138" t="s">
        <v>813</v>
      </c>
      <c r="B14" s="1203"/>
      <c r="C14" s="2032">
        <f>SUM(C8:C13)</f>
        <v>540.68000000000006</v>
      </c>
      <c r="D14" s="1210">
        <f>SUM(D8:D13)</f>
        <v>565.87099999999998</v>
      </c>
      <c r="E14" s="1210"/>
      <c r="F14" s="1210">
        <f>SUM(F8:F13)</f>
        <v>-25.190999999999953</v>
      </c>
      <c r="G14" s="1208">
        <f t="shared" si="1"/>
        <v>-4.45172132871271E-2</v>
      </c>
      <c r="H14" s="1206"/>
      <c r="I14" s="1250">
        <v>736.4644488486316</v>
      </c>
      <c r="J14" s="1210"/>
      <c r="K14" s="1210">
        <f>SUM(K8:K13)</f>
        <v>-195.78444884863151</v>
      </c>
      <c r="L14" s="1211">
        <f>C14/I14-1</f>
        <v>-0.26584372016153068</v>
      </c>
      <c r="M14" s="1444"/>
      <c r="N14" s="1349">
        <v>732.46</v>
      </c>
      <c r="O14" s="1349"/>
      <c r="P14" s="2368">
        <f t="shared" si="4"/>
        <v>-191.77999999999997</v>
      </c>
      <c r="Q14" s="1211">
        <f t="shared" si="5"/>
        <v>-0.26182999754252789</v>
      </c>
      <c r="R14" s="1299"/>
      <c r="S14" s="1617"/>
      <c r="U14" s="105">
        <f>+C14/N14-1</f>
        <v>-0.26182999754252789</v>
      </c>
      <c r="V14" s="2"/>
      <c r="W14" s="2"/>
      <c r="X14" s="2"/>
      <c r="Y14" s="2"/>
      <c r="Z14" s="2"/>
      <c r="AA14" s="2"/>
      <c r="AB14" s="2"/>
      <c r="AC14" s="2"/>
      <c r="AD14" s="2"/>
      <c r="AE14" s="2"/>
      <c r="AF14" s="2"/>
      <c r="AG14" s="2"/>
      <c r="AH14" s="2"/>
      <c r="AI14" s="2"/>
      <c r="AJ14" s="2"/>
      <c r="AK14" s="2"/>
      <c r="AL14" s="2"/>
      <c r="AM14" s="2"/>
      <c r="AN14" s="2"/>
      <c r="AO14" s="2"/>
      <c r="AP14" s="2"/>
      <c r="AQ14" s="98"/>
      <c r="AR14" s="2"/>
    </row>
    <row r="15" spans="1:44" ht="12.75" customHeight="1">
      <c r="A15" s="61"/>
      <c r="B15" s="61"/>
      <c r="C15" s="2033"/>
      <c r="D15" s="77"/>
      <c r="E15" s="61"/>
      <c r="F15" s="61"/>
      <c r="G15" s="1139"/>
      <c r="H15" s="61"/>
      <c r="I15" s="115"/>
      <c r="J15" s="61"/>
      <c r="K15" s="61"/>
      <c r="L15" s="1212"/>
      <c r="N15" s="105">
        <f>C14/N14-1</f>
        <v>-0.26182999754252789</v>
      </c>
      <c r="O15" s="105"/>
      <c r="P15" s="105"/>
      <c r="Q15" s="105"/>
      <c r="U15" s="2"/>
      <c r="V15" s="2"/>
      <c r="W15" s="101" t="str">
        <f>+C6</f>
        <v>2Q14A</v>
      </c>
      <c r="X15" s="101"/>
      <c r="Y15" s="101" t="str">
        <f>+D6</f>
        <v>2Q13A</v>
      </c>
      <c r="Z15" s="101"/>
      <c r="AA15" s="101" t="s">
        <v>1490</v>
      </c>
      <c r="AB15" s="101"/>
      <c r="AC15" s="2"/>
      <c r="AD15" s="2"/>
      <c r="AE15" s="2"/>
      <c r="AF15" s="2"/>
      <c r="AG15" s="2"/>
      <c r="AH15" s="2"/>
      <c r="AI15" s="2"/>
      <c r="AJ15" s="2"/>
      <c r="AK15" s="2"/>
      <c r="AL15" s="2"/>
      <c r="AM15" s="2"/>
      <c r="AN15" s="2"/>
      <c r="AO15" s="2"/>
      <c r="AP15" s="2"/>
      <c r="AQ15" s="98"/>
      <c r="AR15" s="2"/>
    </row>
    <row r="16" spans="1:44" ht="12.75" customHeight="1">
      <c r="A16" s="107" t="s">
        <v>401</v>
      </c>
      <c r="B16" s="61"/>
      <c r="C16" s="2034"/>
      <c r="D16" s="1390"/>
      <c r="E16" s="61"/>
      <c r="F16" s="61"/>
      <c r="G16" s="1139"/>
      <c r="H16" s="61"/>
      <c r="I16" s="115"/>
      <c r="J16" s="61"/>
      <c r="K16" s="61"/>
      <c r="L16" s="1212"/>
      <c r="N16" s="98"/>
      <c r="O16" s="98"/>
      <c r="P16" s="98"/>
      <c r="Q16" s="98"/>
      <c r="U16" s="101" t="s">
        <v>1488</v>
      </c>
      <c r="V16" s="2"/>
      <c r="W16" s="101" t="s">
        <v>1160</v>
      </c>
      <c r="X16" s="101"/>
      <c r="Y16" s="101" t="s">
        <v>1160</v>
      </c>
      <c r="Z16" s="101"/>
      <c r="AA16" s="101" t="s">
        <v>1160</v>
      </c>
      <c r="AB16" s="101"/>
      <c r="AC16" s="2"/>
      <c r="AD16" s="2"/>
      <c r="AE16" s="2"/>
      <c r="AF16" s="2"/>
      <c r="AG16" s="2"/>
      <c r="AH16" s="2"/>
      <c r="AI16" s="2"/>
      <c r="AJ16" s="2"/>
      <c r="AK16" s="2"/>
      <c r="AL16" s="2"/>
      <c r="AM16" s="2"/>
      <c r="AN16" s="2"/>
      <c r="AO16" s="2"/>
      <c r="AP16" s="2"/>
      <c r="AQ16" s="98"/>
      <c r="AR16" s="2"/>
    </row>
    <row r="17" spans="1:44" ht="12.75" customHeight="1">
      <c r="A17" s="334" t="s">
        <v>514</v>
      </c>
      <c r="B17" s="61"/>
      <c r="C17" s="2030">
        <f>BYD!BC38</f>
        <v>36.581000000000003</v>
      </c>
      <c r="D17" s="858">
        <f>BYD!AX38</f>
        <v>38.722999999999999</v>
      </c>
      <c r="E17" s="1202"/>
      <c r="F17" s="897">
        <f>C17-D17</f>
        <v>-2.1419999999999959</v>
      </c>
      <c r="G17" s="95">
        <f t="shared" ref="G17:G25" si="6">IF(D17=0,0,C17/D17-1)</f>
        <v>-5.531596208971401E-2</v>
      </c>
      <c r="H17" s="61"/>
      <c r="I17" s="1207">
        <v>38.69699</v>
      </c>
      <c r="J17" s="1103"/>
      <c r="K17" s="897">
        <f>C17-I17</f>
        <v>-2.1159899999999965</v>
      </c>
      <c r="L17" s="92">
        <f>IF(I17=0,"NM",C17/I17-1)</f>
        <v>-5.4680997152491639E-2</v>
      </c>
      <c r="M17" s="1403"/>
      <c r="N17" s="1102">
        <v>39.43</v>
      </c>
      <c r="O17" s="1102"/>
      <c r="P17" s="313">
        <f t="shared" ref="P17:P23" si="7">C17-N17</f>
        <v>-2.8489999999999966</v>
      </c>
      <c r="Q17" s="1204">
        <f t="shared" ref="Q17:Q23" si="8">IF(N17=0,"NM",C17/N17-1)</f>
        <v>-7.2254628455490688E-2</v>
      </c>
      <c r="U17" s="126">
        <f>+C17/$C$23</f>
        <v>0.20878255360679412</v>
      </c>
      <c r="V17" s="2"/>
      <c r="W17" s="105">
        <f>+C17/C8</f>
        <v>0.24671882376745127</v>
      </c>
      <c r="X17" s="105"/>
      <c r="Y17" s="105">
        <f>+D17/D8</f>
        <v>0.25868795510722159</v>
      </c>
      <c r="Z17" s="105"/>
      <c r="AA17" s="105">
        <f>+I17/I8</f>
        <v>0.26245096041124583</v>
      </c>
      <c r="AB17" s="105"/>
      <c r="AC17" s="2"/>
      <c r="AD17" s="2"/>
      <c r="AE17" s="2"/>
      <c r="AF17" s="2"/>
      <c r="AG17" s="2"/>
      <c r="AH17" s="2"/>
      <c r="AI17" s="2"/>
      <c r="AJ17" s="2"/>
      <c r="AK17" s="2"/>
      <c r="AL17" s="2"/>
      <c r="AM17" s="2"/>
      <c r="AN17" s="2"/>
      <c r="AO17" s="2"/>
      <c r="AP17" s="2"/>
      <c r="AQ17" s="98"/>
      <c r="AR17" s="2"/>
    </row>
    <row r="18" spans="1:44" ht="12.75" customHeight="1">
      <c r="A18" s="334" t="s">
        <v>515</v>
      </c>
      <c r="B18" s="61"/>
      <c r="C18" s="2031">
        <f>BYD!BC39</f>
        <v>8.5510000000000002</v>
      </c>
      <c r="D18" s="104">
        <f>BYD!AX39</f>
        <v>9.2970000000000006</v>
      </c>
      <c r="E18" s="1103"/>
      <c r="F18" s="374">
        <f>C18-D18</f>
        <v>-0.74600000000000044</v>
      </c>
      <c r="G18" s="95">
        <f t="shared" si="6"/>
        <v>-8.0240937936968959E-2</v>
      </c>
      <c r="H18" s="61"/>
      <c r="I18" s="1104">
        <v>9.296999999999997</v>
      </c>
      <c r="J18" s="1103"/>
      <c r="K18" s="374">
        <f>C18-I18</f>
        <v>-0.74599999999999689</v>
      </c>
      <c r="L18" s="92">
        <f>IF(I18=0,"NM",C18/I18-1)</f>
        <v>-8.0240937936968626E-2</v>
      </c>
      <c r="M18" s="1403"/>
      <c r="N18" s="1102">
        <v>9.3800000000000008</v>
      </c>
      <c r="O18" s="1102"/>
      <c r="P18" s="374">
        <f t="shared" si="7"/>
        <v>-0.82900000000000063</v>
      </c>
      <c r="Q18" s="92">
        <f t="shared" si="8"/>
        <v>-8.8379530916844362E-2</v>
      </c>
      <c r="U18" s="126">
        <f>+C18/$C$23</f>
        <v>4.880401344664434E-2</v>
      </c>
      <c r="V18" s="2"/>
      <c r="W18" s="105">
        <f>+C18/C9</f>
        <v>0.15392785138248849</v>
      </c>
      <c r="X18" s="105"/>
      <c r="Y18" s="105">
        <f>+D18/D9</f>
        <v>0.16563925313568986</v>
      </c>
      <c r="Z18" s="105"/>
      <c r="AA18" s="105">
        <f>+I18/I9</f>
        <v>0.16563925313568981</v>
      </c>
      <c r="AB18" s="105"/>
      <c r="AC18" s="2"/>
      <c r="AD18" s="2"/>
      <c r="AE18" s="2"/>
      <c r="AF18" s="2"/>
      <c r="AG18" s="2"/>
      <c r="AH18" s="2"/>
      <c r="AI18" s="2"/>
      <c r="AJ18" s="2"/>
      <c r="AK18" s="2"/>
      <c r="AL18" s="2"/>
      <c r="AM18" s="2"/>
      <c r="AN18" s="2"/>
      <c r="AO18" s="2"/>
      <c r="AP18" s="2"/>
      <c r="AQ18" s="98"/>
      <c r="AR18" s="2"/>
    </row>
    <row r="19" spans="1:44" ht="12.75" customHeight="1">
      <c r="A19" s="334" t="s">
        <v>516</v>
      </c>
      <c r="B19" s="61"/>
      <c r="C19" s="2031">
        <f>BYD!BC41</f>
        <v>42.198999999999998</v>
      </c>
      <c r="D19" s="104">
        <f>BYD!AX41</f>
        <v>48.625</v>
      </c>
      <c r="E19" s="1103"/>
      <c r="F19" s="374">
        <f>C19-D19</f>
        <v>-6.4260000000000019</v>
      </c>
      <c r="G19" s="95">
        <f t="shared" si="6"/>
        <v>-0.13215424164524425</v>
      </c>
      <c r="H19" s="61"/>
      <c r="I19" s="1104">
        <v>42.589461167842728</v>
      </c>
      <c r="J19" s="1103"/>
      <c r="K19" s="374">
        <f>C19-I19</f>
        <v>-0.39046116784273011</v>
      </c>
      <c r="L19" s="92">
        <f>IF(I19=0,"NM",C19/I19-1)</f>
        <v>-9.1680231948448876E-3</v>
      </c>
      <c r="M19" s="1404"/>
      <c r="N19" s="1102">
        <v>45.6</v>
      </c>
      <c r="O19" s="1102"/>
      <c r="P19" s="374">
        <f t="shared" si="7"/>
        <v>-3.4010000000000034</v>
      </c>
      <c r="Q19" s="92">
        <f t="shared" si="8"/>
        <v>-7.4583333333333446E-2</v>
      </c>
      <c r="S19" s="1403"/>
      <c r="U19" s="126">
        <f>+C19/$C$23</f>
        <v>0.24084675048940993</v>
      </c>
      <c r="V19" s="2"/>
      <c r="W19" s="105">
        <f>+C19/C10</f>
        <v>0.20180866937026548</v>
      </c>
      <c r="X19" s="105"/>
      <c r="Y19" s="105">
        <f>+D19/D10</f>
        <v>0.21681165365425173</v>
      </c>
      <c r="Z19" s="105"/>
      <c r="AA19" s="105">
        <f>+I19/I10</f>
        <v>0.19998054606647939</v>
      </c>
      <c r="AB19" s="105"/>
      <c r="AC19" s="2"/>
      <c r="AD19" s="2"/>
      <c r="AE19" s="2"/>
      <c r="AF19" s="2"/>
      <c r="AG19" s="2"/>
      <c r="AH19" s="2"/>
      <c r="AI19" s="2"/>
      <c r="AJ19" s="2"/>
      <c r="AK19" s="2"/>
      <c r="AL19" s="2"/>
      <c r="AM19" s="2"/>
      <c r="AN19" s="2"/>
      <c r="AO19" s="2"/>
      <c r="AP19" s="2"/>
      <c r="AQ19" s="98"/>
      <c r="AR19" s="2"/>
    </row>
    <row r="20" spans="1:44" ht="12.75" customHeight="1">
      <c r="A20" s="963" t="s">
        <v>517</v>
      </c>
      <c r="B20" s="61"/>
      <c r="C20" s="2031">
        <f>BYD!BC42</f>
        <v>45.281999999999996</v>
      </c>
      <c r="D20" s="104">
        <f>BYD!AX42</f>
        <v>48.323</v>
      </c>
      <c r="E20" s="1103"/>
      <c r="F20" s="374">
        <f>C20-D20</f>
        <v>-3.0410000000000039</v>
      </c>
      <c r="G20" s="95">
        <f t="shared" si="6"/>
        <v>-6.2930695528009561E-2</v>
      </c>
      <c r="H20" s="61"/>
      <c r="I20" s="1104">
        <v>43.944685664017882</v>
      </c>
      <c r="J20" s="1103"/>
      <c r="K20" s="374">
        <f>C20-I20</f>
        <v>1.3373143359821142</v>
      </c>
      <c r="L20" s="92">
        <f>IF(I20=0,"NM",C20/I20-1)</f>
        <v>3.0431764746405188E-2</v>
      </c>
      <c r="M20" s="1404"/>
      <c r="N20" s="1102">
        <v>45.54</v>
      </c>
      <c r="O20" s="1102"/>
      <c r="P20" s="374">
        <f t="shared" si="7"/>
        <v>-0.25800000000000267</v>
      </c>
      <c r="Q20" s="92">
        <f t="shared" si="8"/>
        <v>-5.6653491436100545E-3</v>
      </c>
      <c r="S20" s="1403"/>
      <c r="U20" s="126">
        <f>+C20/$C$23</f>
        <v>0.25844267768576173</v>
      </c>
      <c r="V20" s="2"/>
      <c r="W20" s="105">
        <f>+C20/C11</f>
        <v>0.35444682749659495</v>
      </c>
      <c r="X20" s="105"/>
      <c r="Y20" s="105"/>
      <c r="Z20" s="105"/>
      <c r="AA20" s="105">
        <f>+I20/I11</f>
        <v>0.33925981640620395</v>
      </c>
      <c r="AB20" s="105"/>
      <c r="AC20" s="2"/>
      <c r="AD20" s="2"/>
      <c r="AE20" s="2"/>
      <c r="AF20" s="2"/>
      <c r="AG20" s="2"/>
      <c r="AH20" s="2"/>
      <c r="AI20" s="2"/>
      <c r="AJ20" s="2"/>
      <c r="AK20" s="2"/>
      <c r="AL20" s="2"/>
      <c r="AM20" s="2"/>
      <c r="AN20" s="2"/>
      <c r="AO20" s="2"/>
      <c r="AP20" s="2"/>
      <c r="AQ20" s="98"/>
      <c r="AR20" s="2"/>
    </row>
    <row r="21" spans="1:44" ht="12.75" customHeight="1">
      <c r="A21" s="334" t="s">
        <v>273</v>
      </c>
      <c r="B21" s="61"/>
      <c r="C21" s="2031">
        <f>BYD!BC45</f>
        <v>44.397999999999996</v>
      </c>
      <c r="D21" s="104">
        <f>BYD!AX45</f>
        <v>27.847000000000001</v>
      </c>
      <c r="E21" s="1103"/>
      <c r="F21" s="374">
        <f>C21-D21</f>
        <v>16.550999999999995</v>
      </c>
      <c r="G21" s="95">
        <f t="shared" si="6"/>
        <v>0.59435486766976675</v>
      </c>
      <c r="H21" s="61"/>
      <c r="I21" s="1104">
        <v>44.284629070848233</v>
      </c>
      <c r="J21" s="1103"/>
      <c r="K21" s="374">
        <f>C21-I21</f>
        <v>0.11337092915176328</v>
      </c>
      <c r="L21" s="92">
        <f>IF(I21=0,"NM",C21/I21-1)</f>
        <v>2.5600514564634302E-3</v>
      </c>
      <c r="M21" s="1444"/>
      <c r="N21" s="1102">
        <v>32.18</v>
      </c>
      <c r="O21" s="1102"/>
      <c r="P21" s="374">
        <f t="shared" si="7"/>
        <v>12.217999999999996</v>
      </c>
      <c r="Q21" s="92">
        <f t="shared" si="8"/>
        <v>0.37967681789931618</v>
      </c>
      <c r="S21" s="2369"/>
      <c r="U21" s="126">
        <f>+C21/$C$23</f>
        <v>0.2533973323592697</v>
      </c>
      <c r="V21" s="2"/>
      <c r="W21" s="105"/>
      <c r="X21" s="105"/>
      <c r="Y21" s="105"/>
      <c r="Z21" s="105"/>
      <c r="AA21" s="105">
        <f>+I21/I12</f>
        <v>0.24329177747981695</v>
      </c>
      <c r="AB21" s="105"/>
      <c r="AC21" s="2"/>
      <c r="AD21" s="2"/>
      <c r="AE21" s="2"/>
      <c r="AF21" s="2"/>
      <c r="AG21" s="2"/>
      <c r="AH21" s="2"/>
      <c r="AI21" s="2"/>
      <c r="AJ21" s="2"/>
      <c r="AK21" s="2"/>
      <c r="AL21" s="2"/>
      <c r="AM21" s="2"/>
      <c r="AN21" s="2"/>
      <c r="AO21" s="2"/>
      <c r="AP21" s="2"/>
      <c r="AQ21" s="98"/>
      <c r="AR21" s="2"/>
    </row>
    <row r="22" spans="1:44" ht="12.75" customHeight="1">
      <c r="A22" s="2679" t="s">
        <v>899</v>
      </c>
      <c r="B22" s="61"/>
      <c r="C22" s="2031">
        <f>BYD!BC46</f>
        <v>-1.8</v>
      </c>
      <c r="D22" s="104">
        <f>BYD!AX46</f>
        <v>0</v>
      </c>
      <c r="E22" s="1103"/>
      <c r="F22" s="374"/>
      <c r="G22" s="95"/>
      <c r="H22" s="61"/>
      <c r="I22" s="1104">
        <v>-0.93000000000000016</v>
      </c>
      <c r="J22" s="1103"/>
      <c r="K22" s="374"/>
      <c r="L22" s="92"/>
      <c r="M22" s="1444"/>
      <c r="N22" s="1102"/>
      <c r="O22" s="1102"/>
      <c r="P22" s="374"/>
      <c r="Q22" s="92"/>
      <c r="S22" s="2369"/>
      <c r="U22" s="126"/>
      <c r="V22" s="2"/>
      <c r="W22" s="105"/>
      <c r="X22" s="105"/>
      <c r="Y22" s="105"/>
      <c r="Z22" s="105"/>
      <c r="AA22" s="105"/>
      <c r="AB22" s="105"/>
      <c r="AC22" s="2"/>
      <c r="AD22" s="2"/>
      <c r="AE22" s="2"/>
      <c r="AF22" s="2"/>
      <c r="AG22" s="2"/>
      <c r="AH22" s="2"/>
      <c r="AI22" s="2"/>
      <c r="AJ22" s="2"/>
      <c r="AK22" s="2"/>
      <c r="AL22" s="2"/>
      <c r="AM22" s="2"/>
      <c r="AN22" s="2"/>
      <c r="AO22" s="2"/>
      <c r="AP22" s="2"/>
      <c r="AQ22" s="98"/>
      <c r="AR22" s="2"/>
    </row>
    <row r="23" spans="1:44" ht="12.75" customHeight="1">
      <c r="A23" s="138" t="s">
        <v>819</v>
      </c>
      <c r="B23" s="1203"/>
      <c r="C23" s="2032">
        <f>SUM(C17:C22)</f>
        <v>175.21099999999998</v>
      </c>
      <c r="D23" s="1210">
        <f>SUM(D17:D21)</f>
        <v>172.815</v>
      </c>
      <c r="E23" s="1210"/>
      <c r="F23" s="1210">
        <f>SUM(F17:F22)</f>
        <v>4.1959999999999926</v>
      </c>
      <c r="G23" s="1208">
        <f t="shared" si="6"/>
        <v>1.3864537221884632E-2</v>
      </c>
      <c r="H23" s="1206"/>
      <c r="I23" s="1250">
        <v>177.88276590270883</v>
      </c>
      <c r="J23" s="1210"/>
      <c r="K23" s="1210">
        <f>SUM(K17:K21)</f>
        <v>-1.801765902708846</v>
      </c>
      <c r="L23" s="1211">
        <f>C23/I23-1</f>
        <v>-1.5019813128890336E-2</v>
      </c>
      <c r="M23" s="1444"/>
      <c r="N23" s="1349">
        <v>171.97</v>
      </c>
      <c r="O23" s="1205"/>
      <c r="P23" s="2368">
        <f t="shared" si="7"/>
        <v>3.2409999999999854</v>
      </c>
      <c r="Q23" s="1211">
        <f t="shared" si="8"/>
        <v>1.884631040297724E-2</v>
      </c>
      <c r="U23" s="2"/>
      <c r="V23" s="2"/>
      <c r="W23" s="2"/>
      <c r="X23" s="2"/>
      <c r="Y23" s="2"/>
      <c r="Z23" s="2"/>
      <c r="AA23" s="2"/>
      <c r="AB23" s="2"/>
      <c r="AC23" s="2"/>
      <c r="AD23" s="2"/>
      <c r="AE23" s="2"/>
      <c r="AF23" s="2"/>
      <c r="AG23" s="2"/>
      <c r="AH23" s="2"/>
      <c r="AI23" s="2"/>
      <c r="AJ23" s="2"/>
      <c r="AK23" s="2"/>
      <c r="AL23" s="2"/>
      <c r="AM23" s="2"/>
      <c r="AN23" s="2"/>
      <c r="AO23" s="2"/>
      <c r="AP23" s="2"/>
      <c r="AQ23" s="98"/>
      <c r="AR23" s="2"/>
    </row>
    <row r="24" spans="1:44" ht="12.75" customHeight="1">
      <c r="A24" s="2" t="s">
        <v>742</v>
      </c>
      <c r="B24" s="2"/>
      <c r="C24" s="2031">
        <f>BYD!BC54</f>
        <v>-14.625</v>
      </c>
      <c r="D24" s="104">
        <f>BYD!AX54</f>
        <v>-12.628</v>
      </c>
      <c r="E24" s="1103"/>
      <c r="F24" s="374">
        <f>C24-D24</f>
        <v>-1.9969999999999999</v>
      </c>
      <c r="G24" s="126">
        <f t="shared" si="6"/>
        <v>0.15814063984795701</v>
      </c>
      <c r="H24" s="2"/>
      <c r="I24" s="1104">
        <v>-14.628</v>
      </c>
      <c r="J24" s="1103"/>
      <c r="K24" s="374">
        <f>C24-I24</f>
        <v>3.0000000000001137E-3</v>
      </c>
      <c r="L24" s="1204">
        <f>IF(I24=0,"NM",C24/I24-1)</f>
        <v>-2.0508613617720162E-4</v>
      </c>
      <c r="N24" s="1336"/>
      <c r="O24" s="1336"/>
      <c r="P24" s="1336"/>
      <c r="Q24" s="1336"/>
      <c r="U24" s="2"/>
      <c r="V24" s="2"/>
      <c r="W24" s="2"/>
      <c r="X24" s="2"/>
      <c r="Y24" s="2"/>
      <c r="Z24" s="2"/>
      <c r="AA24" s="2"/>
      <c r="AB24" s="2"/>
      <c r="AC24" s="2"/>
      <c r="AD24" s="2"/>
      <c r="AE24" s="2"/>
      <c r="AF24" s="2"/>
      <c r="AG24" s="2"/>
      <c r="AH24" s="2"/>
      <c r="AI24" s="2"/>
      <c r="AJ24" s="2"/>
      <c r="AK24" s="2"/>
      <c r="AL24" s="2"/>
      <c r="AM24" s="2"/>
      <c r="AN24" s="2"/>
      <c r="AO24" s="2"/>
      <c r="AP24" s="2"/>
      <c r="AQ24" s="98"/>
      <c r="AR24" s="2"/>
    </row>
    <row r="25" spans="1:44" ht="12.75" customHeight="1">
      <c r="A25" s="138" t="s">
        <v>555</v>
      </c>
      <c r="B25" s="1203"/>
      <c r="C25" s="2032">
        <f>SUM(C23:C24)</f>
        <v>160.58599999999998</v>
      </c>
      <c r="D25" s="1210">
        <f>SUM(D23:D24)</f>
        <v>160.18700000000001</v>
      </c>
      <c r="E25" s="1210"/>
      <c r="F25" s="1210">
        <f>F23+F24</f>
        <v>2.1989999999999927</v>
      </c>
      <c r="G25" s="1208">
        <f t="shared" si="6"/>
        <v>2.4908388321147612E-3</v>
      </c>
      <c r="H25" s="1210"/>
      <c r="I25" s="1250">
        <v>163.25476590270881</v>
      </c>
      <c r="J25" s="1210"/>
      <c r="K25" s="1210">
        <f>K23+K24</f>
        <v>-1.7987659027088458</v>
      </c>
      <c r="L25" s="1254">
        <f>IF(I25=0,"NM",C25/I25-1)</f>
        <v>-1.6347246513460312E-2</v>
      </c>
      <c r="M25" s="1442"/>
      <c r="N25" s="1349">
        <v>158.19999999999999</v>
      </c>
      <c r="O25" s="1349"/>
      <c r="P25" s="374">
        <f>C25-N25</f>
        <v>2.3859999999999957</v>
      </c>
      <c r="Q25" s="92">
        <f>IF(N25=0,"NM",C25/N25-1)</f>
        <v>1.5082174462705433E-2</v>
      </c>
      <c r="R25" s="1299"/>
      <c r="S25" s="2369" t="s">
        <v>1401</v>
      </c>
      <c r="U25" s="105">
        <f>+C25/N25-1</f>
        <v>1.5082174462705433E-2</v>
      </c>
      <c r="V25" s="2"/>
      <c r="W25" s="2"/>
      <c r="X25" s="2"/>
      <c r="Y25" s="2"/>
      <c r="Z25" s="2"/>
      <c r="AA25" s="2"/>
      <c r="AB25" s="2"/>
      <c r="AC25" s="2"/>
      <c r="AD25" s="2"/>
      <c r="AE25" s="2"/>
      <c r="AF25" s="2"/>
      <c r="AG25" s="2"/>
      <c r="AH25" s="2"/>
      <c r="AI25" s="2"/>
      <c r="AJ25" s="2"/>
      <c r="AK25" s="2"/>
      <c r="AL25" s="2"/>
      <c r="AM25" s="2"/>
      <c r="AN25" s="2"/>
      <c r="AO25" s="2"/>
      <c r="AP25" s="2"/>
      <c r="AQ25" s="98"/>
      <c r="AR25" s="2"/>
    </row>
    <row r="26" spans="1:44" ht="12.75" customHeight="1">
      <c r="A26" s="2253" t="s">
        <v>1486</v>
      </c>
      <c r="B26" s="2253"/>
      <c r="C26" s="2259">
        <f>+C25/C14</f>
        <v>0.29700747207220529</v>
      </c>
      <c r="D26" s="2253">
        <f>+D25/D14</f>
        <v>0.28308041938887135</v>
      </c>
      <c r="E26" s="2253"/>
      <c r="F26" s="2253"/>
      <c r="G26" s="213">
        <f>+C26-D26</f>
        <v>1.392705268333394E-2</v>
      </c>
      <c r="H26" s="2253"/>
      <c r="I26" s="2260">
        <v>0.19493043934336643</v>
      </c>
      <c r="J26" s="2253"/>
      <c r="K26" s="2253"/>
      <c r="L26" s="213">
        <f>+C26-I26</f>
        <v>0.10207703272883886</v>
      </c>
      <c r="M26" s="2254"/>
      <c r="N26" s="105">
        <f>C25/N25-1</f>
        <v>1.5082174462705433E-2</v>
      </c>
      <c r="O26" s="2258"/>
      <c r="P26" s="2258"/>
      <c r="Q26" s="2258"/>
      <c r="R26" s="2255"/>
      <c r="S26" s="2256"/>
      <c r="T26" s="2257"/>
      <c r="U26" s="2258"/>
      <c r="V26" s="2258"/>
      <c r="W26" s="2258"/>
      <c r="X26" s="2258"/>
      <c r="Y26" s="2258"/>
      <c r="Z26" s="2258"/>
      <c r="AA26" s="2258"/>
      <c r="AB26" s="2258"/>
      <c r="AC26" s="2258"/>
      <c r="AD26" s="2258"/>
      <c r="AE26" s="2258"/>
      <c r="AF26" s="2258"/>
      <c r="AG26" s="2258"/>
      <c r="AH26" s="2258"/>
      <c r="AI26" s="2258"/>
      <c r="AJ26" s="2258"/>
      <c r="AK26" s="2258"/>
      <c r="AL26" s="2258"/>
      <c r="AM26" s="2258"/>
      <c r="AN26" s="2258"/>
      <c r="AO26" s="2258"/>
      <c r="AP26" s="2258"/>
      <c r="AQ26" s="2277"/>
      <c r="AR26" s="2258"/>
    </row>
    <row r="27" spans="1:44" ht="3.95" customHeight="1">
      <c r="A27" s="198"/>
      <c r="B27" s="77"/>
      <c r="C27" s="2245"/>
      <c r="D27" s="2239"/>
      <c r="E27" s="2239"/>
      <c r="F27" s="2239"/>
      <c r="G27" s="2246"/>
      <c r="H27" s="2239"/>
      <c r="I27" s="2247"/>
      <c r="J27" s="2239"/>
      <c r="K27" s="2239"/>
      <c r="L27" s="2246"/>
      <c r="M27" s="2248"/>
      <c r="N27" s="2249"/>
      <c r="O27" s="2249"/>
      <c r="P27" s="2249"/>
      <c r="Q27" s="2249"/>
      <c r="R27" s="2250"/>
      <c r="S27" s="2251"/>
      <c r="T27" s="2252"/>
      <c r="U27" s="1062"/>
      <c r="V27" s="1062"/>
      <c r="W27" s="1062"/>
      <c r="X27" s="1062"/>
      <c r="Y27" s="1062"/>
      <c r="Z27" s="1062"/>
      <c r="AA27" s="1062"/>
      <c r="AB27" s="1062"/>
      <c r="AC27" s="1062"/>
      <c r="AD27" s="1062"/>
      <c r="AE27" s="1062"/>
      <c r="AF27" s="1062"/>
      <c r="AG27" s="1062"/>
      <c r="AH27" s="1062"/>
      <c r="AI27" s="1062"/>
      <c r="AJ27" s="1062"/>
      <c r="AK27" s="1062"/>
      <c r="AL27" s="1062"/>
      <c r="AM27" s="1062"/>
      <c r="AN27" s="1062"/>
      <c r="AO27" s="1062"/>
      <c r="AP27" s="1062"/>
      <c r="AQ27" s="1092"/>
      <c r="AR27" s="1062"/>
    </row>
    <row r="28" spans="1:44" ht="12.75" customHeight="1">
      <c r="A28" s="439" t="s">
        <v>1745</v>
      </c>
      <c r="B28" s="2"/>
      <c r="C28" s="2036">
        <f>BYD!BC65</f>
        <v>3.4</v>
      </c>
      <c r="D28" s="374">
        <f>BYD!AX65</f>
        <v>2.8940000000000001</v>
      </c>
      <c r="E28" s="1103"/>
      <c r="F28" s="374">
        <f>C28-D28</f>
        <v>0.50599999999999978</v>
      </c>
      <c r="G28" s="126">
        <f>IF(D28=0,0,C28/D28-1)</f>
        <v>0.17484450587422251</v>
      </c>
      <c r="H28" s="2"/>
      <c r="I28" s="432">
        <v>3.5</v>
      </c>
      <c r="J28" s="1103"/>
      <c r="K28" s="374">
        <f>C28-I28</f>
        <v>-0.10000000000000009</v>
      </c>
      <c r="L28" s="1204">
        <f>IF(I28=0,"NM",C28/I28-1)</f>
        <v>-2.8571428571428581E-2</v>
      </c>
      <c r="M28" s="1646"/>
      <c r="N28" s="2"/>
      <c r="O28" s="2"/>
      <c r="P28" s="2"/>
      <c r="Q28" s="2"/>
      <c r="U28" s="2"/>
      <c r="V28" s="2"/>
      <c r="W28" s="2"/>
      <c r="X28" s="2"/>
      <c r="Y28" s="2"/>
      <c r="Z28" s="2"/>
      <c r="AA28" s="2"/>
      <c r="AB28" s="2"/>
      <c r="AC28" s="2"/>
      <c r="AD28" s="2"/>
      <c r="AE28" s="2"/>
      <c r="AF28" s="2"/>
      <c r="AG28" s="2"/>
      <c r="AH28" s="2"/>
      <c r="AI28" s="2"/>
      <c r="AJ28" s="2"/>
      <c r="AK28" s="2"/>
      <c r="AL28" s="2"/>
      <c r="AM28" s="2"/>
      <c r="AN28" s="2"/>
      <c r="AO28" s="2"/>
      <c r="AP28" s="2"/>
      <c r="AQ28" s="98"/>
      <c r="AR28" s="2"/>
    </row>
    <row r="29" spans="1:44" ht="12.75" customHeight="1">
      <c r="A29" s="439" t="s">
        <v>201</v>
      </c>
      <c r="B29" s="2"/>
      <c r="C29" s="2036">
        <f>BYD!BC66</f>
        <v>0.9</v>
      </c>
      <c r="D29" s="374">
        <f>BYD!AX66</f>
        <v>1.2</v>
      </c>
      <c r="E29" s="1103"/>
      <c r="F29" s="374">
        <f>C29-D29</f>
        <v>-0.29999999999999993</v>
      </c>
      <c r="G29" s="126">
        <f>IF(D29=0,0,C29/D29-1)</f>
        <v>-0.25</v>
      </c>
      <c r="H29" s="2"/>
      <c r="I29" s="432">
        <v>0.90600000000000003</v>
      </c>
      <c r="J29" s="1103"/>
      <c r="K29" s="374">
        <f>C29-I29</f>
        <v>-6.0000000000000053E-3</v>
      </c>
      <c r="L29" s="1204">
        <f>IF(I29=0,"NM",C29/I29-1)</f>
        <v>-6.6225165562914245E-3</v>
      </c>
      <c r="M29" s="1102"/>
      <c r="N29" s="1102"/>
      <c r="O29" s="1102"/>
      <c r="P29" s="1102"/>
      <c r="Q29" s="1102"/>
      <c r="U29" s="2"/>
      <c r="V29" s="2"/>
      <c r="W29" s="2"/>
      <c r="X29" s="2"/>
      <c r="Y29" s="2"/>
      <c r="Z29" s="2"/>
      <c r="AA29" s="2"/>
      <c r="AB29" s="2"/>
      <c r="AC29" s="2"/>
      <c r="AD29" s="2"/>
      <c r="AE29" s="2"/>
      <c r="AF29" s="2"/>
      <c r="AG29" s="2"/>
      <c r="AH29" s="2"/>
      <c r="AI29" s="2"/>
      <c r="AJ29" s="2"/>
      <c r="AK29" s="2"/>
      <c r="AL29" s="2"/>
      <c r="AM29" s="2"/>
      <c r="AN29" s="2"/>
      <c r="AO29" s="2"/>
      <c r="AP29" s="2"/>
      <c r="AQ29" s="98"/>
      <c r="AR29" s="2"/>
    </row>
    <row r="30" spans="1:44" ht="12.75" customHeight="1">
      <c r="A30" s="1693" t="s">
        <v>202</v>
      </c>
      <c r="B30" s="2"/>
      <c r="C30" s="2036">
        <f>BYD!BC67</f>
        <v>51.8</v>
      </c>
      <c r="D30" s="374">
        <f>BYD!AX67</f>
        <v>54.8</v>
      </c>
      <c r="E30" s="1103"/>
      <c r="F30" s="374">
        <f>C30-D30</f>
        <v>-3</v>
      </c>
      <c r="G30" s="126">
        <f>IF(D30=0,0,C30/D30-1)</f>
        <v>-5.4744525547445244E-2</v>
      </c>
      <c r="H30" s="2"/>
      <c r="I30" s="432">
        <v>66.179000000000002</v>
      </c>
      <c r="J30" s="1103"/>
      <c r="K30" s="374">
        <f>C30-I30</f>
        <v>-14.379000000000005</v>
      </c>
      <c r="L30" s="1204">
        <f>IF(I30=0,"NM",C30/I30-1)</f>
        <v>-0.21727436195772076</v>
      </c>
      <c r="M30" s="1102"/>
      <c r="N30" s="1102"/>
      <c r="O30" s="1102"/>
      <c r="P30" s="1102"/>
      <c r="Q30" s="1102"/>
      <c r="U30" s="2"/>
      <c r="V30" s="2"/>
      <c r="W30" s="2"/>
      <c r="X30" s="2"/>
      <c r="Y30" s="2"/>
      <c r="Z30" s="2"/>
      <c r="AA30" s="2"/>
      <c r="AB30" s="2"/>
      <c r="AC30" s="2"/>
      <c r="AD30" s="2"/>
      <c r="AE30" s="2"/>
      <c r="AF30" s="2"/>
      <c r="AG30" s="2"/>
      <c r="AH30" s="2"/>
      <c r="AI30" s="2"/>
      <c r="AJ30" s="2"/>
      <c r="AK30" s="2"/>
      <c r="AL30" s="2"/>
      <c r="AM30" s="2"/>
      <c r="AN30" s="2"/>
      <c r="AO30" s="2"/>
      <c r="AP30" s="2"/>
      <c r="AQ30" s="98"/>
      <c r="AR30" s="2"/>
    </row>
    <row r="31" spans="1:44" ht="4.5" customHeight="1">
      <c r="A31" s="964"/>
      <c r="B31" s="2"/>
      <c r="C31" s="2037" t="s">
        <v>343</v>
      </c>
      <c r="D31" s="452" t="s">
        <v>343</v>
      </c>
      <c r="E31" s="96" t="s">
        <v>343</v>
      </c>
      <c r="F31" s="452" t="s">
        <v>343</v>
      </c>
      <c r="G31" s="1251" t="s">
        <v>343</v>
      </c>
      <c r="H31" s="2" t="s">
        <v>343</v>
      </c>
      <c r="I31" s="2223" t="s">
        <v>343</v>
      </c>
      <c r="J31" s="96" t="s">
        <v>343</v>
      </c>
      <c r="K31" s="452" t="s">
        <v>343</v>
      </c>
      <c r="L31" s="1252" t="s">
        <v>343</v>
      </c>
      <c r="M31" s="1102"/>
      <c r="N31" s="1102"/>
      <c r="O31" s="1102"/>
      <c r="P31" s="1102"/>
      <c r="Q31" s="1102"/>
      <c r="U31" s="2"/>
      <c r="V31" s="2"/>
      <c r="W31" s="2"/>
      <c r="X31" s="2"/>
      <c r="Y31" s="2"/>
      <c r="Z31" s="2"/>
      <c r="AA31" s="2"/>
      <c r="AB31" s="2"/>
      <c r="AC31" s="2"/>
      <c r="AD31" s="2"/>
      <c r="AE31" s="2"/>
      <c r="AF31" s="2"/>
      <c r="AG31" s="2"/>
      <c r="AH31" s="2"/>
      <c r="AI31" s="2"/>
      <c r="AJ31" s="2"/>
      <c r="AK31" s="2"/>
      <c r="AL31" s="2"/>
      <c r="AM31" s="2"/>
      <c r="AN31" s="2"/>
      <c r="AO31" s="2"/>
      <c r="AP31" s="2"/>
      <c r="AQ31" s="98"/>
      <c r="AR31" s="2"/>
    </row>
    <row r="32" spans="1:44" ht="12.75" customHeight="1">
      <c r="A32" s="1" t="s">
        <v>744</v>
      </c>
      <c r="B32" s="2"/>
      <c r="C32" s="2235">
        <f>C25-C28-C29-C30</f>
        <v>104.48599999999998</v>
      </c>
      <c r="D32" s="2236">
        <f>D25-D28-D29-D30</f>
        <v>101.29300000000002</v>
      </c>
      <c r="E32" s="325"/>
      <c r="F32" s="2236">
        <f>F25-F28-F29-F30</f>
        <v>4.9929999999999932</v>
      </c>
      <c r="G32" s="106">
        <f>IF(D32=0,0,C32/D32-1)</f>
        <v>3.1522415171827856E-2</v>
      </c>
      <c r="H32" s="1205"/>
      <c r="I32" s="2237">
        <v>92.669765902708804</v>
      </c>
      <c r="J32" s="932"/>
      <c r="K32" s="2236">
        <f>C32-I32</f>
        <v>11.816234097291172</v>
      </c>
      <c r="L32" s="1214">
        <f>C32/I32-1</f>
        <v>0.12750905305724713</v>
      </c>
      <c r="N32" s="2"/>
      <c r="O32" s="2"/>
      <c r="P32" s="2"/>
      <c r="Q32" s="2"/>
      <c r="U32" s="1336"/>
      <c r="V32" s="2"/>
      <c r="W32" s="2"/>
      <c r="X32" s="2"/>
      <c r="Y32" s="2"/>
      <c r="Z32" s="2"/>
      <c r="AA32" s="2"/>
      <c r="AB32" s="2"/>
      <c r="AC32" s="2"/>
      <c r="AD32" s="2"/>
      <c r="AE32" s="2"/>
      <c r="AF32" s="2"/>
      <c r="AG32" s="2"/>
      <c r="AH32" s="2"/>
      <c r="AI32" s="2"/>
      <c r="AJ32" s="2"/>
      <c r="AK32" s="2"/>
      <c r="AL32" s="2"/>
      <c r="AM32" s="2"/>
      <c r="AN32" s="2"/>
      <c r="AO32" s="2"/>
      <c r="AP32" s="2"/>
      <c r="AQ32" s="98"/>
      <c r="AR32" s="2"/>
    </row>
    <row r="33" spans="1:44" ht="12.75" customHeight="1">
      <c r="A33" s="445" t="s">
        <v>1176</v>
      </c>
      <c r="B33" s="2"/>
      <c r="C33" s="2036">
        <f>BYD!BC73</f>
        <v>-56.9</v>
      </c>
      <c r="D33" s="374">
        <f>BYD!AX73</f>
        <v>-66.7</v>
      </c>
      <c r="E33" s="932"/>
      <c r="F33" s="374">
        <f>C33-D33</f>
        <v>9.8000000000000043</v>
      </c>
      <c r="G33" s="126">
        <f>IF(D33=0,0,C33/D33-1)</f>
        <v>-0.14692653673163425</v>
      </c>
      <c r="H33" s="1205"/>
      <c r="I33" s="432">
        <v>-74.891395000000003</v>
      </c>
      <c r="J33" s="932"/>
      <c r="K33" s="374">
        <f>C33-I33</f>
        <v>17.991395000000004</v>
      </c>
      <c r="L33" s="1204">
        <f>IF(I33=0,"NM",C33/I33-1)</f>
        <v>-0.24023314026931941</v>
      </c>
      <c r="N33" s="2"/>
      <c r="O33" s="2"/>
      <c r="P33" s="2"/>
      <c r="Q33" s="2"/>
      <c r="U33" s="2"/>
      <c r="V33" s="2"/>
      <c r="W33" s="2"/>
      <c r="X33" s="2"/>
      <c r="Y33" s="2"/>
      <c r="Z33" s="2"/>
      <c r="AA33" s="2"/>
      <c r="AB33" s="2"/>
      <c r="AC33" s="2"/>
      <c r="AD33" s="2"/>
      <c r="AE33" s="2"/>
      <c r="AF33" s="2"/>
      <c r="AG33" s="2"/>
      <c r="AH33" s="2"/>
      <c r="AI33" s="2"/>
      <c r="AJ33" s="2"/>
      <c r="AK33" s="2"/>
      <c r="AL33" s="2"/>
      <c r="AM33" s="2"/>
      <c r="AN33" s="2"/>
      <c r="AO33" s="2"/>
      <c r="AP33" s="2"/>
      <c r="AQ33" s="98"/>
      <c r="AR33" s="2"/>
    </row>
    <row r="34" spans="1:44" ht="12.75" customHeight="1">
      <c r="A34" s="445" t="s">
        <v>203</v>
      </c>
      <c r="B34" s="2"/>
      <c r="C34" s="2036">
        <f>BYD!BC74</f>
        <v>0</v>
      </c>
      <c r="D34" s="374">
        <f>BYD!AX74</f>
        <v>0</v>
      </c>
      <c r="E34" s="932"/>
      <c r="F34" s="374">
        <f>C34-D34</f>
        <v>0</v>
      </c>
      <c r="G34" s="126">
        <f>IF(D34=0,0,C34/D34-1)</f>
        <v>0</v>
      </c>
      <c r="H34" s="1205"/>
      <c r="I34" s="432">
        <v>0</v>
      </c>
      <c r="J34" s="932"/>
      <c r="K34" s="374">
        <f>C34-I34</f>
        <v>0</v>
      </c>
      <c r="L34" s="1204" t="str">
        <f>IF(I34=0,"NM",C34/I34-1)</f>
        <v>NM</v>
      </c>
      <c r="N34" s="2"/>
      <c r="O34" s="2"/>
      <c r="P34" s="2"/>
      <c r="Q34" s="2"/>
      <c r="U34" s="2"/>
      <c r="V34" s="2"/>
      <c r="W34" s="2"/>
      <c r="X34" s="2"/>
      <c r="Y34" s="2"/>
      <c r="Z34" s="2"/>
      <c r="AA34" s="2"/>
      <c r="AB34" s="2"/>
      <c r="AC34" s="2"/>
      <c r="AD34" s="2"/>
      <c r="AE34" s="2"/>
      <c r="AF34" s="2"/>
      <c r="AG34" s="2"/>
      <c r="AH34" s="2"/>
      <c r="AI34" s="2"/>
      <c r="AJ34" s="2"/>
      <c r="AK34" s="2"/>
      <c r="AL34" s="2"/>
      <c r="AM34" s="2"/>
      <c r="AN34" s="2"/>
      <c r="AO34" s="2"/>
      <c r="AP34" s="2"/>
      <c r="AQ34" s="98"/>
      <c r="AR34" s="2"/>
    </row>
    <row r="35" spans="1:44" ht="12.75" customHeight="1">
      <c r="A35" s="445" t="s">
        <v>814</v>
      </c>
      <c r="B35" s="2"/>
      <c r="C35" s="2036">
        <f>BYD!BC78</f>
        <v>-4.8</v>
      </c>
      <c r="D35" s="374">
        <f>BYD!AX78</f>
        <v>-3.8</v>
      </c>
      <c r="E35" s="1103"/>
      <c r="F35" s="374">
        <f>C35-D35</f>
        <v>-1</v>
      </c>
      <c r="G35" s="126">
        <f>IF(D35=0,0,C35/D35-1)</f>
        <v>0.26315789473684204</v>
      </c>
      <c r="H35" s="2"/>
      <c r="I35" s="432">
        <v>-1</v>
      </c>
      <c r="J35" s="1103"/>
      <c r="K35" s="374">
        <f>C35-I35</f>
        <v>-3.8</v>
      </c>
      <c r="L35" s="1204">
        <f>IF(I35=0,"NM",C35/I35-1)</f>
        <v>3.8</v>
      </c>
      <c r="N35" s="2"/>
      <c r="O35" s="2"/>
      <c r="P35" s="2"/>
      <c r="Q35" s="2"/>
      <c r="U35" s="2"/>
      <c r="V35" s="2"/>
      <c r="W35" s="2"/>
      <c r="X35" s="2"/>
      <c r="Y35" s="2"/>
      <c r="Z35" s="2"/>
      <c r="AA35" s="2"/>
      <c r="AB35" s="2"/>
      <c r="AC35" s="2"/>
      <c r="AD35" s="2"/>
      <c r="AE35" s="2"/>
      <c r="AF35" s="2"/>
      <c r="AG35" s="2"/>
      <c r="AH35" s="2"/>
      <c r="AI35" s="2"/>
      <c r="AJ35" s="2"/>
      <c r="AK35" s="2"/>
      <c r="AL35" s="2"/>
      <c r="AM35" s="2"/>
      <c r="AN35" s="2"/>
      <c r="AO35" s="2"/>
      <c r="AP35" s="2"/>
      <c r="AQ35" s="98"/>
      <c r="AR35" s="2"/>
    </row>
    <row r="36" spans="1:44" ht="4.5" customHeight="1">
      <c r="A36" s="964"/>
      <c r="B36" s="2"/>
      <c r="C36" s="2037" t="s">
        <v>343</v>
      </c>
      <c r="D36" s="452" t="s">
        <v>343</v>
      </c>
      <c r="E36" s="96" t="s">
        <v>343</v>
      </c>
      <c r="F36" s="452" t="s">
        <v>343</v>
      </c>
      <c r="G36" s="1251" t="s">
        <v>343</v>
      </c>
      <c r="H36" s="2" t="s">
        <v>343</v>
      </c>
      <c r="I36" s="2223" t="s">
        <v>343</v>
      </c>
      <c r="J36" s="96" t="s">
        <v>343</v>
      </c>
      <c r="K36" s="452" t="s">
        <v>343</v>
      </c>
      <c r="L36" s="1252" t="s">
        <v>343</v>
      </c>
      <c r="M36" s="1102"/>
      <c r="N36" s="1102"/>
      <c r="O36" s="1102"/>
      <c r="P36" s="1102"/>
      <c r="Q36" s="1102"/>
      <c r="U36" s="2"/>
      <c r="V36" s="2"/>
      <c r="W36" s="2"/>
      <c r="X36" s="2"/>
      <c r="Y36" s="2"/>
      <c r="Z36" s="2"/>
      <c r="AA36" s="2"/>
      <c r="AB36" s="2"/>
      <c r="AC36" s="2"/>
      <c r="AD36" s="2"/>
      <c r="AE36" s="2"/>
      <c r="AF36" s="2"/>
      <c r="AG36" s="2"/>
      <c r="AH36" s="2"/>
      <c r="AI36" s="2"/>
      <c r="AJ36" s="2"/>
      <c r="AK36" s="2"/>
      <c r="AL36" s="2"/>
      <c r="AM36" s="2"/>
      <c r="AN36" s="2"/>
      <c r="AO36" s="2"/>
      <c r="AP36" s="2"/>
      <c r="AQ36" s="98"/>
      <c r="AR36" s="2"/>
    </row>
    <row r="37" spans="1:44" ht="12.75" customHeight="1">
      <c r="A37" s="1" t="s">
        <v>745</v>
      </c>
      <c r="B37" s="2"/>
      <c r="C37" s="2240">
        <f>SUM(C32:C35)</f>
        <v>42.78599999999998</v>
      </c>
      <c r="D37" s="2239">
        <f>SUM(D32:D35)</f>
        <v>30.793000000000017</v>
      </c>
      <c r="E37" s="932"/>
      <c r="F37" s="2236">
        <f>C37-D37</f>
        <v>11.992999999999963</v>
      </c>
      <c r="G37" s="106">
        <f>IF(D37=0,0,C37/D37-1)</f>
        <v>0.38947163316337985</v>
      </c>
      <c r="H37" s="1205"/>
      <c r="I37" s="2238">
        <v>16.755345222708797</v>
      </c>
      <c r="J37" s="932"/>
      <c r="K37" s="2236">
        <f>C37-I37</f>
        <v>26.030654777291183</v>
      </c>
      <c r="L37" s="1214">
        <f>C37/I37-1</f>
        <v>1.5535731691168859</v>
      </c>
      <c r="N37" s="2"/>
      <c r="O37" s="2"/>
      <c r="P37" s="2"/>
      <c r="Q37" s="2"/>
      <c r="U37" s="2"/>
      <c r="V37" s="2"/>
      <c r="W37" s="2"/>
      <c r="X37" s="2"/>
      <c r="Y37" s="2"/>
      <c r="Z37" s="2"/>
      <c r="AA37" s="2"/>
      <c r="AB37" s="2"/>
      <c r="AC37" s="2"/>
      <c r="AD37" s="2"/>
      <c r="AE37" s="2"/>
      <c r="AF37" s="2"/>
      <c r="AG37" s="2"/>
      <c r="AH37" s="2"/>
      <c r="AI37" s="2"/>
      <c r="AJ37" s="2"/>
      <c r="AK37" s="2"/>
      <c r="AL37" s="2"/>
      <c r="AM37" s="2"/>
      <c r="AN37" s="2"/>
      <c r="AO37" s="2"/>
      <c r="AP37" s="2"/>
      <c r="AQ37" s="98"/>
      <c r="AR37" s="2"/>
    </row>
    <row r="38" spans="1:44" ht="12.75" customHeight="1">
      <c r="A38" s="445" t="s">
        <v>205</v>
      </c>
      <c r="B38" s="2"/>
      <c r="C38" s="2036">
        <f>BYD!BC81</f>
        <v>-4.0999999999999996</v>
      </c>
      <c r="D38" s="374">
        <f>BYD!AX81</f>
        <v>3.2</v>
      </c>
      <c r="E38" s="1103"/>
      <c r="F38" s="374">
        <f>C38-D38</f>
        <v>-7.3</v>
      </c>
      <c r="G38" s="126">
        <f>IF(D38=0,0,C38/D38-1)</f>
        <v>-2.28125</v>
      </c>
      <c r="H38" s="2"/>
      <c r="I38" s="432">
        <v>-5.8643708279480791</v>
      </c>
      <c r="J38" s="1103"/>
      <c r="K38" s="374">
        <f>C38-I38</f>
        <v>1.7643708279480794</v>
      </c>
      <c r="L38" s="1204">
        <f>IF(I38=0,"NM",C38/I38-1)</f>
        <v>-0.30086276596622152</v>
      </c>
      <c r="N38" s="2"/>
      <c r="O38" s="2"/>
      <c r="P38" s="2"/>
      <c r="Q38" s="2"/>
      <c r="U38" s="2"/>
      <c r="V38" s="2"/>
      <c r="W38" s="2"/>
      <c r="X38" s="2"/>
      <c r="Y38" s="2"/>
      <c r="Z38" s="2"/>
      <c r="AA38" s="2"/>
      <c r="AB38" s="2"/>
      <c r="AC38" s="2"/>
      <c r="AD38" s="2"/>
      <c r="AE38" s="2"/>
      <c r="AF38" s="2"/>
      <c r="AG38" s="2"/>
      <c r="AH38" s="2"/>
      <c r="AI38" s="2"/>
      <c r="AJ38" s="2"/>
      <c r="AK38" s="2"/>
      <c r="AL38" s="2"/>
      <c r="AM38" s="2"/>
      <c r="AN38" s="2"/>
      <c r="AO38" s="2"/>
      <c r="AP38" s="2"/>
      <c r="AQ38" s="98"/>
      <c r="AR38" s="2"/>
    </row>
    <row r="39" spans="1:44" ht="4.5" customHeight="1">
      <c r="A39" s="964"/>
      <c r="B39" s="2"/>
      <c r="C39" s="2037" t="s">
        <v>343</v>
      </c>
      <c r="D39" s="452" t="s">
        <v>343</v>
      </c>
      <c r="E39" s="96" t="s">
        <v>343</v>
      </c>
      <c r="F39" s="452" t="s">
        <v>343</v>
      </c>
      <c r="G39" s="1251" t="s">
        <v>343</v>
      </c>
      <c r="H39" s="2" t="s">
        <v>343</v>
      </c>
      <c r="I39" s="2223" t="s">
        <v>343</v>
      </c>
      <c r="J39" s="96" t="s">
        <v>343</v>
      </c>
      <c r="K39" s="452" t="s">
        <v>343</v>
      </c>
      <c r="L39" s="1252" t="s">
        <v>343</v>
      </c>
      <c r="M39" s="1102"/>
      <c r="N39" s="1102"/>
      <c r="O39" s="1102"/>
      <c r="P39" s="1102"/>
      <c r="Q39" s="1102"/>
      <c r="U39" s="2"/>
      <c r="V39" s="2"/>
      <c r="W39" s="2"/>
      <c r="X39" s="2"/>
      <c r="Y39" s="2"/>
      <c r="Z39" s="2"/>
      <c r="AA39" s="2"/>
      <c r="AB39" s="2"/>
      <c r="AC39" s="2"/>
      <c r="AD39" s="2"/>
      <c r="AE39" s="2"/>
      <c r="AF39" s="2"/>
      <c r="AG39" s="2"/>
      <c r="AH39" s="2"/>
      <c r="AI39" s="2"/>
      <c r="AJ39" s="2"/>
      <c r="AK39" s="2"/>
      <c r="AL39" s="2"/>
      <c r="AM39" s="2"/>
      <c r="AN39" s="2"/>
      <c r="AO39" s="2"/>
      <c r="AP39" s="2"/>
      <c r="AQ39" s="98"/>
      <c r="AR39" s="2"/>
    </row>
    <row r="40" spans="1:44" ht="12.75" customHeight="1">
      <c r="A40" s="107" t="s">
        <v>1243</v>
      </c>
      <c r="B40" s="61"/>
      <c r="C40" s="2240">
        <f>C37+C38</f>
        <v>38.685999999999979</v>
      </c>
      <c r="D40" s="2239">
        <f>D37+D38</f>
        <v>33.993000000000016</v>
      </c>
      <c r="E40" s="932"/>
      <c r="F40" s="2236">
        <f>F37+F38</f>
        <v>4.6929999999999632</v>
      </c>
      <c r="G40" s="1215">
        <f>G37+G38</f>
        <v>-1.8917783668366202</v>
      </c>
      <c r="H40" s="932"/>
      <c r="I40" s="2238">
        <v>10.890974394760718</v>
      </c>
      <c r="J40" s="932"/>
      <c r="K40" s="2236">
        <f>K37+K38</f>
        <v>27.79502560523926</v>
      </c>
      <c r="L40" s="1215">
        <f>L37+L38</f>
        <v>1.2527104031506644</v>
      </c>
      <c r="M40" s="1238"/>
      <c r="N40" s="61"/>
      <c r="O40" s="61"/>
      <c r="P40" s="61"/>
      <c r="Q40" s="61"/>
      <c r="U40" s="1336"/>
      <c r="V40" s="2"/>
      <c r="W40" s="2"/>
      <c r="X40" s="2"/>
      <c r="Y40" s="2"/>
      <c r="Z40" s="2"/>
      <c r="AA40" s="2"/>
      <c r="AB40" s="2"/>
      <c r="AC40" s="2"/>
      <c r="AD40" s="2"/>
      <c r="AE40" s="2"/>
      <c r="AF40" s="2"/>
      <c r="AG40" s="2"/>
      <c r="AH40" s="2"/>
      <c r="AI40" s="2"/>
      <c r="AJ40" s="2"/>
      <c r="AK40" s="2"/>
      <c r="AL40" s="2"/>
      <c r="AM40" s="2"/>
      <c r="AN40" s="2"/>
      <c r="AO40" s="2"/>
      <c r="AP40" s="2"/>
      <c r="AQ40" s="98"/>
      <c r="AR40" s="2"/>
    </row>
    <row r="41" spans="1:44" ht="12.75" customHeight="1">
      <c r="A41" s="445" t="s">
        <v>130</v>
      </c>
      <c r="B41" s="2"/>
      <c r="C41" s="2036">
        <f>BYD!BC85</f>
        <v>0</v>
      </c>
      <c r="D41" s="374">
        <f>BYD!AX85</f>
        <v>0</v>
      </c>
      <c r="E41" s="1103"/>
      <c r="F41" s="374">
        <f>C41-D41</f>
        <v>0</v>
      </c>
      <c r="G41" s="126">
        <f>IF(D41=0,0,C41/D41-1)</f>
        <v>0</v>
      </c>
      <c r="H41" s="2"/>
      <c r="I41" s="432">
        <v>-5.3137143318817044</v>
      </c>
      <c r="J41" s="1103"/>
      <c r="K41" s="374">
        <f>C41-I41</f>
        <v>5.3137143318817044</v>
      </c>
      <c r="L41" s="1204">
        <f>IF(I41=0,"NM",C41/I41-1)</f>
        <v>-1</v>
      </c>
      <c r="N41" s="2"/>
      <c r="O41" s="2"/>
      <c r="P41" s="2"/>
      <c r="Q41" s="2"/>
      <c r="U41" s="2"/>
      <c r="V41" s="2"/>
      <c r="W41" s="2"/>
      <c r="X41" s="2"/>
      <c r="Y41" s="2"/>
      <c r="Z41" s="2"/>
      <c r="AA41" s="2"/>
      <c r="AB41" s="2"/>
      <c r="AC41" s="2"/>
      <c r="AD41" s="2"/>
      <c r="AE41" s="2"/>
      <c r="AF41" s="2"/>
      <c r="AG41" s="2"/>
      <c r="AH41" s="2"/>
      <c r="AI41" s="2"/>
      <c r="AJ41" s="2"/>
      <c r="AK41" s="2"/>
      <c r="AL41" s="2"/>
      <c r="AM41" s="2"/>
      <c r="AN41" s="2"/>
      <c r="AO41" s="2"/>
      <c r="AP41" s="2"/>
      <c r="AQ41" s="98"/>
      <c r="AR41" s="2"/>
    </row>
    <row r="42" spans="1:44" ht="4.5" customHeight="1">
      <c r="A42" s="964"/>
      <c r="B42" s="2"/>
      <c r="C42" s="2037" t="s">
        <v>343</v>
      </c>
      <c r="D42" s="452" t="s">
        <v>343</v>
      </c>
      <c r="E42" s="96" t="s">
        <v>343</v>
      </c>
      <c r="F42" s="452" t="s">
        <v>343</v>
      </c>
      <c r="G42" s="1251" t="s">
        <v>343</v>
      </c>
      <c r="H42" s="2" t="s">
        <v>343</v>
      </c>
      <c r="I42" s="2223" t="s">
        <v>343</v>
      </c>
      <c r="J42" s="96" t="s">
        <v>343</v>
      </c>
      <c r="K42" s="452" t="s">
        <v>343</v>
      </c>
      <c r="L42" s="1252" t="s">
        <v>343</v>
      </c>
      <c r="M42" s="1102"/>
      <c r="N42" s="1102"/>
      <c r="O42" s="1102"/>
      <c r="P42" s="1102"/>
      <c r="Q42" s="1102"/>
      <c r="U42" s="2"/>
      <c r="V42" s="2"/>
      <c r="W42" s="2"/>
      <c r="X42" s="2"/>
      <c r="Y42" s="2"/>
      <c r="Z42" s="2"/>
      <c r="AA42" s="2"/>
      <c r="AB42" s="2"/>
      <c r="AC42" s="2"/>
      <c r="AD42" s="2"/>
      <c r="AE42" s="2"/>
      <c r="AF42" s="2"/>
      <c r="AG42" s="2"/>
      <c r="AH42" s="2"/>
      <c r="AI42" s="2"/>
      <c r="AJ42" s="2"/>
      <c r="AK42" s="2"/>
      <c r="AL42" s="2"/>
      <c r="AM42" s="2"/>
      <c r="AN42" s="2"/>
      <c r="AO42" s="2"/>
      <c r="AP42" s="2"/>
      <c r="AQ42" s="98"/>
      <c r="AR42" s="2"/>
    </row>
    <row r="43" spans="1:44" ht="12.75" customHeight="1">
      <c r="A43" s="107" t="s">
        <v>1540</v>
      </c>
      <c r="B43" s="2"/>
      <c r="C43" s="2240">
        <f>C40+C41</f>
        <v>38.685999999999979</v>
      </c>
      <c r="D43" s="2239">
        <f>D40+D41</f>
        <v>33.993000000000016</v>
      </c>
      <c r="E43" s="932"/>
      <c r="F43" s="2236">
        <f>F40+F41</f>
        <v>4.6929999999999632</v>
      </c>
      <c r="G43" s="1215">
        <f>G40+G41</f>
        <v>-1.8917783668366202</v>
      </c>
      <c r="H43" s="932"/>
      <c r="I43" s="2238">
        <v>5.5772600628790139</v>
      </c>
      <c r="J43" s="932"/>
      <c r="K43" s="2236">
        <f>K40+K41</f>
        <v>33.108739937120966</v>
      </c>
      <c r="L43" s="1215">
        <f>L40+L41</f>
        <v>0.2527104031506644</v>
      </c>
      <c r="N43" s="2"/>
      <c r="O43" s="2"/>
      <c r="P43" s="2"/>
      <c r="Q43" s="2"/>
      <c r="U43" s="105"/>
      <c r="V43" s="2"/>
      <c r="W43" s="2"/>
      <c r="X43" s="2"/>
      <c r="Y43" s="2"/>
      <c r="Z43" s="2"/>
      <c r="AA43" s="2"/>
      <c r="AB43" s="2"/>
      <c r="AC43" s="2"/>
      <c r="AD43" s="2"/>
      <c r="AE43" s="2"/>
      <c r="AF43" s="2"/>
      <c r="AG43" s="2"/>
      <c r="AH43" s="2"/>
      <c r="AI43" s="2"/>
      <c r="AJ43" s="2"/>
      <c r="AK43" s="2"/>
      <c r="AL43" s="2"/>
      <c r="AM43" s="2"/>
      <c r="AN43" s="2"/>
      <c r="AO43" s="2"/>
      <c r="AP43" s="2"/>
      <c r="AQ43" s="98"/>
      <c r="AR43" s="2"/>
    </row>
    <row r="44" spans="1:44" ht="12.75" customHeight="1">
      <c r="A44" s="2" t="s">
        <v>1562</v>
      </c>
      <c r="B44" s="2"/>
      <c r="C44" s="2031">
        <f>BYD!BC87</f>
        <v>4.4999999999999991</v>
      </c>
      <c r="D44" s="104">
        <f>BYD!AX87</f>
        <v>0</v>
      </c>
      <c r="E44" s="61"/>
      <c r="F44" s="61"/>
      <c r="G44" s="1141"/>
      <c r="H44" s="2"/>
      <c r="I44" s="1104">
        <v>1</v>
      </c>
      <c r="J44" s="61"/>
      <c r="K44" s="61"/>
      <c r="L44" s="1216"/>
      <c r="N44" s="2"/>
      <c r="O44" s="2"/>
      <c r="P44" s="2"/>
      <c r="Q44" s="2"/>
      <c r="U44" s="2"/>
      <c r="V44" s="2"/>
      <c r="W44" s="2"/>
      <c r="X44" s="2"/>
      <c r="Y44" s="2"/>
      <c r="Z44" s="2"/>
      <c r="AA44" s="2"/>
      <c r="AB44" s="2"/>
      <c r="AC44" s="2"/>
      <c r="AD44" s="2"/>
      <c r="AE44" s="2"/>
      <c r="AF44" s="2"/>
      <c r="AG44" s="2"/>
      <c r="AH44" s="2"/>
      <c r="AI44" s="2"/>
      <c r="AJ44" s="2"/>
      <c r="AK44" s="2"/>
      <c r="AL44" s="2"/>
      <c r="AM44" s="2"/>
      <c r="AN44" s="2"/>
      <c r="AO44" s="2"/>
      <c r="AP44" s="2"/>
      <c r="AQ44" s="98"/>
      <c r="AR44" s="2"/>
    </row>
    <row r="45" spans="1:44" ht="12.75" customHeight="1">
      <c r="A45" s="147" t="s">
        <v>1747</v>
      </c>
      <c r="B45" s="160"/>
      <c r="C45" s="2244">
        <f>BYD!BC88</f>
        <v>5.1870000000000056</v>
      </c>
      <c r="D45" s="2243">
        <f>BYD!AX88</f>
        <v>-0.23049999999998061</v>
      </c>
      <c r="E45" s="1218"/>
      <c r="F45" s="2241">
        <f>C45-D45</f>
        <v>5.4174999999999862</v>
      </c>
      <c r="G45" s="1219">
        <f>IF(D45=0,0,C45/D45-1)</f>
        <v>-23.503253796097361</v>
      </c>
      <c r="H45" s="1220"/>
      <c r="I45" s="2242">
        <v>6.5772600628790139</v>
      </c>
      <c r="J45" s="1218"/>
      <c r="K45" s="2241">
        <f>C45-I45</f>
        <v>-1.3902600628790083</v>
      </c>
      <c r="L45" s="1221">
        <f>C45/I45-1</f>
        <v>-0.21137374067438963</v>
      </c>
      <c r="N45" s="2"/>
      <c r="O45" s="2"/>
      <c r="P45" s="2"/>
      <c r="Q45" s="2"/>
      <c r="U45" s="2"/>
      <c r="V45" s="2"/>
      <c r="W45" s="2"/>
      <c r="X45" s="2"/>
      <c r="Y45" s="2"/>
      <c r="Z45" s="2"/>
      <c r="AA45" s="2"/>
      <c r="AB45" s="2"/>
      <c r="AC45" s="2"/>
      <c r="AD45" s="2"/>
      <c r="AE45" s="2"/>
      <c r="AF45" s="2"/>
      <c r="AG45" s="2"/>
      <c r="AH45" s="2"/>
      <c r="AI45" s="2"/>
      <c r="AJ45" s="2"/>
      <c r="AK45" s="2"/>
      <c r="AL45" s="2"/>
      <c r="AM45" s="2"/>
      <c r="AN45" s="2"/>
      <c r="AO45" s="2"/>
      <c r="AP45" s="2"/>
      <c r="AQ45" s="98"/>
      <c r="AR45" s="2"/>
    </row>
    <row r="46" spans="1:44" ht="12.75" customHeight="1">
      <c r="A46" s="2"/>
      <c r="B46" s="2"/>
      <c r="C46" s="2034"/>
      <c r="D46" s="77"/>
      <c r="E46" s="61"/>
      <c r="F46" s="61"/>
      <c r="G46" s="1141"/>
      <c r="H46" s="2"/>
      <c r="I46" s="115"/>
      <c r="J46" s="61"/>
      <c r="K46" s="61"/>
      <c r="L46" s="1216"/>
      <c r="N46" s="2"/>
      <c r="O46" s="2"/>
      <c r="P46" s="2"/>
      <c r="Q46" s="2"/>
      <c r="U46" s="2"/>
      <c r="V46" s="2"/>
      <c r="W46" s="2"/>
      <c r="X46" s="2"/>
      <c r="Y46" s="2"/>
      <c r="Z46" s="2"/>
      <c r="AA46" s="2"/>
      <c r="AB46" s="2"/>
      <c r="AC46" s="2"/>
      <c r="AD46" s="2"/>
      <c r="AE46" s="2"/>
      <c r="AF46" s="2"/>
      <c r="AG46" s="2"/>
      <c r="AH46" s="2"/>
      <c r="AI46" s="2"/>
      <c r="AJ46" s="2"/>
      <c r="AK46" s="2"/>
      <c r="AL46" s="2"/>
      <c r="AM46" s="2"/>
      <c r="AN46" s="2"/>
      <c r="AO46" s="2"/>
      <c r="AP46" s="2"/>
      <c r="AQ46" s="98"/>
      <c r="AR46" s="2"/>
    </row>
    <row r="47" spans="1:44" ht="12.75" customHeight="1">
      <c r="A47" s="138" t="s">
        <v>746</v>
      </c>
      <c r="B47" s="155"/>
      <c r="C47" s="2041">
        <f>+C45/C48</f>
        <v>4.6808587440101843E-2</v>
      </c>
      <c r="D47" s="152">
        <f>+D45/D48</f>
        <v>-2.553592200742044E-3</v>
      </c>
      <c r="E47" s="152"/>
      <c r="F47" s="152">
        <f>C47-D47</f>
        <v>4.9362179640843884E-2</v>
      </c>
      <c r="G47" s="1208">
        <f>IF(D47=0,0,C47/D47-1)</f>
        <v>-19.330486530503897</v>
      </c>
      <c r="H47" s="155"/>
      <c r="I47" s="1246">
        <v>5.9927838536340816E-2</v>
      </c>
      <c r="J47" s="152"/>
      <c r="K47" s="152">
        <f>C47-I47</f>
        <v>-1.3119251096238974E-2</v>
      </c>
      <c r="L47" s="1211">
        <f>C47/I47-1</f>
        <v>-0.21891747502762571</v>
      </c>
      <c r="N47" s="1256"/>
      <c r="O47" s="1256"/>
      <c r="P47" s="1256"/>
      <c r="Q47" s="1256"/>
      <c r="S47" s="1645"/>
      <c r="U47" s="2"/>
      <c r="V47" s="2"/>
      <c r="W47" s="2"/>
      <c r="X47" s="2"/>
      <c r="Y47" s="2"/>
      <c r="Z47" s="2"/>
      <c r="AA47" s="2"/>
      <c r="AB47" s="2"/>
      <c r="AC47" s="2"/>
      <c r="AD47" s="2"/>
      <c r="AE47" s="2"/>
      <c r="AF47" s="2"/>
      <c r="AG47" s="2"/>
      <c r="AH47" s="2"/>
      <c r="AI47" s="2"/>
      <c r="AJ47" s="2"/>
      <c r="AK47" s="2"/>
      <c r="AL47" s="2"/>
      <c r="AM47" s="2"/>
      <c r="AN47" s="2"/>
      <c r="AO47" s="2"/>
      <c r="AP47" s="2"/>
      <c r="AQ47" s="98"/>
      <c r="AR47" s="2"/>
    </row>
    <row r="48" spans="1:44" ht="12.75" customHeight="1">
      <c r="A48" s="2" t="s">
        <v>769</v>
      </c>
      <c r="B48" s="2"/>
      <c r="C48" s="2031">
        <f>BYD!BC103</f>
        <v>110.813</v>
      </c>
      <c r="D48" s="104">
        <f>BYD!AX103</f>
        <v>90.265000000000001</v>
      </c>
      <c r="E48" s="1103"/>
      <c r="F48" s="374">
        <f>C48-D48</f>
        <v>20.548000000000002</v>
      </c>
      <c r="G48" s="126">
        <f>IF(D48=0,0,C48/D48-1)</f>
        <v>0.22764083531822976</v>
      </c>
      <c r="H48" s="2"/>
      <c r="I48" s="1104">
        <v>109.753</v>
      </c>
      <c r="J48" s="1103"/>
      <c r="K48" s="374">
        <f>C48-I48</f>
        <v>1.0600000000000023</v>
      </c>
      <c r="L48" s="1204">
        <f>C48/I48-1</f>
        <v>9.6580503494210213E-3</v>
      </c>
      <c r="N48" s="2"/>
      <c r="O48" s="2"/>
      <c r="P48" s="2"/>
      <c r="Q48" s="2"/>
      <c r="U48" s="2"/>
      <c r="V48" s="2"/>
      <c r="W48" s="2"/>
      <c r="X48" s="2"/>
      <c r="Y48" s="2"/>
      <c r="Z48" s="2"/>
      <c r="AA48" s="2"/>
      <c r="AB48" s="2"/>
      <c r="AC48" s="2"/>
      <c r="AD48" s="2"/>
      <c r="AE48" s="2"/>
      <c r="AF48" s="2"/>
      <c r="AG48" s="2"/>
      <c r="AH48" s="2"/>
      <c r="AI48" s="2"/>
      <c r="AJ48" s="2"/>
      <c r="AK48" s="2"/>
      <c r="AL48" s="2"/>
      <c r="AM48" s="2"/>
      <c r="AN48" s="2"/>
      <c r="AO48" s="2"/>
      <c r="AP48" s="2"/>
      <c r="AQ48" s="98"/>
      <c r="AR48" s="2"/>
    </row>
    <row r="49" spans="1:44" ht="12.75" customHeight="1">
      <c r="A49" s="2"/>
      <c r="B49" s="2"/>
      <c r="C49" s="112"/>
      <c r="D49" s="77"/>
      <c r="E49" s="61"/>
      <c r="F49" s="2"/>
      <c r="G49" s="2"/>
      <c r="H49" s="2"/>
      <c r="I49" s="142"/>
      <c r="J49" s="61"/>
      <c r="K49" s="61"/>
      <c r="L49" s="2"/>
      <c r="N49" s="2"/>
      <c r="O49" s="2"/>
      <c r="P49" s="2"/>
      <c r="Q49" s="2"/>
      <c r="U49" s="2"/>
      <c r="V49" s="2"/>
      <c r="W49" s="2"/>
      <c r="X49" s="2"/>
      <c r="Y49" s="2"/>
      <c r="Z49" s="2"/>
      <c r="AA49" s="2"/>
      <c r="AB49" s="2"/>
      <c r="AC49" s="2"/>
      <c r="AD49" s="2"/>
      <c r="AE49" s="2"/>
      <c r="AF49" s="2"/>
      <c r="AG49" s="2"/>
      <c r="AH49" s="2"/>
      <c r="AI49" s="2"/>
      <c r="AJ49" s="2"/>
      <c r="AK49" s="2"/>
      <c r="AL49" s="2"/>
      <c r="AM49" s="2"/>
      <c r="AN49" s="2"/>
      <c r="AO49" s="2"/>
      <c r="AP49" s="2"/>
      <c r="AQ49" s="98"/>
      <c r="AR49" s="2"/>
    </row>
    <row r="50" spans="1:44" ht="12.75" customHeight="1">
      <c r="A50" s="1222" t="s">
        <v>1483</v>
      </c>
      <c r="B50" s="1223"/>
      <c r="C50" s="1224">
        <f>C23/C14</f>
        <v>0.32405674336021301</v>
      </c>
      <c r="D50" s="1400">
        <f>D23/D14</f>
        <v>0.3053964596171212</v>
      </c>
      <c r="E50" s="1225"/>
      <c r="F50" s="1223"/>
      <c r="G50" s="1226">
        <f>(C50-D50)</f>
        <v>1.866028374309181E-2</v>
      </c>
      <c r="H50" s="1223"/>
      <c r="I50" s="2234">
        <f>I23/I14</f>
        <v>0.24153612055653995</v>
      </c>
      <c r="J50" s="1225"/>
      <c r="K50" s="1223"/>
      <c r="L50" s="1227">
        <f>(C50-I50)</f>
        <v>8.252062280367306E-2</v>
      </c>
      <c r="N50" s="2"/>
      <c r="O50" s="2"/>
      <c r="P50" s="2"/>
      <c r="Q50" s="2"/>
      <c r="U50" s="2"/>
      <c r="V50" s="2"/>
      <c r="W50" s="2"/>
      <c r="X50" s="2"/>
      <c r="Y50" s="2"/>
      <c r="Z50" s="2"/>
      <c r="AA50" s="2"/>
      <c r="AB50" s="2"/>
      <c r="AC50" s="2"/>
      <c r="AD50" s="2"/>
      <c r="AE50" s="2"/>
      <c r="AF50" s="2"/>
      <c r="AG50" s="2"/>
      <c r="AH50" s="2"/>
      <c r="AI50" s="2"/>
      <c r="AJ50" s="2"/>
      <c r="AK50" s="2"/>
      <c r="AL50" s="2"/>
      <c r="AM50" s="2"/>
      <c r="AN50" s="2"/>
      <c r="AO50" s="2"/>
      <c r="AP50" s="2"/>
      <c r="AQ50" s="98"/>
      <c r="AR50" s="2"/>
    </row>
    <row r="51" spans="1:44" ht="12.75" customHeight="1">
      <c r="A51" s="1239" t="s">
        <v>514</v>
      </c>
      <c r="B51" s="1228"/>
      <c r="C51" s="1229">
        <f t="shared" ref="C51:D53" si="9">C17/C8</f>
        <v>0.24671882376745127</v>
      </c>
      <c r="D51" s="1230">
        <f t="shared" si="9"/>
        <v>0.25868795510722159</v>
      </c>
      <c r="E51" s="1230"/>
      <c r="F51" s="1228"/>
      <c r="G51" s="1231">
        <f>(C51-D51)</f>
        <v>-1.1969131339770317E-2</v>
      </c>
      <c r="H51" s="1228"/>
      <c r="I51" s="1248">
        <f>I17/I8</f>
        <v>0.26245096041124583</v>
      </c>
      <c r="J51" s="1230"/>
      <c r="K51" s="1228"/>
      <c r="L51" s="1232">
        <f>(C51-I51)</f>
        <v>-1.5732136643794553E-2</v>
      </c>
      <c r="M51" s="1404"/>
      <c r="N51" s="1647"/>
      <c r="O51" s="1647"/>
      <c r="P51" s="1647"/>
      <c r="Q51" s="1647"/>
      <c r="U51" s="2"/>
      <c r="V51" s="2"/>
      <c r="W51" s="2"/>
      <c r="X51" s="2"/>
      <c r="Y51" s="2"/>
      <c r="Z51" s="2"/>
      <c r="AA51" s="2"/>
      <c r="AB51" s="2"/>
      <c r="AC51" s="2"/>
      <c r="AD51" s="2"/>
      <c r="AE51" s="2"/>
      <c r="AF51" s="2"/>
      <c r="AG51" s="2"/>
      <c r="AH51" s="2"/>
      <c r="AI51" s="2"/>
      <c r="AJ51" s="2"/>
      <c r="AK51" s="2"/>
      <c r="AL51" s="2"/>
      <c r="AM51" s="2"/>
      <c r="AN51" s="2"/>
      <c r="AO51" s="2"/>
      <c r="AP51" s="2"/>
      <c r="AQ51" s="98"/>
      <c r="AR51" s="2"/>
    </row>
    <row r="52" spans="1:44" ht="12.75" customHeight="1">
      <c r="A52" s="1239" t="s">
        <v>515</v>
      </c>
      <c r="B52" s="1228"/>
      <c r="C52" s="1229">
        <f t="shared" si="9"/>
        <v>0.15392785138248849</v>
      </c>
      <c r="D52" s="1230">
        <f t="shared" si="9"/>
        <v>0.16563925313568986</v>
      </c>
      <c r="E52" s="1230"/>
      <c r="F52" s="1228"/>
      <c r="G52" s="1231">
        <f>(C52-D52)</f>
        <v>-1.1711401753201373E-2</v>
      </c>
      <c r="H52" s="1228"/>
      <c r="I52" s="1248">
        <f>I18/I9</f>
        <v>0.16563925313568981</v>
      </c>
      <c r="J52" s="1230"/>
      <c r="K52" s="1228"/>
      <c r="L52" s="1232">
        <f>(C52-I52)</f>
        <v>-1.1711401753201317E-2</v>
      </c>
      <c r="M52" s="1403"/>
      <c r="N52" s="98"/>
      <c r="O52" s="98"/>
      <c r="P52" s="98"/>
      <c r="Q52" s="98"/>
      <c r="U52" s="2"/>
      <c r="V52" s="2"/>
      <c r="W52" s="2"/>
      <c r="X52" s="2"/>
      <c r="Y52" s="2"/>
      <c r="Z52" s="2"/>
      <c r="AA52" s="2"/>
      <c r="AB52" s="2"/>
      <c r="AC52" s="2"/>
      <c r="AD52" s="2"/>
      <c r="AE52" s="2"/>
      <c r="AF52" s="2"/>
      <c r="AG52" s="2"/>
      <c r="AH52" s="2"/>
      <c r="AI52" s="2"/>
      <c r="AJ52" s="2"/>
      <c r="AK52" s="2"/>
      <c r="AL52" s="2"/>
      <c r="AM52" s="2"/>
      <c r="AN52" s="2"/>
      <c r="AO52" s="2"/>
      <c r="AP52" s="2"/>
      <c r="AQ52" s="98"/>
      <c r="AR52" s="2"/>
    </row>
    <row r="53" spans="1:44" ht="12.75" customHeight="1">
      <c r="A53" s="1239" t="s">
        <v>517</v>
      </c>
      <c r="B53" s="1228"/>
      <c r="C53" s="1229">
        <f t="shared" si="9"/>
        <v>0.20180866937026548</v>
      </c>
      <c r="D53" s="1230">
        <f t="shared" si="9"/>
        <v>0.21681165365425173</v>
      </c>
      <c r="E53" s="1230"/>
      <c r="F53" s="1228"/>
      <c r="G53" s="1231">
        <f>(C53-D53)</f>
        <v>-1.5002984283986248E-2</v>
      </c>
      <c r="H53" s="1228"/>
      <c r="I53" s="1248">
        <f>I19/I10</f>
        <v>0.19998054606647939</v>
      </c>
      <c r="J53" s="1230"/>
      <c r="K53" s="1228"/>
      <c r="L53" s="1232">
        <f>(C53-I53)</f>
        <v>1.8281233037860944E-3</v>
      </c>
      <c r="M53" s="1403"/>
      <c r="N53" s="98"/>
      <c r="O53" s="98"/>
      <c r="P53" s="98"/>
      <c r="Q53" s="98"/>
      <c r="U53" s="2"/>
      <c r="V53" s="2"/>
      <c r="W53" s="2"/>
      <c r="X53" s="2"/>
      <c r="Y53" s="2"/>
      <c r="Z53" s="2"/>
      <c r="AA53" s="2"/>
      <c r="AB53" s="2"/>
      <c r="AC53" s="2"/>
      <c r="AD53" s="2"/>
      <c r="AE53" s="2"/>
      <c r="AF53" s="2"/>
      <c r="AG53" s="2"/>
      <c r="AH53" s="2"/>
      <c r="AI53" s="2"/>
      <c r="AJ53" s="2"/>
      <c r="AK53" s="2"/>
      <c r="AL53" s="2"/>
      <c r="AM53" s="2"/>
      <c r="AN53" s="2"/>
      <c r="AO53" s="2"/>
      <c r="AP53" s="2"/>
      <c r="AQ53" s="98"/>
      <c r="AR53" s="2"/>
    </row>
    <row r="54" spans="1:44" ht="12.75" customHeight="1">
      <c r="A54" s="1239" t="s">
        <v>516</v>
      </c>
      <c r="B54" s="1228"/>
      <c r="C54" s="1229">
        <f>C19/C10</f>
        <v>0.20180866937026548</v>
      </c>
      <c r="D54" s="1230">
        <f>D19/D10</f>
        <v>0.21681165365425173</v>
      </c>
      <c r="E54" s="1230"/>
      <c r="F54" s="1228"/>
      <c r="G54" s="1231">
        <f>(C54-D54)</f>
        <v>-1.5002984283986248E-2</v>
      </c>
      <c r="H54" s="1228"/>
      <c r="I54" s="1248">
        <f>I19/I10</f>
        <v>0.19998054606647939</v>
      </c>
      <c r="J54" s="1230"/>
      <c r="K54" s="1228"/>
      <c r="L54" s="1232">
        <f>(C54-I54)</f>
        <v>1.8281233037860944E-3</v>
      </c>
      <c r="M54" s="1404"/>
      <c r="N54" s="105"/>
      <c r="O54" s="105"/>
      <c r="P54" s="105"/>
      <c r="Q54" s="105"/>
      <c r="U54" s="2"/>
      <c r="V54" s="2"/>
      <c r="W54" s="2"/>
      <c r="X54" s="2"/>
      <c r="Y54" s="2"/>
      <c r="Z54" s="2"/>
      <c r="AA54" s="2"/>
      <c r="AB54" s="2"/>
      <c r="AC54" s="2"/>
      <c r="AD54" s="2"/>
      <c r="AE54" s="2"/>
      <c r="AF54" s="2"/>
      <c r="AG54" s="2"/>
      <c r="AH54" s="2"/>
      <c r="AI54" s="2"/>
      <c r="AJ54" s="2"/>
      <c r="AK54" s="2"/>
      <c r="AL54" s="2"/>
      <c r="AM54" s="2"/>
      <c r="AN54" s="2"/>
      <c r="AO54" s="2"/>
      <c r="AP54" s="2"/>
      <c r="AQ54" s="98"/>
      <c r="AR54" s="2"/>
    </row>
    <row r="55" spans="1:44" ht="12.75" customHeight="1">
      <c r="A55" s="1240" t="s">
        <v>273</v>
      </c>
      <c r="B55" s="1233"/>
      <c r="C55" s="1234"/>
      <c r="D55" s="1235"/>
      <c r="E55" s="1235"/>
      <c r="F55" s="1233"/>
      <c r="G55" s="1235"/>
      <c r="H55" s="1233"/>
      <c r="I55" s="1249">
        <f>I21/I12</f>
        <v>0.24329177747981695</v>
      </c>
      <c r="J55" s="1235"/>
      <c r="K55" s="1233"/>
      <c r="L55" s="1237"/>
      <c r="M55" s="1404"/>
      <c r="N55" s="105"/>
      <c r="O55" s="105"/>
      <c r="P55" s="105"/>
      <c r="Q55" s="105"/>
      <c r="U55" s="2"/>
      <c r="V55" s="2"/>
      <c r="W55" s="2"/>
      <c r="X55" s="2"/>
      <c r="Y55" s="2"/>
      <c r="Z55" s="2"/>
      <c r="AA55" s="2"/>
      <c r="AB55" s="2"/>
      <c r="AC55" s="2"/>
      <c r="AD55" s="2"/>
      <c r="AE55" s="2"/>
      <c r="AF55" s="2"/>
      <c r="AG55" s="2"/>
      <c r="AH55" s="2"/>
      <c r="AI55" s="2"/>
      <c r="AJ55" s="2"/>
      <c r="AK55" s="2"/>
      <c r="AL55" s="2"/>
      <c r="AM55" s="2"/>
      <c r="AN55" s="2"/>
      <c r="AO55" s="2"/>
      <c r="AP55" s="2"/>
      <c r="AQ55" s="98"/>
      <c r="AR55" s="2"/>
    </row>
    <row r="56" spans="1:44" ht="12.75" customHeight="1">
      <c r="A56" s="61"/>
      <c r="B56" s="61"/>
      <c r="C56" s="1435"/>
      <c r="D56" s="77"/>
      <c r="E56" s="61"/>
      <c r="F56" s="61"/>
      <c r="G56" s="61"/>
      <c r="H56" s="61"/>
      <c r="I56" s="1435"/>
      <c r="J56" s="61"/>
      <c r="K56" s="61"/>
      <c r="L56" s="61"/>
      <c r="M56" s="1404"/>
      <c r="N56" s="105"/>
      <c r="O56" s="105"/>
      <c r="P56" s="105"/>
      <c r="Q56" s="105"/>
      <c r="U56" s="2"/>
      <c r="V56" s="2"/>
      <c r="W56" s="2"/>
      <c r="X56" s="2"/>
      <c r="Y56" s="2"/>
      <c r="Z56" s="2"/>
      <c r="AA56" s="2"/>
      <c r="AB56" s="2"/>
      <c r="AC56" s="2"/>
      <c r="AD56" s="2"/>
      <c r="AE56" s="2"/>
      <c r="AF56" s="2"/>
      <c r="AG56" s="2"/>
      <c r="AH56" s="2"/>
      <c r="AI56" s="2"/>
      <c r="AJ56" s="2"/>
      <c r="AK56" s="2"/>
      <c r="AL56" s="2"/>
      <c r="AM56" s="2"/>
      <c r="AN56" s="2"/>
      <c r="AO56" s="2"/>
      <c r="AP56" s="2"/>
      <c r="AQ56" s="98"/>
      <c r="AR56" s="2"/>
    </row>
    <row r="57" spans="1:44" ht="12.75" customHeight="1">
      <c r="A57" s="61"/>
      <c r="B57" s="61"/>
      <c r="C57" s="374"/>
      <c r="D57" s="374"/>
      <c r="E57" s="61"/>
      <c r="F57" s="374"/>
      <c r="G57" s="95"/>
      <c r="H57" s="313"/>
      <c r="I57" s="376"/>
      <c r="J57" s="932"/>
      <c r="K57" s="374"/>
      <c r="L57" s="1204"/>
      <c r="N57" s="2"/>
      <c r="O57" s="2"/>
      <c r="P57" s="2"/>
      <c r="Q57" s="2"/>
      <c r="U57" s="1"/>
      <c r="V57" s="2"/>
      <c r="W57" s="1"/>
      <c r="X57" s="2"/>
      <c r="Y57" s="2"/>
      <c r="Z57" s="2"/>
      <c r="AA57" s="2"/>
      <c r="AB57" s="2"/>
      <c r="AC57" s="2"/>
      <c r="AD57" s="2"/>
      <c r="AE57" s="2"/>
      <c r="AF57" s="2"/>
      <c r="AG57" s="2"/>
      <c r="AH57" s="2"/>
      <c r="AI57" s="2"/>
      <c r="AJ57" s="2"/>
      <c r="AK57" s="2"/>
      <c r="AL57" s="2"/>
      <c r="AM57" s="2"/>
      <c r="AN57" s="2"/>
      <c r="AO57" s="2"/>
      <c r="AP57" s="2"/>
      <c r="AQ57" s="98"/>
      <c r="AR57" s="2"/>
    </row>
    <row r="58" spans="1:44" ht="12.75" customHeight="1">
      <c r="A58" s="743"/>
      <c r="B58" s="61"/>
      <c r="C58" s="1618"/>
      <c r="D58" s="1618"/>
      <c r="E58" s="61"/>
      <c r="F58" s="1618"/>
      <c r="G58" s="1433"/>
      <c r="H58" s="61"/>
      <c r="I58" s="1618"/>
      <c r="J58" s="1103"/>
      <c r="K58" s="452"/>
      <c r="L58" s="1252"/>
      <c r="M58" s="1404"/>
      <c r="N58" s="1404"/>
      <c r="O58" s="1404"/>
      <c r="P58" s="1404"/>
      <c r="Q58" s="1404"/>
      <c r="U58" s="105"/>
      <c r="V58" s="2"/>
      <c r="W58" s="105"/>
      <c r="X58" s="2"/>
      <c r="Y58" s="2"/>
      <c r="Z58" s="2"/>
      <c r="AA58" s="2"/>
      <c r="AB58" s="2"/>
      <c r="AC58" s="2"/>
      <c r="AD58" s="2"/>
      <c r="AE58" s="2"/>
      <c r="AF58" s="2"/>
      <c r="AG58" s="2"/>
      <c r="AH58" s="2"/>
      <c r="AI58" s="2"/>
      <c r="AJ58" s="2"/>
      <c r="AK58" s="2"/>
      <c r="AL58" s="2"/>
      <c r="AM58" s="2"/>
      <c r="AN58" s="2"/>
      <c r="AO58" s="2"/>
      <c r="AP58" s="2"/>
      <c r="AQ58" s="98"/>
      <c r="AR58" s="2"/>
    </row>
    <row r="59" spans="1:44" ht="12.75" customHeight="1">
      <c r="A59" s="1"/>
      <c r="B59" s="2"/>
      <c r="C59" s="1241"/>
      <c r="D59" s="1241"/>
      <c r="E59" s="61"/>
      <c r="F59" s="374"/>
      <c r="G59" s="95"/>
      <c r="H59" s="61"/>
      <c r="I59" s="1434"/>
      <c r="J59" s="1103"/>
      <c r="K59" s="1241"/>
      <c r="L59" s="1204"/>
      <c r="N59" s="1143"/>
      <c r="O59" s="1143"/>
      <c r="P59" s="1143"/>
      <c r="Q59" s="1143"/>
      <c r="AQ59" s="1403"/>
    </row>
    <row r="60" spans="1:44" ht="4.5" customHeight="1">
      <c r="A60" s="2"/>
      <c r="B60" s="2"/>
      <c r="C60" s="61"/>
      <c r="D60" s="77"/>
      <c r="E60" s="61"/>
      <c r="F60" s="61"/>
      <c r="G60" s="61"/>
      <c r="H60" s="61"/>
      <c r="I60" s="61"/>
      <c r="J60" s="2"/>
      <c r="K60" s="2"/>
      <c r="L60" s="2"/>
      <c r="N60" s="2"/>
      <c r="O60" s="2"/>
      <c r="P60" s="2"/>
      <c r="Q60" s="2"/>
      <c r="AQ60" s="1403"/>
    </row>
    <row r="61" spans="1:44" ht="6" customHeight="1">
      <c r="A61" s="2"/>
      <c r="B61" s="2"/>
      <c r="C61" s="2"/>
      <c r="D61" s="1062"/>
      <c r="E61" s="2"/>
      <c r="F61" s="2"/>
      <c r="G61" s="2"/>
      <c r="H61" s="2"/>
      <c r="I61" s="2"/>
      <c r="J61" s="2"/>
      <c r="K61" s="2"/>
      <c r="L61" s="2"/>
      <c r="N61" s="2"/>
      <c r="O61" s="2"/>
      <c r="P61" s="2"/>
      <c r="Q61" s="2"/>
      <c r="AQ61" s="1403"/>
    </row>
    <row r="62" spans="1:44" ht="12.75" customHeight="1">
      <c r="A62" s="2"/>
      <c r="B62" s="2"/>
      <c r="C62" s="2"/>
      <c r="D62" s="1648"/>
      <c r="E62" s="2"/>
      <c r="F62" s="2"/>
      <c r="G62" s="2"/>
      <c r="H62" s="2"/>
      <c r="I62" s="2"/>
      <c r="J62" s="2"/>
      <c r="K62" s="2"/>
      <c r="L62" s="2"/>
      <c r="N62" s="2"/>
      <c r="O62" s="2"/>
      <c r="P62" s="2"/>
      <c r="Q62" s="2"/>
      <c r="AQ62" s="1403"/>
    </row>
    <row r="63" spans="1:44" ht="12.75" customHeight="1">
      <c r="A63" s="2"/>
      <c r="B63" s="2"/>
      <c r="C63" s="2"/>
      <c r="D63" s="1062"/>
      <c r="E63" s="2"/>
      <c r="F63" s="2"/>
      <c r="G63" s="2"/>
      <c r="H63" s="2"/>
      <c r="I63" s="2"/>
      <c r="J63" s="2"/>
      <c r="K63" s="2"/>
      <c r="L63" s="2"/>
      <c r="N63" s="2"/>
      <c r="O63" s="2"/>
      <c r="P63" s="2"/>
      <c r="Q63" s="2"/>
      <c r="AQ63" s="1403"/>
    </row>
    <row r="64" spans="1:44" ht="12.75" customHeight="1">
      <c r="A64" s="2"/>
      <c r="B64" s="2"/>
      <c r="C64" s="2"/>
      <c r="D64" s="1062"/>
      <c r="E64" s="2"/>
      <c r="F64" s="2"/>
      <c r="G64" s="2"/>
      <c r="H64" s="2"/>
      <c r="I64" s="2"/>
      <c r="J64" s="2"/>
      <c r="K64" s="2"/>
      <c r="L64" s="2"/>
      <c r="N64" s="2"/>
      <c r="O64" s="2"/>
      <c r="P64" s="2"/>
      <c r="Q64" s="2"/>
      <c r="AQ64" s="1403"/>
    </row>
    <row r="65" spans="1:44" ht="12.75" customHeight="1">
      <c r="A65" s="2"/>
      <c r="B65" s="2"/>
      <c r="C65" s="2"/>
      <c r="D65" s="1062"/>
      <c r="E65" s="2"/>
      <c r="F65" s="2"/>
      <c r="G65" s="2"/>
      <c r="H65" s="2"/>
      <c r="I65" s="2"/>
      <c r="J65" s="2"/>
      <c r="K65" s="2"/>
      <c r="L65" s="2"/>
      <c r="N65" s="2"/>
      <c r="O65" s="2"/>
      <c r="P65" s="2"/>
      <c r="Q65" s="2"/>
      <c r="AQ65" s="1403"/>
    </row>
    <row r="66" spans="1:44" ht="12.75" customHeight="1">
      <c r="A66" s="2"/>
      <c r="B66" s="2"/>
      <c r="C66" s="2"/>
      <c r="D66" s="1062"/>
      <c r="E66" s="2"/>
      <c r="F66" s="2"/>
      <c r="G66" s="2"/>
      <c r="H66" s="2"/>
      <c r="I66" s="2"/>
      <c r="J66" s="2"/>
      <c r="K66" s="2"/>
      <c r="L66" s="2"/>
      <c r="N66" s="2"/>
      <c r="O66" s="2"/>
      <c r="P66" s="2"/>
      <c r="Q66" s="2"/>
      <c r="AQ66" s="1403"/>
    </row>
    <row r="67" spans="1:44" ht="12.75" customHeight="1">
      <c r="A67" s="2"/>
      <c r="B67" s="2"/>
      <c r="C67" s="2"/>
      <c r="D67" s="1062"/>
      <c r="E67" s="2"/>
      <c r="F67" s="2"/>
      <c r="G67" s="2"/>
      <c r="H67" s="2"/>
      <c r="I67" s="2"/>
      <c r="J67" s="2"/>
      <c r="K67" s="2"/>
      <c r="L67" s="2"/>
      <c r="M67" s="69" t="s">
        <v>318</v>
      </c>
      <c r="R67" s="2"/>
      <c r="S67" s="2"/>
      <c r="T67" s="2"/>
      <c r="AQ67" s="1403"/>
    </row>
    <row r="68" spans="1:44" ht="12.75" customHeight="1">
      <c r="A68" s="2"/>
      <c r="B68" s="2"/>
      <c r="C68" s="2"/>
      <c r="D68" s="1062"/>
      <c r="E68" s="2"/>
      <c r="F68" s="2"/>
      <c r="G68" s="2"/>
      <c r="H68" s="2"/>
      <c r="I68" s="2"/>
      <c r="J68" s="2"/>
      <c r="K68" s="2"/>
      <c r="L68" s="2"/>
      <c r="M68" s="2" t="s">
        <v>319</v>
      </c>
      <c r="N68" s="2" t="s">
        <v>320</v>
      </c>
      <c r="O68" s="2"/>
      <c r="P68" s="2"/>
      <c r="Q68" s="2"/>
      <c r="R68" s="2" t="s">
        <v>321</v>
      </c>
      <c r="S68" s="98">
        <v>62.5</v>
      </c>
      <c r="T68" s="98"/>
      <c r="AQ68" s="1403"/>
    </row>
    <row r="69" spans="1:44" ht="12.75" customHeight="1">
      <c r="A69" s="2"/>
      <c r="B69" s="2"/>
      <c r="C69" s="2"/>
      <c r="D69" s="1062"/>
      <c r="E69" s="2"/>
      <c r="F69" s="2"/>
      <c r="G69" s="2"/>
      <c r="H69" s="2"/>
      <c r="I69" s="2"/>
      <c r="J69" s="2"/>
      <c r="K69" s="2"/>
      <c r="L69" s="2"/>
      <c r="M69" s="2"/>
      <c r="N69" s="2" t="s">
        <v>322</v>
      </c>
      <c r="O69" s="2"/>
      <c r="P69" s="2"/>
      <c r="Q69" s="2"/>
      <c r="R69" s="2" t="s">
        <v>321</v>
      </c>
      <c r="S69" s="98">
        <v>87.5</v>
      </c>
      <c r="T69" s="98"/>
      <c r="AQ69" s="1403"/>
    </row>
    <row r="70" spans="1:44" ht="12.75" customHeight="1">
      <c r="A70" s="2"/>
      <c r="B70" s="2"/>
      <c r="C70" s="2"/>
      <c r="D70" s="1062"/>
      <c r="E70" s="2"/>
      <c r="F70" s="2"/>
      <c r="G70" s="2"/>
      <c r="H70" s="2"/>
      <c r="I70" s="2"/>
      <c r="J70" s="2"/>
      <c r="K70" s="2"/>
      <c r="L70" s="2"/>
      <c r="M70" s="2"/>
      <c r="N70" s="2" t="s">
        <v>323</v>
      </c>
      <c r="O70" s="2"/>
      <c r="P70" s="2"/>
      <c r="Q70" s="2"/>
      <c r="R70" s="2" t="s">
        <v>321</v>
      </c>
      <c r="S70" s="98">
        <v>100</v>
      </c>
      <c r="T70" s="98"/>
      <c r="AQ70" s="1403"/>
    </row>
    <row r="71" spans="1:44" ht="12.75" customHeight="1">
      <c r="A71" s="2"/>
      <c r="B71" s="2"/>
      <c r="C71" s="2"/>
      <c r="D71" s="1062"/>
      <c r="E71" s="2"/>
      <c r="F71" s="2"/>
      <c r="G71" s="2"/>
      <c r="H71" s="2"/>
      <c r="I71" s="2"/>
      <c r="J71" s="2"/>
      <c r="K71" s="2"/>
      <c r="L71" s="2"/>
      <c r="M71" s="2"/>
      <c r="N71" s="2" t="s">
        <v>324</v>
      </c>
      <c r="O71" s="2"/>
      <c r="P71" s="2"/>
      <c r="Q71" s="2"/>
      <c r="R71" s="2" t="s">
        <v>321</v>
      </c>
      <c r="S71" s="98">
        <v>112.5</v>
      </c>
      <c r="T71" s="98"/>
      <c r="AQ71" s="1403"/>
    </row>
    <row r="72" spans="1:44" ht="12.75" customHeight="1">
      <c r="A72" s="2"/>
      <c r="B72" s="2"/>
      <c r="C72" s="2"/>
      <c r="D72" s="1062"/>
      <c r="E72" s="2"/>
      <c r="F72" s="2"/>
      <c r="G72" s="2"/>
      <c r="H72" s="2"/>
      <c r="I72" s="2"/>
      <c r="J72" s="2"/>
      <c r="K72" s="2"/>
      <c r="L72" s="2"/>
      <c r="M72" s="2"/>
      <c r="N72" s="2" t="s">
        <v>325</v>
      </c>
      <c r="O72" s="2"/>
      <c r="P72" s="2"/>
      <c r="Q72" s="2"/>
      <c r="R72" s="2" t="s">
        <v>321</v>
      </c>
      <c r="S72" s="98">
        <v>137.5</v>
      </c>
      <c r="T72" s="98"/>
      <c r="AQ72" s="1403"/>
    </row>
    <row r="73" spans="1:44" ht="12.75" customHeight="1">
      <c r="A73" s="2"/>
      <c r="B73" s="2"/>
      <c r="C73" s="2"/>
      <c r="D73" s="1062"/>
      <c r="E73" s="2"/>
      <c r="F73" s="2"/>
      <c r="G73" s="2"/>
      <c r="H73" s="2"/>
      <c r="I73" s="2"/>
      <c r="J73" s="2"/>
      <c r="K73" s="2"/>
      <c r="L73" s="2"/>
      <c r="M73" s="2"/>
      <c r="N73" s="2" t="s">
        <v>326</v>
      </c>
      <c r="O73" s="2"/>
      <c r="P73" s="2"/>
      <c r="Q73" s="2"/>
      <c r="R73" s="2" t="s">
        <v>321</v>
      </c>
      <c r="S73" s="98">
        <v>162.5</v>
      </c>
      <c r="T73" s="98"/>
      <c r="AQ73" s="1403"/>
    </row>
    <row r="74" spans="1:44" ht="12.75" customHeight="1">
      <c r="A74" s="2"/>
      <c r="B74" s="2"/>
      <c r="C74" s="2"/>
      <c r="D74" s="1062"/>
      <c r="E74" s="2"/>
      <c r="F74" s="2"/>
      <c r="G74" s="2"/>
      <c r="H74" s="2"/>
      <c r="I74" s="2"/>
      <c r="J74" s="2"/>
      <c r="K74" s="2"/>
      <c r="L74" s="2"/>
      <c r="N74" s="2"/>
      <c r="O74" s="2"/>
      <c r="P74" s="2"/>
      <c r="Q74" s="2"/>
      <c r="U74" s="2"/>
      <c r="V74" s="2"/>
      <c r="W74" s="2"/>
      <c r="X74" s="2"/>
      <c r="Y74" s="2"/>
      <c r="Z74" s="2"/>
      <c r="AA74" s="2"/>
      <c r="AB74" s="2"/>
      <c r="AC74" s="2"/>
      <c r="AD74" s="2"/>
      <c r="AE74" s="2"/>
      <c r="AF74" s="2"/>
      <c r="AG74" s="2"/>
      <c r="AH74" s="2"/>
      <c r="AI74" s="2"/>
      <c r="AJ74" s="2"/>
      <c r="AK74" s="2"/>
      <c r="AL74" s="2"/>
      <c r="AM74" s="2"/>
      <c r="AN74" s="2"/>
      <c r="AO74" s="2"/>
      <c r="AP74" s="2"/>
      <c r="AQ74" s="98"/>
      <c r="AR74" s="2"/>
    </row>
    <row r="75" spans="1:44" ht="12.75" customHeight="1">
      <c r="A75" s="2"/>
      <c r="B75" s="2"/>
      <c r="C75" s="2"/>
      <c r="D75" s="1062"/>
      <c r="E75" s="2"/>
      <c r="F75" s="2"/>
      <c r="G75" s="2"/>
      <c r="H75" s="2"/>
      <c r="I75" s="2"/>
      <c r="J75" s="2"/>
      <c r="K75" s="2"/>
      <c r="L75" s="2"/>
      <c r="N75" s="2"/>
      <c r="O75" s="2"/>
      <c r="P75" s="2"/>
      <c r="Q75" s="2"/>
      <c r="U75" s="2"/>
      <c r="V75" s="2"/>
      <c r="W75" s="2"/>
      <c r="X75" s="2"/>
      <c r="Y75" s="2"/>
      <c r="Z75" s="2"/>
      <c r="AA75" s="2"/>
      <c r="AB75" s="2"/>
      <c r="AC75" s="2"/>
      <c r="AD75" s="2"/>
      <c r="AE75" s="2"/>
      <c r="AF75" s="2"/>
      <c r="AG75" s="2"/>
      <c r="AH75" s="2"/>
      <c r="AI75" s="2"/>
      <c r="AJ75" s="2"/>
      <c r="AK75" s="2"/>
      <c r="AL75" s="2"/>
      <c r="AM75" s="2"/>
      <c r="AN75" s="2"/>
      <c r="AO75" s="2"/>
      <c r="AP75" s="2"/>
      <c r="AQ75" s="98"/>
      <c r="AR75" s="2"/>
    </row>
    <row r="76" spans="1:44" ht="12.75" customHeight="1">
      <c r="A76" s="2"/>
      <c r="B76" s="2"/>
      <c r="C76" s="2"/>
      <c r="D76" s="1062"/>
      <c r="E76" s="2"/>
      <c r="F76" s="2"/>
      <c r="G76" s="2"/>
      <c r="H76" s="2"/>
      <c r="I76" s="2"/>
      <c r="J76" s="2"/>
      <c r="K76" s="2"/>
      <c r="L76" s="2"/>
      <c r="N76" s="2"/>
      <c r="O76" s="2"/>
      <c r="P76" s="2"/>
      <c r="Q76" s="2"/>
      <c r="U76" s="1" t="s">
        <v>1140</v>
      </c>
      <c r="V76" s="1"/>
      <c r="W76" s="2"/>
      <c r="X76" s="2"/>
      <c r="Y76" s="2"/>
      <c r="Z76" s="2"/>
      <c r="AA76" s="2"/>
      <c r="AB76" s="2"/>
      <c r="AC76" s="2"/>
      <c r="AD76" s="2"/>
      <c r="AE76" s="2"/>
      <c r="AF76" s="2"/>
      <c r="AG76" s="2"/>
      <c r="AH76" s="2"/>
      <c r="AI76" s="2"/>
      <c r="AJ76" s="2"/>
      <c r="AK76" s="2"/>
      <c r="AL76" s="2"/>
      <c r="AM76" s="2"/>
      <c r="AN76" s="2"/>
      <c r="AO76" s="2"/>
      <c r="AP76" s="2"/>
      <c r="AQ76" s="98"/>
      <c r="AR76" s="2"/>
    </row>
    <row r="77" spans="1:44" ht="12.75" customHeight="1">
      <c r="A77" s="2"/>
      <c r="B77" s="2"/>
      <c r="C77" s="2"/>
      <c r="D77" s="1062"/>
      <c r="E77" s="2"/>
      <c r="F77" s="2"/>
      <c r="G77" s="2"/>
      <c r="H77" s="2"/>
      <c r="I77" s="2"/>
      <c r="J77" s="2"/>
      <c r="K77" s="2"/>
      <c r="L77" s="2"/>
      <c r="N77" s="2"/>
      <c r="O77" s="2"/>
      <c r="P77" s="2"/>
      <c r="Q77" s="2"/>
      <c r="U77" s="1"/>
      <c r="V77" s="1"/>
      <c r="W77" s="2"/>
      <c r="X77" s="2"/>
      <c r="Y77" s="2"/>
      <c r="Z77" s="2"/>
      <c r="AA77" s="2"/>
      <c r="AB77" s="2"/>
      <c r="AC77" s="2"/>
      <c r="AD77" s="2"/>
      <c r="AE77" s="2"/>
      <c r="AF77" s="2"/>
      <c r="AG77" s="2"/>
      <c r="AH77" s="2"/>
      <c r="AI77" s="2"/>
      <c r="AJ77" s="2"/>
      <c r="AK77" s="2"/>
      <c r="AL77" s="2"/>
      <c r="AM77" s="2"/>
      <c r="AN77" s="2"/>
      <c r="AO77" s="2"/>
      <c r="AP77" s="2"/>
      <c r="AQ77" s="98"/>
      <c r="AR77" s="2"/>
    </row>
    <row r="78" spans="1:44" ht="12.75" customHeight="1">
      <c r="A78" s="2"/>
      <c r="B78" s="2"/>
      <c r="C78" s="2"/>
      <c r="D78" s="1062"/>
      <c r="E78" s="2"/>
      <c r="F78" s="2"/>
      <c r="G78" s="2"/>
      <c r="H78" s="2"/>
      <c r="I78" s="2"/>
      <c r="J78" s="2"/>
      <c r="K78" s="2"/>
      <c r="L78" s="2"/>
      <c r="N78" s="2"/>
      <c r="O78" s="2"/>
      <c r="P78" s="2"/>
      <c r="Q78" s="2"/>
      <c r="U78" s="2" t="s">
        <v>1144</v>
      </c>
      <c r="V78" s="2"/>
      <c r="W78" s="2"/>
      <c r="X78" s="2"/>
      <c r="Y78" s="2"/>
      <c r="Z78" s="2"/>
      <c r="AA78" s="2"/>
      <c r="AB78" s="2"/>
      <c r="AC78" s="2"/>
      <c r="AD78" s="2"/>
      <c r="AE78" s="2"/>
      <c r="AF78" s="2"/>
      <c r="AG78" s="2"/>
      <c r="AH78" s="2"/>
      <c r="AI78" s="2"/>
      <c r="AJ78" s="2"/>
      <c r="AK78" s="2"/>
      <c r="AL78" s="2"/>
      <c r="AM78" s="2"/>
      <c r="AN78" s="2"/>
      <c r="AO78" s="2"/>
      <c r="AP78" s="2"/>
      <c r="AQ78" s="98"/>
      <c r="AR78" s="2"/>
    </row>
    <row r="79" spans="1:44" ht="12.75" customHeight="1">
      <c r="A79" s="2"/>
      <c r="B79" s="2"/>
      <c r="C79" s="2"/>
      <c r="D79" s="1062"/>
      <c r="E79" s="2"/>
      <c r="F79" s="2"/>
      <c r="G79" s="2"/>
      <c r="H79" s="2"/>
      <c r="I79" s="2"/>
      <c r="J79" s="2"/>
      <c r="K79" s="2"/>
      <c r="L79" s="2"/>
      <c r="N79" s="2"/>
      <c r="O79" s="2"/>
      <c r="P79" s="2"/>
      <c r="Q79" s="2"/>
      <c r="U79" s="2"/>
      <c r="V79" s="2"/>
      <c r="W79" s="2"/>
      <c r="X79" s="2"/>
      <c r="Y79" s="2"/>
      <c r="Z79" s="2"/>
      <c r="AA79" s="2"/>
      <c r="AB79" s="2"/>
      <c r="AC79" s="2"/>
      <c r="AD79" s="2"/>
      <c r="AE79" s="2"/>
      <c r="AF79" s="2"/>
      <c r="AG79" s="2"/>
      <c r="AH79" s="2"/>
      <c r="AI79" s="2"/>
      <c r="AJ79" s="2"/>
      <c r="AK79" s="2"/>
      <c r="AL79" s="2"/>
      <c r="AM79" s="2"/>
      <c r="AN79" s="2"/>
      <c r="AO79" s="2"/>
      <c r="AP79" s="2"/>
      <c r="AQ79" s="98"/>
      <c r="AR79" s="2"/>
    </row>
    <row r="80" spans="1:44" ht="12.75" customHeight="1">
      <c r="A80" s="2"/>
      <c r="B80" s="2"/>
      <c r="C80" s="2"/>
      <c r="D80" s="1062"/>
      <c r="E80" s="2"/>
      <c r="F80" s="2"/>
      <c r="G80" s="2"/>
      <c r="H80" s="2"/>
      <c r="I80" s="2"/>
      <c r="J80" s="2"/>
      <c r="K80" s="2"/>
      <c r="L80" s="2"/>
      <c r="N80" s="2"/>
      <c r="O80" s="2"/>
      <c r="P80" s="2"/>
      <c r="Q80" s="2"/>
      <c r="U80" s="2"/>
      <c r="V80" s="2"/>
      <c r="W80" s="1197" t="s">
        <v>55</v>
      </c>
      <c r="X80" s="1197"/>
      <c r="Y80" s="1197"/>
      <c r="Z80" s="1196"/>
      <c r="AA80" s="1196"/>
      <c r="AB80" s="2"/>
      <c r="AC80" s="2"/>
      <c r="AD80" s="2"/>
      <c r="AE80" s="2"/>
      <c r="AF80" s="2"/>
      <c r="AG80" s="2"/>
      <c r="AH80" s="2"/>
      <c r="AI80" s="2"/>
      <c r="AJ80" s="2"/>
      <c r="AK80" s="2"/>
      <c r="AL80" s="2"/>
      <c r="AM80" s="2"/>
      <c r="AN80" s="2"/>
      <c r="AO80" s="2"/>
      <c r="AP80" s="2"/>
      <c r="AQ80" s="98"/>
      <c r="AR80" s="2"/>
    </row>
    <row r="81" spans="1:44" ht="12.75" customHeight="1">
      <c r="A81" s="2"/>
      <c r="B81" s="2"/>
      <c r="C81" s="2"/>
      <c r="D81" s="1062"/>
      <c r="E81" s="2"/>
      <c r="F81" s="2"/>
      <c r="G81" s="2"/>
      <c r="H81" s="2"/>
      <c r="I81" s="2"/>
      <c r="J81" s="2"/>
      <c r="K81" s="2"/>
      <c r="L81" s="2"/>
      <c r="N81" s="2"/>
      <c r="O81" s="2"/>
      <c r="P81" s="2"/>
      <c r="Q81" s="2"/>
      <c r="U81" s="69"/>
      <c r="V81" s="69"/>
      <c r="W81" s="1289" t="s">
        <v>1142</v>
      </c>
      <c r="X81" s="1289"/>
      <c r="Y81" s="1289" t="s">
        <v>1143</v>
      </c>
      <c r="Z81" s="1289"/>
      <c r="AA81" s="1289" t="s">
        <v>829</v>
      </c>
      <c r="AB81" s="2"/>
      <c r="AC81" s="2"/>
      <c r="AD81" s="2"/>
      <c r="AE81" s="2"/>
      <c r="AF81" s="2"/>
      <c r="AG81" s="2"/>
      <c r="AH81" s="2"/>
      <c r="AI81" s="2"/>
      <c r="AJ81" s="2"/>
      <c r="AK81" s="2"/>
      <c r="AL81" s="2"/>
      <c r="AM81" s="2"/>
      <c r="AN81" s="2"/>
      <c r="AO81" s="2"/>
      <c r="AP81" s="2"/>
      <c r="AQ81" s="98"/>
      <c r="AR81" s="2"/>
    </row>
    <row r="82" spans="1:44" ht="12.75" customHeight="1">
      <c r="A82" s="2"/>
      <c r="B82" s="2"/>
      <c r="C82" s="2"/>
      <c r="D82" s="1062"/>
      <c r="E82" s="2"/>
      <c r="F82" s="2"/>
      <c r="G82" s="2"/>
      <c r="H82" s="2"/>
      <c r="I82" s="2"/>
      <c r="J82" s="2"/>
      <c r="K82" s="2"/>
      <c r="L82" s="2"/>
      <c r="N82" s="2"/>
      <c r="O82" s="2"/>
      <c r="P82" s="2"/>
      <c r="Q82" s="2"/>
      <c r="U82" s="2" t="s">
        <v>935</v>
      </c>
      <c r="V82" s="2"/>
      <c r="W82" s="1102"/>
      <c r="X82" s="98"/>
      <c r="Y82" s="1102"/>
      <c r="Z82" s="98"/>
      <c r="AA82" s="105"/>
      <c r="AB82" s="2"/>
      <c r="AC82" s="2"/>
      <c r="AD82" s="2"/>
      <c r="AE82" s="2"/>
      <c r="AF82" s="2"/>
      <c r="AG82" s="2"/>
      <c r="AH82" s="2"/>
      <c r="AI82" s="2"/>
      <c r="AJ82" s="2"/>
      <c r="AK82" s="2"/>
      <c r="AL82" s="2"/>
      <c r="AM82" s="2"/>
      <c r="AN82" s="2"/>
      <c r="AO82" s="2"/>
      <c r="AP82" s="2"/>
      <c r="AQ82" s="98"/>
      <c r="AR82" s="2"/>
    </row>
    <row r="83" spans="1:44" ht="12.75" customHeight="1">
      <c r="A83" s="2"/>
      <c r="B83" s="2"/>
      <c r="C83" s="2"/>
      <c r="D83" s="1062"/>
      <c r="E83" s="2"/>
      <c r="F83" s="2"/>
      <c r="G83" s="2"/>
      <c r="H83" s="2"/>
      <c r="I83" s="2"/>
      <c r="J83" s="2"/>
      <c r="K83" s="2"/>
      <c r="L83" s="2"/>
      <c r="N83" s="2"/>
      <c r="O83" s="2"/>
      <c r="P83" s="2"/>
      <c r="Q83" s="2"/>
      <c r="U83" s="2" t="s">
        <v>1141</v>
      </c>
      <c r="V83" s="2"/>
      <c r="W83" s="1102"/>
      <c r="X83" s="98"/>
      <c r="Y83" s="1102"/>
      <c r="Z83" s="98"/>
      <c r="AA83" s="105"/>
      <c r="AB83" s="2"/>
      <c r="AC83" s="2"/>
      <c r="AD83" s="2"/>
      <c r="AE83" s="2"/>
      <c r="AF83" s="2"/>
      <c r="AG83" s="2"/>
      <c r="AH83" s="2"/>
      <c r="AI83" s="2"/>
      <c r="AJ83" s="2"/>
      <c r="AK83" s="2"/>
      <c r="AL83" s="2"/>
      <c r="AM83" s="2"/>
      <c r="AN83" s="2"/>
      <c r="AO83" s="2"/>
      <c r="AP83" s="2"/>
      <c r="AQ83" s="98"/>
      <c r="AR83" s="2"/>
    </row>
    <row r="84" spans="1:44" ht="12.75" customHeight="1">
      <c r="A84" s="2"/>
      <c r="B84" s="2"/>
      <c r="C84" s="2"/>
      <c r="D84" s="1062"/>
      <c r="E84" s="2"/>
      <c r="F84" s="2"/>
      <c r="G84" s="2"/>
      <c r="H84" s="2"/>
      <c r="I84" s="2"/>
      <c r="J84" s="2"/>
      <c r="K84" s="2"/>
      <c r="L84" s="2"/>
      <c r="N84" s="2"/>
      <c r="O84" s="2"/>
      <c r="P84" s="2"/>
      <c r="Q84" s="2"/>
      <c r="U84" s="2" t="s">
        <v>200</v>
      </c>
      <c r="V84" s="2"/>
      <c r="W84" s="1401"/>
      <c r="X84" s="1336"/>
      <c r="Y84" s="1401"/>
      <c r="Z84" s="1336"/>
      <c r="AA84" s="105"/>
      <c r="AB84" s="2"/>
      <c r="AC84" s="2"/>
      <c r="AD84" s="2"/>
      <c r="AE84" s="2"/>
      <c r="AF84" s="2"/>
      <c r="AG84" s="2"/>
      <c r="AH84" s="2"/>
      <c r="AI84" s="2"/>
      <c r="AJ84" s="2"/>
      <c r="AK84" s="2"/>
      <c r="AL84" s="2"/>
      <c r="AM84" s="2"/>
      <c r="AN84" s="2"/>
      <c r="AO84" s="2"/>
      <c r="AP84" s="2"/>
      <c r="AQ84" s="98"/>
      <c r="AR84" s="2"/>
    </row>
    <row r="85" spans="1:44" ht="12.75" customHeight="1">
      <c r="A85" s="2"/>
      <c r="B85" s="2"/>
      <c r="C85" s="2"/>
      <c r="D85" s="1062"/>
      <c r="E85" s="2"/>
      <c r="F85" s="2"/>
      <c r="G85" s="2"/>
      <c r="H85" s="2"/>
      <c r="I85" s="2"/>
      <c r="J85" s="2"/>
      <c r="K85" s="2"/>
      <c r="L85" s="2"/>
      <c r="N85" s="2"/>
      <c r="O85" s="2"/>
      <c r="P85" s="2"/>
      <c r="Q85" s="2"/>
      <c r="U85" s="2"/>
      <c r="V85" s="2"/>
      <c r="W85" s="2"/>
      <c r="X85" s="2"/>
      <c r="Y85" s="2"/>
      <c r="Z85" s="2"/>
      <c r="AA85" s="2"/>
      <c r="AB85" s="2"/>
      <c r="AC85" s="2"/>
      <c r="AD85" s="2"/>
      <c r="AE85" s="2"/>
      <c r="AF85" s="2"/>
      <c r="AG85" s="2"/>
      <c r="AH85" s="2"/>
      <c r="AI85" s="2"/>
      <c r="AJ85" s="2"/>
      <c r="AK85" s="2"/>
      <c r="AL85" s="2"/>
      <c r="AM85" s="2"/>
      <c r="AN85" s="2"/>
      <c r="AO85" s="2"/>
      <c r="AP85" s="2"/>
      <c r="AQ85" s="98"/>
      <c r="AR85" s="2"/>
    </row>
    <row r="86" spans="1:44" ht="12.75" customHeight="1">
      <c r="A86" s="2"/>
      <c r="B86" s="2"/>
      <c r="C86" s="2"/>
      <c r="D86" s="1062"/>
      <c r="E86" s="2"/>
      <c r="F86" s="2"/>
      <c r="G86" s="2"/>
      <c r="H86" s="2"/>
      <c r="I86" s="2"/>
      <c r="J86" s="2"/>
      <c r="K86" s="2"/>
      <c r="L86" s="2"/>
      <c r="N86" s="2"/>
      <c r="O86" s="2"/>
      <c r="P86" s="2"/>
      <c r="Q86" s="2"/>
      <c r="U86" s="2"/>
      <c r="V86" s="2"/>
      <c r="W86" s="2"/>
      <c r="X86" s="2"/>
      <c r="Y86" s="2"/>
      <c r="Z86" s="2"/>
      <c r="AA86" s="2"/>
      <c r="AB86" s="2"/>
      <c r="AC86" s="1" t="s">
        <v>1650</v>
      </c>
      <c r="AD86" s="2"/>
      <c r="AE86" s="2"/>
      <c r="AF86" s="2"/>
      <c r="AG86" s="2"/>
      <c r="AH86" s="105"/>
      <c r="AI86" s="2"/>
      <c r="AJ86" s="2"/>
      <c r="AK86" s="2"/>
      <c r="AL86" s="2"/>
      <c r="AM86" s="2"/>
      <c r="AN86" s="2"/>
      <c r="AO86" s="2"/>
      <c r="AP86" s="2"/>
      <c r="AQ86" s="98"/>
      <c r="AR86" s="2"/>
    </row>
    <row r="87" spans="1:44" ht="12.75" customHeight="1">
      <c r="A87" s="2"/>
      <c r="B87" s="2"/>
      <c r="C87" s="2"/>
      <c r="D87" s="1062"/>
      <c r="E87" s="2"/>
      <c r="F87" s="2"/>
      <c r="G87" s="2"/>
      <c r="H87" s="2"/>
      <c r="I87" s="2"/>
      <c r="J87" s="2"/>
      <c r="K87" s="2"/>
      <c r="L87" s="2"/>
      <c r="N87" s="2"/>
      <c r="O87" s="2"/>
      <c r="P87" s="2"/>
      <c r="Q87" s="2"/>
      <c r="U87" s="2"/>
      <c r="V87" s="2"/>
      <c r="W87" s="2"/>
      <c r="X87" s="2"/>
      <c r="Y87" s="2"/>
      <c r="Z87" s="2"/>
      <c r="AA87" s="2"/>
      <c r="AB87" s="2"/>
      <c r="AC87" s="2"/>
      <c r="AD87" s="2"/>
      <c r="AE87" s="2"/>
      <c r="AF87" s="2"/>
      <c r="AG87" s="2"/>
      <c r="AH87" s="105"/>
      <c r="AI87" s="2"/>
      <c r="AJ87" s="2"/>
      <c r="AK87" s="2"/>
      <c r="AL87" s="2"/>
      <c r="AM87" s="2"/>
      <c r="AN87" s="2"/>
      <c r="AO87" s="2"/>
      <c r="AP87" s="2"/>
      <c r="AQ87" s="98"/>
      <c r="AR87" s="2"/>
    </row>
    <row r="88" spans="1:44" ht="12.75" customHeight="1">
      <c r="A88" s="2"/>
      <c r="B88" s="2"/>
      <c r="C88" s="2"/>
      <c r="D88" s="1062"/>
      <c r="E88" s="2"/>
      <c r="F88" s="2"/>
      <c r="G88" s="2"/>
      <c r="H88" s="2"/>
      <c r="I88" s="2"/>
      <c r="J88" s="2"/>
      <c r="K88" s="2"/>
      <c r="L88" s="2"/>
      <c r="N88" s="2"/>
      <c r="O88" s="2"/>
      <c r="P88" s="2"/>
      <c r="Q88" s="2"/>
      <c r="U88" s="2"/>
      <c r="V88" s="2"/>
      <c r="W88" s="2"/>
      <c r="X88" s="2"/>
      <c r="Y88" s="2"/>
      <c r="Z88" s="2"/>
      <c r="AA88" s="2"/>
      <c r="AB88" s="2"/>
      <c r="AC88" s="2"/>
      <c r="AD88" s="1432" t="s">
        <v>406</v>
      </c>
      <c r="AE88" s="1432"/>
      <c r="AF88" s="1432" t="s">
        <v>1649</v>
      </c>
      <c r="AG88" s="1432"/>
      <c r="AH88" s="1432">
        <v>2013</v>
      </c>
      <c r="AI88" s="2"/>
      <c r="AJ88" s="2"/>
      <c r="AK88" s="2"/>
      <c r="AL88" s="2"/>
      <c r="AM88" s="2"/>
      <c r="AN88" s="2"/>
      <c r="AO88" s="2"/>
      <c r="AP88" s="2"/>
      <c r="AQ88" s="98"/>
      <c r="AR88" s="2"/>
    </row>
    <row r="89" spans="1:44" ht="12.75" customHeight="1">
      <c r="A89" s="98"/>
      <c r="B89" s="98"/>
      <c r="C89" s="98"/>
      <c r="D89" s="1092"/>
      <c r="E89" s="98"/>
      <c r="F89" s="98"/>
      <c r="G89" s="98"/>
      <c r="H89" s="98"/>
      <c r="I89" s="98"/>
      <c r="J89" s="98"/>
      <c r="K89" s="98"/>
      <c r="L89" s="98"/>
      <c r="M89" s="1403"/>
      <c r="N89" s="98"/>
      <c r="O89" s="98"/>
      <c r="P89" s="98"/>
      <c r="Q89" s="98"/>
      <c r="R89" s="1403"/>
      <c r="S89" s="1403"/>
      <c r="T89" s="1403"/>
      <c r="U89" s="98"/>
      <c r="V89" s="98"/>
      <c r="W89" s="98"/>
      <c r="X89" s="98"/>
      <c r="Y89" s="98"/>
      <c r="Z89" s="98"/>
      <c r="AA89" s="98"/>
      <c r="AB89" s="98"/>
      <c r="AC89" s="98" t="s">
        <v>1719</v>
      </c>
      <c r="AD89" s="1423">
        <v>744.21</v>
      </c>
      <c r="AE89" s="1082"/>
      <c r="AF89" s="1423">
        <v>752.81</v>
      </c>
      <c r="AG89" s="1423"/>
      <c r="AH89" s="1423">
        <v>2957.77</v>
      </c>
      <c r="AI89" s="98"/>
      <c r="AJ89" s="98"/>
      <c r="AK89" s="98"/>
      <c r="AL89" s="98"/>
      <c r="AM89" s="98"/>
      <c r="AN89" s="98"/>
      <c r="AO89" s="98"/>
      <c r="AP89" s="98"/>
      <c r="AQ89" s="98"/>
      <c r="AR89" s="98"/>
    </row>
    <row r="90" spans="1:44" ht="12.75" customHeight="1">
      <c r="A90" s="98"/>
      <c r="B90" s="98"/>
      <c r="C90" s="98"/>
      <c r="D90" s="1092"/>
      <c r="E90" s="98"/>
      <c r="F90" s="98"/>
      <c r="G90" s="98"/>
      <c r="H90" s="98"/>
      <c r="I90" s="98"/>
      <c r="J90" s="98"/>
      <c r="K90" s="98"/>
      <c r="L90" s="98"/>
      <c r="M90" s="1403"/>
      <c r="N90" s="98"/>
      <c r="O90" s="98"/>
      <c r="P90" s="98"/>
      <c r="Q90" s="98"/>
      <c r="R90" s="1403"/>
      <c r="S90" s="1403"/>
      <c r="T90" s="1403"/>
      <c r="U90" s="98"/>
      <c r="V90" s="98"/>
      <c r="W90" s="98"/>
      <c r="X90" s="98"/>
      <c r="Y90" s="98"/>
      <c r="Z90" s="98"/>
      <c r="AA90" s="98"/>
      <c r="AB90" s="98"/>
      <c r="AC90" s="98" t="s">
        <v>401</v>
      </c>
      <c r="AD90" s="1423">
        <v>163.59</v>
      </c>
      <c r="AE90" s="1082"/>
      <c r="AF90" s="1423">
        <v>158.35</v>
      </c>
      <c r="AG90" s="1423"/>
      <c r="AH90" s="1423">
        <v>634.79</v>
      </c>
      <c r="AI90" s="98"/>
      <c r="AJ90" s="98"/>
      <c r="AK90" s="98"/>
      <c r="AL90" s="98"/>
      <c r="AM90" s="98"/>
      <c r="AN90" s="98"/>
      <c r="AO90" s="98"/>
      <c r="AP90" s="98"/>
      <c r="AQ90" s="98"/>
      <c r="AR90" s="98"/>
    </row>
    <row r="91" spans="1:44" ht="12.75" customHeight="1">
      <c r="A91" s="2"/>
      <c r="B91" s="2"/>
      <c r="C91" s="2"/>
      <c r="D91" s="1062"/>
      <c r="E91" s="2"/>
      <c r="F91" s="2"/>
      <c r="G91" s="2"/>
      <c r="H91" s="2"/>
      <c r="I91" s="2"/>
      <c r="J91" s="2"/>
      <c r="K91" s="2"/>
      <c r="L91" s="2"/>
      <c r="N91" s="2"/>
      <c r="O91" s="2"/>
      <c r="P91" s="2"/>
      <c r="Q91" s="2"/>
      <c r="U91" s="2"/>
      <c r="V91" s="2"/>
      <c r="W91" s="2"/>
      <c r="X91" s="2"/>
      <c r="Y91" s="2"/>
      <c r="Z91" s="2"/>
      <c r="AA91" s="2"/>
      <c r="AB91" s="2"/>
      <c r="AC91" s="2" t="s">
        <v>200</v>
      </c>
      <c r="AD91" s="1068">
        <v>0.01</v>
      </c>
      <c r="AE91" s="1118"/>
      <c r="AF91" s="1068">
        <v>-0.05</v>
      </c>
      <c r="AG91" s="1068"/>
      <c r="AH91" s="1068">
        <v>-0.13</v>
      </c>
      <c r="AI91" s="2"/>
      <c r="AJ91" s="2"/>
      <c r="AK91" s="2"/>
      <c r="AL91" s="2"/>
      <c r="AM91" s="2"/>
      <c r="AN91" s="2"/>
      <c r="AO91" s="2"/>
      <c r="AP91" s="2"/>
      <c r="AQ91" s="98"/>
      <c r="AR91" s="2"/>
    </row>
    <row r="92" spans="1:44" ht="12.75" customHeight="1">
      <c r="A92" s="2"/>
      <c r="B92" s="2"/>
      <c r="C92" s="2"/>
      <c r="D92" s="1062"/>
      <c r="E92" s="2"/>
      <c r="F92" s="2"/>
      <c r="G92" s="2"/>
      <c r="H92" s="2"/>
      <c r="I92" s="2"/>
      <c r="J92" s="2"/>
      <c r="K92" s="2"/>
      <c r="L92" s="2"/>
      <c r="N92" s="2"/>
      <c r="O92" s="2"/>
      <c r="P92" s="2"/>
      <c r="Q92" s="2"/>
      <c r="U92" s="2"/>
      <c r="V92" s="2"/>
      <c r="W92" s="2"/>
      <c r="X92" s="2"/>
      <c r="Y92" s="2"/>
      <c r="Z92" s="2"/>
      <c r="AA92" s="2"/>
      <c r="AB92" s="2"/>
      <c r="AC92" s="2"/>
      <c r="AD92" s="2"/>
      <c r="AE92" s="2"/>
      <c r="AF92" s="2"/>
      <c r="AG92" s="2"/>
      <c r="AH92" s="2"/>
      <c r="AI92" s="2"/>
      <c r="AJ92" s="2"/>
      <c r="AK92" s="2"/>
      <c r="AL92" s="2"/>
      <c r="AM92" s="2"/>
      <c r="AN92" s="2"/>
      <c r="AO92" s="2"/>
      <c r="AP92" s="2"/>
      <c r="AQ92" s="98"/>
      <c r="AR92" s="2"/>
    </row>
    <row r="93" spans="1:44" ht="12.75" customHeight="1">
      <c r="A93" s="2"/>
      <c r="B93" s="2"/>
      <c r="C93" s="2"/>
      <c r="D93" s="1062"/>
      <c r="E93" s="2"/>
      <c r="F93" s="2"/>
      <c r="G93" s="2"/>
      <c r="H93" s="2"/>
      <c r="I93" s="2"/>
      <c r="J93" s="2"/>
      <c r="K93" s="2"/>
      <c r="L93" s="2"/>
      <c r="N93" s="2"/>
      <c r="O93" s="2"/>
      <c r="P93" s="2"/>
      <c r="Q93" s="2"/>
      <c r="U93" s="2"/>
      <c r="V93" s="2"/>
      <c r="W93" s="2"/>
      <c r="X93" s="2"/>
      <c r="Y93" s="2"/>
      <c r="Z93" s="2"/>
      <c r="AA93" s="2"/>
      <c r="AB93" s="2"/>
      <c r="AC93" s="2"/>
      <c r="AD93" s="2"/>
      <c r="AE93" s="2"/>
      <c r="AF93" s="2"/>
      <c r="AG93" s="2"/>
      <c r="AH93" s="2"/>
      <c r="AI93" s="2"/>
      <c r="AJ93" s="69" t="s">
        <v>1651</v>
      </c>
      <c r="AQ93" s="98"/>
      <c r="AR93" s="2"/>
    </row>
    <row r="94" spans="1:44" ht="12.75" customHeight="1">
      <c r="A94" s="2"/>
      <c r="B94" s="2"/>
      <c r="C94" s="2"/>
      <c r="D94" s="1062"/>
      <c r="E94" s="2"/>
      <c r="F94" s="2"/>
      <c r="G94" s="2"/>
      <c r="H94" s="2"/>
      <c r="I94" s="2"/>
      <c r="J94" s="2"/>
      <c r="K94" s="2"/>
      <c r="L94" s="2"/>
      <c r="N94" s="2"/>
      <c r="O94" s="2"/>
      <c r="P94" s="2"/>
      <c r="Q94" s="2"/>
      <c r="U94" s="2"/>
      <c r="V94" s="2"/>
      <c r="W94" s="2"/>
      <c r="X94" s="2"/>
      <c r="Y94" s="2"/>
      <c r="Z94" s="2"/>
      <c r="AA94" s="2"/>
      <c r="AB94" s="2"/>
      <c r="AC94" s="2"/>
      <c r="AD94" s="2"/>
      <c r="AE94" s="2"/>
      <c r="AF94" s="2"/>
      <c r="AG94" s="2"/>
      <c r="AH94" s="2"/>
      <c r="AI94" s="2"/>
      <c r="AJ94" s="69"/>
      <c r="AQ94" s="98"/>
      <c r="AR94" s="2"/>
    </row>
    <row r="95" spans="1:44" ht="12.75" customHeight="1">
      <c r="A95" s="2"/>
      <c r="B95" s="2"/>
      <c r="C95" s="2"/>
      <c r="D95" s="1062"/>
      <c r="E95" s="2"/>
      <c r="F95" s="2"/>
      <c r="G95" s="2"/>
      <c r="H95" s="2"/>
      <c r="I95" s="2"/>
      <c r="J95" s="2"/>
      <c r="K95" s="2"/>
      <c r="L95" s="2"/>
      <c r="N95" s="2"/>
      <c r="O95" s="2"/>
      <c r="P95" s="2"/>
      <c r="Q95" s="2"/>
      <c r="U95" s="2"/>
      <c r="V95" s="2"/>
      <c r="W95" s="2"/>
      <c r="X95" s="2"/>
      <c r="Y95" s="2"/>
      <c r="Z95" s="2"/>
      <c r="AA95" s="2"/>
      <c r="AB95" s="2"/>
      <c r="AC95" s="2"/>
      <c r="AD95" s="2"/>
      <c r="AE95" s="2"/>
      <c r="AF95" s="2"/>
      <c r="AG95" s="2"/>
      <c r="AH95" s="2"/>
      <c r="AI95" s="2"/>
      <c r="AJ95" s="1447"/>
      <c r="AK95" s="1449"/>
      <c r="AL95" s="1447"/>
      <c r="AM95" s="1447"/>
      <c r="AN95" s="1447"/>
      <c r="AO95" s="1447"/>
      <c r="AP95" s="1447"/>
      <c r="AQ95" s="98"/>
      <c r="AR95" s="2"/>
    </row>
    <row r="96" spans="1:44" ht="12.75" customHeight="1">
      <c r="A96" s="2"/>
      <c r="B96" s="2"/>
      <c r="C96" s="2"/>
      <c r="D96" s="1062"/>
      <c r="E96" s="2"/>
      <c r="F96" s="2"/>
      <c r="G96" s="2"/>
      <c r="H96" s="2"/>
      <c r="I96" s="2"/>
      <c r="J96" s="2"/>
      <c r="K96" s="2"/>
      <c r="L96" s="2"/>
      <c r="N96" s="2"/>
      <c r="O96" s="2"/>
      <c r="P96" s="2"/>
      <c r="Q96" s="2"/>
      <c r="U96" s="2"/>
      <c r="V96" s="2"/>
      <c r="W96" s="2"/>
      <c r="X96" s="2"/>
      <c r="Y96" s="2"/>
      <c r="Z96" s="2"/>
      <c r="AA96" s="2"/>
      <c r="AB96" s="2"/>
      <c r="AC96" s="2"/>
      <c r="AD96" s="2"/>
      <c r="AE96" s="2"/>
      <c r="AF96" s="2"/>
      <c r="AG96" s="2"/>
      <c r="AH96" s="2"/>
      <c r="AI96" s="2"/>
      <c r="AJ96" s="111" t="s">
        <v>1610</v>
      </c>
      <c r="AK96" s="1289" t="s">
        <v>552</v>
      </c>
      <c r="AL96" s="1448"/>
      <c r="AM96" s="1289" t="s">
        <v>405</v>
      </c>
      <c r="AN96" s="1448"/>
      <c r="AO96" s="1289" t="s">
        <v>1489</v>
      </c>
      <c r="AP96" s="1629"/>
      <c r="AQ96" s="98"/>
      <c r="AR96" s="2"/>
    </row>
    <row r="97" spans="1:44" ht="3" customHeight="1">
      <c r="A97" s="2"/>
      <c r="B97" s="2"/>
      <c r="C97" s="2"/>
      <c r="D97" s="1062"/>
      <c r="E97" s="2"/>
      <c r="F97" s="2"/>
      <c r="G97" s="2"/>
      <c r="H97" s="2"/>
      <c r="I97" s="2"/>
      <c r="J97" s="2"/>
      <c r="K97" s="2"/>
      <c r="L97" s="2"/>
      <c r="N97" s="2"/>
      <c r="O97" s="2"/>
      <c r="P97" s="2"/>
      <c r="Q97" s="2"/>
      <c r="U97" s="2"/>
      <c r="V97" s="2"/>
      <c r="W97" s="2"/>
      <c r="X97" s="2"/>
      <c r="Y97" s="2"/>
      <c r="Z97" s="2"/>
      <c r="AA97" s="2"/>
      <c r="AB97" s="2"/>
      <c r="AC97" s="2"/>
      <c r="AD97" s="2"/>
      <c r="AE97" s="2"/>
      <c r="AF97" s="2"/>
      <c r="AG97" s="2"/>
      <c r="AH97" s="2"/>
      <c r="AI97" s="2"/>
      <c r="AJ97" s="69"/>
      <c r="AK97" s="1449"/>
      <c r="AL97" s="1449"/>
      <c r="AM97" s="1449"/>
      <c r="AN97" s="1449"/>
      <c r="AO97" s="1449"/>
      <c r="AP97" s="1449"/>
      <c r="AQ97" s="98"/>
      <c r="AR97" s="2"/>
    </row>
    <row r="98" spans="1:44" ht="12.75" customHeight="1">
      <c r="A98" s="1205"/>
      <c r="B98" s="1205"/>
      <c r="C98" s="1205"/>
      <c r="D98" s="2220"/>
      <c r="E98" s="1205"/>
      <c r="F98" s="1205"/>
      <c r="G98" s="1205"/>
      <c r="H98" s="1205"/>
      <c r="I98" s="1205"/>
      <c r="J98" s="1205"/>
      <c r="K98" s="1205"/>
      <c r="L98" s="1205"/>
      <c r="M98" s="2266"/>
      <c r="N98" s="1205"/>
      <c r="O98" s="1205"/>
      <c r="P98" s="1205"/>
      <c r="Q98" s="1205"/>
      <c r="R98" s="2266"/>
      <c r="S98" s="2266"/>
      <c r="T98" s="2266"/>
      <c r="U98" s="1205"/>
      <c r="V98" s="1205"/>
      <c r="W98" s="1205"/>
      <c r="X98" s="1205"/>
      <c r="Y98" s="1205"/>
      <c r="Z98" s="1205"/>
      <c r="AA98" s="1205"/>
      <c r="AB98" s="1205"/>
      <c r="AC98" s="1205"/>
      <c r="AD98" s="1205"/>
      <c r="AE98" s="1205"/>
      <c r="AF98" s="1205"/>
      <c r="AG98" s="1205"/>
      <c r="AH98" s="1205"/>
      <c r="AI98" s="1205"/>
      <c r="AJ98" s="2267" t="s">
        <v>407</v>
      </c>
      <c r="AK98" s="2276" t="s">
        <v>3</v>
      </c>
      <c r="AL98" s="1205"/>
      <c r="AM98" s="2272">
        <f>+BYD!AX110</f>
        <v>132.33999999999997</v>
      </c>
      <c r="AN98" s="1205"/>
      <c r="AO98" s="2272"/>
      <c r="AP98" s="1205"/>
      <c r="AQ98" s="98"/>
      <c r="AR98" s="1205"/>
    </row>
    <row r="99" spans="1:44" ht="12.75" customHeight="1">
      <c r="A99" s="1205"/>
      <c r="B99" s="1205"/>
      <c r="C99" s="1205"/>
      <c r="D99" s="2220"/>
      <c r="E99" s="1205"/>
      <c r="F99" s="1205"/>
      <c r="G99" s="1205"/>
      <c r="H99" s="1205"/>
      <c r="I99" s="1205"/>
      <c r="J99" s="1205"/>
      <c r="K99" s="1205"/>
      <c r="L99" s="1205"/>
      <c r="M99" s="2266"/>
      <c r="N99" s="1205"/>
      <c r="O99" s="1205"/>
      <c r="P99" s="1205"/>
      <c r="Q99" s="1205"/>
      <c r="R99" s="2266"/>
      <c r="S99" s="2266"/>
      <c r="T99" s="2266"/>
      <c r="U99" s="1205"/>
      <c r="V99" s="1205"/>
      <c r="W99" s="1205"/>
      <c r="X99" s="1205"/>
      <c r="Y99" s="1205"/>
      <c r="Z99" s="1205"/>
      <c r="AA99" s="1205"/>
      <c r="AB99" s="1205"/>
      <c r="AC99" s="1205"/>
      <c r="AD99" s="1205"/>
      <c r="AE99" s="1205"/>
      <c r="AF99" s="1205"/>
      <c r="AG99" s="1205"/>
      <c r="AH99" s="1205"/>
      <c r="AI99" s="1205"/>
      <c r="AJ99" s="2267" t="s">
        <v>1614</v>
      </c>
      <c r="AK99" s="2268" t="s">
        <v>4</v>
      </c>
      <c r="AL99" s="2269"/>
      <c r="AM99" s="2272">
        <f>+BYD!AY927</f>
        <v>46.591999999999999</v>
      </c>
      <c r="AN99" s="2269"/>
      <c r="AO99" s="2272"/>
      <c r="AP99" s="2271"/>
      <c r="AQ99" s="98"/>
      <c r="AR99" s="1205"/>
    </row>
    <row r="100" spans="1:44" ht="6" customHeight="1">
      <c r="A100" s="2"/>
      <c r="B100" s="2"/>
      <c r="C100" s="2"/>
      <c r="D100" s="1062"/>
      <c r="E100" s="2"/>
      <c r="F100" s="2"/>
      <c r="G100" s="2"/>
      <c r="H100" s="2"/>
      <c r="I100" s="2"/>
      <c r="J100" s="2"/>
      <c r="K100" s="2"/>
      <c r="L100" s="2"/>
      <c r="N100" s="2"/>
      <c r="O100" s="2"/>
      <c r="P100" s="2"/>
      <c r="Q100" s="2"/>
      <c r="U100" s="2"/>
      <c r="V100" s="2"/>
      <c r="W100" s="2"/>
      <c r="X100" s="2"/>
      <c r="Y100" s="2"/>
      <c r="Z100" s="2"/>
      <c r="AA100" s="2"/>
      <c r="AB100" s="2"/>
      <c r="AC100" s="2"/>
      <c r="AD100" s="2"/>
      <c r="AE100" s="2"/>
      <c r="AF100" s="2"/>
      <c r="AG100" s="2"/>
      <c r="AH100" s="2"/>
      <c r="AI100" s="2"/>
      <c r="AJ100" s="1447"/>
      <c r="AK100" s="1614"/>
      <c r="AL100" s="1449"/>
      <c r="AM100" s="1450"/>
      <c r="AN100" s="1449"/>
      <c r="AO100" s="1450"/>
      <c r="AP100" s="1450"/>
      <c r="AQ100" s="98"/>
      <c r="AR100" s="2"/>
    </row>
    <row r="101" spans="1:44" ht="12.75" customHeight="1">
      <c r="A101" s="1205"/>
      <c r="B101" s="1205"/>
      <c r="C101" s="1205"/>
      <c r="D101" s="2220"/>
      <c r="E101" s="1205"/>
      <c r="F101" s="1205"/>
      <c r="G101" s="1205"/>
      <c r="H101" s="1205"/>
      <c r="I101" s="1205"/>
      <c r="J101" s="1205"/>
      <c r="K101" s="1205"/>
      <c r="L101" s="1205"/>
      <c r="M101" s="2273"/>
      <c r="N101" s="1205"/>
      <c r="O101" s="1205"/>
      <c r="P101" s="1205"/>
      <c r="Q101" s="1205"/>
      <c r="R101" s="2273"/>
      <c r="S101" s="2273"/>
      <c r="T101" s="2273"/>
      <c r="U101" s="1205"/>
      <c r="V101" s="1205"/>
      <c r="W101" s="1205"/>
      <c r="X101" s="1205"/>
      <c r="Y101" s="1205"/>
      <c r="Z101" s="1205"/>
      <c r="AA101" s="1205"/>
      <c r="AB101" s="1205"/>
      <c r="AC101" s="1205"/>
      <c r="AD101" s="1205"/>
      <c r="AE101" s="1205"/>
      <c r="AF101" s="1205"/>
      <c r="AG101" s="1205"/>
      <c r="AH101" s="1205"/>
      <c r="AI101" s="1205"/>
      <c r="AJ101" s="2267" t="s">
        <v>498</v>
      </c>
      <c r="AK101" s="2268" t="s">
        <v>1</v>
      </c>
      <c r="AL101" s="2269"/>
      <c r="AM101" s="2270">
        <f>+SUM(AM98:AM100)</f>
        <v>178.93199999999996</v>
      </c>
      <c r="AN101" s="2269"/>
      <c r="AO101" s="2268">
        <v>158.35</v>
      </c>
      <c r="AP101" s="2271"/>
      <c r="AQ101" s="98"/>
      <c r="AR101" s="1205"/>
    </row>
    <row r="102" spans="1:44" ht="6" customHeight="1">
      <c r="A102" s="2"/>
      <c r="B102" s="2"/>
      <c r="C102" s="2"/>
      <c r="D102" s="1062"/>
      <c r="E102" s="2"/>
      <c r="F102" s="2"/>
      <c r="G102" s="2"/>
      <c r="H102" s="2"/>
      <c r="I102" s="2"/>
      <c r="J102" s="2"/>
      <c r="K102" s="2"/>
      <c r="L102" s="2"/>
      <c r="N102" s="2"/>
      <c r="O102" s="2"/>
      <c r="P102" s="2"/>
      <c r="Q102" s="2"/>
      <c r="U102" s="2"/>
      <c r="V102" s="2"/>
      <c r="W102" s="2"/>
      <c r="X102" s="2"/>
      <c r="Y102" s="2"/>
      <c r="Z102" s="2"/>
      <c r="AA102" s="2"/>
      <c r="AB102" s="2"/>
      <c r="AC102" s="2"/>
      <c r="AD102" s="2"/>
      <c r="AE102" s="2"/>
      <c r="AF102" s="2"/>
      <c r="AG102" s="2"/>
      <c r="AH102" s="2"/>
      <c r="AI102" s="2"/>
      <c r="AJ102" s="1447"/>
      <c r="AK102" s="1614"/>
      <c r="AL102" s="1449"/>
      <c r="AM102" s="1450"/>
      <c r="AN102" s="1449"/>
      <c r="AO102" s="1450"/>
      <c r="AP102" s="1450"/>
      <c r="AQ102" s="98"/>
      <c r="AR102" s="2"/>
    </row>
    <row r="103" spans="1:44" ht="12.75" customHeight="1">
      <c r="A103" s="2"/>
      <c r="B103" s="2"/>
      <c r="C103" s="2"/>
      <c r="D103" s="1062"/>
      <c r="E103" s="2"/>
      <c r="F103" s="2"/>
      <c r="G103" s="2"/>
      <c r="H103" s="2"/>
      <c r="I103" s="2"/>
      <c r="J103" s="2"/>
      <c r="K103" s="2"/>
      <c r="L103" s="2"/>
      <c r="N103" s="2"/>
      <c r="O103" s="2"/>
      <c r="P103" s="2"/>
      <c r="Q103" s="2"/>
      <c r="U103" s="2"/>
      <c r="V103" s="2"/>
      <c r="W103" s="2"/>
      <c r="X103" s="2"/>
      <c r="Y103" s="2"/>
      <c r="Z103" s="2"/>
      <c r="AA103" s="2"/>
      <c r="AB103" s="2"/>
      <c r="AC103" s="2"/>
      <c r="AD103" s="2"/>
      <c r="AE103" s="2"/>
      <c r="AF103" s="2"/>
      <c r="AG103" s="2"/>
      <c r="AH103" s="2"/>
      <c r="AI103" s="2"/>
      <c r="AJ103" s="1447" t="s">
        <v>1615</v>
      </c>
      <c r="AK103" s="1614" t="s">
        <v>5</v>
      </c>
      <c r="AL103" s="1449"/>
      <c r="AM103" s="2265">
        <f>+BYD!AY91</f>
        <v>-0.36747575205553612</v>
      </c>
      <c r="AN103" s="1449"/>
      <c r="AO103" s="2265">
        <v>-0.05</v>
      </c>
      <c r="AP103" s="1466"/>
      <c r="AQ103" s="98"/>
      <c r="AR103" s="2"/>
    </row>
    <row r="104" spans="1:44" ht="6" customHeight="1">
      <c r="A104" s="2"/>
      <c r="B104" s="2"/>
      <c r="C104" s="2"/>
      <c r="D104" s="1062"/>
      <c r="E104" s="2"/>
      <c r="F104" s="2"/>
      <c r="G104" s="2"/>
      <c r="H104" s="2"/>
      <c r="I104" s="2"/>
      <c r="J104" s="2"/>
      <c r="K104" s="2"/>
      <c r="L104" s="2"/>
      <c r="N104" s="2"/>
      <c r="O104" s="2"/>
      <c r="P104" s="2"/>
      <c r="Q104" s="2"/>
      <c r="U104" s="2"/>
      <c r="V104" s="2"/>
      <c r="W104" s="2"/>
      <c r="X104" s="2"/>
      <c r="Y104" s="2"/>
      <c r="Z104" s="2"/>
      <c r="AA104" s="2"/>
      <c r="AB104" s="2"/>
      <c r="AC104" s="2"/>
      <c r="AD104" s="2"/>
      <c r="AE104" s="2"/>
      <c r="AF104" s="2"/>
      <c r="AG104" s="2"/>
      <c r="AH104" s="2"/>
      <c r="AI104" s="2"/>
      <c r="AJ104" s="1447"/>
      <c r="AK104" s="1450"/>
      <c r="AL104" s="1449"/>
      <c r="AM104" s="1449"/>
      <c r="AN104" s="1449"/>
      <c r="AO104" s="1449"/>
      <c r="AP104" s="1449"/>
      <c r="AQ104" s="98"/>
      <c r="AR104" s="2"/>
    </row>
    <row r="105" spans="1:44" ht="12.75" customHeight="1">
      <c r="A105" s="2"/>
      <c r="B105" s="2"/>
      <c r="C105" s="2"/>
      <c r="D105" s="1062"/>
      <c r="E105" s="2"/>
      <c r="F105" s="2"/>
      <c r="G105" s="2"/>
      <c r="H105" s="2"/>
      <c r="I105" s="2"/>
      <c r="J105" s="2"/>
      <c r="K105" s="2"/>
      <c r="L105" s="2"/>
      <c r="N105" s="2"/>
      <c r="O105" s="2"/>
      <c r="P105" s="2"/>
      <c r="Q105" s="2"/>
      <c r="U105" s="2"/>
      <c r="V105" s="2"/>
      <c r="W105" s="2"/>
      <c r="X105" s="2"/>
      <c r="Y105" s="2"/>
      <c r="Z105" s="2"/>
      <c r="AA105" s="2"/>
      <c r="AB105" s="2"/>
      <c r="AC105" s="2"/>
      <c r="AD105" s="2"/>
      <c r="AE105" s="2"/>
      <c r="AF105" s="2"/>
      <c r="AG105" s="2"/>
      <c r="AH105" s="2"/>
      <c r="AI105" s="2"/>
      <c r="AJ105" s="2" t="s">
        <v>408</v>
      </c>
      <c r="AK105" s="2"/>
      <c r="AL105" s="2"/>
      <c r="AM105" s="2"/>
      <c r="AN105" s="2"/>
      <c r="AO105" s="2"/>
      <c r="AP105" s="2"/>
      <c r="AQ105" s="98"/>
      <c r="AR105" s="2"/>
    </row>
    <row r="106" spans="1:44" ht="12.75" customHeight="1">
      <c r="A106" s="2"/>
      <c r="B106" s="2"/>
      <c r="C106" s="2"/>
      <c r="D106" s="1062"/>
      <c r="E106" s="2"/>
      <c r="F106" s="2"/>
      <c r="G106" s="2"/>
      <c r="H106" s="2"/>
      <c r="I106" s="2"/>
      <c r="J106" s="2"/>
      <c r="K106" s="2"/>
      <c r="L106" s="2"/>
      <c r="N106" s="2"/>
      <c r="O106" s="2"/>
      <c r="P106" s="2"/>
      <c r="Q106" s="2"/>
      <c r="U106" s="2"/>
      <c r="V106" s="2"/>
      <c r="W106" s="2"/>
      <c r="X106" s="2"/>
      <c r="Y106" s="2"/>
      <c r="Z106" s="2"/>
      <c r="AA106" s="2"/>
      <c r="AB106" s="2"/>
      <c r="AC106" s="2"/>
      <c r="AD106" s="2"/>
      <c r="AE106" s="2"/>
      <c r="AF106" s="2"/>
      <c r="AG106" s="2"/>
      <c r="AH106" s="2"/>
      <c r="AI106" s="2"/>
      <c r="AJ106" s="2"/>
      <c r="AK106" s="2"/>
      <c r="AL106" s="2"/>
      <c r="AM106" s="2"/>
      <c r="AN106" s="2"/>
      <c r="AO106" s="2"/>
      <c r="AP106" s="1" t="s">
        <v>6</v>
      </c>
      <c r="AQ106" s="98"/>
      <c r="AR106" s="2"/>
    </row>
    <row r="107" spans="1:44" ht="12.75" customHeight="1">
      <c r="A107" s="2"/>
      <c r="B107" s="2"/>
      <c r="C107" s="2"/>
      <c r="D107" s="1062"/>
      <c r="E107" s="2"/>
      <c r="F107" s="2"/>
      <c r="G107" s="2"/>
      <c r="H107" s="2"/>
      <c r="I107" s="2"/>
      <c r="J107" s="2"/>
      <c r="K107" s="2"/>
      <c r="L107" s="2"/>
      <c r="N107" s="2"/>
      <c r="O107" s="2"/>
      <c r="P107" s="2"/>
      <c r="Q107" s="2"/>
      <c r="U107" s="2"/>
      <c r="V107" s="2"/>
      <c r="W107" s="2"/>
      <c r="X107" s="2"/>
      <c r="Y107" s="2"/>
      <c r="Z107" s="2"/>
      <c r="AA107" s="2"/>
      <c r="AB107" s="2"/>
      <c r="AC107" s="2"/>
      <c r="AD107" s="2"/>
      <c r="AE107" s="2"/>
      <c r="AF107" s="2"/>
      <c r="AG107" s="2"/>
      <c r="AH107" s="2"/>
      <c r="AI107" s="2"/>
      <c r="AJ107" s="2"/>
      <c r="AK107" s="2"/>
      <c r="AL107" s="2"/>
      <c r="AM107" s="2"/>
      <c r="AN107" s="2"/>
      <c r="AO107" s="2"/>
      <c r="AP107" s="1" t="s">
        <v>7</v>
      </c>
      <c r="AQ107" s="98"/>
      <c r="AR107" s="101" t="s">
        <v>405</v>
      </c>
    </row>
    <row r="108" spans="1:44" ht="12.75" customHeight="1">
      <c r="A108" s="2"/>
      <c r="B108" s="2"/>
      <c r="C108" s="2"/>
      <c r="D108" s="1062"/>
      <c r="E108" s="2"/>
      <c r="F108" s="2"/>
      <c r="G108" s="2"/>
      <c r="H108" s="2"/>
      <c r="I108" s="2"/>
      <c r="J108" s="2"/>
      <c r="K108" s="2"/>
      <c r="L108" s="2"/>
      <c r="N108" s="2"/>
      <c r="O108" s="2"/>
      <c r="P108" s="2"/>
      <c r="Q108" s="2"/>
      <c r="U108" s="2"/>
      <c r="V108" s="2"/>
      <c r="W108" s="2"/>
      <c r="X108" s="2"/>
      <c r="Y108" s="2"/>
      <c r="Z108" s="2"/>
      <c r="AA108" s="2"/>
      <c r="AB108" s="2"/>
      <c r="AC108" s="2"/>
      <c r="AD108" s="2"/>
      <c r="AE108" s="2"/>
      <c r="AF108" s="2"/>
      <c r="AG108" s="2"/>
      <c r="AH108" s="2"/>
      <c r="AI108" s="2"/>
      <c r="AJ108" s="2"/>
      <c r="AK108" s="2"/>
      <c r="AL108" s="2"/>
      <c r="AM108" s="2"/>
      <c r="AN108" s="2"/>
      <c r="AO108" s="2"/>
      <c r="AP108" s="2" t="s">
        <v>514</v>
      </c>
      <c r="AQ108" s="1349">
        <v>149.72999999999999</v>
      </c>
      <c r="AR108" s="2">
        <f>+BYD!AX10</f>
        <v>149.69</v>
      </c>
    </row>
    <row r="109" spans="1:44" ht="12.75" customHeight="1">
      <c r="A109" s="2"/>
      <c r="B109" s="2"/>
      <c r="C109" s="2"/>
      <c r="D109" s="1062"/>
      <c r="E109" s="2"/>
      <c r="F109" s="2"/>
      <c r="G109" s="2"/>
      <c r="H109" s="2"/>
      <c r="I109" s="2"/>
      <c r="J109" s="2"/>
      <c r="K109" s="2"/>
      <c r="L109" s="2"/>
      <c r="N109" s="2"/>
      <c r="O109" s="2"/>
      <c r="P109" s="2"/>
      <c r="Q109" s="2"/>
      <c r="U109" s="2"/>
      <c r="V109" s="2"/>
      <c r="W109" s="2"/>
      <c r="X109" s="2"/>
      <c r="Y109" s="2"/>
      <c r="Z109" s="2"/>
      <c r="AA109" s="2"/>
      <c r="AB109" s="2"/>
      <c r="AC109" s="2"/>
      <c r="AD109" s="2"/>
      <c r="AE109" s="2"/>
      <c r="AF109" s="2"/>
      <c r="AG109" s="2"/>
      <c r="AH109" s="2"/>
      <c r="AI109" s="2"/>
      <c r="AJ109" s="2"/>
      <c r="AK109" s="2"/>
      <c r="AL109" s="2"/>
      <c r="AM109" s="2"/>
      <c r="AN109" s="2"/>
      <c r="AO109" s="2"/>
      <c r="AP109" s="2" t="s">
        <v>515</v>
      </c>
      <c r="AQ109" s="1102">
        <v>56.23</v>
      </c>
      <c r="AR109" s="2">
        <f>+BYD!AX11</f>
        <v>56.128</v>
      </c>
    </row>
    <row r="110" spans="1:44" ht="12.75" customHeight="1">
      <c r="A110" s="2"/>
      <c r="B110" s="2"/>
      <c r="C110" s="2"/>
      <c r="D110" s="1062"/>
      <c r="E110" s="2"/>
      <c r="F110" s="2"/>
      <c r="G110" s="2"/>
      <c r="H110" s="2"/>
      <c r="I110" s="2"/>
      <c r="J110" s="2"/>
      <c r="K110" s="2"/>
      <c r="L110" s="2"/>
      <c r="N110" s="2"/>
      <c r="O110" s="2"/>
      <c r="P110" s="2"/>
      <c r="Q110" s="2"/>
      <c r="U110" s="2"/>
      <c r="V110" s="2"/>
      <c r="W110" s="2"/>
      <c r="X110" s="2"/>
      <c r="Y110" s="2"/>
      <c r="Z110" s="2"/>
      <c r="AA110" s="2"/>
      <c r="AB110" s="2"/>
      <c r="AC110" s="2"/>
      <c r="AD110" s="2"/>
      <c r="AE110" s="2"/>
      <c r="AF110" s="2"/>
      <c r="AG110" s="2"/>
      <c r="AH110" s="2"/>
      <c r="AI110" s="2"/>
      <c r="AJ110" s="2"/>
      <c r="AK110" s="2"/>
      <c r="AL110" s="2"/>
      <c r="AM110" s="2"/>
      <c r="AN110" s="2"/>
      <c r="AO110" s="2"/>
      <c r="AP110" s="2" t="s">
        <v>516</v>
      </c>
      <c r="AQ110" s="1102">
        <v>234.18</v>
      </c>
      <c r="AR110" s="2">
        <f>+BYD!AX13</f>
        <v>224.273</v>
      </c>
    </row>
    <row r="111" spans="1:44" ht="12.75" customHeight="1">
      <c r="A111" s="2"/>
      <c r="B111" s="2"/>
      <c r="C111" s="2"/>
      <c r="D111" s="1062"/>
      <c r="E111" s="2"/>
      <c r="F111" s="2"/>
      <c r="G111" s="2"/>
      <c r="H111" s="2"/>
      <c r="I111" s="2"/>
      <c r="J111" s="2"/>
      <c r="K111" s="2"/>
      <c r="L111" s="2"/>
      <c r="N111" s="2"/>
      <c r="O111" s="2"/>
      <c r="P111" s="2"/>
      <c r="Q111" s="2"/>
      <c r="U111" s="2"/>
      <c r="V111" s="2"/>
      <c r="W111" s="2"/>
      <c r="X111" s="2"/>
      <c r="Y111" s="2"/>
      <c r="Z111" s="2"/>
      <c r="AA111" s="2"/>
      <c r="AB111" s="2"/>
      <c r="AC111" s="2"/>
      <c r="AD111" s="2"/>
      <c r="AE111" s="2"/>
      <c r="AF111" s="2"/>
      <c r="AG111" s="2"/>
      <c r="AH111" s="2"/>
      <c r="AI111" s="2"/>
      <c r="AJ111" s="2"/>
      <c r="AK111" s="2"/>
      <c r="AL111" s="2"/>
      <c r="AM111" s="2"/>
      <c r="AN111" s="2"/>
      <c r="AO111" s="2"/>
      <c r="AP111" s="2" t="s">
        <v>517</v>
      </c>
      <c r="AQ111" s="1102">
        <v>137.13</v>
      </c>
      <c r="AR111" s="2">
        <f>+BYD!AX14</f>
        <v>135.78</v>
      </c>
    </row>
    <row r="112" spans="1:44" ht="12.75" customHeight="1">
      <c r="A112" s="2"/>
      <c r="B112" s="2"/>
      <c r="C112" s="2"/>
      <c r="D112" s="1062"/>
      <c r="E112" s="2"/>
      <c r="F112" s="2"/>
      <c r="G112" s="2"/>
      <c r="H112" s="2"/>
      <c r="I112" s="2"/>
      <c r="J112" s="2"/>
      <c r="K112" s="2"/>
      <c r="L112" s="2"/>
      <c r="N112" s="2"/>
      <c r="O112" s="2"/>
      <c r="P112" s="2"/>
      <c r="Q112" s="2"/>
      <c r="U112" s="2"/>
      <c r="V112" s="2"/>
      <c r="W112" s="2"/>
      <c r="X112" s="2"/>
      <c r="Y112" s="2"/>
      <c r="Z112" s="2"/>
      <c r="AA112" s="2"/>
      <c r="AB112" s="2"/>
      <c r="AC112" s="2"/>
      <c r="AD112" s="2"/>
      <c r="AE112" s="2"/>
      <c r="AF112" s="2"/>
      <c r="AG112" s="2"/>
      <c r="AH112" s="2"/>
      <c r="AI112" s="2"/>
      <c r="AJ112" s="2"/>
      <c r="AK112" s="2"/>
      <c r="AL112" s="2"/>
      <c r="AM112" s="2"/>
      <c r="AN112" s="2"/>
      <c r="AO112" s="2"/>
      <c r="AP112" s="2" t="s">
        <v>273</v>
      </c>
      <c r="AQ112" s="1102">
        <v>164.03</v>
      </c>
      <c r="AR112" s="2">
        <f>+BYD!AX17</f>
        <v>0</v>
      </c>
    </row>
    <row r="113" spans="1:44" ht="12.75" customHeight="1">
      <c r="A113" s="2"/>
      <c r="B113" s="2"/>
      <c r="C113" s="2"/>
      <c r="D113" s="1062"/>
      <c r="E113" s="2"/>
      <c r="F113" s="2"/>
      <c r="G113" s="2"/>
      <c r="H113" s="2"/>
      <c r="I113" s="2"/>
      <c r="J113" s="2"/>
      <c r="K113" s="2"/>
      <c r="L113" s="2"/>
      <c r="N113" s="2"/>
      <c r="O113" s="2"/>
      <c r="P113" s="2"/>
      <c r="Q113" s="2"/>
      <c r="U113" s="2"/>
      <c r="V113" s="2"/>
      <c r="W113" s="2"/>
      <c r="X113" s="2"/>
      <c r="Y113" s="2"/>
      <c r="Z113" s="2"/>
      <c r="AA113" s="2"/>
      <c r="AB113" s="2"/>
      <c r="AC113" s="2"/>
      <c r="AD113" s="2"/>
      <c r="AE113" s="2"/>
      <c r="AF113" s="2"/>
      <c r="AG113" s="2"/>
      <c r="AH113" s="2"/>
      <c r="AI113" s="2"/>
      <c r="AJ113" s="2"/>
      <c r="AK113" s="2"/>
      <c r="AL113" s="2"/>
      <c r="AM113" s="2"/>
      <c r="AN113" s="2"/>
      <c r="AO113" s="2"/>
      <c r="AP113" s="2" t="s">
        <v>1790</v>
      </c>
      <c r="AQ113" s="1102">
        <v>1.2</v>
      </c>
      <c r="AR113" s="2"/>
    </row>
    <row r="114" spans="1:44" ht="12.75" customHeight="1">
      <c r="A114" s="2"/>
      <c r="B114" s="2"/>
      <c r="C114" s="2"/>
      <c r="D114" s="1062"/>
      <c r="E114" s="2"/>
      <c r="F114" s="2"/>
      <c r="G114" s="2"/>
      <c r="H114" s="2"/>
      <c r="I114" s="2"/>
      <c r="J114" s="2"/>
      <c r="K114" s="2"/>
      <c r="L114" s="2"/>
      <c r="N114" s="2"/>
      <c r="O114" s="2"/>
      <c r="P114" s="2"/>
      <c r="Q114" s="2"/>
      <c r="U114" s="2"/>
      <c r="V114" s="2"/>
      <c r="W114" s="2"/>
      <c r="X114" s="2"/>
      <c r="Y114" s="2"/>
      <c r="Z114" s="2"/>
      <c r="AA114" s="2"/>
      <c r="AB114" s="2"/>
      <c r="AC114" s="2"/>
      <c r="AD114" s="2"/>
      <c r="AE114" s="2"/>
      <c r="AF114" s="2"/>
      <c r="AG114" s="2"/>
      <c r="AH114" s="2"/>
      <c r="AI114" s="2"/>
      <c r="AJ114" s="2"/>
      <c r="AK114" s="2"/>
      <c r="AL114" s="2"/>
      <c r="AM114" s="2"/>
      <c r="AN114" s="2"/>
      <c r="AO114" s="2"/>
      <c r="AP114" s="1" t="s">
        <v>401</v>
      </c>
      <c r="AQ114" s="98"/>
      <c r="AR114" s="2"/>
    </row>
    <row r="115" spans="1:44" ht="12.75" customHeight="1">
      <c r="A115" s="2"/>
      <c r="B115" s="2"/>
      <c r="C115" s="2"/>
      <c r="D115" s="1062"/>
      <c r="E115" s="2"/>
      <c r="F115" s="2"/>
      <c r="G115" s="2"/>
      <c r="H115" s="2"/>
      <c r="I115" s="2"/>
      <c r="J115" s="2"/>
      <c r="K115" s="2"/>
      <c r="L115" s="2"/>
      <c r="N115" s="2"/>
      <c r="O115" s="2"/>
      <c r="P115" s="2"/>
      <c r="Q115" s="2"/>
      <c r="U115" s="2"/>
      <c r="V115" s="2"/>
      <c r="W115" s="2"/>
      <c r="X115" s="2"/>
      <c r="Y115" s="2"/>
      <c r="Z115" s="2"/>
      <c r="AA115" s="2"/>
      <c r="AB115" s="2"/>
      <c r="AC115" s="2"/>
      <c r="AD115" s="2"/>
      <c r="AE115" s="2"/>
      <c r="AF115" s="2"/>
      <c r="AG115" s="2"/>
      <c r="AH115" s="2"/>
      <c r="AI115" s="2"/>
      <c r="AJ115" s="2"/>
      <c r="AK115" s="2"/>
      <c r="AL115" s="2"/>
      <c r="AM115" s="2"/>
      <c r="AN115" s="2"/>
      <c r="AO115" s="2"/>
      <c r="AP115" s="2" t="s">
        <v>514</v>
      </c>
      <c r="AQ115" s="1349">
        <v>34.83</v>
      </c>
      <c r="AR115" s="2">
        <f>+BYD!AX38</f>
        <v>38.722999999999999</v>
      </c>
    </row>
    <row r="116" spans="1:44" ht="12.75" customHeight="1">
      <c r="A116" s="2"/>
      <c r="B116" s="2"/>
      <c r="C116" s="2"/>
      <c r="D116" s="1062"/>
      <c r="E116" s="2"/>
      <c r="F116" s="2"/>
      <c r="G116" s="2"/>
      <c r="H116" s="2"/>
      <c r="I116" s="2"/>
      <c r="J116" s="2"/>
      <c r="K116" s="2"/>
      <c r="L116" s="2"/>
      <c r="N116" s="2"/>
      <c r="O116" s="2"/>
      <c r="P116" s="2"/>
      <c r="Q116" s="2"/>
      <c r="U116" s="2"/>
      <c r="V116" s="2"/>
      <c r="W116" s="2"/>
      <c r="X116" s="2"/>
      <c r="Y116" s="2"/>
      <c r="Z116" s="2"/>
      <c r="AA116" s="2"/>
      <c r="AB116" s="2"/>
      <c r="AC116" s="2"/>
      <c r="AD116" s="2"/>
      <c r="AE116" s="2"/>
      <c r="AF116" s="2"/>
      <c r="AG116" s="2"/>
      <c r="AH116" s="2"/>
      <c r="AI116" s="2"/>
      <c r="AJ116" s="2"/>
      <c r="AK116" s="2"/>
      <c r="AL116" s="2"/>
      <c r="AM116" s="2"/>
      <c r="AN116" s="2"/>
      <c r="AO116" s="2"/>
      <c r="AP116" s="2" t="s">
        <v>515</v>
      </c>
      <c r="AQ116" s="1102">
        <v>8.36</v>
      </c>
      <c r="AR116" s="2">
        <f>+BYD!AX39</f>
        <v>9.2970000000000006</v>
      </c>
    </row>
    <row r="117" spans="1:44" ht="12.75" customHeight="1">
      <c r="A117" s="2"/>
      <c r="B117" s="2"/>
      <c r="C117" s="2"/>
      <c r="D117" s="1062"/>
      <c r="E117" s="2"/>
      <c r="F117" s="2"/>
      <c r="G117" s="2"/>
      <c r="H117" s="2"/>
      <c r="I117" s="2"/>
      <c r="J117" s="2"/>
      <c r="K117" s="2"/>
      <c r="L117" s="2"/>
      <c r="N117" s="2"/>
      <c r="O117" s="2"/>
      <c r="P117" s="2"/>
      <c r="Q117" s="2"/>
      <c r="U117" s="2"/>
      <c r="V117" s="2"/>
      <c r="W117" s="2"/>
      <c r="X117" s="2"/>
      <c r="Y117" s="2"/>
      <c r="Z117" s="2"/>
      <c r="AA117" s="2"/>
      <c r="AB117" s="2"/>
      <c r="AC117" s="2"/>
      <c r="AD117" s="2"/>
      <c r="AE117" s="2"/>
      <c r="AF117" s="2"/>
      <c r="AG117" s="2"/>
      <c r="AH117" s="2"/>
      <c r="AI117" s="2"/>
      <c r="AJ117" s="2"/>
      <c r="AK117" s="2"/>
      <c r="AL117" s="2"/>
      <c r="AM117" s="2"/>
      <c r="AN117" s="2"/>
      <c r="AO117" s="2"/>
      <c r="AP117" s="2" t="s">
        <v>516</v>
      </c>
      <c r="AQ117" s="1102">
        <v>51.04</v>
      </c>
      <c r="AR117" s="2">
        <f>+BYD!AX41</f>
        <v>48.625</v>
      </c>
    </row>
    <row r="118" spans="1:44" ht="12.75" customHeight="1">
      <c r="A118" s="2"/>
      <c r="B118" s="2"/>
      <c r="C118" s="2"/>
      <c r="D118" s="1062"/>
      <c r="E118" s="2"/>
      <c r="F118" s="2"/>
      <c r="G118" s="2"/>
      <c r="H118" s="2"/>
      <c r="I118" s="2"/>
      <c r="J118" s="2"/>
      <c r="K118" s="2"/>
      <c r="L118" s="2"/>
      <c r="N118" s="2"/>
      <c r="O118" s="2"/>
      <c r="P118" s="2"/>
      <c r="Q118" s="2"/>
      <c r="U118" s="2"/>
      <c r="V118" s="2"/>
      <c r="W118" s="2"/>
      <c r="X118" s="2"/>
      <c r="Y118" s="2"/>
      <c r="Z118" s="2"/>
      <c r="AA118" s="2"/>
      <c r="AB118" s="2"/>
      <c r="AC118" s="2"/>
      <c r="AD118" s="2"/>
      <c r="AE118" s="2"/>
      <c r="AF118" s="2"/>
      <c r="AG118" s="2"/>
      <c r="AH118" s="2"/>
      <c r="AI118" s="2"/>
      <c r="AJ118" s="2"/>
      <c r="AK118" s="2"/>
      <c r="AL118" s="2"/>
      <c r="AM118" s="2"/>
      <c r="AN118" s="2"/>
      <c r="AO118" s="2"/>
      <c r="AP118" s="2" t="s">
        <v>517</v>
      </c>
      <c r="AQ118" s="1102">
        <v>52.46</v>
      </c>
      <c r="AR118" s="2">
        <f>+BYD!AX42</f>
        <v>48.323</v>
      </c>
    </row>
    <row r="119" spans="1:44" ht="12.75" customHeight="1">
      <c r="A119" s="2"/>
      <c r="B119" s="2"/>
      <c r="C119" s="2"/>
      <c r="D119" s="1062"/>
      <c r="E119" s="2"/>
      <c r="F119" s="2"/>
      <c r="G119" s="2"/>
      <c r="H119" s="2"/>
      <c r="I119" s="2"/>
      <c r="J119" s="2"/>
      <c r="K119" s="2"/>
      <c r="L119" s="2"/>
      <c r="N119" s="2"/>
      <c r="O119" s="2"/>
      <c r="P119" s="2"/>
      <c r="Q119" s="2"/>
      <c r="U119" s="2"/>
      <c r="V119" s="2"/>
      <c r="W119" s="2"/>
      <c r="X119" s="2"/>
      <c r="Y119" s="2"/>
      <c r="Z119" s="2"/>
      <c r="AA119" s="2"/>
      <c r="AB119" s="2"/>
      <c r="AC119" s="2"/>
      <c r="AD119" s="2"/>
      <c r="AE119" s="2"/>
      <c r="AF119" s="2"/>
      <c r="AG119" s="2"/>
      <c r="AH119" s="2"/>
      <c r="AI119" s="2"/>
      <c r="AJ119" s="2"/>
      <c r="AK119" s="2"/>
      <c r="AL119" s="2"/>
      <c r="AM119" s="2"/>
      <c r="AN119" s="2"/>
      <c r="AO119" s="2"/>
      <c r="AP119" s="2" t="s">
        <v>273</v>
      </c>
      <c r="AQ119" s="1102">
        <v>28.21</v>
      </c>
      <c r="AR119" s="2">
        <f>+BYD!AX45</f>
        <v>27.847000000000001</v>
      </c>
    </row>
  </sheetData>
  <phoneticPr fontId="112"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R119"/>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5" max="15" width="1.5" customWidth="1"/>
    <col min="18" max="18" width="3.25" customWidth="1"/>
    <col min="20" max="20" width="1" customWidth="1"/>
    <col min="21" max="21" width="19" customWidth="1"/>
    <col min="22" max="22" width="1.625" customWidth="1"/>
    <col min="23" max="23" width="8.625" customWidth="1"/>
    <col min="24" max="24" width="1.625" customWidth="1"/>
    <col min="25" max="25" width="8.625" customWidth="1"/>
    <col min="26" max="26" width="1.625" customWidth="1"/>
    <col min="27" max="27" width="8.625" customWidth="1"/>
    <col min="30" max="30" width="7.625" customWidth="1"/>
    <col min="31" max="31" width="1.625" customWidth="1"/>
    <col min="32" max="32" width="7.625" customWidth="1"/>
    <col min="33" max="33" width="1.625" customWidth="1"/>
    <col min="34" max="34" width="7.625" customWidth="1"/>
    <col min="35" max="35" width="1.625" customWidth="1"/>
    <col min="36" max="36" width="21.5" customWidth="1"/>
    <col min="37" max="37" width="11.625" customWidth="1"/>
    <col min="38" max="38" width="1.625" customWidth="1"/>
    <col min="39" max="39" width="10.625" customWidth="1"/>
    <col min="40" max="40" width="1.625" customWidth="1"/>
    <col min="41" max="41" width="10.625" customWidth="1"/>
    <col min="42" max="42" width="16" customWidth="1"/>
  </cols>
  <sheetData>
    <row r="1" spans="1:44" ht="12.75" customHeight="1">
      <c r="A1" s="1" t="s">
        <v>629</v>
      </c>
      <c r="B1" s="2"/>
      <c r="C1" s="166"/>
      <c r="D1" s="1062"/>
      <c r="E1" s="2"/>
      <c r="F1" s="2"/>
      <c r="G1" s="2"/>
      <c r="H1" s="2"/>
      <c r="I1" s="2"/>
      <c r="J1" s="2"/>
      <c r="K1" s="2"/>
      <c r="L1" s="2"/>
      <c r="N1" s="2"/>
      <c r="O1" s="2"/>
      <c r="P1" s="2"/>
      <c r="Q1" s="2"/>
      <c r="U1" s="2"/>
      <c r="V1" s="2"/>
      <c r="W1" s="2"/>
      <c r="X1" s="2"/>
      <c r="Y1" s="2"/>
      <c r="Z1" s="2"/>
      <c r="AA1" s="2"/>
      <c r="AB1" s="2"/>
      <c r="AC1" s="2"/>
      <c r="AD1" s="2"/>
      <c r="AE1" s="2"/>
      <c r="AF1" s="2"/>
      <c r="AG1" s="2"/>
      <c r="AH1" s="2"/>
      <c r="AI1" s="2"/>
      <c r="AJ1" s="2"/>
      <c r="AK1" s="2"/>
      <c r="AL1" s="2"/>
      <c r="AM1" s="2"/>
      <c r="AN1" s="2"/>
      <c r="AO1" s="2"/>
      <c r="AP1" s="2"/>
      <c r="AQ1" s="98"/>
      <c r="AR1" s="2"/>
    </row>
    <row r="2" spans="1:44" ht="12.75" customHeight="1">
      <c r="A2" s="1" t="s">
        <v>1224</v>
      </c>
      <c r="B2" s="2"/>
      <c r="C2" s="2"/>
      <c r="D2" s="1062"/>
      <c r="E2" s="2"/>
      <c r="F2" s="2"/>
      <c r="G2" s="2"/>
      <c r="H2" s="2"/>
      <c r="I2" s="2"/>
      <c r="J2" s="2"/>
      <c r="K2" s="2"/>
      <c r="L2" s="2"/>
      <c r="N2" s="2"/>
      <c r="O2" s="2"/>
      <c r="P2" s="2"/>
      <c r="Q2" s="2"/>
      <c r="U2" s="2"/>
      <c r="V2" s="2"/>
      <c r="W2" s="2"/>
      <c r="X2" s="2"/>
      <c r="Y2" s="2"/>
      <c r="Z2" s="2"/>
      <c r="AA2" s="2"/>
      <c r="AB2" s="2"/>
      <c r="AC2" s="2"/>
      <c r="AD2" s="2"/>
      <c r="AE2" s="2"/>
      <c r="AF2" s="2"/>
      <c r="AG2" s="2"/>
      <c r="AH2" s="2"/>
      <c r="AI2" s="2"/>
      <c r="AJ2" s="2"/>
      <c r="AK2" s="2"/>
      <c r="AL2" s="2"/>
      <c r="AM2" s="2"/>
      <c r="AN2" s="2"/>
      <c r="AO2" s="2"/>
      <c r="AP2" s="2"/>
      <c r="AQ2" s="98"/>
      <c r="AR2" s="2"/>
    </row>
    <row r="3" spans="1:44" ht="12.75" customHeight="1">
      <c r="A3" s="2" t="s">
        <v>1225</v>
      </c>
      <c r="B3" s="2"/>
      <c r="C3" s="2"/>
      <c r="D3" s="1062"/>
      <c r="E3" s="2"/>
      <c r="F3" s="2"/>
      <c r="G3" s="2"/>
      <c r="H3" s="2"/>
      <c r="I3" s="2"/>
      <c r="J3" s="2"/>
      <c r="K3" s="2"/>
      <c r="L3" s="2"/>
      <c r="N3" s="2"/>
      <c r="O3" s="2"/>
      <c r="P3" s="2"/>
      <c r="Q3" s="2"/>
      <c r="U3" s="2"/>
      <c r="V3" s="2"/>
      <c r="W3" s="2"/>
      <c r="X3" s="2"/>
      <c r="Y3" s="2"/>
      <c r="Z3" s="2"/>
      <c r="AA3" s="2"/>
      <c r="AB3" s="2"/>
      <c r="AC3" s="2"/>
      <c r="AD3" s="2"/>
      <c r="AE3" s="2"/>
      <c r="AF3" s="2"/>
      <c r="AG3" s="2"/>
      <c r="AH3" s="2"/>
      <c r="AI3" s="2"/>
      <c r="AJ3" s="2"/>
      <c r="AK3" s="2"/>
      <c r="AL3" s="2"/>
      <c r="AM3" s="2"/>
      <c r="AN3" s="2"/>
      <c r="AO3" s="2"/>
      <c r="AP3" s="2"/>
      <c r="AQ3" s="98"/>
      <c r="AR3" s="2"/>
    </row>
    <row r="4" spans="1:44" ht="12.75" customHeight="1">
      <c r="A4" s="2"/>
      <c r="B4" s="2"/>
      <c r="C4" s="1195" t="s">
        <v>818</v>
      </c>
      <c r="D4" s="1310"/>
      <c r="E4" s="1196"/>
      <c r="F4" s="1196"/>
      <c r="G4" s="1196"/>
      <c r="H4" s="2"/>
      <c r="I4" s="1195" t="s">
        <v>1504</v>
      </c>
      <c r="J4" s="1197"/>
      <c r="K4" s="1196"/>
      <c r="L4" s="1196"/>
      <c r="O4" s="70"/>
      <c r="P4" s="70"/>
      <c r="Q4" s="70"/>
      <c r="U4" s="2"/>
      <c r="V4" s="2"/>
      <c r="W4" s="2"/>
      <c r="X4" s="2"/>
      <c r="Y4" s="2"/>
      <c r="Z4" s="2"/>
      <c r="AA4" s="2"/>
      <c r="AB4" s="2"/>
      <c r="AC4" s="2"/>
      <c r="AD4" s="2"/>
      <c r="AE4" s="2"/>
      <c r="AF4" s="2"/>
      <c r="AG4" s="2"/>
      <c r="AH4" s="2"/>
      <c r="AI4" s="2"/>
      <c r="AJ4" s="2"/>
      <c r="AK4" s="2"/>
      <c r="AL4" s="2"/>
      <c r="AM4" s="2"/>
      <c r="AN4" s="2"/>
      <c r="AO4" s="2"/>
      <c r="AP4" s="2"/>
      <c r="AQ4" s="98"/>
      <c r="AR4" s="2"/>
    </row>
    <row r="5" spans="1:44" ht="12.75" customHeight="1">
      <c r="A5" s="2"/>
      <c r="B5" s="2"/>
      <c r="C5" s="1198"/>
      <c r="D5" s="77"/>
      <c r="E5" s="2"/>
      <c r="F5" s="1197" t="s">
        <v>1487</v>
      </c>
      <c r="G5" s="1197"/>
      <c r="H5" s="2"/>
      <c r="I5" s="1198"/>
      <c r="J5" s="61"/>
      <c r="K5" s="1197" t="s">
        <v>1505</v>
      </c>
      <c r="L5" s="1197"/>
      <c r="N5" s="1289" t="s">
        <v>1489</v>
      </c>
      <c r="O5" s="2"/>
      <c r="P5" s="1197" t="s">
        <v>1505</v>
      </c>
      <c r="Q5" s="1197"/>
      <c r="S5" s="73" t="s">
        <v>594</v>
      </c>
      <c r="U5" s="2"/>
      <c r="V5" s="2"/>
      <c r="W5" s="2"/>
      <c r="X5" s="2"/>
      <c r="Y5" s="2"/>
      <c r="Z5" s="2"/>
      <c r="AA5" s="2"/>
      <c r="AB5" s="2"/>
      <c r="AC5" s="2"/>
      <c r="AD5" s="2"/>
      <c r="AE5" s="2"/>
      <c r="AF5" s="2"/>
      <c r="AG5" s="2"/>
      <c r="AH5" s="2"/>
      <c r="AI5" s="2"/>
      <c r="AJ5" s="2"/>
      <c r="AK5" s="2"/>
      <c r="AL5" s="2"/>
      <c r="AM5" s="2"/>
      <c r="AN5" s="2"/>
      <c r="AO5" s="2"/>
      <c r="AP5" s="2"/>
      <c r="AQ5" s="98"/>
      <c r="AR5" s="2"/>
    </row>
    <row r="6" spans="1:44" ht="12.75" customHeight="1">
      <c r="A6" s="61"/>
      <c r="B6" s="2"/>
      <c r="C6" s="1199" t="s">
        <v>1764</v>
      </c>
      <c r="D6" s="1308" t="s">
        <v>1484</v>
      </c>
      <c r="E6" s="70"/>
      <c r="F6" s="73" t="s">
        <v>658</v>
      </c>
      <c r="G6" s="73" t="s">
        <v>740</v>
      </c>
      <c r="H6" s="2"/>
      <c r="I6" s="1199" t="s">
        <v>361</v>
      </c>
      <c r="J6" s="70"/>
      <c r="K6" s="73" t="s">
        <v>658</v>
      </c>
      <c r="L6" s="73" t="s">
        <v>740</v>
      </c>
      <c r="N6" s="1165" t="s">
        <v>1753</v>
      </c>
      <c r="O6" s="2"/>
      <c r="P6" s="73" t="s">
        <v>658</v>
      </c>
      <c r="Q6" s="73" t="s">
        <v>740</v>
      </c>
      <c r="U6" s="2"/>
      <c r="V6" s="2"/>
      <c r="W6" s="2"/>
      <c r="X6" s="2"/>
      <c r="Y6" s="2"/>
      <c r="Z6" s="2"/>
      <c r="AA6" s="2"/>
      <c r="AB6" s="2"/>
      <c r="AC6" s="2"/>
      <c r="AD6" s="2"/>
      <c r="AE6" s="2"/>
      <c r="AF6" s="2"/>
      <c r="AG6" s="2"/>
      <c r="AH6" s="2"/>
      <c r="AI6" s="2"/>
      <c r="AJ6" s="2"/>
      <c r="AK6" s="2"/>
      <c r="AL6" s="2"/>
      <c r="AM6" s="2"/>
      <c r="AN6" s="2"/>
      <c r="AO6" s="2"/>
      <c r="AP6" s="2"/>
      <c r="AQ6" s="98"/>
      <c r="AR6" s="2"/>
    </row>
    <row r="7" spans="1:44" ht="12.75" customHeight="1">
      <c r="A7" s="1" t="s">
        <v>741</v>
      </c>
      <c r="B7" s="2"/>
      <c r="C7" s="112"/>
      <c r="D7" s="77"/>
      <c r="E7" s="2"/>
      <c r="F7" s="2"/>
      <c r="G7" s="2"/>
      <c r="H7" s="2"/>
      <c r="I7" s="112"/>
      <c r="J7" s="61"/>
      <c r="K7" s="2"/>
      <c r="L7" s="2"/>
      <c r="N7" s="2"/>
      <c r="O7" s="2"/>
      <c r="P7" s="2"/>
      <c r="Q7" s="2"/>
      <c r="U7" s="2"/>
      <c r="V7" s="2"/>
      <c r="W7" s="2"/>
      <c r="X7" s="2"/>
      <c r="Y7" s="2"/>
      <c r="Z7" s="2"/>
      <c r="AA7" s="2"/>
      <c r="AB7" s="2"/>
      <c r="AC7" s="2"/>
      <c r="AD7" s="2"/>
      <c r="AE7" s="2"/>
      <c r="AF7" s="2"/>
      <c r="AG7" s="2"/>
      <c r="AH7" s="2"/>
      <c r="AI7" s="2"/>
      <c r="AJ7" s="2"/>
      <c r="AK7" s="2"/>
      <c r="AL7" s="2"/>
      <c r="AM7" s="2"/>
      <c r="AN7" s="2"/>
      <c r="AO7" s="2"/>
      <c r="AP7" s="2"/>
      <c r="AQ7" s="98"/>
      <c r="AR7" s="2"/>
    </row>
    <row r="8" spans="1:44" ht="12.75" customHeight="1">
      <c r="A8" s="334" t="s">
        <v>514</v>
      </c>
      <c r="B8" s="2"/>
      <c r="C8" s="2030">
        <f>BYD!BB10</f>
        <v>151.44300000000001</v>
      </c>
      <c r="D8" s="858">
        <f>BYD!AW10</f>
        <v>152.827</v>
      </c>
      <c r="E8" s="1202"/>
      <c r="F8" s="1205">
        <f t="shared" ref="F8:F13" si="0">C8-D8</f>
        <v>-1.3839999999999861</v>
      </c>
      <c r="G8" s="126">
        <f t="shared" ref="G8:G14" si="1">IF(D8=0,0,C8/D8-1)</f>
        <v>-9.0559914151294718E-3</v>
      </c>
      <c r="H8" s="1205"/>
      <c r="I8" s="1207">
        <v>154.35526999999999</v>
      </c>
      <c r="J8" s="1202"/>
      <c r="K8" s="313">
        <f t="shared" ref="K8:K13" si="2">C8-I8</f>
        <v>-2.9122699999999782</v>
      </c>
      <c r="L8" s="1204">
        <f t="shared" ref="L8:L13" si="3">IF(I8=0,"NM",C8/I8-1)</f>
        <v>-1.8867318232801411E-2</v>
      </c>
      <c r="N8" s="1349">
        <v>153.69</v>
      </c>
      <c r="O8" s="1349"/>
      <c r="P8" s="313">
        <f t="shared" ref="P8:P14" si="4">C8-N8</f>
        <v>-2.2469999999999857</v>
      </c>
      <c r="Q8" s="1204">
        <f t="shared" ref="Q8:Q14" si="5">IF(N8=0,"NM",C8/N8-1)</f>
        <v>-1.46203396447393E-2</v>
      </c>
      <c r="U8" s="105"/>
      <c r="V8" s="2"/>
      <c r="W8" s="2"/>
      <c r="X8" s="2"/>
      <c r="Y8" s="2"/>
      <c r="Z8" s="2"/>
      <c r="AA8" s="2"/>
      <c r="AB8" s="2"/>
      <c r="AC8" s="2"/>
      <c r="AD8" s="2"/>
      <c r="AE8" s="2"/>
      <c r="AF8" s="2"/>
      <c r="AG8" s="2"/>
      <c r="AH8" s="2"/>
      <c r="AI8" s="2"/>
      <c r="AJ8" s="2"/>
      <c r="AK8" s="2"/>
      <c r="AL8" s="2"/>
      <c r="AM8" s="2"/>
      <c r="AN8" s="2"/>
      <c r="AO8" s="2"/>
      <c r="AP8" s="2"/>
      <c r="AQ8" s="98"/>
      <c r="AR8" s="2"/>
    </row>
    <row r="9" spans="1:44" ht="12.75" customHeight="1">
      <c r="A9" s="334" t="s">
        <v>515</v>
      </c>
      <c r="B9" s="61"/>
      <c r="C9" s="2031">
        <f>BYD!BB11</f>
        <v>55.732999999999997</v>
      </c>
      <c r="D9" s="104">
        <f>BYD!AW11</f>
        <v>54.082999999999998</v>
      </c>
      <c r="E9" s="1103"/>
      <c r="F9" s="374">
        <f t="shared" si="0"/>
        <v>1.6499999999999986</v>
      </c>
      <c r="G9" s="95">
        <f t="shared" si="1"/>
        <v>3.0508662611171689E-2</v>
      </c>
      <c r="H9" s="61"/>
      <c r="I9" s="1104">
        <v>55.164659999999998</v>
      </c>
      <c r="J9" s="1103"/>
      <c r="K9" s="374">
        <f t="shared" si="2"/>
        <v>0.56833999999999918</v>
      </c>
      <c r="L9" s="92">
        <f t="shared" si="3"/>
        <v>1.0302610403109425E-2</v>
      </c>
      <c r="N9" s="1102">
        <v>54.5</v>
      </c>
      <c r="O9" s="1102"/>
      <c r="P9" s="374">
        <f t="shared" si="4"/>
        <v>1.232999999999997</v>
      </c>
      <c r="Q9" s="92">
        <f t="shared" si="5"/>
        <v>2.2623853211009015E-2</v>
      </c>
      <c r="U9" s="105"/>
      <c r="V9" s="2"/>
      <c r="W9" s="2"/>
      <c r="X9" s="2"/>
      <c r="Y9" s="2"/>
      <c r="Z9" s="2"/>
      <c r="AA9" s="2"/>
      <c r="AB9" s="2"/>
      <c r="AC9" s="2"/>
      <c r="AD9" s="2"/>
      <c r="AE9" s="2"/>
      <c r="AF9" s="2"/>
      <c r="AG9" s="2"/>
      <c r="AH9" s="2"/>
      <c r="AI9" s="2"/>
      <c r="AJ9" s="2"/>
      <c r="AK9" s="2"/>
      <c r="AL9" s="2"/>
      <c r="AM9" s="2"/>
      <c r="AN9" s="2"/>
      <c r="AO9" s="2"/>
      <c r="AP9" s="2"/>
      <c r="AQ9" s="98"/>
      <c r="AR9" s="2"/>
    </row>
    <row r="10" spans="1:44" ht="12.75" customHeight="1">
      <c r="A10" s="334" t="s">
        <v>516</v>
      </c>
      <c r="B10" s="61"/>
      <c r="C10" s="2031">
        <f>BYD!BB13</f>
        <v>211.636</v>
      </c>
      <c r="D10" s="104">
        <f>BYD!AW13</f>
        <v>229.11699999999999</v>
      </c>
      <c r="E10" s="1103"/>
      <c r="F10" s="374">
        <f t="shared" si="0"/>
        <v>-17.480999999999995</v>
      </c>
      <c r="G10" s="95">
        <f t="shared" si="1"/>
        <v>-7.6297262970447366E-2</v>
      </c>
      <c r="H10" s="61"/>
      <c r="I10" s="1104">
        <v>210.98752828063522</v>
      </c>
      <c r="J10" s="1103"/>
      <c r="K10" s="374">
        <f t="shared" si="2"/>
        <v>0.64847171936477821</v>
      </c>
      <c r="L10" s="92">
        <f t="shared" si="3"/>
        <v>3.0735073520660183E-3</v>
      </c>
      <c r="M10" s="1403"/>
      <c r="N10" s="1102">
        <v>212.72</v>
      </c>
      <c r="O10" s="1102"/>
      <c r="P10" s="374">
        <f t="shared" si="4"/>
        <v>-1.0840000000000032</v>
      </c>
      <c r="Q10" s="92">
        <f t="shared" si="5"/>
        <v>-5.0959007145543467E-3</v>
      </c>
      <c r="S10" s="1403"/>
      <c r="U10" s="105"/>
      <c r="V10" s="2"/>
      <c r="W10" s="2"/>
      <c r="X10" s="2"/>
      <c r="Y10" s="2"/>
      <c r="Z10" s="2"/>
      <c r="AA10" s="2"/>
      <c r="AB10" s="2"/>
      <c r="AC10" s="2"/>
      <c r="AD10" s="2"/>
      <c r="AE10" s="2"/>
      <c r="AF10" s="2"/>
      <c r="AG10" s="2"/>
      <c r="AH10" s="2"/>
      <c r="AI10" s="2"/>
      <c r="AJ10" s="2"/>
      <c r="AK10" s="2"/>
      <c r="AL10" s="2"/>
      <c r="AM10" s="2"/>
      <c r="AN10" s="2"/>
      <c r="AO10" s="2"/>
      <c r="AP10" s="2"/>
      <c r="AQ10" s="98"/>
      <c r="AR10" s="2"/>
    </row>
    <row r="11" spans="1:44" ht="12.75" customHeight="1">
      <c r="A11" s="963" t="s">
        <v>517</v>
      </c>
      <c r="B11" s="61"/>
      <c r="C11" s="2031">
        <f>BYD!BB14</f>
        <v>122.273</v>
      </c>
      <c r="D11" s="104">
        <f>BYD!AW14</f>
        <v>133.91300000000001</v>
      </c>
      <c r="E11" s="1103"/>
      <c r="F11" s="374">
        <f t="shared" si="0"/>
        <v>-11.640000000000015</v>
      </c>
      <c r="G11" s="95">
        <f t="shared" si="1"/>
        <v>-8.6922106143541011E-2</v>
      </c>
      <c r="H11" s="61"/>
      <c r="I11" s="1104">
        <v>123.88541287999999</v>
      </c>
      <c r="J11" s="1103"/>
      <c r="K11" s="374">
        <f t="shared" si="2"/>
        <v>-1.6124128799999937</v>
      </c>
      <c r="L11" s="92">
        <f t="shared" si="3"/>
        <v>-1.301535703450285E-2</v>
      </c>
      <c r="M11" s="1403"/>
      <c r="N11" s="1102">
        <v>128.28</v>
      </c>
      <c r="O11" s="1102"/>
      <c r="P11" s="374">
        <f t="shared" si="4"/>
        <v>-6.007000000000005</v>
      </c>
      <c r="Q11" s="92">
        <f t="shared" si="5"/>
        <v>-4.6827252884315551E-2</v>
      </c>
      <c r="S11" s="1403"/>
      <c r="U11" s="105"/>
      <c r="V11" s="2"/>
      <c r="W11" s="2"/>
      <c r="X11" s="2"/>
      <c r="Y11" s="2"/>
      <c r="Z11" s="2"/>
      <c r="AA11" s="2"/>
      <c r="AB11" s="2"/>
      <c r="AC11" s="2"/>
      <c r="AD11" s="2"/>
      <c r="AE11" s="2"/>
      <c r="AF11" s="2"/>
      <c r="AG11" s="2"/>
      <c r="AH11" s="2"/>
      <c r="AI11" s="2"/>
      <c r="AJ11" s="2"/>
      <c r="AK11" s="2"/>
      <c r="AL11" s="2"/>
      <c r="AM11" s="2"/>
      <c r="AN11" s="2"/>
      <c r="AO11" s="2"/>
      <c r="AP11" s="2"/>
      <c r="AQ11" s="98"/>
      <c r="AR11" s="2"/>
    </row>
    <row r="12" spans="1:44" ht="12.75" customHeight="1">
      <c r="A12" s="334" t="s">
        <v>273</v>
      </c>
      <c r="B12" s="61"/>
      <c r="C12" s="2031">
        <f>BYD!BB17</f>
        <v>0</v>
      </c>
      <c r="D12" s="104">
        <f>BYD!AW17</f>
        <v>0</v>
      </c>
      <c r="E12" s="1103"/>
      <c r="F12" s="374">
        <f t="shared" si="0"/>
        <v>0</v>
      </c>
      <c r="G12" s="95">
        <f t="shared" si="1"/>
        <v>0</v>
      </c>
      <c r="H12" s="61"/>
      <c r="I12" s="1104">
        <v>162.23078279535008</v>
      </c>
      <c r="J12" s="1103"/>
      <c r="K12" s="374">
        <f t="shared" si="2"/>
        <v>-162.23078279535008</v>
      </c>
      <c r="L12" s="92">
        <f t="shared" si="3"/>
        <v>-1</v>
      </c>
      <c r="N12" s="1102">
        <v>162.59</v>
      </c>
      <c r="O12" s="1102"/>
      <c r="P12" s="374">
        <f t="shared" si="4"/>
        <v>-162.59</v>
      </c>
      <c r="Q12" s="92">
        <f t="shared" si="5"/>
        <v>-1</v>
      </c>
      <c r="U12" s="105"/>
      <c r="V12" s="2"/>
      <c r="W12" s="2"/>
      <c r="X12" s="2"/>
      <c r="Y12" s="2"/>
      <c r="Z12" s="2"/>
      <c r="AA12" s="2"/>
      <c r="AB12" s="2"/>
      <c r="AC12" s="2"/>
      <c r="AD12" s="2"/>
      <c r="AE12" s="2"/>
      <c r="AF12" s="2"/>
      <c r="AG12" s="2"/>
      <c r="AH12" s="2"/>
      <c r="AI12" s="2"/>
      <c r="AJ12" s="2"/>
      <c r="AK12" s="2"/>
      <c r="AL12" s="2"/>
      <c r="AM12" s="2"/>
      <c r="AN12" s="2"/>
      <c r="AO12" s="2"/>
      <c r="AP12" s="2"/>
      <c r="AQ12" s="98"/>
      <c r="AR12" s="2"/>
    </row>
    <row r="13" spans="1:44" ht="12.75" customHeight="1">
      <c r="A13" s="2679" t="s">
        <v>899</v>
      </c>
      <c r="B13" s="61"/>
      <c r="C13" s="2031">
        <f>BYD!BB18</f>
        <v>0</v>
      </c>
      <c r="D13" s="104">
        <f>BYD!AW18</f>
        <v>0</v>
      </c>
      <c r="E13" s="1103"/>
      <c r="F13" s="374">
        <f t="shared" si="0"/>
        <v>0</v>
      </c>
      <c r="G13" s="95">
        <f t="shared" si="1"/>
        <v>0</v>
      </c>
      <c r="H13" s="61"/>
      <c r="I13" s="1104">
        <v>10.145523255000001</v>
      </c>
      <c r="J13" s="1103"/>
      <c r="K13" s="374">
        <f t="shared" si="2"/>
        <v>-10.145523255000001</v>
      </c>
      <c r="L13" s="92">
        <f t="shared" si="3"/>
        <v>-1</v>
      </c>
      <c r="N13" s="1102">
        <v>0</v>
      </c>
      <c r="O13" s="1102"/>
      <c r="P13" s="374">
        <f t="shared" si="4"/>
        <v>0</v>
      </c>
      <c r="Q13" s="92" t="str">
        <f t="shared" si="5"/>
        <v>NM</v>
      </c>
      <c r="U13" s="105"/>
      <c r="V13" s="2"/>
      <c r="W13" s="2"/>
      <c r="X13" s="2"/>
      <c r="Y13" s="2"/>
      <c r="Z13" s="2"/>
      <c r="AA13" s="2"/>
      <c r="AB13" s="2"/>
      <c r="AC13" s="2"/>
      <c r="AD13" s="2"/>
      <c r="AE13" s="2"/>
      <c r="AF13" s="2"/>
      <c r="AG13" s="2"/>
      <c r="AH13" s="2"/>
      <c r="AI13" s="2"/>
      <c r="AJ13" s="2"/>
      <c r="AK13" s="2"/>
      <c r="AL13" s="2"/>
      <c r="AM13" s="2"/>
      <c r="AN13" s="2"/>
      <c r="AO13" s="2"/>
      <c r="AP13" s="2"/>
      <c r="AQ13" s="98"/>
      <c r="AR13" s="2"/>
    </row>
    <row r="14" spans="1:44" ht="12.75" customHeight="1">
      <c r="A14" s="138" t="s">
        <v>813</v>
      </c>
      <c r="B14" s="1203"/>
      <c r="C14" s="2032">
        <f>SUM(C8:C13)</f>
        <v>541.08500000000004</v>
      </c>
      <c r="D14" s="1210">
        <f>SUM(D8:D13)</f>
        <v>569.94000000000005</v>
      </c>
      <c r="E14" s="1210"/>
      <c r="F14" s="1210">
        <f>SUM(F8:F13)</f>
        <v>-28.854999999999997</v>
      </c>
      <c r="G14" s="1208">
        <f t="shared" si="1"/>
        <v>-5.0628136295048587E-2</v>
      </c>
      <c r="H14" s="1206"/>
      <c r="I14" s="1250">
        <v>716.76917721098516</v>
      </c>
      <c r="J14" s="1210"/>
      <c r="K14" s="1210">
        <f>SUM(K8:K13)</f>
        <v>-175.68417721098527</v>
      </c>
      <c r="L14" s="1211">
        <f>C14/I14-1</f>
        <v>-0.2451056529726745</v>
      </c>
      <c r="M14" s="1444"/>
      <c r="N14" s="1349">
        <v>713.18</v>
      </c>
      <c r="O14" s="1349"/>
      <c r="P14" s="2368">
        <f t="shared" si="4"/>
        <v>-172.09499999999991</v>
      </c>
      <c r="Q14" s="1211">
        <f t="shared" si="5"/>
        <v>-0.24130654252783301</v>
      </c>
      <c r="R14" s="1299"/>
      <c r="S14" s="1617"/>
      <c r="U14" s="105">
        <f>+C14/N14-1</f>
        <v>-0.24130654252783301</v>
      </c>
      <c r="V14" s="2"/>
      <c r="W14" s="2"/>
      <c r="X14" s="2"/>
      <c r="Y14" s="2"/>
      <c r="Z14" s="2"/>
      <c r="AA14" s="2"/>
      <c r="AB14" s="2"/>
      <c r="AC14" s="2"/>
      <c r="AD14" s="2"/>
      <c r="AE14" s="2"/>
      <c r="AF14" s="2"/>
      <c r="AG14" s="2"/>
      <c r="AH14" s="2"/>
      <c r="AI14" s="2"/>
      <c r="AJ14" s="2"/>
      <c r="AK14" s="2"/>
      <c r="AL14" s="2"/>
      <c r="AM14" s="2"/>
      <c r="AN14" s="2"/>
      <c r="AO14" s="2"/>
      <c r="AP14" s="2"/>
      <c r="AQ14" s="98"/>
      <c r="AR14" s="2"/>
    </row>
    <row r="15" spans="1:44" ht="12.75" customHeight="1">
      <c r="A15" s="61"/>
      <c r="B15" s="61"/>
      <c r="C15" s="2033"/>
      <c r="D15" s="77"/>
      <c r="E15" s="61"/>
      <c r="F15" s="61"/>
      <c r="G15" s="1139"/>
      <c r="H15" s="61"/>
      <c r="I15" s="115"/>
      <c r="J15" s="61"/>
      <c r="K15" s="61"/>
      <c r="L15" s="1212"/>
      <c r="N15" s="105">
        <f>C14/N14-1</f>
        <v>-0.24130654252783301</v>
      </c>
      <c r="O15" s="105"/>
      <c r="P15" s="105"/>
      <c r="Q15" s="105"/>
      <c r="U15" s="2"/>
      <c r="V15" s="2"/>
      <c r="W15" s="101" t="str">
        <f>+C6</f>
        <v>1Q14A</v>
      </c>
      <c r="X15" s="101"/>
      <c r="Y15" s="101" t="str">
        <f>+D6</f>
        <v>1Q13A</v>
      </c>
      <c r="Z15" s="101"/>
      <c r="AA15" s="101" t="s">
        <v>1490</v>
      </c>
      <c r="AB15" s="101"/>
      <c r="AC15" s="2"/>
      <c r="AD15" s="2"/>
      <c r="AE15" s="2"/>
      <c r="AF15" s="2"/>
      <c r="AG15" s="2"/>
      <c r="AH15" s="2"/>
      <c r="AI15" s="2"/>
      <c r="AJ15" s="2"/>
      <c r="AK15" s="2"/>
      <c r="AL15" s="2"/>
      <c r="AM15" s="2"/>
      <c r="AN15" s="2"/>
      <c r="AO15" s="2"/>
      <c r="AP15" s="2"/>
      <c r="AQ15" s="98"/>
      <c r="AR15" s="2"/>
    </row>
    <row r="16" spans="1:44" ht="12.75" customHeight="1">
      <c r="A16" s="107" t="s">
        <v>401</v>
      </c>
      <c r="B16" s="61"/>
      <c r="C16" s="2034"/>
      <c r="D16" s="1390"/>
      <c r="E16" s="61"/>
      <c r="F16" s="61"/>
      <c r="G16" s="1139"/>
      <c r="H16" s="61"/>
      <c r="I16" s="115"/>
      <c r="J16" s="61"/>
      <c r="K16" s="61"/>
      <c r="L16" s="1212"/>
      <c r="N16" s="98"/>
      <c r="O16" s="98"/>
      <c r="P16" s="98"/>
      <c r="Q16" s="98"/>
      <c r="U16" s="101" t="s">
        <v>1488</v>
      </c>
      <c r="V16" s="2"/>
      <c r="W16" s="101" t="s">
        <v>1160</v>
      </c>
      <c r="X16" s="101"/>
      <c r="Y16" s="101" t="s">
        <v>1160</v>
      </c>
      <c r="Z16" s="101"/>
      <c r="AA16" s="101" t="s">
        <v>1160</v>
      </c>
      <c r="AB16" s="101"/>
      <c r="AC16" s="2"/>
      <c r="AD16" s="2"/>
      <c r="AE16" s="2"/>
      <c r="AF16" s="2"/>
      <c r="AG16" s="2"/>
      <c r="AH16" s="2"/>
      <c r="AI16" s="2"/>
      <c r="AJ16" s="2"/>
      <c r="AK16" s="2"/>
      <c r="AL16" s="2"/>
      <c r="AM16" s="2"/>
      <c r="AN16" s="2"/>
      <c r="AO16" s="2"/>
      <c r="AP16" s="2"/>
      <c r="AQ16" s="98"/>
      <c r="AR16" s="2"/>
    </row>
    <row r="17" spans="1:44" ht="12.75" customHeight="1">
      <c r="A17" s="334" t="s">
        <v>514</v>
      </c>
      <c r="B17" s="61"/>
      <c r="C17" s="2030">
        <f>BYD!BB38</f>
        <v>40.006999999999998</v>
      </c>
      <c r="D17" s="858">
        <f>BYD!AW38</f>
        <v>39.204999999999998</v>
      </c>
      <c r="E17" s="1202"/>
      <c r="F17" s="897">
        <f>C17-D17</f>
        <v>0.8019999999999996</v>
      </c>
      <c r="G17" s="95">
        <f t="shared" ref="G17:G25" si="6">IF(D17=0,0,C17/D17-1)</f>
        <v>2.0456574416528595E-2</v>
      </c>
      <c r="H17" s="61"/>
      <c r="I17" s="1207">
        <v>41.869489999999985</v>
      </c>
      <c r="J17" s="1103"/>
      <c r="K17" s="897">
        <f>C17-I17</f>
        <v>-1.8624899999999869</v>
      </c>
      <c r="L17" s="92">
        <f>IF(I17=0,"NM",C17/I17-1)</f>
        <v>-4.4483226330198633E-2</v>
      </c>
      <c r="M17" s="1403"/>
      <c r="N17" s="1102">
        <v>39.74</v>
      </c>
      <c r="O17" s="1102"/>
      <c r="P17" s="313">
        <f t="shared" ref="P17:P23" si="7">C17-N17</f>
        <v>0.26699999999999591</v>
      </c>
      <c r="Q17" s="1204">
        <f t="shared" ref="Q17:Q23" si="8">IF(N17=0,"NM",C17/N17-1)</f>
        <v>6.7186713638649476E-3</v>
      </c>
      <c r="U17" s="126">
        <f>+C17/$C$23</f>
        <v>0.25218893210370713</v>
      </c>
      <c r="V17" s="2"/>
      <c r="W17" s="105">
        <f>+C17/C8</f>
        <v>0.26417199870578367</v>
      </c>
      <c r="X17" s="105"/>
      <c r="Y17" s="105">
        <f>+D17/D8</f>
        <v>0.25653189554201811</v>
      </c>
      <c r="Z17" s="105"/>
      <c r="AA17" s="105">
        <f>+I17/I8</f>
        <v>0.27125403622435429</v>
      </c>
      <c r="AB17" s="105"/>
      <c r="AC17" s="2"/>
      <c r="AD17" s="2"/>
      <c r="AE17" s="2"/>
      <c r="AF17" s="2"/>
      <c r="AG17" s="2"/>
      <c r="AH17" s="2"/>
      <c r="AI17" s="2"/>
      <c r="AJ17" s="2"/>
      <c r="AK17" s="2"/>
      <c r="AL17" s="2"/>
      <c r="AM17" s="2"/>
      <c r="AN17" s="2"/>
      <c r="AO17" s="2"/>
      <c r="AP17" s="2"/>
      <c r="AQ17" s="98"/>
      <c r="AR17" s="2"/>
    </row>
    <row r="18" spans="1:44" ht="12.75" customHeight="1">
      <c r="A18" s="334" t="s">
        <v>515</v>
      </c>
      <c r="B18" s="61"/>
      <c r="C18" s="2031">
        <f>BYD!BB39</f>
        <v>9.327</v>
      </c>
      <c r="D18" s="104">
        <f>BYD!AW39</f>
        <v>7.1109999999999998</v>
      </c>
      <c r="E18" s="1103"/>
      <c r="F18" s="374">
        <f>C18-D18</f>
        <v>2.2160000000000002</v>
      </c>
      <c r="G18" s="95">
        <f t="shared" si="6"/>
        <v>0.31162986921670655</v>
      </c>
      <c r="H18" s="61"/>
      <c r="I18" s="1104">
        <v>7.7229399999999941</v>
      </c>
      <c r="J18" s="1103"/>
      <c r="K18" s="374">
        <f>C18-I18</f>
        <v>1.6040600000000058</v>
      </c>
      <c r="L18" s="92">
        <f>IF(I18=0,"NM",C18/I18-1)</f>
        <v>0.20770069429517868</v>
      </c>
      <c r="M18" s="1403"/>
      <c r="N18" s="1102">
        <v>7.5</v>
      </c>
      <c r="O18" s="1102"/>
      <c r="P18" s="374">
        <f t="shared" si="7"/>
        <v>1.827</v>
      </c>
      <c r="Q18" s="92">
        <f t="shared" si="8"/>
        <v>0.24360000000000004</v>
      </c>
      <c r="U18" s="126">
        <f>+C18/$C$23</f>
        <v>5.8793865316851462E-2</v>
      </c>
      <c r="V18" s="2"/>
      <c r="W18" s="105">
        <f>+C18/C9</f>
        <v>0.16735147937487665</v>
      </c>
      <c r="X18" s="105"/>
      <c r="Y18" s="105">
        <f>+D18/D9</f>
        <v>0.131483090804874</v>
      </c>
      <c r="Z18" s="105"/>
      <c r="AA18" s="105">
        <f>+I18/I9</f>
        <v>0.13999796246364962</v>
      </c>
      <c r="AB18" s="105"/>
      <c r="AC18" s="2"/>
      <c r="AD18" s="2"/>
      <c r="AE18" s="2"/>
      <c r="AF18" s="2"/>
      <c r="AG18" s="2"/>
      <c r="AH18" s="2"/>
      <c r="AI18" s="2"/>
      <c r="AJ18" s="2"/>
      <c r="AK18" s="2"/>
      <c r="AL18" s="2"/>
      <c r="AM18" s="2"/>
      <c r="AN18" s="2"/>
      <c r="AO18" s="2"/>
      <c r="AP18" s="2"/>
      <c r="AQ18" s="98"/>
      <c r="AR18" s="2"/>
    </row>
    <row r="19" spans="1:44" ht="12.75" customHeight="1">
      <c r="A19" s="334" t="s">
        <v>516</v>
      </c>
      <c r="B19" s="61"/>
      <c r="C19" s="2031">
        <f>BYD!BB41</f>
        <v>44.097999999999999</v>
      </c>
      <c r="D19" s="104">
        <f>BYD!AW41</f>
        <v>49.682000000000002</v>
      </c>
      <c r="E19" s="1103"/>
      <c r="F19" s="374">
        <f>C19-D19</f>
        <v>-5.5840000000000032</v>
      </c>
      <c r="G19" s="95">
        <f t="shared" si="6"/>
        <v>-0.11239483112596116</v>
      </c>
      <c r="H19" s="61"/>
      <c r="I19" s="1104">
        <v>38.729928280635221</v>
      </c>
      <c r="J19" s="1103"/>
      <c r="K19" s="374">
        <f>C19-I19</f>
        <v>5.368071719364778</v>
      </c>
      <c r="L19" s="92">
        <f>IF(I19=0,"NM",C19/I19-1)</f>
        <v>0.13860267647458535</v>
      </c>
      <c r="M19" s="1404"/>
      <c r="N19" s="1102">
        <v>41.4</v>
      </c>
      <c r="O19" s="1102"/>
      <c r="P19" s="374">
        <f t="shared" si="7"/>
        <v>2.6980000000000004</v>
      </c>
      <c r="Q19" s="92">
        <f t="shared" si="8"/>
        <v>6.5169082125603905E-2</v>
      </c>
      <c r="S19" s="1403"/>
      <c r="U19" s="126">
        <f>+C19/$C$23</f>
        <v>0.27797704221534425</v>
      </c>
      <c r="V19" s="2"/>
      <c r="W19" s="105">
        <f>+C19/C10</f>
        <v>0.2083671965072105</v>
      </c>
      <c r="X19" s="105"/>
      <c r="Y19" s="105">
        <f>+D19/D10</f>
        <v>0.21684117721513466</v>
      </c>
      <c r="Z19" s="105"/>
      <c r="AA19" s="105">
        <f>+I19/I10</f>
        <v>0.18356501256851737</v>
      </c>
      <c r="AB19" s="105"/>
      <c r="AC19" s="2"/>
      <c r="AD19" s="2"/>
      <c r="AE19" s="2"/>
      <c r="AF19" s="2"/>
      <c r="AG19" s="2"/>
      <c r="AH19" s="2"/>
      <c r="AI19" s="2"/>
      <c r="AJ19" s="2"/>
      <c r="AK19" s="2"/>
      <c r="AL19" s="2"/>
      <c r="AM19" s="2"/>
      <c r="AN19" s="2"/>
      <c r="AO19" s="2"/>
      <c r="AP19" s="2"/>
      <c r="AQ19" s="98"/>
      <c r="AR19" s="2"/>
    </row>
    <row r="20" spans="1:44" ht="12.75" customHeight="1">
      <c r="A20" s="963" t="s">
        <v>517</v>
      </c>
      <c r="B20" s="61"/>
      <c r="C20" s="2031">
        <f>BYD!BB42</f>
        <v>44.761000000000003</v>
      </c>
      <c r="D20" s="104">
        <f>BYD!AW42</f>
        <v>50.712000000000003</v>
      </c>
      <c r="E20" s="1103"/>
      <c r="F20" s="374">
        <f>C20-D20</f>
        <v>-5.9510000000000005</v>
      </c>
      <c r="G20" s="95">
        <f t="shared" si="6"/>
        <v>-0.11734895093863384</v>
      </c>
      <c r="H20" s="61"/>
      <c r="I20" s="1104">
        <v>41.778738367535347</v>
      </c>
      <c r="J20" s="1103"/>
      <c r="K20" s="374">
        <f>C20-I20</f>
        <v>2.982261632464656</v>
      </c>
      <c r="L20" s="92">
        <f>IF(I20=0,"NM",C20/I20-1)</f>
        <v>7.1382280772318785E-2</v>
      </c>
      <c r="M20" s="1404"/>
      <c r="N20" s="1102">
        <v>43.9</v>
      </c>
      <c r="O20" s="1102"/>
      <c r="P20" s="374">
        <f t="shared" si="7"/>
        <v>0.86100000000000421</v>
      </c>
      <c r="Q20" s="92">
        <f t="shared" si="8"/>
        <v>1.9612756264236975E-2</v>
      </c>
      <c r="S20" s="1403"/>
      <c r="U20" s="126">
        <f>+C20/$C$23</f>
        <v>0.28215634238743309</v>
      </c>
      <c r="V20" s="2"/>
      <c r="W20" s="105">
        <f>+C20/C11</f>
        <v>0.36607427641425339</v>
      </c>
      <c r="X20" s="105"/>
      <c r="Y20" s="105"/>
      <c r="Z20" s="105"/>
      <c r="AA20" s="105">
        <f>+I20/I11</f>
        <v>0.3372369465968022</v>
      </c>
      <c r="AB20" s="105"/>
      <c r="AC20" s="2"/>
      <c r="AD20" s="2"/>
      <c r="AE20" s="2"/>
      <c r="AF20" s="2"/>
      <c r="AG20" s="2"/>
      <c r="AH20" s="2"/>
      <c r="AI20" s="2"/>
      <c r="AJ20" s="2"/>
      <c r="AK20" s="2"/>
      <c r="AL20" s="2"/>
      <c r="AM20" s="2"/>
      <c r="AN20" s="2"/>
      <c r="AO20" s="2"/>
      <c r="AP20" s="2"/>
      <c r="AQ20" s="98"/>
      <c r="AR20" s="2"/>
    </row>
    <row r="21" spans="1:44" ht="12.75" customHeight="1">
      <c r="A21" s="334" t="s">
        <v>273</v>
      </c>
      <c r="B21" s="61"/>
      <c r="C21" s="2031">
        <f>BYD!BB45</f>
        <v>23.646000000000001</v>
      </c>
      <c r="D21" s="104">
        <f>BYD!AW45</f>
        <v>28.405000000000001</v>
      </c>
      <c r="E21" s="1103"/>
      <c r="F21" s="374">
        <f>C21-D21</f>
        <v>-4.7590000000000003</v>
      </c>
      <c r="G21" s="95">
        <f t="shared" si="6"/>
        <v>-0.1675409258933287</v>
      </c>
      <c r="H21" s="61"/>
      <c r="I21" s="1104">
        <v>23.764310136100079</v>
      </c>
      <c r="J21" s="1103"/>
      <c r="K21" s="374">
        <f>C21-I21</f>
        <v>-0.11831013610007801</v>
      </c>
      <c r="L21" s="92">
        <f>IF(I21=0,"NM",C21/I21-1)</f>
        <v>-4.9784797211661624E-3</v>
      </c>
      <c r="M21" s="1444"/>
      <c r="N21" s="1102">
        <v>25.13</v>
      </c>
      <c r="O21" s="1102"/>
      <c r="P21" s="374">
        <f t="shared" si="7"/>
        <v>-1.4839999999999982</v>
      </c>
      <c r="Q21" s="92">
        <f t="shared" si="8"/>
        <v>-5.9052924791086259E-2</v>
      </c>
      <c r="S21" s="2369"/>
      <c r="U21" s="126">
        <f>+C21/$C$23</f>
        <v>0.14905540251766589</v>
      </c>
      <c r="V21" s="2"/>
      <c r="W21" s="105"/>
      <c r="X21" s="105"/>
      <c r="Y21" s="105"/>
      <c r="Z21" s="105"/>
      <c r="AA21" s="105">
        <f>+I21/I12</f>
        <v>0.1464845926686931</v>
      </c>
      <c r="AB21" s="105"/>
      <c r="AC21" s="2"/>
      <c r="AD21" s="2"/>
      <c r="AE21" s="2"/>
      <c r="AF21" s="2"/>
      <c r="AG21" s="2"/>
      <c r="AH21" s="2"/>
      <c r="AI21" s="2"/>
      <c r="AJ21" s="2"/>
      <c r="AK21" s="2"/>
      <c r="AL21" s="2"/>
      <c r="AM21" s="2"/>
      <c r="AN21" s="2"/>
      <c r="AO21" s="2"/>
      <c r="AP21" s="2"/>
      <c r="AQ21" s="98"/>
      <c r="AR21" s="2"/>
    </row>
    <row r="22" spans="1:44" ht="12.75" customHeight="1">
      <c r="A22" s="2679" t="s">
        <v>899</v>
      </c>
      <c r="B22" s="61"/>
      <c r="C22" s="2031">
        <f>BYD!BB46</f>
        <v>-3.2</v>
      </c>
      <c r="D22" s="104">
        <f>BYD!AW46</f>
        <v>0</v>
      </c>
      <c r="E22" s="1103"/>
      <c r="F22" s="374"/>
      <c r="G22" s="95"/>
      <c r="H22" s="61"/>
      <c r="I22" s="1104">
        <v>-0.50727616275000009</v>
      </c>
      <c r="J22" s="1103"/>
      <c r="K22" s="374"/>
      <c r="L22" s="92"/>
      <c r="M22" s="1444"/>
      <c r="N22" s="1102"/>
      <c r="O22" s="1102"/>
      <c r="P22" s="374"/>
      <c r="Q22" s="92"/>
      <c r="S22" s="2369"/>
      <c r="U22" s="126"/>
      <c r="V22" s="2"/>
      <c r="W22" s="105"/>
      <c r="X22" s="105"/>
      <c r="Y22" s="105"/>
      <c r="Z22" s="105"/>
      <c r="AA22" s="105"/>
      <c r="AB22" s="105"/>
      <c r="AC22" s="2"/>
      <c r="AD22" s="2"/>
      <c r="AE22" s="2"/>
      <c r="AF22" s="2"/>
      <c r="AG22" s="2"/>
      <c r="AH22" s="2"/>
      <c r="AI22" s="2"/>
      <c r="AJ22" s="2"/>
      <c r="AK22" s="2"/>
      <c r="AL22" s="2"/>
      <c r="AM22" s="2"/>
      <c r="AN22" s="2"/>
      <c r="AO22" s="2"/>
      <c r="AP22" s="2"/>
      <c r="AQ22" s="98"/>
      <c r="AR22" s="2"/>
    </row>
    <row r="23" spans="1:44" ht="12.75" customHeight="1">
      <c r="A23" s="138" t="s">
        <v>819</v>
      </c>
      <c r="B23" s="1203"/>
      <c r="C23" s="2032">
        <f>SUM(C17:C22)</f>
        <v>158.63900000000001</v>
      </c>
      <c r="D23" s="1210">
        <f>SUM(D17:D21)</f>
        <v>175.11499999999998</v>
      </c>
      <c r="E23" s="1210"/>
      <c r="F23" s="1210">
        <f>SUM(F17:F22)</f>
        <v>-13.276000000000003</v>
      </c>
      <c r="G23" s="1208">
        <f t="shared" si="6"/>
        <v>-9.4086742997458672E-2</v>
      </c>
      <c r="H23" s="1206"/>
      <c r="I23" s="1250">
        <v>153.35813062152062</v>
      </c>
      <c r="J23" s="1210"/>
      <c r="K23" s="1210">
        <f>SUM(K17:K21)</f>
        <v>7.973593215729375</v>
      </c>
      <c r="L23" s="1211">
        <f>C23/I23-1</f>
        <v>3.4434883609218536E-2</v>
      </c>
      <c r="M23" s="1444"/>
      <c r="N23" s="1349">
        <v>157.96</v>
      </c>
      <c r="O23" s="1205"/>
      <c r="P23" s="2368">
        <f t="shared" si="7"/>
        <v>0.67900000000000205</v>
      </c>
      <c r="Q23" s="1211">
        <f t="shared" si="8"/>
        <v>4.2985565966067174E-3</v>
      </c>
      <c r="U23" s="2"/>
      <c r="V23" s="2"/>
      <c r="W23" s="2"/>
      <c r="X23" s="2"/>
      <c r="Y23" s="2"/>
      <c r="Z23" s="2"/>
      <c r="AA23" s="2"/>
      <c r="AB23" s="2"/>
      <c r="AC23" s="2"/>
      <c r="AD23" s="2"/>
      <c r="AE23" s="2"/>
      <c r="AF23" s="2"/>
      <c r="AG23" s="2"/>
      <c r="AH23" s="2"/>
      <c r="AI23" s="2"/>
      <c r="AJ23" s="2"/>
      <c r="AK23" s="2"/>
      <c r="AL23" s="2"/>
      <c r="AM23" s="2"/>
      <c r="AN23" s="2"/>
      <c r="AO23" s="2"/>
      <c r="AP23" s="2"/>
      <c r="AQ23" s="98"/>
      <c r="AR23" s="2"/>
    </row>
    <row r="24" spans="1:44" ht="12.75" customHeight="1">
      <c r="A24" s="2" t="s">
        <v>742</v>
      </c>
      <c r="B24" s="2"/>
      <c r="C24" s="2031">
        <f>BYD!BB54</f>
        <v>-14.170999999999999</v>
      </c>
      <c r="D24" s="104">
        <f>BYD!AW54</f>
        <v>-11.638</v>
      </c>
      <c r="E24" s="1103"/>
      <c r="F24" s="374">
        <f>C24-D24</f>
        <v>-2.5329999999999995</v>
      </c>
      <c r="G24" s="126">
        <f t="shared" si="6"/>
        <v>0.21764908059804089</v>
      </c>
      <c r="H24" s="2"/>
      <c r="I24" s="1104">
        <v>-13.638</v>
      </c>
      <c r="J24" s="1103"/>
      <c r="K24" s="374">
        <f>C24-I24</f>
        <v>-0.53299999999999947</v>
      </c>
      <c r="L24" s="1204">
        <f>IF(I24=0,"NM",C24/I24-1)</f>
        <v>3.9081976829447029E-2</v>
      </c>
      <c r="N24" s="1336"/>
      <c r="O24" s="1336"/>
      <c r="P24" s="1336"/>
      <c r="Q24" s="1336"/>
      <c r="U24" s="2"/>
      <c r="V24" s="2"/>
      <c r="W24" s="2"/>
      <c r="X24" s="2"/>
      <c r="Y24" s="2"/>
      <c r="Z24" s="2"/>
      <c r="AA24" s="2"/>
      <c r="AB24" s="2"/>
      <c r="AC24" s="2"/>
      <c r="AD24" s="2"/>
      <c r="AE24" s="2"/>
      <c r="AF24" s="2"/>
      <c r="AG24" s="2"/>
      <c r="AH24" s="2"/>
      <c r="AI24" s="2"/>
      <c r="AJ24" s="2"/>
      <c r="AK24" s="2"/>
      <c r="AL24" s="2"/>
      <c r="AM24" s="2"/>
      <c r="AN24" s="2"/>
      <c r="AO24" s="2"/>
      <c r="AP24" s="2"/>
      <c r="AQ24" s="98"/>
      <c r="AR24" s="2"/>
    </row>
    <row r="25" spans="1:44" ht="12.75" customHeight="1">
      <c r="A25" s="138" t="s">
        <v>555</v>
      </c>
      <c r="B25" s="1203"/>
      <c r="C25" s="2032">
        <f>SUM(C23:C24)</f>
        <v>144.46800000000002</v>
      </c>
      <c r="D25" s="1210">
        <f>SUM(D23:D24)</f>
        <v>163.47699999999998</v>
      </c>
      <c r="E25" s="1210"/>
      <c r="F25" s="1210">
        <f>F23+F24</f>
        <v>-15.809000000000003</v>
      </c>
      <c r="G25" s="1208">
        <f t="shared" si="6"/>
        <v>-0.11627935428225356</v>
      </c>
      <c r="H25" s="1210"/>
      <c r="I25" s="1250">
        <v>139.72013062152061</v>
      </c>
      <c r="J25" s="1210"/>
      <c r="K25" s="1210">
        <f>K23+K24</f>
        <v>7.4405932157293755</v>
      </c>
      <c r="L25" s="1254">
        <f>IF(I25=0,"NM",C25/I25-1)</f>
        <v>3.3981283565649001E-2</v>
      </c>
      <c r="M25" s="1442"/>
      <c r="N25" s="1349">
        <v>144.09</v>
      </c>
      <c r="O25" s="1349"/>
      <c r="P25" s="374">
        <f>C25-N25</f>
        <v>0.37800000000001432</v>
      </c>
      <c r="Q25" s="92">
        <f>IF(N25=0,"NM",C25/N25-1)</f>
        <v>2.6233603997503074E-3</v>
      </c>
      <c r="R25" s="1299"/>
      <c r="S25" s="2369" t="s">
        <v>1401</v>
      </c>
      <c r="U25" s="105">
        <f>+C25/N25-1</f>
        <v>2.6233603997503074E-3</v>
      </c>
      <c r="V25" s="2"/>
      <c r="W25" s="2"/>
      <c r="X25" s="2"/>
      <c r="Y25" s="2"/>
      <c r="Z25" s="2"/>
      <c r="AA25" s="2"/>
      <c r="AB25" s="2"/>
      <c r="AC25" s="2"/>
      <c r="AD25" s="2"/>
      <c r="AE25" s="2"/>
      <c r="AF25" s="2"/>
      <c r="AG25" s="2"/>
      <c r="AH25" s="2"/>
      <c r="AI25" s="2"/>
      <c r="AJ25" s="2"/>
      <c r="AK25" s="2"/>
      <c r="AL25" s="2"/>
      <c r="AM25" s="2"/>
      <c r="AN25" s="2"/>
      <c r="AO25" s="2"/>
      <c r="AP25" s="2"/>
      <c r="AQ25" s="98"/>
      <c r="AR25" s="2"/>
    </row>
    <row r="26" spans="1:44" ht="12.75" customHeight="1">
      <c r="A26" s="2253" t="s">
        <v>1486</v>
      </c>
      <c r="B26" s="2253"/>
      <c r="C26" s="2259">
        <f>+C25/C14</f>
        <v>0.26699686740530604</v>
      </c>
      <c r="D26" s="2253">
        <f>+D25/D14</f>
        <v>0.28683194722251459</v>
      </c>
      <c r="E26" s="2253"/>
      <c r="F26" s="2253"/>
      <c r="G26" s="213">
        <f>+C26-D26</f>
        <v>-1.9835079817208556E-2</v>
      </c>
      <c r="H26" s="2253"/>
      <c r="I26" s="2260">
        <v>0.19493043934336643</v>
      </c>
      <c r="J26" s="2253"/>
      <c r="K26" s="2253"/>
      <c r="L26" s="213">
        <f>+C26-I26</f>
        <v>7.2066428061939608E-2</v>
      </c>
      <c r="M26" s="2254"/>
      <c r="N26" s="105">
        <f>C25/N25-1</f>
        <v>2.6233603997503074E-3</v>
      </c>
      <c r="O26" s="2258"/>
      <c r="P26" s="2258"/>
      <c r="Q26" s="2258"/>
      <c r="R26" s="2255"/>
      <c r="S26" s="2256"/>
      <c r="T26" s="2257"/>
      <c r="U26" s="2258"/>
      <c r="V26" s="2258"/>
      <c r="W26" s="2258"/>
      <c r="X26" s="2258"/>
      <c r="Y26" s="2258"/>
      <c r="Z26" s="2258"/>
      <c r="AA26" s="2258"/>
      <c r="AB26" s="2258"/>
      <c r="AC26" s="2258"/>
      <c r="AD26" s="2258"/>
      <c r="AE26" s="2258"/>
      <c r="AF26" s="2258"/>
      <c r="AG26" s="2258"/>
      <c r="AH26" s="2258"/>
      <c r="AI26" s="2258"/>
      <c r="AJ26" s="2258"/>
      <c r="AK26" s="2258"/>
      <c r="AL26" s="2258"/>
      <c r="AM26" s="2258"/>
      <c r="AN26" s="2258"/>
      <c r="AO26" s="2258"/>
      <c r="AP26" s="2258"/>
      <c r="AQ26" s="2277"/>
      <c r="AR26" s="2258"/>
    </row>
    <row r="27" spans="1:44" ht="3.95" customHeight="1">
      <c r="A27" s="198"/>
      <c r="B27" s="77"/>
      <c r="C27" s="2245"/>
      <c r="D27" s="2239"/>
      <c r="E27" s="2239"/>
      <c r="F27" s="2239"/>
      <c r="G27" s="2246"/>
      <c r="H27" s="2239"/>
      <c r="I27" s="2247"/>
      <c r="J27" s="2239"/>
      <c r="K27" s="2239"/>
      <c r="L27" s="2246"/>
      <c r="M27" s="2248"/>
      <c r="N27" s="2249"/>
      <c r="O27" s="2249"/>
      <c r="P27" s="2249"/>
      <c r="Q27" s="2249"/>
      <c r="R27" s="2250"/>
      <c r="S27" s="2251"/>
      <c r="T27" s="2252"/>
      <c r="U27" s="1062"/>
      <c r="V27" s="1062"/>
      <c r="W27" s="1062"/>
      <c r="X27" s="1062"/>
      <c r="Y27" s="1062"/>
      <c r="Z27" s="1062"/>
      <c r="AA27" s="1062"/>
      <c r="AB27" s="1062"/>
      <c r="AC27" s="1062"/>
      <c r="AD27" s="1062"/>
      <c r="AE27" s="1062"/>
      <c r="AF27" s="1062"/>
      <c r="AG27" s="1062"/>
      <c r="AH27" s="1062"/>
      <c r="AI27" s="1062"/>
      <c r="AJ27" s="1062"/>
      <c r="AK27" s="1062"/>
      <c r="AL27" s="1062"/>
      <c r="AM27" s="1062"/>
      <c r="AN27" s="1062"/>
      <c r="AO27" s="1062"/>
      <c r="AP27" s="1062"/>
      <c r="AQ27" s="1092"/>
      <c r="AR27" s="1062"/>
    </row>
    <row r="28" spans="1:44" ht="12.75" customHeight="1">
      <c r="A28" s="439" t="s">
        <v>1745</v>
      </c>
      <c r="B28" s="2"/>
      <c r="C28" s="2036">
        <f>BYD!BB65</f>
        <v>6.5</v>
      </c>
      <c r="D28" s="374">
        <f>BYD!AW65</f>
        <v>4.0910000000000002</v>
      </c>
      <c r="E28" s="1103"/>
      <c r="F28" s="374">
        <f>C28-D28</f>
        <v>2.4089999999999998</v>
      </c>
      <c r="G28" s="126">
        <f>IF(D28=0,0,C28/D28-1)</f>
        <v>0.58885358103153251</v>
      </c>
      <c r="H28" s="2"/>
      <c r="I28" s="432">
        <v>4</v>
      </c>
      <c r="J28" s="1103"/>
      <c r="K28" s="374">
        <f>C28-I28</f>
        <v>2.5</v>
      </c>
      <c r="L28" s="1204">
        <f>IF(I28=0,"NM",C28/I28-1)</f>
        <v>0.625</v>
      </c>
      <c r="M28" s="1646"/>
      <c r="N28" s="2"/>
      <c r="O28" s="2"/>
      <c r="P28" s="2"/>
      <c r="Q28" s="2"/>
      <c r="U28" s="2"/>
      <c r="V28" s="2"/>
      <c r="W28" s="2"/>
      <c r="X28" s="2"/>
      <c r="Y28" s="2"/>
      <c r="Z28" s="2"/>
      <c r="AA28" s="2"/>
      <c r="AB28" s="2"/>
      <c r="AC28" s="2"/>
      <c r="AD28" s="2"/>
      <c r="AE28" s="2"/>
      <c r="AF28" s="2"/>
      <c r="AG28" s="2"/>
      <c r="AH28" s="2"/>
      <c r="AI28" s="2"/>
      <c r="AJ28" s="2"/>
      <c r="AK28" s="2"/>
      <c r="AL28" s="2"/>
      <c r="AM28" s="2"/>
      <c r="AN28" s="2"/>
      <c r="AO28" s="2"/>
      <c r="AP28" s="2"/>
      <c r="AQ28" s="98"/>
      <c r="AR28" s="2"/>
    </row>
    <row r="29" spans="1:44" ht="12.75" customHeight="1">
      <c r="A29" s="439" t="s">
        <v>201</v>
      </c>
      <c r="B29" s="2"/>
      <c r="C29" s="2036">
        <f>BYD!BB66</f>
        <v>0.9</v>
      </c>
      <c r="D29" s="374">
        <f>BYD!AW66</f>
        <v>0.95699999999999996</v>
      </c>
      <c r="E29" s="1103"/>
      <c r="F29" s="374">
        <f>C29-D29</f>
        <v>-5.699999999999994E-2</v>
      </c>
      <c r="G29" s="126">
        <f>IF(D29=0,0,C29/D29-1)</f>
        <v>-5.9561128526645746E-2</v>
      </c>
      <c r="H29" s="2"/>
      <c r="I29" s="432">
        <v>1</v>
      </c>
      <c r="J29" s="1103"/>
      <c r="K29" s="374">
        <f>C29-I29</f>
        <v>-9.9999999999999978E-2</v>
      </c>
      <c r="L29" s="1204">
        <f>IF(I29=0,"NM",C29/I29-1)</f>
        <v>-9.9999999999999978E-2</v>
      </c>
      <c r="M29" s="1102"/>
      <c r="N29" s="1102"/>
      <c r="O29" s="1102"/>
      <c r="P29" s="1102"/>
      <c r="Q29" s="1102"/>
      <c r="U29" s="2"/>
      <c r="V29" s="2"/>
      <c r="W29" s="2"/>
      <c r="X29" s="2"/>
      <c r="Y29" s="2"/>
      <c r="Z29" s="2"/>
      <c r="AA29" s="2"/>
      <c r="AB29" s="2"/>
      <c r="AC29" s="2"/>
      <c r="AD29" s="2"/>
      <c r="AE29" s="2"/>
      <c r="AF29" s="2"/>
      <c r="AG29" s="2"/>
      <c r="AH29" s="2"/>
      <c r="AI29" s="2"/>
      <c r="AJ29" s="2"/>
      <c r="AK29" s="2"/>
      <c r="AL29" s="2"/>
      <c r="AM29" s="2"/>
      <c r="AN29" s="2"/>
      <c r="AO29" s="2"/>
      <c r="AP29" s="2"/>
      <c r="AQ29" s="98"/>
      <c r="AR29" s="2"/>
    </row>
    <row r="30" spans="1:44" ht="12.75" customHeight="1">
      <c r="A30" s="1693" t="s">
        <v>202</v>
      </c>
      <c r="B30" s="2"/>
      <c r="C30" s="2036">
        <f>BYD!BB67</f>
        <v>52.3</v>
      </c>
      <c r="D30" s="374">
        <f>BYD!AW67</f>
        <v>54.4</v>
      </c>
      <c r="E30" s="1103"/>
      <c r="F30" s="374">
        <f>C30-D30</f>
        <v>-2.1000000000000014</v>
      </c>
      <c r="G30" s="126">
        <f>IF(D30=0,0,C30/D30-1)</f>
        <v>-3.8602941176470562E-2</v>
      </c>
      <c r="H30" s="2"/>
      <c r="I30" s="432">
        <v>64.25</v>
      </c>
      <c r="J30" s="1103"/>
      <c r="K30" s="374">
        <f>C30-I30</f>
        <v>-11.950000000000003</v>
      </c>
      <c r="L30" s="1204">
        <f>IF(I30=0,"NM",C30/I30-1)</f>
        <v>-0.18599221789883269</v>
      </c>
      <c r="M30" s="1102"/>
      <c r="N30" s="1102"/>
      <c r="O30" s="1102"/>
      <c r="P30" s="1102"/>
      <c r="Q30" s="1102"/>
      <c r="U30" s="2"/>
      <c r="V30" s="2"/>
      <c r="W30" s="2"/>
      <c r="X30" s="2"/>
      <c r="Y30" s="2"/>
      <c r="Z30" s="2"/>
      <c r="AA30" s="2"/>
      <c r="AB30" s="2"/>
      <c r="AC30" s="2"/>
      <c r="AD30" s="2"/>
      <c r="AE30" s="2"/>
      <c r="AF30" s="2"/>
      <c r="AG30" s="2"/>
      <c r="AH30" s="2"/>
      <c r="AI30" s="2"/>
      <c r="AJ30" s="2"/>
      <c r="AK30" s="2"/>
      <c r="AL30" s="2"/>
      <c r="AM30" s="2"/>
      <c r="AN30" s="2"/>
      <c r="AO30" s="2"/>
      <c r="AP30" s="2"/>
      <c r="AQ30" s="98"/>
      <c r="AR30" s="2"/>
    </row>
    <row r="31" spans="1:44" ht="4.5" customHeight="1">
      <c r="A31" s="964"/>
      <c r="B31" s="2"/>
      <c r="C31" s="2037" t="s">
        <v>343</v>
      </c>
      <c r="D31" s="452" t="s">
        <v>343</v>
      </c>
      <c r="E31" s="96" t="s">
        <v>343</v>
      </c>
      <c r="F31" s="452" t="s">
        <v>343</v>
      </c>
      <c r="G31" s="1251" t="s">
        <v>343</v>
      </c>
      <c r="H31" s="2" t="s">
        <v>343</v>
      </c>
      <c r="I31" s="2223" t="s">
        <v>343</v>
      </c>
      <c r="J31" s="96" t="s">
        <v>343</v>
      </c>
      <c r="K31" s="452" t="s">
        <v>343</v>
      </c>
      <c r="L31" s="1252" t="s">
        <v>343</v>
      </c>
      <c r="M31" s="1102"/>
      <c r="N31" s="1102"/>
      <c r="O31" s="1102"/>
      <c r="P31" s="1102"/>
      <c r="Q31" s="1102"/>
      <c r="U31" s="2"/>
      <c r="V31" s="2"/>
      <c r="W31" s="2"/>
      <c r="X31" s="2"/>
      <c r="Y31" s="2"/>
      <c r="Z31" s="2"/>
      <c r="AA31" s="2"/>
      <c r="AB31" s="2"/>
      <c r="AC31" s="2"/>
      <c r="AD31" s="2"/>
      <c r="AE31" s="2"/>
      <c r="AF31" s="2"/>
      <c r="AG31" s="2"/>
      <c r="AH31" s="2"/>
      <c r="AI31" s="2"/>
      <c r="AJ31" s="2"/>
      <c r="AK31" s="2"/>
      <c r="AL31" s="2"/>
      <c r="AM31" s="2"/>
      <c r="AN31" s="2"/>
      <c r="AO31" s="2"/>
      <c r="AP31" s="2"/>
      <c r="AQ31" s="98"/>
      <c r="AR31" s="2"/>
    </row>
    <row r="32" spans="1:44" ht="12.75" customHeight="1">
      <c r="A32" s="1" t="s">
        <v>744</v>
      </c>
      <c r="B32" s="2"/>
      <c r="C32" s="2235">
        <f>C25-C28-C29-C30</f>
        <v>84.768000000000015</v>
      </c>
      <c r="D32" s="2236">
        <f>D25-D28-D29-D30</f>
        <v>104.02899999999997</v>
      </c>
      <c r="E32" s="325"/>
      <c r="F32" s="2236">
        <f>F25-F28-F29-F30</f>
        <v>-16.061000000000003</v>
      </c>
      <c r="G32" s="106">
        <f>IF(D32=0,0,C32/D32-1)</f>
        <v>-0.18515029462938182</v>
      </c>
      <c r="H32" s="1205"/>
      <c r="I32" s="2237">
        <v>70.47013062152061</v>
      </c>
      <c r="J32" s="932"/>
      <c r="K32" s="2236">
        <f>C32-I32</f>
        <v>14.297869378479405</v>
      </c>
      <c r="L32" s="1214">
        <f>C32/I32-1</f>
        <v>0.20289261921863155</v>
      </c>
      <c r="N32" s="2"/>
      <c r="O32" s="2"/>
      <c r="P32" s="2"/>
      <c r="Q32" s="2"/>
      <c r="U32" s="1336"/>
      <c r="V32" s="2"/>
      <c r="W32" s="2"/>
      <c r="X32" s="2"/>
      <c r="Y32" s="2"/>
      <c r="Z32" s="2"/>
      <c r="AA32" s="2"/>
      <c r="AB32" s="2"/>
      <c r="AC32" s="2"/>
      <c r="AD32" s="2"/>
      <c r="AE32" s="2"/>
      <c r="AF32" s="2"/>
      <c r="AG32" s="2"/>
      <c r="AH32" s="2"/>
      <c r="AI32" s="2"/>
      <c r="AJ32" s="2"/>
      <c r="AK32" s="2"/>
      <c r="AL32" s="2"/>
      <c r="AM32" s="2"/>
      <c r="AN32" s="2"/>
      <c r="AO32" s="2"/>
      <c r="AP32" s="2"/>
      <c r="AQ32" s="98"/>
      <c r="AR32" s="2"/>
    </row>
    <row r="33" spans="1:44" ht="12.75" customHeight="1">
      <c r="A33" s="445" t="s">
        <v>1176</v>
      </c>
      <c r="B33" s="2"/>
      <c r="C33" s="2036">
        <f>BYD!BB73</f>
        <v>-57.3</v>
      </c>
      <c r="D33" s="374">
        <f>BYD!AW73</f>
        <v>-74.2</v>
      </c>
      <c r="E33" s="932"/>
      <c r="F33" s="374">
        <f>C33-D33</f>
        <v>16.900000000000006</v>
      </c>
      <c r="G33" s="126">
        <f>IF(D33=0,0,C33/D33-1)</f>
        <v>-0.22776280323450138</v>
      </c>
      <c r="H33" s="1205"/>
      <c r="I33" s="432">
        <v>-74.858291249999979</v>
      </c>
      <c r="J33" s="932"/>
      <c r="K33" s="374">
        <f>C33-I33</f>
        <v>17.558291249999982</v>
      </c>
      <c r="L33" s="1204">
        <f>IF(I33=0,"NM",C33/I33-1)</f>
        <v>-0.23455372754050119</v>
      </c>
      <c r="N33" s="2"/>
      <c r="O33" s="2"/>
      <c r="P33" s="2"/>
      <c r="Q33" s="2"/>
      <c r="U33" s="2"/>
      <c r="V33" s="2"/>
      <c r="W33" s="2"/>
      <c r="X33" s="2"/>
      <c r="Y33" s="2"/>
      <c r="Z33" s="2"/>
      <c r="AA33" s="2"/>
      <c r="AB33" s="2"/>
      <c r="AC33" s="2"/>
      <c r="AD33" s="2"/>
      <c r="AE33" s="2"/>
      <c r="AF33" s="2"/>
      <c r="AG33" s="2"/>
      <c r="AH33" s="2"/>
      <c r="AI33" s="2"/>
      <c r="AJ33" s="2"/>
      <c r="AK33" s="2"/>
      <c r="AL33" s="2"/>
      <c r="AM33" s="2"/>
      <c r="AN33" s="2"/>
      <c r="AO33" s="2"/>
      <c r="AP33" s="2"/>
      <c r="AQ33" s="98"/>
      <c r="AR33" s="2"/>
    </row>
    <row r="34" spans="1:44" ht="12.75" customHeight="1">
      <c r="A34" s="445" t="s">
        <v>203</v>
      </c>
      <c r="B34" s="2"/>
      <c r="C34" s="2036">
        <f>BYD!BB74</f>
        <v>0</v>
      </c>
      <c r="D34" s="374">
        <f>BYD!AW74</f>
        <v>0</v>
      </c>
      <c r="E34" s="932"/>
      <c r="F34" s="374">
        <f>C34-D34</f>
        <v>0</v>
      </c>
      <c r="G34" s="126">
        <f>IF(D34=0,0,C34/D34-1)</f>
        <v>0</v>
      </c>
      <c r="H34" s="1205"/>
      <c r="I34" s="432">
        <v>0</v>
      </c>
      <c r="J34" s="932"/>
      <c r="K34" s="374">
        <f>C34-I34</f>
        <v>0</v>
      </c>
      <c r="L34" s="1204" t="str">
        <f>IF(I34=0,"NM",C34/I34-1)</f>
        <v>NM</v>
      </c>
      <c r="N34" s="2"/>
      <c r="O34" s="2"/>
      <c r="P34" s="2"/>
      <c r="Q34" s="2"/>
      <c r="U34" s="2"/>
      <c r="V34" s="2"/>
      <c r="W34" s="2"/>
      <c r="X34" s="2"/>
      <c r="Y34" s="2"/>
      <c r="Z34" s="2"/>
      <c r="AA34" s="2"/>
      <c r="AB34" s="2"/>
      <c r="AC34" s="2"/>
      <c r="AD34" s="2"/>
      <c r="AE34" s="2"/>
      <c r="AF34" s="2"/>
      <c r="AG34" s="2"/>
      <c r="AH34" s="2"/>
      <c r="AI34" s="2"/>
      <c r="AJ34" s="2"/>
      <c r="AK34" s="2"/>
      <c r="AL34" s="2"/>
      <c r="AM34" s="2"/>
      <c r="AN34" s="2"/>
      <c r="AO34" s="2"/>
      <c r="AP34" s="2"/>
      <c r="AQ34" s="98"/>
      <c r="AR34" s="2"/>
    </row>
    <row r="35" spans="1:44" ht="12.75" customHeight="1">
      <c r="A35" s="445" t="s">
        <v>814</v>
      </c>
      <c r="B35" s="2"/>
      <c r="C35" s="2036">
        <f>BYD!BB78</f>
        <v>-2.7000000000000011</v>
      </c>
      <c r="D35" s="374">
        <f>BYD!AW78</f>
        <v>-6.1</v>
      </c>
      <c r="E35" s="1103"/>
      <c r="F35" s="374">
        <f>C35-D35</f>
        <v>3.3999999999999986</v>
      </c>
      <c r="G35" s="126">
        <f>IF(D35=0,0,C35/D35-1)</f>
        <v>-0.5573770491803276</v>
      </c>
      <c r="H35" s="2"/>
      <c r="I35" s="432">
        <v>-1.25</v>
      </c>
      <c r="J35" s="1103"/>
      <c r="K35" s="374">
        <f>C35-I35</f>
        <v>-1.4500000000000011</v>
      </c>
      <c r="L35" s="1204">
        <f>IF(I35=0,"NM",C35/I35-1)</f>
        <v>1.160000000000001</v>
      </c>
      <c r="N35" s="2"/>
      <c r="O35" s="2"/>
      <c r="P35" s="2"/>
      <c r="Q35" s="2"/>
      <c r="U35" s="2"/>
      <c r="V35" s="2"/>
      <c r="W35" s="2"/>
      <c r="X35" s="2"/>
      <c r="Y35" s="2"/>
      <c r="Z35" s="2"/>
      <c r="AA35" s="2"/>
      <c r="AB35" s="2"/>
      <c r="AC35" s="2"/>
      <c r="AD35" s="2"/>
      <c r="AE35" s="2"/>
      <c r="AF35" s="2"/>
      <c r="AG35" s="2"/>
      <c r="AH35" s="2"/>
      <c r="AI35" s="2"/>
      <c r="AJ35" s="2"/>
      <c r="AK35" s="2"/>
      <c r="AL35" s="2"/>
      <c r="AM35" s="2"/>
      <c r="AN35" s="2"/>
      <c r="AO35" s="2"/>
      <c r="AP35" s="2"/>
      <c r="AQ35" s="98"/>
      <c r="AR35" s="2"/>
    </row>
    <row r="36" spans="1:44" ht="4.5" customHeight="1">
      <c r="A36" s="964"/>
      <c r="B36" s="2"/>
      <c r="C36" s="2037" t="s">
        <v>343</v>
      </c>
      <c r="D36" s="452" t="s">
        <v>343</v>
      </c>
      <c r="E36" s="96" t="s">
        <v>343</v>
      </c>
      <c r="F36" s="452" t="s">
        <v>343</v>
      </c>
      <c r="G36" s="1251" t="s">
        <v>343</v>
      </c>
      <c r="H36" s="2" t="s">
        <v>343</v>
      </c>
      <c r="I36" s="2223" t="s">
        <v>343</v>
      </c>
      <c r="J36" s="96" t="s">
        <v>343</v>
      </c>
      <c r="K36" s="452" t="s">
        <v>343</v>
      </c>
      <c r="L36" s="1252" t="s">
        <v>343</v>
      </c>
      <c r="M36" s="1102"/>
      <c r="N36" s="1102"/>
      <c r="O36" s="1102"/>
      <c r="P36" s="1102"/>
      <c r="Q36" s="1102"/>
      <c r="U36" s="2"/>
      <c r="V36" s="2"/>
      <c r="W36" s="2"/>
      <c r="X36" s="2"/>
      <c r="Y36" s="2"/>
      <c r="Z36" s="2"/>
      <c r="AA36" s="2"/>
      <c r="AB36" s="2"/>
      <c r="AC36" s="2"/>
      <c r="AD36" s="2"/>
      <c r="AE36" s="2"/>
      <c r="AF36" s="2"/>
      <c r="AG36" s="2"/>
      <c r="AH36" s="2"/>
      <c r="AI36" s="2"/>
      <c r="AJ36" s="2"/>
      <c r="AK36" s="2"/>
      <c r="AL36" s="2"/>
      <c r="AM36" s="2"/>
      <c r="AN36" s="2"/>
      <c r="AO36" s="2"/>
      <c r="AP36" s="2"/>
      <c r="AQ36" s="98"/>
      <c r="AR36" s="2"/>
    </row>
    <row r="37" spans="1:44" ht="12.75" customHeight="1">
      <c r="A37" s="1" t="s">
        <v>745</v>
      </c>
      <c r="B37" s="2"/>
      <c r="C37" s="2240">
        <f>SUM(C32:C35)</f>
        <v>24.768000000000015</v>
      </c>
      <c r="D37" s="2239">
        <f>SUM(D32:D35)</f>
        <v>23.728999999999964</v>
      </c>
      <c r="E37" s="932"/>
      <c r="F37" s="2236">
        <f>C37-D37</f>
        <v>1.0390000000000512</v>
      </c>
      <c r="G37" s="106">
        <f>IF(D37=0,0,C37/D37-1)</f>
        <v>4.3786084537909442E-2</v>
      </c>
      <c r="H37" s="1205"/>
      <c r="I37" s="2238">
        <v>-5.6381606284793691</v>
      </c>
      <c r="J37" s="932"/>
      <c r="K37" s="2236">
        <f>C37-I37</f>
        <v>30.406160628479384</v>
      </c>
      <c r="L37" s="1214">
        <f>C37/I37-1</f>
        <v>-5.3929220240537967</v>
      </c>
      <c r="N37" s="2"/>
      <c r="O37" s="2"/>
      <c r="P37" s="2"/>
      <c r="Q37" s="2"/>
      <c r="U37" s="2"/>
      <c r="V37" s="2"/>
      <c r="W37" s="2"/>
      <c r="X37" s="2"/>
      <c r="Y37" s="2"/>
      <c r="Z37" s="2"/>
      <c r="AA37" s="2"/>
      <c r="AB37" s="2"/>
      <c r="AC37" s="2"/>
      <c r="AD37" s="2"/>
      <c r="AE37" s="2"/>
      <c r="AF37" s="2"/>
      <c r="AG37" s="2"/>
      <c r="AH37" s="2"/>
      <c r="AI37" s="2"/>
      <c r="AJ37" s="2"/>
      <c r="AK37" s="2"/>
      <c r="AL37" s="2"/>
      <c r="AM37" s="2"/>
      <c r="AN37" s="2"/>
      <c r="AO37" s="2"/>
      <c r="AP37" s="2"/>
      <c r="AQ37" s="98"/>
      <c r="AR37" s="2"/>
    </row>
    <row r="38" spans="1:44" ht="12.75" customHeight="1">
      <c r="A38" s="445" t="s">
        <v>205</v>
      </c>
      <c r="B38" s="2"/>
      <c r="C38" s="2036">
        <f>BYD!BB81</f>
        <v>-5.4</v>
      </c>
      <c r="D38" s="374">
        <f>BYD!AW81</f>
        <v>1.9</v>
      </c>
      <c r="E38" s="1103"/>
      <c r="F38" s="374">
        <f>C38-D38</f>
        <v>-7.3000000000000007</v>
      </c>
      <c r="G38" s="126">
        <f>IF(D38=0,0,C38/D38-1)</f>
        <v>-3.8421052631578951</v>
      </c>
      <c r="H38" s="2"/>
      <c r="I38" s="432">
        <v>1.9911108856640281</v>
      </c>
      <c r="J38" s="1103"/>
      <c r="K38" s="374">
        <f>C38-I38</f>
        <v>-7.3911108856640286</v>
      </c>
      <c r="L38" s="1204">
        <f>IF(I38=0,"NM",C38/I38-1)</f>
        <v>-3.7120538785056767</v>
      </c>
      <c r="N38" s="2"/>
      <c r="O38" s="2"/>
      <c r="P38" s="2"/>
      <c r="Q38" s="2"/>
      <c r="U38" s="2"/>
      <c r="V38" s="2"/>
      <c r="W38" s="2"/>
      <c r="X38" s="2"/>
      <c r="Y38" s="2"/>
      <c r="Z38" s="2"/>
      <c r="AA38" s="2"/>
      <c r="AB38" s="2"/>
      <c r="AC38" s="2"/>
      <c r="AD38" s="2"/>
      <c r="AE38" s="2"/>
      <c r="AF38" s="2"/>
      <c r="AG38" s="2"/>
      <c r="AH38" s="2"/>
      <c r="AI38" s="2"/>
      <c r="AJ38" s="2"/>
      <c r="AK38" s="2"/>
      <c r="AL38" s="2"/>
      <c r="AM38" s="2"/>
      <c r="AN38" s="2"/>
      <c r="AO38" s="2"/>
      <c r="AP38" s="2"/>
      <c r="AQ38" s="98"/>
      <c r="AR38" s="2"/>
    </row>
    <row r="39" spans="1:44" ht="4.5" customHeight="1">
      <c r="A39" s="964"/>
      <c r="B39" s="2"/>
      <c r="C39" s="2037" t="s">
        <v>343</v>
      </c>
      <c r="D39" s="452" t="s">
        <v>343</v>
      </c>
      <c r="E39" s="96" t="s">
        <v>343</v>
      </c>
      <c r="F39" s="452" t="s">
        <v>343</v>
      </c>
      <c r="G39" s="1251" t="s">
        <v>343</v>
      </c>
      <c r="H39" s="2" t="s">
        <v>343</v>
      </c>
      <c r="I39" s="2223" t="s">
        <v>343</v>
      </c>
      <c r="J39" s="96" t="s">
        <v>343</v>
      </c>
      <c r="K39" s="452" t="s">
        <v>343</v>
      </c>
      <c r="L39" s="1252" t="s">
        <v>343</v>
      </c>
      <c r="M39" s="1102"/>
      <c r="N39" s="1102"/>
      <c r="O39" s="1102"/>
      <c r="P39" s="1102"/>
      <c r="Q39" s="1102"/>
      <c r="U39" s="2"/>
      <c r="V39" s="2"/>
      <c r="W39" s="2"/>
      <c r="X39" s="2"/>
      <c r="Y39" s="2"/>
      <c r="Z39" s="2"/>
      <c r="AA39" s="2"/>
      <c r="AB39" s="2"/>
      <c r="AC39" s="2"/>
      <c r="AD39" s="2"/>
      <c r="AE39" s="2"/>
      <c r="AF39" s="2"/>
      <c r="AG39" s="2"/>
      <c r="AH39" s="2"/>
      <c r="AI39" s="2"/>
      <c r="AJ39" s="2"/>
      <c r="AK39" s="2"/>
      <c r="AL39" s="2"/>
      <c r="AM39" s="2"/>
      <c r="AN39" s="2"/>
      <c r="AO39" s="2"/>
      <c r="AP39" s="2"/>
      <c r="AQ39" s="98"/>
      <c r="AR39" s="2"/>
    </row>
    <row r="40" spans="1:44" ht="12.75" customHeight="1">
      <c r="A40" s="107" t="s">
        <v>1243</v>
      </c>
      <c r="B40" s="61"/>
      <c r="C40" s="2240">
        <f>C37+C38</f>
        <v>19.368000000000016</v>
      </c>
      <c r="D40" s="2239">
        <f>D37+D38</f>
        <v>25.628999999999962</v>
      </c>
      <c r="E40" s="932"/>
      <c r="F40" s="2236">
        <f>F37+F38</f>
        <v>-6.2609999999999495</v>
      </c>
      <c r="G40" s="1215">
        <f>G37+G38</f>
        <v>-3.7983191786199857</v>
      </c>
      <c r="H40" s="932"/>
      <c r="I40" s="2238">
        <v>-3.6470497428153408</v>
      </c>
      <c r="J40" s="932"/>
      <c r="K40" s="2236">
        <f>K37+K38</f>
        <v>23.015049742815357</v>
      </c>
      <c r="L40" s="1215">
        <f>L37+L38</f>
        <v>-9.1049759025594739</v>
      </c>
      <c r="M40" s="1238"/>
      <c r="N40" s="61"/>
      <c r="O40" s="61"/>
      <c r="P40" s="61"/>
      <c r="Q40" s="61"/>
      <c r="U40" s="1336"/>
      <c r="V40" s="2"/>
      <c r="W40" s="2"/>
      <c r="X40" s="2"/>
      <c r="Y40" s="2"/>
      <c r="Z40" s="2"/>
      <c r="AA40" s="2"/>
      <c r="AB40" s="2"/>
      <c r="AC40" s="2"/>
      <c r="AD40" s="2"/>
      <c r="AE40" s="2"/>
      <c r="AF40" s="2"/>
      <c r="AG40" s="2"/>
      <c r="AH40" s="2"/>
      <c r="AI40" s="2"/>
      <c r="AJ40" s="2"/>
      <c r="AK40" s="2"/>
      <c r="AL40" s="2"/>
      <c r="AM40" s="2"/>
      <c r="AN40" s="2"/>
      <c r="AO40" s="2"/>
      <c r="AP40" s="2"/>
      <c r="AQ40" s="98"/>
      <c r="AR40" s="2"/>
    </row>
    <row r="41" spans="1:44" ht="12.75" customHeight="1">
      <c r="A41" s="445" t="s">
        <v>130</v>
      </c>
      <c r="B41" s="2"/>
      <c r="C41" s="2036">
        <f>BYD!BB85</f>
        <v>0</v>
      </c>
      <c r="D41" s="374">
        <f>BYD!AW85</f>
        <v>0.4</v>
      </c>
      <c r="E41" s="1103"/>
      <c r="F41" s="374">
        <f>C41-D41</f>
        <v>-0.4</v>
      </c>
      <c r="G41" s="126">
        <f>IF(D41=0,0,C41/D41-1)</f>
        <v>-1</v>
      </c>
      <c r="H41" s="2"/>
      <c r="I41" s="432">
        <v>3.716958876254965</v>
      </c>
      <c r="J41" s="1103"/>
      <c r="K41" s="374">
        <f>C41-I41</f>
        <v>-3.716958876254965</v>
      </c>
      <c r="L41" s="1204">
        <f>IF(I41=0,"NM",C41/I41-1)</f>
        <v>-1</v>
      </c>
      <c r="N41" s="2"/>
      <c r="O41" s="2"/>
      <c r="P41" s="2"/>
      <c r="Q41" s="2"/>
      <c r="U41" s="2"/>
      <c r="V41" s="2"/>
      <c r="W41" s="2"/>
      <c r="X41" s="2"/>
      <c r="Y41" s="2"/>
      <c r="Z41" s="2"/>
      <c r="AA41" s="2"/>
      <c r="AB41" s="2"/>
      <c r="AC41" s="2"/>
      <c r="AD41" s="2"/>
      <c r="AE41" s="2"/>
      <c r="AF41" s="2"/>
      <c r="AG41" s="2"/>
      <c r="AH41" s="2"/>
      <c r="AI41" s="2"/>
      <c r="AJ41" s="2"/>
      <c r="AK41" s="2"/>
      <c r="AL41" s="2"/>
      <c r="AM41" s="2"/>
      <c r="AN41" s="2"/>
      <c r="AO41" s="2"/>
      <c r="AP41" s="2"/>
      <c r="AQ41" s="98"/>
      <c r="AR41" s="2"/>
    </row>
    <row r="42" spans="1:44" ht="4.5" customHeight="1">
      <c r="A42" s="964"/>
      <c r="B42" s="2"/>
      <c r="C42" s="2037" t="s">
        <v>343</v>
      </c>
      <c r="D42" s="452" t="s">
        <v>343</v>
      </c>
      <c r="E42" s="96" t="s">
        <v>343</v>
      </c>
      <c r="F42" s="452" t="s">
        <v>343</v>
      </c>
      <c r="G42" s="1251" t="s">
        <v>343</v>
      </c>
      <c r="H42" s="2" t="s">
        <v>343</v>
      </c>
      <c r="I42" s="2223" t="s">
        <v>343</v>
      </c>
      <c r="J42" s="96" t="s">
        <v>343</v>
      </c>
      <c r="K42" s="452" t="s">
        <v>343</v>
      </c>
      <c r="L42" s="1252" t="s">
        <v>343</v>
      </c>
      <c r="M42" s="1102"/>
      <c r="N42" s="1102"/>
      <c r="O42" s="1102"/>
      <c r="P42" s="1102"/>
      <c r="Q42" s="1102"/>
      <c r="U42" s="2"/>
      <c r="V42" s="2"/>
      <c r="W42" s="2"/>
      <c r="X42" s="2"/>
      <c r="Y42" s="2"/>
      <c r="Z42" s="2"/>
      <c r="AA42" s="2"/>
      <c r="AB42" s="2"/>
      <c r="AC42" s="2"/>
      <c r="AD42" s="2"/>
      <c r="AE42" s="2"/>
      <c r="AF42" s="2"/>
      <c r="AG42" s="2"/>
      <c r="AH42" s="2"/>
      <c r="AI42" s="2"/>
      <c r="AJ42" s="2"/>
      <c r="AK42" s="2"/>
      <c r="AL42" s="2"/>
      <c r="AM42" s="2"/>
      <c r="AN42" s="2"/>
      <c r="AO42" s="2"/>
      <c r="AP42" s="2"/>
      <c r="AQ42" s="98"/>
      <c r="AR42" s="2"/>
    </row>
    <row r="43" spans="1:44" ht="12.75" customHeight="1">
      <c r="A43" s="107" t="s">
        <v>1540</v>
      </c>
      <c r="B43" s="2"/>
      <c r="C43" s="2240">
        <f>C40+C41</f>
        <v>19.368000000000016</v>
      </c>
      <c r="D43" s="2239">
        <f>D40+D41</f>
        <v>26.028999999999961</v>
      </c>
      <c r="E43" s="932"/>
      <c r="F43" s="2236">
        <f>F40+F41</f>
        <v>-6.6609999999999498</v>
      </c>
      <c r="G43" s="1215">
        <f>G40+G41</f>
        <v>-4.7983191786199857</v>
      </c>
      <c r="H43" s="932"/>
      <c r="I43" s="2238">
        <v>6.9909133439624238E-2</v>
      </c>
      <c r="J43" s="932"/>
      <c r="K43" s="2236">
        <f>K40+K41</f>
        <v>19.298090866560393</v>
      </c>
      <c r="L43" s="1215">
        <f>L40+L41</f>
        <v>-10.104975902559474</v>
      </c>
      <c r="N43" s="2"/>
      <c r="O43" s="2"/>
      <c r="P43" s="2"/>
      <c r="Q43" s="2"/>
      <c r="U43" s="105"/>
      <c r="V43" s="2"/>
      <c r="W43" s="2"/>
      <c r="X43" s="2"/>
      <c r="Y43" s="2"/>
      <c r="Z43" s="2"/>
      <c r="AA43" s="2"/>
      <c r="AB43" s="2"/>
      <c r="AC43" s="2"/>
      <c r="AD43" s="2"/>
      <c r="AE43" s="2"/>
      <c r="AF43" s="2"/>
      <c r="AG43" s="2"/>
      <c r="AH43" s="2"/>
      <c r="AI43" s="2"/>
      <c r="AJ43" s="2"/>
      <c r="AK43" s="2"/>
      <c r="AL43" s="2"/>
      <c r="AM43" s="2"/>
      <c r="AN43" s="2"/>
      <c r="AO43" s="2"/>
      <c r="AP43" s="2"/>
      <c r="AQ43" s="98"/>
      <c r="AR43" s="2"/>
    </row>
    <row r="44" spans="1:44" ht="12.75" customHeight="1">
      <c r="A44" s="2" t="s">
        <v>1562</v>
      </c>
      <c r="B44" s="2"/>
      <c r="C44" s="2031">
        <f>BYD!BB87</f>
        <v>2.1000000000000005</v>
      </c>
      <c r="D44" s="104">
        <f>BYD!AW87</f>
        <v>7.6999999999999993</v>
      </c>
      <c r="E44" s="61"/>
      <c r="F44" s="61"/>
      <c r="G44" s="1141"/>
      <c r="H44" s="2"/>
      <c r="I44" s="1104">
        <v>1.25</v>
      </c>
      <c r="J44" s="61"/>
      <c r="K44" s="61"/>
      <c r="L44" s="1216"/>
      <c r="N44" s="2"/>
      <c r="O44" s="2"/>
      <c r="P44" s="2"/>
      <c r="Q44" s="2"/>
      <c r="U44" s="2"/>
      <c r="V44" s="2"/>
      <c r="W44" s="2"/>
      <c r="X44" s="2"/>
      <c r="Y44" s="2"/>
      <c r="Z44" s="2"/>
      <c r="AA44" s="2"/>
      <c r="AB44" s="2"/>
      <c r="AC44" s="2"/>
      <c r="AD44" s="2"/>
      <c r="AE44" s="2"/>
      <c r="AF44" s="2"/>
      <c r="AG44" s="2"/>
      <c r="AH44" s="2"/>
      <c r="AI44" s="2"/>
      <c r="AJ44" s="2"/>
      <c r="AK44" s="2"/>
      <c r="AL44" s="2"/>
      <c r="AM44" s="2"/>
      <c r="AN44" s="2"/>
      <c r="AO44" s="2"/>
      <c r="AP44" s="2"/>
      <c r="AQ44" s="98"/>
      <c r="AR44" s="2"/>
    </row>
    <row r="45" spans="1:44" ht="12.75" customHeight="1">
      <c r="A45" s="147" t="s">
        <v>1747</v>
      </c>
      <c r="B45" s="160"/>
      <c r="C45" s="2244">
        <f>BYD!BB88</f>
        <v>-4.0549999999999669</v>
      </c>
      <c r="D45" s="2243">
        <f>BYD!AW88</f>
        <v>1.4265000000000185</v>
      </c>
      <c r="E45" s="1218"/>
      <c r="F45" s="2241">
        <f>C45-D45</f>
        <v>-5.4814999999999854</v>
      </c>
      <c r="G45" s="1219">
        <f>IF(D45=0,0,C45/D45-1)</f>
        <v>-3.8426218016122777</v>
      </c>
      <c r="H45" s="1220"/>
      <c r="I45" s="2242">
        <v>1.2691815171646268</v>
      </c>
      <c r="J45" s="1218"/>
      <c r="K45" s="2241">
        <f>C45-I45</f>
        <v>-5.3241815171645932</v>
      </c>
      <c r="L45" s="1221">
        <f>C45/I45-1</f>
        <v>-4.1949724646628219</v>
      </c>
      <c r="N45" s="2"/>
      <c r="O45" s="2"/>
      <c r="P45" s="2"/>
      <c r="Q45" s="2"/>
      <c r="U45" s="2"/>
      <c r="V45" s="2"/>
      <c r="W45" s="2"/>
      <c r="X45" s="2"/>
      <c r="Y45" s="2"/>
      <c r="Z45" s="2"/>
      <c r="AA45" s="2"/>
      <c r="AB45" s="2"/>
      <c r="AC45" s="2"/>
      <c r="AD45" s="2"/>
      <c r="AE45" s="2"/>
      <c r="AF45" s="2"/>
      <c r="AG45" s="2"/>
      <c r="AH45" s="2"/>
      <c r="AI45" s="2"/>
      <c r="AJ45" s="2"/>
      <c r="AK45" s="2"/>
      <c r="AL45" s="2"/>
      <c r="AM45" s="2"/>
      <c r="AN45" s="2"/>
      <c r="AO45" s="2"/>
      <c r="AP45" s="2"/>
      <c r="AQ45" s="98"/>
      <c r="AR45" s="2"/>
    </row>
    <row r="46" spans="1:44" ht="12.75" customHeight="1">
      <c r="A46" s="2"/>
      <c r="B46" s="2"/>
      <c r="C46" s="2034"/>
      <c r="D46" s="77"/>
      <c r="E46" s="61"/>
      <c r="F46" s="61"/>
      <c r="G46" s="1141"/>
      <c r="H46" s="2"/>
      <c r="I46" s="115"/>
      <c r="J46" s="61"/>
      <c r="K46" s="61"/>
      <c r="L46" s="1216"/>
      <c r="N46" s="2"/>
      <c r="O46" s="2"/>
      <c r="P46" s="2"/>
      <c r="Q46" s="2"/>
      <c r="U46" s="2"/>
      <c r="V46" s="2"/>
      <c r="W46" s="2"/>
      <c r="X46" s="2"/>
      <c r="Y46" s="2"/>
      <c r="Z46" s="2"/>
      <c r="AA46" s="2"/>
      <c r="AB46" s="2"/>
      <c r="AC46" s="2"/>
      <c r="AD46" s="2"/>
      <c r="AE46" s="2"/>
      <c r="AF46" s="2"/>
      <c r="AG46" s="2"/>
      <c r="AH46" s="2"/>
      <c r="AI46" s="2"/>
      <c r="AJ46" s="2"/>
      <c r="AK46" s="2"/>
      <c r="AL46" s="2"/>
      <c r="AM46" s="2"/>
      <c r="AN46" s="2"/>
      <c r="AO46" s="2"/>
      <c r="AP46" s="2"/>
      <c r="AQ46" s="98"/>
      <c r="AR46" s="2"/>
    </row>
    <row r="47" spans="1:44" ht="12.75" customHeight="1">
      <c r="A47" s="138" t="s">
        <v>746</v>
      </c>
      <c r="B47" s="155"/>
      <c r="C47" s="2041">
        <f>+C45/C48</f>
        <v>-3.6946598270662004E-2</v>
      </c>
      <c r="D47" s="152">
        <f>+D45/D48</f>
        <v>1.6215018073521933E-2</v>
      </c>
      <c r="E47" s="152"/>
      <c r="F47" s="152">
        <f>C47-D47</f>
        <v>-5.316161634418394E-2</v>
      </c>
      <c r="G47" s="1208">
        <f>IF(D47=0,0,C47/D47-1)</f>
        <v>-3.2785419111553993</v>
      </c>
      <c r="H47" s="155"/>
      <c r="I47" s="1246">
        <v>1.1593769282866026E-2</v>
      </c>
      <c r="J47" s="152"/>
      <c r="K47" s="152">
        <f>C47-I47</f>
        <v>-4.854036755352803E-2</v>
      </c>
      <c r="L47" s="1211">
        <f>C47/I47-1</f>
        <v>-4.1867632837289523</v>
      </c>
      <c r="N47" s="1256"/>
      <c r="O47" s="1256"/>
      <c r="P47" s="1256"/>
      <c r="Q47" s="1256"/>
      <c r="S47" s="1645"/>
      <c r="U47" s="2"/>
      <c r="V47" s="2"/>
      <c r="W47" s="2"/>
      <c r="X47" s="2"/>
      <c r="Y47" s="2"/>
      <c r="Z47" s="2"/>
      <c r="AA47" s="2"/>
      <c r="AB47" s="2"/>
      <c r="AC47" s="2"/>
      <c r="AD47" s="2"/>
      <c r="AE47" s="2"/>
      <c r="AF47" s="2"/>
      <c r="AG47" s="2"/>
      <c r="AH47" s="2"/>
      <c r="AI47" s="2"/>
      <c r="AJ47" s="2"/>
      <c r="AK47" s="2"/>
      <c r="AL47" s="2"/>
      <c r="AM47" s="2"/>
      <c r="AN47" s="2"/>
      <c r="AO47" s="2"/>
      <c r="AP47" s="2"/>
      <c r="AQ47" s="98"/>
      <c r="AR47" s="2"/>
    </row>
    <row r="48" spans="1:44" ht="12.75" customHeight="1">
      <c r="A48" s="2" t="s">
        <v>769</v>
      </c>
      <c r="B48" s="2"/>
      <c r="C48" s="2031">
        <f>BYD!BB103</f>
        <v>109.753</v>
      </c>
      <c r="D48" s="104">
        <f>BYD!AW103</f>
        <v>87.974000000000004</v>
      </c>
      <c r="E48" s="1103"/>
      <c r="F48" s="374">
        <f>C48-D48</f>
        <v>21.778999999999996</v>
      </c>
      <c r="G48" s="126">
        <f>IF(D48=0,0,C48/D48-1)</f>
        <v>0.24756177961670489</v>
      </c>
      <c r="H48" s="2"/>
      <c r="I48" s="1104">
        <v>109.471</v>
      </c>
      <c r="J48" s="1103"/>
      <c r="K48" s="374">
        <f>C48-I48</f>
        <v>0.28199999999999648</v>
      </c>
      <c r="L48" s="1204">
        <f>C48/I48-1</f>
        <v>2.5760247006056947E-3</v>
      </c>
      <c r="N48" s="2"/>
      <c r="O48" s="2"/>
      <c r="P48" s="2"/>
      <c r="Q48" s="2"/>
      <c r="U48" s="2"/>
      <c r="V48" s="2"/>
      <c r="W48" s="2"/>
      <c r="X48" s="2"/>
      <c r="Y48" s="2"/>
      <c r="Z48" s="2"/>
      <c r="AA48" s="2"/>
      <c r="AB48" s="2"/>
      <c r="AC48" s="2"/>
      <c r="AD48" s="2"/>
      <c r="AE48" s="2"/>
      <c r="AF48" s="2"/>
      <c r="AG48" s="2"/>
      <c r="AH48" s="2"/>
      <c r="AI48" s="2"/>
      <c r="AJ48" s="2"/>
      <c r="AK48" s="2"/>
      <c r="AL48" s="2"/>
      <c r="AM48" s="2"/>
      <c r="AN48" s="2"/>
      <c r="AO48" s="2"/>
      <c r="AP48" s="2"/>
      <c r="AQ48" s="98"/>
      <c r="AR48" s="2"/>
    </row>
    <row r="49" spans="1:44" ht="12.75" customHeight="1">
      <c r="A49" s="2"/>
      <c r="B49" s="2"/>
      <c r="C49" s="112"/>
      <c r="D49" s="77"/>
      <c r="E49" s="61"/>
      <c r="F49" s="2"/>
      <c r="G49" s="2"/>
      <c r="H49" s="2"/>
      <c r="I49" s="142"/>
      <c r="J49" s="61"/>
      <c r="K49" s="61"/>
      <c r="L49" s="2"/>
      <c r="N49" s="2"/>
      <c r="O49" s="2"/>
      <c r="P49" s="2"/>
      <c r="Q49" s="2"/>
      <c r="U49" s="2"/>
      <c r="V49" s="2"/>
      <c r="W49" s="2"/>
      <c r="X49" s="2"/>
      <c r="Y49" s="2"/>
      <c r="Z49" s="2"/>
      <c r="AA49" s="2"/>
      <c r="AB49" s="2"/>
      <c r="AC49" s="2"/>
      <c r="AD49" s="2"/>
      <c r="AE49" s="2"/>
      <c r="AF49" s="2"/>
      <c r="AG49" s="2"/>
      <c r="AH49" s="2"/>
      <c r="AI49" s="2"/>
      <c r="AJ49" s="2"/>
      <c r="AK49" s="2"/>
      <c r="AL49" s="2"/>
      <c r="AM49" s="2"/>
      <c r="AN49" s="2"/>
      <c r="AO49" s="2"/>
      <c r="AP49" s="2"/>
      <c r="AQ49" s="98"/>
      <c r="AR49" s="2"/>
    </row>
    <row r="50" spans="1:44" ht="12.75" customHeight="1">
      <c r="A50" s="1222" t="s">
        <v>1483</v>
      </c>
      <c r="B50" s="1223"/>
      <c r="C50" s="1224">
        <f>C23/C14</f>
        <v>0.29318683755786984</v>
      </c>
      <c r="D50" s="1400">
        <f>D23/D14</f>
        <v>0.3072516405235638</v>
      </c>
      <c r="E50" s="1225"/>
      <c r="F50" s="1223"/>
      <c r="G50" s="1226">
        <f>(C50-D50)</f>
        <v>-1.4064802965693957E-2</v>
      </c>
      <c r="H50" s="1223"/>
      <c r="I50" s="2234">
        <v>0.21395748519523566</v>
      </c>
      <c r="J50" s="1225"/>
      <c r="K50" s="1223"/>
      <c r="L50" s="1227">
        <f>(C50-I50)</f>
        <v>7.9229352362634176E-2</v>
      </c>
      <c r="N50" s="2"/>
      <c r="O50" s="2"/>
      <c r="P50" s="2"/>
      <c r="Q50" s="2"/>
      <c r="U50" s="2"/>
      <c r="V50" s="2"/>
      <c r="W50" s="2"/>
      <c r="X50" s="2"/>
      <c r="Y50" s="2"/>
      <c r="Z50" s="2"/>
      <c r="AA50" s="2"/>
      <c r="AB50" s="2"/>
      <c r="AC50" s="2"/>
      <c r="AD50" s="2"/>
      <c r="AE50" s="2"/>
      <c r="AF50" s="2"/>
      <c r="AG50" s="2"/>
      <c r="AH50" s="2"/>
      <c r="AI50" s="2"/>
      <c r="AJ50" s="2"/>
      <c r="AK50" s="2"/>
      <c r="AL50" s="2"/>
      <c r="AM50" s="2"/>
      <c r="AN50" s="2"/>
      <c r="AO50" s="2"/>
      <c r="AP50" s="2"/>
      <c r="AQ50" s="98"/>
      <c r="AR50" s="2"/>
    </row>
    <row r="51" spans="1:44" ht="12.75" customHeight="1">
      <c r="A51" s="1239" t="s">
        <v>514</v>
      </c>
      <c r="B51" s="1228"/>
      <c r="C51" s="1229">
        <f t="shared" ref="C51:D53" si="9">C17/C8</f>
        <v>0.26417199870578367</v>
      </c>
      <c r="D51" s="1230">
        <f t="shared" si="9"/>
        <v>0.25653189554201811</v>
      </c>
      <c r="E51" s="1230"/>
      <c r="F51" s="1228"/>
      <c r="G51" s="1231">
        <f>(C51-D51)</f>
        <v>7.6401031637655659E-3</v>
      </c>
      <c r="H51" s="1228"/>
      <c r="I51" s="1248">
        <v>0.27125403622435429</v>
      </c>
      <c r="J51" s="1230"/>
      <c r="K51" s="1228"/>
      <c r="L51" s="1232">
        <f>(C51-I51)</f>
        <v>-7.0820375185706164E-3</v>
      </c>
      <c r="M51" s="1404"/>
      <c r="N51" s="1647"/>
      <c r="O51" s="1647"/>
      <c r="P51" s="1647"/>
      <c r="Q51" s="1647"/>
      <c r="U51" s="2"/>
      <c r="V51" s="2"/>
      <c r="W51" s="2"/>
      <c r="X51" s="2"/>
      <c r="Y51" s="2"/>
      <c r="Z51" s="2"/>
      <c r="AA51" s="2"/>
      <c r="AB51" s="2"/>
      <c r="AC51" s="2"/>
      <c r="AD51" s="2"/>
      <c r="AE51" s="2"/>
      <c r="AF51" s="2"/>
      <c r="AG51" s="2"/>
      <c r="AH51" s="2"/>
      <c r="AI51" s="2"/>
      <c r="AJ51" s="2"/>
      <c r="AK51" s="2"/>
      <c r="AL51" s="2"/>
      <c r="AM51" s="2"/>
      <c r="AN51" s="2"/>
      <c r="AO51" s="2"/>
      <c r="AP51" s="2"/>
      <c r="AQ51" s="98"/>
      <c r="AR51" s="2"/>
    </row>
    <row r="52" spans="1:44" ht="12.75" customHeight="1">
      <c r="A52" s="1239" t="s">
        <v>515</v>
      </c>
      <c r="B52" s="1228"/>
      <c r="C52" s="1229">
        <f t="shared" si="9"/>
        <v>0.16735147937487665</v>
      </c>
      <c r="D52" s="1230">
        <f t="shared" si="9"/>
        <v>0.131483090804874</v>
      </c>
      <c r="E52" s="1230"/>
      <c r="F52" s="1228"/>
      <c r="G52" s="1231">
        <f>(C52-D52)</f>
        <v>3.5868388570002657E-2</v>
      </c>
      <c r="H52" s="1228"/>
      <c r="I52" s="1248">
        <v>0.13999796246364962</v>
      </c>
      <c r="J52" s="1230"/>
      <c r="K52" s="1228"/>
      <c r="L52" s="1232">
        <f>(C52-I52)</f>
        <v>2.7353516911227033E-2</v>
      </c>
      <c r="M52" s="1403"/>
      <c r="N52" s="98"/>
      <c r="O52" s="98"/>
      <c r="P52" s="98"/>
      <c r="Q52" s="98"/>
      <c r="U52" s="2"/>
      <c r="V52" s="2"/>
      <c r="W52" s="2"/>
      <c r="X52" s="2"/>
      <c r="Y52" s="2"/>
      <c r="Z52" s="2"/>
      <c r="AA52" s="2"/>
      <c r="AB52" s="2"/>
      <c r="AC52" s="2"/>
      <c r="AD52" s="2"/>
      <c r="AE52" s="2"/>
      <c r="AF52" s="2"/>
      <c r="AG52" s="2"/>
      <c r="AH52" s="2"/>
      <c r="AI52" s="2"/>
      <c r="AJ52" s="2"/>
      <c r="AK52" s="2"/>
      <c r="AL52" s="2"/>
      <c r="AM52" s="2"/>
      <c r="AN52" s="2"/>
      <c r="AO52" s="2"/>
      <c r="AP52" s="2"/>
      <c r="AQ52" s="98"/>
      <c r="AR52" s="2"/>
    </row>
    <row r="53" spans="1:44" ht="12.75" customHeight="1">
      <c r="A53" s="1239" t="s">
        <v>517</v>
      </c>
      <c r="B53" s="1228"/>
      <c r="C53" s="1229">
        <f t="shared" si="9"/>
        <v>0.2083671965072105</v>
      </c>
      <c r="D53" s="1230">
        <f t="shared" si="9"/>
        <v>0.21684117721513466</v>
      </c>
      <c r="E53" s="1230"/>
      <c r="F53" s="1228"/>
      <c r="G53" s="1231">
        <f>(C53-D53)</f>
        <v>-8.4739807079241558E-3</v>
      </c>
      <c r="H53" s="1228"/>
      <c r="I53" s="1248">
        <v>0.18356501256851737</v>
      </c>
      <c r="J53" s="1230"/>
      <c r="K53" s="1228"/>
      <c r="L53" s="1232">
        <f>(C53-I53)</f>
        <v>2.4802183938693129E-2</v>
      </c>
      <c r="M53" s="1403"/>
      <c r="N53" s="98"/>
      <c r="O53" s="98"/>
      <c r="P53" s="98"/>
      <c r="Q53" s="98"/>
      <c r="U53" s="2"/>
      <c r="V53" s="2"/>
      <c r="W53" s="2"/>
      <c r="X53" s="2"/>
      <c r="Y53" s="2"/>
      <c r="Z53" s="2"/>
      <c r="AA53" s="2"/>
      <c r="AB53" s="2"/>
      <c r="AC53" s="2"/>
      <c r="AD53" s="2"/>
      <c r="AE53" s="2"/>
      <c r="AF53" s="2"/>
      <c r="AG53" s="2"/>
      <c r="AH53" s="2"/>
      <c r="AI53" s="2"/>
      <c r="AJ53" s="2"/>
      <c r="AK53" s="2"/>
      <c r="AL53" s="2"/>
      <c r="AM53" s="2"/>
      <c r="AN53" s="2"/>
      <c r="AO53" s="2"/>
      <c r="AP53" s="2"/>
      <c r="AQ53" s="98"/>
      <c r="AR53" s="2"/>
    </row>
    <row r="54" spans="1:44" ht="12.75" customHeight="1">
      <c r="A54" s="1239" t="s">
        <v>516</v>
      </c>
      <c r="B54" s="1228"/>
      <c r="C54" s="1229">
        <f>C19/C10</f>
        <v>0.2083671965072105</v>
      </c>
      <c r="D54" s="1230">
        <f>D19/D10</f>
        <v>0.21684117721513466</v>
      </c>
      <c r="E54" s="1230"/>
      <c r="F54" s="1228"/>
      <c r="G54" s="1231">
        <f>(C54-D54)</f>
        <v>-8.4739807079241558E-3</v>
      </c>
      <c r="H54" s="1228"/>
      <c r="I54" s="1248">
        <v>0.18356501256851737</v>
      </c>
      <c r="J54" s="1230"/>
      <c r="K54" s="1228"/>
      <c r="L54" s="1232">
        <f>(C54-I54)</f>
        <v>2.4802183938693129E-2</v>
      </c>
      <c r="M54" s="1404"/>
      <c r="N54" s="105"/>
      <c r="O54" s="105"/>
      <c r="P54" s="105"/>
      <c r="Q54" s="105"/>
      <c r="U54" s="2"/>
      <c r="V54" s="2"/>
      <c r="W54" s="2"/>
      <c r="X54" s="2"/>
      <c r="Y54" s="2"/>
      <c r="Z54" s="2"/>
      <c r="AA54" s="2"/>
      <c r="AB54" s="2"/>
      <c r="AC54" s="2"/>
      <c r="AD54" s="2"/>
      <c r="AE54" s="2"/>
      <c r="AF54" s="2"/>
      <c r="AG54" s="2"/>
      <c r="AH54" s="2"/>
      <c r="AI54" s="2"/>
      <c r="AJ54" s="2"/>
      <c r="AK54" s="2"/>
      <c r="AL54" s="2"/>
      <c r="AM54" s="2"/>
      <c r="AN54" s="2"/>
      <c r="AO54" s="2"/>
      <c r="AP54" s="2"/>
      <c r="AQ54" s="98"/>
      <c r="AR54" s="2"/>
    </row>
    <row r="55" spans="1:44" ht="12.75" customHeight="1">
      <c r="A55" s="1240" t="s">
        <v>273</v>
      </c>
      <c r="B55" s="1233"/>
      <c r="C55" s="1234"/>
      <c r="D55" s="1235"/>
      <c r="E55" s="1235"/>
      <c r="F55" s="1233"/>
      <c r="G55" s="1235"/>
      <c r="H55" s="1233"/>
      <c r="I55" s="1249">
        <v>0.1464845926686931</v>
      </c>
      <c r="J55" s="1235"/>
      <c r="K55" s="1233"/>
      <c r="L55" s="1237"/>
      <c r="M55" s="1404"/>
      <c r="N55" s="105"/>
      <c r="O55" s="105"/>
      <c r="P55" s="105"/>
      <c r="Q55" s="105"/>
      <c r="U55" s="2"/>
      <c r="V55" s="2"/>
      <c r="W55" s="2"/>
      <c r="X55" s="2"/>
      <c r="Y55" s="2"/>
      <c r="Z55" s="2"/>
      <c r="AA55" s="2"/>
      <c r="AB55" s="2"/>
      <c r="AC55" s="2"/>
      <c r="AD55" s="2"/>
      <c r="AE55" s="2"/>
      <c r="AF55" s="2"/>
      <c r="AG55" s="2"/>
      <c r="AH55" s="2"/>
      <c r="AI55" s="2"/>
      <c r="AJ55" s="2"/>
      <c r="AK55" s="2"/>
      <c r="AL55" s="2"/>
      <c r="AM55" s="2"/>
      <c r="AN55" s="2"/>
      <c r="AO55" s="2"/>
      <c r="AP55" s="2"/>
      <c r="AQ55" s="98"/>
      <c r="AR55" s="2"/>
    </row>
    <row r="56" spans="1:44" ht="12.75" customHeight="1">
      <c r="A56" s="61"/>
      <c r="B56" s="61"/>
      <c r="C56" s="1435"/>
      <c r="D56" s="77"/>
      <c r="E56" s="61"/>
      <c r="F56" s="61"/>
      <c r="G56" s="61"/>
      <c r="H56" s="61"/>
      <c r="I56" s="1435"/>
      <c r="J56" s="61"/>
      <c r="K56" s="61"/>
      <c r="L56" s="61"/>
      <c r="M56" s="1404"/>
      <c r="N56" s="105"/>
      <c r="O56" s="105"/>
      <c r="P56" s="105"/>
      <c r="Q56" s="105"/>
      <c r="U56" s="2"/>
      <c r="V56" s="2"/>
      <c r="W56" s="2"/>
      <c r="X56" s="2"/>
      <c r="Y56" s="2"/>
      <c r="Z56" s="2"/>
      <c r="AA56" s="2"/>
      <c r="AB56" s="2"/>
      <c r="AC56" s="2"/>
      <c r="AD56" s="2"/>
      <c r="AE56" s="2"/>
      <c r="AF56" s="2"/>
      <c r="AG56" s="2"/>
      <c r="AH56" s="2"/>
      <c r="AI56" s="2"/>
      <c r="AJ56" s="2"/>
      <c r="AK56" s="2"/>
      <c r="AL56" s="2"/>
      <c r="AM56" s="2"/>
      <c r="AN56" s="2"/>
      <c r="AO56" s="2"/>
      <c r="AP56" s="2"/>
      <c r="AQ56" s="98"/>
      <c r="AR56" s="2"/>
    </row>
    <row r="57" spans="1:44" ht="12.75" customHeight="1">
      <c r="A57" s="61"/>
      <c r="B57" s="61"/>
      <c r="C57" s="374"/>
      <c r="D57" s="374"/>
      <c r="E57" s="61"/>
      <c r="F57" s="374"/>
      <c r="G57" s="95"/>
      <c r="H57" s="313"/>
      <c r="I57" s="376"/>
      <c r="J57" s="932"/>
      <c r="K57" s="374"/>
      <c r="L57" s="1204"/>
      <c r="N57" s="2"/>
      <c r="O57" s="2"/>
      <c r="P57" s="2"/>
      <c r="Q57" s="2"/>
      <c r="U57" s="1"/>
      <c r="V57" s="2"/>
      <c r="W57" s="1"/>
      <c r="X57" s="2"/>
      <c r="Y57" s="2"/>
      <c r="Z57" s="2"/>
      <c r="AA57" s="2"/>
      <c r="AB57" s="2"/>
      <c r="AC57" s="2"/>
      <c r="AD57" s="2"/>
      <c r="AE57" s="2"/>
      <c r="AF57" s="2"/>
      <c r="AG57" s="2"/>
      <c r="AH57" s="2"/>
      <c r="AI57" s="2"/>
      <c r="AJ57" s="2"/>
      <c r="AK57" s="2"/>
      <c r="AL57" s="2"/>
      <c r="AM57" s="2"/>
      <c r="AN57" s="2"/>
      <c r="AO57" s="2"/>
      <c r="AP57" s="2"/>
      <c r="AQ57" s="98"/>
      <c r="AR57" s="2"/>
    </row>
    <row r="58" spans="1:44" ht="12.75" customHeight="1">
      <c r="A58" s="743"/>
      <c r="B58" s="61"/>
      <c r="C58" s="1618"/>
      <c r="D58" s="1618"/>
      <c r="E58" s="61"/>
      <c r="F58" s="1618"/>
      <c r="G58" s="1433"/>
      <c r="H58" s="61"/>
      <c r="I58" s="1618"/>
      <c r="J58" s="1103"/>
      <c r="K58" s="452"/>
      <c r="L58" s="1252"/>
      <c r="M58" s="1404"/>
      <c r="N58" s="1404"/>
      <c r="O58" s="1404"/>
      <c r="P58" s="1404"/>
      <c r="Q58" s="1404"/>
      <c r="U58" s="105"/>
      <c r="V58" s="2"/>
      <c r="W58" s="105"/>
      <c r="X58" s="2"/>
      <c r="Y58" s="2"/>
      <c r="Z58" s="2"/>
      <c r="AA58" s="2"/>
      <c r="AB58" s="2"/>
      <c r="AC58" s="2"/>
      <c r="AD58" s="2"/>
      <c r="AE58" s="2"/>
      <c r="AF58" s="2"/>
      <c r="AG58" s="2"/>
      <c r="AH58" s="2"/>
      <c r="AI58" s="2"/>
      <c r="AJ58" s="2"/>
      <c r="AK58" s="2"/>
      <c r="AL58" s="2"/>
      <c r="AM58" s="2"/>
      <c r="AN58" s="2"/>
      <c r="AO58" s="2"/>
      <c r="AP58" s="2"/>
      <c r="AQ58" s="98"/>
      <c r="AR58" s="2"/>
    </row>
    <row r="59" spans="1:44" ht="12.75" customHeight="1">
      <c r="A59" s="1"/>
      <c r="B59" s="2"/>
      <c r="C59" s="1241"/>
      <c r="D59" s="1241"/>
      <c r="E59" s="61"/>
      <c r="F59" s="374"/>
      <c r="G59" s="95"/>
      <c r="H59" s="61"/>
      <c r="I59" s="1434"/>
      <c r="J59" s="1103"/>
      <c r="K59" s="1241"/>
      <c r="L59" s="1204"/>
      <c r="N59" s="1143"/>
      <c r="O59" s="1143"/>
      <c r="P59" s="1143"/>
      <c r="Q59" s="1143"/>
      <c r="AQ59" s="1403"/>
    </row>
    <row r="60" spans="1:44" ht="4.5" customHeight="1">
      <c r="A60" s="2"/>
      <c r="B60" s="2"/>
      <c r="C60" s="61"/>
      <c r="D60" s="77"/>
      <c r="E60" s="61"/>
      <c r="F60" s="61"/>
      <c r="G60" s="61"/>
      <c r="H60" s="61"/>
      <c r="I60" s="61"/>
      <c r="J60" s="2"/>
      <c r="K60" s="2"/>
      <c r="L60" s="2"/>
      <c r="N60" s="2"/>
      <c r="O60" s="2"/>
      <c r="P60" s="2"/>
      <c r="Q60" s="2"/>
      <c r="AQ60" s="1403"/>
    </row>
    <row r="61" spans="1:44" ht="6" customHeight="1">
      <c r="A61" s="2"/>
      <c r="B61" s="2"/>
      <c r="C61" s="2"/>
      <c r="D61" s="1062"/>
      <c r="E61" s="2"/>
      <c r="F61" s="2"/>
      <c r="G61" s="2"/>
      <c r="H61" s="2"/>
      <c r="I61" s="2"/>
      <c r="J61" s="2"/>
      <c r="K61" s="2"/>
      <c r="L61" s="2"/>
      <c r="N61" s="2"/>
      <c r="O61" s="2"/>
      <c r="P61" s="2"/>
      <c r="Q61" s="2"/>
      <c r="AQ61" s="1403"/>
    </row>
    <row r="62" spans="1:44" ht="12.75" customHeight="1">
      <c r="A62" s="2"/>
      <c r="B62" s="2"/>
      <c r="C62" s="2"/>
      <c r="D62" s="1648"/>
      <c r="E62" s="2"/>
      <c r="F62" s="2"/>
      <c r="G62" s="2"/>
      <c r="H62" s="2"/>
      <c r="I62" s="2"/>
      <c r="J62" s="2"/>
      <c r="K62" s="2"/>
      <c r="L62" s="2"/>
      <c r="N62" s="2"/>
      <c r="O62" s="2"/>
      <c r="P62" s="2"/>
      <c r="Q62" s="2"/>
      <c r="AQ62" s="1403"/>
    </row>
    <row r="63" spans="1:44" ht="12.75" customHeight="1">
      <c r="A63" s="2"/>
      <c r="B63" s="2"/>
      <c r="C63" s="2"/>
      <c r="D63" s="1062"/>
      <c r="E63" s="2"/>
      <c r="F63" s="2"/>
      <c r="G63" s="2"/>
      <c r="H63" s="2"/>
      <c r="I63" s="2"/>
      <c r="J63" s="2"/>
      <c r="K63" s="2"/>
      <c r="L63" s="2"/>
      <c r="N63" s="2"/>
      <c r="O63" s="2"/>
      <c r="P63" s="2"/>
      <c r="Q63" s="2"/>
      <c r="AQ63" s="1403"/>
    </row>
    <row r="64" spans="1:44" ht="12.75" customHeight="1">
      <c r="A64" s="2"/>
      <c r="B64" s="2"/>
      <c r="C64" s="2"/>
      <c r="D64" s="1062"/>
      <c r="E64" s="2"/>
      <c r="F64" s="2"/>
      <c r="G64" s="2"/>
      <c r="H64" s="2"/>
      <c r="I64" s="2"/>
      <c r="J64" s="2"/>
      <c r="K64" s="2"/>
      <c r="L64" s="2"/>
      <c r="N64" s="2"/>
      <c r="O64" s="2"/>
      <c r="P64" s="2"/>
      <c r="Q64" s="2"/>
      <c r="AQ64" s="1403"/>
    </row>
    <row r="65" spans="1:44" ht="12.75" customHeight="1">
      <c r="A65" s="2"/>
      <c r="B65" s="2"/>
      <c r="C65" s="2"/>
      <c r="D65" s="1062"/>
      <c r="E65" s="2"/>
      <c r="F65" s="2"/>
      <c r="G65" s="2"/>
      <c r="H65" s="2"/>
      <c r="I65" s="2"/>
      <c r="J65" s="2"/>
      <c r="K65" s="2"/>
      <c r="L65" s="2"/>
      <c r="N65" s="2"/>
      <c r="O65" s="2"/>
      <c r="P65" s="2"/>
      <c r="Q65" s="2"/>
      <c r="AQ65" s="1403"/>
    </row>
    <row r="66" spans="1:44" ht="12.75" customHeight="1">
      <c r="A66" s="2"/>
      <c r="B66" s="2"/>
      <c r="C66" s="2"/>
      <c r="D66" s="1062"/>
      <c r="E66" s="2"/>
      <c r="F66" s="2"/>
      <c r="G66" s="2"/>
      <c r="H66" s="2"/>
      <c r="I66" s="2"/>
      <c r="J66" s="2"/>
      <c r="K66" s="2"/>
      <c r="L66" s="2"/>
      <c r="N66" s="2"/>
      <c r="O66" s="2"/>
      <c r="P66" s="2"/>
      <c r="Q66" s="2"/>
      <c r="AQ66" s="1403"/>
    </row>
    <row r="67" spans="1:44" ht="12.75" customHeight="1">
      <c r="A67" s="2"/>
      <c r="B67" s="2"/>
      <c r="C67" s="2"/>
      <c r="D67" s="1062"/>
      <c r="E67" s="2"/>
      <c r="F67" s="2"/>
      <c r="G67" s="2"/>
      <c r="H67" s="2"/>
      <c r="I67" s="2"/>
      <c r="J67" s="2"/>
      <c r="K67" s="2"/>
      <c r="L67" s="2"/>
      <c r="M67" s="69" t="s">
        <v>318</v>
      </c>
      <c r="R67" s="2"/>
      <c r="S67" s="2"/>
      <c r="T67" s="2"/>
      <c r="AQ67" s="1403"/>
    </row>
    <row r="68" spans="1:44" ht="12.75" customHeight="1">
      <c r="A68" s="2"/>
      <c r="B68" s="2"/>
      <c r="C68" s="2"/>
      <c r="D68" s="1062"/>
      <c r="E68" s="2"/>
      <c r="F68" s="2"/>
      <c r="G68" s="2"/>
      <c r="H68" s="2"/>
      <c r="I68" s="2"/>
      <c r="J68" s="2"/>
      <c r="K68" s="2"/>
      <c r="L68" s="2"/>
      <c r="M68" s="2" t="s">
        <v>319</v>
      </c>
      <c r="N68" s="2" t="s">
        <v>320</v>
      </c>
      <c r="O68" s="2"/>
      <c r="P68" s="2"/>
      <c r="Q68" s="2"/>
      <c r="R68" s="2" t="s">
        <v>321</v>
      </c>
      <c r="S68" s="98">
        <v>62.5</v>
      </c>
      <c r="T68" s="98"/>
      <c r="AQ68" s="1403"/>
    </row>
    <row r="69" spans="1:44" ht="12.75" customHeight="1">
      <c r="A69" s="2"/>
      <c r="B69" s="2"/>
      <c r="C69" s="2"/>
      <c r="D69" s="1062"/>
      <c r="E69" s="2"/>
      <c r="F69" s="2"/>
      <c r="G69" s="2"/>
      <c r="H69" s="2"/>
      <c r="I69" s="2"/>
      <c r="J69" s="2"/>
      <c r="K69" s="2"/>
      <c r="L69" s="2"/>
      <c r="M69" s="2"/>
      <c r="N69" s="2" t="s">
        <v>322</v>
      </c>
      <c r="O69" s="2"/>
      <c r="P69" s="2"/>
      <c r="Q69" s="2"/>
      <c r="R69" s="2" t="s">
        <v>321</v>
      </c>
      <c r="S69" s="98">
        <v>87.5</v>
      </c>
      <c r="T69" s="98"/>
      <c r="AQ69" s="1403"/>
    </row>
    <row r="70" spans="1:44" ht="12.75" customHeight="1">
      <c r="A70" s="2"/>
      <c r="B70" s="2"/>
      <c r="C70" s="2"/>
      <c r="D70" s="1062"/>
      <c r="E70" s="2"/>
      <c r="F70" s="2"/>
      <c r="G70" s="2"/>
      <c r="H70" s="2"/>
      <c r="I70" s="2"/>
      <c r="J70" s="2"/>
      <c r="K70" s="2"/>
      <c r="L70" s="2"/>
      <c r="M70" s="2"/>
      <c r="N70" s="2" t="s">
        <v>323</v>
      </c>
      <c r="O70" s="2"/>
      <c r="P70" s="2"/>
      <c r="Q70" s="2"/>
      <c r="R70" s="2" t="s">
        <v>321</v>
      </c>
      <c r="S70" s="98">
        <v>100</v>
      </c>
      <c r="T70" s="98"/>
      <c r="AQ70" s="1403"/>
    </row>
    <row r="71" spans="1:44" ht="12.75" customHeight="1">
      <c r="A71" s="2"/>
      <c r="B71" s="2"/>
      <c r="C71" s="2"/>
      <c r="D71" s="1062"/>
      <c r="E71" s="2"/>
      <c r="F71" s="2"/>
      <c r="G71" s="2"/>
      <c r="H71" s="2"/>
      <c r="I71" s="2"/>
      <c r="J71" s="2"/>
      <c r="K71" s="2"/>
      <c r="L71" s="2"/>
      <c r="M71" s="2"/>
      <c r="N71" s="2" t="s">
        <v>324</v>
      </c>
      <c r="O71" s="2"/>
      <c r="P71" s="2"/>
      <c r="Q71" s="2"/>
      <c r="R71" s="2" t="s">
        <v>321</v>
      </c>
      <c r="S71" s="98">
        <v>112.5</v>
      </c>
      <c r="T71" s="98"/>
      <c r="AQ71" s="1403"/>
    </row>
    <row r="72" spans="1:44" ht="12.75" customHeight="1">
      <c r="A72" s="2"/>
      <c r="B72" s="2"/>
      <c r="C72" s="2"/>
      <c r="D72" s="1062"/>
      <c r="E72" s="2"/>
      <c r="F72" s="2"/>
      <c r="G72" s="2"/>
      <c r="H72" s="2"/>
      <c r="I72" s="2"/>
      <c r="J72" s="2"/>
      <c r="K72" s="2"/>
      <c r="L72" s="2"/>
      <c r="M72" s="2"/>
      <c r="N72" s="2" t="s">
        <v>325</v>
      </c>
      <c r="O72" s="2"/>
      <c r="P72" s="2"/>
      <c r="Q72" s="2"/>
      <c r="R72" s="2" t="s">
        <v>321</v>
      </c>
      <c r="S72" s="98">
        <v>137.5</v>
      </c>
      <c r="T72" s="98"/>
      <c r="AQ72" s="1403"/>
    </row>
    <row r="73" spans="1:44" ht="12.75" customHeight="1">
      <c r="A73" s="2"/>
      <c r="B73" s="2"/>
      <c r="C73" s="2"/>
      <c r="D73" s="1062"/>
      <c r="E73" s="2"/>
      <c r="F73" s="2"/>
      <c r="G73" s="2"/>
      <c r="H73" s="2"/>
      <c r="I73" s="2"/>
      <c r="J73" s="2"/>
      <c r="K73" s="2"/>
      <c r="L73" s="2"/>
      <c r="M73" s="2"/>
      <c r="N73" s="2" t="s">
        <v>326</v>
      </c>
      <c r="O73" s="2"/>
      <c r="P73" s="2"/>
      <c r="Q73" s="2"/>
      <c r="R73" s="2" t="s">
        <v>321</v>
      </c>
      <c r="S73" s="98">
        <v>162.5</v>
      </c>
      <c r="T73" s="98"/>
      <c r="AQ73" s="1403"/>
    </row>
    <row r="74" spans="1:44" ht="12.75" customHeight="1">
      <c r="A74" s="2"/>
      <c r="B74" s="2"/>
      <c r="C74" s="2"/>
      <c r="D74" s="1062"/>
      <c r="E74" s="2"/>
      <c r="F74" s="2"/>
      <c r="G74" s="2"/>
      <c r="H74" s="2"/>
      <c r="I74" s="2"/>
      <c r="J74" s="2"/>
      <c r="K74" s="2"/>
      <c r="L74" s="2"/>
      <c r="N74" s="2"/>
      <c r="O74" s="2"/>
      <c r="P74" s="2"/>
      <c r="Q74" s="2"/>
      <c r="U74" s="2"/>
      <c r="V74" s="2"/>
      <c r="W74" s="2"/>
      <c r="X74" s="2"/>
      <c r="Y74" s="2"/>
      <c r="Z74" s="2"/>
      <c r="AA74" s="2"/>
      <c r="AB74" s="2"/>
      <c r="AC74" s="2"/>
      <c r="AD74" s="2"/>
      <c r="AE74" s="2"/>
      <c r="AF74" s="2"/>
      <c r="AG74" s="2"/>
      <c r="AH74" s="2"/>
      <c r="AI74" s="2"/>
      <c r="AJ74" s="2"/>
      <c r="AK74" s="2"/>
      <c r="AL74" s="2"/>
      <c r="AM74" s="2"/>
      <c r="AN74" s="2"/>
      <c r="AO74" s="2"/>
      <c r="AP74" s="2"/>
      <c r="AQ74" s="98"/>
      <c r="AR74" s="2"/>
    </row>
    <row r="75" spans="1:44" ht="12.75" customHeight="1">
      <c r="A75" s="2"/>
      <c r="B75" s="2"/>
      <c r="C75" s="2"/>
      <c r="D75" s="1062"/>
      <c r="E75" s="2"/>
      <c r="F75" s="2"/>
      <c r="G75" s="2"/>
      <c r="H75" s="2"/>
      <c r="I75" s="2"/>
      <c r="J75" s="2"/>
      <c r="K75" s="2"/>
      <c r="L75" s="2"/>
      <c r="N75" s="2"/>
      <c r="O75" s="2"/>
      <c r="P75" s="2"/>
      <c r="Q75" s="2"/>
      <c r="U75" s="2"/>
      <c r="V75" s="2"/>
      <c r="W75" s="2"/>
      <c r="X75" s="2"/>
      <c r="Y75" s="2"/>
      <c r="Z75" s="2"/>
      <c r="AA75" s="2"/>
      <c r="AB75" s="2"/>
      <c r="AC75" s="2"/>
      <c r="AD75" s="2"/>
      <c r="AE75" s="2"/>
      <c r="AF75" s="2"/>
      <c r="AG75" s="2"/>
      <c r="AH75" s="2"/>
      <c r="AI75" s="2"/>
      <c r="AJ75" s="2"/>
      <c r="AK75" s="2"/>
      <c r="AL75" s="2"/>
      <c r="AM75" s="2"/>
      <c r="AN75" s="2"/>
      <c r="AO75" s="2"/>
      <c r="AP75" s="2"/>
      <c r="AQ75" s="98"/>
      <c r="AR75" s="2"/>
    </row>
    <row r="76" spans="1:44" ht="12.75" customHeight="1">
      <c r="A76" s="2"/>
      <c r="B76" s="2"/>
      <c r="C76" s="2"/>
      <c r="D76" s="1062"/>
      <c r="E76" s="2"/>
      <c r="F76" s="2"/>
      <c r="G76" s="2"/>
      <c r="H76" s="2"/>
      <c r="I76" s="2"/>
      <c r="J76" s="2"/>
      <c r="K76" s="2"/>
      <c r="L76" s="2"/>
      <c r="N76" s="2"/>
      <c r="O76" s="2"/>
      <c r="P76" s="2"/>
      <c r="Q76" s="2"/>
      <c r="U76" s="1" t="s">
        <v>1140</v>
      </c>
      <c r="V76" s="1"/>
      <c r="W76" s="2"/>
      <c r="X76" s="2"/>
      <c r="Y76" s="2"/>
      <c r="Z76" s="2"/>
      <c r="AA76" s="2"/>
      <c r="AB76" s="2"/>
      <c r="AC76" s="2"/>
      <c r="AD76" s="2"/>
      <c r="AE76" s="2"/>
      <c r="AF76" s="2"/>
      <c r="AG76" s="2"/>
      <c r="AH76" s="2"/>
      <c r="AI76" s="2"/>
      <c r="AJ76" s="2"/>
      <c r="AK76" s="2"/>
      <c r="AL76" s="2"/>
      <c r="AM76" s="2"/>
      <c r="AN76" s="2"/>
      <c r="AO76" s="2"/>
      <c r="AP76" s="2"/>
      <c r="AQ76" s="98"/>
      <c r="AR76" s="2"/>
    </row>
    <row r="77" spans="1:44" ht="12.75" customHeight="1">
      <c r="A77" s="2"/>
      <c r="B77" s="2"/>
      <c r="C77" s="2"/>
      <c r="D77" s="1062"/>
      <c r="E77" s="2"/>
      <c r="F77" s="2"/>
      <c r="G77" s="2"/>
      <c r="H77" s="2"/>
      <c r="I77" s="2"/>
      <c r="J77" s="2"/>
      <c r="K77" s="2"/>
      <c r="L77" s="2"/>
      <c r="N77" s="2"/>
      <c r="O77" s="2"/>
      <c r="P77" s="2"/>
      <c r="Q77" s="2"/>
      <c r="U77" s="1"/>
      <c r="V77" s="1"/>
      <c r="W77" s="2"/>
      <c r="X77" s="2"/>
      <c r="Y77" s="2"/>
      <c r="Z77" s="2"/>
      <c r="AA77" s="2"/>
      <c r="AB77" s="2"/>
      <c r="AC77" s="2"/>
      <c r="AD77" s="2"/>
      <c r="AE77" s="2"/>
      <c r="AF77" s="2"/>
      <c r="AG77" s="2"/>
      <c r="AH77" s="2"/>
      <c r="AI77" s="2"/>
      <c r="AJ77" s="2"/>
      <c r="AK77" s="2"/>
      <c r="AL77" s="2"/>
      <c r="AM77" s="2"/>
      <c r="AN77" s="2"/>
      <c r="AO77" s="2"/>
      <c r="AP77" s="2"/>
      <c r="AQ77" s="98"/>
      <c r="AR77" s="2"/>
    </row>
    <row r="78" spans="1:44" ht="12.75" customHeight="1">
      <c r="A78" s="2"/>
      <c r="B78" s="2"/>
      <c r="C78" s="2"/>
      <c r="D78" s="1062"/>
      <c r="E78" s="2"/>
      <c r="F78" s="2"/>
      <c r="G78" s="2"/>
      <c r="H78" s="2"/>
      <c r="I78" s="2"/>
      <c r="J78" s="2"/>
      <c r="K78" s="2"/>
      <c r="L78" s="2"/>
      <c r="N78" s="2"/>
      <c r="O78" s="2"/>
      <c r="P78" s="2"/>
      <c r="Q78" s="2"/>
      <c r="U78" s="2" t="s">
        <v>1144</v>
      </c>
      <c r="V78" s="2"/>
      <c r="W78" s="2"/>
      <c r="X78" s="2"/>
      <c r="Y78" s="2"/>
      <c r="Z78" s="2"/>
      <c r="AA78" s="2"/>
      <c r="AB78" s="2"/>
      <c r="AC78" s="2"/>
      <c r="AD78" s="2"/>
      <c r="AE78" s="2"/>
      <c r="AF78" s="2"/>
      <c r="AG78" s="2"/>
      <c r="AH78" s="2"/>
      <c r="AI78" s="2"/>
      <c r="AJ78" s="2"/>
      <c r="AK78" s="2"/>
      <c r="AL78" s="2"/>
      <c r="AM78" s="2"/>
      <c r="AN78" s="2"/>
      <c r="AO78" s="2"/>
      <c r="AP78" s="2"/>
      <c r="AQ78" s="98"/>
      <c r="AR78" s="2"/>
    </row>
    <row r="79" spans="1:44" ht="12.75" customHeight="1">
      <c r="A79" s="2"/>
      <c r="B79" s="2"/>
      <c r="C79" s="2"/>
      <c r="D79" s="1062"/>
      <c r="E79" s="2"/>
      <c r="F79" s="2"/>
      <c r="G79" s="2"/>
      <c r="H79" s="2"/>
      <c r="I79" s="2"/>
      <c r="J79" s="2"/>
      <c r="K79" s="2"/>
      <c r="L79" s="2"/>
      <c r="N79" s="2"/>
      <c r="O79" s="2"/>
      <c r="P79" s="2"/>
      <c r="Q79" s="2"/>
      <c r="U79" s="2"/>
      <c r="V79" s="2"/>
      <c r="W79" s="2"/>
      <c r="X79" s="2"/>
      <c r="Y79" s="2"/>
      <c r="Z79" s="2"/>
      <c r="AA79" s="2"/>
      <c r="AB79" s="2"/>
      <c r="AC79" s="2"/>
      <c r="AD79" s="2"/>
      <c r="AE79" s="2"/>
      <c r="AF79" s="2"/>
      <c r="AG79" s="2"/>
      <c r="AH79" s="2"/>
      <c r="AI79" s="2"/>
      <c r="AJ79" s="2"/>
      <c r="AK79" s="2"/>
      <c r="AL79" s="2"/>
      <c r="AM79" s="2"/>
      <c r="AN79" s="2"/>
      <c r="AO79" s="2"/>
      <c r="AP79" s="2"/>
      <c r="AQ79" s="98"/>
      <c r="AR79" s="2"/>
    </row>
    <row r="80" spans="1:44" ht="12.75" customHeight="1">
      <c r="A80" s="2"/>
      <c r="B80" s="2"/>
      <c r="C80" s="2"/>
      <c r="D80" s="1062"/>
      <c r="E80" s="2"/>
      <c r="F80" s="2"/>
      <c r="G80" s="2"/>
      <c r="H80" s="2"/>
      <c r="I80" s="2"/>
      <c r="J80" s="2"/>
      <c r="K80" s="2"/>
      <c r="L80" s="2"/>
      <c r="N80" s="2"/>
      <c r="O80" s="2"/>
      <c r="P80" s="2"/>
      <c r="Q80" s="2"/>
      <c r="U80" s="2"/>
      <c r="V80" s="2"/>
      <c r="W80" s="1197" t="s">
        <v>55</v>
      </c>
      <c r="X80" s="1197"/>
      <c r="Y80" s="1197"/>
      <c r="Z80" s="1196"/>
      <c r="AA80" s="1196"/>
      <c r="AB80" s="2"/>
      <c r="AC80" s="2"/>
      <c r="AD80" s="2"/>
      <c r="AE80" s="2"/>
      <c r="AF80" s="2"/>
      <c r="AG80" s="2"/>
      <c r="AH80" s="2"/>
      <c r="AI80" s="2"/>
      <c r="AJ80" s="2"/>
      <c r="AK80" s="2"/>
      <c r="AL80" s="2"/>
      <c r="AM80" s="2"/>
      <c r="AN80" s="2"/>
      <c r="AO80" s="2"/>
      <c r="AP80" s="2"/>
      <c r="AQ80" s="98"/>
      <c r="AR80" s="2"/>
    </row>
    <row r="81" spans="1:44" ht="12.75" customHeight="1">
      <c r="A81" s="2"/>
      <c r="B81" s="2"/>
      <c r="C81" s="2"/>
      <c r="D81" s="1062"/>
      <c r="E81" s="2"/>
      <c r="F81" s="2"/>
      <c r="G81" s="2"/>
      <c r="H81" s="2"/>
      <c r="I81" s="2"/>
      <c r="J81" s="2"/>
      <c r="K81" s="2"/>
      <c r="L81" s="2"/>
      <c r="N81" s="2"/>
      <c r="O81" s="2"/>
      <c r="P81" s="2"/>
      <c r="Q81" s="2"/>
      <c r="U81" s="69"/>
      <c r="V81" s="69"/>
      <c r="W81" s="1289" t="s">
        <v>1142</v>
      </c>
      <c r="X81" s="1289"/>
      <c r="Y81" s="1289" t="s">
        <v>1143</v>
      </c>
      <c r="Z81" s="1289"/>
      <c r="AA81" s="1289" t="s">
        <v>829</v>
      </c>
      <c r="AB81" s="2"/>
      <c r="AC81" s="2"/>
      <c r="AD81" s="2"/>
      <c r="AE81" s="2"/>
      <c r="AF81" s="2"/>
      <c r="AG81" s="2"/>
      <c r="AH81" s="2"/>
      <c r="AI81" s="2"/>
      <c r="AJ81" s="2"/>
      <c r="AK81" s="2"/>
      <c r="AL81" s="2"/>
      <c r="AM81" s="2"/>
      <c r="AN81" s="2"/>
      <c r="AO81" s="2"/>
      <c r="AP81" s="2"/>
      <c r="AQ81" s="98"/>
      <c r="AR81" s="2"/>
    </row>
    <row r="82" spans="1:44" ht="12.75" customHeight="1">
      <c r="A82" s="2"/>
      <c r="B82" s="2"/>
      <c r="C82" s="2"/>
      <c r="D82" s="1062"/>
      <c r="E82" s="2"/>
      <c r="F82" s="2"/>
      <c r="G82" s="2"/>
      <c r="H82" s="2"/>
      <c r="I82" s="2"/>
      <c r="J82" s="2"/>
      <c r="K82" s="2"/>
      <c r="L82" s="2"/>
      <c r="N82" s="2"/>
      <c r="O82" s="2"/>
      <c r="P82" s="2"/>
      <c r="Q82" s="2"/>
      <c r="U82" s="2" t="s">
        <v>935</v>
      </c>
      <c r="V82" s="2"/>
      <c r="W82" s="1102"/>
      <c r="X82" s="98"/>
      <c r="Y82" s="1102"/>
      <c r="Z82" s="98"/>
      <c r="AA82" s="105"/>
      <c r="AB82" s="2"/>
      <c r="AC82" s="2"/>
      <c r="AD82" s="2"/>
      <c r="AE82" s="2"/>
      <c r="AF82" s="2"/>
      <c r="AG82" s="2"/>
      <c r="AH82" s="2"/>
      <c r="AI82" s="2"/>
      <c r="AJ82" s="2"/>
      <c r="AK82" s="2"/>
      <c r="AL82" s="2"/>
      <c r="AM82" s="2"/>
      <c r="AN82" s="2"/>
      <c r="AO82" s="2"/>
      <c r="AP82" s="2"/>
      <c r="AQ82" s="98"/>
      <c r="AR82" s="2"/>
    </row>
    <row r="83" spans="1:44" ht="12.75" customHeight="1">
      <c r="A83" s="2"/>
      <c r="B83" s="2"/>
      <c r="C83" s="2"/>
      <c r="D83" s="1062"/>
      <c r="E83" s="2"/>
      <c r="F83" s="2"/>
      <c r="G83" s="2"/>
      <c r="H83" s="2"/>
      <c r="I83" s="2"/>
      <c r="J83" s="2"/>
      <c r="K83" s="2"/>
      <c r="L83" s="2"/>
      <c r="N83" s="2"/>
      <c r="O83" s="2"/>
      <c r="P83" s="2"/>
      <c r="Q83" s="2"/>
      <c r="U83" s="2" t="s">
        <v>1141</v>
      </c>
      <c r="V83" s="2"/>
      <c r="W83" s="1102"/>
      <c r="X83" s="98"/>
      <c r="Y83" s="1102"/>
      <c r="Z83" s="98"/>
      <c r="AA83" s="105"/>
      <c r="AB83" s="2"/>
      <c r="AC83" s="2"/>
      <c r="AD83" s="2"/>
      <c r="AE83" s="2"/>
      <c r="AF83" s="2"/>
      <c r="AG83" s="2"/>
      <c r="AH83" s="2"/>
      <c r="AI83" s="2"/>
      <c r="AJ83" s="2"/>
      <c r="AK83" s="2"/>
      <c r="AL83" s="2"/>
      <c r="AM83" s="2"/>
      <c r="AN83" s="2"/>
      <c r="AO83" s="2"/>
      <c r="AP83" s="2"/>
      <c r="AQ83" s="98"/>
      <c r="AR83" s="2"/>
    </row>
    <row r="84" spans="1:44" ht="12.75" customHeight="1">
      <c r="A84" s="2"/>
      <c r="B84" s="2"/>
      <c r="C84" s="2"/>
      <c r="D84" s="1062"/>
      <c r="E84" s="2"/>
      <c r="F84" s="2"/>
      <c r="G84" s="2"/>
      <c r="H84" s="2"/>
      <c r="I84" s="2"/>
      <c r="J84" s="2"/>
      <c r="K84" s="2"/>
      <c r="L84" s="2"/>
      <c r="N84" s="2"/>
      <c r="O84" s="2"/>
      <c r="P84" s="2"/>
      <c r="Q84" s="2"/>
      <c r="U84" s="2" t="s">
        <v>200</v>
      </c>
      <c r="V84" s="2"/>
      <c r="W84" s="1401"/>
      <c r="X84" s="1336"/>
      <c r="Y84" s="1401"/>
      <c r="Z84" s="1336"/>
      <c r="AA84" s="105"/>
      <c r="AB84" s="2"/>
      <c r="AC84" s="2"/>
      <c r="AD84" s="2"/>
      <c r="AE84" s="2"/>
      <c r="AF84" s="2"/>
      <c r="AG84" s="2"/>
      <c r="AH84" s="2"/>
      <c r="AI84" s="2"/>
      <c r="AJ84" s="2"/>
      <c r="AK84" s="2"/>
      <c r="AL84" s="2"/>
      <c r="AM84" s="2"/>
      <c r="AN84" s="2"/>
      <c r="AO84" s="2"/>
      <c r="AP84" s="2"/>
      <c r="AQ84" s="98"/>
      <c r="AR84" s="2"/>
    </row>
    <row r="85" spans="1:44" ht="12.75" customHeight="1">
      <c r="A85" s="2"/>
      <c r="B85" s="2"/>
      <c r="C85" s="2"/>
      <c r="D85" s="1062"/>
      <c r="E85" s="2"/>
      <c r="F85" s="2"/>
      <c r="G85" s="2"/>
      <c r="H85" s="2"/>
      <c r="I85" s="2"/>
      <c r="J85" s="2"/>
      <c r="K85" s="2"/>
      <c r="L85" s="2"/>
      <c r="N85" s="2"/>
      <c r="O85" s="2"/>
      <c r="P85" s="2"/>
      <c r="Q85" s="2"/>
      <c r="U85" s="2"/>
      <c r="V85" s="2"/>
      <c r="W85" s="2"/>
      <c r="X85" s="2"/>
      <c r="Y85" s="2"/>
      <c r="Z85" s="2"/>
      <c r="AA85" s="2"/>
      <c r="AB85" s="2"/>
      <c r="AC85" s="2"/>
      <c r="AD85" s="2"/>
      <c r="AE85" s="2"/>
      <c r="AF85" s="2"/>
      <c r="AG85" s="2"/>
      <c r="AH85" s="2"/>
      <c r="AI85" s="2"/>
      <c r="AJ85" s="2"/>
      <c r="AK85" s="2"/>
      <c r="AL85" s="2"/>
      <c r="AM85" s="2"/>
      <c r="AN85" s="2"/>
      <c r="AO85" s="2"/>
      <c r="AP85" s="2"/>
      <c r="AQ85" s="98"/>
      <c r="AR85" s="2"/>
    </row>
    <row r="86" spans="1:44" ht="12.75" customHeight="1">
      <c r="A86" s="2"/>
      <c r="B86" s="2"/>
      <c r="C86" s="2"/>
      <c r="D86" s="1062"/>
      <c r="E86" s="2"/>
      <c r="F86" s="2"/>
      <c r="G86" s="2"/>
      <c r="H86" s="2"/>
      <c r="I86" s="2"/>
      <c r="J86" s="2"/>
      <c r="K86" s="2"/>
      <c r="L86" s="2"/>
      <c r="N86" s="2"/>
      <c r="O86" s="2"/>
      <c r="P86" s="2"/>
      <c r="Q86" s="2"/>
      <c r="U86" s="2"/>
      <c r="V86" s="2"/>
      <c r="W86" s="2"/>
      <c r="X86" s="2"/>
      <c r="Y86" s="2"/>
      <c r="Z86" s="2"/>
      <c r="AA86" s="2"/>
      <c r="AB86" s="2"/>
      <c r="AC86" s="1" t="s">
        <v>1650</v>
      </c>
      <c r="AD86" s="2"/>
      <c r="AE86" s="2"/>
      <c r="AF86" s="2"/>
      <c r="AG86" s="2"/>
      <c r="AH86" s="105"/>
      <c r="AI86" s="2"/>
      <c r="AJ86" s="2"/>
      <c r="AK86" s="2"/>
      <c r="AL86" s="2"/>
      <c r="AM86" s="2"/>
      <c r="AN86" s="2"/>
      <c r="AO86" s="2"/>
      <c r="AP86" s="2"/>
      <c r="AQ86" s="98"/>
      <c r="AR86" s="2"/>
    </row>
    <row r="87" spans="1:44" ht="12.75" customHeight="1">
      <c r="A87" s="2"/>
      <c r="B87" s="2"/>
      <c r="C87" s="2"/>
      <c r="D87" s="1062"/>
      <c r="E87" s="2"/>
      <c r="F87" s="2"/>
      <c r="G87" s="2"/>
      <c r="H87" s="2"/>
      <c r="I87" s="2"/>
      <c r="J87" s="2"/>
      <c r="K87" s="2"/>
      <c r="L87" s="2"/>
      <c r="N87" s="2"/>
      <c r="O87" s="2"/>
      <c r="P87" s="2"/>
      <c r="Q87" s="2"/>
      <c r="U87" s="2"/>
      <c r="V87" s="2"/>
      <c r="W87" s="2"/>
      <c r="X87" s="2"/>
      <c r="Y87" s="2"/>
      <c r="Z87" s="2"/>
      <c r="AA87" s="2"/>
      <c r="AB87" s="2"/>
      <c r="AC87" s="2"/>
      <c r="AD87" s="2"/>
      <c r="AE87" s="2"/>
      <c r="AF87" s="2"/>
      <c r="AG87" s="2"/>
      <c r="AH87" s="105"/>
      <c r="AI87" s="2"/>
      <c r="AJ87" s="2"/>
      <c r="AK87" s="2"/>
      <c r="AL87" s="2"/>
      <c r="AM87" s="2"/>
      <c r="AN87" s="2"/>
      <c r="AO87" s="2"/>
      <c r="AP87" s="2"/>
      <c r="AQ87" s="98"/>
      <c r="AR87" s="2"/>
    </row>
    <row r="88" spans="1:44" ht="12.75" customHeight="1">
      <c r="A88" s="2"/>
      <c r="B88" s="2"/>
      <c r="C88" s="2"/>
      <c r="D88" s="1062"/>
      <c r="E88" s="2"/>
      <c r="F88" s="2"/>
      <c r="G88" s="2"/>
      <c r="H88" s="2"/>
      <c r="I88" s="2"/>
      <c r="J88" s="2"/>
      <c r="K88" s="2"/>
      <c r="L88" s="2"/>
      <c r="N88" s="2"/>
      <c r="O88" s="2"/>
      <c r="P88" s="2"/>
      <c r="Q88" s="2"/>
      <c r="U88" s="2"/>
      <c r="V88" s="2"/>
      <c r="W88" s="2"/>
      <c r="X88" s="2"/>
      <c r="Y88" s="2"/>
      <c r="Z88" s="2"/>
      <c r="AA88" s="2"/>
      <c r="AB88" s="2"/>
      <c r="AC88" s="2"/>
      <c r="AD88" s="1432" t="s">
        <v>406</v>
      </c>
      <c r="AE88" s="1432"/>
      <c r="AF88" s="1432" t="s">
        <v>1649</v>
      </c>
      <c r="AG88" s="1432"/>
      <c r="AH88" s="1432">
        <v>2013</v>
      </c>
      <c r="AI88" s="2"/>
      <c r="AJ88" s="2"/>
      <c r="AK88" s="2"/>
      <c r="AL88" s="2"/>
      <c r="AM88" s="2"/>
      <c r="AN88" s="2"/>
      <c r="AO88" s="2"/>
      <c r="AP88" s="2"/>
      <c r="AQ88" s="98"/>
      <c r="AR88" s="2"/>
    </row>
    <row r="89" spans="1:44" ht="12.75" customHeight="1">
      <c r="A89" s="98"/>
      <c r="B89" s="98"/>
      <c r="C89" s="98"/>
      <c r="D89" s="1092"/>
      <c r="E89" s="98"/>
      <c r="F89" s="98"/>
      <c r="G89" s="98"/>
      <c r="H89" s="98"/>
      <c r="I89" s="98"/>
      <c r="J89" s="98"/>
      <c r="K89" s="98"/>
      <c r="L89" s="98"/>
      <c r="M89" s="1403"/>
      <c r="N89" s="98"/>
      <c r="O89" s="98"/>
      <c r="P89" s="98"/>
      <c r="Q89" s="98"/>
      <c r="R89" s="1403"/>
      <c r="S89" s="1403"/>
      <c r="T89" s="1403"/>
      <c r="U89" s="98"/>
      <c r="V89" s="98"/>
      <c r="W89" s="98"/>
      <c r="X89" s="98"/>
      <c r="Y89" s="98"/>
      <c r="Z89" s="98"/>
      <c r="AA89" s="98"/>
      <c r="AB89" s="98"/>
      <c r="AC89" s="98" t="s">
        <v>1719</v>
      </c>
      <c r="AD89" s="1423">
        <v>744.21</v>
      </c>
      <c r="AE89" s="1082"/>
      <c r="AF89" s="1423">
        <v>752.81</v>
      </c>
      <c r="AG89" s="1423"/>
      <c r="AH89" s="1423">
        <v>2957.77</v>
      </c>
      <c r="AI89" s="98"/>
      <c r="AJ89" s="98"/>
      <c r="AK89" s="98"/>
      <c r="AL89" s="98"/>
      <c r="AM89" s="98"/>
      <c r="AN89" s="98"/>
      <c r="AO89" s="98"/>
      <c r="AP89" s="98"/>
      <c r="AQ89" s="98"/>
      <c r="AR89" s="98"/>
    </row>
    <row r="90" spans="1:44" ht="12.75" customHeight="1">
      <c r="A90" s="98"/>
      <c r="B90" s="98"/>
      <c r="C90" s="98"/>
      <c r="D90" s="1092"/>
      <c r="E90" s="98"/>
      <c r="F90" s="98"/>
      <c r="G90" s="98"/>
      <c r="H90" s="98"/>
      <c r="I90" s="98"/>
      <c r="J90" s="98"/>
      <c r="K90" s="98"/>
      <c r="L90" s="98"/>
      <c r="M90" s="1403"/>
      <c r="N90" s="98"/>
      <c r="O90" s="98"/>
      <c r="P90" s="98"/>
      <c r="Q90" s="98"/>
      <c r="R90" s="1403"/>
      <c r="S90" s="1403"/>
      <c r="T90" s="1403"/>
      <c r="U90" s="98"/>
      <c r="V90" s="98"/>
      <c r="W90" s="98"/>
      <c r="X90" s="98"/>
      <c r="Y90" s="98"/>
      <c r="Z90" s="98"/>
      <c r="AA90" s="98"/>
      <c r="AB90" s="98"/>
      <c r="AC90" s="98" t="s">
        <v>401</v>
      </c>
      <c r="AD90" s="1423">
        <v>163.59</v>
      </c>
      <c r="AE90" s="1082"/>
      <c r="AF90" s="1423">
        <v>158.35</v>
      </c>
      <c r="AG90" s="1423"/>
      <c r="AH90" s="1423">
        <v>634.79</v>
      </c>
      <c r="AI90" s="98"/>
      <c r="AJ90" s="98"/>
      <c r="AK90" s="98"/>
      <c r="AL90" s="98"/>
      <c r="AM90" s="98"/>
      <c r="AN90" s="98"/>
      <c r="AO90" s="98"/>
      <c r="AP90" s="98"/>
      <c r="AQ90" s="98"/>
      <c r="AR90" s="98"/>
    </row>
    <row r="91" spans="1:44" ht="12.75" customHeight="1">
      <c r="A91" s="2"/>
      <c r="B91" s="2"/>
      <c r="C91" s="2"/>
      <c r="D91" s="1062"/>
      <c r="E91" s="2"/>
      <c r="F91" s="2"/>
      <c r="G91" s="2"/>
      <c r="H91" s="2"/>
      <c r="I91" s="2"/>
      <c r="J91" s="2"/>
      <c r="K91" s="2"/>
      <c r="L91" s="2"/>
      <c r="N91" s="2"/>
      <c r="O91" s="2"/>
      <c r="P91" s="2"/>
      <c r="Q91" s="2"/>
      <c r="U91" s="2"/>
      <c r="V91" s="2"/>
      <c r="W91" s="2"/>
      <c r="X91" s="2"/>
      <c r="Y91" s="2"/>
      <c r="Z91" s="2"/>
      <c r="AA91" s="2"/>
      <c r="AB91" s="2"/>
      <c r="AC91" s="2" t="s">
        <v>200</v>
      </c>
      <c r="AD91" s="1068">
        <v>0.01</v>
      </c>
      <c r="AE91" s="1118"/>
      <c r="AF91" s="1068">
        <v>-0.05</v>
      </c>
      <c r="AG91" s="1068"/>
      <c r="AH91" s="1068">
        <v>-0.13</v>
      </c>
      <c r="AI91" s="2"/>
      <c r="AJ91" s="2"/>
      <c r="AK91" s="2"/>
      <c r="AL91" s="2"/>
      <c r="AM91" s="2"/>
      <c r="AN91" s="2"/>
      <c r="AO91" s="2"/>
      <c r="AP91" s="2"/>
      <c r="AQ91" s="98"/>
      <c r="AR91" s="2"/>
    </row>
    <row r="92" spans="1:44" ht="12.75" customHeight="1">
      <c r="A92" s="2"/>
      <c r="B92" s="2"/>
      <c r="C92" s="2"/>
      <c r="D92" s="1062"/>
      <c r="E92" s="2"/>
      <c r="F92" s="2"/>
      <c r="G92" s="2"/>
      <c r="H92" s="2"/>
      <c r="I92" s="2"/>
      <c r="J92" s="2"/>
      <c r="K92" s="2"/>
      <c r="L92" s="2"/>
      <c r="N92" s="2"/>
      <c r="O92" s="2"/>
      <c r="P92" s="2"/>
      <c r="Q92" s="2"/>
      <c r="U92" s="2"/>
      <c r="V92" s="2"/>
      <c r="W92" s="2"/>
      <c r="X92" s="2"/>
      <c r="Y92" s="2"/>
      <c r="Z92" s="2"/>
      <c r="AA92" s="2"/>
      <c r="AB92" s="2"/>
      <c r="AC92" s="2"/>
      <c r="AD92" s="2"/>
      <c r="AE92" s="2"/>
      <c r="AF92" s="2"/>
      <c r="AG92" s="2"/>
      <c r="AH92" s="2"/>
      <c r="AI92" s="2"/>
      <c r="AJ92" s="2"/>
      <c r="AK92" s="2"/>
      <c r="AL92" s="2"/>
      <c r="AM92" s="2"/>
      <c r="AN92" s="2"/>
      <c r="AO92" s="2"/>
      <c r="AP92" s="2"/>
      <c r="AQ92" s="98"/>
      <c r="AR92" s="2"/>
    </row>
    <row r="93" spans="1:44" ht="12.75" customHeight="1">
      <c r="A93" s="2"/>
      <c r="B93" s="2"/>
      <c r="C93" s="2"/>
      <c r="D93" s="1062"/>
      <c r="E93" s="2"/>
      <c r="F93" s="2"/>
      <c r="G93" s="2"/>
      <c r="H93" s="2"/>
      <c r="I93" s="2"/>
      <c r="J93" s="2"/>
      <c r="K93" s="2"/>
      <c r="L93" s="2"/>
      <c r="N93" s="2"/>
      <c r="O93" s="2"/>
      <c r="P93" s="2"/>
      <c r="Q93" s="2"/>
      <c r="U93" s="2"/>
      <c r="V93" s="2"/>
      <c r="W93" s="2"/>
      <c r="X93" s="2"/>
      <c r="Y93" s="2"/>
      <c r="Z93" s="2"/>
      <c r="AA93" s="2"/>
      <c r="AB93" s="2"/>
      <c r="AC93" s="2"/>
      <c r="AD93" s="2"/>
      <c r="AE93" s="2"/>
      <c r="AF93" s="2"/>
      <c r="AG93" s="2"/>
      <c r="AH93" s="2"/>
      <c r="AI93" s="2"/>
      <c r="AJ93" s="69" t="s">
        <v>1651</v>
      </c>
      <c r="AQ93" s="98"/>
      <c r="AR93" s="2"/>
    </row>
    <row r="94" spans="1:44" ht="12.75" customHeight="1">
      <c r="A94" s="2"/>
      <c r="B94" s="2"/>
      <c r="C94" s="2"/>
      <c r="D94" s="1062"/>
      <c r="E94" s="2"/>
      <c r="F94" s="2"/>
      <c r="G94" s="2"/>
      <c r="H94" s="2"/>
      <c r="I94" s="2"/>
      <c r="J94" s="2"/>
      <c r="K94" s="2"/>
      <c r="L94" s="2"/>
      <c r="N94" s="2"/>
      <c r="O94" s="2"/>
      <c r="P94" s="2"/>
      <c r="Q94" s="2"/>
      <c r="U94" s="2"/>
      <c r="V94" s="2"/>
      <c r="W94" s="2"/>
      <c r="X94" s="2"/>
      <c r="Y94" s="2"/>
      <c r="Z94" s="2"/>
      <c r="AA94" s="2"/>
      <c r="AB94" s="2"/>
      <c r="AC94" s="2"/>
      <c r="AD94" s="2"/>
      <c r="AE94" s="2"/>
      <c r="AF94" s="2"/>
      <c r="AG94" s="2"/>
      <c r="AH94" s="2"/>
      <c r="AI94" s="2"/>
      <c r="AJ94" s="69"/>
      <c r="AQ94" s="98"/>
      <c r="AR94" s="2"/>
    </row>
    <row r="95" spans="1:44" ht="12.75" customHeight="1">
      <c r="A95" s="2"/>
      <c r="B95" s="2"/>
      <c r="C95" s="2"/>
      <c r="D95" s="1062"/>
      <c r="E95" s="2"/>
      <c r="F95" s="2"/>
      <c r="G95" s="2"/>
      <c r="H95" s="2"/>
      <c r="I95" s="2"/>
      <c r="J95" s="2"/>
      <c r="K95" s="2"/>
      <c r="L95" s="2"/>
      <c r="N95" s="2"/>
      <c r="O95" s="2"/>
      <c r="P95" s="2"/>
      <c r="Q95" s="2"/>
      <c r="U95" s="2"/>
      <c r="V95" s="2"/>
      <c r="W95" s="2"/>
      <c r="X95" s="2"/>
      <c r="Y95" s="2"/>
      <c r="Z95" s="2"/>
      <c r="AA95" s="2"/>
      <c r="AB95" s="2"/>
      <c r="AC95" s="2"/>
      <c r="AD95" s="2"/>
      <c r="AE95" s="2"/>
      <c r="AF95" s="2"/>
      <c r="AG95" s="2"/>
      <c r="AH95" s="2"/>
      <c r="AI95" s="2"/>
      <c r="AJ95" s="1447"/>
      <c r="AK95" s="1449"/>
      <c r="AL95" s="1447"/>
      <c r="AM95" s="1447"/>
      <c r="AN95" s="1447"/>
      <c r="AO95" s="1447"/>
      <c r="AP95" s="1447"/>
      <c r="AQ95" s="98"/>
      <c r="AR95" s="2"/>
    </row>
    <row r="96" spans="1:44" ht="12.75" customHeight="1">
      <c r="A96" s="2"/>
      <c r="B96" s="2"/>
      <c r="C96" s="2"/>
      <c r="D96" s="1062"/>
      <c r="E96" s="2"/>
      <c r="F96" s="2"/>
      <c r="G96" s="2"/>
      <c r="H96" s="2"/>
      <c r="I96" s="2"/>
      <c r="J96" s="2"/>
      <c r="K96" s="2"/>
      <c r="L96" s="2"/>
      <c r="N96" s="2"/>
      <c r="O96" s="2"/>
      <c r="P96" s="2"/>
      <c r="Q96" s="2"/>
      <c r="U96" s="2"/>
      <c r="V96" s="2"/>
      <c r="W96" s="2"/>
      <c r="X96" s="2"/>
      <c r="Y96" s="2"/>
      <c r="Z96" s="2"/>
      <c r="AA96" s="2"/>
      <c r="AB96" s="2"/>
      <c r="AC96" s="2"/>
      <c r="AD96" s="2"/>
      <c r="AE96" s="2"/>
      <c r="AF96" s="2"/>
      <c r="AG96" s="2"/>
      <c r="AH96" s="2"/>
      <c r="AI96" s="2"/>
      <c r="AJ96" s="111" t="s">
        <v>1610</v>
      </c>
      <c r="AK96" s="1289" t="s">
        <v>552</v>
      </c>
      <c r="AL96" s="1448"/>
      <c r="AM96" s="1289" t="s">
        <v>405</v>
      </c>
      <c r="AN96" s="1448"/>
      <c r="AO96" s="1289" t="s">
        <v>1489</v>
      </c>
      <c r="AP96" s="1629"/>
      <c r="AQ96" s="98"/>
      <c r="AR96" s="2"/>
    </row>
    <row r="97" spans="1:44" ht="3" customHeight="1">
      <c r="A97" s="2"/>
      <c r="B97" s="2"/>
      <c r="C97" s="2"/>
      <c r="D97" s="1062"/>
      <c r="E97" s="2"/>
      <c r="F97" s="2"/>
      <c r="G97" s="2"/>
      <c r="H97" s="2"/>
      <c r="I97" s="2"/>
      <c r="J97" s="2"/>
      <c r="K97" s="2"/>
      <c r="L97" s="2"/>
      <c r="N97" s="2"/>
      <c r="O97" s="2"/>
      <c r="P97" s="2"/>
      <c r="Q97" s="2"/>
      <c r="U97" s="2"/>
      <c r="V97" s="2"/>
      <c r="W97" s="2"/>
      <c r="X97" s="2"/>
      <c r="Y97" s="2"/>
      <c r="Z97" s="2"/>
      <c r="AA97" s="2"/>
      <c r="AB97" s="2"/>
      <c r="AC97" s="2"/>
      <c r="AD97" s="2"/>
      <c r="AE97" s="2"/>
      <c r="AF97" s="2"/>
      <c r="AG97" s="2"/>
      <c r="AH97" s="2"/>
      <c r="AI97" s="2"/>
      <c r="AJ97" s="69"/>
      <c r="AK97" s="1449"/>
      <c r="AL97" s="1449"/>
      <c r="AM97" s="1449"/>
      <c r="AN97" s="1449"/>
      <c r="AO97" s="1449"/>
      <c r="AP97" s="1449"/>
      <c r="AQ97" s="98"/>
      <c r="AR97" s="2"/>
    </row>
    <row r="98" spans="1:44" ht="12.75" customHeight="1">
      <c r="A98" s="1205"/>
      <c r="B98" s="1205"/>
      <c r="C98" s="1205"/>
      <c r="D98" s="2220"/>
      <c r="E98" s="1205"/>
      <c r="F98" s="1205"/>
      <c r="G98" s="1205"/>
      <c r="H98" s="1205"/>
      <c r="I98" s="1205"/>
      <c r="J98" s="1205"/>
      <c r="K98" s="1205"/>
      <c r="L98" s="1205"/>
      <c r="M98" s="2266"/>
      <c r="N98" s="1205"/>
      <c r="O98" s="1205"/>
      <c r="P98" s="1205"/>
      <c r="Q98" s="1205"/>
      <c r="R98" s="2266"/>
      <c r="S98" s="2266"/>
      <c r="T98" s="2266"/>
      <c r="U98" s="1205"/>
      <c r="V98" s="1205"/>
      <c r="W98" s="1205"/>
      <c r="X98" s="1205"/>
      <c r="Y98" s="1205"/>
      <c r="Z98" s="1205"/>
      <c r="AA98" s="1205"/>
      <c r="AB98" s="1205"/>
      <c r="AC98" s="1205"/>
      <c r="AD98" s="1205"/>
      <c r="AE98" s="1205"/>
      <c r="AF98" s="1205"/>
      <c r="AG98" s="1205"/>
      <c r="AH98" s="1205"/>
      <c r="AI98" s="1205"/>
      <c r="AJ98" s="2267" t="s">
        <v>407</v>
      </c>
      <c r="AK98" s="2276" t="s">
        <v>3</v>
      </c>
      <c r="AL98" s="1205"/>
      <c r="AM98" s="2272">
        <f>+BYD!AX110</f>
        <v>132.33999999999997</v>
      </c>
      <c r="AN98" s="1205"/>
      <c r="AO98" s="2272"/>
      <c r="AP98" s="1205"/>
      <c r="AQ98" s="98"/>
      <c r="AR98" s="1205"/>
    </row>
    <row r="99" spans="1:44" ht="12.75" customHeight="1">
      <c r="A99" s="1205"/>
      <c r="B99" s="1205"/>
      <c r="C99" s="1205"/>
      <c r="D99" s="2220"/>
      <c r="E99" s="1205"/>
      <c r="F99" s="1205"/>
      <c r="G99" s="1205"/>
      <c r="H99" s="1205"/>
      <c r="I99" s="1205"/>
      <c r="J99" s="1205"/>
      <c r="K99" s="1205"/>
      <c r="L99" s="1205"/>
      <c r="M99" s="2266"/>
      <c r="N99" s="1205"/>
      <c r="O99" s="1205"/>
      <c r="P99" s="1205"/>
      <c r="Q99" s="1205"/>
      <c r="R99" s="2266"/>
      <c r="S99" s="2266"/>
      <c r="T99" s="2266"/>
      <c r="U99" s="1205"/>
      <c r="V99" s="1205"/>
      <c r="W99" s="1205"/>
      <c r="X99" s="1205"/>
      <c r="Y99" s="1205"/>
      <c r="Z99" s="1205"/>
      <c r="AA99" s="1205"/>
      <c r="AB99" s="1205"/>
      <c r="AC99" s="1205"/>
      <c r="AD99" s="1205"/>
      <c r="AE99" s="1205"/>
      <c r="AF99" s="1205"/>
      <c r="AG99" s="1205"/>
      <c r="AH99" s="1205"/>
      <c r="AI99" s="1205"/>
      <c r="AJ99" s="2267" t="s">
        <v>1614</v>
      </c>
      <c r="AK99" s="2268" t="s">
        <v>4</v>
      </c>
      <c r="AL99" s="2269"/>
      <c r="AM99" s="2272">
        <f>+BYD!AY927</f>
        <v>46.591999999999999</v>
      </c>
      <c r="AN99" s="2269"/>
      <c r="AO99" s="2272"/>
      <c r="AP99" s="2271"/>
      <c r="AQ99" s="98"/>
      <c r="AR99" s="1205"/>
    </row>
    <row r="100" spans="1:44" ht="6" customHeight="1">
      <c r="A100" s="2"/>
      <c r="B100" s="2"/>
      <c r="C100" s="2"/>
      <c r="D100" s="1062"/>
      <c r="E100" s="2"/>
      <c r="F100" s="2"/>
      <c r="G100" s="2"/>
      <c r="H100" s="2"/>
      <c r="I100" s="2"/>
      <c r="J100" s="2"/>
      <c r="K100" s="2"/>
      <c r="L100" s="2"/>
      <c r="N100" s="2"/>
      <c r="O100" s="2"/>
      <c r="P100" s="2"/>
      <c r="Q100" s="2"/>
      <c r="U100" s="2"/>
      <c r="V100" s="2"/>
      <c r="W100" s="2"/>
      <c r="X100" s="2"/>
      <c r="Y100" s="2"/>
      <c r="Z100" s="2"/>
      <c r="AA100" s="2"/>
      <c r="AB100" s="2"/>
      <c r="AC100" s="2"/>
      <c r="AD100" s="2"/>
      <c r="AE100" s="2"/>
      <c r="AF100" s="2"/>
      <c r="AG100" s="2"/>
      <c r="AH100" s="2"/>
      <c r="AI100" s="2"/>
      <c r="AJ100" s="1447"/>
      <c r="AK100" s="1614"/>
      <c r="AL100" s="1449"/>
      <c r="AM100" s="1450"/>
      <c r="AN100" s="1449"/>
      <c r="AO100" s="1450"/>
      <c r="AP100" s="1450"/>
      <c r="AQ100" s="98"/>
      <c r="AR100" s="2"/>
    </row>
    <row r="101" spans="1:44" ht="12.75" customHeight="1">
      <c r="A101" s="1205"/>
      <c r="B101" s="1205"/>
      <c r="C101" s="1205"/>
      <c r="D101" s="2220"/>
      <c r="E101" s="1205"/>
      <c r="F101" s="1205"/>
      <c r="G101" s="1205"/>
      <c r="H101" s="1205"/>
      <c r="I101" s="1205"/>
      <c r="J101" s="1205"/>
      <c r="K101" s="1205"/>
      <c r="L101" s="1205"/>
      <c r="M101" s="2273"/>
      <c r="N101" s="1205"/>
      <c r="O101" s="1205"/>
      <c r="P101" s="1205"/>
      <c r="Q101" s="1205"/>
      <c r="R101" s="2273"/>
      <c r="S101" s="2273"/>
      <c r="T101" s="2273"/>
      <c r="U101" s="1205"/>
      <c r="V101" s="1205"/>
      <c r="W101" s="1205"/>
      <c r="X101" s="1205"/>
      <c r="Y101" s="1205"/>
      <c r="Z101" s="1205"/>
      <c r="AA101" s="1205"/>
      <c r="AB101" s="1205"/>
      <c r="AC101" s="1205"/>
      <c r="AD101" s="1205"/>
      <c r="AE101" s="1205"/>
      <c r="AF101" s="1205"/>
      <c r="AG101" s="1205"/>
      <c r="AH101" s="1205"/>
      <c r="AI101" s="1205"/>
      <c r="AJ101" s="2267" t="s">
        <v>498</v>
      </c>
      <c r="AK101" s="2268" t="s">
        <v>1</v>
      </c>
      <c r="AL101" s="2269"/>
      <c r="AM101" s="2270">
        <f>+SUM(AM98:AM100)</f>
        <v>178.93199999999996</v>
      </c>
      <c r="AN101" s="2269"/>
      <c r="AO101" s="2268">
        <v>158.35</v>
      </c>
      <c r="AP101" s="2271"/>
      <c r="AQ101" s="98"/>
      <c r="AR101" s="1205"/>
    </row>
    <row r="102" spans="1:44" ht="6" customHeight="1">
      <c r="A102" s="2"/>
      <c r="B102" s="2"/>
      <c r="C102" s="2"/>
      <c r="D102" s="1062"/>
      <c r="E102" s="2"/>
      <c r="F102" s="2"/>
      <c r="G102" s="2"/>
      <c r="H102" s="2"/>
      <c r="I102" s="2"/>
      <c r="J102" s="2"/>
      <c r="K102" s="2"/>
      <c r="L102" s="2"/>
      <c r="N102" s="2"/>
      <c r="O102" s="2"/>
      <c r="P102" s="2"/>
      <c r="Q102" s="2"/>
      <c r="U102" s="2"/>
      <c r="V102" s="2"/>
      <c r="W102" s="2"/>
      <c r="X102" s="2"/>
      <c r="Y102" s="2"/>
      <c r="Z102" s="2"/>
      <c r="AA102" s="2"/>
      <c r="AB102" s="2"/>
      <c r="AC102" s="2"/>
      <c r="AD102" s="2"/>
      <c r="AE102" s="2"/>
      <c r="AF102" s="2"/>
      <c r="AG102" s="2"/>
      <c r="AH102" s="2"/>
      <c r="AI102" s="2"/>
      <c r="AJ102" s="1447"/>
      <c r="AK102" s="1614"/>
      <c r="AL102" s="1449"/>
      <c r="AM102" s="1450"/>
      <c r="AN102" s="1449"/>
      <c r="AO102" s="1450"/>
      <c r="AP102" s="1450"/>
      <c r="AQ102" s="98"/>
      <c r="AR102" s="2"/>
    </row>
    <row r="103" spans="1:44" ht="12.75" customHeight="1">
      <c r="A103" s="2"/>
      <c r="B103" s="2"/>
      <c r="C103" s="2"/>
      <c r="D103" s="1062"/>
      <c r="E103" s="2"/>
      <c r="F103" s="2"/>
      <c r="G103" s="2"/>
      <c r="H103" s="2"/>
      <c r="I103" s="2"/>
      <c r="J103" s="2"/>
      <c r="K103" s="2"/>
      <c r="L103" s="2"/>
      <c r="N103" s="2"/>
      <c r="O103" s="2"/>
      <c r="P103" s="2"/>
      <c r="Q103" s="2"/>
      <c r="U103" s="2"/>
      <c r="V103" s="2"/>
      <c r="W103" s="2"/>
      <c r="X103" s="2"/>
      <c r="Y103" s="2"/>
      <c r="Z103" s="2"/>
      <c r="AA103" s="2"/>
      <c r="AB103" s="2"/>
      <c r="AC103" s="2"/>
      <c r="AD103" s="2"/>
      <c r="AE103" s="2"/>
      <c r="AF103" s="2"/>
      <c r="AG103" s="2"/>
      <c r="AH103" s="2"/>
      <c r="AI103" s="2"/>
      <c r="AJ103" s="1447" t="s">
        <v>1615</v>
      </c>
      <c r="AK103" s="1614" t="s">
        <v>5</v>
      </c>
      <c r="AL103" s="1449"/>
      <c r="AM103" s="2265">
        <f>+BYD!AY91</f>
        <v>-0.36747575205553612</v>
      </c>
      <c r="AN103" s="1449"/>
      <c r="AO103" s="2265">
        <v>-0.05</v>
      </c>
      <c r="AP103" s="1466"/>
      <c r="AQ103" s="98"/>
      <c r="AR103" s="2"/>
    </row>
    <row r="104" spans="1:44" ht="6" customHeight="1">
      <c r="A104" s="2"/>
      <c r="B104" s="2"/>
      <c r="C104" s="2"/>
      <c r="D104" s="1062"/>
      <c r="E104" s="2"/>
      <c r="F104" s="2"/>
      <c r="G104" s="2"/>
      <c r="H104" s="2"/>
      <c r="I104" s="2"/>
      <c r="J104" s="2"/>
      <c r="K104" s="2"/>
      <c r="L104" s="2"/>
      <c r="N104" s="2"/>
      <c r="O104" s="2"/>
      <c r="P104" s="2"/>
      <c r="Q104" s="2"/>
      <c r="U104" s="2"/>
      <c r="V104" s="2"/>
      <c r="W104" s="2"/>
      <c r="X104" s="2"/>
      <c r="Y104" s="2"/>
      <c r="Z104" s="2"/>
      <c r="AA104" s="2"/>
      <c r="AB104" s="2"/>
      <c r="AC104" s="2"/>
      <c r="AD104" s="2"/>
      <c r="AE104" s="2"/>
      <c r="AF104" s="2"/>
      <c r="AG104" s="2"/>
      <c r="AH104" s="2"/>
      <c r="AI104" s="2"/>
      <c r="AJ104" s="1447"/>
      <c r="AK104" s="1450"/>
      <c r="AL104" s="1449"/>
      <c r="AM104" s="1449"/>
      <c r="AN104" s="1449"/>
      <c r="AO104" s="1449"/>
      <c r="AP104" s="1449"/>
      <c r="AQ104" s="98"/>
      <c r="AR104" s="2"/>
    </row>
    <row r="105" spans="1:44" ht="12.75" customHeight="1">
      <c r="A105" s="2"/>
      <c r="B105" s="2"/>
      <c r="C105" s="2"/>
      <c r="D105" s="1062"/>
      <c r="E105" s="2"/>
      <c r="F105" s="2"/>
      <c r="G105" s="2"/>
      <c r="H105" s="2"/>
      <c r="I105" s="2"/>
      <c r="J105" s="2"/>
      <c r="K105" s="2"/>
      <c r="L105" s="2"/>
      <c r="N105" s="2"/>
      <c r="O105" s="2"/>
      <c r="P105" s="2"/>
      <c r="Q105" s="2"/>
      <c r="U105" s="2"/>
      <c r="V105" s="2"/>
      <c r="W105" s="2"/>
      <c r="X105" s="2"/>
      <c r="Y105" s="2"/>
      <c r="Z105" s="2"/>
      <c r="AA105" s="2"/>
      <c r="AB105" s="2"/>
      <c r="AC105" s="2"/>
      <c r="AD105" s="2"/>
      <c r="AE105" s="2"/>
      <c r="AF105" s="2"/>
      <c r="AG105" s="2"/>
      <c r="AH105" s="2"/>
      <c r="AI105" s="2"/>
      <c r="AJ105" s="2" t="s">
        <v>408</v>
      </c>
      <c r="AK105" s="2"/>
      <c r="AL105" s="2"/>
      <c r="AM105" s="2"/>
      <c r="AN105" s="2"/>
      <c r="AO105" s="2"/>
      <c r="AP105" s="2"/>
      <c r="AQ105" s="98"/>
      <c r="AR105" s="2"/>
    </row>
    <row r="106" spans="1:44" ht="12.75" customHeight="1">
      <c r="A106" s="2"/>
      <c r="B106" s="2"/>
      <c r="C106" s="2"/>
      <c r="D106" s="1062"/>
      <c r="E106" s="2"/>
      <c r="F106" s="2"/>
      <c r="G106" s="2"/>
      <c r="H106" s="2"/>
      <c r="I106" s="2"/>
      <c r="J106" s="2"/>
      <c r="K106" s="2"/>
      <c r="L106" s="2"/>
      <c r="N106" s="2"/>
      <c r="O106" s="2"/>
      <c r="P106" s="2"/>
      <c r="Q106" s="2"/>
      <c r="U106" s="2"/>
      <c r="V106" s="2"/>
      <c r="W106" s="2"/>
      <c r="X106" s="2"/>
      <c r="Y106" s="2"/>
      <c r="Z106" s="2"/>
      <c r="AA106" s="2"/>
      <c r="AB106" s="2"/>
      <c r="AC106" s="2"/>
      <c r="AD106" s="2"/>
      <c r="AE106" s="2"/>
      <c r="AF106" s="2"/>
      <c r="AG106" s="2"/>
      <c r="AH106" s="2"/>
      <c r="AI106" s="2"/>
      <c r="AJ106" s="2"/>
      <c r="AK106" s="2"/>
      <c r="AL106" s="2"/>
      <c r="AM106" s="2"/>
      <c r="AN106" s="2"/>
      <c r="AO106" s="2"/>
      <c r="AP106" s="1" t="s">
        <v>6</v>
      </c>
      <c r="AQ106" s="98"/>
      <c r="AR106" s="2"/>
    </row>
    <row r="107" spans="1:44" ht="12.75" customHeight="1">
      <c r="A107" s="2"/>
      <c r="B107" s="2"/>
      <c r="C107" s="2"/>
      <c r="D107" s="1062"/>
      <c r="E107" s="2"/>
      <c r="F107" s="2"/>
      <c r="G107" s="2"/>
      <c r="H107" s="2"/>
      <c r="I107" s="2"/>
      <c r="J107" s="2"/>
      <c r="K107" s="2"/>
      <c r="L107" s="2"/>
      <c r="N107" s="2"/>
      <c r="O107" s="2"/>
      <c r="P107" s="2"/>
      <c r="Q107" s="2"/>
      <c r="U107" s="2"/>
      <c r="V107" s="2"/>
      <c r="W107" s="2"/>
      <c r="X107" s="2"/>
      <c r="Y107" s="2"/>
      <c r="Z107" s="2"/>
      <c r="AA107" s="2"/>
      <c r="AB107" s="2"/>
      <c r="AC107" s="2"/>
      <c r="AD107" s="2"/>
      <c r="AE107" s="2"/>
      <c r="AF107" s="2"/>
      <c r="AG107" s="2"/>
      <c r="AH107" s="2"/>
      <c r="AI107" s="2"/>
      <c r="AJ107" s="2"/>
      <c r="AK107" s="2"/>
      <c r="AL107" s="2"/>
      <c r="AM107" s="2"/>
      <c r="AN107" s="2"/>
      <c r="AO107" s="2"/>
      <c r="AP107" s="1" t="s">
        <v>7</v>
      </c>
      <c r="AQ107" s="98"/>
      <c r="AR107" s="101" t="s">
        <v>405</v>
      </c>
    </row>
    <row r="108" spans="1:44" ht="12.75" customHeight="1">
      <c r="A108" s="2"/>
      <c r="B108" s="2"/>
      <c r="C108" s="2"/>
      <c r="D108" s="1062"/>
      <c r="E108" s="2"/>
      <c r="F108" s="2"/>
      <c r="G108" s="2"/>
      <c r="H108" s="2"/>
      <c r="I108" s="2"/>
      <c r="J108" s="2"/>
      <c r="K108" s="2"/>
      <c r="L108" s="2"/>
      <c r="N108" s="2"/>
      <c r="O108" s="2"/>
      <c r="P108" s="2"/>
      <c r="Q108" s="2"/>
      <c r="U108" s="2"/>
      <c r="V108" s="2"/>
      <c r="W108" s="2"/>
      <c r="X108" s="2"/>
      <c r="Y108" s="2"/>
      <c r="Z108" s="2"/>
      <c r="AA108" s="2"/>
      <c r="AB108" s="2"/>
      <c r="AC108" s="2"/>
      <c r="AD108" s="2"/>
      <c r="AE108" s="2"/>
      <c r="AF108" s="2"/>
      <c r="AG108" s="2"/>
      <c r="AH108" s="2"/>
      <c r="AI108" s="2"/>
      <c r="AJ108" s="2"/>
      <c r="AK108" s="2"/>
      <c r="AL108" s="2"/>
      <c r="AM108" s="2"/>
      <c r="AN108" s="2"/>
      <c r="AO108" s="2"/>
      <c r="AP108" s="2" t="s">
        <v>514</v>
      </c>
      <c r="AQ108" s="1349">
        <v>149.72999999999999</v>
      </c>
      <c r="AR108" s="2">
        <f>+BYD!AX10</f>
        <v>149.69</v>
      </c>
    </row>
    <row r="109" spans="1:44" ht="12.75" customHeight="1">
      <c r="A109" s="2"/>
      <c r="B109" s="2"/>
      <c r="C109" s="2"/>
      <c r="D109" s="1062"/>
      <c r="E109" s="2"/>
      <c r="F109" s="2"/>
      <c r="G109" s="2"/>
      <c r="H109" s="2"/>
      <c r="I109" s="2"/>
      <c r="J109" s="2"/>
      <c r="K109" s="2"/>
      <c r="L109" s="2"/>
      <c r="N109" s="2"/>
      <c r="O109" s="2"/>
      <c r="P109" s="2"/>
      <c r="Q109" s="2"/>
      <c r="U109" s="2"/>
      <c r="V109" s="2"/>
      <c r="W109" s="2"/>
      <c r="X109" s="2"/>
      <c r="Y109" s="2"/>
      <c r="Z109" s="2"/>
      <c r="AA109" s="2"/>
      <c r="AB109" s="2"/>
      <c r="AC109" s="2"/>
      <c r="AD109" s="2"/>
      <c r="AE109" s="2"/>
      <c r="AF109" s="2"/>
      <c r="AG109" s="2"/>
      <c r="AH109" s="2"/>
      <c r="AI109" s="2"/>
      <c r="AJ109" s="2"/>
      <c r="AK109" s="2"/>
      <c r="AL109" s="2"/>
      <c r="AM109" s="2"/>
      <c r="AN109" s="2"/>
      <c r="AO109" s="2"/>
      <c r="AP109" s="2" t="s">
        <v>515</v>
      </c>
      <c r="AQ109" s="1102">
        <v>56.23</v>
      </c>
      <c r="AR109" s="2">
        <f>+BYD!AX11</f>
        <v>56.128</v>
      </c>
    </row>
    <row r="110" spans="1:44" ht="12.75" customHeight="1">
      <c r="A110" s="2"/>
      <c r="B110" s="2"/>
      <c r="C110" s="2"/>
      <c r="D110" s="1062"/>
      <c r="E110" s="2"/>
      <c r="F110" s="2"/>
      <c r="G110" s="2"/>
      <c r="H110" s="2"/>
      <c r="I110" s="2"/>
      <c r="J110" s="2"/>
      <c r="K110" s="2"/>
      <c r="L110" s="2"/>
      <c r="N110" s="2"/>
      <c r="O110" s="2"/>
      <c r="P110" s="2"/>
      <c r="Q110" s="2"/>
      <c r="U110" s="2"/>
      <c r="V110" s="2"/>
      <c r="W110" s="2"/>
      <c r="X110" s="2"/>
      <c r="Y110" s="2"/>
      <c r="Z110" s="2"/>
      <c r="AA110" s="2"/>
      <c r="AB110" s="2"/>
      <c r="AC110" s="2"/>
      <c r="AD110" s="2"/>
      <c r="AE110" s="2"/>
      <c r="AF110" s="2"/>
      <c r="AG110" s="2"/>
      <c r="AH110" s="2"/>
      <c r="AI110" s="2"/>
      <c r="AJ110" s="2"/>
      <c r="AK110" s="2"/>
      <c r="AL110" s="2"/>
      <c r="AM110" s="2"/>
      <c r="AN110" s="2"/>
      <c r="AO110" s="2"/>
      <c r="AP110" s="2" t="s">
        <v>516</v>
      </c>
      <c r="AQ110" s="1102">
        <v>234.18</v>
      </c>
      <c r="AR110" s="2">
        <f>+BYD!AX13</f>
        <v>224.273</v>
      </c>
    </row>
    <row r="111" spans="1:44" ht="12.75" customHeight="1">
      <c r="A111" s="2"/>
      <c r="B111" s="2"/>
      <c r="C111" s="2"/>
      <c r="D111" s="1062"/>
      <c r="E111" s="2"/>
      <c r="F111" s="2"/>
      <c r="G111" s="2"/>
      <c r="H111" s="2"/>
      <c r="I111" s="2"/>
      <c r="J111" s="2"/>
      <c r="K111" s="2"/>
      <c r="L111" s="2"/>
      <c r="N111" s="2"/>
      <c r="O111" s="2"/>
      <c r="P111" s="2"/>
      <c r="Q111" s="2"/>
      <c r="U111" s="2"/>
      <c r="V111" s="2"/>
      <c r="W111" s="2"/>
      <c r="X111" s="2"/>
      <c r="Y111" s="2"/>
      <c r="Z111" s="2"/>
      <c r="AA111" s="2"/>
      <c r="AB111" s="2"/>
      <c r="AC111" s="2"/>
      <c r="AD111" s="2"/>
      <c r="AE111" s="2"/>
      <c r="AF111" s="2"/>
      <c r="AG111" s="2"/>
      <c r="AH111" s="2"/>
      <c r="AI111" s="2"/>
      <c r="AJ111" s="2"/>
      <c r="AK111" s="2"/>
      <c r="AL111" s="2"/>
      <c r="AM111" s="2"/>
      <c r="AN111" s="2"/>
      <c r="AO111" s="2"/>
      <c r="AP111" s="2" t="s">
        <v>517</v>
      </c>
      <c r="AQ111" s="1102">
        <v>137.13</v>
      </c>
      <c r="AR111" s="2">
        <f>+BYD!AX14</f>
        <v>135.78</v>
      </c>
    </row>
    <row r="112" spans="1:44" ht="12.75" customHeight="1">
      <c r="A112" s="2"/>
      <c r="B112" s="2"/>
      <c r="C112" s="2"/>
      <c r="D112" s="1062"/>
      <c r="E112" s="2"/>
      <c r="F112" s="2"/>
      <c r="G112" s="2"/>
      <c r="H112" s="2"/>
      <c r="I112" s="2"/>
      <c r="J112" s="2"/>
      <c r="K112" s="2"/>
      <c r="L112" s="2"/>
      <c r="N112" s="2"/>
      <c r="O112" s="2"/>
      <c r="P112" s="2"/>
      <c r="Q112" s="2"/>
      <c r="U112" s="2"/>
      <c r="V112" s="2"/>
      <c r="W112" s="2"/>
      <c r="X112" s="2"/>
      <c r="Y112" s="2"/>
      <c r="Z112" s="2"/>
      <c r="AA112" s="2"/>
      <c r="AB112" s="2"/>
      <c r="AC112" s="2"/>
      <c r="AD112" s="2"/>
      <c r="AE112" s="2"/>
      <c r="AF112" s="2"/>
      <c r="AG112" s="2"/>
      <c r="AH112" s="2"/>
      <c r="AI112" s="2"/>
      <c r="AJ112" s="2"/>
      <c r="AK112" s="2"/>
      <c r="AL112" s="2"/>
      <c r="AM112" s="2"/>
      <c r="AN112" s="2"/>
      <c r="AO112" s="2"/>
      <c r="AP112" s="2" t="s">
        <v>273</v>
      </c>
      <c r="AQ112" s="1102">
        <v>164.03</v>
      </c>
      <c r="AR112" s="2">
        <f>+BYD!AX17</f>
        <v>0</v>
      </c>
    </row>
    <row r="113" spans="1:44" ht="12.75" customHeight="1">
      <c r="A113" s="2"/>
      <c r="B113" s="2"/>
      <c r="C113" s="2"/>
      <c r="D113" s="1062"/>
      <c r="E113" s="2"/>
      <c r="F113" s="2"/>
      <c r="G113" s="2"/>
      <c r="H113" s="2"/>
      <c r="I113" s="2"/>
      <c r="J113" s="2"/>
      <c r="K113" s="2"/>
      <c r="L113" s="2"/>
      <c r="N113" s="2"/>
      <c r="O113" s="2"/>
      <c r="P113" s="2"/>
      <c r="Q113" s="2"/>
      <c r="U113" s="2"/>
      <c r="V113" s="2"/>
      <c r="W113" s="2"/>
      <c r="X113" s="2"/>
      <c r="Y113" s="2"/>
      <c r="Z113" s="2"/>
      <c r="AA113" s="2"/>
      <c r="AB113" s="2"/>
      <c r="AC113" s="2"/>
      <c r="AD113" s="2"/>
      <c r="AE113" s="2"/>
      <c r="AF113" s="2"/>
      <c r="AG113" s="2"/>
      <c r="AH113" s="2"/>
      <c r="AI113" s="2"/>
      <c r="AJ113" s="2"/>
      <c r="AK113" s="2"/>
      <c r="AL113" s="2"/>
      <c r="AM113" s="2"/>
      <c r="AN113" s="2"/>
      <c r="AO113" s="2"/>
      <c r="AP113" s="2" t="s">
        <v>1790</v>
      </c>
      <c r="AQ113" s="1102">
        <v>1.2</v>
      </c>
      <c r="AR113" s="2"/>
    </row>
    <row r="114" spans="1:44" ht="12.75" customHeight="1">
      <c r="A114" s="2"/>
      <c r="B114" s="2"/>
      <c r="C114" s="2"/>
      <c r="D114" s="1062"/>
      <c r="E114" s="2"/>
      <c r="F114" s="2"/>
      <c r="G114" s="2"/>
      <c r="H114" s="2"/>
      <c r="I114" s="2"/>
      <c r="J114" s="2"/>
      <c r="K114" s="2"/>
      <c r="L114" s="2"/>
      <c r="N114" s="2"/>
      <c r="O114" s="2"/>
      <c r="P114" s="2"/>
      <c r="Q114" s="2"/>
      <c r="U114" s="2"/>
      <c r="V114" s="2"/>
      <c r="W114" s="2"/>
      <c r="X114" s="2"/>
      <c r="Y114" s="2"/>
      <c r="Z114" s="2"/>
      <c r="AA114" s="2"/>
      <c r="AB114" s="2"/>
      <c r="AC114" s="2"/>
      <c r="AD114" s="2"/>
      <c r="AE114" s="2"/>
      <c r="AF114" s="2"/>
      <c r="AG114" s="2"/>
      <c r="AH114" s="2"/>
      <c r="AI114" s="2"/>
      <c r="AJ114" s="2"/>
      <c r="AK114" s="2"/>
      <c r="AL114" s="2"/>
      <c r="AM114" s="2"/>
      <c r="AN114" s="2"/>
      <c r="AO114" s="2"/>
      <c r="AP114" s="1" t="s">
        <v>401</v>
      </c>
      <c r="AQ114" s="98"/>
      <c r="AR114" s="2"/>
    </row>
    <row r="115" spans="1:44" ht="12.75" customHeight="1">
      <c r="A115" s="2"/>
      <c r="B115" s="2"/>
      <c r="C115" s="2"/>
      <c r="D115" s="1062"/>
      <c r="E115" s="2"/>
      <c r="F115" s="2"/>
      <c r="G115" s="2"/>
      <c r="H115" s="2"/>
      <c r="I115" s="2"/>
      <c r="J115" s="2"/>
      <c r="K115" s="2"/>
      <c r="L115" s="2"/>
      <c r="N115" s="2"/>
      <c r="O115" s="2"/>
      <c r="P115" s="2"/>
      <c r="Q115" s="2"/>
      <c r="U115" s="2"/>
      <c r="V115" s="2"/>
      <c r="W115" s="2"/>
      <c r="X115" s="2"/>
      <c r="Y115" s="2"/>
      <c r="Z115" s="2"/>
      <c r="AA115" s="2"/>
      <c r="AB115" s="2"/>
      <c r="AC115" s="2"/>
      <c r="AD115" s="2"/>
      <c r="AE115" s="2"/>
      <c r="AF115" s="2"/>
      <c r="AG115" s="2"/>
      <c r="AH115" s="2"/>
      <c r="AI115" s="2"/>
      <c r="AJ115" s="2"/>
      <c r="AK115" s="2"/>
      <c r="AL115" s="2"/>
      <c r="AM115" s="2"/>
      <c r="AN115" s="2"/>
      <c r="AO115" s="2"/>
      <c r="AP115" s="2" t="s">
        <v>514</v>
      </c>
      <c r="AQ115" s="1349">
        <v>34.83</v>
      </c>
      <c r="AR115" s="2">
        <f>+BYD!AX38</f>
        <v>38.722999999999999</v>
      </c>
    </row>
    <row r="116" spans="1:44" ht="12.75" customHeight="1">
      <c r="A116" s="2"/>
      <c r="B116" s="2"/>
      <c r="C116" s="2"/>
      <c r="D116" s="1062"/>
      <c r="E116" s="2"/>
      <c r="F116" s="2"/>
      <c r="G116" s="2"/>
      <c r="H116" s="2"/>
      <c r="I116" s="2"/>
      <c r="J116" s="2"/>
      <c r="K116" s="2"/>
      <c r="L116" s="2"/>
      <c r="N116" s="2"/>
      <c r="O116" s="2"/>
      <c r="P116" s="2"/>
      <c r="Q116" s="2"/>
      <c r="U116" s="2"/>
      <c r="V116" s="2"/>
      <c r="W116" s="2"/>
      <c r="X116" s="2"/>
      <c r="Y116" s="2"/>
      <c r="Z116" s="2"/>
      <c r="AA116" s="2"/>
      <c r="AB116" s="2"/>
      <c r="AC116" s="2"/>
      <c r="AD116" s="2"/>
      <c r="AE116" s="2"/>
      <c r="AF116" s="2"/>
      <c r="AG116" s="2"/>
      <c r="AH116" s="2"/>
      <c r="AI116" s="2"/>
      <c r="AJ116" s="2"/>
      <c r="AK116" s="2"/>
      <c r="AL116" s="2"/>
      <c r="AM116" s="2"/>
      <c r="AN116" s="2"/>
      <c r="AO116" s="2"/>
      <c r="AP116" s="2" t="s">
        <v>515</v>
      </c>
      <c r="AQ116" s="1102">
        <v>8.36</v>
      </c>
      <c r="AR116" s="2">
        <f>+BYD!AX39</f>
        <v>9.2970000000000006</v>
      </c>
    </row>
    <row r="117" spans="1:44" ht="12.75" customHeight="1">
      <c r="A117" s="2"/>
      <c r="B117" s="2"/>
      <c r="C117" s="2"/>
      <c r="D117" s="1062"/>
      <c r="E117" s="2"/>
      <c r="F117" s="2"/>
      <c r="G117" s="2"/>
      <c r="H117" s="2"/>
      <c r="I117" s="2"/>
      <c r="J117" s="2"/>
      <c r="K117" s="2"/>
      <c r="L117" s="2"/>
      <c r="N117" s="2"/>
      <c r="O117" s="2"/>
      <c r="P117" s="2"/>
      <c r="Q117" s="2"/>
      <c r="U117" s="2"/>
      <c r="V117" s="2"/>
      <c r="W117" s="2"/>
      <c r="X117" s="2"/>
      <c r="Y117" s="2"/>
      <c r="Z117" s="2"/>
      <c r="AA117" s="2"/>
      <c r="AB117" s="2"/>
      <c r="AC117" s="2"/>
      <c r="AD117" s="2"/>
      <c r="AE117" s="2"/>
      <c r="AF117" s="2"/>
      <c r="AG117" s="2"/>
      <c r="AH117" s="2"/>
      <c r="AI117" s="2"/>
      <c r="AJ117" s="2"/>
      <c r="AK117" s="2"/>
      <c r="AL117" s="2"/>
      <c r="AM117" s="2"/>
      <c r="AN117" s="2"/>
      <c r="AO117" s="2"/>
      <c r="AP117" s="2" t="s">
        <v>516</v>
      </c>
      <c r="AQ117" s="1102">
        <v>51.04</v>
      </c>
      <c r="AR117" s="2">
        <f>+BYD!AX41</f>
        <v>48.625</v>
      </c>
    </row>
    <row r="118" spans="1:44" ht="12.75" customHeight="1">
      <c r="A118" s="2"/>
      <c r="B118" s="2"/>
      <c r="C118" s="2"/>
      <c r="D118" s="1062"/>
      <c r="E118" s="2"/>
      <c r="F118" s="2"/>
      <c r="G118" s="2"/>
      <c r="H118" s="2"/>
      <c r="I118" s="2"/>
      <c r="J118" s="2"/>
      <c r="K118" s="2"/>
      <c r="L118" s="2"/>
      <c r="N118" s="2"/>
      <c r="O118" s="2"/>
      <c r="P118" s="2"/>
      <c r="Q118" s="2"/>
      <c r="U118" s="2"/>
      <c r="V118" s="2"/>
      <c r="W118" s="2"/>
      <c r="X118" s="2"/>
      <c r="Y118" s="2"/>
      <c r="Z118" s="2"/>
      <c r="AA118" s="2"/>
      <c r="AB118" s="2"/>
      <c r="AC118" s="2"/>
      <c r="AD118" s="2"/>
      <c r="AE118" s="2"/>
      <c r="AF118" s="2"/>
      <c r="AG118" s="2"/>
      <c r="AH118" s="2"/>
      <c r="AI118" s="2"/>
      <c r="AJ118" s="2"/>
      <c r="AK118" s="2"/>
      <c r="AL118" s="2"/>
      <c r="AM118" s="2"/>
      <c r="AN118" s="2"/>
      <c r="AO118" s="2"/>
      <c r="AP118" s="2" t="s">
        <v>517</v>
      </c>
      <c r="AQ118" s="1102">
        <v>52.46</v>
      </c>
      <c r="AR118" s="2">
        <f>+BYD!AX42</f>
        <v>48.323</v>
      </c>
    </row>
    <row r="119" spans="1:44" ht="12.75" customHeight="1">
      <c r="A119" s="2"/>
      <c r="B119" s="2"/>
      <c r="C119" s="2"/>
      <c r="D119" s="1062"/>
      <c r="E119" s="2"/>
      <c r="F119" s="2"/>
      <c r="G119" s="2"/>
      <c r="H119" s="2"/>
      <c r="I119" s="2"/>
      <c r="J119" s="2"/>
      <c r="K119" s="2"/>
      <c r="L119" s="2"/>
      <c r="N119" s="2"/>
      <c r="O119" s="2"/>
      <c r="P119" s="2"/>
      <c r="Q119" s="2"/>
      <c r="U119" s="2"/>
      <c r="V119" s="2"/>
      <c r="W119" s="2"/>
      <c r="X119" s="2"/>
      <c r="Y119" s="2"/>
      <c r="Z119" s="2"/>
      <c r="AA119" s="2"/>
      <c r="AB119" s="2"/>
      <c r="AC119" s="2"/>
      <c r="AD119" s="2"/>
      <c r="AE119" s="2"/>
      <c r="AF119" s="2"/>
      <c r="AG119" s="2"/>
      <c r="AH119" s="2"/>
      <c r="AI119" s="2"/>
      <c r="AJ119" s="2"/>
      <c r="AK119" s="2"/>
      <c r="AL119" s="2"/>
      <c r="AM119" s="2"/>
      <c r="AN119" s="2"/>
      <c r="AO119" s="2"/>
      <c r="AP119" s="2" t="s">
        <v>273</v>
      </c>
      <c r="AQ119" s="1102">
        <v>28.21</v>
      </c>
      <c r="AR119" s="2">
        <f>+BYD!AX45</f>
        <v>27.847000000000001</v>
      </c>
    </row>
  </sheetData>
  <phoneticPr fontId="103" type="noConversion"/>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AR118"/>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5" max="15" width="1.5" customWidth="1"/>
    <col min="18" max="18" width="3.25" customWidth="1"/>
    <col min="20" max="20" width="1" customWidth="1"/>
    <col min="21" max="21" width="19" customWidth="1"/>
    <col min="22" max="22" width="1.625" customWidth="1"/>
    <col min="23" max="23" width="8.625" customWidth="1"/>
    <col min="24" max="24" width="1.625" customWidth="1"/>
    <col min="25" max="25" width="8.625" customWidth="1"/>
    <col min="26" max="26" width="1.625" customWidth="1"/>
    <col min="27" max="27" width="8.625" customWidth="1"/>
    <col min="30" max="30" width="7.625" customWidth="1"/>
    <col min="31" max="31" width="1.625" customWidth="1"/>
    <col min="32" max="32" width="7.625" customWidth="1"/>
    <col min="33" max="33" width="1.625" customWidth="1"/>
    <col min="34" max="34" width="7.625" customWidth="1"/>
    <col min="35" max="35" width="1.625" customWidth="1"/>
    <col min="36" max="36" width="21.5" customWidth="1"/>
    <col min="37" max="37" width="11.625" customWidth="1"/>
    <col min="38" max="38" width="1.625" customWidth="1"/>
    <col min="39" max="39" width="10.625" customWidth="1"/>
    <col min="40" max="40" width="1.625" customWidth="1"/>
    <col min="41" max="41" width="10.625" customWidth="1"/>
    <col min="42" max="42" width="16" customWidth="1"/>
  </cols>
  <sheetData>
    <row r="1" spans="1:44" ht="12.75" customHeight="1">
      <c r="A1" s="1" t="s">
        <v>629</v>
      </c>
      <c r="B1" s="2"/>
      <c r="C1" s="166"/>
      <c r="D1" s="1062"/>
      <c r="E1" s="2"/>
      <c r="F1" s="2"/>
      <c r="G1" s="2"/>
      <c r="H1" s="2"/>
      <c r="I1" s="2"/>
      <c r="J1" s="2"/>
      <c r="K1" s="2"/>
      <c r="L1" s="2"/>
      <c r="N1" s="2"/>
      <c r="O1" s="2"/>
      <c r="P1" s="2"/>
      <c r="Q1" s="2"/>
      <c r="U1" s="2"/>
      <c r="V1" s="2"/>
      <c r="W1" s="2"/>
      <c r="X1" s="2"/>
      <c r="Y1" s="2"/>
      <c r="Z1" s="2"/>
      <c r="AA1" s="2"/>
      <c r="AB1" s="2"/>
      <c r="AC1" s="2"/>
      <c r="AD1" s="2"/>
      <c r="AE1" s="2"/>
      <c r="AF1" s="2"/>
      <c r="AG1" s="2"/>
      <c r="AH1" s="2"/>
      <c r="AI1" s="2"/>
      <c r="AJ1" s="2"/>
      <c r="AK1" s="2"/>
      <c r="AL1" s="2"/>
      <c r="AM1" s="2"/>
      <c r="AN1" s="2"/>
      <c r="AO1" s="2"/>
      <c r="AP1" s="2"/>
      <c r="AQ1" s="98"/>
      <c r="AR1" s="2"/>
    </row>
    <row r="2" spans="1:44" ht="12.75" customHeight="1">
      <c r="A2" s="1" t="s">
        <v>1224</v>
      </c>
      <c r="B2" s="2"/>
      <c r="C2" s="2"/>
      <c r="D2" s="1062"/>
      <c r="E2" s="2"/>
      <c r="F2" s="2"/>
      <c r="G2" s="2"/>
      <c r="H2" s="2"/>
      <c r="I2" s="2"/>
      <c r="J2" s="2"/>
      <c r="K2" s="2"/>
      <c r="L2" s="2"/>
      <c r="N2" s="2"/>
      <c r="O2" s="2"/>
      <c r="P2" s="2"/>
      <c r="Q2" s="2"/>
      <c r="U2" s="2"/>
      <c r="V2" s="2"/>
      <c r="W2" s="2"/>
      <c r="X2" s="2"/>
      <c r="Y2" s="2"/>
      <c r="Z2" s="2"/>
      <c r="AA2" s="2"/>
      <c r="AB2" s="2"/>
      <c r="AC2" s="2"/>
      <c r="AD2" s="2"/>
      <c r="AE2" s="2"/>
      <c r="AF2" s="2"/>
      <c r="AG2" s="2"/>
      <c r="AH2" s="2"/>
      <c r="AI2" s="2"/>
      <c r="AJ2" s="2"/>
      <c r="AK2" s="2"/>
      <c r="AL2" s="2"/>
      <c r="AM2" s="2"/>
      <c r="AN2" s="2"/>
      <c r="AO2" s="2"/>
      <c r="AP2" s="2"/>
      <c r="AQ2" s="98"/>
      <c r="AR2" s="2"/>
    </row>
    <row r="3" spans="1:44" ht="12.75" customHeight="1">
      <c r="A3" s="2" t="s">
        <v>1225</v>
      </c>
      <c r="B3" s="2"/>
      <c r="C3" s="2"/>
      <c r="D3" s="1062"/>
      <c r="E3" s="2"/>
      <c r="F3" s="2"/>
      <c r="G3" s="2"/>
      <c r="H3" s="2"/>
      <c r="I3" s="2"/>
      <c r="J3" s="2"/>
      <c r="K3" s="2"/>
      <c r="L3" s="2"/>
      <c r="N3" s="2"/>
      <c r="O3" s="2"/>
      <c r="P3" s="2"/>
      <c r="Q3" s="2"/>
      <c r="U3" s="2"/>
      <c r="V3" s="2"/>
      <c r="W3" s="2"/>
      <c r="X3" s="2"/>
      <c r="Y3" s="2"/>
      <c r="Z3" s="2"/>
      <c r="AA3" s="2"/>
      <c r="AB3" s="2"/>
      <c r="AC3" s="2"/>
      <c r="AD3" s="2"/>
      <c r="AE3" s="2"/>
      <c r="AF3" s="2"/>
      <c r="AG3" s="2"/>
      <c r="AH3" s="2"/>
      <c r="AI3" s="2"/>
      <c r="AJ3" s="2"/>
      <c r="AK3" s="2"/>
      <c r="AL3" s="2"/>
      <c r="AM3" s="2"/>
      <c r="AN3" s="2"/>
      <c r="AO3" s="2"/>
      <c r="AP3" s="2"/>
      <c r="AQ3" s="98"/>
      <c r="AR3" s="2"/>
    </row>
    <row r="4" spans="1:44" ht="12.75" customHeight="1">
      <c r="A4" s="2"/>
      <c r="B4" s="2"/>
      <c r="C4" s="1195" t="s">
        <v>818</v>
      </c>
      <c r="D4" s="1310"/>
      <c r="E4" s="1196"/>
      <c r="F4" s="1196"/>
      <c r="G4" s="1196"/>
      <c r="H4" s="2"/>
      <c r="I4" s="1195" t="s">
        <v>1504</v>
      </c>
      <c r="J4" s="1197"/>
      <c r="K4" s="1196"/>
      <c r="L4" s="1196"/>
      <c r="O4" s="70"/>
      <c r="P4" s="70"/>
      <c r="Q4" s="70"/>
      <c r="U4" s="2"/>
      <c r="V4" s="2"/>
      <c r="W4" s="2"/>
      <c r="X4" s="2"/>
      <c r="Y4" s="2"/>
      <c r="Z4" s="2"/>
      <c r="AA4" s="2"/>
      <c r="AB4" s="2"/>
      <c r="AC4" s="2"/>
      <c r="AD4" s="2"/>
      <c r="AE4" s="2"/>
      <c r="AF4" s="2"/>
      <c r="AG4" s="2"/>
      <c r="AH4" s="2"/>
      <c r="AI4" s="2"/>
      <c r="AJ4" s="2"/>
      <c r="AK4" s="2"/>
      <c r="AL4" s="2"/>
      <c r="AM4" s="2"/>
      <c r="AN4" s="2"/>
      <c r="AO4" s="2"/>
      <c r="AP4" s="2"/>
      <c r="AQ4" s="98"/>
      <c r="AR4" s="2"/>
    </row>
    <row r="5" spans="1:44" ht="12.75" customHeight="1">
      <c r="A5" s="2"/>
      <c r="B5" s="2"/>
      <c r="C5" s="1198"/>
      <c r="D5" s="77"/>
      <c r="E5" s="2"/>
      <c r="F5" s="1197" t="s">
        <v>1487</v>
      </c>
      <c r="G5" s="1197"/>
      <c r="H5" s="2"/>
      <c r="I5" s="1198"/>
      <c r="J5" s="61"/>
      <c r="K5" s="1197" t="s">
        <v>1505</v>
      </c>
      <c r="L5" s="1197"/>
      <c r="N5" s="1289" t="s">
        <v>1489</v>
      </c>
      <c r="O5" s="2"/>
      <c r="P5" s="1197" t="s">
        <v>1505</v>
      </c>
      <c r="Q5" s="1197"/>
      <c r="S5" s="73" t="s">
        <v>594</v>
      </c>
      <c r="U5" s="2"/>
      <c r="V5" s="2"/>
      <c r="W5" s="2"/>
      <c r="X5" s="2"/>
      <c r="Y5" s="2"/>
      <c r="Z5" s="2"/>
      <c r="AA5" s="2"/>
      <c r="AB5" s="2"/>
      <c r="AC5" s="2"/>
      <c r="AD5" s="2"/>
      <c r="AE5" s="2"/>
      <c r="AF5" s="2"/>
      <c r="AG5" s="2"/>
      <c r="AH5" s="2"/>
      <c r="AI5" s="2"/>
      <c r="AJ5" s="2"/>
      <c r="AK5" s="2"/>
      <c r="AL5" s="2"/>
      <c r="AM5" s="2"/>
      <c r="AN5" s="2"/>
      <c r="AO5" s="2"/>
      <c r="AP5" s="2"/>
      <c r="AQ5" s="98"/>
      <c r="AR5" s="2"/>
    </row>
    <row r="6" spans="1:44" ht="12.75" customHeight="1">
      <c r="A6" s="61"/>
      <c r="B6" s="2"/>
      <c r="C6" s="1199" t="s">
        <v>1398</v>
      </c>
      <c r="D6" s="1308" t="s">
        <v>1480</v>
      </c>
      <c r="E6" s="70"/>
      <c r="F6" s="73" t="s">
        <v>658</v>
      </c>
      <c r="G6" s="73" t="s">
        <v>740</v>
      </c>
      <c r="H6" s="2"/>
      <c r="I6" s="1199" t="s">
        <v>356</v>
      </c>
      <c r="J6" s="70"/>
      <c r="K6" s="73" t="s">
        <v>658</v>
      </c>
      <c r="L6" s="73" t="s">
        <v>740</v>
      </c>
      <c r="N6" s="1165" t="s">
        <v>631</v>
      </c>
      <c r="O6" s="2"/>
      <c r="P6" s="73" t="s">
        <v>658</v>
      </c>
      <c r="Q6" s="73" t="s">
        <v>740</v>
      </c>
      <c r="U6" s="2"/>
      <c r="V6" s="2"/>
      <c r="W6" s="2"/>
      <c r="X6" s="2"/>
      <c r="Y6" s="2"/>
      <c r="Z6" s="2"/>
      <c r="AA6" s="2"/>
      <c r="AB6" s="2"/>
      <c r="AC6" s="2"/>
      <c r="AD6" s="2"/>
      <c r="AE6" s="2"/>
      <c r="AF6" s="2"/>
      <c r="AG6" s="2"/>
      <c r="AH6" s="2"/>
      <c r="AI6" s="2"/>
      <c r="AJ6" s="2"/>
      <c r="AK6" s="2"/>
      <c r="AL6" s="2"/>
      <c r="AM6" s="2"/>
      <c r="AN6" s="2"/>
      <c r="AO6" s="2"/>
      <c r="AP6" s="2"/>
      <c r="AQ6" s="98"/>
      <c r="AR6" s="2"/>
    </row>
    <row r="7" spans="1:44" ht="12.75" customHeight="1">
      <c r="A7" s="1" t="s">
        <v>741</v>
      </c>
      <c r="B7" s="2"/>
      <c r="C7" s="112"/>
      <c r="D7" s="77"/>
      <c r="E7" s="2"/>
      <c r="F7" s="2"/>
      <c r="G7" s="2"/>
      <c r="H7" s="2"/>
      <c r="I7" s="112"/>
      <c r="J7" s="61"/>
      <c r="K7" s="2"/>
      <c r="L7" s="2"/>
      <c r="N7" s="2"/>
      <c r="O7" s="2"/>
      <c r="P7" s="2"/>
      <c r="Q7" s="2"/>
      <c r="U7" s="2"/>
      <c r="V7" s="2"/>
      <c r="W7" s="2"/>
      <c r="X7" s="2"/>
      <c r="Y7" s="2"/>
      <c r="Z7" s="2"/>
      <c r="AA7" s="2"/>
      <c r="AB7" s="2"/>
      <c r="AC7" s="2"/>
      <c r="AD7" s="2"/>
      <c r="AE7" s="2"/>
      <c r="AF7" s="2"/>
      <c r="AG7" s="2"/>
      <c r="AH7" s="2"/>
      <c r="AI7" s="2"/>
      <c r="AJ7" s="2"/>
      <c r="AK7" s="2"/>
      <c r="AL7" s="2"/>
      <c r="AM7" s="2"/>
      <c r="AN7" s="2"/>
      <c r="AO7" s="2"/>
      <c r="AP7" s="2"/>
      <c r="AQ7" s="98"/>
      <c r="AR7" s="2"/>
    </row>
    <row r="8" spans="1:44" ht="12.75" customHeight="1">
      <c r="A8" s="334" t="s">
        <v>514</v>
      </c>
      <c r="B8" s="2"/>
      <c r="C8" s="2030">
        <f>BYD!AZ10</f>
        <v>148.63900000000001</v>
      </c>
      <c r="D8" s="858">
        <f>BYD!AU10</f>
        <v>148.74299999999999</v>
      </c>
      <c r="E8" s="1202"/>
      <c r="F8" s="1205">
        <f t="shared" ref="F8:F13" si="0">C8-D8</f>
        <v>-0.10399999999998499</v>
      </c>
      <c r="G8" s="126">
        <f t="shared" ref="G8:G14" si="1">IF(D8=0,0,C8/D8-1)</f>
        <v>-6.9919256704509269E-4</v>
      </c>
      <c r="H8" s="1205"/>
      <c r="I8" s="1207">
        <v>151.71786</v>
      </c>
      <c r="J8" s="1202"/>
      <c r="K8" s="313">
        <f t="shared" ref="K8:K13" si="2">C8-I8</f>
        <v>-3.0788599999999917</v>
      </c>
      <c r="L8" s="1204">
        <f t="shared" ref="L8:L13" si="3">IF(I8=0,"NM",C8/I8-1)</f>
        <v>-2.0293326046122662E-2</v>
      </c>
      <c r="N8" s="1349">
        <v>150.51</v>
      </c>
      <c r="O8" s="1349"/>
      <c r="P8" s="313">
        <f t="shared" ref="P8:P14" si="4">C8-N8</f>
        <v>-1.8709999999999809</v>
      </c>
      <c r="Q8" s="1204">
        <f t="shared" ref="Q8:Q14" si="5">IF(N8=0,"NM",C8/N8-1)</f>
        <v>-1.2431067703142507E-2</v>
      </c>
      <c r="U8" s="105"/>
      <c r="V8" s="2"/>
      <c r="W8" s="2"/>
      <c r="X8" s="2"/>
      <c r="Y8" s="2"/>
      <c r="Z8" s="2"/>
      <c r="AA8" s="2"/>
      <c r="AB8" s="2"/>
      <c r="AC8" s="2"/>
      <c r="AD8" s="2"/>
      <c r="AE8" s="2"/>
      <c r="AF8" s="2"/>
      <c r="AG8" s="2"/>
      <c r="AH8" s="2"/>
      <c r="AI8" s="2"/>
      <c r="AJ8" s="2"/>
      <c r="AK8" s="2"/>
      <c r="AL8" s="2"/>
      <c r="AM8" s="2"/>
      <c r="AN8" s="2"/>
      <c r="AO8" s="2"/>
      <c r="AP8" s="2"/>
      <c r="AQ8" s="98"/>
      <c r="AR8" s="2"/>
    </row>
    <row r="9" spans="1:44" ht="12.75" customHeight="1">
      <c r="A9" s="334" t="s">
        <v>515</v>
      </c>
      <c r="B9" s="61"/>
      <c r="C9" s="2031">
        <f>BYD!AZ11</f>
        <v>59.831000000000003</v>
      </c>
      <c r="D9" s="104">
        <f>BYD!AU11</f>
        <v>57.683999999999997</v>
      </c>
      <c r="E9" s="1103"/>
      <c r="F9" s="374">
        <f t="shared" si="0"/>
        <v>2.1470000000000056</v>
      </c>
      <c r="G9" s="95">
        <f t="shared" si="1"/>
        <v>3.7220026350461177E-2</v>
      </c>
      <c r="H9" s="61"/>
      <c r="I9" s="1104">
        <v>57.10716</v>
      </c>
      <c r="J9" s="1103"/>
      <c r="K9" s="374">
        <f t="shared" si="2"/>
        <v>2.7238400000000027</v>
      </c>
      <c r="L9" s="92">
        <f t="shared" si="3"/>
        <v>4.769699631359714E-2</v>
      </c>
      <c r="N9" s="1102">
        <v>57.28</v>
      </c>
      <c r="O9" s="1102"/>
      <c r="P9" s="374">
        <f t="shared" si="4"/>
        <v>2.5510000000000019</v>
      </c>
      <c r="Q9" s="92">
        <f t="shared" si="5"/>
        <v>4.4535614525139655E-2</v>
      </c>
      <c r="U9" s="105"/>
      <c r="V9" s="2"/>
      <c r="W9" s="2"/>
      <c r="X9" s="2"/>
      <c r="Y9" s="2"/>
      <c r="Z9" s="2"/>
      <c r="AA9" s="2"/>
      <c r="AB9" s="2"/>
      <c r="AC9" s="2"/>
      <c r="AD9" s="2"/>
      <c r="AE9" s="2"/>
      <c r="AF9" s="2"/>
      <c r="AG9" s="2"/>
      <c r="AH9" s="2"/>
      <c r="AI9" s="2"/>
      <c r="AJ9" s="2"/>
      <c r="AK9" s="2"/>
      <c r="AL9" s="2"/>
      <c r="AM9" s="2"/>
      <c r="AN9" s="2"/>
      <c r="AO9" s="2"/>
      <c r="AP9" s="2"/>
      <c r="AQ9" s="98"/>
      <c r="AR9" s="2"/>
    </row>
    <row r="10" spans="1:44" ht="12.75" customHeight="1">
      <c r="A10" s="334" t="s">
        <v>516</v>
      </c>
      <c r="B10" s="61"/>
      <c r="C10" s="2031">
        <f>BYD!AZ13</f>
        <v>196.02500000000001</v>
      </c>
      <c r="D10" s="104">
        <f>BYD!AU13</f>
        <v>213.773</v>
      </c>
      <c r="E10" s="1103"/>
      <c r="F10" s="374">
        <f t="shared" si="0"/>
        <v>-17.74799999999999</v>
      </c>
      <c r="G10" s="95">
        <f t="shared" si="1"/>
        <v>-8.3022645516505733E-2</v>
      </c>
      <c r="H10" s="61"/>
      <c r="I10" s="1104">
        <v>197.75952247495019</v>
      </c>
      <c r="J10" s="1103"/>
      <c r="K10" s="374">
        <f t="shared" si="2"/>
        <v>-1.7345224749501824</v>
      </c>
      <c r="L10" s="92">
        <f t="shared" si="3"/>
        <v>-8.7708670269968092E-3</v>
      </c>
      <c r="M10" s="1403"/>
      <c r="N10" s="1102">
        <v>201.4</v>
      </c>
      <c r="O10" s="1102"/>
      <c r="P10" s="374">
        <f t="shared" si="4"/>
        <v>-5.375</v>
      </c>
      <c r="Q10" s="92">
        <f t="shared" si="5"/>
        <v>-2.6688182720953302E-2</v>
      </c>
      <c r="S10" s="1403"/>
      <c r="U10" s="105"/>
      <c r="V10" s="2"/>
      <c r="W10" s="2"/>
      <c r="X10" s="2"/>
      <c r="Y10" s="2"/>
      <c r="Z10" s="2"/>
      <c r="AA10" s="2"/>
      <c r="AB10" s="2"/>
      <c r="AC10" s="2"/>
      <c r="AD10" s="2"/>
      <c r="AE10" s="2"/>
      <c r="AF10" s="2"/>
      <c r="AG10" s="2"/>
      <c r="AH10" s="2"/>
      <c r="AI10" s="2"/>
      <c r="AJ10" s="2"/>
      <c r="AK10" s="2"/>
      <c r="AL10" s="2"/>
      <c r="AM10" s="2"/>
      <c r="AN10" s="2"/>
      <c r="AO10" s="2"/>
      <c r="AP10" s="2"/>
      <c r="AQ10" s="98"/>
      <c r="AR10" s="2"/>
    </row>
    <row r="11" spans="1:44" ht="12.75" customHeight="1">
      <c r="A11" s="963" t="s">
        <v>517</v>
      </c>
      <c r="B11" s="61"/>
      <c r="C11" s="2031">
        <f>BYD!AZ14</f>
        <v>119.914</v>
      </c>
      <c r="D11" s="104">
        <f>BYD!AU14</f>
        <v>56.924999999999997</v>
      </c>
      <c r="E11" s="1103"/>
      <c r="F11" s="374">
        <f t="shared" si="0"/>
        <v>62.989000000000004</v>
      </c>
      <c r="G11" s="95">
        <f t="shared" si="1"/>
        <v>1.1065261308739571</v>
      </c>
      <c r="H11" s="61"/>
      <c r="I11" s="1104">
        <v>122.35807942310912</v>
      </c>
      <c r="J11" s="1103"/>
      <c r="K11" s="374">
        <f t="shared" si="2"/>
        <v>-2.4440794231091161</v>
      </c>
      <c r="L11" s="92">
        <f t="shared" si="3"/>
        <v>-1.9974810283329036E-2</v>
      </c>
      <c r="M11" s="1403"/>
      <c r="N11" s="1102">
        <v>121.64</v>
      </c>
      <c r="O11" s="1102"/>
      <c r="P11" s="374">
        <f t="shared" si="4"/>
        <v>-1.7259999999999991</v>
      </c>
      <c r="Q11" s="92">
        <f t="shared" si="5"/>
        <v>-1.4189411377836247E-2</v>
      </c>
      <c r="S11" s="1403"/>
      <c r="U11" s="105"/>
      <c r="V11" s="2"/>
      <c r="W11" s="2"/>
      <c r="X11" s="2"/>
      <c r="Y11" s="2"/>
      <c r="Z11" s="2"/>
      <c r="AA11" s="2"/>
      <c r="AB11" s="2"/>
      <c r="AC11" s="2"/>
      <c r="AD11" s="2"/>
      <c r="AE11" s="2"/>
      <c r="AF11" s="2"/>
      <c r="AG11" s="2"/>
      <c r="AH11" s="2"/>
      <c r="AI11" s="2"/>
      <c r="AJ11" s="2"/>
      <c r="AK11" s="2"/>
      <c r="AL11" s="2"/>
      <c r="AM11" s="2"/>
      <c r="AN11" s="2"/>
      <c r="AO11" s="2"/>
      <c r="AP11" s="2"/>
      <c r="AQ11" s="98"/>
      <c r="AR11" s="2"/>
    </row>
    <row r="12" spans="1:44" ht="12.75" customHeight="1">
      <c r="A12" s="334" t="s">
        <v>273</v>
      </c>
      <c r="B12" s="61"/>
      <c r="C12" s="2031">
        <f>BYD!AZ17</f>
        <v>0</v>
      </c>
      <c r="D12" s="104">
        <f>BYD!AU906</f>
        <v>147.565</v>
      </c>
      <c r="E12" s="1103"/>
      <c r="F12" s="374">
        <f t="shared" si="0"/>
        <v>-147.565</v>
      </c>
      <c r="G12" s="95">
        <f t="shared" si="1"/>
        <v>-1</v>
      </c>
      <c r="H12" s="61"/>
      <c r="I12" s="1104">
        <v>161.89707658930638</v>
      </c>
      <c r="J12" s="1103"/>
      <c r="K12" s="374">
        <f t="shared" si="2"/>
        <v>-161.89707658930638</v>
      </c>
      <c r="L12" s="92">
        <f t="shared" si="3"/>
        <v>-1</v>
      </c>
      <c r="N12" s="1102">
        <v>154.59</v>
      </c>
      <c r="O12" s="1102"/>
      <c r="P12" s="374">
        <f t="shared" si="4"/>
        <v>-154.59</v>
      </c>
      <c r="Q12" s="92">
        <f t="shared" si="5"/>
        <v>-1</v>
      </c>
      <c r="U12" s="105"/>
      <c r="V12" s="2"/>
      <c r="W12" s="2"/>
      <c r="X12" s="2"/>
      <c r="Y12" s="2"/>
      <c r="Z12" s="2"/>
      <c r="AA12" s="2"/>
      <c r="AB12" s="2"/>
      <c r="AC12" s="2"/>
      <c r="AD12" s="2"/>
      <c r="AE12" s="2"/>
      <c r="AF12" s="2"/>
      <c r="AG12" s="2"/>
      <c r="AH12" s="2"/>
      <c r="AI12" s="2"/>
      <c r="AJ12" s="2"/>
      <c r="AK12" s="2"/>
      <c r="AL12" s="2"/>
      <c r="AM12" s="2"/>
      <c r="AN12" s="2"/>
      <c r="AO12" s="2"/>
      <c r="AP12" s="2"/>
      <c r="AQ12" s="98"/>
      <c r="AR12" s="2"/>
    </row>
    <row r="13" spans="1:44" ht="12.75" customHeight="1">
      <c r="A13" s="334" t="s">
        <v>1790</v>
      </c>
      <c r="B13" s="61"/>
      <c r="C13" s="2031">
        <v>0</v>
      </c>
      <c r="D13" s="104">
        <v>0</v>
      </c>
      <c r="E13" s="1103"/>
      <c r="F13" s="374">
        <f t="shared" si="0"/>
        <v>0</v>
      </c>
      <c r="G13" s="95">
        <f t="shared" si="1"/>
        <v>0</v>
      </c>
      <c r="H13" s="61"/>
      <c r="I13" s="1104">
        <v>0</v>
      </c>
      <c r="J13" s="1103"/>
      <c r="K13" s="374">
        <f t="shared" si="2"/>
        <v>0</v>
      </c>
      <c r="L13" s="92" t="str">
        <f t="shared" si="3"/>
        <v>NM</v>
      </c>
      <c r="N13" s="1102">
        <v>0</v>
      </c>
      <c r="O13" s="1102"/>
      <c r="P13" s="374">
        <f t="shared" si="4"/>
        <v>0</v>
      </c>
      <c r="Q13" s="92" t="str">
        <f t="shared" si="5"/>
        <v>NM</v>
      </c>
      <c r="U13" s="105"/>
      <c r="V13" s="2"/>
      <c r="W13" s="2"/>
      <c r="X13" s="2"/>
      <c r="Y13" s="2"/>
      <c r="Z13" s="2"/>
      <c r="AA13" s="2"/>
      <c r="AB13" s="2"/>
      <c r="AC13" s="2"/>
      <c r="AD13" s="2"/>
      <c r="AE13" s="2"/>
      <c r="AF13" s="2"/>
      <c r="AG13" s="2"/>
      <c r="AH13" s="2"/>
      <c r="AI13" s="2"/>
      <c r="AJ13" s="2"/>
      <c r="AK13" s="2"/>
      <c r="AL13" s="2"/>
      <c r="AM13" s="2"/>
      <c r="AN13" s="2"/>
      <c r="AO13" s="2"/>
      <c r="AP13" s="2"/>
      <c r="AQ13" s="98"/>
      <c r="AR13" s="2"/>
    </row>
    <row r="14" spans="1:44" ht="12.75" customHeight="1">
      <c r="A14" s="138" t="s">
        <v>813</v>
      </c>
      <c r="B14" s="1203"/>
      <c r="C14" s="2032">
        <f>SUM(C8:C13)</f>
        <v>524.40899999999999</v>
      </c>
      <c r="D14" s="1210">
        <f>SUM(D8:D13)</f>
        <v>624.69000000000005</v>
      </c>
      <c r="E14" s="1210"/>
      <c r="F14" s="1210">
        <f>SUM(F8:F13)</f>
        <v>-100.28099999999996</v>
      </c>
      <c r="G14" s="1208">
        <f t="shared" si="1"/>
        <v>-0.1605292224943573</v>
      </c>
      <c r="H14" s="1206"/>
      <c r="I14" s="1250">
        <v>690.83969848736569</v>
      </c>
      <c r="J14" s="1210"/>
      <c r="K14" s="1210">
        <f>SUM(K8:K13)</f>
        <v>-166.43069848736567</v>
      </c>
      <c r="L14" s="1211">
        <f>C14/I14-1</f>
        <v>-0.24091073349110592</v>
      </c>
      <c r="M14" s="1444"/>
      <c r="N14" s="1349">
        <v>686.71</v>
      </c>
      <c r="O14" s="1349"/>
      <c r="P14" s="2368">
        <f t="shared" si="4"/>
        <v>-162.30100000000004</v>
      </c>
      <c r="Q14" s="1211">
        <f t="shared" si="5"/>
        <v>-0.23634576458767176</v>
      </c>
      <c r="R14" s="1299"/>
      <c r="S14" s="1617"/>
      <c r="U14" s="105">
        <f>+C14/N14-1</f>
        <v>-0.23634576458767176</v>
      </c>
      <c r="V14" s="2"/>
      <c r="W14" s="2"/>
      <c r="X14" s="2"/>
      <c r="Y14" s="2"/>
      <c r="Z14" s="2"/>
      <c r="AA14" s="2"/>
      <c r="AB14" s="2"/>
      <c r="AC14" s="2"/>
      <c r="AD14" s="2"/>
      <c r="AE14" s="2"/>
      <c r="AF14" s="2"/>
      <c r="AG14" s="2"/>
      <c r="AH14" s="2"/>
      <c r="AI14" s="2"/>
      <c r="AJ14" s="2"/>
      <c r="AK14" s="2"/>
      <c r="AL14" s="2"/>
      <c r="AM14" s="2"/>
      <c r="AN14" s="2"/>
      <c r="AO14" s="2"/>
      <c r="AP14" s="2"/>
      <c r="AQ14" s="98"/>
      <c r="AR14" s="2"/>
    </row>
    <row r="15" spans="1:44" ht="12.75" customHeight="1">
      <c r="A15" s="61"/>
      <c r="B15" s="61"/>
      <c r="C15" s="2033"/>
      <c r="D15" s="77"/>
      <c r="E15" s="61"/>
      <c r="F15" s="61"/>
      <c r="G15" s="1139"/>
      <c r="H15" s="61"/>
      <c r="I15" s="115"/>
      <c r="J15" s="61"/>
      <c r="K15" s="61"/>
      <c r="L15" s="1212"/>
      <c r="N15" s="105">
        <f>C14/N14-1</f>
        <v>-0.23634576458767176</v>
      </c>
      <c r="O15" s="105"/>
      <c r="P15" s="105"/>
      <c r="Q15" s="105"/>
      <c r="U15" s="2"/>
      <c r="V15" s="2"/>
      <c r="W15" s="101" t="str">
        <f>+C6</f>
        <v>4Q13A</v>
      </c>
      <c r="X15" s="101"/>
      <c r="Y15" s="101" t="str">
        <f>+D6</f>
        <v>4Q12A</v>
      </c>
      <c r="Z15" s="101"/>
      <c r="AA15" s="101" t="s">
        <v>1490</v>
      </c>
      <c r="AB15" s="101"/>
      <c r="AC15" s="2"/>
      <c r="AD15" s="2"/>
      <c r="AE15" s="2"/>
      <c r="AF15" s="2"/>
      <c r="AG15" s="2"/>
      <c r="AH15" s="2"/>
      <c r="AI15" s="2"/>
      <c r="AJ15" s="2"/>
      <c r="AK15" s="2"/>
      <c r="AL15" s="2"/>
      <c r="AM15" s="2"/>
      <c r="AN15" s="2"/>
      <c r="AO15" s="2"/>
      <c r="AP15" s="2"/>
      <c r="AQ15" s="98"/>
      <c r="AR15" s="2"/>
    </row>
    <row r="16" spans="1:44" ht="12.75" customHeight="1">
      <c r="A16" s="107" t="s">
        <v>401</v>
      </c>
      <c r="B16" s="61"/>
      <c r="C16" s="2034"/>
      <c r="D16" s="1390"/>
      <c r="E16" s="61"/>
      <c r="F16" s="61"/>
      <c r="G16" s="1139"/>
      <c r="H16" s="61"/>
      <c r="I16" s="115"/>
      <c r="J16" s="61"/>
      <c r="K16" s="61"/>
      <c r="L16" s="1212"/>
      <c r="N16" s="98"/>
      <c r="O16" s="98"/>
      <c r="P16" s="98"/>
      <c r="Q16" s="98"/>
      <c r="U16" s="101" t="s">
        <v>1488</v>
      </c>
      <c r="V16" s="2"/>
      <c r="W16" s="101" t="s">
        <v>1160</v>
      </c>
      <c r="X16" s="101"/>
      <c r="Y16" s="101" t="s">
        <v>1160</v>
      </c>
      <c r="Z16" s="101"/>
      <c r="AA16" s="101" t="s">
        <v>1160</v>
      </c>
      <c r="AB16" s="101"/>
      <c r="AC16" s="2"/>
      <c r="AD16" s="2"/>
      <c r="AE16" s="2"/>
      <c r="AF16" s="2"/>
      <c r="AG16" s="2"/>
      <c r="AH16" s="2"/>
      <c r="AI16" s="2"/>
      <c r="AJ16" s="2"/>
      <c r="AK16" s="2"/>
      <c r="AL16" s="2"/>
      <c r="AM16" s="2"/>
      <c r="AN16" s="2"/>
      <c r="AO16" s="2"/>
      <c r="AP16" s="2"/>
      <c r="AQ16" s="98"/>
      <c r="AR16" s="2"/>
    </row>
    <row r="17" spans="1:44" ht="12.75" customHeight="1">
      <c r="A17" s="334" t="s">
        <v>514</v>
      </c>
      <c r="B17" s="61"/>
      <c r="C17" s="2030">
        <f>BYD!AZ38</f>
        <v>33.222999999999999</v>
      </c>
      <c r="D17" s="858">
        <f>BYD!AU38</f>
        <v>31.45</v>
      </c>
      <c r="E17" s="1202"/>
      <c r="F17" s="897">
        <f>C17-D17</f>
        <v>1.7729999999999997</v>
      </c>
      <c r="G17" s="95">
        <f t="shared" ref="G17:G24" si="6">IF(D17=0,0,C17/D17-1)</f>
        <v>5.6375198728139786E-2</v>
      </c>
      <c r="H17" s="61"/>
      <c r="I17" s="1207">
        <v>36.184255000000007</v>
      </c>
      <c r="J17" s="1103"/>
      <c r="K17" s="897">
        <f>C17-I17</f>
        <v>-2.9612550000000084</v>
      </c>
      <c r="L17" s="92">
        <f>IF(I17=0,"NM",C17/I17-1)</f>
        <v>-8.1838219413388757E-2</v>
      </c>
      <c r="M17" s="1403"/>
      <c r="N17" s="1102">
        <v>33.54</v>
      </c>
      <c r="O17" s="1102"/>
      <c r="P17" s="313">
        <f t="shared" ref="P17:P22" si="7">C17-N17</f>
        <v>-0.31700000000000017</v>
      </c>
      <c r="Q17" s="1204">
        <f t="shared" ref="Q17:Q22" si="8">IF(N17=0,"NM",C17/N17-1)</f>
        <v>-9.451401311866392E-3</v>
      </c>
      <c r="U17" s="126">
        <f>+C17/$C$22</f>
        <v>0.23167576689469538</v>
      </c>
      <c r="V17" s="2"/>
      <c r="W17" s="105">
        <f>+C17/C8</f>
        <v>0.22351468995351151</v>
      </c>
      <c r="X17" s="105"/>
      <c r="Y17" s="105">
        <f>+D17/D8</f>
        <v>0.21143852147664091</v>
      </c>
      <c r="Z17" s="105"/>
      <c r="AA17" s="105">
        <f>+I17/I8</f>
        <v>0.23849700358283465</v>
      </c>
      <c r="AB17" s="105"/>
      <c r="AC17" s="2"/>
      <c r="AD17" s="2"/>
      <c r="AE17" s="2"/>
      <c r="AF17" s="2"/>
      <c r="AG17" s="2"/>
      <c r="AH17" s="2"/>
      <c r="AI17" s="2"/>
      <c r="AJ17" s="2"/>
      <c r="AK17" s="2"/>
      <c r="AL17" s="2"/>
      <c r="AM17" s="2"/>
      <c r="AN17" s="2"/>
      <c r="AO17" s="2"/>
      <c r="AP17" s="2"/>
      <c r="AQ17" s="98"/>
      <c r="AR17" s="2"/>
    </row>
    <row r="18" spans="1:44" ht="12.75" customHeight="1">
      <c r="A18" s="334" t="s">
        <v>515</v>
      </c>
      <c r="B18" s="61"/>
      <c r="C18" s="2031">
        <f>BYD!AZ39</f>
        <v>13.093999999999999</v>
      </c>
      <c r="D18" s="104">
        <f>BYD!AU39</f>
        <v>9.9350000000000005</v>
      </c>
      <c r="E18" s="1103"/>
      <c r="F18" s="374">
        <f>C18-D18</f>
        <v>3.1589999999999989</v>
      </c>
      <c r="G18" s="95">
        <f t="shared" si="6"/>
        <v>0.31796678409662804</v>
      </c>
      <c r="H18" s="61"/>
      <c r="I18" s="1104">
        <v>9.3581600000000051</v>
      </c>
      <c r="J18" s="1103"/>
      <c r="K18" s="374">
        <f>C18-I18</f>
        <v>3.7358399999999943</v>
      </c>
      <c r="L18" s="92">
        <f>IF(I18=0,"NM",C18/I18-1)</f>
        <v>0.39920668165536721</v>
      </c>
      <c r="M18" s="1403"/>
      <c r="N18" s="1102">
        <v>9.6</v>
      </c>
      <c r="O18" s="1102"/>
      <c r="P18" s="374">
        <f t="shared" si="7"/>
        <v>3.4939999999999998</v>
      </c>
      <c r="Q18" s="92">
        <f t="shared" si="8"/>
        <v>0.36395833333333338</v>
      </c>
      <c r="U18" s="126">
        <f>+C18/$C$22</f>
        <v>9.1309107898719002E-2</v>
      </c>
      <c r="V18" s="2"/>
      <c r="W18" s="105">
        <f>+C18/C9</f>
        <v>0.21884976015777771</v>
      </c>
      <c r="X18" s="105"/>
      <c r="Y18" s="105">
        <f>+D18/D9</f>
        <v>0.17223146799805841</v>
      </c>
      <c r="Z18" s="105"/>
      <c r="AA18" s="105">
        <f>+I18/I9</f>
        <v>0.16387016969500856</v>
      </c>
      <c r="AB18" s="105"/>
      <c r="AC18" s="2"/>
      <c r="AD18" s="2"/>
      <c r="AE18" s="2"/>
      <c r="AF18" s="2"/>
      <c r="AG18" s="2"/>
      <c r="AH18" s="2"/>
      <c r="AI18" s="2"/>
      <c r="AJ18" s="2"/>
      <c r="AK18" s="2"/>
      <c r="AL18" s="2"/>
      <c r="AM18" s="2"/>
      <c r="AN18" s="2"/>
      <c r="AO18" s="2"/>
      <c r="AP18" s="2"/>
      <c r="AQ18" s="98"/>
      <c r="AR18" s="2"/>
    </row>
    <row r="19" spans="1:44" ht="12.75" customHeight="1">
      <c r="A19" s="334" t="s">
        <v>516</v>
      </c>
      <c r="B19" s="61"/>
      <c r="C19" s="2031">
        <f>BYD!AZ41</f>
        <v>39.732999999999997</v>
      </c>
      <c r="D19" s="104">
        <f>BYD!AU41</f>
        <v>34.508000000000003</v>
      </c>
      <c r="E19" s="1103"/>
      <c r="F19" s="374">
        <f>C19-D19</f>
        <v>5.2249999999999943</v>
      </c>
      <c r="G19" s="95">
        <f t="shared" si="6"/>
        <v>0.15141416483134318</v>
      </c>
      <c r="H19" s="61"/>
      <c r="I19" s="1104">
        <v>29.250422474950199</v>
      </c>
      <c r="J19" s="1103"/>
      <c r="K19" s="374">
        <f>C19-I19</f>
        <v>10.482577525049798</v>
      </c>
      <c r="L19" s="92">
        <f>IF(I19=0,"NM",C19/I19-1)</f>
        <v>0.35837354260530718</v>
      </c>
      <c r="M19" s="1404"/>
      <c r="N19" s="1102">
        <v>32.97</v>
      </c>
      <c r="O19" s="1102"/>
      <c r="P19" s="374">
        <f t="shared" si="7"/>
        <v>6.7629999999999981</v>
      </c>
      <c r="Q19" s="92">
        <f t="shared" si="8"/>
        <v>0.20512587200485277</v>
      </c>
      <c r="S19" s="1403"/>
      <c r="U19" s="126">
        <f>+C19/$C$22</f>
        <v>0.277072306716038</v>
      </c>
      <c r="V19" s="2"/>
      <c r="W19" s="105">
        <f>+C19/C10</f>
        <v>0.20269353398801171</v>
      </c>
      <c r="X19" s="105"/>
      <c r="Y19" s="105">
        <f>+D19/D10</f>
        <v>0.16142356611920122</v>
      </c>
      <c r="Z19" s="105"/>
      <c r="AA19" s="105">
        <f>+I19/I10</f>
        <v>0.1479090468508554</v>
      </c>
      <c r="AB19" s="105"/>
      <c r="AC19" s="2"/>
      <c r="AD19" s="2"/>
      <c r="AE19" s="2"/>
      <c r="AF19" s="2"/>
      <c r="AG19" s="2"/>
      <c r="AH19" s="2"/>
      <c r="AI19" s="2"/>
      <c r="AJ19" s="2"/>
      <c r="AK19" s="2"/>
      <c r="AL19" s="2"/>
      <c r="AM19" s="2"/>
      <c r="AN19" s="2"/>
      <c r="AO19" s="2"/>
      <c r="AP19" s="2"/>
      <c r="AQ19" s="98"/>
      <c r="AR19" s="2"/>
    </row>
    <row r="20" spans="1:44" ht="12.75" customHeight="1">
      <c r="A20" s="963" t="s">
        <v>517</v>
      </c>
      <c r="B20" s="61"/>
      <c r="C20" s="2031">
        <f>BYD!AZ42</f>
        <v>40.96</v>
      </c>
      <c r="D20" s="104">
        <f>BYD!AU42</f>
        <v>21.152000000000001</v>
      </c>
      <c r="E20" s="1103"/>
      <c r="F20" s="374">
        <f>C20-D20</f>
        <v>19.808</v>
      </c>
      <c r="G20" s="95">
        <f t="shared" si="6"/>
        <v>0.9364599092284418</v>
      </c>
      <c r="H20" s="61"/>
      <c r="I20" s="1104">
        <v>38.044110389076337</v>
      </c>
      <c r="J20" s="1103"/>
      <c r="K20" s="374">
        <f>C20-I20</f>
        <v>2.9158896109236636</v>
      </c>
      <c r="L20" s="92">
        <f>IF(I20=0,"NM",C20/I20-1)</f>
        <v>7.6644967673127784E-2</v>
      </c>
      <c r="M20" s="1404"/>
      <c r="N20" s="1102">
        <v>40.85</v>
      </c>
      <c r="O20" s="1102"/>
      <c r="P20" s="374">
        <f t="shared" si="7"/>
        <v>0.10999999999999943</v>
      </c>
      <c r="Q20" s="92">
        <f t="shared" si="8"/>
        <v>2.6927784577723823E-3</v>
      </c>
      <c r="S20" s="1403"/>
      <c r="U20" s="126">
        <f>+C20/$C$22</f>
        <v>0.28562861306946163</v>
      </c>
      <c r="V20" s="2"/>
      <c r="W20" s="105">
        <f>+C20/C11</f>
        <v>0.34157813099387896</v>
      </c>
      <c r="X20" s="105"/>
      <c r="Y20" s="105"/>
      <c r="Z20" s="105"/>
      <c r="AA20" s="105">
        <f>+I20/I11</f>
        <v>0.31092438332185157</v>
      </c>
      <c r="AB20" s="105"/>
      <c r="AC20" s="2"/>
      <c r="AD20" s="2"/>
      <c r="AE20" s="2"/>
      <c r="AF20" s="2"/>
      <c r="AG20" s="2"/>
      <c r="AH20" s="2"/>
      <c r="AI20" s="2"/>
      <c r="AJ20" s="2"/>
      <c r="AK20" s="2"/>
      <c r="AL20" s="2"/>
      <c r="AM20" s="2"/>
      <c r="AN20" s="2"/>
      <c r="AO20" s="2"/>
      <c r="AP20" s="2"/>
      <c r="AQ20" s="98"/>
      <c r="AR20" s="2"/>
    </row>
    <row r="21" spans="1:44" ht="12.75" customHeight="1">
      <c r="A21" s="334" t="s">
        <v>273</v>
      </c>
      <c r="B21" s="61"/>
      <c r="C21" s="2031">
        <f>BYD!AZ45</f>
        <v>16.393000000000001</v>
      </c>
      <c r="D21" s="104">
        <f>BYD!AU927</f>
        <v>14.01</v>
      </c>
      <c r="E21" s="1103"/>
      <c r="F21" s="374">
        <f>C21-D21</f>
        <v>2.3830000000000009</v>
      </c>
      <c r="G21" s="95">
        <f t="shared" si="6"/>
        <v>0.17009279086366891</v>
      </c>
      <c r="H21" s="61"/>
      <c r="I21" s="1104">
        <v>23.161323212306371</v>
      </c>
      <c r="J21" s="1103"/>
      <c r="K21" s="374">
        <f>C21-I21</f>
        <v>-6.7683232123063704</v>
      </c>
      <c r="L21" s="92">
        <f>IF(I21=0,"NM",C21/I21-1)</f>
        <v>-0.29222523904463882</v>
      </c>
      <c r="M21" s="1444"/>
      <c r="N21" s="1102">
        <v>18.329999999999998</v>
      </c>
      <c r="O21" s="1102"/>
      <c r="P21" s="374">
        <f t="shared" si="7"/>
        <v>-1.9369999999999976</v>
      </c>
      <c r="Q21" s="92">
        <f t="shared" si="8"/>
        <v>-0.1056737588652481</v>
      </c>
      <c r="S21" s="2369" t="s">
        <v>1399</v>
      </c>
      <c r="U21" s="126">
        <f>+C21/$C$22</f>
        <v>0.11431420542108604</v>
      </c>
      <c r="V21" s="2"/>
      <c r="W21" s="105"/>
      <c r="X21" s="105"/>
      <c r="Y21" s="105">
        <f>+D21/D12</f>
        <v>9.4941212347101275E-2</v>
      </c>
      <c r="Z21" s="105"/>
      <c r="AA21" s="105">
        <f>+I21/I12</f>
        <v>0.14306202249136982</v>
      </c>
      <c r="AB21" s="105"/>
      <c r="AC21" s="2"/>
      <c r="AD21" s="2"/>
      <c r="AE21" s="2"/>
      <c r="AF21" s="2"/>
      <c r="AG21" s="2"/>
      <c r="AH21" s="2"/>
      <c r="AI21" s="2"/>
      <c r="AJ21" s="2"/>
      <c r="AK21" s="2"/>
      <c r="AL21" s="2"/>
      <c r="AM21" s="2"/>
      <c r="AN21" s="2"/>
      <c r="AO21" s="2"/>
      <c r="AP21" s="2"/>
      <c r="AQ21" s="98"/>
      <c r="AR21" s="2"/>
    </row>
    <row r="22" spans="1:44" ht="12.75" customHeight="1">
      <c r="A22" s="138" t="s">
        <v>819</v>
      </c>
      <c r="B22" s="1203"/>
      <c r="C22" s="2032">
        <f>SUM(C17:C21)</f>
        <v>143.40299999999999</v>
      </c>
      <c r="D22" s="1210">
        <f>SUM(D17:D21)</f>
        <v>111.05500000000001</v>
      </c>
      <c r="E22" s="1210"/>
      <c r="F22" s="1210">
        <f>SUM(F17:F21)</f>
        <v>32.347999999999992</v>
      </c>
      <c r="G22" s="1208">
        <f t="shared" si="6"/>
        <v>0.29127909594345125</v>
      </c>
      <c r="H22" s="1206"/>
      <c r="I22" s="1250">
        <v>135.99827107633291</v>
      </c>
      <c r="J22" s="1210"/>
      <c r="K22" s="1210">
        <f>SUM(K17:K21)</f>
        <v>7.4047289236670775</v>
      </c>
      <c r="L22" s="1211">
        <f>C22/I22-1</f>
        <v>5.4447228373300183E-2</v>
      </c>
      <c r="M22" s="1444"/>
      <c r="N22" s="1349">
        <v>135.51</v>
      </c>
      <c r="O22" s="1205"/>
      <c r="P22" s="2368">
        <f t="shared" si="7"/>
        <v>7.8930000000000007</v>
      </c>
      <c r="Q22" s="1211">
        <f t="shared" si="8"/>
        <v>5.8246623865397362E-2</v>
      </c>
      <c r="U22" s="2"/>
      <c r="V22" s="2"/>
      <c r="W22" s="2"/>
      <c r="X22" s="2"/>
      <c r="Y22" s="2"/>
      <c r="Z22" s="2"/>
      <c r="AA22" s="2"/>
      <c r="AB22" s="2"/>
      <c r="AC22" s="2"/>
      <c r="AD22" s="2"/>
      <c r="AE22" s="2"/>
      <c r="AF22" s="2"/>
      <c r="AG22" s="2"/>
      <c r="AH22" s="2"/>
      <c r="AI22" s="2"/>
      <c r="AJ22" s="2"/>
      <c r="AK22" s="2"/>
      <c r="AL22" s="2"/>
      <c r="AM22" s="2"/>
      <c r="AN22" s="2"/>
      <c r="AO22" s="2"/>
      <c r="AP22" s="2"/>
      <c r="AQ22" s="98"/>
      <c r="AR22" s="2"/>
    </row>
    <row r="23" spans="1:44" ht="12.75" customHeight="1">
      <c r="A23" s="2" t="s">
        <v>742</v>
      </c>
      <c r="B23" s="2"/>
      <c r="C23" s="2031">
        <f>BYD!AZ54</f>
        <v>-11.919</v>
      </c>
      <c r="D23" s="104">
        <f>BYD!AU54</f>
        <v>-10.198</v>
      </c>
      <c r="E23" s="1103"/>
      <c r="F23" s="374">
        <f>C23-D23</f>
        <v>-1.7210000000000001</v>
      </c>
      <c r="G23" s="126">
        <f t="shared" si="6"/>
        <v>0.16875858011374789</v>
      </c>
      <c r="H23" s="2"/>
      <c r="I23" s="1104">
        <v>-11.217800000000002</v>
      </c>
      <c r="J23" s="1103"/>
      <c r="K23" s="374">
        <f>C23-I23</f>
        <v>-0.70119999999999827</v>
      </c>
      <c r="L23" s="1204">
        <f>IF(I23=0,"NM",C23/I23-1)</f>
        <v>6.2507800103406952E-2</v>
      </c>
      <c r="N23" s="1336"/>
      <c r="O23" s="1336"/>
      <c r="P23" s="1336"/>
      <c r="Q23" s="1336"/>
      <c r="U23" s="2"/>
      <c r="V23" s="2"/>
      <c r="W23" s="2"/>
      <c r="X23" s="2"/>
      <c r="Y23" s="2"/>
      <c r="Z23" s="2"/>
      <c r="AA23" s="2"/>
      <c r="AB23" s="2"/>
      <c r="AC23" s="2"/>
      <c r="AD23" s="2"/>
      <c r="AE23" s="2"/>
      <c r="AF23" s="2"/>
      <c r="AG23" s="2"/>
      <c r="AH23" s="2"/>
      <c r="AI23" s="2"/>
      <c r="AJ23" s="2"/>
      <c r="AK23" s="2"/>
      <c r="AL23" s="2"/>
      <c r="AM23" s="2"/>
      <c r="AN23" s="2"/>
      <c r="AO23" s="2"/>
      <c r="AP23" s="2"/>
      <c r="AQ23" s="98"/>
      <c r="AR23" s="2"/>
    </row>
    <row r="24" spans="1:44" ht="12.75" customHeight="1">
      <c r="A24" s="138" t="s">
        <v>555</v>
      </c>
      <c r="B24" s="1203"/>
      <c r="C24" s="2032">
        <f>SUM(C22:C23)</f>
        <v>131.48399999999998</v>
      </c>
      <c r="D24" s="1210">
        <f>SUM(D22:D23)</f>
        <v>100.857</v>
      </c>
      <c r="E24" s="1210"/>
      <c r="F24" s="1210">
        <f>F22+F23</f>
        <v>30.626999999999992</v>
      </c>
      <c r="G24" s="1208">
        <f t="shared" si="6"/>
        <v>0.30366756893423341</v>
      </c>
      <c r="H24" s="1210"/>
      <c r="I24" s="1250">
        <v>124.78047107633292</v>
      </c>
      <c r="J24" s="1210"/>
      <c r="K24" s="1210">
        <f>K22+K23</f>
        <v>6.7035289236670792</v>
      </c>
      <c r="L24" s="1254">
        <f>IF(I24=0,"NM",C24/I24-1)</f>
        <v>5.3722580671828446E-2</v>
      </c>
      <c r="M24" s="1442"/>
      <c r="N24" s="1349">
        <v>123.22</v>
      </c>
      <c r="O24" s="1349"/>
      <c r="P24" s="374">
        <f>C24-N24</f>
        <v>8.2639999999999816</v>
      </c>
      <c r="Q24" s="92">
        <f>IF(N24=0,"NM",C24/N24-1)</f>
        <v>6.7067034572309447E-2</v>
      </c>
      <c r="R24" s="1299"/>
      <c r="S24" s="2369" t="s">
        <v>1400</v>
      </c>
      <c r="U24" s="105">
        <f>+C24/N24-1</f>
        <v>6.7067034572309447E-2</v>
      </c>
      <c r="V24" s="2"/>
      <c r="W24" s="2"/>
      <c r="X24" s="2"/>
      <c r="Y24" s="2"/>
      <c r="Z24" s="2"/>
      <c r="AA24" s="2"/>
      <c r="AB24" s="2"/>
      <c r="AC24" s="2"/>
      <c r="AD24" s="2"/>
      <c r="AE24" s="2"/>
      <c r="AF24" s="2"/>
      <c r="AG24" s="2"/>
      <c r="AH24" s="2"/>
      <c r="AI24" s="2"/>
      <c r="AJ24" s="2"/>
      <c r="AK24" s="2"/>
      <c r="AL24" s="2"/>
      <c r="AM24" s="2"/>
      <c r="AN24" s="2"/>
      <c r="AO24" s="2"/>
      <c r="AP24" s="2"/>
      <c r="AQ24" s="98"/>
      <c r="AR24" s="2"/>
    </row>
    <row r="25" spans="1:44" ht="12.75" customHeight="1">
      <c r="A25" s="2253" t="s">
        <v>1486</v>
      </c>
      <c r="B25" s="2253"/>
      <c r="C25" s="2259">
        <f>+C24/C14</f>
        <v>0.25072796233474248</v>
      </c>
      <c r="D25" s="2253">
        <f>+D24/D14</f>
        <v>0.16145127983479804</v>
      </c>
      <c r="E25" s="2253"/>
      <c r="F25" s="2253"/>
      <c r="G25" s="213">
        <f>+C25-D25</f>
        <v>8.9276682499944443E-2</v>
      </c>
      <c r="H25" s="2253"/>
      <c r="I25" s="2260">
        <v>0.18062145436857077</v>
      </c>
      <c r="J25" s="2253"/>
      <c r="K25" s="2253"/>
      <c r="L25" s="213">
        <f>+C25-I25</f>
        <v>7.0106507966171711E-2</v>
      </c>
      <c r="M25" s="2254"/>
      <c r="N25" s="105">
        <f>C24/N24-1</f>
        <v>6.7067034572309447E-2</v>
      </c>
      <c r="O25" s="2258"/>
      <c r="P25" s="2258"/>
      <c r="Q25" s="2258"/>
      <c r="R25" s="2255"/>
      <c r="S25" s="2256"/>
      <c r="T25" s="2257"/>
      <c r="U25" s="2258"/>
      <c r="V25" s="2258"/>
      <c r="W25" s="2258"/>
      <c r="X25" s="2258"/>
      <c r="Y25" s="2258"/>
      <c r="Z25" s="2258"/>
      <c r="AA25" s="2258"/>
      <c r="AB25" s="2258"/>
      <c r="AC25" s="2258"/>
      <c r="AD25" s="2258"/>
      <c r="AE25" s="2258"/>
      <c r="AF25" s="2258"/>
      <c r="AG25" s="2258"/>
      <c r="AH25" s="2258"/>
      <c r="AI25" s="2258"/>
      <c r="AJ25" s="2258"/>
      <c r="AK25" s="2258"/>
      <c r="AL25" s="2258"/>
      <c r="AM25" s="2258"/>
      <c r="AN25" s="2258"/>
      <c r="AO25" s="2258"/>
      <c r="AP25" s="2258"/>
      <c r="AQ25" s="2277"/>
      <c r="AR25" s="2258"/>
    </row>
    <row r="26" spans="1:44" ht="3.95" customHeight="1">
      <c r="A26" s="198"/>
      <c r="B26" s="77"/>
      <c r="C26" s="2245"/>
      <c r="D26" s="2239"/>
      <c r="E26" s="2239"/>
      <c r="F26" s="2239"/>
      <c r="G26" s="2246"/>
      <c r="H26" s="2239"/>
      <c r="I26" s="2247"/>
      <c r="J26" s="2239"/>
      <c r="K26" s="2239"/>
      <c r="L26" s="2246"/>
      <c r="M26" s="2248"/>
      <c r="N26" s="2249"/>
      <c r="O26" s="2249"/>
      <c r="P26" s="2249"/>
      <c r="Q26" s="2249"/>
      <c r="R26" s="2250"/>
      <c r="S26" s="2251"/>
      <c r="T26" s="2252"/>
      <c r="U26" s="1062"/>
      <c r="V26" s="1062"/>
      <c r="W26" s="1062"/>
      <c r="X26" s="1062"/>
      <c r="Y26" s="1062"/>
      <c r="Z26" s="1062"/>
      <c r="AA26" s="1062"/>
      <c r="AB26" s="1062"/>
      <c r="AC26" s="1062"/>
      <c r="AD26" s="1062"/>
      <c r="AE26" s="1062"/>
      <c r="AF26" s="1062"/>
      <c r="AG26" s="1062"/>
      <c r="AH26" s="1062"/>
      <c r="AI26" s="1062"/>
      <c r="AJ26" s="1062"/>
      <c r="AK26" s="1062"/>
      <c r="AL26" s="1062"/>
      <c r="AM26" s="1062"/>
      <c r="AN26" s="1062"/>
      <c r="AO26" s="1062"/>
      <c r="AP26" s="1062"/>
      <c r="AQ26" s="1092"/>
      <c r="AR26" s="1062"/>
    </row>
    <row r="27" spans="1:44" ht="12.75" customHeight="1">
      <c r="A27" s="439" t="s">
        <v>1745</v>
      </c>
      <c r="B27" s="2"/>
      <c r="C27" s="2036">
        <f>BYD!AZ65</f>
        <v>9.9</v>
      </c>
      <c r="D27" s="374">
        <f>BYD!AU65</f>
        <v>4.6870000000000003</v>
      </c>
      <c r="E27" s="1103"/>
      <c r="F27" s="374">
        <f>C27-D27</f>
        <v>5.2130000000000001</v>
      </c>
      <c r="G27" s="126">
        <f>IF(D27=0,0,C27/D27-1)</f>
        <v>1.1122253040324299</v>
      </c>
      <c r="H27" s="2"/>
      <c r="I27" s="432">
        <v>3</v>
      </c>
      <c r="J27" s="1103"/>
      <c r="K27" s="374">
        <f>C27-I27</f>
        <v>6.9</v>
      </c>
      <c r="L27" s="1204">
        <f>IF(I27=0,"NM",C27/I27-1)</f>
        <v>2.3000000000000003</v>
      </c>
      <c r="M27" s="1646"/>
      <c r="N27" s="2"/>
      <c r="O27" s="2"/>
      <c r="P27" s="2"/>
      <c r="Q27" s="2"/>
      <c r="U27" s="2"/>
      <c r="V27" s="2"/>
      <c r="W27" s="2"/>
      <c r="X27" s="2"/>
      <c r="Y27" s="2"/>
      <c r="Z27" s="2"/>
      <c r="AA27" s="2"/>
      <c r="AB27" s="2"/>
      <c r="AC27" s="2"/>
      <c r="AD27" s="2"/>
      <c r="AE27" s="2"/>
      <c r="AF27" s="2"/>
      <c r="AG27" s="2"/>
      <c r="AH27" s="2"/>
      <c r="AI27" s="2"/>
      <c r="AJ27" s="2"/>
      <c r="AK27" s="2"/>
      <c r="AL27" s="2"/>
      <c r="AM27" s="2"/>
      <c r="AN27" s="2"/>
      <c r="AO27" s="2"/>
      <c r="AP27" s="2"/>
      <c r="AQ27" s="98"/>
      <c r="AR27" s="2"/>
    </row>
    <row r="28" spans="1:44" ht="12.75" customHeight="1">
      <c r="A28" s="439" t="s">
        <v>201</v>
      </c>
      <c r="B28" s="2"/>
      <c r="C28" s="2036">
        <f>BYD!AZ66</f>
        <v>1</v>
      </c>
      <c r="D28" s="374">
        <f>BYD!AU66</f>
        <v>0.996</v>
      </c>
      <c r="E28" s="1103"/>
      <c r="F28" s="374">
        <f>C28-D28</f>
        <v>4.0000000000000036E-3</v>
      </c>
      <c r="G28" s="126">
        <f>IF(D28=0,0,C28/D28-1)</f>
        <v>4.0160642570281624E-3</v>
      </c>
      <c r="H28" s="2"/>
      <c r="I28" s="432">
        <v>0.996</v>
      </c>
      <c r="J28" s="1103"/>
      <c r="K28" s="374">
        <f>C28-I28</f>
        <v>4.0000000000000036E-3</v>
      </c>
      <c r="L28" s="1204">
        <f>IF(I28=0,"NM",C28/I28-1)</f>
        <v>4.0160642570281624E-3</v>
      </c>
      <c r="M28" s="1102"/>
      <c r="N28" s="1102"/>
      <c r="O28" s="1102"/>
      <c r="P28" s="1102"/>
      <c r="Q28" s="1102"/>
      <c r="U28" s="2"/>
      <c r="V28" s="2"/>
      <c r="W28" s="2"/>
      <c r="X28" s="2"/>
      <c r="Y28" s="2"/>
      <c r="Z28" s="2"/>
      <c r="AA28" s="2"/>
      <c r="AB28" s="2"/>
      <c r="AC28" s="2"/>
      <c r="AD28" s="2"/>
      <c r="AE28" s="2"/>
      <c r="AF28" s="2"/>
      <c r="AG28" s="2"/>
      <c r="AH28" s="2"/>
      <c r="AI28" s="2"/>
      <c r="AJ28" s="2"/>
      <c r="AK28" s="2"/>
      <c r="AL28" s="2"/>
      <c r="AM28" s="2"/>
      <c r="AN28" s="2"/>
      <c r="AO28" s="2"/>
      <c r="AP28" s="2"/>
      <c r="AQ28" s="98"/>
      <c r="AR28" s="2"/>
    </row>
    <row r="29" spans="1:44" ht="12.75" customHeight="1">
      <c r="A29" s="1693" t="s">
        <v>202</v>
      </c>
      <c r="B29" s="2"/>
      <c r="C29" s="2036">
        <f>BYD!AZ67</f>
        <v>54.8</v>
      </c>
      <c r="D29" s="374">
        <f>BYD!AU67</f>
        <v>63.207000000000001</v>
      </c>
      <c r="E29" s="1103"/>
      <c r="F29" s="374">
        <f>C29-D29</f>
        <v>-8.4070000000000036</v>
      </c>
      <c r="G29" s="126">
        <f>IF(D29=0,0,C29/D29-1)</f>
        <v>-0.13300742006423349</v>
      </c>
      <c r="H29" s="2"/>
      <c r="I29" s="432">
        <v>72.09</v>
      </c>
      <c r="J29" s="1103"/>
      <c r="K29" s="374">
        <f>C29-I29</f>
        <v>-17.290000000000006</v>
      </c>
      <c r="L29" s="1204">
        <f>IF(I29=0,"NM",C29/I29-1)</f>
        <v>-0.23983909002635606</v>
      </c>
      <c r="M29" s="1102"/>
      <c r="N29" s="1102"/>
      <c r="O29" s="1102"/>
      <c r="P29" s="1102"/>
      <c r="Q29" s="1102"/>
      <c r="U29" s="2"/>
      <c r="V29" s="2"/>
      <c r="W29" s="2"/>
      <c r="X29" s="2"/>
      <c r="Y29" s="2"/>
      <c r="Z29" s="2"/>
      <c r="AA29" s="2"/>
      <c r="AB29" s="2"/>
      <c r="AC29" s="2"/>
      <c r="AD29" s="2"/>
      <c r="AE29" s="2"/>
      <c r="AF29" s="2"/>
      <c r="AG29" s="2"/>
      <c r="AH29" s="2"/>
      <c r="AI29" s="2"/>
      <c r="AJ29" s="2"/>
      <c r="AK29" s="2"/>
      <c r="AL29" s="2"/>
      <c r="AM29" s="2"/>
      <c r="AN29" s="2"/>
      <c r="AO29" s="2"/>
      <c r="AP29" s="2"/>
      <c r="AQ29" s="98"/>
      <c r="AR29" s="2"/>
    </row>
    <row r="30" spans="1:44" ht="4.5" customHeight="1">
      <c r="A30" s="964"/>
      <c r="B30" s="2"/>
      <c r="C30" s="2037" t="s">
        <v>343</v>
      </c>
      <c r="D30" s="452" t="s">
        <v>343</v>
      </c>
      <c r="E30" s="96" t="s">
        <v>343</v>
      </c>
      <c r="F30" s="452" t="s">
        <v>343</v>
      </c>
      <c r="G30" s="1251" t="s">
        <v>343</v>
      </c>
      <c r="H30" s="2" t="s">
        <v>343</v>
      </c>
      <c r="I30" s="2223" t="s">
        <v>343</v>
      </c>
      <c r="J30" s="96" t="s">
        <v>343</v>
      </c>
      <c r="K30" s="452" t="s">
        <v>343</v>
      </c>
      <c r="L30" s="1252" t="s">
        <v>343</v>
      </c>
      <c r="M30" s="1102"/>
      <c r="N30" s="1102"/>
      <c r="O30" s="1102"/>
      <c r="P30" s="1102"/>
      <c r="Q30" s="1102"/>
      <c r="U30" s="2"/>
      <c r="V30" s="2"/>
      <c r="W30" s="2"/>
      <c r="X30" s="2"/>
      <c r="Y30" s="2"/>
      <c r="Z30" s="2"/>
      <c r="AA30" s="2"/>
      <c r="AB30" s="2"/>
      <c r="AC30" s="2"/>
      <c r="AD30" s="2"/>
      <c r="AE30" s="2"/>
      <c r="AF30" s="2"/>
      <c r="AG30" s="2"/>
      <c r="AH30" s="2"/>
      <c r="AI30" s="2"/>
      <c r="AJ30" s="2"/>
      <c r="AK30" s="2"/>
      <c r="AL30" s="2"/>
      <c r="AM30" s="2"/>
      <c r="AN30" s="2"/>
      <c r="AO30" s="2"/>
      <c r="AP30" s="2"/>
      <c r="AQ30" s="98"/>
      <c r="AR30" s="2"/>
    </row>
    <row r="31" spans="1:44" ht="12.75" customHeight="1">
      <c r="A31" s="1" t="s">
        <v>744</v>
      </c>
      <c r="B31" s="2"/>
      <c r="C31" s="2235">
        <f>C24-C27-C28-C29</f>
        <v>65.783999999999978</v>
      </c>
      <c r="D31" s="2236">
        <f>D24-D27-D28-D29</f>
        <v>31.967000000000006</v>
      </c>
      <c r="E31" s="325"/>
      <c r="F31" s="2236">
        <f>F24-F27-F28-F29</f>
        <v>33.816999999999993</v>
      </c>
      <c r="G31" s="106">
        <f>IF(D31=0,0,C31/D31-1)</f>
        <v>1.0578721806863318</v>
      </c>
      <c r="H31" s="1205"/>
      <c r="I31" s="2237">
        <v>48.694471076332917</v>
      </c>
      <c r="J31" s="932"/>
      <c r="K31" s="2236">
        <f>C31-I31</f>
        <v>17.089528923667061</v>
      </c>
      <c r="L31" s="1214">
        <f>C31/I31-1</f>
        <v>0.35095419553644414</v>
      </c>
      <c r="N31" s="2"/>
      <c r="O31" s="2"/>
      <c r="P31" s="2"/>
      <c r="Q31" s="2"/>
      <c r="U31" s="1336"/>
      <c r="V31" s="2"/>
      <c r="W31" s="2"/>
      <c r="X31" s="2"/>
      <c r="Y31" s="2"/>
      <c r="Z31" s="2"/>
      <c r="AA31" s="2"/>
      <c r="AB31" s="2"/>
      <c r="AC31" s="2"/>
      <c r="AD31" s="2"/>
      <c r="AE31" s="2"/>
      <c r="AF31" s="2"/>
      <c r="AG31" s="2"/>
      <c r="AH31" s="2"/>
      <c r="AI31" s="2"/>
      <c r="AJ31" s="2"/>
      <c r="AK31" s="2"/>
      <c r="AL31" s="2"/>
      <c r="AM31" s="2"/>
      <c r="AN31" s="2"/>
      <c r="AO31" s="2"/>
      <c r="AP31" s="2"/>
      <c r="AQ31" s="98"/>
      <c r="AR31" s="2"/>
    </row>
    <row r="32" spans="1:44" ht="12.75" customHeight="1">
      <c r="A32" s="445" t="s">
        <v>1176</v>
      </c>
      <c r="B32" s="2"/>
      <c r="C32" s="2036">
        <f>BYD!AZ73</f>
        <v>-57.6</v>
      </c>
      <c r="D32" s="374">
        <f>BYD!AU73</f>
        <v>-86.787999999999997</v>
      </c>
      <c r="E32" s="932"/>
      <c r="F32" s="374">
        <f>C32-D32</f>
        <v>29.187999999999995</v>
      </c>
      <c r="G32" s="126">
        <f>IF(D32=0,0,C32/D32-1)</f>
        <v>-0.336313776098078</v>
      </c>
      <c r="H32" s="1205"/>
      <c r="I32" s="432">
        <v>-79.119299375000011</v>
      </c>
      <c r="J32" s="932"/>
      <c r="K32" s="374">
        <f>C32-I32</f>
        <v>21.51929937500001</v>
      </c>
      <c r="L32" s="1204">
        <f>IF(I32=0,"NM",C32/I32-1)</f>
        <v>-0.27198546429241566</v>
      </c>
      <c r="N32" s="2"/>
      <c r="O32" s="2"/>
      <c r="P32" s="2"/>
      <c r="Q32" s="2"/>
      <c r="U32" s="2"/>
      <c r="V32" s="2"/>
      <c r="W32" s="2"/>
      <c r="X32" s="2"/>
      <c r="Y32" s="2"/>
      <c r="Z32" s="2"/>
      <c r="AA32" s="2"/>
      <c r="AB32" s="2"/>
      <c r="AC32" s="2"/>
      <c r="AD32" s="2"/>
      <c r="AE32" s="2"/>
      <c r="AF32" s="2"/>
      <c r="AG32" s="2"/>
      <c r="AH32" s="2"/>
      <c r="AI32" s="2"/>
      <c r="AJ32" s="2"/>
      <c r="AK32" s="2"/>
      <c r="AL32" s="2"/>
      <c r="AM32" s="2"/>
      <c r="AN32" s="2"/>
      <c r="AO32" s="2"/>
      <c r="AP32" s="2"/>
      <c r="AQ32" s="98"/>
      <c r="AR32" s="2"/>
    </row>
    <row r="33" spans="1:44" ht="12.75" customHeight="1">
      <c r="A33" s="445" t="s">
        <v>203</v>
      </c>
      <c r="B33" s="2"/>
      <c r="C33" s="2036">
        <f>BYD!AZ74</f>
        <v>0</v>
      </c>
      <c r="D33" s="374">
        <f>BYD!AU74</f>
        <v>0</v>
      </c>
      <c r="E33" s="932"/>
      <c r="F33" s="374">
        <f>C33-D33</f>
        <v>0</v>
      </c>
      <c r="G33" s="126">
        <f>IF(D33=0,0,C33/D33-1)</f>
        <v>0</v>
      </c>
      <c r="H33" s="1205"/>
      <c r="I33" s="432">
        <v>0</v>
      </c>
      <c r="J33" s="932"/>
      <c r="K33" s="374">
        <f>C33-I33</f>
        <v>0</v>
      </c>
      <c r="L33" s="1204" t="str">
        <f>IF(I33=0,"NM",C33/I33-1)</f>
        <v>NM</v>
      </c>
      <c r="N33" s="2"/>
      <c r="O33" s="2"/>
      <c r="P33" s="2"/>
      <c r="Q33" s="2"/>
      <c r="U33" s="2"/>
      <c r="V33" s="2"/>
      <c r="W33" s="2"/>
      <c r="X33" s="2"/>
      <c r="Y33" s="2"/>
      <c r="Z33" s="2"/>
      <c r="AA33" s="2"/>
      <c r="AB33" s="2"/>
      <c r="AC33" s="2"/>
      <c r="AD33" s="2"/>
      <c r="AE33" s="2"/>
      <c r="AF33" s="2"/>
      <c r="AG33" s="2"/>
      <c r="AH33" s="2"/>
      <c r="AI33" s="2"/>
      <c r="AJ33" s="2"/>
      <c r="AK33" s="2"/>
      <c r="AL33" s="2"/>
      <c r="AM33" s="2"/>
      <c r="AN33" s="2"/>
      <c r="AO33" s="2"/>
      <c r="AP33" s="2"/>
      <c r="AQ33" s="98"/>
      <c r="AR33" s="2"/>
    </row>
    <row r="34" spans="1:44" ht="12.75" customHeight="1">
      <c r="A34" s="445" t="s">
        <v>814</v>
      </c>
      <c r="B34" s="2"/>
      <c r="C34" s="2036">
        <f>BYD!AZ78</f>
        <v>-8.3999999999999986</v>
      </c>
      <c r="D34" s="374">
        <f>BYD!AU78</f>
        <v>-1070.1479999999999</v>
      </c>
      <c r="E34" s="1103"/>
      <c r="F34" s="374">
        <f>C34-D34</f>
        <v>1061.7479999999998</v>
      </c>
      <c r="G34" s="126">
        <f>IF(D34=0,0,C34/D34-1)</f>
        <v>-0.99215061841913454</v>
      </c>
      <c r="H34" s="2"/>
      <c r="I34" s="432">
        <v>-0.25</v>
      </c>
      <c r="J34" s="1103"/>
      <c r="K34" s="374">
        <f>C34-I34</f>
        <v>-8.1499999999999986</v>
      </c>
      <c r="L34" s="1204">
        <f>IF(I34=0,"NM",C34/I34-1)</f>
        <v>32.599999999999994</v>
      </c>
      <c r="N34" s="2"/>
      <c r="O34" s="2"/>
      <c r="P34" s="2"/>
      <c r="Q34" s="2"/>
      <c r="U34" s="2"/>
      <c r="V34" s="2"/>
      <c r="W34" s="2"/>
      <c r="X34" s="2"/>
      <c r="Y34" s="2"/>
      <c r="Z34" s="2"/>
      <c r="AA34" s="2"/>
      <c r="AB34" s="2"/>
      <c r="AC34" s="2"/>
      <c r="AD34" s="2"/>
      <c r="AE34" s="2"/>
      <c r="AF34" s="2"/>
      <c r="AG34" s="2"/>
      <c r="AH34" s="2"/>
      <c r="AI34" s="2"/>
      <c r="AJ34" s="2"/>
      <c r="AK34" s="2"/>
      <c r="AL34" s="2"/>
      <c r="AM34" s="2"/>
      <c r="AN34" s="2"/>
      <c r="AO34" s="2"/>
      <c r="AP34" s="2"/>
      <c r="AQ34" s="98"/>
      <c r="AR34" s="2"/>
    </row>
    <row r="35" spans="1:44" ht="4.5" customHeight="1">
      <c r="A35" s="964"/>
      <c r="B35" s="2"/>
      <c r="C35" s="2037" t="s">
        <v>343</v>
      </c>
      <c r="D35" s="452" t="s">
        <v>343</v>
      </c>
      <c r="E35" s="96" t="s">
        <v>343</v>
      </c>
      <c r="F35" s="452" t="s">
        <v>343</v>
      </c>
      <c r="G35" s="1251" t="s">
        <v>343</v>
      </c>
      <c r="H35" s="2" t="s">
        <v>343</v>
      </c>
      <c r="I35" s="2223" t="s">
        <v>343</v>
      </c>
      <c r="J35" s="96" t="s">
        <v>343</v>
      </c>
      <c r="K35" s="452" t="s">
        <v>343</v>
      </c>
      <c r="L35" s="1252" t="s">
        <v>343</v>
      </c>
      <c r="M35" s="1102"/>
      <c r="N35" s="1102"/>
      <c r="O35" s="1102"/>
      <c r="P35" s="1102"/>
      <c r="Q35" s="1102"/>
      <c r="U35" s="2"/>
      <c r="V35" s="2"/>
      <c r="W35" s="2"/>
      <c r="X35" s="2"/>
      <c r="Y35" s="2"/>
      <c r="Z35" s="2"/>
      <c r="AA35" s="2"/>
      <c r="AB35" s="2"/>
      <c r="AC35" s="2"/>
      <c r="AD35" s="2"/>
      <c r="AE35" s="2"/>
      <c r="AF35" s="2"/>
      <c r="AG35" s="2"/>
      <c r="AH35" s="2"/>
      <c r="AI35" s="2"/>
      <c r="AJ35" s="2"/>
      <c r="AK35" s="2"/>
      <c r="AL35" s="2"/>
      <c r="AM35" s="2"/>
      <c r="AN35" s="2"/>
      <c r="AO35" s="2"/>
      <c r="AP35" s="2"/>
      <c r="AQ35" s="98"/>
      <c r="AR35" s="2"/>
    </row>
    <row r="36" spans="1:44" ht="12.75" customHeight="1">
      <c r="A36" s="1" t="s">
        <v>745</v>
      </c>
      <c r="B36" s="2"/>
      <c r="C36" s="2240">
        <f>SUM(C31:C34)</f>
        <v>-0.2160000000000224</v>
      </c>
      <c r="D36" s="2239">
        <f>SUM(D31:D34)</f>
        <v>-1124.9689999999998</v>
      </c>
      <c r="E36" s="932"/>
      <c r="F36" s="2236">
        <f>C36-D36</f>
        <v>1124.7529999999997</v>
      </c>
      <c r="G36" s="106">
        <f>IF(D36=0,0,C36/D36-1)</f>
        <v>-0.99980799470918758</v>
      </c>
      <c r="H36" s="1205"/>
      <c r="I36" s="2238">
        <v>-30.674828298667094</v>
      </c>
      <c r="J36" s="932"/>
      <c r="K36" s="2236">
        <f>C36-I36</f>
        <v>30.458828298667072</v>
      </c>
      <c r="L36" s="1214">
        <f>C36/I36-1</f>
        <v>-0.99295839579289813</v>
      </c>
      <c r="N36" s="2"/>
      <c r="O36" s="2"/>
      <c r="P36" s="2"/>
      <c r="Q36" s="2"/>
      <c r="U36" s="2"/>
      <c r="V36" s="2"/>
      <c r="W36" s="2"/>
      <c r="X36" s="2"/>
      <c r="Y36" s="2"/>
      <c r="Z36" s="2"/>
      <c r="AA36" s="2"/>
      <c r="AB36" s="2"/>
      <c r="AC36" s="2"/>
      <c r="AD36" s="2"/>
      <c r="AE36" s="2"/>
      <c r="AF36" s="2"/>
      <c r="AG36" s="2"/>
      <c r="AH36" s="2"/>
      <c r="AI36" s="2"/>
      <c r="AJ36" s="2"/>
      <c r="AK36" s="2"/>
      <c r="AL36" s="2"/>
      <c r="AM36" s="2"/>
      <c r="AN36" s="2"/>
      <c r="AO36" s="2"/>
      <c r="AP36" s="2"/>
      <c r="AQ36" s="98"/>
      <c r="AR36" s="2"/>
    </row>
    <row r="37" spans="1:44" ht="12.75" customHeight="1">
      <c r="A37" s="445" t="s">
        <v>205</v>
      </c>
      <c r="B37" s="2"/>
      <c r="C37" s="2036">
        <f>BYD!AZ81</f>
        <v>-10.5</v>
      </c>
      <c r="D37" s="374">
        <f>BYD!AU81</f>
        <v>213.19200000000001</v>
      </c>
      <c r="E37" s="1103"/>
      <c r="F37" s="374">
        <f>C37-D37</f>
        <v>-223.69200000000001</v>
      </c>
      <c r="G37" s="126">
        <f>IF(D37=0,0,C37/D37-1)</f>
        <v>-1.0492513790386131</v>
      </c>
      <c r="H37" s="2"/>
      <c r="I37" s="432">
        <v>1.5337414149333548</v>
      </c>
      <c r="J37" s="1103"/>
      <c r="K37" s="374">
        <f>C37-I37</f>
        <v>-12.033741414933354</v>
      </c>
      <c r="L37" s="1204">
        <f>IF(I37=0,"NM",C37/I37-1)</f>
        <v>-7.8460040902372405</v>
      </c>
      <c r="N37" s="2"/>
      <c r="O37" s="2"/>
      <c r="P37" s="2"/>
      <c r="Q37" s="2"/>
      <c r="U37" s="2"/>
      <c r="V37" s="2"/>
      <c r="W37" s="2"/>
      <c r="X37" s="2"/>
      <c r="Y37" s="2"/>
      <c r="Z37" s="2"/>
      <c r="AA37" s="2"/>
      <c r="AB37" s="2"/>
      <c r="AC37" s="2"/>
      <c r="AD37" s="2"/>
      <c r="AE37" s="2"/>
      <c r="AF37" s="2"/>
      <c r="AG37" s="2"/>
      <c r="AH37" s="2"/>
      <c r="AI37" s="2"/>
      <c r="AJ37" s="2"/>
      <c r="AK37" s="2"/>
      <c r="AL37" s="2"/>
      <c r="AM37" s="2"/>
      <c r="AN37" s="2"/>
      <c r="AO37" s="2"/>
      <c r="AP37" s="2"/>
      <c r="AQ37" s="98"/>
      <c r="AR37" s="2"/>
    </row>
    <row r="38" spans="1:44" ht="4.5" customHeight="1">
      <c r="A38" s="964"/>
      <c r="B38" s="2"/>
      <c r="C38" s="2037" t="s">
        <v>343</v>
      </c>
      <c r="D38" s="452" t="s">
        <v>343</v>
      </c>
      <c r="E38" s="96" t="s">
        <v>343</v>
      </c>
      <c r="F38" s="452" t="s">
        <v>343</v>
      </c>
      <c r="G38" s="1251" t="s">
        <v>343</v>
      </c>
      <c r="H38" s="2" t="s">
        <v>343</v>
      </c>
      <c r="I38" s="2223" t="s">
        <v>343</v>
      </c>
      <c r="J38" s="96" t="s">
        <v>343</v>
      </c>
      <c r="K38" s="452" t="s">
        <v>343</v>
      </c>
      <c r="L38" s="1252" t="s">
        <v>343</v>
      </c>
      <c r="M38" s="1102"/>
      <c r="N38" s="1102"/>
      <c r="O38" s="1102"/>
      <c r="P38" s="1102"/>
      <c r="Q38" s="1102"/>
      <c r="U38" s="2"/>
      <c r="V38" s="2"/>
      <c r="W38" s="2"/>
      <c r="X38" s="2"/>
      <c r="Y38" s="2"/>
      <c r="Z38" s="2"/>
      <c r="AA38" s="2"/>
      <c r="AB38" s="2"/>
      <c r="AC38" s="2"/>
      <c r="AD38" s="2"/>
      <c r="AE38" s="2"/>
      <c r="AF38" s="2"/>
      <c r="AG38" s="2"/>
      <c r="AH38" s="2"/>
      <c r="AI38" s="2"/>
      <c r="AJ38" s="2"/>
      <c r="AK38" s="2"/>
      <c r="AL38" s="2"/>
      <c r="AM38" s="2"/>
      <c r="AN38" s="2"/>
      <c r="AO38" s="2"/>
      <c r="AP38" s="2"/>
      <c r="AQ38" s="98"/>
      <c r="AR38" s="2"/>
    </row>
    <row r="39" spans="1:44" ht="12.75" customHeight="1">
      <c r="A39" s="107" t="s">
        <v>1243</v>
      </c>
      <c r="B39" s="61"/>
      <c r="C39" s="2240">
        <f>C36+C37</f>
        <v>-10.716000000000022</v>
      </c>
      <c r="D39" s="2239">
        <f>D36+D37</f>
        <v>-911.77699999999982</v>
      </c>
      <c r="E39" s="932"/>
      <c r="F39" s="2236">
        <f>F36+F37</f>
        <v>901.06099999999969</v>
      </c>
      <c r="G39" s="1215">
        <f>G36+G37</f>
        <v>-2.0490593737478004</v>
      </c>
      <c r="H39" s="932"/>
      <c r="I39" s="2238">
        <v>-29.141086883733738</v>
      </c>
      <c r="J39" s="932"/>
      <c r="K39" s="2236">
        <f>K36+K37</f>
        <v>18.425086883733719</v>
      </c>
      <c r="L39" s="1215">
        <f>L36+L37</f>
        <v>-8.8389624860301392</v>
      </c>
      <c r="M39" s="1238"/>
      <c r="N39" s="61"/>
      <c r="O39" s="61"/>
      <c r="P39" s="61"/>
      <c r="Q39" s="61"/>
      <c r="U39" s="1336"/>
      <c r="V39" s="2"/>
      <c r="W39" s="2"/>
      <c r="X39" s="2"/>
      <c r="Y39" s="2"/>
      <c r="Z39" s="2"/>
      <c r="AA39" s="2"/>
      <c r="AB39" s="2"/>
      <c r="AC39" s="2"/>
      <c r="AD39" s="2"/>
      <c r="AE39" s="2"/>
      <c r="AF39" s="2"/>
      <c r="AG39" s="2"/>
      <c r="AH39" s="2"/>
      <c r="AI39" s="2"/>
      <c r="AJ39" s="2"/>
      <c r="AK39" s="2"/>
      <c r="AL39" s="2"/>
      <c r="AM39" s="2"/>
      <c r="AN39" s="2"/>
      <c r="AO39" s="2"/>
      <c r="AP39" s="2"/>
      <c r="AQ39" s="98"/>
      <c r="AR39" s="2"/>
    </row>
    <row r="40" spans="1:44" ht="12.75" customHeight="1">
      <c r="A40" s="445" t="s">
        <v>130</v>
      </c>
      <c r="B40" s="2"/>
      <c r="C40" s="2036">
        <f>BYD!AZ85</f>
        <v>0</v>
      </c>
      <c r="D40" s="374">
        <f>BYD!AU85</f>
        <v>11.879</v>
      </c>
      <c r="E40" s="1103"/>
      <c r="F40" s="374">
        <f>C40-D40</f>
        <v>-11.879</v>
      </c>
      <c r="G40" s="126">
        <f>IF(D40=0,0,C40/D40-1)</f>
        <v>-1</v>
      </c>
      <c r="H40" s="2"/>
      <c r="I40" s="432">
        <v>4.9709875515781103</v>
      </c>
      <c r="J40" s="1103"/>
      <c r="K40" s="374">
        <f>C40-I40</f>
        <v>-4.9709875515781103</v>
      </c>
      <c r="L40" s="1204">
        <f>IF(I40=0,"NM",C40/I40-1)</f>
        <v>-1</v>
      </c>
      <c r="N40" s="2"/>
      <c r="O40" s="2"/>
      <c r="P40" s="2"/>
      <c r="Q40" s="2"/>
      <c r="U40" s="2"/>
      <c r="V40" s="2"/>
      <c r="W40" s="2"/>
      <c r="X40" s="2"/>
      <c r="Y40" s="2"/>
      <c r="Z40" s="2"/>
      <c r="AA40" s="2"/>
      <c r="AB40" s="2"/>
      <c r="AC40" s="2"/>
      <c r="AD40" s="2"/>
      <c r="AE40" s="2"/>
      <c r="AF40" s="2"/>
      <c r="AG40" s="2"/>
      <c r="AH40" s="2"/>
      <c r="AI40" s="2"/>
      <c r="AJ40" s="2"/>
      <c r="AK40" s="2"/>
      <c r="AL40" s="2"/>
      <c r="AM40" s="2"/>
      <c r="AN40" s="2"/>
      <c r="AO40" s="2"/>
      <c r="AP40" s="2"/>
      <c r="AQ40" s="98"/>
      <c r="AR40" s="2"/>
    </row>
    <row r="41" spans="1:44" ht="4.5" customHeight="1">
      <c r="A41" s="964"/>
      <c r="B41" s="2"/>
      <c r="C41" s="2037" t="s">
        <v>343</v>
      </c>
      <c r="D41" s="452" t="s">
        <v>343</v>
      </c>
      <c r="E41" s="96" t="s">
        <v>343</v>
      </c>
      <c r="F41" s="452" t="s">
        <v>343</v>
      </c>
      <c r="G41" s="1251" t="s">
        <v>343</v>
      </c>
      <c r="H41" s="2" t="s">
        <v>343</v>
      </c>
      <c r="I41" s="2223" t="s">
        <v>343</v>
      </c>
      <c r="J41" s="96" t="s">
        <v>343</v>
      </c>
      <c r="K41" s="452" t="s">
        <v>343</v>
      </c>
      <c r="L41" s="1252" t="s">
        <v>343</v>
      </c>
      <c r="M41" s="1102"/>
      <c r="N41" s="1102"/>
      <c r="O41" s="1102"/>
      <c r="P41" s="1102"/>
      <c r="Q41" s="1102"/>
      <c r="U41" s="2"/>
      <c r="V41" s="2"/>
      <c r="W41" s="2"/>
      <c r="X41" s="2"/>
      <c r="Y41" s="2"/>
      <c r="Z41" s="2"/>
      <c r="AA41" s="2"/>
      <c r="AB41" s="2"/>
      <c r="AC41" s="2"/>
      <c r="AD41" s="2"/>
      <c r="AE41" s="2"/>
      <c r="AF41" s="2"/>
      <c r="AG41" s="2"/>
      <c r="AH41" s="2"/>
      <c r="AI41" s="2"/>
      <c r="AJ41" s="2"/>
      <c r="AK41" s="2"/>
      <c r="AL41" s="2"/>
      <c r="AM41" s="2"/>
      <c r="AN41" s="2"/>
      <c r="AO41" s="2"/>
      <c r="AP41" s="2"/>
      <c r="AQ41" s="98"/>
      <c r="AR41" s="2"/>
    </row>
    <row r="42" spans="1:44" ht="12.75" customHeight="1">
      <c r="A42" s="107" t="s">
        <v>1540</v>
      </c>
      <c r="B42" s="2"/>
      <c r="C42" s="2240">
        <f>C39+C40</f>
        <v>-10.716000000000022</v>
      </c>
      <c r="D42" s="2239">
        <f>D39+D40</f>
        <v>-899.8979999999998</v>
      </c>
      <c r="E42" s="932"/>
      <c r="F42" s="2236">
        <f>F39+F40</f>
        <v>889.18199999999968</v>
      </c>
      <c r="G42" s="1215">
        <f>G39+G40</f>
        <v>-3.0490593737478004</v>
      </c>
      <c r="H42" s="932"/>
      <c r="I42" s="2238">
        <v>-24.17009933215563</v>
      </c>
      <c r="J42" s="932"/>
      <c r="K42" s="2236">
        <f>K39+K40</f>
        <v>13.454099332155609</v>
      </c>
      <c r="L42" s="1215">
        <f>L39+L40</f>
        <v>-9.8389624860301392</v>
      </c>
      <c r="N42" s="2"/>
      <c r="O42" s="2"/>
      <c r="P42" s="2"/>
      <c r="Q42" s="2"/>
      <c r="U42" s="105"/>
      <c r="V42" s="2"/>
      <c r="W42" s="2"/>
      <c r="X42" s="2"/>
      <c r="Y42" s="2"/>
      <c r="Z42" s="2"/>
      <c r="AA42" s="2"/>
      <c r="AB42" s="2"/>
      <c r="AC42" s="2"/>
      <c r="AD42" s="2"/>
      <c r="AE42" s="2"/>
      <c r="AF42" s="2"/>
      <c r="AG42" s="2"/>
      <c r="AH42" s="2"/>
      <c r="AI42" s="2"/>
      <c r="AJ42" s="2"/>
      <c r="AK42" s="2"/>
      <c r="AL42" s="2"/>
      <c r="AM42" s="2"/>
      <c r="AN42" s="2"/>
      <c r="AO42" s="2"/>
      <c r="AP42" s="2"/>
      <c r="AQ42" s="98"/>
      <c r="AR42" s="2"/>
    </row>
    <row r="43" spans="1:44" ht="12.75" customHeight="1">
      <c r="A43" s="2" t="s">
        <v>1562</v>
      </c>
      <c r="B43" s="2"/>
      <c r="C43" s="2031">
        <f>BYD!AZ87</f>
        <v>20.9</v>
      </c>
      <c r="D43" s="104">
        <f>BYD!AU87</f>
        <v>872.23899999999992</v>
      </c>
      <c r="E43" s="61"/>
      <c r="F43" s="61"/>
      <c r="G43" s="1141"/>
      <c r="H43" s="2"/>
      <c r="I43" s="1104">
        <v>0.25</v>
      </c>
      <c r="J43" s="61"/>
      <c r="K43" s="61"/>
      <c r="L43" s="1216"/>
      <c r="N43" s="2"/>
      <c r="O43" s="2"/>
      <c r="P43" s="2"/>
      <c r="Q43" s="2"/>
      <c r="U43" s="2"/>
      <c r="V43" s="2"/>
      <c r="W43" s="2"/>
      <c r="X43" s="2"/>
      <c r="Y43" s="2"/>
      <c r="Z43" s="2"/>
      <c r="AA43" s="2"/>
      <c r="AB43" s="2"/>
      <c r="AC43" s="2"/>
      <c r="AD43" s="2"/>
      <c r="AE43" s="2"/>
      <c r="AF43" s="2"/>
      <c r="AG43" s="2"/>
      <c r="AH43" s="2"/>
      <c r="AI43" s="2"/>
      <c r="AJ43" s="2"/>
      <c r="AK43" s="2"/>
      <c r="AL43" s="2"/>
      <c r="AM43" s="2"/>
      <c r="AN43" s="2"/>
      <c r="AO43" s="2"/>
      <c r="AP43" s="2"/>
      <c r="AQ43" s="98"/>
      <c r="AR43" s="2"/>
    </row>
    <row r="44" spans="1:44" ht="12.75" customHeight="1">
      <c r="A44" s="147" t="s">
        <v>1747</v>
      </c>
      <c r="B44" s="160"/>
      <c r="C44" s="2244">
        <f>BYD!AZ88</f>
        <v>-26.412500000000001</v>
      </c>
      <c r="D44" s="2243">
        <f>BYD!AU88</f>
        <v>-27.658999999999878</v>
      </c>
      <c r="E44" s="1218"/>
      <c r="F44" s="2241">
        <f>C44-D44</f>
        <v>1.2464999999998767</v>
      </c>
      <c r="G44" s="1219">
        <f>IF(D44=0,0,C44/D44-1)</f>
        <v>-4.5066705231565973E-2</v>
      </c>
      <c r="H44" s="1220"/>
      <c r="I44" s="2242">
        <v>-23.92009933215563</v>
      </c>
      <c r="J44" s="1218"/>
      <c r="K44" s="2241">
        <f>C44-I44</f>
        <v>-2.4924006678443718</v>
      </c>
      <c r="L44" s="1221">
        <f>C44/I44-1</f>
        <v>0.10419691963794886</v>
      </c>
      <c r="N44" s="2"/>
      <c r="O44" s="2"/>
      <c r="P44" s="2"/>
      <c r="Q44" s="2"/>
      <c r="U44" s="2"/>
      <c r="V44" s="2"/>
      <c r="W44" s="2"/>
      <c r="X44" s="2"/>
      <c r="Y44" s="2"/>
      <c r="Z44" s="2"/>
      <c r="AA44" s="2"/>
      <c r="AB44" s="2"/>
      <c r="AC44" s="2"/>
      <c r="AD44" s="2"/>
      <c r="AE44" s="2"/>
      <c r="AF44" s="2"/>
      <c r="AG44" s="2"/>
      <c r="AH44" s="2"/>
      <c r="AI44" s="2"/>
      <c r="AJ44" s="2"/>
      <c r="AK44" s="2"/>
      <c r="AL44" s="2"/>
      <c r="AM44" s="2"/>
      <c r="AN44" s="2"/>
      <c r="AO44" s="2"/>
      <c r="AP44" s="2"/>
      <c r="AQ44" s="98"/>
      <c r="AR44" s="2"/>
    </row>
    <row r="45" spans="1:44" ht="12.75" customHeight="1">
      <c r="A45" s="2"/>
      <c r="B45" s="2"/>
      <c r="C45" s="2034"/>
      <c r="D45" s="77"/>
      <c r="E45" s="61"/>
      <c r="F45" s="61"/>
      <c r="G45" s="1141"/>
      <c r="H45" s="2"/>
      <c r="I45" s="115"/>
      <c r="J45" s="61"/>
      <c r="K45" s="61"/>
      <c r="L45" s="1216"/>
      <c r="N45" s="2"/>
      <c r="O45" s="2"/>
      <c r="P45" s="2"/>
      <c r="Q45" s="2"/>
      <c r="U45" s="2"/>
      <c r="V45" s="2"/>
      <c r="W45" s="2"/>
      <c r="X45" s="2"/>
      <c r="Y45" s="2"/>
      <c r="Z45" s="2"/>
      <c r="AA45" s="2"/>
      <c r="AB45" s="2"/>
      <c r="AC45" s="2"/>
      <c r="AD45" s="2"/>
      <c r="AE45" s="2"/>
      <c r="AF45" s="2"/>
      <c r="AG45" s="2"/>
      <c r="AH45" s="2"/>
      <c r="AI45" s="2"/>
      <c r="AJ45" s="2"/>
      <c r="AK45" s="2"/>
      <c r="AL45" s="2"/>
      <c r="AM45" s="2"/>
      <c r="AN45" s="2"/>
      <c r="AO45" s="2"/>
      <c r="AP45" s="2"/>
      <c r="AQ45" s="98"/>
      <c r="AR45" s="2"/>
    </row>
    <row r="46" spans="1:44" ht="12.75" customHeight="1">
      <c r="A46" s="138" t="s">
        <v>746</v>
      </c>
      <c r="B46" s="155"/>
      <c r="C46" s="2041">
        <f>+C44/C47</f>
        <v>-0.24127394469768249</v>
      </c>
      <c r="D46" s="152">
        <f>+D44/D47</f>
        <v>-0.31485781936570678</v>
      </c>
      <c r="E46" s="152"/>
      <c r="F46" s="152">
        <f>C46-D46</f>
        <v>7.3583874668024296E-2</v>
      </c>
      <c r="G46" s="1208">
        <f>IF(D46=0,0,C46/D46-1)</f>
        <v>-0.23370508890731012</v>
      </c>
      <c r="H46" s="155"/>
      <c r="I46" s="1246">
        <v>-0.21904852868274385</v>
      </c>
      <c r="J46" s="152"/>
      <c r="K46" s="152">
        <f>C46-I46</f>
        <v>-2.2225416014938632E-2</v>
      </c>
      <c r="L46" s="1211">
        <f>C46/I46-1</f>
        <v>0.10146343437498517</v>
      </c>
      <c r="N46" s="1256"/>
      <c r="O46" s="1256"/>
      <c r="P46" s="1256"/>
      <c r="Q46" s="1256"/>
      <c r="S46" s="1645"/>
      <c r="U46" s="2"/>
      <c r="V46" s="2"/>
      <c r="W46" s="2"/>
      <c r="X46" s="2"/>
      <c r="Y46" s="2"/>
      <c r="Z46" s="2"/>
      <c r="AA46" s="2"/>
      <c r="AB46" s="2"/>
      <c r="AC46" s="2"/>
      <c r="AD46" s="2"/>
      <c r="AE46" s="2"/>
      <c r="AF46" s="2"/>
      <c r="AG46" s="2"/>
      <c r="AH46" s="2"/>
      <c r="AI46" s="2"/>
      <c r="AJ46" s="2"/>
      <c r="AK46" s="2"/>
      <c r="AL46" s="2"/>
      <c r="AM46" s="2"/>
      <c r="AN46" s="2"/>
      <c r="AO46" s="2"/>
      <c r="AP46" s="2"/>
      <c r="AQ46" s="98"/>
      <c r="AR46" s="2"/>
    </row>
    <row r="47" spans="1:44" ht="12.75" customHeight="1">
      <c r="A47" s="2" t="s">
        <v>769</v>
      </c>
      <c r="B47" s="2"/>
      <c r="C47" s="2031">
        <f>BYD!AZ103</f>
        <v>109.471</v>
      </c>
      <c r="D47" s="104">
        <f>BYD!AU103</f>
        <v>87.846000000000004</v>
      </c>
      <c r="E47" s="1103"/>
      <c r="F47" s="374">
        <f>C47-D47</f>
        <v>21.625</v>
      </c>
      <c r="G47" s="126">
        <f>IF(D47=0,0,C47/D47-1)</f>
        <v>0.24616943287116078</v>
      </c>
      <c r="H47" s="2"/>
      <c r="I47" s="1104">
        <v>109.2</v>
      </c>
      <c r="J47" s="1103"/>
      <c r="K47" s="374">
        <f>C47-I47</f>
        <v>0.2710000000000008</v>
      </c>
      <c r="L47" s="1204">
        <f>C47/I47-1</f>
        <v>2.4816849816848841E-3</v>
      </c>
      <c r="N47" s="2"/>
      <c r="O47" s="2"/>
      <c r="P47" s="2"/>
      <c r="Q47" s="2"/>
      <c r="U47" s="2"/>
      <c r="V47" s="2"/>
      <c r="W47" s="2"/>
      <c r="X47" s="2"/>
      <c r="Y47" s="2"/>
      <c r="Z47" s="2"/>
      <c r="AA47" s="2"/>
      <c r="AB47" s="2"/>
      <c r="AC47" s="2"/>
      <c r="AD47" s="2"/>
      <c r="AE47" s="2"/>
      <c r="AF47" s="2"/>
      <c r="AG47" s="2"/>
      <c r="AH47" s="2"/>
      <c r="AI47" s="2"/>
      <c r="AJ47" s="2"/>
      <c r="AK47" s="2"/>
      <c r="AL47" s="2"/>
      <c r="AM47" s="2"/>
      <c r="AN47" s="2"/>
      <c r="AO47" s="2"/>
      <c r="AP47" s="2"/>
      <c r="AQ47" s="98"/>
      <c r="AR47" s="2"/>
    </row>
    <row r="48" spans="1:44" ht="12.75" customHeight="1">
      <c r="A48" s="2"/>
      <c r="B48" s="2"/>
      <c r="C48" s="112"/>
      <c r="D48" s="77"/>
      <c r="E48" s="61"/>
      <c r="F48" s="2"/>
      <c r="G48" s="2"/>
      <c r="H48" s="2"/>
      <c r="I48" s="142"/>
      <c r="J48" s="61"/>
      <c r="K48" s="61"/>
      <c r="L48" s="2"/>
      <c r="N48" s="2"/>
      <c r="O48" s="2"/>
      <c r="P48" s="2"/>
      <c r="Q48" s="2"/>
      <c r="U48" s="2"/>
      <c r="V48" s="2"/>
      <c r="W48" s="2"/>
      <c r="X48" s="2"/>
      <c r="Y48" s="2"/>
      <c r="Z48" s="2"/>
      <c r="AA48" s="2"/>
      <c r="AB48" s="2"/>
      <c r="AC48" s="2"/>
      <c r="AD48" s="2"/>
      <c r="AE48" s="2"/>
      <c r="AF48" s="2"/>
      <c r="AG48" s="2"/>
      <c r="AH48" s="2"/>
      <c r="AI48" s="2"/>
      <c r="AJ48" s="2"/>
      <c r="AK48" s="2"/>
      <c r="AL48" s="2"/>
      <c r="AM48" s="2"/>
      <c r="AN48" s="2"/>
      <c r="AO48" s="2"/>
      <c r="AP48" s="2"/>
      <c r="AQ48" s="98"/>
      <c r="AR48" s="2"/>
    </row>
    <row r="49" spans="1:44" ht="12.75" customHeight="1">
      <c r="A49" s="1222" t="s">
        <v>1483</v>
      </c>
      <c r="B49" s="1223"/>
      <c r="C49" s="1224">
        <f>C22/C14</f>
        <v>0.2734564052104369</v>
      </c>
      <c r="D49" s="1400">
        <f>D22/D14</f>
        <v>0.17777617698378395</v>
      </c>
      <c r="E49" s="1225"/>
      <c r="F49" s="1223"/>
      <c r="G49" s="1226">
        <f>(C49-D49)</f>
        <v>9.5680228226652952E-2</v>
      </c>
      <c r="H49" s="1223"/>
      <c r="I49" s="2234">
        <v>0.19685937472051643</v>
      </c>
      <c r="J49" s="1225"/>
      <c r="K49" s="1223"/>
      <c r="L49" s="1227">
        <f>(C49-I49)</f>
        <v>7.6597030489920476E-2</v>
      </c>
      <c r="N49" s="2"/>
      <c r="O49" s="2"/>
      <c r="P49" s="2"/>
      <c r="Q49" s="2"/>
      <c r="U49" s="2"/>
      <c r="V49" s="2"/>
      <c r="W49" s="2"/>
      <c r="X49" s="2"/>
      <c r="Y49" s="2"/>
      <c r="Z49" s="2"/>
      <c r="AA49" s="2"/>
      <c r="AB49" s="2"/>
      <c r="AC49" s="2"/>
      <c r="AD49" s="2"/>
      <c r="AE49" s="2"/>
      <c r="AF49" s="2"/>
      <c r="AG49" s="2"/>
      <c r="AH49" s="2"/>
      <c r="AI49" s="2"/>
      <c r="AJ49" s="2"/>
      <c r="AK49" s="2"/>
      <c r="AL49" s="2"/>
      <c r="AM49" s="2"/>
      <c r="AN49" s="2"/>
      <c r="AO49" s="2"/>
      <c r="AP49" s="2"/>
      <c r="AQ49" s="98"/>
      <c r="AR49" s="2"/>
    </row>
    <row r="50" spans="1:44" ht="12.75" customHeight="1">
      <c r="A50" s="1239" t="s">
        <v>514</v>
      </c>
      <c r="B50" s="1228"/>
      <c r="C50" s="1229">
        <f t="shared" ref="C50:D52" si="9">C17/C8</f>
        <v>0.22351468995351151</v>
      </c>
      <c r="D50" s="1230">
        <f t="shared" si="9"/>
        <v>0.21143852147664091</v>
      </c>
      <c r="E50" s="1230"/>
      <c r="F50" s="1228"/>
      <c r="G50" s="1231">
        <f>(C50-D50)</f>
        <v>1.2076168476870597E-2</v>
      </c>
      <c r="H50" s="1228"/>
      <c r="I50" s="1248">
        <v>0.23849700358283465</v>
      </c>
      <c r="J50" s="1230"/>
      <c r="K50" s="1228"/>
      <c r="L50" s="1232">
        <f>(C50-I50)</f>
        <v>-1.4982313629323146E-2</v>
      </c>
      <c r="M50" s="1404"/>
      <c r="N50" s="1647"/>
      <c r="O50" s="1647"/>
      <c r="P50" s="1647"/>
      <c r="Q50" s="1647"/>
      <c r="U50" s="2"/>
      <c r="V50" s="2"/>
      <c r="W50" s="2"/>
      <c r="X50" s="2"/>
      <c r="Y50" s="2"/>
      <c r="Z50" s="2"/>
      <c r="AA50" s="2"/>
      <c r="AB50" s="2"/>
      <c r="AC50" s="2"/>
      <c r="AD50" s="2"/>
      <c r="AE50" s="2"/>
      <c r="AF50" s="2"/>
      <c r="AG50" s="2"/>
      <c r="AH50" s="2"/>
      <c r="AI50" s="2"/>
      <c r="AJ50" s="2"/>
      <c r="AK50" s="2"/>
      <c r="AL50" s="2"/>
      <c r="AM50" s="2"/>
      <c r="AN50" s="2"/>
      <c r="AO50" s="2"/>
      <c r="AP50" s="2"/>
      <c r="AQ50" s="98"/>
      <c r="AR50" s="2"/>
    </row>
    <row r="51" spans="1:44" ht="12.75" customHeight="1">
      <c r="A51" s="1239" t="s">
        <v>515</v>
      </c>
      <c r="B51" s="1228"/>
      <c r="C51" s="1229">
        <f t="shared" si="9"/>
        <v>0.21884976015777771</v>
      </c>
      <c r="D51" s="1230">
        <f t="shared" si="9"/>
        <v>0.17223146799805841</v>
      </c>
      <c r="E51" s="1230"/>
      <c r="F51" s="1228"/>
      <c r="G51" s="1231">
        <f>(C51-D51)</f>
        <v>4.6618292159719299E-2</v>
      </c>
      <c r="H51" s="1228"/>
      <c r="I51" s="1248">
        <v>0.16387016969500856</v>
      </c>
      <c r="J51" s="1230"/>
      <c r="K51" s="1228"/>
      <c r="L51" s="1232">
        <f>(C51-I51)</f>
        <v>5.4979590462769151E-2</v>
      </c>
      <c r="M51" s="1403"/>
      <c r="N51" s="98"/>
      <c r="O51" s="98"/>
      <c r="P51" s="98"/>
      <c r="Q51" s="98"/>
      <c r="U51" s="2"/>
      <c r="V51" s="2"/>
      <c r="W51" s="2"/>
      <c r="X51" s="2"/>
      <c r="Y51" s="2"/>
      <c r="Z51" s="2"/>
      <c r="AA51" s="2"/>
      <c r="AB51" s="2"/>
      <c r="AC51" s="2"/>
      <c r="AD51" s="2"/>
      <c r="AE51" s="2"/>
      <c r="AF51" s="2"/>
      <c r="AG51" s="2"/>
      <c r="AH51" s="2"/>
      <c r="AI51" s="2"/>
      <c r="AJ51" s="2"/>
      <c r="AK51" s="2"/>
      <c r="AL51" s="2"/>
      <c r="AM51" s="2"/>
      <c r="AN51" s="2"/>
      <c r="AO51" s="2"/>
      <c r="AP51" s="2"/>
      <c r="AQ51" s="98"/>
      <c r="AR51" s="2"/>
    </row>
    <row r="52" spans="1:44" ht="12.75" customHeight="1">
      <c r="A52" s="1239" t="s">
        <v>517</v>
      </c>
      <c r="B52" s="1228"/>
      <c r="C52" s="1229">
        <f t="shared" si="9"/>
        <v>0.20269353398801171</v>
      </c>
      <c r="D52" s="1230">
        <f t="shared" si="9"/>
        <v>0.16142356611920122</v>
      </c>
      <c r="E52" s="1230"/>
      <c r="F52" s="1228"/>
      <c r="G52" s="1231">
        <f>(C52-D52)</f>
        <v>4.1269967868810487E-2</v>
      </c>
      <c r="H52" s="1228"/>
      <c r="I52" s="1248">
        <v>0.1479090468508554</v>
      </c>
      <c r="J52" s="1230"/>
      <c r="K52" s="1228"/>
      <c r="L52" s="1232">
        <f>(C52-I52)</f>
        <v>5.4784487137156307E-2</v>
      </c>
      <c r="M52" s="1403"/>
      <c r="N52" s="98"/>
      <c r="O52" s="98"/>
      <c r="P52" s="98"/>
      <c r="Q52" s="98"/>
      <c r="U52" s="2"/>
      <c r="V52" s="2"/>
      <c r="W52" s="2"/>
      <c r="X52" s="2"/>
      <c r="Y52" s="2"/>
      <c r="Z52" s="2"/>
      <c r="AA52" s="2"/>
      <c r="AB52" s="2"/>
      <c r="AC52" s="2"/>
      <c r="AD52" s="2"/>
      <c r="AE52" s="2"/>
      <c r="AF52" s="2"/>
      <c r="AG52" s="2"/>
      <c r="AH52" s="2"/>
      <c r="AI52" s="2"/>
      <c r="AJ52" s="2"/>
      <c r="AK52" s="2"/>
      <c r="AL52" s="2"/>
      <c r="AM52" s="2"/>
      <c r="AN52" s="2"/>
      <c r="AO52" s="2"/>
      <c r="AP52" s="2"/>
      <c r="AQ52" s="98"/>
      <c r="AR52" s="2"/>
    </row>
    <row r="53" spans="1:44" ht="12.75" customHeight="1">
      <c r="A53" s="1239" t="s">
        <v>516</v>
      </c>
      <c r="B53" s="1228"/>
      <c r="C53" s="1229">
        <f>C19/C10</f>
        <v>0.20269353398801171</v>
      </c>
      <c r="D53" s="1230">
        <f>D19/D10</f>
        <v>0.16142356611920122</v>
      </c>
      <c r="E53" s="1230"/>
      <c r="F53" s="1228"/>
      <c r="G53" s="1231">
        <f>(C53-D53)</f>
        <v>4.1269967868810487E-2</v>
      </c>
      <c r="H53" s="1228"/>
      <c r="I53" s="1248">
        <v>0.1479090468508554</v>
      </c>
      <c r="J53" s="1230"/>
      <c r="K53" s="1228"/>
      <c r="L53" s="1232">
        <f>(C53-I53)</f>
        <v>5.4784487137156307E-2</v>
      </c>
      <c r="M53" s="1404"/>
      <c r="N53" s="105"/>
      <c r="O53" s="105"/>
      <c r="P53" s="105"/>
      <c r="Q53" s="105"/>
      <c r="U53" s="2"/>
      <c r="V53" s="2"/>
      <c r="W53" s="2"/>
      <c r="X53" s="2"/>
      <c r="Y53" s="2"/>
      <c r="Z53" s="2"/>
      <c r="AA53" s="2"/>
      <c r="AB53" s="2"/>
      <c r="AC53" s="2"/>
      <c r="AD53" s="2"/>
      <c r="AE53" s="2"/>
      <c r="AF53" s="2"/>
      <c r="AG53" s="2"/>
      <c r="AH53" s="2"/>
      <c r="AI53" s="2"/>
      <c r="AJ53" s="2"/>
      <c r="AK53" s="2"/>
      <c r="AL53" s="2"/>
      <c r="AM53" s="2"/>
      <c r="AN53" s="2"/>
      <c r="AO53" s="2"/>
      <c r="AP53" s="2"/>
      <c r="AQ53" s="98"/>
      <c r="AR53" s="2"/>
    </row>
    <row r="54" spans="1:44" ht="12.75" customHeight="1">
      <c r="A54" s="1240" t="s">
        <v>273</v>
      </c>
      <c r="B54" s="1233"/>
      <c r="C54" s="1234"/>
      <c r="D54" s="1235">
        <f>D21/D12</f>
        <v>9.4941212347101275E-2</v>
      </c>
      <c r="E54" s="1235"/>
      <c r="F54" s="1233"/>
      <c r="G54" s="1235"/>
      <c r="H54" s="1233"/>
      <c r="I54" s="1249">
        <v>0.14306202249136982</v>
      </c>
      <c r="J54" s="1235"/>
      <c r="K54" s="1233"/>
      <c r="L54" s="1237"/>
      <c r="M54" s="1404"/>
      <c r="N54" s="105"/>
      <c r="O54" s="105"/>
      <c r="P54" s="105"/>
      <c r="Q54" s="105"/>
      <c r="U54" s="2"/>
      <c r="V54" s="2"/>
      <c r="W54" s="2"/>
      <c r="X54" s="2"/>
      <c r="Y54" s="2"/>
      <c r="Z54" s="2"/>
      <c r="AA54" s="2"/>
      <c r="AB54" s="2"/>
      <c r="AC54" s="2"/>
      <c r="AD54" s="2"/>
      <c r="AE54" s="2"/>
      <c r="AF54" s="2"/>
      <c r="AG54" s="2"/>
      <c r="AH54" s="2"/>
      <c r="AI54" s="2"/>
      <c r="AJ54" s="2"/>
      <c r="AK54" s="2"/>
      <c r="AL54" s="2"/>
      <c r="AM54" s="2"/>
      <c r="AN54" s="2"/>
      <c r="AO54" s="2"/>
      <c r="AP54" s="2"/>
      <c r="AQ54" s="98"/>
      <c r="AR54" s="2"/>
    </row>
    <row r="55" spans="1:44" ht="12.75" customHeight="1">
      <c r="A55" s="61"/>
      <c r="B55" s="61"/>
      <c r="C55" s="1435"/>
      <c r="D55" s="77"/>
      <c r="E55" s="61"/>
      <c r="F55" s="61"/>
      <c r="G55" s="61"/>
      <c r="H55" s="61"/>
      <c r="I55" s="1435"/>
      <c r="J55" s="61"/>
      <c r="K55" s="61"/>
      <c r="L55" s="61"/>
      <c r="M55" s="1404"/>
      <c r="N55" s="105"/>
      <c r="O55" s="105"/>
      <c r="P55" s="105"/>
      <c r="Q55" s="105"/>
      <c r="U55" s="2"/>
      <c r="V55" s="2"/>
      <c r="W55" s="2"/>
      <c r="X55" s="2"/>
      <c r="Y55" s="2"/>
      <c r="Z55" s="2"/>
      <c r="AA55" s="2"/>
      <c r="AB55" s="2"/>
      <c r="AC55" s="2"/>
      <c r="AD55" s="2"/>
      <c r="AE55" s="2"/>
      <c r="AF55" s="2"/>
      <c r="AG55" s="2"/>
      <c r="AH55" s="2"/>
      <c r="AI55" s="2"/>
      <c r="AJ55" s="2"/>
      <c r="AK55" s="2"/>
      <c r="AL55" s="2"/>
      <c r="AM55" s="2"/>
      <c r="AN55" s="2"/>
      <c r="AO55" s="2"/>
      <c r="AP55" s="2"/>
      <c r="AQ55" s="98"/>
      <c r="AR55" s="2"/>
    </row>
    <row r="56" spans="1:44" ht="12.75" customHeight="1">
      <c r="A56" s="61"/>
      <c r="B56" s="61"/>
      <c r="C56" s="374"/>
      <c r="D56" s="374"/>
      <c r="E56" s="61"/>
      <c r="F56" s="374"/>
      <c r="G56" s="95"/>
      <c r="H56" s="313"/>
      <c r="I56" s="376"/>
      <c r="J56" s="932"/>
      <c r="K56" s="374"/>
      <c r="L56" s="1204"/>
      <c r="N56" s="2"/>
      <c r="O56" s="2"/>
      <c r="P56" s="2"/>
      <c r="Q56" s="2"/>
      <c r="U56" s="1"/>
      <c r="V56" s="2"/>
      <c r="W56" s="1"/>
      <c r="X56" s="2"/>
      <c r="Y56" s="2"/>
      <c r="Z56" s="2"/>
      <c r="AA56" s="2"/>
      <c r="AB56" s="2"/>
      <c r="AC56" s="2"/>
      <c r="AD56" s="2"/>
      <c r="AE56" s="2"/>
      <c r="AF56" s="2"/>
      <c r="AG56" s="2"/>
      <c r="AH56" s="2"/>
      <c r="AI56" s="2"/>
      <c r="AJ56" s="2"/>
      <c r="AK56" s="2"/>
      <c r="AL56" s="2"/>
      <c r="AM56" s="2"/>
      <c r="AN56" s="2"/>
      <c r="AO56" s="2"/>
      <c r="AP56" s="2"/>
      <c r="AQ56" s="98"/>
      <c r="AR56" s="2"/>
    </row>
    <row r="57" spans="1:44" ht="12.75" customHeight="1">
      <c r="A57" s="743"/>
      <c r="B57" s="61"/>
      <c r="C57" s="1618"/>
      <c r="D57" s="1618"/>
      <c r="E57" s="61"/>
      <c r="F57" s="1618"/>
      <c r="G57" s="1433"/>
      <c r="H57" s="61"/>
      <c r="I57" s="1618"/>
      <c r="J57" s="1103"/>
      <c r="K57" s="452"/>
      <c r="L57" s="1252"/>
      <c r="M57" s="1404"/>
      <c r="N57" s="1404"/>
      <c r="O57" s="1404"/>
      <c r="P57" s="1404"/>
      <c r="Q57" s="1404"/>
      <c r="U57" s="105"/>
      <c r="V57" s="2"/>
      <c r="W57" s="105"/>
      <c r="X57" s="2"/>
      <c r="Y57" s="2"/>
      <c r="Z57" s="2"/>
      <c r="AA57" s="2"/>
      <c r="AB57" s="2"/>
      <c r="AC57" s="2"/>
      <c r="AD57" s="2"/>
      <c r="AE57" s="2"/>
      <c r="AF57" s="2"/>
      <c r="AG57" s="2"/>
      <c r="AH57" s="2"/>
      <c r="AI57" s="2"/>
      <c r="AJ57" s="2"/>
      <c r="AK57" s="2"/>
      <c r="AL57" s="2"/>
      <c r="AM57" s="2"/>
      <c r="AN57" s="2"/>
      <c r="AO57" s="2"/>
      <c r="AP57" s="2"/>
      <c r="AQ57" s="98"/>
      <c r="AR57" s="2"/>
    </row>
    <row r="58" spans="1:44" ht="12.75" customHeight="1">
      <c r="A58" s="1"/>
      <c r="B58" s="2"/>
      <c r="C58" s="1241"/>
      <c r="D58" s="1241"/>
      <c r="E58" s="61"/>
      <c r="F58" s="374"/>
      <c r="G58" s="95"/>
      <c r="H58" s="61"/>
      <c r="I58" s="1434"/>
      <c r="J58" s="1103"/>
      <c r="K58" s="1241"/>
      <c r="L58" s="1204"/>
      <c r="N58" s="1143"/>
      <c r="O58" s="1143"/>
      <c r="P58" s="1143"/>
      <c r="Q58" s="1143"/>
      <c r="AQ58" s="1403"/>
    </row>
    <row r="59" spans="1:44" ht="4.5" customHeight="1">
      <c r="A59" s="2"/>
      <c r="B59" s="2"/>
      <c r="C59" s="61"/>
      <c r="D59" s="77"/>
      <c r="E59" s="61"/>
      <c r="F59" s="61"/>
      <c r="G59" s="61"/>
      <c r="H59" s="61"/>
      <c r="I59" s="61"/>
      <c r="J59" s="2"/>
      <c r="K59" s="2"/>
      <c r="L59" s="2"/>
      <c r="N59" s="2"/>
      <c r="O59" s="2"/>
      <c r="P59" s="2"/>
      <c r="Q59" s="2"/>
      <c r="AQ59" s="1403"/>
    </row>
    <row r="60" spans="1:44" ht="6" customHeight="1">
      <c r="A60" s="2"/>
      <c r="B60" s="2"/>
      <c r="C60" s="2"/>
      <c r="D60" s="1062"/>
      <c r="E60" s="2"/>
      <c r="F60" s="2"/>
      <c r="G60" s="2"/>
      <c r="H60" s="2"/>
      <c r="I60" s="2"/>
      <c r="J60" s="2"/>
      <c r="K60" s="2"/>
      <c r="L60" s="2"/>
      <c r="N60" s="2"/>
      <c r="O60" s="2"/>
      <c r="P60" s="2"/>
      <c r="Q60" s="2"/>
      <c r="AQ60" s="1403"/>
    </row>
    <row r="61" spans="1:44" ht="12.75" customHeight="1">
      <c r="A61" s="2"/>
      <c r="B61" s="2"/>
      <c r="C61" s="2"/>
      <c r="D61" s="1648"/>
      <c r="E61" s="2"/>
      <c r="F61" s="2"/>
      <c r="G61" s="2"/>
      <c r="H61" s="2"/>
      <c r="I61" s="2"/>
      <c r="J61" s="2"/>
      <c r="K61" s="2"/>
      <c r="L61" s="2"/>
      <c r="N61" s="2"/>
      <c r="O61" s="2"/>
      <c r="P61" s="2"/>
      <c r="Q61" s="2"/>
      <c r="AQ61" s="1403"/>
    </row>
    <row r="62" spans="1:44" ht="12.75" customHeight="1">
      <c r="A62" s="2"/>
      <c r="B62" s="2"/>
      <c r="C62" s="2"/>
      <c r="D62" s="1062"/>
      <c r="E62" s="2"/>
      <c r="F62" s="2"/>
      <c r="G62" s="2"/>
      <c r="H62" s="2"/>
      <c r="I62" s="2"/>
      <c r="J62" s="2"/>
      <c r="K62" s="2"/>
      <c r="L62" s="2"/>
      <c r="N62" s="2"/>
      <c r="O62" s="2"/>
      <c r="P62" s="2"/>
      <c r="Q62" s="2"/>
      <c r="AQ62" s="1403"/>
    </row>
    <row r="63" spans="1:44" ht="12.75" customHeight="1">
      <c r="A63" s="2"/>
      <c r="B63" s="2"/>
      <c r="C63" s="2"/>
      <c r="D63" s="1062"/>
      <c r="E63" s="2"/>
      <c r="F63" s="2"/>
      <c r="G63" s="2"/>
      <c r="H63" s="2"/>
      <c r="I63" s="2"/>
      <c r="J63" s="2"/>
      <c r="K63" s="2"/>
      <c r="L63" s="2"/>
      <c r="N63" s="2"/>
      <c r="O63" s="2"/>
      <c r="P63" s="2"/>
      <c r="Q63" s="2"/>
      <c r="AQ63" s="1403"/>
    </row>
    <row r="64" spans="1:44" ht="12.75" customHeight="1">
      <c r="A64" s="2"/>
      <c r="B64" s="2"/>
      <c r="C64" s="2"/>
      <c r="D64" s="1062"/>
      <c r="E64" s="2"/>
      <c r="F64" s="2"/>
      <c r="G64" s="2"/>
      <c r="H64" s="2"/>
      <c r="I64" s="2"/>
      <c r="J64" s="2"/>
      <c r="K64" s="2"/>
      <c r="L64" s="2"/>
      <c r="N64" s="2"/>
      <c r="O64" s="2"/>
      <c r="P64" s="2"/>
      <c r="Q64" s="2"/>
      <c r="AQ64" s="1403"/>
    </row>
    <row r="65" spans="1:44" ht="12.75" customHeight="1">
      <c r="A65" s="2"/>
      <c r="B65" s="2"/>
      <c r="C65" s="2"/>
      <c r="D65" s="1062"/>
      <c r="E65" s="2"/>
      <c r="F65" s="2"/>
      <c r="G65" s="2"/>
      <c r="H65" s="2"/>
      <c r="I65" s="2"/>
      <c r="J65" s="2"/>
      <c r="K65" s="2"/>
      <c r="L65" s="2"/>
      <c r="N65" s="2"/>
      <c r="O65" s="2"/>
      <c r="P65" s="2"/>
      <c r="Q65" s="2"/>
      <c r="AQ65" s="1403"/>
    </row>
    <row r="66" spans="1:44" ht="12.75" customHeight="1">
      <c r="A66" s="2"/>
      <c r="B66" s="2"/>
      <c r="C66" s="2"/>
      <c r="D66" s="1062"/>
      <c r="E66" s="2"/>
      <c r="F66" s="2"/>
      <c r="G66" s="2"/>
      <c r="H66" s="2"/>
      <c r="I66" s="2"/>
      <c r="J66" s="2"/>
      <c r="K66" s="2"/>
      <c r="L66" s="2"/>
      <c r="M66" s="69" t="s">
        <v>318</v>
      </c>
      <c r="R66" s="2"/>
      <c r="S66" s="2"/>
      <c r="T66" s="2"/>
      <c r="AQ66" s="1403"/>
    </row>
    <row r="67" spans="1:44" ht="12.75" customHeight="1">
      <c r="A67" s="2"/>
      <c r="B67" s="2"/>
      <c r="C67" s="2"/>
      <c r="D67" s="1062"/>
      <c r="E67" s="2"/>
      <c r="F67" s="2"/>
      <c r="G67" s="2"/>
      <c r="H67" s="2"/>
      <c r="I67" s="2"/>
      <c r="J67" s="2"/>
      <c r="K67" s="2"/>
      <c r="L67" s="2"/>
      <c r="M67" s="2" t="s">
        <v>319</v>
      </c>
      <c r="N67" s="2" t="s">
        <v>320</v>
      </c>
      <c r="O67" s="2"/>
      <c r="P67" s="2"/>
      <c r="Q67" s="2"/>
      <c r="R67" s="2" t="s">
        <v>321</v>
      </c>
      <c r="S67" s="98">
        <v>62.5</v>
      </c>
      <c r="T67" s="98"/>
      <c r="AQ67" s="1403"/>
    </row>
    <row r="68" spans="1:44" ht="12.75" customHeight="1">
      <c r="A68" s="2"/>
      <c r="B68" s="2"/>
      <c r="C68" s="2"/>
      <c r="D68" s="1062"/>
      <c r="E68" s="2"/>
      <c r="F68" s="2"/>
      <c r="G68" s="2"/>
      <c r="H68" s="2"/>
      <c r="I68" s="2"/>
      <c r="J68" s="2"/>
      <c r="K68" s="2"/>
      <c r="L68" s="2"/>
      <c r="M68" s="2"/>
      <c r="N68" s="2" t="s">
        <v>322</v>
      </c>
      <c r="O68" s="2"/>
      <c r="P68" s="2"/>
      <c r="Q68" s="2"/>
      <c r="R68" s="2" t="s">
        <v>321</v>
      </c>
      <c r="S68" s="98">
        <v>87.5</v>
      </c>
      <c r="T68" s="98"/>
      <c r="AQ68" s="1403"/>
    </row>
    <row r="69" spans="1:44" ht="12.75" customHeight="1">
      <c r="A69" s="2"/>
      <c r="B69" s="2"/>
      <c r="C69" s="2"/>
      <c r="D69" s="1062"/>
      <c r="E69" s="2"/>
      <c r="F69" s="2"/>
      <c r="G69" s="2"/>
      <c r="H69" s="2"/>
      <c r="I69" s="2"/>
      <c r="J69" s="2"/>
      <c r="K69" s="2"/>
      <c r="L69" s="2"/>
      <c r="M69" s="2"/>
      <c r="N69" s="2" t="s">
        <v>323</v>
      </c>
      <c r="O69" s="2"/>
      <c r="P69" s="2"/>
      <c r="Q69" s="2"/>
      <c r="R69" s="2" t="s">
        <v>321</v>
      </c>
      <c r="S69" s="98">
        <v>100</v>
      </c>
      <c r="T69" s="98"/>
      <c r="AQ69" s="1403"/>
    </row>
    <row r="70" spans="1:44" ht="12.75" customHeight="1">
      <c r="A70" s="2"/>
      <c r="B70" s="2"/>
      <c r="C70" s="2"/>
      <c r="D70" s="1062"/>
      <c r="E70" s="2"/>
      <c r="F70" s="2"/>
      <c r="G70" s="2"/>
      <c r="H70" s="2"/>
      <c r="I70" s="2"/>
      <c r="J70" s="2"/>
      <c r="K70" s="2"/>
      <c r="L70" s="2"/>
      <c r="M70" s="2"/>
      <c r="N70" s="2" t="s">
        <v>324</v>
      </c>
      <c r="O70" s="2"/>
      <c r="P70" s="2"/>
      <c r="Q70" s="2"/>
      <c r="R70" s="2" t="s">
        <v>321</v>
      </c>
      <c r="S70" s="98">
        <v>112.5</v>
      </c>
      <c r="T70" s="98"/>
      <c r="AQ70" s="1403"/>
    </row>
    <row r="71" spans="1:44" ht="12.75" customHeight="1">
      <c r="A71" s="2"/>
      <c r="B71" s="2"/>
      <c r="C71" s="2"/>
      <c r="D71" s="1062"/>
      <c r="E71" s="2"/>
      <c r="F71" s="2"/>
      <c r="G71" s="2"/>
      <c r="H71" s="2"/>
      <c r="I71" s="2"/>
      <c r="J71" s="2"/>
      <c r="K71" s="2"/>
      <c r="L71" s="2"/>
      <c r="M71" s="2"/>
      <c r="N71" s="2" t="s">
        <v>325</v>
      </c>
      <c r="O71" s="2"/>
      <c r="P71" s="2"/>
      <c r="Q71" s="2"/>
      <c r="R71" s="2" t="s">
        <v>321</v>
      </c>
      <c r="S71" s="98">
        <v>137.5</v>
      </c>
      <c r="T71" s="98"/>
      <c r="AQ71" s="1403"/>
    </row>
    <row r="72" spans="1:44" ht="12.75" customHeight="1">
      <c r="A72" s="2"/>
      <c r="B72" s="2"/>
      <c r="C72" s="2"/>
      <c r="D72" s="1062"/>
      <c r="E72" s="2"/>
      <c r="F72" s="2"/>
      <c r="G72" s="2"/>
      <c r="H72" s="2"/>
      <c r="I72" s="2"/>
      <c r="J72" s="2"/>
      <c r="K72" s="2"/>
      <c r="L72" s="2"/>
      <c r="M72" s="2"/>
      <c r="N72" s="2" t="s">
        <v>326</v>
      </c>
      <c r="O72" s="2"/>
      <c r="P72" s="2"/>
      <c r="Q72" s="2"/>
      <c r="R72" s="2" t="s">
        <v>321</v>
      </c>
      <c r="S72" s="98">
        <v>162.5</v>
      </c>
      <c r="T72" s="98"/>
      <c r="AQ72" s="1403"/>
    </row>
    <row r="73" spans="1:44" ht="12.75" customHeight="1">
      <c r="A73" s="2"/>
      <c r="B73" s="2"/>
      <c r="C73" s="2"/>
      <c r="D73" s="1062"/>
      <c r="E73" s="2"/>
      <c r="F73" s="2"/>
      <c r="G73" s="2"/>
      <c r="H73" s="2"/>
      <c r="I73" s="2"/>
      <c r="J73" s="2"/>
      <c r="K73" s="2"/>
      <c r="L73" s="2"/>
      <c r="N73" s="2"/>
      <c r="O73" s="2"/>
      <c r="P73" s="2"/>
      <c r="Q73" s="2"/>
      <c r="U73" s="2"/>
      <c r="V73" s="2"/>
      <c r="W73" s="2"/>
      <c r="X73" s="2"/>
      <c r="Y73" s="2"/>
      <c r="Z73" s="2"/>
      <c r="AA73" s="2"/>
      <c r="AB73" s="2"/>
      <c r="AC73" s="2"/>
      <c r="AD73" s="2"/>
      <c r="AE73" s="2"/>
      <c r="AF73" s="2"/>
      <c r="AG73" s="2"/>
      <c r="AH73" s="2"/>
      <c r="AI73" s="2"/>
      <c r="AJ73" s="2"/>
      <c r="AK73" s="2"/>
      <c r="AL73" s="2"/>
      <c r="AM73" s="2"/>
      <c r="AN73" s="2"/>
      <c r="AO73" s="2"/>
      <c r="AP73" s="2"/>
      <c r="AQ73" s="98"/>
      <c r="AR73" s="2"/>
    </row>
    <row r="74" spans="1:44" ht="12.75" customHeight="1">
      <c r="A74" s="2"/>
      <c r="B74" s="2"/>
      <c r="C74" s="2"/>
      <c r="D74" s="1062"/>
      <c r="E74" s="2"/>
      <c r="F74" s="2"/>
      <c r="G74" s="2"/>
      <c r="H74" s="2"/>
      <c r="I74" s="2"/>
      <c r="J74" s="2"/>
      <c r="K74" s="2"/>
      <c r="L74" s="2"/>
      <c r="N74" s="2"/>
      <c r="O74" s="2"/>
      <c r="P74" s="2"/>
      <c r="Q74" s="2"/>
      <c r="U74" s="2"/>
      <c r="V74" s="2"/>
      <c r="W74" s="2"/>
      <c r="X74" s="2"/>
      <c r="Y74" s="2"/>
      <c r="Z74" s="2"/>
      <c r="AA74" s="2"/>
      <c r="AB74" s="2"/>
      <c r="AC74" s="2"/>
      <c r="AD74" s="2"/>
      <c r="AE74" s="2"/>
      <c r="AF74" s="2"/>
      <c r="AG74" s="2"/>
      <c r="AH74" s="2"/>
      <c r="AI74" s="2"/>
      <c r="AJ74" s="2"/>
      <c r="AK74" s="2"/>
      <c r="AL74" s="2"/>
      <c r="AM74" s="2"/>
      <c r="AN74" s="2"/>
      <c r="AO74" s="2"/>
      <c r="AP74" s="2"/>
      <c r="AQ74" s="98"/>
      <c r="AR74" s="2"/>
    </row>
    <row r="75" spans="1:44" ht="12.75" customHeight="1">
      <c r="A75" s="2"/>
      <c r="B75" s="2"/>
      <c r="C75" s="2"/>
      <c r="D75" s="1062"/>
      <c r="E75" s="2"/>
      <c r="F75" s="2"/>
      <c r="G75" s="2"/>
      <c r="H75" s="2"/>
      <c r="I75" s="2"/>
      <c r="J75" s="2"/>
      <c r="K75" s="2"/>
      <c r="L75" s="2"/>
      <c r="N75" s="2"/>
      <c r="O75" s="2"/>
      <c r="P75" s="2"/>
      <c r="Q75" s="2"/>
      <c r="U75" s="1" t="s">
        <v>1140</v>
      </c>
      <c r="V75" s="1"/>
      <c r="W75" s="2"/>
      <c r="X75" s="2"/>
      <c r="Y75" s="2"/>
      <c r="Z75" s="2"/>
      <c r="AA75" s="2"/>
      <c r="AB75" s="2"/>
      <c r="AC75" s="2"/>
      <c r="AD75" s="2"/>
      <c r="AE75" s="2"/>
      <c r="AF75" s="2"/>
      <c r="AG75" s="2"/>
      <c r="AH75" s="2"/>
      <c r="AI75" s="2"/>
      <c r="AJ75" s="2"/>
      <c r="AK75" s="2"/>
      <c r="AL75" s="2"/>
      <c r="AM75" s="2"/>
      <c r="AN75" s="2"/>
      <c r="AO75" s="2"/>
      <c r="AP75" s="2"/>
      <c r="AQ75" s="98"/>
      <c r="AR75" s="2"/>
    </row>
    <row r="76" spans="1:44" ht="12.75" customHeight="1">
      <c r="A76" s="2"/>
      <c r="B76" s="2"/>
      <c r="C76" s="2"/>
      <c r="D76" s="1062"/>
      <c r="E76" s="2"/>
      <c r="F76" s="2"/>
      <c r="G76" s="2"/>
      <c r="H76" s="2"/>
      <c r="I76" s="2"/>
      <c r="J76" s="2"/>
      <c r="K76" s="2"/>
      <c r="L76" s="2"/>
      <c r="N76" s="2"/>
      <c r="O76" s="2"/>
      <c r="P76" s="2"/>
      <c r="Q76" s="2"/>
      <c r="U76" s="1"/>
      <c r="V76" s="1"/>
      <c r="W76" s="2"/>
      <c r="X76" s="2"/>
      <c r="Y76" s="2"/>
      <c r="Z76" s="2"/>
      <c r="AA76" s="2"/>
      <c r="AB76" s="2"/>
      <c r="AC76" s="2"/>
      <c r="AD76" s="2"/>
      <c r="AE76" s="2"/>
      <c r="AF76" s="2"/>
      <c r="AG76" s="2"/>
      <c r="AH76" s="2"/>
      <c r="AI76" s="2"/>
      <c r="AJ76" s="2"/>
      <c r="AK76" s="2"/>
      <c r="AL76" s="2"/>
      <c r="AM76" s="2"/>
      <c r="AN76" s="2"/>
      <c r="AO76" s="2"/>
      <c r="AP76" s="2"/>
      <c r="AQ76" s="98"/>
      <c r="AR76" s="2"/>
    </row>
    <row r="77" spans="1:44" ht="12.75" customHeight="1">
      <c r="A77" s="2"/>
      <c r="B77" s="2"/>
      <c r="C77" s="2"/>
      <c r="D77" s="1062"/>
      <c r="E77" s="2"/>
      <c r="F77" s="2"/>
      <c r="G77" s="2"/>
      <c r="H77" s="2"/>
      <c r="I77" s="2"/>
      <c r="J77" s="2"/>
      <c r="K77" s="2"/>
      <c r="L77" s="2"/>
      <c r="N77" s="2"/>
      <c r="O77" s="2"/>
      <c r="P77" s="2"/>
      <c r="Q77" s="2"/>
      <c r="U77" s="2" t="s">
        <v>1144</v>
      </c>
      <c r="V77" s="2"/>
      <c r="W77" s="2"/>
      <c r="X77" s="2"/>
      <c r="Y77" s="2"/>
      <c r="Z77" s="2"/>
      <c r="AA77" s="2"/>
      <c r="AB77" s="2"/>
      <c r="AC77" s="2"/>
      <c r="AD77" s="2"/>
      <c r="AE77" s="2"/>
      <c r="AF77" s="2"/>
      <c r="AG77" s="2"/>
      <c r="AH77" s="2"/>
      <c r="AI77" s="2"/>
      <c r="AJ77" s="2"/>
      <c r="AK77" s="2"/>
      <c r="AL77" s="2"/>
      <c r="AM77" s="2"/>
      <c r="AN77" s="2"/>
      <c r="AO77" s="2"/>
      <c r="AP77" s="2"/>
      <c r="AQ77" s="98"/>
      <c r="AR77" s="2"/>
    </row>
    <row r="78" spans="1:44" ht="12.75" customHeight="1">
      <c r="A78" s="2"/>
      <c r="B78" s="2"/>
      <c r="C78" s="2"/>
      <c r="D78" s="1062"/>
      <c r="E78" s="2"/>
      <c r="F78" s="2"/>
      <c r="G78" s="2"/>
      <c r="H78" s="2"/>
      <c r="I78" s="2"/>
      <c r="J78" s="2"/>
      <c r="K78" s="2"/>
      <c r="L78" s="2"/>
      <c r="N78" s="2"/>
      <c r="O78" s="2"/>
      <c r="P78" s="2"/>
      <c r="Q78" s="2"/>
      <c r="U78" s="2"/>
      <c r="V78" s="2"/>
      <c r="W78" s="2"/>
      <c r="X78" s="2"/>
      <c r="Y78" s="2"/>
      <c r="Z78" s="2"/>
      <c r="AA78" s="2"/>
      <c r="AB78" s="2"/>
      <c r="AC78" s="2"/>
      <c r="AD78" s="2"/>
      <c r="AE78" s="2"/>
      <c r="AF78" s="2"/>
      <c r="AG78" s="2"/>
      <c r="AH78" s="2"/>
      <c r="AI78" s="2"/>
      <c r="AJ78" s="2"/>
      <c r="AK78" s="2"/>
      <c r="AL78" s="2"/>
      <c r="AM78" s="2"/>
      <c r="AN78" s="2"/>
      <c r="AO78" s="2"/>
      <c r="AP78" s="2"/>
      <c r="AQ78" s="98"/>
      <c r="AR78" s="2"/>
    </row>
    <row r="79" spans="1:44" ht="12.75" customHeight="1">
      <c r="A79" s="2"/>
      <c r="B79" s="2"/>
      <c r="C79" s="2"/>
      <c r="D79" s="1062"/>
      <c r="E79" s="2"/>
      <c r="F79" s="2"/>
      <c r="G79" s="2"/>
      <c r="H79" s="2"/>
      <c r="I79" s="2"/>
      <c r="J79" s="2"/>
      <c r="K79" s="2"/>
      <c r="L79" s="2"/>
      <c r="N79" s="2"/>
      <c r="O79" s="2"/>
      <c r="P79" s="2"/>
      <c r="Q79" s="2"/>
      <c r="U79" s="2"/>
      <c r="V79" s="2"/>
      <c r="W79" s="1197" t="s">
        <v>55</v>
      </c>
      <c r="X79" s="1197"/>
      <c r="Y79" s="1197"/>
      <c r="Z79" s="1196"/>
      <c r="AA79" s="1196"/>
      <c r="AB79" s="2"/>
      <c r="AC79" s="2"/>
      <c r="AD79" s="2"/>
      <c r="AE79" s="2"/>
      <c r="AF79" s="2"/>
      <c r="AG79" s="2"/>
      <c r="AH79" s="2"/>
      <c r="AI79" s="2"/>
      <c r="AJ79" s="2"/>
      <c r="AK79" s="2"/>
      <c r="AL79" s="2"/>
      <c r="AM79" s="2"/>
      <c r="AN79" s="2"/>
      <c r="AO79" s="2"/>
      <c r="AP79" s="2"/>
      <c r="AQ79" s="98"/>
      <c r="AR79" s="2"/>
    </row>
    <row r="80" spans="1:44" ht="12.75" customHeight="1">
      <c r="A80" s="2"/>
      <c r="B80" s="2"/>
      <c r="C80" s="2"/>
      <c r="D80" s="1062"/>
      <c r="E80" s="2"/>
      <c r="F80" s="2"/>
      <c r="G80" s="2"/>
      <c r="H80" s="2"/>
      <c r="I80" s="2"/>
      <c r="J80" s="2"/>
      <c r="K80" s="2"/>
      <c r="L80" s="2"/>
      <c r="N80" s="2"/>
      <c r="O80" s="2"/>
      <c r="P80" s="2"/>
      <c r="Q80" s="2"/>
      <c r="U80" s="69"/>
      <c r="V80" s="69"/>
      <c r="W80" s="1289" t="s">
        <v>1142</v>
      </c>
      <c r="X80" s="1289"/>
      <c r="Y80" s="1289" t="s">
        <v>1143</v>
      </c>
      <c r="Z80" s="1289"/>
      <c r="AA80" s="1289" t="s">
        <v>829</v>
      </c>
      <c r="AB80" s="2"/>
      <c r="AC80" s="2"/>
      <c r="AD80" s="2"/>
      <c r="AE80" s="2"/>
      <c r="AF80" s="2"/>
      <c r="AG80" s="2"/>
      <c r="AH80" s="2"/>
      <c r="AI80" s="2"/>
      <c r="AJ80" s="2"/>
      <c r="AK80" s="2"/>
      <c r="AL80" s="2"/>
      <c r="AM80" s="2"/>
      <c r="AN80" s="2"/>
      <c r="AO80" s="2"/>
      <c r="AP80" s="2"/>
      <c r="AQ80" s="98"/>
      <c r="AR80" s="2"/>
    </row>
    <row r="81" spans="1:44" ht="12.75" customHeight="1">
      <c r="A81" s="2"/>
      <c r="B81" s="2"/>
      <c r="C81" s="2"/>
      <c r="D81" s="1062"/>
      <c r="E81" s="2"/>
      <c r="F81" s="2"/>
      <c r="G81" s="2"/>
      <c r="H81" s="2"/>
      <c r="I81" s="2"/>
      <c r="J81" s="2"/>
      <c r="K81" s="2"/>
      <c r="L81" s="2"/>
      <c r="N81" s="2"/>
      <c r="O81" s="2"/>
      <c r="P81" s="2"/>
      <c r="Q81" s="2"/>
      <c r="U81" s="2" t="s">
        <v>935</v>
      </c>
      <c r="V81" s="2"/>
      <c r="W81" s="1102"/>
      <c r="X81" s="98"/>
      <c r="Y81" s="1102"/>
      <c r="Z81" s="98"/>
      <c r="AA81" s="105"/>
      <c r="AB81" s="2"/>
      <c r="AC81" s="2"/>
      <c r="AD81" s="2"/>
      <c r="AE81" s="2"/>
      <c r="AF81" s="2"/>
      <c r="AG81" s="2"/>
      <c r="AH81" s="2"/>
      <c r="AI81" s="2"/>
      <c r="AJ81" s="2"/>
      <c r="AK81" s="2"/>
      <c r="AL81" s="2"/>
      <c r="AM81" s="2"/>
      <c r="AN81" s="2"/>
      <c r="AO81" s="2"/>
      <c r="AP81" s="2"/>
      <c r="AQ81" s="98"/>
      <c r="AR81" s="2"/>
    </row>
    <row r="82" spans="1:44" ht="12.75" customHeight="1">
      <c r="A82" s="2"/>
      <c r="B82" s="2"/>
      <c r="C82" s="2"/>
      <c r="D82" s="1062"/>
      <c r="E82" s="2"/>
      <c r="F82" s="2"/>
      <c r="G82" s="2"/>
      <c r="H82" s="2"/>
      <c r="I82" s="2"/>
      <c r="J82" s="2"/>
      <c r="K82" s="2"/>
      <c r="L82" s="2"/>
      <c r="N82" s="2"/>
      <c r="O82" s="2"/>
      <c r="P82" s="2"/>
      <c r="Q82" s="2"/>
      <c r="U82" s="2" t="s">
        <v>1141</v>
      </c>
      <c r="V82" s="2"/>
      <c r="W82" s="1102"/>
      <c r="X82" s="98"/>
      <c r="Y82" s="1102"/>
      <c r="Z82" s="98"/>
      <c r="AA82" s="105"/>
      <c r="AB82" s="2"/>
      <c r="AC82" s="2"/>
      <c r="AD82" s="2"/>
      <c r="AE82" s="2"/>
      <c r="AF82" s="2"/>
      <c r="AG82" s="2"/>
      <c r="AH82" s="2"/>
      <c r="AI82" s="2"/>
      <c r="AJ82" s="2"/>
      <c r="AK82" s="2"/>
      <c r="AL82" s="2"/>
      <c r="AM82" s="2"/>
      <c r="AN82" s="2"/>
      <c r="AO82" s="2"/>
      <c r="AP82" s="2"/>
      <c r="AQ82" s="98"/>
      <c r="AR82" s="2"/>
    </row>
    <row r="83" spans="1:44" ht="12.75" customHeight="1">
      <c r="A83" s="2"/>
      <c r="B83" s="2"/>
      <c r="C83" s="2"/>
      <c r="D83" s="1062"/>
      <c r="E83" s="2"/>
      <c r="F83" s="2"/>
      <c r="G83" s="2"/>
      <c r="H83" s="2"/>
      <c r="I83" s="2"/>
      <c r="J83" s="2"/>
      <c r="K83" s="2"/>
      <c r="L83" s="2"/>
      <c r="N83" s="2"/>
      <c r="O83" s="2"/>
      <c r="P83" s="2"/>
      <c r="Q83" s="2"/>
      <c r="U83" s="2" t="s">
        <v>200</v>
      </c>
      <c r="V83" s="2"/>
      <c r="W83" s="1401"/>
      <c r="X83" s="1336"/>
      <c r="Y83" s="1401"/>
      <c r="Z83" s="1336"/>
      <c r="AA83" s="105"/>
      <c r="AB83" s="2"/>
      <c r="AC83" s="2"/>
      <c r="AD83" s="2"/>
      <c r="AE83" s="2"/>
      <c r="AF83" s="2"/>
      <c r="AG83" s="2"/>
      <c r="AH83" s="2"/>
      <c r="AI83" s="2"/>
      <c r="AJ83" s="2"/>
      <c r="AK83" s="2"/>
      <c r="AL83" s="2"/>
      <c r="AM83" s="2"/>
      <c r="AN83" s="2"/>
      <c r="AO83" s="2"/>
      <c r="AP83" s="2"/>
      <c r="AQ83" s="98"/>
      <c r="AR83" s="2"/>
    </row>
    <row r="84" spans="1:44" ht="12.75" customHeight="1">
      <c r="A84" s="2"/>
      <c r="B84" s="2"/>
      <c r="C84" s="2"/>
      <c r="D84" s="1062"/>
      <c r="E84" s="2"/>
      <c r="F84" s="2"/>
      <c r="G84" s="2"/>
      <c r="H84" s="2"/>
      <c r="I84" s="2"/>
      <c r="J84" s="2"/>
      <c r="K84" s="2"/>
      <c r="L84" s="2"/>
      <c r="N84" s="2"/>
      <c r="O84" s="2"/>
      <c r="P84" s="2"/>
      <c r="Q84" s="2"/>
      <c r="U84" s="2"/>
      <c r="V84" s="2"/>
      <c r="W84" s="2"/>
      <c r="X84" s="2"/>
      <c r="Y84" s="2"/>
      <c r="Z84" s="2"/>
      <c r="AA84" s="2"/>
      <c r="AB84" s="2"/>
      <c r="AC84" s="2"/>
      <c r="AD84" s="2"/>
      <c r="AE84" s="2"/>
      <c r="AF84" s="2"/>
      <c r="AG84" s="2"/>
      <c r="AH84" s="2"/>
      <c r="AI84" s="2"/>
      <c r="AJ84" s="2"/>
      <c r="AK84" s="2"/>
      <c r="AL84" s="2"/>
      <c r="AM84" s="2"/>
      <c r="AN84" s="2"/>
      <c r="AO84" s="2"/>
      <c r="AP84" s="2"/>
      <c r="AQ84" s="98"/>
      <c r="AR84" s="2"/>
    </row>
    <row r="85" spans="1:44" ht="12.75" customHeight="1">
      <c r="A85" s="2"/>
      <c r="B85" s="2"/>
      <c r="C85" s="2"/>
      <c r="D85" s="1062"/>
      <c r="E85" s="2"/>
      <c r="F85" s="2"/>
      <c r="G85" s="2"/>
      <c r="H85" s="2"/>
      <c r="I85" s="2"/>
      <c r="J85" s="2"/>
      <c r="K85" s="2"/>
      <c r="L85" s="2"/>
      <c r="N85" s="2"/>
      <c r="O85" s="2"/>
      <c r="P85" s="2"/>
      <c r="Q85" s="2"/>
      <c r="U85" s="2"/>
      <c r="V85" s="2"/>
      <c r="W85" s="2"/>
      <c r="X85" s="2"/>
      <c r="Y85" s="2"/>
      <c r="Z85" s="2"/>
      <c r="AA85" s="2"/>
      <c r="AB85" s="2"/>
      <c r="AC85" s="1" t="s">
        <v>1650</v>
      </c>
      <c r="AD85" s="2"/>
      <c r="AE85" s="2"/>
      <c r="AF85" s="2"/>
      <c r="AG85" s="2"/>
      <c r="AH85" s="105"/>
      <c r="AI85" s="2"/>
      <c r="AJ85" s="2"/>
      <c r="AK85" s="2"/>
      <c r="AL85" s="2"/>
      <c r="AM85" s="2"/>
      <c r="AN85" s="2"/>
      <c r="AO85" s="2"/>
      <c r="AP85" s="2"/>
      <c r="AQ85" s="98"/>
      <c r="AR85" s="2"/>
    </row>
    <row r="86" spans="1:44" ht="12.75" customHeight="1">
      <c r="A86" s="2"/>
      <c r="B86" s="2"/>
      <c r="C86" s="2"/>
      <c r="D86" s="1062"/>
      <c r="E86" s="2"/>
      <c r="F86" s="2"/>
      <c r="G86" s="2"/>
      <c r="H86" s="2"/>
      <c r="I86" s="2"/>
      <c r="J86" s="2"/>
      <c r="K86" s="2"/>
      <c r="L86" s="2"/>
      <c r="N86" s="2"/>
      <c r="O86" s="2"/>
      <c r="P86" s="2"/>
      <c r="Q86" s="2"/>
      <c r="U86" s="2"/>
      <c r="V86" s="2"/>
      <c r="W86" s="2"/>
      <c r="X86" s="2"/>
      <c r="Y86" s="2"/>
      <c r="Z86" s="2"/>
      <c r="AA86" s="2"/>
      <c r="AB86" s="2"/>
      <c r="AC86" s="2"/>
      <c r="AD86" s="2"/>
      <c r="AE86" s="2"/>
      <c r="AF86" s="2"/>
      <c r="AG86" s="2"/>
      <c r="AH86" s="105"/>
      <c r="AI86" s="2"/>
      <c r="AJ86" s="2"/>
      <c r="AK86" s="2"/>
      <c r="AL86" s="2"/>
      <c r="AM86" s="2"/>
      <c r="AN86" s="2"/>
      <c r="AO86" s="2"/>
      <c r="AP86" s="2"/>
      <c r="AQ86" s="98"/>
      <c r="AR86" s="2"/>
    </row>
    <row r="87" spans="1:44" ht="12.75" customHeight="1">
      <c r="A87" s="2"/>
      <c r="B87" s="2"/>
      <c r="C87" s="2"/>
      <c r="D87" s="1062"/>
      <c r="E87" s="2"/>
      <c r="F87" s="2"/>
      <c r="G87" s="2"/>
      <c r="H87" s="2"/>
      <c r="I87" s="2"/>
      <c r="J87" s="2"/>
      <c r="K87" s="2"/>
      <c r="L87" s="2"/>
      <c r="N87" s="2"/>
      <c r="O87" s="2"/>
      <c r="P87" s="2"/>
      <c r="Q87" s="2"/>
      <c r="U87" s="2"/>
      <c r="V87" s="2"/>
      <c r="W87" s="2"/>
      <c r="X87" s="2"/>
      <c r="Y87" s="2"/>
      <c r="Z87" s="2"/>
      <c r="AA87" s="2"/>
      <c r="AB87" s="2"/>
      <c r="AC87" s="2"/>
      <c r="AD87" s="1432" t="s">
        <v>406</v>
      </c>
      <c r="AE87" s="1432"/>
      <c r="AF87" s="1432" t="s">
        <v>1649</v>
      </c>
      <c r="AG87" s="1432"/>
      <c r="AH87" s="1432">
        <v>2013</v>
      </c>
      <c r="AI87" s="2"/>
      <c r="AJ87" s="2"/>
      <c r="AK87" s="2"/>
      <c r="AL87" s="2"/>
      <c r="AM87" s="2"/>
      <c r="AN87" s="2"/>
      <c r="AO87" s="2"/>
      <c r="AP87" s="2"/>
      <c r="AQ87" s="98"/>
      <c r="AR87" s="2"/>
    </row>
    <row r="88" spans="1:44" ht="12.75" customHeight="1">
      <c r="A88" s="98"/>
      <c r="B88" s="98"/>
      <c r="C88" s="98"/>
      <c r="D88" s="1092"/>
      <c r="E88" s="98"/>
      <c r="F88" s="98"/>
      <c r="G88" s="98"/>
      <c r="H88" s="98"/>
      <c r="I88" s="98"/>
      <c r="J88" s="98"/>
      <c r="K88" s="98"/>
      <c r="L88" s="98"/>
      <c r="M88" s="1403"/>
      <c r="N88" s="98"/>
      <c r="O88" s="98"/>
      <c r="P88" s="98"/>
      <c r="Q88" s="98"/>
      <c r="R88" s="1403"/>
      <c r="S88" s="1403"/>
      <c r="T88" s="1403"/>
      <c r="U88" s="98"/>
      <c r="V88" s="98"/>
      <c r="W88" s="98"/>
      <c r="X88" s="98"/>
      <c r="Y88" s="98"/>
      <c r="Z88" s="98"/>
      <c r="AA88" s="98"/>
      <c r="AB88" s="98"/>
      <c r="AC88" s="98" t="s">
        <v>1719</v>
      </c>
      <c r="AD88" s="1423">
        <v>744.21</v>
      </c>
      <c r="AE88" s="1082"/>
      <c r="AF88" s="1423">
        <v>752.81</v>
      </c>
      <c r="AG88" s="1423"/>
      <c r="AH88" s="1423">
        <v>2957.77</v>
      </c>
      <c r="AI88" s="98"/>
      <c r="AJ88" s="98"/>
      <c r="AK88" s="98"/>
      <c r="AL88" s="98"/>
      <c r="AM88" s="98"/>
      <c r="AN88" s="98"/>
      <c r="AO88" s="98"/>
      <c r="AP88" s="98"/>
      <c r="AQ88" s="98"/>
      <c r="AR88" s="98"/>
    </row>
    <row r="89" spans="1:44" ht="12.75" customHeight="1">
      <c r="A89" s="98"/>
      <c r="B89" s="98"/>
      <c r="C89" s="98"/>
      <c r="D89" s="1092"/>
      <c r="E89" s="98"/>
      <c r="F89" s="98"/>
      <c r="G89" s="98"/>
      <c r="H89" s="98"/>
      <c r="I89" s="98"/>
      <c r="J89" s="98"/>
      <c r="K89" s="98"/>
      <c r="L89" s="98"/>
      <c r="M89" s="1403"/>
      <c r="N89" s="98"/>
      <c r="O89" s="98"/>
      <c r="P89" s="98"/>
      <c r="Q89" s="98"/>
      <c r="R89" s="1403"/>
      <c r="S89" s="1403"/>
      <c r="T89" s="1403"/>
      <c r="U89" s="98"/>
      <c r="V89" s="98"/>
      <c r="W89" s="98"/>
      <c r="X89" s="98"/>
      <c r="Y89" s="98"/>
      <c r="Z89" s="98"/>
      <c r="AA89" s="98"/>
      <c r="AB89" s="98"/>
      <c r="AC89" s="98" t="s">
        <v>401</v>
      </c>
      <c r="AD89" s="1423">
        <v>163.59</v>
      </c>
      <c r="AE89" s="1082"/>
      <c r="AF89" s="1423">
        <v>158.35</v>
      </c>
      <c r="AG89" s="1423"/>
      <c r="AH89" s="1423">
        <v>634.79</v>
      </c>
      <c r="AI89" s="98"/>
      <c r="AJ89" s="98"/>
      <c r="AK89" s="98"/>
      <c r="AL89" s="98"/>
      <c r="AM89" s="98"/>
      <c r="AN89" s="98"/>
      <c r="AO89" s="98"/>
      <c r="AP89" s="98"/>
      <c r="AQ89" s="98"/>
      <c r="AR89" s="98"/>
    </row>
    <row r="90" spans="1:44" ht="12.75" customHeight="1">
      <c r="A90" s="2"/>
      <c r="B90" s="2"/>
      <c r="C90" s="2"/>
      <c r="D90" s="1062"/>
      <c r="E90" s="2"/>
      <c r="F90" s="2"/>
      <c r="G90" s="2"/>
      <c r="H90" s="2"/>
      <c r="I90" s="2"/>
      <c r="J90" s="2"/>
      <c r="K90" s="2"/>
      <c r="L90" s="2"/>
      <c r="N90" s="2"/>
      <c r="O90" s="2"/>
      <c r="P90" s="2"/>
      <c r="Q90" s="2"/>
      <c r="U90" s="2"/>
      <c r="V90" s="2"/>
      <c r="W90" s="2"/>
      <c r="X90" s="2"/>
      <c r="Y90" s="2"/>
      <c r="Z90" s="2"/>
      <c r="AA90" s="2"/>
      <c r="AB90" s="2"/>
      <c r="AC90" s="2" t="s">
        <v>200</v>
      </c>
      <c r="AD90" s="1068">
        <v>0.01</v>
      </c>
      <c r="AE90" s="1118"/>
      <c r="AF90" s="1068">
        <v>-0.05</v>
      </c>
      <c r="AG90" s="1068"/>
      <c r="AH90" s="1068">
        <v>-0.13</v>
      </c>
      <c r="AI90" s="2"/>
      <c r="AJ90" s="2"/>
      <c r="AK90" s="2"/>
      <c r="AL90" s="2"/>
      <c r="AM90" s="2"/>
      <c r="AN90" s="2"/>
      <c r="AO90" s="2"/>
      <c r="AP90" s="2"/>
      <c r="AQ90" s="98"/>
      <c r="AR90" s="2"/>
    </row>
    <row r="91" spans="1:44" ht="12.75" customHeight="1">
      <c r="A91" s="2"/>
      <c r="B91" s="2"/>
      <c r="C91" s="2"/>
      <c r="D91" s="1062"/>
      <c r="E91" s="2"/>
      <c r="F91" s="2"/>
      <c r="G91" s="2"/>
      <c r="H91" s="2"/>
      <c r="I91" s="2"/>
      <c r="J91" s="2"/>
      <c r="K91" s="2"/>
      <c r="L91" s="2"/>
      <c r="N91" s="2"/>
      <c r="O91" s="2"/>
      <c r="P91" s="2"/>
      <c r="Q91" s="2"/>
      <c r="U91" s="2"/>
      <c r="V91" s="2"/>
      <c r="W91" s="2"/>
      <c r="X91" s="2"/>
      <c r="Y91" s="2"/>
      <c r="Z91" s="2"/>
      <c r="AA91" s="2"/>
      <c r="AB91" s="2"/>
      <c r="AC91" s="2"/>
      <c r="AD91" s="2"/>
      <c r="AE91" s="2"/>
      <c r="AF91" s="2"/>
      <c r="AG91" s="2"/>
      <c r="AH91" s="2"/>
      <c r="AI91" s="2"/>
      <c r="AJ91" s="2"/>
      <c r="AK91" s="2"/>
      <c r="AL91" s="2"/>
      <c r="AM91" s="2"/>
      <c r="AN91" s="2"/>
      <c r="AO91" s="2"/>
      <c r="AP91" s="2"/>
      <c r="AQ91" s="98"/>
      <c r="AR91" s="2"/>
    </row>
    <row r="92" spans="1:44" ht="12.75" customHeight="1">
      <c r="A92" s="2"/>
      <c r="B92" s="2"/>
      <c r="C92" s="2"/>
      <c r="D92" s="1062"/>
      <c r="E92" s="2"/>
      <c r="F92" s="2"/>
      <c r="G92" s="2"/>
      <c r="H92" s="2"/>
      <c r="I92" s="2"/>
      <c r="J92" s="2"/>
      <c r="K92" s="2"/>
      <c r="L92" s="2"/>
      <c r="N92" s="2"/>
      <c r="O92" s="2"/>
      <c r="P92" s="2"/>
      <c r="Q92" s="2"/>
      <c r="U92" s="2"/>
      <c r="V92" s="2"/>
      <c r="W92" s="2"/>
      <c r="X92" s="2"/>
      <c r="Y92" s="2"/>
      <c r="Z92" s="2"/>
      <c r="AA92" s="2"/>
      <c r="AB92" s="2"/>
      <c r="AC92" s="2"/>
      <c r="AD92" s="2"/>
      <c r="AE92" s="2"/>
      <c r="AF92" s="2"/>
      <c r="AG92" s="2"/>
      <c r="AH92" s="2"/>
      <c r="AI92" s="2"/>
      <c r="AJ92" s="69" t="s">
        <v>1651</v>
      </c>
      <c r="AQ92" s="98"/>
      <c r="AR92" s="2"/>
    </row>
    <row r="93" spans="1:44" ht="12.75" customHeight="1">
      <c r="A93" s="2"/>
      <c r="B93" s="2"/>
      <c r="C93" s="2"/>
      <c r="D93" s="1062"/>
      <c r="E93" s="2"/>
      <c r="F93" s="2"/>
      <c r="G93" s="2"/>
      <c r="H93" s="2"/>
      <c r="I93" s="2"/>
      <c r="J93" s="2"/>
      <c r="K93" s="2"/>
      <c r="L93" s="2"/>
      <c r="N93" s="2"/>
      <c r="O93" s="2"/>
      <c r="P93" s="2"/>
      <c r="Q93" s="2"/>
      <c r="U93" s="2"/>
      <c r="V93" s="2"/>
      <c r="W93" s="2"/>
      <c r="X93" s="2"/>
      <c r="Y93" s="2"/>
      <c r="Z93" s="2"/>
      <c r="AA93" s="2"/>
      <c r="AB93" s="2"/>
      <c r="AC93" s="2"/>
      <c r="AD93" s="2"/>
      <c r="AE93" s="2"/>
      <c r="AF93" s="2"/>
      <c r="AG93" s="2"/>
      <c r="AH93" s="2"/>
      <c r="AI93" s="2"/>
      <c r="AJ93" s="69"/>
      <c r="AQ93" s="98"/>
      <c r="AR93" s="2"/>
    </row>
    <row r="94" spans="1:44" ht="12.75" customHeight="1">
      <c r="A94" s="2"/>
      <c r="B94" s="2"/>
      <c r="C94" s="2"/>
      <c r="D94" s="1062"/>
      <c r="E94" s="2"/>
      <c r="F94" s="2"/>
      <c r="G94" s="2"/>
      <c r="H94" s="2"/>
      <c r="I94" s="2"/>
      <c r="J94" s="2"/>
      <c r="K94" s="2"/>
      <c r="L94" s="2"/>
      <c r="N94" s="2"/>
      <c r="O94" s="2"/>
      <c r="P94" s="2"/>
      <c r="Q94" s="2"/>
      <c r="U94" s="2"/>
      <c r="V94" s="2"/>
      <c r="W94" s="2"/>
      <c r="X94" s="2"/>
      <c r="Y94" s="2"/>
      <c r="Z94" s="2"/>
      <c r="AA94" s="2"/>
      <c r="AB94" s="2"/>
      <c r="AC94" s="2"/>
      <c r="AD94" s="2"/>
      <c r="AE94" s="2"/>
      <c r="AF94" s="2"/>
      <c r="AG94" s="2"/>
      <c r="AH94" s="2"/>
      <c r="AI94" s="2"/>
      <c r="AJ94" s="1447"/>
      <c r="AK94" s="1449"/>
      <c r="AL94" s="1447"/>
      <c r="AM94" s="1447"/>
      <c r="AN94" s="1447"/>
      <c r="AO94" s="1447"/>
      <c r="AP94" s="1447"/>
      <c r="AQ94" s="98"/>
      <c r="AR94" s="2"/>
    </row>
    <row r="95" spans="1:44" ht="12.75" customHeight="1">
      <c r="A95" s="2"/>
      <c r="B95" s="2"/>
      <c r="C95" s="2"/>
      <c r="D95" s="1062"/>
      <c r="E95" s="2"/>
      <c r="F95" s="2"/>
      <c r="G95" s="2"/>
      <c r="H95" s="2"/>
      <c r="I95" s="2"/>
      <c r="J95" s="2"/>
      <c r="K95" s="2"/>
      <c r="L95" s="2"/>
      <c r="N95" s="2"/>
      <c r="O95" s="2"/>
      <c r="P95" s="2"/>
      <c r="Q95" s="2"/>
      <c r="U95" s="2"/>
      <c r="V95" s="2"/>
      <c r="W95" s="2"/>
      <c r="X95" s="2"/>
      <c r="Y95" s="2"/>
      <c r="Z95" s="2"/>
      <c r="AA95" s="2"/>
      <c r="AB95" s="2"/>
      <c r="AC95" s="2"/>
      <c r="AD95" s="2"/>
      <c r="AE95" s="2"/>
      <c r="AF95" s="2"/>
      <c r="AG95" s="2"/>
      <c r="AH95" s="2"/>
      <c r="AI95" s="2"/>
      <c r="AJ95" s="111" t="s">
        <v>1610</v>
      </c>
      <c r="AK95" s="1289" t="s">
        <v>552</v>
      </c>
      <c r="AL95" s="1448"/>
      <c r="AM95" s="1289" t="s">
        <v>405</v>
      </c>
      <c r="AN95" s="1448"/>
      <c r="AO95" s="1289" t="s">
        <v>1489</v>
      </c>
      <c r="AP95" s="1629"/>
      <c r="AQ95" s="98"/>
      <c r="AR95" s="2"/>
    </row>
    <row r="96" spans="1:44" ht="3" customHeight="1">
      <c r="A96" s="2"/>
      <c r="B96" s="2"/>
      <c r="C96" s="2"/>
      <c r="D96" s="1062"/>
      <c r="E96" s="2"/>
      <c r="F96" s="2"/>
      <c r="G96" s="2"/>
      <c r="H96" s="2"/>
      <c r="I96" s="2"/>
      <c r="J96" s="2"/>
      <c r="K96" s="2"/>
      <c r="L96" s="2"/>
      <c r="N96" s="2"/>
      <c r="O96" s="2"/>
      <c r="P96" s="2"/>
      <c r="Q96" s="2"/>
      <c r="U96" s="2"/>
      <c r="V96" s="2"/>
      <c r="W96" s="2"/>
      <c r="X96" s="2"/>
      <c r="Y96" s="2"/>
      <c r="Z96" s="2"/>
      <c r="AA96" s="2"/>
      <c r="AB96" s="2"/>
      <c r="AC96" s="2"/>
      <c r="AD96" s="2"/>
      <c r="AE96" s="2"/>
      <c r="AF96" s="2"/>
      <c r="AG96" s="2"/>
      <c r="AH96" s="2"/>
      <c r="AI96" s="2"/>
      <c r="AJ96" s="69"/>
      <c r="AK96" s="1449"/>
      <c r="AL96" s="1449"/>
      <c r="AM96" s="1449"/>
      <c r="AN96" s="1449"/>
      <c r="AO96" s="1449"/>
      <c r="AP96" s="1449"/>
      <c r="AQ96" s="98"/>
      <c r="AR96" s="2"/>
    </row>
    <row r="97" spans="1:44" ht="12.75" customHeight="1">
      <c r="A97" s="1205"/>
      <c r="B97" s="1205"/>
      <c r="C97" s="1205"/>
      <c r="D97" s="2220"/>
      <c r="E97" s="1205"/>
      <c r="F97" s="1205"/>
      <c r="G97" s="1205"/>
      <c r="H97" s="1205"/>
      <c r="I97" s="1205"/>
      <c r="J97" s="1205"/>
      <c r="K97" s="1205"/>
      <c r="L97" s="1205"/>
      <c r="M97" s="2266"/>
      <c r="N97" s="1205"/>
      <c r="O97" s="1205"/>
      <c r="P97" s="1205"/>
      <c r="Q97" s="1205"/>
      <c r="R97" s="2266"/>
      <c r="S97" s="2266"/>
      <c r="T97" s="2266"/>
      <c r="U97" s="1205"/>
      <c r="V97" s="1205"/>
      <c r="W97" s="1205"/>
      <c r="X97" s="1205"/>
      <c r="Y97" s="1205"/>
      <c r="Z97" s="1205"/>
      <c r="AA97" s="1205"/>
      <c r="AB97" s="1205"/>
      <c r="AC97" s="1205"/>
      <c r="AD97" s="1205"/>
      <c r="AE97" s="1205"/>
      <c r="AF97" s="1205"/>
      <c r="AG97" s="1205"/>
      <c r="AH97" s="1205"/>
      <c r="AI97" s="1205"/>
      <c r="AJ97" s="2267" t="s">
        <v>407</v>
      </c>
      <c r="AK97" s="2276" t="s">
        <v>3</v>
      </c>
      <c r="AL97" s="1205"/>
      <c r="AM97" s="2272">
        <f>+BYD!AX110</f>
        <v>132.33999999999997</v>
      </c>
      <c r="AN97" s="1205"/>
      <c r="AO97" s="2272"/>
      <c r="AP97" s="1205"/>
      <c r="AQ97" s="98"/>
      <c r="AR97" s="1205"/>
    </row>
    <row r="98" spans="1:44" ht="12.75" customHeight="1">
      <c r="A98" s="1205"/>
      <c r="B98" s="1205"/>
      <c r="C98" s="1205"/>
      <c r="D98" s="2220"/>
      <c r="E98" s="1205"/>
      <c r="F98" s="1205"/>
      <c r="G98" s="1205"/>
      <c r="H98" s="1205"/>
      <c r="I98" s="1205"/>
      <c r="J98" s="1205"/>
      <c r="K98" s="1205"/>
      <c r="L98" s="1205"/>
      <c r="M98" s="2266"/>
      <c r="N98" s="1205"/>
      <c r="O98" s="1205"/>
      <c r="P98" s="1205"/>
      <c r="Q98" s="1205"/>
      <c r="R98" s="2266"/>
      <c r="S98" s="2266"/>
      <c r="T98" s="2266"/>
      <c r="U98" s="1205"/>
      <c r="V98" s="1205"/>
      <c r="W98" s="1205"/>
      <c r="X98" s="1205"/>
      <c r="Y98" s="1205"/>
      <c r="Z98" s="1205"/>
      <c r="AA98" s="1205"/>
      <c r="AB98" s="1205"/>
      <c r="AC98" s="1205"/>
      <c r="AD98" s="1205"/>
      <c r="AE98" s="1205"/>
      <c r="AF98" s="1205"/>
      <c r="AG98" s="1205"/>
      <c r="AH98" s="1205"/>
      <c r="AI98" s="1205"/>
      <c r="AJ98" s="2267" t="s">
        <v>1614</v>
      </c>
      <c r="AK98" s="2268" t="s">
        <v>4</v>
      </c>
      <c r="AL98" s="2269"/>
      <c r="AM98" s="2272">
        <f>+BYD!AY927</f>
        <v>46.591999999999999</v>
      </c>
      <c r="AN98" s="2269"/>
      <c r="AO98" s="2272"/>
      <c r="AP98" s="2271"/>
      <c r="AQ98" s="98"/>
      <c r="AR98" s="1205"/>
    </row>
    <row r="99" spans="1:44" ht="6" customHeight="1">
      <c r="A99" s="2"/>
      <c r="B99" s="2"/>
      <c r="C99" s="2"/>
      <c r="D99" s="1062"/>
      <c r="E99" s="2"/>
      <c r="F99" s="2"/>
      <c r="G99" s="2"/>
      <c r="H99" s="2"/>
      <c r="I99" s="2"/>
      <c r="J99" s="2"/>
      <c r="K99" s="2"/>
      <c r="L99" s="2"/>
      <c r="N99" s="2"/>
      <c r="O99" s="2"/>
      <c r="P99" s="2"/>
      <c r="Q99" s="2"/>
      <c r="U99" s="2"/>
      <c r="V99" s="2"/>
      <c r="W99" s="2"/>
      <c r="X99" s="2"/>
      <c r="Y99" s="2"/>
      <c r="Z99" s="2"/>
      <c r="AA99" s="2"/>
      <c r="AB99" s="2"/>
      <c r="AC99" s="2"/>
      <c r="AD99" s="2"/>
      <c r="AE99" s="2"/>
      <c r="AF99" s="2"/>
      <c r="AG99" s="2"/>
      <c r="AH99" s="2"/>
      <c r="AI99" s="2"/>
      <c r="AJ99" s="1447"/>
      <c r="AK99" s="1614"/>
      <c r="AL99" s="1449"/>
      <c r="AM99" s="1450"/>
      <c r="AN99" s="1449"/>
      <c r="AO99" s="1450"/>
      <c r="AP99" s="1450"/>
      <c r="AQ99" s="98"/>
      <c r="AR99" s="2"/>
    </row>
    <row r="100" spans="1:44" ht="12.75" customHeight="1">
      <c r="A100" s="1205"/>
      <c r="B100" s="1205"/>
      <c r="C100" s="1205"/>
      <c r="D100" s="2220"/>
      <c r="E100" s="1205"/>
      <c r="F100" s="1205"/>
      <c r="G100" s="1205"/>
      <c r="H100" s="1205"/>
      <c r="I100" s="1205"/>
      <c r="J100" s="1205"/>
      <c r="K100" s="1205"/>
      <c r="L100" s="1205"/>
      <c r="M100" s="2273"/>
      <c r="N100" s="1205"/>
      <c r="O100" s="1205"/>
      <c r="P100" s="1205"/>
      <c r="Q100" s="1205"/>
      <c r="R100" s="2273"/>
      <c r="S100" s="2273"/>
      <c r="T100" s="2273"/>
      <c r="U100" s="1205"/>
      <c r="V100" s="1205"/>
      <c r="W100" s="1205"/>
      <c r="X100" s="1205"/>
      <c r="Y100" s="1205"/>
      <c r="Z100" s="1205"/>
      <c r="AA100" s="1205"/>
      <c r="AB100" s="1205"/>
      <c r="AC100" s="1205"/>
      <c r="AD100" s="1205"/>
      <c r="AE100" s="1205"/>
      <c r="AF100" s="1205"/>
      <c r="AG100" s="1205"/>
      <c r="AH100" s="1205"/>
      <c r="AI100" s="1205"/>
      <c r="AJ100" s="2267" t="s">
        <v>498</v>
      </c>
      <c r="AK100" s="2268" t="s">
        <v>1</v>
      </c>
      <c r="AL100" s="2269"/>
      <c r="AM100" s="2270">
        <f>+SUM(AM97:AM99)</f>
        <v>178.93199999999996</v>
      </c>
      <c r="AN100" s="2269"/>
      <c r="AO100" s="2268">
        <v>158.35</v>
      </c>
      <c r="AP100" s="2271"/>
      <c r="AQ100" s="98"/>
      <c r="AR100" s="1205"/>
    </row>
    <row r="101" spans="1:44" ht="6" customHeight="1">
      <c r="A101" s="2"/>
      <c r="B101" s="2"/>
      <c r="C101" s="2"/>
      <c r="D101" s="1062"/>
      <c r="E101" s="2"/>
      <c r="F101" s="2"/>
      <c r="G101" s="2"/>
      <c r="H101" s="2"/>
      <c r="I101" s="2"/>
      <c r="J101" s="2"/>
      <c r="K101" s="2"/>
      <c r="L101" s="2"/>
      <c r="N101" s="2"/>
      <c r="O101" s="2"/>
      <c r="P101" s="2"/>
      <c r="Q101" s="2"/>
      <c r="U101" s="2"/>
      <c r="V101" s="2"/>
      <c r="W101" s="2"/>
      <c r="X101" s="2"/>
      <c r="Y101" s="2"/>
      <c r="Z101" s="2"/>
      <c r="AA101" s="2"/>
      <c r="AB101" s="2"/>
      <c r="AC101" s="2"/>
      <c r="AD101" s="2"/>
      <c r="AE101" s="2"/>
      <c r="AF101" s="2"/>
      <c r="AG101" s="2"/>
      <c r="AH101" s="2"/>
      <c r="AI101" s="2"/>
      <c r="AJ101" s="1447"/>
      <c r="AK101" s="1614"/>
      <c r="AL101" s="1449"/>
      <c r="AM101" s="1450"/>
      <c r="AN101" s="1449"/>
      <c r="AO101" s="1450"/>
      <c r="AP101" s="1450"/>
      <c r="AQ101" s="98"/>
      <c r="AR101" s="2"/>
    </row>
    <row r="102" spans="1:44" ht="12.75" customHeight="1">
      <c r="A102" s="2"/>
      <c r="B102" s="2"/>
      <c r="C102" s="2"/>
      <c r="D102" s="1062"/>
      <c r="E102" s="2"/>
      <c r="F102" s="2"/>
      <c r="G102" s="2"/>
      <c r="H102" s="2"/>
      <c r="I102" s="2"/>
      <c r="J102" s="2"/>
      <c r="K102" s="2"/>
      <c r="L102" s="2"/>
      <c r="N102" s="2"/>
      <c r="O102" s="2"/>
      <c r="P102" s="2"/>
      <c r="Q102" s="2"/>
      <c r="U102" s="2"/>
      <c r="V102" s="2"/>
      <c r="W102" s="2"/>
      <c r="X102" s="2"/>
      <c r="Y102" s="2"/>
      <c r="Z102" s="2"/>
      <c r="AA102" s="2"/>
      <c r="AB102" s="2"/>
      <c r="AC102" s="2"/>
      <c r="AD102" s="2"/>
      <c r="AE102" s="2"/>
      <c r="AF102" s="2"/>
      <c r="AG102" s="2"/>
      <c r="AH102" s="2"/>
      <c r="AI102" s="2"/>
      <c r="AJ102" s="1447" t="s">
        <v>1615</v>
      </c>
      <c r="AK102" s="1614" t="s">
        <v>5</v>
      </c>
      <c r="AL102" s="1449"/>
      <c r="AM102" s="2265">
        <f>+BYD!AY91</f>
        <v>-0.36747575205553612</v>
      </c>
      <c r="AN102" s="1449"/>
      <c r="AO102" s="2265">
        <v>-0.05</v>
      </c>
      <c r="AP102" s="1466"/>
      <c r="AQ102" s="98"/>
      <c r="AR102" s="2"/>
    </row>
    <row r="103" spans="1:44" ht="6" customHeight="1">
      <c r="A103" s="2"/>
      <c r="B103" s="2"/>
      <c r="C103" s="2"/>
      <c r="D103" s="1062"/>
      <c r="E103" s="2"/>
      <c r="F103" s="2"/>
      <c r="G103" s="2"/>
      <c r="H103" s="2"/>
      <c r="I103" s="2"/>
      <c r="J103" s="2"/>
      <c r="K103" s="2"/>
      <c r="L103" s="2"/>
      <c r="N103" s="2"/>
      <c r="O103" s="2"/>
      <c r="P103" s="2"/>
      <c r="Q103" s="2"/>
      <c r="U103" s="2"/>
      <c r="V103" s="2"/>
      <c r="W103" s="2"/>
      <c r="X103" s="2"/>
      <c r="Y103" s="2"/>
      <c r="Z103" s="2"/>
      <c r="AA103" s="2"/>
      <c r="AB103" s="2"/>
      <c r="AC103" s="2"/>
      <c r="AD103" s="2"/>
      <c r="AE103" s="2"/>
      <c r="AF103" s="2"/>
      <c r="AG103" s="2"/>
      <c r="AH103" s="2"/>
      <c r="AI103" s="2"/>
      <c r="AJ103" s="1447"/>
      <c r="AK103" s="1450"/>
      <c r="AL103" s="1449"/>
      <c r="AM103" s="1449"/>
      <c r="AN103" s="1449"/>
      <c r="AO103" s="1449"/>
      <c r="AP103" s="1449"/>
      <c r="AQ103" s="98"/>
      <c r="AR103" s="2"/>
    </row>
    <row r="104" spans="1:44" ht="12.75" customHeight="1">
      <c r="A104" s="2"/>
      <c r="B104" s="2"/>
      <c r="C104" s="2"/>
      <c r="D104" s="1062"/>
      <c r="E104" s="2"/>
      <c r="F104" s="2"/>
      <c r="G104" s="2"/>
      <c r="H104" s="2"/>
      <c r="I104" s="2"/>
      <c r="J104" s="2"/>
      <c r="K104" s="2"/>
      <c r="L104" s="2"/>
      <c r="N104" s="2"/>
      <c r="O104" s="2"/>
      <c r="P104" s="2"/>
      <c r="Q104" s="2"/>
      <c r="U104" s="2"/>
      <c r="V104" s="2"/>
      <c r="W104" s="2"/>
      <c r="X104" s="2"/>
      <c r="Y104" s="2"/>
      <c r="Z104" s="2"/>
      <c r="AA104" s="2"/>
      <c r="AB104" s="2"/>
      <c r="AC104" s="2"/>
      <c r="AD104" s="2"/>
      <c r="AE104" s="2"/>
      <c r="AF104" s="2"/>
      <c r="AG104" s="2"/>
      <c r="AH104" s="2"/>
      <c r="AI104" s="2"/>
      <c r="AJ104" s="2" t="s">
        <v>408</v>
      </c>
      <c r="AK104" s="2"/>
      <c r="AL104" s="2"/>
      <c r="AM104" s="2"/>
      <c r="AN104" s="2"/>
      <c r="AO104" s="2"/>
      <c r="AP104" s="2"/>
      <c r="AQ104" s="98"/>
      <c r="AR104" s="2"/>
    </row>
    <row r="105" spans="1:44" ht="12.75" customHeight="1">
      <c r="A105" s="2"/>
      <c r="B105" s="2"/>
      <c r="C105" s="2"/>
      <c r="D105" s="1062"/>
      <c r="E105" s="2"/>
      <c r="F105" s="2"/>
      <c r="G105" s="2"/>
      <c r="H105" s="2"/>
      <c r="I105" s="2"/>
      <c r="J105" s="2"/>
      <c r="K105" s="2"/>
      <c r="L105" s="2"/>
      <c r="N105" s="2"/>
      <c r="O105" s="2"/>
      <c r="P105" s="2"/>
      <c r="Q105" s="2"/>
      <c r="U105" s="2"/>
      <c r="V105" s="2"/>
      <c r="W105" s="2"/>
      <c r="X105" s="2"/>
      <c r="Y105" s="2"/>
      <c r="Z105" s="2"/>
      <c r="AA105" s="2"/>
      <c r="AB105" s="2"/>
      <c r="AC105" s="2"/>
      <c r="AD105" s="2"/>
      <c r="AE105" s="2"/>
      <c r="AF105" s="2"/>
      <c r="AG105" s="2"/>
      <c r="AH105" s="2"/>
      <c r="AI105" s="2"/>
      <c r="AJ105" s="2"/>
      <c r="AK105" s="2"/>
      <c r="AL105" s="2"/>
      <c r="AM105" s="2"/>
      <c r="AN105" s="2"/>
      <c r="AO105" s="2"/>
      <c r="AP105" s="1" t="s">
        <v>6</v>
      </c>
      <c r="AQ105" s="98"/>
      <c r="AR105" s="2"/>
    </row>
    <row r="106" spans="1:44" ht="12.75" customHeight="1">
      <c r="A106" s="2"/>
      <c r="B106" s="2"/>
      <c r="C106" s="2"/>
      <c r="D106" s="1062"/>
      <c r="E106" s="2"/>
      <c r="F106" s="2"/>
      <c r="G106" s="2"/>
      <c r="H106" s="2"/>
      <c r="I106" s="2"/>
      <c r="J106" s="2"/>
      <c r="K106" s="2"/>
      <c r="L106" s="2"/>
      <c r="N106" s="2"/>
      <c r="O106" s="2"/>
      <c r="P106" s="2"/>
      <c r="Q106" s="2"/>
      <c r="U106" s="2"/>
      <c r="V106" s="2"/>
      <c r="W106" s="2"/>
      <c r="X106" s="2"/>
      <c r="Y106" s="2"/>
      <c r="Z106" s="2"/>
      <c r="AA106" s="2"/>
      <c r="AB106" s="2"/>
      <c r="AC106" s="2"/>
      <c r="AD106" s="2"/>
      <c r="AE106" s="2"/>
      <c r="AF106" s="2"/>
      <c r="AG106" s="2"/>
      <c r="AH106" s="2"/>
      <c r="AI106" s="2"/>
      <c r="AJ106" s="2"/>
      <c r="AK106" s="2"/>
      <c r="AL106" s="2"/>
      <c r="AM106" s="2"/>
      <c r="AN106" s="2"/>
      <c r="AO106" s="2"/>
      <c r="AP106" s="1" t="s">
        <v>7</v>
      </c>
      <c r="AQ106" s="98"/>
      <c r="AR106" s="101" t="s">
        <v>405</v>
      </c>
    </row>
    <row r="107" spans="1:44" ht="12.75" customHeight="1">
      <c r="A107" s="2"/>
      <c r="B107" s="2"/>
      <c r="C107" s="2"/>
      <c r="D107" s="1062"/>
      <c r="E107" s="2"/>
      <c r="F107" s="2"/>
      <c r="G107" s="2"/>
      <c r="H107" s="2"/>
      <c r="I107" s="2"/>
      <c r="J107" s="2"/>
      <c r="K107" s="2"/>
      <c r="L107" s="2"/>
      <c r="N107" s="2"/>
      <c r="O107" s="2"/>
      <c r="P107" s="2"/>
      <c r="Q107" s="2"/>
      <c r="U107" s="2"/>
      <c r="V107" s="2"/>
      <c r="W107" s="2"/>
      <c r="X107" s="2"/>
      <c r="Y107" s="2"/>
      <c r="Z107" s="2"/>
      <c r="AA107" s="2"/>
      <c r="AB107" s="2"/>
      <c r="AC107" s="2"/>
      <c r="AD107" s="2"/>
      <c r="AE107" s="2"/>
      <c r="AF107" s="2"/>
      <c r="AG107" s="2"/>
      <c r="AH107" s="2"/>
      <c r="AI107" s="2"/>
      <c r="AJ107" s="2"/>
      <c r="AK107" s="2"/>
      <c r="AL107" s="2"/>
      <c r="AM107" s="2"/>
      <c r="AN107" s="2"/>
      <c r="AO107" s="2"/>
      <c r="AP107" s="2" t="s">
        <v>514</v>
      </c>
      <c r="AQ107" s="1349">
        <v>149.72999999999999</v>
      </c>
      <c r="AR107" s="2">
        <f>+BYD!AX10</f>
        <v>149.69</v>
      </c>
    </row>
    <row r="108" spans="1:44" ht="12.75" customHeight="1">
      <c r="A108" s="2"/>
      <c r="B108" s="2"/>
      <c r="C108" s="2"/>
      <c r="D108" s="1062"/>
      <c r="E108" s="2"/>
      <c r="F108" s="2"/>
      <c r="G108" s="2"/>
      <c r="H108" s="2"/>
      <c r="I108" s="2"/>
      <c r="J108" s="2"/>
      <c r="K108" s="2"/>
      <c r="L108" s="2"/>
      <c r="N108" s="2"/>
      <c r="O108" s="2"/>
      <c r="P108" s="2"/>
      <c r="Q108" s="2"/>
      <c r="U108" s="2"/>
      <c r="V108" s="2"/>
      <c r="W108" s="2"/>
      <c r="X108" s="2"/>
      <c r="Y108" s="2"/>
      <c r="Z108" s="2"/>
      <c r="AA108" s="2"/>
      <c r="AB108" s="2"/>
      <c r="AC108" s="2"/>
      <c r="AD108" s="2"/>
      <c r="AE108" s="2"/>
      <c r="AF108" s="2"/>
      <c r="AG108" s="2"/>
      <c r="AH108" s="2"/>
      <c r="AI108" s="2"/>
      <c r="AJ108" s="2"/>
      <c r="AK108" s="2"/>
      <c r="AL108" s="2"/>
      <c r="AM108" s="2"/>
      <c r="AN108" s="2"/>
      <c r="AO108" s="2"/>
      <c r="AP108" s="2" t="s">
        <v>515</v>
      </c>
      <c r="AQ108" s="1102">
        <v>56.23</v>
      </c>
      <c r="AR108" s="2">
        <f>+BYD!AX11</f>
        <v>56.128</v>
      </c>
    </row>
    <row r="109" spans="1:44" ht="12.75" customHeight="1">
      <c r="A109" s="2"/>
      <c r="B109" s="2"/>
      <c r="C109" s="2"/>
      <c r="D109" s="1062"/>
      <c r="E109" s="2"/>
      <c r="F109" s="2"/>
      <c r="G109" s="2"/>
      <c r="H109" s="2"/>
      <c r="I109" s="2"/>
      <c r="J109" s="2"/>
      <c r="K109" s="2"/>
      <c r="L109" s="2"/>
      <c r="N109" s="2"/>
      <c r="O109" s="2"/>
      <c r="P109" s="2"/>
      <c r="Q109" s="2"/>
      <c r="U109" s="2"/>
      <c r="V109" s="2"/>
      <c r="W109" s="2"/>
      <c r="X109" s="2"/>
      <c r="Y109" s="2"/>
      <c r="Z109" s="2"/>
      <c r="AA109" s="2"/>
      <c r="AB109" s="2"/>
      <c r="AC109" s="2"/>
      <c r="AD109" s="2"/>
      <c r="AE109" s="2"/>
      <c r="AF109" s="2"/>
      <c r="AG109" s="2"/>
      <c r="AH109" s="2"/>
      <c r="AI109" s="2"/>
      <c r="AJ109" s="2"/>
      <c r="AK109" s="2"/>
      <c r="AL109" s="2"/>
      <c r="AM109" s="2"/>
      <c r="AN109" s="2"/>
      <c r="AO109" s="2"/>
      <c r="AP109" s="2" t="s">
        <v>516</v>
      </c>
      <c r="AQ109" s="1102">
        <v>234.18</v>
      </c>
      <c r="AR109" s="2">
        <f>+BYD!AX13</f>
        <v>224.273</v>
      </c>
    </row>
    <row r="110" spans="1:44" ht="12.75" customHeight="1">
      <c r="A110" s="2"/>
      <c r="B110" s="2"/>
      <c r="C110" s="2"/>
      <c r="D110" s="1062"/>
      <c r="E110" s="2"/>
      <c r="F110" s="2"/>
      <c r="G110" s="2"/>
      <c r="H110" s="2"/>
      <c r="I110" s="2"/>
      <c r="J110" s="2"/>
      <c r="K110" s="2"/>
      <c r="L110" s="2"/>
      <c r="N110" s="2"/>
      <c r="O110" s="2"/>
      <c r="P110" s="2"/>
      <c r="Q110" s="2"/>
      <c r="U110" s="2"/>
      <c r="V110" s="2"/>
      <c r="W110" s="2"/>
      <c r="X110" s="2"/>
      <c r="Y110" s="2"/>
      <c r="Z110" s="2"/>
      <c r="AA110" s="2"/>
      <c r="AB110" s="2"/>
      <c r="AC110" s="2"/>
      <c r="AD110" s="2"/>
      <c r="AE110" s="2"/>
      <c r="AF110" s="2"/>
      <c r="AG110" s="2"/>
      <c r="AH110" s="2"/>
      <c r="AI110" s="2"/>
      <c r="AJ110" s="2"/>
      <c r="AK110" s="2"/>
      <c r="AL110" s="2"/>
      <c r="AM110" s="2"/>
      <c r="AN110" s="2"/>
      <c r="AO110" s="2"/>
      <c r="AP110" s="2" t="s">
        <v>517</v>
      </c>
      <c r="AQ110" s="1102">
        <v>137.13</v>
      </c>
      <c r="AR110" s="2">
        <f>+BYD!AX14</f>
        <v>135.78</v>
      </c>
    </row>
    <row r="111" spans="1:44" ht="12.75" customHeight="1">
      <c r="A111" s="2"/>
      <c r="B111" s="2"/>
      <c r="C111" s="2"/>
      <c r="D111" s="1062"/>
      <c r="E111" s="2"/>
      <c r="F111" s="2"/>
      <c r="G111" s="2"/>
      <c r="H111" s="2"/>
      <c r="I111" s="2"/>
      <c r="J111" s="2"/>
      <c r="K111" s="2"/>
      <c r="L111" s="2"/>
      <c r="N111" s="2"/>
      <c r="O111" s="2"/>
      <c r="P111" s="2"/>
      <c r="Q111" s="2"/>
      <c r="U111" s="2"/>
      <c r="V111" s="2"/>
      <c r="W111" s="2"/>
      <c r="X111" s="2"/>
      <c r="Y111" s="2"/>
      <c r="Z111" s="2"/>
      <c r="AA111" s="2"/>
      <c r="AB111" s="2"/>
      <c r="AC111" s="2"/>
      <c r="AD111" s="2"/>
      <c r="AE111" s="2"/>
      <c r="AF111" s="2"/>
      <c r="AG111" s="2"/>
      <c r="AH111" s="2"/>
      <c r="AI111" s="2"/>
      <c r="AJ111" s="2"/>
      <c r="AK111" s="2"/>
      <c r="AL111" s="2"/>
      <c r="AM111" s="2"/>
      <c r="AN111" s="2"/>
      <c r="AO111" s="2"/>
      <c r="AP111" s="2" t="s">
        <v>273</v>
      </c>
      <c r="AQ111" s="1102">
        <v>164.03</v>
      </c>
      <c r="AR111" s="2">
        <f>+BYD!AX17</f>
        <v>0</v>
      </c>
    </row>
    <row r="112" spans="1:44" ht="12.75" customHeight="1">
      <c r="A112" s="2"/>
      <c r="B112" s="2"/>
      <c r="C112" s="2"/>
      <c r="D112" s="1062"/>
      <c r="E112" s="2"/>
      <c r="F112" s="2"/>
      <c r="G112" s="2"/>
      <c r="H112" s="2"/>
      <c r="I112" s="2"/>
      <c r="J112" s="2"/>
      <c r="K112" s="2"/>
      <c r="L112" s="2"/>
      <c r="N112" s="2"/>
      <c r="O112" s="2"/>
      <c r="P112" s="2"/>
      <c r="Q112" s="2"/>
      <c r="U112" s="2"/>
      <c r="V112" s="2"/>
      <c r="W112" s="2"/>
      <c r="X112" s="2"/>
      <c r="Y112" s="2"/>
      <c r="Z112" s="2"/>
      <c r="AA112" s="2"/>
      <c r="AB112" s="2"/>
      <c r="AC112" s="2"/>
      <c r="AD112" s="2"/>
      <c r="AE112" s="2"/>
      <c r="AF112" s="2"/>
      <c r="AG112" s="2"/>
      <c r="AH112" s="2"/>
      <c r="AI112" s="2"/>
      <c r="AJ112" s="2"/>
      <c r="AK112" s="2"/>
      <c r="AL112" s="2"/>
      <c r="AM112" s="2"/>
      <c r="AN112" s="2"/>
      <c r="AO112" s="2"/>
      <c r="AP112" s="2" t="s">
        <v>1790</v>
      </c>
      <c r="AQ112" s="1102">
        <v>1.2</v>
      </c>
      <c r="AR112" s="2"/>
    </row>
    <row r="113" spans="1:44" ht="12.75" customHeight="1">
      <c r="A113" s="2"/>
      <c r="B113" s="2"/>
      <c r="C113" s="2"/>
      <c r="D113" s="1062"/>
      <c r="E113" s="2"/>
      <c r="F113" s="2"/>
      <c r="G113" s="2"/>
      <c r="H113" s="2"/>
      <c r="I113" s="2"/>
      <c r="J113" s="2"/>
      <c r="K113" s="2"/>
      <c r="L113" s="2"/>
      <c r="N113" s="2"/>
      <c r="O113" s="2"/>
      <c r="P113" s="2"/>
      <c r="Q113" s="2"/>
      <c r="U113" s="2"/>
      <c r="V113" s="2"/>
      <c r="W113" s="2"/>
      <c r="X113" s="2"/>
      <c r="Y113" s="2"/>
      <c r="Z113" s="2"/>
      <c r="AA113" s="2"/>
      <c r="AB113" s="2"/>
      <c r="AC113" s="2"/>
      <c r="AD113" s="2"/>
      <c r="AE113" s="2"/>
      <c r="AF113" s="2"/>
      <c r="AG113" s="2"/>
      <c r="AH113" s="2"/>
      <c r="AI113" s="2"/>
      <c r="AJ113" s="2"/>
      <c r="AK113" s="2"/>
      <c r="AL113" s="2"/>
      <c r="AM113" s="2"/>
      <c r="AN113" s="2"/>
      <c r="AO113" s="2"/>
      <c r="AP113" s="1" t="s">
        <v>401</v>
      </c>
      <c r="AQ113" s="98"/>
      <c r="AR113" s="2"/>
    </row>
    <row r="114" spans="1:44" ht="12.75" customHeight="1">
      <c r="A114" s="2"/>
      <c r="B114" s="2"/>
      <c r="C114" s="2"/>
      <c r="D114" s="1062"/>
      <c r="E114" s="2"/>
      <c r="F114" s="2"/>
      <c r="G114" s="2"/>
      <c r="H114" s="2"/>
      <c r="I114" s="2"/>
      <c r="J114" s="2"/>
      <c r="K114" s="2"/>
      <c r="L114" s="2"/>
      <c r="N114" s="2"/>
      <c r="O114" s="2"/>
      <c r="P114" s="2"/>
      <c r="Q114" s="2"/>
      <c r="U114" s="2"/>
      <c r="V114" s="2"/>
      <c r="W114" s="2"/>
      <c r="X114" s="2"/>
      <c r="Y114" s="2"/>
      <c r="Z114" s="2"/>
      <c r="AA114" s="2"/>
      <c r="AB114" s="2"/>
      <c r="AC114" s="2"/>
      <c r="AD114" s="2"/>
      <c r="AE114" s="2"/>
      <c r="AF114" s="2"/>
      <c r="AG114" s="2"/>
      <c r="AH114" s="2"/>
      <c r="AI114" s="2"/>
      <c r="AJ114" s="2"/>
      <c r="AK114" s="2"/>
      <c r="AL114" s="2"/>
      <c r="AM114" s="2"/>
      <c r="AN114" s="2"/>
      <c r="AO114" s="2"/>
      <c r="AP114" s="2" t="s">
        <v>514</v>
      </c>
      <c r="AQ114" s="1349">
        <v>34.83</v>
      </c>
      <c r="AR114" s="2">
        <f>+BYD!AX38</f>
        <v>38.722999999999999</v>
      </c>
    </row>
    <row r="115" spans="1:44" ht="12.75" customHeight="1">
      <c r="A115" s="2"/>
      <c r="B115" s="2"/>
      <c r="C115" s="2"/>
      <c r="D115" s="1062"/>
      <c r="E115" s="2"/>
      <c r="F115" s="2"/>
      <c r="G115" s="2"/>
      <c r="H115" s="2"/>
      <c r="I115" s="2"/>
      <c r="J115" s="2"/>
      <c r="K115" s="2"/>
      <c r="L115" s="2"/>
      <c r="N115" s="2"/>
      <c r="O115" s="2"/>
      <c r="P115" s="2"/>
      <c r="Q115" s="2"/>
      <c r="U115" s="2"/>
      <c r="V115" s="2"/>
      <c r="W115" s="2"/>
      <c r="X115" s="2"/>
      <c r="Y115" s="2"/>
      <c r="Z115" s="2"/>
      <c r="AA115" s="2"/>
      <c r="AB115" s="2"/>
      <c r="AC115" s="2"/>
      <c r="AD115" s="2"/>
      <c r="AE115" s="2"/>
      <c r="AF115" s="2"/>
      <c r="AG115" s="2"/>
      <c r="AH115" s="2"/>
      <c r="AI115" s="2"/>
      <c r="AJ115" s="2"/>
      <c r="AK115" s="2"/>
      <c r="AL115" s="2"/>
      <c r="AM115" s="2"/>
      <c r="AN115" s="2"/>
      <c r="AO115" s="2"/>
      <c r="AP115" s="2" t="s">
        <v>515</v>
      </c>
      <c r="AQ115" s="1102">
        <v>8.36</v>
      </c>
      <c r="AR115" s="2">
        <f>+BYD!AX39</f>
        <v>9.2970000000000006</v>
      </c>
    </row>
    <row r="116" spans="1:44" ht="12.75" customHeight="1">
      <c r="A116" s="2"/>
      <c r="B116" s="2"/>
      <c r="C116" s="2"/>
      <c r="D116" s="1062"/>
      <c r="E116" s="2"/>
      <c r="F116" s="2"/>
      <c r="G116" s="2"/>
      <c r="H116" s="2"/>
      <c r="I116" s="2"/>
      <c r="J116" s="2"/>
      <c r="K116" s="2"/>
      <c r="L116" s="2"/>
      <c r="N116" s="2"/>
      <c r="O116" s="2"/>
      <c r="P116" s="2"/>
      <c r="Q116" s="2"/>
      <c r="U116" s="2"/>
      <c r="V116" s="2"/>
      <c r="W116" s="2"/>
      <c r="X116" s="2"/>
      <c r="Y116" s="2"/>
      <c r="Z116" s="2"/>
      <c r="AA116" s="2"/>
      <c r="AB116" s="2"/>
      <c r="AC116" s="2"/>
      <c r="AD116" s="2"/>
      <c r="AE116" s="2"/>
      <c r="AF116" s="2"/>
      <c r="AG116" s="2"/>
      <c r="AH116" s="2"/>
      <c r="AI116" s="2"/>
      <c r="AJ116" s="2"/>
      <c r="AK116" s="2"/>
      <c r="AL116" s="2"/>
      <c r="AM116" s="2"/>
      <c r="AN116" s="2"/>
      <c r="AO116" s="2"/>
      <c r="AP116" s="2" t="s">
        <v>516</v>
      </c>
      <c r="AQ116" s="1102">
        <v>51.04</v>
      </c>
      <c r="AR116" s="2">
        <f>+BYD!AX41</f>
        <v>48.625</v>
      </c>
    </row>
    <row r="117" spans="1:44" ht="12.75" customHeight="1">
      <c r="A117" s="2"/>
      <c r="B117" s="2"/>
      <c r="C117" s="2"/>
      <c r="D117" s="1062"/>
      <c r="E117" s="2"/>
      <c r="F117" s="2"/>
      <c r="G117" s="2"/>
      <c r="H117" s="2"/>
      <c r="I117" s="2"/>
      <c r="J117" s="2"/>
      <c r="K117" s="2"/>
      <c r="L117" s="2"/>
      <c r="N117" s="2"/>
      <c r="O117" s="2"/>
      <c r="P117" s="2"/>
      <c r="Q117" s="2"/>
      <c r="U117" s="2"/>
      <c r="V117" s="2"/>
      <c r="W117" s="2"/>
      <c r="X117" s="2"/>
      <c r="Y117" s="2"/>
      <c r="Z117" s="2"/>
      <c r="AA117" s="2"/>
      <c r="AB117" s="2"/>
      <c r="AC117" s="2"/>
      <c r="AD117" s="2"/>
      <c r="AE117" s="2"/>
      <c r="AF117" s="2"/>
      <c r="AG117" s="2"/>
      <c r="AH117" s="2"/>
      <c r="AI117" s="2"/>
      <c r="AJ117" s="2"/>
      <c r="AK117" s="2"/>
      <c r="AL117" s="2"/>
      <c r="AM117" s="2"/>
      <c r="AN117" s="2"/>
      <c r="AO117" s="2"/>
      <c r="AP117" s="2" t="s">
        <v>517</v>
      </c>
      <c r="AQ117" s="1102">
        <v>52.46</v>
      </c>
      <c r="AR117" s="2">
        <f>+BYD!AX42</f>
        <v>48.323</v>
      </c>
    </row>
    <row r="118" spans="1:44" ht="12.75" customHeight="1">
      <c r="A118" s="2"/>
      <c r="B118" s="2"/>
      <c r="C118" s="2"/>
      <c r="D118" s="1062"/>
      <c r="E118" s="2"/>
      <c r="F118" s="2"/>
      <c r="G118" s="2"/>
      <c r="H118" s="2"/>
      <c r="I118" s="2"/>
      <c r="J118" s="2"/>
      <c r="K118" s="2"/>
      <c r="L118" s="2"/>
      <c r="N118" s="2"/>
      <c r="O118" s="2"/>
      <c r="P118" s="2"/>
      <c r="Q118" s="2"/>
      <c r="U118" s="2"/>
      <c r="V118" s="2"/>
      <c r="W118" s="2"/>
      <c r="X118" s="2"/>
      <c r="Y118" s="2"/>
      <c r="Z118" s="2"/>
      <c r="AA118" s="2"/>
      <c r="AB118" s="2"/>
      <c r="AC118" s="2"/>
      <c r="AD118" s="2"/>
      <c r="AE118" s="2"/>
      <c r="AF118" s="2"/>
      <c r="AG118" s="2"/>
      <c r="AH118" s="2"/>
      <c r="AI118" s="2"/>
      <c r="AJ118" s="2"/>
      <c r="AK118" s="2"/>
      <c r="AL118" s="2"/>
      <c r="AM118" s="2"/>
      <c r="AN118" s="2"/>
      <c r="AO118" s="2"/>
      <c r="AP118" s="2" t="s">
        <v>273</v>
      </c>
      <c r="AQ118" s="1102">
        <v>28.21</v>
      </c>
      <c r="AR118" s="2">
        <f>+BYD!AX45</f>
        <v>27.847000000000001</v>
      </c>
    </row>
  </sheetData>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AR118"/>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5" max="15" width="1.5" customWidth="1"/>
    <col min="18" max="18" width="3.25" customWidth="1"/>
    <col min="20" max="20" width="1" customWidth="1"/>
    <col min="21" max="21" width="19" customWidth="1"/>
    <col min="22" max="22" width="1.625" customWidth="1"/>
    <col min="23" max="23" width="8.625" customWidth="1"/>
    <col min="24" max="24" width="1.625" customWidth="1"/>
    <col min="25" max="25" width="8.625" customWidth="1"/>
    <col min="26" max="26" width="1.625" customWidth="1"/>
    <col min="27" max="27" width="8.625" customWidth="1"/>
    <col min="30" max="30" width="7.625" customWidth="1"/>
    <col min="31" max="31" width="1.625" customWidth="1"/>
    <col min="32" max="32" width="7.625" customWidth="1"/>
    <col min="33" max="33" width="1.625" customWidth="1"/>
    <col min="34" max="34" width="7.625" customWidth="1"/>
    <col min="35" max="35" width="1.625" customWidth="1"/>
    <col min="36" max="36" width="21.5" customWidth="1"/>
    <col min="37" max="37" width="11.625" customWidth="1"/>
    <col min="38" max="38" width="1.625" customWidth="1"/>
    <col min="39" max="39" width="10.625" customWidth="1"/>
    <col min="40" max="40" width="1.625" customWidth="1"/>
    <col min="41" max="41" width="10.625" customWidth="1"/>
    <col min="42" max="42" width="16" customWidth="1"/>
  </cols>
  <sheetData>
    <row r="1" spans="1:44" ht="12.75" customHeight="1">
      <c r="A1" s="1" t="s">
        <v>629</v>
      </c>
      <c r="B1" s="2"/>
      <c r="C1" s="166"/>
      <c r="D1" s="1062"/>
      <c r="E1" s="2"/>
      <c r="F1" s="2"/>
      <c r="G1" s="2"/>
      <c r="H1" s="2"/>
      <c r="I1" s="2"/>
      <c r="J1" s="2"/>
      <c r="K1" s="2"/>
      <c r="L1" s="2"/>
      <c r="N1" s="2"/>
      <c r="O1" s="2"/>
      <c r="P1" s="2"/>
      <c r="Q1" s="2"/>
      <c r="U1" s="2"/>
      <c r="V1" s="2"/>
      <c r="W1" s="2"/>
      <c r="X1" s="2"/>
      <c r="Y1" s="2"/>
      <c r="Z1" s="2"/>
      <c r="AA1" s="2"/>
      <c r="AB1" s="2"/>
      <c r="AC1" s="2"/>
      <c r="AD1" s="2"/>
      <c r="AE1" s="2"/>
      <c r="AF1" s="2"/>
      <c r="AG1" s="2"/>
      <c r="AH1" s="2"/>
      <c r="AI1" s="2"/>
      <c r="AJ1" s="2"/>
      <c r="AK1" s="2"/>
      <c r="AL1" s="2"/>
      <c r="AM1" s="2"/>
      <c r="AN1" s="2"/>
      <c r="AO1" s="2"/>
      <c r="AP1" s="2"/>
      <c r="AQ1" s="98"/>
      <c r="AR1" s="2"/>
    </row>
    <row r="2" spans="1:44" ht="12.75" customHeight="1">
      <c r="A2" s="1" t="s">
        <v>1224</v>
      </c>
      <c r="B2" s="2"/>
      <c r="C2" s="2"/>
      <c r="D2" s="1062"/>
      <c r="E2" s="2"/>
      <c r="F2" s="2"/>
      <c r="G2" s="2"/>
      <c r="H2" s="2"/>
      <c r="I2" s="2"/>
      <c r="J2" s="2"/>
      <c r="K2" s="2"/>
      <c r="L2" s="2"/>
      <c r="N2" s="2"/>
      <c r="O2" s="2"/>
      <c r="P2" s="2"/>
      <c r="Q2" s="2"/>
      <c r="U2" s="2"/>
      <c r="V2" s="2"/>
      <c r="W2" s="2"/>
      <c r="X2" s="2"/>
      <c r="Y2" s="2"/>
      <c r="Z2" s="2"/>
      <c r="AA2" s="2"/>
      <c r="AB2" s="2"/>
      <c r="AC2" s="2"/>
      <c r="AD2" s="2"/>
      <c r="AE2" s="2"/>
      <c r="AF2" s="2"/>
      <c r="AG2" s="2"/>
      <c r="AH2" s="2"/>
      <c r="AI2" s="2"/>
      <c r="AJ2" s="2"/>
      <c r="AK2" s="2"/>
      <c r="AL2" s="2"/>
      <c r="AM2" s="2"/>
      <c r="AN2" s="2"/>
      <c r="AO2" s="2"/>
      <c r="AP2" s="2"/>
      <c r="AQ2" s="98"/>
      <c r="AR2" s="2"/>
    </row>
    <row r="3" spans="1:44" ht="12.75" customHeight="1">
      <c r="A3" s="2" t="s">
        <v>1225</v>
      </c>
      <c r="B3" s="2"/>
      <c r="C3" s="2"/>
      <c r="D3" s="1062"/>
      <c r="E3" s="2"/>
      <c r="F3" s="2"/>
      <c r="G3" s="2"/>
      <c r="H3" s="2"/>
      <c r="I3" s="2"/>
      <c r="J3" s="2"/>
      <c r="K3" s="2"/>
      <c r="L3" s="2"/>
      <c r="N3" s="2"/>
      <c r="O3" s="2"/>
      <c r="P3" s="2"/>
      <c r="Q3" s="2"/>
      <c r="U3" s="2"/>
      <c r="V3" s="2"/>
      <c r="W3" s="2"/>
      <c r="X3" s="2"/>
      <c r="Y3" s="2"/>
      <c r="Z3" s="2"/>
      <c r="AA3" s="2"/>
      <c r="AB3" s="2"/>
      <c r="AC3" s="2"/>
      <c r="AD3" s="2"/>
      <c r="AE3" s="2"/>
      <c r="AF3" s="2"/>
      <c r="AG3" s="2"/>
      <c r="AH3" s="2"/>
      <c r="AI3" s="2"/>
      <c r="AJ3" s="2"/>
      <c r="AK3" s="2"/>
      <c r="AL3" s="2"/>
      <c r="AM3" s="2"/>
      <c r="AN3" s="2"/>
      <c r="AO3" s="2"/>
      <c r="AP3" s="2"/>
      <c r="AQ3" s="98"/>
      <c r="AR3" s="2"/>
    </row>
    <row r="4" spans="1:44" ht="12.75" customHeight="1">
      <c r="A4" s="2"/>
      <c r="B4" s="2"/>
      <c r="C4" s="1195" t="s">
        <v>818</v>
      </c>
      <c r="D4" s="1310"/>
      <c r="E4" s="1196"/>
      <c r="F4" s="1196"/>
      <c r="G4" s="1196"/>
      <c r="H4" s="2"/>
      <c r="I4" s="1195" t="s">
        <v>1504</v>
      </c>
      <c r="J4" s="1197"/>
      <c r="K4" s="1196"/>
      <c r="L4" s="1196"/>
      <c r="O4" s="70"/>
      <c r="P4" s="70"/>
      <c r="Q4" s="70"/>
      <c r="U4" s="2"/>
      <c r="V4" s="2"/>
      <c r="W4" s="2"/>
      <c r="X4" s="2"/>
      <c r="Y4" s="2"/>
      <c r="Z4" s="2"/>
      <c r="AA4" s="2"/>
      <c r="AB4" s="2"/>
      <c r="AC4" s="2"/>
      <c r="AD4" s="2"/>
      <c r="AE4" s="2"/>
      <c r="AF4" s="2"/>
      <c r="AG4" s="2"/>
      <c r="AH4" s="2"/>
      <c r="AI4" s="2"/>
      <c r="AJ4" s="2"/>
      <c r="AK4" s="2"/>
      <c r="AL4" s="2"/>
      <c r="AM4" s="2"/>
      <c r="AN4" s="2"/>
      <c r="AO4" s="2"/>
      <c r="AP4" s="2"/>
      <c r="AQ4" s="98"/>
      <c r="AR4" s="2"/>
    </row>
    <row r="5" spans="1:44" ht="12.75" customHeight="1">
      <c r="A5" s="2"/>
      <c r="B5" s="2"/>
      <c r="C5" s="1198"/>
      <c r="D5" s="77"/>
      <c r="E5" s="2"/>
      <c r="F5" s="1197" t="s">
        <v>1487</v>
      </c>
      <c r="G5" s="1197"/>
      <c r="H5" s="2"/>
      <c r="I5" s="1198"/>
      <c r="J5" s="61"/>
      <c r="K5" s="1197" t="s">
        <v>1505</v>
      </c>
      <c r="L5" s="1197"/>
      <c r="N5" s="1289" t="s">
        <v>1489</v>
      </c>
      <c r="O5" s="2"/>
      <c r="P5" s="1197" t="s">
        <v>1505</v>
      </c>
      <c r="Q5" s="1197"/>
      <c r="S5" s="73" t="s">
        <v>594</v>
      </c>
      <c r="U5" s="2"/>
      <c r="V5" s="2"/>
      <c r="W5" s="2"/>
      <c r="X5" s="2"/>
      <c r="Y5" s="2"/>
      <c r="Z5" s="2"/>
      <c r="AA5" s="2"/>
      <c r="AB5" s="2"/>
      <c r="AC5" s="2"/>
      <c r="AD5" s="2"/>
      <c r="AE5" s="2"/>
      <c r="AF5" s="2"/>
      <c r="AG5" s="2"/>
      <c r="AH5" s="2"/>
      <c r="AI5" s="2"/>
      <c r="AJ5" s="2"/>
      <c r="AK5" s="2"/>
      <c r="AL5" s="2"/>
      <c r="AM5" s="2"/>
      <c r="AN5" s="2"/>
      <c r="AO5" s="2"/>
      <c r="AP5" s="2"/>
      <c r="AQ5" s="98"/>
      <c r="AR5" s="2"/>
    </row>
    <row r="6" spans="1:44" ht="12.75" customHeight="1">
      <c r="A6" s="61"/>
      <c r="B6" s="2"/>
      <c r="C6" s="1199" t="s">
        <v>274</v>
      </c>
      <c r="D6" s="1308" t="s">
        <v>925</v>
      </c>
      <c r="E6" s="70"/>
      <c r="F6" s="73" t="s">
        <v>658</v>
      </c>
      <c r="G6" s="73" t="s">
        <v>740</v>
      </c>
      <c r="H6" s="2"/>
      <c r="I6" s="1199" t="s">
        <v>355</v>
      </c>
      <c r="J6" s="70"/>
      <c r="K6" s="73" t="s">
        <v>658</v>
      </c>
      <c r="L6" s="73" t="s">
        <v>740</v>
      </c>
      <c r="N6" s="1165" t="s">
        <v>1649</v>
      </c>
      <c r="O6" s="2"/>
      <c r="P6" s="73" t="s">
        <v>658</v>
      </c>
      <c r="Q6" s="73" t="s">
        <v>740</v>
      </c>
      <c r="U6" s="2"/>
      <c r="V6" s="2"/>
      <c r="W6" s="2"/>
      <c r="X6" s="2"/>
      <c r="Y6" s="2"/>
      <c r="Z6" s="2"/>
      <c r="AA6" s="2"/>
      <c r="AB6" s="2"/>
      <c r="AC6" s="2"/>
      <c r="AD6" s="2"/>
      <c r="AE6" s="2"/>
      <c r="AF6" s="2"/>
      <c r="AG6" s="2"/>
      <c r="AH6" s="2"/>
      <c r="AI6" s="2"/>
      <c r="AJ6" s="2"/>
      <c r="AK6" s="2"/>
      <c r="AL6" s="2"/>
      <c r="AM6" s="2"/>
      <c r="AN6" s="2"/>
      <c r="AO6" s="2"/>
      <c r="AP6" s="2"/>
      <c r="AQ6" s="98"/>
      <c r="AR6" s="2"/>
    </row>
    <row r="7" spans="1:44" ht="12.75" customHeight="1">
      <c r="A7" s="1" t="s">
        <v>741</v>
      </c>
      <c r="B7" s="2"/>
      <c r="C7" s="112"/>
      <c r="D7" s="77"/>
      <c r="E7" s="2"/>
      <c r="F7" s="2"/>
      <c r="G7" s="2"/>
      <c r="H7" s="2"/>
      <c r="I7" s="112"/>
      <c r="J7" s="61"/>
      <c r="K7" s="2"/>
      <c r="L7" s="2"/>
      <c r="N7" s="2"/>
      <c r="O7" s="2"/>
      <c r="P7" s="2"/>
      <c r="Q7" s="2"/>
      <c r="U7" s="2"/>
      <c r="V7" s="2"/>
      <c r="W7" s="2"/>
      <c r="X7" s="2"/>
      <c r="Y7" s="2"/>
      <c r="Z7" s="2"/>
      <c r="AA7" s="2"/>
      <c r="AB7" s="2"/>
      <c r="AC7" s="2"/>
      <c r="AD7" s="2"/>
      <c r="AE7" s="2"/>
      <c r="AF7" s="2"/>
      <c r="AG7" s="2"/>
      <c r="AH7" s="2"/>
      <c r="AI7" s="2"/>
      <c r="AJ7" s="2"/>
      <c r="AK7" s="2"/>
      <c r="AL7" s="2"/>
      <c r="AM7" s="2"/>
      <c r="AN7" s="2"/>
      <c r="AO7" s="2"/>
      <c r="AP7" s="2"/>
      <c r="AQ7" s="98"/>
      <c r="AR7" s="2"/>
    </row>
    <row r="8" spans="1:44" ht="12.75" customHeight="1">
      <c r="A8" s="334" t="s">
        <v>514</v>
      </c>
      <c r="B8" s="2"/>
      <c r="C8" s="2030">
        <f>BYD!AY10</f>
        <v>140.291</v>
      </c>
      <c r="D8" s="858">
        <f>BYD!AT10</f>
        <v>138.78700000000001</v>
      </c>
      <c r="E8" s="1202"/>
      <c r="F8" s="1205">
        <f t="shared" ref="F8:F13" si="0">C8-D8</f>
        <v>1.5039999999999907</v>
      </c>
      <c r="G8" s="126">
        <f t="shared" ref="G8:G14" si="1">IF(D8=0,0,C8/D8-1)</f>
        <v>1.0836749839682414E-2</v>
      </c>
      <c r="H8" s="1205"/>
      <c r="I8" s="1207">
        <v>141.56274000000002</v>
      </c>
      <c r="J8" s="1202"/>
      <c r="K8" s="313">
        <f t="shared" ref="K8:K13" si="2">C8-I8</f>
        <v>-1.2717400000000225</v>
      </c>
      <c r="L8" s="1204">
        <f t="shared" ref="L8:L13" si="3">IF(I8=0,"NM",C8/I8-1)</f>
        <v>-8.9835785885468145E-3</v>
      </c>
      <c r="N8" s="1349">
        <v>141.43</v>
      </c>
      <c r="O8" s="1349"/>
      <c r="P8" s="313">
        <f t="shared" ref="P8:P14" si="4">C8-N8</f>
        <v>-1.13900000000001</v>
      </c>
      <c r="Q8" s="1204">
        <f t="shared" ref="Q8:Q14" si="5">IF(N8=0,"NM",C8/N8-1)</f>
        <v>-8.0534540055151593E-3</v>
      </c>
      <c r="U8" s="105"/>
      <c r="V8" s="2"/>
      <c r="W8" s="2"/>
      <c r="X8" s="2"/>
      <c r="Y8" s="2"/>
      <c r="Z8" s="2"/>
      <c r="AA8" s="2"/>
      <c r="AB8" s="2"/>
      <c r="AC8" s="2"/>
      <c r="AD8" s="2"/>
      <c r="AE8" s="2"/>
      <c r="AF8" s="2"/>
      <c r="AG8" s="2"/>
      <c r="AH8" s="2"/>
      <c r="AI8" s="2"/>
      <c r="AJ8" s="2"/>
      <c r="AK8" s="2"/>
      <c r="AL8" s="2"/>
      <c r="AM8" s="2"/>
      <c r="AN8" s="2"/>
      <c r="AO8" s="2"/>
      <c r="AP8" s="2"/>
      <c r="AQ8" s="98"/>
      <c r="AR8" s="2"/>
    </row>
    <row r="9" spans="1:44" ht="12.75" customHeight="1">
      <c r="A9" s="334" t="s">
        <v>515</v>
      </c>
      <c r="B9" s="61"/>
      <c r="C9" s="2031">
        <f>BYD!AY11</f>
        <v>52.673999999999999</v>
      </c>
      <c r="D9" s="104">
        <f>BYD!AT11</f>
        <v>53.546999999999997</v>
      </c>
      <c r="E9" s="1103"/>
      <c r="F9" s="374">
        <f t="shared" si="0"/>
        <v>-0.87299999999999756</v>
      </c>
      <c r="G9" s="95">
        <f t="shared" si="1"/>
        <v>-1.6303434366070846E-2</v>
      </c>
      <c r="H9" s="61"/>
      <c r="I9" s="1104">
        <v>53.546999999999997</v>
      </c>
      <c r="J9" s="1103"/>
      <c r="K9" s="374">
        <f t="shared" si="2"/>
        <v>-0.87299999999999756</v>
      </c>
      <c r="L9" s="92">
        <f t="shared" si="3"/>
        <v>-1.6303434366070846E-2</v>
      </c>
      <c r="N9" s="1102">
        <v>53.52</v>
      </c>
      <c r="O9" s="1102"/>
      <c r="P9" s="374">
        <f t="shared" si="4"/>
        <v>-0.84600000000000364</v>
      </c>
      <c r="Q9" s="92">
        <f t="shared" si="5"/>
        <v>-1.5807174887892406E-2</v>
      </c>
      <c r="U9" s="105"/>
      <c r="V9" s="2"/>
      <c r="W9" s="2"/>
      <c r="X9" s="2"/>
      <c r="Y9" s="2"/>
      <c r="Z9" s="2"/>
      <c r="AA9" s="2"/>
      <c r="AB9" s="2"/>
      <c r="AC9" s="2"/>
      <c r="AD9" s="2"/>
      <c r="AE9" s="2"/>
      <c r="AF9" s="2"/>
      <c r="AG9" s="2"/>
      <c r="AH9" s="2"/>
      <c r="AI9" s="2"/>
      <c r="AJ9" s="2"/>
      <c r="AK9" s="2"/>
      <c r="AL9" s="2"/>
      <c r="AM9" s="2"/>
      <c r="AN9" s="2"/>
      <c r="AO9" s="2"/>
      <c r="AP9" s="2"/>
      <c r="AQ9" s="98"/>
      <c r="AR9" s="2"/>
    </row>
    <row r="10" spans="1:44" ht="12.75" customHeight="1">
      <c r="A10" s="334" t="s">
        <v>516</v>
      </c>
      <c r="B10" s="61"/>
      <c r="C10" s="2031">
        <f>BYD!AY13</f>
        <v>214.83099999999999</v>
      </c>
      <c r="D10" s="104">
        <f>BYD!AT13</f>
        <v>232.965</v>
      </c>
      <c r="E10" s="1103"/>
      <c r="F10" s="374">
        <f t="shared" si="0"/>
        <v>-18.134000000000015</v>
      </c>
      <c r="G10" s="95">
        <f t="shared" si="1"/>
        <v>-7.7840018886957352E-2</v>
      </c>
      <c r="H10" s="61"/>
      <c r="I10" s="1104">
        <v>221.62438064910003</v>
      </c>
      <c r="J10" s="1103"/>
      <c r="K10" s="374">
        <f t="shared" si="2"/>
        <v>-6.7933806491000439</v>
      </c>
      <c r="L10" s="92">
        <f t="shared" si="3"/>
        <v>-3.0652677422959518E-2</v>
      </c>
      <c r="M10" s="1403"/>
      <c r="N10" s="1102">
        <v>225.03</v>
      </c>
      <c r="O10" s="1102"/>
      <c r="P10" s="374">
        <f t="shared" si="4"/>
        <v>-10.199000000000012</v>
      </c>
      <c r="Q10" s="92">
        <f t="shared" si="5"/>
        <v>-4.5322845842776571E-2</v>
      </c>
      <c r="S10" s="1403"/>
      <c r="U10" s="105"/>
      <c r="V10" s="2"/>
      <c r="W10" s="2"/>
      <c r="X10" s="2"/>
      <c r="Y10" s="2"/>
      <c r="Z10" s="2"/>
      <c r="AA10" s="2"/>
      <c r="AB10" s="2"/>
      <c r="AC10" s="2"/>
      <c r="AD10" s="2"/>
      <c r="AE10" s="2"/>
      <c r="AF10" s="2"/>
      <c r="AG10" s="2"/>
      <c r="AH10" s="2"/>
      <c r="AI10" s="2"/>
      <c r="AJ10" s="2"/>
      <c r="AK10" s="2"/>
      <c r="AL10" s="2"/>
      <c r="AM10" s="2"/>
      <c r="AN10" s="2"/>
      <c r="AO10" s="2"/>
      <c r="AP10" s="2"/>
      <c r="AQ10" s="98"/>
      <c r="AR10" s="2"/>
    </row>
    <row r="11" spans="1:44" ht="12.75" customHeight="1">
      <c r="A11" s="963" t="s">
        <v>517</v>
      </c>
      <c r="B11" s="61"/>
      <c r="C11" s="2031">
        <f>BYD!AY14</f>
        <v>130.72200000000001</v>
      </c>
      <c r="D11" s="104">
        <f>BYD!AT14</f>
        <v>0</v>
      </c>
      <c r="E11" s="1103"/>
      <c r="F11" s="374">
        <f t="shared" si="0"/>
        <v>130.72200000000001</v>
      </c>
      <c r="G11" s="95">
        <f t="shared" si="1"/>
        <v>0</v>
      </c>
      <c r="H11" s="61"/>
      <c r="I11" s="1104">
        <v>135.91213711094827</v>
      </c>
      <c r="J11" s="1103"/>
      <c r="K11" s="374">
        <f t="shared" si="2"/>
        <v>-5.1901371109482568</v>
      </c>
      <c r="L11" s="92">
        <f t="shared" si="3"/>
        <v>-3.8187443897754525E-2</v>
      </c>
      <c r="M11" s="1403"/>
      <c r="N11" s="1102">
        <v>134.58000000000001</v>
      </c>
      <c r="O11" s="1102"/>
      <c r="P11" s="374">
        <f t="shared" si="4"/>
        <v>-3.8580000000000041</v>
      </c>
      <c r="Q11" s="92">
        <f t="shared" si="5"/>
        <v>-2.8666963887650443E-2</v>
      </c>
      <c r="S11" s="1403"/>
      <c r="U11" s="105"/>
      <c r="V11" s="2"/>
      <c r="W11" s="2"/>
      <c r="X11" s="2"/>
      <c r="Y11" s="2"/>
      <c r="Z11" s="2"/>
      <c r="AA11" s="2"/>
      <c r="AB11" s="2"/>
      <c r="AC11" s="2"/>
      <c r="AD11" s="2"/>
      <c r="AE11" s="2"/>
      <c r="AF11" s="2"/>
      <c r="AG11" s="2"/>
      <c r="AH11" s="2"/>
      <c r="AI11" s="2"/>
      <c r="AJ11" s="2"/>
      <c r="AK11" s="2"/>
      <c r="AL11" s="2"/>
      <c r="AM11" s="2"/>
      <c r="AN11" s="2"/>
      <c r="AO11" s="2"/>
      <c r="AP11" s="2"/>
      <c r="AQ11" s="98"/>
      <c r="AR11" s="2"/>
    </row>
    <row r="12" spans="1:44" ht="12.75" customHeight="1">
      <c r="A12" s="334" t="s">
        <v>273</v>
      </c>
      <c r="B12" s="61"/>
      <c r="C12" s="2031">
        <f>BYD!AY17</f>
        <v>0</v>
      </c>
      <c r="D12" s="104">
        <f>BYD!AT906</f>
        <v>187.09100000000001</v>
      </c>
      <c r="E12" s="1103"/>
      <c r="F12" s="374">
        <f t="shared" si="0"/>
        <v>-187.09100000000001</v>
      </c>
      <c r="G12" s="95">
        <f t="shared" si="1"/>
        <v>-1</v>
      </c>
      <c r="H12" s="61"/>
      <c r="I12" s="1104">
        <v>206.58038028584687</v>
      </c>
      <c r="J12" s="1103"/>
      <c r="K12" s="374">
        <f t="shared" si="2"/>
        <v>-206.58038028584687</v>
      </c>
      <c r="L12" s="92">
        <f t="shared" si="3"/>
        <v>-1</v>
      </c>
      <c r="N12" s="1102">
        <v>201.07</v>
      </c>
      <c r="O12" s="1102"/>
      <c r="P12" s="374">
        <f t="shared" si="4"/>
        <v>-201.07</v>
      </c>
      <c r="Q12" s="92">
        <f t="shared" si="5"/>
        <v>-1</v>
      </c>
      <c r="U12" s="105"/>
      <c r="V12" s="2"/>
      <c r="W12" s="2"/>
      <c r="X12" s="2"/>
      <c r="Y12" s="2"/>
      <c r="Z12" s="2"/>
      <c r="AA12" s="2"/>
      <c r="AB12" s="2"/>
      <c r="AC12" s="2"/>
      <c r="AD12" s="2"/>
      <c r="AE12" s="2"/>
      <c r="AF12" s="2"/>
      <c r="AG12" s="2"/>
      <c r="AH12" s="2"/>
      <c r="AI12" s="2"/>
      <c r="AJ12" s="2"/>
      <c r="AK12" s="2"/>
      <c r="AL12" s="2"/>
      <c r="AM12" s="2"/>
      <c r="AN12" s="2"/>
      <c r="AO12" s="2"/>
      <c r="AP12" s="2"/>
      <c r="AQ12" s="98"/>
      <c r="AR12" s="2"/>
    </row>
    <row r="13" spans="1:44" ht="12.75" customHeight="1">
      <c r="A13" s="334" t="s">
        <v>1790</v>
      </c>
      <c r="B13" s="61"/>
      <c r="C13" s="2031">
        <v>0</v>
      </c>
      <c r="D13" s="104">
        <v>0</v>
      </c>
      <c r="E13" s="1103"/>
      <c r="F13" s="374">
        <f t="shared" si="0"/>
        <v>0</v>
      </c>
      <c r="G13" s="95">
        <f t="shared" si="1"/>
        <v>0</v>
      </c>
      <c r="H13" s="61"/>
      <c r="I13" s="1104">
        <v>0</v>
      </c>
      <c r="J13" s="1103"/>
      <c r="K13" s="374">
        <f t="shared" si="2"/>
        <v>0</v>
      </c>
      <c r="L13" s="92" t="str">
        <f t="shared" si="3"/>
        <v>NM</v>
      </c>
      <c r="N13" s="1102">
        <v>0</v>
      </c>
      <c r="O13" s="1102"/>
      <c r="P13" s="374">
        <f t="shared" si="4"/>
        <v>0</v>
      </c>
      <c r="Q13" s="92" t="str">
        <f t="shared" si="5"/>
        <v>NM</v>
      </c>
      <c r="U13" s="105"/>
      <c r="V13" s="2"/>
      <c r="W13" s="2"/>
      <c r="X13" s="2"/>
      <c r="Y13" s="2"/>
      <c r="Z13" s="2"/>
      <c r="AA13" s="2"/>
      <c r="AB13" s="2"/>
      <c r="AC13" s="2"/>
      <c r="AD13" s="2"/>
      <c r="AE13" s="2"/>
      <c r="AF13" s="2"/>
      <c r="AG13" s="2"/>
      <c r="AH13" s="2"/>
      <c r="AI13" s="2"/>
      <c r="AJ13" s="2"/>
      <c r="AK13" s="2"/>
      <c r="AL13" s="2"/>
      <c r="AM13" s="2"/>
      <c r="AN13" s="2"/>
      <c r="AO13" s="2"/>
      <c r="AP13" s="2"/>
      <c r="AQ13" s="98"/>
      <c r="AR13" s="2"/>
    </row>
    <row r="14" spans="1:44" ht="12.75" customHeight="1">
      <c r="A14" s="138" t="s">
        <v>813</v>
      </c>
      <c r="B14" s="1203"/>
      <c r="C14" s="2032">
        <f>SUM(C8:C13)</f>
        <v>538.51800000000003</v>
      </c>
      <c r="D14" s="1210">
        <f>SUM(D8:D13)</f>
        <v>612.39</v>
      </c>
      <c r="E14" s="1210"/>
      <c r="F14" s="1210">
        <f>SUM(F8:F13)</f>
        <v>-73.872000000000014</v>
      </c>
      <c r="G14" s="1208">
        <f t="shared" si="1"/>
        <v>-0.12062901092441081</v>
      </c>
      <c r="H14" s="1206"/>
      <c r="I14" s="1250">
        <v>759.22663804589524</v>
      </c>
      <c r="J14" s="1210"/>
      <c r="K14" s="1210">
        <f>SUM(K8:K13)</f>
        <v>-220.70863804589519</v>
      </c>
      <c r="L14" s="1211">
        <f>C14/I14-1</f>
        <v>-0.29070191558868008</v>
      </c>
      <c r="M14" s="1444"/>
      <c r="N14" s="1349">
        <v>758.77</v>
      </c>
      <c r="O14" s="1349"/>
      <c r="P14" s="2368">
        <f t="shared" si="4"/>
        <v>-220.25199999999995</v>
      </c>
      <c r="Q14" s="1211">
        <f t="shared" si="5"/>
        <v>-0.29027505041053281</v>
      </c>
      <c r="R14" s="1299"/>
      <c r="S14" s="1617"/>
      <c r="U14" s="105">
        <f>+C14/N14-1</f>
        <v>-0.29027505041053281</v>
      </c>
      <c r="V14" s="2"/>
      <c r="W14" s="2"/>
      <c r="X14" s="2"/>
      <c r="Y14" s="2"/>
      <c r="Z14" s="2"/>
      <c r="AA14" s="2"/>
      <c r="AB14" s="2"/>
      <c r="AC14" s="2"/>
      <c r="AD14" s="2"/>
      <c r="AE14" s="2"/>
      <c r="AF14" s="2"/>
      <c r="AG14" s="2"/>
      <c r="AH14" s="2"/>
      <c r="AI14" s="2"/>
      <c r="AJ14" s="2"/>
      <c r="AK14" s="2"/>
      <c r="AL14" s="2"/>
      <c r="AM14" s="2"/>
      <c r="AN14" s="2"/>
      <c r="AO14" s="2"/>
      <c r="AP14" s="2"/>
      <c r="AQ14" s="98"/>
      <c r="AR14" s="2"/>
    </row>
    <row r="15" spans="1:44" ht="12.75" customHeight="1">
      <c r="A15" s="61"/>
      <c r="B15" s="61"/>
      <c r="C15" s="2033"/>
      <c r="D15" s="77"/>
      <c r="E15" s="61"/>
      <c r="F15" s="61"/>
      <c r="G15" s="1139"/>
      <c r="H15" s="61"/>
      <c r="I15" s="115"/>
      <c r="J15" s="61"/>
      <c r="K15" s="61"/>
      <c r="L15" s="1212"/>
      <c r="N15" s="105">
        <f>+C14/N14-1</f>
        <v>-0.29027505041053281</v>
      </c>
      <c r="O15" s="105"/>
      <c r="P15" s="105"/>
      <c r="Q15" s="105"/>
      <c r="U15" s="2"/>
      <c r="V15" s="2"/>
      <c r="W15" s="101" t="str">
        <f>+C6</f>
        <v>3Q13A</v>
      </c>
      <c r="X15" s="101"/>
      <c r="Y15" s="101" t="str">
        <f>+D6</f>
        <v>3Q12A</v>
      </c>
      <c r="Z15" s="101"/>
      <c r="AA15" s="101" t="s">
        <v>1490</v>
      </c>
      <c r="AB15" s="101"/>
      <c r="AC15" s="2"/>
      <c r="AD15" s="2"/>
      <c r="AE15" s="2"/>
      <c r="AF15" s="2"/>
      <c r="AG15" s="2"/>
      <c r="AH15" s="2"/>
      <c r="AI15" s="2"/>
      <c r="AJ15" s="2"/>
      <c r="AK15" s="2"/>
      <c r="AL15" s="2"/>
      <c r="AM15" s="2"/>
      <c r="AN15" s="2"/>
      <c r="AO15" s="2"/>
      <c r="AP15" s="2"/>
      <c r="AQ15" s="98"/>
      <c r="AR15" s="2"/>
    </row>
    <row r="16" spans="1:44" ht="12.75" customHeight="1">
      <c r="A16" s="107" t="s">
        <v>401</v>
      </c>
      <c r="B16" s="61"/>
      <c r="C16" s="2034"/>
      <c r="D16" s="1390"/>
      <c r="E16" s="61"/>
      <c r="F16" s="61"/>
      <c r="G16" s="1139"/>
      <c r="H16" s="61"/>
      <c r="I16" s="115"/>
      <c r="J16" s="61"/>
      <c r="K16" s="61"/>
      <c r="L16" s="1212"/>
      <c r="N16" s="98"/>
      <c r="O16" s="98"/>
      <c r="P16" s="98"/>
      <c r="Q16" s="98"/>
      <c r="U16" s="101" t="s">
        <v>1488</v>
      </c>
      <c r="V16" s="2"/>
      <c r="W16" s="101" t="s">
        <v>1160</v>
      </c>
      <c r="X16" s="101"/>
      <c r="Y16" s="101" t="s">
        <v>1160</v>
      </c>
      <c r="Z16" s="101"/>
      <c r="AA16" s="101" t="s">
        <v>1160</v>
      </c>
      <c r="AB16" s="101"/>
      <c r="AC16" s="2"/>
      <c r="AD16" s="2"/>
      <c r="AE16" s="2"/>
      <c r="AF16" s="2"/>
      <c r="AG16" s="2"/>
      <c r="AH16" s="2"/>
      <c r="AI16" s="2"/>
      <c r="AJ16" s="2"/>
      <c r="AK16" s="2"/>
      <c r="AL16" s="2"/>
      <c r="AM16" s="2"/>
      <c r="AN16" s="2"/>
      <c r="AO16" s="2"/>
      <c r="AP16" s="2"/>
      <c r="AQ16" s="98"/>
      <c r="AR16" s="2"/>
    </row>
    <row r="17" spans="1:44" ht="12.75" customHeight="1">
      <c r="A17" s="334" t="s">
        <v>514</v>
      </c>
      <c r="B17" s="61"/>
      <c r="C17" s="2030">
        <f>BYD!AY38</f>
        <v>26.35</v>
      </c>
      <c r="D17" s="858">
        <f>BYD!AT38</f>
        <v>24.271000000000001</v>
      </c>
      <c r="E17" s="1202"/>
      <c r="F17" s="897">
        <f>C17-D17</f>
        <v>2.0790000000000006</v>
      </c>
      <c r="G17" s="95">
        <f t="shared" ref="G17:G24" si="6">IF(D17=0,0,C17/D17-1)</f>
        <v>8.5657780890775026E-2</v>
      </c>
      <c r="H17" s="61"/>
      <c r="I17" s="1207">
        <v>30.482220000000012</v>
      </c>
      <c r="J17" s="1103"/>
      <c r="K17" s="897">
        <f>C17-I17</f>
        <v>-4.1322200000000109</v>
      </c>
      <c r="L17" s="92">
        <f>IF(I17=0,"NM",C17/I17-1)</f>
        <v>-0.13556164872506038</v>
      </c>
      <c r="M17" s="1403"/>
      <c r="N17" s="1102">
        <v>29.45</v>
      </c>
      <c r="O17" s="1102"/>
      <c r="P17" s="313">
        <f t="shared" ref="P17:P22" si="7">C17-N17</f>
        <v>-3.0999999999999979</v>
      </c>
      <c r="Q17" s="1204">
        <f t="shared" ref="Q17:Q22" si="8">IF(N17=0,"NM",C17/N17-1)</f>
        <v>-0.10526315789473673</v>
      </c>
      <c r="U17" s="126">
        <f>+C17/$C$22</f>
        <v>0.15903576644979059</v>
      </c>
      <c r="V17" s="2"/>
      <c r="W17" s="105">
        <f>+C17/C8</f>
        <v>0.18782388036295986</v>
      </c>
      <c r="X17" s="105"/>
      <c r="Y17" s="105">
        <f>+D17/D8</f>
        <v>0.1748794915950341</v>
      </c>
      <c r="Z17" s="105"/>
      <c r="AA17" s="105">
        <f>+I17/I8</f>
        <v>0.21532657534037564</v>
      </c>
      <c r="AB17" s="105"/>
      <c r="AC17" s="2"/>
      <c r="AD17" s="2"/>
      <c r="AE17" s="2"/>
      <c r="AF17" s="2"/>
      <c r="AG17" s="2"/>
      <c r="AH17" s="2"/>
      <c r="AI17" s="2"/>
      <c r="AJ17" s="2"/>
      <c r="AK17" s="2"/>
      <c r="AL17" s="2"/>
      <c r="AM17" s="2"/>
      <c r="AN17" s="2"/>
      <c r="AO17" s="2"/>
      <c r="AP17" s="2"/>
      <c r="AQ17" s="98"/>
      <c r="AR17" s="2"/>
    </row>
    <row r="18" spans="1:44" ht="12.75" customHeight="1">
      <c r="A18" s="334" t="s">
        <v>515</v>
      </c>
      <c r="B18" s="61"/>
      <c r="C18" s="2031">
        <f>BYD!AY39</f>
        <v>5.5339999999999998</v>
      </c>
      <c r="D18" s="104">
        <f>BYD!AT39</f>
        <v>6.3559999999999999</v>
      </c>
      <c r="E18" s="1103"/>
      <c r="F18" s="374">
        <f>C18-D18</f>
        <v>-0.82200000000000006</v>
      </c>
      <c r="G18" s="95">
        <f t="shared" si="6"/>
        <v>-0.12932662051604782</v>
      </c>
      <c r="H18" s="61"/>
      <c r="I18" s="1104">
        <v>7.299820000000004</v>
      </c>
      <c r="J18" s="1103"/>
      <c r="K18" s="374">
        <f>C18-I18</f>
        <v>-1.7658200000000042</v>
      </c>
      <c r="L18" s="92">
        <f>IF(I18=0,"NM",C18/I18-1)</f>
        <v>-0.24189911532065222</v>
      </c>
      <c r="M18" s="1403"/>
      <c r="N18" s="1102">
        <v>6.86</v>
      </c>
      <c r="O18" s="1102"/>
      <c r="P18" s="374">
        <f t="shared" si="7"/>
        <v>-1.3260000000000005</v>
      </c>
      <c r="Q18" s="92">
        <f t="shared" si="8"/>
        <v>-0.19329446064139943</v>
      </c>
      <c r="U18" s="126">
        <f>+C18/$C$22</f>
        <v>3.3400528710935143E-2</v>
      </c>
      <c r="V18" s="2"/>
      <c r="W18" s="105">
        <f>+C18/C9</f>
        <v>0.10506132057561605</v>
      </c>
      <c r="X18" s="105"/>
      <c r="Y18" s="105">
        <f>+D18/D9</f>
        <v>0.11869946028722431</v>
      </c>
      <c r="Z18" s="105"/>
      <c r="AA18" s="105">
        <f>+I18/I9</f>
        <v>0.13632547108147991</v>
      </c>
      <c r="AB18" s="105"/>
      <c r="AC18" s="2"/>
      <c r="AD18" s="2"/>
      <c r="AE18" s="2"/>
      <c r="AF18" s="2"/>
      <c r="AG18" s="2"/>
      <c r="AH18" s="2"/>
      <c r="AI18" s="2"/>
      <c r="AJ18" s="2"/>
      <c r="AK18" s="2"/>
      <c r="AL18" s="2"/>
      <c r="AM18" s="2"/>
      <c r="AN18" s="2"/>
      <c r="AO18" s="2"/>
      <c r="AP18" s="2"/>
      <c r="AQ18" s="98"/>
      <c r="AR18" s="2"/>
    </row>
    <row r="19" spans="1:44" ht="12.75" customHeight="1">
      <c r="A19" s="334" t="s">
        <v>516</v>
      </c>
      <c r="B19" s="61"/>
      <c r="C19" s="2031">
        <f>BYD!AY41</f>
        <v>41.936</v>
      </c>
      <c r="D19" s="104">
        <f>BYD!AT41</f>
        <v>48.707999999999998</v>
      </c>
      <c r="E19" s="1103"/>
      <c r="F19" s="374">
        <f>C19-D19</f>
        <v>-6.7719999999999985</v>
      </c>
      <c r="G19" s="95">
        <f t="shared" si="6"/>
        <v>-0.13903260244723659</v>
      </c>
      <c r="H19" s="61"/>
      <c r="I19" s="1104">
        <v>43.816375649100024</v>
      </c>
      <c r="J19" s="1103"/>
      <c r="K19" s="374">
        <f>C19-I19</f>
        <v>-1.8803756491000243</v>
      </c>
      <c r="L19" s="92">
        <f>IF(I19=0,"NM",C19/I19-1)</f>
        <v>-4.2914906156521604E-2</v>
      </c>
      <c r="M19" s="1404"/>
      <c r="N19" s="1102">
        <v>47.56</v>
      </c>
      <c r="O19" s="1102"/>
      <c r="P19" s="374">
        <f t="shared" si="7"/>
        <v>-5.6240000000000023</v>
      </c>
      <c r="Q19" s="92">
        <f t="shared" si="8"/>
        <v>-0.11825063078216991</v>
      </c>
      <c r="S19" s="1403"/>
      <c r="U19" s="126">
        <f>+C19/$C$22</f>
        <v>0.25310527141701777</v>
      </c>
      <c r="V19" s="2"/>
      <c r="W19" s="105">
        <f>+C19/C10</f>
        <v>0.19520460268769405</v>
      </c>
      <c r="X19" s="105"/>
      <c r="Y19" s="105">
        <f>+D19/D10</f>
        <v>0.20907861695962912</v>
      </c>
      <c r="Z19" s="105"/>
      <c r="AA19" s="105">
        <f>+I19/I10</f>
        <v>0.19770557517530035</v>
      </c>
      <c r="AB19" s="105"/>
      <c r="AC19" s="2"/>
      <c r="AD19" s="2"/>
      <c r="AE19" s="2"/>
      <c r="AF19" s="2"/>
      <c r="AG19" s="2"/>
      <c r="AH19" s="2"/>
      <c r="AI19" s="2"/>
      <c r="AJ19" s="2"/>
      <c r="AK19" s="2"/>
      <c r="AL19" s="2"/>
      <c r="AM19" s="2"/>
      <c r="AN19" s="2"/>
      <c r="AO19" s="2"/>
      <c r="AP19" s="2"/>
      <c r="AQ19" s="98"/>
      <c r="AR19" s="2"/>
    </row>
    <row r="20" spans="1:44" ht="12.75" customHeight="1">
      <c r="A20" s="963" t="s">
        <v>517</v>
      </c>
      <c r="B20" s="61"/>
      <c r="C20" s="2031">
        <f>BYD!AY42</f>
        <v>45.274000000000001</v>
      </c>
      <c r="D20" s="104">
        <f>BYD!AT42</f>
        <v>0</v>
      </c>
      <c r="E20" s="1103"/>
      <c r="F20" s="374">
        <f>C20-D20</f>
        <v>45.274000000000001</v>
      </c>
      <c r="G20" s="95">
        <f t="shared" si="6"/>
        <v>0</v>
      </c>
      <c r="H20" s="61"/>
      <c r="I20" s="1104">
        <v>50.698221534531648</v>
      </c>
      <c r="J20" s="1103"/>
      <c r="K20" s="374">
        <f>C20-I20</f>
        <v>-5.4242215345316467</v>
      </c>
      <c r="L20" s="92">
        <f>IF(I20=0,"NM",C20/I20-1)</f>
        <v>-0.10699037106927101</v>
      </c>
      <c r="M20" s="1404"/>
      <c r="N20" s="1102">
        <v>49.24</v>
      </c>
      <c r="O20" s="1102"/>
      <c r="P20" s="374">
        <f t="shared" si="7"/>
        <v>-3.9660000000000011</v>
      </c>
      <c r="Q20" s="92">
        <f t="shared" si="8"/>
        <v>-8.054427294882216E-2</v>
      </c>
      <c r="S20" s="1403"/>
      <c r="U20" s="126">
        <f>+C20/$C$22</f>
        <v>0.27325181367164397</v>
      </c>
      <c r="V20" s="2"/>
      <c r="W20" s="105">
        <f>+C20/C11</f>
        <v>0.34633803032389343</v>
      </c>
      <c r="X20" s="105"/>
      <c r="Y20" s="105"/>
      <c r="Z20" s="105"/>
      <c r="AA20" s="105">
        <f>+I20/I11</f>
        <v>0.37302203182299681</v>
      </c>
      <c r="AB20" s="105"/>
      <c r="AC20" s="2"/>
      <c r="AD20" s="2"/>
      <c r="AE20" s="2"/>
      <c r="AF20" s="2"/>
      <c r="AG20" s="2"/>
      <c r="AH20" s="2"/>
      <c r="AI20" s="2"/>
      <c r="AJ20" s="2"/>
      <c r="AK20" s="2"/>
      <c r="AL20" s="2"/>
      <c r="AM20" s="2"/>
      <c r="AN20" s="2"/>
      <c r="AO20" s="2"/>
      <c r="AP20" s="2"/>
      <c r="AQ20" s="98"/>
      <c r="AR20" s="2"/>
    </row>
    <row r="21" spans="1:44" ht="12.75" customHeight="1">
      <c r="A21" s="334" t="s">
        <v>273</v>
      </c>
      <c r="B21" s="61"/>
      <c r="C21" s="2031">
        <f>BYD!AY45</f>
        <v>46.591999999999999</v>
      </c>
      <c r="D21" s="104">
        <f>BYD!AT927</f>
        <v>33.35</v>
      </c>
      <c r="E21" s="1103"/>
      <c r="F21" s="374">
        <f>C21-D21</f>
        <v>13.241999999999997</v>
      </c>
      <c r="G21" s="95">
        <f t="shared" si="6"/>
        <v>0.39706146926536712</v>
      </c>
      <c r="H21" s="61"/>
      <c r="I21" s="1104">
        <v>55.370103446096863</v>
      </c>
      <c r="J21" s="1103"/>
      <c r="K21" s="374">
        <f>C21-I21</f>
        <v>-8.7781034460968641</v>
      </c>
      <c r="L21" s="92">
        <f>IF(I21=0,"NM",C21/I21-1)</f>
        <v>-0.15853507397981303</v>
      </c>
      <c r="M21" s="1444"/>
      <c r="N21" s="1102">
        <v>46.62</v>
      </c>
      <c r="O21" s="1102"/>
      <c r="P21" s="374">
        <f t="shared" si="7"/>
        <v>-2.7999999999998693E-2</v>
      </c>
      <c r="Q21" s="92">
        <f t="shared" si="8"/>
        <v>-6.0060060060052045E-4</v>
      </c>
      <c r="S21" s="2369" t="s">
        <v>1202</v>
      </c>
      <c r="U21" s="126">
        <f>+C21/$C$22</f>
        <v>0.28120661975061262</v>
      </c>
      <c r="V21" s="2"/>
      <c r="W21" s="105"/>
      <c r="X21" s="105"/>
      <c r="Y21" s="105">
        <f>+D21/D12</f>
        <v>0.17825550133357565</v>
      </c>
      <c r="Z21" s="105"/>
      <c r="AA21" s="105">
        <f>+I21/I12</f>
        <v>0.26803176259759431</v>
      </c>
      <c r="AB21" s="105"/>
      <c r="AC21" s="2"/>
      <c r="AD21" s="2"/>
      <c r="AE21" s="2"/>
      <c r="AF21" s="2"/>
      <c r="AG21" s="2"/>
      <c r="AH21" s="2"/>
      <c r="AI21" s="2"/>
      <c r="AJ21" s="2"/>
      <c r="AK21" s="2"/>
      <c r="AL21" s="2"/>
      <c r="AM21" s="2"/>
      <c r="AN21" s="2"/>
      <c r="AO21" s="2"/>
      <c r="AP21" s="2"/>
      <c r="AQ21" s="98"/>
      <c r="AR21" s="2"/>
    </row>
    <row r="22" spans="1:44" ht="12.75" customHeight="1">
      <c r="A22" s="138" t="s">
        <v>819</v>
      </c>
      <c r="B22" s="1203"/>
      <c r="C22" s="2032">
        <f>SUM(C17:C21)</f>
        <v>165.68599999999998</v>
      </c>
      <c r="D22" s="1210">
        <f>SUM(D17:D21)</f>
        <v>112.685</v>
      </c>
      <c r="E22" s="1210"/>
      <c r="F22" s="1210">
        <f>SUM(F17:F21)</f>
        <v>53.000999999999998</v>
      </c>
      <c r="G22" s="1208">
        <f t="shared" si="6"/>
        <v>0.47034654124328856</v>
      </c>
      <c r="H22" s="1206"/>
      <c r="I22" s="1250">
        <v>187.66674062972857</v>
      </c>
      <c r="J22" s="1210"/>
      <c r="K22" s="1210">
        <f>SUM(K17:K21)</f>
        <v>-21.980740629728551</v>
      </c>
      <c r="L22" s="1211">
        <f>C22/I22-1</f>
        <v>-0.11712645808186739</v>
      </c>
      <c r="M22" s="1444"/>
      <c r="N22" s="1349">
        <v>180.04</v>
      </c>
      <c r="O22" s="1205"/>
      <c r="P22" s="2368">
        <f t="shared" si="7"/>
        <v>-14.354000000000013</v>
      </c>
      <c r="Q22" s="1211">
        <f t="shared" si="8"/>
        <v>-7.9726727393912511E-2</v>
      </c>
      <c r="U22" s="2"/>
      <c r="V22" s="2"/>
      <c r="W22" s="2"/>
      <c r="X22" s="2"/>
      <c r="Y22" s="2"/>
      <c r="Z22" s="2"/>
      <c r="AA22" s="2"/>
      <c r="AB22" s="2"/>
      <c r="AC22" s="2"/>
      <c r="AD22" s="2"/>
      <c r="AE22" s="2"/>
      <c r="AF22" s="2"/>
      <c r="AG22" s="2"/>
      <c r="AH22" s="2"/>
      <c r="AI22" s="2"/>
      <c r="AJ22" s="2"/>
      <c r="AK22" s="2"/>
      <c r="AL22" s="2"/>
      <c r="AM22" s="2"/>
      <c r="AN22" s="2"/>
      <c r="AO22" s="2"/>
      <c r="AP22" s="2"/>
      <c r="AQ22" s="98"/>
      <c r="AR22" s="2"/>
    </row>
    <row r="23" spans="1:44" ht="12.75" customHeight="1">
      <c r="A23" s="2" t="s">
        <v>742</v>
      </c>
      <c r="B23" s="2"/>
      <c r="C23" s="2031">
        <f>BYD!AY54</f>
        <v>-10.409000000000001</v>
      </c>
      <c r="D23" s="104">
        <f>BYD!AT54</f>
        <v>-9.0820000000000007</v>
      </c>
      <c r="E23" s="1103"/>
      <c r="F23" s="374">
        <f>C23-D23</f>
        <v>-1.327</v>
      </c>
      <c r="G23" s="126">
        <f t="shared" si="6"/>
        <v>0.1461131909271085</v>
      </c>
      <c r="H23" s="2"/>
      <c r="I23" s="1104">
        <v>-10.4443</v>
      </c>
      <c r="J23" s="1103"/>
      <c r="K23" s="374">
        <f>C23-I23</f>
        <v>3.5299999999999443E-2</v>
      </c>
      <c r="L23" s="1204">
        <f>IF(I23=0,"NM",C23/I23-1)</f>
        <v>-3.3798339764272711E-3</v>
      </c>
      <c r="N23" s="1336"/>
      <c r="O23" s="1336"/>
      <c r="P23" s="1336"/>
      <c r="Q23" s="1336"/>
      <c r="U23" s="2"/>
      <c r="V23" s="2"/>
      <c r="W23" s="2"/>
      <c r="X23" s="2"/>
      <c r="Y23" s="2"/>
      <c r="Z23" s="2"/>
      <c r="AA23" s="2"/>
      <c r="AB23" s="2"/>
      <c r="AC23" s="2"/>
      <c r="AD23" s="2"/>
      <c r="AE23" s="2"/>
      <c r="AF23" s="2"/>
      <c r="AG23" s="2"/>
      <c r="AH23" s="2"/>
      <c r="AI23" s="2"/>
      <c r="AJ23" s="2"/>
      <c r="AK23" s="2"/>
      <c r="AL23" s="2"/>
      <c r="AM23" s="2"/>
      <c r="AN23" s="2"/>
      <c r="AO23" s="2"/>
      <c r="AP23" s="2"/>
      <c r="AQ23" s="98"/>
      <c r="AR23" s="2"/>
    </row>
    <row r="24" spans="1:44" ht="12.75" customHeight="1">
      <c r="A24" s="138" t="s">
        <v>555</v>
      </c>
      <c r="B24" s="1203"/>
      <c r="C24" s="2032">
        <f>SUM(C22:C23)</f>
        <v>155.27699999999999</v>
      </c>
      <c r="D24" s="1210">
        <f>SUM(D22:D23)</f>
        <v>103.60300000000001</v>
      </c>
      <c r="E24" s="1210"/>
      <c r="F24" s="1210">
        <f>F22+F23</f>
        <v>51.673999999999999</v>
      </c>
      <c r="G24" s="1208">
        <f t="shared" si="6"/>
        <v>0.49876934065615841</v>
      </c>
      <c r="H24" s="1210"/>
      <c r="I24" s="1250">
        <v>177.22244062972857</v>
      </c>
      <c r="J24" s="1210"/>
      <c r="K24" s="1210">
        <f>K22+K23</f>
        <v>-21.945440629728552</v>
      </c>
      <c r="L24" s="1254">
        <f>IF(I24=0,"NM",C24/I24-1)</f>
        <v>-0.12382991991166215</v>
      </c>
      <c r="M24" s="1442"/>
      <c r="N24" s="1349">
        <v>168.45</v>
      </c>
      <c r="O24" s="1349"/>
      <c r="P24" s="374">
        <f>C24-N24</f>
        <v>-13.173000000000002</v>
      </c>
      <c r="Q24" s="92">
        <f>IF(N24=0,"NM",C24/N24-1)</f>
        <v>-7.820124666073025E-2</v>
      </c>
      <c r="R24" s="1299"/>
      <c r="S24" s="2369" t="s">
        <v>1187</v>
      </c>
      <c r="U24" s="105">
        <f>+C24/N24-1</f>
        <v>-7.820124666073025E-2</v>
      </c>
      <c r="V24" s="2"/>
      <c r="W24" s="2"/>
      <c r="X24" s="2"/>
      <c r="Y24" s="2"/>
      <c r="Z24" s="2"/>
      <c r="AA24" s="2"/>
      <c r="AB24" s="2"/>
      <c r="AC24" s="2"/>
      <c r="AD24" s="2"/>
      <c r="AE24" s="2"/>
      <c r="AF24" s="2"/>
      <c r="AG24" s="2"/>
      <c r="AH24" s="2"/>
      <c r="AI24" s="2"/>
      <c r="AJ24" s="2"/>
      <c r="AK24" s="2"/>
      <c r="AL24" s="2"/>
      <c r="AM24" s="2"/>
      <c r="AN24" s="2"/>
      <c r="AO24" s="2"/>
      <c r="AP24" s="2"/>
      <c r="AQ24" s="98"/>
      <c r="AR24" s="2"/>
    </row>
    <row r="25" spans="1:44" ht="12.75" customHeight="1">
      <c r="A25" s="2253" t="s">
        <v>1486</v>
      </c>
      <c r="B25" s="2253"/>
      <c r="C25" s="2259">
        <f>+C24/C14</f>
        <v>0.28834133677982904</v>
      </c>
      <c r="D25" s="2253">
        <f>+D24/D14</f>
        <v>0.1691781381146002</v>
      </c>
      <c r="E25" s="2253"/>
      <c r="F25" s="2253"/>
      <c r="G25" s="213">
        <f>+C25-D25</f>
        <v>0.11916319866522884</v>
      </c>
      <c r="H25" s="2253"/>
      <c r="I25" s="2260">
        <v>0.23342495079712347</v>
      </c>
      <c r="J25" s="2253"/>
      <c r="K25" s="2253"/>
      <c r="L25" s="213">
        <f>+C25-I25</f>
        <v>5.4916385982705568E-2</v>
      </c>
      <c r="M25" s="2254"/>
      <c r="N25" s="2258"/>
      <c r="O25" s="2258"/>
      <c r="P25" s="2258"/>
      <c r="Q25" s="2258"/>
      <c r="R25" s="2255"/>
      <c r="S25" s="2256"/>
      <c r="T25" s="2257"/>
      <c r="U25" s="2258"/>
      <c r="V25" s="2258"/>
      <c r="W25" s="2258"/>
      <c r="X25" s="2258"/>
      <c r="Y25" s="2258"/>
      <c r="Z25" s="2258"/>
      <c r="AA25" s="2258"/>
      <c r="AB25" s="2258"/>
      <c r="AC25" s="2258"/>
      <c r="AD25" s="2258"/>
      <c r="AE25" s="2258"/>
      <c r="AF25" s="2258"/>
      <c r="AG25" s="2258"/>
      <c r="AH25" s="2258"/>
      <c r="AI25" s="2258"/>
      <c r="AJ25" s="2258"/>
      <c r="AK25" s="2258"/>
      <c r="AL25" s="2258"/>
      <c r="AM25" s="2258"/>
      <c r="AN25" s="2258"/>
      <c r="AO25" s="2258"/>
      <c r="AP25" s="2258"/>
      <c r="AQ25" s="2277"/>
      <c r="AR25" s="2258"/>
    </row>
    <row r="26" spans="1:44" ht="3.95" customHeight="1">
      <c r="A26" s="198"/>
      <c r="B26" s="77"/>
      <c r="C26" s="2245"/>
      <c r="D26" s="2239"/>
      <c r="E26" s="2239"/>
      <c r="F26" s="2239"/>
      <c r="G26" s="2246"/>
      <c r="H26" s="2239"/>
      <c r="I26" s="2247"/>
      <c r="J26" s="2239"/>
      <c r="K26" s="2239"/>
      <c r="L26" s="2246"/>
      <c r="M26" s="2248"/>
      <c r="N26" s="2249"/>
      <c r="O26" s="2249"/>
      <c r="P26" s="2249"/>
      <c r="Q26" s="2249"/>
      <c r="R26" s="2250"/>
      <c r="S26" s="2251"/>
      <c r="T26" s="2252"/>
      <c r="U26" s="1062"/>
      <c r="V26" s="1062"/>
      <c r="W26" s="1062"/>
      <c r="X26" s="1062"/>
      <c r="Y26" s="1062"/>
      <c r="Z26" s="1062"/>
      <c r="AA26" s="1062"/>
      <c r="AB26" s="1062"/>
      <c r="AC26" s="1062"/>
      <c r="AD26" s="1062"/>
      <c r="AE26" s="1062"/>
      <c r="AF26" s="1062"/>
      <c r="AG26" s="1062"/>
      <c r="AH26" s="1062"/>
      <c r="AI26" s="1062"/>
      <c r="AJ26" s="1062"/>
      <c r="AK26" s="1062"/>
      <c r="AL26" s="1062"/>
      <c r="AM26" s="1062"/>
      <c r="AN26" s="1062"/>
      <c r="AO26" s="1062"/>
      <c r="AP26" s="1062"/>
      <c r="AQ26" s="1092"/>
      <c r="AR26" s="1062"/>
    </row>
    <row r="27" spans="1:44" ht="12.75" customHeight="1">
      <c r="A27" s="439" t="s">
        <v>1745</v>
      </c>
      <c r="B27" s="2"/>
      <c r="C27" s="2036">
        <f>BYD!AY65</f>
        <v>2</v>
      </c>
      <c r="D27" s="374">
        <f>BYD!AT65</f>
        <v>1.607</v>
      </c>
      <c r="E27" s="1103"/>
      <c r="F27" s="374">
        <f>C27-D27</f>
        <v>0.39300000000000002</v>
      </c>
      <c r="G27" s="126">
        <f>IF(D27=0,0,C27/D27-1)</f>
        <v>0.24455507156191669</v>
      </c>
      <c r="H27" s="2"/>
      <c r="I27" s="432">
        <v>3</v>
      </c>
      <c r="J27" s="1103"/>
      <c r="K27" s="374">
        <f>C27-I27</f>
        <v>-1</v>
      </c>
      <c r="L27" s="1204">
        <f>IF(I27=0,"NM",C27/I27-1)</f>
        <v>-0.33333333333333337</v>
      </c>
      <c r="M27" s="1646"/>
      <c r="N27" s="2"/>
      <c r="O27" s="2"/>
      <c r="P27" s="2"/>
      <c r="Q27" s="2"/>
      <c r="U27" s="2"/>
      <c r="V27" s="2"/>
      <c r="W27" s="2"/>
      <c r="X27" s="2"/>
      <c r="Y27" s="2"/>
      <c r="Z27" s="2"/>
      <c r="AA27" s="2"/>
      <c r="AB27" s="2"/>
      <c r="AC27" s="2"/>
      <c r="AD27" s="2"/>
      <c r="AE27" s="2"/>
      <c r="AF27" s="2"/>
      <c r="AG27" s="2"/>
      <c r="AH27" s="2"/>
      <c r="AI27" s="2"/>
      <c r="AJ27" s="2"/>
      <c r="AK27" s="2"/>
      <c r="AL27" s="2"/>
      <c r="AM27" s="2"/>
      <c r="AN27" s="2"/>
      <c r="AO27" s="2"/>
      <c r="AP27" s="2"/>
      <c r="AQ27" s="98"/>
      <c r="AR27" s="2"/>
    </row>
    <row r="28" spans="1:44" ht="12.75" customHeight="1">
      <c r="A28" s="439" t="s">
        <v>201</v>
      </c>
      <c r="B28" s="2"/>
      <c r="C28" s="2036">
        <f>BYD!AY66</f>
        <v>1.1000000000000001</v>
      </c>
      <c r="D28" s="374">
        <f>BYD!AT66</f>
        <v>0.996</v>
      </c>
      <c r="E28" s="1103"/>
      <c r="F28" s="374">
        <f>C28-D28</f>
        <v>0.10400000000000009</v>
      </c>
      <c r="G28" s="126">
        <f>IF(D28=0,0,C28/D28-1)</f>
        <v>0.10441767068273111</v>
      </c>
      <c r="H28" s="2"/>
      <c r="I28" s="432">
        <v>0.996</v>
      </c>
      <c r="J28" s="1103"/>
      <c r="K28" s="374">
        <f>C28-I28</f>
        <v>0.10400000000000009</v>
      </c>
      <c r="L28" s="1204">
        <f>IF(I28=0,"NM",C28/I28-1)</f>
        <v>0.10441767068273111</v>
      </c>
      <c r="M28" s="1102"/>
      <c r="N28" s="1102"/>
      <c r="O28" s="1102"/>
      <c r="P28" s="1102"/>
      <c r="Q28" s="1102"/>
      <c r="U28" s="2"/>
      <c r="V28" s="2"/>
      <c r="W28" s="2"/>
      <c r="X28" s="2"/>
      <c r="Y28" s="2"/>
      <c r="Z28" s="2"/>
      <c r="AA28" s="2"/>
      <c r="AB28" s="2"/>
      <c r="AC28" s="2"/>
      <c r="AD28" s="2"/>
      <c r="AE28" s="2"/>
      <c r="AF28" s="2"/>
      <c r="AG28" s="2"/>
      <c r="AH28" s="2"/>
      <c r="AI28" s="2"/>
      <c r="AJ28" s="2"/>
      <c r="AK28" s="2"/>
      <c r="AL28" s="2"/>
      <c r="AM28" s="2"/>
      <c r="AN28" s="2"/>
      <c r="AO28" s="2"/>
      <c r="AP28" s="2"/>
      <c r="AQ28" s="98"/>
      <c r="AR28" s="2"/>
    </row>
    <row r="29" spans="1:44" ht="12.75" customHeight="1">
      <c r="A29" s="1693" t="s">
        <v>202</v>
      </c>
      <c r="B29" s="2"/>
      <c r="C29" s="2036">
        <f>BYD!AY67</f>
        <v>54.7</v>
      </c>
      <c r="D29" s="374">
        <f>BYD!AT67</f>
        <v>50.408999999999999</v>
      </c>
      <c r="E29" s="1103"/>
      <c r="F29" s="374">
        <f>C29-D29</f>
        <v>4.2910000000000039</v>
      </c>
      <c r="G29" s="126">
        <f>IF(D29=0,0,C29/D29-1)</f>
        <v>8.5123688230276384E-2</v>
      </c>
      <c r="H29" s="2"/>
      <c r="I29" s="432">
        <v>72.105999999999995</v>
      </c>
      <c r="J29" s="1103"/>
      <c r="K29" s="374">
        <f>C29-I29</f>
        <v>-17.405999999999992</v>
      </c>
      <c r="L29" s="1204">
        <f>IF(I29=0,"NM",C29/I29-1)</f>
        <v>-0.24139461348570146</v>
      </c>
      <c r="M29" s="1102"/>
      <c r="N29" s="1102"/>
      <c r="O29" s="1102"/>
      <c r="P29" s="1102"/>
      <c r="Q29" s="1102"/>
      <c r="U29" s="2"/>
      <c r="V29" s="2"/>
      <c r="W29" s="2"/>
      <c r="X29" s="2"/>
      <c r="Y29" s="2"/>
      <c r="Z29" s="2"/>
      <c r="AA29" s="2"/>
      <c r="AB29" s="2"/>
      <c r="AC29" s="2"/>
      <c r="AD29" s="2"/>
      <c r="AE29" s="2"/>
      <c r="AF29" s="2"/>
      <c r="AG29" s="2"/>
      <c r="AH29" s="2"/>
      <c r="AI29" s="2"/>
      <c r="AJ29" s="2"/>
      <c r="AK29" s="2"/>
      <c r="AL29" s="2"/>
      <c r="AM29" s="2"/>
      <c r="AN29" s="2"/>
      <c r="AO29" s="2"/>
      <c r="AP29" s="2"/>
      <c r="AQ29" s="98"/>
      <c r="AR29" s="2"/>
    </row>
    <row r="30" spans="1:44" ht="4.5" customHeight="1">
      <c r="A30" s="964"/>
      <c r="B30" s="2"/>
      <c r="C30" s="2037" t="s">
        <v>343</v>
      </c>
      <c r="D30" s="452" t="s">
        <v>343</v>
      </c>
      <c r="E30" s="96" t="s">
        <v>343</v>
      </c>
      <c r="F30" s="452" t="s">
        <v>343</v>
      </c>
      <c r="G30" s="1251" t="s">
        <v>343</v>
      </c>
      <c r="H30" s="2" t="s">
        <v>343</v>
      </c>
      <c r="I30" s="2223" t="s">
        <v>343</v>
      </c>
      <c r="J30" s="96" t="s">
        <v>343</v>
      </c>
      <c r="K30" s="452" t="s">
        <v>343</v>
      </c>
      <c r="L30" s="1252" t="s">
        <v>343</v>
      </c>
      <c r="M30" s="1102"/>
      <c r="N30" s="1102"/>
      <c r="O30" s="1102"/>
      <c r="P30" s="1102"/>
      <c r="Q30" s="1102"/>
      <c r="U30" s="2"/>
      <c r="V30" s="2"/>
      <c r="W30" s="2"/>
      <c r="X30" s="2"/>
      <c r="Y30" s="2"/>
      <c r="Z30" s="2"/>
      <c r="AA30" s="2"/>
      <c r="AB30" s="2"/>
      <c r="AC30" s="2"/>
      <c r="AD30" s="2"/>
      <c r="AE30" s="2"/>
      <c r="AF30" s="2"/>
      <c r="AG30" s="2"/>
      <c r="AH30" s="2"/>
      <c r="AI30" s="2"/>
      <c r="AJ30" s="2"/>
      <c r="AK30" s="2"/>
      <c r="AL30" s="2"/>
      <c r="AM30" s="2"/>
      <c r="AN30" s="2"/>
      <c r="AO30" s="2"/>
      <c r="AP30" s="2"/>
      <c r="AQ30" s="98"/>
      <c r="AR30" s="2"/>
    </row>
    <row r="31" spans="1:44" ht="12.75" customHeight="1">
      <c r="A31" s="1" t="s">
        <v>744</v>
      </c>
      <c r="B31" s="2"/>
      <c r="C31" s="2235">
        <f>C24-C27-C28-C29</f>
        <v>97.47699999999999</v>
      </c>
      <c r="D31" s="2236">
        <f>D24-D27-D28-D29</f>
        <v>50.591000000000015</v>
      </c>
      <c r="E31" s="325"/>
      <c r="F31" s="2236">
        <f>F24-F27-F28-F29</f>
        <v>46.885999999999996</v>
      </c>
      <c r="G31" s="106">
        <f>IF(D31=0,0,C31/D31-1)</f>
        <v>0.92676563025043901</v>
      </c>
      <c r="H31" s="1205"/>
      <c r="I31" s="2237">
        <v>101.12044062972856</v>
      </c>
      <c r="J31" s="932"/>
      <c r="K31" s="2236">
        <f>C31-I31</f>
        <v>-3.6434406297285733</v>
      </c>
      <c r="L31" s="1214">
        <f>C31/I31-1</f>
        <v>-3.6030703654365115E-2</v>
      </c>
      <c r="N31" s="2"/>
      <c r="O31" s="2"/>
      <c r="P31" s="2"/>
      <c r="Q31" s="2"/>
      <c r="U31" s="1336"/>
      <c r="V31" s="2"/>
      <c r="W31" s="2"/>
      <c r="X31" s="2"/>
      <c r="Y31" s="2"/>
      <c r="Z31" s="2"/>
      <c r="AA31" s="2"/>
      <c r="AB31" s="2"/>
      <c r="AC31" s="2"/>
      <c r="AD31" s="2"/>
      <c r="AE31" s="2"/>
      <c r="AF31" s="2"/>
      <c r="AG31" s="2"/>
      <c r="AH31" s="2"/>
      <c r="AI31" s="2"/>
      <c r="AJ31" s="2"/>
      <c r="AK31" s="2"/>
      <c r="AL31" s="2"/>
      <c r="AM31" s="2"/>
      <c r="AN31" s="2"/>
      <c r="AO31" s="2"/>
      <c r="AP31" s="2"/>
      <c r="AQ31" s="98"/>
      <c r="AR31" s="2"/>
    </row>
    <row r="32" spans="1:44" ht="12.75" customHeight="1">
      <c r="A32" s="445" t="s">
        <v>1176</v>
      </c>
      <c r="B32" s="2"/>
      <c r="C32" s="2036">
        <f>BYD!AY73</f>
        <v>-62.3</v>
      </c>
      <c r="D32" s="374">
        <f>BYD!AT73</f>
        <v>-73.843000000000004</v>
      </c>
      <c r="E32" s="932"/>
      <c r="F32" s="374">
        <f>C32-D32</f>
        <v>11.543000000000006</v>
      </c>
      <c r="G32" s="126">
        <f>IF(D32=0,0,C32/D32-1)</f>
        <v>-0.15631813442032427</v>
      </c>
      <c r="H32" s="1205"/>
      <c r="I32" s="432">
        <v>-83.687745312499999</v>
      </c>
      <c r="J32" s="932"/>
      <c r="K32" s="374">
        <f>C32-I32</f>
        <v>21.387745312500002</v>
      </c>
      <c r="L32" s="1204">
        <f>IF(I32=0,"NM",C32/I32-1)</f>
        <v>-0.25556603577543657</v>
      </c>
      <c r="N32" s="2"/>
      <c r="O32" s="2"/>
      <c r="P32" s="2"/>
      <c r="Q32" s="2"/>
      <c r="U32" s="2"/>
      <c r="V32" s="2"/>
      <c r="W32" s="2"/>
      <c r="X32" s="2"/>
      <c r="Y32" s="2"/>
      <c r="Z32" s="2"/>
      <c r="AA32" s="2"/>
      <c r="AB32" s="2"/>
      <c r="AC32" s="2"/>
      <c r="AD32" s="2"/>
      <c r="AE32" s="2"/>
      <c r="AF32" s="2"/>
      <c r="AG32" s="2"/>
      <c r="AH32" s="2"/>
      <c r="AI32" s="2"/>
      <c r="AJ32" s="2"/>
      <c r="AK32" s="2"/>
      <c r="AL32" s="2"/>
      <c r="AM32" s="2"/>
      <c r="AN32" s="2"/>
      <c r="AO32" s="2"/>
      <c r="AP32" s="2"/>
      <c r="AQ32" s="98"/>
      <c r="AR32" s="2"/>
    </row>
    <row r="33" spans="1:44" ht="12.75" customHeight="1">
      <c r="A33" s="445" t="s">
        <v>203</v>
      </c>
      <c r="B33" s="2"/>
      <c r="C33" s="2036">
        <f>BYD!AY74</f>
        <v>0</v>
      </c>
      <c r="D33" s="374">
        <f>BYD!AT74</f>
        <v>0</v>
      </c>
      <c r="E33" s="932"/>
      <c r="F33" s="374">
        <f>C33-D33</f>
        <v>0</v>
      </c>
      <c r="G33" s="126">
        <f>IF(D33=0,0,C33/D33-1)</f>
        <v>0</v>
      </c>
      <c r="H33" s="1205"/>
      <c r="I33" s="432">
        <v>0</v>
      </c>
      <c r="J33" s="932"/>
      <c r="K33" s="374">
        <f>C33-I33</f>
        <v>0</v>
      </c>
      <c r="L33" s="1204" t="str">
        <f>IF(I33=0,"NM",C33/I33-1)</f>
        <v>NM</v>
      </c>
      <c r="N33" s="2"/>
      <c r="O33" s="2"/>
      <c r="P33" s="2"/>
      <c r="Q33" s="2"/>
      <c r="U33" s="2"/>
      <c r="V33" s="2"/>
      <c r="W33" s="2"/>
      <c r="X33" s="2"/>
      <c r="Y33" s="2"/>
      <c r="Z33" s="2"/>
      <c r="AA33" s="2"/>
      <c r="AB33" s="2"/>
      <c r="AC33" s="2"/>
      <c r="AD33" s="2"/>
      <c r="AE33" s="2"/>
      <c r="AF33" s="2"/>
      <c r="AG33" s="2"/>
      <c r="AH33" s="2"/>
      <c r="AI33" s="2"/>
      <c r="AJ33" s="2"/>
      <c r="AK33" s="2"/>
      <c r="AL33" s="2"/>
      <c r="AM33" s="2"/>
      <c r="AN33" s="2"/>
      <c r="AO33" s="2"/>
      <c r="AP33" s="2"/>
      <c r="AQ33" s="98"/>
      <c r="AR33" s="2"/>
    </row>
    <row r="34" spans="1:44" ht="12.75" customHeight="1">
      <c r="A34" s="445" t="s">
        <v>814</v>
      </c>
      <c r="B34" s="2"/>
      <c r="C34" s="2036">
        <f>BYD!AY78</f>
        <v>-26.200000000000003</v>
      </c>
      <c r="D34" s="374">
        <f>BYD!AT78</f>
        <v>-2.2430000000000003</v>
      </c>
      <c r="E34" s="1103"/>
      <c r="F34" s="374">
        <f>C34-D34</f>
        <v>-23.957000000000001</v>
      </c>
      <c r="G34" s="126">
        <f>IF(D34=0,0,C34/D34-1)</f>
        <v>10.680784663397235</v>
      </c>
      <c r="H34" s="2"/>
      <c r="I34" s="432">
        <v>-0.25</v>
      </c>
      <c r="J34" s="1103"/>
      <c r="K34" s="374">
        <f>C34-I34</f>
        <v>-25.950000000000003</v>
      </c>
      <c r="L34" s="1204">
        <f>IF(I34=0,"NM",C34/I34-1)</f>
        <v>103.80000000000001</v>
      </c>
      <c r="N34" s="2"/>
      <c r="O34" s="2"/>
      <c r="P34" s="2"/>
      <c r="Q34" s="2"/>
      <c r="U34" s="2"/>
      <c r="V34" s="2"/>
      <c r="W34" s="2"/>
      <c r="X34" s="2"/>
      <c r="Y34" s="2"/>
      <c r="Z34" s="2"/>
      <c r="AA34" s="2"/>
      <c r="AB34" s="2"/>
      <c r="AC34" s="2"/>
      <c r="AD34" s="2"/>
      <c r="AE34" s="2"/>
      <c r="AF34" s="2"/>
      <c r="AG34" s="2"/>
      <c r="AH34" s="2"/>
      <c r="AI34" s="2"/>
      <c r="AJ34" s="2"/>
      <c r="AK34" s="2"/>
      <c r="AL34" s="2"/>
      <c r="AM34" s="2"/>
      <c r="AN34" s="2"/>
      <c r="AO34" s="2"/>
      <c r="AP34" s="2"/>
      <c r="AQ34" s="98"/>
      <c r="AR34" s="2"/>
    </row>
    <row r="35" spans="1:44" ht="4.5" customHeight="1">
      <c r="A35" s="964"/>
      <c r="B35" s="2"/>
      <c r="C35" s="2037" t="s">
        <v>343</v>
      </c>
      <c r="D35" s="452" t="s">
        <v>343</v>
      </c>
      <c r="E35" s="96" t="s">
        <v>343</v>
      </c>
      <c r="F35" s="452" t="s">
        <v>343</v>
      </c>
      <c r="G35" s="1251" t="s">
        <v>343</v>
      </c>
      <c r="H35" s="2" t="s">
        <v>343</v>
      </c>
      <c r="I35" s="2223" t="s">
        <v>343</v>
      </c>
      <c r="J35" s="96" t="s">
        <v>343</v>
      </c>
      <c r="K35" s="452" t="s">
        <v>343</v>
      </c>
      <c r="L35" s="1252" t="s">
        <v>343</v>
      </c>
      <c r="M35" s="1102"/>
      <c r="N35" s="1102"/>
      <c r="O35" s="1102"/>
      <c r="P35" s="1102"/>
      <c r="Q35" s="1102"/>
      <c r="U35" s="2"/>
      <c r="V35" s="2"/>
      <c r="W35" s="2"/>
      <c r="X35" s="2"/>
      <c r="Y35" s="2"/>
      <c r="Z35" s="2"/>
      <c r="AA35" s="2"/>
      <c r="AB35" s="2"/>
      <c r="AC35" s="2"/>
      <c r="AD35" s="2"/>
      <c r="AE35" s="2"/>
      <c r="AF35" s="2"/>
      <c r="AG35" s="2"/>
      <c r="AH35" s="2"/>
      <c r="AI35" s="2"/>
      <c r="AJ35" s="2"/>
      <c r="AK35" s="2"/>
      <c r="AL35" s="2"/>
      <c r="AM35" s="2"/>
      <c r="AN35" s="2"/>
      <c r="AO35" s="2"/>
      <c r="AP35" s="2"/>
      <c r="AQ35" s="98"/>
      <c r="AR35" s="2"/>
    </row>
    <row r="36" spans="1:44" ht="12.75" customHeight="1">
      <c r="A36" s="1" t="s">
        <v>745</v>
      </c>
      <c r="B36" s="2"/>
      <c r="C36" s="2240">
        <f>SUM(C31:C34)</f>
        <v>8.9769999999999897</v>
      </c>
      <c r="D36" s="2239">
        <f>SUM(D31:D34)</f>
        <v>-25.49499999999999</v>
      </c>
      <c r="E36" s="932"/>
      <c r="F36" s="2236">
        <f>C36-D36</f>
        <v>34.47199999999998</v>
      </c>
      <c r="G36" s="106">
        <f>IF(D36=0,0,C36/D36-1)</f>
        <v>-1.3521082565208862</v>
      </c>
      <c r="H36" s="1205"/>
      <c r="I36" s="2238">
        <v>17.182695317228564</v>
      </c>
      <c r="J36" s="932"/>
      <c r="K36" s="2236">
        <f>C36-I36</f>
        <v>-8.2056953172285745</v>
      </c>
      <c r="L36" s="1214">
        <f>C36/I36-1</f>
        <v>-0.47755577141619765</v>
      </c>
      <c r="N36" s="2"/>
      <c r="O36" s="2"/>
      <c r="P36" s="2"/>
      <c r="Q36" s="2"/>
      <c r="U36" s="2"/>
      <c r="V36" s="2"/>
      <c r="W36" s="2"/>
      <c r="X36" s="2"/>
      <c r="Y36" s="2"/>
      <c r="Z36" s="2"/>
      <c r="AA36" s="2"/>
      <c r="AB36" s="2"/>
      <c r="AC36" s="2"/>
      <c r="AD36" s="2"/>
      <c r="AE36" s="2"/>
      <c r="AF36" s="2"/>
      <c r="AG36" s="2"/>
      <c r="AH36" s="2"/>
      <c r="AI36" s="2"/>
      <c r="AJ36" s="2"/>
      <c r="AK36" s="2"/>
      <c r="AL36" s="2"/>
      <c r="AM36" s="2"/>
      <c r="AN36" s="2"/>
      <c r="AO36" s="2"/>
      <c r="AP36" s="2"/>
      <c r="AQ36" s="98"/>
      <c r="AR36" s="2"/>
    </row>
    <row r="37" spans="1:44" ht="12.75" customHeight="1">
      <c r="A37" s="445" t="s">
        <v>205</v>
      </c>
      <c r="B37" s="2"/>
      <c r="C37" s="2036">
        <f>BYD!AY81</f>
        <v>-2.2999999999999998</v>
      </c>
      <c r="D37" s="374">
        <f>BYD!AT81</f>
        <v>8.4130000000000003</v>
      </c>
      <c r="E37" s="1103"/>
      <c r="F37" s="374">
        <f>C37-D37</f>
        <v>-10.713000000000001</v>
      </c>
      <c r="G37" s="126">
        <f>IF(D37=0,0,C37/D37-1)</f>
        <v>-1.2733864257696421</v>
      </c>
      <c r="H37" s="2"/>
      <c r="I37" s="432">
        <v>-6.0139433610300017</v>
      </c>
      <c r="J37" s="1103"/>
      <c r="K37" s="374">
        <f>C37-I37</f>
        <v>3.7139433610300019</v>
      </c>
      <c r="L37" s="1204">
        <f>IF(I37=0,"NM",C37/I37-1)</f>
        <v>-0.61755542712559208</v>
      </c>
      <c r="N37" s="2"/>
      <c r="O37" s="2"/>
      <c r="P37" s="2"/>
      <c r="Q37" s="2"/>
      <c r="U37" s="2"/>
      <c r="V37" s="2"/>
      <c r="W37" s="2"/>
      <c r="X37" s="2"/>
      <c r="Y37" s="2"/>
      <c r="Z37" s="2"/>
      <c r="AA37" s="2"/>
      <c r="AB37" s="2"/>
      <c r="AC37" s="2"/>
      <c r="AD37" s="2"/>
      <c r="AE37" s="2"/>
      <c r="AF37" s="2"/>
      <c r="AG37" s="2"/>
      <c r="AH37" s="2"/>
      <c r="AI37" s="2"/>
      <c r="AJ37" s="2"/>
      <c r="AK37" s="2"/>
      <c r="AL37" s="2"/>
      <c r="AM37" s="2"/>
      <c r="AN37" s="2"/>
      <c r="AO37" s="2"/>
      <c r="AP37" s="2"/>
      <c r="AQ37" s="98"/>
      <c r="AR37" s="2"/>
    </row>
    <row r="38" spans="1:44" ht="4.5" customHeight="1">
      <c r="A38" s="964"/>
      <c r="B38" s="2"/>
      <c r="C38" s="2037" t="s">
        <v>343</v>
      </c>
      <c r="D38" s="452" t="s">
        <v>343</v>
      </c>
      <c r="E38" s="96" t="s">
        <v>343</v>
      </c>
      <c r="F38" s="452" t="s">
        <v>343</v>
      </c>
      <c r="G38" s="1251" t="s">
        <v>343</v>
      </c>
      <c r="H38" s="2" t="s">
        <v>343</v>
      </c>
      <c r="I38" s="2223" t="s">
        <v>343</v>
      </c>
      <c r="J38" s="96" t="s">
        <v>343</v>
      </c>
      <c r="K38" s="452" t="s">
        <v>343</v>
      </c>
      <c r="L38" s="1252" t="s">
        <v>343</v>
      </c>
      <c r="M38" s="1102"/>
      <c r="N38" s="1102"/>
      <c r="O38" s="1102"/>
      <c r="P38" s="1102"/>
      <c r="Q38" s="1102"/>
      <c r="U38" s="2"/>
      <c r="V38" s="2"/>
      <c r="W38" s="2"/>
      <c r="X38" s="2"/>
      <c r="Y38" s="2"/>
      <c r="Z38" s="2"/>
      <c r="AA38" s="2"/>
      <c r="AB38" s="2"/>
      <c r="AC38" s="2"/>
      <c r="AD38" s="2"/>
      <c r="AE38" s="2"/>
      <c r="AF38" s="2"/>
      <c r="AG38" s="2"/>
      <c r="AH38" s="2"/>
      <c r="AI38" s="2"/>
      <c r="AJ38" s="2"/>
      <c r="AK38" s="2"/>
      <c r="AL38" s="2"/>
      <c r="AM38" s="2"/>
      <c r="AN38" s="2"/>
      <c r="AO38" s="2"/>
      <c r="AP38" s="2"/>
      <c r="AQ38" s="98"/>
      <c r="AR38" s="2"/>
    </row>
    <row r="39" spans="1:44" ht="12.75" customHeight="1">
      <c r="A39" s="107" t="s">
        <v>1243</v>
      </c>
      <c r="B39" s="61"/>
      <c r="C39" s="2240">
        <f>C36+C37</f>
        <v>6.6769999999999898</v>
      </c>
      <c r="D39" s="2239">
        <f>D36+D37</f>
        <v>-17.08199999999999</v>
      </c>
      <c r="E39" s="932"/>
      <c r="F39" s="2236">
        <f>F36+F37</f>
        <v>23.758999999999979</v>
      </c>
      <c r="G39" s="1215">
        <f>G36+G37</f>
        <v>-2.6254946822905283</v>
      </c>
      <c r="H39" s="932"/>
      <c r="I39" s="2238">
        <v>11.168751956198562</v>
      </c>
      <c r="J39" s="932"/>
      <c r="K39" s="2236">
        <f>K36+K37</f>
        <v>-4.4917519561985726</v>
      </c>
      <c r="L39" s="1215">
        <f>L36+L37</f>
        <v>-1.0951111985417898</v>
      </c>
      <c r="M39" s="1238"/>
      <c r="N39" s="61"/>
      <c r="O39" s="61"/>
      <c r="P39" s="61"/>
      <c r="Q39" s="61"/>
      <c r="U39" s="1336"/>
      <c r="V39" s="2"/>
      <c r="W39" s="2"/>
      <c r="X39" s="2"/>
      <c r="Y39" s="2"/>
      <c r="Z39" s="2"/>
      <c r="AA39" s="2"/>
      <c r="AB39" s="2"/>
      <c r="AC39" s="2"/>
      <c r="AD39" s="2"/>
      <c r="AE39" s="2"/>
      <c r="AF39" s="2"/>
      <c r="AG39" s="2"/>
      <c r="AH39" s="2"/>
      <c r="AI39" s="2"/>
      <c r="AJ39" s="2"/>
      <c r="AK39" s="2"/>
      <c r="AL39" s="2"/>
      <c r="AM39" s="2"/>
      <c r="AN39" s="2"/>
      <c r="AO39" s="2"/>
      <c r="AP39" s="2"/>
      <c r="AQ39" s="98"/>
      <c r="AR39" s="2"/>
    </row>
    <row r="40" spans="1:44" ht="12.75" customHeight="1">
      <c r="A40" s="445" t="s">
        <v>130</v>
      </c>
      <c r="B40" s="2"/>
      <c r="C40" s="2036">
        <f>BYD!AY85</f>
        <v>0</v>
      </c>
      <c r="D40" s="374">
        <f>BYD!AT85</f>
        <v>1.286</v>
      </c>
      <c r="E40" s="1103"/>
      <c r="F40" s="374">
        <f>C40-D40</f>
        <v>-1.286</v>
      </c>
      <c r="G40" s="126">
        <f>IF(D40=0,0,C40/D40-1)</f>
        <v>-1</v>
      </c>
      <c r="H40" s="2"/>
      <c r="I40" s="432">
        <v>-9.0408252111633551</v>
      </c>
      <c r="J40" s="1103"/>
      <c r="K40" s="374">
        <f>C40-I40</f>
        <v>9.0408252111633551</v>
      </c>
      <c r="L40" s="1204">
        <f>IF(I40=0,"NM",C40/I40-1)</f>
        <v>-1</v>
      </c>
      <c r="N40" s="2"/>
      <c r="O40" s="2"/>
      <c r="P40" s="2"/>
      <c r="Q40" s="2"/>
      <c r="U40" s="2"/>
      <c r="V40" s="2"/>
      <c r="W40" s="2"/>
      <c r="X40" s="2"/>
      <c r="Y40" s="2"/>
      <c r="Z40" s="2"/>
      <c r="AA40" s="2"/>
      <c r="AB40" s="2"/>
      <c r="AC40" s="2"/>
      <c r="AD40" s="2"/>
      <c r="AE40" s="2"/>
      <c r="AF40" s="2"/>
      <c r="AG40" s="2"/>
      <c r="AH40" s="2"/>
      <c r="AI40" s="2"/>
      <c r="AJ40" s="2"/>
      <c r="AK40" s="2"/>
      <c r="AL40" s="2"/>
      <c r="AM40" s="2"/>
      <c r="AN40" s="2"/>
      <c r="AO40" s="2"/>
      <c r="AP40" s="2"/>
      <c r="AQ40" s="98"/>
      <c r="AR40" s="2"/>
    </row>
    <row r="41" spans="1:44" ht="4.5" customHeight="1">
      <c r="A41" s="964"/>
      <c r="B41" s="2"/>
      <c r="C41" s="2037" t="s">
        <v>343</v>
      </c>
      <c r="D41" s="452" t="s">
        <v>343</v>
      </c>
      <c r="E41" s="96" t="s">
        <v>343</v>
      </c>
      <c r="F41" s="452" t="s">
        <v>343</v>
      </c>
      <c r="G41" s="1251" t="s">
        <v>343</v>
      </c>
      <c r="H41" s="2" t="s">
        <v>343</v>
      </c>
      <c r="I41" s="2223" t="s">
        <v>343</v>
      </c>
      <c r="J41" s="96" t="s">
        <v>343</v>
      </c>
      <c r="K41" s="452" t="s">
        <v>343</v>
      </c>
      <c r="L41" s="1252" t="s">
        <v>343</v>
      </c>
      <c r="M41" s="1102"/>
      <c r="N41" s="1102"/>
      <c r="O41" s="1102"/>
      <c r="P41" s="1102"/>
      <c r="Q41" s="1102"/>
      <c r="U41" s="2"/>
      <c r="V41" s="2"/>
      <c r="W41" s="2"/>
      <c r="X41" s="2"/>
      <c r="Y41" s="2"/>
      <c r="Z41" s="2"/>
      <c r="AA41" s="2"/>
      <c r="AB41" s="2"/>
      <c r="AC41" s="2"/>
      <c r="AD41" s="2"/>
      <c r="AE41" s="2"/>
      <c r="AF41" s="2"/>
      <c r="AG41" s="2"/>
      <c r="AH41" s="2"/>
      <c r="AI41" s="2"/>
      <c r="AJ41" s="2"/>
      <c r="AK41" s="2"/>
      <c r="AL41" s="2"/>
      <c r="AM41" s="2"/>
      <c r="AN41" s="2"/>
      <c r="AO41" s="2"/>
      <c r="AP41" s="2"/>
      <c r="AQ41" s="98"/>
      <c r="AR41" s="2"/>
    </row>
    <row r="42" spans="1:44" ht="12.75" customHeight="1">
      <c r="A42" s="107" t="s">
        <v>1540</v>
      </c>
      <c r="B42" s="2"/>
      <c r="C42" s="2240">
        <f>C39+C40</f>
        <v>6.6769999999999898</v>
      </c>
      <c r="D42" s="2239">
        <f>D39+D40</f>
        <v>-15.79599999999999</v>
      </c>
      <c r="E42" s="932"/>
      <c r="F42" s="2236">
        <f>F39+F40</f>
        <v>22.472999999999978</v>
      </c>
      <c r="G42" s="1215">
        <f>G39+G40</f>
        <v>-3.6254946822905283</v>
      </c>
      <c r="H42" s="932"/>
      <c r="I42" s="2238">
        <v>2.1279267450352073</v>
      </c>
      <c r="J42" s="932"/>
      <c r="K42" s="2236">
        <f>K39+K40</f>
        <v>4.5490732549647825</v>
      </c>
      <c r="L42" s="1215">
        <f>L39+L40</f>
        <v>-2.0951111985417898</v>
      </c>
      <c r="N42" s="2"/>
      <c r="O42" s="2"/>
      <c r="P42" s="2"/>
      <c r="Q42" s="2"/>
      <c r="U42" s="105"/>
      <c r="V42" s="2"/>
      <c r="W42" s="2"/>
      <c r="X42" s="2"/>
      <c r="Y42" s="2"/>
      <c r="Z42" s="2"/>
      <c r="AA42" s="2"/>
      <c r="AB42" s="2"/>
      <c r="AC42" s="2"/>
      <c r="AD42" s="2"/>
      <c r="AE42" s="2"/>
      <c r="AF42" s="2"/>
      <c r="AG42" s="2"/>
      <c r="AH42" s="2"/>
      <c r="AI42" s="2"/>
      <c r="AJ42" s="2"/>
      <c r="AK42" s="2"/>
      <c r="AL42" s="2"/>
      <c r="AM42" s="2"/>
      <c r="AN42" s="2"/>
      <c r="AO42" s="2"/>
      <c r="AP42" s="2"/>
      <c r="AQ42" s="98"/>
      <c r="AR42" s="2"/>
    </row>
    <row r="43" spans="1:44" ht="12.75" customHeight="1">
      <c r="A43" s="2" t="s">
        <v>1562</v>
      </c>
      <c r="B43" s="2"/>
      <c r="C43" s="2031">
        <f>BYD!AY87</f>
        <v>29.000000000000004</v>
      </c>
      <c r="D43" s="104">
        <f>BYD!AT87</f>
        <v>6.3490000000000002</v>
      </c>
      <c r="E43" s="61"/>
      <c r="F43" s="61"/>
      <c r="G43" s="1141"/>
      <c r="H43" s="2"/>
      <c r="I43" s="1104">
        <v>0.25</v>
      </c>
      <c r="J43" s="61"/>
      <c r="K43" s="61"/>
      <c r="L43" s="1216"/>
      <c r="N43" s="2"/>
      <c r="O43" s="2"/>
      <c r="P43" s="2"/>
      <c r="Q43" s="2"/>
      <c r="U43" s="2"/>
      <c r="V43" s="2"/>
      <c r="W43" s="2"/>
      <c r="X43" s="2"/>
      <c r="Y43" s="2"/>
      <c r="Z43" s="2"/>
      <c r="AA43" s="2"/>
      <c r="AB43" s="2"/>
      <c r="AC43" s="2"/>
      <c r="AD43" s="2"/>
      <c r="AE43" s="2"/>
      <c r="AF43" s="2"/>
      <c r="AG43" s="2"/>
      <c r="AH43" s="2"/>
      <c r="AI43" s="2"/>
      <c r="AJ43" s="2"/>
      <c r="AK43" s="2"/>
      <c r="AL43" s="2"/>
      <c r="AM43" s="2"/>
      <c r="AN43" s="2"/>
      <c r="AO43" s="2"/>
      <c r="AP43" s="2"/>
      <c r="AQ43" s="98"/>
      <c r="AR43" s="2"/>
    </row>
    <row r="44" spans="1:44" ht="12.75" customHeight="1">
      <c r="A44" s="147" t="s">
        <v>1747</v>
      </c>
      <c r="B44" s="160"/>
      <c r="C44" s="2244">
        <f>BYD!AY88</f>
        <v>-8.3189999999999706</v>
      </c>
      <c r="D44" s="2243">
        <f>BYD!AT88</f>
        <v>-9.4469999999999903</v>
      </c>
      <c r="E44" s="1218"/>
      <c r="F44" s="2241">
        <f>C44-D44</f>
        <v>1.1280000000000197</v>
      </c>
      <c r="G44" s="1219">
        <f>IF(D44=0,0,C44/D44-1)</f>
        <v>-0.1194029850746291</v>
      </c>
      <c r="H44" s="1220"/>
      <c r="I44" s="2242">
        <v>2.3779267450352215</v>
      </c>
      <c r="J44" s="1218"/>
      <c r="K44" s="2241">
        <f>C44-I44</f>
        <v>-10.696926745035192</v>
      </c>
      <c r="L44" s="1221">
        <f>C44/I44-1</f>
        <v>-4.4984256842095238</v>
      </c>
      <c r="N44" s="2"/>
      <c r="O44" s="2"/>
      <c r="P44" s="2"/>
      <c r="Q44" s="2"/>
      <c r="U44" s="2"/>
      <c r="V44" s="2"/>
      <c r="W44" s="2"/>
      <c r="X44" s="2"/>
      <c r="Y44" s="2"/>
      <c r="Z44" s="2"/>
      <c r="AA44" s="2"/>
      <c r="AB44" s="2"/>
      <c r="AC44" s="2"/>
      <c r="AD44" s="2"/>
      <c r="AE44" s="2"/>
      <c r="AF44" s="2"/>
      <c r="AG44" s="2"/>
      <c r="AH44" s="2"/>
      <c r="AI44" s="2"/>
      <c r="AJ44" s="2"/>
      <c r="AK44" s="2"/>
      <c r="AL44" s="2"/>
      <c r="AM44" s="2"/>
      <c r="AN44" s="2"/>
      <c r="AO44" s="2"/>
      <c r="AP44" s="2"/>
      <c r="AQ44" s="98"/>
      <c r="AR44" s="2"/>
    </row>
    <row r="45" spans="1:44" ht="12.75" customHeight="1">
      <c r="A45" s="2"/>
      <c r="B45" s="2"/>
      <c r="C45" s="2034"/>
      <c r="D45" s="77"/>
      <c r="E45" s="61"/>
      <c r="F45" s="61"/>
      <c r="G45" s="1141"/>
      <c r="H45" s="2"/>
      <c r="I45" s="115"/>
      <c r="J45" s="61"/>
      <c r="K45" s="61"/>
      <c r="L45" s="1216"/>
      <c r="N45" s="2"/>
      <c r="O45" s="2"/>
      <c r="P45" s="2"/>
      <c r="Q45" s="2"/>
      <c r="U45" s="2"/>
      <c r="V45" s="2"/>
      <c r="W45" s="2"/>
      <c r="X45" s="2"/>
      <c r="Y45" s="2"/>
      <c r="Z45" s="2"/>
      <c r="AA45" s="2"/>
      <c r="AB45" s="2"/>
      <c r="AC45" s="2"/>
      <c r="AD45" s="2"/>
      <c r="AE45" s="2"/>
      <c r="AF45" s="2"/>
      <c r="AG45" s="2"/>
      <c r="AH45" s="2"/>
      <c r="AI45" s="2"/>
      <c r="AJ45" s="2"/>
      <c r="AK45" s="2"/>
      <c r="AL45" s="2"/>
      <c r="AM45" s="2"/>
      <c r="AN45" s="2"/>
      <c r="AO45" s="2"/>
      <c r="AP45" s="2"/>
      <c r="AQ45" s="98"/>
      <c r="AR45" s="2"/>
    </row>
    <row r="46" spans="1:44" ht="12.75" customHeight="1">
      <c r="A46" s="138" t="s">
        <v>746</v>
      </c>
      <c r="B46" s="155"/>
      <c r="C46" s="2041">
        <f>+C44/C47</f>
        <v>-8.1916203042685931E-2</v>
      </c>
      <c r="D46" s="152">
        <f>+D44/D47</f>
        <v>-0.10778955535524788</v>
      </c>
      <c r="E46" s="152"/>
      <c r="F46" s="152">
        <f>C46-D46</f>
        <v>2.5873352312561951E-2</v>
      </c>
      <c r="G46" s="1208">
        <f>IF(D46=0,0,C46/D46-1)</f>
        <v>-0.24003580149569914</v>
      </c>
      <c r="H46" s="155"/>
      <c r="I46" s="1246">
        <v>2.1767912349278849E-2</v>
      </c>
      <c r="J46" s="152"/>
      <c r="K46" s="152">
        <f>C46-I46</f>
        <v>-0.10368411539196479</v>
      </c>
      <c r="L46" s="1211">
        <f>C46/I46-1</f>
        <v>-4.7631630322785519</v>
      </c>
      <c r="N46" s="1256"/>
      <c r="O46" s="1256"/>
      <c r="P46" s="1256"/>
      <c r="Q46" s="1256"/>
      <c r="S46" s="1645"/>
      <c r="U46" s="2"/>
      <c r="V46" s="2"/>
      <c r="W46" s="2"/>
      <c r="X46" s="2"/>
      <c r="Y46" s="2"/>
      <c r="Z46" s="2"/>
      <c r="AA46" s="2"/>
      <c r="AB46" s="2"/>
      <c r="AC46" s="2"/>
      <c r="AD46" s="2"/>
      <c r="AE46" s="2"/>
      <c r="AF46" s="2"/>
      <c r="AG46" s="2"/>
      <c r="AH46" s="2"/>
      <c r="AI46" s="2"/>
      <c r="AJ46" s="2"/>
      <c r="AK46" s="2"/>
      <c r="AL46" s="2"/>
      <c r="AM46" s="2"/>
      <c r="AN46" s="2"/>
      <c r="AO46" s="2"/>
      <c r="AP46" s="2"/>
      <c r="AQ46" s="98"/>
      <c r="AR46" s="2"/>
    </row>
    <row r="47" spans="1:44" ht="12.75" customHeight="1">
      <c r="A47" s="2" t="s">
        <v>769</v>
      </c>
      <c r="B47" s="2"/>
      <c r="C47" s="2031">
        <f>BYD!AY103</f>
        <v>101.55500000000001</v>
      </c>
      <c r="D47" s="104">
        <f>BYD!AT103</f>
        <v>87.643000000000001</v>
      </c>
      <c r="E47" s="1103"/>
      <c r="F47" s="374">
        <f>C47-D47</f>
        <v>13.912000000000006</v>
      </c>
      <c r="G47" s="126">
        <f>IF(D47=0,0,C47/D47-1)</f>
        <v>0.15873486758782795</v>
      </c>
      <c r="H47" s="2"/>
      <c r="I47" s="1104">
        <v>109.24</v>
      </c>
      <c r="J47" s="1103"/>
      <c r="K47" s="374">
        <f>C47-I47</f>
        <v>-7.6849999999999881</v>
      </c>
      <c r="L47" s="1204">
        <f>C47/I47-1</f>
        <v>-7.0349688758696294E-2</v>
      </c>
      <c r="N47" s="2"/>
      <c r="O47" s="2"/>
      <c r="P47" s="2"/>
      <c r="Q47" s="2"/>
      <c r="U47" s="2"/>
      <c r="V47" s="2"/>
      <c r="W47" s="2"/>
      <c r="X47" s="2"/>
      <c r="Y47" s="2"/>
      <c r="Z47" s="2"/>
      <c r="AA47" s="2"/>
      <c r="AB47" s="2"/>
      <c r="AC47" s="2"/>
      <c r="AD47" s="2"/>
      <c r="AE47" s="2"/>
      <c r="AF47" s="2"/>
      <c r="AG47" s="2"/>
      <c r="AH47" s="2"/>
      <c r="AI47" s="2"/>
      <c r="AJ47" s="2"/>
      <c r="AK47" s="2"/>
      <c r="AL47" s="2"/>
      <c r="AM47" s="2"/>
      <c r="AN47" s="2"/>
      <c r="AO47" s="2"/>
      <c r="AP47" s="2"/>
      <c r="AQ47" s="98"/>
      <c r="AR47" s="2"/>
    </row>
    <row r="48" spans="1:44" ht="12.75" customHeight="1">
      <c r="A48" s="2"/>
      <c r="B48" s="2"/>
      <c r="C48" s="112"/>
      <c r="D48" s="77"/>
      <c r="E48" s="61"/>
      <c r="F48" s="2"/>
      <c r="G48" s="2"/>
      <c r="H48" s="2"/>
      <c r="I48" s="142"/>
      <c r="J48" s="61"/>
      <c r="K48" s="61"/>
      <c r="L48" s="2"/>
      <c r="N48" s="2"/>
      <c r="O48" s="2"/>
      <c r="P48" s="2"/>
      <c r="Q48" s="2"/>
      <c r="U48" s="2"/>
      <c r="V48" s="2"/>
      <c r="W48" s="2"/>
      <c r="X48" s="2"/>
      <c r="Y48" s="2"/>
      <c r="Z48" s="2"/>
      <c r="AA48" s="2"/>
      <c r="AB48" s="2"/>
      <c r="AC48" s="2"/>
      <c r="AD48" s="2"/>
      <c r="AE48" s="2"/>
      <c r="AF48" s="2"/>
      <c r="AG48" s="2"/>
      <c r="AH48" s="2"/>
      <c r="AI48" s="2"/>
      <c r="AJ48" s="2"/>
      <c r="AK48" s="2"/>
      <c r="AL48" s="2"/>
      <c r="AM48" s="2"/>
      <c r="AN48" s="2"/>
      <c r="AO48" s="2"/>
      <c r="AP48" s="2"/>
      <c r="AQ48" s="98"/>
      <c r="AR48" s="2"/>
    </row>
    <row r="49" spans="1:44" ht="12.75" customHeight="1">
      <c r="A49" s="1222" t="s">
        <v>1483</v>
      </c>
      <c r="B49" s="1223"/>
      <c r="C49" s="1224">
        <f>C22/C14</f>
        <v>0.30767030999892292</v>
      </c>
      <c r="D49" s="1400">
        <f>D22/D14</f>
        <v>0.1840085566387433</v>
      </c>
      <c r="E49" s="1225"/>
      <c r="F49" s="1223"/>
      <c r="G49" s="1226">
        <f>(C49-D49)</f>
        <v>0.12366175336017962</v>
      </c>
      <c r="H49" s="1223"/>
      <c r="I49" s="2234">
        <v>0.24718144915561316</v>
      </c>
      <c r="J49" s="1225"/>
      <c r="K49" s="1223"/>
      <c r="L49" s="1227">
        <f>(C49-I49)</f>
        <v>6.0488860843309761E-2</v>
      </c>
      <c r="N49" s="2"/>
      <c r="O49" s="2"/>
      <c r="P49" s="2"/>
      <c r="Q49" s="2"/>
      <c r="U49" s="2"/>
      <c r="V49" s="2"/>
      <c r="W49" s="2"/>
      <c r="X49" s="2"/>
      <c r="Y49" s="2"/>
      <c r="Z49" s="2"/>
      <c r="AA49" s="2"/>
      <c r="AB49" s="2"/>
      <c r="AC49" s="2"/>
      <c r="AD49" s="2"/>
      <c r="AE49" s="2"/>
      <c r="AF49" s="2"/>
      <c r="AG49" s="2"/>
      <c r="AH49" s="2"/>
      <c r="AI49" s="2"/>
      <c r="AJ49" s="2"/>
      <c r="AK49" s="2"/>
      <c r="AL49" s="2"/>
      <c r="AM49" s="2"/>
      <c r="AN49" s="2"/>
      <c r="AO49" s="2"/>
      <c r="AP49" s="2"/>
      <c r="AQ49" s="98"/>
      <c r="AR49" s="2"/>
    </row>
    <row r="50" spans="1:44" ht="12.75" customHeight="1">
      <c r="A50" s="1239" t="s">
        <v>514</v>
      </c>
      <c r="B50" s="1228"/>
      <c r="C50" s="1229">
        <f t="shared" ref="C50:D52" si="9">C17/C8</f>
        <v>0.18782388036295986</v>
      </c>
      <c r="D50" s="1230">
        <f t="shared" si="9"/>
        <v>0.1748794915950341</v>
      </c>
      <c r="E50" s="1230"/>
      <c r="F50" s="1228"/>
      <c r="G50" s="1231">
        <f>(C50-D50)</f>
        <v>1.2944388767925752E-2</v>
      </c>
      <c r="H50" s="1228"/>
      <c r="I50" s="1248">
        <v>0.21532657534037564</v>
      </c>
      <c r="J50" s="1230"/>
      <c r="K50" s="1228"/>
      <c r="L50" s="1232">
        <f>(C50-I50)</f>
        <v>-2.7502694977415781E-2</v>
      </c>
      <c r="M50" s="1404"/>
      <c r="N50" s="1647"/>
      <c r="O50" s="1647"/>
      <c r="P50" s="1647"/>
      <c r="Q50" s="1647"/>
      <c r="U50" s="2"/>
      <c r="V50" s="2"/>
      <c r="W50" s="2"/>
      <c r="X50" s="2"/>
      <c r="Y50" s="2"/>
      <c r="Z50" s="2"/>
      <c r="AA50" s="2"/>
      <c r="AB50" s="2"/>
      <c r="AC50" s="2"/>
      <c r="AD50" s="2"/>
      <c r="AE50" s="2"/>
      <c r="AF50" s="2"/>
      <c r="AG50" s="2"/>
      <c r="AH50" s="2"/>
      <c r="AI50" s="2"/>
      <c r="AJ50" s="2"/>
      <c r="AK50" s="2"/>
      <c r="AL50" s="2"/>
      <c r="AM50" s="2"/>
      <c r="AN50" s="2"/>
      <c r="AO50" s="2"/>
      <c r="AP50" s="2"/>
      <c r="AQ50" s="98"/>
      <c r="AR50" s="2"/>
    </row>
    <row r="51" spans="1:44" ht="12.75" customHeight="1">
      <c r="A51" s="1239" t="s">
        <v>515</v>
      </c>
      <c r="B51" s="1228"/>
      <c r="C51" s="1229">
        <f t="shared" si="9"/>
        <v>0.10506132057561605</v>
      </c>
      <c r="D51" s="1230">
        <f t="shared" si="9"/>
        <v>0.11869946028722431</v>
      </c>
      <c r="E51" s="1230"/>
      <c r="F51" s="1228"/>
      <c r="G51" s="1231">
        <f>(C51-D51)</f>
        <v>-1.3638139711608252E-2</v>
      </c>
      <c r="H51" s="1228"/>
      <c r="I51" s="1248">
        <v>0.13632547108147991</v>
      </c>
      <c r="J51" s="1230"/>
      <c r="K51" s="1228"/>
      <c r="L51" s="1232">
        <f>(C51-I51)</f>
        <v>-3.1264150505863855E-2</v>
      </c>
      <c r="M51" s="1403"/>
      <c r="N51" s="98"/>
      <c r="O51" s="98"/>
      <c r="P51" s="98"/>
      <c r="Q51" s="98"/>
      <c r="U51" s="2"/>
      <c r="V51" s="2"/>
      <c r="W51" s="2"/>
      <c r="X51" s="2"/>
      <c r="Y51" s="2"/>
      <c r="Z51" s="2"/>
      <c r="AA51" s="2"/>
      <c r="AB51" s="2"/>
      <c r="AC51" s="2"/>
      <c r="AD51" s="2"/>
      <c r="AE51" s="2"/>
      <c r="AF51" s="2"/>
      <c r="AG51" s="2"/>
      <c r="AH51" s="2"/>
      <c r="AI51" s="2"/>
      <c r="AJ51" s="2"/>
      <c r="AK51" s="2"/>
      <c r="AL51" s="2"/>
      <c r="AM51" s="2"/>
      <c r="AN51" s="2"/>
      <c r="AO51" s="2"/>
      <c r="AP51" s="2"/>
      <c r="AQ51" s="98"/>
      <c r="AR51" s="2"/>
    </row>
    <row r="52" spans="1:44" ht="12.75" customHeight="1">
      <c r="A52" s="1239" t="s">
        <v>517</v>
      </c>
      <c r="B52" s="1228"/>
      <c r="C52" s="1229">
        <f t="shared" si="9"/>
        <v>0.19520460268769405</v>
      </c>
      <c r="D52" s="1230">
        <f t="shared" si="9"/>
        <v>0.20907861695962912</v>
      </c>
      <c r="E52" s="1230"/>
      <c r="F52" s="1228"/>
      <c r="G52" s="1231">
        <f>(C52-D52)</f>
        <v>-1.3874014271935076E-2</v>
      </c>
      <c r="H52" s="1228"/>
      <c r="I52" s="1248">
        <v>0.19770557517530035</v>
      </c>
      <c r="J52" s="1230"/>
      <c r="K52" s="1228"/>
      <c r="L52" s="1232">
        <f>(C52-I52)</f>
        <v>-2.5009724876063066E-3</v>
      </c>
      <c r="M52" s="1403"/>
      <c r="N52" s="98"/>
      <c r="O52" s="98"/>
      <c r="P52" s="98"/>
      <c r="Q52" s="98"/>
      <c r="U52" s="2"/>
      <c r="V52" s="2"/>
      <c r="W52" s="2"/>
      <c r="X52" s="2"/>
      <c r="Y52" s="2"/>
      <c r="Z52" s="2"/>
      <c r="AA52" s="2"/>
      <c r="AB52" s="2"/>
      <c r="AC52" s="2"/>
      <c r="AD52" s="2"/>
      <c r="AE52" s="2"/>
      <c r="AF52" s="2"/>
      <c r="AG52" s="2"/>
      <c r="AH52" s="2"/>
      <c r="AI52" s="2"/>
      <c r="AJ52" s="2"/>
      <c r="AK52" s="2"/>
      <c r="AL52" s="2"/>
      <c r="AM52" s="2"/>
      <c r="AN52" s="2"/>
      <c r="AO52" s="2"/>
      <c r="AP52" s="2"/>
      <c r="AQ52" s="98"/>
      <c r="AR52" s="2"/>
    </row>
    <row r="53" spans="1:44" ht="12.75" customHeight="1">
      <c r="A53" s="1239" t="s">
        <v>516</v>
      </c>
      <c r="B53" s="1228"/>
      <c r="C53" s="1229">
        <f>C19/C10</f>
        <v>0.19520460268769405</v>
      </c>
      <c r="D53" s="1230">
        <f>D19/D10</f>
        <v>0.20907861695962912</v>
      </c>
      <c r="E53" s="1230"/>
      <c r="F53" s="1228"/>
      <c r="G53" s="1231">
        <f>(C53-D53)</f>
        <v>-1.3874014271935076E-2</v>
      </c>
      <c r="H53" s="1228"/>
      <c r="I53" s="1248">
        <v>0.19770557517530035</v>
      </c>
      <c r="J53" s="1230"/>
      <c r="K53" s="1228"/>
      <c r="L53" s="1232">
        <f>(C53-I53)</f>
        <v>-2.5009724876063066E-3</v>
      </c>
      <c r="M53" s="1404"/>
      <c r="N53" s="105"/>
      <c r="O53" s="105"/>
      <c r="P53" s="105"/>
      <c r="Q53" s="105"/>
      <c r="U53" s="2"/>
      <c r="V53" s="2"/>
      <c r="W53" s="2"/>
      <c r="X53" s="2"/>
      <c r="Y53" s="2"/>
      <c r="Z53" s="2"/>
      <c r="AA53" s="2"/>
      <c r="AB53" s="2"/>
      <c r="AC53" s="2"/>
      <c r="AD53" s="2"/>
      <c r="AE53" s="2"/>
      <c r="AF53" s="2"/>
      <c r="AG53" s="2"/>
      <c r="AH53" s="2"/>
      <c r="AI53" s="2"/>
      <c r="AJ53" s="2"/>
      <c r="AK53" s="2"/>
      <c r="AL53" s="2"/>
      <c r="AM53" s="2"/>
      <c r="AN53" s="2"/>
      <c r="AO53" s="2"/>
      <c r="AP53" s="2"/>
      <c r="AQ53" s="98"/>
      <c r="AR53" s="2"/>
    </row>
    <row r="54" spans="1:44" ht="12.75" customHeight="1">
      <c r="A54" s="1240" t="s">
        <v>273</v>
      </c>
      <c r="B54" s="1233"/>
      <c r="C54" s="1234"/>
      <c r="D54" s="1235">
        <f>D21/D12</f>
        <v>0.17825550133357565</v>
      </c>
      <c r="E54" s="1235"/>
      <c r="F54" s="1233"/>
      <c r="G54" s="1235"/>
      <c r="H54" s="1233"/>
      <c r="I54" s="1249">
        <v>0.26803176259759431</v>
      </c>
      <c r="J54" s="1235"/>
      <c r="K54" s="1233"/>
      <c r="L54" s="1237"/>
      <c r="M54" s="1404"/>
      <c r="N54" s="105"/>
      <c r="O54" s="105"/>
      <c r="P54" s="105"/>
      <c r="Q54" s="105"/>
      <c r="U54" s="2"/>
      <c r="V54" s="2"/>
      <c r="W54" s="2"/>
      <c r="X54" s="2"/>
      <c r="Y54" s="2"/>
      <c r="Z54" s="2"/>
      <c r="AA54" s="2"/>
      <c r="AB54" s="2"/>
      <c r="AC54" s="2"/>
      <c r="AD54" s="2"/>
      <c r="AE54" s="2"/>
      <c r="AF54" s="2"/>
      <c r="AG54" s="2"/>
      <c r="AH54" s="2"/>
      <c r="AI54" s="2"/>
      <c r="AJ54" s="2"/>
      <c r="AK54" s="2"/>
      <c r="AL54" s="2"/>
      <c r="AM54" s="2"/>
      <c r="AN54" s="2"/>
      <c r="AO54" s="2"/>
      <c r="AP54" s="2"/>
      <c r="AQ54" s="98"/>
      <c r="AR54" s="2"/>
    </row>
    <row r="55" spans="1:44" ht="12.75" customHeight="1">
      <c r="A55" s="61"/>
      <c r="B55" s="61"/>
      <c r="C55" s="1435"/>
      <c r="D55" s="77"/>
      <c r="E55" s="61"/>
      <c r="F55" s="61"/>
      <c r="G55" s="61"/>
      <c r="H55" s="61"/>
      <c r="I55" s="1435"/>
      <c r="J55" s="61"/>
      <c r="K55" s="61"/>
      <c r="L55" s="61"/>
      <c r="M55" s="1404"/>
      <c r="N55" s="105"/>
      <c r="O55" s="105"/>
      <c r="P55" s="105"/>
      <c r="Q55" s="105"/>
      <c r="U55" s="2"/>
      <c r="V55" s="2"/>
      <c r="W55" s="2"/>
      <c r="X55" s="2"/>
      <c r="Y55" s="2"/>
      <c r="Z55" s="2"/>
      <c r="AA55" s="2"/>
      <c r="AB55" s="2"/>
      <c r="AC55" s="2"/>
      <c r="AD55" s="2"/>
      <c r="AE55" s="2"/>
      <c r="AF55" s="2"/>
      <c r="AG55" s="2"/>
      <c r="AH55" s="2"/>
      <c r="AI55" s="2"/>
      <c r="AJ55" s="2"/>
      <c r="AK55" s="2"/>
      <c r="AL55" s="2"/>
      <c r="AM55" s="2"/>
      <c r="AN55" s="2"/>
      <c r="AO55" s="2"/>
      <c r="AP55" s="2"/>
      <c r="AQ55" s="98"/>
      <c r="AR55" s="2"/>
    </row>
    <row r="56" spans="1:44" ht="12.75" customHeight="1">
      <c r="A56" s="61"/>
      <c r="B56" s="61"/>
      <c r="C56" s="374"/>
      <c r="D56" s="374"/>
      <c r="E56" s="61"/>
      <c r="F56" s="374"/>
      <c r="G56" s="95"/>
      <c r="H56" s="313"/>
      <c r="I56" s="376"/>
      <c r="J56" s="932"/>
      <c r="K56" s="374"/>
      <c r="L56" s="1204"/>
      <c r="N56" s="2"/>
      <c r="O56" s="2"/>
      <c r="P56" s="2"/>
      <c r="Q56" s="2"/>
      <c r="U56" s="1"/>
      <c r="V56" s="2"/>
      <c r="W56" s="1"/>
      <c r="X56" s="2"/>
      <c r="Y56" s="2"/>
      <c r="Z56" s="2"/>
      <c r="AA56" s="2"/>
      <c r="AB56" s="2"/>
      <c r="AC56" s="2"/>
      <c r="AD56" s="2"/>
      <c r="AE56" s="2"/>
      <c r="AF56" s="2"/>
      <c r="AG56" s="2"/>
      <c r="AH56" s="2"/>
      <c r="AI56" s="2"/>
      <c r="AJ56" s="2"/>
      <c r="AK56" s="2"/>
      <c r="AL56" s="2"/>
      <c r="AM56" s="2"/>
      <c r="AN56" s="2"/>
      <c r="AO56" s="2"/>
      <c r="AP56" s="2"/>
      <c r="AQ56" s="98"/>
      <c r="AR56" s="2"/>
    </row>
    <row r="57" spans="1:44" ht="12.75" customHeight="1">
      <c r="A57" s="743"/>
      <c r="B57" s="61"/>
      <c r="C57" s="1618"/>
      <c r="D57" s="1618"/>
      <c r="E57" s="61"/>
      <c r="F57" s="1618"/>
      <c r="G57" s="1433"/>
      <c r="H57" s="61"/>
      <c r="I57" s="1618"/>
      <c r="J57" s="1103"/>
      <c r="K57" s="452"/>
      <c r="L57" s="1252"/>
      <c r="M57" s="1404"/>
      <c r="N57" s="1404"/>
      <c r="O57" s="1404"/>
      <c r="P57" s="1404"/>
      <c r="Q57" s="1404"/>
      <c r="U57" s="105"/>
      <c r="V57" s="2"/>
      <c r="W57" s="105"/>
      <c r="X57" s="2"/>
      <c r="Y57" s="2"/>
      <c r="Z57" s="2"/>
      <c r="AA57" s="2"/>
      <c r="AB57" s="2"/>
      <c r="AC57" s="2"/>
      <c r="AD57" s="2"/>
      <c r="AE57" s="2"/>
      <c r="AF57" s="2"/>
      <c r="AG57" s="2"/>
      <c r="AH57" s="2"/>
      <c r="AI57" s="2"/>
      <c r="AJ57" s="2"/>
      <c r="AK57" s="2"/>
      <c r="AL57" s="2"/>
      <c r="AM57" s="2"/>
      <c r="AN57" s="2"/>
      <c r="AO57" s="2"/>
      <c r="AP57" s="2"/>
      <c r="AQ57" s="98"/>
      <c r="AR57" s="2"/>
    </row>
    <row r="58" spans="1:44" ht="12.75" customHeight="1">
      <c r="A58" s="1"/>
      <c r="B58" s="2"/>
      <c r="C58" s="1241"/>
      <c r="D58" s="1241"/>
      <c r="E58" s="61"/>
      <c r="F58" s="374"/>
      <c r="G58" s="95"/>
      <c r="H58" s="61"/>
      <c r="I58" s="1434"/>
      <c r="J58" s="1103"/>
      <c r="K58" s="1241"/>
      <c r="L58" s="1204"/>
      <c r="N58" s="1143"/>
      <c r="O58" s="1143"/>
      <c r="P58" s="1143"/>
      <c r="Q58" s="1143"/>
      <c r="AQ58" s="1403"/>
    </row>
    <row r="59" spans="1:44" ht="4.5" customHeight="1">
      <c r="A59" s="2"/>
      <c r="B59" s="2"/>
      <c r="C59" s="61"/>
      <c r="D59" s="77"/>
      <c r="E59" s="61"/>
      <c r="F59" s="61"/>
      <c r="G59" s="61"/>
      <c r="H59" s="61"/>
      <c r="I59" s="61"/>
      <c r="J59" s="2"/>
      <c r="K59" s="2"/>
      <c r="L59" s="2"/>
      <c r="N59" s="2"/>
      <c r="O59" s="2"/>
      <c r="P59" s="2"/>
      <c r="Q59" s="2"/>
      <c r="AQ59" s="1403"/>
    </row>
    <row r="60" spans="1:44" ht="6" customHeight="1">
      <c r="A60" s="2"/>
      <c r="B60" s="2"/>
      <c r="C60" s="2"/>
      <c r="D60" s="1062"/>
      <c r="E60" s="2"/>
      <c r="F60" s="2"/>
      <c r="G60" s="2"/>
      <c r="H60" s="2"/>
      <c r="I60" s="2"/>
      <c r="J60" s="2"/>
      <c r="K60" s="2"/>
      <c r="L60" s="2"/>
      <c r="N60" s="2"/>
      <c r="O60" s="2"/>
      <c r="P60" s="2"/>
      <c r="Q60" s="2"/>
      <c r="AQ60" s="1403"/>
    </row>
    <row r="61" spans="1:44" ht="12.75" customHeight="1">
      <c r="A61" s="2"/>
      <c r="B61" s="2"/>
      <c r="C61" s="2"/>
      <c r="D61" s="1648"/>
      <c r="E61" s="2"/>
      <c r="F61" s="2"/>
      <c r="G61" s="2"/>
      <c r="H61" s="2"/>
      <c r="I61" s="2"/>
      <c r="J61" s="2"/>
      <c r="K61" s="2"/>
      <c r="L61" s="2"/>
      <c r="N61" s="2"/>
      <c r="O61" s="2"/>
      <c r="P61" s="2"/>
      <c r="Q61" s="2"/>
      <c r="AQ61" s="1403"/>
    </row>
    <row r="62" spans="1:44" ht="12.75" customHeight="1">
      <c r="A62" s="2"/>
      <c r="B62" s="2"/>
      <c r="C62" s="2"/>
      <c r="D62" s="1062"/>
      <c r="E62" s="2"/>
      <c r="F62" s="2"/>
      <c r="G62" s="2"/>
      <c r="H62" s="2"/>
      <c r="I62" s="2"/>
      <c r="J62" s="2"/>
      <c r="K62" s="2"/>
      <c r="L62" s="2"/>
      <c r="N62" s="2"/>
      <c r="O62" s="2"/>
      <c r="P62" s="2"/>
      <c r="Q62" s="2"/>
      <c r="AQ62" s="1403"/>
    </row>
    <row r="63" spans="1:44" ht="12.75" customHeight="1">
      <c r="A63" s="2"/>
      <c r="B63" s="2"/>
      <c r="C63" s="2"/>
      <c r="D63" s="1062"/>
      <c r="E63" s="2"/>
      <c r="F63" s="2"/>
      <c r="G63" s="2"/>
      <c r="H63" s="2"/>
      <c r="I63" s="2"/>
      <c r="J63" s="2"/>
      <c r="K63" s="2"/>
      <c r="L63" s="2"/>
      <c r="N63" s="2"/>
      <c r="O63" s="2"/>
      <c r="P63" s="2"/>
      <c r="Q63" s="2"/>
      <c r="AQ63" s="1403"/>
    </row>
    <row r="64" spans="1:44" ht="12.75" customHeight="1">
      <c r="A64" s="2"/>
      <c r="B64" s="2"/>
      <c r="C64" s="2"/>
      <c r="D64" s="1062"/>
      <c r="E64" s="2"/>
      <c r="F64" s="2"/>
      <c r="G64" s="2"/>
      <c r="H64" s="2"/>
      <c r="I64" s="2"/>
      <c r="J64" s="2"/>
      <c r="K64" s="2"/>
      <c r="L64" s="2"/>
      <c r="N64" s="2"/>
      <c r="O64" s="2"/>
      <c r="P64" s="2"/>
      <c r="Q64" s="2"/>
      <c r="AQ64" s="1403"/>
    </row>
    <row r="65" spans="1:44" ht="12.75" customHeight="1">
      <c r="A65" s="2"/>
      <c r="B65" s="2"/>
      <c r="C65" s="2"/>
      <c r="D65" s="1062"/>
      <c r="E65" s="2"/>
      <c r="F65" s="2"/>
      <c r="G65" s="2"/>
      <c r="H65" s="2"/>
      <c r="I65" s="2"/>
      <c r="J65" s="2"/>
      <c r="K65" s="2"/>
      <c r="L65" s="2"/>
      <c r="N65" s="2"/>
      <c r="O65" s="2"/>
      <c r="P65" s="2"/>
      <c r="Q65" s="2"/>
      <c r="AQ65" s="1403"/>
    </row>
    <row r="66" spans="1:44" ht="12.75" customHeight="1">
      <c r="A66" s="2"/>
      <c r="B66" s="2"/>
      <c r="C66" s="2"/>
      <c r="D66" s="1062"/>
      <c r="E66" s="2"/>
      <c r="F66" s="2"/>
      <c r="G66" s="2"/>
      <c r="H66" s="2"/>
      <c r="I66" s="2"/>
      <c r="J66" s="2"/>
      <c r="K66" s="2"/>
      <c r="L66" s="2"/>
      <c r="M66" s="69" t="s">
        <v>318</v>
      </c>
      <c r="R66" s="2"/>
      <c r="S66" s="2"/>
      <c r="T66" s="2"/>
      <c r="AQ66" s="1403"/>
    </row>
    <row r="67" spans="1:44" ht="12.75" customHeight="1">
      <c r="A67" s="2"/>
      <c r="B67" s="2"/>
      <c r="C67" s="2"/>
      <c r="D67" s="1062"/>
      <c r="E67" s="2"/>
      <c r="F67" s="2"/>
      <c r="G67" s="2"/>
      <c r="H67" s="2"/>
      <c r="I67" s="2"/>
      <c r="J67" s="2"/>
      <c r="K67" s="2"/>
      <c r="L67" s="2"/>
      <c r="M67" s="2" t="s">
        <v>319</v>
      </c>
      <c r="N67" s="2" t="s">
        <v>320</v>
      </c>
      <c r="O67" s="2"/>
      <c r="P67" s="2"/>
      <c r="Q67" s="2"/>
      <c r="R67" s="2" t="s">
        <v>321</v>
      </c>
      <c r="S67" s="98">
        <v>62.5</v>
      </c>
      <c r="T67" s="98"/>
      <c r="AQ67" s="1403"/>
    </row>
    <row r="68" spans="1:44" ht="12.75" customHeight="1">
      <c r="A68" s="2"/>
      <c r="B68" s="2"/>
      <c r="C68" s="2"/>
      <c r="D68" s="1062"/>
      <c r="E68" s="2"/>
      <c r="F68" s="2"/>
      <c r="G68" s="2"/>
      <c r="H68" s="2"/>
      <c r="I68" s="2"/>
      <c r="J68" s="2"/>
      <c r="K68" s="2"/>
      <c r="L68" s="2"/>
      <c r="M68" s="2"/>
      <c r="N68" s="2" t="s">
        <v>322</v>
      </c>
      <c r="O68" s="2"/>
      <c r="P68" s="2"/>
      <c r="Q68" s="2"/>
      <c r="R68" s="2" t="s">
        <v>321</v>
      </c>
      <c r="S68" s="98">
        <v>87.5</v>
      </c>
      <c r="T68" s="98"/>
      <c r="AQ68" s="1403"/>
    </row>
    <row r="69" spans="1:44" ht="12.75" customHeight="1">
      <c r="A69" s="2"/>
      <c r="B69" s="2"/>
      <c r="C69" s="2"/>
      <c r="D69" s="1062"/>
      <c r="E69" s="2"/>
      <c r="F69" s="2"/>
      <c r="G69" s="2"/>
      <c r="H69" s="2"/>
      <c r="I69" s="2"/>
      <c r="J69" s="2"/>
      <c r="K69" s="2"/>
      <c r="L69" s="2"/>
      <c r="M69" s="2"/>
      <c r="N69" s="2" t="s">
        <v>323</v>
      </c>
      <c r="O69" s="2"/>
      <c r="P69" s="2"/>
      <c r="Q69" s="2"/>
      <c r="R69" s="2" t="s">
        <v>321</v>
      </c>
      <c r="S69" s="98">
        <v>100</v>
      </c>
      <c r="T69" s="98"/>
      <c r="AQ69" s="1403"/>
    </row>
    <row r="70" spans="1:44" ht="12.75" customHeight="1">
      <c r="A70" s="2"/>
      <c r="B70" s="2"/>
      <c r="C70" s="2"/>
      <c r="D70" s="1062"/>
      <c r="E70" s="2"/>
      <c r="F70" s="2"/>
      <c r="G70" s="2"/>
      <c r="H70" s="2"/>
      <c r="I70" s="2"/>
      <c r="J70" s="2"/>
      <c r="K70" s="2"/>
      <c r="L70" s="2"/>
      <c r="M70" s="2"/>
      <c r="N70" s="2" t="s">
        <v>324</v>
      </c>
      <c r="O70" s="2"/>
      <c r="P70" s="2"/>
      <c r="Q70" s="2"/>
      <c r="R70" s="2" t="s">
        <v>321</v>
      </c>
      <c r="S70" s="98">
        <v>112.5</v>
      </c>
      <c r="T70" s="98"/>
      <c r="AQ70" s="1403"/>
    </row>
    <row r="71" spans="1:44" ht="12.75" customHeight="1">
      <c r="A71" s="2"/>
      <c r="B71" s="2"/>
      <c r="C71" s="2"/>
      <c r="D71" s="1062"/>
      <c r="E71" s="2"/>
      <c r="F71" s="2"/>
      <c r="G71" s="2"/>
      <c r="H71" s="2"/>
      <c r="I71" s="2"/>
      <c r="J71" s="2"/>
      <c r="K71" s="2"/>
      <c r="L71" s="2"/>
      <c r="M71" s="2"/>
      <c r="N71" s="2" t="s">
        <v>325</v>
      </c>
      <c r="O71" s="2"/>
      <c r="P71" s="2"/>
      <c r="Q71" s="2"/>
      <c r="R71" s="2" t="s">
        <v>321</v>
      </c>
      <c r="S71" s="98">
        <v>137.5</v>
      </c>
      <c r="T71" s="98"/>
      <c r="AQ71" s="1403"/>
    </row>
    <row r="72" spans="1:44" ht="12.75" customHeight="1">
      <c r="A72" s="2"/>
      <c r="B72" s="2"/>
      <c r="C72" s="2"/>
      <c r="D72" s="1062"/>
      <c r="E72" s="2"/>
      <c r="F72" s="2"/>
      <c r="G72" s="2"/>
      <c r="H72" s="2"/>
      <c r="I72" s="2"/>
      <c r="J72" s="2"/>
      <c r="K72" s="2"/>
      <c r="L72" s="2"/>
      <c r="M72" s="2"/>
      <c r="N72" s="2" t="s">
        <v>326</v>
      </c>
      <c r="O72" s="2"/>
      <c r="P72" s="2"/>
      <c r="Q72" s="2"/>
      <c r="R72" s="2" t="s">
        <v>321</v>
      </c>
      <c r="S72" s="98">
        <v>162.5</v>
      </c>
      <c r="T72" s="98"/>
      <c r="AQ72" s="1403"/>
    </row>
    <row r="73" spans="1:44" ht="12.75" customHeight="1">
      <c r="A73" s="2"/>
      <c r="B73" s="2"/>
      <c r="C73" s="2"/>
      <c r="D73" s="1062"/>
      <c r="E73" s="2"/>
      <c r="F73" s="2"/>
      <c r="G73" s="2"/>
      <c r="H73" s="2"/>
      <c r="I73" s="2"/>
      <c r="J73" s="2"/>
      <c r="K73" s="2"/>
      <c r="L73" s="2"/>
      <c r="N73" s="2"/>
      <c r="O73" s="2"/>
      <c r="P73" s="2"/>
      <c r="Q73" s="2"/>
      <c r="U73" s="2"/>
      <c r="V73" s="2"/>
      <c r="W73" s="2"/>
      <c r="X73" s="2"/>
      <c r="Y73" s="2"/>
      <c r="Z73" s="2"/>
      <c r="AA73" s="2"/>
      <c r="AB73" s="2"/>
      <c r="AC73" s="2"/>
      <c r="AD73" s="2"/>
      <c r="AE73" s="2"/>
      <c r="AF73" s="2"/>
      <c r="AG73" s="2"/>
      <c r="AH73" s="2"/>
      <c r="AI73" s="2"/>
      <c r="AJ73" s="2"/>
      <c r="AK73" s="2"/>
      <c r="AL73" s="2"/>
      <c r="AM73" s="2"/>
      <c r="AN73" s="2"/>
      <c r="AO73" s="2"/>
      <c r="AP73" s="2"/>
      <c r="AQ73" s="98"/>
      <c r="AR73" s="2"/>
    </row>
    <row r="74" spans="1:44" ht="12.75" customHeight="1">
      <c r="A74" s="2"/>
      <c r="B74" s="2"/>
      <c r="C74" s="2"/>
      <c r="D74" s="1062"/>
      <c r="E74" s="2"/>
      <c r="F74" s="2"/>
      <c r="G74" s="2"/>
      <c r="H74" s="2"/>
      <c r="I74" s="2"/>
      <c r="J74" s="2"/>
      <c r="K74" s="2"/>
      <c r="L74" s="2"/>
      <c r="N74" s="2"/>
      <c r="O74" s="2"/>
      <c r="P74" s="2"/>
      <c r="Q74" s="2"/>
      <c r="U74" s="2"/>
      <c r="V74" s="2"/>
      <c r="W74" s="2"/>
      <c r="X74" s="2"/>
      <c r="Y74" s="2"/>
      <c r="Z74" s="2"/>
      <c r="AA74" s="2"/>
      <c r="AB74" s="2"/>
      <c r="AC74" s="2"/>
      <c r="AD74" s="2"/>
      <c r="AE74" s="2"/>
      <c r="AF74" s="2"/>
      <c r="AG74" s="2"/>
      <c r="AH74" s="2"/>
      <c r="AI74" s="2"/>
      <c r="AJ74" s="2"/>
      <c r="AK74" s="2"/>
      <c r="AL74" s="2"/>
      <c r="AM74" s="2"/>
      <c r="AN74" s="2"/>
      <c r="AO74" s="2"/>
      <c r="AP74" s="2"/>
      <c r="AQ74" s="98"/>
      <c r="AR74" s="2"/>
    </row>
    <row r="75" spans="1:44" ht="12.75" customHeight="1">
      <c r="A75" s="2"/>
      <c r="B75" s="2"/>
      <c r="C75" s="2"/>
      <c r="D75" s="1062"/>
      <c r="E75" s="2"/>
      <c r="F75" s="2"/>
      <c r="G75" s="2"/>
      <c r="H75" s="2"/>
      <c r="I75" s="2"/>
      <c r="J75" s="2"/>
      <c r="K75" s="2"/>
      <c r="L75" s="2"/>
      <c r="N75" s="2"/>
      <c r="O75" s="2"/>
      <c r="P75" s="2"/>
      <c r="Q75" s="2"/>
      <c r="U75" s="1" t="s">
        <v>1140</v>
      </c>
      <c r="V75" s="1"/>
      <c r="W75" s="2"/>
      <c r="X75" s="2"/>
      <c r="Y75" s="2"/>
      <c r="Z75" s="2"/>
      <c r="AA75" s="2"/>
      <c r="AB75" s="2"/>
      <c r="AC75" s="2"/>
      <c r="AD75" s="2"/>
      <c r="AE75" s="2"/>
      <c r="AF75" s="2"/>
      <c r="AG75" s="2"/>
      <c r="AH75" s="2"/>
      <c r="AI75" s="2"/>
      <c r="AJ75" s="2"/>
      <c r="AK75" s="2"/>
      <c r="AL75" s="2"/>
      <c r="AM75" s="2"/>
      <c r="AN75" s="2"/>
      <c r="AO75" s="2"/>
      <c r="AP75" s="2"/>
      <c r="AQ75" s="98"/>
      <c r="AR75" s="2"/>
    </row>
    <row r="76" spans="1:44" ht="12.75" customHeight="1">
      <c r="A76" s="2"/>
      <c r="B76" s="2"/>
      <c r="C76" s="2"/>
      <c r="D76" s="1062"/>
      <c r="E76" s="2"/>
      <c r="F76" s="2"/>
      <c r="G76" s="2"/>
      <c r="H76" s="2"/>
      <c r="I76" s="2"/>
      <c r="J76" s="2"/>
      <c r="K76" s="2"/>
      <c r="L76" s="2"/>
      <c r="N76" s="2"/>
      <c r="O76" s="2"/>
      <c r="P76" s="2"/>
      <c r="Q76" s="2"/>
      <c r="U76" s="1"/>
      <c r="V76" s="1"/>
      <c r="W76" s="2"/>
      <c r="X76" s="2"/>
      <c r="Y76" s="2"/>
      <c r="Z76" s="2"/>
      <c r="AA76" s="2"/>
      <c r="AB76" s="2"/>
      <c r="AC76" s="2"/>
      <c r="AD76" s="2"/>
      <c r="AE76" s="2"/>
      <c r="AF76" s="2"/>
      <c r="AG76" s="2"/>
      <c r="AH76" s="2"/>
      <c r="AI76" s="2"/>
      <c r="AJ76" s="2"/>
      <c r="AK76" s="2"/>
      <c r="AL76" s="2"/>
      <c r="AM76" s="2"/>
      <c r="AN76" s="2"/>
      <c r="AO76" s="2"/>
      <c r="AP76" s="2"/>
      <c r="AQ76" s="98"/>
      <c r="AR76" s="2"/>
    </row>
    <row r="77" spans="1:44" ht="12.75" customHeight="1">
      <c r="A77" s="2"/>
      <c r="B77" s="2"/>
      <c r="C77" s="2"/>
      <c r="D77" s="1062"/>
      <c r="E77" s="2"/>
      <c r="F77" s="2"/>
      <c r="G77" s="2"/>
      <c r="H77" s="2"/>
      <c r="I77" s="2"/>
      <c r="J77" s="2"/>
      <c r="K77" s="2"/>
      <c r="L77" s="2"/>
      <c r="N77" s="2"/>
      <c r="O77" s="2"/>
      <c r="P77" s="2"/>
      <c r="Q77" s="2"/>
      <c r="U77" s="2" t="s">
        <v>1144</v>
      </c>
      <c r="V77" s="2"/>
      <c r="W77" s="2"/>
      <c r="X77" s="2"/>
      <c r="Y77" s="2"/>
      <c r="Z77" s="2"/>
      <c r="AA77" s="2"/>
      <c r="AB77" s="2"/>
      <c r="AC77" s="2"/>
      <c r="AD77" s="2"/>
      <c r="AE77" s="2"/>
      <c r="AF77" s="2"/>
      <c r="AG77" s="2"/>
      <c r="AH77" s="2"/>
      <c r="AI77" s="2"/>
      <c r="AJ77" s="2"/>
      <c r="AK77" s="2"/>
      <c r="AL77" s="2"/>
      <c r="AM77" s="2"/>
      <c r="AN77" s="2"/>
      <c r="AO77" s="2"/>
      <c r="AP77" s="2"/>
      <c r="AQ77" s="98"/>
      <c r="AR77" s="2"/>
    </row>
    <row r="78" spans="1:44" ht="12.75" customHeight="1">
      <c r="A78" s="2"/>
      <c r="B78" s="2"/>
      <c r="C78" s="2"/>
      <c r="D78" s="1062"/>
      <c r="E78" s="2"/>
      <c r="F78" s="2"/>
      <c r="G78" s="2"/>
      <c r="H78" s="2"/>
      <c r="I78" s="2"/>
      <c r="J78" s="2"/>
      <c r="K78" s="2"/>
      <c r="L78" s="2"/>
      <c r="N78" s="2"/>
      <c r="O78" s="2"/>
      <c r="P78" s="2"/>
      <c r="Q78" s="2"/>
      <c r="U78" s="2"/>
      <c r="V78" s="2"/>
      <c r="W78" s="2"/>
      <c r="X78" s="2"/>
      <c r="Y78" s="2"/>
      <c r="Z78" s="2"/>
      <c r="AA78" s="2"/>
      <c r="AB78" s="2"/>
      <c r="AC78" s="2"/>
      <c r="AD78" s="2"/>
      <c r="AE78" s="2"/>
      <c r="AF78" s="2"/>
      <c r="AG78" s="2"/>
      <c r="AH78" s="2"/>
      <c r="AI78" s="2"/>
      <c r="AJ78" s="2"/>
      <c r="AK78" s="2"/>
      <c r="AL78" s="2"/>
      <c r="AM78" s="2"/>
      <c r="AN78" s="2"/>
      <c r="AO78" s="2"/>
      <c r="AP78" s="2"/>
      <c r="AQ78" s="98"/>
      <c r="AR78" s="2"/>
    </row>
    <row r="79" spans="1:44" ht="12.75" customHeight="1">
      <c r="A79" s="2"/>
      <c r="B79" s="2"/>
      <c r="C79" s="2"/>
      <c r="D79" s="1062"/>
      <c r="E79" s="2"/>
      <c r="F79" s="2"/>
      <c r="G79" s="2"/>
      <c r="H79" s="2"/>
      <c r="I79" s="2"/>
      <c r="J79" s="2"/>
      <c r="K79" s="2"/>
      <c r="L79" s="2"/>
      <c r="N79" s="2"/>
      <c r="O79" s="2"/>
      <c r="P79" s="2"/>
      <c r="Q79" s="2"/>
      <c r="U79" s="2"/>
      <c r="V79" s="2"/>
      <c r="W79" s="1197" t="s">
        <v>55</v>
      </c>
      <c r="X79" s="1197"/>
      <c r="Y79" s="1197"/>
      <c r="Z79" s="1196"/>
      <c r="AA79" s="1196"/>
      <c r="AB79" s="2"/>
      <c r="AC79" s="2"/>
      <c r="AD79" s="2"/>
      <c r="AE79" s="2"/>
      <c r="AF79" s="2"/>
      <c r="AG79" s="2"/>
      <c r="AH79" s="2"/>
      <c r="AI79" s="2"/>
      <c r="AJ79" s="2"/>
      <c r="AK79" s="2"/>
      <c r="AL79" s="2"/>
      <c r="AM79" s="2"/>
      <c r="AN79" s="2"/>
      <c r="AO79" s="2"/>
      <c r="AP79" s="2"/>
      <c r="AQ79" s="98"/>
      <c r="AR79" s="2"/>
    </row>
    <row r="80" spans="1:44" ht="12.75" customHeight="1">
      <c r="A80" s="2"/>
      <c r="B80" s="2"/>
      <c r="C80" s="2"/>
      <c r="D80" s="1062"/>
      <c r="E80" s="2"/>
      <c r="F80" s="2"/>
      <c r="G80" s="2"/>
      <c r="H80" s="2"/>
      <c r="I80" s="2"/>
      <c r="J80" s="2"/>
      <c r="K80" s="2"/>
      <c r="L80" s="2"/>
      <c r="N80" s="2"/>
      <c r="O80" s="2"/>
      <c r="P80" s="2"/>
      <c r="Q80" s="2"/>
      <c r="U80" s="69"/>
      <c r="V80" s="69"/>
      <c r="W80" s="1289" t="s">
        <v>1142</v>
      </c>
      <c r="X80" s="1289"/>
      <c r="Y80" s="1289" t="s">
        <v>1143</v>
      </c>
      <c r="Z80" s="1289"/>
      <c r="AA80" s="1289" t="s">
        <v>829</v>
      </c>
      <c r="AB80" s="2"/>
      <c r="AC80" s="2"/>
      <c r="AD80" s="2"/>
      <c r="AE80" s="2"/>
      <c r="AF80" s="2"/>
      <c r="AG80" s="2"/>
      <c r="AH80" s="2"/>
      <c r="AI80" s="2"/>
      <c r="AJ80" s="2"/>
      <c r="AK80" s="2"/>
      <c r="AL80" s="2"/>
      <c r="AM80" s="2"/>
      <c r="AN80" s="2"/>
      <c r="AO80" s="2"/>
      <c r="AP80" s="2"/>
      <c r="AQ80" s="98"/>
      <c r="AR80" s="2"/>
    </row>
    <row r="81" spans="1:44" ht="12.75" customHeight="1">
      <c r="A81" s="2"/>
      <c r="B81" s="2"/>
      <c r="C81" s="2"/>
      <c r="D81" s="1062"/>
      <c r="E81" s="2"/>
      <c r="F81" s="2"/>
      <c r="G81" s="2"/>
      <c r="H81" s="2"/>
      <c r="I81" s="2"/>
      <c r="J81" s="2"/>
      <c r="K81" s="2"/>
      <c r="L81" s="2"/>
      <c r="N81" s="2"/>
      <c r="O81" s="2"/>
      <c r="P81" s="2"/>
      <c r="Q81" s="2"/>
      <c r="U81" s="2" t="s">
        <v>935</v>
      </c>
      <c r="V81" s="2"/>
      <c r="W81" s="1102"/>
      <c r="X81" s="98"/>
      <c r="Y81" s="1102"/>
      <c r="Z81" s="98"/>
      <c r="AA81" s="105"/>
      <c r="AB81" s="2"/>
      <c r="AC81" s="2"/>
      <c r="AD81" s="2"/>
      <c r="AE81" s="2"/>
      <c r="AF81" s="2"/>
      <c r="AG81" s="2"/>
      <c r="AH81" s="2"/>
      <c r="AI81" s="2"/>
      <c r="AJ81" s="2"/>
      <c r="AK81" s="2"/>
      <c r="AL81" s="2"/>
      <c r="AM81" s="2"/>
      <c r="AN81" s="2"/>
      <c r="AO81" s="2"/>
      <c r="AP81" s="2"/>
      <c r="AQ81" s="98"/>
      <c r="AR81" s="2"/>
    </row>
    <row r="82" spans="1:44" ht="12.75" customHeight="1">
      <c r="A82" s="2"/>
      <c r="B82" s="2"/>
      <c r="C82" s="2"/>
      <c r="D82" s="1062"/>
      <c r="E82" s="2"/>
      <c r="F82" s="2"/>
      <c r="G82" s="2"/>
      <c r="H82" s="2"/>
      <c r="I82" s="2"/>
      <c r="J82" s="2"/>
      <c r="K82" s="2"/>
      <c r="L82" s="2"/>
      <c r="N82" s="2"/>
      <c r="O82" s="2"/>
      <c r="P82" s="2"/>
      <c r="Q82" s="2"/>
      <c r="U82" s="2" t="s">
        <v>1141</v>
      </c>
      <c r="V82" s="2"/>
      <c r="W82" s="1102"/>
      <c r="X82" s="98"/>
      <c r="Y82" s="1102"/>
      <c r="Z82" s="98"/>
      <c r="AA82" s="105"/>
      <c r="AB82" s="2"/>
      <c r="AC82" s="2"/>
      <c r="AD82" s="2"/>
      <c r="AE82" s="2"/>
      <c r="AF82" s="2"/>
      <c r="AG82" s="2"/>
      <c r="AH82" s="2"/>
      <c r="AI82" s="2"/>
      <c r="AJ82" s="2"/>
      <c r="AK82" s="2"/>
      <c r="AL82" s="2"/>
      <c r="AM82" s="2"/>
      <c r="AN82" s="2"/>
      <c r="AO82" s="2"/>
      <c r="AP82" s="2"/>
      <c r="AQ82" s="98"/>
      <c r="AR82" s="2"/>
    </row>
    <row r="83" spans="1:44" ht="12.75" customHeight="1">
      <c r="A83" s="2"/>
      <c r="B83" s="2"/>
      <c r="C83" s="2"/>
      <c r="D83" s="1062"/>
      <c r="E83" s="2"/>
      <c r="F83" s="2"/>
      <c r="G83" s="2"/>
      <c r="H83" s="2"/>
      <c r="I83" s="2"/>
      <c r="J83" s="2"/>
      <c r="K83" s="2"/>
      <c r="L83" s="2"/>
      <c r="N83" s="2"/>
      <c r="O83" s="2"/>
      <c r="P83" s="2"/>
      <c r="Q83" s="2"/>
      <c r="U83" s="2" t="s">
        <v>200</v>
      </c>
      <c r="V83" s="2"/>
      <c r="W83" s="1401"/>
      <c r="X83" s="1336"/>
      <c r="Y83" s="1401"/>
      <c r="Z83" s="1336"/>
      <c r="AA83" s="105"/>
      <c r="AB83" s="2"/>
      <c r="AC83" s="2"/>
      <c r="AD83" s="2"/>
      <c r="AE83" s="2"/>
      <c r="AF83" s="2"/>
      <c r="AG83" s="2"/>
      <c r="AH83" s="2"/>
      <c r="AI83" s="2"/>
      <c r="AJ83" s="2"/>
      <c r="AK83" s="2"/>
      <c r="AL83" s="2"/>
      <c r="AM83" s="2"/>
      <c r="AN83" s="2"/>
      <c r="AO83" s="2"/>
      <c r="AP83" s="2"/>
      <c r="AQ83" s="98"/>
      <c r="AR83" s="2"/>
    </row>
    <row r="84" spans="1:44" ht="12.75" customHeight="1">
      <c r="A84" s="2"/>
      <c r="B84" s="2"/>
      <c r="C84" s="2"/>
      <c r="D84" s="1062"/>
      <c r="E84" s="2"/>
      <c r="F84" s="2"/>
      <c r="G84" s="2"/>
      <c r="H84" s="2"/>
      <c r="I84" s="2"/>
      <c r="J84" s="2"/>
      <c r="K84" s="2"/>
      <c r="L84" s="2"/>
      <c r="N84" s="2"/>
      <c r="O84" s="2"/>
      <c r="P84" s="2"/>
      <c r="Q84" s="2"/>
      <c r="U84" s="2"/>
      <c r="V84" s="2"/>
      <c r="W84" s="2"/>
      <c r="X84" s="2"/>
      <c r="Y84" s="2"/>
      <c r="Z84" s="2"/>
      <c r="AA84" s="2"/>
      <c r="AB84" s="2"/>
      <c r="AC84" s="2"/>
      <c r="AD84" s="2"/>
      <c r="AE84" s="2"/>
      <c r="AF84" s="2"/>
      <c r="AG84" s="2"/>
      <c r="AH84" s="2"/>
      <c r="AI84" s="2"/>
      <c r="AJ84" s="2"/>
      <c r="AK84" s="2"/>
      <c r="AL84" s="2"/>
      <c r="AM84" s="2"/>
      <c r="AN84" s="2"/>
      <c r="AO84" s="2"/>
      <c r="AP84" s="2"/>
      <c r="AQ84" s="98"/>
      <c r="AR84" s="2"/>
    </row>
    <row r="85" spans="1:44" ht="12.75" customHeight="1">
      <c r="A85" s="2"/>
      <c r="B85" s="2"/>
      <c r="C85" s="2"/>
      <c r="D85" s="1062"/>
      <c r="E85" s="2"/>
      <c r="F85" s="2"/>
      <c r="G85" s="2"/>
      <c r="H85" s="2"/>
      <c r="I85" s="2"/>
      <c r="J85" s="2"/>
      <c r="K85" s="2"/>
      <c r="L85" s="2"/>
      <c r="N85" s="2"/>
      <c r="O85" s="2"/>
      <c r="P85" s="2"/>
      <c r="Q85" s="2"/>
      <c r="U85" s="2"/>
      <c r="V85" s="2"/>
      <c r="W85" s="2"/>
      <c r="X85" s="2"/>
      <c r="Y85" s="2"/>
      <c r="Z85" s="2"/>
      <c r="AA85" s="2"/>
      <c r="AB85" s="2"/>
      <c r="AC85" s="1" t="s">
        <v>1650</v>
      </c>
      <c r="AD85" s="2"/>
      <c r="AE85" s="2"/>
      <c r="AF85" s="2"/>
      <c r="AG85" s="2"/>
      <c r="AH85" s="105"/>
      <c r="AI85" s="2"/>
      <c r="AJ85" s="2"/>
      <c r="AK85" s="2"/>
      <c r="AL85" s="2"/>
      <c r="AM85" s="2"/>
      <c r="AN85" s="2"/>
      <c r="AO85" s="2"/>
      <c r="AP85" s="2"/>
      <c r="AQ85" s="98"/>
      <c r="AR85" s="2"/>
    </row>
    <row r="86" spans="1:44" ht="12.75" customHeight="1">
      <c r="A86" s="2"/>
      <c r="B86" s="2"/>
      <c r="C86" s="2"/>
      <c r="D86" s="1062"/>
      <c r="E86" s="2"/>
      <c r="F86" s="2"/>
      <c r="G86" s="2"/>
      <c r="H86" s="2"/>
      <c r="I86" s="2"/>
      <c r="J86" s="2"/>
      <c r="K86" s="2"/>
      <c r="L86" s="2"/>
      <c r="N86" s="2"/>
      <c r="O86" s="2"/>
      <c r="P86" s="2"/>
      <c r="Q86" s="2"/>
      <c r="U86" s="2"/>
      <c r="V86" s="2"/>
      <c r="W86" s="2"/>
      <c r="X86" s="2"/>
      <c r="Y86" s="2"/>
      <c r="Z86" s="2"/>
      <c r="AA86" s="2"/>
      <c r="AB86" s="2"/>
      <c r="AC86" s="2"/>
      <c r="AD86" s="2"/>
      <c r="AE86" s="2"/>
      <c r="AF86" s="2"/>
      <c r="AG86" s="2"/>
      <c r="AH86" s="105"/>
      <c r="AI86" s="2"/>
      <c r="AJ86" s="2"/>
      <c r="AK86" s="2"/>
      <c r="AL86" s="2"/>
      <c r="AM86" s="2"/>
      <c r="AN86" s="2"/>
      <c r="AO86" s="2"/>
      <c r="AP86" s="2"/>
      <c r="AQ86" s="98"/>
      <c r="AR86" s="2"/>
    </row>
    <row r="87" spans="1:44" ht="12.75" customHeight="1">
      <c r="A87" s="2"/>
      <c r="B87" s="2"/>
      <c r="C87" s="2"/>
      <c r="D87" s="1062"/>
      <c r="E87" s="2"/>
      <c r="F87" s="2"/>
      <c r="G87" s="2"/>
      <c r="H87" s="2"/>
      <c r="I87" s="2"/>
      <c r="J87" s="2"/>
      <c r="K87" s="2"/>
      <c r="L87" s="2"/>
      <c r="N87" s="2"/>
      <c r="O87" s="2"/>
      <c r="P87" s="2"/>
      <c r="Q87" s="2"/>
      <c r="U87" s="2"/>
      <c r="V87" s="2"/>
      <c r="W87" s="2"/>
      <c r="X87" s="2"/>
      <c r="Y87" s="2"/>
      <c r="Z87" s="2"/>
      <c r="AA87" s="2"/>
      <c r="AB87" s="2"/>
      <c r="AC87" s="2"/>
      <c r="AD87" s="1432" t="s">
        <v>406</v>
      </c>
      <c r="AE87" s="1432"/>
      <c r="AF87" s="1432" t="s">
        <v>1649</v>
      </c>
      <c r="AG87" s="1432"/>
      <c r="AH87" s="1432">
        <v>2013</v>
      </c>
      <c r="AI87" s="2"/>
      <c r="AJ87" s="2"/>
      <c r="AK87" s="2"/>
      <c r="AL87" s="2"/>
      <c r="AM87" s="2"/>
      <c r="AN87" s="2"/>
      <c r="AO87" s="2"/>
      <c r="AP87" s="2"/>
      <c r="AQ87" s="98"/>
      <c r="AR87" s="2"/>
    </row>
    <row r="88" spans="1:44" ht="12.75" customHeight="1">
      <c r="A88" s="98"/>
      <c r="B88" s="98"/>
      <c r="C88" s="98"/>
      <c r="D88" s="1092"/>
      <c r="E88" s="98"/>
      <c r="F88" s="98"/>
      <c r="G88" s="98"/>
      <c r="H88" s="98"/>
      <c r="I88" s="98"/>
      <c r="J88" s="98"/>
      <c r="K88" s="98"/>
      <c r="L88" s="98"/>
      <c r="M88" s="1403"/>
      <c r="N88" s="98"/>
      <c r="O88" s="98"/>
      <c r="P88" s="98"/>
      <c r="Q88" s="98"/>
      <c r="R88" s="1403"/>
      <c r="S88" s="1403"/>
      <c r="T88" s="1403"/>
      <c r="U88" s="98"/>
      <c r="V88" s="98"/>
      <c r="W88" s="98"/>
      <c r="X88" s="98"/>
      <c r="Y88" s="98"/>
      <c r="Z88" s="98"/>
      <c r="AA88" s="98"/>
      <c r="AB88" s="98"/>
      <c r="AC88" s="98" t="s">
        <v>1719</v>
      </c>
      <c r="AD88" s="1423">
        <v>744.21</v>
      </c>
      <c r="AE88" s="1082"/>
      <c r="AF88" s="1423">
        <v>752.81</v>
      </c>
      <c r="AG88" s="1423"/>
      <c r="AH88" s="1423">
        <v>2957.77</v>
      </c>
      <c r="AI88" s="98"/>
      <c r="AJ88" s="98"/>
      <c r="AK88" s="98"/>
      <c r="AL88" s="98"/>
      <c r="AM88" s="98"/>
      <c r="AN88" s="98"/>
      <c r="AO88" s="98"/>
      <c r="AP88" s="98"/>
      <c r="AQ88" s="98"/>
      <c r="AR88" s="98"/>
    </row>
    <row r="89" spans="1:44" ht="12.75" customHeight="1">
      <c r="A89" s="98"/>
      <c r="B89" s="98"/>
      <c r="C89" s="98"/>
      <c r="D89" s="1092"/>
      <c r="E89" s="98"/>
      <c r="F89" s="98"/>
      <c r="G89" s="98"/>
      <c r="H89" s="98"/>
      <c r="I89" s="98"/>
      <c r="J89" s="98"/>
      <c r="K89" s="98"/>
      <c r="L89" s="98"/>
      <c r="M89" s="1403"/>
      <c r="N89" s="98"/>
      <c r="O89" s="98"/>
      <c r="P89" s="98"/>
      <c r="Q89" s="98"/>
      <c r="R89" s="1403"/>
      <c r="S89" s="1403"/>
      <c r="T89" s="1403"/>
      <c r="U89" s="98"/>
      <c r="V89" s="98"/>
      <c r="W89" s="98"/>
      <c r="X89" s="98"/>
      <c r="Y89" s="98"/>
      <c r="Z89" s="98"/>
      <c r="AA89" s="98"/>
      <c r="AB89" s="98"/>
      <c r="AC89" s="98" t="s">
        <v>401</v>
      </c>
      <c r="AD89" s="1423">
        <v>163.59</v>
      </c>
      <c r="AE89" s="1082"/>
      <c r="AF89" s="1423">
        <v>158.35</v>
      </c>
      <c r="AG89" s="1423"/>
      <c r="AH89" s="1423">
        <v>634.79</v>
      </c>
      <c r="AI89" s="98"/>
      <c r="AJ89" s="98"/>
      <c r="AK89" s="98"/>
      <c r="AL89" s="98"/>
      <c r="AM89" s="98"/>
      <c r="AN89" s="98"/>
      <c r="AO89" s="98"/>
      <c r="AP89" s="98"/>
      <c r="AQ89" s="98"/>
      <c r="AR89" s="98"/>
    </row>
    <row r="90" spans="1:44" ht="12.75" customHeight="1">
      <c r="A90" s="2"/>
      <c r="B90" s="2"/>
      <c r="C90" s="2"/>
      <c r="D90" s="1062"/>
      <c r="E90" s="2"/>
      <c r="F90" s="2"/>
      <c r="G90" s="2"/>
      <c r="H90" s="2"/>
      <c r="I90" s="2"/>
      <c r="J90" s="2"/>
      <c r="K90" s="2"/>
      <c r="L90" s="2"/>
      <c r="N90" s="2"/>
      <c r="O90" s="2"/>
      <c r="P90" s="2"/>
      <c r="Q90" s="2"/>
      <c r="U90" s="2"/>
      <c r="V90" s="2"/>
      <c r="W90" s="2"/>
      <c r="X90" s="2"/>
      <c r="Y90" s="2"/>
      <c r="Z90" s="2"/>
      <c r="AA90" s="2"/>
      <c r="AB90" s="2"/>
      <c r="AC90" s="2" t="s">
        <v>200</v>
      </c>
      <c r="AD90" s="1068">
        <v>0.01</v>
      </c>
      <c r="AE90" s="1118"/>
      <c r="AF90" s="1068">
        <v>-0.05</v>
      </c>
      <c r="AG90" s="1068"/>
      <c r="AH90" s="1068">
        <v>-0.13</v>
      </c>
      <c r="AI90" s="2"/>
      <c r="AJ90" s="2"/>
      <c r="AK90" s="2"/>
      <c r="AL90" s="2"/>
      <c r="AM90" s="2"/>
      <c r="AN90" s="2"/>
      <c r="AO90" s="2"/>
      <c r="AP90" s="2"/>
      <c r="AQ90" s="98"/>
      <c r="AR90" s="2"/>
    </row>
    <row r="91" spans="1:44" ht="12.75" customHeight="1">
      <c r="A91" s="2"/>
      <c r="B91" s="2"/>
      <c r="C91" s="2"/>
      <c r="D91" s="1062"/>
      <c r="E91" s="2"/>
      <c r="F91" s="2"/>
      <c r="G91" s="2"/>
      <c r="H91" s="2"/>
      <c r="I91" s="2"/>
      <c r="J91" s="2"/>
      <c r="K91" s="2"/>
      <c r="L91" s="2"/>
      <c r="N91" s="2"/>
      <c r="O91" s="2"/>
      <c r="P91" s="2"/>
      <c r="Q91" s="2"/>
      <c r="U91" s="2"/>
      <c r="V91" s="2"/>
      <c r="W91" s="2"/>
      <c r="X91" s="2"/>
      <c r="Y91" s="2"/>
      <c r="Z91" s="2"/>
      <c r="AA91" s="2"/>
      <c r="AB91" s="2"/>
      <c r="AC91" s="2"/>
      <c r="AD91" s="2"/>
      <c r="AE91" s="2"/>
      <c r="AF91" s="2"/>
      <c r="AG91" s="2"/>
      <c r="AH91" s="2"/>
      <c r="AI91" s="2"/>
      <c r="AJ91" s="2"/>
      <c r="AK91" s="2"/>
      <c r="AL91" s="2"/>
      <c r="AM91" s="2"/>
      <c r="AN91" s="2"/>
      <c r="AO91" s="2"/>
      <c r="AP91" s="2"/>
      <c r="AQ91" s="98"/>
      <c r="AR91" s="2"/>
    </row>
    <row r="92" spans="1:44" ht="12.75" customHeight="1">
      <c r="A92" s="2"/>
      <c r="B92" s="2"/>
      <c r="C92" s="2"/>
      <c r="D92" s="1062"/>
      <c r="E92" s="2"/>
      <c r="F92" s="2"/>
      <c r="G92" s="2"/>
      <c r="H92" s="2"/>
      <c r="I92" s="2"/>
      <c r="J92" s="2"/>
      <c r="K92" s="2"/>
      <c r="L92" s="2"/>
      <c r="N92" s="2"/>
      <c r="O92" s="2"/>
      <c r="P92" s="2"/>
      <c r="Q92" s="2"/>
      <c r="U92" s="2"/>
      <c r="V92" s="2"/>
      <c r="W92" s="2"/>
      <c r="X92" s="2"/>
      <c r="Y92" s="2"/>
      <c r="Z92" s="2"/>
      <c r="AA92" s="2"/>
      <c r="AB92" s="2"/>
      <c r="AC92" s="2"/>
      <c r="AD92" s="2"/>
      <c r="AE92" s="2"/>
      <c r="AF92" s="2"/>
      <c r="AG92" s="2"/>
      <c r="AH92" s="2"/>
      <c r="AI92" s="2"/>
      <c r="AJ92" s="69" t="s">
        <v>1651</v>
      </c>
      <c r="AQ92" s="98"/>
      <c r="AR92" s="2"/>
    </row>
    <row r="93" spans="1:44" ht="12.75" customHeight="1">
      <c r="A93" s="2"/>
      <c r="B93" s="2"/>
      <c r="C93" s="2"/>
      <c r="D93" s="1062"/>
      <c r="E93" s="2"/>
      <c r="F93" s="2"/>
      <c r="G93" s="2"/>
      <c r="H93" s="2"/>
      <c r="I93" s="2"/>
      <c r="J93" s="2"/>
      <c r="K93" s="2"/>
      <c r="L93" s="2"/>
      <c r="N93" s="2"/>
      <c r="O93" s="2"/>
      <c r="P93" s="2"/>
      <c r="Q93" s="2"/>
      <c r="U93" s="2"/>
      <c r="V93" s="2"/>
      <c r="W93" s="2"/>
      <c r="X93" s="2"/>
      <c r="Y93" s="2"/>
      <c r="Z93" s="2"/>
      <c r="AA93" s="2"/>
      <c r="AB93" s="2"/>
      <c r="AC93" s="2"/>
      <c r="AD93" s="2"/>
      <c r="AE93" s="2"/>
      <c r="AF93" s="2"/>
      <c r="AG93" s="2"/>
      <c r="AH93" s="2"/>
      <c r="AI93" s="2"/>
      <c r="AJ93" s="69"/>
      <c r="AQ93" s="98"/>
      <c r="AR93" s="2"/>
    </row>
    <row r="94" spans="1:44" ht="12.75" customHeight="1">
      <c r="A94" s="2"/>
      <c r="B94" s="2"/>
      <c r="C94" s="2"/>
      <c r="D94" s="1062"/>
      <c r="E94" s="2"/>
      <c r="F94" s="2"/>
      <c r="G94" s="2"/>
      <c r="H94" s="2"/>
      <c r="I94" s="2"/>
      <c r="J94" s="2"/>
      <c r="K94" s="2"/>
      <c r="L94" s="2"/>
      <c r="N94" s="2"/>
      <c r="O94" s="2"/>
      <c r="P94" s="2"/>
      <c r="Q94" s="2"/>
      <c r="U94" s="2"/>
      <c r="V94" s="2"/>
      <c r="W94" s="2"/>
      <c r="X94" s="2"/>
      <c r="Y94" s="2"/>
      <c r="Z94" s="2"/>
      <c r="AA94" s="2"/>
      <c r="AB94" s="2"/>
      <c r="AC94" s="2"/>
      <c r="AD94" s="2"/>
      <c r="AE94" s="2"/>
      <c r="AF94" s="2"/>
      <c r="AG94" s="2"/>
      <c r="AH94" s="2"/>
      <c r="AI94" s="2"/>
      <c r="AJ94" s="1447"/>
      <c r="AK94" s="1449"/>
      <c r="AL94" s="1447"/>
      <c r="AM94" s="1447"/>
      <c r="AN94" s="1447"/>
      <c r="AO94" s="1447"/>
      <c r="AP94" s="1447"/>
      <c r="AQ94" s="98"/>
      <c r="AR94" s="2"/>
    </row>
    <row r="95" spans="1:44" ht="12.75" customHeight="1">
      <c r="A95" s="2"/>
      <c r="B95" s="2"/>
      <c r="C95" s="2"/>
      <c r="D95" s="1062"/>
      <c r="E95" s="2"/>
      <c r="F95" s="2"/>
      <c r="G95" s="2"/>
      <c r="H95" s="2"/>
      <c r="I95" s="2"/>
      <c r="J95" s="2"/>
      <c r="K95" s="2"/>
      <c r="L95" s="2"/>
      <c r="N95" s="2"/>
      <c r="O95" s="2"/>
      <c r="P95" s="2"/>
      <c r="Q95" s="2"/>
      <c r="U95" s="2"/>
      <c r="V95" s="2"/>
      <c r="W95" s="2"/>
      <c r="X95" s="2"/>
      <c r="Y95" s="2"/>
      <c r="Z95" s="2"/>
      <c r="AA95" s="2"/>
      <c r="AB95" s="2"/>
      <c r="AC95" s="2"/>
      <c r="AD95" s="2"/>
      <c r="AE95" s="2"/>
      <c r="AF95" s="2"/>
      <c r="AG95" s="2"/>
      <c r="AH95" s="2"/>
      <c r="AI95" s="2"/>
      <c r="AJ95" s="111" t="s">
        <v>1610</v>
      </c>
      <c r="AK95" s="1289" t="s">
        <v>552</v>
      </c>
      <c r="AL95" s="1448"/>
      <c r="AM95" s="1289" t="s">
        <v>405</v>
      </c>
      <c r="AN95" s="1448"/>
      <c r="AO95" s="1289" t="s">
        <v>1489</v>
      </c>
      <c r="AP95" s="1629"/>
      <c r="AQ95" s="98"/>
      <c r="AR95" s="2"/>
    </row>
    <row r="96" spans="1:44" ht="3" customHeight="1">
      <c r="A96" s="2"/>
      <c r="B96" s="2"/>
      <c r="C96" s="2"/>
      <c r="D96" s="1062"/>
      <c r="E96" s="2"/>
      <c r="F96" s="2"/>
      <c r="G96" s="2"/>
      <c r="H96" s="2"/>
      <c r="I96" s="2"/>
      <c r="J96" s="2"/>
      <c r="K96" s="2"/>
      <c r="L96" s="2"/>
      <c r="N96" s="2"/>
      <c r="O96" s="2"/>
      <c r="P96" s="2"/>
      <c r="Q96" s="2"/>
      <c r="U96" s="2"/>
      <c r="V96" s="2"/>
      <c r="W96" s="2"/>
      <c r="X96" s="2"/>
      <c r="Y96" s="2"/>
      <c r="Z96" s="2"/>
      <c r="AA96" s="2"/>
      <c r="AB96" s="2"/>
      <c r="AC96" s="2"/>
      <c r="AD96" s="2"/>
      <c r="AE96" s="2"/>
      <c r="AF96" s="2"/>
      <c r="AG96" s="2"/>
      <c r="AH96" s="2"/>
      <c r="AI96" s="2"/>
      <c r="AJ96" s="69"/>
      <c r="AK96" s="1449"/>
      <c r="AL96" s="1449"/>
      <c r="AM96" s="1449"/>
      <c r="AN96" s="1449"/>
      <c r="AO96" s="1449"/>
      <c r="AP96" s="1449"/>
      <c r="AQ96" s="98"/>
      <c r="AR96" s="2"/>
    </row>
    <row r="97" spans="1:44" ht="12.75" customHeight="1">
      <c r="A97" s="1205"/>
      <c r="B97" s="1205"/>
      <c r="C97" s="1205"/>
      <c r="D97" s="2220"/>
      <c r="E97" s="1205"/>
      <c r="F97" s="1205"/>
      <c r="G97" s="1205"/>
      <c r="H97" s="1205"/>
      <c r="I97" s="1205"/>
      <c r="J97" s="1205"/>
      <c r="K97" s="1205"/>
      <c r="L97" s="1205"/>
      <c r="M97" s="2266"/>
      <c r="N97" s="1205"/>
      <c r="O97" s="1205"/>
      <c r="P97" s="1205"/>
      <c r="Q97" s="1205"/>
      <c r="R97" s="2266"/>
      <c r="S97" s="2266"/>
      <c r="T97" s="2266"/>
      <c r="U97" s="1205"/>
      <c r="V97" s="1205"/>
      <c r="W97" s="1205"/>
      <c r="X97" s="1205"/>
      <c r="Y97" s="1205"/>
      <c r="Z97" s="1205"/>
      <c r="AA97" s="1205"/>
      <c r="AB97" s="1205"/>
      <c r="AC97" s="1205"/>
      <c r="AD97" s="1205"/>
      <c r="AE97" s="1205"/>
      <c r="AF97" s="1205"/>
      <c r="AG97" s="1205"/>
      <c r="AH97" s="1205"/>
      <c r="AI97" s="1205"/>
      <c r="AJ97" s="2267" t="s">
        <v>407</v>
      </c>
      <c r="AK97" s="2276" t="s">
        <v>3</v>
      </c>
      <c r="AL97" s="1205"/>
      <c r="AM97" s="2272">
        <f>+BYD!AX110</f>
        <v>132.33999999999997</v>
      </c>
      <c r="AN97" s="1205"/>
      <c r="AO97" s="2272"/>
      <c r="AP97" s="1205"/>
      <c r="AQ97" s="98"/>
      <c r="AR97" s="1205"/>
    </row>
    <row r="98" spans="1:44" ht="12.75" customHeight="1">
      <c r="A98" s="1205"/>
      <c r="B98" s="1205"/>
      <c r="C98" s="1205"/>
      <c r="D98" s="2220"/>
      <c r="E98" s="1205"/>
      <c r="F98" s="1205"/>
      <c r="G98" s="1205"/>
      <c r="H98" s="1205"/>
      <c r="I98" s="1205"/>
      <c r="J98" s="1205"/>
      <c r="K98" s="1205"/>
      <c r="L98" s="1205"/>
      <c r="M98" s="2266"/>
      <c r="N98" s="1205"/>
      <c r="O98" s="1205"/>
      <c r="P98" s="1205"/>
      <c r="Q98" s="1205"/>
      <c r="R98" s="2266"/>
      <c r="S98" s="2266"/>
      <c r="T98" s="2266"/>
      <c r="U98" s="1205"/>
      <c r="V98" s="1205"/>
      <c r="W98" s="1205"/>
      <c r="X98" s="1205"/>
      <c r="Y98" s="1205"/>
      <c r="Z98" s="1205"/>
      <c r="AA98" s="1205"/>
      <c r="AB98" s="1205"/>
      <c r="AC98" s="1205"/>
      <c r="AD98" s="1205"/>
      <c r="AE98" s="1205"/>
      <c r="AF98" s="1205"/>
      <c r="AG98" s="1205"/>
      <c r="AH98" s="1205"/>
      <c r="AI98" s="1205"/>
      <c r="AJ98" s="2267" t="s">
        <v>1614</v>
      </c>
      <c r="AK98" s="2268" t="s">
        <v>4</v>
      </c>
      <c r="AL98" s="2269"/>
      <c r="AM98" s="2272">
        <f>+BYD!AY927</f>
        <v>46.591999999999999</v>
      </c>
      <c r="AN98" s="2269"/>
      <c r="AO98" s="2272"/>
      <c r="AP98" s="2271"/>
      <c r="AQ98" s="98"/>
      <c r="AR98" s="1205"/>
    </row>
    <row r="99" spans="1:44" ht="6" customHeight="1">
      <c r="A99" s="2"/>
      <c r="B99" s="2"/>
      <c r="C99" s="2"/>
      <c r="D99" s="1062"/>
      <c r="E99" s="2"/>
      <c r="F99" s="2"/>
      <c r="G99" s="2"/>
      <c r="H99" s="2"/>
      <c r="I99" s="2"/>
      <c r="J99" s="2"/>
      <c r="K99" s="2"/>
      <c r="L99" s="2"/>
      <c r="N99" s="2"/>
      <c r="O99" s="2"/>
      <c r="P99" s="2"/>
      <c r="Q99" s="2"/>
      <c r="U99" s="2"/>
      <c r="V99" s="2"/>
      <c r="W99" s="2"/>
      <c r="X99" s="2"/>
      <c r="Y99" s="2"/>
      <c r="Z99" s="2"/>
      <c r="AA99" s="2"/>
      <c r="AB99" s="2"/>
      <c r="AC99" s="2"/>
      <c r="AD99" s="2"/>
      <c r="AE99" s="2"/>
      <c r="AF99" s="2"/>
      <c r="AG99" s="2"/>
      <c r="AH99" s="2"/>
      <c r="AI99" s="2"/>
      <c r="AJ99" s="1447"/>
      <c r="AK99" s="1614"/>
      <c r="AL99" s="1449"/>
      <c r="AM99" s="1450"/>
      <c r="AN99" s="1449"/>
      <c r="AO99" s="1450"/>
      <c r="AP99" s="1450"/>
      <c r="AQ99" s="98"/>
      <c r="AR99" s="2"/>
    </row>
    <row r="100" spans="1:44" ht="12.75" customHeight="1">
      <c r="A100" s="1205"/>
      <c r="B100" s="1205"/>
      <c r="C100" s="1205"/>
      <c r="D100" s="2220"/>
      <c r="E100" s="1205"/>
      <c r="F100" s="1205"/>
      <c r="G100" s="1205"/>
      <c r="H100" s="1205"/>
      <c r="I100" s="1205"/>
      <c r="J100" s="1205"/>
      <c r="K100" s="1205"/>
      <c r="L100" s="1205"/>
      <c r="M100" s="2273"/>
      <c r="N100" s="1205"/>
      <c r="O100" s="1205"/>
      <c r="P100" s="1205"/>
      <c r="Q100" s="1205"/>
      <c r="R100" s="2273"/>
      <c r="S100" s="2273"/>
      <c r="T100" s="2273"/>
      <c r="U100" s="1205"/>
      <c r="V100" s="1205"/>
      <c r="W100" s="1205"/>
      <c r="X100" s="1205"/>
      <c r="Y100" s="1205"/>
      <c r="Z100" s="1205"/>
      <c r="AA100" s="1205"/>
      <c r="AB100" s="1205"/>
      <c r="AC100" s="1205"/>
      <c r="AD100" s="1205"/>
      <c r="AE100" s="1205"/>
      <c r="AF100" s="1205"/>
      <c r="AG100" s="1205"/>
      <c r="AH100" s="1205"/>
      <c r="AI100" s="1205"/>
      <c r="AJ100" s="2267" t="s">
        <v>498</v>
      </c>
      <c r="AK100" s="2268" t="s">
        <v>1</v>
      </c>
      <c r="AL100" s="2269"/>
      <c r="AM100" s="2270">
        <f>+SUM(AM97:AM99)</f>
        <v>178.93199999999996</v>
      </c>
      <c r="AN100" s="2269"/>
      <c r="AO100" s="2268">
        <v>158.35</v>
      </c>
      <c r="AP100" s="2271"/>
      <c r="AQ100" s="98"/>
      <c r="AR100" s="1205"/>
    </row>
    <row r="101" spans="1:44" ht="6" customHeight="1">
      <c r="A101" s="2"/>
      <c r="B101" s="2"/>
      <c r="C101" s="2"/>
      <c r="D101" s="1062"/>
      <c r="E101" s="2"/>
      <c r="F101" s="2"/>
      <c r="G101" s="2"/>
      <c r="H101" s="2"/>
      <c r="I101" s="2"/>
      <c r="J101" s="2"/>
      <c r="K101" s="2"/>
      <c r="L101" s="2"/>
      <c r="N101" s="2"/>
      <c r="O101" s="2"/>
      <c r="P101" s="2"/>
      <c r="Q101" s="2"/>
      <c r="U101" s="2"/>
      <c r="V101" s="2"/>
      <c r="W101" s="2"/>
      <c r="X101" s="2"/>
      <c r="Y101" s="2"/>
      <c r="Z101" s="2"/>
      <c r="AA101" s="2"/>
      <c r="AB101" s="2"/>
      <c r="AC101" s="2"/>
      <c r="AD101" s="2"/>
      <c r="AE101" s="2"/>
      <c r="AF101" s="2"/>
      <c r="AG101" s="2"/>
      <c r="AH101" s="2"/>
      <c r="AI101" s="2"/>
      <c r="AJ101" s="1447"/>
      <c r="AK101" s="1614"/>
      <c r="AL101" s="1449"/>
      <c r="AM101" s="1450"/>
      <c r="AN101" s="1449"/>
      <c r="AO101" s="1450"/>
      <c r="AP101" s="1450"/>
      <c r="AQ101" s="98"/>
      <c r="AR101" s="2"/>
    </row>
    <row r="102" spans="1:44" ht="12.75" customHeight="1">
      <c r="A102" s="2"/>
      <c r="B102" s="2"/>
      <c r="C102" s="2"/>
      <c r="D102" s="1062"/>
      <c r="E102" s="2"/>
      <c r="F102" s="2"/>
      <c r="G102" s="2"/>
      <c r="H102" s="2"/>
      <c r="I102" s="2"/>
      <c r="J102" s="2"/>
      <c r="K102" s="2"/>
      <c r="L102" s="2"/>
      <c r="N102" s="2"/>
      <c r="O102" s="2"/>
      <c r="P102" s="2"/>
      <c r="Q102" s="2"/>
      <c r="U102" s="2"/>
      <c r="V102" s="2"/>
      <c r="W102" s="2"/>
      <c r="X102" s="2"/>
      <c r="Y102" s="2"/>
      <c r="Z102" s="2"/>
      <c r="AA102" s="2"/>
      <c r="AB102" s="2"/>
      <c r="AC102" s="2"/>
      <c r="AD102" s="2"/>
      <c r="AE102" s="2"/>
      <c r="AF102" s="2"/>
      <c r="AG102" s="2"/>
      <c r="AH102" s="2"/>
      <c r="AI102" s="2"/>
      <c r="AJ102" s="1447" t="s">
        <v>1615</v>
      </c>
      <c r="AK102" s="1614" t="s">
        <v>5</v>
      </c>
      <c r="AL102" s="1449"/>
      <c r="AM102" s="2265">
        <f>+BYD!AY91</f>
        <v>-0.36747575205553612</v>
      </c>
      <c r="AN102" s="1449"/>
      <c r="AO102" s="2265">
        <v>-0.05</v>
      </c>
      <c r="AP102" s="1466"/>
      <c r="AQ102" s="98"/>
      <c r="AR102" s="2"/>
    </row>
    <row r="103" spans="1:44" ht="6" customHeight="1">
      <c r="A103" s="2"/>
      <c r="B103" s="2"/>
      <c r="C103" s="2"/>
      <c r="D103" s="1062"/>
      <c r="E103" s="2"/>
      <c r="F103" s="2"/>
      <c r="G103" s="2"/>
      <c r="H103" s="2"/>
      <c r="I103" s="2"/>
      <c r="J103" s="2"/>
      <c r="K103" s="2"/>
      <c r="L103" s="2"/>
      <c r="N103" s="2"/>
      <c r="O103" s="2"/>
      <c r="P103" s="2"/>
      <c r="Q103" s="2"/>
      <c r="U103" s="2"/>
      <c r="V103" s="2"/>
      <c r="W103" s="2"/>
      <c r="X103" s="2"/>
      <c r="Y103" s="2"/>
      <c r="Z103" s="2"/>
      <c r="AA103" s="2"/>
      <c r="AB103" s="2"/>
      <c r="AC103" s="2"/>
      <c r="AD103" s="2"/>
      <c r="AE103" s="2"/>
      <c r="AF103" s="2"/>
      <c r="AG103" s="2"/>
      <c r="AH103" s="2"/>
      <c r="AI103" s="2"/>
      <c r="AJ103" s="1447"/>
      <c r="AK103" s="1450"/>
      <c r="AL103" s="1449"/>
      <c r="AM103" s="1449"/>
      <c r="AN103" s="1449"/>
      <c r="AO103" s="1449"/>
      <c r="AP103" s="1449"/>
      <c r="AQ103" s="98"/>
      <c r="AR103" s="2"/>
    </row>
    <row r="104" spans="1:44" ht="12.75" customHeight="1">
      <c r="A104" s="2"/>
      <c r="B104" s="2"/>
      <c r="C104" s="2"/>
      <c r="D104" s="1062"/>
      <c r="E104" s="2"/>
      <c r="F104" s="2"/>
      <c r="G104" s="2"/>
      <c r="H104" s="2"/>
      <c r="I104" s="2"/>
      <c r="J104" s="2"/>
      <c r="K104" s="2"/>
      <c r="L104" s="2"/>
      <c r="N104" s="2"/>
      <c r="O104" s="2"/>
      <c r="P104" s="2"/>
      <c r="Q104" s="2"/>
      <c r="U104" s="2"/>
      <c r="V104" s="2"/>
      <c r="W104" s="2"/>
      <c r="X104" s="2"/>
      <c r="Y104" s="2"/>
      <c r="Z104" s="2"/>
      <c r="AA104" s="2"/>
      <c r="AB104" s="2"/>
      <c r="AC104" s="2"/>
      <c r="AD104" s="2"/>
      <c r="AE104" s="2"/>
      <c r="AF104" s="2"/>
      <c r="AG104" s="2"/>
      <c r="AH104" s="2"/>
      <c r="AI104" s="2"/>
      <c r="AJ104" s="2" t="s">
        <v>408</v>
      </c>
      <c r="AK104" s="2"/>
      <c r="AL104" s="2"/>
      <c r="AM104" s="2"/>
      <c r="AN104" s="2"/>
      <c r="AO104" s="2"/>
      <c r="AP104" s="2"/>
      <c r="AQ104" s="98"/>
      <c r="AR104" s="2"/>
    </row>
    <row r="105" spans="1:44" ht="12.75" customHeight="1">
      <c r="A105" s="2"/>
      <c r="B105" s="2"/>
      <c r="C105" s="2"/>
      <c r="D105" s="1062"/>
      <c r="E105" s="2"/>
      <c r="F105" s="2"/>
      <c r="G105" s="2"/>
      <c r="H105" s="2"/>
      <c r="I105" s="2"/>
      <c r="J105" s="2"/>
      <c r="K105" s="2"/>
      <c r="L105" s="2"/>
      <c r="N105" s="2"/>
      <c r="O105" s="2"/>
      <c r="P105" s="2"/>
      <c r="Q105" s="2"/>
      <c r="U105" s="2"/>
      <c r="V105" s="2"/>
      <c r="W105" s="2"/>
      <c r="X105" s="2"/>
      <c r="Y105" s="2"/>
      <c r="Z105" s="2"/>
      <c r="AA105" s="2"/>
      <c r="AB105" s="2"/>
      <c r="AC105" s="2"/>
      <c r="AD105" s="2"/>
      <c r="AE105" s="2"/>
      <c r="AF105" s="2"/>
      <c r="AG105" s="2"/>
      <c r="AH105" s="2"/>
      <c r="AI105" s="2"/>
      <c r="AJ105" s="2"/>
      <c r="AK105" s="2"/>
      <c r="AL105" s="2"/>
      <c r="AM105" s="2"/>
      <c r="AN105" s="2"/>
      <c r="AO105" s="2"/>
      <c r="AP105" s="1" t="s">
        <v>6</v>
      </c>
      <c r="AQ105" s="98"/>
      <c r="AR105" s="2"/>
    </row>
    <row r="106" spans="1:44" ht="12.75" customHeight="1">
      <c r="A106" s="2"/>
      <c r="B106" s="2"/>
      <c r="C106" s="2"/>
      <c r="D106" s="1062"/>
      <c r="E106" s="2"/>
      <c r="F106" s="2"/>
      <c r="G106" s="2"/>
      <c r="H106" s="2"/>
      <c r="I106" s="2"/>
      <c r="J106" s="2"/>
      <c r="K106" s="2"/>
      <c r="L106" s="2"/>
      <c r="N106" s="2"/>
      <c r="O106" s="2"/>
      <c r="P106" s="2"/>
      <c r="Q106" s="2"/>
      <c r="U106" s="2"/>
      <c r="V106" s="2"/>
      <c r="W106" s="2"/>
      <c r="X106" s="2"/>
      <c r="Y106" s="2"/>
      <c r="Z106" s="2"/>
      <c r="AA106" s="2"/>
      <c r="AB106" s="2"/>
      <c r="AC106" s="2"/>
      <c r="AD106" s="2"/>
      <c r="AE106" s="2"/>
      <c r="AF106" s="2"/>
      <c r="AG106" s="2"/>
      <c r="AH106" s="2"/>
      <c r="AI106" s="2"/>
      <c r="AJ106" s="2"/>
      <c r="AK106" s="2"/>
      <c r="AL106" s="2"/>
      <c r="AM106" s="2"/>
      <c r="AN106" s="2"/>
      <c r="AO106" s="2"/>
      <c r="AP106" s="1" t="s">
        <v>7</v>
      </c>
      <c r="AQ106" s="98"/>
      <c r="AR106" s="101" t="s">
        <v>405</v>
      </c>
    </row>
    <row r="107" spans="1:44" ht="12.75" customHeight="1">
      <c r="A107" s="2"/>
      <c r="B107" s="2"/>
      <c r="C107" s="2"/>
      <c r="D107" s="1062"/>
      <c r="E107" s="2"/>
      <c r="F107" s="2"/>
      <c r="G107" s="2"/>
      <c r="H107" s="2"/>
      <c r="I107" s="2"/>
      <c r="J107" s="2"/>
      <c r="K107" s="2"/>
      <c r="L107" s="2"/>
      <c r="N107" s="2"/>
      <c r="O107" s="2"/>
      <c r="P107" s="2"/>
      <c r="Q107" s="2"/>
      <c r="U107" s="2"/>
      <c r="V107" s="2"/>
      <c r="W107" s="2"/>
      <c r="X107" s="2"/>
      <c r="Y107" s="2"/>
      <c r="Z107" s="2"/>
      <c r="AA107" s="2"/>
      <c r="AB107" s="2"/>
      <c r="AC107" s="2"/>
      <c r="AD107" s="2"/>
      <c r="AE107" s="2"/>
      <c r="AF107" s="2"/>
      <c r="AG107" s="2"/>
      <c r="AH107" s="2"/>
      <c r="AI107" s="2"/>
      <c r="AJ107" s="2"/>
      <c r="AK107" s="2"/>
      <c r="AL107" s="2"/>
      <c r="AM107" s="2"/>
      <c r="AN107" s="2"/>
      <c r="AO107" s="2"/>
      <c r="AP107" s="2" t="s">
        <v>514</v>
      </c>
      <c r="AQ107" s="1349">
        <v>149.72999999999999</v>
      </c>
      <c r="AR107" s="2">
        <f>+BYD!AX10</f>
        <v>149.69</v>
      </c>
    </row>
    <row r="108" spans="1:44" ht="12.75" customHeight="1">
      <c r="A108" s="2"/>
      <c r="B108" s="2"/>
      <c r="C108" s="2"/>
      <c r="D108" s="1062"/>
      <c r="E108" s="2"/>
      <c r="F108" s="2"/>
      <c r="G108" s="2"/>
      <c r="H108" s="2"/>
      <c r="I108" s="2"/>
      <c r="J108" s="2"/>
      <c r="K108" s="2"/>
      <c r="L108" s="2"/>
      <c r="N108" s="2"/>
      <c r="O108" s="2"/>
      <c r="P108" s="2"/>
      <c r="Q108" s="2"/>
      <c r="U108" s="2"/>
      <c r="V108" s="2"/>
      <c r="W108" s="2"/>
      <c r="X108" s="2"/>
      <c r="Y108" s="2"/>
      <c r="Z108" s="2"/>
      <c r="AA108" s="2"/>
      <c r="AB108" s="2"/>
      <c r="AC108" s="2"/>
      <c r="AD108" s="2"/>
      <c r="AE108" s="2"/>
      <c r="AF108" s="2"/>
      <c r="AG108" s="2"/>
      <c r="AH108" s="2"/>
      <c r="AI108" s="2"/>
      <c r="AJ108" s="2"/>
      <c r="AK108" s="2"/>
      <c r="AL108" s="2"/>
      <c r="AM108" s="2"/>
      <c r="AN108" s="2"/>
      <c r="AO108" s="2"/>
      <c r="AP108" s="2" t="s">
        <v>515</v>
      </c>
      <c r="AQ108" s="1102">
        <v>56.23</v>
      </c>
      <c r="AR108" s="2">
        <f>+BYD!AX11</f>
        <v>56.128</v>
      </c>
    </row>
    <row r="109" spans="1:44" ht="12.75" customHeight="1">
      <c r="A109" s="2"/>
      <c r="B109" s="2"/>
      <c r="C109" s="2"/>
      <c r="D109" s="1062"/>
      <c r="E109" s="2"/>
      <c r="F109" s="2"/>
      <c r="G109" s="2"/>
      <c r="H109" s="2"/>
      <c r="I109" s="2"/>
      <c r="J109" s="2"/>
      <c r="K109" s="2"/>
      <c r="L109" s="2"/>
      <c r="N109" s="2"/>
      <c r="O109" s="2"/>
      <c r="P109" s="2"/>
      <c r="Q109" s="2"/>
      <c r="U109" s="2"/>
      <c r="V109" s="2"/>
      <c r="W109" s="2"/>
      <c r="X109" s="2"/>
      <c r="Y109" s="2"/>
      <c r="Z109" s="2"/>
      <c r="AA109" s="2"/>
      <c r="AB109" s="2"/>
      <c r="AC109" s="2"/>
      <c r="AD109" s="2"/>
      <c r="AE109" s="2"/>
      <c r="AF109" s="2"/>
      <c r="AG109" s="2"/>
      <c r="AH109" s="2"/>
      <c r="AI109" s="2"/>
      <c r="AJ109" s="2"/>
      <c r="AK109" s="2"/>
      <c r="AL109" s="2"/>
      <c r="AM109" s="2"/>
      <c r="AN109" s="2"/>
      <c r="AO109" s="2"/>
      <c r="AP109" s="2" t="s">
        <v>516</v>
      </c>
      <c r="AQ109" s="1102">
        <v>234.18</v>
      </c>
      <c r="AR109" s="2">
        <f>+BYD!AX13</f>
        <v>224.273</v>
      </c>
    </row>
    <row r="110" spans="1:44" ht="12.75" customHeight="1">
      <c r="A110" s="2"/>
      <c r="B110" s="2"/>
      <c r="C110" s="2"/>
      <c r="D110" s="1062"/>
      <c r="E110" s="2"/>
      <c r="F110" s="2"/>
      <c r="G110" s="2"/>
      <c r="H110" s="2"/>
      <c r="I110" s="2"/>
      <c r="J110" s="2"/>
      <c r="K110" s="2"/>
      <c r="L110" s="2"/>
      <c r="N110" s="2"/>
      <c r="O110" s="2"/>
      <c r="P110" s="2"/>
      <c r="Q110" s="2"/>
      <c r="U110" s="2"/>
      <c r="V110" s="2"/>
      <c r="W110" s="2"/>
      <c r="X110" s="2"/>
      <c r="Y110" s="2"/>
      <c r="Z110" s="2"/>
      <c r="AA110" s="2"/>
      <c r="AB110" s="2"/>
      <c r="AC110" s="2"/>
      <c r="AD110" s="2"/>
      <c r="AE110" s="2"/>
      <c r="AF110" s="2"/>
      <c r="AG110" s="2"/>
      <c r="AH110" s="2"/>
      <c r="AI110" s="2"/>
      <c r="AJ110" s="2"/>
      <c r="AK110" s="2"/>
      <c r="AL110" s="2"/>
      <c r="AM110" s="2"/>
      <c r="AN110" s="2"/>
      <c r="AO110" s="2"/>
      <c r="AP110" s="2" t="s">
        <v>517</v>
      </c>
      <c r="AQ110" s="1102">
        <v>137.13</v>
      </c>
      <c r="AR110" s="2">
        <f>+BYD!AX14</f>
        <v>135.78</v>
      </c>
    </row>
    <row r="111" spans="1:44" ht="12.75" customHeight="1">
      <c r="A111" s="2"/>
      <c r="B111" s="2"/>
      <c r="C111" s="2"/>
      <c r="D111" s="1062"/>
      <c r="E111" s="2"/>
      <c r="F111" s="2"/>
      <c r="G111" s="2"/>
      <c r="H111" s="2"/>
      <c r="I111" s="2"/>
      <c r="J111" s="2"/>
      <c r="K111" s="2"/>
      <c r="L111" s="2"/>
      <c r="N111" s="2"/>
      <c r="O111" s="2"/>
      <c r="P111" s="2"/>
      <c r="Q111" s="2"/>
      <c r="U111" s="2"/>
      <c r="V111" s="2"/>
      <c r="W111" s="2"/>
      <c r="X111" s="2"/>
      <c r="Y111" s="2"/>
      <c r="Z111" s="2"/>
      <c r="AA111" s="2"/>
      <c r="AB111" s="2"/>
      <c r="AC111" s="2"/>
      <c r="AD111" s="2"/>
      <c r="AE111" s="2"/>
      <c r="AF111" s="2"/>
      <c r="AG111" s="2"/>
      <c r="AH111" s="2"/>
      <c r="AI111" s="2"/>
      <c r="AJ111" s="2"/>
      <c r="AK111" s="2"/>
      <c r="AL111" s="2"/>
      <c r="AM111" s="2"/>
      <c r="AN111" s="2"/>
      <c r="AO111" s="2"/>
      <c r="AP111" s="2" t="s">
        <v>273</v>
      </c>
      <c r="AQ111" s="1102">
        <v>164.03</v>
      </c>
      <c r="AR111" s="2">
        <f>+BYD!AX17</f>
        <v>0</v>
      </c>
    </row>
    <row r="112" spans="1:44" ht="12.75" customHeight="1">
      <c r="A112" s="2"/>
      <c r="B112" s="2"/>
      <c r="C112" s="2"/>
      <c r="D112" s="1062"/>
      <c r="E112" s="2"/>
      <c r="F112" s="2"/>
      <c r="G112" s="2"/>
      <c r="H112" s="2"/>
      <c r="I112" s="2"/>
      <c r="J112" s="2"/>
      <c r="K112" s="2"/>
      <c r="L112" s="2"/>
      <c r="N112" s="2"/>
      <c r="O112" s="2"/>
      <c r="P112" s="2"/>
      <c r="Q112" s="2"/>
      <c r="U112" s="2"/>
      <c r="V112" s="2"/>
      <c r="W112" s="2"/>
      <c r="X112" s="2"/>
      <c r="Y112" s="2"/>
      <c r="Z112" s="2"/>
      <c r="AA112" s="2"/>
      <c r="AB112" s="2"/>
      <c r="AC112" s="2"/>
      <c r="AD112" s="2"/>
      <c r="AE112" s="2"/>
      <c r="AF112" s="2"/>
      <c r="AG112" s="2"/>
      <c r="AH112" s="2"/>
      <c r="AI112" s="2"/>
      <c r="AJ112" s="2"/>
      <c r="AK112" s="2"/>
      <c r="AL112" s="2"/>
      <c r="AM112" s="2"/>
      <c r="AN112" s="2"/>
      <c r="AO112" s="2"/>
      <c r="AP112" s="2" t="s">
        <v>1790</v>
      </c>
      <c r="AQ112" s="1102">
        <v>1.2</v>
      </c>
      <c r="AR112" s="2"/>
    </row>
    <row r="113" spans="1:44" ht="12.75" customHeight="1">
      <c r="A113" s="2"/>
      <c r="B113" s="2"/>
      <c r="C113" s="2"/>
      <c r="D113" s="1062"/>
      <c r="E113" s="2"/>
      <c r="F113" s="2"/>
      <c r="G113" s="2"/>
      <c r="H113" s="2"/>
      <c r="I113" s="2"/>
      <c r="J113" s="2"/>
      <c r="K113" s="2"/>
      <c r="L113" s="2"/>
      <c r="N113" s="2"/>
      <c r="O113" s="2"/>
      <c r="P113" s="2"/>
      <c r="Q113" s="2"/>
      <c r="U113" s="2"/>
      <c r="V113" s="2"/>
      <c r="W113" s="2"/>
      <c r="X113" s="2"/>
      <c r="Y113" s="2"/>
      <c r="Z113" s="2"/>
      <c r="AA113" s="2"/>
      <c r="AB113" s="2"/>
      <c r="AC113" s="2"/>
      <c r="AD113" s="2"/>
      <c r="AE113" s="2"/>
      <c r="AF113" s="2"/>
      <c r="AG113" s="2"/>
      <c r="AH113" s="2"/>
      <c r="AI113" s="2"/>
      <c r="AJ113" s="2"/>
      <c r="AK113" s="2"/>
      <c r="AL113" s="2"/>
      <c r="AM113" s="2"/>
      <c r="AN113" s="2"/>
      <c r="AO113" s="2"/>
      <c r="AP113" s="1" t="s">
        <v>401</v>
      </c>
      <c r="AQ113" s="98"/>
      <c r="AR113" s="2"/>
    </row>
    <row r="114" spans="1:44" ht="12.75" customHeight="1">
      <c r="A114" s="2"/>
      <c r="B114" s="2"/>
      <c r="C114" s="2"/>
      <c r="D114" s="1062"/>
      <c r="E114" s="2"/>
      <c r="F114" s="2"/>
      <c r="G114" s="2"/>
      <c r="H114" s="2"/>
      <c r="I114" s="2"/>
      <c r="J114" s="2"/>
      <c r="K114" s="2"/>
      <c r="L114" s="2"/>
      <c r="N114" s="2"/>
      <c r="O114" s="2"/>
      <c r="P114" s="2"/>
      <c r="Q114" s="2"/>
      <c r="U114" s="2"/>
      <c r="V114" s="2"/>
      <c r="W114" s="2"/>
      <c r="X114" s="2"/>
      <c r="Y114" s="2"/>
      <c r="Z114" s="2"/>
      <c r="AA114" s="2"/>
      <c r="AB114" s="2"/>
      <c r="AC114" s="2"/>
      <c r="AD114" s="2"/>
      <c r="AE114" s="2"/>
      <c r="AF114" s="2"/>
      <c r="AG114" s="2"/>
      <c r="AH114" s="2"/>
      <c r="AI114" s="2"/>
      <c r="AJ114" s="2"/>
      <c r="AK114" s="2"/>
      <c r="AL114" s="2"/>
      <c r="AM114" s="2"/>
      <c r="AN114" s="2"/>
      <c r="AO114" s="2"/>
      <c r="AP114" s="2" t="s">
        <v>514</v>
      </c>
      <c r="AQ114" s="1349">
        <v>34.83</v>
      </c>
      <c r="AR114" s="2">
        <f>+BYD!AX38</f>
        <v>38.722999999999999</v>
      </c>
    </row>
    <row r="115" spans="1:44" ht="12.75" customHeight="1">
      <c r="A115" s="2"/>
      <c r="B115" s="2"/>
      <c r="C115" s="2"/>
      <c r="D115" s="1062"/>
      <c r="E115" s="2"/>
      <c r="F115" s="2"/>
      <c r="G115" s="2"/>
      <c r="H115" s="2"/>
      <c r="I115" s="2"/>
      <c r="J115" s="2"/>
      <c r="K115" s="2"/>
      <c r="L115" s="2"/>
      <c r="N115" s="2"/>
      <c r="O115" s="2"/>
      <c r="P115" s="2"/>
      <c r="Q115" s="2"/>
      <c r="U115" s="2"/>
      <c r="V115" s="2"/>
      <c r="W115" s="2"/>
      <c r="X115" s="2"/>
      <c r="Y115" s="2"/>
      <c r="Z115" s="2"/>
      <c r="AA115" s="2"/>
      <c r="AB115" s="2"/>
      <c r="AC115" s="2"/>
      <c r="AD115" s="2"/>
      <c r="AE115" s="2"/>
      <c r="AF115" s="2"/>
      <c r="AG115" s="2"/>
      <c r="AH115" s="2"/>
      <c r="AI115" s="2"/>
      <c r="AJ115" s="2"/>
      <c r="AK115" s="2"/>
      <c r="AL115" s="2"/>
      <c r="AM115" s="2"/>
      <c r="AN115" s="2"/>
      <c r="AO115" s="2"/>
      <c r="AP115" s="2" t="s">
        <v>515</v>
      </c>
      <c r="AQ115" s="1102">
        <v>8.36</v>
      </c>
      <c r="AR115" s="2">
        <f>+BYD!AX39</f>
        <v>9.2970000000000006</v>
      </c>
    </row>
    <row r="116" spans="1:44" ht="12.75" customHeight="1">
      <c r="A116" s="2"/>
      <c r="B116" s="2"/>
      <c r="C116" s="2"/>
      <c r="D116" s="1062"/>
      <c r="E116" s="2"/>
      <c r="F116" s="2"/>
      <c r="G116" s="2"/>
      <c r="H116" s="2"/>
      <c r="I116" s="2"/>
      <c r="J116" s="2"/>
      <c r="K116" s="2"/>
      <c r="L116" s="2"/>
      <c r="N116" s="2"/>
      <c r="O116" s="2"/>
      <c r="P116" s="2"/>
      <c r="Q116" s="2"/>
      <c r="U116" s="2"/>
      <c r="V116" s="2"/>
      <c r="W116" s="2"/>
      <c r="X116" s="2"/>
      <c r="Y116" s="2"/>
      <c r="Z116" s="2"/>
      <c r="AA116" s="2"/>
      <c r="AB116" s="2"/>
      <c r="AC116" s="2"/>
      <c r="AD116" s="2"/>
      <c r="AE116" s="2"/>
      <c r="AF116" s="2"/>
      <c r="AG116" s="2"/>
      <c r="AH116" s="2"/>
      <c r="AI116" s="2"/>
      <c r="AJ116" s="2"/>
      <c r="AK116" s="2"/>
      <c r="AL116" s="2"/>
      <c r="AM116" s="2"/>
      <c r="AN116" s="2"/>
      <c r="AO116" s="2"/>
      <c r="AP116" s="2" t="s">
        <v>516</v>
      </c>
      <c r="AQ116" s="1102">
        <v>51.04</v>
      </c>
      <c r="AR116" s="2">
        <f>+BYD!AX41</f>
        <v>48.625</v>
      </c>
    </row>
    <row r="117" spans="1:44" ht="12.75" customHeight="1">
      <c r="A117" s="2"/>
      <c r="B117" s="2"/>
      <c r="C117" s="2"/>
      <c r="D117" s="1062"/>
      <c r="E117" s="2"/>
      <c r="F117" s="2"/>
      <c r="G117" s="2"/>
      <c r="H117" s="2"/>
      <c r="I117" s="2"/>
      <c r="J117" s="2"/>
      <c r="K117" s="2"/>
      <c r="L117" s="2"/>
      <c r="N117" s="2"/>
      <c r="O117" s="2"/>
      <c r="P117" s="2"/>
      <c r="Q117" s="2"/>
      <c r="U117" s="2"/>
      <c r="V117" s="2"/>
      <c r="W117" s="2"/>
      <c r="X117" s="2"/>
      <c r="Y117" s="2"/>
      <c r="Z117" s="2"/>
      <c r="AA117" s="2"/>
      <c r="AB117" s="2"/>
      <c r="AC117" s="2"/>
      <c r="AD117" s="2"/>
      <c r="AE117" s="2"/>
      <c r="AF117" s="2"/>
      <c r="AG117" s="2"/>
      <c r="AH117" s="2"/>
      <c r="AI117" s="2"/>
      <c r="AJ117" s="2"/>
      <c r="AK117" s="2"/>
      <c r="AL117" s="2"/>
      <c r="AM117" s="2"/>
      <c r="AN117" s="2"/>
      <c r="AO117" s="2"/>
      <c r="AP117" s="2" t="s">
        <v>517</v>
      </c>
      <c r="AQ117" s="1102">
        <v>52.46</v>
      </c>
      <c r="AR117" s="2">
        <f>+BYD!AX42</f>
        <v>48.323</v>
      </c>
    </row>
    <row r="118" spans="1:44" ht="12.75" customHeight="1">
      <c r="A118" s="2"/>
      <c r="B118" s="2"/>
      <c r="C118" s="2"/>
      <c r="D118" s="1062"/>
      <c r="E118" s="2"/>
      <c r="F118" s="2"/>
      <c r="G118" s="2"/>
      <c r="H118" s="2"/>
      <c r="I118" s="2"/>
      <c r="J118" s="2"/>
      <c r="K118" s="2"/>
      <c r="L118" s="2"/>
      <c r="N118" s="2"/>
      <c r="O118" s="2"/>
      <c r="P118" s="2"/>
      <c r="Q118" s="2"/>
      <c r="U118" s="2"/>
      <c r="V118" s="2"/>
      <c r="W118" s="2"/>
      <c r="X118" s="2"/>
      <c r="Y118" s="2"/>
      <c r="Z118" s="2"/>
      <c r="AA118" s="2"/>
      <c r="AB118" s="2"/>
      <c r="AC118" s="2"/>
      <c r="AD118" s="2"/>
      <c r="AE118" s="2"/>
      <c r="AF118" s="2"/>
      <c r="AG118" s="2"/>
      <c r="AH118" s="2"/>
      <c r="AI118" s="2"/>
      <c r="AJ118" s="2"/>
      <c r="AK118" s="2"/>
      <c r="AL118" s="2"/>
      <c r="AM118" s="2"/>
      <c r="AN118" s="2"/>
      <c r="AO118" s="2"/>
      <c r="AP118" s="2" t="s">
        <v>273</v>
      </c>
      <c r="AQ118" s="1102">
        <v>28.21</v>
      </c>
      <c r="AR118" s="2">
        <f>+BYD!AX45</f>
        <v>27.847000000000001</v>
      </c>
    </row>
  </sheetData>
  <phoneticPr fontId="10" type="noConversion"/>
  <pageMargins left="0.75" right="0.75" top="1" bottom="1" header="0.5" footer="0.5"/>
  <pageSetup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AR118"/>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5" max="15" width="1.5" customWidth="1"/>
    <col min="18" max="18" width="3.25" customWidth="1"/>
    <col min="20" max="20" width="1" customWidth="1"/>
    <col min="21" max="21" width="19" customWidth="1"/>
    <col min="22" max="22" width="1.625" customWidth="1"/>
    <col min="23" max="23" width="8.625" customWidth="1"/>
    <col min="24" max="24" width="1.625" customWidth="1"/>
    <col min="25" max="25" width="8.625" customWidth="1"/>
    <col min="26" max="26" width="1.625" customWidth="1"/>
    <col min="27" max="27" width="8.625" customWidth="1"/>
    <col min="30" max="30" width="7.625" customWidth="1"/>
    <col min="31" max="31" width="1.625" customWidth="1"/>
    <col min="32" max="32" width="7.625" customWidth="1"/>
    <col min="33" max="33" width="1.625" customWidth="1"/>
    <col min="34" max="34" width="7.625" customWidth="1"/>
    <col min="35" max="35" width="1.625" customWidth="1"/>
    <col min="36" max="36" width="21.5" customWidth="1"/>
    <col min="37" max="37" width="11.625" customWidth="1"/>
    <col min="38" max="38" width="1.625" customWidth="1"/>
    <col min="39" max="39" width="10.625" customWidth="1"/>
    <col min="40" max="40" width="1.625" customWidth="1"/>
    <col min="41" max="41" width="10.625" customWidth="1"/>
    <col min="42" max="42" width="16" customWidth="1"/>
  </cols>
  <sheetData>
    <row r="1" spans="1:44" ht="12.75" customHeight="1">
      <c r="A1" s="1" t="s">
        <v>629</v>
      </c>
      <c r="B1" s="2"/>
      <c r="C1" s="166"/>
      <c r="D1" s="1062"/>
      <c r="E1" s="2"/>
      <c r="F1" s="2"/>
      <c r="G1" s="2"/>
      <c r="H1" s="2"/>
      <c r="I1" s="2"/>
      <c r="J1" s="2"/>
      <c r="K1" s="2"/>
      <c r="L1" s="2"/>
      <c r="N1" s="2"/>
      <c r="O1" s="2"/>
      <c r="P1" s="2"/>
      <c r="Q1" s="2"/>
      <c r="U1" s="2"/>
      <c r="V1" s="2"/>
      <c r="W1" s="2"/>
      <c r="X1" s="2"/>
      <c r="Y1" s="2"/>
      <c r="Z1" s="2"/>
      <c r="AA1" s="2"/>
      <c r="AB1" s="2"/>
      <c r="AC1" s="2"/>
      <c r="AD1" s="2"/>
      <c r="AE1" s="2"/>
      <c r="AF1" s="2"/>
      <c r="AG1" s="2"/>
      <c r="AH1" s="2"/>
      <c r="AI1" s="2"/>
      <c r="AJ1" s="2"/>
      <c r="AK1" s="2"/>
      <c r="AL1" s="2"/>
      <c r="AM1" s="2"/>
      <c r="AN1" s="2"/>
      <c r="AO1" s="2"/>
      <c r="AP1" s="2"/>
      <c r="AQ1" s="98"/>
      <c r="AR1" s="2"/>
    </row>
    <row r="2" spans="1:44" ht="12.75" customHeight="1">
      <c r="A2" s="1" t="s">
        <v>1224</v>
      </c>
      <c r="B2" s="2"/>
      <c r="C2" s="2"/>
      <c r="D2" s="1062"/>
      <c r="E2" s="2"/>
      <c r="F2" s="2"/>
      <c r="G2" s="2"/>
      <c r="H2" s="2"/>
      <c r="I2" s="2"/>
      <c r="J2" s="2"/>
      <c r="K2" s="2"/>
      <c r="L2" s="2"/>
      <c r="N2" s="2"/>
      <c r="O2" s="2"/>
      <c r="P2" s="2"/>
      <c r="Q2" s="2"/>
      <c r="U2" s="2"/>
      <c r="V2" s="2"/>
      <c r="W2" s="2"/>
      <c r="X2" s="2"/>
      <c r="Y2" s="2"/>
      <c r="Z2" s="2"/>
      <c r="AA2" s="2"/>
      <c r="AB2" s="2"/>
      <c r="AC2" s="2"/>
      <c r="AD2" s="2"/>
      <c r="AE2" s="2"/>
      <c r="AF2" s="2"/>
      <c r="AG2" s="2"/>
      <c r="AH2" s="2"/>
      <c r="AI2" s="2"/>
      <c r="AJ2" s="2"/>
      <c r="AK2" s="2"/>
      <c r="AL2" s="2"/>
      <c r="AM2" s="2"/>
      <c r="AN2" s="2"/>
      <c r="AO2" s="2"/>
      <c r="AP2" s="2"/>
      <c r="AQ2" s="98"/>
      <c r="AR2" s="2"/>
    </row>
    <row r="3" spans="1:44" ht="12.75" customHeight="1">
      <c r="A3" s="2" t="s">
        <v>1225</v>
      </c>
      <c r="B3" s="2"/>
      <c r="C3" s="2"/>
      <c r="D3" s="1062"/>
      <c r="E3" s="2"/>
      <c r="F3" s="2"/>
      <c r="G3" s="2"/>
      <c r="H3" s="2"/>
      <c r="I3" s="2"/>
      <c r="J3" s="2"/>
      <c r="K3" s="2"/>
      <c r="L3" s="2"/>
      <c r="N3" s="2"/>
      <c r="O3" s="2"/>
      <c r="P3" s="2"/>
      <c r="Q3" s="2"/>
      <c r="U3" s="2"/>
      <c r="V3" s="2"/>
      <c r="W3" s="2"/>
      <c r="X3" s="2"/>
      <c r="Y3" s="2"/>
      <c r="Z3" s="2"/>
      <c r="AA3" s="2"/>
      <c r="AB3" s="2"/>
      <c r="AC3" s="2"/>
      <c r="AD3" s="2"/>
      <c r="AE3" s="2"/>
      <c r="AF3" s="2"/>
      <c r="AG3" s="2"/>
      <c r="AH3" s="2"/>
      <c r="AI3" s="2"/>
      <c r="AJ3" s="2"/>
      <c r="AK3" s="2"/>
      <c r="AL3" s="2"/>
      <c r="AM3" s="2"/>
      <c r="AN3" s="2"/>
      <c r="AO3" s="2"/>
      <c r="AP3" s="2"/>
      <c r="AQ3" s="98"/>
      <c r="AR3" s="2"/>
    </row>
    <row r="4" spans="1:44" ht="12.75" customHeight="1">
      <c r="A4" s="2"/>
      <c r="B4" s="2"/>
      <c r="C4" s="1195" t="s">
        <v>818</v>
      </c>
      <c r="D4" s="1310"/>
      <c r="E4" s="1196"/>
      <c r="F4" s="1196"/>
      <c r="G4" s="1196"/>
      <c r="H4" s="2"/>
      <c r="I4" s="1195" t="s">
        <v>1504</v>
      </c>
      <c r="J4" s="1197"/>
      <c r="K4" s="1196"/>
      <c r="L4" s="1196"/>
      <c r="O4" s="70"/>
      <c r="P4" s="70"/>
      <c r="Q4" s="70"/>
      <c r="U4" s="2"/>
      <c r="V4" s="2"/>
      <c r="W4" s="2"/>
      <c r="X4" s="2"/>
      <c r="Y4" s="2"/>
      <c r="Z4" s="2"/>
      <c r="AA4" s="2"/>
      <c r="AB4" s="2"/>
      <c r="AC4" s="2"/>
      <c r="AD4" s="2"/>
      <c r="AE4" s="2"/>
      <c r="AF4" s="2"/>
      <c r="AG4" s="2"/>
      <c r="AH4" s="2"/>
      <c r="AI4" s="2"/>
      <c r="AJ4" s="2"/>
      <c r="AK4" s="2"/>
      <c r="AL4" s="2"/>
      <c r="AM4" s="2"/>
      <c r="AN4" s="2"/>
      <c r="AO4" s="2"/>
      <c r="AP4" s="2"/>
      <c r="AQ4" s="98"/>
      <c r="AR4" s="2"/>
    </row>
    <row r="5" spans="1:44" ht="12.75" customHeight="1">
      <c r="A5" s="2"/>
      <c r="B5" s="2"/>
      <c r="C5" s="1198"/>
      <c r="D5" s="77"/>
      <c r="E5" s="2"/>
      <c r="F5" s="1197" t="s">
        <v>1487</v>
      </c>
      <c r="G5" s="1197"/>
      <c r="H5" s="2"/>
      <c r="I5" s="1198"/>
      <c r="J5" s="61"/>
      <c r="K5" s="1197" t="s">
        <v>1505</v>
      </c>
      <c r="L5" s="1197"/>
      <c r="N5" s="1289" t="s">
        <v>1489</v>
      </c>
      <c r="O5" s="2"/>
      <c r="P5" s="1197" t="s">
        <v>1505</v>
      </c>
      <c r="Q5" s="1197"/>
      <c r="S5" s="73" t="s">
        <v>594</v>
      </c>
      <c r="U5" s="2"/>
      <c r="V5" s="2"/>
      <c r="W5" s="2"/>
      <c r="X5" s="2"/>
      <c r="Y5" s="2"/>
      <c r="Z5" s="2"/>
      <c r="AA5" s="2"/>
      <c r="AB5" s="2"/>
      <c r="AC5" s="2"/>
      <c r="AD5" s="2"/>
      <c r="AE5" s="2"/>
      <c r="AF5" s="2"/>
      <c r="AG5" s="2"/>
      <c r="AH5" s="2"/>
      <c r="AI5" s="2"/>
      <c r="AJ5" s="2"/>
      <c r="AK5" s="2"/>
      <c r="AL5" s="2"/>
      <c r="AM5" s="2"/>
      <c r="AN5" s="2"/>
      <c r="AO5" s="2"/>
      <c r="AP5" s="2"/>
      <c r="AQ5" s="98"/>
      <c r="AR5" s="2"/>
    </row>
    <row r="6" spans="1:44" ht="12.75" customHeight="1">
      <c r="A6" s="61"/>
      <c r="B6" s="2"/>
      <c r="C6" s="1199" t="s">
        <v>1648</v>
      </c>
      <c r="D6" s="1308" t="s">
        <v>593</v>
      </c>
      <c r="E6" s="70"/>
      <c r="F6" s="73" t="s">
        <v>658</v>
      </c>
      <c r="G6" s="73" t="s">
        <v>740</v>
      </c>
      <c r="H6" s="2"/>
      <c r="I6" s="1199" t="s">
        <v>354</v>
      </c>
      <c r="J6" s="70"/>
      <c r="K6" s="73" t="s">
        <v>658</v>
      </c>
      <c r="L6" s="73" t="s">
        <v>740</v>
      </c>
      <c r="N6" s="1165" t="s">
        <v>406</v>
      </c>
      <c r="O6" s="2"/>
      <c r="P6" s="73" t="s">
        <v>658</v>
      </c>
      <c r="Q6" s="73" t="s">
        <v>740</v>
      </c>
      <c r="U6" s="2"/>
      <c r="V6" s="2"/>
      <c r="W6" s="2"/>
      <c r="X6" s="2"/>
      <c r="Y6" s="2"/>
      <c r="Z6" s="2"/>
      <c r="AA6" s="2"/>
      <c r="AB6" s="2"/>
      <c r="AC6" s="2"/>
      <c r="AD6" s="2"/>
      <c r="AE6" s="2"/>
      <c r="AF6" s="2"/>
      <c r="AG6" s="2"/>
      <c r="AH6" s="2"/>
      <c r="AI6" s="2"/>
      <c r="AJ6" s="2"/>
      <c r="AK6" s="2"/>
      <c r="AL6" s="2"/>
      <c r="AM6" s="2"/>
      <c r="AN6" s="2"/>
      <c r="AO6" s="2"/>
      <c r="AP6" s="2"/>
      <c r="AQ6" s="98"/>
      <c r="AR6" s="2"/>
    </row>
    <row r="7" spans="1:44" ht="12.75" customHeight="1">
      <c r="A7" s="1" t="s">
        <v>741</v>
      </c>
      <c r="B7" s="2"/>
      <c r="C7" s="112"/>
      <c r="D7" s="77"/>
      <c r="E7" s="2"/>
      <c r="F7" s="2"/>
      <c r="G7" s="2"/>
      <c r="H7" s="2"/>
      <c r="I7" s="112"/>
      <c r="J7" s="61"/>
      <c r="K7" s="2"/>
      <c r="L7" s="2"/>
      <c r="N7" s="2"/>
      <c r="O7" s="2"/>
      <c r="P7" s="2"/>
      <c r="Q7" s="2"/>
      <c r="U7" s="2"/>
      <c r="V7" s="2"/>
      <c r="W7" s="2"/>
      <c r="X7" s="2"/>
      <c r="Y7" s="2"/>
      <c r="Z7" s="2"/>
      <c r="AA7" s="2"/>
      <c r="AB7" s="2"/>
      <c r="AC7" s="2"/>
      <c r="AD7" s="2"/>
      <c r="AE7" s="2"/>
      <c r="AF7" s="2"/>
      <c r="AG7" s="2"/>
      <c r="AH7" s="2"/>
      <c r="AI7" s="2"/>
      <c r="AJ7" s="2"/>
      <c r="AK7" s="2"/>
      <c r="AL7" s="2"/>
      <c r="AM7" s="2"/>
      <c r="AN7" s="2"/>
      <c r="AO7" s="2"/>
      <c r="AP7" s="2"/>
      <c r="AQ7" s="98"/>
      <c r="AR7" s="2"/>
    </row>
    <row r="8" spans="1:44" ht="12.75" customHeight="1">
      <c r="A8" s="334" t="s">
        <v>514</v>
      </c>
      <c r="B8" s="2"/>
      <c r="C8" s="2030">
        <f>BYD!AX10</f>
        <v>149.69</v>
      </c>
      <c r="D8" s="858">
        <f>BYD!AS10</f>
        <v>148.98699999999999</v>
      </c>
      <c r="E8" s="1202"/>
      <c r="F8" s="1205">
        <f t="shared" ref="F8:F13" si="0">C8-D8</f>
        <v>0.70300000000000296</v>
      </c>
      <c r="G8" s="126">
        <f t="shared" ref="G8:G14" si="1">IF(D8=0,0,C8/D8-1)</f>
        <v>4.7185324894118974E-3</v>
      </c>
      <c r="H8" s="1205"/>
      <c r="I8" s="1207">
        <v>149.73193499999999</v>
      </c>
      <c r="J8" s="1202"/>
      <c r="K8" s="313">
        <f t="shared" ref="K8:K13" si="2">C8-I8</f>
        <v>-4.1934999999995171E-2</v>
      </c>
      <c r="L8" s="1204">
        <f t="shared" ref="L8:L13" si="3">IF(I8=0,"NM",C8/I8-1)</f>
        <v>-2.8006717471451559E-4</v>
      </c>
      <c r="N8" s="1349">
        <v>149.9</v>
      </c>
      <c r="O8" s="1349"/>
      <c r="P8" s="313">
        <f>C8-N8</f>
        <v>-0.21000000000000796</v>
      </c>
      <c r="Q8" s="1204">
        <f>IF(N8=0,"NM",C8/N8-1)</f>
        <v>-1.4009339559707401E-3</v>
      </c>
      <c r="U8" s="105"/>
      <c r="V8" s="2"/>
      <c r="W8" s="2"/>
      <c r="X8" s="2"/>
      <c r="Y8" s="2"/>
      <c r="Z8" s="2"/>
      <c r="AA8" s="2"/>
      <c r="AB8" s="2"/>
      <c r="AC8" s="2"/>
      <c r="AD8" s="2"/>
      <c r="AE8" s="2"/>
      <c r="AF8" s="2"/>
      <c r="AG8" s="2"/>
      <c r="AH8" s="2"/>
      <c r="AI8" s="2"/>
      <c r="AJ8" s="2"/>
      <c r="AK8" s="2"/>
      <c r="AL8" s="2"/>
      <c r="AM8" s="2"/>
      <c r="AN8" s="2"/>
      <c r="AO8" s="2"/>
      <c r="AP8" s="2"/>
      <c r="AQ8" s="98"/>
      <c r="AR8" s="2"/>
    </row>
    <row r="9" spans="1:44" ht="12.75" customHeight="1">
      <c r="A9" s="334" t="s">
        <v>515</v>
      </c>
      <c r="B9" s="61"/>
      <c r="C9" s="2031">
        <f>BYD!AX11</f>
        <v>56.128</v>
      </c>
      <c r="D9" s="104">
        <f>BYD!AS11</f>
        <v>55.939</v>
      </c>
      <c r="E9" s="1103"/>
      <c r="F9" s="374">
        <f t="shared" si="0"/>
        <v>0.18900000000000006</v>
      </c>
      <c r="G9" s="95">
        <f t="shared" si="1"/>
        <v>3.378680348236518E-3</v>
      </c>
      <c r="H9" s="61"/>
      <c r="I9" s="1104">
        <v>54.820219999999999</v>
      </c>
      <c r="J9" s="1103"/>
      <c r="K9" s="374">
        <f t="shared" si="2"/>
        <v>1.3077800000000011</v>
      </c>
      <c r="L9" s="92">
        <f t="shared" si="3"/>
        <v>2.3855796273710705E-2</v>
      </c>
      <c r="N9" s="1102">
        <v>55.4</v>
      </c>
      <c r="O9" s="1102"/>
      <c r="P9" s="374">
        <f t="shared" ref="P9:P14" si="4">C9-N9</f>
        <v>0.72800000000000153</v>
      </c>
      <c r="Q9" s="92">
        <f t="shared" ref="Q9:Q14" si="5">IF(N9=0,"NM",C9/N9-1)</f>
        <v>1.3140794223826635E-2</v>
      </c>
      <c r="U9" s="105"/>
      <c r="V9" s="2"/>
      <c r="W9" s="2"/>
      <c r="X9" s="2"/>
      <c r="Y9" s="2"/>
      <c r="Z9" s="2"/>
      <c r="AA9" s="2"/>
      <c r="AB9" s="2"/>
      <c r="AC9" s="2"/>
      <c r="AD9" s="2"/>
      <c r="AE9" s="2"/>
      <c r="AF9" s="2"/>
      <c r="AG9" s="2"/>
      <c r="AH9" s="2"/>
      <c r="AI9" s="2"/>
      <c r="AJ9" s="2"/>
      <c r="AK9" s="2"/>
      <c r="AL9" s="2"/>
      <c r="AM9" s="2"/>
      <c r="AN9" s="2"/>
      <c r="AO9" s="2"/>
      <c r="AP9" s="2"/>
      <c r="AQ9" s="98"/>
      <c r="AR9" s="2"/>
    </row>
    <row r="10" spans="1:44" ht="12.75" customHeight="1">
      <c r="A10" s="334" t="s">
        <v>516</v>
      </c>
      <c r="B10" s="61"/>
      <c r="C10" s="2031">
        <f>BYD!AX13</f>
        <v>224.273</v>
      </c>
      <c r="D10" s="104">
        <f>BYD!AS13</f>
        <v>233.72800000000001</v>
      </c>
      <c r="E10" s="1103"/>
      <c r="F10" s="374">
        <f t="shared" si="0"/>
        <v>-9.4550000000000125</v>
      </c>
      <c r="G10" s="95">
        <f t="shared" si="1"/>
        <v>-4.0453005202628733E-2</v>
      </c>
      <c r="H10" s="61"/>
      <c r="I10" s="1104">
        <v>222.4638639381885</v>
      </c>
      <c r="J10" s="1103"/>
      <c r="K10" s="374">
        <f t="shared" si="2"/>
        <v>1.8091360618115004</v>
      </c>
      <c r="L10" s="92">
        <f t="shared" si="3"/>
        <v>8.1322693483116826E-3</v>
      </c>
      <c r="M10" s="1403"/>
      <c r="N10" s="1102">
        <v>227.7</v>
      </c>
      <c r="O10" s="1102"/>
      <c r="P10" s="374">
        <f t="shared" si="4"/>
        <v>-3.4269999999999925</v>
      </c>
      <c r="Q10" s="92">
        <f t="shared" si="5"/>
        <v>-1.5050505050504981E-2</v>
      </c>
      <c r="S10" s="1403"/>
      <c r="U10" s="105"/>
      <c r="V10" s="2"/>
      <c r="W10" s="2"/>
      <c r="X10" s="2"/>
      <c r="Y10" s="2"/>
      <c r="Z10" s="2"/>
      <c r="AA10" s="2"/>
      <c r="AB10" s="2"/>
      <c r="AC10" s="2"/>
      <c r="AD10" s="2"/>
      <c r="AE10" s="2"/>
      <c r="AF10" s="2"/>
      <c r="AG10" s="2"/>
      <c r="AH10" s="2"/>
      <c r="AI10" s="2"/>
      <c r="AJ10" s="2"/>
      <c r="AK10" s="2"/>
      <c r="AL10" s="2"/>
      <c r="AM10" s="2"/>
      <c r="AN10" s="2"/>
      <c r="AO10" s="2"/>
      <c r="AP10" s="2"/>
      <c r="AQ10" s="98"/>
      <c r="AR10" s="2"/>
    </row>
    <row r="11" spans="1:44" ht="12.75" customHeight="1">
      <c r="A11" s="963" t="s">
        <v>517</v>
      </c>
      <c r="B11" s="61"/>
      <c r="C11" s="2031">
        <f>BYD!AX14</f>
        <v>135.78</v>
      </c>
      <c r="D11" s="104">
        <f>BYD!AS14</f>
        <v>0</v>
      </c>
      <c r="E11" s="1103"/>
      <c r="F11" s="374">
        <f t="shared" si="0"/>
        <v>135.78</v>
      </c>
      <c r="G11" s="95">
        <f t="shared" si="1"/>
        <v>0</v>
      </c>
      <c r="H11" s="61"/>
      <c r="I11" s="1104">
        <v>136.97874883</v>
      </c>
      <c r="J11" s="1103"/>
      <c r="K11" s="374">
        <f t="shared" si="2"/>
        <v>-1.1987488299999995</v>
      </c>
      <c r="L11" s="92">
        <f t="shared" si="3"/>
        <v>-8.7513489518562526E-3</v>
      </c>
      <c r="M11" s="1403"/>
      <c r="N11" s="1102">
        <v>136.6</v>
      </c>
      <c r="O11" s="1102"/>
      <c r="P11" s="374">
        <f t="shared" si="4"/>
        <v>-0.81999999999999318</v>
      </c>
      <c r="Q11" s="92">
        <f t="shared" si="5"/>
        <v>-6.0029282576866683E-3</v>
      </c>
      <c r="S11" s="1403"/>
      <c r="U11" s="105"/>
      <c r="V11" s="2"/>
      <c r="W11" s="2"/>
      <c r="X11" s="2"/>
      <c r="Y11" s="2"/>
      <c r="Z11" s="2"/>
      <c r="AA11" s="2"/>
      <c r="AB11" s="2"/>
      <c r="AC11" s="2"/>
      <c r="AD11" s="2"/>
      <c r="AE11" s="2"/>
      <c r="AF11" s="2"/>
      <c r="AG11" s="2"/>
      <c r="AH11" s="2"/>
      <c r="AI11" s="2"/>
      <c r="AJ11" s="2"/>
      <c r="AK11" s="2"/>
      <c r="AL11" s="2"/>
      <c r="AM11" s="2"/>
      <c r="AN11" s="2"/>
      <c r="AO11" s="2"/>
      <c r="AP11" s="2"/>
      <c r="AQ11" s="98"/>
      <c r="AR11" s="2"/>
    </row>
    <row r="12" spans="1:44" ht="12.75" customHeight="1">
      <c r="A12" s="334" t="s">
        <v>273</v>
      </c>
      <c r="B12" s="61"/>
      <c r="C12" s="2031">
        <f>BYD!AX906</f>
        <v>172.87700000000001</v>
      </c>
      <c r="D12" s="104">
        <f>BYD!AS906</f>
        <v>175.416</v>
      </c>
      <c r="E12" s="1103"/>
      <c r="F12" s="374">
        <f t="shared" si="0"/>
        <v>-2.5389999999999873</v>
      </c>
      <c r="G12" s="95">
        <f t="shared" si="1"/>
        <v>-1.4474164272358259E-2</v>
      </c>
      <c r="H12" s="61"/>
      <c r="I12" s="1104">
        <v>169.68307309509478</v>
      </c>
      <c r="J12" s="1103"/>
      <c r="K12" s="374">
        <f t="shared" si="2"/>
        <v>3.1939269049052257</v>
      </c>
      <c r="L12" s="92">
        <f t="shared" si="3"/>
        <v>1.882289639530077E-2</v>
      </c>
      <c r="N12" s="1102">
        <v>168.7</v>
      </c>
      <c r="O12" s="1102"/>
      <c r="P12" s="374">
        <f t="shared" si="4"/>
        <v>4.1770000000000209</v>
      </c>
      <c r="Q12" s="92">
        <f t="shared" si="5"/>
        <v>2.4759928867812864E-2</v>
      </c>
      <c r="U12" s="105"/>
      <c r="V12" s="2"/>
      <c r="W12" s="2"/>
      <c r="X12" s="2"/>
      <c r="Y12" s="2"/>
      <c r="Z12" s="2"/>
      <c r="AA12" s="2"/>
      <c r="AB12" s="2"/>
      <c r="AC12" s="2"/>
      <c r="AD12" s="2"/>
      <c r="AE12" s="2"/>
      <c r="AF12" s="2"/>
      <c r="AG12" s="2"/>
      <c r="AH12" s="2"/>
      <c r="AI12" s="2"/>
      <c r="AJ12" s="2"/>
      <c r="AK12" s="2"/>
      <c r="AL12" s="2"/>
      <c r="AM12" s="2"/>
      <c r="AN12" s="2"/>
      <c r="AO12" s="2"/>
      <c r="AP12" s="2"/>
      <c r="AQ12" s="98"/>
      <c r="AR12" s="2"/>
    </row>
    <row r="13" spans="1:44" ht="12.75" customHeight="1">
      <c r="A13" s="334" t="s">
        <v>1790</v>
      </c>
      <c r="B13" s="61"/>
      <c r="C13" s="2031">
        <v>0</v>
      </c>
      <c r="D13" s="104">
        <v>0</v>
      </c>
      <c r="E13" s="1103"/>
      <c r="F13" s="374">
        <f t="shared" si="0"/>
        <v>0</v>
      </c>
      <c r="G13" s="95">
        <f t="shared" si="1"/>
        <v>0</v>
      </c>
      <c r="H13" s="61"/>
      <c r="I13" s="1104">
        <v>0</v>
      </c>
      <c r="J13" s="1103"/>
      <c r="K13" s="374">
        <f t="shared" si="2"/>
        <v>0</v>
      </c>
      <c r="L13" s="92" t="str">
        <f t="shared" si="3"/>
        <v>NM</v>
      </c>
      <c r="N13" s="1102">
        <v>0</v>
      </c>
      <c r="O13" s="1102"/>
      <c r="P13" s="374">
        <f t="shared" si="4"/>
        <v>0</v>
      </c>
      <c r="Q13" s="92" t="str">
        <f t="shared" si="5"/>
        <v>NM</v>
      </c>
      <c r="U13" s="105"/>
      <c r="V13" s="2"/>
      <c r="W13" s="2"/>
      <c r="X13" s="2"/>
      <c r="Y13" s="2"/>
      <c r="Z13" s="2"/>
      <c r="AA13" s="2"/>
      <c r="AB13" s="2"/>
      <c r="AC13" s="2"/>
      <c r="AD13" s="2"/>
      <c r="AE13" s="2"/>
      <c r="AF13" s="2"/>
      <c r="AG13" s="2"/>
      <c r="AH13" s="2"/>
      <c r="AI13" s="2"/>
      <c r="AJ13" s="2"/>
      <c r="AK13" s="2"/>
      <c r="AL13" s="2"/>
      <c r="AM13" s="2"/>
      <c r="AN13" s="2"/>
      <c r="AO13" s="2"/>
      <c r="AP13" s="2"/>
      <c r="AQ13" s="98"/>
      <c r="AR13" s="2"/>
    </row>
    <row r="14" spans="1:44" ht="12.75" customHeight="1">
      <c r="A14" s="138" t="s">
        <v>813</v>
      </c>
      <c r="B14" s="1203"/>
      <c r="C14" s="2032">
        <f>SUM(C8:C13)</f>
        <v>738.74800000000005</v>
      </c>
      <c r="D14" s="1210">
        <f>SUM(D8:D13)</f>
        <v>614.06999999999994</v>
      </c>
      <c r="E14" s="1210"/>
      <c r="F14" s="1210">
        <f>SUM(F8:F13)</f>
        <v>124.678</v>
      </c>
      <c r="G14" s="1208">
        <f t="shared" si="1"/>
        <v>0.20303548455387843</v>
      </c>
      <c r="H14" s="1206"/>
      <c r="I14" s="1250">
        <v>733.67784086328322</v>
      </c>
      <c r="J14" s="1210"/>
      <c r="K14" s="1210">
        <f>SUM(K8:K13)</f>
        <v>5.0701591367167325</v>
      </c>
      <c r="L14" s="1211">
        <f>C14/I14-1</f>
        <v>6.9106068826489953E-3</v>
      </c>
      <c r="M14" s="1444"/>
      <c r="N14" s="1349">
        <v>740.8</v>
      </c>
      <c r="O14" s="1349"/>
      <c r="P14" s="2368">
        <f t="shared" si="4"/>
        <v>-2.0519999999999072</v>
      </c>
      <c r="Q14" s="1211">
        <f t="shared" si="5"/>
        <v>-2.7699784017277684E-3</v>
      </c>
      <c r="R14" s="1299"/>
      <c r="S14" s="1617"/>
      <c r="U14" s="105">
        <f>+C14/N14-1</f>
        <v>-2.7699784017277684E-3</v>
      </c>
      <c r="V14" s="2"/>
      <c r="W14" s="2"/>
      <c r="X14" s="2"/>
      <c r="Y14" s="2"/>
      <c r="Z14" s="2"/>
      <c r="AA14" s="2"/>
      <c r="AB14" s="2"/>
      <c r="AC14" s="2"/>
      <c r="AD14" s="2"/>
      <c r="AE14" s="2"/>
      <c r="AF14" s="2"/>
      <c r="AG14" s="2"/>
      <c r="AH14" s="2"/>
      <c r="AI14" s="2"/>
      <c r="AJ14" s="2"/>
      <c r="AK14" s="2"/>
      <c r="AL14" s="2"/>
      <c r="AM14" s="2"/>
      <c r="AN14" s="2"/>
      <c r="AO14" s="2"/>
      <c r="AP14" s="2"/>
      <c r="AQ14" s="98"/>
      <c r="AR14" s="2"/>
    </row>
    <row r="15" spans="1:44" ht="12.75" customHeight="1">
      <c r="A15" s="61"/>
      <c r="B15" s="61"/>
      <c r="C15" s="2033"/>
      <c r="D15" s="77"/>
      <c r="E15" s="61"/>
      <c r="F15" s="61"/>
      <c r="G15" s="1139"/>
      <c r="H15" s="61"/>
      <c r="I15" s="115"/>
      <c r="J15" s="61"/>
      <c r="K15" s="61"/>
      <c r="L15" s="1212"/>
      <c r="N15" s="105">
        <f>+C14/N14-1</f>
        <v>-2.7699784017277684E-3</v>
      </c>
      <c r="O15" s="105"/>
      <c r="P15" s="105"/>
      <c r="Q15" s="105"/>
      <c r="U15" s="2"/>
      <c r="V15" s="2"/>
      <c r="W15" s="101" t="str">
        <f>+C6</f>
        <v>2Q13A</v>
      </c>
      <c r="X15" s="101"/>
      <c r="Y15" s="101" t="str">
        <f>+D6</f>
        <v>2Q12A</v>
      </c>
      <c r="Z15" s="101"/>
      <c r="AA15" s="101" t="s">
        <v>1490</v>
      </c>
      <c r="AB15" s="101"/>
      <c r="AC15" s="2"/>
      <c r="AD15" s="2"/>
      <c r="AE15" s="2"/>
      <c r="AF15" s="2"/>
      <c r="AG15" s="2"/>
      <c r="AH15" s="2"/>
      <c r="AI15" s="2"/>
      <c r="AJ15" s="2"/>
      <c r="AK15" s="2"/>
      <c r="AL15" s="2"/>
      <c r="AM15" s="2"/>
      <c r="AN15" s="2"/>
      <c r="AO15" s="2"/>
      <c r="AP15" s="2"/>
      <c r="AQ15" s="98"/>
      <c r="AR15" s="2"/>
    </row>
    <row r="16" spans="1:44" ht="12.75" customHeight="1">
      <c r="A16" s="107" t="s">
        <v>401</v>
      </c>
      <c r="B16" s="61"/>
      <c r="C16" s="2034"/>
      <c r="D16" s="1390"/>
      <c r="E16" s="61"/>
      <c r="F16" s="61"/>
      <c r="G16" s="1139"/>
      <c r="H16" s="61"/>
      <c r="I16" s="115"/>
      <c r="J16" s="61"/>
      <c r="K16" s="61"/>
      <c r="L16" s="1212"/>
      <c r="N16" s="98"/>
      <c r="O16" s="98"/>
      <c r="P16" s="98"/>
      <c r="Q16" s="98"/>
      <c r="U16" s="101" t="s">
        <v>1488</v>
      </c>
      <c r="V16" s="2"/>
      <c r="W16" s="101" t="s">
        <v>1160</v>
      </c>
      <c r="X16" s="101"/>
      <c r="Y16" s="101" t="s">
        <v>1160</v>
      </c>
      <c r="Z16" s="101"/>
      <c r="AA16" s="101" t="s">
        <v>1160</v>
      </c>
      <c r="AB16" s="101"/>
      <c r="AC16" s="2"/>
      <c r="AD16" s="2"/>
      <c r="AE16" s="2"/>
      <c r="AF16" s="2"/>
      <c r="AG16" s="2"/>
      <c r="AH16" s="2"/>
      <c r="AI16" s="2"/>
      <c r="AJ16" s="2"/>
      <c r="AK16" s="2"/>
      <c r="AL16" s="2"/>
      <c r="AM16" s="2"/>
      <c r="AN16" s="2"/>
      <c r="AO16" s="2"/>
      <c r="AP16" s="2"/>
      <c r="AQ16" s="98"/>
      <c r="AR16" s="2"/>
    </row>
    <row r="17" spans="1:44" ht="12.75" customHeight="1">
      <c r="A17" s="334" t="s">
        <v>514</v>
      </c>
      <c r="B17" s="61"/>
      <c r="C17" s="2030">
        <f>BYD!AX38</f>
        <v>38.722999999999999</v>
      </c>
      <c r="D17" s="858">
        <f>BYD!AS38</f>
        <v>34.534999999999997</v>
      </c>
      <c r="E17" s="1202"/>
      <c r="F17" s="897">
        <f>C17-D17</f>
        <v>4.1880000000000024</v>
      </c>
      <c r="G17" s="95">
        <f t="shared" ref="G17:G24" si="6">IF(D17=0,0,C17/D17-1)</f>
        <v>0.12126827855798483</v>
      </c>
      <c r="H17" s="61"/>
      <c r="I17" s="1207">
        <v>36.138324999999995</v>
      </c>
      <c r="J17" s="1103"/>
      <c r="K17" s="897">
        <f>C17-I17</f>
        <v>2.5846750000000043</v>
      </c>
      <c r="L17" s="92">
        <f>IF(I17=0,"NM",C17/I17-1)</f>
        <v>7.1521715519466067E-2</v>
      </c>
      <c r="M17" s="1403"/>
      <c r="N17" s="1102">
        <v>35.97</v>
      </c>
      <c r="O17" s="1102"/>
      <c r="P17" s="313">
        <f>C17-N17</f>
        <v>2.7530000000000001</v>
      </c>
      <c r="Q17" s="1204">
        <f t="shared" ref="Q17:Q22" si="7">IF(N17=0,"NM",C17/N17-1)</f>
        <v>7.6536002224075528E-2</v>
      </c>
      <c r="U17" s="126">
        <f>+C17/$C$22</f>
        <v>0.2240719844920869</v>
      </c>
      <c r="V17" s="2"/>
      <c r="W17" s="105">
        <f>+C17/C8</f>
        <v>0.25868795510722159</v>
      </c>
      <c r="X17" s="105"/>
      <c r="Y17" s="105">
        <f>+D17/D8</f>
        <v>0.23179874754173183</v>
      </c>
      <c r="Z17" s="105"/>
      <c r="AA17" s="105">
        <f>+I17/I8</f>
        <v>0.24135348948773017</v>
      </c>
      <c r="AB17" s="105"/>
      <c r="AC17" s="2"/>
      <c r="AD17" s="2"/>
      <c r="AE17" s="2"/>
      <c r="AF17" s="2"/>
      <c r="AG17" s="2"/>
      <c r="AH17" s="2"/>
      <c r="AI17" s="2"/>
      <c r="AJ17" s="2"/>
      <c r="AK17" s="2"/>
      <c r="AL17" s="2"/>
      <c r="AM17" s="2"/>
      <c r="AN17" s="2"/>
      <c r="AO17" s="2"/>
      <c r="AP17" s="2"/>
      <c r="AQ17" s="98"/>
      <c r="AR17" s="2"/>
    </row>
    <row r="18" spans="1:44" ht="12.75" customHeight="1">
      <c r="A18" s="334" t="s">
        <v>515</v>
      </c>
      <c r="B18" s="61"/>
      <c r="C18" s="2031">
        <f>BYD!AX39</f>
        <v>9.2970000000000006</v>
      </c>
      <c r="D18" s="104">
        <f>BYD!AS39</f>
        <v>8.109</v>
      </c>
      <c r="E18" s="1103"/>
      <c r="F18" s="374">
        <f>C18-D18</f>
        <v>1.1880000000000006</v>
      </c>
      <c r="G18" s="95">
        <f t="shared" si="6"/>
        <v>0.14650388457269714</v>
      </c>
      <c r="H18" s="61"/>
      <c r="I18" s="1104">
        <v>8.4251199999999997</v>
      </c>
      <c r="J18" s="1103"/>
      <c r="K18" s="374">
        <f>C18-I18</f>
        <v>0.87188000000000088</v>
      </c>
      <c r="L18" s="92">
        <f>IF(I18=0,"NM",C18/I18-1)</f>
        <v>0.10348576637484097</v>
      </c>
      <c r="M18" s="1403"/>
      <c r="N18" s="1102">
        <v>7.95</v>
      </c>
      <c r="O18" s="1102"/>
      <c r="P18" s="374">
        <f t="shared" ref="P18:P24" si="8">C18-N18</f>
        <v>1.3470000000000004</v>
      </c>
      <c r="Q18" s="92">
        <f t="shared" si="7"/>
        <v>0.16943396226415097</v>
      </c>
      <c r="U18" s="126">
        <f>+C18/$C$22</f>
        <v>5.3797413418974052E-2</v>
      </c>
      <c r="V18" s="2"/>
      <c r="W18" s="105">
        <f>+C18/C9</f>
        <v>0.16563925313568986</v>
      </c>
      <c r="X18" s="105"/>
      <c r="Y18" s="105">
        <f>+D18/D9</f>
        <v>0.14496147589338387</v>
      </c>
      <c r="Z18" s="105"/>
      <c r="AA18" s="105">
        <f>+I18/I9</f>
        <v>0.15368635879243098</v>
      </c>
      <c r="AB18" s="105"/>
      <c r="AC18" s="2"/>
      <c r="AD18" s="2"/>
      <c r="AE18" s="2"/>
      <c r="AF18" s="2"/>
      <c r="AG18" s="2"/>
      <c r="AH18" s="2"/>
      <c r="AI18" s="2"/>
      <c r="AJ18" s="2"/>
      <c r="AK18" s="2"/>
      <c r="AL18" s="2"/>
      <c r="AM18" s="2"/>
      <c r="AN18" s="2"/>
      <c r="AO18" s="2"/>
      <c r="AP18" s="2"/>
      <c r="AQ18" s="98"/>
      <c r="AR18" s="2"/>
    </row>
    <row r="19" spans="1:44" ht="12.75" customHeight="1">
      <c r="A19" s="334" t="s">
        <v>516</v>
      </c>
      <c r="B19" s="61"/>
      <c r="C19" s="2031">
        <f>BYD!AX41</f>
        <v>48.625</v>
      </c>
      <c r="D19" s="104">
        <f>BYD!AS41</f>
        <v>51.003</v>
      </c>
      <c r="E19" s="1103"/>
      <c r="F19" s="374">
        <f>C19-D19</f>
        <v>-2.3780000000000001</v>
      </c>
      <c r="G19" s="95">
        <f t="shared" si="6"/>
        <v>-4.6624708350489152E-2</v>
      </c>
      <c r="H19" s="61"/>
      <c r="I19" s="1104">
        <v>44.306988938188482</v>
      </c>
      <c r="J19" s="1103"/>
      <c r="K19" s="374">
        <f>C19-I19</f>
        <v>4.3180110618115179</v>
      </c>
      <c r="L19" s="92">
        <f>IF(I19=0,"NM",C19/I19-1)</f>
        <v>9.7456657861256568E-2</v>
      </c>
      <c r="M19" s="1404"/>
      <c r="N19" s="1102">
        <v>49.7</v>
      </c>
      <c r="O19" s="1102"/>
      <c r="P19" s="374">
        <f t="shared" si="8"/>
        <v>-1.0750000000000028</v>
      </c>
      <c r="Q19" s="92">
        <f t="shared" si="7"/>
        <v>-2.1629778672032196E-2</v>
      </c>
      <c r="S19" s="1403"/>
      <c r="U19" s="126">
        <f>+C19/$C$22</f>
        <v>0.28137025142493416</v>
      </c>
      <c r="V19" s="2"/>
      <c r="W19" s="105">
        <f>+C19/C10</f>
        <v>0.21681165365425173</v>
      </c>
      <c r="X19" s="105"/>
      <c r="Y19" s="105">
        <f>+D19/D10</f>
        <v>0.21821519030668127</v>
      </c>
      <c r="Z19" s="105"/>
      <c r="AA19" s="105">
        <f>+I19/I10</f>
        <v>0.19916488077586914</v>
      </c>
      <c r="AB19" s="105"/>
      <c r="AC19" s="2"/>
      <c r="AD19" s="2"/>
      <c r="AE19" s="2"/>
      <c r="AF19" s="2"/>
      <c r="AG19" s="2"/>
      <c r="AH19" s="2"/>
      <c r="AI19" s="2"/>
      <c r="AJ19" s="2"/>
      <c r="AK19" s="2"/>
      <c r="AL19" s="2"/>
      <c r="AM19" s="2"/>
      <c r="AN19" s="2"/>
      <c r="AO19" s="2"/>
      <c r="AP19" s="2"/>
      <c r="AQ19" s="98"/>
      <c r="AR19" s="2"/>
    </row>
    <row r="20" spans="1:44" ht="12.75" customHeight="1">
      <c r="A20" s="963" t="s">
        <v>517</v>
      </c>
      <c r="B20" s="61"/>
      <c r="C20" s="2031">
        <f>BYD!AX42</f>
        <v>48.323</v>
      </c>
      <c r="D20" s="104">
        <f>BYD!AS42</f>
        <v>0</v>
      </c>
      <c r="E20" s="1103"/>
      <c r="F20" s="374">
        <f>C20-D20</f>
        <v>48.323</v>
      </c>
      <c r="G20" s="95">
        <f t="shared" si="6"/>
        <v>0</v>
      </c>
      <c r="H20" s="61"/>
      <c r="I20" s="1104">
        <v>50.901042594662869</v>
      </c>
      <c r="J20" s="1103"/>
      <c r="K20" s="374">
        <f>C20-I20</f>
        <v>-2.5780425946628682</v>
      </c>
      <c r="L20" s="92">
        <f>IF(I20=0,"NM",C20/I20-1)</f>
        <v>-5.0648129453701674E-2</v>
      </c>
      <c r="M20" s="1404"/>
      <c r="N20" s="1102">
        <v>51.93</v>
      </c>
      <c r="O20" s="1102"/>
      <c r="P20" s="374">
        <f t="shared" si="8"/>
        <v>-3.6069999999999993</v>
      </c>
      <c r="Q20" s="92">
        <f t="shared" si="7"/>
        <v>-6.9458886963219668E-2</v>
      </c>
      <c r="S20" s="1403"/>
      <c r="U20" s="126">
        <f>+C20/$C$22</f>
        <v>0.27962271793536442</v>
      </c>
      <c r="V20" s="2"/>
      <c r="W20" s="105">
        <f>+C20/C11</f>
        <v>0.35589188392988658</v>
      </c>
      <c r="X20" s="105"/>
      <c r="Y20" s="105"/>
      <c r="Z20" s="105"/>
      <c r="AA20" s="105">
        <f>+I20/I11</f>
        <v>0.37159809846003589</v>
      </c>
      <c r="AB20" s="105"/>
      <c r="AC20" s="2"/>
      <c r="AD20" s="2"/>
      <c r="AE20" s="2"/>
      <c r="AF20" s="2"/>
      <c r="AG20" s="2"/>
      <c r="AH20" s="2"/>
      <c r="AI20" s="2"/>
      <c r="AJ20" s="2"/>
      <c r="AK20" s="2"/>
      <c r="AL20" s="2"/>
      <c r="AM20" s="2"/>
      <c r="AN20" s="2"/>
      <c r="AO20" s="2"/>
      <c r="AP20" s="2"/>
      <c r="AQ20" s="98"/>
      <c r="AR20" s="2"/>
    </row>
    <row r="21" spans="1:44" ht="12.75" customHeight="1">
      <c r="A21" s="334" t="s">
        <v>273</v>
      </c>
      <c r="B21" s="61"/>
      <c r="C21" s="2031">
        <f>BYD!AX927</f>
        <v>27.847000000000001</v>
      </c>
      <c r="D21" s="104">
        <f>BYD!AS927</f>
        <v>30.734999999999999</v>
      </c>
      <c r="E21" s="1103"/>
      <c r="F21" s="374">
        <f>C21-D21</f>
        <v>-2.8879999999999981</v>
      </c>
      <c r="G21" s="95">
        <f t="shared" si="6"/>
        <v>-9.3964535545794647E-2</v>
      </c>
      <c r="H21" s="61"/>
      <c r="I21" s="1104">
        <v>31.70667152634482</v>
      </c>
      <c r="J21" s="1103"/>
      <c r="K21" s="374">
        <f>C21-I21</f>
        <v>-3.8596715263448189</v>
      </c>
      <c r="L21" s="92">
        <f>IF(I21=0,"NM",C21/I21-1)</f>
        <v>-0.12173058036501394</v>
      </c>
      <c r="M21" s="1444"/>
      <c r="N21" s="1102">
        <v>29.51</v>
      </c>
      <c r="O21" s="1102"/>
      <c r="P21" s="374">
        <f t="shared" si="8"/>
        <v>-1.6630000000000003</v>
      </c>
      <c r="Q21" s="92">
        <f t="shared" si="7"/>
        <v>-5.6353778380210051E-2</v>
      </c>
      <c r="S21" s="2369" t="s">
        <v>4</v>
      </c>
      <c r="U21" s="126">
        <f>+C21/$C$22</f>
        <v>0.16113763272864046</v>
      </c>
      <c r="V21" s="2"/>
      <c r="W21" s="105">
        <f>+C21/C12</f>
        <v>0.16107984289408075</v>
      </c>
      <c r="X21" s="105"/>
      <c r="Y21" s="105">
        <f>+D21/D12</f>
        <v>0.17521206731427008</v>
      </c>
      <c r="Z21" s="105"/>
      <c r="AA21" s="105">
        <f>+I21/I12</f>
        <v>0.1868581877261003</v>
      </c>
      <c r="AB21" s="105"/>
      <c r="AC21" s="2"/>
      <c r="AD21" s="2"/>
      <c r="AE21" s="2"/>
      <c r="AF21" s="2"/>
      <c r="AG21" s="2"/>
      <c r="AH21" s="2"/>
      <c r="AI21" s="2"/>
      <c r="AJ21" s="2"/>
      <c r="AK21" s="2"/>
      <c r="AL21" s="2"/>
      <c r="AM21" s="2"/>
      <c r="AN21" s="2"/>
      <c r="AO21" s="2"/>
      <c r="AP21" s="2"/>
      <c r="AQ21" s="98"/>
      <c r="AR21" s="2"/>
    </row>
    <row r="22" spans="1:44" ht="12.75" customHeight="1">
      <c r="A22" s="138" t="s">
        <v>819</v>
      </c>
      <c r="B22" s="1203"/>
      <c r="C22" s="2032">
        <f>SUM(C17:C21)</f>
        <v>172.815</v>
      </c>
      <c r="D22" s="1210">
        <f>SUM(D17:D21)</f>
        <v>124.38199999999999</v>
      </c>
      <c r="E22" s="1210"/>
      <c r="F22" s="1210">
        <f>SUM(F17:F21)</f>
        <v>48.433000000000007</v>
      </c>
      <c r="G22" s="1208">
        <f t="shared" si="6"/>
        <v>0.38938913990770385</v>
      </c>
      <c r="H22" s="1206"/>
      <c r="I22" s="1250">
        <v>171.47814805919617</v>
      </c>
      <c r="J22" s="1210"/>
      <c r="K22" s="1210">
        <f>SUM(K17:K19)</f>
        <v>7.7745660618115231</v>
      </c>
      <c r="L22" s="1211">
        <f>C22/I22-1</f>
        <v>7.7960483941215131E-3</v>
      </c>
      <c r="M22" s="1444"/>
      <c r="N22" s="1349">
        <v>175.25</v>
      </c>
      <c r="O22" s="1205"/>
      <c r="P22" s="2368">
        <f t="shared" si="8"/>
        <v>-2.4350000000000023</v>
      </c>
      <c r="Q22" s="1211">
        <f t="shared" si="7"/>
        <v>-1.3894436519258258E-2</v>
      </c>
      <c r="U22" s="2"/>
      <c r="V22" s="2"/>
      <c r="W22" s="2"/>
      <c r="X22" s="2"/>
      <c r="Y22" s="2"/>
      <c r="Z22" s="2"/>
      <c r="AA22" s="2"/>
      <c r="AB22" s="2"/>
      <c r="AC22" s="2"/>
      <c r="AD22" s="2"/>
      <c r="AE22" s="2"/>
      <c r="AF22" s="2"/>
      <c r="AG22" s="2"/>
      <c r="AH22" s="2"/>
      <c r="AI22" s="2"/>
      <c r="AJ22" s="2"/>
      <c r="AK22" s="2"/>
      <c r="AL22" s="2"/>
      <c r="AM22" s="2"/>
      <c r="AN22" s="2"/>
      <c r="AO22" s="2"/>
      <c r="AP22" s="2"/>
      <c r="AQ22" s="98"/>
      <c r="AR22" s="2"/>
    </row>
    <row r="23" spans="1:44" ht="12.75" customHeight="1">
      <c r="A23" s="2" t="s">
        <v>742</v>
      </c>
      <c r="B23" s="2"/>
      <c r="C23" s="2031">
        <f>BYD!AX54</f>
        <v>-12.628</v>
      </c>
      <c r="D23" s="104">
        <f>BYD!AS54</f>
        <v>-10.547000000000001</v>
      </c>
      <c r="E23" s="1103"/>
      <c r="F23" s="374">
        <f>C23-D23</f>
        <v>-2.0809999999999995</v>
      </c>
      <c r="G23" s="126">
        <f t="shared" si="6"/>
        <v>0.19730729117284529</v>
      </c>
      <c r="H23" s="2"/>
      <c r="I23" s="1104">
        <v>-12.129049999999999</v>
      </c>
      <c r="J23" s="1103"/>
      <c r="K23" s="374">
        <f>C23-I23</f>
        <v>-0.49895000000000067</v>
      </c>
      <c r="L23" s="1204">
        <f>IF(I23=0,"NM",C23/I23-1)</f>
        <v>4.1136774932909015E-2</v>
      </c>
      <c r="N23" s="1336"/>
      <c r="O23" s="1336"/>
      <c r="P23" s="1336"/>
      <c r="Q23" s="1336"/>
      <c r="U23" s="2"/>
      <c r="V23" s="2"/>
      <c r="W23" s="2"/>
      <c r="X23" s="2"/>
      <c r="Y23" s="2"/>
      <c r="Z23" s="2"/>
      <c r="AA23" s="2"/>
      <c r="AB23" s="2"/>
      <c r="AC23" s="2"/>
      <c r="AD23" s="2"/>
      <c r="AE23" s="2"/>
      <c r="AF23" s="2"/>
      <c r="AG23" s="2"/>
      <c r="AH23" s="2"/>
      <c r="AI23" s="2"/>
      <c r="AJ23" s="2"/>
      <c r="AK23" s="2"/>
      <c r="AL23" s="2"/>
      <c r="AM23" s="2"/>
      <c r="AN23" s="2"/>
      <c r="AO23" s="2"/>
      <c r="AP23" s="2"/>
      <c r="AQ23" s="98"/>
      <c r="AR23" s="2"/>
    </row>
    <row r="24" spans="1:44" ht="12.75" customHeight="1">
      <c r="A24" s="138" t="s">
        <v>555</v>
      </c>
      <c r="B24" s="1203"/>
      <c r="C24" s="2032">
        <f>SUM(C22:C23)</f>
        <v>160.18700000000001</v>
      </c>
      <c r="D24" s="1210">
        <f>SUM(D22:D23)</f>
        <v>113.83499999999999</v>
      </c>
      <c r="E24" s="1210"/>
      <c r="F24" s="1210">
        <f>F22+F23</f>
        <v>46.352000000000004</v>
      </c>
      <c r="G24" s="1208">
        <f t="shared" si="6"/>
        <v>0.40718583915316042</v>
      </c>
      <c r="H24" s="1210"/>
      <c r="I24" s="1250">
        <v>159.34909805919617</v>
      </c>
      <c r="J24" s="1210"/>
      <c r="K24" s="1210">
        <f>K22+K23</f>
        <v>7.2756160618115224</v>
      </c>
      <c r="L24" s="1254">
        <f>IF(I24=0,"NM",C24/I24-1)</f>
        <v>5.2582785281443112E-3</v>
      </c>
      <c r="M24" s="1442"/>
      <c r="N24" s="1349">
        <v>163.65</v>
      </c>
      <c r="O24" s="1349"/>
      <c r="P24" s="374">
        <f t="shared" si="8"/>
        <v>-3.4629999999999939</v>
      </c>
      <c r="Q24" s="92">
        <f>IF(N24=0,"NM",C24/N24-1)</f>
        <v>-2.1161014359914465E-2</v>
      </c>
      <c r="R24" s="1299"/>
      <c r="S24" s="2369" t="s">
        <v>1</v>
      </c>
      <c r="U24" s="105">
        <f>+C24/N24-1</f>
        <v>-2.1161014359914465E-2</v>
      </c>
      <c r="V24" s="2"/>
      <c r="W24" s="2"/>
      <c r="X24" s="2"/>
      <c r="Y24" s="2"/>
      <c r="Z24" s="2"/>
      <c r="AA24" s="2"/>
      <c r="AB24" s="2"/>
      <c r="AC24" s="2"/>
      <c r="AD24" s="2"/>
      <c r="AE24" s="2"/>
      <c r="AF24" s="2"/>
      <c r="AG24" s="2"/>
      <c r="AH24" s="2"/>
      <c r="AI24" s="2"/>
      <c r="AJ24" s="2"/>
      <c r="AK24" s="2"/>
      <c r="AL24" s="2"/>
      <c r="AM24" s="2"/>
      <c r="AN24" s="2"/>
      <c r="AO24" s="2"/>
      <c r="AP24" s="2"/>
      <c r="AQ24" s="98"/>
      <c r="AR24" s="2"/>
    </row>
    <row r="25" spans="1:44" ht="12.75" customHeight="1">
      <c r="A25" s="2253" t="s">
        <v>1486</v>
      </c>
      <c r="B25" s="2253"/>
      <c r="C25" s="2259">
        <f>+C24/C14</f>
        <v>0.21683578161971334</v>
      </c>
      <c r="D25" s="2253">
        <f>+D24/D14</f>
        <v>0.18537788851433876</v>
      </c>
      <c r="E25" s="2253"/>
      <c r="F25" s="2253"/>
      <c r="G25" s="213">
        <f>+C25-D25</f>
        <v>3.1457893105374585E-2</v>
      </c>
      <c r="H25" s="2253"/>
      <c r="I25" s="2260">
        <v>0.2171921914279131</v>
      </c>
      <c r="J25" s="2253"/>
      <c r="K25" s="2253"/>
      <c r="L25" s="213">
        <f>+C25-I25</f>
        <v>-3.5640980819975909E-4</v>
      </c>
      <c r="M25" s="2254"/>
      <c r="N25" s="2258"/>
      <c r="O25" s="2258"/>
      <c r="P25" s="2258"/>
      <c r="Q25" s="2258"/>
      <c r="R25" s="2255"/>
      <c r="S25" s="2256"/>
      <c r="T25" s="2257"/>
      <c r="U25" s="2258"/>
      <c r="V25" s="2258"/>
      <c r="W25" s="2258"/>
      <c r="X25" s="2258"/>
      <c r="Y25" s="2258"/>
      <c r="Z25" s="2258"/>
      <c r="AA25" s="2258"/>
      <c r="AB25" s="2258"/>
      <c r="AC25" s="2258"/>
      <c r="AD25" s="2258"/>
      <c r="AE25" s="2258"/>
      <c r="AF25" s="2258"/>
      <c r="AG25" s="2258"/>
      <c r="AH25" s="2258"/>
      <c r="AI25" s="2258"/>
      <c r="AJ25" s="2258"/>
      <c r="AK25" s="2258"/>
      <c r="AL25" s="2258"/>
      <c r="AM25" s="2258"/>
      <c r="AN25" s="2258"/>
      <c r="AO25" s="2258"/>
      <c r="AP25" s="2258"/>
      <c r="AQ25" s="2277"/>
      <c r="AR25" s="2258"/>
    </row>
    <row r="26" spans="1:44" ht="3.95" customHeight="1">
      <c r="A26" s="198"/>
      <c r="B26" s="77"/>
      <c r="C26" s="2245"/>
      <c r="D26" s="2239"/>
      <c r="E26" s="2239"/>
      <c r="F26" s="2239"/>
      <c r="G26" s="2246"/>
      <c r="H26" s="2239"/>
      <c r="I26" s="2247"/>
      <c r="J26" s="2239"/>
      <c r="K26" s="2239"/>
      <c r="L26" s="2246"/>
      <c r="M26" s="2248"/>
      <c r="N26" s="2249"/>
      <c r="O26" s="2249"/>
      <c r="P26" s="2249"/>
      <c r="Q26" s="2249"/>
      <c r="R26" s="2250"/>
      <c r="S26" s="2251"/>
      <c r="T26" s="2252"/>
      <c r="U26" s="1062"/>
      <c r="V26" s="1062"/>
      <c r="W26" s="1062"/>
      <c r="X26" s="1062"/>
      <c r="Y26" s="1062"/>
      <c r="Z26" s="1062"/>
      <c r="AA26" s="1062"/>
      <c r="AB26" s="1062"/>
      <c r="AC26" s="1062"/>
      <c r="AD26" s="1062"/>
      <c r="AE26" s="1062"/>
      <c r="AF26" s="1062"/>
      <c r="AG26" s="1062"/>
      <c r="AH26" s="1062"/>
      <c r="AI26" s="1062"/>
      <c r="AJ26" s="1062"/>
      <c r="AK26" s="1062"/>
      <c r="AL26" s="1062"/>
      <c r="AM26" s="1062"/>
      <c r="AN26" s="1062"/>
      <c r="AO26" s="1062"/>
      <c r="AP26" s="1062"/>
      <c r="AQ26" s="1092"/>
      <c r="AR26" s="1062"/>
    </row>
    <row r="27" spans="1:44" ht="12.75" customHeight="1">
      <c r="A27" s="439" t="s">
        <v>1745</v>
      </c>
      <c r="B27" s="2"/>
      <c r="C27" s="2036">
        <f>BYD!AX65</f>
        <v>2.8940000000000001</v>
      </c>
      <c r="D27" s="374">
        <f>BYD!AS65</f>
        <v>2.8370000000000002</v>
      </c>
      <c r="E27" s="1103"/>
      <c r="F27" s="374">
        <f>C27-D27</f>
        <v>5.699999999999994E-2</v>
      </c>
      <c r="G27" s="126">
        <f>IF(D27=0,0,C27/D27-1)</f>
        <v>2.0091646105040439E-2</v>
      </c>
      <c r="H27" s="2"/>
      <c r="I27" s="432">
        <v>3</v>
      </c>
      <c r="J27" s="1103"/>
      <c r="K27" s="374">
        <f>C27-I27</f>
        <v>-0.10599999999999987</v>
      </c>
      <c r="L27" s="1204">
        <f>IF(I27=0,"NM",C27/I27-1)</f>
        <v>-3.5333333333333328E-2</v>
      </c>
      <c r="M27" s="1646"/>
      <c r="N27" s="2"/>
      <c r="O27" s="2"/>
      <c r="P27" s="2"/>
      <c r="Q27" s="2"/>
      <c r="U27" s="2"/>
      <c r="V27" s="2"/>
      <c r="W27" s="2"/>
      <c r="X27" s="2"/>
      <c r="Y27" s="2"/>
      <c r="Z27" s="2"/>
      <c r="AA27" s="2"/>
      <c r="AB27" s="2"/>
      <c r="AC27" s="2"/>
      <c r="AD27" s="2"/>
      <c r="AE27" s="2"/>
      <c r="AF27" s="2"/>
      <c r="AG27" s="2"/>
      <c r="AH27" s="2"/>
      <c r="AI27" s="2"/>
      <c r="AJ27" s="2"/>
      <c r="AK27" s="2"/>
      <c r="AL27" s="2"/>
      <c r="AM27" s="2"/>
      <c r="AN27" s="2"/>
      <c r="AO27" s="2"/>
      <c r="AP27" s="2"/>
      <c r="AQ27" s="98"/>
      <c r="AR27" s="2"/>
    </row>
    <row r="28" spans="1:44" ht="12.75" customHeight="1">
      <c r="A28" s="439" t="s">
        <v>201</v>
      </c>
      <c r="B28" s="2"/>
      <c r="C28" s="2036">
        <f>BYD!AX66</f>
        <v>1.2</v>
      </c>
      <c r="D28" s="374">
        <f>BYD!AS66</f>
        <v>0.996</v>
      </c>
      <c r="E28" s="1103"/>
      <c r="F28" s="374">
        <f>C28-D28</f>
        <v>0.20399999999999996</v>
      </c>
      <c r="G28" s="126">
        <f>IF(D28=0,0,C28/D28-1)</f>
        <v>0.20481927710843362</v>
      </c>
      <c r="H28" s="2"/>
      <c r="I28" s="432">
        <v>0.996</v>
      </c>
      <c r="J28" s="1103"/>
      <c r="K28" s="374">
        <f>C28-I28</f>
        <v>0.20399999999999996</v>
      </c>
      <c r="L28" s="1204">
        <f>IF(I28=0,"NM",C28/I28-1)</f>
        <v>0.20481927710843362</v>
      </c>
      <c r="M28" s="1102"/>
      <c r="N28" s="1102"/>
      <c r="O28" s="1102"/>
      <c r="P28" s="1102"/>
      <c r="Q28" s="1102"/>
      <c r="U28" s="2"/>
      <c r="V28" s="2"/>
      <c r="W28" s="2"/>
      <c r="X28" s="2"/>
      <c r="Y28" s="2"/>
      <c r="Z28" s="2"/>
      <c r="AA28" s="2"/>
      <c r="AB28" s="2"/>
      <c r="AC28" s="2"/>
      <c r="AD28" s="2"/>
      <c r="AE28" s="2"/>
      <c r="AF28" s="2"/>
      <c r="AG28" s="2"/>
      <c r="AH28" s="2"/>
      <c r="AI28" s="2"/>
      <c r="AJ28" s="2"/>
      <c r="AK28" s="2"/>
      <c r="AL28" s="2"/>
      <c r="AM28" s="2"/>
      <c r="AN28" s="2"/>
      <c r="AO28" s="2"/>
      <c r="AP28" s="2"/>
      <c r="AQ28" s="98"/>
      <c r="AR28" s="2"/>
    </row>
    <row r="29" spans="1:44" ht="12.75" customHeight="1">
      <c r="A29" s="1693" t="s">
        <v>202</v>
      </c>
      <c r="B29" s="2"/>
      <c r="C29" s="2036">
        <f>BYD!AX67</f>
        <v>54.8</v>
      </c>
      <c r="D29" s="374">
        <f>BYD!AS67</f>
        <v>50.661000000000001</v>
      </c>
      <c r="E29" s="1103"/>
      <c r="F29" s="374">
        <f>C29-D29</f>
        <v>4.1389999999999958</v>
      </c>
      <c r="G29" s="126">
        <f>IF(D29=0,0,C29/D29-1)</f>
        <v>8.1699926965515868E-2</v>
      </c>
      <c r="H29" s="2"/>
      <c r="I29" s="432">
        <v>72.399000000000001</v>
      </c>
      <c r="J29" s="1103"/>
      <c r="K29" s="374">
        <f>C29-I29</f>
        <v>-17.599000000000004</v>
      </c>
      <c r="L29" s="1204">
        <f>IF(I29=0,"NM",C29/I29-1)</f>
        <v>-0.24308346800370173</v>
      </c>
      <c r="M29" s="1102"/>
      <c r="N29" s="1102"/>
      <c r="O29" s="1102"/>
      <c r="P29" s="1102"/>
      <c r="Q29" s="1102"/>
      <c r="U29" s="2"/>
      <c r="V29" s="2"/>
      <c r="W29" s="2"/>
      <c r="X29" s="2"/>
      <c r="Y29" s="2"/>
      <c r="Z29" s="2"/>
      <c r="AA29" s="2"/>
      <c r="AB29" s="2"/>
      <c r="AC29" s="2"/>
      <c r="AD29" s="2"/>
      <c r="AE29" s="2"/>
      <c r="AF29" s="2"/>
      <c r="AG29" s="2"/>
      <c r="AH29" s="2"/>
      <c r="AI29" s="2"/>
      <c r="AJ29" s="2"/>
      <c r="AK29" s="2"/>
      <c r="AL29" s="2"/>
      <c r="AM29" s="2"/>
      <c r="AN29" s="2"/>
      <c r="AO29" s="2"/>
      <c r="AP29" s="2"/>
      <c r="AQ29" s="98"/>
      <c r="AR29" s="2"/>
    </row>
    <row r="30" spans="1:44" ht="4.5" customHeight="1">
      <c r="A30" s="964"/>
      <c r="B30" s="2"/>
      <c r="C30" s="2037" t="s">
        <v>343</v>
      </c>
      <c r="D30" s="452" t="s">
        <v>343</v>
      </c>
      <c r="E30" s="96" t="s">
        <v>343</v>
      </c>
      <c r="F30" s="452" t="s">
        <v>343</v>
      </c>
      <c r="G30" s="1251" t="s">
        <v>343</v>
      </c>
      <c r="H30" s="2" t="s">
        <v>343</v>
      </c>
      <c r="I30" s="2223" t="s">
        <v>343</v>
      </c>
      <c r="J30" s="96" t="s">
        <v>343</v>
      </c>
      <c r="K30" s="452" t="s">
        <v>343</v>
      </c>
      <c r="L30" s="1252" t="s">
        <v>343</v>
      </c>
      <c r="M30" s="1102"/>
      <c r="N30" s="1102"/>
      <c r="O30" s="1102"/>
      <c r="P30" s="1102"/>
      <c r="Q30" s="1102"/>
      <c r="U30" s="2"/>
      <c r="V30" s="2"/>
      <c r="W30" s="2"/>
      <c r="X30" s="2"/>
      <c r="Y30" s="2"/>
      <c r="Z30" s="2"/>
      <c r="AA30" s="2"/>
      <c r="AB30" s="2"/>
      <c r="AC30" s="2"/>
      <c r="AD30" s="2"/>
      <c r="AE30" s="2"/>
      <c r="AF30" s="2"/>
      <c r="AG30" s="2"/>
      <c r="AH30" s="2"/>
      <c r="AI30" s="2"/>
      <c r="AJ30" s="2"/>
      <c r="AK30" s="2"/>
      <c r="AL30" s="2"/>
      <c r="AM30" s="2"/>
      <c r="AN30" s="2"/>
      <c r="AO30" s="2"/>
      <c r="AP30" s="2"/>
      <c r="AQ30" s="98"/>
      <c r="AR30" s="2"/>
    </row>
    <row r="31" spans="1:44" ht="12.75" customHeight="1">
      <c r="A31" s="1" t="s">
        <v>744</v>
      </c>
      <c r="B31" s="2"/>
      <c r="C31" s="2235">
        <f>C24-C27-C28-C29</f>
        <v>101.29300000000002</v>
      </c>
      <c r="D31" s="2236">
        <f>D24-D27-D28-D29</f>
        <v>59.340999999999994</v>
      </c>
      <c r="E31" s="325"/>
      <c r="F31" s="2236">
        <f>F24-F27-F28-F29</f>
        <v>41.952000000000005</v>
      </c>
      <c r="G31" s="106">
        <f>IF(D31=0,0,C31/D31-1)</f>
        <v>0.70696483038708524</v>
      </c>
      <c r="H31" s="1205"/>
      <c r="I31" s="2237">
        <v>82.954098059196156</v>
      </c>
      <c r="J31" s="932"/>
      <c r="K31" s="2236">
        <f>C31-I31</f>
        <v>18.338901940803865</v>
      </c>
      <c r="L31" s="1214">
        <f>C31/I31-1</f>
        <v>0.22107288693220672</v>
      </c>
      <c r="N31" s="2"/>
      <c r="O31" s="2"/>
      <c r="P31" s="2"/>
      <c r="Q31" s="2"/>
      <c r="U31" s="1336"/>
      <c r="V31" s="2"/>
      <c r="W31" s="2"/>
      <c r="X31" s="2"/>
      <c r="Y31" s="2"/>
      <c r="Z31" s="2"/>
      <c r="AA31" s="2"/>
      <c r="AB31" s="2"/>
      <c r="AC31" s="2"/>
      <c r="AD31" s="2"/>
      <c r="AE31" s="2"/>
      <c r="AF31" s="2"/>
      <c r="AG31" s="2"/>
      <c r="AH31" s="2"/>
      <c r="AI31" s="2"/>
      <c r="AJ31" s="2"/>
      <c r="AK31" s="2"/>
      <c r="AL31" s="2"/>
      <c r="AM31" s="2"/>
      <c r="AN31" s="2"/>
      <c r="AO31" s="2"/>
      <c r="AP31" s="2"/>
      <c r="AQ31" s="98"/>
      <c r="AR31" s="2"/>
    </row>
    <row r="32" spans="1:44" ht="12.75" customHeight="1">
      <c r="A32" s="445" t="s">
        <v>1176</v>
      </c>
      <c r="B32" s="2"/>
      <c r="C32" s="2036">
        <f>BYD!AX73</f>
        <v>-66.7</v>
      </c>
      <c r="D32" s="374">
        <f>BYD!AS73</f>
        <v>-64.38</v>
      </c>
      <c r="E32" s="932"/>
      <c r="F32" s="374">
        <f>C32-D32</f>
        <v>-2.3200000000000074</v>
      </c>
      <c r="G32" s="126">
        <f>IF(D32=0,0,C32/D32-1)</f>
        <v>3.6036036036036112E-2</v>
      </c>
      <c r="H32" s="1205"/>
      <c r="I32" s="432">
        <v>-89.159281250000021</v>
      </c>
      <c r="J32" s="932"/>
      <c r="K32" s="374">
        <f>C32-I32</f>
        <v>22.459281250000018</v>
      </c>
      <c r="L32" s="1204">
        <f>IF(I32=0,"NM",C32/I32-1)</f>
        <v>-0.25190065392098493</v>
      </c>
      <c r="N32" s="2"/>
      <c r="O32" s="2"/>
      <c r="P32" s="2"/>
      <c r="Q32" s="2"/>
      <c r="U32" s="2"/>
      <c r="V32" s="2"/>
      <c r="W32" s="2"/>
      <c r="X32" s="2"/>
      <c r="Y32" s="2"/>
      <c r="Z32" s="2"/>
      <c r="AA32" s="2"/>
      <c r="AB32" s="2"/>
      <c r="AC32" s="2"/>
      <c r="AD32" s="2"/>
      <c r="AE32" s="2"/>
      <c r="AF32" s="2"/>
      <c r="AG32" s="2"/>
      <c r="AH32" s="2"/>
      <c r="AI32" s="2"/>
      <c r="AJ32" s="2"/>
      <c r="AK32" s="2"/>
      <c r="AL32" s="2"/>
      <c r="AM32" s="2"/>
      <c r="AN32" s="2"/>
      <c r="AO32" s="2"/>
      <c r="AP32" s="2"/>
      <c r="AQ32" s="98"/>
      <c r="AR32" s="2"/>
    </row>
    <row r="33" spans="1:44" ht="12.75" customHeight="1">
      <c r="A33" s="445" t="s">
        <v>203</v>
      </c>
      <c r="B33" s="2"/>
      <c r="C33" s="2036">
        <f>BYD!AX74</f>
        <v>0</v>
      </c>
      <c r="D33" s="374">
        <f>BYD!AS74</f>
        <v>0</v>
      </c>
      <c r="E33" s="932"/>
      <c r="F33" s="374">
        <f>C33-D33</f>
        <v>0</v>
      </c>
      <c r="G33" s="126">
        <f>IF(D33=0,0,C33/D33-1)</f>
        <v>0</v>
      </c>
      <c r="H33" s="1205"/>
      <c r="I33" s="432">
        <v>0</v>
      </c>
      <c r="J33" s="932"/>
      <c r="K33" s="374">
        <f>C33-I33</f>
        <v>0</v>
      </c>
      <c r="L33" s="1204" t="str">
        <f>IF(I33=0,"NM",C33/I33-1)</f>
        <v>NM</v>
      </c>
      <c r="N33" s="2"/>
      <c r="O33" s="2"/>
      <c r="P33" s="2"/>
      <c r="Q33" s="2"/>
      <c r="U33" s="2"/>
      <c r="V33" s="2"/>
      <c r="W33" s="2"/>
      <c r="X33" s="2"/>
      <c r="Y33" s="2"/>
      <c r="Z33" s="2"/>
      <c r="AA33" s="2"/>
      <c r="AB33" s="2"/>
      <c r="AC33" s="2"/>
      <c r="AD33" s="2"/>
      <c r="AE33" s="2"/>
      <c r="AF33" s="2"/>
      <c r="AG33" s="2"/>
      <c r="AH33" s="2"/>
      <c r="AI33" s="2"/>
      <c r="AJ33" s="2"/>
      <c r="AK33" s="2"/>
      <c r="AL33" s="2"/>
      <c r="AM33" s="2"/>
      <c r="AN33" s="2"/>
      <c r="AO33" s="2"/>
      <c r="AP33" s="2"/>
      <c r="AQ33" s="98"/>
      <c r="AR33" s="2"/>
    </row>
    <row r="34" spans="1:44" ht="12.75" customHeight="1">
      <c r="A34" s="445" t="s">
        <v>814</v>
      </c>
      <c r="B34" s="2"/>
      <c r="C34" s="2036">
        <f>BYD!AX78</f>
        <v>-3.8</v>
      </c>
      <c r="D34" s="374">
        <f>BYD!AS78</f>
        <v>-4.4000000000000483E-2</v>
      </c>
      <c r="E34" s="1103"/>
      <c r="F34" s="374">
        <f>C34-D34</f>
        <v>-3.7559999999999993</v>
      </c>
      <c r="G34" s="126">
        <f>IF(D34=0,0,C34/D34-1)</f>
        <v>85.363636363635408</v>
      </c>
      <c r="H34" s="2"/>
      <c r="I34" s="432">
        <v>-0.25</v>
      </c>
      <c r="J34" s="1103"/>
      <c r="K34" s="374">
        <f>C34-I34</f>
        <v>-3.55</v>
      </c>
      <c r="L34" s="1204">
        <f>IF(I34=0,"NM",C34/I34-1)</f>
        <v>14.2</v>
      </c>
      <c r="N34" s="2"/>
      <c r="O34" s="2"/>
      <c r="P34" s="2"/>
      <c r="Q34" s="2"/>
      <c r="U34" s="2"/>
      <c r="V34" s="2"/>
      <c r="W34" s="2"/>
      <c r="X34" s="2"/>
      <c r="Y34" s="2"/>
      <c r="Z34" s="2"/>
      <c r="AA34" s="2"/>
      <c r="AB34" s="2"/>
      <c r="AC34" s="2"/>
      <c r="AD34" s="2"/>
      <c r="AE34" s="2"/>
      <c r="AF34" s="2"/>
      <c r="AG34" s="2"/>
      <c r="AH34" s="2"/>
      <c r="AI34" s="2"/>
      <c r="AJ34" s="2"/>
      <c r="AK34" s="2"/>
      <c r="AL34" s="2"/>
      <c r="AM34" s="2"/>
      <c r="AN34" s="2"/>
      <c r="AO34" s="2"/>
      <c r="AP34" s="2"/>
      <c r="AQ34" s="98"/>
      <c r="AR34" s="2"/>
    </row>
    <row r="35" spans="1:44" ht="4.5" customHeight="1">
      <c r="A35" s="964"/>
      <c r="B35" s="2"/>
      <c r="C35" s="2037" t="s">
        <v>343</v>
      </c>
      <c r="D35" s="452" t="s">
        <v>343</v>
      </c>
      <c r="E35" s="96" t="s">
        <v>343</v>
      </c>
      <c r="F35" s="452" t="s">
        <v>343</v>
      </c>
      <c r="G35" s="1251" t="s">
        <v>343</v>
      </c>
      <c r="H35" s="2" t="s">
        <v>343</v>
      </c>
      <c r="I35" s="2223" t="s">
        <v>343</v>
      </c>
      <c r="J35" s="96" t="s">
        <v>343</v>
      </c>
      <c r="K35" s="452" t="s">
        <v>343</v>
      </c>
      <c r="L35" s="1252" t="s">
        <v>343</v>
      </c>
      <c r="M35" s="1102"/>
      <c r="N35" s="1102"/>
      <c r="O35" s="1102"/>
      <c r="P35" s="1102"/>
      <c r="Q35" s="1102"/>
      <c r="U35" s="2"/>
      <c r="V35" s="2"/>
      <c r="W35" s="2"/>
      <c r="X35" s="2"/>
      <c r="Y35" s="2"/>
      <c r="Z35" s="2"/>
      <c r="AA35" s="2"/>
      <c r="AB35" s="2"/>
      <c r="AC35" s="2"/>
      <c r="AD35" s="2"/>
      <c r="AE35" s="2"/>
      <c r="AF35" s="2"/>
      <c r="AG35" s="2"/>
      <c r="AH35" s="2"/>
      <c r="AI35" s="2"/>
      <c r="AJ35" s="2"/>
      <c r="AK35" s="2"/>
      <c r="AL35" s="2"/>
      <c r="AM35" s="2"/>
      <c r="AN35" s="2"/>
      <c r="AO35" s="2"/>
      <c r="AP35" s="2"/>
      <c r="AQ35" s="98"/>
      <c r="AR35" s="2"/>
    </row>
    <row r="36" spans="1:44" ht="12.75" customHeight="1">
      <c r="A36" s="1" t="s">
        <v>745</v>
      </c>
      <c r="B36" s="2"/>
      <c r="C36" s="2240">
        <f>SUM(C31:C34)</f>
        <v>30.793000000000017</v>
      </c>
      <c r="D36" s="2239">
        <f>SUM(D31:D34)</f>
        <v>-5.083000000000002</v>
      </c>
      <c r="E36" s="932"/>
      <c r="F36" s="2236">
        <f>C36-D36</f>
        <v>35.876000000000019</v>
      </c>
      <c r="G36" s="106">
        <f>IF(D36=0,0,C36/D36-1)</f>
        <v>-7.0580365925634476</v>
      </c>
      <c r="H36" s="1205"/>
      <c r="I36" s="2238">
        <v>-6.455183190803865</v>
      </c>
      <c r="J36" s="932"/>
      <c r="K36" s="2236">
        <f>C36-I36</f>
        <v>37.248183190803886</v>
      </c>
      <c r="L36" s="1214">
        <f>C36/I36-1</f>
        <v>-5.7702751556095437</v>
      </c>
      <c r="N36" s="2"/>
      <c r="O36" s="2"/>
      <c r="P36" s="2"/>
      <c r="Q36" s="2"/>
      <c r="U36" s="2"/>
      <c r="V36" s="2"/>
      <c r="W36" s="2"/>
      <c r="X36" s="2"/>
      <c r="Y36" s="2"/>
      <c r="Z36" s="2"/>
      <c r="AA36" s="2"/>
      <c r="AB36" s="2"/>
      <c r="AC36" s="2"/>
      <c r="AD36" s="2"/>
      <c r="AE36" s="2"/>
      <c r="AF36" s="2"/>
      <c r="AG36" s="2"/>
      <c r="AH36" s="2"/>
      <c r="AI36" s="2"/>
      <c r="AJ36" s="2"/>
      <c r="AK36" s="2"/>
      <c r="AL36" s="2"/>
      <c r="AM36" s="2"/>
      <c r="AN36" s="2"/>
      <c r="AO36" s="2"/>
      <c r="AP36" s="2"/>
      <c r="AQ36" s="98"/>
      <c r="AR36" s="2"/>
    </row>
    <row r="37" spans="1:44" ht="12.75" customHeight="1">
      <c r="A37" s="445" t="s">
        <v>205</v>
      </c>
      <c r="B37" s="2"/>
      <c r="C37" s="2036">
        <f>BYD!AX81</f>
        <v>3.2</v>
      </c>
      <c r="D37" s="374">
        <f>BYD!AS81</f>
        <v>5.08</v>
      </c>
      <c r="E37" s="1103"/>
      <c r="F37" s="374">
        <f>C37-D37</f>
        <v>-1.88</v>
      </c>
      <c r="G37" s="126">
        <f>IF(D37=0,0,C37/D37-1)</f>
        <v>-0.37007874015748032</v>
      </c>
      <c r="H37" s="2"/>
      <c r="I37" s="432">
        <v>2.2593141167813475</v>
      </c>
      <c r="J37" s="1103"/>
      <c r="K37" s="374">
        <f>C37-I37</f>
        <v>0.94068588321865265</v>
      </c>
      <c r="L37" s="1204">
        <f>IF(I37=0,"NM",C37/I37-1)</f>
        <v>0.41635905172795007</v>
      </c>
      <c r="N37" s="2"/>
      <c r="O37" s="2"/>
      <c r="P37" s="2"/>
      <c r="Q37" s="2"/>
      <c r="U37" s="2"/>
      <c r="V37" s="2"/>
      <c r="W37" s="2"/>
      <c r="X37" s="2"/>
      <c r="Y37" s="2"/>
      <c r="Z37" s="2"/>
      <c r="AA37" s="2"/>
      <c r="AB37" s="2"/>
      <c r="AC37" s="2"/>
      <c r="AD37" s="2"/>
      <c r="AE37" s="2"/>
      <c r="AF37" s="2"/>
      <c r="AG37" s="2"/>
      <c r="AH37" s="2"/>
      <c r="AI37" s="2"/>
      <c r="AJ37" s="2"/>
      <c r="AK37" s="2"/>
      <c r="AL37" s="2"/>
      <c r="AM37" s="2"/>
      <c r="AN37" s="2"/>
      <c r="AO37" s="2"/>
      <c r="AP37" s="2"/>
      <c r="AQ37" s="98"/>
      <c r="AR37" s="2"/>
    </row>
    <row r="38" spans="1:44" ht="4.5" customHeight="1">
      <c r="A38" s="964"/>
      <c r="B38" s="2"/>
      <c r="C38" s="2037" t="s">
        <v>343</v>
      </c>
      <c r="D38" s="452" t="s">
        <v>343</v>
      </c>
      <c r="E38" s="96" t="s">
        <v>343</v>
      </c>
      <c r="F38" s="452" t="s">
        <v>343</v>
      </c>
      <c r="G38" s="1251" t="s">
        <v>343</v>
      </c>
      <c r="H38" s="2" t="s">
        <v>343</v>
      </c>
      <c r="I38" s="2223" t="s">
        <v>343</v>
      </c>
      <c r="J38" s="96" t="s">
        <v>343</v>
      </c>
      <c r="K38" s="452" t="s">
        <v>343</v>
      </c>
      <c r="L38" s="1252" t="s">
        <v>343</v>
      </c>
      <c r="M38" s="1102"/>
      <c r="N38" s="1102"/>
      <c r="O38" s="1102"/>
      <c r="P38" s="1102"/>
      <c r="Q38" s="1102"/>
      <c r="U38" s="2"/>
      <c r="V38" s="2"/>
      <c r="W38" s="2"/>
      <c r="X38" s="2"/>
      <c r="Y38" s="2"/>
      <c r="Z38" s="2"/>
      <c r="AA38" s="2"/>
      <c r="AB38" s="2"/>
      <c r="AC38" s="2"/>
      <c r="AD38" s="2"/>
      <c r="AE38" s="2"/>
      <c r="AF38" s="2"/>
      <c r="AG38" s="2"/>
      <c r="AH38" s="2"/>
      <c r="AI38" s="2"/>
      <c r="AJ38" s="2"/>
      <c r="AK38" s="2"/>
      <c r="AL38" s="2"/>
      <c r="AM38" s="2"/>
      <c r="AN38" s="2"/>
      <c r="AO38" s="2"/>
      <c r="AP38" s="2"/>
      <c r="AQ38" s="98"/>
      <c r="AR38" s="2"/>
    </row>
    <row r="39" spans="1:44" ht="12.75" customHeight="1">
      <c r="A39" s="107" t="s">
        <v>1243</v>
      </c>
      <c r="B39" s="61"/>
      <c r="C39" s="2240">
        <f>C36+C37</f>
        <v>33.993000000000016</v>
      </c>
      <c r="D39" s="2239">
        <f>D36+D37</f>
        <v>-3.00000000000189E-3</v>
      </c>
      <c r="E39" s="932"/>
      <c r="F39" s="2236">
        <f>F36+F37</f>
        <v>33.996000000000016</v>
      </c>
      <c r="G39" s="1215">
        <f>G36+G37</f>
        <v>-7.4281153327209282</v>
      </c>
      <c r="H39" s="932"/>
      <c r="I39" s="2238">
        <v>-4.195869074022518</v>
      </c>
      <c r="J39" s="932"/>
      <c r="K39" s="2236">
        <f>K36+K37</f>
        <v>38.188869074022541</v>
      </c>
      <c r="L39" s="1215">
        <f>L36+L37</f>
        <v>-5.3539161038815939</v>
      </c>
      <c r="M39" s="1238"/>
      <c r="N39" s="61"/>
      <c r="O39" s="61"/>
      <c r="P39" s="61"/>
      <c r="Q39" s="61"/>
      <c r="U39" s="1336"/>
      <c r="V39" s="2"/>
      <c r="W39" s="2"/>
      <c r="X39" s="2"/>
      <c r="Y39" s="2"/>
      <c r="Z39" s="2"/>
      <c r="AA39" s="2"/>
      <c r="AB39" s="2"/>
      <c r="AC39" s="2"/>
      <c r="AD39" s="2"/>
      <c r="AE39" s="2"/>
      <c r="AF39" s="2"/>
      <c r="AG39" s="2"/>
      <c r="AH39" s="2"/>
      <c r="AI39" s="2"/>
      <c r="AJ39" s="2"/>
      <c r="AK39" s="2"/>
      <c r="AL39" s="2"/>
      <c r="AM39" s="2"/>
      <c r="AN39" s="2"/>
      <c r="AO39" s="2"/>
      <c r="AP39" s="2"/>
      <c r="AQ39" s="98"/>
      <c r="AR39" s="2"/>
    </row>
    <row r="40" spans="1:44" ht="12.75" customHeight="1">
      <c r="A40" s="445" t="s">
        <v>130</v>
      </c>
      <c r="B40" s="2"/>
      <c r="C40" s="2036">
        <f>BYD!AX85</f>
        <v>0</v>
      </c>
      <c r="D40" s="374">
        <f>BYD!AS85</f>
        <v>1.6679999999999999</v>
      </c>
      <c r="E40" s="1103"/>
      <c r="F40" s="374">
        <f>C40-D40</f>
        <v>-1.6679999999999999</v>
      </c>
      <c r="G40" s="126">
        <f>IF(D40=0,0,C40/D40-1)</f>
        <v>-1</v>
      </c>
      <c r="H40" s="2"/>
      <c r="I40" s="432">
        <v>2.3141333013347825</v>
      </c>
      <c r="J40" s="1103"/>
      <c r="K40" s="374">
        <f>C40-I40</f>
        <v>-2.3141333013347825</v>
      </c>
      <c r="L40" s="1204">
        <f>IF(I40=0,"NM",C40/I40-1)</f>
        <v>-1</v>
      </c>
      <c r="N40" s="2"/>
      <c r="O40" s="2"/>
      <c r="P40" s="2"/>
      <c r="Q40" s="2"/>
      <c r="U40" s="2"/>
      <c r="V40" s="2"/>
      <c r="W40" s="2"/>
      <c r="X40" s="2"/>
      <c r="Y40" s="2"/>
      <c r="Z40" s="2"/>
      <c r="AA40" s="2"/>
      <c r="AB40" s="2"/>
      <c r="AC40" s="2"/>
      <c r="AD40" s="2"/>
      <c r="AE40" s="2"/>
      <c r="AF40" s="2"/>
      <c r="AG40" s="2"/>
      <c r="AH40" s="2"/>
      <c r="AI40" s="2"/>
      <c r="AJ40" s="2"/>
      <c r="AK40" s="2"/>
      <c r="AL40" s="2"/>
      <c r="AM40" s="2"/>
      <c r="AN40" s="2"/>
      <c r="AO40" s="2"/>
      <c r="AP40" s="2"/>
      <c r="AQ40" s="98"/>
      <c r="AR40" s="2"/>
    </row>
    <row r="41" spans="1:44" ht="4.5" customHeight="1">
      <c r="A41" s="964"/>
      <c r="B41" s="2"/>
      <c r="C41" s="2037" t="s">
        <v>343</v>
      </c>
      <c r="D41" s="452" t="s">
        <v>343</v>
      </c>
      <c r="E41" s="96" t="s">
        <v>343</v>
      </c>
      <c r="F41" s="452" t="s">
        <v>343</v>
      </c>
      <c r="G41" s="1251" t="s">
        <v>343</v>
      </c>
      <c r="H41" s="2" t="s">
        <v>343</v>
      </c>
      <c r="I41" s="2223" t="s">
        <v>343</v>
      </c>
      <c r="J41" s="96" t="s">
        <v>343</v>
      </c>
      <c r="K41" s="452" t="s">
        <v>343</v>
      </c>
      <c r="L41" s="1252" t="s">
        <v>343</v>
      </c>
      <c r="M41" s="1102"/>
      <c r="N41" s="1102"/>
      <c r="O41" s="1102"/>
      <c r="P41" s="1102"/>
      <c r="Q41" s="1102"/>
      <c r="U41" s="2"/>
      <c r="V41" s="2"/>
      <c r="W41" s="2"/>
      <c r="X41" s="2"/>
      <c r="Y41" s="2"/>
      <c r="Z41" s="2"/>
      <c r="AA41" s="2"/>
      <c r="AB41" s="2"/>
      <c r="AC41" s="2"/>
      <c r="AD41" s="2"/>
      <c r="AE41" s="2"/>
      <c r="AF41" s="2"/>
      <c r="AG41" s="2"/>
      <c r="AH41" s="2"/>
      <c r="AI41" s="2"/>
      <c r="AJ41" s="2"/>
      <c r="AK41" s="2"/>
      <c r="AL41" s="2"/>
      <c r="AM41" s="2"/>
      <c r="AN41" s="2"/>
      <c r="AO41" s="2"/>
      <c r="AP41" s="2"/>
      <c r="AQ41" s="98"/>
      <c r="AR41" s="2"/>
    </row>
    <row r="42" spans="1:44" ht="12.75" customHeight="1">
      <c r="A42" s="107" t="s">
        <v>1540</v>
      </c>
      <c r="B42" s="2"/>
      <c r="C42" s="2240">
        <f>C39+C40</f>
        <v>33.993000000000016</v>
      </c>
      <c r="D42" s="2239">
        <f>D39+D40</f>
        <v>1.664999999999998</v>
      </c>
      <c r="E42" s="932"/>
      <c r="F42" s="2236">
        <f>F39+F40</f>
        <v>32.328000000000017</v>
      </c>
      <c r="G42" s="1215">
        <f>G39+G40</f>
        <v>-8.4281153327209282</v>
      </c>
      <c r="H42" s="932"/>
      <c r="I42" s="2238">
        <v>-1.8817357726877355</v>
      </c>
      <c r="J42" s="932"/>
      <c r="K42" s="2236">
        <f>K39+K40</f>
        <v>35.874735772687757</v>
      </c>
      <c r="L42" s="1215">
        <f>L39+L40</f>
        <v>-6.3539161038815939</v>
      </c>
      <c r="N42" s="2"/>
      <c r="O42" s="2"/>
      <c r="P42" s="2"/>
      <c r="Q42" s="2"/>
      <c r="U42" s="105"/>
      <c r="V42" s="2"/>
      <c r="W42" s="2"/>
      <c r="X42" s="2"/>
      <c r="Y42" s="2"/>
      <c r="Z42" s="2"/>
      <c r="AA42" s="2"/>
      <c r="AB42" s="2"/>
      <c r="AC42" s="2"/>
      <c r="AD42" s="2"/>
      <c r="AE42" s="2"/>
      <c r="AF42" s="2"/>
      <c r="AG42" s="2"/>
      <c r="AH42" s="2"/>
      <c r="AI42" s="2"/>
      <c r="AJ42" s="2"/>
      <c r="AK42" s="2"/>
      <c r="AL42" s="2"/>
      <c r="AM42" s="2"/>
      <c r="AN42" s="2"/>
      <c r="AO42" s="2"/>
      <c r="AP42" s="2"/>
      <c r="AQ42" s="98"/>
      <c r="AR42" s="2"/>
    </row>
    <row r="43" spans="1:44" ht="12.75" customHeight="1">
      <c r="A43" s="2" t="s">
        <v>1562</v>
      </c>
      <c r="B43" s="2"/>
      <c r="C43" s="2031">
        <f>BYD!AX87</f>
        <v>0</v>
      </c>
      <c r="D43" s="104">
        <f>BYD!AS87</f>
        <v>2.5020000000000002</v>
      </c>
      <c r="E43" s="61"/>
      <c r="F43" s="61"/>
      <c r="G43" s="1141"/>
      <c r="H43" s="2"/>
      <c r="I43" s="1104">
        <v>0.25</v>
      </c>
      <c r="J43" s="61"/>
      <c r="K43" s="61"/>
      <c r="L43" s="1216"/>
      <c r="N43" s="2"/>
      <c r="O43" s="2"/>
      <c r="P43" s="2"/>
      <c r="Q43" s="2"/>
      <c r="U43" s="2"/>
      <c r="V43" s="2"/>
      <c r="W43" s="2"/>
      <c r="X43" s="2"/>
      <c r="Y43" s="2"/>
      <c r="Z43" s="2"/>
      <c r="AA43" s="2"/>
      <c r="AB43" s="2"/>
      <c r="AC43" s="2"/>
      <c r="AD43" s="2"/>
      <c r="AE43" s="2"/>
      <c r="AF43" s="2"/>
      <c r="AG43" s="2"/>
      <c r="AH43" s="2"/>
      <c r="AI43" s="2"/>
      <c r="AJ43" s="2"/>
      <c r="AK43" s="2"/>
      <c r="AL43" s="2"/>
      <c r="AM43" s="2"/>
      <c r="AN43" s="2"/>
      <c r="AO43" s="2"/>
      <c r="AP43" s="2"/>
      <c r="AQ43" s="98"/>
      <c r="AR43" s="2"/>
    </row>
    <row r="44" spans="1:44" ht="12.75" customHeight="1">
      <c r="A44" s="147" t="s">
        <v>1747</v>
      </c>
      <c r="B44" s="160"/>
      <c r="C44" s="2244">
        <f>BYD!AX88</f>
        <v>-0.23049999999998061</v>
      </c>
      <c r="D44" s="2243">
        <f>BYD!AS88</f>
        <v>4.1670000000000016</v>
      </c>
      <c r="E44" s="1218"/>
      <c r="F44" s="2241">
        <f>C44-D44</f>
        <v>-4.3974999999999822</v>
      </c>
      <c r="G44" s="1219">
        <f>IF(D44=0,0,C44/D44-1)</f>
        <v>-1.0553155747540151</v>
      </c>
      <c r="H44" s="1220"/>
      <c r="I44" s="2242">
        <v>-1.6317357726877213</v>
      </c>
      <c r="J44" s="1218"/>
      <c r="K44" s="2241">
        <f>C44-I44</f>
        <v>1.4012357726877407</v>
      </c>
      <c r="L44" s="1221">
        <f>C44/I44-1</f>
        <v>-0.85873938424460017</v>
      </c>
      <c r="N44" s="2"/>
      <c r="O44" s="2"/>
      <c r="P44" s="2"/>
      <c r="Q44" s="2"/>
      <c r="U44" s="2"/>
      <c r="V44" s="2"/>
      <c r="W44" s="2"/>
      <c r="X44" s="2"/>
      <c r="Y44" s="2"/>
      <c r="Z44" s="2"/>
      <c r="AA44" s="2"/>
      <c r="AB44" s="2"/>
      <c r="AC44" s="2"/>
      <c r="AD44" s="2"/>
      <c r="AE44" s="2"/>
      <c r="AF44" s="2"/>
      <c r="AG44" s="2"/>
      <c r="AH44" s="2"/>
      <c r="AI44" s="2"/>
      <c r="AJ44" s="2"/>
      <c r="AK44" s="2"/>
      <c r="AL44" s="2"/>
      <c r="AM44" s="2"/>
      <c r="AN44" s="2"/>
      <c r="AO44" s="2"/>
      <c r="AP44" s="2"/>
      <c r="AQ44" s="98"/>
      <c r="AR44" s="2"/>
    </row>
    <row r="45" spans="1:44" ht="12.75" customHeight="1">
      <c r="A45" s="2"/>
      <c r="B45" s="2"/>
      <c r="C45" s="2034"/>
      <c r="D45" s="77"/>
      <c r="E45" s="61"/>
      <c r="F45" s="61"/>
      <c r="G45" s="1141"/>
      <c r="H45" s="2"/>
      <c r="I45" s="115"/>
      <c r="J45" s="61"/>
      <c r="K45" s="61"/>
      <c r="L45" s="1216"/>
      <c r="N45" s="2"/>
      <c r="O45" s="2"/>
      <c r="P45" s="2"/>
      <c r="Q45" s="2"/>
      <c r="U45" s="2"/>
      <c r="V45" s="2"/>
      <c r="W45" s="2"/>
      <c r="X45" s="2"/>
      <c r="Y45" s="2"/>
      <c r="Z45" s="2"/>
      <c r="AA45" s="2"/>
      <c r="AB45" s="2"/>
      <c r="AC45" s="2"/>
      <c r="AD45" s="2"/>
      <c r="AE45" s="2"/>
      <c r="AF45" s="2"/>
      <c r="AG45" s="2"/>
      <c r="AH45" s="2"/>
      <c r="AI45" s="2"/>
      <c r="AJ45" s="2"/>
      <c r="AK45" s="2"/>
      <c r="AL45" s="2"/>
      <c r="AM45" s="2"/>
      <c r="AN45" s="2"/>
      <c r="AO45" s="2"/>
      <c r="AP45" s="2"/>
      <c r="AQ45" s="98"/>
      <c r="AR45" s="2"/>
    </row>
    <row r="46" spans="1:44" ht="12.75" customHeight="1">
      <c r="A46" s="138" t="s">
        <v>746</v>
      </c>
      <c r="B46" s="155"/>
      <c r="C46" s="2041">
        <f>+C44/C47</f>
        <v>-2.6200922999975061E-3</v>
      </c>
      <c r="D46" s="152">
        <f>+D44/D47</f>
        <v>4.7575010275380213E-2</v>
      </c>
      <c r="E46" s="152"/>
      <c r="F46" s="152">
        <f>C46-D46</f>
        <v>-5.0195102575377716E-2</v>
      </c>
      <c r="G46" s="1208">
        <f>IF(D46=0,0,C46/D46-1)</f>
        <v>-1.0550728688198179</v>
      </c>
      <c r="H46" s="155"/>
      <c r="I46" s="1246">
        <v>-1.8547932033188455E-2</v>
      </c>
      <c r="J46" s="152"/>
      <c r="K46" s="152">
        <f>C46-I46</f>
        <v>1.5927839733190948E-2</v>
      </c>
      <c r="L46" s="1211">
        <f>C46/I46-1</f>
        <v>-0.85873938424460017</v>
      </c>
      <c r="N46" s="1256"/>
      <c r="O46" s="1256"/>
      <c r="P46" s="1256"/>
      <c r="Q46" s="1256"/>
      <c r="S46" s="1645"/>
      <c r="U46" s="2"/>
      <c r="V46" s="2"/>
      <c r="W46" s="2"/>
      <c r="X46" s="2"/>
      <c r="Y46" s="2"/>
      <c r="Z46" s="2"/>
      <c r="AA46" s="2"/>
      <c r="AB46" s="2"/>
      <c r="AC46" s="2"/>
      <c r="AD46" s="2"/>
      <c r="AE46" s="2"/>
      <c r="AF46" s="2"/>
      <c r="AG46" s="2"/>
      <c r="AH46" s="2"/>
      <c r="AI46" s="2"/>
      <c r="AJ46" s="2"/>
      <c r="AK46" s="2"/>
      <c r="AL46" s="2"/>
      <c r="AM46" s="2"/>
      <c r="AN46" s="2"/>
      <c r="AO46" s="2"/>
      <c r="AP46" s="2"/>
      <c r="AQ46" s="98"/>
      <c r="AR46" s="2"/>
    </row>
    <row r="47" spans="1:44" ht="12.75" customHeight="1">
      <c r="A47" s="2" t="s">
        <v>769</v>
      </c>
      <c r="B47" s="2"/>
      <c r="C47" s="2031">
        <f>BYD!AW103</f>
        <v>87.974000000000004</v>
      </c>
      <c r="D47" s="104">
        <f>BYD!AS103</f>
        <v>87.587999999999994</v>
      </c>
      <c r="E47" s="1103"/>
      <c r="F47" s="374">
        <f>C47-D47</f>
        <v>0.38600000000000989</v>
      </c>
      <c r="G47" s="126">
        <f>IF(D47=0,0,C47/D47-1)</f>
        <v>4.4069963921999911E-3</v>
      </c>
      <c r="H47" s="2"/>
      <c r="I47" s="1104">
        <v>87.974000000000004</v>
      </c>
      <c r="J47" s="1103"/>
      <c r="K47" s="374">
        <f>C47-I47</f>
        <v>0</v>
      </c>
      <c r="L47" s="1204">
        <f>C47/I47-1</f>
        <v>0</v>
      </c>
      <c r="N47" s="2"/>
      <c r="O47" s="2"/>
      <c r="P47" s="2"/>
      <c r="Q47" s="2"/>
      <c r="U47" s="2"/>
      <c r="V47" s="2"/>
      <c r="W47" s="2"/>
      <c r="X47" s="2"/>
      <c r="Y47" s="2"/>
      <c r="Z47" s="2"/>
      <c r="AA47" s="2"/>
      <c r="AB47" s="2"/>
      <c r="AC47" s="2"/>
      <c r="AD47" s="2"/>
      <c r="AE47" s="2"/>
      <c r="AF47" s="2"/>
      <c r="AG47" s="2"/>
      <c r="AH47" s="2"/>
      <c r="AI47" s="2"/>
      <c r="AJ47" s="2"/>
      <c r="AK47" s="2"/>
      <c r="AL47" s="2"/>
      <c r="AM47" s="2"/>
      <c r="AN47" s="2"/>
      <c r="AO47" s="2"/>
      <c r="AP47" s="2"/>
      <c r="AQ47" s="98"/>
      <c r="AR47" s="2"/>
    </row>
    <row r="48" spans="1:44" ht="12.75" customHeight="1">
      <c r="A48" s="2"/>
      <c r="B48" s="2"/>
      <c r="C48" s="112"/>
      <c r="D48" s="77"/>
      <c r="E48" s="61"/>
      <c r="F48" s="2"/>
      <c r="G48" s="2"/>
      <c r="H48" s="2"/>
      <c r="I48" s="142"/>
      <c r="J48" s="61"/>
      <c r="K48" s="61"/>
      <c r="L48" s="2"/>
      <c r="N48" s="2"/>
      <c r="O48" s="2"/>
      <c r="P48" s="2"/>
      <c r="Q48" s="2"/>
      <c r="U48" s="2"/>
      <c r="V48" s="2"/>
      <c r="W48" s="2"/>
      <c r="X48" s="2"/>
      <c r="Y48" s="2"/>
      <c r="Z48" s="2"/>
      <c r="AA48" s="2"/>
      <c r="AB48" s="2"/>
      <c r="AC48" s="2"/>
      <c r="AD48" s="2"/>
      <c r="AE48" s="2"/>
      <c r="AF48" s="2"/>
      <c r="AG48" s="2"/>
      <c r="AH48" s="2"/>
      <c r="AI48" s="2"/>
      <c r="AJ48" s="2"/>
      <c r="AK48" s="2"/>
      <c r="AL48" s="2"/>
      <c r="AM48" s="2"/>
      <c r="AN48" s="2"/>
      <c r="AO48" s="2"/>
      <c r="AP48" s="2"/>
      <c r="AQ48" s="98"/>
      <c r="AR48" s="2"/>
    </row>
    <row r="49" spans="1:44" ht="12.75" customHeight="1">
      <c r="A49" s="1222" t="s">
        <v>1483</v>
      </c>
      <c r="B49" s="1223"/>
      <c r="C49" s="1224">
        <f>C22/C14</f>
        <v>0.23392956732200965</v>
      </c>
      <c r="D49" s="1400">
        <f>D22/D14</f>
        <v>0.20255345481785464</v>
      </c>
      <c r="E49" s="1225"/>
      <c r="F49" s="1223"/>
      <c r="G49" s="1226">
        <f t="shared" ref="G49:G54" si="9">(C49-D49)</f>
        <v>3.1376112504155007E-2</v>
      </c>
      <c r="H49" s="1223"/>
      <c r="I49" s="2234">
        <v>0.23372403868355371</v>
      </c>
      <c r="J49" s="1225"/>
      <c r="K49" s="1223"/>
      <c r="L49" s="1227">
        <f t="shared" ref="L49:L54" si="10">(C49-I49)</f>
        <v>2.0552863845593738E-4</v>
      </c>
      <c r="N49" s="2"/>
      <c r="O49" s="2"/>
      <c r="P49" s="2"/>
      <c r="Q49" s="2"/>
      <c r="U49" s="2"/>
      <c r="V49" s="2"/>
      <c r="W49" s="2"/>
      <c r="X49" s="2"/>
      <c r="Y49" s="2"/>
      <c r="Z49" s="2"/>
      <c r="AA49" s="2"/>
      <c r="AB49" s="2"/>
      <c r="AC49" s="2"/>
      <c r="AD49" s="2"/>
      <c r="AE49" s="2"/>
      <c r="AF49" s="2"/>
      <c r="AG49" s="2"/>
      <c r="AH49" s="2"/>
      <c r="AI49" s="2"/>
      <c r="AJ49" s="2"/>
      <c r="AK49" s="2"/>
      <c r="AL49" s="2"/>
      <c r="AM49" s="2"/>
      <c r="AN49" s="2"/>
      <c r="AO49" s="2"/>
      <c r="AP49" s="2"/>
      <c r="AQ49" s="98"/>
      <c r="AR49" s="2"/>
    </row>
    <row r="50" spans="1:44" ht="12.75" customHeight="1">
      <c r="A50" s="1239" t="s">
        <v>514</v>
      </c>
      <c r="B50" s="1228"/>
      <c r="C50" s="1229">
        <f t="shared" ref="C50:D52" si="11">C17/C8</f>
        <v>0.25868795510722159</v>
      </c>
      <c r="D50" s="1230">
        <f t="shared" si="11"/>
        <v>0.23179874754173183</v>
      </c>
      <c r="E50" s="1230"/>
      <c r="F50" s="1228"/>
      <c r="G50" s="1231">
        <f t="shared" si="9"/>
        <v>2.6889207565489764E-2</v>
      </c>
      <c r="H50" s="1228"/>
      <c r="I50" s="1248">
        <v>0.24135348948773017</v>
      </c>
      <c r="J50" s="1230"/>
      <c r="K50" s="1228"/>
      <c r="L50" s="1232">
        <f t="shared" si="10"/>
        <v>1.7334465619491424E-2</v>
      </c>
      <c r="M50" s="1404"/>
      <c r="N50" s="1647"/>
      <c r="O50" s="1647"/>
      <c r="P50" s="1647"/>
      <c r="Q50" s="1647"/>
      <c r="U50" s="2"/>
      <c r="V50" s="2"/>
      <c r="W50" s="2"/>
      <c r="X50" s="2"/>
      <c r="Y50" s="2"/>
      <c r="Z50" s="2"/>
      <c r="AA50" s="2"/>
      <c r="AB50" s="2"/>
      <c r="AC50" s="2"/>
      <c r="AD50" s="2"/>
      <c r="AE50" s="2"/>
      <c r="AF50" s="2"/>
      <c r="AG50" s="2"/>
      <c r="AH50" s="2"/>
      <c r="AI50" s="2"/>
      <c r="AJ50" s="2"/>
      <c r="AK50" s="2"/>
      <c r="AL50" s="2"/>
      <c r="AM50" s="2"/>
      <c r="AN50" s="2"/>
      <c r="AO50" s="2"/>
      <c r="AP50" s="2"/>
      <c r="AQ50" s="98"/>
      <c r="AR50" s="2"/>
    </row>
    <row r="51" spans="1:44" ht="12.75" customHeight="1">
      <c r="A51" s="1239" t="s">
        <v>515</v>
      </c>
      <c r="B51" s="1228"/>
      <c r="C51" s="1229">
        <f t="shared" si="11"/>
        <v>0.16563925313568986</v>
      </c>
      <c r="D51" s="1230">
        <f t="shared" si="11"/>
        <v>0.14496147589338387</v>
      </c>
      <c r="E51" s="1230"/>
      <c r="F51" s="1228"/>
      <c r="G51" s="1231">
        <f t="shared" si="9"/>
        <v>2.0677777242305989E-2</v>
      </c>
      <c r="H51" s="1228"/>
      <c r="I51" s="1248">
        <v>0.15368635879243098</v>
      </c>
      <c r="J51" s="1230"/>
      <c r="K51" s="1228"/>
      <c r="L51" s="1232">
        <f t="shared" si="10"/>
        <v>1.1952894343258885E-2</v>
      </c>
      <c r="M51" s="1403"/>
      <c r="N51" s="98"/>
      <c r="O51" s="98"/>
      <c r="P51" s="98"/>
      <c r="Q51" s="98"/>
      <c r="U51" s="2"/>
      <c r="V51" s="2"/>
      <c r="W51" s="2"/>
      <c r="X51" s="2"/>
      <c r="Y51" s="2"/>
      <c r="Z51" s="2"/>
      <c r="AA51" s="2"/>
      <c r="AB51" s="2"/>
      <c r="AC51" s="2"/>
      <c r="AD51" s="2"/>
      <c r="AE51" s="2"/>
      <c r="AF51" s="2"/>
      <c r="AG51" s="2"/>
      <c r="AH51" s="2"/>
      <c r="AI51" s="2"/>
      <c r="AJ51" s="2"/>
      <c r="AK51" s="2"/>
      <c r="AL51" s="2"/>
      <c r="AM51" s="2"/>
      <c r="AN51" s="2"/>
      <c r="AO51" s="2"/>
      <c r="AP51" s="2"/>
      <c r="AQ51" s="98"/>
      <c r="AR51" s="2"/>
    </row>
    <row r="52" spans="1:44" ht="12.75" customHeight="1">
      <c r="A52" s="1239" t="s">
        <v>517</v>
      </c>
      <c r="B52" s="1228"/>
      <c r="C52" s="1229">
        <f t="shared" si="11"/>
        <v>0.21681165365425173</v>
      </c>
      <c r="D52" s="1230">
        <f t="shared" si="11"/>
        <v>0.21821519030668127</v>
      </c>
      <c r="E52" s="1230"/>
      <c r="F52" s="1228"/>
      <c r="G52" s="1231">
        <f t="shared" si="9"/>
        <v>-1.4035366524295378E-3</v>
      </c>
      <c r="H52" s="1228"/>
      <c r="I52" s="1248">
        <v>0.19916488077586914</v>
      </c>
      <c r="J52" s="1230"/>
      <c r="K52" s="1228"/>
      <c r="L52" s="1232">
        <f t="shared" si="10"/>
        <v>1.7646772878382594E-2</v>
      </c>
      <c r="M52" s="1403"/>
      <c r="N52" s="98"/>
      <c r="O52" s="98"/>
      <c r="P52" s="98"/>
      <c r="Q52" s="98"/>
      <c r="U52" s="2"/>
      <c r="V52" s="2"/>
      <c r="W52" s="2"/>
      <c r="X52" s="2"/>
      <c r="Y52" s="2"/>
      <c r="Z52" s="2"/>
      <c r="AA52" s="2"/>
      <c r="AB52" s="2"/>
      <c r="AC52" s="2"/>
      <c r="AD52" s="2"/>
      <c r="AE52" s="2"/>
      <c r="AF52" s="2"/>
      <c r="AG52" s="2"/>
      <c r="AH52" s="2"/>
      <c r="AI52" s="2"/>
      <c r="AJ52" s="2"/>
      <c r="AK52" s="2"/>
      <c r="AL52" s="2"/>
      <c r="AM52" s="2"/>
      <c r="AN52" s="2"/>
      <c r="AO52" s="2"/>
      <c r="AP52" s="2"/>
      <c r="AQ52" s="98"/>
      <c r="AR52" s="2"/>
    </row>
    <row r="53" spans="1:44" ht="12.75" customHeight="1">
      <c r="A53" s="1239" t="s">
        <v>516</v>
      </c>
      <c r="B53" s="1228"/>
      <c r="C53" s="1229">
        <f>C19/C10</f>
        <v>0.21681165365425173</v>
      </c>
      <c r="D53" s="1230">
        <f>D19/D10</f>
        <v>0.21821519030668127</v>
      </c>
      <c r="E53" s="1230"/>
      <c r="F53" s="1228"/>
      <c r="G53" s="1231">
        <f t="shared" si="9"/>
        <v>-1.4035366524295378E-3</v>
      </c>
      <c r="H53" s="1228"/>
      <c r="I53" s="1248">
        <v>0.19916488077586914</v>
      </c>
      <c r="J53" s="1230"/>
      <c r="K53" s="1228"/>
      <c r="L53" s="1232">
        <f t="shared" si="10"/>
        <v>1.7646772878382594E-2</v>
      </c>
      <c r="M53" s="1404"/>
      <c r="N53" s="105"/>
      <c r="O53" s="105"/>
      <c r="P53" s="105"/>
      <c r="Q53" s="105"/>
      <c r="U53" s="2"/>
      <c r="V53" s="2"/>
      <c r="W53" s="2"/>
      <c r="X53" s="2"/>
      <c r="Y53" s="2"/>
      <c r="Z53" s="2"/>
      <c r="AA53" s="2"/>
      <c r="AB53" s="2"/>
      <c r="AC53" s="2"/>
      <c r="AD53" s="2"/>
      <c r="AE53" s="2"/>
      <c r="AF53" s="2"/>
      <c r="AG53" s="2"/>
      <c r="AH53" s="2"/>
      <c r="AI53" s="2"/>
      <c r="AJ53" s="2"/>
      <c r="AK53" s="2"/>
      <c r="AL53" s="2"/>
      <c r="AM53" s="2"/>
      <c r="AN53" s="2"/>
      <c r="AO53" s="2"/>
      <c r="AP53" s="2"/>
      <c r="AQ53" s="98"/>
      <c r="AR53" s="2"/>
    </row>
    <row r="54" spans="1:44" ht="12.75" customHeight="1">
      <c r="A54" s="1240" t="s">
        <v>273</v>
      </c>
      <c r="B54" s="1233"/>
      <c r="C54" s="1234">
        <f>C21/C12</f>
        <v>0.16107984289408075</v>
      </c>
      <c r="D54" s="1235">
        <f>D21/D12</f>
        <v>0.17521206731427008</v>
      </c>
      <c r="E54" s="1235"/>
      <c r="F54" s="1233"/>
      <c r="G54" s="1235">
        <f t="shared" si="9"/>
        <v>-1.4132224420189327E-2</v>
      </c>
      <c r="H54" s="1233"/>
      <c r="I54" s="1249">
        <v>0.1868581877261003</v>
      </c>
      <c r="J54" s="1235"/>
      <c r="K54" s="1233"/>
      <c r="L54" s="1237">
        <f t="shared" si="10"/>
        <v>-2.5778344832019545E-2</v>
      </c>
      <c r="M54" s="1404"/>
      <c r="N54" s="105"/>
      <c r="O54" s="105"/>
      <c r="P54" s="105"/>
      <c r="Q54" s="105"/>
      <c r="U54" s="2"/>
      <c r="V54" s="2"/>
      <c r="W54" s="2"/>
      <c r="X54" s="2"/>
      <c r="Y54" s="2"/>
      <c r="Z54" s="2"/>
      <c r="AA54" s="2"/>
      <c r="AB54" s="2"/>
      <c r="AC54" s="2"/>
      <c r="AD54" s="2"/>
      <c r="AE54" s="2"/>
      <c r="AF54" s="2"/>
      <c r="AG54" s="2"/>
      <c r="AH54" s="2"/>
      <c r="AI54" s="2"/>
      <c r="AJ54" s="2"/>
      <c r="AK54" s="2"/>
      <c r="AL54" s="2"/>
      <c r="AM54" s="2"/>
      <c r="AN54" s="2"/>
      <c r="AO54" s="2"/>
      <c r="AP54" s="2"/>
      <c r="AQ54" s="98"/>
      <c r="AR54" s="2"/>
    </row>
    <row r="55" spans="1:44" ht="12.75" customHeight="1">
      <c r="A55" s="61"/>
      <c r="B55" s="61"/>
      <c r="C55" s="1435"/>
      <c r="D55" s="77"/>
      <c r="E55" s="61"/>
      <c r="F55" s="61"/>
      <c r="G55" s="61"/>
      <c r="H55" s="61"/>
      <c r="I55" s="1435"/>
      <c r="J55" s="61"/>
      <c r="K55" s="61"/>
      <c r="L55" s="61"/>
      <c r="M55" s="1404"/>
      <c r="N55" s="105"/>
      <c r="O55" s="105"/>
      <c r="P55" s="105"/>
      <c r="Q55" s="105"/>
      <c r="U55" s="2"/>
      <c r="V55" s="2"/>
      <c r="W55" s="2"/>
      <c r="X55" s="2"/>
      <c r="Y55" s="2"/>
      <c r="Z55" s="2"/>
      <c r="AA55" s="2"/>
      <c r="AB55" s="2"/>
      <c r="AC55" s="2"/>
      <c r="AD55" s="2"/>
      <c r="AE55" s="2"/>
      <c r="AF55" s="2"/>
      <c r="AG55" s="2"/>
      <c r="AH55" s="2"/>
      <c r="AI55" s="2"/>
      <c r="AJ55" s="2"/>
      <c r="AK55" s="2"/>
      <c r="AL55" s="2"/>
      <c r="AM55" s="2"/>
      <c r="AN55" s="2"/>
      <c r="AO55" s="2"/>
      <c r="AP55" s="2"/>
      <c r="AQ55" s="98"/>
      <c r="AR55" s="2"/>
    </row>
    <row r="56" spans="1:44" ht="12.75" customHeight="1">
      <c r="A56" s="61"/>
      <c r="B56" s="61"/>
      <c r="C56" s="374"/>
      <c r="D56" s="374"/>
      <c r="E56" s="61"/>
      <c r="F56" s="374"/>
      <c r="G56" s="95"/>
      <c r="H56" s="313"/>
      <c r="I56" s="376"/>
      <c r="J56" s="932"/>
      <c r="K56" s="374"/>
      <c r="L56" s="1204"/>
      <c r="N56" s="2"/>
      <c r="O56" s="2"/>
      <c r="P56" s="2"/>
      <c r="Q56" s="2"/>
      <c r="U56" s="1"/>
      <c r="V56" s="2"/>
      <c r="W56" s="1"/>
      <c r="X56" s="2"/>
      <c r="Y56" s="2"/>
      <c r="Z56" s="2"/>
      <c r="AA56" s="2"/>
      <c r="AB56" s="2"/>
      <c r="AC56" s="2"/>
      <c r="AD56" s="2"/>
      <c r="AE56" s="2"/>
      <c r="AF56" s="2"/>
      <c r="AG56" s="2"/>
      <c r="AH56" s="2"/>
      <c r="AI56" s="2"/>
      <c r="AJ56" s="2"/>
      <c r="AK56" s="2"/>
      <c r="AL56" s="2"/>
      <c r="AM56" s="2"/>
      <c r="AN56" s="2"/>
      <c r="AO56" s="2"/>
      <c r="AP56" s="2"/>
      <c r="AQ56" s="98"/>
      <c r="AR56" s="2"/>
    </row>
    <row r="57" spans="1:44" ht="12.75" customHeight="1">
      <c r="A57" s="743"/>
      <c r="B57" s="61"/>
      <c r="C57" s="1618"/>
      <c r="D57" s="1618"/>
      <c r="E57" s="61"/>
      <c r="F57" s="1618"/>
      <c r="G57" s="1433"/>
      <c r="H57" s="61"/>
      <c r="I57" s="1618"/>
      <c r="J57" s="1103"/>
      <c r="K57" s="452"/>
      <c r="L57" s="1252"/>
      <c r="M57" s="1404"/>
      <c r="N57" s="1404"/>
      <c r="O57" s="1404"/>
      <c r="P57" s="1404"/>
      <c r="Q57" s="1404"/>
      <c r="U57" s="105"/>
      <c r="V57" s="2"/>
      <c r="W57" s="105"/>
      <c r="X57" s="2"/>
      <c r="Y57" s="2"/>
      <c r="Z57" s="2"/>
      <c r="AA57" s="2"/>
      <c r="AB57" s="2"/>
      <c r="AC57" s="2"/>
      <c r="AD57" s="2"/>
      <c r="AE57" s="2"/>
      <c r="AF57" s="2"/>
      <c r="AG57" s="2"/>
      <c r="AH57" s="2"/>
      <c r="AI57" s="2"/>
      <c r="AJ57" s="2"/>
      <c r="AK57" s="2"/>
      <c r="AL57" s="2"/>
      <c r="AM57" s="2"/>
      <c r="AN57" s="2"/>
      <c r="AO57" s="2"/>
      <c r="AP57" s="2"/>
      <c r="AQ57" s="98"/>
      <c r="AR57" s="2"/>
    </row>
    <row r="58" spans="1:44" ht="12.75" customHeight="1">
      <c r="A58" s="1"/>
      <c r="B58" s="2"/>
      <c r="C58" s="1241"/>
      <c r="D58" s="1241"/>
      <c r="E58" s="61"/>
      <c r="F58" s="374"/>
      <c r="G58" s="95"/>
      <c r="H58" s="61"/>
      <c r="I58" s="1434"/>
      <c r="J58" s="1103"/>
      <c r="K58" s="1241"/>
      <c r="L58" s="1204"/>
      <c r="N58" s="1143"/>
      <c r="O58" s="1143"/>
      <c r="P58" s="1143"/>
      <c r="Q58" s="1143"/>
      <c r="AQ58" s="1403"/>
    </row>
    <row r="59" spans="1:44" ht="4.5" customHeight="1">
      <c r="A59" s="2"/>
      <c r="B59" s="2"/>
      <c r="C59" s="61"/>
      <c r="D59" s="77"/>
      <c r="E59" s="61"/>
      <c r="F59" s="61"/>
      <c r="G59" s="61"/>
      <c r="H59" s="61"/>
      <c r="I59" s="61"/>
      <c r="J59" s="2"/>
      <c r="K59" s="2"/>
      <c r="L59" s="2"/>
      <c r="N59" s="2"/>
      <c r="O59" s="2"/>
      <c r="P59" s="2"/>
      <c r="Q59" s="2"/>
      <c r="AQ59" s="1403"/>
    </row>
    <row r="60" spans="1:44" ht="6" customHeight="1">
      <c r="A60" s="2"/>
      <c r="B60" s="2"/>
      <c r="C60" s="2"/>
      <c r="D60" s="1062"/>
      <c r="E60" s="2"/>
      <c r="F60" s="2"/>
      <c r="G60" s="2"/>
      <c r="H60" s="2"/>
      <c r="I60" s="2"/>
      <c r="J60" s="2"/>
      <c r="K60" s="2"/>
      <c r="L60" s="2"/>
      <c r="N60" s="2"/>
      <c r="O60" s="2"/>
      <c r="P60" s="2"/>
      <c r="Q60" s="2"/>
      <c r="AQ60" s="1403"/>
    </row>
    <row r="61" spans="1:44" ht="12.75" customHeight="1">
      <c r="A61" s="2"/>
      <c r="B61" s="2"/>
      <c r="C61" s="2"/>
      <c r="D61" s="1648"/>
      <c r="E61" s="2"/>
      <c r="F61" s="2"/>
      <c r="G61" s="2"/>
      <c r="H61" s="2"/>
      <c r="I61" s="2"/>
      <c r="J61" s="2"/>
      <c r="K61" s="2"/>
      <c r="L61" s="2"/>
      <c r="N61" s="2"/>
      <c r="O61" s="2"/>
      <c r="P61" s="2"/>
      <c r="Q61" s="2"/>
      <c r="AQ61" s="1403"/>
    </row>
    <row r="62" spans="1:44" ht="12.75" customHeight="1">
      <c r="A62" s="2"/>
      <c r="B62" s="2"/>
      <c r="C62" s="2"/>
      <c r="D62" s="1062"/>
      <c r="E62" s="2"/>
      <c r="F62" s="2"/>
      <c r="G62" s="2"/>
      <c r="H62" s="2"/>
      <c r="I62" s="2"/>
      <c r="J62" s="2"/>
      <c r="K62" s="2"/>
      <c r="L62" s="2"/>
      <c r="N62" s="2"/>
      <c r="O62" s="2"/>
      <c r="P62" s="2"/>
      <c r="Q62" s="2"/>
      <c r="AQ62" s="1403"/>
    </row>
    <row r="63" spans="1:44" ht="12.75" customHeight="1">
      <c r="A63" s="2"/>
      <c r="B63" s="2"/>
      <c r="C63" s="2"/>
      <c r="D63" s="1062"/>
      <c r="E63" s="2"/>
      <c r="F63" s="2"/>
      <c r="G63" s="2"/>
      <c r="H63" s="2"/>
      <c r="I63" s="2"/>
      <c r="J63" s="2"/>
      <c r="K63" s="2"/>
      <c r="L63" s="2"/>
      <c r="N63" s="2"/>
      <c r="O63" s="2"/>
      <c r="P63" s="2"/>
      <c r="Q63" s="2"/>
      <c r="AQ63" s="1403"/>
    </row>
    <row r="64" spans="1:44" ht="12.75" customHeight="1">
      <c r="A64" s="2"/>
      <c r="B64" s="2"/>
      <c r="C64" s="2"/>
      <c r="D64" s="1062"/>
      <c r="E64" s="2"/>
      <c r="F64" s="2"/>
      <c r="G64" s="2"/>
      <c r="H64" s="2"/>
      <c r="I64" s="2"/>
      <c r="J64" s="2"/>
      <c r="K64" s="2"/>
      <c r="L64" s="2"/>
      <c r="N64" s="2"/>
      <c r="O64" s="2"/>
      <c r="P64" s="2"/>
      <c r="Q64" s="2"/>
      <c r="AQ64" s="1403"/>
    </row>
    <row r="65" spans="1:44" ht="12.75" customHeight="1">
      <c r="A65" s="2"/>
      <c r="B65" s="2"/>
      <c r="C65" s="2"/>
      <c r="D65" s="1062"/>
      <c r="E65" s="2"/>
      <c r="F65" s="2"/>
      <c r="G65" s="2"/>
      <c r="H65" s="2"/>
      <c r="I65" s="2"/>
      <c r="J65" s="2"/>
      <c r="K65" s="2"/>
      <c r="L65" s="2"/>
      <c r="N65" s="2"/>
      <c r="O65" s="2"/>
      <c r="P65" s="2"/>
      <c r="Q65" s="2"/>
      <c r="AQ65" s="1403"/>
    </row>
    <row r="66" spans="1:44" ht="12.75" customHeight="1">
      <c r="A66" s="2"/>
      <c r="B66" s="2"/>
      <c r="C66" s="2"/>
      <c r="D66" s="1062"/>
      <c r="E66" s="2"/>
      <c r="F66" s="2"/>
      <c r="G66" s="2"/>
      <c r="H66" s="2"/>
      <c r="I66" s="2"/>
      <c r="J66" s="2"/>
      <c r="K66" s="2"/>
      <c r="L66" s="2"/>
      <c r="M66" s="69" t="s">
        <v>318</v>
      </c>
      <c r="R66" s="2"/>
      <c r="S66" s="2"/>
      <c r="T66" s="2"/>
      <c r="AQ66" s="1403"/>
    </row>
    <row r="67" spans="1:44" ht="12.75" customHeight="1">
      <c r="A67" s="2"/>
      <c r="B67" s="2"/>
      <c r="C67" s="2"/>
      <c r="D67" s="1062"/>
      <c r="E67" s="2"/>
      <c r="F67" s="2"/>
      <c r="G67" s="2"/>
      <c r="H67" s="2"/>
      <c r="I67" s="2"/>
      <c r="J67" s="2"/>
      <c r="K67" s="2"/>
      <c r="L67" s="2"/>
      <c r="M67" s="2" t="s">
        <v>319</v>
      </c>
      <c r="N67" s="2" t="s">
        <v>320</v>
      </c>
      <c r="O67" s="2"/>
      <c r="P67" s="2"/>
      <c r="Q67" s="2"/>
      <c r="R67" s="2" t="s">
        <v>321</v>
      </c>
      <c r="S67" s="98">
        <v>62.5</v>
      </c>
      <c r="T67" s="98"/>
      <c r="AQ67" s="1403"/>
    </row>
    <row r="68" spans="1:44" ht="12.75" customHeight="1">
      <c r="A68" s="2"/>
      <c r="B68" s="2"/>
      <c r="C68" s="2"/>
      <c r="D68" s="1062"/>
      <c r="E68" s="2"/>
      <c r="F68" s="2"/>
      <c r="G68" s="2"/>
      <c r="H68" s="2"/>
      <c r="I68" s="2"/>
      <c r="J68" s="2"/>
      <c r="K68" s="2"/>
      <c r="L68" s="2"/>
      <c r="M68" s="2"/>
      <c r="N68" s="2" t="s">
        <v>322</v>
      </c>
      <c r="O68" s="2"/>
      <c r="P68" s="2"/>
      <c r="Q68" s="2"/>
      <c r="R68" s="2" t="s">
        <v>321</v>
      </c>
      <c r="S68" s="98">
        <v>87.5</v>
      </c>
      <c r="T68" s="98"/>
      <c r="AQ68" s="1403"/>
    </row>
    <row r="69" spans="1:44" ht="12.75" customHeight="1">
      <c r="A69" s="2"/>
      <c r="B69" s="2"/>
      <c r="C69" s="2"/>
      <c r="D69" s="1062"/>
      <c r="E69" s="2"/>
      <c r="F69" s="2"/>
      <c r="G69" s="2"/>
      <c r="H69" s="2"/>
      <c r="I69" s="2"/>
      <c r="J69" s="2"/>
      <c r="K69" s="2"/>
      <c r="L69" s="2"/>
      <c r="M69" s="2"/>
      <c r="N69" s="2" t="s">
        <v>323</v>
      </c>
      <c r="O69" s="2"/>
      <c r="P69" s="2"/>
      <c r="Q69" s="2"/>
      <c r="R69" s="2" t="s">
        <v>321</v>
      </c>
      <c r="S69" s="98">
        <v>100</v>
      </c>
      <c r="T69" s="98"/>
      <c r="AQ69" s="1403"/>
    </row>
    <row r="70" spans="1:44" ht="12.75" customHeight="1">
      <c r="A70" s="2"/>
      <c r="B70" s="2"/>
      <c r="C70" s="2"/>
      <c r="D70" s="1062"/>
      <c r="E70" s="2"/>
      <c r="F70" s="2"/>
      <c r="G70" s="2"/>
      <c r="H70" s="2"/>
      <c r="I70" s="2"/>
      <c r="J70" s="2"/>
      <c r="K70" s="2"/>
      <c r="L70" s="2"/>
      <c r="M70" s="2"/>
      <c r="N70" s="2" t="s">
        <v>324</v>
      </c>
      <c r="O70" s="2"/>
      <c r="P70" s="2"/>
      <c r="Q70" s="2"/>
      <c r="R70" s="2" t="s">
        <v>321</v>
      </c>
      <c r="S70" s="98">
        <v>112.5</v>
      </c>
      <c r="T70" s="98"/>
      <c r="AQ70" s="1403"/>
    </row>
    <row r="71" spans="1:44" ht="12.75" customHeight="1">
      <c r="A71" s="2"/>
      <c r="B71" s="2"/>
      <c r="C71" s="2"/>
      <c r="D71" s="1062"/>
      <c r="E71" s="2"/>
      <c r="F71" s="2"/>
      <c r="G71" s="2"/>
      <c r="H71" s="2"/>
      <c r="I71" s="2"/>
      <c r="J71" s="2"/>
      <c r="K71" s="2"/>
      <c r="L71" s="2"/>
      <c r="M71" s="2"/>
      <c r="N71" s="2" t="s">
        <v>325</v>
      </c>
      <c r="O71" s="2"/>
      <c r="P71" s="2"/>
      <c r="Q71" s="2"/>
      <c r="R71" s="2" t="s">
        <v>321</v>
      </c>
      <c r="S71" s="98">
        <v>137.5</v>
      </c>
      <c r="T71" s="98"/>
      <c r="AQ71" s="1403"/>
    </row>
    <row r="72" spans="1:44" ht="12.75" customHeight="1">
      <c r="A72" s="2"/>
      <c r="B72" s="2"/>
      <c r="C72" s="2"/>
      <c r="D72" s="1062"/>
      <c r="E72" s="2"/>
      <c r="F72" s="2"/>
      <c r="G72" s="2"/>
      <c r="H72" s="2"/>
      <c r="I72" s="2"/>
      <c r="J72" s="2"/>
      <c r="K72" s="2"/>
      <c r="L72" s="2"/>
      <c r="M72" s="2"/>
      <c r="N72" s="2" t="s">
        <v>326</v>
      </c>
      <c r="O72" s="2"/>
      <c r="P72" s="2"/>
      <c r="Q72" s="2"/>
      <c r="R72" s="2" t="s">
        <v>321</v>
      </c>
      <c r="S72" s="98">
        <v>162.5</v>
      </c>
      <c r="T72" s="98"/>
      <c r="AQ72" s="1403"/>
    </row>
    <row r="73" spans="1:44" ht="12.75" customHeight="1">
      <c r="A73" s="2"/>
      <c r="B73" s="2"/>
      <c r="C73" s="2"/>
      <c r="D73" s="1062"/>
      <c r="E73" s="2"/>
      <c r="F73" s="2"/>
      <c r="G73" s="2"/>
      <c r="H73" s="2"/>
      <c r="I73" s="2"/>
      <c r="J73" s="2"/>
      <c r="K73" s="2"/>
      <c r="L73" s="2"/>
      <c r="N73" s="2"/>
      <c r="O73" s="2"/>
      <c r="P73" s="2"/>
      <c r="Q73" s="2"/>
      <c r="U73" s="2"/>
      <c r="V73" s="2"/>
      <c r="W73" s="2"/>
      <c r="X73" s="2"/>
      <c r="Y73" s="2"/>
      <c r="Z73" s="2"/>
      <c r="AA73" s="2"/>
      <c r="AB73" s="2"/>
      <c r="AC73" s="2"/>
      <c r="AD73" s="2"/>
      <c r="AE73" s="2"/>
      <c r="AF73" s="2"/>
      <c r="AG73" s="2"/>
      <c r="AH73" s="2"/>
      <c r="AI73" s="2"/>
      <c r="AJ73" s="2"/>
      <c r="AK73" s="2"/>
      <c r="AL73" s="2"/>
      <c r="AM73" s="2"/>
      <c r="AN73" s="2"/>
      <c r="AO73" s="2"/>
      <c r="AP73" s="2"/>
      <c r="AQ73" s="98"/>
      <c r="AR73" s="2"/>
    </row>
    <row r="74" spans="1:44" ht="12.75" customHeight="1">
      <c r="A74" s="2"/>
      <c r="B74" s="2"/>
      <c r="C74" s="2"/>
      <c r="D74" s="1062"/>
      <c r="E74" s="2"/>
      <c r="F74" s="2"/>
      <c r="G74" s="2"/>
      <c r="H74" s="2"/>
      <c r="I74" s="2"/>
      <c r="J74" s="2"/>
      <c r="K74" s="2"/>
      <c r="L74" s="2"/>
      <c r="N74" s="2"/>
      <c r="O74" s="2"/>
      <c r="P74" s="2"/>
      <c r="Q74" s="2"/>
      <c r="U74" s="2"/>
      <c r="V74" s="2"/>
      <c r="W74" s="2"/>
      <c r="X74" s="2"/>
      <c r="Y74" s="2"/>
      <c r="Z74" s="2"/>
      <c r="AA74" s="2"/>
      <c r="AB74" s="2"/>
      <c r="AC74" s="2"/>
      <c r="AD74" s="2"/>
      <c r="AE74" s="2"/>
      <c r="AF74" s="2"/>
      <c r="AG74" s="2"/>
      <c r="AH74" s="2"/>
      <c r="AI74" s="2"/>
      <c r="AJ74" s="2"/>
      <c r="AK74" s="2"/>
      <c r="AL74" s="2"/>
      <c r="AM74" s="2"/>
      <c r="AN74" s="2"/>
      <c r="AO74" s="2"/>
      <c r="AP74" s="2"/>
      <c r="AQ74" s="98"/>
      <c r="AR74" s="2"/>
    </row>
    <row r="75" spans="1:44" ht="12.75" customHeight="1">
      <c r="A75" s="2"/>
      <c r="B75" s="2"/>
      <c r="C75" s="2"/>
      <c r="D75" s="1062"/>
      <c r="E75" s="2"/>
      <c r="F75" s="2"/>
      <c r="G75" s="2"/>
      <c r="H75" s="2"/>
      <c r="I75" s="2"/>
      <c r="J75" s="2"/>
      <c r="K75" s="2"/>
      <c r="L75" s="2"/>
      <c r="N75" s="2"/>
      <c r="O75" s="2"/>
      <c r="P75" s="2"/>
      <c r="Q75" s="2"/>
      <c r="U75" s="1" t="s">
        <v>1140</v>
      </c>
      <c r="V75" s="1"/>
      <c r="W75" s="2"/>
      <c r="X75" s="2"/>
      <c r="Y75" s="2"/>
      <c r="Z75" s="2"/>
      <c r="AA75" s="2"/>
      <c r="AB75" s="2"/>
      <c r="AC75" s="2"/>
      <c r="AD75" s="2"/>
      <c r="AE75" s="2"/>
      <c r="AF75" s="2"/>
      <c r="AG75" s="2"/>
      <c r="AH75" s="2"/>
      <c r="AI75" s="2"/>
      <c r="AJ75" s="2"/>
      <c r="AK75" s="2"/>
      <c r="AL75" s="2"/>
      <c r="AM75" s="2"/>
      <c r="AN75" s="2"/>
      <c r="AO75" s="2"/>
      <c r="AP75" s="2"/>
      <c r="AQ75" s="98"/>
      <c r="AR75" s="2"/>
    </row>
    <row r="76" spans="1:44" ht="12.75" customHeight="1">
      <c r="A76" s="2"/>
      <c r="B76" s="2"/>
      <c r="C76" s="2"/>
      <c r="D76" s="1062"/>
      <c r="E76" s="2"/>
      <c r="F76" s="2"/>
      <c r="G76" s="2"/>
      <c r="H76" s="2"/>
      <c r="I76" s="2"/>
      <c r="J76" s="2"/>
      <c r="K76" s="2"/>
      <c r="L76" s="2"/>
      <c r="N76" s="2"/>
      <c r="O76" s="2"/>
      <c r="P76" s="2"/>
      <c r="Q76" s="2"/>
      <c r="U76" s="1"/>
      <c r="V76" s="1"/>
      <c r="W76" s="2"/>
      <c r="X76" s="2"/>
      <c r="Y76" s="2"/>
      <c r="Z76" s="2"/>
      <c r="AA76" s="2"/>
      <c r="AB76" s="2"/>
      <c r="AC76" s="2"/>
      <c r="AD76" s="2"/>
      <c r="AE76" s="2"/>
      <c r="AF76" s="2"/>
      <c r="AG76" s="2"/>
      <c r="AH76" s="2"/>
      <c r="AI76" s="2"/>
      <c r="AJ76" s="2"/>
      <c r="AK76" s="2"/>
      <c r="AL76" s="2"/>
      <c r="AM76" s="2"/>
      <c r="AN76" s="2"/>
      <c r="AO76" s="2"/>
      <c r="AP76" s="2"/>
      <c r="AQ76" s="98"/>
      <c r="AR76" s="2"/>
    </row>
    <row r="77" spans="1:44" ht="12.75" customHeight="1">
      <c r="A77" s="2"/>
      <c r="B77" s="2"/>
      <c r="C77" s="2"/>
      <c r="D77" s="1062"/>
      <c r="E77" s="2"/>
      <c r="F77" s="2"/>
      <c r="G77" s="2"/>
      <c r="H77" s="2"/>
      <c r="I77" s="2"/>
      <c r="J77" s="2"/>
      <c r="K77" s="2"/>
      <c r="L77" s="2"/>
      <c r="N77" s="2"/>
      <c r="O77" s="2"/>
      <c r="P77" s="2"/>
      <c r="Q77" s="2"/>
      <c r="U77" s="2" t="s">
        <v>1144</v>
      </c>
      <c r="V77" s="2"/>
      <c r="W77" s="2"/>
      <c r="X77" s="2"/>
      <c r="Y77" s="2"/>
      <c r="Z77" s="2"/>
      <c r="AA77" s="2"/>
      <c r="AB77" s="2"/>
      <c r="AC77" s="2"/>
      <c r="AD77" s="2"/>
      <c r="AE77" s="2"/>
      <c r="AF77" s="2"/>
      <c r="AG77" s="2"/>
      <c r="AH77" s="2"/>
      <c r="AI77" s="2"/>
      <c r="AJ77" s="2"/>
      <c r="AK77" s="2"/>
      <c r="AL77" s="2"/>
      <c r="AM77" s="2"/>
      <c r="AN77" s="2"/>
      <c r="AO77" s="2"/>
      <c r="AP77" s="2"/>
      <c r="AQ77" s="98"/>
      <c r="AR77" s="2"/>
    </row>
    <row r="78" spans="1:44" ht="12.75" customHeight="1">
      <c r="A78" s="2"/>
      <c r="B78" s="2"/>
      <c r="C78" s="2"/>
      <c r="D78" s="1062"/>
      <c r="E78" s="2"/>
      <c r="F78" s="2"/>
      <c r="G78" s="2"/>
      <c r="H78" s="2"/>
      <c r="I78" s="2"/>
      <c r="J78" s="2"/>
      <c r="K78" s="2"/>
      <c r="L78" s="2"/>
      <c r="N78" s="2"/>
      <c r="O78" s="2"/>
      <c r="P78" s="2"/>
      <c r="Q78" s="2"/>
      <c r="U78" s="2"/>
      <c r="V78" s="2"/>
      <c r="W78" s="2"/>
      <c r="X78" s="2"/>
      <c r="Y78" s="2"/>
      <c r="Z78" s="2"/>
      <c r="AA78" s="2"/>
      <c r="AB78" s="2"/>
      <c r="AC78" s="2"/>
      <c r="AD78" s="2"/>
      <c r="AE78" s="2"/>
      <c r="AF78" s="2"/>
      <c r="AG78" s="2"/>
      <c r="AH78" s="2"/>
      <c r="AI78" s="2"/>
      <c r="AJ78" s="2"/>
      <c r="AK78" s="2"/>
      <c r="AL78" s="2"/>
      <c r="AM78" s="2"/>
      <c r="AN78" s="2"/>
      <c r="AO78" s="2"/>
      <c r="AP78" s="2"/>
      <c r="AQ78" s="98"/>
      <c r="AR78" s="2"/>
    </row>
    <row r="79" spans="1:44" ht="12.75" customHeight="1">
      <c r="A79" s="2"/>
      <c r="B79" s="2"/>
      <c r="C79" s="2"/>
      <c r="D79" s="1062"/>
      <c r="E79" s="2"/>
      <c r="F79" s="2"/>
      <c r="G79" s="2"/>
      <c r="H79" s="2"/>
      <c r="I79" s="2"/>
      <c r="J79" s="2"/>
      <c r="K79" s="2"/>
      <c r="L79" s="2"/>
      <c r="N79" s="2"/>
      <c r="O79" s="2"/>
      <c r="P79" s="2"/>
      <c r="Q79" s="2"/>
      <c r="U79" s="2"/>
      <c r="V79" s="2"/>
      <c r="W79" s="1197" t="s">
        <v>55</v>
      </c>
      <c r="X79" s="1197"/>
      <c r="Y79" s="1197"/>
      <c r="Z79" s="1196"/>
      <c r="AA79" s="1196"/>
      <c r="AB79" s="2"/>
      <c r="AC79" s="2"/>
      <c r="AD79" s="2"/>
      <c r="AE79" s="2"/>
      <c r="AF79" s="2"/>
      <c r="AG79" s="2"/>
      <c r="AH79" s="2"/>
      <c r="AI79" s="2"/>
      <c r="AJ79" s="2"/>
      <c r="AK79" s="2"/>
      <c r="AL79" s="2"/>
      <c r="AM79" s="2"/>
      <c r="AN79" s="2"/>
      <c r="AO79" s="2"/>
      <c r="AP79" s="2"/>
      <c r="AQ79" s="98"/>
      <c r="AR79" s="2"/>
    </row>
    <row r="80" spans="1:44" ht="12.75" customHeight="1">
      <c r="A80" s="2"/>
      <c r="B80" s="2"/>
      <c r="C80" s="2"/>
      <c r="D80" s="1062"/>
      <c r="E80" s="2"/>
      <c r="F80" s="2"/>
      <c r="G80" s="2"/>
      <c r="H80" s="2"/>
      <c r="I80" s="2"/>
      <c r="J80" s="2"/>
      <c r="K80" s="2"/>
      <c r="L80" s="2"/>
      <c r="N80" s="2"/>
      <c r="O80" s="2"/>
      <c r="P80" s="2"/>
      <c r="Q80" s="2"/>
      <c r="U80" s="69"/>
      <c r="V80" s="69"/>
      <c r="W80" s="1289" t="s">
        <v>1142</v>
      </c>
      <c r="X80" s="1289"/>
      <c r="Y80" s="1289" t="s">
        <v>1143</v>
      </c>
      <c r="Z80" s="1289"/>
      <c r="AA80" s="1289" t="s">
        <v>829</v>
      </c>
      <c r="AB80" s="2"/>
      <c r="AC80" s="2"/>
      <c r="AD80" s="2"/>
      <c r="AE80" s="2"/>
      <c r="AF80" s="2"/>
      <c r="AG80" s="2"/>
      <c r="AH80" s="2"/>
      <c r="AI80" s="2"/>
      <c r="AJ80" s="2"/>
      <c r="AK80" s="2"/>
      <c r="AL80" s="2"/>
      <c r="AM80" s="2"/>
      <c r="AN80" s="2"/>
      <c r="AO80" s="2"/>
      <c r="AP80" s="2"/>
      <c r="AQ80" s="98"/>
      <c r="AR80" s="2"/>
    </row>
    <row r="81" spans="1:44" ht="12.75" customHeight="1">
      <c r="A81" s="2"/>
      <c r="B81" s="2"/>
      <c r="C81" s="2"/>
      <c r="D81" s="1062"/>
      <c r="E81" s="2"/>
      <c r="F81" s="2"/>
      <c r="G81" s="2"/>
      <c r="H81" s="2"/>
      <c r="I81" s="2"/>
      <c r="J81" s="2"/>
      <c r="K81" s="2"/>
      <c r="L81" s="2"/>
      <c r="N81" s="2"/>
      <c r="O81" s="2"/>
      <c r="P81" s="2"/>
      <c r="Q81" s="2"/>
      <c r="U81" s="2" t="s">
        <v>935</v>
      </c>
      <c r="V81" s="2"/>
      <c r="W81" s="1102"/>
      <c r="X81" s="98"/>
      <c r="Y81" s="1102"/>
      <c r="Z81" s="98"/>
      <c r="AA81" s="105"/>
      <c r="AB81" s="2"/>
      <c r="AC81" s="2"/>
      <c r="AD81" s="2"/>
      <c r="AE81" s="2"/>
      <c r="AF81" s="2"/>
      <c r="AG81" s="2"/>
      <c r="AH81" s="2"/>
      <c r="AI81" s="2"/>
      <c r="AJ81" s="2"/>
      <c r="AK81" s="2"/>
      <c r="AL81" s="2"/>
      <c r="AM81" s="2"/>
      <c r="AN81" s="2"/>
      <c r="AO81" s="2"/>
      <c r="AP81" s="2"/>
      <c r="AQ81" s="98"/>
      <c r="AR81" s="2"/>
    </row>
    <row r="82" spans="1:44" ht="12.75" customHeight="1">
      <c r="A82" s="2"/>
      <c r="B82" s="2"/>
      <c r="C82" s="2"/>
      <c r="D82" s="1062"/>
      <c r="E82" s="2"/>
      <c r="F82" s="2"/>
      <c r="G82" s="2"/>
      <c r="H82" s="2"/>
      <c r="I82" s="2"/>
      <c r="J82" s="2"/>
      <c r="K82" s="2"/>
      <c r="L82" s="2"/>
      <c r="N82" s="2"/>
      <c r="O82" s="2"/>
      <c r="P82" s="2"/>
      <c r="Q82" s="2"/>
      <c r="U82" s="2" t="s">
        <v>1141</v>
      </c>
      <c r="V82" s="2"/>
      <c r="W82" s="1102"/>
      <c r="X82" s="98"/>
      <c r="Y82" s="1102"/>
      <c r="Z82" s="98"/>
      <c r="AA82" s="105"/>
      <c r="AB82" s="2"/>
      <c r="AC82" s="2"/>
      <c r="AD82" s="2"/>
      <c r="AE82" s="2"/>
      <c r="AF82" s="2"/>
      <c r="AG82" s="2"/>
      <c r="AH82" s="2"/>
      <c r="AI82" s="2"/>
      <c r="AJ82" s="2"/>
      <c r="AK82" s="2"/>
      <c r="AL82" s="2"/>
      <c r="AM82" s="2"/>
      <c r="AN82" s="2"/>
      <c r="AO82" s="2"/>
      <c r="AP82" s="2"/>
      <c r="AQ82" s="98"/>
      <c r="AR82" s="2"/>
    </row>
    <row r="83" spans="1:44" ht="12.75" customHeight="1">
      <c r="A83" s="2"/>
      <c r="B83" s="2"/>
      <c r="C83" s="2"/>
      <c r="D83" s="1062"/>
      <c r="E83" s="2"/>
      <c r="F83" s="2"/>
      <c r="G83" s="2"/>
      <c r="H83" s="2"/>
      <c r="I83" s="2"/>
      <c r="J83" s="2"/>
      <c r="K83" s="2"/>
      <c r="L83" s="2"/>
      <c r="N83" s="2"/>
      <c r="O83" s="2"/>
      <c r="P83" s="2"/>
      <c r="Q83" s="2"/>
      <c r="U83" s="2" t="s">
        <v>200</v>
      </c>
      <c r="V83" s="2"/>
      <c r="W83" s="1401"/>
      <c r="X83" s="1336"/>
      <c r="Y83" s="1401"/>
      <c r="Z83" s="1336"/>
      <c r="AA83" s="105"/>
      <c r="AB83" s="2"/>
      <c r="AC83" s="2"/>
      <c r="AD83" s="2"/>
      <c r="AE83" s="2"/>
      <c r="AF83" s="2"/>
      <c r="AG83" s="2"/>
      <c r="AH83" s="2"/>
      <c r="AI83" s="2"/>
      <c r="AJ83" s="2"/>
      <c r="AK83" s="2"/>
      <c r="AL83" s="2"/>
      <c r="AM83" s="2"/>
      <c r="AN83" s="2"/>
      <c r="AO83" s="2"/>
      <c r="AP83" s="2"/>
      <c r="AQ83" s="98"/>
      <c r="AR83" s="2"/>
    </row>
    <row r="84" spans="1:44" ht="12.75" customHeight="1">
      <c r="A84" s="2"/>
      <c r="B84" s="2"/>
      <c r="C84" s="2"/>
      <c r="D84" s="1062"/>
      <c r="E84" s="2"/>
      <c r="F84" s="2"/>
      <c r="G84" s="2"/>
      <c r="H84" s="2"/>
      <c r="I84" s="2"/>
      <c r="J84" s="2"/>
      <c r="K84" s="2"/>
      <c r="L84" s="2"/>
      <c r="N84" s="2"/>
      <c r="O84" s="2"/>
      <c r="P84" s="2"/>
      <c r="Q84" s="2"/>
      <c r="U84" s="2"/>
      <c r="V84" s="2"/>
      <c r="W84" s="2"/>
      <c r="X84" s="2"/>
      <c r="Y84" s="2"/>
      <c r="Z84" s="2"/>
      <c r="AA84" s="2"/>
      <c r="AB84" s="2"/>
      <c r="AC84" s="2"/>
      <c r="AD84" s="2"/>
      <c r="AE84" s="2"/>
      <c r="AF84" s="2"/>
      <c r="AG84" s="2"/>
      <c r="AH84" s="2"/>
      <c r="AI84" s="2"/>
      <c r="AJ84" s="2"/>
      <c r="AK84" s="2"/>
      <c r="AL84" s="2"/>
      <c r="AM84" s="2"/>
      <c r="AN84" s="2"/>
      <c r="AO84" s="2"/>
      <c r="AP84" s="2"/>
      <c r="AQ84" s="98"/>
      <c r="AR84" s="2"/>
    </row>
    <row r="85" spans="1:44" ht="12.75" customHeight="1">
      <c r="A85" s="2"/>
      <c r="B85" s="2"/>
      <c r="C85" s="2"/>
      <c r="D85" s="1062"/>
      <c r="E85" s="2"/>
      <c r="F85" s="2"/>
      <c r="G85" s="2"/>
      <c r="H85" s="2"/>
      <c r="I85" s="2"/>
      <c r="J85" s="2"/>
      <c r="K85" s="2"/>
      <c r="L85" s="2"/>
      <c r="N85" s="2"/>
      <c r="O85" s="2"/>
      <c r="P85" s="2"/>
      <c r="Q85" s="2"/>
      <c r="U85" s="2"/>
      <c r="V85" s="2"/>
      <c r="W85" s="2"/>
      <c r="X85" s="2"/>
      <c r="Y85" s="2"/>
      <c r="Z85" s="2"/>
      <c r="AA85" s="2"/>
      <c r="AB85" s="2"/>
      <c r="AC85" s="1" t="s">
        <v>1650</v>
      </c>
      <c r="AD85" s="2"/>
      <c r="AE85" s="2"/>
      <c r="AF85" s="2"/>
      <c r="AG85" s="2"/>
      <c r="AH85" s="105"/>
      <c r="AI85" s="2"/>
      <c r="AJ85" s="2"/>
      <c r="AK85" s="2"/>
      <c r="AL85" s="2"/>
      <c r="AM85" s="2"/>
      <c r="AN85" s="2"/>
      <c r="AO85" s="2"/>
      <c r="AP85" s="2"/>
      <c r="AQ85" s="98"/>
      <c r="AR85" s="2"/>
    </row>
    <row r="86" spans="1:44" ht="12.75" customHeight="1">
      <c r="A86" s="2"/>
      <c r="B86" s="2"/>
      <c r="C86" s="2"/>
      <c r="D86" s="1062"/>
      <c r="E86" s="2"/>
      <c r="F86" s="2"/>
      <c r="G86" s="2"/>
      <c r="H86" s="2"/>
      <c r="I86" s="2"/>
      <c r="J86" s="2"/>
      <c r="K86" s="2"/>
      <c r="L86" s="2"/>
      <c r="N86" s="2"/>
      <c r="O86" s="2"/>
      <c r="P86" s="2"/>
      <c r="Q86" s="2"/>
      <c r="U86" s="2"/>
      <c r="V86" s="2"/>
      <c r="W86" s="2"/>
      <c r="X86" s="2"/>
      <c r="Y86" s="2"/>
      <c r="Z86" s="2"/>
      <c r="AA86" s="2"/>
      <c r="AB86" s="2"/>
      <c r="AC86" s="2"/>
      <c r="AD86" s="2"/>
      <c r="AE86" s="2"/>
      <c r="AF86" s="2"/>
      <c r="AG86" s="2"/>
      <c r="AH86" s="105"/>
      <c r="AI86" s="2"/>
      <c r="AJ86" s="2"/>
      <c r="AK86" s="2"/>
      <c r="AL86" s="2"/>
      <c r="AM86" s="2"/>
      <c r="AN86" s="2"/>
      <c r="AO86" s="2"/>
      <c r="AP86" s="2"/>
      <c r="AQ86" s="98"/>
      <c r="AR86" s="2"/>
    </row>
    <row r="87" spans="1:44" ht="12.75" customHeight="1">
      <c r="A87" s="2"/>
      <c r="B87" s="2"/>
      <c r="C87" s="2"/>
      <c r="D87" s="1062"/>
      <c r="E87" s="2"/>
      <c r="F87" s="2"/>
      <c r="G87" s="2"/>
      <c r="H87" s="2"/>
      <c r="I87" s="2"/>
      <c r="J87" s="2"/>
      <c r="K87" s="2"/>
      <c r="L87" s="2"/>
      <c r="N87" s="2"/>
      <c r="O87" s="2"/>
      <c r="P87" s="2"/>
      <c r="Q87" s="2"/>
      <c r="U87" s="2"/>
      <c r="V87" s="2"/>
      <c r="W87" s="2"/>
      <c r="X87" s="2"/>
      <c r="Y87" s="2"/>
      <c r="Z87" s="2"/>
      <c r="AA87" s="2"/>
      <c r="AB87" s="2"/>
      <c r="AC87" s="2"/>
      <c r="AD87" s="1432" t="s">
        <v>406</v>
      </c>
      <c r="AE87" s="1432"/>
      <c r="AF87" s="1432" t="s">
        <v>1649</v>
      </c>
      <c r="AG87" s="1432"/>
      <c r="AH87" s="1432">
        <v>2013</v>
      </c>
      <c r="AI87" s="2"/>
      <c r="AJ87" s="2"/>
      <c r="AK87" s="2"/>
      <c r="AL87" s="2"/>
      <c r="AM87" s="2"/>
      <c r="AN87" s="2"/>
      <c r="AO87" s="2"/>
      <c r="AP87" s="2"/>
      <c r="AQ87" s="98"/>
      <c r="AR87" s="2"/>
    </row>
    <row r="88" spans="1:44" ht="12.75" customHeight="1">
      <c r="A88" s="98"/>
      <c r="B88" s="98"/>
      <c r="C88" s="98"/>
      <c r="D88" s="1092"/>
      <c r="E88" s="98"/>
      <c r="F88" s="98"/>
      <c r="G88" s="98"/>
      <c r="H88" s="98"/>
      <c r="I88" s="98"/>
      <c r="J88" s="98"/>
      <c r="K88" s="98"/>
      <c r="L88" s="98"/>
      <c r="M88" s="1403"/>
      <c r="N88" s="98"/>
      <c r="O88" s="98"/>
      <c r="P88" s="98"/>
      <c r="Q88" s="98"/>
      <c r="R88" s="1403"/>
      <c r="S88" s="1403"/>
      <c r="T88" s="1403"/>
      <c r="U88" s="98"/>
      <c r="V88" s="98"/>
      <c r="W88" s="98"/>
      <c r="X88" s="98"/>
      <c r="Y88" s="98"/>
      <c r="Z88" s="98"/>
      <c r="AA88" s="98"/>
      <c r="AB88" s="98"/>
      <c r="AC88" s="98" t="s">
        <v>1719</v>
      </c>
      <c r="AD88" s="1423">
        <v>744.21</v>
      </c>
      <c r="AE88" s="1082"/>
      <c r="AF88" s="1423">
        <v>752.81</v>
      </c>
      <c r="AG88" s="1423"/>
      <c r="AH88" s="1423">
        <v>2957.77</v>
      </c>
      <c r="AI88" s="98"/>
      <c r="AJ88" s="98"/>
      <c r="AK88" s="98"/>
      <c r="AL88" s="98"/>
      <c r="AM88" s="98"/>
      <c r="AN88" s="98"/>
      <c r="AO88" s="98"/>
      <c r="AP88" s="98"/>
      <c r="AQ88" s="98"/>
      <c r="AR88" s="98"/>
    </row>
    <row r="89" spans="1:44" ht="12.75" customHeight="1">
      <c r="A89" s="98"/>
      <c r="B89" s="98"/>
      <c r="C89" s="98"/>
      <c r="D89" s="1092"/>
      <c r="E89" s="98"/>
      <c r="F89" s="98"/>
      <c r="G89" s="98"/>
      <c r="H89" s="98"/>
      <c r="I89" s="98"/>
      <c r="J89" s="98"/>
      <c r="K89" s="98"/>
      <c r="L89" s="98"/>
      <c r="M89" s="1403"/>
      <c r="N89" s="98"/>
      <c r="O89" s="98"/>
      <c r="P89" s="98"/>
      <c r="Q89" s="98"/>
      <c r="R89" s="1403"/>
      <c r="S89" s="1403"/>
      <c r="T89" s="1403"/>
      <c r="U89" s="98"/>
      <c r="V89" s="98"/>
      <c r="W89" s="98"/>
      <c r="X89" s="98"/>
      <c r="Y89" s="98"/>
      <c r="Z89" s="98"/>
      <c r="AA89" s="98"/>
      <c r="AB89" s="98"/>
      <c r="AC89" s="98" t="s">
        <v>401</v>
      </c>
      <c r="AD89" s="1423">
        <v>163.59</v>
      </c>
      <c r="AE89" s="1082"/>
      <c r="AF89" s="1423">
        <v>158.35</v>
      </c>
      <c r="AG89" s="1423"/>
      <c r="AH89" s="1423">
        <v>634.79</v>
      </c>
      <c r="AI89" s="98"/>
      <c r="AJ89" s="98"/>
      <c r="AK89" s="98"/>
      <c r="AL89" s="98"/>
      <c r="AM89" s="98"/>
      <c r="AN89" s="98"/>
      <c r="AO89" s="98"/>
      <c r="AP89" s="98"/>
      <c r="AQ89" s="98"/>
      <c r="AR89" s="98"/>
    </row>
    <row r="90" spans="1:44" ht="12.75" customHeight="1">
      <c r="A90" s="2"/>
      <c r="B90" s="2"/>
      <c r="C90" s="2"/>
      <c r="D90" s="1062"/>
      <c r="E90" s="2"/>
      <c r="F90" s="2"/>
      <c r="G90" s="2"/>
      <c r="H90" s="2"/>
      <c r="I90" s="2"/>
      <c r="J90" s="2"/>
      <c r="K90" s="2"/>
      <c r="L90" s="2"/>
      <c r="N90" s="2"/>
      <c r="O90" s="2"/>
      <c r="P90" s="2"/>
      <c r="Q90" s="2"/>
      <c r="U90" s="2"/>
      <c r="V90" s="2"/>
      <c r="W90" s="2"/>
      <c r="X90" s="2"/>
      <c r="Y90" s="2"/>
      <c r="Z90" s="2"/>
      <c r="AA90" s="2"/>
      <c r="AB90" s="2"/>
      <c r="AC90" s="2" t="s">
        <v>200</v>
      </c>
      <c r="AD90" s="1068">
        <v>0.01</v>
      </c>
      <c r="AE90" s="1118"/>
      <c r="AF90" s="1068">
        <v>-0.05</v>
      </c>
      <c r="AG90" s="1068"/>
      <c r="AH90" s="1068">
        <v>-0.13</v>
      </c>
      <c r="AI90" s="2"/>
      <c r="AJ90" s="2"/>
      <c r="AK90" s="2"/>
      <c r="AL90" s="2"/>
      <c r="AM90" s="2"/>
      <c r="AN90" s="2"/>
      <c r="AO90" s="2"/>
      <c r="AP90" s="2"/>
      <c r="AQ90" s="98"/>
      <c r="AR90" s="2"/>
    </row>
    <row r="91" spans="1:44" ht="12.75" customHeight="1">
      <c r="A91" s="2"/>
      <c r="B91" s="2"/>
      <c r="C91" s="2"/>
      <c r="D91" s="1062"/>
      <c r="E91" s="2"/>
      <c r="F91" s="2"/>
      <c r="G91" s="2"/>
      <c r="H91" s="2"/>
      <c r="I91" s="2"/>
      <c r="J91" s="2"/>
      <c r="K91" s="2"/>
      <c r="L91" s="2"/>
      <c r="N91" s="2"/>
      <c r="O91" s="2"/>
      <c r="P91" s="2"/>
      <c r="Q91" s="2"/>
      <c r="U91" s="2"/>
      <c r="V91" s="2"/>
      <c r="W91" s="2"/>
      <c r="X91" s="2"/>
      <c r="Y91" s="2"/>
      <c r="Z91" s="2"/>
      <c r="AA91" s="2"/>
      <c r="AB91" s="2"/>
      <c r="AC91" s="2"/>
      <c r="AD91" s="2"/>
      <c r="AE91" s="2"/>
      <c r="AF91" s="2"/>
      <c r="AG91" s="2"/>
      <c r="AH91" s="2"/>
      <c r="AI91" s="2"/>
      <c r="AJ91" s="2"/>
      <c r="AK91" s="2"/>
      <c r="AL91" s="2"/>
      <c r="AM91" s="2"/>
      <c r="AN91" s="2"/>
      <c r="AO91" s="2"/>
      <c r="AP91" s="2"/>
      <c r="AQ91" s="98"/>
      <c r="AR91" s="2"/>
    </row>
    <row r="92" spans="1:44" ht="12.75" customHeight="1">
      <c r="A92" s="2"/>
      <c r="B92" s="2"/>
      <c r="C92" s="2"/>
      <c r="D92" s="1062"/>
      <c r="E92" s="2"/>
      <c r="F92" s="2"/>
      <c r="G92" s="2"/>
      <c r="H92" s="2"/>
      <c r="I92" s="2"/>
      <c r="J92" s="2"/>
      <c r="K92" s="2"/>
      <c r="L92" s="2"/>
      <c r="N92" s="2"/>
      <c r="O92" s="2"/>
      <c r="P92" s="2"/>
      <c r="Q92" s="2"/>
      <c r="U92" s="2"/>
      <c r="V92" s="2"/>
      <c r="W92" s="2"/>
      <c r="X92" s="2"/>
      <c r="Y92" s="2"/>
      <c r="Z92" s="2"/>
      <c r="AA92" s="2"/>
      <c r="AB92" s="2"/>
      <c r="AC92" s="2"/>
      <c r="AD92" s="2"/>
      <c r="AE92" s="2"/>
      <c r="AF92" s="2"/>
      <c r="AG92" s="2"/>
      <c r="AH92" s="2"/>
      <c r="AI92" s="2"/>
      <c r="AJ92" s="69" t="s">
        <v>1651</v>
      </c>
      <c r="AQ92" s="98"/>
      <c r="AR92" s="2"/>
    </row>
    <row r="93" spans="1:44" ht="12.75" customHeight="1">
      <c r="A93" s="2"/>
      <c r="B93" s="2"/>
      <c r="C93" s="2"/>
      <c r="D93" s="1062"/>
      <c r="E93" s="2"/>
      <c r="F93" s="2"/>
      <c r="G93" s="2"/>
      <c r="H93" s="2"/>
      <c r="I93" s="2"/>
      <c r="J93" s="2"/>
      <c r="K93" s="2"/>
      <c r="L93" s="2"/>
      <c r="N93" s="2"/>
      <c r="O93" s="2"/>
      <c r="P93" s="2"/>
      <c r="Q93" s="2"/>
      <c r="U93" s="2"/>
      <c r="V93" s="2"/>
      <c r="W93" s="2"/>
      <c r="X93" s="2"/>
      <c r="Y93" s="2"/>
      <c r="Z93" s="2"/>
      <c r="AA93" s="2"/>
      <c r="AB93" s="2"/>
      <c r="AC93" s="2"/>
      <c r="AD93" s="2"/>
      <c r="AE93" s="2"/>
      <c r="AF93" s="2"/>
      <c r="AG93" s="2"/>
      <c r="AH93" s="2"/>
      <c r="AI93" s="2"/>
      <c r="AJ93" s="69"/>
      <c r="AQ93" s="98"/>
      <c r="AR93" s="2"/>
    </row>
    <row r="94" spans="1:44" ht="12.75" customHeight="1">
      <c r="A94" s="2"/>
      <c r="B94" s="2"/>
      <c r="C94" s="2"/>
      <c r="D94" s="1062"/>
      <c r="E94" s="2"/>
      <c r="F94" s="2"/>
      <c r="G94" s="2"/>
      <c r="H94" s="2"/>
      <c r="I94" s="2"/>
      <c r="J94" s="2"/>
      <c r="K94" s="2"/>
      <c r="L94" s="2"/>
      <c r="N94" s="2"/>
      <c r="O94" s="2"/>
      <c r="P94" s="2"/>
      <c r="Q94" s="2"/>
      <c r="U94" s="2"/>
      <c r="V94" s="2"/>
      <c r="W94" s="2"/>
      <c r="X94" s="2"/>
      <c r="Y94" s="2"/>
      <c r="Z94" s="2"/>
      <c r="AA94" s="2"/>
      <c r="AB94" s="2"/>
      <c r="AC94" s="2"/>
      <c r="AD94" s="2"/>
      <c r="AE94" s="2"/>
      <c r="AF94" s="2"/>
      <c r="AG94" s="2"/>
      <c r="AH94" s="2"/>
      <c r="AI94" s="2"/>
      <c r="AJ94" s="1447"/>
      <c r="AK94" s="1449"/>
      <c r="AL94" s="1447"/>
      <c r="AM94" s="1447"/>
      <c r="AN94" s="1447"/>
      <c r="AO94" s="1447"/>
      <c r="AP94" s="1447"/>
      <c r="AQ94" s="98"/>
      <c r="AR94" s="2"/>
    </row>
    <row r="95" spans="1:44" ht="12.75" customHeight="1">
      <c r="A95" s="2"/>
      <c r="B95" s="2"/>
      <c r="C95" s="2"/>
      <c r="D95" s="1062"/>
      <c r="E95" s="2"/>
      <c r="F95" s="2"/>
      <c r="G95" s="2"/>
      <c r="H95" s="2"/>
      <c r="I95" s="2"/>
      <c r="J95" s="2"/>
      <c r="K95" s="2"/>
      <c r="L95" s="2"/>
      <c r="N95" s="2"/>
      <c r="O95" s="2"/>
      <c r="P95" s="2"/>
      <c r="Q95" s="2"/>
      <c r="U95" s="2"/>
      <c r="V95" s="2"/>
      <c r="W95" s="2"/>
      <c r="X95" s="2"/>
      <c r="Y95" s="2"/>
      <c r="Z95" s="2"/>
      <c r="AA95" s="2"/>
      <c r="AB95" s="2"/>
      <c r="AC95" s="2"/>
      <c r="AD95" s="2"/>
      <c r="AE95" s="2"/>
      <c r="AF95" s="2"/>
      <c r="AG95" s="2"/>
      <c r="AH95" s="2"/>
      <c r="AI95" s="2"/>
      <c r="AJ95" s="111" t="s">
        <v>1610</v>
      </c>
      <c r="AK95" s="1289" t="s">
        <v>552</v>
      </c>
      <c r="AL95" s="1448"/>
      <c r="AM95" s="1289" t="s">
        <v>405</v>
      </c>
      <c r="AN95" s="1448"/>
      <c r="AO95" s="1289" t="s">
        <v>1489</v>
      </c>
      <c r="AP95" s="1629"/>
      <c r="AQ95" s="98"/>
      <c r="AR95" s="2"/>
    </row>
    <row r="96" spans="1:44" ht="3" customHeight="1">
      <c r="A96" s="2"/>
      <c r="B96" s="2"/>
      <c r="C96" s="2"/>
      <c r="D96" s="1062"/>
      <c r="E96" s="2"/>
      <c r="F96" s="2"/>
      <c r="G96" s="2"/>
      <c r="H96" s="2"/>
      <c r="I96" s="2"/>
      <c r="J96" s="2"/>
      <c r="K96" s="2"/>
      <c r="L96" s="2"/>
      <c r="N96" s="2"/>
      <c r="O96" s="2"/>
      <c r="P96" s="2"/>
      <c r="Q96" s="2"/>
      <c r="U96" s="2"/>
      <c r="V96" s="2"/>
      <c r="W96" s="2"/>
      <c r="X96" s="2"/>
      <c r="Y96" s="2"/>
      <c r="Z96" s="2"/>
      <c r="AA96" s="2"/>
      <c r="AB96" s="2"/>
      <c r="AC96" s="2"/>
      <c r="AD96" s="2"/>
      <c r="AE96" s="2"/>
      <c r="AF96" s="2"/>
      <c r="AG96" s="2"/>
      <c r="AH96" s="2"/>
      <c r="AI96" s="2"/>
      <c r="AJ96" s="69"/>
      <c r="AK96" s="1449"/>
      <c r="AL96" s="1449"/>
      <c r="AM96" s="1449"/>
      <c r="AN96" s="1449"/>
      <c r="AO96" s="1449"/>
      <c r="AP96" s="1449"/>
      <c r="AQ96" s="98"/>
      <c r="AR96" s="2"/>
    </row>
    <row r="97" spans="1:44" ht="12.75" customHeight="1">
      <c r="A97" s="1205"/>
      <c r="B97" s="1205"/>
      <c r="C97" s="1205"/>
      <c r="D97" s="2220"/>
      <c r="E97" s="1205"/>
      <c r="F97" s="1205"/>
      <c r="G97" s="1205"/>
      <c r="H97" s="1205"/>
      <c r="I97" s="1205"/>
      <c r="J97" s="1205"/>
      <c r="K97" s="1205"/>
      <c r="L97" s="1205"/>
      <c r="M97" s="2266"/>
      <c r="N97" s="1205"/>
      <c r="O97" s="1205"/>
      <c r="P97" s="1205"/>
      <c r="Q97" s="1205"/>
      <c r="R97" s="2266"/>
      <c r="S97" s="2266"/>
      <c r="T97" s="2266"/>
      <c r="U97" s="1205"/>
      <c r="V97" s="1205"/>
      <c r="W97" s="1205"/>
      <c r="X97" s="1205"/>
      <c r="Y97" s="1205"/>
      <c r="Z97" s="1205"/>
      <c r="AA97" s="1205"/>
      <c r="AB97" s="1205"/>
      <c r="AC97" s="1205"/>
      <c r="AD97" s="1205"/>
      <c r="AE97" s="1205"/>
      <c r="AF97" s="1205"/>
      <c r="AG97" s="1205"/>
      <c r="AH97" s="1205"/>
      <c r="AI97" s="1205"/>
      <c r="AJ97" s="2267" t="s">
        <v>407</v>
      </c>
      <c r="AK97" s="2276" t="s">
        <v>3</v>
      </c>
      <c r="AL97" s="1205"/>
      <c r="AM97" s="2272">
        <f>+BYD!AX110</f>
        <v>132.33999999999997</v>
      </c>
      <c r="AN97" s="1205"/>
      <c r="AO97" s="2272"/>
      <c r="AP97" s="1205"/>
      <c r="AQ97" s="98"/>
      <c r="AR97" s="1205"/>
    </row>
    <row r="98" spans="1:44" ht="12.75" customHeight="1">
      <c r="A98" s="1205"/>
      <c r="B98" s="1205"/>
      <c r="C98" s="1205"/>
      <c r="D98" s="2220"/>
      <c r="E98" s="1205"/>
      <c r="F98" s="1205"/>
      <c r="G98" s="1205"/>
      <c r="H98" s="1205"/>
      <c r="I98" s="1205"/>
      <c r="J98" s="1205"/>
      <c r="K98" s="1205"/>
      <c r="L98" s="1205"/>
      <c r="M98" s="2266"/>
      <c r="N98" s="1205"/>
      <c r="O98" s="1205"/>
      <c r="P98" s="1205"/>
      <c r="Q98" s="1205"/>
      <c r="R98" s="2266"/>
      <c r="S98" s="2266"/>
      <c r="T98" s="2266"/>
      <c r="U98" s="1205"/>
      <c r="V98" s="1205"/>
      <c r="W98" s="1205"/>
      <c r="X98" s="1205"/>
      <c r="Y98" s="1205"/>
      <c r="Z98" s="1205"/>
      <c r="AA98" s="1205"/>
      <c r="AB98" s="1205"/>
      <c r="AC98" s="1205"/>
      <c r="AD98" s="1205"/>
      <c r="AE98" s="1205"/>
      <c r="AF98" s="1205"/>
      <c r="AG98" s="1205"/>
      <c r="AH98" s="1205"/>
      <c r="AI98" s="1205"/>
      <c r="AJ98" s="2267" t="s">
        <v>1614</v>
      </c>
      <c r="AK98" s="2268" t="s">
        <v>4</v>
      </c>
      <c r="AL98" s="2269"/>
      <c r="AM98" s="2272">
        <f>+BYD!AY927</f>
        <v>46.591999999999999</v>
      </c>
      <c r="AN98" s="2269"/>
      <c r="AO98" s="2272"/>
      <c r="AP98" s="2271"/>
      <c r="AQ98" s="98"/>
      <c r="AR98" s="1205"/>
    </row>
    <row r="99" spans="1:44" ht="6" customHeight="1">
      <c r="A99" s="2"/>
      <c r="B99" s="2"/>
      <c r="C99" s="2"/>
      <c r="D99" s="1062"/>
      <c r="E99" s="2"/>
      <c r="F99" s="2"/>
      <c r="G99" s="2"/>
      <c r="H99" s="2"/>
      <c r="I99" s="2"/>
      <c r="J99" s="2"/>
      <c r="K99" s="2"/>
      <c r="L99" s="2"/>
      <c r="N99" s="2"/>
      <c r="O99" s="2"/>
      <c r="P99" s="2"/>
      <c r="Q99" s="2"/>
      <c r="U99" s="2"/>
      <c r="V99" s="2"/>
      <c r="W99" s="2"/>
      <c r="X99" s="2"/>
      <c r="Y99" s="2"/>
      <c r="Z99" s="2"/>
      <c r="AA99" s="2"/>
      <c r="AB99" s="2"/>
      <c r="AC99" s="2"/>
      <c r="AD99" s="2"/>
      <c r="AE99" s="2"/>
      <c r="AF99" s="2"/>
      <c r="AG99" s="2"/>
      <c r="AH99" s="2"/>
      <c r="AI99" s="2"/>
      <c r="AJ99" s="1447"/>
      <c r="AK99" s="1614"/>
      <c r="AL99" s="1449"/>
      <c r="AM99" s="1450"/>
      <c r="AN99" s="1449"/>
      <c r="AO99" s="1450"/>
      <c r="AP99" s="1450"/>
      <c r="AQ99" s="98"/>
      <c r="AR99" s="2"/>
    </row>
    <row r="100" spans="1:44" ht="12.75" customHeight="1">
      <c r="A100" s="1205"/>
      <c r="B100" s="1205"/>
      <c r="C100" s="1205"/>
      <c r="D100" s="2220"/>
      <c r="E100" s="1205"/>
      <c r="F100" s="1205"/>
      <c r="G100" s="1205"/>
      <c r="H100" s="1205"/>
      <c r="I100" s="1205"/>
      <c r="J100" s="1205"/>
      <c r="K100" s="1205"/>
      <c r="L100" s="1205"/>
      <c r="M100" s="2273"/>
      <c r="N100" s="1205"/>
      <c r="O100" s="1205"/>
      <c r="P100" s="1205"/>
      <c r="Q100" s="1205"/>
      <c r="R100" s="2273"/>
      <c r="S100" s="2273"/>
      <c r="T100" s="2273"/>
      <c r="U100" s="1205"/>
      <c r="V100" s="1205"/>
      <c r="W100" s="1205"/>
      <c r="X100" s="1205"/>
      <c r="Y100" s="1205"/>
      <c r="Z100" s="1205"/>
      <c r="AA100" s="1205"/>
      <c r="AB100" s="1205"/>
      <c r="AC100" s="1205"/>
      <c r="AD100" s="1205"/>
      <c r="AE100" s="1205"/>
      <c r="AF100" s="1205"/>
      <c r="AG100" s="1205"/>
      <c r="AH100" s="1205"/>
      <c r="AI100" s="1205"/>
      <c r="AJ100" s="2267" t="s">
        <v>498</v>
      </c>
      <c r="AK100" s="2268" t="s">
        <v>1</v>
      </c>
      <c r="AL100" s="2269"/>
      <c r="AM100" s="2270">
        <f>+SUM(AM97:AM99)</f>
        <v>178.93199999999996</v>
      </c>
      <c r="AN100" s="2269"/>
      <c r="AO100" s="2268">
        <v>158.35</v>
      </c>
      <c r="AP100" s="2271"/>
      <c r="AQ100" s="98"/>
      <c r="AR100" s="1205"/>
    </row>
    <row r="101" spans="1:44" ht="6" customHeight="1">
      <c r="A101" s="2"/>
      <c r="B101" s="2"/>
      <c r="C101" s="2"/>
      <c r="D101" s="1062"/>
      <c r="E101" s="2"/>
      <c r="F101" s="2"/>
      <c r="G101" s="2"/>
      <c r="H101" s="2"/>
      <c r="I101" s="2"/>
      <c r="J101" s="2"/>
      <c r="K101" s="2"/>
      <c r="L101" s="2"/>
      <c r="N101" s="2"/>
      <c r="O101" s="2"/>
      <c r="P101" s="2"/>
      <c r="Q101" s="2"/>
      <c r="U101" s="2"/>
      <c r="V101" s="2"/>
      <c r="W101" s="2"/>
      <c r="X101" s="2"/>
      <c r="Y101" s="2"/>
      <c r="Z101" s="2"/>
      <c r="AA101" s="2"/>
      <c r="AB101" s="2"/>
      <c r="AC101" s="2"/>
      <c r="AD101" s="2"/>
      <c r="AE101" s="2"/>
      <c r="AF101" s="2"/>
      <c r="AG101" s="2"/>
      <c r="AH101" s="2"/>
      <c r="AI101" s="2"/>
      <c r="AJ101" s="1447"/>
      <c r="AK101" s="1614"/>
      <c r="AL101" s="1449"/>
      <c r="AM101" s="1450"/>
      <c r="AN101" s="1449"/>
      <c r="AO101" s="1450"/>
      <c r="AP101" s="1450"/>
      <c r="AQ101" s="98"/>
      <c r="AR101" s="2"/>
    </row>
    <row r="102" spans="1:44" ht="12.75" customHeight="1">
      <c r="A102" s="2"/>
      <c r="B102" s="2"/>
      <c r="C102" s="2"/>
      <c r="D102" s="1062"/>
      <c r="E102" s="2"/>
      <c r="F102" s="2"/>
      <c r="G102" s="2"/>
      <c r="H102" s="2"/>
      <c r="I102" s="2"/>
      <c r="J102" s="2"/>
      <c r="K102" s="2"/>
      <c r="L102" s="2"/>
      <c r="N102" s="2"/>
      <c r="O102" s="2"/>
      <c r="P102" s="2"/>
      <c r="Q102" s="2"/>
      <c r="U102" s="2"/>
      <c r="V102" s="2"/>
      <c r="W102" s="2"/>
      <c r="X102" s="2"/>
      <c r="Y102" s="2"/>
      <c r="Z102" s="2"/>
      <c r="AA102" s="2"/>
      <c r="AB102" s="2"/>
      <c r="AC102" s="2"/>
      <c r="AD102" s="2"/>
      <c r="AE102" s="2"/>
      <c r="AF102" s="2"/>
      <c r="AG102" s="2"/>
      <c r="AH102" s="2"/>
      <c r="AI102" s="2"/>
      <c r="AJ102" s="1447" t="s">
        <v>1615</v>
      </c>
      <c r="AK102" s="1614" t="s">
        <v>5</v>
      </c>
      <c r="AL102" s="1449"/>
      <c r="AM102" s="2265">
        <f>+BYD!AY91</f>
        <v>-0.36747575205553612</v>
      </c>
      <c r="AN102" s="1449"/>
      <c r="AO102" s="2265">
        <v>-0.05</v>
      </c>
      <c r="AP102" s="1466"/>
      <c r="AQ102" s="98"/>
      <c r="AR102" s="2"/>
    </row>
    <row r="103" spans="1:44" ht="6" customHeight="1">
      <c r="A103" s="2"/>
      <c r="B103" s="2"/>
      <c r="C103" s="2"/>
      <c r="D103" s="1062"/>
      <c r="E103" s="2"/>
      <c r="F103" s="2"/>
      <c r="G103" s="2"/>
      <c r="H103" s="2"/>
      <c r="I103" s="2"/>
      <c r="J103" s="2"/>
      <c r="K103" s="2"/>
      <c r="L103" s="2"/>
      <c r="N103" s="2"/>
      <c r="O103" s="2"/>
      <c r="P103" s="2"/>
      <c r="Q103" s="2"/>
      <c r="U103" s="2"/>
      <c r="V103" s="2"/>
      <c r="W103" s="2"/>
      <c r="X103" s="2"/>
      <c r="Y103" s="2"/>
      <c r="Z103" s="2"/>
      <c r="AA103" s="2"/>
      <c r="AB103" s="2"/>
      <c r="AC103" s="2"/>
      <c r="AD103" s="2"/>
      <c r="AE103" s="2"/>
      <c r="AF103" s="2"/>
      <c r="AG103" s="2"/>
      <c r="AH103" s="2"/>
      <c r="AI103" s="2"/>
      <c r="AJ103" s="1447"/>
      <c r="AK103" s="1450"/>
      <c r="AL103" s="1449"/>
      <c r="AM103" s="1449"/>
      <c r="AN103" s="1449"/>
      <c r="AO103" s="1449"/>
      <c r="AP103" s="1449"/>
      <c r="AQ103" s="98"/>
      <c r="AR103" s="2"/>
    </row>
    <row r="104" spans="1:44" ht="12.75" customHeight="1">
      <c r="A104" s="2"/>
      <c r="B104" s="2"/>
      <c r="C104" s="2"/>
      <c r="D104" s="1062"/>
      <c r="E104" s="2"/>
      <c r="F104" s="2"/>
      <c r="G104" s="2"/>
      <c r="H104" s="2"/>
      <c r="I104" s="2"/>
      <c r="J104" s="2"/>
      <c r="K104" s="2"/>
      <c r="L104" s="2"/>
      <c r="N104" s="2"/>
      <c r="O104" s="2"/>
      <c r="P104" s="2"/>
      <c r="Q104" s="2"/>
      <c r="U104" s="2"/>
      <c r="V104" s="2"/>
      <c r="W104" s="2"/>
      <c r="X104" s="2"/>
      <c r="Y104" s="2"/>
      <c r="Z104" s="2"/>
      <c r="AA104" s="2"/>
      <c r="AB104" s="2"/>
      <c r="AC104" s="2"/>
      <c r="AD104" s="2"/>
      <c r="AE104" s="2"/>
      <c r="AF104" s="2"/>
      <c r="AG104" s="2"/>
      <c r="AH104" s="2"/>
      <c r="AI104" s="2"/>
      <c r="AJ104" s="2" t="s">
        <v>408</v>
      </c>
      <c r="AK104" s="2"/>
      <c r="AL104" s="2"/>
      <c r="AM104" s="2"/>
      <c r="AN104" s="2"/>
      <c r="AO104" s="2"/>
      <c r="AP104" s="2"/>
      <c r="AQ104" s="98"/>
      <c r="AR104" s="2"/>
    </row>
    <row r="105" spans="1:44" ht="12.75" customHeight="1">
      <c r="A105" s="2"/>
      <c r="B105" s="2"/>
      <c r="C105" s="2"/>
      <c r="D105" s="1062"/>
      <c r="E105" s="2"/>
      <c r="F105" s="2"/>
      <c r="G105" s="2"/>
      <c r="H105" s="2"/>
      <c r="I105" s="2"/>
      <c r="J105" s="2"/>
      <c r="K105" s="2"/>
      <c r="L105" s="2"/>
      <c r="N105" s="2"/>
      <c r="O105" s="2"/>
      <c r="P105" s="2"/>
      <c r="Q105" s="2"/>
      <c r="U105" s="2"/>
      <c r="V105" s="2"/>
      <c r="W105" s="2"/>
      <c r="X105" s="2"/>
      <c r="Y105" s="2"/>
      <c r="Z105" s="2"/>
      <c r="AA105" s="2"/>
      <c r="AB105" s="2"/>
      <c r="AC105" s="2"/>
      <c r="AD105" s="2"/>
      <c r="AE105" s="2"/>
      <c r="AF105" s="2"/>
      <c r="AG105" s="2"/>
      <c r="AH105" s="2"/>
      <c r="AI105" s="2"/>
      <c r="AJ105" s="2"/>
      <c r="AK105" s="2"/>
      <c r="AL105" s="2"/>
      <c r="AM105" s="2"/>
      <c r="AN105" s="2"/>
      <c r="AO105" s="2"/>
      <c r="AP105" s="1" t="s">
        <v>6</v>
      </c>
      <c r="AQ105" s="98"/>
      <c r="AR105" s="2"/>
    </row>
    <row r="106" spans="1:44" ht="12.75" customHeight="1">
      <c r="A106" s="2"/>
      <c r="B106" s="2"/>
      <c r="C106" s="2"/>
      <c r="D106" s="1062"/>
      <c r="E106" s="2"/>
      <c r="F106" s="2"/>
      <c r="G106" s="2"/>
      <c r="H106" s="2"/>
      <c r="I106" s="2"/>
      <c r="J106" s="2"/>
      <c r="K106" s="2"/>
      <c r="L106" s="2"/>
      <c r="N106" s="2"/>
      <c r="O106" s="2"/>
      <c r="P106" s="2"/>
      <c r="Q106" s="2"/>
      <c r="U106" s="2"/>
      <c r="V106" s="2"/>
      <c r="W106" s="2"/>
      <c r="X106" s="2"/>
      <c r="Y106" s="2"/>
      <c r="Z106" s="2"/>
      <c r="AA106" s="2"/>
      <c r="AB106" s="2"/>
      <c r="AC106" s="2"/>
      <c r="AD106" s="2"/>
      <c r="AE106" s="2"/>
      <c r="AF106" s="2"/>
      <c r="AG106" s="2"/>
      <c r="AH106" s="2"/>
      <c r="AI106" s="2"/>
      <c r="AJ106" s="2"/>
      <c r="AK106" s="2"/>
      <c r="AL106" s="2"/>
      <c r="AM106" s="2"/>
      <c r="AN106" s="2"/>
      <c r="AO106" s="2"/>
      <c r="AP106" s="1" t="s">
        <v>7</v>
      </c>
      <c r="AQ106" s="98"/>
      <c r="AR106" s="101" t="s">
        <v>405</v>
      </c>
    </row>
    <row r="107" spans="1:44" ht="12.75" customHeight="1">
      <c r="A107" s="2"/>
      <c r="B107" s="2"/>
      <c r="C107" s="2"/>
      <c r="D107" s="1062"/>
      <c r="E107" s="2"/>
      <c r="F107" s="2"/>
      <c r="G107" s="2"/>
      <c r="H107" s="2"/>
      <c r="I107" s="2"/>
      <c r="J107" s="2"/>
      <c r="K107" s="2"/>
      <c r="L107" s="2"/>
      <c r="N107" s="2"/>
      <c r="O107" s="2"/>
      <c r="P107" s="2"/>
      <c r="Q107" s="2"/>
      <c r="U107" s="2"/>
      <c r="V107" s="2"/>
      <c r="W107" s="2"/>
      <c r="X107" s="2"/>
      <c r="Y107" s="2"/>
      <c r="Z107" s="2"/>
      <c r="AA107" s="2"/>
      <c r="AB107" s="2"/>
      <c r="AC107" s="2"/>
      <c r="AD107" s="2"/>
      <c r="AE107" s="2"/>
      <c r="AF107" s="2"/>
      <c r="AG107" s="2"/>
      <c r="AH107" s="2"/>
      <c r="AI107" s="2"/>
      <c r="AJ107" s="2"/>
      <c r="AK107" s="2"/>
      <c r="AL107" s="2"/>
      <c r="AM107" s="2"/>
      <c r="AN107" s="2"/>
      <c r="AO107" s="2"/>
      <c r="AP107" s="2" t="s">
        <v>514</v>
      </c>
      <c r="AQ107" s="1349">
        <v>149.72999999999999</v>
      </c>
      <c r="AR107" s="2">
        <f>+BYD!AX10</f>
        <v>149.69</v>
      </c>
    </row>
    <row r="108" spans="1:44" ht="12.75" customHeight="1">
      <c r="A108" s="2"/>
      <c r="B108" s="2"/>
      <c r="C108" s="2"/>
      <c r="D108" s="1062"/>
      <c r="E108" s="2"/>
      <c r="F108" s="2"/>
      <c r="G108" s="2"/>
      <c r="H108" s="2"/>
      <c r="I108" s="2"/>
      <c r="J108" s="2"/>
      <c r="K108" s="2"/>
      <c r="L108" s="2"/>
      <c r="N108" s="2"/>
      <c r="O108" s="2"/>
      <c r="P108" s="2"/>
      <c r="Q108" s="2"/>
      <c r="U108" s="2"/>
      <c r="V108" s="2"/>
      <c r="W108" s="2"/>
      <c r="X108" s="2"/>
      <c r="Y108" s="2"/>
      <c r="Z108" s="2"/>
      <c r="AA108" s="2"/>
      <c r="AB108" s="2"/>
      <c r="AC108" s="2"/>
      <c r="AD108" s="2"/>
      <c r="AE108" s="2"/>
      <c r="AF108" s="2"/>
      <c r="AG108" s="2"/>
      <c r="AH108" s="2"/>
      <c r="AI108" s="2"/>
      <c r="AJ108" s="2"/>
      <c r="AK108" s="2"/>
      <c r="AL108" s="2"/>
      <c r="AM108" s="2"/>
      <c r="AN108" s="2"/>
      <c r="AO108" s="2"/>
      <c r="AP108" s="2" t="s">
        <v>515</v>
      </c>
      <c r="AQ108" s="1102">
        <v>56.23</v>
      </c>
      <c r="AR108" s="2">
        <f>+BYD!AX11</f>
        <v>56.128</v>
      </c>
    </row>
    <row r="109" spans="1:44" ht="12.75" customHeight="1">
      <c r="A109" s="2"/>
      <c r="B109" s="2"/>
      <c r="C109" s="2"/>
      <c r="D109" s="1062"/>
      <c r="E109" s="2"/>
      <c r="F109" s="2"/>
      <c r="G109" s="2"/>
      <c r="H109" s="2"/>
      <c r="I109" s="2"/>
      <c r="J109" s="2"/>
      <c r="K109" s="2"/>
      <c r="L109" s="2"/>
      <c r="N109" s="2"/>
      <c r="O109" s="2"/>
      <c r="P109" s="2"/>
      <c r="Q109" s="2"/>
      <c r="U109" s="2"/>
      <c r="V109" s="2"/>
      <c r="W109" s="2"/>
      <c r="X109" s="2"/>
      <c r="Y109" s="2"/>
      <c r="Z109" s="2"/>
      <c r="AA109" s="2"/>
      <c r="AB109" s="2"/>
      <c r="AC109" s="2"/>
      <c r="AD109" s="2"/>
      <c r="AE109" s="2"/>
      <c r="AF109" s="2"/>
      <c r="AG109" s="2"/>
      <c r="AH109" s="2"/>
      <c r="AI109" s="2"/>
      <c r="AJ109" s="2"/>
      <c r="AK109" s="2"/>
      <c r="AL109" s="2"/>
      <c r="AM109" s="2"/>
      <c r="AN109" s="2"/>
      <c r="AO109" s="2"/>
      <c r="AP109" s="2" t="s">
        <v>516</v>
      </c>
      <c r="AQ109" s="1102">
        <v>234.18</v>
      </c>
      <c r="AR109" s="2">
        <f>+BYD!AX13</f>
        <v>224.273</v>
      </c>
    </row>
    <row r="110" spans="1:44" ht="12.75" customHeight="1">
      <c r="A110" s="2"/>
      <c r="B110" s="2"/>
      <c r="C110" s="2"/>
      <c r="D110" s="1062"/>
      <c r="E110" s="2"/>
      <c r="F110" s="2"/>
      <c r="G110" s="2"/>
      <c r="H110" s="2"/>
      <c r="I110" s="2"/>
      <c r="J110" s="2"/>
      <c r="K110" s="2"/>
      <c r="L110" s="2"/>
      <c r="N110" s="2"/>
      <c r="O110" s="2"/>
      <c r="P110" s="2"/>
      <c r="Q110" s="2"/>
      <c r="U110" s="2"/>
      <c r="V110" s="2"/>
      <c r="W110" s="2"/>
      <c r="X110" s="2"/>
      <c r="Y110" s="2"/>
      <c r="Z110" s="2"/>
      <c r="AA110" s="2"/>
      <c r="AB110" s="2"/>
      <c r="AC110" s="2"/>
      <c r="AD110" s="2"/>
      <c r="AE110" s="2"/>
      <c r="AF110" s="2"/>
      <c r="AG110" s="2"/>
      <c r="AH110" s="2"/>
      <c r="AI110" s="2"/>
      <c r="AJ110" s="2"/>
      <c r="AK110" s="2"/>
      <c r="AL110" s="2"/>
      <c r="AM110" s="2"/>
      <c r="AN110" s="2"/>
      <c r="AO110" s="2"/>
      <c r="AP110" s="2" t="s">
        <v>517</v>
      </c>
      <c r="AQ110" s="1102">
        <v>137.13</v>
      </c>
      <c r="AR110" s="2">
        <f>+BYD!AX14</f>
        <v>135.78</v>
      </c>
    </row>
    <row r="111" spans="1:44" ht="12.75" customHeight="1">
      <c r="A111" s="2"/>
      <c r="B111" s="2"/>
      <c r="C111" s="2"/>
      <c r="D111" s="1062"/>
      <c r="E111" s="2"/>
      <c r="F111" s="2"/>
      <c r="G111" s="2"/>
      <c r="H111" s="2"/>
      <c r="I111" s="2"/>
      <c r="J111" s="2"/>
      <c r="K111" s="2"/>
      <c r="L111" s="2"/>
      <c r="N111" s="2"/>
      <c r="O111" s="2"/>
      <c r="P111" s="2"/>
      <c r="Q111" s="2"/>
      <c r="U111" s="2"/>
      <c r="V111" s="2"/>
      <c r="W111" s="2"/>
      <c r="X111" s="2"/>
      <c r="Y111" s="2"/>
      <c r="Z111" s="2"/>
      <c r="AA111" s="2"/>
      <c r="AB111" s="2"/>
      <c r="AC111" s="2"/>
      <c r="AD111" s="2"/>
      <c r="AE111" s="2"/>
      <c r="AF111" s="2"/>
      <c r="AG111" s="2"/>
      <c r="AH111" s="2"/>
      <c r="AI111" s="2"/>
      <c r="AJ111" s="2"/>
      <c r="AK111" s="2"/>
      <c r="AL111" s="2"/>
      <c r="AM111" s="2"/>
      <c r="AN111" s="2"/>
      <c r="AO111" s="2"/>
      <c r="AP111" s="2" t="s">
        <v>273</v>
      </c>
      <c r="AQ111" s="1102">
        <v>164.03</v>
      </c>
      <c r="AR111" s="2">
        <f>+BYD!AX17</f>
        <v>0</v>
      </c>
    </row>
    <row r="112" spans="1:44" ht="12.75" customHeight="1">
      <c r="A112" s="2"/>
      <c r="B112" s="2"/>
      <c r="C112" s="2"/>
      <c r="D112" s="1062"/>
      <c r="E112" s="2"/>
      <c r="F112" s="2"/>
      <c r="G112" s="2"/>
      <c r="H112" s="2"/>
      <c r="I112" s="2"/>
      <c r="J112" s="2"/>
      <c r="K112" s="2"/>
      <c r="L112" s="2"/>
      <c r="N112" s="2"/>
      <c r="O112" s="2"/>
      <c r="P112" s="2"/>
      <c r="Q112" s="2"/>
      <c r="U112" s="2"/>
      <c r="V112" s="2"/>
      <c r="W112" s="2"/>
      <c r="X112" s="2"/>
      <c r="Y112" s="2"/>
      <c r="Z112" s="2"/>
      <c r="AA112" s="2"/>
      <c r="AB112" s="2"/>
      <c r="AC112" s="2"/>
      <c r="AD112" s="2"/>
      <c r="AE112" s="2"/>
      <c r="AF112" s="2"/>
      <c r="AG112" s="2"/>
      <c r="AH112" s="2"/>
      <c r="AI112" s="2"/>
      <c r="AJ112" s="2"/>
      <c r="AK112" s="2"/>
      <c r="AL112" s="2"/>
      <c r="AM112" s="2"/>
      <c r="AN112" s="2"/>
      <c r="AO112" s="2"/>
      <c r="AP112" s="2" t="s">
        <v>1790</v>
      </c>
      <c r="AQ112" s="1102">
        <v>1.2</v>
      </c>
      <c r="AR112" s="2"/>
    </row>
    <row r="113" spans="1:44" ht="12.75" customHeight="1">
      <c r="A113" s="2"/>
      <c r="B113" s="2"/>
      <c r="C113" s="2"/>
      <c r="D113" s="1062"/>
      <c r="E113" s="2"/>
      <c r="F113" s="2"/>
      <c r="G113" s="2"/>
      <c r="H113" s="2"/>
      <c r="I113" s="2"/>
      <c r="J113" s="2"/>
      <c r="K113" s="2"/>
      <c r="L113" s="2"/>
      <c r="N113" s="2"/>
      <c r="O113" s="2"/>
      <c r="P113" s="2"/>
      <c r="Q113" s="2"/>
      <c r="U113" s="2"/>
      <c r="V113" s="2"/>
      <c r="W113" s="2"/>
      <c r="X113" s="2"/>
      <c r="Y113" s="2"/>
      <c r="Z113" s="2"/>
      <c r="AA113" s="2"/>
      <c r="AB113" s="2"/>
      <c r="AC113" s="2"/>
      <c r="AD113" s="2"/>
      <c r="AE113" s="2"/>
      <c r="AF113" s="2"/>
      <c r="AG113" s="2"/>
      <c r="AH113" s="2"/>
      <c r="AI113" s="2"/>
      <c r="AJ113" s="2"/>
      <c r="AK113" s="2"/>
      <c r="AL113" s="2"/>
      <c r="AM113" s="2"/>
      <c r="AN113" s="2"/>
      <c r="AO113" s="2"/>
      <c r="AP113" s="1" t="s">
        <v>401</v>
      </c>
      <c r="AQ113" s="98"/>
      <c r="AR113" s="2"/>
    </row>
    <row r="114" spans="1:44" ht="12.75" customHeight="1">
      <c r="A114" s="2"/>
      <c r="B114" s="2"/>
      <c r="C114" s="2"/>
      <c r="D114" s="1062"/>
      <c r="E114" s="2"/>
      <c r="F114" s="2"/>
      <c r="G114" s="2"/>
      <c r="H114" s="2"/>
      <c r="I114" s="2"/>
      <c r="J114" s="2"/>
      <c r="K114" s="2"/>
      <c r="L114" s="2"/>
      <c r="N114" s="2"/>
      <c r="O114" s="2"/>
      <c r="P114" s="2"/>
      <c r="Q114" s="2"/>
      <c r="U114" s="2"/>
      <c r="V114" s="2"/>
      <c r="W114" s="2"/>
      <c r="X114" s="2"/>
      <c r="Y114" s="2"/>
      <c r="Z114" s="2"/>
      <c r="AA114" s="2"/>
      <c r="AB114" s="2"/>
      <c r="AC114" s="2"/>
      <c r="AD114" s="2"/>
      <c r="AE114" s="2"/>
      <c r="AF114" s="2"/>
      <c r="AG114" s="2"/>
      <c r="AH114" s="2"/>
      <c r="AI114" s="2"/>
      <c r="AJ114" s="2"/>
      <c r="AK114" s="2"/>
      <c r="AL114" s="2"/>
      <c r="AM114" s="2"/>
      <c r="AN114" s="2"/>
      <c r="AO114" s="2"/>
      <c r="AP114" s="2" t="s">
        <v>514</v>
      </c>
      <c r="AQ114" s="1349">
        <v>34.83</v>
      </c>
      <c r="AR114" s="2">
        <f>+BYD!AX38</f>
        <v>38.722999999999999</v>
      </c>
    </row>
    <row r="115" spans="1:44" ht="12.75" customHeight="1">
      <c r="A115" s="2"/>
      <c r="B115" s="2"/>
      <c r="C115" s="2"/>
      <c r="D115" s="1062"/>
      <c r="E115" s="2"/>
      <c r="F115" s="2"/>
      <c r="G115" s="2"/>
      <c r="H115" s="2"/>
      <c r="I115" s="2"/>
      <c r="J115" s="2"/>
      <c r="K115" s="2"/>
      <c r="L115" s="2"/>
      <c r="N115" s="2"/>
      <c r="O115" s="2"/>
      <c r="P115" s="2"/>
      <c r="Q115" s="2"/>
      <c r="U115" s="2"/>
      <c r="V115" s="2"/>
      <c r="W115" s="2"/>
      <c r="X115" s="2"/>
      <c r="Y115" s="2"/>
      <c r="Z115" s="2"/>
      <c r="AA115" s="2"/>
      <c r="AB115" s="2"/>
      <c r="AC115" s="2"/>
      <c r="AD115" s="2"/>
      <c r="AE115" s="2"/>
      <c r="AF115" s="2"/>
      <c r="AG115" s="2"/>
      <c r="AH115" s="2"/>
      <c r="AI115" s="2"/>
      <c r="AJ115" s="2"/>
      <c r="AK115" s="2"/>
      <c r="AL115" s="2"/>
      <c r="AM115" s="2"/>
      <c r="AN115" s="2"/>
      <c r="AO115" s="2"/>
      <c r="AP115" s="2" t="s">
        <v>515</v>
      </c>
      <c r="AQ115" s="1102">
        <v>8.36</v>
      </c>
      <c r="AR115" s="2">
        <f>+BYD!AX39</f>
        <v>9.2970000000000006</v>
      </c>
    </row>
    <row r="116" spans="1:44" ht="12.75" customHeight="1">
      <c r="A116" s="2"/>
      <c r="B116" s="2"/>
      <c r="C116" s="2"/>
      <c r="D116" s="1062"/>
      <c r="E116" s="2"/>
      <c r="F116" s="2"/>
      <c r="G116" s="2"/>
      <c r="H116" s="2"/>
      <c r="I116" s="2"/>
      <c r="J116" s="2"/>
      <c r="K116" s="2"/>
      <c r="L116" s="2"/>
      <c r="N116" s="2"/>
      <c r="O116" s="2"/>
      <c r="P116" s="2"/>
      <c r="Q116" s="2"/>
      <c r="U116" s="2"/>
      <c r="V116" s="2"/>
      <c r="W116" s="2"/>
      <c r="X116" s="2"/>
      <c r="Y116" s="2"/>
      <c r="Z116" s="2"/>
      <c r="AA116" s="2"/>
      <c r="AB116" s="2"/>
      <c r="AC116" s="2"/>
      <c r="AD116" s="2"/>
      <c r="AE116" s="2"/>
      <c r="AF116" s="2"/>
      <c r="AG116" s="2"/>
      <c r="AH116" s="2"/>
      <c r="AI116" s="2"/>
      <c r="AJ116" s="2"/>
      <c r="AK116" s="2"/>
      <c r="AL116" s="2"/>
      <c r="AM116" s="2"/>
      <c r="AN116" s="2"/>
      <c r="AO116" s="2"/>
      <c r="AP116" s="2" t="s">
        <v>516</v>
      </c>
      <c r="AQ116" s="1102">
        <v>51.04</v>
      </c>
      <c r="AR116" s="2">
        <f>+BYD!AX41</f>
        <v>48.625</v>
      </c>
    </row>
    <row r="117" spans="1:44" ht="12.75" customHeight="1">
      <c r="A117" s="2"/>
      <c r="B117" s="2"/>
      <c r="C117" s="2"/>
      <c r="D117" s="1062"/>
      <c r="E117" s="2"/>
      <c r="F117" s="2"/>
      <c r="G117" s="2"/>
      <c r="H117" s="2"/>
      <c r="I117" s="2"/>
      <c r="J117" s="2"/>
      <c r="K117" s="2"/>
      <c r="L117" s="2"/>
      <c r="N117" s="2"/>
      <c r="O117" s="2"/>
      <c r="P117" s="2"/>
      <c r="Q117" s="2"/>
      <c r="U117" s="2"/>
      <c r="V117" s="2"/>
      <c r="W117" s="2"/>
      <c r="X117" s="2"/>
      <c r="Y117" s="2"/>
      <c r="Z117" s="2"/>
      <c r="AA117" s="2"/>
      <c r="AB117" s="2"/>
      <c r="AC117" s="2"/>
      <c r="AD117" s="2"/>
      <c r="AE117" s="2"/>
      <c r="AF117" s="2"/>
      <c r="AG117" s="2"/>
      <c r="AH117" s="2"/>
      <c r="AI117" s="2"/>
      <c r="AJ117" s="2"/>
      <c r="AK117" s="2"/>
      <c r="AL117" s="2"/>
      <c r="AM117" s="2"/>
      <c r="AN117" s="2"/>
      <c r="AO117" s="2"/>
      <c r="AP117" s="2" t="s">
        <v>517</v>
      </c>
      <c r="AQ117" s="1102">
        <v>52.46</v>
      </c>
      <c r="AR117" s="2">
        <f>+BYD!AX42</f>
        <v>48.323</v>
      </c>
    </row>
    <row r="118" spans="1:44" ht="12.75" customHeight="1">
      <c r="A118" s="2"/>
      <c r="B118" s="2"/>
      <c r="C118" s="2"/>
      <c r="D118" s="1062"/>
      <c r="E118" s="2"/>
      <c r="F118" s="2"/>
      <c r="G118" s="2"/>
      <c r="H118" s="2"/>
      <c r="I118" s="2"/>
      <c r="J118" s="2"/>
      <c r="K118" s="2"/>
      <c r="L118" s="2"/>
      <c r="N118" s="2"/>
      <c r="O118" s="2"/>
      <c r="P118" s="2"/>
      <c r="Q118" s="2"/>
      <c r="U118" s="2"/>
      <c r="V118" s="2"/>
      <c r="W118" s="2"/>
      <c r="X118" s="2"/>
      <c r="Y118" s="2"/>
      <c r="Z118" s="2"/>
      <c r="AA118" s="2"/>
      <c r="AB118" s="2"/>
      <c r="AC118" s="2"/>
      <c r="AD118" s="2"/>
      <c r="AE118" s="2"/>
      <c r="AF118" s="2"/>
      <c r="AG118" s="2"/>
      <c r="AH118" s="2"/>
      <c r="AI118" s="2"/>
      <c r="AJ118" s="2"/>
      <c r="AK118" s="2"/>
      <c r="AL118" s="2"/>
      <c r="AM118" s="2"/>
      <c r="AN118" s="2"/>
      <c r="AO118" s="2"/>
      <c r="AP118" s="2" t="s">
        <v>273</v>
      </c>
      <c r="AQ118" s="1102">
        <v>28.21</v>
      </c>
      <c r="AR118" s="2">
        <f>+BYD!AX45</f>
        <v>27.847000000000001</v>
      </c>
    </row>
  </sheetData>
  <phoneticPr fontId="10" type="noConversion"/>
  <pageMargins left="0.75" right="0.75" top="1" bottom="1" header="0.5" footer="0.5"/>
  <pageSetup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U62"/>
  <sheetViews>
    <sheetView zoomScale="85" workbookViewId="0"/>
  </sheetViews>
  <sheetFormatPr defaultRowHeight="15.75"/>
  <cols>
    <col min="1" max="1" width="31.25" customWidth="1"/>
    <col min="5" max="6" width="11.625" customWidth="1"/>
    <col min="11" max="11" width="9" style="1312"/>
    <col min="15" max="15" width="31.25" customWidth="1"/>
    <col min="19" max="20" width="11.625" customWidth="1"/>
    <col min="25" max="25" width="9" style="1312"/>
    <col min="29" max="29" width="31.25" customWidth="1"/>
    <col min="33" max="34" width="11.625" customWidth="1"/>
    <col min="43" max="43" width="30.5" customWidth="1"/>
    <col min="48" max="48" width="10.25" customWidth="1"/>
    <col min="65" max="65" width="35.5" customWidth="1"/>
    <col min="70" max="70" width="9.75" customWidth="1"/>
    <col min="77" max="77" width="34.875" customWidth="1"/>
    <col min="91" max="91" width="29" customWidth="1"/>
    <col min="95" max="96" width="10.625" customWidth="1"/>
    <col min="97" max="97" width="2" customWidth="1"/>
    <col min="98" max="99" width="10.625" customWidth="1"/>
  </cols>
  <sheetData>
    <row r="1" spans="1:99">
      <c r="A1" s="1" t="s">
        <v>1185</v>
      </c>
      <c r="B1" s="2"/>
      <c r="C1" s="2"/>
      <c r="D1" s="2"/>
      <c r="E1" s="2"/>
      <c r="F1" s="2"/>
      <c r="G1" s="2"/>
      <c r="H1" s="2"/>
      <c r="I1" s="2"/>
      <c r="J1" s="2"/>
      <c r="K1" s="105"/>
      <c r="L1" s="2"/>
      <c r="M1" s="2"/>
      <c r="N1" s="2"/>
      <c r="O1" s="1" t="s">
        <v>1185</v>
      </c>
      <c r="P1" s="2"/>
      <c r="Q1" s="2"/>
      <c r="R1" s="2"/>
      <c r="S1" s="2"/>
      <c r="T1" s="2"/>
      <c r="U1" s="2"/>
      <c r="V1" s="2"/>
      <c r="W1" s="2"/>
      <c r="X1" s="2"/>
      <c r="Y1" s="105"/>
      <c r="Z1" s="2"/>
      <c r="AA1" s="2"/>
      <c r="AB1" s="2"/>
      <c r="AC1" s="1" t="s">
        <v>1185</v>
      </c>
      <c r="AD1" s="2"/>
      <c r="AE1" s="2"/>
      <c r="AF1" s="2"/>
      <c r="AG1" s="2"/>
      <c r="AH1" s="2"/>
      <c r="AI1" s="2"/>
      <c r="AJ1" s="2"/>
      <c r="AK1" s="2"/>
      <c r="AL1" s="2"/>
      <c r="AM1" s="2"/>
      <c r="AN1" s="2"/>
      <c r="AO1" s="2"/>
      <c r="AP1" s="2"/>
      <c r="AQ1" s="1" t="s">
        <v>1185</v>
      </c>
      <c r="AR1" s="2"/>
      <c r="AS1" s="2"/>
      <c r="AT1" s="2"/>
      <c r="AU1" s="2"/>
      <c r="AV1" s="2"/>
      <c r="AW1" s="2"/>
      <c r="AX1" s="2"/>
      <c r="AY1" s="2"/>
      <c r="AZ1" s="2"/>
      <c r="BA1" s="2"/>
      <c r="BB1" s="2"/>
      <c r="BC1" s="2"/>
      <c r="BD1" s="2"/>
      <c r="BE1" s="2"/>
      <c r="BF1" s="2"/>
      <c r="BG1" s="2"/>
      <c r="BH1" s="2"/>
      <c r="BI1" s="2"/>
      <c r="BJ1" s="2"/>
      <c r="BK1" s="2"/>
      <c r="BL1" s="2"/>
      <c r="BM1" s="1" t="s">
        <v>1185</v>
      </c>
      <c r="BN1" s="2"/>
      <c r="BO1" s="2"/>
      <c r="BP1" s="2"/>
      <c r="BQ1" s="2"/>
      <c r="BR1" s="2"/>
      <c r="BS1" s="2"/>
      <c r="BT1" s="2"/>
      <c r="BU1" s="2"/>
      <c r="BV1" s="2"/>
      <c r="BW1" s="2"/>
      <c r="BX1" s="2"/>
      <c r="BY1" s="1" t="s">
        <v>1185</v>
      </c>
      <c r="BZ1" s="2"/>
      <c r="CA1" s="2"/>
      <c r="CB1" s="2"/>
      <c r="CC1" s="2"/>
      <c r="CD1" s="2"/>
      <c r="CE1" s="2"/>
      <c r="CF1" s="2"/>
      <c r="CG1" s="2"/>
      <c r="CH1" s="2"/>
      <c r="CI1" s="2"/>
      <c r="CJ1" s="2"/>
      <c r="CK1" s="2"/>
      <c r="CL1" s="2"/>
      <c r="CM1" s="1" t="s">
        <v>1185</v>
      </c>
      <c r="CN1" s="2"/>
      <c r="CO1" s="2"/>
      <c r="CP1" s="2"/>
      <c r="CQ1" s="2"/>
      <c r="CR1" s="2"/>
      <c r="CS1" s="2"/>
      <c r="CT1" s="2"/>
      <c r="CU1" s="2"/>
    </row>
    <row r="2" spans="1:99">
      <c r="A2" s="118" t="s">
        <v>1183</v>
      </c>
      <c r="B2" s="2"/>
      <c r="C2" s="2"/>
      <c r="D2" s="2"/>
      <c r="E2" s="2"/>
      <c r="F2" s="2"/>
      <c r="G2" s="2"/>
      <c r="H2" s="2"/>
      <c r="I2" s="2"/>
      <c r="J2" s="2"/>
      <c r="K2" s="105"/>
      <c r="L2" s="2"/>
      <c r="M2" s="2"/>
      <c r="N2" s="2"/>
      <c r="O2" s="118" t="s">
        <v>1183</v>
      </c>
      <c r="P2" s="2"/>
      <c r="Q2" s="2"/>
      <c r="R2" s="2"/>
      <c r="S2" s="2"/>
      <c r="T2" s="2"/>
      <c r="U2" s="2"/>
      <c r="V2" s="2"/>
      <c r="W2" s="2"/>
      <c r="X2" s="2"/>
      <c r="Y2" s="105"/>
      <c r="Z2" s="2"/>
      <c r="AA2" s="2"/>
      <c r="AB2" s="2"/>
      <c r="AC2" s="118" t="s">
        <v>1183</v>
      </c>
      <c r="AD2" s="2"/>
      <c r="AE2" s="2"/>
      <c r="AF2" s="2"/>
      <c r="AG2" s="2"/>
      <c r="AH2" s="2"/>
      <c r="AI2" s="2"/>
      <c r="AJ2" s="2"/>
      <c r="AK2" s="2"/>
      <c r="AL2" s="2"/>
      <c r="AM2" s="2"/>
      <c r="AN2" s="2"/>
      <c r="AO2" s="2"/>
      <c r="AP2" s="2"/>
      <c r="AQ2" s="118" t="s">
        <v>1183</v>
      </c>
      <c r="AR2" s="2"/>
      <c r="AS2" s="2"/>
      <c r="AT2" s="2"/>
      <c r="AU2" s="2"/>
      <c r="AV2" s="2"/>
      <c r="AW2" s="2"/>
      <c r="AX2" s="2"/>
      <c r="AY2" s="2"/>
      <c r="AZ2" s="2"/>
      <c r="BA2" s="2"/>
      <c r="BB2" s="2"/>
      <c r="BC2" s="2"/>
      <c r="BD2" s="2"/>
      <c r="BE2" s="2"/>
      <c r="BF2" s="2"/>
      <c r="BG2" s="2"/>
      <c r="BH2" s="2"/>
      <c r="BI2" s="2"/>
      <c r="BJ2" s="2"/>
      <c r="BK2" s="2"/>
      <c r="BL2" s="2"/>
      <c r="BM2" s="118" t="s">
        <v>1183</v>
      </c>
      <c r="BN2" s="2"/>
      <c r="BO2" s="2"/>
      <c r="BP2" s="2"/>
      <c r="BQ2" s="2"/>
      <c r="BR2" s="2"/>
      <c r="BS2" s="2"/>
      <c r="BT2" s="2"/>
      <c r="BU2" s="2"/>
      <c r="BV2" s="2"/>
      <c r="BW2" s="2"/>
      <c r="BX2" s="2"/>
      <c r="BY2" s="118" t="s">
        <v>1183</v>
      </c>
      <c r="BZ2" s="2"/>
      <c r="CA2" s="2"/>
      <c r="CB2" s="2"/>
      <c r="CC2" s="2"/>
      <c r="CD2" s="2"/>
      <c r="CE2" s="2"/>
      <c r="CF2" s="2"/>
      <c r="CG2" s="2"/>
      <c r="CH2" s="2"/>
      <c r="CI2" s="2"/>
      <c r="CJ2" s="2"/>
      <c r="CK2" s="2"/>
      <c r="CL2" s="2"/>
      <c r="CM2" s="118" t="s">
        <v>1183</v>
      </c>
      <c r="CN2" s="2"/>
      <c r="CO2" s="2"/>
      <c r="CP2" s="2"/>
      <c r="CQ2" s="2"/>
      <c r="CR2" s="2"/>
      <c r="CS2" s="2"/>
      <c r="CT2" s="2"/>
      <c r="CU2" s="2"/>
    </row>
    <row r="3" spans="1:99">
      <c r="A3" s="118"/>
      <c r="B3" s="2"/>
      <c r="C3" s="2"/>
      <c r="D3" s="2"/>
      <c r="E3" s="2"/>
      <c r="F3" s="2"/>
      <c r="G3" s="2"/>
      <c r="H3" s="2"/>
      <c r="I3" s="2"/>
      <c r="J3" s="2"/>
      <c r="K3" s="105"/>
      <c r="L3" s="2"/>
      <c r="M3" s="2"/>
      <c r="N3" s="2"/>
      <c r="O3" s="118"/>
      <c r="P3" s="2"/>
      <c r="Q3" s="2"/>
      <c r="R3" s="2"/>
      <c r="S3" s="2"/>
      <c r="T3" s="2"/>
      <c r="U3" s="2"/>
      <c r="V3" s="2"/>
      <c r="W3" s="2"/>
      <c r="X3" s="2"/>
      <c r="Y3" s="105"/>
      <c r="Z3" s="2"/>
      <c r="AA3" s="2"/>
      <c r="AB3" s="2"/>
      <c r="AC3" s="118"/>
      <c r="AD3" s="2"/>
      <c r="AE3" s="2"/>
      <c r="AF3" s="2"/>
      <c r="AG3" s="2"/>
      <c r="AH3" s="2"/>
      <c r="AI3" s="2"/>
      <c r="AJ3" s="2"/>
      <c r="AK3" s="2"/>
      <c r="AL3" s="2"/>
      <c r="AM3" s="2"/>
      <c r="AN3" s="2"/>
      <c r="AO3" s="2"/>
      <c r="AP3" s="2"/>
      <c r="AQ3" s="118"/>
      <c r="AR3" s="2"/>
      <c r="AS3" s="2"/>
      <c r="AT3" s="2"/>
      <c r="AU3" s="2"/>
      <c r="AV3" s="2"/>
      <c r="AW3" s="2"/>
      <c r="AX3" s="2"/>
      <c r="AY3" s="2"/>
      <c r="AZ3" s="2"/>
      <c r="BA3" s="2"/>
      <c r="BB3" s="2"/>
      <c r="BC3" s="2"/>
      <c r="BD3" s="2"/>
      <c r="BE3" s="2"/>
      <c r="BF3" s="2"/>
      <c r="BG3" s="2"/>
      <c r="BH3" s="2"/>
      <c r="BI3" s="2"/>
      <c r="BJ3" s="2"/>
      <c r="BK3" s="2"/>
      <c r="BL3" s="2"/>
      <c r="BM3" s="118"/>
      <c r="BN3" s="2"/>
      <c r="BO3" s="2"/>
      <c r="BP3" s="2"/>
      <c r="BQ3" s="2"/>
      <c r="BR3" s="2"/>
      <c r="BS3" s="2"/>
      <c r="BT3" s="2"/>
      <c r="BU3" s="2"/>
      <c r="BV3" s="2"/>
      <c r="BW3" s="2"/>
      <c r="BX3" s="2"/>
      <c r="BY3" s="118"/>
      <c r="BZ3" s="2"/>
      <c r="CA3" s="2"/>
      <c r="CB3" s="2"/>
      <c r="CC3" s="2"/>
      <c r="CD3" s="2"/>
      <c r="CE3" s="2"/>
      <c r="CF3" s="2"/>
      <c r="CG3" s="2"/>
      <c r="CH3" s="2"/>
      <c r="CI3" s="2"/>
      <c r="CJ3" s="2"/>
      <c r="CK3" s="2"/>
      <c r="CL3" s="2"/>
      <c r="CM3" s="118"/>
      <c r="CN3" s="2"/>
      <c r="CO3" s="2"/>
      <c r="CP3" s="2"/>
      <c r="CQ3" s="2"/>
      <c r="CR3" s="2"/>
      <c r="CS3" s="2"/>
      <c r="CT3" s="2"/>
      <c r="CU3" s="2"/>
    </row>
    <row r="4" spans="1:99">
      <c r="A4" s="1197" t="s">
        <v>631</v>
      </c>
      <c r="B4" s="1196"/>
      <c r="C4" s="1196"/>
      <c r="D4" s="1196"/>
      <c r="E4" s="1196"/>
      <c r="F4" s="1196"/>
      <c r="G4" s="1196"/>
      <c r="H4" s="1196"/>
      <c r="I4" s="1196"/>
      <c r="J4" s="1196"/>
      <c r="K4" s="105"/>
      <c r="L4" s="2"/>
      <c r="M4" s="2"/>
      <c r="N4" s="2"/>
      <c r="O4" s="1197" t="s">
        <v>1649</v>
      </c>
      <c r="P4" s="1196"/>
      <c r="Q4" s="1196"/>
      <c r="R4" s="1196"/>
      <c r="S4" s="1196"/>
      <c r="T4" s="1196"/>
      <c r="U4" s="1196"/>
      <c r="V4" s="1196"/>
      <c r="W4" s="1196"/>
      <c r="X4" s="1196"/>
      <c r="Y4" s="105"/>
      <c r="Z4" s="2"/>
      <c r="AA4" s="2"/>
      <c r="AB4" s="2"/>
      <c r="AC4" s="1197" t="s">
        <v>406</v>
      </c>
      <c r="AD4" s="1196"/>
      <c r="AE4" s="1196"/>
      <c r="AF4" s="1196"/>
      <c r="AG4" s="1196"/>
      <c r="AH4" s="1196"/>
      <c r="AI4" s="1196"/>
      <c r="AJ4" s="1196"/>
      <c r="AK4" s="1196"/>
      <c r="AL4" s="1196"/>
      <c r="AM4" s="2"/>
      <c r="AN4" s="2"/>
      <c r="AO4" s="2"/>
      <c r="AP4" s="2"/>
      <c r="AQ4" s="1197" t="s">
        <v>1660</v>
      </c>
      <c r="AR4" s="1196"/>
      <c r="AS4" s="1196"/>
      <c r="AT4" s="1196"/>
      <c r="AU4" s="1196"/>
      <c r="AV4" s="1196"/>
      <c r="AW4" s="1196"/>
      <c r="AX4" s="1196"/>
      <c r="AY4" s="1196"/>
      <c r="AZ4" s="1196"/>
      <c r="BA4" s="2"/>
      <c r="BB4" s="2"/>
      <c r="BC4" s="2"/>
      <c r="BD4" s="2"/>
      <c r="BE4" s="2"/>
      <c r="BF4" s="2"/>
      <c r="BG4" s="2"/>
      <c r="BH4" s="2"/>
      <c r="BI4" s="2"/>
      <c r="BJ4" s="2"/>
      <c r="BK4" s="2"/>
      <c r="BL4" s="2"/>
      <c r="BM4" s="1197" t="s">
        <v>727</v>
      </c>
      <c r="BN4" s="1196"/>
      <c r="BO4" s="1196"/>
      <c r="BP4" s="1196"/>
      <c r="BQ4" s="1196"/>
      <c r="BR4" s="1196"/>
      <c r="BS4" s="1196"/>
      <c r="BT4" s="1196"/>
      <c r="BU4" s="1196"/>
      <c r="BV4" s="1196"/>
      <c r="BW4" s="2"/>
      <c r="BX4" s="2"/>
      <c r="BY4" s="1197" t="s">
        <v>1647</v>
      </c>
      <c r="BZ4" s="1196"/>
      <c r="CA4" s="1196"/>
      <c r="CB4" s="1196"/>
      <c r="CC4" s="1196"/>
      <c r="CD4" s="1196"/>
      <c r="CE4" s="1196"/>
      <c r="CF4" s="1196"/>
      <c r="CG4" s="1196"/>
      <c r="CH4" s="1196"/>
      <c r="CI4" s="2"/>
      <c r="CJ4" s="2"/>
      <c r="CK4" s="2"/>
      <c r="CL4" s="2"/>
      <c r="CM4" s="1197" t="s">
        <v>1565</v>
      </c>
      <c r="CN4" s="1196"/>
      <c r="CO4" s="1196"/>
      <c r="CP4" s="1196"/>
      <c r="CQ4" s="1196"/>
      <c r="CR4" s="1196"/>
      <c r="CS4" s="1196"/>
      <c r="CT4" s="1196"/>
      <c r="CU4" s="1196"/>
    </row>
    <row r="5" spans="1:99">
      <c r="A5" s="2"/>
      <c r="B5" s="2"/>
      <c r="C5" s="2"/>
      <c r="D5" s="2"/>
      <c r="E5" s="2"/>
      <c r="F5" s="2"/>
      <c r="G5" s="2"/>
      <c r="H5" s="2"/>
      <c r="I5" s="2"/>
      <c r="J5" s="2"/>
      <c r="K5" s="105"/>
      <c r="L5" s="2"/>
      <c r="M5" s="2"/>
      <c r="N5" s="2"/>
      <c r="O5" s="2"/>
      <c r="P5" s="2"/>
      <c r="Q5" s="2"/>
      <c r="R5" s="2"/>
      <c r="S5" s="2"/>
      <c r="T5" s="2"/>
      <c r="U5" s="2"/>
      <c r="V5" s="2"/>
      <c r="W5" s="2"/>
      <c r="X5" s="2"/>
      <c r="Y5" s="105"/>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row>
    <row r="6" spans="1:99">
      <c r="A6" s="69" t="s">
        <v>1186</v>
      </c>
      <c r="B6" s="105"/>
      <c r="C6" s="105"/>
      <c r="D6" s="2"/>
      <c r="E6" s="2"/>
      <c r="F6" s="2"/>
      <c r="G6" s="2"/>
      <c r="H6" s="2"/>
      <c r="I6" s="2"/>
      <c r="J6" s="2"/>
      <c r="K6" s="105"/>
      <c r="L6" s="2"/>
      <c r="M6" s="2"/>
      <c r="N6" s="2"/>
      <c r="O6" s="69" t="s">
        <v>1186</v>
      </c>
      <c r="P6" s="105"/>
      <c r="Q6" s="105"/>
      <c r="R6" s="2"/>
      <c r="S6" s="2"/>
      <c r="T6" s="2"/>
      <c r="U6" s="2"/>
      <c r="V6" s="2"/>
      <c r="W6" s="2"/>
      <c r="X6" s="2"/>
      <c r="Y6" s="105"/>
      <c r="Z6" s="2"/>
      <c r="AA6" s="2"/>
      <c r="AB6" s="2"/>
      <c r="AC6" s="69" t="s">
        <v>1186</v>
      </c>
      <c r="AD6" s="2"/>
      <c r="AE6" s="2"/>
      <c r="AF6" s="2"/>
      <c r="AG6" s="2"/>
      <c r="AH6" s="2"/>
      <c r="AI6" s="2"/>
      <c r="AJ6" s="2"/>
      <c r="AK6" s="2"/>
      <c r="AL6" s="2"/>
      <c r="AM6" s="2"/>
      <c r="AN6" s="2"/>
      <c r="AO6" s="2"/>
      <c r="AP6" s="2"/>
      <c r="AQ6" s="69" t="s">
        <v>1186</v>
      </c>
      <c r="AR6" s="2"/>
      <c r="AS6" s="2"/>
      <c r="AT6" s="2"/>
      <c r="AU6" s="2"/>
      <c r="AV6" s="2"/>
      <c r="AW6" s="2"/>
      <c r="AX6" s="2"/>
      <c r="AY6" s="2"/>
      <c r="AZ6" s="2"/>
      <c r="BA6" s="2"/>
      <c r="BB6" s="2"/>
      <c r="BC6" s="2"/>
      <c r="BD6" s="2"/>
      <c r="BE6" s="2"/>
      <c r="BF6" s="2"/>
      <c r="BG6" s="2"/>
      <c r="BH6" s="2"/>
      <c r="BI6" s="2"/>
      <c r="BJ6" s="2"/>
      <c r="BK6" s="2"/>
      <c r="BL6" s="2"/>
      <c r="BM6" s="69" t="s">
        <v>1186</v>
      </c>
      <c r="BN6" s="2"/>
      <c r="BO6" s="2"/>
      <c r="BP6" s="2"/>
      <c r="BQ6" s="2"/>
      <c r="BR6" s="2"/>
      <c r="BS6" s="2"/>
      <c r="BT6" s="2"/>
      <c r="BU6" s="2"/>
      <c r="BV6" s="2"/>
      <c r="BW6" s="2"/>
      <c r="BX6" s="2"/>
      <c r="BY6" s="69" t="s">
        <v>1186</v>
      </c>
      <c r="BZ6" s="2"/>
      <c r="CA6" s="2"/>
      <c r="CB6" s="2"/>
      <c r="CC6" s="2"/>
      <c r="CD6" s="2"/>
      <c r="CE6" s="2"/>
      <c r="CF6" s="2"/>
      <c r="CG6" s="2"/>
      <c r="CH6" s="2"/>
      <c r="CI6" s="2"/>
      <c r="CJ6" s="2"/>
      <c r="CK6" s="2"/>
      <c r="CL6" s="2"/>
      <c r="CM6" s="69" t="s">
        <v>1186</v>
      </c>
      <c r="CN6" s="2"/>
      <c r="CO6" s="2"/>
      <c r="CP6" s="2"/>
      <c r="CQ6" s="2"/>
      <c r="CR6" s="2"/>
      <c r="CS6" s="2"/>
      <c r="CT6" s="2"/>
      <c r="CU6" s="2"/>
    </row>
    <row r="7" spans="1:99">
      <c r="A7" s="1"/>
      <c r="B7" s="2"/>
      <c r="C7" s="2"/>
      <c r="D7" s="2"/>
      <c r="E7" s="1197" t="s">
        <v>1792</v>
      </c>
      <c r="F7" s="1196"/>
      <c r="G7" s="2"/>
      <c r="H7" s="1197" t="s">
        <v>1504</v>
      </c>
      <c r="I7" s="1197"/>
      <c r="J7" s="1196"/>
      <c r="K7" s="105"/>
      <c r="L7" s="2"/>
      <c r="M7" s="2"/>
      <c r="N7" s="2"/>
      <c r="O7" s="1"/>
      <c r="P7" s="2"/>
      <c r="Q7" s="2"/>
      <c r="R7" s="2"/>
      <c r="S7" s="1197" t="s">
        <v>1792</v>
      </c>
      <c r="T7" s="1196"/>
      <c r="U7" s="2"/>
      <c r="V7" s="1197" t="s">
        <v>1504</v>
      </c>
      <c r="W7" s="1197"/>
      <c r="X7" s="1196"/>
      <c r="Y7" s="105"/>
      <c r="Z7" s="2"/>
      <c r="AA7" s="2"/>
      <c r="AB7" s="2"/>
      <c r="AC7" s="1"/>
      <c r="AD7" s="2"/>
      <c r="AE7" s="2"/>
      <c r="AF7" s="2"/>
      <c r="AG7" s="1197" t="s">
        <v>1792</v>
      </c>
      <c r="AH7" s="1196"/>
      <c r="AI7" s="2"/>
      <c r="AJ7" s="1197" t="s">
        <v>1504</v>
      </c>
      <c r="AK7" s="1197"/>
      <c r="AL7" s="1196"/>
      <c r="AM7" s="2"/>
      <c r="AN7" s="2"/>
      <c r="AO7" s="2"/>
      <c r="AP7" s="2"/>
      <c r="AQ7" s="1"/>
      <c r="AR7" s="2"/>
      <c r="AS7" s="2"/>
      <c r="AT7" s="2"/>
      <c r="AU7" s="1197" t="s">
        <v>1792</v>
      </c>
      <c r="AV7" s="1196"/>
      <c r="AW7" s="2"/>
      <c r="AX7" s="1197" t="s">
        <v>1504</v>
      </c>
      <c r="AY7" s="1197"/>
      <c r="AZ7" s="1196"/>
      <c r="BA7" s="2"/>
      <c r="BB7" s="2"/>
      <c r="BC7" s="2"/>
      <c r="BD7" s="2"/>
      <c r="BE7" s="2"/>
      <c r="BF7" s="2"/>
      <c r="BG7" s="2"/>
      <c r="BH7" s="2"/>
      <c r="BI7" s="2"/>
      <c r="BJ7" s="2"/>
      <c r="BK7" s="2"/>
      <c r="BL7" s="2"/>
      <c r="BM7" s="1"/>
      <c r="BN7" s="2"/>
      <c r="BO7" s="2"/>
      <c r="BP7" s="2"/>
      <c r="BQ7" s="1197" t="s">
        <v>1792</v>
      </c>
      <c r="BR7" s="1196"/>
      <c r="BS7" s="2"/>
      <c r="BT7" s="1197" t="s">
        <v>1504</v>
      </c>
      <c r="BU7" s="1197"/>
      <c r="BV7" s="1196"/>
      <c r="BW7" s="2"/>
      <c r="BX7" s="2"/>
      <c r="BY7" s="1"/>
      <c r="BZ7" s="2"/>
      <c r="CA7" s="2"/>
      <c r="CB7" s="2"/>
      <c r="CC7" s="1197" t="s">
        <v>1792</v>
      </c>
      <c r="CD7" s="1196"/>
      <c r="CE7" s="2"/>
      <c r="CF7" s="1197" t="s">
        <v>1504</v>
      </c>
      <c r="CG7" s="1197"/>
      <c r="CH7" s="1196"/>
      <c r="CI7" s="2"/>
      <c r="CJ7" s="2"/>
      <c r="CK7" s="2"/>
      <c r="CL7" s="2"/>
      <c r="CM7" s="1"/>
      <c r="CN7" s="2"/>
      <c r="CO7" s="2"/>
      <c r="CP7" s="2"/>
      <c r="CQ7" s="1197" t="s">
        <v>1792</v>
      </c>
      <c r="CR7" s="1196"/>
      <c r="CS7" s="2"/>
      <c r="CT7" s="1197" t="s">
        <v>1504</v>
      </c>
      <c r="CU7" s="1196"/>
    </row>
    <row r="8" spans="1:99">
      <c r="A8" s="111" t="s">
        <v>286</v>
      </c>
      <c r="B8" s="1611">
        <v>41548</v>
      </c>
      <c r="C8" s="1611">
        <v>41579</v>
      </c>
      <c r="D8" s="1611">
        <v>41609</v>
      </c>
      <c r="E8" s="1613" t="s">
        <v>310</v>
      </c>
      <c r="F8" s="1613" t="s">
        <v>253</v>
      </c>
      <c r="G8" s="70"/>
      <c r="H8" s="1613" t="s">
        <v>356</v>
      </c>
      <c r="I8" s="1613" t="s">
        <v>1480</v>
      </c>
      <c r="J8" s="1613" t="s">
        <v>253</v>
      </c>
      <c r="K8" s="2453"/>
      <c r="L8" s="2"/>
      <c r="M8" s="2"/>
      <c r="N8" s="2"/>
      <c r="O8" s="111" t="s">
        <v>286</v>
      </c>
      <c r="P8" s="1611">
        <v>41456</v>
      </c>
      <c r="Q8" s="1611">
        <v>41487</v>
      </c>
      <c r="R8" s="1611">
        <v>41518</v>
      </c>
      <c r="S8" s="1613" t="s">
        <v>310</v>
      </c>
      <c r="T8" s="1613" t="s">
        <v>253</v>
      </c>
      <c r="U8" s="70"/>
      <c r="V8" s="1613" t="s">
        <v>355</v>
      </c>
      <c r="W8" s="1613" t="s">
        <v>925</v>
      </c>
      <c r="X8" s="1613" t="s">
        <v>253</v>
      </c>
      <c r="Y8" s="2453"/>
      <c r="Z8" s="2"/>
      <c r="AA8" s="2"/>
      <c r="AB8" s="2"/>
      <c r="AC8" s="111" t="s">
        <v>286</v>
      </c>
      <c r="AD8" s="1611">
        <v>41365</v>
      </c>
      <c r="AE8" s="1611">
        <v>41395</v>
      </c>
      <c r="AF8" s="1611">
        <v>41426</v>
      </c>
      <c r="AG8" s="1613" t="s">
        <v>310</v>
      </c>
      <c r="AH8" s="1613" t="s">
        <v>253</v>
      </c>
      <c r="AI8" s="70"/>
      <c r="AJ8" s="1613" t="s">
        <v>354</v>
      </c>
      <c r="AK8" s="1613" t="s">
        <v>593</v>
      </c>
      <c r="AL8" s="1613" t="s">
        <v>253</v>
      </c>
      <c r="AM8" s="2"/>
      <c r="AN8" s="2"/>
      <c r="AO8" s="2"/>
      <c r="AP8" s="2"/>
      <c r="AQ8" s="111" t="s">
        <v>286</v>
      </c>
      <c r="AR8" s="1611">
        <v>41183</v>
      </c>
      <c r="AS8" s="1611">
        <v>41214</v>
      </c>
      <c r="AT8" s="1611">
        <v>41244</v>
      </c>
      <c r="AU8" s="1613" t="s">
        <v>310</v>
      </c>
      <c r="AV8" s="1613" t="s">
        <v>253</v>
      </c>
      <c r="AW8" s="70"/>
      <c r="AX8" s="1613" t="s">
        <v>360</v>
      </c>
      <c r="AY8" s="1613" t="s">
        <v>228</v>
      </c>
      <c r="AZ8" s="1613" t="s">
        <v>253</v>
      </c>
      <c r="BA8" s="2"/>
      <c r="BB8" s="2"/>
      <c r="BC8" s="2"/>
      <c r="BD8" s="2"/>
      <c r="BE8" s="2"/>
      <c r="BF8" s="2"/>
      <c r="BG8" s="2"/>
      <c r="BH8" s="2"/>
      <c r="BI8" s="2"/>
      <c r="BJ8" s="2"/>
      <c r="BK8" s="2"/>
      <c r="BL8" s="2"/>
      <c r="BM8" s="111" t="s">
        <v>286</v>
      </c>
      <c r="BN8" s="1611">
        <v>41000</v>
      </c>
      <c r="BO8" s="1611">
        <v>41030</v>
      </c>
      <c r="BP8" s="1611">
        <v>41061</v>
      </c>
      <c r="BQ8" s="1613" t="s">
        <v>310</v>
      </c>
      <c r="BR8" s="1613" t="s">
        <v>253</v>
      </c>
      <c r="BS8" s="70"/>
      <c r="BT8" s="1613" t="s">
        <v>358</v>
      </c>
      <c r="BU8" s="1613" t="s">
        <v>1698</v>
      </c>
      <c r="BV8" s="1613" t="s">
        <v>253</v>
      </c>
      <c r="BW8" s="2"/>
      <c r="BX8" s="2"/>
      <c r="BY8" s="111" t="s">
        <v>286</v>
      </c>
      <c r="BZ8" s="1611">
        <v>40909</v>
      </c>
      <c r="CA8" s="1611">
        <v>40940</v>
      </c>
      <c r="CB8" s="1611">
        <v>40969</v>
      </c>
      <c r="CC8" s="1613" t="s">
        <v>310</v>
      </c>
      <c r="CD8" s="1613" t="s">
        <v>253</v>
      </c>
      <c r="CE8" s="70"/>
      <c r="CF8" s="1613" t="s">
        <v>357</v>
      </c>
      <c r="CG8" s="1613" t="s">
        <v>1708</v>
      </c>
      <c r="CH8" s="1613" t="s">
        <v>253</v>
      </c>
      <c r="CI8" s="2"/>
      <c r="CJ8" s="2"/>
      <c r="CK8" s="2"/>
      <c r="CL8" s="2"/>
      <c r="CM8" s="111" t="s">
        <v>286</v>
      </c>
      <c r="CN8" s="1611">
        <v>40817</v>
      </c>
      <c r="CO8" s="1611">
        <v>40848</v>
      </c>
      <c r="CP8" s="1611">
        <v>40878</v>
      </c>
      <c r="CQ8" s="1613" t="s">
        <v>310</v>
      </c>
      <c r="CR8" s="1613" t="s">
        <v>253</v>
      </c>
      <c r="CS8" s="70"/>
      <c r="CT8" s="1613" t="s">
        <v>1579</v>
      </c>
      <c r="CU8" s="1613" t="s">
        <v>253</v>
      </c>
    </row>
    <row r="9" spans="1:99">
      <c r="A9" s="674" t="s">
        <v>873</v>
      </c>
      <c r="B9" s="2395">
        <v>8.7808159999999997</v>
      </c>
      <c r="C9" s="2395">
        <v>8.4677620000000005</v>
      </c>
      <c r="D9" s="2395">
        <v>7.1758550000000003</v>
      </c>
      <c r="E9" s="201">
        <f>SUM(B9:D9)</f>
        <v>24.424433000000001</v>
      </c>
      <c r="F9" s="1438">
        <f t="shared" ref="F9:F18" si="0">E9/E26-1</f>
        <v>-0.11103064604185631</v>
      </c>
      <c r="G9" s="77"/>
      <c r="H9" s="1625">
        <f>+BYD!AZ431</f>
        <v>24.425797000000003</v>
      </c>
      <c r="I9" s="1625">
        <f>+BYD!AU431</f>
        <v>27.507183999999999</v>
      </c>
      <c r="J9" s="1438">
        <f t="shared" ref="J9:J18" si="1">+H9/I9-1</f>
        <v>-0.1120211723599186</v>
      </c>
      <c r="K9" s="1290"/>
      <c r="L9" s="2"/>
      <c r="M9" s="2"/>
      <c r="N9" s="2"/>
      <c r="O9" s="674" t="s">
        <v>873</v>
      </c>
      <c r="P9" s="2395">
        <v>9.752027</v>
      </c>
      <c r="Q9" s="2395">
        <v>8.9771800000000006</v>
      </c>
      <c r="R9" s="2395">
        <v>8.9838589999999989</v>
      </c>
      <c r="S9" s="201">
        <f>SUM(P9:R9)</f>
        <v>27.713066000000001</v>
      </c>
      <c r="T9" s="1438">
        <f t="shared" ref="T9:T18" si="2">S9/S26-1</f>
        <v>-5.3580151628986994E-2</v>
      </c>
      <c r="U9" s="77"/>
      <c r="V9" s="1625">
        <f>+BYD!AY431</f>
        <v>27.722608000000001</v>
      </c>
      <c r="W9" s="1625">
        <f>+BYD!AT431</f>
        <v>29.282</v>
      </c>
      <c r="X9" s="1438">
        <f t="shared" ref="X9:X18" si="3">+V9/W9-1</f>
        <v>-5.3254285909432375E-2</v>
      </c>
      <c r="Y9" s="1290"/>
      <c r="Z9" s="2"/>
      <c r="AA9" s="2"/>
      <c r="AB9" s="2"/>
      <c r="AC9" s="674" t="s">
        <v>873</v>
      </c>
      <c r="AD9" s="1623">
        <v>9.2052359999999993</v>
      </c>
      <c r="AE9" s="1623">
        <v>9.0332019999999993</v>
      </c>
      <c r="AF9" s="1623">
        <v>9.0761760000000002</v>
      </c>
      <c r="AG9" s="1607">
        <f>SUM(AD9:AF9)</f>
        <v>27.314613999999999</v>
      </c>
      <c r="AH9" s="58">
        <f t="shared" ref="AH9:AH18" si="4">AG9/AG26-1</f>
        <v>0.39275005098919014</v>
      </c>
      <c r="AI9" s="61"/>
      <c r="AJ9" s="1625">
        <f>+BYD!AX431</f>
        <v>27.320395000000001</v>
      </c>
      <c r="AK9" s="1625">
        <f>+BYD!AS431</f>
        <v>29.531000000000002</v>
      </c>
      <c r="AL9" s="58">
        <f t="shared" ref="AL9:AL18" si="5">+AJ9/AK9-1</f>
        <v>-7.4857099319359355E-2</v>
      </c>
      <c r="AM9" s="2"/>
      <c r="AN9" s="2"/>
      <c r="AO9" s="2"/>
      <c r="AP9" s="2"/>
      <c r="AQ9" s="674" t="s">
        <v>873</v>
      </c>
      <c r="AR9" s="1623">
        <v>9.2089999999999996</v>
      </c>
      <c r="AS9" s="1623">
        <v>9.2170000000000005</v>
      </c>
      <c r="AT9" s="1623">
        <v>9.0489999999999995</v>
      </c>
      <c r="AU9" s="1607">
        <f>SUM(AR9:AT9)</f>
        <v>27.475000000000001</v>
      </c>
      <c r="AV9" s="58">
        <f>AU9/AU21-1</f>
        <v>1.5261251939989728E-2</v>
      </c>
      <c r="AW9" s="61"/>
      <c r="AX9" s="1625">
        <f>+BYD!AU431</f>
        <v>27.507183999999999</v>
      </c>
      <c r="AY9" s="1625">
        <f>+BYD!AP431</f>
        <v>27.073999999999998</v>
      </c>
      <c r="AZ9" s="58">
        <f>+AX9/AY9-1</f>
        <v>1.6000000000000014E-2</v>
      </c>
      <c r="BA9" s="2"/>
      <c r="BB9" s="1647">
        <f>+AZ9-AV9</f>
        <v>7.3874806001028581E-4</v>
      </c>
      <c r="BC9" s="2"/>
      <c r="BD9" s="2"/>
      <c r="BE9" s="2"/>
      <c r="BF9" s="2"/>
      <c r="BG9" s="2"/>
      <c r="BH9" s="2"/>
      <c r="BI9" s="2"/>
      <c r="BJ9" s="2"/>
      <c r="BK9" s="2"/>
      <c r="BL9" s="2"/>
      <c r="BM9" s="674" t="s">
        <v>873</v>
      </c>
      <c r="BN9" s="1623">
        <v>9.7880000000000003</v>
      </c>
      <c r="BO9" s="1623">
        <v>9.8239999999999998</v>
      </c>
      <c r="BP9" s="1623">
        <v>9.9169999999999998</v>
      </c>
      <c r="BQ9" s="1607">
        <f>SUM(BN9:BP9)</f>
        <v>29.529000000000003</v>
      </c>
      <c r="BR9" s="58">
        <f>BQ9/BQ21-1</f>
        <v>-1.4203104392817023E-3</v>
      </c>
      <c r="BS9" s="61"/>
      <c r="BT9" s="1625">
        <f>+BYD!AS431</f>
        <v>29.531000000000002</v>
      </c>
      <c r="BU9" s="1625">
        <f>+BYD!AN431</f>
        <v>29.566000000000003</v>
      </c>
      <c r="BV9" s="58">
        <f t="shared" ref="BV9:BV15" si="6">+BT9/BU9-1</f>
        <v>-1.1837921937360996E-3</v>
      </c>
      <c r="BW9" s="2"/>
      <c r="BX9" s="2"/>
      <c r="BY9" s="674" t="s">
        <v>873</v>
      </c>
      <c r="BZ9" s="1623">
        <v>9.3719999999999999</v>
      </c>
      <c r="CA9" s="1623">
        <v>10.149000000000001</v>
      </c>
      <c r="CB9" s="1623">
        <v>10.5</v>
      </c>
      <c r="CC9" s="1607">
        <f>SUM(BZ9:CB9)</f>
        <v>30.021000000000001</v>
      </c>
      <c r="CD9" s="58">
        <f>CC9/CC21-1</f>
        <v>2.3768926476606111E-2</v>
      </c>
      <c r="CE9" s="61"/>
      <c r="CF9" s="1625">
        <f>+BYD!AR431</f>
        <v>30.023000000000003</v>
      </c>
      <c r="CG9" s="1625">
        <f>+BYD!AM431</f>
        <v>29.33</v>
      </c>
      <c r="CH9" s="58">
        <f t="shared" ref="CH9:CH15" si="7">+CF9/CG9-1</f>
        <v>2.3627684964200757E-2</v>
      </c>
      <c r="CI9" s="2"/>
      <c r="CJ9" s="2"/>
      <c r="CK9" s="2"/>
      <c r="CL9" s="2"/>
      <c r="CM9" s="674" t="s">
        <v>873</v>
      </c>
      <c r="CN9" s="1596">
        <v>9.3960000000000008</v>
      </c>
      <c r="CO9" s="1596">
        <v>8.6419999999999995</v>
      </c>
      <c r="CP9" s="1596">
        <v>9.0359999999999996</v>
      </c>
      <c r="CQ9" s="1607">
        <f>SUM(CN9:CP9)</f>
        <v>27.073999999999998</v>
      </c>
      <c r="CR9" s="58">
        <f>CQ9/CQ21-1</f>
        <v>-1.0091407678245123E-2</v>
      </c>
      <c r="CS9" s="61"/>
      <c r="CT9" s="364">
        <v>27.77852</v>
      </c>
      <c r="CU9" s="58">
        <f>CT9/CQ21-1</f>
        <v>1.5668007312614307E-2</v>
      </c>
    </row>
    <row r="10" spans="1:99">
      <c r="A10" s="674" t="s">
        <v>632</v>
      </c>
      <c r="B10" s="2395">
        <v>9.1864889999999999</v>
      </c>
      <c r="C10" s="2395">
        <v>8.8915353800000005</v>
      </c>
      <c r="D10" s="2395">
        <v>9.0966962599999999</v>
      </c>
      <c r="E10" s="201">
        <f>SUM(B10:D10)</f>
        <v>27.174720640000004</v>
      </c>
      <c r="F10" s="1438">
        <f t="shared" si="0"/>
        <v>-0.10857009055758027</v>
      </c>
      <c r="G10" s="77"/>
      <c r="H10" s="1625">
        <f>+BYD!AZ432</f>
        <v>22.407</v>
      </c>
      <c r="I10" s="1625">
        <f>+BYD!AU432</f>
        <v>25.93</v>
      </c>
      <c r="J10" s="1438">
        <f t="shared" si="1"/>
        <v>-0.13586579251831854</v>
      </c>
      <c r="K10" s="1290"/>
      <c r="L10" s="2"/>
      <c r="M10" s="2"/>
      <c r="N10" s="2"/>
      <c r="O10" s="674" t="s">
        <v>632</v>
      </c>
      <c r="P10" s="2395">
        <v>10.57604875</v>
      </c>
      <c r="Q10" s="2395">
        <v>9.8215855100000002</v>
      </c>
      <c r="R10" s="2395">
        <v>8.6819645600000008</v>
      </c>
      <c r="S10" s="201">
        <f t="shared" ref="S10:S18" si="8">SUM(P10:R10)</f>
        <v>29.079598820000001</v>
      </c>
      <c r="T10" s="1438">
        <f t="shared" si="2"/>
        <v>-2.8188922531222627E-3</v>
      </c>
      <c r="U10" s="77"/>
      <c r="V10" s="1625">
        <f>+BYD!AY432</f>
        <v>24.859141180000002</v>
      </c>
      <c r="W10" s="1625">
        <f>+BYD!AT432</f>
        <v>26.043157139999998</v>
      </c>
      <c r="X10" s="1438">
        <f t="shared" si="3"/>
        <v>-4.546361079169825E-2</v>
      </c>
      <c r="Y10" s="1290"/>
      <c r="Z10" s="2"/>
      <c r="AA10" s="2"/>
      <c r="AB10" s="2"/>
      <c r="AC10" s="674" t="s">
        <v>632</v>
      </c>
      <c r="AD10" s="1623">
        <v>8.8871418700000007</v>
      </c>
      <c r="AE10" s="1623">
        <v>9.6528749999999999</v>
      </c>
      <c r="AF10" s="1623">
        <v>8.5314747699999991</v>
      </c>
      <c r="AG10" s="1607">
        <f t="shared" ref="AG10:AG18" si="9">SUM(AD10:AF10)</f>
        <v>27.071491640000001</v>
      </c>
      <c r="AH10" s="58">
        <f t="shared" si="4"/>
        <v>0.46485780263544507</v>
      </c>
      <c r="AI10" s="61"/>
      <c r="AJ10" s="1625">
        <f>+BYD!AX432</f>
        <v>27.071491640000001</v>
      </c>
      <c r="AK10" s="1625">
        <f>+BYD!AS432</f>
        <v>27.774500909999997</v>
      </c>
      <c r="AL10" s="58">
        <f t="shared" si="5"/>
        <v>-2.5311319626516893E-2</v>
      </c>
      <c r="AM10" s="2"/>
      <c r="AN10" s="2"/>
      <c r="AO10" s="2"/>
      <c r="AP10" s="2"/>
      <c r="AQ10" s="674" t="s">
        <v>632</v>
      </c>
      <c r="AR10" s="1623">
        <v>8.3639823599999996</v>
      </c>
      <c r="AS10" s="1623">
        <v>8.7300196499999991</v>
      </c>
      <c r="AT10" s="1623">
        <v>8.8323354500000004</v>
      </c>
      <c r="AU10" s="1607">
        <f>SUM(AR10:AT10)</f>
        <v>25.926337459999999</v>
      </c>
      <c r="AV10" s="58">
        <f>AU10/AU22-1</f>
        <v>2.1435381252467467E-2</v>
      </c>
      <c r="AW10" s="61"/>
      <c r="AX10" s="1625">
        <f>+BYD!AU432</f>
        <v>25.93</v>
      </c>
      <c r="AY10" s="1625">
        <f>+BYD!AP432</f>
        <v>25.382259060000003</v>
      </c>
      <c r="AZ10" s="58">
        <f>+AX10/AY10-1</f>
        <v>2.1579676525451008E-2</v>
      </c>
      <c r="BA10" s="2"/>
      <c r="BB10" s="1647"/>
      <c r="BC10" s="2"/>
      <c r="BD10" s="2"/>
      <c r="BE10" s="2"/>
      <c r="BF10" s="2"/>
      <c r="BG10" s="2"/>
      <c r="BH10" s="2"/>
      <c r="BI10" s="2"/>
      <c r="BJ10" s="2"/>
      <c r="BK10" s="2"/>
      <c r="BL10" s="2"/>
      <c r="BM10" s="674" t="s">
        <v>632</v>
      </c>
      <c r="BN10" s="1623">
        <v>9.1722404999999991</v>
      </c>
      <c r="BO10" s="1623">
        <v>9.3083871699999996</v>
      </c>
      <c r="BP10" s="1605">
        <v>9.2938732399999999</v>
      </c>
      <c r="BQ10" s="1607">
        <f>SUM(BN10:BP10)</f>
        <v>27.774500909999997</v>
      </c>
      <c r="BR10" s="58">
        <f>BQ10/BQ22-1</f>
        <v>-1.8198768066346682E-2</v>
      </c>
      <c r="BS10" s="61"/>
      <c r="BT10" s="1625">
        <f>+BYD!AS432</f>
        <v>27.774500909999997</v>
      </c>
      <c r="BU10" s="1625">
        <f>+BYD!AN432</f>
        <v>28.289331900000001</v>
      </c>
      <c r="BV10" s="58">
        <f t="shared" si="6"/>
        <v>-1.8198768066346682E-2</v>
      </c>
      <c r="BW10" s="2"/>
      <c r="BX10" s="2"/>
      <c r="BY10" s="674" t="s">
        <v>632</v>
      </c>
      <c r="BZ10" s="1623">
        <v>8.3482579000000001</v>
      </c>
      <c r="CA10" s="1623">
        <v>9.6807533800000005</v>
      </c>
      <c r="CB10" s="1605">
        <v>10.497360670000001</v>
      </c>
      <c r="CC10" s="1607">
        <f>SUM(BZ10:CB10)</f>
        <v>28.526371949999998</v>
      </c>
      <c r="CD10" s="58">
        <f>CC10/CC22-1</f>
        <v>5.1235590193435598E-2</v>
      </c>
      <c r="CE10" s="61"/>
      <c r="CF10" s="1625">
        <f>+BYD!AR432</f>
        <v>28.526371949999998</v>
      </c>
      <c r="CG10" s="1625">
        <f>+BYD!AM432</f>
        <v>27.136040880000003</v>
      </c>
      <c r="CH10" s="58">
        <f t="shared" si="7"/>
        <v>5.1235590193435598E-2</v>
      </c>
      <c r="CI10" s="2"/>
      <c r="CJ10" s="2"/>
      <c r="CK10" s="2"/>
      <c r="CL10" s="2"/>
      <c r="CM10" s="674" t="s">
        <v>632</v>
      </c>
      <c r="CN10" s="1596">
        <v>8.8733808300000003</v>
      </c>
      <c r="CO10" s="1596">
        <v>8.0215478999999998</v>
      </c>
      <c r="CP10" s="1605">
        <f>CP22</f>
        <v>8.2373965699999996</v>
      </c>
      <c r="CQ10" s="1607">
        <f t="shared" ref="CQ10:CQ17" si="10">SUM(CN10:CP10)</f>
        <v>25.132325299999998</v>
      </c>
      <c r="CR10" s="58">
        <f>CQ10/CQ22-1</f>
        <v>-3.2281970975254648E-2</v>
      </c>
      <c r="CS10" s="61"/>
      <c r="CT10" s="364">
        <v>26.749832371200007</v>
      </c>
      <c r="CU10" s="58">
        <f>CT10/CQ22-1</f>
        <v>3.0000000000000027E-2</v>
      </c>
    </row>
    <row r="11" spans="1:99">
      <c r="A11" s="674" t="s">
        <v>917</v>
      </c>
      <c r="B11" s="2395">
        <v>13.452326000000001</v>
      </c>
      <c r="C11" s="2395">
        <v>12.588251</v>
      </c>
      <c r="D11" s="2395">
        <v>11.716595999999999</v>
      </c>
      <c r="E11" s="201">
        <f>SUM(B11:D11)</f>
        <v>37.757172999999995</v>
      </c>
      <c r="F11" s="1438">
        <f t="shared" si="0"/>
        <v>-8.8196828802850513E-2</v>
      </c>
      <c r="G11" s="77"/>
      <c r="H11" s="1625">
        <f>+BYD!AZ433</f>
        <v>37.757172999999995</v>
      </c>
      <c r="I11" s="1625">
        <f>+BYD!AU433</f>
        <v>41.409345999999999</v>
      </c>
      <c r="J11" s="1438">
        <f t="shared" si="1"/>
        <v>-8.8196828802850513E-2</v>
      </c>
      <c r="K11" s="1290"/>
      <c r="L11" s="2"/>
      <c r="M11" s="2"/>
      <c r="N11" s="2"/>
      <c r="O11" s="674" t="s">
        <v>917</v>
      </c>
      <c r="P11" s="2395">
        <v>13.56513</v>
      </c>
      <c r="Q11" s="2395">
        <v>14.316997000000001</v>
      </c>
      <c r="R11" s="2395">
        <v>12.785059</v>
      </c>
      <c r="S11" s="201">
        <f t="shared" si="8"/>
        <v>40.667186000000001</v>
      </c>
      <c r="T11" s="1438">
        <f t="shared" si="2"/>
        <v>-0.11482906693284722</v>
      </c>
      <c r="U11" s="77"/>
      <c r="V11" s="1625">
        <f>+BYD!AY433</f>
        <v>40.667186000000001</v>
      </c>
      <c r="W11" s="1625">
        <f>+BYD!AT433</f>
        <v>45.942748999999999</v>
      </c>
      <c r="X11" s="1438">
        <f t="shared" si="3"/>
        <v>-0.11482906693284722</v>
      </c>
      <c r="Y11" s="1290"/>
      <c r="Z11" s="2"/>
      <c r="AA11" s="2"/>
      <c r="AB11" s="2"/>
      <c r="AC11" s="674" t="s">
        <v>917</v>
      </c>
      <c r="AD11" s="1623">
        <v>14.431914000000001</v>
      </c>
      <c r="AE11" s="1623">
        <v>11.042953000000001</v>
      </c>
      <c r="AF11" s="1623">
        <v>13.438188999999999</v>
      </c>
      <c r="AG11" s="1607">
        <f t="shared" si="9"/>
        <v>38.913056000000005</v>
      </c>
      <c r="AH11" s="58">
        <f t="shared" si="4"/>
        <v>0.32380144143205114</v>
      </c>
      <c r="AI11" s="61"/>
      <c r="AJ11" s="1625">
        <f>+BYD!AX433</f>
        <v>41.413056000000005</v>
      </c>
      <c r="AK11" s="1625">
        <f>+BYD!AS433</f>
        <v>44.150787999999999</v>
      </c>
      <c r="AL11" s="58">
        <f t="shared" si="5"/>
        <v>-6.2008678078406931E-2</v>
      </c>
      <c r="AM11" s="2"/>
      <c r="AN11" s="2"/>
      <c r="AO11" s="2"/>
      <c r="AP11" s="2"/>
      <c r="AQ11" s="674" t="s">
        <v>917</v>
      </c>
      <c r="AR11" s="1623">
        <v>13.5542</v>
      </c>
      <c r="AS11" s="1623">
        <v>13.62566</v>
      </c>
      <c r="AT11" s="1623">
        <v>14.229486</v>
      </c>
      <c r="AU11" s="1607">
        <f>SUM(AR11:AT11)</f>
        <v>41.409345999999999</v>
      </c>
      <c r="AV11" s="58">
        <f>AU11/AU23-1</f>
        <v>-4.8060245565714865E-2</v>
      </c>
      <c r="AW11" s="61"/>
      <c r="AX11" s="1625">
        <f>+BYD!AU433</f>
        <v>41.409345999999999</v>
      </c>
      <c r="AY11" s="1625">
        <f>+BYD!AP433</f>
        <v>42.215907000000001</v>
      </c>
      <c r="AZ11" s="58">
        <f>+AX11/AY11-1</f>
        <v>-1.9105618173737238E-2</v>
      </c>
      <c r="BA11" s="2"/>
      <c r="BB11" s="1647">
        <f>+AZ11-AV11</f>
        <v>2.8954627391977628E-2</v>
      </c>
      <c r="BC11" s="2"/>
      <c r="BD11" s="2"/>
      <c r="BE11" s="2"/>
      <c r="BF11" s="2"/>
      <c r="BG11" s="2"/>
      <c r="BH11" s="2"/>
      <c r="BI11" s="2"/>
      <c r="BJ11" s="2"/>
      <c r="BK11" s="2"/>
      <c r="BL11" s="2"/>
      <c r="BM11" s="674" t="s">
        <v>917</v>
      </c>
      <c r="BN11" s="1623">
        <v>14.557950999999999</v>
      </c>
      <c r="BO11" s="1623">
        <v>14.836983</v>
      </c>
      <c r="BP11" s="1623">
        <v>14.755853999999999</v>
      </c>
      <c r="BQ11" s="1607">
        <f>SUM(BN11:BP11)</f>
        <v>44.150787999999999</v>
      </c>
      <c r="BR11" s="58">
        <f>BQ11/BQ23-1</f>
        <v>4.4889959910114907E-3</v>
      </c>
      <c r="BS11" s="61"/>
      <c r="BT11" s="1625">
        <f>+BYD!AS433</f>
        <v>44.150787999999999</v>
      </c>
      <c r="BU11" s="1625">
        <f>+BYD!AN433</f>
        <v>43.953480999999996</v>
      </c>
      <c r="BV11" s="58">
        <f t="shared" si="6"/>
        <v>4.4889959910114907E-3</v>
      </c>
      <c r="BW11" s="2"/>
      <c r="BX11" s="2"/>
      <c r="BY11" s="674" t="s">
        <v>917</v>
      </c>
      <c r="BZ11" s="1623">
        <v>12.556964000000001</v>
      </c>
      <c r="CA11" s="1623">
        <v>14.952693999999999</v>
      </c>
      <c r="CB11" s="1623">
        <v>15.990307</v>
      </c>
      <c r="CC11" s="1607">
        <f>SUM(BZ11:CB11)</f>
        <v>43.499965000000003</v>
      </c>
      <c r="CD11" s="58">
        <f>CC11/CC23-1</f>
        <v>5.1485535124866422E-2</v>
      </c>
      <c r="CE11" s="61"/>
      <c r="CF11" s="1625">
        <f>+BYD!AR433</f>
        <v>43.499965000000003</v>
      </c>
      <c r="CG11" s="1625">
        <f>+BYD!AM433</f>
        <v>41.370007999999999</v>
      </c>
      <c r="CH11" s="58">
        <f t="shared" si="7"/>
        <v>5.1485535124866422E-2</v>
      </c>
      <c r="CI11" s="2"/>
      <c r="CJ11" s="2"/>
      <c r="CK11" s="2"/>
      <c r="CL11" s="2"/>
      <c r="CM11" s="674" t="s">
        <v>917</v>
      </c>
      <c r="CN11" s="1596">
        <v>14.115641999999999</v>
      </c>
      <c r="CO11" s="1596">
        <v>13.772678000000001</v>
      </c>
      <c r="CP11" s="1596">
        <v>14.327586999999999</v>
      </c>
      <c r="CQ11" s="1607">
        <f t="shared" si="10"/>
        <v>42.215907000000001</v>
      </c>
      <c r="CR11" s="58">
        <f>CQ11/CQ23-1</f>
        <v>1.6861986767613413E-2</v>
      </c>
      <c r="CS11" s="61"/>
      <c r="CT11" s="364">
        <v>39.855232319999999</v>
      </c>
      <c r="CU11" s="58">
        <f>CT11/CQ23-1</f>
        <v>-4.0000000000000036E-2</v>
      </c>
    </row>
    <row r="12" spans="1:99">
      <c r="A12" s="674" t="s">
        <v>775</v>
      </c>
      <c r="B12" s="2395">
        <v>2571</v>
      </c>
      <c r="C12" s="2395">
        <v>2571</v>
      </c>
      <c r="D12" s="2395">
        <v>2571</v>
      </c>
      <c r="E12" s="201">
        <f t="shared" ref="E12:E18" si="11">SUM(B12:D12)</f>
        <v>7713</v>
      </c>
      <c r="F12" s="1438">
        <f t="shared" si="0"/>
        <v>-2.243346007604563E-2</v>
      </c>
      <c r="G12" s="77"/>
      <c r="H12" s="1625">
        <f>+BYD!AZ434</f>
        <v>43.808726920000005</v>
      </c>
      <c r="I12" s="1625">
        <f>+BYD!AU434</f>
        <v>43.974781659999998</v>
      </c>
      <c r="J12" s="1438">
        <f t="shared" si="1"/>
        <v>-3.7761356334610197E-3</v>
      </c>
      <c r="K12" s="1290"/>
      <c r="L12" s="2"/>
      <c r="M12" s="2"/>
      <c r="N12" s="2"/>
      <c r="O12" s="674" t="s">
        <v>775</v>
      </c>
      <c r="P12" s="2395">
        <v>2560</v>
      </c>
      <c r="Q12" s="2395">
        <v>2560</v>
      </c>
      <c r="R12" s="2395">
        <v>2560</v>
      </c>
      <c r="S12" s="201">
        <f t="shared" si="8"/>
        <v>7680</v>
      </c>
      <c r="T12" s="1438">
        <f t="shared" si="2"/>
        <v>-5.8252427184466438E-3</v>
      </c>
      <c r="U12" s="77"/>
      <c r="V12" s="1625">
        <f>+BYD!AY434</f>
        <v>47.555656240000005</v>
      </c>
      <c r="W12" s="1625">
        <f>+BYD!AT434</f>
        <v>46.587450459999999</v>
      </c>
      <c r="X12" s="1438">
        <f t="shared" si="3"/>
        <v>2.0782544879361931E-2</v>
      </c>
      <c r="Y12" s="1290"/>
      <c r="Z12" s="2"/>
      <c r="AA12" s="2"/>
      <c r="AB12" s="2"/>
      <c r="AC12" s="674" t="s">
        <v>775</v>
      </c>
      <c r="AD12" s="1623">
        <v>15.19750954</v>
      </c>
      <c r="AE12" s="1623">
        <v>17.117647000000002</v>
      </c>
      <c r="AF12" s="1623">
        <v>15.709133570000001</v>
      </c>
      <c r="AG12" s="1607">
        <f t="shared" si="9"/>
        <v>48.024290110000003</v>
      </c>
      <c r="AH12" s="58">
        <f t="shared" si="4"/>
        <v>0.53176057891116257</v>
      </c>
      <c r="AI12" s="61"/>
      <c r="AJ12" s="1625">
        <f>+BYD!AX434</f>
        <v>48.024290110000003</v>
      </c>
      <c r="AK12" s="1625">
        <f>+BYD!AS434</f>
        <v>47.563537089999997</v>
      </c>
      <c r="AL12" s="58">
        <f t="shared" si="5"/>
        <v>9.6871058838237101E-3</v>
      </c>
      <c r="AM12" s="2"/>
      <c r="AN12" s="2"/>
      <c r="AO12" s="2"/>
      <c r="AP12" s="2"/>
      <c r="AQ12" s="674" t="s">
        <v>775</v>
      </c>
      <c r="AR12" s="1623">
        <v>13.97100002</v>
      </c>
      <c r="AS12" s="1623">
        <v>14.65487426</v>
      </c>
      <c r="AT12" s="1623">
        <v>15.34890738</v>
      </c>
      <c r="AU12" s="1607">
        <f>SUM(AR12:AT12)</f>
        <v>43.974781659999998</v>
      </c>
      <c r="AV12" s="58">
        <f>AU12/AU24-1</f>
        <v>4.2583790157054713E-2</v>
      </c>
      <c r="AW12" s="61"/>
      <c r="AX12" s="1625">
        <f>+BYD!AU434</f>
        <v>43.974781659999998</v>
      </c>
      <c r="AY12" s="1625">
        <f>+BYD!AP434</f>
        <v>42.178654680000001</v>
      </c>
      <c r="AZ12" s="58">
        <f>+AX12/AY12-1</f>
        <v>4.2583790157054713E-2</v>
      </c>
      <c r="BA12" s="2"/>
      <c r="BB12" s="1647"/>
      <c r="BC12" s="2"/>
      <c r="BD12" s="2"/>
      <c r="BE12" s="2"/>
      <c r="BF12" s="2"/>
      <c r="BG12" s="2"/>
      <c r="BH12" s="2"/>
      <c r="BI12" s="2"/>
      <c r="BJ12" s="2"/>
      <c r="BK12" s="2"/>
      <c r="BL12" s="2"/>
      <c r="BM12" s="674" t="s">
        <v>775</v>
      </c>
      <c r="BN12" s="1623">
        <v>2655</v>
      </c>
      <c r="BO12" s="1623">
        <v>2655</v>
      </c>
      <c r="BP12" s="1605">
        <v>16.211189489999999</v>
      </c>
      <c r="BQ12" s="1607">
        <f>SUM(BN12:BP12)</f>
        <v>5326.2111894899999</v>
      </c>
      <c r="BR12" s="58">
        <f>BQ12/BQ24-1</f>
        <v>-0.32262352925219384</v>
      </c>
      <c r="BS12" s="61"/>
      <c r="BT12" s="1625">
        <f>+BYD!AS434</f>
        <v>47.563537089999997</v>
      </c>
      <c r="BU12" s="1625">
        <f>+BYD!AN434</f>
        <v>45.284692470000003</v>
      </c>
      <c r="BV12" s="58">
        <f t="shared" si="6"/>
        <v>5.032262549888511E-2</v>
      </c>
      <c r="BW12" s="2"/>
      <c r="BX12" s="2"/>
      <c r="BY12" s="674" t="s">
        <v>775</v>
      </c>
      <c r="BZ12" s="1623">
        <v>2655</v>
      </c>
      <c r="CA12" s="1623">
        <v>2655</v>
      </c>
      <c r="CB12" s="1605">
        <v>14.407999999999999</v>
      </c>
      <c r="CC12" s="1607">
        <f>SUM(BZ12:CB12)</f>
        <v>5324.4080000000004</v>
      </c>
      <c r="CD12" s="58">
        <f>CC12/CC24-1</f>
        <v>-0.3225944020356234</v>
      </c>
      <c r="CE12" s="61"/>
      <c r="CF12" s="1625">
        <f>+BYD!AR434</f>
        <v>45.639952470000004</v>
      </c>
      <c r="CG12" s="1625">
        <f>+BYD!AM434</f>
        <v>43.674731080000001</v>
      </c>
      <c r="CH12" s="58">
        <f t="shared" si="7"/>
        <v>4.4996759943415787E-2</v>
      </c>
      <c r="CI12" s="2"/>
      <c r="CJ12" s="2"/>
      <c r="CK12" s="2"/>
      <c r="CL12" s="2"/>
      <c r="CM12" s="674" t="s">
        <v>775</v>
      </c>
      <c r="CN12" s="1596">
        <v>14.350273250000001</v>
      </c>
      <c r="CO12" s="1596">
        <v>13.76363291</v>
      </c>
      <c r="CP12" s="1605">
        <f>CP24</f>
        <v>13.60293336</v>
      </c>
      <c r="CQ12" s="1607">
        <f t="shared" si="10"/>
        <v>41.716839520000001</v>
      </c>
      <c r="CR12" s="58">
        <f>CQ12/CQ24-1</f>
        <v>4.3104494332732557E-2</v>
      </c>
      <c r="CS12" s="61"/>
      <c r="CT12" s="364">
        <v>41.192751962100004</v>
      </c>
      <c r="CU12" s="58">
        <f>CT12/CQ24-1</f>
        <v>3.0000000000000027E-2</v>
      </c>
    </row>
    <row r="13" spans="1:99" ht="15.75" customHeight="1">
      <c r="A13" s="874" t="s">
        <v>1302</v>
      </c>
      <c r="B13" s="2395">
        <v>7.4660000000000002</v>
      </c>
      <c r="C13" s="2395">
        <v>7.7149999999999999</v>
      </c>
      <c r="D13" s="2395">
        <v>7.3564165399999997</v>
      </c>
      <c r="E13" s="201">
        <f t="shared" si="11"/>
        <v>22.537416540000002</v>
      </c>
      <c r="F13" s="1438">
        <f t="shared" si="0"/>
        <v>-0.10808048615252108</v>
      </c>
      <c r="G13" s="77"/>
      <c r="H13" s="1625">
        <f>+BYD!AZ435</f>
        <v>22.536999999999999</v>
      </c>
      <c r="I13" s="1625">
        <f>+BYD!AU435</f>
        <v>25.268442040000004</v>
      </c>
      <c r="J13" s="1438">
        <f t="shared" si="1"/>
        <v>-0.10809697074620295</v>
      </c>
      <c r="K13" s="1290"/>
      <c r="L13" s="2"/>
      <c r="M13" s="2"/>
      <c r="N13" s="2"/>
      <c r="O13" s="874" t="s">
        <v>1302</v>
      </c>
      <c r="P13" s="2395">
        <v>8.0529005500000004</v>
      </c>
      <c r="Q13" s="2395">
        <v>7.9507122700000004</v>
      </c>
      <c r="R13" s="2395">
        <v>6.819</v>
      </c>
      <c r="S13" s="201">
        <f t="shared" si="8"/>
        <v>22.82261282</v>
      </c>
      <c r="T13" s="1438">
        <f t="shared" si="2"/>
        <v>-0.18255628236396493</v>
      </c>
      <c r="U13" s="77"/>
      <c r="V13" s="1625">
        <f>+BYD!AY435</f>
        <v>22.82261282</v>
      </c>
      <c r="W13" s="1625">
        <f>+BYD!AT435</f>
        <v>27.919491370000003</v>
      </c>
      <c r="X13" s="1438">
        <f t="shared" si="3"/>
        <v>-0.18255628236396493</v>
      </c>
      <c r="Y13" s="1290"/>
      <c r="Z13" s="2"/>
      <c r="AA13" s="2"/>
      <c r="AB13" s="2"/>
      <c r="AC13" s="874" t="s">
        <v>1302</v>
      </c>
      <c r="AD13" s="1623">
        <v>8.5132916600000001</v>
      </c>
      <c r="AE13" s="1623">
        <v>8.7464329999999997</v>
      </c>
      <c r="AF13" s="1623">
        <v>8.0453899599999996</v>
      </c>
      <c r="AG13" s="1607">
        <f t="shared" si="9"/>
        <v>25.305114619999998</v>
      </c>
      <c r="AH13" s="58">
        <f t="shared" si="4"/>
        <v>0.42939804466339182</v>
      </c>
      <c r="AI13" s="61"/>
      <c r="AJ13" s="1625">
        <f>+BYD!AX435</f>
        <v>25.305114619999998</v>
      </c>
      <c r="AK13" s="1625">
        <f>+BYD!AS435</f>
        <v>27.232349910000003</v>
      </c>
      <c r="AL13" s="58">
        <f t="shared" si="5"/>
        <v>-7.0770069287788617E-2</v>
      </c>
      <c r="AM13" s="2"/>
      <c r="AN13" s="2"/>
      <c r="AO13" s="2"/>
      <c r="AP13" s="2"/>
      <c r="AQ13" s="874" t="s">
        <v>1302</v>
      </c>
      <c r="AR13" s="1623">
        <v>7.8236608600000004</v>
      </c>
      <c r="AS13" s="1623">
        <v>8.3644395300000003</v>
      </c>
      <c r="AT13" s="1623">
        <v>9.0803416499999994</v>
      </c>
      <c r="AU13" s="1607">
        <f>SUM(AR13:AT13)</f>
        <v>25.268442040000004</v>
      </c>
      <c r="AV13" s="58">
        <f>AU13/AU25-1</f>
        <v>-6.752485201425662E-2</v>
      </c>
      <c r="AW13" s="61"/>
      <c r="AX13" s="1625">
        <f>+BYD!AU435</f>
        <v>25.268442040000004</v>
      </c>
      <c r="AY13" s="1625">
        <f>+BYD!AP435</f>
        <v>27.09824717</v>
      </c>
      <c r="AZ13" s="58">
        <f>+AX13/AY13-1</f>
        <v>-6.752485201425662E-2</v>
      </c>
      <c r="BA13" s="2"/>
      <c r="BB13" s="2"/>
      <c r="BC13" s="2"/>
      <c r="BD13" s="2"/>
      <c r="BE13" s="2"/>
      <c r="BF13" s="2"/>
      <c r="BG13" s="2"/>
      <c r="BH13" s="2"/>
      <c r="BI13" s="2"/>
      <c r="BJ13" s="2"/>
      <c r="BK13" s="2"/>
      <c r="BL13" s="2"/>
      <c r="BM13" s="874" t="s">
        <v>1302</v>
      </c>
      <c r="BN13" s="1623">
        <v>8.4938542100000003</v>
      </c>
      <c r="BO13" s="1623">
        <v>9.2094823199999993</v>
      </c>
      <c r="BP13" s="1605">
        <v>9.5290133800000003</v>
      </c>
      <c r="BQ13" s="1607">
        <f>SUM(BN13:BP13)</f>
        <v>27.232349910000003</v>
      </c>
      <c r="BR13" s="58">
        <f>BQ13/BQ25-1</f>
        <v>-5.4471143223643437E-2</v>
      </c>
      <c r="BS13" s="61"/>
      <c r="BT13" s="1625">
        <f>+BYD!AS435</f>
        <v>27.232349910000003</v>
      </c>
      <c r="BU13" s="1625">
        <f>+BYD!AN435</f>
        <v>28.801183290000001</v>
      </c>
      <c r="BV13" s="58">
        <f t="shared" si="6"/>
        <v>-5.4471143223643437E-2</v>
      </c>
      <c r="BW13" s="2"/>
      <c r="BX13" s="2"/>
      <c r="BY13" s="874" t="s">
        <v>1302</v>
      </c>
      <c r="BZ13" s="1623">
        <v>8.8901577799999991</v>
      </c>
      <c r="CA13" s="1623">
        <v>11.138929600000001</v>
      </c>
      <c r="CB13" s="1605">
        <v>10.83192229</v>
      </c>
      <c r="CC13" s="1607">
        <f>SUM(BZ13:CB13)</f>
        <v>30.861009670000001</v>
      </c>
      <c r="CD13" s="58">
        <f>CC13/CC25-1</f>
        <v>3.5416213436659572E-2</v>
      </c>
      <c r="CE13" s="61"/>
      <c r="CF13" s="1625">
        <f>+BYD!AR435</f>
        <v>30.861009670000001</v>
      </c>
      <c r="CG13" s="1625">
        <f>+BYD!AM435</f>
        <v>29.805414740000003</v>
      </c>
      <c r="CH13" s="58">
        <f t="shared" si="7"/>
        <v>3.5416213436659572E-2</v>
      </c>
      <c r="CI13" s="2"/>
      <c r="CJ13" s="2"/>
      <c r="CK13" s="2"/>
      <c r="CL13" s="2"/>
      <c r="CM13" s="874" t="s">
        <v>1302</v>
      </c>
      <c r="CN13" s="1596">
        <v>8.9185582200000013</v>
      </c>
      <c r="CO13" s="1596">
        <v>8.4913793699999989</v>
      </c>
      <c r="CP13" s="1605">
        <f>CP25</f>
        <v>10.15087435</v>
      </c>
      <c r="CQ13" s="1607">
        <f t="shared" si="10"/>
        <v>27.560811940000001</v>
      </c>
      <c r="CR13" s="58">
        <f>CQ13/CQ25-1</f>
        <v>-5.3644470998831739E-2</v>
      </c>
      <c r="CS13" s="61"/>
      <c r="CT13" s="364">
        <v>27.666950253500001</v>
      </c>
      <c r="CU13" s="58">
        <f>CT13/CQ25-1</f>
        <v>-5.0000000000000044E-2</v>
      </c>
    </row>
    <row r="14" spans="1:99" ht="15.75" customHeight="1">
      <c r="A14" s="874" t="s">
        <v>456</v>
      </c>
      <c r="B14" s="2395">
        <v>5.5269340000000007</v>
      </c>
      <c r="C14" s="2395">
        <v>5.1350860000000003</v>
      </c>
      <c r="D14" s="2395">
        <v>4.4056709999999999</v>
      </c>
      <c r="E14" s="201">
        <f t="shared" si="11"/>
        <v>15.067691000000002</v>
      </c>
      <c r="F14" s="1438">
        <f t="shared" si="0"/>
        <v>-7.0372711190071935E-2</v>
      </c>
      <c r="G14" s="1062"/>
      <c r="H14" s="1625">
        <f>+BYD!AZ537</f>
        <v>15.068020000000001</v>
      </c>
      <c r="I14" s="1625">
        <f>+BYD!AU537</f>
        <v>16.208314000000001</v>
      </c>
      <c r="J14" s="1438">
        <f t="shared" si="1"/>
        <v>-7.0352412965346112E-2</v>
      </c>
      <c r="K14" s="1290"/>
      <c r="L14" s="2"/>
      <c r="M14" s="2"/>
      <c r="N14" s="2"/>
      <c r="O14" s="874" t="s">
        <v>456</v>
      </c>
      <c r="P14" s="2395">
        <v>6.0518239999999999</v>
      </c>
      <c r="Q14" s="2395">
        <v>5.9190819999999995</v>
      </c>
      <c r="R14" s="2395">
        <v>5.5821940000000003</v>
      </c>
      <c r="S14" s="201">
        <f t="shared" si="8"/>
        <v>17.553100000000001</v>
      </c>
      <c r="T14" s="1438">
        <f t="shared" si="2"/>
        <v>3.3471376014580834E-2</v>
      </c>
      <c r="U14" s="1062"/>
      <c r="V14" s="1625">
        <f>+BYD!AY537</f>
        <v>17.570906000000001</v>
      </c>
      <c r="W14" s="1625">
        <f>+BYD!AT537</f>
        <v>16.984601999999999</v>
      </c>
      <c r="X14" s="1438">
        <f t="shared" si="3"/>
        <v>3.4519737347981527E-2</v>
      </c>
      <c r="Y14" s="1290"/>
      <c r="Z14" s="2"/>
      <c r="AA14" s="2"/>
      <c r="AB14" s="2"/>
      <c r="AC14" s="874" t="s">
        <v>456</v>
      </c>
      <c r="AD14" s="1623">
        <v>5.691052</v>
      </c>
      <c r="AE14" s="1623">
        <v>0</v>
      </c>
      <c r="AF14" s="1623">
        <v>0</v>
      </c>
      <c r="AG14" s="1607">
        <f t="shared" si="9"/>
        <v>5.691052</v>
      </c>
      <c r="AH14" s="58">
        <f t="shared" si="4"/>
        <v>-0.53174722348223025</v>
      </c>
      <c r="AI14" s="2"/>
      <c r="AJ14" s="1625">
        <f>+BYD!AX537</f>
        <v>17.139932000000002</v>
      </c>
      <c r="AK14" s="1625">
        <f>+BYD!AS537</f>
        <v>17.690432999999999</v>
      </c>
      <c r="AL14" s="58">
        <f t="shared" si="5"/>
        <v>-3.1118571263914041E-2</v>
      </c>
      <c r="AM14" s="2"/>
      <c r="AN14" s="2"/>
      <c r="AO14" s="2"/>
      <c r="AP14" s="2"/>
      <c r="AQ14" s="874"/>
      <c r="AR14" s="1624" t="s">
        <v>343</v>
      </c>
      <c r="AS14" s="1624" t="s">
        <v>343</v>
      </c>
      <c r="AT14" s="1624" t="s">
        <v>343</v>
      </c>
      <c r="AU14" s="1608" t="s">
        <v>343</v>
      </c>
      <c r="AV14" s="58"/>
      <c r="AW14" s="61"/>
      <c r="AX14" s="1625"/>
      <c r="AY14" s="1625"/>
      <c r="AZ14" s="58"/>
      <c r="BA14" s="2"/>
      <c r="BB14" s="2"/>
      <c r="BC14" s="2"/>
      <c r="BD14" s="2"/>
      <c r="BE14" s="2"/>
      <c r="BF14" s="2"/>
      <c r="BG14" s="2"/>
      <c r="BH14" s="2"/>
      <c r="BI14" s="2"/>
      <c r="BJ14" s="2"/>
      <c r="BK14" s="2"/>
      <c r="BL14" s="2"/>
      <c r="BM14" s="874"/>
      <c r="BN14" s="1624" t="s">
        <v>343</v>
      </c>
      <c r="BO14" s="1624" t="s">
        <v>343</v>
      </c>
      <c r="BP14" s="1606" t="s">
        <v>343</v>
      </c>
      <c r="BQ14" s="1608" t="s">
        <v>343</v>
      </c>
      <c r="BR14" s="58"/>
      <c r="BS14" s="61"/>
      <c r="BT14" s="1625"/>
      <c r="BU14" s="1625"/>
      <c r="BV14" s="58"/>
      <c r="BW14" s="2"/>
      <c r="BX14" s="2"/>
      <c r="BY14" s="874"/>
      <c r="BZ14" s="1624" t="s">
        <v>343</v>
      </c>
      <c r="CA14" s="1624" t="s">
        <v>343</v>
      </c>
      <c r="CB14" s="1624" t="s">
        <v>343</v>
      </c>
      <c r="CC14" s="1608" t="s">
        <v>343</v>
      </c>
      <c r="CD14" s="58"/>
      <c r="CE14" s="61"/>
      <c r="CF14" s="1625"/>
      <c r="CG14" s="1625"/>
      <c r="CH14" s="58"/>
      <c r="CI14" s="2"/>
      <c r="CJ14" s="2"/>
      <c r="CK14" s="2"/>
      <c r="CL14" s="2"/>
      <c r="CM14" s="874"/>
      <c r="CN14" s="1694" t="s">
        <v>343</v>
      </c>
      <c r="CO14" s="1694" t="s">
        <v>343</v>
      </c>
      <c r="CP14" s="1688" t="s">
        <v>343</v>
      </c>
      <c r="CQ14" s="1608" t="s">
        <v>343</v>
      </c>
      <c r="CR14" s="58"/>
      <c r="CS14" s="61"/>
      <c r="CT14" s="888" t="s">
        <v>343</v>
      </c>
      <c r="CU14" s="58"/>
    </row>
    <row r="15" spans="1:99" ht="15.75" customHeight="1">
      <c r="A15" s="874" t="s">
        <v>457</v>
      </c>
      <c r="B15" s="2395">
        <v>6.175281</v>
      </c>
      <c r="C15" s="2395">
        <v>5.9039260000000002</v>
      </c>
      <c r="D15" s="2395">
        <v>5.4184109999999999</v>
      </c>
      <c r="E15" s="201">
        <f t="shared" si="11"/>
        <v>17.497617999999999</v>
      </c>
      <c r="F15" s="1438">
        <f t="shared" si="0"/>
        <v>0.11676984152665737</v>
      </c>
      <c r="G15" s="1062"/>
      <c r="H15" s="1625">
        <f>+BYD!AZ571</f>
        <v>20.215643</v>
      </c>
      <c r="I15" s="1625">
        <f>+BYD!AU571</f>
        <v>21.539290999999999</v>
      </c>
      <c r="J15" s="1438">
        <f t="shared" si="1"/>
        <v>-6.1452719126177335E-2</v>
      </c>
      <c r="K15" s="1290"/>
      <c r="L15" s="2"/>
      <c r="M15" s="2"/>
      <c r="N15" s="2"/>
      <c r="O15" s="874" t="s">
        <v>457</v>
      </c>
      <c r="P15" s="2395">
        <v>6.44543</v>
      </c>
      <c r="Q15" s="2395">
        <v>6.5600339999999999</v>
      </c>
      <c r="R15" s="2395">
        <v>5.6369570000000007</v>
      </c>
      <c r="S15" s="201">
        <f t="shared" si="8"/>
        <v>18.642420999999999</v>
      </c>
      <c r="T15" s="1438">
        <f t="shared" si="2"/>
        <v>9.507043225639733E-2</v>
      </c>
      <c r="U15" s="1062"/>
      <c r="V15" s="1625">
        <f>+BYD!AY571</f>
        <v>22.278268000000004</v>
      </c>
      <c r="W15" s="1625">
        <f>+BYD!AT571</f>
        <v>22.982557999999997</v>
      </c>
      <c r="X15" s="1438">
        <f t="shared" si="3"/>
        <v>-3.0644543570824134E-2</v>
      </c>
      <c r="Y15" s="1290"/>
      <c r="Z15" s="2"/>
      <c r="AA15" s="2"/>
      <c r="AB15" s="2"/>
      <c r="AC15" s="874" t="s">
        <v>457</v>
      </c>
      <c r="AD15" s="1623">
        <v>7.6545210000000008</v>
      </c>
      <c r="AE15" s="1623">
        <v>0</v>
      </c>
      <c r="AF15" s="1623">
        <v>0</v>
      </c>
      <c r="AG15" s="1607">
        <f t="shared" si="9"/>
        <v>7.6545210000000008</v>
      </c>
      <c r="AH15" s="58">
        <f t="shared" si="4"/>
        <v>-0.51742793102702622</v>
      </c>
      <c r="AI15" s="2"/>
      <c r="AJ15" s="1625">
        <f>+BYD!AX571</f>
        <v>22.736924999999999</v>
      </c>
      <c r="AK15" s="1625">
        <f>+BYD!AS571</f>
        <v>23.606133</v>
      </c>
      <c r="AL15" s="58">
        <f t="shared" si="5"/>
        <v>-3.6821278605860597E-2</v>
      </c>
      <c r="AM15" s="2"/>
      <c r="AN15" s="2"/>
      <c r="AO15" s="2"/>
      <c r="AP15" s="2"/>
      <c r="AQ15" s="530" t="s">
        <v>1706</v>
      </c>
      <c r="AR15" s="1600">
        <f>SUM(AR9:AR13)</f>
        <v>52.921843240000001</v>
      </c>
      <c r="AS15" s="1600">
        <f>SUM(AS9:AS13)</f>
        <v>54.591993439999996</v>
      </c>
      <c r="AT15" s="1600">
        <f>SUM(AT9:AT13)</f>
        <v>56.540070480000004</v>
      </c>
      <c r="AU15" s="1609">
        <f>SUM(AU9:AU13)</f>
        <v>164.05390715999999</v>
      </c>
      <c r="AV15" s="1610">
        <f>AU15/AU27-1</f>
        <v>-7.0645853765445299E-3</v>
      </c>
      <c r="AW15" s="61"/>
      <c r="AX15" s="1626">
        <f>SUM(AX9:AX13)</f>
        <v>164.08975369999999</v>
      </c>
      <c r="AY15" s="1626">
        <f>SUM(AY9:AY13)</f>
        <v>163.94906791</v>
      </c>
      <c r="AZ15" s="58">
        <f>+AX15/AY15-1</f>
        <v>8.5810667784480543E-4</v>
      </c>
      <c r="BA15" s="2"/>
      <c r="BB15" s="2"/>
      <c r="BC15" s="2"/>
      <c r="BD15" s="2"/>
      <c r="BE15" s="2"/>
      <c r="BF15" s="2"/>
      <c r="BG15" s="2"/>
      <c r="BH15" s="2"/>
      <c r="BI15" s="2"/>
      <c r="BJ15" s="2"/>
      <c r="BK15" s="2"/>
      <c r="BL15" s="2"/>
      <c r="BM15" s="530" t="s">
        <v>1706</v>
      </c>
      <c r="BN15" s="1600">
        <f>SUM(BN9:BN13)</f>
        <v>2697.0120457099997</v>
      </c>
      <c r="BO15" s="1600">
        <f>SUM(BO9:BO13)</f>
        <v>2698.1788524899998</v>
      </c>
      <c r="BP15" s="1600">
        <f>SUM(BP9:BP13)</f>
        <v>59.706930109999995</v>
      </c>
      <c r="BQ15" s="1609">
        <f>SUM(BQ9:BQ13)</f>
        <v>5454.8978283100005</v>
      </c>
      <c r="BR15" s="1610">
        <f>BQ15/BQ27-1</f>
        <v>-0.31759312514926341</v>
      </c>
      <c r="BS15" s="61"/>
      <c r="BT15" s="1626">
        <f>SUM(BT9:BT13)</f>
        <v>176.25217591000001</v>
      </c>
      <c r="BU15" s="1626">
        <f>SUM(BU9:BU13)</f>
        <v>175.89468866000001</v>
      </c>
      <c r="BV15" s="58">
        <f t="shared" si="6"/>
        <v>2.03239365965735E-3</v>
      </c>
      <c r="BW15" s="2"/>
      <c r="BX15" s="2"/>
      <c r="BY15" s="530" t="s">
        <v>1706</v>
      </c>
      <c r="BZ15" s="1600">
        <f>SUM(BZ9:BZ13)</f>
        <v>2694.1673796800001</v>
      </c>
      <c r="CA15" s="1600">
        <f>SUM(CA9:CA13)</f>
        <v>2700.9213769800003</v>
      </c>
      <c r="CB15" s="1600">
        <f>SUM(CB9:CB13)</f>
        <v>62.227589960000003</v>
      </c>
      <c r="CC15" s="1609">
        <f>SUM(CC9:CC13)</f>
        <v>5457.3163466200003</v>
      </c>
      <c r="CD15" s="1610">
        <f>CC15/CC27-1</f>
        <v>-0.31677949357158786</v>
      </c>
      <c r="CE15" s="61"/>
      <c r="CF15" s="1626">
        <f>SUM(CF9:CF13)</f>
        <v>178.55029909000001</v>
      </c>
      <c r="CG15" s="1626">
        <f>SUM(CG9:CG13)</f>
        <v>171.31619469999998</v>
      </c>
      <c r="CH15" s="58">
        <f t="shared" si="7"/>
        <v>4.2226623131969676E-2</v>
      </c>
      <c r="CI15" s="2"/>
      <c r="CJ15" s="2"/>
      <c r="CK15" s="2"/>
      <c r="CL15" s="2"/>
      <c r="CM15" s="530" t="s">
        <v>1706</v>
      </c>
      <c r="CN15" s="1600">
        <f>SUM(CN9:CN13)</f>
        <v>55.653854300000006</v>
      </c>
      <c r="CO15" s="1600">
        <f>SUM(CO9:CO13)</f>
        <v>52.691238179999992</v>
      </c>
      <c r="CP15" s="1600">
        <f>SUM(CP9:CP13)</f>
        <v>55.354791280000001</v>
      </c>
      <c r="CQ15" s="1609">
        <f>SUM(CQ9:CQ13)</f>
        <v>163.69988376000001</v>
      </c>
      <c r="CR15" s="1610">
        <f>CQ15/CQ27-1</f>
        <v>-1.5416822184944889E-3</v>
      </c>
      <c r="CS15" s="61"/>
      <c r="CT15" s="1612">
        <f>SUM(CT9:CT13)</f>
        <v>163.24328690680002</v>
      </c>
      <c r="CU15" s="1610">
        <f>CT15/CQ27-1</f>
        <v>-4.3266134932091749E-3</v>
      </c>
    </row>
    <row r="16" spans="1:99" ht="15.75" customHeight="1">
      <c r="A16" s="874" t="s">
        <v>458</v>
      </c>
      <c r="B16" s="2395">
        <v>4.62702949</v>
      </c>
      <c r="C16" s="2395">
        <v>4.7480818999999999</v>
      </c>
      <c r="D16" s="2395">
        <v>4.7905475700000002</v>
      </c>
      <c r="E16" s="201">
        <f t="shared" si="11"/>
        <v>14.165658960000002</v>
      </c>
      <c r="F16" s="1438">
        <f t="shared" si="0"/>
        <v>-0.15435904496713404</v>
      </c>
      <c r="G16" s="1062"/>
      <c r="H16" s="1625">
        <f>+BYD!AZ605</f>
        <v>21.992480430000001</v>
      </c>
      <c r="I16" s="1625">
        <f>+BYD!AU605</f>
        <v>22.416779569999999</v>
      </c>
      <c r="J16" s="1438">
        <f t="shared" si="1"/>
        <v>-1.8927747345467538E-2</v>
      </c>
      <c r="K16" s="1290"/>
      <c r="L16" s="2"/>
      <c r="M16" s="2"/>
      <c r="N16" s="2"/>
      <c r="O16" s="874" t="s">
        <v>458</v>
      </c>
      <c r="P16" s="2395">
        <v>5.4292641399999999</v>
      </c>
      <c r="Q16" s="2395">
        <v>5.6422394000000002</v>
      </c>
      <c r="R16" s="2395">
        <v>5.0761838800000003</v>
      </c>
      <c r="S16" s="201">
        <f t="shared" si="8"/>
        <v>16.14768742</v>
      </c>
      <c r="T16" s="1438">
        <f t="shared" si="2"/>
        <v>-0.13186419880600486</v>
      </c>
      <c r="U16" s="1062"/>
      <c r="V16" s="1625">
        <f>+BYD!AY605</f>
        <v>22.65136614</v>
      </c>
      <c r="W16" s="1625">
        <f>+BYD!AT605</f>
        <v>23.806165350000001</v>
      </c>
      <c r="X16" s="1438">
        <f t="shared" si="3"/>
        <v>-4.8508409188210533E-2</v>
      </c>
      <c r="Y16" s="1290"/>
      <c r="Z16" s="2"/>
      <c r="AA16" s="2"/>
      <c r="AB16" s="2"/>
      <c r="AC16" s="874" t="s">
        <v>458</v>
      </c>
      <c r="AD16" s="1623">
        <v>7.9154276299999999</v>
      </c>
      <c r="AE16" s="1623">
        <v>8.1525390000000009</v>
      </c>
      <c r="AF16" s="1623">
        <v>7.6395104099999998</v>
      </c>
      <c r="AG16" s="1607">
        <f t="shared" si="9"/>
        <v>23.707477040000001</v>
      </c>
      <c r="AH16" s="58">
        <f t="shared" si="4"/>
        <v>0.41976427862165577</v>
      </c>
      <c r="AI16" s="2"/>
      <c r="AJ16" s="1625">
        <f>+BYD!AX605</f>
        <v>23.707477040000001</v>
      </c>
      <c r="AK16" s="1625">
        <f>+BYD!AS605</f>
        <v>25.122395860000001</v>
      </c>
      <c r="AL16" s="58">
        <f t="shared" si="5"/>
        <v>-5.6321014440061434E-2</v>
      </c>
      <c r="AM16" s="2"/>
      <c r="AN16" s="2"/>
      <c r="AO16" s="2"/>
      <c r="AP16" s="2"/>
      <c r="AQ16" s="874"/>
      <c r="AR16" s="1602"/>
      <c r="AS16" s="1602"/>
      <c r="AT16" s="1602"/>
      <c r="AU16" s="1608"/>
      <c r="AV16" s="1608"/>
      <c r="AW16" s="61"/>
      <c r="AX16" s="957"/>
      <c r="AY16" s="957"/>
      <c r="AZ16" s="58"/>
      <c r="BA16" s="2"/>
      <c r="BB16" s="2"/>
      <c r="BC16" s="2"/>
      <c r="BD16" s="2"/>
      <c r="BE16" s="2"/>
      <c r="BF16" s="2"/>
      <c r="BG16" s="2"/>
      <c r="BH16" s="2"/>
      <c r="BI16" s="2"/>
      <c r="BJ16" s="2"/>
      <c r="BK16" s="2"/>
      <c r="BL16" s="2"/>
      <c r="BM16" s="874"/>
      <c r="BN16" s="1602"/>
      <c r="BO16" s="1602"/>
      <c r="BP16" s="1602"/>
      <c r="BQ16" s="1608"/>
      <c r="BR16" s="1608"/>
      <c r="BS16" s="61"/>
      <c r="BT16" s="957"/>
      <c r="BU16" s="957"/>
      <c r="BV16" s="58"/>
      <c r="BW16" s="2"/>
      <c r="BX16" s="2"/>
      <c r="BY16" s="874"/>
      <c r="BZ16" s="1602"/>
      <c r="CA16" s="1602"/>
      <c r="CB16" s="1602"/>
      <c r="CC16" s="1608"/>
      <c r="CD16" s="1608"/>
      <c r="CE16" s="61"/>
      <c r="CF16" s="957"/>
      <c r="CG16" s="957"/>
      <c r="CH16" s="58"/>
      <c r="CI16" s="2"/>
      <c r="CJ16" s="2"/>
      <c r="CK16" s="2"/>
      <c r="CL16" s="2"/>
      <c r="CM16" s="874"/>
      <c r="CN16" s="1602"/>
      <c r="CO16" s="1602"/>
      <c r="CP16" s="1602"/>
      <c r="CQ16" s="1608"/>
      <c r="CR16" s="1608"/>
      <c r="CS16" s="61"/>
      <c r="CT16" s="77"/>
      <c r="CU16" s="58"/>
    </row>
    <row r="17" spans="1:99">
      <c r="A17" s="874" t="s">
        <v>460</v>
      </c>
      <c r="B17" s="2395">
        <v>0</v>
      </c>
      <c r="C17" s="2395">
        <v>0</v>
      </c>
      <c r="D17" s="2395">
        <v>0</v>
      </c>
      <c r="E17" s="201">
        <f t="shared" si="11"/>
        <v>0</v>
      </c>
      <c r="F17" s="1438"/>
      <c r="G17" s="1062"/>
      <c r="H17" s="1625">
        <f>+BYD!AZ639</f>
        <v>12.317</v>
      </c>
      <c r="I17" s="1625">
        <f>+BYD!AU639</f>
        <v>12.094232850000001</v>
      </c>
      <c r="J17" s="1438">
        <f t="shared" si="1"/>
        <v>1.8419287338262258E-2</v>
      </c>
      <c r="K17" s="1290"/>
      <c r="L17" s="2"/>
      <c r="M17" s="2"/>
      <c r="N17" s="2"/>
      <c r="O17" s="874" t="s">
        <v>460</v>
      </c>
      <c r="P17" s="2395">
        <v>0</v>
      </c>
      <c r="Q17" s="2395">
        <v>0</v>
      </c>
      <c r="R17" s="2395">
        <v>0</v>
      </c>
      <c r="S17" s="201">
        <f t="shared" si="8"/>
        <v>0</v>
      </c>
      <c r="T17" s="1438"/>
      <c r="U17" s="1062"/>
      <c r="V17" s="1625">
        <f>+BYD!AY639</f>
        <v>12.834896369999999</v>
      </c>
      <c r="W17" s="1625">
        <f>+BYD!AT639</f>
        <v>13.17312274</v>
      </c>
      <c r="X17" s="1438">
        <f t="shared" si="3"/>
        <v>-2.5675489151329445E-2</v>
      </c>
      <c r="Y17" s="1290"/>
      <c r="Z17" s="2"/>
      <c r="AA17" s="2"/>
      <c r="AB17" s="2"/>
      <c r="AC17" s="874" t="s">
        <v>460</v>
      </c>
      <c r="AD17" s="1623">
        <v>4.5671879100000004</v>
      </c>
      <c r="AE17" s="1623">
        <v>4.9605600000000001</v>
      </c>
      <c r="AF17" s="1623">
        <v>4.2594409800000008</v>
      </c>
      <c r="AG17" s="1607">
        <f t="shared" si="9"/>
        <v>13.787188890000001</v>
      </c>
      <c r="AH17" s="58">
        <f t="shared" si="4"/>
        <v>0.48671110855116062</v>
      </c>
      <c r="AI17" s="2"/>
      <c r="AJ17" s="1625">
        <f>+BYD!AX639</f>
        <v>13.787188890000001</v>
      </c>
      <c r="AK17" s="1625">
        <f>+BYD!AS639</f>
        <v>14.019160060000001</v>
      </c>
      <c r="AL17" s="58">
        <f t="shared" si="5"/>
        <v>-1.6546723841314059E-2</v>
      </c>
      <c r="AM17" s="2"/>
      <c r="AN17" s="2"/>
      <c r="AO17" s="2"/>
      <c r="AP17" s="2"/>
      <c r="AQ17" s="176" t="s">
        <v>1491</v>
      </c>
      <c r="AR17" s="1623">
        <v>42.088803999999996</v>
      </c>
      <c r="AS17" s="1623">
        <v>42.742936999999998</v>
      </c>
      <c r="AT17" s="1623">
        <v>54.043153000000004</v>
      </c>
      <c r="AU17" s="1607">
        <f>SUM(AR17:AT17)</f>
        <v>138.87489399999998</v>
      </c>
      <c r="AV17" s="58">
        <f>AU17/AU29-1</f>
        <v>-0.12867004925943348</v>
      </c>
      <c r="AW17" s="61"/>
      <c r="AX17" s="1627">
        <f>+BYD!AU900</f>
        <v>138.84200000000001</v>
      </c>
      <c r="AY17" s="1627">
        <f>+BYD!AP900</f>
        <v>157.71</v>
      </c>
      <c r="AZ17" s="58">
        <f>+AX17/AY17-1</f>
        <v>-0.11963730898484559</v>
      </c>
      <c r="BA17" s="2"/>
      <c r="BB17" s="1647">
        <f>+AZ17-AV17</f>
        <v>9.0327402745878915E-3</v>
      </c>
      <c r="BC17" s="2"/>
      <c r="BD17" s="2"/>
      <c r="BE17" s="2"/>
      <c r="BF17" s="2"/>
      <c r="BG17" s="2"/>
      <c r="BH17" s="2"/>
      <c r="BI17" s="2"/>
      <c r="BJ17" s="2"/>
      <c r="BK17" s="2"/>
      <c r="BL17" s="2"/>
      <c r="BM17" s="176" t="s">
        <v>1184</v>
      </c>
      <c r="BN17" s="1623">
        <v>49.681416999999996</v>
      </c>
      <c r="BO17" s="1623">
        <v>50.011417999999999</v>
      </c>
      <c r="BP17" s="1623">
        <v>53.312244</v>
      </c>
      <c r="BQ17" s="1607">
        <f>SUM(BN17:BP17)</f>
        <v>153.00507899999999</v>
      </c>
      <c r="BR17" s="58">
        <f>BQ17/BQ29-1</f>
        <v>-5.9927716985212154E-2</v>
      </c>
      <c r="BS17" s="61"/>
      <c r="BT17" s="1627">
        <f>+BYD!AS900</f>
        <v>152.47200000000001</v>
      </c>
      <c r="BU17" s="1627">
        <f>+BYD!AN900</f>
        <v>162.75884500000001</v>
      </c>
      <c r="BV17" s="58">
        <f>+BT17/BU17-1</f>
        <v>-6.3202985988257687E-2</v>
      </c>
      <c r="BW17" s="2"/>
      <c r="BX17" s="2"/>
      <c r="BY17" s="176" t="s">
        <v>1184</v>
      </c>
      <c r="BZ17" s="1623">
        <v>51.719395000000006</v>
      </c>
      <c r="CA17" s="1623">
        <v>50.382834000000003</v>
      </c>
      <c r="CB17" s="1623">
        <v>54.066219000000004</v>
      </c>
      <c r="CC17" s="1607">
        <f>SUM(BZ17:CB17)</f>
        <v>156.16844800000001</v>
      </c>
      <c r="CD17" s="58">
        <f>CC17/CC29-1</f>
        <v>2.7671296927814337E-2</v>
      </c>
      <c r="CE17" s="61"/>
      <c r="CF17" s="1627">
        <f>+BYD!AR900</f>
        <v>155.453</v>
      </c>
      <c r="CG17" s="1627">
        <f>+BYD!AM900</f>
        <v>151.85599999999999</v>
      </c>
      <c r="CH17" s="58">
        <f>+CF17/CG17-1</f>
        <v>2.3686913918449015E-2</v>
      </c>
      <c r="CI17" s="2"/>
      <c r="CJ17" s="2"/>
      <c r="CK17" s="2"/>
      <c r="CL17" s="2"/>
      <c r="CM17" s="176" t="s">
        <v>1184</v>
      </c>
      <c r="CN17" s="1596">
        <v>53.200239000000003</v>
      </c>
      <c r="CO17" s="1596">
        <v>50.278047000000001</v>
      </c>
      <c r="CP17" s="1596">
        <v>55.904384000000007</v>
      </c>
      <c r="CQ17" s="1607">
        <f t="shared" si="10"/>
        <v>159.38267000000002</v>
      </c>
      <c r="CR17" s="58">
        <f>CQ17/CQ29-1</f>
        <v>6.8162890865471892E-2</v>
      </c>
      <c r="CS17" s="61"/>
      <c r="CT17" s="207">
        <v>154.70936</v>
      </c>
      <c r="CU17" s="58">
        <f>CT17/CQ29-1</f>
        <v>3.684294673659938E-2</v>
      </c>
    </row>
    <row r="18" spans="1:99">
      <c r="A18" s="874" t="s">
        <v>459</v>
      </c>
      <c r="B18" s="2395">
        <v>14.398754740000001</v>
      </c>
      <c r="C18" s="2395">
        <v>14.786465550000001</v>
      </c>
      <c r="D18" s="2395">
        <v>14.610512120000001</v>
      </c>
      <c r="E18" s="201">
        <f t="shared" si="11"/>
        <v>43.795732410000006</v>
      </c>
      <c r="F18" s="1438">
        <f t="shared" si="0"/>
        <v>-2.9487433699654675E-2</v>
      </c>
      <c r="G18" s="1062"/>
      <c r="H18" s="1625">
        <f>+BYD!AZ669</f>
        <v>43.739665710000004</v>
      </c>
      <c r="I18" s="1625">
        <f>+BYD!AU669</f>
        <v>45.126393960000001</v>
      </c>
      <c r="J18" s="1438">
        <f t="shared" si="1"/>
        <v>-3.0729870665694992E-2</v>
      </c>
      <c r="K18" s="1290"/>
      <c r="L18" s="2"/>
      <c r="M18" s="2"/>
      <c r="N18" s="2"/>
      <c r="O18" s="874" t="s">
        <v>459</v>
      </c>
      <c r="P18" s="2395">
        <v>16.322496860000001</v>
      </c>
      <c r="Q18" s="2395">
        <v>16.410816459999999</v>
      </c>
      <c r="R18" s="2395">
        <v>14.428364870000001</v>
      </c>
      <c r="S18" s="201">
        <f t="shared" si="8"/>
        <v>47.161678190000003</v>
      </c>
      <c r="T18" s="1438">
        <f t="shared" si="2"/>
        <v>4.2857286556070129E-2</v>
      </c>
      <c r="U18" s="1062"/>
      <c r="V18" s="1625">
        <f>+BYD!AY669</f>
        <v>47.169313320000001</v>
      </c>
      <c r="W18" s="1625">
        <f>+BYD!AT669</f>
        <v>45.223520800000003</v>
      </c>
      <c r="X18" s="1438">
        <f t="shared" si="3"/>
        <v>4.3026117506534289E-2</v>
      </c>
      <c r="Y18" s="1290"/>
      <c r="Z18" s="2"/>
      <c r="AA18" s="2"/>
      <c r="AB18" s="2"/>
      <c r="AC18" s="874" t="s">
        <v>459</v>
      </c>
      <c r="AD18" s="1623">
        <v>17.18</v>
      </c>
      <c r="AE18" s="1623">
        <v>16.383698039999999</v>
      </c>
      <c r="AF18" s="1623">
        <v>16.383698039999999</v>
      </c>
      <c r="AG18" s="1607">
        <f t="shared" si="9"/>
        <v>49.947396079999997</v>
      </c>
      <c r="AH18" s="58">
        <f t="shared" si="4"/>
        <v>0.68442655210877201</v>
      </c>
      <c r="AI18" s="2"/>
      <c r="AJ18" s="1625">
        <f>+BYD!AX669</f>
        <v>49.947347819999997</v>
      </c>
      <c r="AK18" s="1625">
        <f>+BYD!AS669</f>
        <v>44.05313803</v>
      </c>
      <c r="AL18" s="58">
        <f t="shared" si="5"/>
        <v>0.13379772823416269</v>
      </c>
      <c r="AM18" s="2"/>
      <c r="AN18" s="2"/>
      <c r="AO18" s="2"/>
      <c r="AP18" s="2"/>
      <c r="AQ18" s="1"/>
      <c r="AR18" s="1598"/>
      <c r="AS18" s="1598"/>
      <c r="AT18" s="1598"/>
      <c r="AU18" s="1609"/>
      <c r="AV18" s="1609"/>
      <c r="AW18" s="61"/>
      <c r="AX18" s="61"/>
      <c r="AY18" s="61"/>
      <c r="AZ18" s="61"/>
      <c r="BA18" s="2"/>
      <c r="BB18" s="2"/>
      <c r="BC18" s="2"/>
      <c r="BD18" s="2"/>
      <c r="BE18" s="2"/>
      <c r="BF18" s="2"/>
      <c r="BG18" s="2"/>
      <c r="BH18" s="2"/>
      <c r="BI18" s="2"/>
      <c r="BJ18" s="2"/>
      <c r="BK18" s="2"/>
      <c r="BL18" s="2"/>
      <c r="BM18" s="1"/>
      <c r="BN18" s="1598"/>
      <c r="BO18" s="1598"/>
      <c r="BP18" s="1598"/>
      <c r="BQ18" s="1609"/>
      <c r="BR18" s="1609"/>
      <c r="BS18" s="61"/>
      <c r="BT18" s="61"/>
      <c r="BU18" s="61"/>
      <c r="BV18" s="61"/>
      <c r="BW18" s="2"/>
      <c r="BX18" s="2"/>
      <c r="BY18" s="1"/>
      <c r="BZ18" s="1598"/>
      <c r="CA18" s="1598"/>
      <c r="CB18" s="1598"/>
      <c r="CC18" s="1609"/>
      <c r="CD18" s="1609"/>
      <c r="CE18" s="61"/>
      <c r="CF18" s="61"/>
      <c r="CG18" s="61"/>
      <c r="CH18" s="61"/>
      <c r="CI18" s="2"/>
      <c r="CJ18" s="2"/>
      <c r="CK18" s="2"/>
      <c r="CL18" s="2"/>
      <c r="CM18" s="1"/>
      <c r="CN18" s="1598"/>
      <c r="CO18" s="1598"/>
      <c r="CP18" s="1598"/>
      <c r="CQ18" s="1609"/>
      <c r="CR18" s="1609"/>
      <c r="CS18" s="61"/>
      <c r="CT18" s="61"/>
      <c r="CU18" s="61"/>
    </row>
    <row r="19" spans="1:99" ht="3.75" customHeight="1">
      <c r="A19" s="874"/>
      <c r="B19" s="2400" t="s">
        <v>343</v>
      </c>
      <c r="C19" s="2400" t="s">
        <v>343</v>
      </c>
      <c r="D19" s="2400" t="s">
        <v>343</v>
      </c>
      <c r="E19" s="2401" t="s">
        <v>343</v>
      </c>
      <c r="F19" s="1438"/>
      <c r="G19" s="77"/>
      <c r="H19" s="1625"/>
      <c r="I19" s="1625"/>
      <c r="J19" s="1438"/>
      <c r="K19" s="105"/>
      <c r="L19" s="2"/>
      <c r="M19" s="2"/>
      <c r="N19" s="2"/>
      <c r="O19" s="874"/>
      <c r="P19" s="2400" t="s">
        <v>343</v>
      </c>
      <c r="Q19" s="2400" t="s">
        <v>343</v>
      </c>
      <c r="R19" s="2400" t="s">
        <v>343</v>
      </c>
      <c r="S19" s="2401" t="s">
        <v>343</v>
      </c>
      <c r="T19" s="1438"/>
      <c r="U19" s="77"/>
      <c r="V19" s="1625"/>
      <c r="W19" s="1625"/>
      <c r="X19" s="1438"/>
      <c r="Y19" s="105"/>
      <c r="Z19" s="2"/>
      <c r="AA19" s="2"/>
      <c r="AB19" s="2"/>
      <c r="AC19" s="874"/>
      <c r="AD19" s="1624" t="s">
        <v>343</v>
      </c>
      <c r="AE19" s="1624" t="s">
        <v>343</v>
      </c>
      <c r="AF19" s="1624" t="s">
        <v>343</v>
      </c>
      <c r="AG19" s="2325" t="s">
        <v>343</v>
      </c>
      <c r="AH19" s="58"/>
      <c r="AI19" s="61"/>
      <c r="AJ19" s="1625"/>
      <c r="AK19" s="1625"/>
      <c r="AL19" s="58"/>
      <c r="AM19" s="2"/>
      <c r="AN19" s="2"/>
      <c r="AO19" s="2"/>
      <c r="AP19" s="2"/>
      <c r="AQ19" s="2"/>
      <c r="AR19" s="1595"/>
      <c r="AS19" s="1595"/>
      <c r="AT19" s="1595"/>
      <c r="AU19" s="1595"/>
      <c r="AV19" s="1595"/>
      <c r="AW19" s="2"/>
      <c r="AX19" s="61"/>
      <c r="AY19" s="61"/>
      <c r="AZ19" s="2"/>
      <c r="BA19" s="2"/>
      <c r="BB19" s="2"/>
      <c r="BC19" s="2"/>
      <c r="BD19" s="2"/>
      <c r="BE19" s="2"/>
      <c r="BF19" s="2"/>
      <c r="BG19" s="2"/>
      <c r="BH19" s="2"/>
      <c r="BI19" s="2"/>
      <c r="BJ19" s="2"/>
      <c r="BK19" s="2"/>
      <c r="BL19" s="2"/>
      <c r="BM19" s="2"/>
      <c r="BN19" s="1595"/>
      <c r="BO19" s="1595"/>
      <c r="BP19" s="1595"/>
      <c r="BQ19" s="1595"/>
      <c r="BR19" s="1595"/>
      <c r="BS19" s="2"/>
      <c r="BT19" s="61"/>
      <c r="BU19" s="61"/>
      <c r="BV19" s="2"/>
      <c r="BW19" s="2"/>
      <c r="BX19" s="2"/>
      <c r="BY19" s="2"/>
      <c r="BZ19" s="1595"/>
      <c r="CA19" s="1595"/>
      <c r="CB19" s="1595"/>
      <c r="CC19" s="1595"/>
      <c r="CD19" s="1595"/>
      <c r="CE19" s="2"/>
      <c r="CF19" s="61"/>
      <c r="CG19" s="61"/>
      <c r="CH19" s="2"/>
      <c r="CI19" s="2"/>
      <c r="CJ19" s="2"/>
      <c r="CK19" s="2"/>
      <c r="CL19" s="2"/>
      <c r="CM19" s="2"/>
      <c r="CN19" s="1595"/>
      <c r="CO19" s="1595"/>
      <c r="CP19" s="1595"/>
      <c r="CQ19" s="1595"/>
      <c r="CR19" s="1595"/>
      <c r="CS19" s="2"/>
      <c r="CT19" s="61"/>
      <c r="CU19" s="2"/>
    </row>
    <row r="20" spans="1:99">
      <c r="A20" s="530" t="s">
        <v>1706</v>
      </c>
      <c r="B20" s="2402">
        <f>SUM(B9:B18)</f>
        <v>2640.6136302300001</v>
      </c>
      <c r="C20" s="2402">
        <f>SUM(C9:C18)</f>
        <v>2639.23610783</v>
      </c>
      <c r="D20" s="2450">
        <f>SUM(D9:D18)</f>
        <v>2635.5707054899999</v>
      </c>
      <c r="E20" s="1612">
        <f>SUM(E9:E18)</f>
        <v>7915.4204435499996</v>
      </c>
      <c r="F20" s="2403">
        <f>E20/E37-1</f>
        <v>-2.3798915029976664E-2</v>
      </c>
      <c r="G20" s="77"/>
      <c r="H20" s="1626">
        <f>SUM(H9:H18)</f>
        <v>264.26850605999999</v>
      </c>
      <c r="I20" s="1626">
        <f>SUM(I9:I18)</f>
        <v>281.47476508</v>
      </c>
      <c r="J20" s="2403">
        <f>+H20/I20-1</f>
        <v>-6.112895774194782E-2</v>
      </c>
      <c r="K20" s="105"/>
      <c r="L20" s="2"/>
      <c r="M20" s="2"/>
      <c r="N20" s="2"/>
      <c r="O20" s="530" t="s">
        <v>1706</v>
      </c>
      <c r="P20" s="2402">
        <f>SUM(P9:P18)</f>
        <v>2636.1951213000002</v>
      </c>
      <c r="Q20" s="2402">
        <f>SUM(Q9:Q18)</f>
        <v>2635.5986466400004</v>
      </c>
      <c r="R20" s="2450">
        <f>SUM(R9:R18)</f>
        <v>2627.9935823100004</v>
      </c>
      <c r="S20" s="1612">
        <f>SUM(S9:S18)</f>
        <v>7899.7873502499997</v>
      </c>
      <c r="T20" s="2403">
        <f>S20/S37-1</f>
        <v>-6.9579151821729246E-3</v>
      </c>
      <c r="U20" s="77"/>
      <c r="V20" s="1626">
        <f>SUM(V9:V18)</f>
        <v>286.13195407000001</v>
      </c>
      <c r="W20" s="1626">
        <f>SUM(W9:W18)</f>
        <v>297.94481686</v>
      </c>
      <c r="X20" s="2403">
        <f>+V20/W20-1</f>
        <v>-3.9647821078057865E-2</v>
      </c>
      <c r="Y20" s="105"/>
      <c r="Z20" s="2"/>
      <c r="AA20" s="2"/>
      <c r="AB20" s="2"/>
      <c r="AC20" s="530" t="s">
        <v>1706</v>
      </c>
      <c r="AD20" s="1600">
        <f>SUM(AD9:AD18)</f>
        <v>99.243281609999997</v>
      </c>
      <c r="AE20" s="1600">
        <f>SUM(AE9:AE18)</f>
        <v>85.08990704</v>
      </c>
      <c r="AF20" s="1600">
        <f>SUM(AF9:AF18)</f>
        <v>83.083012729999993</v>
      </c>
      <c r="AG20" s="1609">
        <f>SUM(AG9:AG18)</f>
        <v>267.41620138000002</v>
      </c>
      <c r="AH20" s="1610">
        <f>AG20/AG37-1</f>
        <v>0.33585716289644818</v>
      </c>
      <c r="AI20" s="61"/>
      <c r="AJ20" s="1626">
        <f>SUM(AJ9:AJ18)</f>
        <v>296.45321811999997</v>
      </c>
      <c r="AK20" s="1626">
        <f>SUM(AK9:AK18)</f>
        <v>300.74343586000003</v>
      </c>
      <c r="AL20" s="58">
        <f>+AJ20/AK20-1</f>
        <v>-1.4265374496809313E-2</v>
      </c>
      <c r="AM20" s="2"/>
      <c r="AN20" s="2"/>
      <c r="AO20" s="2"/>
      <c r="AP20" s="2"/>
      <c r="AQ20" s="111" t="s">
        <v>286</v>
      </c>
      <c r="AR20" s="1611">
        <f>+AR8-365</f>
        <v>40818</v>
      </c>
      <c r="AS20" s="1611">
        <f>+AS8-365</f>
        <v>40849</v>
      </c>
      <c r="AT20" s="1611">
        <f>+AT8-365</f>
        <v>40879</v>
      </c>
      <c r="AU20" s="1359" t="s">
        <v>310</v>
      </c>
      <c r="AV20" s="83"/>
      <c r="AW20" s="2"/>
      <c r="AX20" s="61"/>
      <c r="AY20" s="61"/>
      <c r="AZ20" s="2"/>
      <c r="BA20" s="2"/>
      <c r="BB20" s="2"/>
      <c r="BC20" s="2"/>
      <c r="BD20" s="2"/>
      <c r="BE20" s="2"/>
      <c r="BF20" s="2"/>
      <c r="BG20" s="2"/>
      <c r="BH20" s="2"/>
      <c r="BI20" s="2"/>
      <c r="BJ20" s="2"/>
      <c r="BK20" s="2"/>
      <c r="BL20" s="2"/>
      <c r="BM20" s="111" t="s">
        <v>286</v>
      </c>
      <c r="BN20" s="1611">
        <f>+BN8-365</f>
        <v>40635</v>
      </c>
      <c r="BO20" s="1611">
        <f>+BO8-365</f>
        <v>40665</v>
      </c>
      <c r="BP20" s="1611">
        <f>+BP8-365</f>
        <v>40696</v>
      </c>
      <c r="BQ20" s="1359" t="s">
        <v>310</v>
      </c>
      <c r="BR20" s="83"/>
      <c r="BS20" s="2"/>
      <c r="BT20" s="61"/>
      <c r="BU20" s="61"/>
      <c r="BV20" s="2"/>
      <c r="BW20" s="2"/>
      <c r="BX20" s="2"/>
      <c r="BY20" s="111" t="s">
        <v>286</v>
      </c>
      <c r="BZ20" s="1611">
        <v>40544</v>
      </c>
      <c r="CA20" s="1611">
        <v>40575</v>
      </c>
      <c r="CB20" s="1611">
        <v>40603</v>
      </c>
      <c r="CC20" s="1359" t="s">
        <v>310</v>
      </c>
      <c r="CD20" s="83"/>
      <c r="CE20" s="2"/>
      <c r="CF20" s="61"/>
      <c r="CG20" s="61"/>
      <c r="CH20" s="2"/>
      <c r="CI20" s="2"/>
      <c r="CJ20" s="2"/>
      <c r="CK20" s="2"/>
      <c r="CL20" s="2"/>
      <c r="CM20" s="111" t="s">
        <v>286</v>
      </c>
      <c r="CN20" s="1611">
        <v>40452</v>
      </c>
      <c r="CO20" s="1611">
        <v>40483</v>
      </c>
      <c r="CP20" s="1611">
        <v>40513</v>
      </c>
      <c r="CQ20" s="1359" t="s">
        <v>310</v>
      </c>
      <c r="CR20" s="83"/>
      <c r="CS20" s="2"/>
      <c r="CT20" s="61"/>
      <c r="CU20" s="2"/>
    </row>
    <row r="21" spans="1:99">
      <c r="A21" s="874"/>
      <c r="B21" s="2404"/>
      <c r="C21" s="2404"/>
      <c r="D21" s="2404"/>
      <c r="E21" s="888"/>
      <c r="F21" s="888"/>
      <c r="G21" s="77"/>
      <c r="H21" s="957"/>
      <c r="I21" s="957"/>
      <c r="J21" s="1438"/>
      <c r="K21" s="105"/>
      <c r="L21" s="2"/>
      <c r="M21" s="2"/>
      <c r="N21" s="2"/>
      <c r="O21" s="874"/>
      <c r="P21" s="2404"/>
      <c r="Q21" s="2404"/>
      <c r="R21" s="2404"/>
      <c r="S21" s="888"/>
      <c r="T21" s="888"/>
      <c r="U21" s="77"/>
      <c r="V21" s="957"/>
      <c r="W21" s="957"/>
      <c r="X21" s="1438"/>
      <c r="Y21" s="105"/>
      <c r="Z21" s="2"/>
      <c r="AA21" s="2"/>
      <c r="AB21" s="2"/>
      <c r="AC21" s="874"/>
      <c r="AD21" s="1602"/>
      <c r="AE21" s="1602"/>
      <c r="AF21" s="1602"/>
      <c r="AG21" s="1608"/>
      <c r="AH21" s="1608"/>
      <c r="AI21" s="61"/>
      <c r="AJ21" s="957"/>
      <c r="AK21" s="957"/>
      <c r="AL21" s="58"/>
      <c r="AM21" s="2"/>
      <c r="AN21" s="2"/>
      <c r="AO21" s="2"/>
      <c r="AP21" s="2"/>
      <c r="AQ21" s="674" t="s">
        <v>873</v>
      </c>
      <c r="AR21" s="1623">
        <v>9.3960000000000008</v>
      </c>
      <c r="AS21" s="1623">
        <v>8.641</v>
      </c>
      <c r="AT21" s="1623">
        <v>9.0249999999999986</v>
      </c>
      <c r="AU21" s="1291">
        <f>SUM(AR21:AT21)</f>
        <v>27.061999999999998</v>
      </c>
      <c r="AV21" s="1607"/>
      <c r="AW21" s="2"/>
      <c r="AX21" s="61"/>
      <c r="AY21" s="61"/>
      <c r="AZ21" s="2"/>
      <c r="BA21" s="2"/>
      <c r="BB21" s="2"/>
      <c r="BC21" s="2"/>
      <c r="BD21" s="2"/>
      <c r="BE21" s="2"/>
      <c r="BF21" s="2"/>
      <c r="BG21" s="2"/>
      <c r="BH21" s="2"/>
      <c r="BI21" s="2"/>
      <c r="BJ21" s="2"/>
      <c r="BK21" s="2"/>
      <c r="BL21" s="2"/>
      <c r="BM21" s="674" t="s">
        <v>873</v>
      </c>
      <c r="BN21" s="1623">
        <v>10.64</v>
      </c>
      <c r="BO21" s="1623">
        <v>9.4079999999999995</v>
      </c>
      <c r="BP21" s="1623">
        <v>9.5229999999999997</v>
      </c>
      <c r="BQ21" s="1291">
        <f>SUM(BN21:BP21)</f>
        <v>29.571000000000002</v>
      </c>
      <c r="BR21" s="1607"/>
      <c r="BS21" s="2"/>
      <c r="BT21" s="61"/>
      <c r="BU21" s="61"/>
      <c r="BV21" s="2"/>
      <c r="BW21" s="2"/>
      <c r="BX21" s="2"/>
      <c r="BY21" s="674" t="s">
        <v>873</v>
      </c>
      <c r="BZ21" s="1623">
        <v>9.2070000000000007</v>
      </c>
      <c r="CA21" s="1623">
        <v>9.4440000000000008</v>
      </c>
      <c r="CB21" s="1623">
        <v>10.672999999999998</v>
      </c>
      <c r="CC21" s="1291">
        <f>SUM(BZ21:CB21)</f>
        <v>29.324000000000002</v>
      </c>
      <c r="CD21" s="1607"/>
      <c r="CE21" s="2"/>
      <c r="CF21" s="61"/>
      <c r="CG21" s="61"/>
      <c r="CH21" s="2"/>
      <c r="CI21" s="2"/>
      <c r="CJ21" s="2"/>
      <c r="CK21" s="2"/>
      <c r="CL21" s="2"/>
      <c r="CM21" s="674" t="s">
        <v>873</v>
      </c>
      <c r="CN21" s="1596">
        <v>10.151</v>
      </c>
      <c r="CO21" s="1596">
        <v>8.7910000000000004</v>
      </c>
      <c r="CP21" s="1596">
        <v>8.4080000000000013</v>
      </c>
      <c r="CQ21" s="1291">
        <f>SUM(CN21:CP21)</f>
        <v>27.35</v>
      </c>
      <c r="CR21" s="1607"/>
      <c r="CS21" s="2"/>
      <c r="CT21" s="61"/>
      <c r="CU21" s="2"/>
    </row>
    <row r="22" spans="1:99">
      <c r="A22" s="176" t="s">
        <v>1491</v>
      </c>
      <c r="B22" s="2395">
        <v>47.626326999999996</v>
      </c>
      <c r="C22" s="2395">
        <v>50.818572000000003</v>
      </c>
      <c r="D22" s="2395">
        <v>44.061717000000002</v>
      </c>
      <c r="E22" s="201">
        <f>SUM(B22:D22)</f>
        <v>142.50661600000001</v>
      </c>
      <c r="F22" s="1438">
        <f>E22/E39-1</f>
        <v>2.6151033461815132E-2</v>
      </c>
      <c r="G22" s="77"/>
      <c r="H22" s="1627">
        <f>+BYD!AZ900</f>
        <v>143.69200000000001</v>
      </c>
      <c r="I22" s="1627">
        <f>+BYD!AU900</f>
        <v>138.84200000000001</v>
      </c>
      <c r="J22" s="1438">
        <f>+H22/I22-1</f>
        <v>3.4931792973307729E-2</v>
      </c>
      <c r="K22" s="105"/>
      <c r="L22" s="2"/>
      <c r="M22" s="2"/>
      <c r="N22" s="2"/>
      <c r="O22" s="176" t="s">
        <v>1491</v>
      </c>
      <c r="P22" s="2395">
        <v>64.254711999999998</v>
      </c>
      <c r="Q22" s="2395">
        <v>62.624742999999995</v>
      </c>
      <c r="R22" s="2395">
        <v>51.757951000000006</v>
      </c>
      <c r="S22" s="201">
        <f>SUM(P22:R22)</f>
        <v>178.637406</v>
      </c>
      <c r="T22" s="1438">
        <f>S22/S39-1</f>
        <v>8.4998250396694619E-2</v>
      </c>
      <c r="U22" s="77"/>
      <c r="V22" s="1627">
        <f>+BYD!AY900</f>
        <v>176.982</v>
      </c>
      <c r="W22" s="1627">
        <f>+BYD!AT900</f>
        <v>162.36000000000001</v>
      </c>
      <c r="X22" s="1438">
        <f>+V22/W22-1</f>
        <v>9.0059127864005717E-2</v>
      </c>
      <c r="Y22" s="105"/>
      <c r="Z22" s="2"/>
      <c r="AA22" s="2"/>
      <c r="AB22" s="2"/>
      <c r="AC22" s="176" t="s">
        <v>1491</v>
      </c>
      <c r="AD22" s="1623">
        <v>48.922516999999999</v>
      </c>
      <c r="AE22" s="1623">
        <v>52.434750999999999</v>
      </c>
      <c r="AF22" s="1623">
        <v>48.587101000000004</v>
      </c>
      <c r="AG22" s="1607">
        <f>SUM(AD22:AF22)</f>
        <v>149.94436899999999</v>
      </c>
      <c r="AH22" s="58">
        <f>AG22/AG39-1</f>
        <v>0.50406364710161955</v>
      </c>
      <c r="AI22" s="61"/>
      <c r="AJ22" s="1627">
        <f>+BYD!AX900</f>
        <v>149.38200000000001</v>
      </c>
      <c r="AK22" s="1627">
        <f>+BYD!AS900</f>
        <v>152.47200000000001</v>
      </c>
      <c r="AL22" s="58">
        <f>+AJ22/AK22-1</f>
        <v>-2.0266016055406899E-2</v>
      </c>
      <c r="AM22" s="2"/>
      <c r="AN22" s="2"/>
      <c r="AO22" s="2"/>
      <c r="AP22" s="2"/>
      <c r="AQ22" s="674" t="s">
        <v>632</v>
      </c>
      <c r="AR22" s="1623">
        <v>8.8733808300000003</v>
      </c>
      <c r="AS22" s="1623">
        <v>8.0215478999999998</v>
      </c>
      <c r="AT22" s="1623">
        <v>8.4873303300000007</v>
      </c>
      <c r="AU22" s="1291">
        <f>SUM(AR22:AT22)</f>
        <v>25.382259060000003</v>
      </c>
      <c r="AV22" s="1607"/>
      <c r="AW22" s="2"/>
      <c r="AX22" s="61"/>
      <c r="AY22" s="61"/>
      <c r="AZ22" s="2"/>
      <c r="BA22" s="2"/>
      <c r="BB22" s="2"/>
      <c r="BC22" s="2"/>
      <c r="BD22" s="2"/>
      <c r="BE22" s="2"/>
      <c r="BF22" s="2"/>
      <c r="BG22" s="2"/>
      <c r="BH22" s="2"/>
      <c r="BI22" s="2"/>
      <c r="BJ22" s="2"/>
      <c r="BK22" s="2"/>
      <c r="BL22" s="2"/>
      <c r="BM22" s="674" t="s">
        <v>632</v>
      </c>
      <c r="BN22" s="1623">
        <v>9.5515886099999996</v>
      </c>
      <c r="BO22" s="1623">
        <v>9.6369053900000008</v>
      </c>
      <c r="BP22" s="1623">
        <v>9.1008379000000001</v>
      </c>
      <c r="BQ22" s="1291">
        <f>SUM(BN22:BP22)</f>
        <v>28.289331900000001</v>
      </c>
      <c r="BR22" s="1607"/>
      <c r="BS22" s="2"/>
      <c r="BT22" s="61"/>
      <c r="BU22" s="61"/>
      <c r="BV22" s="2"/>
      <c r="BW22" s="2"/>
      <c r="BX22" s="2"/>
      <c r="BY22" s="674" t="s">
        <v>632</v>
      </c>
      <c r="BZ22" s="1623">
        <v>8.6169539700000009</v>
      </c>
      <c r="CA22" s="1623">
        <v>8.7657558699999996</v>
      </c>
      <c r="CB22" s="1623">
        <v>9.7533310400000008</v>
      </c>
      <c r="CC22" s="1291">
        <f>SUM(BZ22:CB22)</f>
        <v>27.136040880000003</v>
      </c>
      <c r="CD22" s="1607"/>
      <c r="CE22" s="2"/>
      <c r="CF22" s="61"/>
      <c r="CG22" s="61"/>
      <c r="CH22" s="2"/>
      <c r="CI22" s="2"/>
      <c r="CJ22" s="2"/>
      <c r="CK22" s="2"/>
      <c r="CL22" s="2"/>
      <c r="CM22" s="674" t="s">
        <v>632</v>
      </c>
      <c r="CN22" s="1596">
        <v>9.0885933300000001</v>
      </c>
      <c r="CO22" s="1596">
        <v>8.6447211400000015</v>
      </c>
      <c r="CP22" s="1596">
        <v>8.2373965699999996</v>
      </c>
      <c r="CQ22" s="1291">
        <f t="shared" ref="CQ22:CQ29" si="12">SUM(CN22:CP22)</f>
        <v>25.970711040000005</v>
      </c>
      <c r="CR22" s="1607"/>
      <c r="CS22" s="2"/>
      <c r="CT22" s="61"/>
      <c r="CU22" s="2"/>
    </row>
    <row r="23" spans="1:99">
      <c r="A23" s="1"/>
      <c r="B23" s="2396"/>
      <c r="C23" s="2396"/>
      <c r="D23" s="2396"/>
      <c r="E23" s="1612"/>
      <c r="F23" s="1612"/>
      <c r="G23" s="77"/>
      <c r="H23" s="77"/>
      <c r="I23" s="77"/>
      <c r="J23" s="77"/>
      <c r="K23" s="105"/>
      <c r="L23" s="2"/>
      <c r="M23" s="2"/>
      <c r="N23" s="2"/>
      <c r="O23" s="1"/>
      <c r="P23" s="2396"/>
      <c r="Q23" s="2396"/>
      <c r="R23" s="2396"/>
      <c r="S23" s="1612"/>
      <c r="T23" s="1612"/>
      <c r="U23" s="77"/>
      <c r="V23" s="77"/>
      <c r="W23" s="77"/>
      <c r="X23" s="77"/>
      <c r="Y23" s="105"/>
      <c r="Z23" s="2"/>
      <c r="AA23" s="2"/>
      <c r="AB23" s="2"/>
      <c r="AC23" s="1"/>
      <c r="AD23" s="1598"/>
      <c r="AE23" s="1598"/>
      <c r="AF23" s="1598"/>
      <c r="AG23" s="1609"/>
      <c r="AH23" s="1609"/>
      <c r="AI23" s="61"/>
      <c r="AJ23" s="61"/>
      <c r="AK23" s="61"/>
      <c r="AL23" s="61"/>
      <c r="AM23" s="2"/>
      <c r="AN23" s="2"/>
      <c r="AO23" s="2"/>
      <c r="AP23" s="2"/>
      <c r="AQ23" s="674" t="s">
        <v>917</v>
      </c>
      <c r="AR23" s="1623">
        <v>12.556964000000001</v>
      </c>
      <c r="AS23" s="1623">
        <v>14.952693999999999</v>
      </c>
      <c r="AT23" s="1623">
        <v>15.990307</v>
      </c>
      <c r="AU23" s="1291">
        <f>SUM(AR23:AT23)</f>
        <v>43.499965000000003</v>
      </c>
      <c r="AV23" s="1607"/>
      <c r="AW23" s="2"/>
      <c r="AX23" s="61"/>
      <c r="AY23" s="61"/>
      <c r="AZ23" s="2"/>
      <c r="BA23" s="2"/>
      <c r="BB23" s="2"/>
      <c r="BC23" s="2"/>
      <c r="BD23" s="2"/>
      <c r="BE23" s="2"/>
      <c r="BF23" s="2"/>
      <c r="BG23" s="2"/>
      <c r="BH23" s="2"/>
      <c r="BI23" s="2"/>
      <c r="BJ23" s="2"/>
      <c r="BK23" s="2"/>
      <c r="BL23" s="2"/>
      <c r="BM23" s="674" t="s">
        <v>917</v>
      </c>
      <c r="BN23" s="1623">
        <v>15.350346</v>
      </c>
      <c r="BO23" s="1623">
        <v>14.667920000000001</v>
      </c>
      <c r="BP23" s="1623">
        <v>13.935214999999999</v>
      </c>
      <c r="BQ23" s="1291">
        <f>SUM(BN23:BP23)</f>
        <v>43.953480999999996</v>
      </c>
      <c r="BR23" s="1607"/>
      <c r="BS23" s="2"/>
      <c r="BT23" s="61"/>
      <c r="BU23" s="61"/>
      <c r="BV23" s="2"/>
      <c r="BW23" s="2"/>
      <c r="BX23" s="2"/>
      <c r="BY23" s="674" t="s">
        <v>917</v>
      </c>
      <c r="BZ23" s="1623">
        <v>12.294632999999999</v>
      </c>
      <c r="CA23" s="1623">
        <v>13.561178</v>
      </c>
      <c r="CB23" s="1623">
        <v>15.514196999999999</v>
      </c>
      <c r="CC23" s="1291">
        <f>SUM(BZ23:CB23)</f>
        <v>41.370007999999999</v>
      </c>
      <c r="CD23" s="1607"/>
      <c r="CE23" s="2"/>
      <c r="CF23" s="61"/>
      <c r="CG23" s="61"/>
      <c r="CH23" s="2"/>
      <c r="CI23" s="2"/>
      <c r="CJ23" s="2"/>
      <c r="CK23" s="2"/>
      <c r="CL23" s="2"/>
      <c r="CM23" s="674" t="s">
        <v>917</v>
      </c>
      <c r="CN23" s="1596">
        <v>14.957554999999999</v>
      </c>
      <c r="CO23" s="1596">
        <v>13.542747</v>
      </c>
      <c r="CP23" s="1596">
        <v>13.015565</v>
      </c>
      <c r="CQ23" s="1291">
        <f t="shared" si="12"/>
        <v>41.515867</v>
      </c>
      <c r="CR23" s="1607"/>
      <c r="CS23" s="2"/>
      <c r="CT23" s="61"/>
      <c r="CU23" s="2"/>
    </row>
    <row r="24" spans="1:99">
      <c r="A24" s="2"/>
      <c r="B24" s="1704"/>
      <c r="C24" s="1704"/>
      <c r="D24" s="1704"/>
      <c r="E24" s="1704"/>
      <c r="F24" s="1704"/>
      <c r="G24" s="1062"/>
      <c r="H24" s="77"/>
      <c r="I24" s="77"/>
      <c r="J24" s="2449"/>
      <c r="K24" s="105"/>
      <c r="L24" s="2"/>
      <c r="M24" s="2"/>
      <c r="N24" s="2"/>
      <c r="O24" s="2"/>
      <c r="P24" s="1704"/>
      <c r="Q24" s="1704"/>
      <c r="R24" s="1704"/>
      <c r="S24" s="1704"/>
      <c r="T24" s="1704"/>
      <c r="U24" s="1062"/>
      <c r="V24" s="77"/>
      <c r="W24" s="77"/>
      <c r="X24" s="2449"/>
      <c r="Y24" s="105"/>
      <c r="Z24" s="2"/>
      <c r="AA24" s="2"/>
      <c r="AB24" s="2"/>
      <c r="AC24" s="2"/>
      <c r="AD24" s="1595"/>
      <c r="AE24" s="1595"/>
      <c r="AF24" s="1595"/>
      <c r="AG24" s="1595"/>
      <c r="AH24" s="1595"/>
      <c r="AI24" s="2"/>
      <c r="AJ24" s="61"/>
      <c r="AK24" s="61"/>
      <c r="AL24" s="2"/>
      <c r="AM24" s="2"/>
      <c r="AN24" s="2"/>
      <c r="AO24" s="2"/>
      <c r="AP24" s="2"/>
      <c r="AQ24" s="674" t="s">
        <v>775</v>
      </c>
      <c r="AR24" s="1623">
        <v>14.350273250000001</v>
      </c>
      <c r="AS24" s="1623">
        <v>13.76363291</v>
      </c>
      <c r="AT24" s="1623">
        <v>14.06474852</v>
      </c>
      <c r="AU24" s="1291">
        <f>SUM(AR24:AT24)</f>
        <v>42.178654680000001</v>
      </c>
      <c r="AV24" s="1607"/>
      <c r="AW24" s="2"/>
      <c r="AX24" s="61"/>
      <c r="AY24" s="61"/>
      <c r="AZ24" s="2"/>
      <c r="BA24" s="2"/>
      <c r="BB24" s="2"/>
      <c r="BC24" s="2"/>
      <c r="BD24" s="2"/>
      <c r="BE24" s="2"/>
      <c r="BF24" s="2"/>
      <c r="BG24" s="2"/>
      <c r="BH24" s="2"/>
      <c r="BI24" s="2"/>
      <c r="BJ24" s="2"/>
      <c r="BK24" s="2"/>
      <c r="BL24" s="2"/>
      <c r="BM24" s="674" t="s">
        <v>775</v>
      </c>
      <c r="BN24" s="1623">
        <v>2621</v>
      </c>
      <c r="BO24" s="1623">
        <v>2621</v>
      </c>
      <c r="BP24" s="1623">
        <v>2621</v>
      </c>
      <c r="BQ24" s="1291">
        <f>SUM(BN24:BP24)</f>
        <v>7863</v>
      </c>
      <c r="BR24" s="1607"/>
      <c r="BS24" s="2"/>
      <c r="BT24" s="61"/>
      <c r="BU24" s="61"/>
      <c r="BV24" s="2"/>
      <c r="BW24" s="2"/>
      <c r="BX24" s="2"/>
      <c r="BY24" s="674" t="s">
        <v>775</v>
      </c>
      <c r="BZ24" s="1623">
        <v>2620</v>
      </c>
      <c r="CA24" s="1623">
        <v>2620</v>
      </c>
      <c r="CB24" s="1623">
        <v>2620</v>
      </c>
      <c r="CC24" s="1291">
        <f>SUM(BZ24:CB24)</f>
        <v>7860</v>
      </c>
      <c r="CD24" s="1607"/>
      <c r="CE24" s="2"/>
      <c r="CF24" s="61"/>
      <c r="CG24" s="61"/>
      <c r="CH24" s="2"/>
      <c r="CI24" s="2"/>
      <c r="CJ24" s="2"/>
      <c r="CK24" s="2"/>
      <c r="CL24" s="2"/>
      <c r="CM24" s="674" t="s">
        <v>775</v>
      </c>
      <c r="CN24" s="1596">
        <v>13.94300239</v>
      </c>
      <c r="CO24" s="1596">
        <v>12.44702732</v>
      </c>
      <c r="CP24" s="1596">
        <v>13.60293336</v>
      </c>
      <c r="CQ24" s="1291">
        <f t="shared" si="12"/>
        <v>39.992963070000002</v>
      </c>
      <c r="CR24" s="1607"/>
      <c r="CS24" s="2"/>
      <c r="CT24" s="61"/>
      <c r="CU24" s="2"/>
    </row>
    <row r="25" spans="1:99">
      <c r="A25" s="111" t="s">
        <v>286</v>
      </c>
      <c r="B25" s="2397">
        <f>+B8-365</f>
        <v>41183</v>
      </c>
      <c r="C25" s="2397">
        <f>+C8-365</f>
        <v>41214</v>
      </c>
      <c r="D25" s="2397">
        <f>+D8-365</f>
        <v>41244</v>
      </c>
      <c r="E25" s="2398" t="s">
        <v>310</v>
      </c>
      <c r="F25" s="2399"/>
      <c r="G25" s="1062"/>
      <c r="H25" s="77"/>
      <c r="I25" s="77"/>
      <c r="J25" s="1062"/>
      <c r="K25" s="105"/>
      <c r="L25" s="2"/>
      <c r="M25" s="2"/>
      <c r="N25" s="2"/>
      <c r="O25" s="111" t="s">
        <v>286</v>
      </c>
      <c r="P25" s="2397">
        <f>+P8-365</f>
        <v>41091</v>
      </c>
      <c r="Q25" s="2397">
        <f>+Q8-365</f>
        <v>41122</v>
      </c>
      <c r="R25" s="2397">
        <f>+R8-365</f>
        <v>41153</v>
      </c>
      <c r="S25" s="2398" t="s">
        <v>310</v>
      </c>
      <c r="T25" s="2399"/>
      <c r="U25" s="1062"/>
      <c r="V25" s="77"/>
      <c r="W25" s="77"/>
      <c r="X25" s="1062"/>
      <c r="Y25" s="105"/>
      <c r="Z25" s="2"/>
      <c r="AA25" s="2"/>
      <c r="AB25" s="2"/>
      <c r="AC25" s="111" t="s">
        <v>286</v>
      </c>
      <c r="AD25" s="1611">
        <f>+AD8-365</f>
        <v>41000</v>
      </c>
      <c r="AE25" s="1611">
        <f>+AE8-365</f>
        <v>41030</v>
      </c>
      <c r="AF25" s="1611">
        <f>+AF8-365</f>
        <v>41061</v>
      </c>
      <c r="AG25" s="1359" t="s">
        <v>310</v>
      </c>
      <c r="AH25" s="83"/>
      <c r="AI25" s="2"/>
      <c r="AJ25" s="61"/>
      <c r="AK25" s="61"/>
      <c r="AL25" s="2"/>
      <c r="AM25" s="2"/>
      <c r="AN25" s="2"/>
      <c r="AO25" s="2"/>
      <c r="AP25" s="2"/>
      <c r="AQ25" s="874" t="s">
        <v>1302</v>
      </c>
      <c r="AR25" s="1623">
        <v>8.9185582200000013</v>
      </c>
      <c r="AS25" s="1623">
        <v>8.4913793699999989</v>
      </c>
      <c r="AT25" s="1623">
        <v>9.6883095800000003</v>
      </c>
      <c r="AU25" s="1291">
        <f>SUM(AR25:AT25)</f>
        <v>27.09824717</v>
      </c>
      <c r="AV25" s="1608"/>
      <c r="AW25" s="2"/>
      <c r="AX25" s="61"/>
      <c r="AY25" s="61"/>
      <c r="AZ25" s="2"/>
      <c r="BA25" s="2"/>
      <c r="BB25" s="2"/>
      <c r="BC25" s="2"/>
      <c r="BD25" s="2"/>
      <c r="BE25" s="2"/>
      <c r="BF25" s="2"/>
      <c r="BG25" s="2"/>
      <c r="BH25" s="2"/>
      <c r="BI25" s="2"/>
      <c r="BJ25" s="2"/>
      <c r="BK25" s="2"/>
      <c r="BL25" s="2"/>
      <c r="BM25" s="874" t="s">
        <v>1302</v>
      </c>
      <c r="BN25" s="1623">
        <v>9.3637315399999999</v>
      </c>
      <c r="BO25" s="1623">
        <v>9.7579636500000007</v>
      </c>
      <c r="BP25" s="1623">
        <v>9.6794881000000004</v>
      </c>
      <c r="BQ25" s="1291">
        <f>SUM(BN25:BP25)</f>
        <v>28.801183290000001</v>
      </c>
      <c r="BR25" s="1608"/>
      <c r="BS25" s="2"/>
      <c r="BT25" s="61"/>
      <c r="BU25" s="61"/>
      <c r="BV25" s="2"/>
      <c r="BW25" s="2"/>
      <c r="BX25" s="2"/>
      <c r="BY25" s="874" t="s">
        <v>1302</v>
      </c>
      <c r="BZ25" s="1623">
        <v>9.1517586300000016</v>
      </c>
      <c r="CA25" s="1623">
        <v>9.9632290500000007</v>
      </c>
      <c r="CB25" s="1623">
        <v>10.690427059999999</v>
      </c>
      <c r="CC25" s="1291">
        <f>SUM(BZ25:CB25)</f>
        <v>29.805414740000003</v>
      </c>
      <c r="CD25" s="1608"/>
      <c r="CE25" s="2"/>
      <c r="CF25" s="61"/>
      <c r="CG25" s="61"/>
      <c r="CH25" s="2"/>
      <c r="CI25" s="2"/>
      <c r="CJ25" s="2"/>
      <c r="CK25" s="2"/>
      <c r="CL25" s="2"/>
      <c r="CM25" s="874" t="s">
        <v>1302</v>
      </c>
      <c r="CN25" s="1596">
        <v>9.8598030199999993</v>
      </c>
      <c r="CO25" s="1596">
        <v>9.1124281600000003</v>
      </c>
      <c r="CP25" s="1596">
        <v>10.15087435</v>
      </c>
      <c r="CQ25" s="1291">
        <f t="shared" si="12"/>
        <v>29.123105530000004</v>
      </c>
      <c r="CR25" s="1608"/>
      <c r="CS25" s="2"/>
      <c r="CT25" s="61"/>
      <c r="CU25" s="2"/>
    </row>
    <row r="26" spans="1:99" ht="15.75" customHeight="1">
      <c r="A26" s="674" t="s">
        <v>873</v>
      </c>
      <c r="B26" s="2395">
        <v>9.2089999999999996</v>
      </c>
      <c r="C26" s="2395">
        <v>9.2170000000000005</v>
      </c>
      <c r="D26" s="2395">
        <v>9.0489999999999995</v>
      </c>
      <c r="E26" s="375">
        <f>SUM(B26:D26)</f>
        <v>27.475000000000001</v>
      </c>
      <c r="F26" s="201"/>
      <c r="G26" s="1062"/>
      <c r="H26" s="77"/>
      <c r="I26" s="77"/>
      <c r="J26" s="1062"/>
      <c r="K26" s="105"/>
      <c r="L26" s="2"/>
      <c r="M26" s="2"/>
      <c r="N26" s="2"/>
      <c r="O26" s="674" t="s">
        <v>873</v>
      </c>
      <c r="P26" s="2395">
        <v>9.9640000000000004</v>
      </c>
      <c r="Q26" s="2395">
        <v>9.8209999999999997</v>
      </c>
      <c r="R26" s="2395">
        <v>9.4969999999999999</v>
      </c>
      <c r="S26" s="375">
        <f>SUM(P26:R26)</f>
        <v>29.282</v>
      </c>
      <c r="T26" s="201"/>
      <c r="U26" s="1062"/>
      <c r="V26" s="77"/>
      <c r="W26" s="77"/>
      <c r="X26" s="1062"/>
      <c r="Y26" s="105"/>
      <c r="Z26" s="2"/>
      <c r="AA26" s="2"/>
      <c r="AB26" s="2"/>
      <c r="AC26" s="674" t="s">
        <v>873</v>
      </c>
      <c r="AD26" s="1623">
        <v>9.7880000000000003</v>
      </c>
      <c r="AE26" s="1623">
        <v>9.8239999999999998</v>
      </c>
      <c r="AF26" s="1623"/>
      <c r="AG26" s="1291">
        <f>SUM(AD26:AF26)</f>
        <v>19.612000000000002</v>
      </c>
      <c r="AH26" s="1607"/>
      <c r="AI26" s="2"/>
      <c r="AJ26" s="61"/>
      <c r="AK26" s="61"/>
      <c r="AL26" s="2"/>
      <c r="AM26" s="2"/>
      <c r="AN26" s="2"/>
      <c r="AO26" s="2"/>
      <c r="AP26" s="2"/>
      <c r="AQ26" s="874"/>
      <c r="AR26" s="1624" t="s">
        <v>343</v>
      </c>
      <c r="AS26" s="1624" t="s">
        <v>343</v>
      </c>
      <c r="AT26" s="1624" t="s">
        <v>343</v>
      </c>
      <c r="AU26" s="1603" t="s">
        <v>343</v>
      </c>
      <c r="AV26" s="1608"/>
      <c r="AW26" s="2"/>
      <c r="AX26" s="61"/>
      <c r="AY26" s="61"/>
      <c r="AZ26" s="2"/>
      <c r="BA26" s="2"/>
      <c r="BB26" s="2"/>
      <c r="BC26" s="2"/>
      <c r="BD26" s="2"/>
      <c r="BE26" s="2"/>
      <c r="BF26" s="2"/>
      <c r="BG26" s="2"/>
      <c r="BH26" s="2"/>
      <c r="BI26" s="2"/>
      <c r="BJ26" s="2"/>
      <c r="BK26" s="2"/>
      <c r="BL26" s="2"/>
      <c r="BM26" s="874"/>
      <c r="BN26" s="1624" t="s">
        <v>343</v>
      </c>
      <c r="BO26" s="1624" t="s">
        <v>343</v>
      </c>
      <c r="BP26" s="1624" t="s">
        <v>343</v>
      </c>
      <c r="BQ26" s="1603" t="s">
        <v>343</v>
      </c>
      <c r="BR26" s="1608"/>
      <c r="BS26" s="2"/>
      <c r="BT26" s="61"/>
      <c r="BU26" s="61"/>
      <c r="BV26" s="2"/>
      <c r="BW26" s="2"/>
      <c r="BX26" s="2"/>
      <c r="BY26" s="874"/>
      <c r="BZ26" s="1624" t="s">
        <v>343</v>
      </c>
      <c r="CA26" s="1624" t="s">
        <v>343</v>
      </c>
      <c r="CB26" s="1624" t="s">
        <v>343</v>
      </c>
      <c r="CC26" s="1603" t="s">
        <v>343</v>
      </c>
      <c r="CD26" s="1608"/>
      <c r="CE26" s="2"/>
      <c r="CF26" s="61"/>
      <c r="CG26" s="61"/>
      <c r="CH26" s="2"/>
      <c r="CI26" s="2"/>
      <c r="CJ26" s="2"/>
      <c r="CK26" s="2"/>
      <c r="CL26" s="2"/>
      <c r="CM26" s="874"/>
      <c r="CN26" s="1694" t="s">
        <v>343</v>
      </c>
      <c r="CO26" s="1694" t="s">
        <v>343</v>
      </c>
      <c r="CP26" s="1694" t="s">
        <v>343</v>
      </c>
      <c r="CQ26" s="1603" t="s">
        <v>343</v>
      </c>
      <c r="CR26" s="1608"/>
      <c r="CS26" s="2"/>
      <c r="CT26" s="61"/>
      <c r="CU26" s="2"/>
    </row>
    <row r="27" spans="1:99">
      <c r="A27" s="674" t="s">
        <v>632</v>
      </c>
      <c r="B27" s="2395">
        <v>9.9251030300000007</v>
      </c>
      <c r="C27" s="2395">
        <v>10.242424809999999</v>
      </c>
      <c r="D27" s="2395">
        <v>10.31688866</v>
      </c>
      <c r="E27" s="375">
        <f t="shared" ref="E27:E35" si="13">SUM(B27:D27)</f>
        <v>30.484416499999998</v>
      </c>
      <c r="F27" s="201"/>
      <c r="G27" s="1062"/>
      <c r="H27" s="77"/>
      <c r="I27" s="77"/>
      <c r="J27" s="1062"/>
      <c r="K27" s="105"/>
      <c r="L27" s="2"/>
      <c r="M27" s="2"/>
      <c r="N27" s="2"/>
      <c r="O27" s="674" t="s">
        <v>632</v>
      </c>
      <c r="P27" s="2395">
        <v>10.297293010000001</v>
      </c>
      <c r="Q27" s="2395">
        <v>8.9493716400000007</v>
      </c>
      <c r="R27" s="2395">
        <v>9.9151381500000006</v>
      </c>
      <c r="S27" s="375">
        <f t="shared" ref="S27:S35" si="14">SUM(P27:R27)</f>
        <v>29.1618028</v>
      </c>
      <c r="T27" s="201"/>
      <c r="U27" s="1062"/>
      <c r="V27" s="77"/>
      <c r="W27" s="77"/>
      <c r="X27" s="1062"/>
      <c r="Y27" s="105"/>
      <c r="Z27" s="2"/>
      <c r="AA27" s="2"/>
      <c r="AB27" s="2"/>
      <c r="AC27" s="674" t="s">
        <v>632</v>
      </c>
      <c r="AD27" s="1623">
        <v>9.1722404999999991</v>
      </c>
      <c r="AE27" s="1623">
        <v>9.3083871699999996</v>
      </c>
      <c r="AF27" s="1623"/>
      <c r="AG27" s="1291">
        <f t="shared" ref="AG27:AG35" si="15">SUM(AD27:AF27)</f>
        <v>18.480627669999997</v>
      </c>
      <c r="AH27" s="1607"/>
      <c r="AI27" s="2"/>
      <c r="AJ27" s="61"/>
      <c r="AK27" s="61"/>
      <c r="AL27" s="2"/>
      <c r="AM27" s="2"/>
      <c r="AN27" s="2"/>
      <c r="AO27" s="2"/>
      <c r="AP27" s="2"/>
      <c r="AQ27" s="530" t="s">
        <v>1706</v>
      </c>
      <c r="AR27" s="1600">
        <f>SUM(AR21:AR25)</f>
        <v>54.095176300000006</v>
      </c>
      <c r="AS27" s="1600">
        <f>SUM(AS21:AS25)</f>
        <v>53.870254179999996</v>
      </c>
      <c r="AT27" s="1600">
        <f>SUM(AT21:AT25)</f>
        <v>57.255695430000003</v>
      </c>
      <c r="AU27" s="1601">
        <f>SUM(AU21:AU25)</f>
        <v>165.22112591000001</v>
      </c>
      <c r="AV27" s="1609"/>
      <c r="AW27" s="2"/>
      <c r="AX27" s="61"/>
      <c r="AY27" s="61"/>
      <c r="AZ27" s="2"/>
      <c r="BA27" s="2"/>
      <c r="BB27" s="2"/>
      <c r="BC27" s="2"/>
      <c r="BD27" s="2"/>
      <c r="BE27" s="2"/>
      <c r="BF27" s="2"/>
      <c r="BG27" s="2"/>
      <c r="BH27" s="2"/>
      <c r="BI27" s="2"/>
      <c r="BJ27" s="2"/>
      <c r="BK27" s="2"/>
      <c r="BL27" s="2"/>
      <c r="BM27" s="530" t="s">
        <v>1706</v>
      </c>
      <c r="BN27" s="1600">
        <f>SUM(BN21:BN25)</f>
        <v>2665.9056661499999</v>
      </c>
      <c r="BO27" s="1600">
        <f>SUM(BO21:BO25)</f>
        <v>2664.47078904</v>
      </c>
      <c r="BP27" s="1600">
        <f>SUM(BP21:BP25)</f>
        <v>2663.2385410000002</v>
      </c>
      <c r="BQ27" s="1601">
        <f>SUM(BQ21:BQ25)</f>
        <v>7993.6149961900001</v>
      </c>
      <c r="BR27" s="1609"/>
      <c r="BS27" s="2"/>
      <c r="BT27" s="61"/>
      <c r="BU27" s="61"/>
      <c r="BV27" s="2"/>
      <c r="BW27" s="2"/>
      <c r="BX27" s="2"/>
      <c r="BY27" s="530" t="s">
        <v>1706</v>
      </c>
      <c r="BZ27" s="1600">
        <f>SUM(BZ21:BZ25)</f>
        <v>2659.2703455999999</v>
      </c>
      <c r="CA27" s="1600">
        <f>SUM(CA21:CA25)</f>
        <v>2661.73416292</v>
      </c>
      <c r="CB27" s="1600">
        <f>SUM(CB21:CB25)</f>
        <v>2666.6309550999999</v>
      </c>
      <c r="CC27" s="1601">
        <f>SUM(CC21:CC25)</f>
        <v>7987.6354636199994</v>
      </c>
      <c r="CD27" s="1609"/>
      <c r="CE27" s="2"/>
      <c r="CF27" s="61"/>
      <c r="CG27" s="61"/>
      <c r="CH27" s="2"/>
      <c r="CI27" s="2"/>
      <c r="CJ27" s="2"/>
      <c r="CK27" s="2"/>
      <c r="CL27" s="2"/>
      <c r="CM27" s="530" t="s">
        <v>1706</v>
      </c>
      <c r="CN27" s="1600">
        <f>SUM(CN21:CN25)</f>
        <v>57.999953739999995</v>
      </c>
      <c r="CO27" s="1600">
        <f>SUM(CO21:CO25)</f>
        <v>52.537923620000008</v>
      </c>
      <c r="CP27" s="1600">
        <f>SUM(CP21:CP25)</f>
        <v>53.414769280000009</v>
      </c>
      <c r="CQ27" s="1601">
        <f>SUM(CQ21:CQ25)</f>
        <v>163.95264664000001</v>
      </c>
      <c r="CR27" s="1609"/>
      <c r="CS27" s="2"/>
      <c r="CT27" s="61"/>
      <c r="CU27" s="2"/>
    </row>
    <row r="28" spans="1:99" ht="15.75" customHeight="1">
      <c r="A28" s="674" t="s">
        <v>917</v>
      </c>
      <c r="B28" s="2395">
        <v>13.5542</v>
      </c>
      <c r="C28" s="2395">
        <v>13.62566</v>
      </c>
      <c r="D28" s="2395">
        <v>14.229486</v>
      </c>
      <c r="E28" s="375">
        <f t="shared" si="13"/>
        <v>41.409345999999999</v>
      </c>
      <c r="F28" s="201"/>
      <c r="G28" s="1062"/>
      <c r="H28" s="77"/>
      <c r="I28" s="77"/>
      <c r="J28" s="1062"/>
      <c r="K28" s="105"/>
      <c r="L28" s="2"/>
      <c r="M28" s="2"/>
      <c r="N28" s="2"/>
      <c r="O28" s="674" t="s">
        <v>917</v>
      </c>
      <c r="P28" s="2395">
        <v>15.714999000000001</v>
      </c>
      <c r="Q28" s="2395">
        <v>15.403485999999999</v>
      </c>
      <c r="R28" s="2395">
        <v>14.824263999999999</v>
      </c>
      <c r="S28" s="375">
        <f t="shared" si="14"/>
        <v>45.942748999999999</v>
      </c>
      <c r="T28" s="201"/>
      <c r="U28" s="1062"/>
      <c r="V28" s="77"/>
      <c r="W28" s="77"/>
      <c r="X28" s="1062"/>
      <c r="Y28" s="105"/>
      <c r="Z28" s="2"/>
      <c r="AA28" s="2"/>
      <c r="AB28" s="2"/>
      <c r="AC28" s="674" t="s">
        <v>917</v>
      </c>
      <c r="AD28" s="1623">
        <v>14.557950999999999</v>
      </c>
      <c r="AE28" s="1623">
        <v>14.836983</v>
      </c>
      <c r="AF28" s="1623"/>
      <c r="AG28" s="1291">
        <f t="shared" si="15"/>
        <v>29.394933999999999</v>
      </c>
      <c r="AH28" s="1607"/>
      <c r="AI28" s="2"/>
      <c r="AJ28" s="61"/>
      <c r="AK28" s="61"/>
      <c r="AL28" s="2"/>
      <c r="AM28" s="2"/>
      <c r="AN28" s="2"/>
      <c r="AO28" s="2"/>
      <c r="AP28" s="2"/>
      <c r="AQ28" s="874"/>
      <c r="AR28" s="1596"/>
      <c r="AS28" s="1596"/>
      <c r="AT28" s="1596"/>
      <c r="AU28" s="1291"/>
      <c r="AV28" s="1607"/>
      <c r="AW28" s="2"/>
      <c r="AX28" s="61"/>
      <c r="AY28" s="61"/>
      <c r="AZ28" s="2"/>
      <c r="BA28" s="2"/>
      <c r="BB28" s="2"/>
      <c r="BC28" s="2"/>
      <c r="BD28" s="2"/>
      <c r="BE28" s="2"/>
      <c r="BF28" s="2"/>
      <c r="BG28" s="2"/>
      <c r="BH28" s="2"/>
      <c r="BI28" s="2"/>
      <c r="BJ28" s="2"/>
      <c r="BK28" s="2"/>
      <c r="BL28" s="2"/>
      <c r="BM28" s="874"/>
      <c r="BN28" s="1596"/>
      <c r="BO28" s="1596"/>
      <c r="BP28" s="1596"/>
      <c r="BQ28" s="1291"/>
      <c r="BR28" s="1607"/>
      <c r="BS28" s="2"/>
      <c r="BT28" s="61"/>
      <c r="BU28" s="61"/>
      <c r="BV28" s="2"/>
      <c r="BW28" s="2"/>
      <c r="BX28" s="2"/>
      <c r="BY28" s="874"/>
      <c r="BZ28" s="1596"/>
      <c r="CA28" s="1596"/>
      <c r="CB28" s="1596"/>
      <c r="CC28" s="1291"/>
      <c r="CD28" s="1607"/>
      <c r="CE28" s="2"/>
      <c r="CF28" s="61"/>
      <c r="CG28" s="61"/>
      <c r="CH28" s="2"/>
      <c r="CI28" s="2"/>
      <c r="CJ28" s="2"/>
      <c r="CK28" s="2"/>
      <c r="CL28" s="2"/>
      <c r="CM28" s="874"/>
      <c r="CN28" s="1596"/>
      <c r="CO28" s="1596"/>
      <c r="CP28" s="1596"/>
      <c r="CQ28" s="1291"/>
      <c r="CR28" s="1607"/>
      <c r="CS28" s="2"/>
      <c r="CT28" s="61"/>
      <c r="CU28" s="2"/>
    </row>
    <row r="29" spans="1:99">
      <c r="A29" s="674" t="s">
        <v>775</v>
      </c>
      <c r="B29" s="2395">
        <v>2630</v>
      </c>
      <c r="C29" s="2395">
        <v>2630</v>
      </c>
      <c r="D29" s="2395">
        <v>2630</v>
      </c>
      <c r="E29" s="375">
        <f t="shared" si="13"/>
        <v>7890</v>
      </c>
      <c r="F29" s="201"/>
      <c r="G29" s="1062"/>
      <c r="H29" s="2"/>
      <c r="K29" s="101"/>
      <c r="L29" s="101"/>
      <c r="M29" s="2"/>
      <c r="N29" s="2"/>
      <c r="O29" s="674" t="s">
        <v>775</v>
      </c>
      <c r="P29" s="2395">
        <v>2575</v>
      </c>
      <c r="Q29" s="2395">
        <v>2575</v>
      </c>
      <c r="R29" s="2395">
        <v>2575</v>
      </c>
      <c r="S29" s="375">
        <f t="shared" si="14"/>
        <v>7725</v>
      </c>
      <c r="T29" s="201"/>
      <c r="U29" s="1062"/>
      <c r="V29" s="2"/>
      <c r="Y29" s="101"/>
      <c r="Z29" s="101"/>
      <c r="AA29" s="2"/>
      <c r="AB29" s="2"/>
      <c r="AC29" s="674" t="s">
        <v>775</v>
      </c>
      <c r="AD29" s="1623">
        <v>15.465649450000001</v>
      </c>
      <c r="AE29" s="1623">
        <v>15.886698150000001</v>
      </c>
      <c r="AF29" s="1623"/>
      <c r="AG29" s="1291">
        <f t="shared" si="15"/>
        <v>31.352347600000002</v>
      </c>
      <c r="AH29" s="1607"/>
      <c r="AI29" s="2"/>
      <c r="AJ29" s="61"/>
      <c r="AK29" s="61"/>
      <c r="AL29" s="2"/>
      <c r="AM29" s="105"/>
      <c r="AN29" s="2"/>
      <c r="AO29" s="2"/>
      <c r="AP29" s="2"/>
      <c r="AQ29" s="176" t="s">
        <v>1491</v>
      </c>
      <c r="AR29" s="1623">
        <v>53.200239000000003</v>
      </c>
      <c r="AS29" s="1623">
        <v>50.278047000000001</v>
      </c>
      <c r="AT29" s="1623">
        <v>55.904384000000007</v>
      </c>
      <c r="AU29" s="1291">
        <f>SUM(AR29:AT29)</f>
        <v>159.38267000000002</v>
      </c>
      <c r="AV29" s="1607"/>
      <c r="AW29" s="2"/>
      <c r="AX29" s="61"/>
      <c r="AY29" s="61"/>
      <c r="AZ29" s="2"/>
      <c r="BA29" s="2"/>
      <c r="BB29" s="2"/>
      <c r="BC29" s="2"/>
      <c r="BD29" s="2"/>
      <c r="BE29" s="2"/>
      <c r="BF29" s="2"/>
      <c r="BG29" s="2"/>
      <c r="BH29" s="2"/>
      <c r="BI29" s="2"/>
      <c r="BJ29" s="2"/>
      <c r="BK29" s="2"/>
      <c r="BL29" s="2"/>
      <c r="BM29" s="176" t="s">
        <v>1184</v>
      </c>
      <c r="BN29" s="1623">
        <v>49.819654999999997</v>
      </c>
      <c r="BO29" s="1623">
        <v>55.969645999999997</v>
      </c>
      <c r="BP29" s="1623">
        <v>56.969543999999999</v>
      </c>
      <c r="BQ29" s="1291">
        <f>SUM(BN29:BP29)</f>
        <v>162.75884500000001</v>
      </c>
      <c r="BR29" s="1607"/>
      <c r="BS29" s="2"/>
      <c r="BT29" s="61"/>
      <c r="BU29" s="61"/>
      <c r="BV29" s="2"/>
      <c r="BW29" s="2"/>
      <c r="BX29" s="2"/>
      <c r="BY29" s="176" t="s">
        <v>1184</v>
      </c>
      <c r="BZ29" s="1623">
        <v>52.977802999999994</v>
      </c>
      <c r="CA29" s="1623">
        <v>46.992775999999999</v>
      </c>
      <c r="CB29" s="1623">
        <v>51.992843999999998</v>
      </c>
      <c r="CC29" s="1291">
        <f>SUM(BZ29:CB29)</f>
        <v>151.96342299999998</v>
      </c>
      <c r="CD29" s="1607"/>
      <c r="CE29" s="2"/>
      <c r="CF29" s="61"/>
      <c r="CG29" s="61"/>
      <c r="CH29" s="2"/>
      <c r="CI29" s="2"/>
      <c r="CJ29" s="2"/>
      <c r="CK29" s="2"/>
      <c r="CL29" s="2"/>
      <c r="CM29" s="176" t="s">
        <v>1184</v>
      </c>
      <c r="CN29" s="1596">
        <v>53.183353000000004</v>
      </c>
      <c r="CO29" s="1596">
        <v>49.105799000000005</v>
      </c>
      <c r="CP29" s="1596">
        <v>46.922799999999995</v>
      </c>
      <c r="CQ29" s="1291">
        <f t="shared" si="12"/>
        <v>149.211952</v>
      </c>
      <c r="CR29" s="1607"/>
      <c r="CS29" s="2"/>
      <c r="CT29" s="61"/>
      <c r="CU29" s="2"/>
    </row>
    <row r="30" spans="1:99">
      <c r="A30" s="874" t="s">
        <v>1302</v>
      </c>
      <c r="B30" s="2395">
        <v>7.8236608600000004</v>
      </c>
      <c r="C30" s="2395">
        <v>8.3644395300000003</v>
      </c>
      <c r="D30" s="2395">
        <v>9.0803416499999994</v>
      </c>
      <c r="E30" s="375">
        <f t="shared" si="13"/>
        <v>25.268442040000004</v>
      </c>
      <c r="F30" s="888"/>
      <c r="G30" s="1062"/>
      <c r="H30" s="77"/>
      <c r="I30" s="77"/>
      <c r="J30" s="1062"/>
      <c r="K30" s="105"/>
      <c r="L30" s="105"/>
      <c r="M30" s="2"/>
      <c r="N30" s="2"/>
      <c r="O30" s="874" t="s">
        <v>1302</v>
      </c>
      <c r="P30" s="2395">
        <v>9.5423818499999999</v>
      </c>
      <c r="Q30" s="2395">
        <v>9.7615253000000006</v>
      </c>
      <c r="R30" s="2395">
        <v>8.6155842200000006</v>
      </c>
      <c r="S30" s="375">
        <f t="shared" si="14"/>
        <v>27.919491370000003</v>
      </c>
      <c r="T30" s="888"/>
      <c r="U30" s="1062"/>
      <c r="V30" s="77"/>
      <c r="W30" s="77"/>
      <c r="X30" s="1062"/>
      <c r="Y30" s="105"/>
      <c r="Z30" s="105"/>
      <c r="AA30" s="2"/>
      <c r="AB30" s="2"/>
      <c r="AC30" s="874" t="s">
        <v>1302</v>
      </c>
      <c r="AD30" s="1623">
        <v>8.4938542100000003</v>
      </c>
      <c r="AE30" s="1623">
        <v>9.2094823199999993</v>
      </c>
      <c r="AF30" s="1623"/>
      <c r="AG30" s="1291">
        <f t="shared" si="15"/>
        <v>17.703336530000001</v>
      </c>
      <c r="AH30" s="1608"/>
      <c r="AI30" s="2"/>
      <c r="AJ30" s="61"/>
      <c r="AK30" s="61"/>
      <c r="AL30" s="2"/>
      <c r="AM30" s="2"/>
      <c r="AN30" s="2"/>
      <c r="AO30" s="2"/>
      <c r="AP30" s="2"/>
      <c r="AQ30" s="1594"/>
      <c r="AR30" s="1598"/>
      <c r="AS30" s="1598"/>
      <c r="AT30" s="1598"/>
      <c r="AU30" s="1599"/>
      <c r="AV30" s="1609"/>
      <c r="AW30" s="2"/>
      <c r="AX30" s="61"/>
      <c r="AY30" s="61"/>
      <c r="AZ30" s="2"/>
      <c r="BA30" s="2"/>
      <c r="BB30" s="2"/>
      <c r="BC30" s="2"/>
      <c r="BD30" s="2"/>
      <c r="BE30" s="2"/>
      <c r="BF30" s="2"/>
      <c r="BG30" s="2"/>
      <c r="BH30" s="2"/>
      <c r="BI30" s="2"/>
      <c r="BJ30" s="2"/>
      <c r="BK30" s="2"/>
      <c r="BL30" s="2"/>
      <c r="BM30" s="1594"/>
      <c r="BN30" s="1598"/>
      <c r="BO30" s="1598"/>
      <c r="BP30" s="1598"/>
      <c r="BQ30" s="1599"/>
      <c r="BR30" s="1609"/>
      <c r="BS30" s="2"/>
      <c r="BT30" s="61"/>
      <c r="BU30" s="61"/>
      <c r="BV30" s="2"/>
      <c r="BW30" s="2"/>
      <c r="BX30" s="2"/>
      <c r="BY30" s="1594"/>
      <c r="BZ30" s="1598"/>
      <c r="CA30" s="1598"/>
      <c r="CB30" s="1598"/>
      <c r="CC30" s="1599"/>
      <c r="CD30" s="1609"/>
      <c r="CE30" s="2"/>
      <c r="CF30" s="61"/>
      <c r="CG30" s="61"/>
      <c r="CH30" s="2"/>
      <c r="CI30" s="2"/>
      <c r="CJ30" s="2"/>
      <c r="CK30" s="2"/>
      <c r="CL30" s="2"/>
      <c r="CM30" s="1594"/>
      <c r="CN30" s="1598"/>
      <c r="CO30" s="1598"/>
      <c r="CP30" s="1598"/>
      <c r="CQ30" s="1599"/>
      <c r="CR30" s="1609"/>
      <c r="CS30" s="2"/>
      <c r="CT30" s="61"/>
      <c r="CU30" s="2"/>
    </row>
    <row r="31" spans="1:99">
      <c r="A31" s="874" t="s">
        <v>456</v>
      </c>
      <c r="B31" s="2395">
        <v>5.5871050000000002</v>
      </c>
      <c r="C31" s="2395">
        <v>5.3982339999999995</v>
      </c>
      <c r="D31" s="2395">
        <v>5.2229749999999999</v>
      </c>
      <c r="E31" s="375">
        <f t="shared" si="13"/>
        <v>16.208314000000001</v>
      </c>
      <c r="F31" s="1062"/>
      <c r="G31" s="1062"/>
      <c r="H31" s="77"/>
      <c r="I31" s="77"/>
      <c r="J31" s="1062"/>
      <c r="K31" s="105"/>
      <c r="L31" s="2"/>
      <c r="M31" s="2"/>
      <c r="N31" s="2"/>
      <c r="O31" s="874" t="s">
        <v>456</v>
      </c>
      <c r="P31" s="2395">
        <v>5.8256419999999993</v>
      </c>
      <c r="Q31" s="2395">
        <v>5.6759950000000003</v>
      </c>
      <c r="R31" s="2395">
        <v>5.4829650000000001</v>
      </c>
      <c r="S31" s="375">
        <f t="shared" si="14"/>
        <v>16.984601999999999</v>
      </c>
      <c r="T31" s="1062"/>
      <c r="U31" s="1062"/>
      <c r="V31" s="77"/>
      <c r="W31" s="77"/>
      <c r="X31" s="1062"/>
      <c r="Y31" s="105"/>
      <c r="Z31" s="2"/>
      <c r="AA31" s="2"/>
      <c r="AB31" s="2"/>
      <c r="AC31" s="874" t="s">
        <v>456</v>
      </c>
      <c r="AD31" s="1623">
        <v>6.0009649999999999</v>
      </c>
      <c r="AE31" s="1623">
        <v>6.152838</v>
      </c>
      <c r="AF31" s="1623"/>
      <c r="AG31" s="1291">
        <f t="shared" si="15"/>
        <v>12.153803</v>
      </c>
      <c r="AH31" s="2"/>
      <c r="AI31" s="2"/>
      <c r="AJ31" s="2"/>
      <c r="AK31" s="2"/>
      <c r="AL31" s="2"/>
      <c r="AM31" s="2"/>
      <c r="AN31" s="2"/>
      <c r="AO31" s="2"/>
      <c r="AP31" s="2"/>
      <c r="AQ31" s="2"/>
      <c r="AR31" s="1595"/>
      <c r="AS31" s="1595"/>
      <c r="AT31" s="1595"/>
      <c r="AU31" s="1595"/>
      <c r="AV31" s="1595"/>
      <c r="AW31" s="2"/>
      <c r="AX31" s="61"/>
      <c r="AY31" s="61"/>
      <c r="AZ31" s="2"/>
      <c r="BA31" s="2"/>
      <c r="BB31" s="2"/>
      <c r="BC31" s="2"/>
      <c r="BD31" s="2"/>
      <c r="BE31" s="2"/>
      <c r="BF31" s="2"/>
      <c r="BG31" s="2"/>
      <c r="BH31" s="2"/>
      <c r="BI31" s="2"/>
      <c r="BJ31" s="2"/>
      <c r="BK31" s="2"/>
      <c r="BL31" s="2"/>
      <c r="BM31" s="2"/>
      <c r="BN31" s="1595"/>
      <c r="BO31" s="1595"/>
      <c r="BP31" s="1595"/>
      <c r="BQ31" s="1595"/>
      <c r="BR31" s="1595"/>
      <c r="BS31" s="2"/>
      <c r="BT31" s="61"/>
      <c r="BU31" s="61"/>
      <c r="BV31" s="2"/>
      <c r="BW31" s="2"/>
      <c r="BX31" s="2"/>
      <c r="BY31" s="2"/>
      <c r="BZ31" s="1595"/>
      <c r="CA31" s="1595"/>
      <c r="CB31" s="1595"/>
      <c r="CC31" s="1595"/>
      <c r="CD31" s="1595"/>
      <c r="CE31" s="2"/>
      <c r="CF31" s="61"/>
      <c r="CG31" s="61"/>
      <c r="CH31" s="2"/>
      <c r="CI31" s="2"/>
      <c r="CJ31" s="2"/>
      <c r="CK31" s="2"/>
      <c r="CL31" s="2"/>
      <c r="CM31" s="2"/>
      <c r="CN31" s="1595"/>
      <c r="CO31" s="1595"/>
      <c r="CP31" s="1595"/>
      <c r="CQ31" s="1595"/>
      <c r="CR31" s="1595"/>
      <c r="CS31" s="2"/>
      <c r="CT31" s="61"/>
      <c r="CU31" s="2"/>
    </row>
    <row r="32" spans="1:99">
      <c r="A32" s="874" t="s">
        <v>457</v>
      </c>
      <c r="B32" s="2395">
        <v>5.214772</v>
      </c>
      <c r="C32" s="2395">
        <v>5.160838</v>
      </c>
      <c r="D32" s="2395">
        <v>5.2924509999999998</v>
      </c>
      <c r="E32" s="375">
        <f t="shared" si="13"/>
        <v>15.668061</v>
      </c>
      <c r="F32" s="1062"/>
      <c r="G32" s="1062"/>
      <c r="H32" s="1062"/>
      <c r="I32" s="1062"/>
      <c r="J32" s="1062"/>
      <c r="K32" s="105"/>
      <c r="L32" s="2"/>
      <c r="M32" s="2"/>
      <c r="N32" s="2"/>
      <c r="O32" s="874" t="s">
        <v>457</v>
      </c>
      <c r="P32" s="2395">
        <v>5.8358640000000008</v>
      </c>
      <c r="Q32" s="2395">
        <v>5.784783</v>
      </c>
      <c r="R32" s="2395">
        <v>5.4032999999999998</v>
      </c>
      <c r="S32" s="375">
        <f t="shared" si="14"/>
        <v>17.023947</v>
      </c>
      <c r="T32" s="1062"/>
      <c r="U32" s="1062"/>
      <c r="V32" s="1062"/>
      <c r="W32" s="1062"/>
      <c r="X32" s="1062"/>
      <c r="Y32" s="105"/>
      <c r="Z32" s="2"/>
      <c r="AA32" s="2"/>
      <c r="AB32" s="2"/>
      <c r="AC32" s="874" t="s">
        <v>457</v>
      </c>
      <c r="AD32" s="1623">
        <v>8.1194000000000006</v>
      </c>
      <c r="AE32" s="1623">
        <v>7.7425229999999994</v>
      </c>
      <c r="AF32" s="1623"/>
      <c r="AG32" s="1291">
        <f t="shared" si="15"/>
        <v>15.861923000000001</v>
      </c>
      <c r="AH32" s="2"/>
      <c r="AI32" s="2"/>
      <c r="AJ32" s="2"/>
      <c r="AK32" s="2"/>
      <c r="AL32" s="2"/>
      <c r="AM32" s="2"/>
      <c r="AN32" s="2"/>
      <c r="AO32" s="2"/>
      <c r="AP32" s="2"/>
      <c r="AQ32" s="69" t="s">
        <v>1791</v>
      </c>
      <c r="AR32" s="1595"/>
      <c r="AS32" s="1595"/>
      <c r="AT32" s="1595"/>
      <c r="AU32" s="1595"/>
      <c r="AV32" s="1595"/>
      <c r="AW32" s="2"/>
      <c r="AX32" s="61"/>
      <c r="AY32" s="61"/>
      <c r="AZ32" s="2"/>
      <c r="BA32" s="2"/>
      <c r="BB32" s="2"/>
      <c r="BC32" s="2"/>
      <c r="BD32" s="2"/>
      <c r="BE32" s="2"/>
      <c r="BF32" s="2"/>
      <c r="BG32" s="2"/>
      <c r="BH32" s="2"/>
      <c r="BI32" s="2"/>
      <c r="BJ32" s="2"/>
      <c r="BK32" s="2"/>
      <c r="BL32" s="2"/>
      <c r="BM32" s="69" t="s">
        <v>1791</v>
      </c>
      <c r="BN32" s="1595"/>
      <c r="BO32" s="1595"/>
      <c r="BP32" s="1595"/>
      <c r="BQ32" s="1595"/>
      <c r="BR32" s="1595"/>
      <c r="BS32" s="2"/>
      <c r="BT32" s="61"/>
      <c r="BU32" s="61"/>
      <c r="BV32" s="2"/>
      <c r="BW32" s="2"/>
      <c r="BX32" s="2"/>
      <c r="BY32" s="69" t="s">
        <v>1791</v>
      </c>
      <c r="BZ32" s="1595"/>
      <c r="CA32" s="1595"/>
      <c r="CB32" s="1595"/>
      <c r="CC32" s="1595"/>
      <c r="CD32" s="1595"/>
      <c r="CE32" s="2"/>
      <c r="CF32" s="61"/>
      <c r="CG32" s="61"/>
      <c r="CH32" s="2"/>
      <c r="CI32" s="2"/>
      <c r="CJ32" s="2"/>
      <c r="CK32" s="2"/>
      <c r="CL32" s="2"/>
      <c r="CM32" s="69" t="s">
        <v>1791</v>
      </c>
      <c r="CN32" s="1595"/>
      <c r="CO32" s="1595"/>
      <c r="CP32" s="1595"/>
      <c r="CQ32" s="1595"/>
      <c r="CR32" s="1595"/>
      <c r="CS32" s="2"/>
      <c r="CT32" s="61"/>
      <c r="CU32" s="2"/>
    </row>
    <row r="33" spans="1:99">
      <c r="A33" s="874" t="s">
        <v>458</v>
      </c>
      <c r="B33" s="2395">
        <v>5.3889169700000004</v>
      </c>
      <c r="C33" s="2395">
        <v>5.5845127300000001</v>
      </c>
      <c r="D33" s="2395">
        <v>5.7779573700000002</v>
      </c>
      <c r="E33" s="375">
        <f t="shared" si="13"/>
        <v>16.75138707</v>
      </c>
      <c r="F33" s="1062"/>
      <c r="G33" s="1062"/>
      <c r="H33" s="1062"/>
      <c r="I33" s="1062"/>
      <c r="J33" s="1062"/>
      <c r="K33" s="105"/>
      <c r="L33" s="98"/>
      <c r="M33" s="2"/>
      <c r="N33" s="2"/>
      <c r="O33" s="874" t="s">
        <v>458</v>
      </c>
      <c r="P33" s="2395">
        <v>6.4122807899999996</v>
      </c>
      <c r="Q33" s="2395">
        <v>6.2610202399999997</v>
      </c>
      <c r="R33" s="2395">
        <v>5.9271153999999999</v>
      </c>
      <c r="S33" s="375">
        <f t="shared" si="14"/>
        <v>18.600416429999999</v>
      </c>
      <c r="T33" s="1062"/>
      <c r="U33" s="1062"/>
      <c r="V33" s="1062"/>
      <c r="W33" s="1062"/>
      <c r="X33" s="1062"/>
      <c r="Y33" s="105"/>
      <c r="Z33" s="98"/>
      <c r="AA33" s="2"/>
      <c r="AB33" s="2"/>
      <c r="AC33" s="874" t="s">
        <v>458</v>
      </c>
      <c r="AD33" s="1623">
        <v>8.2719339299999994</v>
      </c>
      <c r="AE33" s="1623">
        <v>8.4262443499999993</v>
      </c>
      <c r="AF33" s="1623"/>
      <c r="AG33" s="1291">
        <f t="shared" si="15"/>
        <v>16.69817828</v>
      </c>
      <c r="AH33" s="2"/>
      <c r="AI33" s="2"/>
      <c r="AJ33" s="2"/>
      <c r="AK33" s="2"/>
      <c r="AL33" s="2"/>
      <c r="AM33" s="2"/>
      <c r="AN33" s="2"/>
      <c r="AO33" s="2"/>
      <c r="AP33" s="2"/>
      <c r="AQ33" s="2"/>
      <c r="AR33" s="1595"/>
      <c r="AS33" s="1595"/>
      <c r="AT33" s="1595"/>
      <c r="AU33" s="1595"/>
      <c r="AV33" s="1595"/>
      <c r="AW33" s="2"/>
      <c r="AX33" s="61"/>
      <c r="AY33" s="61"/>
      <c r="AZ33" s="2"/>
      <c r="BA33" s="2"/>
      <c r="BB33" s="2"/>
      <c r="BC33" s="2"/>
      <c r="BD33" s="2"/>
      <c r="BE33" s="2"/>
      <c r="BF33" s="2"/>
      <c r="BG33" s="2"/>
      <c r="BH33" s="2"/>
      <c r="BI33" s="2"/>
      <c r="BJ33" s="2"/>
      <c r="BK33" s="2"/>
      <c r="BL33" s="2"/>
      <c r="BM33" s="2"/>
      <c r="BN33" s="1595"/>
      <c r="BO33" s="1595"/>
      <c r="BP33" s="1595"/>
      <c r="BQ33" s="1595"/>
      <c r="BR33" s="1595"/>
      <c r="BS33" s="2"/>
      <c r="BT33" s="61"/>
      <c r="BU33" s="61"/>
      <c r="BV33" s="2"/>
      <c r="BW33" s="2"/>
      <c r="BX33" s="2"/>
      <c r="BY33" s="2"/>
      <c r="BZ33" s="1595"/>
      <c r="CA33" s="1595"/>
      <c r="CB33" s="1595"/>
      <c r="CC33" s="1595"/>
      <c r="CD33" s="1595"/>
      <c r="CE33" s="2"/>
      <c r="CF33" s="61"/>
      <c r="CG33" s="61"/>
      <c r="CH33" s="2"/>
      <c r="CI33" s="2"/>
      <c r="CJ33" s="2"/>
      <c r="CK33" s="2"/>
      <c r="CL33" s="2"/>
      <c r="CM33" s="2"/>
      <c r="CN33" s="1595"/>
      <c r="CO33" s="1595"/>
      <c r="CP33" s="1595"/>
      <c r="CQ33" s="1595"/>
      <c r="CR33" s="1595"/>
      <c r="CS33" s="2"/>
      <c r="CT33" s="61"/>
      <c r="CU33" s="2"/>
    </row>
    <row r="34" spans="1:99">
      <c r="A34" s="874" t="s">
        <v>460</v>
      </c>
      <c r="B34" s="2395">
        <v>0</v>
      </c>
      <c r="C34" s="2395">
        <v>0</v>
      </c>
      <c r="D34" s="2395">
        <v>0</v>
      </c>
      <c r="E34" s="375">
        <f t="shared" si="13"/>
        <v>0</v>
      </c>
      <c r="F34" s="1062"/>
      <c r="G34" s="1062"/>
      <c r="H34" s="1062"/>
      <c r="I34" s="1062"/>
      <c r="J34" s="1062"/>
      <c r="K34" s="105"/>
      <c r="L34" s="2"/>
      <c r="M34" s="2"/>
      <c r="N34" s="2"/>
      <c r="O34" s="874" t="s">
        <v>460</v>
      </c>
      <c r="P34" s="2395">
        <v>0</v>
      </c>
      <c r="Q34" s="2395">
        <v>0</v>
      </c>
      <c r="R34" s="2395">
        <v>0</v>
      </c>
      <c r="S34" s="375">
        <f t="shared" si="14"/>
        <v>0</v>
      </c>
      <c r="T34" s="1062"/>
      <c r="U34" s="1062"/>
      <c r="V34" s="1062"/>
      <c r="W34" s="1062"/>
      <c r="X34" s="1062"/>
      <c r="Y34" s="105"/>
      <c r="Z34" s="2"/>
      <c r="AA34" s="2"/>
      <c r="AB34" s="2"/>
      <c r="AC34" s="874" t="s">
        <v>460</v>
      </c>
      <c r="AD34" s="1623">
        <v>4.5172131799999997</v>
      </c>
      <c r="AE34" s="1623">
        <v>4.7564034700000004</v>
      </c>
      <c r="AF34" s="1623"/>
      <c r="AG34" s="1291">
        <f t="shared" si="15"/>
        <v>9.273616650000001</v>
      </c>
      <c r="AH34" s="2"/>
      <c r="AI34" s="2"/>
      <c r="AJ34" s="2"/>
      <c r="AK34" s="2"/>
      <c r="AL34" s="2"/>
      <c r="AM34" s="2"/>
      <c r="AN34" s="2"/>
      <c r="AO34" s="2"/>
      <c r="AP34" s="2"/>
      <c r="AQ34" s="111" t="s">
        <v>286</v>
      </c>
      <c r="AR34" s="1611">
        <f>+AR8</f>
        <v>41183</v>
      </c>
      <c r="AS34" s="1611">
        <f>+AS8</f>
        <v>41214</v>
      </c>
      <c r="AT34" s="1611">
        <f>+AT8</f>
        <v>41244</v>
      </c>
      <c r="AU34" s="1359" t="s">
        <v>310</v>
      </c>
      <c r="AV34" s="83"/>
      <c r="AW34" s="2"/>
      <c r="AX34" s="83"/>
      <c r="AY34" s="83"/>
      <c r="AZ34" s="83"/>
      <c r="BA34" s="2"/>
      <c r="BB34" s="2"/>
      <c r="BC34" s="2"/>
      <c r="BD34" s="2"/>
      <c r="BE34" s="2"/>
      <c r="BF34" s="2"/>
      <c r="BG34" s="2"/>
      <c r="BH34" s="2"/>
      <c r="BI34" s="2"/>
      <c r="BJ34" s="2"/>
      <c r="BK34" s="2"/>
      <c r="BL34" s="2"/>
      <c r="BM34" s="111" t="s">
        <v>286</v>
      </c>
      <c r="BN34" s="1611">
        <f>+BN8</f>
        <v>41000</v>
      </c>
      <c r="BO34" s="1611">
        <f>+BO8</f>
        <v>41030</v>
      </c>
      <c r="BP34" s="1611">
        <f>+BP8</f>
        <v>41061</v>
      </c>
      <c r="BQ34" s="1359" t="s">
        <v>310</v>
      </c>
      <c r="BR34" s="83"/>
      <c r="BS34" s="2"/>
      <c r="BT34" s="83"/>
      <c r="BU34" s="83"/>
      <c r="BV34" s="83"/>
      <c r="BW34" s="2"/>
      <c r="BX34" s="2"/>
      <c r="BY34" s="111" t="s">
        <v>286</v>
      </c>
      <c r="BZ34" s="1611">
        <f>+BZ8</f>
        <v>40909</v>
      </c>
      <c r="CA34" s="1611">
        <f>+CA8</f>
        <v>40940</v>
      </c>
      <c r="CB34" s="1611">
        <f>+CB8</f>
        <v>40969</v>
      </c>
      <c r="CC34" s="1359" t="s">
        <v>310</v>
      </c>
      <c r="CD34" s="83"/>
      <c r="CE34" s="2"/>
      <c r="CF34" s="83"/>
      <c r="CG34" s="83"/>
      <c r="CH34" s="83"/>
      <c r="CI34" s="2"/>
      <c r="CJ34" s="2"/>
      <c r="CK34" s="2"/>
      <c r="CL34" s="2"/>
      <c r="CM34" s="111" t="s">
        <v>286</v>
      </c>
      <c r="CN34" s="1611">
        <v>40817</v>
      </c>
      <c r="CO34" s="1611">
        <v>40848</v>
      </c>
      <c r="CP34" s="1611">
        <v>40878</v>
      </c>
      <c r="CQ34" s="1359" t="s">
        <v>310</v>
      </c>
      <c r="CR34" s="83"/>
      <c r="CS34" s="2"/>
      <c r="CT34" s="83"/>
      <c r="CU34" s="83"/>
    </row>
    <row r="35" spans="1:99">
      <c r="A35" s="874" t="s">
        <v>459</v>
      </c>
      <c r="B35" s="2395">
        <v>14.75061655</v>
      </c>
      <c r="C35" s="2395">
        <v>14.559955649999999</v>
      </c>
      <c r="D35" s="2395">
        <v>15.81582176</v>
      </c>
      <c r="E35" s="375">
        <f t="shared" si="13"/>
        <v>45.126393960000001</v>
      </c>
      <c r="F35" s="1062"/>
      <c r="G35" s="1062"/>
      <c r="H35" s="1062"/>
      <c r="I35" s="1062"/>
      <c r="J35" s="1062"/>
      <c r="K35" s="105"/>
      <c r="L35" s="2"/>
      <c r="M35" s="2"/>
      <c r="N35" s="2"/>
      <c r="O35" s="874" t="s">
        <v>459</v>
      </c>
      <c r="P35" s="2395">
        <v>15.01639864</v>
      </c>
      <c r="Q35" s="2395">
        <v>15.673276189999999</v>
      </c>
      <c r="R35" s="2395">
        <v>14.53384597</v>
      </c>
      <c r="S35" s="375">
        <f t="shared" si="14"/>
        <v>45.223520800000003</v>
      </c>
      <c r="T35" s="1062"/>
      <c r="U35" s="1062"/>
      <c r="V35" s="1062"/>
      <c r="W35" s="1062"/>
      <c r="X35" s="1062"/>
      <c r="Y35" s="105"/>
      <c r="Z35" s="2"/>
      <c r="AA35" s="2"/>
      <c r="AB35" s="2"/>
      <c r="AC35" s="874" t="s">
        <v>459</v>
      </c>
      <c r="AD35" s="1623">
        <v>14.51202829</v>
      </c>
      <c r="AE35" s="1623">
        <v>15.140434750000001</v>
      </c>
      <c r="AF35" s="1623"/>
      <c r="AG35" s="1291">
        <f t="shared" si="15"/>
        <v>29.652463040000001</v>
      </c>
      <c r="AH35" s="2"/>
      <c r="AI35" s="2"/>
      <c r="AJ35" s="2"/>
      <c r="AK35" s="2"/>
      <c r="AL35" s="2"/>
      <c r="AM35" s="2"/>
      <c r="AN35" s="2"/>
      <c r="AO35" s="2"/>
      <c r="AP35" s="2"/>
      <c r="AQ35" s="674" t="s">
        <v>873</v>
      </c>
      <c r="AR35" s="105">
        <f t="shared" ref="AR35:AU39" si="16">AR9/AR21-1</f>
        <v>-1.9902085994040086E-2</v>
      </c>
      <c r="AS35" s="105">
        <f t="shared" si="16"/>
        <v>6.6658951510242037E-2</v>
      </c>
      <c r="AT35" s="105">
        <f t="shared" si="16"/>
        <v>2.6592797783935307E-3</v>
      </c>
      <c r="AU35" s="129">
        <f t="shared" si="16"/>
        <v>1.5261251939989728E-2</v>
      </c>
      <c r="AV35" s="58"/>
      <c r="AW35" s="2"/>
      <c r="AX35" s="61"/>
      <c r="AY35" s="61"/>
      <c r="AZ35" s="2"/>
      <c r="BA35" s="2"/>
      <c r="BB35" s="2"/>
      <c r="BC35" s="2"/>
      <c r="BD35" s="2"/>
      <c r="BE35" s="2"/>
      <c r="BF35" s="2"/>
      <c r="BG35" s="2"/>
      <c r="BH35" s="2"/>
      <c r="BI35" s="2"/>
      <c r="BJ35" s="2"/>
      <c r="BK35" s="2"/>
      <c r="BL35" s="2"/>
      <c r="BM35" s="674" t="s">
        <v>873</v>
      </c>
      <c r="BN35" s="105">
        <f t="shared" ref="BN35:BQ39" si="17">BN9/BN21-1</f>
        <v>-8.0075187969924855E-2</v>
      </c>
      <c r="BO35" s="105">
        <f t="shared" si="17"/>
        <v>4.421768707482987E-2</v>
      </c>
      <c r="BP35" s="105">
        <f t="shared" si="17"/>
        <v>4.1373516748923755E-2</v>
      </c>
      <c r="BQ35" s="129">
        <f t="shared" si="17"/>
        <v>-1.4203104392817023E-3</v>
      </c>
      <c r="BR35" s="58"/>
      <c r="BS35" s="2"/>
      <c r="BT35" s="61"/>
      <c r="BU35" s="61"/>
      <c r="BV35" s="2"/>
      <c r="BW35" s="2"/>
      <c r="BX35" s="2"/>
      <c r="BY35" s="674" t="s">
        <v>873</v>
      </c>
      <c r="BZ35" s="105">
        <f t="shared" ref="BZ35:CC39" si="18">BZ9/BZ21-1</f>
        <v>1.7921146953404854E-2</v>
      </c>
      <c r="CA35" s="105">
        <f t="shared" si="18"/>
        <v>7.4650571791613718E-2</v>
      </c>
      <c r="CB35" s="105">
        <f t="shared" si="18"/>
        <v>-1.620912583153733E-2</v>
      </c>
      <c r="CC35" s="129">
        <f t="shared" si="18"/>
        <v>2.3768926476606111E-2</v>
      </c>
      <c r="CD35" s="58"/>
      <c r="CE35" s="2"/>
      <c r="CF35" s="61"/>
      <c r="CG35" s="61"/>
      <c r="CH35" s="2"/>
      <c r="CI35" s="2"/>
      <c r="CJ35" s="2"/>
      <c r="CK35" s="2"/>
      <c r="CL35" s="2"/>
      <c r="CM35" s="674" t="s">
        <v>873</v>
      </c>
      <c r="CN35" s="105">
        <f t="shared" ref="CN35:CQ39" si="19">CN9/CN21-1</f>
        <v>-7.4376908678947751E-2</v>
      </c>
      <c r="CO35" s="105">
        <f t="shared" si="19"/>
        <v>-1.6949152542372947E-2</v>
      </c>
      <c r="CP35" s="105">
        <f t="shared" si="19"/>
        <v>7.4690770694576303E-2</v>
      </c>
      <c r="CQ35" s="129">
        <f t="shared" si="19"/>
        <v>-1.0091407678245123E-2</v>
      </c>
      <c r="CR35" s="58"/>
      <c r="CS35" s="2"/>
      <c r="CT35" s="61"/>
      <c r="CU35" s="2"/>
    </row>
    <row r="36" spans="1:99" ht="3.75" customHeight="1">
      <c r="A36" s="874"/>
      <c r="B36" s="2400" t="s">
        <v>343</v>
      </c>
      <c r="C36" s="2400" t="s">
        <v>343</v>
      </c>
      <c r="D36" s="2400" t="s">
        <v>343</v>
      </c>
      <c r="E36" s="2401" t="s">
        <v>343</v>
      </c>
      <c r="F36" s="1062"/>
      <c r="G36" s="1062"/>
      <c r="H36" s="1062"/>
      <c r="I36" s="1062"/>
      <c r="J36" s="1062"/>
      <c r="K36" s="105"/>
      <c r="L36" s="2"/>
      <c r="M36" s="2"/>
      <c r="N36" s="2"/>
      <c r="O36" s="874"/>
      <c r="P36" s="2400" t="s">
        <v>343</v>
      </c>
      <c r="Q36" s="2400" t="s">
        <v>343</v>
      </c>
      <c r="R36" s="2400" t="s">
        <v>343</v>
      </c>
      <c r="S36" s="2401" t="s">
        <v>343</v>
      </c>
      <c r="T36" s="1062"/>
      <c r="U36" s="1062"/>
      <c r="V36" s="1062"/>
      <c r="W36" s="1062"/>
      <c r="X36" s="1062"/>
      <c r="Y36" s="105"/>
      <c r="Z36" s="2"/>
      <c r="AA36" s="2"/>
      <c r="AB36" s="2"/>
      <c r="AC36" s="874"/>
      <c r="AD36" s="1624" t="s">
        <v>343</v>
      </c>
      <c r="AE36" s="1624" t="s">
        <v>343</v>
      </c>
      <c r="AF36" s="1624" t="s">
        <v>343</v>
      </c>
      <c r="AG36" s="2325" t="s">
        <v>343</v>
      </c>
      <c r="AH36" s="2"/>
      <c r="AI36" s="2"/>
      <c r="AJ36" s="2"/>
      <c r="AK36" s="2"/>
      <c r="AL36" s="2"/>
      <c r="AM36" s="2"/>
      <c r="AN36" s="2"/>
      <c r="AO36" s="2"/>
      <c r="AP36" s="2"/>
      <c r="AQ36" s="674" t="s">
        <v>632</v>
      </c>
      <c r="AR36" s="105">
        <f t="shared" si="16"/>
        <v>-5.7407484222673721E-2</v>
      </c>
      <c r="AS36" s="105">
        <f t="shared" si="16"/>
        <v>8.8321077033024942E-2</v>
      </c>
      <c r="AT36" s="105">
        <f t="shared" si="16"/>
        <v>4.064942762749757E-2</v>
      </c>
      <c r="AU36" s="129">
        <f t="shared" si="16"/>
        <v>2.1435381252467467E-2</v>
      </c>
      <c r="AV36" s="58"/>
      <c r="AW36" s="2"/>
      <c r="AX36" s="61"/>
      <c r="AY36" s="61"/>
      <c r="AZ36" s="2"/>
      <c r="BA36" s="2"/>
      <c r="BB36" s="2"/>
      <c r="BC36" s="2"/>
      <c r="BD36" s="2"/>
      <c r="BE36" s="2"/>
      <c r="BF36" s="2"/>
      <c r="BG36" s="2"/>
      <c r="BH36" s="2"/>
      <c r="BI36" s="2"/>
      <c r="BJ36" s="2"/>
      <c r="BK36" s="2"/>
      <c r="BL36" s="2"/>
      <c r="BM36" s="674" t="s">
        <v>632</v>
      </c>
      <c r="BN36" s="105">
        <f t="shared" si="17"/>
        <v>-3.9715708610276956E-2</v>
      </c>
      <c r="BO36" s="105">
        <f t="shared" si="17"/>
        <v>-3.4089596888737472E-2</v>
      </c>
      <c r="BP36" s="105">
        <f t="shared" si="17"/>
        <v>2.1210721707283664E-2</v>
      </c>
      <c r="BQ36" s="129">
        <f t="shared" si="17"/>
        <v>-1.8198768066346682E-2</v>
      </c>
      <c r="BR36" s="58"/>
      <c r="BS36" s="2"/>
      <c r="BT36" s="61"/>
      <c r="BU36" s="61"/>
      <c r="BV36" s="2"/>
      <c r="BW36" s="2"/>
      <c r="BX36" s="2"/>
      <c r="BY36" s="674" t="s">
        <v>632</v>
      </c>
      <c r="BZ36" s="105">
        <f t="shared" si="18"/>
        <v>-3.1182256622870219E-2</v>
      </c>
      <c r="CA36" s="105">
        <f t="shared" si="18"/>
        <v>0.10438318424215942</v>
      </c>
      <c r="CB36" s="105">
        <f t="shared" si="18"/>
        <v>7.6284668996531968E-2</v>
      </c>
      <c r="CC36" s="129">
        <f t="shared" si="18"/>
        <v>5.1235590193435598E-2</v>
      </c>
      <c r="CD36" s="58"/>
      <c r="CE36" s="2"/>
      <c r="CF36" s="61"/>
      <c r="CG36" s="61"/>
      <c r="CH36" s="2"/>
      <c r="CI36" s="2"/>
      <c r="CJ36" s="2"/>
      <c r="CK36" s="2"/>
      <c r="CL36" s="2"/>
      <c r="CM36" s="674" t="s">
        <v>632</v>
      </c>
      <c r="CN36" s="105">
        <f t="shared" si="19"/>
        <v>-2.3679406942944348E-2</v>
      </c>
      <c r="CO36" s="105">
        <f t="shared" si="19"/>
        <v>-7.2087141957247858E-2</v>
      </c>
      <c r="CP36" s="105">
        <f t="shared" si="19"/>
        <v>0</v>
      </c>
      <c r="CQ36" s="129">
        <f t="shared" si="19"/>
        <v>-3.2281970975254648E-2</v>
      </c>
      <c r="CR36" s="58"/>
      <c r="CS36" s="2"/>
      <c r="CT36" s="61"/>
      <c r="CU36" s="2"/>
    </row>
    <row r="37" spans="1:99">
      <c r="A37" s="530" t="s">
        <v>1706</v>
      </c>
      <c r="B37" s="2402">
        <f>SUM(B26:B36)</f>
        <v>2701.4533744099999</v>
      </c>
      <c r="C37" s="2402">
        <f>SUM(C26:C36)</f>
        <v>2702.1530647199993</v>
      </c>
      <c r="D37" s="2402">
        <f>SUM(D26:D36)</f>
        <v>2704.7849214399994</v>
      </c>
      <c r="E37" s="2405">
        <f>SUM(E26:E36)</f>
        <v>8108.3913605700018</v>
      </c>
      <c r="F37" s="888"/>
      <c r="G37" s="1062"/>
      <c r="H37" s="77"/>
      <c r="I37" s="77"/>
      <c r="J37" s="1062"/>
      <c r="K37" s="105"/>
      <c r="L37" s="2"/>
      <c r="M37" s="2"/>
      <c r="N37" s="2"/>
      <c r="O37" s="530" t="s">
        <v>1706</v>
      </c>
      <c r="P37" s="2402">
        <f>SUM(P26:P36)</f>
        <v>2653.6088592899996</v>
      </c>
      <c r="Q37" s="2402">
        <f>SUM(Q26:Q36)</f>
        <v>2652.3304573699997</v>
      </c>
      <c r="R37" s="2402">
        <f>SUM(R26:R36)</f>
        <v>2649.1992127399999</v>
      </c>
      <c r="S37" s="2405">
        <f>SUM(S26:S36)</f>
        <v>7955.1385294000011</v>
      </c>
      <c r="T37" s="888"/>
      <c r="U37" s="1062"/>
      <c r="V37" s="77"/>
      <c r="W37" s="77"/>
      <c r="X37" s="1062"/>
      <c r="Y37" s="105"/>
      <c r="Z37" s="2"/>
      <c r="AA37" s="2"/>
      <c r="AB37" s="2"/>
      <c r="AC37" s="530" t="s">
        <v>1706</v>
      </c>
      <c r="AD37" s="1600">
        <f>SUM(AD26:AD36)</f>
        <v>98.899235560000008</v>
      </c>
      <c r="AE37" s="1600">
        <f>SUM(AE26:AE36)</f>
        <v>101.28399421</v>
      </c>
      <c r="AF37" s="1600">
        <f>SUM(AF26:AF36)</f>
        <v>0</v>
      </c>
      <c r="AG37" s="1601">
        <f>SUM(AG26:AG36)</f>
        <v>200.18322977000003</v>
      </c>
      <c r="AH37" s="1608"/>
      <c r="AI37" s="2"/>
      <c r="AJ37" s="61"/>
      <c r="AK37" s="61"/>
      <c r="AL37" s="2"/>
      <c r="AM37" s="2"/>
      <c r="AN37" s="2"/>
      <c r="AO37" s="2"/>
      <c r="AP37" s="2"/>
      <c r="AQ37" s="674" t="s">
        <v>917</v>
      </c>
      <c r="AR37" s="105">
        <f t="shared" si="16"/>
        <v>7.9416967349751122E-2</v>
      </c>
      <c r="AS37" s="105">
        <f t="shared" si="16"/>
        <v>-8.8748823456161086E-2</v>
      </c>
      <c r="AT37" s="105">
        <f t="shared" si="16"/>
        <v>-0.11011802337503585</v>
      </c>
      <c r="AU37" s="129">
        <f t="shared" si="16"/>
        <v>-4.8060245565714865E-2</v>
      </c>
      <c r="AV37" s="58"/>
      <c r="AW37" s="2"/>
      <c r="AX37" s="61"/>
      <c r="AY37" s="61"/>
      <c r="AZ37" s="2"/>
      <c r="BA37" s="2"/>
      <c r="BB37" s="2"/>
      <c r="BC37" s="2"/>
      <c r="BD37" s="2"/>
      <c r="BE37" s="2"/>
      <c r="BF37" s="2"/>
      <c r="BG37" s="2"/>
      <c r="BH37" s="2"/>
      <c r="BI37" s="2"/>
      <c r="BJ37" s="2"/>
      <c r="BK37" s="2"/>
      <c r="BL37" s="2"/>
      <c r="BM37" s="674" t="s">
        <v>917</v>
      </c>
      <c r="BN37" s="105">
        <f t="shared" si="17"/>
        <v>-5.1620660537554097E-2</v>
      </c>
      <c r="BO37" s="105">
        <f t="shared" si="17"/>
        <v>1.1526037774953757E-2</v>
      </c>
      <c r="BP37" s="105">
        <f t="shared" si="17"/>
        <v>5.888958297378255E-2</v>
      </c>
      <c r="BQ37" s="129">
        <f t="shared" si="17"/>
        <v>4.4889959910114907E-3</v>
      </c>
      <c r="BR37" s="58"/>
      <c r="BS37" s="2"/>
      <c r="BT37" s="61"/>
      <c r="BU37" s="61"/>
      <c r="BV37" s="2"/>
      <c r="BW37" s="2"/>
      <c r="BX37" s="2"/>
      <c r="BY37" s="674" t="s">
        <v>917</v>
      </c>
      <c r="BZ37" s="105">
        <f t="shared" si="18"/>
        <v>2.1337033809793349E-2</v>
      </c>
      <c r="CA37" s="105">
        <f t="shared" si="18"/>
        <v>0.10261025996414164</v>
      </c>
      <c r="CB37" s="105">
        <f t="shared" si="18"/>
        <v>3.0688665355996125E-2</v>
      </c>
      <c r="CC37" s="129">
        <f t="shared" si="18"/>
        <v>5.1485535124866422E-2</v>
      </c>
      <c r="CD37" s="58"/>
      <c r="CE37" s="2"/>
      <c r="CF37" s="61"/>
      <c r="CG37" s="61"/>
      <c r="CH37" s="2"/>
      <c r="CI37" s="2"/>
      <c r="CJ37" s="2"/>
      <c r="CK37" s="2"/>
      <c r="CL37" s="2"/>
      <c r="CM37" s="674" t="s">
        <v>917</v>
      </c>
      <c r="CN37" s="105">
        <f t="shared" si="19"/>
        <v>-5.6286806232703102E-2</v>
      </c>
      <c r="CO37" s="105">
        <f t="shared" si="19"/>
        <v>1.6978165508076071E-2</v>
      </c>
      <c r="CP37" s="105">
        <f t="shared" si="19"/>
        <v>0.10080407573547512</v>
      </c>
      <c r="CQ37" s="129">
        <f t="shared" si="19"/>
        <v>1.6861986767613413E-2</v>
      </c>
      <c r="CR37" s="58"/>
      <c r="CS37" s="2"/>
      <c r="CT37" s="61"/>
      <c r="CU37" s="2"/>
    </row>
    <row r="38" spans="1:99">
      <c r="A38" s="874"/>
      <c r="B38" s="2406"/>
      <c r="C38" s="2406"/>
      <c r="D38" s="2406"/>
      <c r="E38" s="375"/>
      <c r="F38" s="1612"/>
      <c r="G38" s="1062"/>
      <c r="H38" s="77"/>
      <c r="I38" s="77"/>
      <c r="J38" s="1062"/>
      <c r="K38" s="105"/>
      <c r="L38" s="2"/>
      <c r="M38" s="2"/>
      <c r="N38" s="2"/>
      <c r="O38" s="874"/>
      <c r="P38" s="2406"/>
      <c r="Q38" s="2406"/>
      <c r="R38" s="2406"/>
      <c r="S38" s="375"/>
      <c r="T38" s="1612"/>
      <c r="U38" s="1062"/>
      <c r="V38" s="77"/>
      <c r="W38" s="77"/>
      <c r="X38" s="1062"/>
      <c r="Y38" s="105"/>
      <c r="Z38" s="2"/>
      <c r="AA38" s="2"/>
      <c r="AB38" s="2"/>
      <c r="AC38" s="874"/>
      <c r="AD38" s="1596"/>
      <c r="AE38" s="1596"/>
      <c r="AF38" s="1596"/>
      <c r="AG38" s="1291"/>
      <c r="AH38" s="1609"/>
      <c r="AI38" s="2"/>
      <c r="AJ38" s="61"/>
      <c r="AK38" s="61"/>
      <c r="AL38" s="2"/>
      <c r="AM38" s="2"/>
      <c r="AN38" s="2"/>
      <c r="AO38" s="2"/>
      <c r="AP38" s="2"/>
      <c r="AQ38" s="674" t="s">
        <v>775</v>
      </c>
      <c r="AR38" s="105">
        <f t="shared" si="16"/>
        <v>-2.642968697477599E-2</v>
      </c>
      <c r="AS38" s="105">
        <f t="shared" si="16"/>
        <v>6.4753350792468911E-2</v>
      </c>
      <c r="AT38" s="105">
        <f t="shared" si="16"/>
        <v>9.1303364448637847E-2</v>
      </c>
      <c r="AU38" s="129">
        <f t="shared" si="16"/>
        <v>4.2583790157054713E-2</v>
      </c>
      <c r="AV38" s="58"/>
      <c r="AW38" s="2"/>
      <c r="AX38" s="61"/>
      <c r="AY38" s="61"/>
      <c r="AZ38" s="2"/>
      <c r="BA38" s="2"/>
      <c r="BB38" s="2"/>
      <c r="BC38" s="2"/>
      <c r="BD38" s="2"/>
      <c r="BE38" s="2"/>
      <c r="BF38" s="2"/>
      <c r="BG38" s="2"/>
      <c r="BH38" s="2"/>
      <c r="BI38" s="2"/>
      <c r="BJ38" s="2"/>
      <c r="BK38" s="2"/>
      <c r="BL38" s="2"/>
      <c r="BM38" s="674" t="s">
        <v>775</v>
      </c>
      <c r="BN38" s="105">
        <f t="shared" si="17"/>
        <v>1.297214803510105E-2</v>
      </c>
      <c r="BO38" s="105">
        <f t="shared" si="17"/>
        <v>1.297214803510105E-2</v>
      </c>
      <c r="BP38" s="105">
        <f t="shared" si="17"/>
        <v>-0.99381488382678362</v>
      </c>
      <c r="BQ38" s="129">
        <f t="shared" si="17"/>
        <v>-0.32262352925219384</v>
      </c>
      <c r="BR38" s="58"/>
      <c r="BS38" s="2"/>
      <c r="BT38" s="61"/>
      <c r="BU38" s="61"/>
      <c r="BV38" s="2"/>
      <c r="BW38" s="2"/>
      <c r="BX38" s="2"/>
      <c r="BY38" s="674" t="s">
        <v>775</v>
      </c>
      <c r="BZ38" s="105">
        <f t="shared" si="18"/>
        <v>1.3358778625954137E-2</v>
      </c>
      <c r="CA38" s="105">
        <f t="shared" si="18"/>
        <v>1.3358778625954137E-2</v>
      </c>
      <c r="CB38" s="105">
        <f t="shared" si="18"/>
        <v>-0.99450076335877857</v>
      </c>
      <c r="CC38" s="129">
        <f t="shared" si="18"/>
        <v>-0.3225944020356234</v>
      </c>
      <c r="CD38" s="58"/>
      <c r="CE38" s="2"/>
      <c r="CF38" s="61"/>
      <c r="CG38" s="61"/>
      <c r="CH38" s="2"/>
      <c r="CI38" s="2"/>
      <c r="CJ38" s="2"/>
      <c r="CK38" s="2"/>
      <c r="CL38" s="2"/>
      <c r="CM38" s="674" t="s">
        <v>775</v>
      </c>
      <c r="CN38" s="105">
        <f t="shared" si="19"/>
        <v>2.9209695918297918E-2</v>
      </c>
      <c r="CO38" s="105">
        <f t="shared" si="19"/>
        <v>0.10577670926169391</v>
      </c>
      <c r="CP38" s="105">
        <f t="shared" si="19"/>
        <v>0</v>
      </c>
      <c r="CQ38" s="129">
        <f t="shared" si="19"/>
        <v>4.3104494332732557E-2</v>
      </c>
      <c r="CR38" s="58"/>
      <c r="CS38" s="2"/>
      <c r="CT38" s="61"/>
      <c r="CU38" s="2"/>
    </row>
    <row r="39" spans="1:99">
      <c r="A39" s="176" t="s">
        <v>1491</v>
      </c>
      <c r="B39" s="2395">
        <v>42.088803999999996</v>
      </c>
      <c r="C39" s="2395">
        <v>42.742936999999998</v>
      </c>
      <c r="D39" s="2395">
        <v>54.043153000000004</v>
      </c>
      <c r="E39" s="375">
        <f>SUM(B39:D39)</f>
        <v>138.87489399999998</v>
      </c>
      <c r="F39" s="201"/>
      <c r="G39" s="1062"/>
      <c r="H39" s="77"/>
      <c r="I39" s="77"/>
      <c r="J39" s="1062"/>
      <c r="K39" s="105"/>
      <c r="L39" s="2"/>
      <c r="M39" s="2"/>
      <c r="N39" s="2"/>
      <c r="O39" s="176" t="s">
        <v>1491</v>
      </c>
      <c r="P39" s="2395">
        <v>54.044653000000004</v>
      </c>
      <c r="Q39" s="2395">
        <v>55.263528000000001</v>
      </c>
      <c r="R39" s="2395">
        <v>55.334855000000005</v>
      </c>
      <c r="S39" s="375">
        <f>SUM(P39:R39)</f>
        <v>164.643036</v>
      </c>
      <c r="T39" s="201"/>
      <c r="U39" s="1062"/>
      <c r="V39" s="77"/>
      <c r="W39" s="77"/>
      <c r="X39" s="1062"/>
      <c r="Y39" s="105"/>
      <c r="Z39" s="2"/>
      <c r="AA39" s="2"/>
      <c r="AB39" s="2"/>
      <c r="AC39" s="176" t="s">
        <v>1491</v>
      </c>
      <c r="AD39" s="1623">
        <v>49.681416999999996</v>
      </c>
      <c r="AE39" s="1623">
        <v>50.011417999999999</v>
      </c>
      <c r="AF39" s="1623"/>
      <c r="AG39" s="1291">
        <f>SUM(AD39:AF39)</f>
        <v>99.692835000000002</v>
      </c>
      <c r="AH39" s="1607"/>
      <c r="AI39" s="2"/>
      <c r="AJ39" s="61"/>
      <c r="AK39" s="61"/>
      <c r="AL39" s="2"/>
      <c r="AM39" s="2"/>
      <c r="AN39" s="2"/>
      <c r="AO39" s="2"/>
      <c r="AP39" s="2"/>
      <c r="AQ39" s="874" t="s">
        <v>1302</v>
      </c>
      <c r="AR39" s="105">
        <f t="shared" si="16"/>
        <v>-0.12276618406153106</v>
      </c>
      <c r="AS39" s="105">
        <f t="shared" si="16"/>
        <v>-1.4949260240153306E-2</v>
      </c>
      <c r="AT39" s="105">
        <f t="shared" si="16"/>
        <v>-6.2752735653189284E-2</v>
      </c>
      <c r="AU39" s="129">
        <f t="shared" si="16"/>
        <v>-6.752485201425662E-2</v>
      </c>
      <c r="AV39" s="58"/>
      <c r="AW39" s="2"/>
      <c r="AX39" s="61"/>
      <c r="AY39" s="61"/>
      <c r="AZ39" s="2"/>
      <c r="BA39" s="2"/>
      <c r="BB39" s="2"/>
      <c r="BC39" s="2"/>
      <c r="BD39" s="2"/>
      <c r="BE39" s="2"/>
      <c r="BF39" s="2"/>
      <c r="BG39" s="2"/>
      <c r="BH39" s="2"/>
      <c r="BI39" s="2"/>
      <c r="BJ39" s="2"/>
      <c r="BK39" s="2"/>
      <c r="BL39" s="2"/>
      <c r="BM39" s="874" t="s">
        <v>1302</v>
      </c>
      <c r="BN39" s="105">
        <f t="shared" si="17"/>
        <v>-9.2898576415188394E-2</v>
      </c>
      <c r="BO39" s="105">
        <f t="shared" si="17"/>
        <v>-5.6208585077072049E-2</v>
      </c>
      <c r="BP39" s="105">
        <f t="shared" si="17"/>
        <v>-1.5545731183862932E-2</v>
      </c>
      <c r="BQ39" s="129">
        <f t="shared" si="17"/>
        <v>-5.4471143223643437E-2</v>
      </c>
      <c r="BR39" s="58"/>
      <c r="BS39" s="2"/>
      <c r="BT39" s="61"/>
      <c r="BU39" s="61"/>
      <c r="BV39" s="2"/>
      <c r="BW39" s="2"/>
      <c r="BX39" s="2"/>
      <c r="BY39" s="874" t="s">
        <v>1302</v>
      </c>
      <c r="BZ39" s="105">
        <f t="shared" si="18"/>
        <v>-2.8584762839183653E-2</v>
      </c>
      <c r="CA39" s="105">
        <f t="shared" si="18"/>
        <v>0.11800396679628689</v>
      </c>
      <c r="CB39" s="105">
        <f t="shared" si="18"/>
        <v>1.3235694814235144E-2</v>
      </c>
      <c r="CC39" s="129">
        <f t="shared" si="18"/>
        <v>3.5416213436659572E-2</v>
      </c>
      <c r="CD39" s="58"/>
      <c r="CE39" s="2"/>
      <c r="CF39" s="61"/>
      <c r="CG39" s="61"/>
      <c r="CH39" s="2"/>
      <c r="CI39" s="2"/>
      <c r="CJ39" s="2"/>
      <c r="CK39" s="2"/>
      <c r="CL39" s="2"/>
      <c r="CM39" s="874" t="s">
        <v>1302</v>
      </c>
      <c r="CN39" s="105">
        <f t="shared" si="19"/>
        <v>-9.546284018968143E-2</v>
      </c>
      <c r="CO39" s="105">
        <f t="shared" si="19"/>
        <v>-6.8154039636346697E-2</v>
      </c>
      <c r="CP39" s="105">
        <f t="shared" si="19"/>
        <v>0</v>
      </c>
      <c r="CQ39" s="129">
        <f t="shared" si="19"/>
        <v>-5.3644470998831739E-2</v>
      </c>
      <c r="CR39" s="58"/>
      <c r="CS39" s="2"/>
      <c r="CT39" s="61"/>
      <c r="CU39" s="2"/>
    </row>
    <row r="40" spans="1:99">
      <c r="A40" s="1594"/>
      <c r="B40" s="2396"/>
      <c r="C40" s="2396"/>
      <c r="D40" s="2396"/>
      <c r="E40" s="2407"/>
      <c r="F40" s="201"/>
      <c r="G40" s="1062"/>
      <c r="H40" s="77"/>
      <c r="I40" s="77"/>
      <c r="J40" s="1062"/>
      <c r="K40" s="105"/>
      <c r="L40" s="2"/>
      <c r="M40" s="2"/>
      <c r="N40" s="2"/>
      <c r="O40" s="1594"/>
      <c r="P40" s="2396"/>
      <c r="Q40" s="2396"/>
      <c r="R40" s="2396"/>
      <c r="S40" s="2407"/>
      <c r="T40" s="201"/>
      <c r="U40" s="1062"/>
      <c r="V40" s="77"/>
      <c r="W40" s="77"/>
      <c r="X40" s="1062"/>
      <c r="Y40" s="105"/>
      <c r="Z40" s="2"/>
      <c r="AA40" s="2"/>
      <c r="AB40" s="2"/>
      <c r="AC40" s="1594"/>
      <c r="AD40" s="1598"/>
      <c r="AE40" s="1598"/>
      <c r="AF40" s="1598"/>
      <c r="AG40" s="1599"/>
      <c r="AH40" s="1607"/>
      <c r="AI40" s="2"/>
      <c r="AJ40" s="61"/>
      <c r="AK40" s="61"/>
      <c r="AL40" s="2"/>
      <c r="AM40" s="2"/>
      <c r="AN40" s="2"/>
      <c r="AO40" s="2"/>
      <c r="AP40" s="2"/>
      <c r="AQ40" s="530" t="s">
        <v>1706</v>
      </c>
      <c r="AR40" s="221">
        <f>AR15/AR27-1</f>
        <v>-2.1690160569825201E-2</v>
      </c>
      <c r="AS40" s="221">
        <f>AS15/AS27-1</f>
        <v>1.339773258890542E-2</v>
      </c>
      <c r="AT40" s="221">
        <f>AT15/AT27-1</f>
        <v>-1.2498755706756071E-2</v>
      </c>
      <c r="AU40" s="1604">
        <f>AU15/AU27-1</f>
        <v>-7.0645853765445299E-3</v>
      </c>
      <c r="AV40" s="1610"/>
      <c r="AW40" s="2"/>
      <c r="AX40" s="61"/>
      <c r="AY40" s="61"/>
      <c r="AZ40" s="2"/>
      <c r="BA40" s="2"/>
      <c r="BB40" s="2"/>
      <c r="BC40" s="2"/>
      <c r="BD40" s="2"/>
      <c r="BE40" s="2"/>
      <c r="BF40" s="2"/>
      <c r="BG40" s="2"/>
      <c r="BH40" s="2"/>
      <c r="BI40" s="2"/>
      <c r="BJ40" s="2"/>
      <c r="BK40" s="2"/>
      <c r="BL40" s="2"/>
      <c r="BM40" s="530" t="s">
        <v>1706</v>
      </c>
      <c r="BN40" s="221">
        <f>BN15/BN27-1</f>
        <v>1.166822215615837E-2</v>
      </c>
      <c r="BO40" s="221">
        <f>BO15/BO27-1</f>
        <v>1.2650941263328663E-2</v>
      </c>
      <c r="BP40" s="221">
        <f>BP15/BP27-1</f>
        <v>-0.97758108063141014</v>
      </c>
      <c r="BQ40" s="1604">
        <f>BQ15/BQ27-1</f>
        <v>-0.31759312514926341</v>
      </c>
      <c r="BR40" s="1610"/>
      <c r="BS40" s="2"/>
      <c r="BT40" s="61"/>
      <c r="BU40" s="61"/>
      <c r="BV40" s="2"/>
      <c r="BW40" s="2"/>
      <c r="BX40" s="2"/>
      <c r="BY40" s="530" t="s">
        <v>1706</v>
      </c>
      <c r="BZ40" s="221">
        <f>BZ15/BZ27-1</f>
        <v>1.3122785405305093E-2</v>
      </c>
      <c r="CA40" s="221">
        <f>CA15/CA27-1</f>
        <v>1.4722437201245775E-2</v>
      </c>
      <c r="CB40" s="221">
        <f>CB15/CB27-1</f>
        <v>-0.97666434125765011</v>
      </c>
      <c r="CC40" s="1604">
        <f>CC15/CC27-1</f>
        <v>-0.31677949357158786</v>
      </c>
      <c r="CD40" s="1610"/>
      <c r="CE40" s="2"/>
      <c r="CF40" s="61"/>
      <c r="CG40" s="61"/>
      <c r="CH40" s="2"/>
      <c r="CI40" s="2"/>
      <c r="CJ40" s="2"/>
      <c r="CK40" s="2"/>
      <c r="CL40" s="2"/>
      <c r="CM40" s="530" t="s">
        <v>1706</v>
      </c>
      <c r="CN40" s="221">
        <f>CN15/CN27-1</f>
        <v>-4.0450022607207536E-2</v>
      </c>
      <c r="CO40" s="221">
        <f>CO15/CO27-1</f>
        <v>2.9181693800632846E-3</v>
      </c>
      <c r="CP40" s="221">
        <f>CP15/CP27-1</f>
        <v>3.631995468950544E-2</v>
      </c>
      <c r="CQ40" s="1604">
        <f>CQ15/CQ27-1</f>
        <v>-1.5416822184944889E-3</v>
      </c>
      <c r="CR40" s="1610"/>
      <c r="CS40" s="2"/>
      <c r="CT40" s="61"/>
      <c r="CU40" s="2"/>
    </row>
    <row r="41" spans="1:99" ht="5.0999999999999996" customHeight="1">
      <c r="A41" s="2"/>
      <c r="B41" s="1704"/>
      <c r="C41" s="1704"/>
      <c r="D41" s="1704"/>
      <c r="E41" s="1704"/>
      <c r="F41" s="1612"/>
      <c r="G41" s="1062"/>
      <c r="H41" s="77"/>
      <c r="I41" s="77"/>
      <c r="J41" s="1062"/>
      <c r="K41" s="105"/>
      <c r="L41" s="2"/>
      <c r="M41" s="2"/>
      <c r="N41" s="2"/>
      <c r="O41" s="2"/>
      <c r="P41" s="1704"/>
      <c r="Q41" s="1704"/>
      <c r="R41" s="1704"/>
      <c r="S41" s="1704"/>
      <c r="T41" s="1612"/>
      <c r="U41" s="1062"/>
      <c r="V41" s="77"/>
      <c r="W41" s="77"/>
      <c r="X41" s="1062"/>
      <c r="Y41" s="105"/>
      <c r="Z41" s="2"/>
      <c r="AA41" s="2"/>
      <c r="AB41" s="2"/>
      <c r="AC41" s="2"/>
      <c r="AD41" s="1595"/>
      <c r="AE41" s="1595"/>
      <c r="AF41" s="1595"/>
      <c r="AG41" s="1595"/>
      <c r="AH41" s="1609"/>
      <c r="AI41" s="2"/>
      <c r="AJ41" s="61"/>
      <c r="AK41" s="61"/>
      <c r="AL41" s="2"/>
      <c r="AM41" s="2"/>
      <c r="AN41" s="2"/>
      <c r="AO41" s="2"/>
      <c r="AP41" s="2"/>
      <c r="AQ41" s="530"/>
      <c r="AR41" s="105"/>
      <c r="AS41" s="105"/>
      <c r="AT41" s="105"/>
      <c r="AU41" s="129"/>
      <c r="AV41" s="58"/>
      <c r="AW41" s="2"/>
      <c r="AX41" s="61"/>
      <c r="AY41" s="61"/>
      <c r="AZ41" s="2"/>
      <c r="BA41" s="2"/>
      <c r="BB41" s="2"/>
      <c r="BC41" s="2"/>
      <c r="BD41" s="2"/>
      <c r="BE41" s="2"/>
      <c r="BF41" s="2"/>
      <c r="BG41" s="2"/>
      <c r="BH41" s="2"/>
      <c r="BI41" s="2"/>
      <c r="BJ41" s="2"/>
      <c r="BK41" s="2"/>
      <c r="BL41" s="2"/>
      <c r="BM41" s="530"/>
      <c r="BN41" s="105"/>
      <c r="BO41" s="105"/>
      <c r="BP41" s="105"/>
      <c r="BQ41" s="129"/>
      <c r="BR41" s="58"/>
      <c r="BS41" s="2"/>
      <c r="BT41" s="61"/>
      <c r="BU41" s="61"/>
      <c r="BV41" s="2"/>
      <c r="BW41" s="2"/>
      <c r="BX41" s="2"/>
      <c r="BY41" s="530"/>
      <c r="BZ41" s="105"/>
      <c r="CA41" s="105"/>
      <c r="CB41" s="105"/>
      <c r="CC41" s="129"/>
      <c r="CD41" s="58"/>
      <c r="CE41" s="2"/>
      <c r="CF41" s="61"/>
      <c r="CG41" s="61"/>
      <c r="CH41" s="2"/>
      <c r="CI41" s="2"/>
      <c r="CJ41" s="2"/>
      <c r="CK41" s="2"/>
      <c r="CL41" s="2"/>
      <c r="CM41" s="530"/>
      <c r="CN41" s="105"/>
      <c r="CO41" s="105"/>
      <c r="CP41" s="105"/>
      <c r="CQ41" s="129"/>
      <c r="CR41" s="58"/>
      <c r="CS41" s="2"/>
      <c r="CT41" s="61"/>
      <c r="CU41" s="2"/>
    </row>
    <row r="42" spans="1:99">
      <c r="A42" s="69" t="s">
        <v>1791</v>
      </c>
      <c r="B42" s="1290"/>
      <c r="C42" s="1704"/>
      <c r="D42" s="1704"/>
      <c r="E42" s="1704"/>
      <c r="F42" s="1704"/>
      <c r="G42" s="1062"/>
      <c r="H42" s="77"/>
      <c r="I42" s="77"/>
      <c r="J42" s="1062"/>
      <c r="K42" s="105"/>
      <c r="L42" s="2"/>
      <c r="M42" s="2"/>
      <c r="N42" s="2"/>
      <c r="O42" s="69" t="s">
        <v>1791</v>
      </c>
      <c r="P42" s="1290"/>
      <c r="Q42" s="1704"/>
      <c r="R42" s="1704"/>
      <c r="S42" s="1704"/>
      <c r="T42" s="1704"/>
      <c r="U42" s="1062"/>
      <c r="V42" s="77"/>
      <c r="W42" s="77"/>
      <c r="X42" s="1062"/>
      <c r="Y42" s="105"/>
      <c r="Z42" s="2"/>
      <c r="AA42" s="2"/>
      <c r="AB42" s="2"/>
      <c r="AC42" s="69" t="s">
        <v>1791</v>
      </c>
      <c r="AD42" s="1595"/>
      <c r="AE42" s="1595"/>
      <c r="AF42" s="1595"/>
      <c r="AG42" s="1595"/>
      <c r="AH42" s="1595"/>
      <c r="AI42" s="2"/>
      <c r="AJ42" s="61"/>
      <c r="AK42" s="61"/>
      <c r="AL42" s="2"/>
      <c r="AM42" s="2"/>
      <c r="AN42" s="2"/>
      <c r="AO42" s="2"/>
      <c r="AP42" s="2"/>
      <c r="AQ42" s="176" t="s">
        <v>1491</v>
      </c>
      <c r="AR42" s="105">
        <f>AR17/AR29-1</f>
        <v>-0.20886062184795839</v>
      </c>
      <c r="AS42" s="105">
        <f>AS17/AS29-1</f>
        <v>-0.14986878865839803</v>
      </c>
      <c r="AT42" s="105">
        <f>AT17/AT29-1</f>
        <v>-3.329311347031394E-2</v>
      </c>
      <c r="AU42" s="129">
        <f>AU17/AU29-1</f>
        <v>-0.12867004925943348</v>
      </c>
      <c r="AV42" s="58"/>
      <c r="AW42" s="2"/>
      <c r="AX42" s="61"/>
      <c r="AY42" s="61"/>
      <c r="AZ42" s="2"/>
      <c r="BA42" s="2"/>
      <c r="BB42" s="2"/>
      <c r="BC42" s="2"/>
      <c r="BD42" s="2"/>
      <c r="BE42" s="2"/>
      <c r="BF42" s="2"/>
      <c r="BG42" s="2"/>
      <c r="BH42" s="2"/>
      <c r="BI42" s="2"/>
      <c r="BJ42" s="2"/>
      <c r="BK42" s="2"/>
      <c r="BL42" s="2"/>
      <c r="BM42" s="176" t="s">
        <v>1184</v>
      </c>
      <c r="BN42" s="105">
        <f>BN17/BN29-1</f>
        <v>-2.7747683118239941E-3</v>
      </c>
      <c r="BO42" s="105">
        <f>BO17/BO29-1</f>
        <v>-0.10645463078326423</v>
      </c>
      <c r="BP42" s="105">
        <f>BP17/BP29-1</f>
        <v>-6.4197459611051166E-2</v>
      </c>
      <c r="BQ42" s="129">
        <f>BQ17/BQ29-1</f>
        <v>-5.9927716985212154E-2</v>
      </c>
      <c r="BR42" s="58"/>
      <c r="BS42" s="2"/>
      <c r="BT42" s="61"/>
      <c r="BU42" s="61"/>
      <c r="BV42" s="2"/>
      <c r="BW42" s="2"/>
      <c r="BX42" s="2"/>
      <c r="BY42" s="176" t="s">
        <v>1184</v>
      </c>
      <c r="BZ42" s="105">
        <f>BZ17/BZ29-1</f>
        <v>-2.3753495402593194E-2</v>
      </c>
      <c r="CA42" s="105">
        <f>CA17/CA29-1</f>
        <v>7.2139981685695798E-2</v>
      </c>
      <c r="CB42" s="105">
        <f>CB17/CB29-1</f>
        <v>3.9878083991712554E-2</v>
      </c>
      <c r="CC42" s="129">
        <f>CC17/CC29-1</f>
        <v>2.7671296927814337E-2</v>
      </c>
      <c r="CD42" s="58"/>
      <c r="CE42" s="2"/>
      <c r="CF42" s="61"/>
      <c r="CG42" s="61"/>
      <c r="CH42" s="2"/>
      <c r="CI42" s="2"/>
      <c r="CJ42" s="2"/>
      <c r="CK42" s="2"/>
      <c r="CL42" s="2"/>
      <c r="CM42" s="176" t="s">
        <v>1184</v>
      </c>
      <c r="CN42" s="105">
        <f>CN17/CN29-1</f>
        <v>3.1750536676389274E-4</v>
      </c>
      <c r="CO42" s="105">
        <f>CO17/CO29-1</f>
        <v>2.38718852736719E-2</v>
      </c>
      <c r="CP42" s="105">
        <f>CP17/CP29-1</f>
        <v>0.19141193620159092</v>
      </c>
      <c r="CQ42" s="129">
        <f>CQ17/CQ29-1</f>
        <v>6.8162890865471892E-2</v>
      </c>
      <c r="CR42" s="58"/>
      <c r="CS42" s="2"/>
      <c r="CT42" s="61"/>
      <c r="CU42" s="2"/>
    </row>
    <row r="43" spans="1:99">
      <c r="A43" s="2"/>
      <c r="B43" s="1704"/>
      <c r="C43" s="1704"/>
      <c r="D43" s="1704"/>
      <c r="E43" s="1704"/>
      <c r="F43" s="1704"/>
      <c r="G43" s="1062"/>
      <c r="H43" s="77"/>
      <c r="I43" s="77"/>
      <c r="J43" s="1062"/>
      <c r="K43" s="105"/>
      <c r="L43" s="2"/>
      <c r="M43" s="2"/>
      <c r="N43" s="2"/>
      <c r="O43" s="2"/>
      <c r="P43" s="1704"/>
      <c r="Q43" s="1704"/>
      <c r="R43" s="1704"/>
      <c r="S43" s="1704"/>
      <c r="T43" s="1704"/>
      <c r="U43" s="1062"/>
      <c r="V43" s="77"/>
      <c r="W43" s="77"/>
      <c r="X43" s="1062"/>
      <c r="Y43" s="105"/>
      <c r="Z43" s="2"/>
      <c r="AA43" s="2"/>
      <c r="AB43" s="2"/>
      <c r="AC43" s="2"/>
      <c r="AD43" s="1595"/>
      <c r="AE43" s="1595"/>
      <c r="AF43" s="1595"/>
      <c r="AG43" s="1595"/>
      <c r="AH43" s="1595"/>
      <c r="AI43" s="2"/>
      <c r="AJ43" s="61"/>
      <c r="AK43" s="61"/>
      <c r="AL43" s="2"/>
      <c r="AM43" s="2"/>
      <c r="AN43" s="2"/>
      <c r="AO43" s="2"/>
      <c r="AP43" s="2"/>
      <c r="AQ43" s="2"/>
      <c r="AR43" s="105"/>
      <c r="AS43" s="105"/>
      <c r="AT43" s="105"/>
      <c r="AU43" s="1597"/>
      <c r="AV43" s="58"/>
      <c r="AW43" s="2"/>
      <c r="AX43" s="61"/>
      <c r="AY43" s="61"/>
      <c r="AZ43" s="2"/>
      <c r="BA43" s="2"/>
      <c r="BB43" s="2"/>
      <c r="BC43" s="2"/>
      <c r="BD43" s="2"/>
      <c r="BE43" s="2"/>
      <c r="BF43" s="2"/>
      <c r="BG43" s="2"/>
      <c r="BH43" s="2"/>
      <c r="BI43" s="2"/>
      <c r="BJ43" s="2"/>
      <c r="BK43" s="2"/>
      <c r="BL43" s="2"/>
      <c r="BM43" s="2"/>
      <c r="BN43" s="105"/>
      <c r="BO43" s="105"/>
      <c r="BP43" s="105"/>
      <c r="BQ43" s="1597"/>
      <c r="BR43" s="58"/>
      <c r="BS43" s="2"/>
      <c r="BT43" s="61"/>
      <c r="BU43" s="61"/>
      <c r="BV43" s="2"/>
      <c r="BW43" s="2"/>
      <c r="BX43" s="2"/>
      <c r="BY43" s="2"/>
      <c r="BZ43" s="105"/>
      <c r="CA43" s="105"/>
      <c r="CB43" s="105"/>
      <c r="CC43" s="1597"/>
      <c r="CD43" s="58"/>
      <c r="CE43" s="2"/>
      <c r="CF43" s="61"/>
      <c r="CG43" s="61"/>
      <c r="CH43" s="2"/>
      <c r="CI43" s="2"/>
      <c r="CJ43" s="2"/>
      <c r="CK43" s="2"/>
      <c r="CL43" s="2"/>
      <c r="CM43" s="2"/>
      <c r="CN43" s="105"/>
      <c r="CO43" s="105"/>
      <c r="CP43" s="105"/>
      <c r="CQ43" s="1597"/>
      <c r="CR43" s="58"/>
      <c r="CS43" s="2"/>
      <c r="CT43" s="61"/>
      <c r="CU43" s="2"/>
    </row>
    <row r="44" spans="1:99">
      <c r="A44" s="111" t="s">
        <v>286</v>
      </c>
      <c r="B44" s="2397">
        <f>+B8</f>
        <v>41548</v>
      </c>
      <c r="C44" s="2397">
        <f>+C8</f>
        <v>41579</v>
      </c>
      <c r="D44" s="2397">
        <f>+D8</f>
        <v>41609</v>
      </c>
      <c r="E44" s="2398" t="s">
        <v>310</v>
      </c>
      <c r="F44" s="1704"/>
      <c r="G44" s="1062"/>
      <c r="H44" s="77"/>
      <c r="I44" s="77"/>
      <c r="J44" s="1062"/>
      <c r="K44" s="105"/>
      <c r="L44" s="2"/>
      <c r="M44" s="2"/>
      <c r="N44" s="2"/>
      <c r="O44" s="111" t="s">
        <v>286</v>
      </c>
      <c r="P44" s="2397">
        <f>+P8</f>
        <v>41456</v>
      </c>
      <c r="Q44" s="2397">
        <f>+Q8</f>
        <v>41487</v>
      </c>
      <c r="R44" s="2397">
        <f>+R8</f>
        <v>41518</v>
      </c>
      <c r="S44" s="2398" t="s">
        <v>310</v>
      </c>
      <c r="T44" s="1704"/>
      <c r="U44" s="1062"/>
      <c r="V44" s="77"/>
      <c r="W44" s="77"/>
      <c r="X44" s="1062"/>
      <c r="Y44" s="105"/>
      <c r="Z44" s="2"/>
      <c r="AA44" s="2"/>
      <c r="AB44" s="2"/>
      <c r="AC44" s="111" t="s">
        <v>286</v>
      </c>
      <c r="AD44" s="1611">
        <f>+AD8</f>
        <v>41365</v>
      </c>
      <c r="AE44" s="1611">
        <f>+AE8</f>
        <v>41395</v>
      </c>
      <c r="AF44" s="1611">
        <f>+AF8</f>
        <v>41426</v>
      </c>
      <c r="AG44" s="1359" t="s">
        <v>310</v>
      </c>
      <c r="AH44" s="1595"/>
      <c r="AI44" s="2"/>
      <c r="AJ44" s="61"/>
      <c r="AK44" s="61"/>
      <c r="AL44" s="2"/>
      <c r="AM44" s="2"/>
      <c r="AN44" s="2"/>
      <c r="AO44" s="2"/>
      <c r="AP44" s="2"/>
      <c r="AQ44" s="2"/>
      <c r="AR44" s="2"/>
      <c r="AS44" s="2">
        <f>+AS10+AR10</f>
        <v>17.094002009999997</v>
      </c>
      <c r="AT44" s="1170">
        <f>+AS44/AS49-1</f>
        <v>1.1783019815082563E-2</v>
      </c>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row>
    <row r="45" spans="1:99">
      <c r="A45" s="674" t="s">
        <v>873</v>
      </c>
      <c r="B45" s="1290">
        <f t="shared" ref="B45:E54" si="20">B9/B26-1</f>
        <v>-4.6496253664893072E-2</v>
      </c>
      <c r="C45" s="1290">
        <f t="shared" si="20"/>
        <v>-8.1288705652598492E-2</v>
      </c>
      <c r="D45" s="1290">
        <f t="shared" si="20"/>
        <v>-0.20700022101889703</v>
      </c>
      <c r="E45" s="2408">
        <f t="shared" si="20"/>
        <v>-0.11103064604185631</v>
      </c>
      <c r="F45" s="2399"/>
      <c r="G45" s="1062"/>
      <c r="H45" s="2399"/>
      <c r="I45" s="2399"/>
      <c r="J45" s="2399"/>
      <c r="K45" s="105"/>
      <c r="L45" s="2"/>
      <c r="M45" s="2"/>
      <c r="N45" s="2"/>
      <c r="O45" s="674" t="s">
        <v>873</v>
      </c>
      <c r="P45" s="1290">
        <f t="shared" ref="P45:S54" si="21">P9/P26-1</f>
        <v>-2.127388598956248E-2</v>
      </c>
      <c r="Q45" s="1290">
        <f t="shared" si="21"/>
        <v>-8.591996741675989E-2</v>
      </c>
      <c r="R45" s="1290">
        <f t="shared" si="21"/>
        <v>-5.4031904812046005E-2</v>
      </c>
      <c r="S45" s="2408">
        <f t="shared" si="21"/>
        <v>-5.3580151628986994E-2</v>
      </c>
      <c r="T45" s="2399"/>
      <c r="U45" s="1062"/>
      <c r="V45" s="2399"/>
      <c r="W45" s="2399"/>
      <c r="X45" s="2399"/>
      <c r="Y45" s="105"/>
      <c r="Z45" s="2"/>
      <c r="AA45" s="2"/>
      <c r="AB45" s="2"/>
      <c r="AC45" s="674" t="s">
        <v>873</v>
      </c>
      <c r="AD45" s="105">
        <f t="shared" ref="AD45:AE54" si="22">AD9/AD26-1</f>
        <v>-5.9538618716796221E-2</v>
      </c>
      <c r="AE45" s="105">
        <f t="shared" si="22"/>
        <v>-8.049653908794796E-2</v>
      </c>
      <c r="AF45" s="105"/>
      <c r="AG45" s="129">
        <f t="shared" ref="AG45:AG54" si="23">AG9/AG26-1</f>
        <v>0.39275005098919014</v>
      </c>
      <c r="AH45" s="83"/>
      <c r="AI45" s="2"/>
      <c r="AJ45" s="83"/>
      <c r="AK45" s="83"/>
      <c r="AL45" s="83"/>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f>+CC15+CC17</f>
        <v>5613.4847946200007</v>
      </c>
      <c r="CD45" s="2"/>
      <c r="CE45" s="2"/>
      <c r="CF45" s="2"/>
      <c r="CG45" s="2"/>
      <c r="CH45" s="2"/>
      <c r="CI45" s="2"/>
      <c r="CJ45" s="2"/>
      <c r="CK45" s="2"/>
      <c r="CL45" s="2"/>
      <c r="CM45" s="2"/>
      <c r="CN45" s="2"/>
      <c r="CO45" s="2"/>
      <c r="CP45" s="2"/>
      <c r="CQ45" s="2"/>
      <c r="CR45" s="2"/>
      <c r="CS45" s="2"/>
      <c r="CT45" s="2"/>
      <c r="CU45" s="2"/>
    </row>
    <row r="46" spans="1:99">
      <c r="A46" s="674" t="s">
        <v>632</v>
      </c>
      <c r="B46" s="1290">
        <f t="shared" si="20"/>
        <v>-7.4418777091526112E-2</v>
      </c>
      <c r="C46" s="1290">
        <f t="shared" si="20"/>
        <v>-0.13189156425938153</v>
      </c>
      <c r="D46" s="1290">
        <f t="shared" si="20"/>
        <v>-0.11827135488345963</v>
      </c>
      <c r="E46" s="2408">
        <f t="shared" si="20"/>
        <v>-0.10857009055758027</v>
      </c>
      <c r="F46" s="1438"/>
      <c r="G46" s="1062"/>
      <c r="H46" s="77"/>
      <c r="I46" s="77"/>
      <c r="J46" s="1062"/>
      <c r="K46" s="105"/>
      <c r="L46" s="2"/>
      <c r="M46" s="2"/>
      <c r="N46" s="2"/>
      <c r="O46" s="674" t="s">
        <v>632</v>
      </c>
      <c r="P46" s="1290">
        <f t="shared" si="21"/>
        <v>2.7070778672539708E-2</v>
      </c>
      <c r="Q46" s="1290">
        <f t="shared" si="21"/>
        <v>9.7460906205030451E-2</v>
      </c>
      <c r="R46" s="1290">
        <f t="shared" si="21"/>
        <v>-0.12437280967184505</v>
      </c>
      <c r="S46" s="2408">
        <f t="shared" si="21"/>
        <v>-2.8188922531222627E-3</v>
      </c>
      <c r="T46" s="1438"/>
      <c r="U46" s="1062"/>
      <c r="V46" s="77"/>
      <c r="W46" s="77"/>
      <c r="X46" s="1062"/>
      <c r="Y46" s="105"/>
      <c r="Z46" s="2"/>
      <c r="AA46" s="2"/>
      <c r="AB46" s="2"/>
      <c r="AC46" s="674" t="s">
        <v>632</v>
      </c>
      <c r="AD46" s="105">
        <f t="shared" si="22"/>
        <v>-3.108276870847404E-2</v>
      </c>
      <c r="AE46" s="105">
        <f t="shared" si="22"/>
        <v>3.7008326330715047E-2</v>
      </c>
      <c r="AF46" s="105"/>
      <c r="AG46" s="129">
        <f t="shared" si="23"/>
        <v>0.46485780263544507</v>
      </c>
      <c r="AH46" s="58"/>
      <c r="AI46" s="2"/>
      <c r="AJ46" s="61"/>
      <c r="AK46" s="61"/>
      <c r="AL46" s="2"/>
      <c r="AM46" s="2"/>
      <c r="AN46" s="2"/>
      <c r="AO46" s="2"/>
      <c r="AP46" s="2"/>
      <c r="AQ46" s="2"/>
      <c r="AR46" s="2"/>
      <c r="AS46" s="2">
        <f>+AS12+AR12</f>
        <v>28.625874279999998</v>
      </c>
      <c r="AT46" s="1170">
        <f>+AS46/AS51-1</f>
        <v>1.8210494019803569E-2</v>
      </c>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f>+CC27+CC29</f>
        <v>8139.5988866199996</v>
      </c>
      <c r="CD46" s="2"/>
      <c r="CE46" s="2"/>
      <c r="CF46" s="2"/>
      <c r="CG46" s="2"/>
      <c r="CH46" s="2"/>
      <c r="CI46" s="2"/>
      <c r="CJ46" s="2"/>
      <c r="CK46" s="2"/>
      <c r="CL46" s="2"/>
      <c r="CM46" s="2"/>
      <c r="CN46" s="2"/>
      <c r="CO46" s="2"/>
      <c r="CP46" s="2"/>
      <c r="CQ46" s="2"/>
      <c r="CR46" s="2"/>
      <c r="CS46" s="2"/>
      <c r="CT46" s="2"/>
      <c r="CU46" s="2"/>
    </row>
    <row r="47" spans="1:99">
      <c r="A47" s="674" t="s">
        <v>917</v>
      </c>
      <c r="B47" s="1290">
        <f t="shared" si="20"/>
        <v>-7.5160466866357467E-3</v>
      </c>
      <c r="C47" s="1290">
        <f t="shared" si="20"/>
        <v>-7.6136422015520733E-2</v>
      </c>
      <c r="D47" s="1290">
        <f t="shared" si="20"/>
        <v>-0.17659738377057332</v>
      </c>
      <c r="E47" s="2408">
        <f t="shared" si="20"/>
        <v>-8.8196828802850513E-2</v>
      </c>
      <c r="F47" s="1438"/>
      <c r="G47" s="1062"/>
      <c r="H47" s="77"/>
      <c r="I47" s="77"/>
      <c r="J47" s="1062"/>
      <c r="K47" s="105"/>
      <c r="L47" s="2"/>
      <c r="M47" s="2"/>
      <c r="N47" s="2"/>
      <c r="O47" s="674" t="s">
        <v>917</v>
      </c>
      <c r="P47" s="1290">
        <f t="shared" si="21"/>
        <v>-0.13680363581314903</v>
      </c>
      <c r="Q47" s="1290">
        <f t="shared" si="21"/>
        <v>-7.0535267146670466E-2</v>
      </c>
      <c r="R47" s="1290">
        <f t="shared" si="21"/>
        <v>-0.13755859987382846</v>
      </c>
      <c r="S47" s="2408">
        <f t="shared" si="21"/>
        <v>-0.11482906693284722</v>
      </c>
      <c r="T47" s="1438"/>
      <c r="U47" s="1062"/>
      <c r="V47" s="77"/>
      <c r="W47" s="77"/>
      <c r="X47" s="1062"/>
      <c r="Y47" s="105"/>
      <c r="Z47" s="2"/>
      <c r="AA47" s="2"/>
      <c r="AB47" s="2"/>
      <c r="AC47" s="674" t="s">
        <v>917</v>
      </c>
      <c r="AD47" s="105">
        <f t="shared" si="22"/>
        <v>-8.6576057303667797E-3</v>
      </c>
      <c r="AE47" s="105">
        <f t="shared" si="22"/>
        <v>-0.25571438613901487</v>
      </c>
      <c r="AF47" s="105"/>
      <c r="AG47" s="129">
        <f t="shared" si="23"/>
        <v>0.32380144143205114</v>
      </c>
      <c r="AH47" s="58"/>
      <c r="AI47" s="2"/>
      <c r="AJ47" s="61"/>
      <c r="AK47" s="61"/>
      <c r="AL47" s="2"/>
      <c r="AM47" s="2"/>
      <c r="AN47" s="2"/>
      <c r="AO47" s="2"/>
      <c r="AP47" s="2"/>
      <c r="AQ47" s="2"/>
      <c r="AR47" s="2"/>
      <c r="AS47" s="2">
        <f>+AS13+AR13</f>
        <v>16.188100390000002</v>
      </c>
      <c r="AT47" s="1170">
        <f>+AS47/AS52-1</f>
        <v>-7.0180446867414426E-2</v>
      </c>
      <c r="AU47" s="2"/>
      <c r="AV47" s="2"/>
      <c r="AW47" s="2"/>
      <c r="AX47" s="2"/>
      <c r="AY47" s="2"/>
      <c r="AZ47" s="2"/>
      <c r="BA47" s="2"/>
      <c r="BB47" s="2"/>
      <c r="BC47" s="2"/>
      <c r="BD47" s="2"/>
      <c r="BE47" s="2"/>
      <c r="BF47" s="2"/>
      <c r="BG47" s="2"/>
      <c r="BH47" s="2"/>
      <c r="BI47" s="2"/>
      <c r="BJ47" s="2"/>
      <c r="BK47" s="2"/>
      <c r="BL47" s="2"/>
      <c r="BM47" s="2"/>
      <c r="BN47" s="2"/>
      <c r="BO47" s="2"/>
      <c r="BP47" s="2"/>
      <c r="BQ47" s="1336"/>
      <c r="BR47" s="2"/>
      <c r="BS47" s="2"/>
      <c r="BT47" s="2"/>
      <c r="BU47" s="2"/>
      <c r="BV47" s="2"/>
      <c r="BW47" s="2"/>
      <c r="BX47" s="2"/>
      <c r="BY47" s="2"/>
      <c r="BZ47" s="2"/>
      <c r="CA47" s="2"/>
      <c r="CB47" s="2"/>
      <c r="CC47" s="1336">
        <f>+CC45/CC46-1</f>
        <v>-0.3103487195361021</v>
      </c>
      <c r="CD47" s="2"/>
      <c r="CE47" s="2"/>
      <c r="CF47" s="2"/>
      <c r="CG47" s="2"/>
      <c r="CH47" s="2"/>
      <c r="CI47" s="2"/>
      <c r="CJ47" s="2"/>
      <c r="CK47" s="2"/>
      <c r="CL47" s="2"/>
      <c r="CM47" s="2"/>
      <c r="CN47" s="2"/>
      <c r="CO47" s="2"/>
      <c r="CP47" s="2"/>
      <c r="CQ47" s="2"/>
      <c r="CR47" s="2"/>
      <c r="CS47" s="2"/>
      <c r="CT47" s="2"/>
      <c r="CU47" s="2"/>
    </row>
    <row r="48" spans="1:99">
      <c r="A48" s="674" t="s">
        <v>775</v>
      </c>
      <c r="B48" s="1290">
        <f t="shared" si="20"/>
        <v>-2.243346007604563E-2</v>
      </c>
      <c r="C48" s="1290">
        <f t="shared" si="20"/>
        <v>-2.243346007604563E-2</v>
      </c>
      <c r="D48" s="1290">
        <f t="shared" si="20"/>
        <v>-2.243346007604563E-2</v>
      </c>
      <c r="E48" s="2408">
        <f t="shared" si="20"/>
        <v>-2.243346007604563E-2</v>
      </c>
      <c r="F48" s="1438"/>
      <c r="G48" s="1062"/>
      <c r="H48" s="77"/>
      <c r="I48" s="77"/>
      <c r="J48" s="1062"/>
      <c r="K48" s="105"/>
      <c r="L48" s="2"/>
      <c r="M48" s="2"/>
      <c r="N48" s="2"/>
      <c r="O48" s="674" t="s">
        <v>775</v>
      </c>
      <c r="P48" s="1290">
        <f t="shared" si="21"/>
        <v>-5.8252427184466438E-3</v>
      </c>
      <c r="Q48" s="1290">
        <f t="shared" si="21"/>
        <v>-5.8252427184466438E-3</v>
      </c>
      <c r="R48" s="1290">
        <f t="shared" si="21"/>
        <v>-5.8252427184466438E-3</v>
      </c>
      <c r="S48" s="2408">
        <f t="shared" si="21"/>
        <v>-5.8252427184466438E-3</v>
      </c>
      <c r="T48" s="1438"/>
      <c r="U48" s="1062"/>
      <c r="V48" s="77"/>
      <c r="W48" s="77"/>
      <c r="X48" s="1062"/>
      <c r="Y48" s="105"/>
      <c r="Z48" s="2"/>
      <c r="AA48" s="2"/>
      <c r="AB48" s="2"/>
      <c r="AC48" s="674" t="s">
        <v>775</v>
      </c>
      <c r="AD48" s="105">
        <f t="shared" si="22"/>
        <v>-1.7337772388213546E-2</v>
      </c>
      <c r="AE48" s="105">
        <f t="shared" si="22"/>
        <v>7.7482988496259786E-2</v>
      </c>
      <c r="AF48" s="105"/>
      <c r="AG48" s="129">
        <f t="shared" si="23"/>
        <v>0.53176057891116257</v>
      </c>
      <c r="AH48" s="58"/>
      <c r="AI48" s="2"/>
      <c r="AJ48" s="61"/>
      <c r="AK48" s="61"/>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row>
    <row r="49" spans="1:99">
      <c r="A49" s="874" t="s">
        <v>1302</v>
      </c>
      <c r="B49" s="1290">
        <f t="shared" si="20"/>
        <v>-4.5715281682084608E-2</v>
      </c>
      <c r="C49" s="1290">
        <f t="shared" si="20"/>
        <v>-7.7642922478034837E-2</v>
      </c>
      <c r="D49" s="1290">
        <f t="shared" si="20"/>
        <v>-0.18985245010026686</v>
      </c>
      <c r="E49" s="2408">
        <f t="shared" si="20"/>
        <v>-0.10808048615252108</v>
      </c>
      <c r="F49" s="1438"/>
      <c r="G49" s="1062"/>
      <c r="H49" s="77"/>
      <c r="I49" s="77"/>
      <c r="J49" s="1062"/>
      <c r="K49" s="105"/>
      <c r="L49" s="2"/>
      <c r="M49" s="2"/>
      <c r="N49" s="2"/>
      <c r="O49" s="874" t="s">
        <v>1302</v>
      </c>
      <c r="P49" s="1290">
        <f t="shared" si="21"/>
        <v>-0.15609114405749747</v>
      </c>
      <c r="Q49" s="1290">
        <f t="shared" si="21"/>
        <v>-0.18550513104750133</v>
      </c>
      <c r="R49" s="1290">
        <f t="shared" si="21"/>
        <v>-0.20852726572267211</v>
      </c>
      <c r="S49" s="2408">
        <f t="shared" si="21"/>
        <v>-0.18255628236396493</v>
      </c>
      <c r="T49" s="1438"/>
      <c r="U49" s="1062"/>
      <c r="V49" s="77"/>
      <c r="W49" s="77"/>
      <c r="X49" s="1062"/>
      <c r="Y49" s="105"/>
      <c r="Z49" s="2"/>
      <c r="AA49" s="2"/>
      <c r="AB49" s="2"/>
      <c r="AC49" s="874" t="s">
        <v>1302</v>
      </c>
      <c r="AD49" s="105">
        <f t="shared" si="22"/>
        <v>2.2884134245106935E-3</v>
      </c>
      <c r="AE49" s="105">
        <f t="shared" si="22"/>
        <v>-5.0279625272140138E-2</v>
      </c>
      <c r="AF49" s="105"/>
      <c r="AG49" s="129">
        <f t="shared" si="23"/>
        <v>0.42939804466339182</v>
      </c>
      <c r="AH49" s="58"/>
      <c r="AI49" s="2"/>
      <c r="AJ49" s="61"/>
      <c r="AK49" s="61"/>
      <c r="AL49" s="2"/>
      <c r="AM49" s="2"/>
      <c r="AN49" s="2"/>
      <c r="AO49" s="2"/>
      <c r="AP49" s="2"/>
      <c r="AQ49" s="2"/>
      <c r="AR49" s="2"/>
      <c r="AS49" s="2">
        <f>+AS22+AR22</f>
        <v>16.89492873</v>
      </c>
      <c r="AT49" s="2"/>
      <c r="AU49" s="2"/>
      <c r="AV49" s="2"/>
      <c r="AW49" s="2"/>
      <c r="AX49" s="2"/>
      <c r="AY49" s="2"/>
      <c r="AZ49" s="2"/>
      <c r="BA49" s="2"/>
      <c r="BB49" s="2"/>
      <c r="BC49" s="2"/>
      <c r="BD49" s="2"/>
      <c r="BE49" s="2"/>
      <c r="BF49" s="2"/>
      <c r="BG49" s="2"/>
      <c r="BH49" s="2"/>
      <c r="BI49" s="2"/>
      <c r="BJ49" s="2"/>
      <c r="BK49" s="2"/>
      <c r="BL49" s="2"/>
      <c r="BM49" s="2"/>
      <c r="BN49" s="105"/>
      <c r="BO49" s="105"/>
      <c r="BP49" s="105"/>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row>
    <row r="50" spans="1:99">
      <c r="A50" s="874" t="s">
        <v>456</v>
      </c>
      <c r="B50" s="1290">
        <f t="shared" si="20"/>
        <v>-1.0769620402695024E-2</v>
      </c>
      <c r="C50" s="1290">
        <f t="shared" si="20"/>
        <v>-4.8747053202954804E-2</v>
      </c>
      <c r="D50" s="1290">
        <f t="shared" si="20"/>
        <v>-0.15648246449580938</v>
      </c>
      <c r="E50" s="2408">
        <f t="shared" si="20"/>
        <v>-7.0372711190071935E-2</v>
      </c>
      <c r="F50" s="1438"/>
      <c r="G50" s="1062"/>
      <c r="H50" s="77"/>
      <c r="I50" s="77"/>
      <c r="J50" s="1062"/>
      <c r="K50" s="105"/>
      <c r="L50" s="2"/>
      <c r="M50" s="2"/>
      <c r="N50" s="2"/>
      <c r="O50" s="874" t="s">
        <v>456</v>
      </c>
      <c r="P50" s="1290">
        <f t="shared" si="21"/>
        <v>3.8825248788030731E-2</v>
      </c>
      <c r="Q50" s="1290">
        <f t="shared" si="21"/>
        <v>4.2827204745599534E-2</v>
      </c>
      <c r="R50" s="1290">
        <f t="shared" si="21"/>
        <v>1.8097689844819298E-2</v>
      </c>
      <c r="S50" s="2408">
        <f t="shared" si="21"/>
        <v>3.3471376014580834E-2</v>
      </c>
      <c r="T50" s="1438"/>
      <c r="U50" s="1062"/>
      <c r="V50" s="77"/>
      <c r="W50" s="77"/>
      <c r="X50" s="1062"/>
      <c r="Y50" s="105"/>
      <c r="Z50" s="2"/>
      <c r="AA50" s="2"/>
      <c r="AB50" s="2"/>
      <c r="AC50" s="874" t="s">
        <v>456</v>
      </c>
      <c r="AD50" s="105">
        <f t="shared" si="22"/>
        <v>-5.1643860612418102E-2</v>
      </c>
      <c r="AE50" s="105">
        <f t="shared" si="22"/>
        <v>-1</v>
      </c>
      <c r="AF50" s="105"/>
      <c r="AG50" s="129">
        <f t="shared" si="23"/>
        <v>-0.53174722348223025</v>
      </c>
      <c r="AH50" s="58"/>
      <c r="AI50" s="2"/>
      <c r="AJ50" s="61"/>
      <c r="AK50" s="61"/>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row>
    <row r="51" spans="1:99">
      <c r="A51" s="874" t="s">
        <v>457</v>
      </c>
      <c r="B51" s="1290">
        <f t="shared" si="20"/>
        <v>0.18419002786699012</v>
      </c>
      <c r="C51" s="1290">
        <f t="shared" si="20"/>
        <v>0.14398591856593845</v>
      </c>
      <c r="D51" s="1290">
        <f t="shared" si="20"/>
        <v>2.3799936929033372E-2</v>
      </c>
      <c r="E51" s="2408">
        <f t="shared" si="20"/>
        <v>0.11676984152665737</v>
      </c>
      <c r="F51" s="2403"/>
      <c r="G51" s="1062"/>
      <c r="H51" s="77"/>
      <c r="I51" s="77"/>
      <c r="J51" s="1062"/>
      <c r="K51" s="105"/>
      <c r="L51" s="2"/>
      <c r="M51" s="2"/>
      <c r="N51" s="2"/>
      <c r="O51" s="874" t="s">
        <v>457</v>
      </c>
      <c r="P51" s="1290">
        <f t="shared" si="21"/>
        <v>0.10445171443337253</v>
      </c>
      <c r="Q51" s="1290">
        <f t="shared" si="21"/>
        <v>0.13401557154347876</v>
      </c>
      <c r="R51" s="1290">
        <f t="shared" si="21"/>
        <v>4.3243388299742946E-2</v>
      </c>
      <c r="S51" s="2408">
        <f t="shared" si="21"/>
        <v>9.507043225639733E-2</v>
      </c>
      <c r="T51" s="2403"/>
      <c r="U51" s="1062"/>
      <c r="V51" s="77"/>
      <c r="W51" s="77"/>
      <c r="X51" s="1062"/>
      <c r="Y51" s="105"/>
      <c r="Z51" s="2"/>
      <c r="AA51" s="2"/>
      <c r="AB51" s="2"/>
      <c r="AC51" s="874" t="s">
        <v>457</v>
      </c>
      <c r="AD51" s="105">
        <f t="shared" si="22"/>
        <v>-5.7255339064462896E-2</v>
      </c>
      <c r="AE51" s="105">
        <f t="shared" si="22"/>
        <v>-1</v>
      </c>
      <c r="AF51" s="105"/>
      <c r="AG51" s="129">
        <f t="shared" si="23"/>
        <v>-0.51742793102702622</v>
      </c>
      <c r="AH51" s="1610"/>
      <c r="AI51" s="2"/>
      <c r="AJ51" s="61"/>
      <c r="AK51" s="61"/>
      <c r="AL51" s="2"/>
      <c r="AM51" s="2"/>
      <c r="AN51" s="2"/>
      <c r="AO51" s="2"/>
      <c r="AP51" s="2"/>
      <c r="AQ51" s="2"/>
      <c r="AR51" s="2"/>
      <c r="AS51" s="2">
        <f>+AS24+AR24</f>
        <v>28.113906159999999</v>
      </c>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row>
    <row r="52" spans="1:99">
      <c r="A52" s="874" t="s">
        <v>458</v>
      </c>
      <c r="B52" s="1290">
        <f t="shared" si="20"/>
        <v>-0.14138044513237324</v>
      </c>
      <c r="C52" s="1290">
        <f t="shared" si="20"/>
        <v>-0.14977686871527651</v>
      </c>
      <c r="D52" s="1290">
        <f t="shared" si="20"/>
        <v>-0.17089253810122862</v>
      </c>
      <c r="E52" s="2408">
        <f t="shared" si="20"/>
        <v>-0.15435904496713404</v>
      </c>
      <c r="F52" s="1438"/>
      <c r="G52" s="1062"/>
      <c r="H52" s="77"/>
      <c r="I52" s="77"/>
      <c r="J52" s="1062"/>
      <c r="K52" s="105"/>
      <c r="L52" s="2"/>
      <c r="M52" s="2"/>
      <c r="N52" s="2"/>
      <c r="O52" s="874" t="s">
        <v>458</v>
      </c>
      <c r="P52" s="1290">
        <f t="shared" si="21"/>
        <v>-0.15330218407357044</v>
      </c>
      <c r="Q52" s="1290">
        <f t="shared" si="21"/>
        <v>-9.8830672363390937E-2</v>
      </c>
      <c r="R52" s="1290">
        <f t="shared" si="21"/>
        <v>-0.14356587691881273</v>
      </c>
      <c r="S52" s="2408">
        <f t="shared" si="21"/>
        <v>-0.13186419880600486</v>
      </c>
      <c r="T52" s="1438"/>
      <c r="U52" s="1062"/>
      <c r="V52" s="77"/>
      <c r="W52" s="77"/>
      <c r="X52" s="1062"/>
      <c r="Y52" s="105"/>
      <c r="Z52" s="2"/>
      <c r="AA52" s="2"/>
      <c r="AB52" s="2"/>
      <c r="AC52" s="874" t="s">
        <v>458</v>
      </c>
      <c r="AD52" s="105">
        <f t="shared" si="22"/>
        <v>-4.3098301197383893E-2</v>
      </c>
      <c r="AE52" s="105">
        <f t="shared" si="22"/>
        <v>-3.2482484322923555E-2</v>
      </c>
      <c r="AF52" s="105"/>
      <c r="AG52" s="129">
        <f t="shared" si="23"/>
        <v>0.41976427862165577</v>
      </c>
      <c r="AH52" s="58"/>
      <c r="AI52" s="2"/>
      <c r="AJ52" s="61"/>
      <c r="AK52" s="61"/>
      <c r="AL52" s="2"/>
      <c r="AM52" s="2"/>
      <c r="AN52" s="2"/>
      <c r="AO52" s="2"/>
      <c r="AP52" s="2"/>
      <c r="AQ52" s="2"/>
      <c r="AR52" s="2"/>
      <c r="AS52" s="2">
        <f>+AS25+AR25</f>
        <v>17.409937589999998</v>
      </c>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row>
    <row r="53" spans="1:99">
      <c r="A53" s="874" t="s">
        <v>460</v>
      </c>
      <c r="B53" s="1290"/>
      <c r="C53" s="1290"/>
      <c r="D53" s="1290"/>
      <c r="E53" s="2408"/>
      <c r="F53" s="1438"/>
      <c r="G53" s="1062"/>
      <c r="H53" s="77"/>
      <c r="I53" s="77"/>
      <c r="J53" s="1062"/>
      <c r="K53" s="105"/>
      <c r="L53" s="2"/>
      <c r="M53" s="2"/>
      <c r="N53" s="2"/>
      <c r="O53" s="874" t="s">
        <v>460</v>
      </c>
      <c r="P53" s="1290"/>
      <c r="Q53" s="1290"/>
      <c r="R53" s="1290"/>
      <c r="S53" s="2408"/>
      <c r="T53" s="1438"/>
      <c r="U53" s="1062"/>
      <c r="V53" s="77"/>
      <c r="W53" s="77"/>
      <c r="X53" s="1062"/>
      <c r="Y53" s="105"/>
      <c r="Z53" s="2"/>
      <c r="AA53" s="2"/>
      <c r="AB53" s="2"/>
      <c r="AC53" s="874" t="s">
        <v>460</v>
      </c>
      <c r="AD53" s="105">
        <f t="shared" si="22"/>
        <v>1.1063177230878685E-2</v>
      </c>
      <c r="AE53" s="105">
        <f t="shared" si="22"/>
        <v>4.2922458384296647E-2</v>
      </c>
      <c r="AF53" s="105"/>
      <c r="AG53" s="129">
        <f t="shared" si="23"/>
        <v>0.48671110855116062</v>
      </c>
      <c r="AH53" s="58"/>
      <c r="AI53" s="2"/>
      <c r="AJ53" s="61"/>
      <c r="AK53" s="61"/>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row>
    <row r="54" spans="1:99">
      <c r="A54" s="874" t="s">
        <v>459</v>
      </c>
      <c r="B54" s="1290">
        <f t="shared" si="20"/>
        <v>-2.3854040867193338E-2</v>
      </c>
      <c r="C54" s="1290">
        <f t="shared" si="20"/>
        <v>1.5557046013392251E-2</v>
      </c>
      <c r="D54" s="1290">
        <f t="shared" si="20"/>
        <v>-7.6209106190635256E-2</v>
      </c>
      <c r="E54" s="2408">
        <f t="shared" si="20"/>
        <v>-2.9487433699654675E-2</v>
      </c>
      <c r="F54" s="1438"/>
      <c r="G54" s="1062"/>
      <c r="H54" s="77"/>
      <c r="I54" s="77"/>
      <c r="J54" s="1062"/>
      <c r="K54" s="105"/>
      <c r="L54" s="2"/>
      <c r="M54" s="2"/>
      <c r="N54" s="2"/>
      <c r="O54" s="874" t="s">
        <v>459</v>
      </c>
      <c r="P54" s="1290">
        <f t="shared" si="21"/>
        <v>8.6978126467745387E-2</v>
      </c>
      <c r="Q54" s="1290">
        <f t="shared" si="21"/>
        <v>4.7057185814831204E-2</v>
      </c>
      <c r="R54" s="1290">
        <f t="shared" si="21"/>
        <v>-7.257617854057874E-3</v>
      </c>
      <c r="S54" s="2408">
        <f t="shared" si="21"/>
        <v>4.2857286556070129E-2</v>
      </c>
      <c r="T54" s="1438"/>
      <c r="U54" s="1062"/>
      <c r="V54" s="77"/>
      <c r="W54" s="77"/>
      <c r="X54" s="1062"/>
      <c r="Y54" s="105"/>
      <c r="Z54" s="2"/>
      <c r="AA54" s="2"/>
      <c r="AB54" s="2"/>
      <c r="AC54" s="874" t="s">
        <v>459</v>
      </c>
      <c r="AD54" s="105">
        <f t="shared" si="22"/>
        <v>0.18384554224156635</v>
      </c>
      <c r="AE54" s="105">
        <f t="shared" si="22"/>
        <v>8.2115428686748704E-2</v>
      </c>
      <c r="AF54" s="105"/>
      <c r="AG54" s="129">
        <f t="shared" si="23"/>
        <v>0.68442655210877201</v>
      </c>
      <c r="AH54" s="58"/>
      <c r="AI54" s="2"/>
      <c r="AJ54" s="61"/>
      <c r="AK54" s="61"/>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row>
    <row r="55" spans="1:99">
      <c r="A55" s="530" t="s">
        <v>1706</v>
      </c>
      <c r="B55" s="2409">
        <f>B20/B37-1</f>
        <v>-2.2521115765430255E-2</v>
      </c>
      <c r="C55" s="2409">
        <f>C20/C37-1</f>
        <v>-2.3284009226368085E-2</v>
      </c>
      <c r="D55" s="2409">
        <f>D20/D37-1</f>
        <v>-2.5589545180232154E-2</v>
      </c>
      <c r="E55" s="2410">
        <f>E20/E37-1</f>
        <v>-2.3798915029976664E-2</v>
      </c>
      <c r="F55" s="1062"/>
      <c r="G55" s="1062"/>
      <c r="H55" s="1062"/>
      <c r="I55" s="1062"/>
      <c r="J55" s="1062"/>
      <c r="K55" s="105"/>
      <c r="L55" s="2"/>
      <c r="M55" s="2"/>
      <c r="N55" s="2"/>
      <c r="O55" s="530" t="s">
        <v>1706</v>
      </c>
      <c r="P55" s="2409">
        <f>P20/P37-1</f>
        <v>-6.5622851420004125E-3</v>
      </c>
      <c r="Q55" s="2409">
        <f>Q20/Q37-1</f>
        <v>-6.308343171759323E-3</v>
      </c>
      <c r="R55" s="2409">
        <f>R20/R37-1</f>
        <v>-8.0045435345222904E-3</v>
      </c>
      <c r="S55" s="2410">
        <f>S20/S37-1</f>
        <v>-6.9579151821729246E-3</v>
      </c>
      <c r="T55" s="1062"/>
      <c r="U55" s="1062"/>
      <c r="V55" s="1062"/>
      <c r="W55" s="1062"/>
      <c r="X55" s="1062"/>
      <c r="Y55" s="105"/>
      <c r="Z55" s="2"/>
      <c r="AA55" s="2"/>
      <c r="AB55" s="2"/>
      <c r="AC55" s="530" t="s">
        <v>1706</v>
      </c>
      <c r="AD55" s="221">
        <f>AD20/AD37-1</f>
        <v>3.4787533801641235E-3</v>
      </c>
      <c r="AE55" s="221">
        <f>AE20/AE37-1</f>
        <v>-0.1598879200638903</v>
      </c>
      <c r="AF55" s="221"/>
      <c r="AG55" s="1604">
        <f>AG20/AG37-1</f>
        <v>0.33585716289644818</v>
      </c>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row>
    <row r="56" spans="1:99">
      <c r="A56" s="530"/>
      <c r="B56" s="1290"/>
      <c r="C56" s="1290"/>
      <c r="D56" s="1290"/>
      <c r="E56" s="2408"/>
      <c r="F56" s="1062"/>
      <c r="G56" s="1062"/>
      <c r="H56" s="1062"/>
      <c r="I56" s="1062"/>
      <c r="J56" s="1062"/>
      <c r="K56" s="105"/>
      <c r="L56" s="2"/>
      <c r="M56" s="2"/>
      <c r="N56" s="2"/>
      <c r="O56" s="530"/>
      <c r="P56" s="1290"/>
      <c r="Q56" s="1290"/>
      <c r="R56" s="1290"/>
      <c r="S56" s="2408"/>
      <c r="T56" s="1062"/>
      <c r="U56" s="1062"/>
      <c r="V56" s="1062"/>
      <c r="W56" s="1062"/>
      <c r="X56" s="1062"/>
      <c r="Y56" s="105"/>
      <c r="Z56" s="2"/>
      <c r="AA56" s="2"/>
      <c r="AB56" s="2"/>
      <c r="AC56" s="530"/>
      <c r="AD56" s="105"/>
      <c r="AE56" s="105"/>
      <c r="AF56" s="105"/>
      <c r="AG56" s="129"/>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row>
    <row r="57" spans="1:99">
      <c r="A57" s="176" t="s">
        <v>1491</v>
      </c>
      <c r="B57" s="1290">
        <f>B22/B39-1</f>
        <v>0.13156760168333603</v>
      </c>
      <c r="C57" s="1290">
        <f>C22/C39-1</f>
        <v>0.18893495783876535</v>
      </c>
      <c r="D57" s="1290">
        <f>D22/D39-1</f>
        <v>-0.18469381310894284</v>
      </c>
      <c r="E57" s="2408">
        <f>E22/E39-1</f>
        <v>2.6151033461815132E-2</v>
      </c>
      <c r="F57" s="1062"/>
      <c r="G57" s="1062"/>
      <c r="H57" s="1062"/>
      <c r="I57" s="1062"/>
      <c r="J57" s="1062"/>
      <c r="K57" s="105"/>
      <c r="L57" s="2"/>
      <c r="M57" s="2"/>
      <c r="N57" s="2"/>
      <c r="O57" s="176" t="s">
        <v>1491</v>
      </c>
      <c r="P57" s="1290">
        <f>P22/P39-1</f>
        <v>0.18891894818900945</v>
      </c>
      <c r="Q57" s="1290">
        <f>Q22/Q39-1</f>
        <v>0.13320204602210683</v>
      </c>
      <c r="R57" s="1290">
        <f>R22/R39-1</f>
        <v>-6.4641065744185933E-2</v>
      </c>
      <c r="S57" s="2408">
        <f>S22/S39-1</f>
        <v>8.4998250396694619E-2</v>
      </c>
      <c r="T57" s="1062"/>
      <c r="U57" s="1062"/>
      <c r="V57" s="1062"/>
      <c r="W57" s="1062"/>
      <c r="X57" s="1062"/>
      <c r="Y57" s="105"/>
      <c r="Z57" s="2"/>
      <c r="AA57" s="2"/>
      <c r="AB57" s="2"/>
      <c r="AC57" s="176" t="s">
        <v>1491</v>
      </c>
      <c r="AD57" s="105">
        <f>AD22/AD39-1</f>
        <v>-1.5275329204076371E-2</v>
      </c>
      <c r="AE57" s="105">
        <f>AE22/AE39-1</f>
        <v>4.8455594680398839E-2</v>
      </c>
      <c r="AF57" s="105"/>
      <c r="AG57" s="129">
        <f>AG22/AG39-1</f>
        <v>0.50406364710161955</v>
      </c>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row>
    <row r="58" spans="1:99">
      <c r="A58" s="2"/>
      <c r="B58" s="1290"/>
      <c r="C58" s="1290"/>
      <c r="D58" s="1290"/>
      <c r="E58" s="2411"/>
      <c r="F58" s="1062"/>
      <c r="G58" s="1062"/>
      <c r="H58" s="1062"/>
      <c r="I58" s="1062"/>
      <c r="J58" s="1062"/>
      <c r="K58" s="105"/>
      <c r="L58" s="2"/>
      <c r="M58" s="2"/>
      <c r="N58" s="2"/>
      <c r="O58" s="2"/>
      <c r="P58" s="1290"/>
      <c r="Q58" s="1290"/>
      <c r="R58" s="1290"/>
      <c r="S58" s="2411"/>
      <c r="T58" s="1062"/>
      <c r="U58" s="1062"/>
      <c r="V58" s="1062"/>
      <c r="W58" s="1062"/>
      <c r="X58" s="1062"/>
      <c r="Y58" s="105"/>
      <c r="Z58" s="2"/>
      <c r="AA58" s="2"/>
      <c r="AB58" s="2"/>
      <c r="AC58" s="2"/>
      <c r="AD58" s="105"/>
      <c r="AE58" s="105"/>
      <c r="AF58" s="105"/>
      <c r="AG58" s="1597"/>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row>
    <row r="59" spans="1:99">
      <c r="A59" s="2"/>
      <c r="B59" s="1062"/>
      <c r="C59" s="1062"/>
      <c r="D59" s="1062"/>
      <c r="E59" s="1062"/>
      <c r="F59" s="1062"/>
      <c r="G59" s="1062"/>
      <c r="H59" s="1062"/>
      <c r="I59" s="1062"/>
      <c r="J59" s="1062"/>
      <c r="K59" s="105"/>
      <c r="L59" s="2"/>
      <c r="M59" s="2"/>
      <c r="N59" s="2"/>
      <c r="O59" s="2"/>
      <c r="P59" s="1062"/>
      <c r="Q59" s="1062"/>
      <c r="R59" s="1062"/>
      <c r="S59" s="1062"/>
      <c r="T59" s="1062"/>
      <c r="U59" s="1062"/>
      <c r="V59" s="1062"/>
      <c r="W59" s="1062"/>
      <c r="X59" s="1062"/>
      <c r="Y59" s="105"/>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row>
    <row r="60" spans="1:99">
      <c r="A60" s="2" t="s">
        <v>206</v>
      </c>
      <c r="B60" s="1062">
        <f>+SUM(B9:B13)</f>
        <v>2609.8856310000001</v>
      </c>
      <c r="C60" s="1062">
        <f>+SUM(C9:C13)</f>
        <v>2608.6625483800003</v>
      </c>
      <c r="D60" s="1062">
        <f>+SUM(D9:D13)</f>
        <v>2606.3455638</v>
      </c>
      <c r="E60" s="1062">
        <f>+SUM(B60:D60)</f>
        <v>7824.8937431800005</v>
      </c>
      <c r="F60" s="1062"/>
      <c r="G60" s="1062"/>
      <c r="H60" s="1062"/>
      <c r="I60" s="1062"/>
      <c r="J60" s="1062"/>
      <c r="K60" s="105"/>
      <c r="L60" s="2"/>
      <c r="M60" s="2"/>
      <c r="N60" s="2"/>
      <c r="O60" s="2" t="s">
        <v>206</v>
      </c>
      <c r="P60" s="1062">
        <f>+SUM(P9:P13)</f>
        <v>2601.9461062999999</v>
      </c>
      <c r="Q60" s="1062">
        <f>+SUM(Q9:Q13)</f>
        <v>2601.0664747800001</v>
      </c>
      <c r="R60" s="1062">
        <f>+SUM(R9:R13)</f>
        <v>2597.26988256</v>
      </c>
      <c r="S60" s="1062">
        <f>+SUM(P60:R60)</f>
        <v>7800.2824636400001</v>
      </c>
      <c r="T60" s="1062"/>
      <c r="U60" s="1062"/>
      <c r="V60" s="1062"/>
      <c r="W60" s="1062"/>
      <c r="X60" s="1062"/>
      <c r="Y60" s="105"/>
      <c r="Z60" s="2"/>
      <c r="AA60" s="2"/>
      <c r="AB60" s="2"/>
      <c r="AC60" s="2" t="s">
        <v>206</v>
      </c>
      <c r="AD60" s="2">
        <f>+SUM(AD9:AD13)</f>
        <v>56.235093069999998</v>
      </c>
      <c r="AE60" s="2">
        <f>+SUM(AE9:AE13)</f>
        <v>55.593109999999996</v>
      </c>
      <c r="AF60" s="2">
        <f>+SUM(AF9:AF13)</f>
        <v>54.800363300000001</v>
      </c>
      <c r="AG60" s="2">
        <f>+SUM(AD60:AF60)</f>
        <v>166.62856636999999</v>
      </c>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row>
    <row r="61" spans="1:99">
      <c r="A61" s="2" t="s">
        <v>207</v>
      </c>
      <c r="B61" s="1062">
        <f>+SUM(B26:B30)</f>
        <v>2670.5119638900001</v>
      </c>
      <c r="C61" s="1062">
        <f>+SUM(C26:C30)</f>
        <v>2671.4495243399997</v>
      </c>
      <c r="D61" s="1062">
        <f>+SUM(D26:D30)</f>
        <v>2672.6757163099996</v>
      </c>
      <c r="E61" s="1062">
        <f>+SUM(B61:D61)</f>
        <v>8014.6372045399985</v>
      </c>
      <c r="F61" s="1062"/>
      <c r="G61" s="1062"/>
      <c r="H61" s="1062"/>
      <c r="I61" s="1062"/>
      <c r="J61" s="1062"/>
      <c r="K61" s="105"/>
      <c r="L61" s="2"/>
      <c r="M61" s="2"/>
      <c r="N61" s="2"/>
      <c r="O61" s="2" t="s">
        <v>207</v>
      </c>
      <c r="P61" s="1062">
        <f>+SUM(P26:P30)</f>
        <v>2620.51867386</v>
      </c>
      <c r="Q61" s="1062">
        <f>+SUM(Q26:Q30)</f>
        <v>2618.9353829399997</v>
      </c>
      <c r="R61" s="1062">
        <f>+SUM(R26:R30)</f>
        <v>2617.8519863699998</v>
      </c>
      <c r="S61" s="1062">
        <f>+SUM(P61:R61)</f>
        <v>7857.3060431699996</v>
      </c>
      <c r="T61" s="1062"/>
      <c r="U61" s="1062"/>
      <c r="V61" s="1062"/>
      <c r="W61" s="1062"/>
      <c r="X61" s="1062"/>
      <c r="Y61" s="105"/>
      <c r="Z61" s="2"/>
      <c r="AA61" s="2"/>
      <c r="AB61" s="2"/>
      <c r="AC61" s="2" t="s">
        <v>207</v>
      </c>
      <c r="AD61" s="2">
        <f>+SUM(AD26:AD30)</f>
        <v>57.477695160000003</v>
      </c>
      <c r="AE61" s="2">
        <f>+SUM(AE26:AE30)</f>
        <v>59.065550640000005</v>
      </c>
      <c r="AF61" s="2">
        <f>+SUM(AF26:AF30)</f>
        <v>0</v>
      </c>
      <c r="AG61" s="2">
        <f>+SUM(AD61:AF61)</f>
        <v>116.54324580000001</v>
      </c>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row>
    <row r="62" spans="1:99">
      <c r="A62" s="118" t="s">
        <v>253</v>
      </c>
      <c r="B62" s="2296">
        <f>+B60/B61-1</f>
        <v>-2.2702138657221593E-2</v>
      </c>
      <c r="C62" s="2296">
        <f>+C60/C61-1</f>
        <v>-2.3502961739661266E-2</v>
      </c>
      <c r="D62" s="2296">
        <f>+D60/D61-1</f>
        <v>-2.4817882732731111E-2</v>
      </c>
      <c r="E62" s="2296">
        <f>+E60/E61-1</f>
        <v>-2.3674616394677939E-2</v>
      </c>
      <c r="F62" s="1062"/>
      <c r="G62" s="1062"/>
      <c r="H62" s="1062"/>
      <c r="I62" s="1062"/>
      <c r="J62" s="1062"/>
      <c r="K62" s="105"/>
      <c r="L62" s="2"/>
      <c r="M62" s="2"/>
      <c r="N62" s="2"/>
      <c r="O62" s="118" t="s">
        <v>253</v>
      </c>
      <c r="P62" s="2296">
        <f>+P60/P61-1</f>
        <v>-7.0873631793827441E-3</v>
      </c>
      <c r="Q62" s="2296">
        <f>+Q60/Q61-1</f>
        <v>-6.8229664146735036E-3</v>
      </c>
      <c r="R62" s="2296">
        <f>+R60/R61-1</f>
        <v>-7.8622106662873392E-3</v>
      </c>
      <c r="S62" s="2296">
        <f>+S60/S61-1</f>
        <v>-7.257395755835061E-3</v>
      </c>
      <c r="T62" s="1062"/>
      <c r="U62" s="1062"/>
      <c r="V62" s="1062"/>
      <c r="W62" s="1062"/>
      <c r="X62" s="1062"/>
      <c r="Y62" s="105"/>
      <c r="Z62" s="2"/>
      <c r="AA62" s="2"/>
      <c r="AB62" s="2"/>
      <c r="AC62" s="118" t="s">
        <v>253</v>
      </c>
      <c r="AD62" s="122">
        <f>+AD60/AD61-1</f>
        <v>-2.1618857307012518E-2</v>
      </c>
      <c r="AE62" s="122">
        <f>+AE60/AE61-1</f>
        <v>-5.878960921170906E-2</v>
      </c>
      <c r="AF62" s="122"/>
      <c r="AG62" s="122">
        <f>+AG60/AG61-1</f>
        <v>0.429757385133682</v>
      </c>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row>
  </sheetData>
  <phoneticPr fontId="10" type="noConversion"/>
  <pageMargins left="0.75" right="0.75" top="1" bottom="1" header="0.5" footer="0.5"/>
  <pageSetup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indexed="24"/>
    <pageSetUpPr autoPageBreaks="0"/>
  </sheetPr>
  <dimension ref="A1:BH1002"/>
  <sheetViews>
    <sheetView showGridLines="0" showZeros="0" topLeftCell="A8" workbookViewId="0">
      <selection activeCell="G32" sqref="G32"/>
    </sheetView>
  </sheetViews>
  <sheetFormatPr defaultColWidth="7" defaultRowHeight="15.75"/>
  <cols>
    <col min="1" max="1" width="0.75" customWidth="1"/>
    <col min="2" max="2" width="1.625" customWidth="1"/>
    <col min="3" max="3" width="5" customWidth="1"/>
    <col min="4" max="4" width="19.375" customWidth="1"/>
    <col min="5" max="8" width="11.125" customWidth="1"/>
    <col min="9" max="9" width="9.75" customWidth="1"/>
    <col min="10" max="10" width="21.875" customWidth="1"/>
    <col min="11" max="11" width="6" customWidth="1"/>
    <col min="12" max="12" width="0.625" customWidth="1"/>
    <col min="13" max="23" width="5" customWidth="1"/>
    <col min="24" max="245" width="7" customWidth="1"/>
  </cols>
  <sheetData>
    <row r="1" spans="1:60" ht="12.75" customHeight="1">
      <c r="A1" s="4"/>
      <c r="B1" s="4"/>
      <c r="C1" s="5"/>
      <c r="D1" s="5"/>
      <c r="E1" s="5"/>
      <c r="F1" s="5"/>
      <c r="G1" s="5"/>
      <c r="H1" s="5"/>
      <c r="I1" s="5"/>
      <c r="J1" s="4212" t="s">
        <v>1206</v>
      </c>
      <c r="K1" s="4212"/>
      <c r="L1" s="4"/>
      <c r="M1" s="4"/>
      <c r="N1" s="4"/>
      <c r="O1" s="4"/>
      <c r="P1" s="4"/>
      <c r="Q1" s="4"/>
      <c r="R1" s="4"/>
      <c r="S1" s="4"/>
      <c r="T1" s="4"/>
      <c r="U1" s="4"/>
      <c r="V1" s="4"/>
      <c r="W1" s="4"/>
      <c r="X1" s="4"/>
      <c r="Y1" s="4" t="s">
        <v>1206</v>
      </c>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6" t="s">
        <v>1207</v>
      </c>
    </row>
    <row r="2" spans="1:60" ht="12" customHeight="1">
      <c r="A2" s="4"/>
      <c r="B2" s="4"/>
      <c r="C2" s="5"/>
      <c r="D2" s="5"/>
      <c r="E2" s="5"/>
      <c r="F2" s="5"/>
      <c r="G2" s="5"/>
      <c r="H2" s="5"/>
      <c r="I2" s="5"/>
      <c r="J2" s="4212"/>
      <c r="K2" s="4212"/>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6" t="s">
        <v>1207</v>
      </c>
    </row>
    <row r="3" spans="1:60" ht="3" customHeight="1">
      <c r="A3" s="7"/>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6" t="s">
        <v>1207</v>
      </c>
    </row>
    <row r="4" spans="1:60">
      <c r="A4" s="7"/>
      <c r="B4" s="8"/>
      <c r="C4" s="9"/>
      <c r="D4" s="10"/>
      <c r="E4" s="10"/>
      <c r="F4" s="10"/>
      <c r="G4" s="10"/>
      <c r="H4" s="9"/>
      <c r="I4" s="9"/>
      <c r="J4" s="9"/>
      <c r="K4" s="9"/>
      <c r="L4" s="7"/>
      <c r="M4" s="9"/>
      <c r="N4" s="9"/>
      <c r="O4" s="9"/>
      <c r="P4" s="9"/>
      <c r="Q4" s="9"/>
      <c r="R4" s="9"/>
      <c r="S4" s="9"/>
      <c r="T4" s="9"/>
      <c r="U4" s="9"/>
      <c r="V4" s="9"/>
      <c r="W4" s="9"/>
      <c r="X4" s="9"/>
      <c r="Y4" s="9"/>
      <c r="Z4" s="9"/>
      <c r="AA4" s="9"/>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row>
    <row r="5" spans="1:60">
      <c r="A5" s="7"/>
      <c r="B5" s="8"/>
      <c r="C5" s="9"/>
      <c r="D5" s="10"/>
      <c r="E5" s="10"/>
      <c r="F5" s="10"/>
      <c r="G5" s="10"/>
      <c r="H5" s="9"/>
      <c r="I5" s="9"/>
      <c r="J5" s="9"/>
      <c r="K5" s="9"/>
      <c r="L5" s="7"/>
      <c r="M5" s="9"/>
      <c r="N5" s="9"/>
      <c r="O5" s="9"/>
      <c r="P5" s="9"/>
      <c r="Q5" s="9"/>
      <c r="R5" s="9"/>
      <c r="S5" s="9"/>
      <c r="T5" s="9"/>
      <c r="U5" s="9"/>
      <c r="V5" s="9"/>
      <c r="W5" s="9"/>
      <c r="X5" s="9"/>
      <c r="Y5" s="9"/>
      <c r="Z5" s="9"/>
      <c r="AA5" s="9"/>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row>
    <row r="6" spans="1:60">
      <c r="A6" s="7"/>
      <c r="B6" s="8"/>
      <c r="C6" s="9"/>
      <c r="D6" s="10"/>
      <c r="E6" s="10"/>
      <c r="F6" s="10"/>
      <c r="G6" s="10"/>
      <c r="H6" s="9"/>
      <c r="I6" s="9"/>
      <c r="J6" s="9"/>
      <c r="K6" s="9"/>
      <c r="L6" s="7"/>
      <c r="M6" s="9"/>
      <c r="N6" s="9"/>
      <c r="O6" s="9"/>
      <c r="P6" s="9"/>
      <c r="Q6" s="9"/>
      <c r="R6" s="9"/>
      <c r="S6" s="9"/>
      <c r="T6" s="9"/>
      <c r="U6" s="9"/>
      <c r="V6" s="9"/>
      <c r="W6" s="9"/>
      <c r="X6" s="9"/>
      <c r="Y6" s="9"/>
      <c r="Z6" s="9"/>
      <c r="AA6" s="9"/>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row>
    <row r="7" spans="1:60">
      <c r="A7" s="7"/>
      <c r="B7" s="8"/>
      <c r="C7" s="9"/>
      <c r="D7" s="10"/>
      <c r="E7" s="10"/>
      <c r="F7" s="10"/>
      <c r="G7" s="10"/>
      <c r="H7" s="9"/>
      <c r="I7" s="9"/>
      <c r="J7" s="9"/>
      <c r="K7" s="9"/>
      <c r="L7" s="7"/>
      <c r="M7" s="9"/>
      <c r="N7" s="9"/>
      <c r="O7" s="9"/>
      <c r="P7" s="12"/>
      <c r="Q7" s="9"/>
      <c r="R7" s="9"/>
      <c r="S7" s="9"/>
      <c r="T7" s="9"/>
      <c r="U7" s="9"/>
      <c r="V7" s="9"/>
      <c r="W7" s="9"/>
      <c r="X7" s="9"/>
      <c r="Y7" s="9"/>
      <c r="Z7" s="9"/>
      <c r="AA7" s="9"/>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row>
    <row r="8" spans="1:60">
      <c r="A8" s="7"/>
      <c r="B8" s="8"/>
      <c r="C8" s="9"/>
      <c r="D8" s="10"/>
      <c r="E8" s="10"/>
      <c r="F8" s="10"/>
      <c r="G8" s="10"/>
      <c r="H8" s="9"/>
      <c r="I8" s="9"/>
      <c r="J8" s="9"/>
      <c r="K8" s="9"/>
      <c r="L8" s="7"/>
      <c r="M8" s="9"/>
      <c r="N8" s="9"/>
      <c r="O8" s="9"/>
      <c r="P8" s="9"/>
      <c r="Q8" s="9"/>
      <c r="R8" s="9"/>
      <c r="S8" s="9"/>
      <c r="T8" s="9"/>
      <c r="U8" s="9"/>
      <c r="V8" s="9"/>
      <c r="W8" s="9"/>
      <c r="X8" s="9"/>
      <c r="Y8" s="9"/>
      <c r="Z8" s="9"/>
      <c r="AA8" s="9"/>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row>
    <row r="9" spans="1:60">
      <c r="A9" s="7"/>
      <c r="B9" s="8"/>
      <c r="C9" s="9"/>
      <c r="D9" s="10"/>
      <c r="E9" s="10"/>
      <c r="F9" s="10"/>
      <c r="G9" s="10"/>
      <c r="H9" s="9"/>
      <c r="I9" s="9"/>
      <c r="J9" s="9"/>
      <c r="K9" s="9"/>
      <c r="L9" s="7"/>
      <c r="M9" s="9"/>
      <c r="N9" s="9"/>
      <c r="O9" s="9"/>
      <c r="P9" s="9"/>
      <c r="Q9" s="9"/>
      <c r="R9" s="9"/>
      <c r="S9" s="9"/>
      <c r="T9" s="9"/>
      <c r="U9" s="9"/>
      <c r="V9" s="9"/>
      <c r="W9" s="9"/>
      <c r="X9" s="9"/>
      <c r="Y9" s="9"/>
      <c r="Z9" s="9"/>
      <c r="AA9" s="9"/>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row>
    <row r="10" spans="1:60">
      <c r="A10" s="7"/>
      <c r="B10" s="8"/>
      <c r="C10" s="9"/>
      <c r="D10" s="10"/>
      <c r="E10" s="10"/>
      <c r="F10" s="10"/>
      <c r="G10" s="10"/>
      <c r="H10" s="9"/>
      <c r="I10" s="9"/>
      <c r="J10" s="9"/>
      <c r="K10" s="9"/>
      <c r="L10" s="7"/>
      <c r="M10" s="9"/>
      <c r="N10" s="9"/>
      <c r="O10" s="9"/>
      <c r="P10" s="9"/>
      <c r="Q10" s="9"/>
      <c r="R10" s="9"/>
      <c r="S10" s="9"/>
      <c r="T10" s="9"/>
      <c r="U10" s="9"/>
      <c r="V10" s="9"/>
      <c r="W10" s="9"/>
      <c r="X10" s="9"/>
      <c r="Y10" s="9"/>
      <c r="Z10" s="9"/>
      <c r="AA10" s="9"/>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row>
    <row r="11" spans="1:60">
      <c r="A11" s="7"/>
      <c r="B11" s="8"/>
      <c r="C11" s="9"/>
      <c r="D11" s="10"/>
      <c r="E11" s="10"/>
      <c r="F11" s="10"/>
      <c r="G11" s="10"/>
      <c r="H11" s="9"/>
      <c r="I11" s="9"/>
      <c r="J11" s="9"/>
      <c r="K11" s="9"/>
      <c r="L11" s="7"/>
      <c r="M11" s="9"/>
      <c r="N11" s="9"/>
      <c r="O11" s="9"/>
      <c r="P11" s="9"/>
      <c r="Q11" s="9"/>
      <c r="R11" s="9"/>
      <c r="S11" s="9"/>
      <c r="T11" s="9"/>
      <c r="U11" s="9"/>
      <c r="V11" s="9"/>
      <c r="W11" s="9"/>
      <c r="X11" s="9"/>
      <c r="Y11" s="9"/>
      <c r="Z11" s="9"/>
      <c r="AA11" s="9"/>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row>
    <row r="12" spans="1:60">
      <c r="A12" s="7"/>
      <c r="B12" s="13"/>
      <c r="C12" s="9"/>
      <c r="D12" s="10"/>
      <c r="E12" s="10"/>
      <c r="F12" s="10"/>
      <c r="G12" s="10"/>
      <c r="H12" s="9"/>
      <c r="I12" s="9"/>
      <c r="J12" s="9"/>
      <c r="K12" s="9"/>
      <c r="L12" s="7"/>
      <c r="M12" s="9"/>
      <c r="N12" s="9"/>
      <c r="O12" s="9"/>
      <c r="P12" s="9"/>
      <c r="Q12" s="9"/>
      <c r="R12" s="9"/>
      <c r="S12" s="9"/>
      <c r="T12" s="9"/>
      <c r="U12" s="9"/>
      <c r="V12" s="9"/>
      <c r="W12" s="9"/>
      <c r="X12" s="9"/>
      <c r="Y12" s="9"/>
      <c r="Z12" s="9"/>
      <c r="AA12" s="9"/>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row>
    <row r="13" spans="1:60">
      <c r="A13" s="7"/>
      <c r="B13" s="8"/>
      <c r="C13" s="9"/>
      <c r="D13" s="10"/>
      <c r="E13" s="10"/>
      <c r="F13" s="10"/>
      <c r="G13" s="10"/>
      <c r="H13" s="9"/>
      <c r="I13" s="9"/>
      <c r="J13" s="9"/>
      <c r="K13" s="9"/>
      <c r="L13" s="7"/>
      <c r="M13" s="9"/>
      <c r="N13" s="9"/>
      <c r="O13" s="9"/>
      <c r="P13" s="9"/>
      <c r="Q13" s="9"/>
      <c r="R13" s="9"/>
      <c r="S13" s="9"/>
      <c r="T13" s="9"/>
      <c r="U13" s="9"/>
      <c r="V13" s="9"/>
      <c r="W13" s="9"/>
      <c r="X13" s="9"/>
      <c r="Y13" s="9"/>
      <c r="Z13" s="9"/>
      <c r="AA13" s="9"/>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row>
    <row r="14" spans="1:60">
      <c r="A14" s="7"/>
      <c r="B14" s="8"/>
      <c r="C14" s="9"/>
      <c r="D14" s="10"/>
      <c r="E14" s="10"/>
      <c r="F14" s="10"/>
      <c r="G14" s="10"/>
      <c r="H14" s="9"/>
      <c r="I14" s="9"/>
      <c r="J14" s="9"/>
      <c r="K14" s="9"/>
      <c r="L14" s="7"/>
      <c r="M14" s="9"/>
      <c r="N14" s="9"/>
      <c r="O14" s="9"/>
      <c r="P14" s="9"/>
      <c r="Q14" s="9"/>
      <c r="R14" s="9"/>
      <c r="S14" s="9"/>
      <c r="T14" s="9"/>
      <c r="U14" s="9"/>
      <c r="V14" s="9"/>
      <c r="W14" s="9"/>
      <c r="X14" s="9"/>
      <c r="Y14" s="9"/>
      <c r="Z14" s="9"/>
      <c r="AA14" s="9"/>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row>
    <row r="15" spans="1:60">
      <c r="A15" s="7"/>
      <c r="B15" s="8"/>
      <c r="C15" s="9"/>
      <c r="D15" s="10"/>
      <c r="E15" s="10"/>
      <c r="F15" s="10"/>
      <c r="G15" s="10"/>
      <c r="H15" s="9"/>
      <c r="I15" s="9"/>
      <c r="J15" s="9"/>
      <c r="K15" s="9"/>
      <c r="L15" s="7"/>
      <c r="M15" s="9"/>
      <c r="N15" s="9"/>
      <c r="O15" s="9"/>
      <c r="P15" s="9"/>
      <c r="Q15" s="9"/>
      <c r="R15" s="9"/>
      <c r="S15" s="9"/>
      <c r="T15" s="9"/>
      <c r="U15" s="9"/>
      <c r="V15" s="9"/>
      <c r="W15" s="9"/>
      <c r="X15" s="9"/>
      <c r="Y15" s="9"/>
      <c r="Z15" s="9"/>
      <c r="AA15" s="9"/>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row>
    <row r="16" spans="1:60">
      <c r="A16" s="7"/>
      <c r="B16" s="8"/>
      <c r="C16" s="9"/>
      <c r="D16" s="10"/>
      <c r="E16" s="10"/>
      <c r="F16" s="10"/>
      <c r="G16" s="10"/>
      <c r="H16" s="9"/>
      <c r="I16" s="9"/>
      <c r="J16" s="9"/>
      <c r="K16" s="9"/>
      <c r="L16" s="7"/>
      <c r="M16" s="9"/>
      <c r="N16" s="9"/>
      <c r="O16" s="9"/>
      <c r="P16" s="9"/>
      <c r="Q16" s="9"/>
      <c r="R16" s="9"/>
      <c r="S16" s="9"/>
      <c r="T16" s="9"/>
      <c r="U16" s="9"/>
      <c r="V16" s="9"/>
      <c r="W16" s="9"/>
      <c r="X16" s="9"/>
      <c r="Y16" s="9"/>
      <c r="Z16" s="9"/>
      <c r="AA16" s="9"/>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row>
    <row r="17" spans="1:60">
      <c r="A17" s="7"/>
      <c r="B17" s="8"/>
      <c r="C17" s="9"/>
      <c r="D17" s="10"/>
      <c r="E17" s="10"/>
      <c r="F17" s="10"/>
      <c r="G17" s="10"/>
      <c r="H17" s="9"/>
      <c r="I17" s="9"/>
      <c r="J17" s="9"/>
      <c r="K17" s="9"/>
      <c r="L17" s="7"/>
      <c r="M17" s="9"/>
      <c r="N17" s="9"/>
      <c r="O17" s="9"/>
      <c r="P17" s="9"/>
      <c r="Q17" s="9"/>
      <c r="R17" s="9"/>
      <c r="S17" s="9"/>
      <c r="T17" s="9"/>
      <c r="U17" s="9"/>
      <c r="V17" s="9"/>
      <c r="W17" s="9"/>
      <c r="X17" s="9"/>
      <c r="Y17" s="9"/>
      <c r="Z17" s="9"/>
      <c r="AA17" s="9"/>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row>
    <row r="18" spans="1:60">
      <c r="A18" s="7"/>
      <c r="B18" s="8"/>
      <c r="C18" s="9"/>
      <c r="D18" s="10"/>
      <c r="E18" s="10"/>
      <c r="F18" s="10"/>
      <c r="G18" s="10"/>
      <c r="H18" s="9"/>
      <c r="I18" s="9"/>
      <c r="J18" s="9"/>
      <c r="K18" s="9"/>
      <c r="L18" s="7"/>
      <c r="M18" s="9"/>
      <c r="N18" s="9"/>
      <c r="O18" s="9"/>
      <c r="P18" s="9"/>
      <c r="Q18" s="9"/>
      <c r="R18" s="9"/>
      <c r="S18" s="9"/>
      <c r="T18" s="9"/>
      <c r="U18" s="9"/>
      <c r="V18" s="9"/>
      <c r="W18" s="9"/>
      <c r="X18" s="9"/>
      <c r="Y18" s="9"/>
      <c r="Z18" s="9"/>
      <c r="AA18" s="9"/>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row>
    <row r="19" spans="1:60">
      <c r="A19" s="7"/>
      <c r="B19" s="8"/>
      <c r="C19" s="9"/>
      <c r="D19" s="10"/>
      <c r="E19" s="10"/>
      <c r="F19" s="10"/>
      <c r="G19" s="10"/>
      <c r="H19" s="9"/>
      <c r="I19" s="9"/>
      <c r="J19" s="9"/>
      <c r="K19" s="9"/>
      <c r="L19" s="7"/>
      <c r="M19" s="9"/>
      <c r="N19" s="9"/>
      <c r="O19" s="9"/>
      <c r="P19" s="9"/>
      <c r="Q19" s="9"/>
      <c r="R19" s="9"/>
      <c r="S19" s="9"/>
      <c r="T19" s="9"/>
      <c r="U19" s="9"/>
      <c r="V19" s="9"/>
      <c r="W19" s="9"/>
      <c r="X19" s="9"/>
      <c r="Y19" s="9"/>
      <c r="Z19" s="9"/>
      <c r="AA19" s="9"/>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row>
    <row r="20" spans="1:60">
      <c r="A20" s="7"/>
      <c r="B20" s="8"/>
      <c r="C20" s="9"/>
      <c r="D20" s="10"/>
      <c r="E20" s="10"/>
      <c r="F20" s="10"/>
      <c r="G20" s="10"/>
      <c r="H20" s="9"/>
      <c r="I20" s="9"/>
      <c r="J20" s="9"/>
      <c r="K20" s="9"/>
      <c r="L20" s="7"/>
      <c r="M20" s="9"/>
      <c r="N20" s="9"/>
      <c r="O20" s="9"/>
      <c r="P20" s="9"/>
      <c r="Q20" s="9"/>
      <c r="R20" s="9"/>
      <c r="S20" s="9"/>
      <c r="T20" s="9"/>
      <c r="U20" s="9"/>
      <c r="V20" s="9"/>
      <c r="W20" s="9"/>
      <c r="X20" s="9"/>
      <c r="Y20" s="9"/>
      <c r="Z20" s="9"/>
      <c r="AA20" s="9"/>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row>
    <row r="21" spans="1:60">
      <c r="A21" s="7"/>
      <c r="B21" s="8"/>
      <c r="C21" s="9"/>
      <c r="D21" s="10"/>
      <c r="E21" s="10"/>
      <c r="F21" s="10"/>
      <c r="G21" s="10"/>
      <c r="H21" s="9"/>
      <c r="I21" s="9"/>
      <c r="J21" s="9"/>
      <c r="K21" s="9"/>
      <c r="L21" s="7"/>
      <c r="M21" s="9"/>
      <c r="N21" s="9"/>
      <c r="O21" s="9"/>
      <c r="P21" s="9"/>
      <c r="Q21" s="9"/>
      <c r="R21" s="9"/>
      <c r="S21" s="9"/>
      <c r="T21" s="9"/>
      <c r="U21" s="9"/>
      <c r="V21" s="9"/>
      <c r="W21" s="9"/>
      <c r="X21" s="9"/>
      <c r="Y21" s="9"/>
      <c r="Z21" s="9"/>
      <c r="AA21" s="9"/>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row>
    <row r="22" spans="1:60">
      <c r="A22" s="7"/>
      <c r="B22" s="8"/>
      <c r="C22" s="9"/>
      <c r="D22" s="14"/>
      <c r="E22" s="14"/>
      <c r="F22" s="4210"/>
      <c r="G22" s="14"/>
      <c r="H22" s="15"/>
      <c r="I22" s="15"/>
      <c r="J22" s="15"/>
      <c r="K22" s="9"/>
      <c r="L22" s="7"/>
      <c r="M22" s="9"/>
      <c r="N22" s="9"/>
      <c r="O22" s="9"/>
      <c r="P22" s="9"/>
      <c r="Q22" s="9"/>
      <c r="R22" s="9"/>
      <c r="S22" s="9"/>
      <c r="T22" s="9"/>
      <c r="U22" s="9"/>
      <c r="V22" s="9"/>
      <c r="W22" s="9"/>
      <c r="X22" s="9"/>
      <c r="Y22" s="9"/>
      <c r="Z22" s="9"/>
      <c r="AA22" s="9"/>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row>
    <row r="23" spans="1:60">
      <c r="A23" s="7"/>
      <c r="B23" s="8"/>
      <c r="C23" s="9"/>
      <c r="D23" s="14"/>
      <c r="E23" s="14"/>
      <c r="F23" s="4210"/>
      <c r="G23" s="14"/>
      <c r="H23" s="15"/>
      <c r="I23" s="15"/>
      <c r="J23" s="15"/>
      <c r="K23" s="9"/>
      <c r="L23" s="7"/>
      <c r="M23" s="9"/>
      <c r="N23" s="9"/>
      <c r="O23" s="9"/>
      <c r="P23" s="9"/>
      <c r="Q23" s="9"/>
      <c r="R23" s="9"/>
      <c r="S23" s="9"/>
      <c r="T23" s="9"/>
      <c r="U23" s="9"/>
      <c r="V23" s="9"/>
      <c r="W23" s="9"/>
      <c r="X23" s="9"/>
      <c r="Y23" s="9"/>
      <c r="Z23" s="9"/>
      <c r="AA23" s="9"/>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row>
    <row r="24" spans="1:60">
      <c r="A24" s="7"/>
      <c r="B24" s="8"/>
      <c r="C24" s="9"/>
      <c r="D24" s="14"/>
      <c r="E24" s="14"/>
      <c r="F24" s="4210"/>
      <c r="G24" s="14"/>
      <c r="H24" s="15"/>
      <c r="I24" s="15"/>
      <c r="J24" s="15"/>
      <c r="K24" s="9"/>
      <c r="L24" s="7"/>
      <c r="M24" s="9"/>
      <c r="N24" s="9"/>
      <c r="O24" s="9"/>
      <c r="P24" s="9"/>
      <c r="Q24" s="9"/>
      <c r="R24" s="9"/>
      <c r="S24" s="9"/>
      <c r="T24" s="9"/>
      <c r="U24" s="9"/>
      <c r="V24" s="9"/>
      <c r="W24" s="9"/>
      <c r="X24" s="9"/>
      <c r="Y24" s="9"/>
      <c r="Z24" s="9"/>
      <c r="AA24" s="9"/>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row>
    <row r="25" spans="1:60">
      <c r="A25" s="7"/>
      <c r="B25" s="8"/>
      <c r="C25" s="9"/>
      <c r="D25" s="14"/>
      <c r="E25" s="14"/>
      <c r="F25" s="4210"/>
      <c r="G25" s="14"/>
      <c r="H25" s="15"/>
      <c r="I25" s="15"/>
      <c r="J25" s="15"/>
      <c r="K25" s="9"/>
      <c r="L25" s="7"/>
      <c r="M25" s="9"/>
      <c r="N25" s="9"/>
      <c r="O25" s="9"/>
      <c r="P25" s="9"/>
      <c r="Q25" s="9"/>
      <c r="R25" s="9"/>
      <c r="S25" s="9"/>
      <c r="T25" s="9"/>
      <c r="U25" s="9"/>
      <c r="V25" s="9"/>
      <c r="W25" s="9"/>
      <c r="X25" s="9"/>
      <c r="Y25" s="9"/>
      <c r="Z25" s="9"/>
      <c r="AA25" s="9"/>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row>
    <row r="26" spans="1:60">
      <c r="A26" s="7"/>
      <c r="B26" s="8"/>
      <c r="C26" s="9"/>
      <c r="D26" s="14"/>
      <c r="E26" s="14"/>
      <c r="F26" s="4210"/>
      <c r="G26" s="14"/>
      <c r="H26" s="15"/>
      <c r="I26" s="15"/>
      <c r="J26" s="15"/>
      <c r="K26" s="9"/>
      <c r="L26" s="7"/>
      <c r="M26" s="9"/>
      <c r="N26" s="9"/>
      <c r="O26" s="9"/>
      <c r="P26" s="9"/>
      <c r="Q26" s="9"/>
      <c r="R26" s="9"/>
      <c r="S26" s="9"/>
      <c r="T26" s="9"/>
      <c r="U26" s="9"/>
      <c r="V26" s="9"/>
      <c r="W26" s="9"/>
      <c r="X26" s="9"/>
      <c r="Y26" s="9"/>
      <c r="Z26" s="9"/>
      <c r="AA26" s="9"/>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row>
    <row r="27" spans="1:60">
      <c r="A27" s="7"/>
      <c r="B27" s="8"/>
      <c r="C27" s="9"/>
      <c r="D27" s="14"/>
      <c r="E27" s="14"/>
      <c r="F27" s="4210"/>
      <c r="G27" s="14"/>
      <c r="H27" s="15"/>
      <c r="I27" s="15"/>
      <c r="J27" s="15"/>
      <c r="K27" s="9"/>
      <c r="L27" s="7"/>
      <c r="M27" s="9"/>
      <c r="N27" s="9"/>
      <c r="O27" s="9"/>
      <c r="P27" s="9"/>
      <c r="Q27" s="9"/>
      <c r="R27" s="9"/>
      <c r="S27" s="9"/>
      <c r="T27" s="9"/>
      <c r="U27" s="9"/>
      <c r="V27" s="9"/>
      <c r="W27" s="9"/>
      <c r="X27" s="9"/>
      <c r="Y27" s="9"/>
      <c r="Z27" s="9"/>
      <c r="AA27" s="9"/>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row>
    <row r="28" spans="1:60">
      <c r="A28" s="7"/>
      <c r="B28" s="8"/>
      <c r="C28" s="9"/>
      <c r="D28" s="14"/>
      <c r="E28" s="14"/>
      <c r="F28" s="4210"/>
      <c r="G28" s="14"/>
      <c r="H28" s="15"/>
      <c r="I28" s="15"/>
      <c r="J28" s="9"/>
      <c r="K28" s="9"/>
      <c r="L28" s="7"/>
      <c r="M28" s="9"/>
      <c r="N28" s="9"/>
      <c r="O28" s="9"/>
      <c r="P28" s="9"/>
      <c r="Q28" s="9"/>
      <c r="R28" s="9"/>
      <c r="S28" s="9"/>
      <c r="T28" s="9"/>
      <c r="U28" s="9"/>
      <c r="V28" s="9"/>
      <c r="W28" s="9"/>
      <c r="X28" s="9"/>
      <c r="Y28" s="9"/>
      <c r="Z28" s="9"/>
      <c r="AA28" s="9"/>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row>
    <row r="29" spans="1:60">
      <c r="A29" s="7"/>
      <c r="B29" s="8"/>
      <c r="C29" s="9"/>
      <c r="D29" s="16" t="s">
        <v>1208</v>
      </c>
      <c r="E29" s="17"/>
      <c r="F29" s="4210"/>
      <c r="G29" s="17"/>
      <c r="H29" s="15"/>
      <c r="I29" s="15"/>
      <c r="J29" s="9"/>
      <c r="K29" s="9"/>
      <c r="L29" s="7"/>
      <c r="M29" s="9"/>
      <c r="N29" s="9"/>
      <c r="O29" s="9"/>
      <c r="P29" s="9"/>
      <c r="Q29" s="9"/>
      <c r="R29" s="9"/>
      <c r="S29" s="9"/>
      <c r="T29" s="9"/>
      <c r="U29" s="9"/>
      <c r="V29" s="9"/>
      <c r="W29" s="9"/>
      <c r="X29" s="9"/>
      <c r="Y29" s="9"/>
      <c r="Z29" s="9"/>
      <c r="AA29" s="9"/>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row>
    <row r="30" spans="1:60">
      <c r="A30" s="7"/>
      <c r="B30" s="8"/>
      <c r="C30" s="9"/>
      <c r="D30" s="14"/>
      <c r="E30" s="14"/>
      <c r="F30" s="4211"/>
      <c r="G30" s="18" t="str">
        <f>G31&amp;": "&amp;G32</f>
        <v>price target: 33.8890301810379</v>
      </c>
      <c r="H30" s="15"/>
      <c r="I30" s="15"/>
      <c r="J30" s="9"/>
      <c r="K30" s="9"/>
      <c r="L30" s="7"/>
      <c r="M30" s="9"/>
      <c r="N30" s="9"/>
      <c r="O30" s="9"/>
      <c r="P30" s="9"/>
      <c r="Q30" s="9"/>
      <c r="R30" s="9"/>
      <c r="S30" s="9"/>
      <c r="T30" s="9"/>
      <c r="U30" s="9"/>
      <c r="V30" s="9"/>
      <c r="W30" s="9"/>
      <c r="X30" s="9"/>
      <c r="Y30" s="9"/>
      <c r="Z30" s="9"/>
      <c r="AA30" s="9"/>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row>
    <row r="31" spans="1:60" ht="23.25">
      <c r="A31" s="7"/>
      <c r="B31" s="8"/>
      <c r="C31" s="9"/>
      <c r="D31" s="19" t="s">
        <v>1209</v>
      </c>
      <c r="E31" s="20" t="s">
        <v>831</v>
      </c>
      <c r="F31" s="21" t="s">
        <v>397</v>
      </c>
      <c r="G31" s="22" t="s">
        <v>866</v>
      </c>
      <c r="H31" s="20" t="s">
        <v>830</v>
      </c>
      <c r="I31" s="23" t="s">
        <v>867</v>
      </c>
      <c r="J31" s="9"/>
      <c r="K31" s="9"/>
      <c r="L31" s="7"/>
      <c r="M31" s="9"/>
      <c r="N31" s="9"/>
      <c r="O31" s="9"/>
      <c r="P31" s="9"/>
      <c r="Q31" s="9"/>
      <c r="R31" s="9"/>
      <c r="S31" s="9"/>
      <c r="T31" s="9"/>
      <c r="U31" s="9"/>
      <c r="V31" s="9"/>
      <c r="W31" s="9"/>
      <c r="X31" s="9"/>
      <c r="Y31" s="9"/>
      <c r="Z31" s="9"/>
      <c r="AA31" s="9"/>
      <c r="AB31" s="24"/>
      <c r="AC31" s="24"/>
      <c r="AD31" s="24"/>
      <c r="AE31" s="24"/>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row>
    <row r="32" spans="1:60" ht="23.25">
      <c r="A32" s="7"/>
      <c r="B32" s="8"/>
      <c r="C32" s="9"/>
      <c r="D32" s="26" t="s">
        <v>868</v>
      </c>
      <c r="E32" s="27">
        <f>Sensitivity!N32</f>
        <v>23.798274768808245</v>
      </c>
      <c r="F32" s="28"/>
      <c r="G32" s="29">
        <f>'EBITDA Val'!F20</f>
        <v>33.889030181037867</v>
      </c>
      <c r="H32" s="30"/>
      <c r="I32" s="31"/>
      <c r="J32" s="9"/>
      <c r="K32" s="9"/>
      <c r="L32" s="7"/>
      <c r="M32" s="9"/>
      <c r="N32" s="9"/>
      <c r="O32" s="9"/>
      <c r="P32" s="9"/>
      <c r="Q32" s="9"/>
      <c r="R32" s="9"/>
      <c r="S32" s="9"/>
      <c r="T32" s="9"/>
      <c r="U32" s="9"/>
      <c r="V32" s="9"/>
      <c r="W32" s="9"/>
      <c r="X32" s="9"/>
      <c r="Y32" s="9"/>
      <c r="Z32" s="9"/>
      <c r="AA32" s="9"/>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row>
    <row r="33" spans="1:60">
      <c r="A33" s="7"/>
      <c r="B33" s="8"/>
      <c r="C33" s="10"/>
      <c r="D33" s="32" t="s">
        <v>919</v>
      </c>
      <c r="E33" s="33"/>
      <c r="F33" s="34"/>
      <c r="G33" s="35">
        <f t="shared" ref="G33:G40" si="0">$H$32</f>
        <v>0</v>
      </c>
      <c r="H33" s="36">
        <f ca="1">SUM(OFFSET(H33,-1,-3,1,1))</f>
        <v>23.798274768808245</v>
      </c>
      <c r="I33" s="37">
        <f>F33</f>
        <v>0</v>
      </c>
      <c r="J33" s="9"/>
      <c r="K33" s="9"/>
      <c r="L33" s="7"/>
      <c r="M33" s="9"/>
      <c r="N33" s="9"/>
      <c r="O33" s="9"/>
      <c r="P33" s="9"/>
      <c r="Q33" s="9"/>
      <c r="R33" s="9"/>
      <c r="S33" s="9"/>
      <c r="T33" s="9"/>
      <c r="U33" s="9"/>
      <c r="V33" s="9"/>
      <c r="W33" s="9"/>
      <c r="X33" s="9"/>
      <c r="Y33" s="9"/>
      <c r="Z33" s="9"/>
      <c r="AA33" s="9"/>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row>
    <row r="34" spans="1:60">
      <c r="A34" s="7"/>
      <c r="B34" s="8"/>
      <c r="C34" s="10"/>
      <c r="D34" s="32" t="s">
        <v>899</v>
      </c>
      <c r="E34" s="1319"/>
      <c r="F34" s="34">
        <f>-Sensitivity!L24</f>
        <v>0</v>
      </c>
      <c r="G34" s="36">
        <f t="shared" si="0"/>
        <v>0</v>
      </c>
      <c r="H34" s="36">
        <f ca="1">SUM(OFFSET(H34,-1,0,1,1),OFFSET(H34,-1,-2,1,1))</f>
        <v>23.798274768808245</v>
      </c>
      <c r="I34" s="37">
        <f>F34</f>
        <v>0</v>
      </c>
      <c r="J34" s="9"/>
      <c r="K34" s="9"/>
      <c r="L34" s="7"/>
      <c r="M34" s="9"/>
      <c r="N34" s="9"/>
      <c r="O34" s="9"/>
      <c r="P34" s="9"/>
      <c r="Q34" s="9"/>
      <c r="R34" s="9"/>
      <c r="S34" s="9"/>
      <c r="T34" s="9"/>
      <c r="U34" s="9"/>
      <c r="V34" s="9"/>
      <c r="W34" s="9"/>
      <c r="X34" s="9"/>
      <c r="Y34" s="9"/>
      <c r="Z34" s="9"/>
      <c r="AA34" s="9"/>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row>
    <row r="35" spans="1:60">
      <c r="A35" s="7"/>
      <c r="B35" s="8"/>
      <c r="C35" s="38"/>
      <c r="D35" s="32" t="s">
        <v>496</v>
      </c>
      <c r="E35" s="39"/>
      <c r="F35" s="34">
        <f>-Sensitivity!L11-Sensitivity!L15</f>
        <v>1.1657723154075106</v>
      </c>
      <c r="G35" s="36">
        <f t="shared" si="0"/>
        <v>0</v>
      </c>
      <c r="H35" s="36">
        <f ca="1">SUM(OFFSET(H35,-1,0,1,1),OFFSET(H35,-1,-2,1,1))</f>
        <v>23.798274768808245</v>
      </c>
      <c r="I35" s="37">
        <f>F35</f>
        <v>1.1657723154075106</v>
      </c>
      <c r="J35" s="9"/>
      <c r="K35" s="9"/>
      <c r="L35" s="7"/>
      <c r="M35" s="9"/>
      <c r="N35" s="9"/>
      <c r="O35" s="9"/>
      <c r="P35" s="9"/>
      <c r="Q35" s="9"/>
      <c r="R35" s="9"/>
      <c r="S35" s="9"/>
      <c r="T35" s="9"/>
      <c r="U35" s="9"/>
      <c r="V35" s="9"/>
      <c r="W35" s="9"/>
      <c r="X35" s="9"/>
      <c r="Y35" s="9"/>
      <c r="Z35" s="9"/>
      <c r="AA35" s="9"/>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row>
    <row r="36" spans="1:60" ht="23.25">
      <c r="A36" s="7"/>
      <c r="B36" s="8"/>
      <c r="C36" s="9"/>
      <c r="D36" s="41" t="s">
        <v>869</v>
      </c>
      <c r="E36" s="36">
        <f>+G32</f>
        <v>33.889030181037867</v>
      </c>
      <c r="F36" s="42"/>
      <c r="G36" s="36">
        <f t="shared" si="0"/>
        <v>0</v>
      </c>
      <c r="H36" s="43"/>
      <c r="I36" s="37"/>
      <c r="J36" s="9"/>
      <c r="K36" s="9"/>
      <c r="L36" s="7"/>
      <c r="M36" s="9"/>
      <c r="N36" s="9"/>
      <c r="O36" s="9"/>
      <c r="P36" s="9"/>
      <c r="Q36" s="9"/>
      <c r="R36" s="9"/>
      <c r="S36" s="9"/>
      <c r="T36" s="9"/>
      <c r="U36" s="9"/>
      <c r="V36" s="9"/>
      <c r="W36" s="9"/>
      <c r="X36" s="9"/>
      <c r="Y36" s="9"/>
      <c r="Z36" s="9"/>
      <c r="AA36" s="9"/>
      <c r="AB36" s="24"/>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row>
    <row r="37" spans="1:60">
      <c r="A37" s="7"/>
      <c r="B37" s="8"/>
      <c r="C37" s="10"/>
      <c r="D37" s="32" t="s">
        <v>46</v>
      </c>
      <c r="E37" s="33"/>
      <c r="F37" s="44"/>
      <c r="G37" s="36">
        <f t="shared" si="0"/>
        <v>0</v>
      </c>
      <c r="H37" s="36">
        <f ca="1">SUM(OFFSET(H37,-1,-3,1,1))</f>
        <v>33.889030181037867</v>
      </c>
      <c r="I37" s="37"/>
      <c r="J37" s="9"/>
      <c r="K37" s="9"/>
      <c r="L37" s="7"/>
      <c r="M37" s="9"/>
      <c r="N37" s="9"/>
      <c r="O37" s="9"/>
      <c r="P37" s="9"/>
      <c r="Q37" s="9"/>
      <c r="R37" s="9"/>
      <c r="S37" s="9"/>
      <c r="T37" s="9"/>
      <c r="U37" s="9"/>
      <c r="V37" s="9"/>
      <c r="W37" s="9"/>
      <c r="X37" s="9"/>
      <c r="Y37" s="9"/>
      <c r="Z37" s="9"/>
      <c r="AA37" s="9"/>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1:60">
      <c r="A38" s="7"/>
      <c r="B38" s="8"/>
      <c r="C38" s="38"/>
      <c r="D38" s="32" t="s">
        <v>692</v>
      </c>
      <c r="E38" s="39"/>
      <c r="F38" s="34">
        <f>Sensitivity!L55+(Sensitivity!L72+Sensitivity!L70)*0.5</f>
        <v>6.3298457656550466</v>
      </c>
      <c r="G38" s="36">
        <f t="shared" si="0"/>
        <v>0</v>
      </c>
      <c r="H38" s="36"/>
      <c r="I38" s="37">
        <f>F38</f>
        <v>6.3298457656550466</v>
      </c>
      <c r="J38" s="9"/>
      <c r="K38" s="9"/>
      <c r="L38" s="7"/>
      <c r="M38" s="9"/>
      <c r="N38" s="9"/>
      <c r="O38" s="9"/>
      <c r="P38" s="9"/>
      <c r="Q38" s="9"/>
      <c r="R38" s="9"/>
      <c r="S38" s="9"/>
      <c r="T38" s="9"/>
      <c r="U38" s="9"/>
      <c r="V38" s="9"/>
      <c r="W38" s="9"/>
      <c r="X38" s="9"/>
      <c r="Y38" s="9"/>
      <c r="Z38" s="9"/>
      <c r="AA38" s="9"/>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row>
    <row r="39" spans="1:60">
      <c r="A39" s="7"/>
      <c r="B39" s="8"/>
      <c r="C39" s="38"/>
      <c r="D39" s="1473" t="s">
        <v>899</v>
      </c>
      <c r="E39" s="1474"/>
      <c r="F39" s="1475">
        <f>+Sensitivity!L68</f>
        <v>0</v>
      </c>
      <c r="G39" s="36">
        <f t="shared" si="0"/>
        <v>0</v>
      </c>
      <c r="H39" s="36">
        <f ca="1">SUM(OFFSET(H39,-1,0,1,1),OFFSET(H39,-1,-2,1,1))</f>
        <v>6.3298457656550466</v>
      </c>
      <c r="I39" s="37">
        <f>F39</f>
        <v>0</v>
      </c>
      <c r="J39" s="9"/>
      <c r="K39" s="9"/>
      <c r="L39" s="7"/>
      <c r="M39" s="9"/>
      <c r="N39" s="9"/>
      <c r="O39" s="9"/>
      <c r="P39" s="9"/>
      <c r="Q39" s="9"/>
      <c r="R39" s="9"/>
      <c r="S39" s="9"/>
      <c r="T39" s="9"/>
      <c r="U39" s="9"/>
      <c r="V39" s="9"/>
      <c r="W39" s="9"/>
      <c r="X39" s="9"/>
      <c r="Y39" s="9"/>
      <c r="Z39" s="9"/>
      <c r="AA39" s="9"/>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row>
    <row r="40" spans="1:60" ht="23.25">
      <c r="A40" s="7"/>
      <c r="B40" s="8"/>
      <c r="C40" s="9"/>
      <c r="D40" s="45" t="s">
        <v>870</v>
      </c>
      <c r="E40" s="46"/>
      <c r="F40" s="47"/>
      <c r="G40" s="48">
        <f t="shared" si="0"/>
        <v>0</v>
      </c>
      <c r="H40" s="48"/>
      <c r="I40" s="49"/>
      <c r="J40" s="9"/>
      <c r="K40" s="9"/>
      <c r="L40" s="7"/>
      <c r="M40" s="9"/>
      <c r="N40" s="9"/>
      <c r="O40" s="9"/>
      <c r="P40" s="9"/>
      <c r="Q40" s="9"/>
      <c r="R40" s="9"/>
      <c r="S40" s="9"/>
      <c r="T40" s="9"/>
      <c r="U40" s="9"/>
      <c r="V40" s="9"/>
      <c r="W40" s="9"/>
      <c r="X40" s="9"/>
      <c r="Y40" s="9"/>
      <c r="Z40" s="9"/>
      <c r="AA40" s="9"/>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60">
      <c r="A41" s="7"/>
      <c r="B41" s="9"/>
      <c r="C41" s="9"/>
      <c r="D41" s="9"/>
      <c r="E41" s="9"/>
      <c r="F41" s="9"/>
      <c r="G41" s="9"/>
      <c r="H41" s="9"/>
      <c r="I41" s="9"/>
      <c r="J41" s="9"/>
      <c r="K41" s="9"/>
      <c r="L41" s="7"/>
      <c r="M41" s="9"/>
      <c r="N41" s="9"/>
      <c r="O41" s="9"/>
      <c r="P41" s="9"/>
      <c r="Q41" s="9"/>
      <c r="R41" s="9"/>
      <c r="S41" s="9"/>
      <c r="T41" s="9"/>
      <c r="U41" s="9"/>
      <c r="V41" s="9"/>
      <c r="W41" s="9"/>
      <c r="X41" s="9"/>
      <c r="Y41" s="9"/>
      <c r="Z41" s="9"/>
      <c r="AA41" s="9"/>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row>
    <row r="42" spans="1:60">
      <c r="A42" s="7"/>
      <c r="B42" s="9"/>
      <c r="C42" s="9"/>
      <c r="D42" s="9"/>
      <c r="E42" s="9"/>
      <c r="F42" s="9"/>
      <c r="G42" s="9"/>
      <c r="H42" s="9"/>
      <c r="I42" s="9"/>
      <c r="J42" s="9"/>
      <c r="K42" s="9"/>
      <c r="L42" s="7"/>
      <c r="M42" s="9"/>
      <c r="N42" s="9"/>
      <c r="O42" s="9"/>
      <c r="P42" s="9"/>
      <c r="Q42" s="9"/>
      <c r="R42" s="9"/>
      <c r="S42" s="9"/>
      <c r="T42" s="9"/>
      <c r="U42" s="9"/>
      <c r="V42" s="9"/>
      <c r="W42" s="9"/>
      <c r="X42" s="9"/>
      <c r="Y42" s="9"/>
      <c r="Z42" s="9"/>
      <c r="AA42" s="9"/>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row>
    <row r="43" spans="1:60">
      <c r="A43" s="7"/>
      <c r="B43" s="9"/>
      <c r="C43" s="9"/>
      <c r="D43" s="9"/>
      <c r="E43" s="9"/>
      <c r="F43" s="9"/>
      <c r="G43" s="9"/>
      <c r="H43" s="9"/>
      <c r="I43" s="9"/>
      <c r="J43" s="9"/>
      <c r="K43" s="9"/>
      <c r="L43" s="7"/>
      <c r="M43" s="9"/>
      <c r="N43" s="9"/>
      <c r="O43" s="9"/>
      <c r="P43" s="9"/>
      <c r="Q43" s="9"/>
      <c r="R43" s="9"/>
      <c r="S43" s="9"/>
      <c r="T43" s="9"/>
      <c r="U43" s="9"/>
      <c r="V43" s="9"/>
      <c r="W43" s="9"/>
      <c r="X43" s="9"/>
      <c r="Y43" s="9"/>
      <c r="Z43" s="9"/>
      <c r="AA43" s="9"/>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row>
    <row r="44" spans="1:60">
      <c r="A44" s="7"/>
      <c r="B44" s="9"/>
      <c r="C44" s="9"/>
      <c r="D44" s="9"/>
      <c r="E44" s="9"/>
      <c r="F44" s="9"/>
      <c r="G44" s="9"/>
      <c r="H44" s="9"/>
      <c r="I44" s="9"/>
      <c r="J44" s="9"/>
      <c r="K44" s="9"/>
      <c r="L44" s="7"/>
      <c r="M44" s="9"/>
      <c r="N44" s="9"/>
      <c r="O44" s="9"/>
      <c r="P44" s="9"/>
      <c r="Q44" s="9"/>
      <c r="R44" s="9"/>
      <c r="S44" s="9"/>
      <c r="T44" s="9"/>
      <c r="U44" s="9"/>
      <c r="V44" s="9"/>
      <c r="W44" s="9"/>
      <c r="X44" s="9"/>
      <c r="Y44" s="9"/>
      <c r="Z44" s="9"/>
      <c r="AA44" s="9"/>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row>
    <row r="45" spans="1:60">
      <c r="A45" s="7"/>
      <c r="B45" s="9"/>
      <c r="C45" s="9"/>
      <c r="D45" s="9"/>
      <c r="E45" s="9"/>
      <c r="F45" s="9"/>
      <c r="G45" s="9"/>
      <c r="H45" s="9"/>
      <c r="I45" s="9"/>
      <c r="J45" s="9"/>
      <c r="K45" s="9"/>
      <c r="L45" s="7"/>
      <c r="M45" s="9"/>
      <c r="N45" s="9"/>
      <c r="O45" s="9"/>
      <c r="P45" s="9"/>
      <c r="Q45" s="9"/>
      <c r="R45" s="9"/>
      <c r="S45" s="9"/>
      <c r="T45" s="9"/>
      <c r="U45" s="9"/>
      <c r="V45" s="9"/>
      <c r="W45" s="9"/>
      <c r="X45" s="9"/>
      <c r="Y45" s="9"/>
      <c r="Z45" s="9"/>
      <c r="AA45" s="9"/>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row>
    <row r="46" spans="1:60">
      <c r="A46" s="7"/>
      <c r="B46" s="9"/>
      <c r="C46" s="9"/>
      <c r="D46" s="9"/>
      <c r="E46" s="9"/>
      <c r="F46" s="9"/>
      <c r="G46" s="9"/>
      <c r="H46" s="9"/>
      <c r="I46" s="9"/>
      <c r="J46" s="9"/>
      <c r="K46" s="9"/>
      <c r="L46" s="7"/>
      <c r="M46" s="9"/>
      <c r="N46" s="9"/>
      <c r="O46" s="9"/>
      <c r="P46" s="9"/>
      <c r="Q46" s="9"/>
      <c r="R46" s="9"/>
      <c r="S46" s="9"/>
      <c r="T46" s="9"/>
      <c r="U46" s="9"/>
      <c r="V46" s="9"/>
      <c r="W46" s="9"/>
      <c r="X46" s="9"/>
      <c r="Y46" s="9"/>
      <c r="Z46" s="9"/>
      <c r="AA46" s="9"/>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row>
    <row r="47" spans="1:60">
      <c r="A47" s="7"/>
      <c r="B47" s="9"/>
      <c r="C47" s="9"/>
      <c r="D47" s="9"/>
      <c r="E47" s="9"/>
      <c r="F47" s="9"/>
      <c r="G47" s="9"/>
      <c r="H47" s="9"/>
      <c r="I47" s="9"/>
      <c r="J47" s="9"/>
      <c r="K47" s="9"/>
      <c r="L47" s="7"/>
      <c r="M47" s="9"/>
      <c r="N47" s="9"/>
      <c r="O47" s="9"/>
      <c r="P47" s="9"/>
      <c r="Q47" s="9"/>
      <c r="R47" s="9"/>
      <c r="S47" s="9"/>
      <c r="T47" s="9"/>
      <c r="U47" s="9"/>
      <c r="V47" s="9"/>
      <c r="W47" s="9"/>
      <c r="X47" s="9"/>
      <c r="Y47" s="9"/>
      <c r="Z47" s="9"/>
      <c r="AA47" s="9"/>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row>
    <row r="48" spans="1:60">
      <c r="A48" s="7"/>
      <c r="B48" s="9"/>
      <c r="C48" s="9"/>
      <c r="D48" s="9"/>
      <c r="E48" s="9"/>
      <c r="F48" s="9"/>
      <c r="G48" s="9"/>
      <c r="H48" s="9"/>
      <c r="I48" s="9"/>
      <c r="J48" s="9"/>
      <c r="K48" s="9"/>
      <c r="L48" s="7"/>
      <c r="M48" s="9"/>
      <c r="N48" s="9"/>
      <c r="O48" s="9"/>
      <c r="P48" s="9"/>
      <c r="Q48" s="9"/>
      <c r="R48" s="9"/>
      <c r="S48" s="9"/>
      <c r="T48" s="9"/>
      <c r="U48" s="9"/>
      <c r="V48" s="9"/>
      <c r="W48" s="9"/>
      <c r="X48" s="9"/>
      <c r="Y48" s="9"/>
      <c r="Z48" s="9"/>
      <c r="AA48" s="9"/>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row>
    <row r="49" spans="1:60">
      <c r="A49" s="7"/>
      <c r="B49" s="9"/>
      <c r="C49" s="9"/>
      <c r="D49" s="9"/>
      <c r="E49" s="9"/>
      <c r="F49" s="9"/>
      <c r="G49" s="9"/>
      <c r="H49" s="9"/>
      <c r="I49" s="9"/>
      <c r="J49" s="9"/>
      <c r="K49" s="9"/>
      <c r="L49" s="7"/>
      <c r="M49" s="9"/>
      <c r="N49" s="9"/>
      <c r="O49" s="9"/>
      <c r="P49" s="9"/>
      <c r="Q49" s="9"/>
      <c r="R49" s="9"/>
      <c r="S49" s="9"/>
      <c r="T49" s="9"/>
      <c r="U49" s="9"/>
      <c r="V49" s="9"/>
      <c r="W49" s="9"/>
      <c r="X49" s="9"/>
      <c r="Y49" s="9"/>
      <c r="Z49" s="9"/>
      <c r="AA49" s="9"/>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row>
    <row r="50" spans="1:60">
      <c r="A50" s="7"/>
      <c r="B50" s="9"/>
      <c r="C50" s="9"/>
      <c r="D50" s="9"/>
      <c r="E50" s="9"/>
      <c r="F50" s="9"/>
      <c r="G50" s="9"/>
      <c r="H50" s="9"/>
      <c r="I50" s="9"/>
      <c r="J50" s="9"/>
      <c r="K50" s="9"/>
      <c r="L50" s="7"/>
      <c r="M50" s="9"/>
      <c r="N50" s="9"/>
      <c r="O50" s="9"/>
      <c r="P50" s="9"/>
      <c r="Q50" s="9"/>
      <c r="R50" s="9"/>
      <c r="S50" s="9"/>
      <c r="T50" s="9"/>
      <c r="U50" s="9"/>
      <c r="V50" s="9"/>
      <c r="W50" s="9"/>
      <c r="X50" s="9"/>
      <c r="Y50" s="9"/>
      <c r="Z50" s="9"/>
      <c r="AA50" s="9"/>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row>
    <row r="51" spans="1:60">
      <c r="A51" s="7"/>
      <c r="B51" s="9"/>
      <c r="C51" s="9"/>
      <c r="D51" s="9"/>
      <c r="E51" s="9"/>
      <c r="F51" s="9"/>
      <c r="G51" s="9"/>
      <c r="H51" s="9"/>
      <c r="I51" s="9"/>
      <c r="J51" s="9"/>
      <c r="K51" s="9"/>
      <c r="L51" s="7"/>
      <c r="M51" s="9"/>
      <c r="N51" s="9"/>
      <c r="O51" s="9"/>
      <c r="P51" s="9"/>
      <c r="Q51" s="9"/>
      <c r="R51" s="9"/>
      <c r="S51" s="9"/>
      <c r="T51" s="9"/>
      <c r="U51" s="9"/>
      <c r="V51" s="9"/>
      <c r="W51" s="9"/>
      <c r="X51" s="9"/>
      <c r="Y51" s="9"/>
      <c r="Z51" s="9"/>
      <c r="AA51" s="9"/>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c r="BE51" s="24"/>
      <c r="BF51" s="24"/>
      <c r="BG51" s="24"/>
      <c r="BH51" s="24"/>
    </row>
    <row r="52" spans="1:60">
      <c r="A52" s="7"/>
      <c r="B52" s="9"/>
      <c r="C52" s="9"/>
      <c r="D52" s="9"/>
      <c r="E52" s="9"/>
      <c r="F52" s="9"/>
      <c r="G52" s="9"/>
      <c r="H52" s="9"/>
      <c r="I52" s="9"/>
      <c r="J52" s="9"/>
      <c r="K52" s="9"/>
      <c r="L52" s="7"/>
      <c r="M52" s="9"/>
      <c r="N52" s="9"/>
      <c r="O52" s="9"/>
      <c r="P52" s="9"/>
      <c r="Q52" s="9"/>
      <c r="R52" s="9"/>
      <c r="S52" s="9"/>
      <c r="T52" s="9"/>
      <c r="U52" s="9"/>
      <c r="V52" s="9"/>
      <c r="W52" s="9"/>
      <c r="X52" s="9"/>
      <c r="Y52" s="9"/>
      <c r="Z52" s="9"/>
      <c r="AA52" s="9"/>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c r="BE52" s="24"/>
      <c r="BF52" s="24"/>
      <c r="BG52" s="24"/>
      <c r="BH52" s="24"/>
    </row>
    <row r="53" spans="1:60">
      <c r="A53" s="7"/>
      <c r="B53" s="9"/>
      <c r="C53" s="9"/>
      <c r="D53" s="9"/>
      <c r="E53" s="9"/>
      <c r="F53" s="9"/>
      <c r="G53" s="9"/>
      <c r="H53" s="9"/>
      <c r="I53" s="9"/>
      <c r="J53" s="9"/>
      <c r="K53" s="9"/>
      <c r="L53" s="7"/>
      <c r="M53" s="9"/>
      <c r="N53" s="9"/>
      <c r="O53" s="9"/>
      <c r="P53" s="9"/>
      <c r="Q53" s="9"/>
      <c r="R53" s="9"/>
      <c r="S53" s="9"/>
      <c r="T53" s="9"/>
      <c r="U53" s="9"/>
      <c r="V53" s="9"/>
      <c r="W53" s="9"/>
      <c r="X53" s="9"/>
      <c r="Y53" s="9"/>
      <c r="Z53" s="9"/>
      <c r="AA53" s="9"/>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c r="BE53" s="24"/>
      <c r="BF53" s="24"/>
      <c r="BG53" s="24"/>
      <c r="BH53" s="24"/>
    </row>
    <row r="54" spans="1:60">
      <c r="A54" s="7"/>
      <c r="B54" s="9"/>
      <c r="C54" s="9"/>
      <c r="D54" s="9"/>
      <c r="E54" s="9"/>
      <c r="F54" s="9"/>
      <c r="G54" s="9"/>
      <c r="H54" s="9"/>
      <c r="I54" s="9"/>
      <c r="J54" s="9"/>
      <c r="K54" s="9"/>
      <c r="L54" s="7"/>
      <c r="M54" s="9"/>
      <c r="N54" s="9"/>
      <c r="O54" s="9"/>
      <c r="P54" s="9"/>
      <c r="Q54" s="9"/>
      <c r="R54" s="9"/>
      <c r="S54" s="9"/>
      <c r="T54" s="9"/>
      <c r="U54" s="9"/>
      <c r="V54" s="9"/>
      <c r="W54" s="9"/>
      <c r="X54" s="9"/>
      <c r="Y54" s="9"/>
      <c r="Z54" s="9"/>
      <c r="AA54" s="9"/>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c r="BE54" s="24"/>
      <c r="BF54" s="24"/>
      <c r="BG54" s="24"/>
      <c r="BH54" s="24"/>
    </row>
    <row r="55" spans="1:60">
      <c r="A55" s="7"/>
      <c r="B55" s="9"/>
      <c r="C55" s="9"/>
      <c r="D55" s="9"/>
      <c r="E55" s="9"/>
      <c r="F55" s="9"/>
      <c r="G55" s="9"/>
      <c r="H55" s="9"/>
      <c r="I55" s="9"/>
      <c r="J55" s="9"/>
      <c r="K55" s="9"/>
      <c r="L55" s="7"/>
      <c r="M55" s="9"/>
      <c r="N55" s="9"/>
      <c r="O55" s="9"/>
      <c r="P55" s="9"/>
      <c r="Q55" s="9"/>
      <c r="R55" s="9"/>
      <c r="S55" s="9"/>
      <c r="T55" s="9"/>
      <c r="U55" s="9"/>
      <c r="V55" s="9"/>
      <c r="W55" s="9"/>
      <c r="X55" s="9"/>
      <c r="Y55" s="9"/>
      <c r="Z55" s="9"/>
      <c r="AA55" s="9"/>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c r="BE55" s="24"/>
      <c r="BF55" s="24"/>
      <c r="BG55" s="24"/>
      <c r="BH55" s="24"/>
    </row>
    <row r="56" spans="1:60">
      <c r="A56" s="7"/>
      <c r="B56" s="9"/>
      <c r="C56" s="9"/>
      <c r="D56" s="9"/>
      <c r="E56" s="9"/>
      <c r="F56" s="9"/>
      <c r="G56" s="9"/>
      <c r="H56" s="9"/>
      <c r="I56" s="9"/>
      <c r="J56" s="9"/>
      <c r="K56" s="9"/>
      <c r="L56" s="7"/>
      <c r="M56" s="9"/>
      <c r="N56" s="9"/>
      <c r="O56" s="9"/>
      <c r="P56" s="9"/>
      <c r="Q56" s="9"/>
      <c r="R56" s="9"/>
      <c r="S56" s="9"/>
      <c r="T56" s="9"/>
      <c r="U56" s="9"/>
      <c r="V56" s="9"/>
      <c r="W56" s="9"/>
      <c r="X56" s="9"/>
      <c r="Y56" s="9"/>
      <c r="Z56" s="9"/>
      <c r="AA56" s="9"/>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c r="BE56" s="24"/>
      <c r="BF56" s="24"/>
      <c r="BG56" s="24"/>
      <c r="BH56" s="24"/>
    </row>
    <row r="57" spans="1:60">
      <c r="A57" s="7"/>
      <c r="B57" s="9"/>
      <c r="C57" s="9"/>
      <c r="D57" s="9"/>
      <c r="E57" s="9"/>
      <c r="F57" s="9"/>
      <c r="G57" s="9"/>
      <c r="H57" s="9"/>
      <c r="I57" s="9"/>
      <c r="J57" s="9"/>
      <c r="K57" s="9"/>
      <c r="L57" s="7"/>
      <c r="M57" s="9"/>
      <c r="N57" s="9"/>
      <c r="O57" s="9"/>
      <c r="P57" s="9"/>
      <c r="Q57" s="9"/>
      <c r="R57" s="9"/>
      <c r="S57" s="9"/>
      <c r="T57" s="9"/>
      <c r="U57" s="9"/>
      <c r="V57" s="9"/>
      <c r="W57" s="9"/>
      <c r="X57" s="9"/>
      <c r="Y57" s="9"/>
      <c r="Z57" s="9"/>
      <c r="AA57" s="9"/>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c r="BE57" s="24"/>
      <c r="BF57" s="24"/>
      <c r="BG57" s="24"/>
      <c r="BH57" s="24"/>
    </row>
    <row r="58" spans="1:60">
      <c r="A58" s="7"/>
      <c r="B58" s="9"/>
      <c r="C58" s="9"/>
      <c r="D58" s="9"/>
      <c r="E58" s="9"/>
      <c r="F58" s="9"/>
      <c r="G58" s="9"/>
      <c r="H58" s="9"/>
      <c r="I58" s="9"/>
      <c r="J58" s="9"/>
      <c r="K58" s="9"/>
      <c r="L58" s="7"/>
      <c r="M58" s="9"/>
      <c r="N58" s="9"/>
      <c r="O58" s="9"/>
      <c r="P58" s="9"/>
      <c r="Q58" s="9"/>
      <c r="R58" s="9"/>
      <c r="S58" s="9"/>
      <c r="T58" s="9"/>
      <c r="U58" s="9"/>
      <c r="V58" s="9"/>
      <c r="W58" s="9"/>
      <c r="X58" s="9"/>
      <c r="Y58" s="9"/>
      <c r="Z58" s="9"/>
      <c r="AA58" s="9"/>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c r="BE58" s="24"/>
      <c r="BF58" s="24"/>
      <c r="BG58" s="24"/>
      <c r="BH58" s="24"/>
    </row>
    <row r="59" spans="1:60">
      <c r="A59" s="7"/>
      <c r="B59" s="9"/>
      <c r="C59" s="9"/>
      <c r="D59" s="9"/>
      <c r="E59" s="9"/>
      <c r="F59" s="9"/>
      <c r="G59" s="9"/>
      <c r="H59" s="9"/>
      <c r="I59" s="9"/>
      <c r="J59" s="9"/>
      <c r="K59" s="9"/>
      <c r="L59" s="7"/>
      <c r="M59" s="9"/>
      <c r="N59" s="9"/>
      <c r="O59" s="9"/>
      <c r="P59" s="9"/>
      <c r="Q59" s="9"/>
      <c r="R59" s="9"/>
      <c r="S59" s="9"/>
      <c r="T59" s="9"/>
      <c r="U59" s="9"/>
      <c r="V59" s="9"/>
      <c r="W59" s="9"/>
      <c r="X59" s="9"/>
      <c r="Y59" s="9"/>
      <c r="Z59" s="9"/>
      <c r="AA59" s="9"/>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c r="BE59" s="24"/>
      <c r="BF59" s="24"/>
      <c r="BG59" s="24"/>
      <c r="BH59" s="24"/>
    </row>
    <row r="60" spans="1:60">
      <c r="A60" s="7"/>
      <c r="B60" s="9"/>
      <c r="C60" s="9"/>
      <c r="D60" s="9"/>
      <c r="E60" s="9"/>
      <c r="F60" s="9"/>
      <c r="G60" s="9"/>
      <c r="H60" s="9"/>
      <c r="I60" s="9"/>
      <c r="J60" s="9"/>
      <c r="K60" s="9"/>
      <c r="L60" s="7"/>
      <c r="M60" s="9"/>
      <c r="N60" s="9"/>
      <c r="O60" s="9"/>
      <c r="P60" s="9"/>
      <c r="Q60" s="9"/>
      <c r="R60" s="9"/>
      <c r="S60" s="9"/>
      <c r="T60" s="9"/>
      <c r="U60" s="9"/>
      <c r="V60" s="9"/>
      <c r="W60" s="9"/>
      <c r="X60" s="9"/>
      <c r="Y60" s="9"/>
      <c r="Z60" s="9"/>
      <c r="AA60" s="9"/>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c r="BE60" s="24"/>
      <c r="BF60" s="24"/>
      <c r="BG60" s="24"/>
      <c r="BH60" s="24"/>
    </row>
    <row r="61" spans="1:60">
      <c r="A61" s="7"/>
      <c r="B61" s="9"/>
      <c r="C61" s="9"/>
      <c r="D61" s="9"/>
      <c r="E61" s="9"/>
      <c r="F61" s="9"/>
      <c r="G61" s="9"/>
      <c r="H61" s="9"/>
      <c r="I61" s="9"/>
      <c r="J61" s="9"/>
      <c r="K61" s="9"/>
      <c r="L61" s="7"/>
      <c r="M61" s="9"/>
      <c r="N61" s="9"/>
      <c r="O61" s="9"/>
      <c r="P61" s="9"/>
      <c r="Q61" s="9"/>
      <c r="R61" s="9"/>
      <c r="S61" s="9"/>
      <c r="T61" s="9"/>
      <c r="U61" s="9"/>
      <c r="V61" s="9"/>
      <c r="W61" s="9"/>
      <c r="X61" s="9"/>
      <c r="Y61" s="9"/>
      <c r="Z61" s="9"/>
      <c r="AA61" s="9"/>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c r="BE61" s="24"/>
      <c r="BF61" s="24"/>
      <c r="BG61" s="24"/>
      <c r="BH61" s="24"/>
    </row>
    <row r="62" spans="1:60">
      <c r="A62" s="7"/>
      <c r="B62" s="9"/>
      <c r="C62" s="9"/>
      <c r="D62" s="9"/>
      <c r="E62" s="9"/>
      <c r="F62" s="9"/>
      <c r="G62" s="9"/>
      <c r="H62" s="9"/>
      <c r="I62" s="9"/>
      <c r="J62" s="9"/>
      <c r="K62" s="9"/>
      <c r="L62" s="7"/>
      <c r="M62" s="9"/>
      <c r="N62" s="9"/>
      <c r="O62" s="9"/>
      <c r="P62" s="9"/>
      <c r="Q62" s="9"/>
      <c r="R62" s="9"/>
      <c r="S62" s="9"/>
      <c r="T62" s="9"/>
      <c r="U62" s="9"/>
      <c r="V62" s="9"/>
      <c r="W62" s="9"/>
      <c r="X62" s="9"/>
      <c r="Y62" s="9"/>
      <c r="Z62" s="9"/>
      <c r="AA62" s="9"/>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c r="BE62" s="24"/>
      <c r="BF62" s="24"/>
      <c r="BG62" s="24"/>
      <c r="BH62" s="24"/>
    </row>
    <row r="63" spans="1:60">
      <c r="A63" s="7"/>
      <c r="B63" s="9"/>
      <c r="C63" s="9"/>
      <c r="D63" s="9"/>
      <c r="E63" s="9"/>
      <c r="F63" s="9"/>
      <c r="G63" s="9"/>
      <c r="H63" s="9"/>
      <c r="I63" s="9"/>
      <c r="J63" s="9"/>
      <c r="K63" s="9"/>
      <c r="L63" s="7"/>
      <c r="M63" s="9"/>
      <c r="N63" s="9"/>
      <c r="O63" s="9"/>
      <c r="P63" s="9"/>
      <c r="Q63" s="9"/>
      <c r="R63" s="9"/>
      <c r="S63" s="9"/>
      <c r="T63" s="9"/>
      <c r="U63" s="9"/>
      <c r="V63" s="9"/>
      <c r="W63" s="9"/>
      <c r="X63" s="9"/>
      <c r="Y63" s="9"/>
      <c r="Z63" s="9"/>
      <c r="AA63" s="9"/>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c r="BE63" s="24"/>
      <c r="BF63" s="24"/>
      <c r="BG63" s="24"/>
      <c r="BH63" s="24"/>
    </row>
    <row r="64" spans="1:60">
      <c r="A64" s="7"/>
      <c r="B64" s="9"/>
      <c r="C64" s="9"/>
      <c r="D64" s="9"/>
      <c r="E64" s="9"/>
      <c r="F64" s="9"/>
      <c r="G64" s="9"/>
      <c r="H64" s="9"/>
      <c r="I64" s="9"/>
      <c r="J64" s="9"/>
      <c r="K64" s="9"/>
      <c r="L64" s="7"/>
      <c r="M64" s="9"/>
      <c r="N64" s="9"/>
      <c r="O64" s="9"/>
      <c r="P64" s="9"/>
      <c r="Q64" s="9"/>
      <c r="R64" s="9"/>
      <c r="S64" s="9"/>
      <c r="T64" s="9"/>
      <c r="U64" s="9"/>
      <c r="V64" s="9"/>
      <c r="W64" s="9"/>
      <c r="X64" s="9"/>
      <c r="Y64" s="9"/>
      <c r="Z64" s="9"/>
      <c r="AA64" s="9"/>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c r="BE64" s="24"/>
      <c r="BF64" s="24"/>
      <c r="BG64" s="24"/>
      <c r="BH64" s="24"/>
    </row>
    <row r="65" spans="1:60">
      <c r="A65" s="7"/>
      <c r="B65" s="9"/>
      <c r="C65" s="9"/>
      <c r="D65" s="9"/>
      <c r="E65" s="9"/>
      <c r="F65" s="9"/>
      <c r="G65" s="9"/>
      <c r="H65" s="9"/>
      <c r="I65" s="9"/>
      <c r="J65" s="9"/>
      <c r="K65" s="9"/>
      <c r="L65" s="7"/>
      <c r="M65" s="9"/>
      <c r="N65" s="9"/>
      <c r="O65" s="9"/>
      <c r="P65" s="9"/>
      <c r="Q65" s="9"/>
      <c r="R65" s="9"/>
      <c r="S65" s="9"/>
      <c r="T65" s="9"/>
      <c r="U65" s="9"/>
      <c r="V65" s="9"/>
      <c r="W65" s="9"/>
      <c r="X65" s="9"/>
      <c r="Y65" s="9"/>
      <c r="Z65" s="9"/>
      <c r="AA65" s="9"/>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c r="BE65" s="24"/>
      <c r="BF65" s="24"/>
      <c r="BG65" s="24"/>
      <c r="BH65" s="24"/>
    </row>
    <row r="66" spans="1:60">
      <c r="A66" s="7"/>
      <c r="B66" s="9"/>
      <c r="C66" s="9"/>
      <c r="D66" s="9"/>
      <c r="E66" s="9"/>
      <c r="F66" s="9"/>
      <c r="G66" s="9"/>
      <c r="H66" s="9"/>
      <c r="I66" s="9"/>
      <c r="J66" s="9"/>
      <c r="K66" s="9"/>
      <c r="L66" s="7"/>
      <c r="M66" s="9"/>
      <c r="N66" s="9"/>
      <c r="O66" s="9"/>
      <c r="P66" s="9"/>
      <c r="Q66" s="9"/>
      <c r="R66" s="9"/>
      <c r="S66" s="9"/>
      <c r="T66" s="9"/>
      <c r="U66" s="9"/>
      <c r="V66" s="9"/>
      <c r="W66" s="9"/>
      <c r="X66" s="9"/>
      <c r="Y66" s="9"/>
      <c r="Z66" s="9"/>
      <c r="AA66" s="9"/>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c r="BE66" s="24"/>
      <c r="BF66" s="24"/>
      <c r="BG66" s="24"/>
      <c r="BH66" s="24"/>
    </row>
    <row r="67" spans="1:60">
      <c r="A67" s="7"/>
      <c r="B67" s="9"/>
      <c r="C67" s="9"/>
      <c r="D67" s="9"/>
      <c r="E67" s="9"/>
      <c r="F67" s="9"/>
      <c r="G67" s="9"/>
      <c r="H67" s="9"/>
      <c r="I67" s="9"/>
      <c r="J67" s="9"/>
      <c r="K67" s="9"/>
      <c r="L67" s="7"/>
      <c r="M67" s="9"/>
      <c r="N67" s="9"/>
      <c r="O67" s="9"/>
      <c r="P67" s="9"/>
      <c r="Q67" s="9"/>
      <c r="R67" s="9"/>
      <c r="S67" s="9"/>
      <c r="T67" s="9"/>
      <c r="U67" s="9"/>
      <c r="V67" s="9"/>
      <c r="W67" s="9"/>
      <c r="X67" s="9"/>
      <c r="Y67" s="9"/>
      <c r="Z67" s="9"/>
      <c r="AA67" s="9"/>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c r="BE67" s="24"/>
      <c r="BF67" s="24"/>
      <c r="BG67" s="24"/>
      <c r="BH67" s="24"/>
    </row>
    <row r="68" spans="1:60">
      <c r="A68" s="7"/>
      <c r="B68" s="8"/>
      <c r="C68" s="9"/>
      <c r="D68" s="24"/>
      <c r="E68" s="24"/>
      <c r="F68" s="24"/>
      <c r="G68" s="24"/>
      <c r="H68" s="50"/>
      <c r="I68" s="50"/>
      <c r="J68" s="50"/>
      <c r="K68" s="24"/>
      <c r="L68" s="7"/>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c r="BE68" s="24"/>
      <c r="BF68" s="24"/>
      <c r="BG68" s="24"/>
      <c r="BH68" s="24"/>
    </row>
    <row r="69" spans="1:60">
      <c r="A69" s="7"/>
      <c r="B69" s="8"/>
      <c r="C69" s="9"/>
      <c r="D69" s="24"/>
      <c r="E69" s="24"/>
      <c r="F69" s="24"/>
      <c r="G69" s="24"/>
      <c r="H69" s="50"/>
      <c r="I69" s="50"/>
      <c r="J69" s="50"/>
      <c r="K69" s="24"/>
      <c r="L69" s="7"/>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c r="BE69" s="24"/>
      <c r="BF69" s="24"/>
      <c r="BG69" s="24"/>
      <c r="BH69" s="24"/>
    </row>
    <row r="70" spans="1:60">
      <c r="A70" s="7"/>
      <c r="B70" s="8"/>
      <c r="C70" s="9"/>
      <c r="D70" s="24"/>
      <c r="E70" s="24"/>
      <c r="F70" s="24"/>
      <c r="G70" s="24"/>
      <c r="H70" s="50"/>
      <c r="I70" s="50"/>
      <c r="J70" s="50"/>
      <c r="K70" s="24"/>
      <c r="L70" s="7"/>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row>
    <row r="71" spans="1:60">
      <c r="A71" s="7"/>
      <c r="B71" s="8"/>
      <c r="C71" s="9"/>
      <c r="D71" s="24"/>
      <c r="E71" s="24"/>
      <c r="F71" s="24"/>
      <c r="G71" s="24"/>
      <c r="H71" s="50"/>
      <c r="I71" s="50"/>
      <c r="J71" s="50"/>
      <c r="K71" s="24"/>
      <c r="L71" s="7"/>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c r="BE71" s="24"/>
      <c r="BF71" s="24"/>
      <c r="BG71" s="24"/>
      <c r="BH71" s="24"/>
    </row>
    <row r="72" spans="1:60">
      <c r="A72" s="7"/>
      <c r="B72" s="8"/>
      <c r="C72" s="9"/>
      <c r="D72" s="24"/>
      <c r="E72" s="24"/>
      <c r="F72" s="24"/>
      <c r="G72" s="24"/>
      <c r="H72" s="50"/>
      <c r="I72" s="50"/>
      <c r="J72" s="50"/>
      <c r="K72" s="24"/>
      <c r="L72" s="7"/>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row>
    <row r="73" spans="1:60">
      <c r="A73" s="7"/>
      <c r="B73" s="8"/>
      <c r="C73" s="9"/>
      <c r="D73" s="24"/>
      <c r="E73" s="24"/>
      <c r="F73" s="24"/>
      <c r="G73" s="24"/>
      <c r="H73" s="50"/>
      <c r="I73" s="50"/>
      <c r="J73" s="50"/>
      <c r="K73" s="24"/>
      <c r="L73" s="7"/>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c r="BE73" s="24"/>
      <c r="BF73" s="24"/>
      <c r="BG73" s="24"/>
      <c r="BH73" s="24"/>
    </row>
    <row r="74" spans="1:60">
      <c r="A74" s="7"/>
      <c r="B74" s="8"/>
      <c r="C74" s="9"/>
      <c r="D74" s="24"/>
      <c r="E74" s="24"/>
      <c r="F74" s="24"/>
      <c r="G74" s="24"/>
      <c r="H74" s="50"/>
      <c r="I74" s="50"/>
      <c r="J74" s="50"/>
      <c r="K74" s="24"/>
      <c r="L74" s="7"/>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c r="BE74" s="24"/>
      <c r="BF74" s="24"/>
      <c r="BG74" s="24"/>
      <c r="BH74" s="24"/>
    </row>
    <row r="75" spans="1:60">
      <c r="A75" s="7"/>
      <c r="B75" s="8"/>
      <c r="C75" s="9"/>
      <c r="D75" s="24"/>
      <c r="E75" s="24"/>
      <c r="F75" s="24"/>
      <c r="G75" s="24"/>
      <c r="H75" s="50"/>
      <c r="I75" s="50"/>
      <c r="J75" s="50"/>
      <c r="K75" s="24"/>
      <c r="L75" s="7"/>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c r="BE75" s="24"/>
      <c r="BF75" s="24"/>
      <c r="BG75" s="24"/>
      <c r="BH75" s="24"/>
    </row>
    <row r="76" spans="1:60">
      <c r="A76" s="7"/>
      <c r="B76" s="8"/>
      <c r="C76" s="9"/>
      <c r="D76" s="24"/>
      <c r="E76" s="24"/>
      <c r="F76" s="24"/>
      <c r="G76" s="24"/>
      <c r="H76" s="50"/>
      <c r="I76" s="50"/>
      <c r="J76" s="50"/>
      <c r="K76" s="24"/>
      <c r="L76" s="7"/>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c r="BE76" s="24"/>
      <c r="BF76" s="24"/>
      <c r="BG76" s="24"/>
      <c r="BH76" s="24"/>
    </row>
    <row r="77" spans="1:60">
      <c r="A77" s="7"/>
      <c r="B77" s="8"/>
      <c r="C77" s="9"/>
      <c r="D77" s="24"/>
      <c r="E77" s="24"/>
      <c r="F77" s="24"/>
      <c r="G77" s="24"/>
      <c r="H77" s="50"/>
      <c r="I77" s="50"/>
      <c r="J77" s="50"/>
      <c r="K77" s="24"/>
      <c r="L77" s="7"/>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c r="BE77" s="24"/>
      <c r="BF77" s="24"/>
      <c r="BG77" s="24"/>
      <c r="BH77" s="24"/>
    </row>
    <row r="78" spans="1:60">
      <c r="A78" s="7"/>
      <c r="B78" s="8"/>
      <c r="C78" s="9"/>
      <c r="D78" s="24"/>
      <c r="E78" s="24"/>
      <c r="F78" s="24"/>
      <c r="G78" s="24"/>
      <c r="H78" s="50"/>
      <c r="I78" s="50"/>
      <c r="J78" s="50"/>
      <c r="K78" s="24"/>
      <c r="L78" s="7"/>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c r="AZ78" s="24"/>
      <c r="BA78" s="24"/>
      <c r="BB78" s="24"/>
      <c r="BC78" s="24"/>
      <c r="BD78" s="24"/>
      <c r="BE78" s="24"/>
      <c r="BF78" s="24"/>
      <c r="BG78" s="24"/>
      <c r="BH78" s="24"/>
    </row>
    <row r="79" spans="1:60">
      <c r="A79" s="7"/>
      <c r="B79" s="8"/>
      <c r="C79" s="9"/>
      <c r="D79" s="24"/>
      <c r="E79" s="24"/>
      <c r="F79" s="24"/>
      <c r="G79" s="24"/>
      <c r="H79" s="50"/>
      <c r="I79" s="50"/>
      <c r="J79" s="50"/>
      <c r="K79" s="24"/>
      <c r="L79" s="7"/>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c r="AU79" s="24"/>
      <c r="AV79" s="24"/>
      <c r="AW79" s="24"/>
      <c r="AX79" s="24"/>
      <c r="AY79" s="24"/>
      <c r="AZ79" s="24"/>
      <c r="BA79" s="24"/>
      <c r="BB79" s="24"/>
      <c r="BC79" s="24"/>
      <c r="BD79" s="24"/>
      <c r="BE79" s="24"/>
      <c r="BF79" s="24"/>
      <c r="BG79" s="24"/>
      <c r="BH79" s="24"/>
    </row>
    <row r="80" spans="1:60">
      <c r="A80" s="7"/>
      <c r="B80" s="8"/>
      <c r="C80" s="9"/>
      <c r="D80" s="24"/>
      <c r="E80" s="24"/>
      <c r="F80" s="24"/>
      <c r="G80" s="24"/>
      <c r="H80" s="50"/>
      <c r="I80" s="50"/>
      <c r="J80" s="50"/>
      <c r="K80" s="24"/>
      <c r="L80" s="7"/>
      <c r="M80" s="24"/>
      <c r="N80" s="24"/>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c r="AT80" s="24"/>
      <c r="AU80" s="24"/>
      <c r="AV80" s="24"/>
      <c r="AW80" s="24"/>
      <c r="AX80" s="24"/>
      <c r="AY80" s="24"/>
      <c r="AZ80" s="24"/>
      <c r="BA80" s="24"/>
      <c r="BB80" s="24"/>
      <c r="BC80" s="24"/>
      <c r="BD80" s="24"/>
      <c r="BE80" s="24"/>
      <c r="BF80" s="24"/>
      <c r="BG80" s="24"/>
      <c r="BH80" s="24"/>
    </row>
    <row r="81" spans="1:60">
      <c r="A81" s="7"/>
      <c r="B81" s="8"/>
      <c r="C81" s="9"/>
      <c r="D81" s="24"/>
      <c r="E81" s="24"/>
      <c r="F81" s="24"/>
      <c r="G81" s="24"/>
      <c r="H81" s="50"/>
      <c r="I81" s="50"/>
      <c r="J81" s="50"/>
      <c r="K81" s="24"/>
      <c r="L81" s="7"/>
      <c r="M81" s="24"/>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c r="AT81" s="24"/>
      <c r="AU81" s="24"/>
      <c r="AV81" s="24"/>
      <c r="AW81" s="24"/>
      <c r="AX81" s="24"/>
      <c r="AY81" s="24"/>
      <c r="AZ81" s="24"/>
      <c r="BA81" s="24"/>
      <c r="BB81" s="24"/>
      <c r="BC81" s="24"/>
      <c r="BD81" s="24"/>
      <c r="BE81" s="24"/>
      <c r="BF81" s="24"/>
      <c r="BG81" s="24"/>
      <c r="BH81" s="24"/>
    </row>
    <row r="82" spans="1:60">
      <c r="A82" s="7"/>
      <c r="B82" s="8"/>
      <c r="C82" s="9"/>
      <c r="D82" s="24"/>
      <c r="E82" s="24"/>
      <c r="F82" s="24"/>
      <c r="G82" s="24"/>
      <c r="H82" s="50"/>
      <c r="I82" s="50"/>
      <c r="J82" s="50"/>
      <c r="K82" s="24"/>
      <c r="L82" s="7"/>
      <c r="M82" s="24"/>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c r="AU82" s="24"/>
      <c r="AV82" s="24"/>
      <c r="AW82" s="24"/>
      <c r="AX82" s="24"/>
      <c r="AY82" s="24"/>
      <c r="AZ82" s="24"/>
      <c r="BA82" s="24"/>
      <c r="BB82" s="24"/>
      <c r="BC82" s="24"/>
      <c r="BD82" s="24"/>
      <c r="BE82" s="24"/>
      <c r="BF82" s="24"/>
      <c r="BG82" s="24"/>
      <c r="BH82" s="24"/>
    </row>
    <row r="83" spans="1:60">
      <c r="A83" s="7"/>
      <c r="B83" s="8"/>
      <c r="C83" s="9"/>
      <c r="D83" s="24"/>
      <c r="E83" s="24"/>
      <c r="F83" s="24"/>
      <c r="G83" s="24"/>
      <c r="H83" s="50"/>
      <c r="I83" s="50"/>
      <c r="J83" s="50"/>
      <c r="K83" s="24"/>
      <c r="L83" s="7"/>
      <c r="M83" s="24"/>
      <c r="N83" s="24"/>
      <c r="O83" s="24"/>
      <c r="P83" s="24"/>
      <c r="Q83" s="24"/>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c r="AT83" s="24"/>
      <c r="AU83" s="24"/>
      <c r="AV83" s="24"/>
      <c r="AW83" s="24"/>
      <c r="AX83" s="24"/>
      <c r="AY83" s="24"/>
      <c r="AZ83" s="24"/>
      <c r="BA83" s="24"/>
      <c r="BB83" s="24"/>
      <c r="BC83" s="24"/>
      <c r="BD83" s="24"/>
      <c r="BE83" s="24"/>
      <c r="BF83" s="24"/>
      <c r="BG83" s="24"/>
      <c r="BH83" s="24"/>
    </row>
    <row r="84" spans="1:60">
      <c r="A84" s="7"/>
      <c r="B84" s="8"/>
      <c r="C84" s="9"/>
      <c r="D84" s="24"/>
      <c r="E84" s="24"/>
      <c r="F84" s="24"/>
      <c r="G84" s="24"/>
      <c r="H84" s="50"/>
      <c r="I84" s="50"/>
      <c r="J84" s="50"/>
      <c r="K84" s="24"/>
      <c r="L84" s="7"/>
      <c r="M84" s="24"/>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c r="AT84" s="24"/>
      <c r="AU84" s="24"/>
      <c r="AV84" s="24"/>
      <c r="AW84" s="24"/>
      <c r="AX84" s="24"/>
      <c r="AY84" s="24"/>
      <c r="AZ84" s="24"/>
      <c r="BA84" s="24"/>
      <c r="BB84" s="24"/>
      <c r="BC84" s="24"/>
      <c r="BD84" s="24"/>
      <c r="BE84" s="24"/>
      <c r="BF84" s="24"/>
      <c r="BG84" s="24"/>
      <c r="BH84" s="24"/>
    </row>
    <row r="85" spans="1:60">
      <c r="A85" s="7"/>
      <c r="B85" s="8"/>
      <c r="C85" s="9"/>
      <c r="D85" s="24"/>
      <c r="E85" s="24"/>
      <c r="F85" s="24"/>
      <c r="G85" s="24"/>
      <c r="H85" s="50"/>
      <c r="I85" s="50"/>
      <c r="J85" s="50"/>
      <c r="K85" s="24"/>
      <c r="L85" s="7"/>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c r="AU85" s="24"/>
      <c r="AV85" s="24"/>
      <c r="AW85" s="24"/>
      <c r="AX85" s="24"/>
      <c r="AY85" s="24"/>
      <c r="AZ85" s="24"/>
      <c r="BA85" s="24"/>
      <c r="BB85" s="24"/>
      <c r="BC85" s="24"/>
      <c r="BD85" s="24"/>
      <c r="BE85" s="24"/>
      <c r="BF85" s="24"/>
      <c r="BG85" s="24"/>
      <c r="BH85" s="24"/>
    </row>
    <row r="86" spans="1:60">
      <c r="A86" s="7"/>
      <c r="B86" s="8"/>
      <c r="C86" s="9"/>
      <c r="D86" s="24"/>
      <c r="E86" s="24"/>
      <c r="F86" s="24"/>
      <c r="G86" s="24"/>
      <c r="H86" s="50"/>
      <c r="I86" s="50"/>
      <c r="J86" s="50"/>
      <c r="K86" s="24"/>
      <c r="L86" s="7"/>
      <c r="M86" s="24"/>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c r="AU86" s="24"/>
      <c r="AV86" s="24"/>
      <c r="AW86" s="24"/>
      <c r="AX86" s="24"/>
      <c r="AY86" s="24"/>
      <c r="AZ86" s="24"/>
      <c r="BA86" s="24"/>
      <c r="BB86" s="24"/>
      <c r="BC86" s="24"/>
      <c r="BD86" s="24"/>
      <c r="BE86" s="24"/>
      <c r="BF86" s="24"/>
      <c r="BG86" s="24"/>
      <c r="BH86" s="24"/>
    </row>
    <row r="87" spans="1:60">
      <c r="A87" s="7"/>
      <c r="B87" s="8"/>
      <c r="C87" s="9"/>
      <c r="D87" s="24"/>
      <c r="E87" s="24"/>
      <c r="F87" s="24"/>
      <c r="G87" s="24"/>
      <c r="H87" s="50"/>
      <c r="I87" s="50"/>
      <c r="J87" s="50"/>
      <c r="K87" s="24"/>
      <c r="L87" s="7"/>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c r="AU87" s="24"/>
      <c r="AV87" s="24"/>
      <c r="AW87" s="24"/>
      <c r="AX87" s="24"/>
      <c r="AY87" s="24"/>
      <c r="AZ87" s="24"/>
      <c r="BA87" s="24"/>
      <c r="BB87" s="24"/>
      <c r="BC87" s="24"/>
      <c r="BD87" s="24"/>
      <c r="BE87" s="24"/>
      <c r="BF87" s="24"/>
      <c r="BG87" s="24"/>
      <c r="BH87" s="24"/>
    </row>
    <row r="88" spans="1:60">
      <c r="A88" s="7"/>
      <c r="B88" s="8"/>
      <c r="C88" s="9"/>
      <c r="D88" s="24"/>
      <c r="E88" s="24"/>
      <c r="F88" s="24"/>
      <c r="G88" s="24"/>
      <c r="H88" s="50"/>
      <c r="I88" s="50"/>
      <c r="J88" s="50"/>
      <c r="K88" s="24"/>
      <c r="L88" s="7"/>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c r="AU88" s="24"/>
      <c r="AV88" s="24"/>
      <c r="AW88" s="24"/>
      <c r="AX88" s="24"/>
      <c r="AY88" s="24"/>
      <c r="AZ88" s="24"/>
      <c r="BA88" s="24"/>
      <c r="BB88" s="24"/>
      <c r="BC88" s="24"/>
      <c r="BD88" s="24"/>
      <c r="BE88" s="24"/>
      <c r="BF88" s="24"/>
      <c r="BG88" s="24"/>
      <c r="BH88" s="24"/>
    </row>
    <row r="89" spans="1:60">
      <c r="A89" s="7"/>
      <c r="B89" s="8"/>
      <c r="C89" s="9"/>
      <c r="D89" s="24"/>
      <c r="E89" s="24"/>
      <c r="F89" s="24"/>
      <c r="G89" s="24"/>
      <c r="H89" s="50"/>
      <c r="I89" s="50"/>
      <c r="J89" s="50"/>
      <c r="K89" s="24"/>
      <c r="L89" s="7"/>
      <c r="M89" s="24"/>
      <c r="N89" s="24"/>
      <c r="O89" s="24"/>
      <c r="P89" s="24"/>
      <c r="Q89" s="24"/>
      <c r="R89" s="24"/>
      <c r="S89" s="24"/>
      <c r="T89" s="24"/>
      <c r="U89" s="24"/>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c r="AT89" s="24"/>
      <c r="AU89" s="24"/>
      <c r="AV89" s="24"/>
      <c r="AW89" s="24"/>
      <c r="AX89" s="24"/>
      <c r="AY89" s="24"/>
      <c r="AZ89" s="24"/>
      <c r="BA89" s="24"/>
      <c r="BB89" s="24"/>
      <c r="BC89" s="24"/>
      <c r="BD89" s="24"/>
      <c r="BE89" s="24"/>
      <c r="BF89" s="24"/>
      <c r="BG89" s="24"/>
      <c r="BH89" s="24"/>
    </row>
    <row r="90" spans="1:60">
      <c r="A90" s="7"/>
      <c r="B90" s="8"/>
      <c r="C90" s="9"/>
      <c r="D90" s="24"/>
      <c r="E90" s="24"/>
      <c r="F90" s="24"/>
      <c r="G90" s="24"/>
      <c r="H90" s="50"/>
      <c r="I90" s="50"/>
      <c r="J90" s="50"/>
      <c r="K90" s="24"/>
      <c r="L90" s="7"/>
      <c r="M90" s="24"/>
      <c r="N90" s="24"/>
      <c r="O90" s="24"/>
      <c r="P90" s="24"/>
      <c r="Q90" s="24"/>
      <c r="R90" s="24"/>
      <c r="S90" s="24"/>
      <c r="T90" s="24"/>
      <c r="U90" s="24"/>
      <c r="V90" s="24"/>
      <c r="W90" s="24"/>
      <c r="X90" s="24"/>
      <c r="Y90" s="24"/>
      <c r="Z90" s="24"/>
      <c r="AA90" s="24"/>
      <c r="AB90" s="24"/>
      <c r="AC90" s="24"/>
      <c r="AD90" s="24"/>
      <c r="AE90" s="24"/>
      <c r="AF90" s="24"/>
      <c r="AG90" s="24"/>
      <c r="AH90" s="24"/>
      <c r="AI90" s="24"/>
      <c r="AJ90" s="24"/>
      <c r="AK90" s="24"/>
      <c r="AL90" s="24"/>
      <c r="AM90" s="24"/>
      <c r="AN90" s="24"/>
      <c r="AO90" s="24"/>
      <c r="AP90" s="24"/>
      <c r="AQ90" s="24"/>
      <c r="AR90" s="24"/>
      <c r="AS90" s="24"/>
      <c r="AT90" s="24"/>
      <c r="AU90" s="24"/>
      <c r="AV90" s="24"/>
      <c r="AW90" s="24"/>
      <c r="AX90" s="24"/>
      <c r="AY90" s="24"/>
      <c r="AZ90" s="24"/>
      <c r="BA90" s="24"/>
      <c r="BB90" s="24"/>
      <c r="BC90" s="24"/>
      <c r="BD90" s="24"/>
      <c r="BE90" s="24"/>
      <c r="BF90" s="24"/>
      <c r="BG90" s="24"/>
      <c r="BH90" s="24"/>
    </row>
    <row r="91" spans="1:60">
      <c r="A91" s="7"/>
      <c r="B91" s="8"/>
      <c r="C91" s="9"/>
      <c r="D91" s="24"/>
      <c r="E91" s="24"/>
      <c r="F91" s="24"/>
      <c r="G91" s="24"/>
      <c r="H91" s="50"/>
      <c r="I91" s="50"/>
      <c r="J91" s="50"/>
      <c r="K91" s="24"/>
      <c r="L91" s="7"/>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c r="AU91" s="24"/>
      <c r="AV91" s="24"/>
      <c r="AW91" s="24"/>
      <c r="AX91" s="24"/>
      <c r="AY91" s="24"/>
      <c r="AZ91" s="24"/>
      <c r="BA91" s="24"/>
      <c r="BB91" s="24"/>
      <c r="BC91" s="24"/>
      <c r="BD91" s="24"/>
      <c r="BE91" s="24"/>
      <c r="BF91" s="24"/>
      <c r="BG91" s="24"/>
      <c r="BH91" s="24"/>
    </row>
    <row r="92" spans="1:60">
      <c r="A92" s="7"/>
      <c r="B92" s="8"/>
      <c r="C92" s="9"/>
      <c r="D92" s="24"/>
      <c r="E92" s="24"/>
      <c r="F92" s="24"/>
      <c r="G92" s="24"/>
      <c r="H92" s="50"/>
      <c r="I92" s="50"/>
      <c r="J92" s="50"/>
      <c r="K92" s="24"/>
      <c r="L92" s="7"/>
      <c r="M92" s="24"/>
      <c r="N92" s="24"/>
      <c r="O92" s="24"/>
      <c r="P92" s="24"/>
      <c r="Q92" s="24"/>
      <c r="R92" s="24"/>
      <c r="S92" s="24"/>
      <c r="T92" s="24"/>
      <c r="U92" s="24"/>
      <c r="V92" s="24"/>
      <c r="W92" s="24"/>
      <c r="X92" s="24"/>
      <c r="Y92" s="24"/>
      <c r="Z92" s="24"/>
      <c r="AA92" s="24"/>
      <c r="AB92" s="24"/>
      <c r="AC92" s="24"/>
      <c r="AD92" s="24"/>
      <c r="AE92" s="24"/>
      <c r="AF92" s="24"/>
      <c r="AG92" s="24"/>
      <c r="AH92" s="24"/>
      <c r="AI92" s="24"/>
      <c r="AJ92" s="24"/>
      <c r="AK92" s="24"/>
      <c r="AL92" s="24"/>
      <c r="AM92" s="24"/>
      <c r="AN92" s="24"/>
      <c r="AO92" s="24"/>
      <c r="AP92" s="24"/>
      <c r="AQ92" s="24"/>
      <c r="AR92" s="24"/>
      <c r="AS92" s="24"/>
      <c r="AT92" s="24"/>
      <c r="AU92" s="24"/>
      <c r="AV92" s="24"/>
      <c r="AW92" s="24"/>
      <c r="AX92" s="24"/>
      <c r="AY92" s="24"/>
      <c r="AZ92" s="24"/>
      <c r="BA92" s="24"/>
      <c r="BB92" s="24"/>
      <c r="BC92" s="24"/>
      <c r="BD92" s="24"/>
      <c r="BE92" s="24"/>
      <c r="BF92" s="24"/>
      <c r="BG92" s="24"/>
      <c r="BH92" s="24"/>
    </row>
    <row r="93" spans="1:60">
      <c r="A93" s="7"/>
      <c r="B93" s="8"/>
      <c r="C93" s="9"/>
      <c r="D93" s="24"/>
      <c r="E93" s="24"/>
      <c r="F93" s="24"/>
      <c r="G93" s="24"/>
      <c r="H93" s="50"/>
      <c r="I93" s="50"/>
      <c r="J93" s="50"/>
      <c r="K93" s="24"/>
      <c r="L93" s="7"/>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c r="AU93" s="24"/>
      <c r="AV93" s="24"/>
      <c r="AW93" s="24"/>
      <c r="AX93" s="24"/>
      <c r="AY93" s="24"/>
      <c r="AZ93" s="24"/>
      <c r="BA93" s="24"/>
      <c r="BB93" s="24"/>
      <c r="BC93" s="24"/>
      <c r="BD93" s="24"/>
      <c r="BE93" s="24"/>
      <c r="BF93" s="24"/>
      <c r="BG93" s="24"/>
      <c r="BH93" s="24"/>
    </row>
    <row r="94" spans="1:60">
      <c r="A94" s="7"/>
      <c r="B94" s="8"/>
      <c r="C94" s="9"/>
      <c r="D94" s="24"/>
      <c r="E94" s="24"/>
      <c r="F94" s="24"/>
      <c r="G94" s="24"/>
      <c r="H94" s="50"/>
      <c r="I94" s="50"/>
      <c r="J94" s="50"/>
      <c r="K94" s="24"/>
      <c r="L94" s="7"/>
      <c r="M94" s="24"/>
      <c r="N94" s="24"/>
      <c r="O94" s="24"/>
      <c r="P94" s="24"/>
      <c r="Q94" s="24"/>
      <c r="R94" s="24"/>
      <c r="S94" s="24"/>
      <c r="T94" s="24"/>
      <c r="U94" s="24"/>
      <c r="V94" s="24"/>
      <c r="W94" s="24"/>
      <c r="X94" s="24"/>
      <c r="Y94" s="24"/>
      <c r="Z94" s="24"/>
      <c r="AA94" s="24"/>
      <c r="AB94" s="24"/>
      <c r="AC94" s="24"/>
      <c r="AD94" s="24"/>
      <c r="AE94" s="24"/>
      <c r="AF94" s="24"/>
      <c r="AG94" s="24"/>
      <c r="AH94" s="24"/>
      <c r="AI94" s="24"/>
      <c r="AJ94" s="24"/>
      <c r="AK94" s="24"/>
      <c r="AL94" s="24"/>
      <c r="AM94" s="24"/>
      <c r="AN94" s="24"/>
      <c r="AO94" s="24"/>
      <c r="AP94" s="24"/>
      <c r="AQ94" s="24"/>
      <c r="AR94" s="24"/>
      <c r="AS94" s="24"/>
      <c r="AT94" s="24"/>
      <c r="AU94" s="24"/>
      <c r="AV94" s="24"/>
      <c r="AW94" s="24"/>
      <c r="AX94" s="24"/>
      <c r="AY94" s="24"/>
      <c r="AZ94" s="24"/>
      <c r="BA94" s="24"/>
      <c r="BB94" s="24"/>
      <c r="BC94" s="24"/>
      <c r="BD94" s="24"/>
      <c r="BE94" s="24"/>
      <c r="BF94" s="24"/>
      <c r="BG94" s="24"/>
      <c r="BH94" s="24"/>
    </row>
    <row r="95" spans="1:60">
      <c r="A95" s="7"/>
      <c r="B95" s="8"/>
      <c r="C95" s="9"/>
      <c r="D95" s="51"/>
      <c r="E95" s="51"/>
      <c r="F95" s="51"/>
      <c r="G95" s="51"/>
      <c r="H95" s="52"/>
      <c r="I95" s="52"/>
      <c r="J95" s="52"/>
      <c r="K95" s="24"/>
      <c r="L95" s="7"/>
      <c r="M95" s="24"/>
      <c r="N95" s="24"/>
      <c r="O95" s="24"/>
      <c r="P95" s="24"/>
      <c r="Q95" s="24"/>
      <c r="R95" s="24"/>
      <c r="S95" s="24"/>
      <c r="T95" s="24"/>
      <c r="U95" s="24"/>
      <c r="V95" s="24"/>
      <c r="W95" s="24"/>
      <c r="X95" s="24"/>
      <c r="Y95" s="24"/>
      <c r="Z95" s="24"/>
      <c r="AA95" s="24"/>
      <c r="AB95" s="24"/>
      <c r="AC95" s="24"/>
      <c r="AD95" s="24"/>
      <c r="AE95" s="24"/>
      <c r="AF95" s="24"/>
      <c r="AG95" s="24"/>
      <c r="AH95" s="24"/>
      <c r="AI95" s="24"/>
      <c r="AJ95" s="24"/>
      <c r="AK95" s="24"/>
      <c r="AL95" s="24"/>
      <c r="AM95" s="24"/>
      <c r="AN95" s="24"/>
      <c r="AO95" s="24"/>
      <c r="AP95" s="24"/>
      <c r="AQ95" s="24"/>
      <c r="AR95" s="24"/>
      <c r="AS95" s="24"/>
      <c r="AT95" s="24"/>
      <c r="AU95" s="24"/>
      <c r="AV95" s="24"/>
      <c r="AW95" s="24"/>
      <c r="AX95" s="24"/>
      <c r="AY95" s="24"/>
      <c r="AZ95" s="24"/>
      <c r="BA95" s="24"/>
      <c r="BB95" s="24"/>
      <c r="BC95" s="24"/>
      <c r="BD95" s="24"/>
      <c r="BE95" s="24"/>
      <c r="BF95" s="24"/>
      <c r="BG95" s="24"/>
      <c r="BH95" s="24"/>
    </row>
    <row r="96" spans="1:60">
      <c r="A96" s="7"/>
      <c r="B96" s="8"/>
      <c r="C96" s="9"/>
      <c r="D96" s="51"/>
      <c r="E96" s="51"/>
      <c r="F96" s="51"/>
      <c r="G96" s="51"/>
      <c r="H96" s="52"/>
      <c r="I96" s="52"/>
      <c r="J96" s="52"/>
      <c r="K96" s="24"/>
      <c r="L96" s="7"/>
      <c r="M96" s="24"/>
      <c r="N96" s="24"/>
      <c r="O96" s="24"/>
      <c r="P96" s="24"/>
      <c r="Q96" s="24"/>
      <c r="R96" s="24"/>
      <c r="S96" s="24"/>
      <c r="T96" s="24"/>
      <c r="U96" s="24"/>
      <c r="V96" s="24"/>
      <c r="W96" s="24"/>
      <c r="X96" s="24"/>
      <c r="Y96" s="24"/>
      <c r="Z96" s="24"/>
      <c r="AA96" s="24"/>
      <c r="AB96" s="24"/>
      <c r="AC96" s="24"/>
      <c r="AD96" s="24"/>
      <c r="AE96" s="24"/>
      <c r="AF96" s="24"/>
      <c r="AG96" s="24"/>
      <c r="AH96" s="24"/>
      <c r="AI96" s="24"/>
      <c r="AJ96" s="24"/>
      <c r="AK96" s="24"/>
      <c r="AL96" s="24"/>
      <c r="AM96" s="24"/>
      <c r="AN96" s="24"/>
      <c r="AO96" s="24"/>
      <c r="AP96" s="24"/>
      <c r="AQ96" s="24"/>
      <c r="AR96" s="24"/>
      <c r="AS96" s="24"/>
      <c r="AT96" s="24"/>
      <c r="AU96" s="24"/>
      <c r="AV96" s="24"/>
      <c r="AW96" s="24"/>
      <c r="AX96" s="24"/>
      <c r="AY96" s="24"/>
      <c r="AZ96" s="24"/>
      <c r="BA96" s="24"/>
      <c r="BB96" s="24"/>
      <c r="BC96" s="24"/>
      <c r="BD96" s="24"/>
      <c r="BE96" s="24"/>
      <c r="BF96" s="24"/>
      <c r="BG96" s="24"/>
      <c r="BH96" s="24"/>
    </row>
    <row r="97" spans="1:60">
      <c r="A97" s="7"/>
      <c r="B97" s="8"/>
      <c r="C97" s="9"/>
      <c r="D97" s="51"/>
      <c r="E97" s="51"/>
      <c r="F97" s="51"/>
      <c r="G97" s="51"/>
      <c r="H97" s="52"/>
      <c r="I97" s="52"/>
      <c r="J97" s="52"/>
      <c r="K97" s="24"/>
      <c r="L97" s="7"/>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c r="AU97" s="24"/>
      <c r="AV97" s="24"/>
      <c r="AW97" s="24"/>
      <c r="AX97" s="24"/>
      <c r="AY97" s="24"/>
      <c r="AZ97" s="24"/>
      <c r="BA97" s="24"/>
      <c r="BB97" s="24"/>
      <c r="BC97" s="24"/>
      <c r="BD97" s="24"/>
      <c r="BE97" s="24"/>
      <c r="BF97" s="24"/>
      <c r="BG97" s="24"/>
      <c r="BH97" s="24"/>
    </row>
    <row r="98" spans="1:60">
      <c r="A98" s="7"/>
      <c r="B98" s="8"/>
      <c r="C98" s="9"/>
      <c r="D98" s="51"/>
      <c r="E98" s="51"/>
      <c r="F98" s="51"/>
      <c r="G98" s="51"/>
      <c r="H98" s="52"/>
      <c r="I98" s="52"/>
      <c r="J98" s="52"/>
      <c r="K98" s="24"/>
      <c r="L98" s="7"/>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c r="AU98" s="24"/>
      <c r="AV98" s="24"/>
      <c r="AW98" s="24"/>
      <c r="AX98" s="24"/>
      <c r="AY98" s="24"/>
      <c r="AZ98" s="24"/>
      <c r="BA98" s="24"/>
      <c r="BB98" s="24"/>
      <c r="BC98" s="24"/>
      <c r="BD98" s="24"/>
      <c r="BE98" s="24"/>
      <c r="BF98" s="24"/>
      <c r="BG98" s="24"/>
      <c r="BH98" s="24"/>
    </row>
    <row r="99" spans="1:60">
      <c r="A99" s="7"/>
      <c r="B99" s="8"/>
      <c r="C99" s="9"/>
      <c r="D99" s="51"/>
      <c r="E99" s="51"/>
      <c r="F99" s="51"/>
      <c r="G99" s="51"/>
      <c r="H99" s="52"/>
      <c r="I99" s="52"/>
      <c r="J99" s="52"/>
      <c r="K99" s="24"/>
      <c r="L99" s="7"/>
      <c r="M99" s="24"/>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c r="AU99" s="24"/>
      <c r="AV99" s="24"/>
      <c r="AW99" s="24"/>
      <c r="AX99" s="24"/>
      <c r="AY99" s="24"/>
      <c r="AZ99" s="24"/>
      <c r="BA99" s="24"/>
      <c r="BB99" s="24"/>
      <c r="BC99" s="24"/>
      <c r="BD99" s="24"/>
      <c r="BE99" s="24"/>
      <c r="BF99" s="24"/>
      <c r="BG99" s="24"/>
      <c r="BH99" s="24"/>
    </row>
    <row r="100" spans="1:60">
      <c r="A100" s="7"/>
      <c r="B100" s="8"/>
      <c r="C100" s="9"/>
      <c r="D100" s="51"/>
      <c r="E100" s="51"/>
      <c r="F100" s="51"/>
      <c r="G100" s="51"/>
      <c r="H100" s="52"/>
      <c r="I100" s="52"/>
      <c r="J100" s="52"/>
      <c r="K100" s="24"/>
      <c r="L100" s="7"/>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4"/>
      <c r="BF100" s="24"/>
      <c r="BG100" s="24"/>
      <c r="BH100" s="24"/>
    </row>
    <row r="101" spans="1:60">
      <c r="A101" s="7"/>
      <c r="B101" s="8"/>
      <c r="C101" s="9"/>
      <c r="D101" s="51"/>
      <c r="E101" s="51"/>
      <c r="F101" s="51"/>
      <c r="G101" s="51"/>
      <c r="H101" s="52"/>
      <c r="I101" s="52"/>
      <c r="J101" s="52"/>
      <c r="K101" s="24"/>
      <c r="L101" s="7"/>
      <c r="M101" s="24"/>
      <c r="N101" s="24"/>
      <c r="O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24"/>
      <c r="AT101" s="24"/>
      <c r="AU101" s="24"/>
      <c r="AV101" s="24"/>
      <c r="AW101" s="24"/>
      <c r="AX101" s="24"/>
      <c r="AY101" s="24"/>
      <c r="AZ101" s="24"/>
      <c r="BA101" s="24"/>
      <c r="BB101" s="24"/>
      <c r="BC101" s="24"/>
      <c r="BD101" s="24"/>
      <c r="BE101" s="24"/>
      <c r="BF101" s="24"/>
      <c r="BG101" s="24"/>
      <c r="BH101" s="24"/>
    </row>
    <row r="102" spans="1:60">
      <c r="A102" s="7"/>
      <c r="B102" s="8"/>
      <c r="C102" s="9"/>
      <c r="D102" s="51"/>
      <c r="E102" s="51"/>
      <c r="F102" s="51"/>
      <c r="G102" s="51"/>
      <c r="H102" s="52"/>
      <c r="I102" s="52"/>
      <c r="J102" s="52"/>
      <c r="K102" s="24"/>
      <c r="L102" s="7"/>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c r="BE102" s="24"/>
      <c r="BF102" s="24"/>
      <c r="BG102" s="24"/>
      <c r="BH102" s="24"/>
    </row>
    <row r="103" spans="1:60">
      <c r="A103" s="7"/>
      <c r="B103" s="8"/>
      <c r="C103" s="9"/>
      <c r="D103" s="51"/>
      <c r="E103" s="51"/>
      <c r="F103" s="51"/>
      <c r="G103" s="51"/>
      <c r="H103" s="52"/>
      <c r="I103" s="52"/>
      <c r="J103" s="52"/>
      <c r="K103" s="24"/>
      <c r="L103" s="7"/>
      <c r="M103" s="24"/>
      <c r="N103" s="24"/>
      <c r="O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c r="AU103" s="24"/>
      <c r="AV103" s="24"/>
      <c r="AW103" s="24"/>
      <c r="AX103" s="24"/>
      <c r="AY103" s="24"/>
      <c r="AZ103" s="24"/>
      <c r="BA103" s="24"/>
      <c r="BB103" s="24"/>
      <c r="BC103" s="24"/>
      <c r="BD103" s="24"/>
      <c r="BE103" s="24"/>
      <c r="BF103" s="24"/>
      <c r="BG103" s="24"/>
      <c r="BH103" s="24"/>
    </row>
    <row r="104" spans="1:60">
      <c r="A104" s="7"/>
      <c r="B104" s="8"/>
      <c r="C104" s="9"/>
      <c r="D104" s="51"/>
      <c r="E104" s="51"/>
      <c r="F104" s="51"/>
      <c r="G104" s="51"/>
      <c r="H104" s="52"/>
      <c r="I104" s="52"/>
      <c r="J104" s="52"/>
      <c r="K104" s="24"/>
      <c r="L104" s="7"/>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4"/>
      <c r="AK104" s="24"/>
      <c r="AL104" s="24"/>
      <c r="AM104" s="24"/>
      <c r="AN104" s="24"/>
      <c r="AO104" s="24"/>
      <c r="AP104" s="24"/>
      <c r="AQ104" s="24"/>
      <c r="AR104" s="24"/>
      <c r="AS104" s="24"/>
      <c r="AT104" s="24"/>
      <c r="AU104" s="24"/>
      <c r="AV104" s="24"/>
      <c r="AW104" s="24"/>
      <c r="AX104" s="24"/>
      <c r="AY104" s="24"/>
      <c r="AZ104" s="24"/>
      <c r="BA104" s="24"/>
      <c r="BB104" s="24"/>
      <c r="BC104" s="24"/>
      <c r="BD104" s="24"/>
      <c r="BE104" s="24"/>
      <c r="BF104" s="24"/>
      <c r="BG104" s="24"/>
      <c r="BH104" s="24"/>
    </row>
    <row r="105" spans="1:60">
      <c r="A105" s="7"/>
      <c r="B105" s="8"/>
      <c r="C105" s="9"/>
      <c r="D105" s="51"/>
      <c r="E105" s="51"/>
      <c r="F105" s="51"/>
      <c r="G105" s="51"/>
      <c r="H105" s="52"/>
      <c r="I105" s="52"/>
      <c r="J105" s="52"/>
      <c r="K105" s="24"/>
      <c r="L105" s="7"/>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4"/>
      <c r="AJ105" s="24"/>
      <c r="AK105" s="24"/>
      <c r="AL105" s="24"/>
      <c r="AM105" s="24"/>
      <c r="AN105" s="24"/>
      <c r="AO105" s="24"/>
      <c r="AP105" s="24"/>
      <c r="AQ105" s="24"/>
      <c r="AR105" s="24"/>
      <c r="AS105" s="24"/>
      <c r="AT105" s="24"/>
      <c r="AU105" s="24"/>
      <c r="AV105" s="24"/>
      <c r="AW105" s="24"/>
      <c r="AX105" s="24"/>
      <c r="AY105" s="24"/>
      <c r="AZ105" s="24"/>
      <c r="BA105" s="24"/>
      <c r="BB105" s="24"/>
      <c r="BC105" s="24"/>
      <c r="BD105" s="24"/>
      <c r="BE105" s="24"/>
      <c r="BF105" s="24"/>
      <c r="BG105" s="24"/>
      <c r="BH105" s="24"/>
    </row>
    <row r="106" spans="1:60">
      <c r="A106" s="7"/>
      <c r="B106" s="8"/>
      <c r="C106" s="9"/>
      <c r="D106" s="51"/>
      <c r="E106" s="51"/>
      <c r="F106" s="51"/>
      <c r="G106" s="51"/>
      <c r="H106" s="52"/>
      <c r="I106" s="52"/>
      <c r="J106" s="52"/>
      <c r="K106" s="24"/>
      <c r="L106" s="7"/>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4"/>
      <c r="AK106" s="24"/>
      <c r="AL106" s="24"/>
      <c r="AM106" s="24"/>
      <c r="AN106" s="24"/>
      <c r="AO106" s="24"/>
      <c r="AP106" s="24"/>
      <c r="AQ106" s="24"/>
      <c r="AR106" s="24"/>
      <c r="AS106" s="24"/>
      <c r="AT106" s="24"/>
      <c r="AU106" s="24"/>
      <c r="AV106" s="24"/>
      <c r="AW106" s="24"/>
      <c r="AX106" s="24"/>
      <c r="AY106" s="24"/>
      <c r="AZ106" s="24"/>
      <c r="BA106" s="24"/>
      <c r="BB106" s="24"/>
      <c r="BC106" s="24"/>
      <c r="BD106" s="24"/>
      <c r="BE106" s="24"/>
      <c r="BF106" s="24"/>
      <c r="BG106" s="24"/>
      <c r="BH106" s="24"/>
    </row>
    <row r="107" spans="1:60">
      <c r="A107" s="7"/>
      <c r="B107" s="8"/>
      <c r="C107" s="9"/>
      <c r="D107" s="51"/>
      <c r="E107" s="51"/>
      <c r="F107" s="51"/>
      <c r="G107" s="51"/>
      <c r="H107" s="52"/>
      <c r="I107" s="52"/>
      <c r="J107" s="52"/>
      <c r="K107" s="24"/>
      <c r="L107" s="7"/>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24"/>
      <c r="BB107" s="24"/>
      <c r="BC107" s="24"/>
      <c r="BD107" s="24"/>
      <c r="BE107" s="24"/>
      <c r="BF107" s="24"/>
      <c r="BG107" s="24"/>
      <c r="BH107" s="24"/>
    </row>
    <row r="108" spans="1:60">
      <c r="A108" s="7"/>
      <c r="B108" s="8"/>
      <c r="C108" s="9"/>
      <c r="D108" s="51"/>
      <c r="E108" s="51"/>
      <c r="F108" s="51"/>
      <c r="G108" s="51"/>
      <c r="H108" s="52"/>
      <c r="I108" s="52"/>
      <c r="J108" s="52"/>
      <c r="K108" s="24"/>
      <c r="L108" s="7"/>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4"/>
      <c r="AJ108" s="24"/>
      <c r="AK108" s="24"/>
      <c r="AL108" s="24"/>
      <c r="AM108" s="24"/>
      <c r="AN108" s="24"/>
      <c r="AO108" s="24"/>
      <c r="AP108" s="24"/>
      <c r="AQ108" s="24"/>
      <c r="AR108" s="24"/>
      <c r="AS108" s="24"/>
      <c r="AT108" s="24"/>
      <c r="AU108" s="24"/>
      <c r="AV108" s="24"/>
      <c r="AW108" s="24"/>
      <c r="AX108" s="24"/>
      <c r="AY108" s="24"/>
      <c r="AZ108" s="24"/>
      <c r="BA108" s="24"/>
      <c r="BB108" s="24"/>
      <c r="BC108" s="24"/>
      <c r="BD108" s="24"/>
      <c r="BE108" s="24"/>
      <c r="BF108" s="24"/>
      <c r="BG108" s="24"/>
      <c r="BH108" s="24"/>
    </row>
    <row r="109" spans="1:60">
      <c r="A109" s="7"/>
      <c r="B109" s="8"/>
      <c r="C109" s="9"/>
      <c r="D109" s="51"/>
      <c r="E109" s="51"/>
      <c r="F109" s="51"/>
      <c r="G109" s="51"/>
      <c r="H109" s="52"/>
      <c r="I109" s="52"/>
      <c r="J109" s="52"/>
      <c r="K109" s="24"/>
      <c r="L109" s="7"/>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c r="AM109" s="24"/>
      <c r="AN109" s="24"/>
      <c r="AO109" s="24"/>
      <c r="AP109" s="24"/>
      <c r="AQ109" s="24"/>
      <c r="AR109" s="24"/>
      <c r="AS109" s="24"/>
      <c r="AT109" s="24"/>
      <c r="AU109" s="24"/>
      <c r="AV109" s="24"/>
      <c r="AW109" s="24"/>
      <c r="AX109" s="24"/>
      <c r="AY109" s="24"/>
      <c r="AZ109" s="24"/>
      <c r="BA109" s="24"/>
      <c r="BB109" s="24"/>
      <c r="BC109" s="24"/>
      <c r="BD109" s="24"/>
      <c r="BE109" s="24"/>
      <c r="BF109" s="24"/>
      <c r="BG109" s="24"/>
      <c r="BH109" s="24"/>
    </row>
    <row r="110" spans="1:60">
      <c r="A110" s="7"/>
      <c r="B110" s="8"/>
      <c r="C110" s="9"/>
      <c r="D110" s="51"/>
      <c r="E110" s="51"/>
      <c r="F110" s="51"/>
      <c r="G110" s="51"/>
      <c r="H110" s="52"/>
      <c r="I110" s="52"/>
      <c r="J110" s="52"/>
      <c r="K110" s="24"/>
      <c r="L110" s="7"/>
      <c r="M110" s="24"/>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c r="AM110" s="24"/>
      <c r="AN110" s="24"/>
      <c r="AO110" s="24"/>
      <c r="AP110" s="24"/>
      <c r="AQ110" s="24"/>
      <c r="AR110" s="24"/>
      <c r="AS110" s="24"/>
      <c r="AT110" s="24"/>
      <c r="AU110" s="24"/>
      <c r="AV110" s="24"/>
      <c r="AW110" s="24"/>
      <c r="AX110" s="24"/>
      <c r="AY110" s="24"/>
      <c r="AZ110" s="24"/>
      <c r="BA110" s="24"/>
      <c r="BB110" s="24"/>
      <c r="BC110" s="24"/>
      <c r="BD110" s="24"/>
      <c r="BE110" s="24"/>
      <c r="BF110" s="24"/>
      <c r="BG110" s="24"/>
      <c r="BH110" s="24"/>
    </row>
    <row r="111" spans="1:60">
      <c r="A111" s="7"/>
      <c r="B111" s="8"/>
      <c r="C111" s="9"/>
      <c r="D111" s="51"/>
      <c r="E111" s="51"/>
      <c r="F111" s="51"/>
      <c r="G111" s="51"/>
      <c r="H111" s="52"/>
      <c r="I111" s="52"/>
      <c r="J111" s="52"/>
      <c r="K111" s="24"/>
      <c r="L111" s="7"/>
      <c r="M111" s="24"/>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c r="AM111" s="24"/>
      <c r="AN111" s="24"/>
      <c r="AO111" s="24"/>
      <c r="AP111" s="24"/>
      <c r="AQ111" s="24"/>
      <c r="AR111" s="24"/>
      <c r="AS111" s="24"/>
      <c r="AT111" s="24"/>
      <c r="AU111" s="24"/>
      <c r="AV111" s="24"/>
      <c r="AW111" s="24"/>
      <c r="AX111" s="24"/>
      <c r="AY111" s="24"/>
      <c r="AZ111" s="24"/>
      <c r="BA111" s="24"/>
      <c r="BB111" s="24"/>
      <c r="BC111" s="24"/>
      <c r="BD111" s="24"/>
      <c r="BE111" s="24"/>
      <c r="BF111" s="24"/>
      <c r="BG111" s="24"/>
      <c r="BH111" s="24"/>
    </row>
    <row r="112" spans="1:60">
      <c r="A112" s="7"/>
      <c r="B112" s="8"/>
      <c r="C112" s="9"/>
      <c r="D112" s="51"/>
      <c r="E112" s="51"/>
      <c r="F112" s="51"/>
      <c r="G112" s="51"/>
      <c r="H112" s="52"/>
      <c r="I112" s="52"/>
      <c r="J112" s="52"/>
      <c r="K112" s="24"/>
      <c r="L112" s="7"/>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4"/>
      <c r="AK112" s="24"/>
      <c r="AL112" s="24"/>
      <c r="AM112" s="24"/>
      <c r="AN112" s="24"/>
      <c r="AO112" s="24"/>
      <c r="AP112" s="24"/>
      <c r="AQ112" s="24"/>
      <c r="AR112" s="24"/>
      <c r="AS112" s="24"/>
      <c r="AT112" s="24"/>
      <c r="AU112" s="24"/>
      <c r="AV112" s="24"/>
      <c r="AW112" s="24"/>
      <c r="AX112" s="24"/>
      <c r="AY112" s="24"/>
      <c r="AZ112" s="24"/>
      <c r="BA112" s="24"/>
      <c r="BB112" s="24"/>
      <c r="BC112" s="24"/>
      <c r="BD112" s="24"/>
      <c r="BE112" s="24"/>
      <c r="BF112" s="24"/>
      <c r="BG112" s="24"/>
      <c r="BH112" s="24"/>
    </row>
    <row r="113" spans="1:60">
      <c r="A113" s="7"/>
      <c r="B113" s="8"/>
      <c r="C113" s="9"/>
      <c r="D113" s="51"/>
      <c r="E113" s="51"/>
      <c r="F113" s="51"/>
      <c r="G113" s="51"/>
      <c r="H113" s="52"/>
      <c r="I113" s="52"/>
      <c r="J113" s="52"/>
      <c r="K113" s="24"/>
      <c r="L113" s="7"/>
      <c r="M113" s="24"/>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c r="AM113" s="24"/>
      <c r="AN113" s="24"/>
      <c r="AO113" s="24"/>
      <c r="AP113" s="24"/>
      <c r="AQ113" s="24"/>
      <c r="AR113" s="24"/>
      <c r="AS113" s="24"/>
      <c r="AT113" s="24"/>
      <c r="AU113" s="24"/>
      <c r="AV113" s="24"/>
      <c r="AW113" s="24"/>
      <c r="AX113" s="24"/>
      <c r="AY113" s="24"/>
      <c r="AZ113" s="24"/>
      <c r="BA113" s="24"/>
      <c r="BB113" s="24"/>
      <c r="BC113" s="24"/>
      <c r="BD113" s="24"/>
      <c r="BE113" s="24"/>
      <c r="BF113" s="24"/>
      <c r="BG113" s="24"/>
      <c r="BH113" s="24"/>
    </row>
    <row r="114" spans="1:60">
      <c r="A114" s="7"/>
      <c r="B114" s="8"/>
      <c r="C114" s="9"/>
      <c r="D114" s="51"/>
      <c r="E114" s="51"/>
      <c r="F114" s="51"/>
      <c r="G114" s="51"/>
      <c r="H114" s="52"/>
      <c r="I114" s="52"/>
      <c r="J114" s="52"/>
      <c r="K114" s="24"/>
      <c r="L114" s="7"/>
      <c r="M114" s="24"/>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4"/>
      <c r="AK114" s="24"/>
      <c r="AL114" s="24"/>
      <c r="AM114" s="24"/>
      <c r="AN114" s="24"/>
      <c r="AO114" s="24"/>
      <c r="AP114" s="24"/>
      <c r="AQ114" s="24"/>
      <c r="AR114" s="24"/>
      <c r="AS114" s="24"/>
      <c r="AT114" s="24"/>
      <c r="AU114" s="24"/>
      <c r="AV114" s="24"/>
      <c r="AW114" s="24"/>
      <c r="AX114" s="24"/>
      <c r="AY114" s="24"/>
      <c r="AZ114" s="24"/>
      <c r="BA114" s="24"/>
      <c r="BB114" s="24"/>
      <c r="BC114" s="24"/>
      <c r="BD114" s="24"/>
      <c r="BE114" s="24"/>
      <c r="BF114" s="24"/>
      <c r="BG114" s="24"/>
      <c r="BH114" s="24"/>
    </row>
    <row r="115" spans="1:60">
      <c r="A115" s="7"/>
      <c r="B115" s="8"/>
      <c r="C115" s="9"/>
      <c r="D115" s="51"/>
      <c r="E115" s="51"/>
      <c r="F115" s="51"/>
      <c r="G115" s="51"/>
      <c r="H115" s="52"/>
      <c r="I115" s="52"/>
      <c r="J115" s="52"/>
      <c r="K115" s="24"/>
      <c r="L115" s="7"/>
      <c r="M115" s="24"/>
      <c r="N115" s="24"/>
      <c r="O115" s="24"/>
      <c r="P115" s="24"/>
      <c r="Q115" s="24"/>
      <c r="R115" s="24"/>
      <c r="S115" s="24"/>
      <c r="T115" s="24"/>
      <c r="U115" s="24"/>
      <c r="V115" s="24"/>
      <c r="W115" s="24"/>
      <c r="X115" s="24"/>
      <c r="Y115" s="24"/>
      <c r="Z115" s="24"/>
      <c r="AA115" s="24"/>
      <c r="AB115" s="24"/>
      <c r="AC115" s="24"/>
      <c r="AD115" s="24"/>
      <c r="AE115" s="24"/>
      <c r="AF115" s="24"/>
      <c r="AG115" s="24"/>
      <c r="AH115" s="24"/>
      <c r="AI115" s="24"/>
      <c r="AJ115" s="24"/>
      <c r="AK115" s="24"/>
      <c r="AL115" s="24"/>
      <c r="AM115" s="24"/>
      <c r="AN115" s="24"/>
      <c r="AO115" s="24"/>
      <c r="AP115" s="24"/>
      <c r="AQ115" s="24"/>
      <c r="AR115" s="24"/>
      <c r="AS115" s="24"/>
      <c r="AT115" s="24"/>
      <c r="AU115" s="24"/>
      <c r="AV115" s="24"/>
      <c r="AW115" s="24"/>
      <c r="AX115" s="24"/>
      <c r="AY115" s="24"/>
      <c r="AZ115" s="24"/>
      <c r="BA115" s="24"/>
      <c r="BB115" s="24"/>
      <c r="BC115" s="24"/>
      <c r="BD115" s="24"/>
      <c r="BE115" s="24"/>
      <c r="BF115" s="24"/>
      <c r="BG115" s="24"/>
      <c r="BH115" s="24"/>
    </row>
    <row r="116" spans="1:60">
      <c r="A116" s="7"/>
      <c r="B116" s="8"/>
      <c r="C116" s="9"/>
      <c r="D116" s="51"/>
      <c r="E116" s="51"/>
      <c r="F116" s="51"/>
      <c r="G116" s="51"/>
      <c r="H116" s="52"/>
      <c r="I116" s="52"/>
      <c r="J116" s="52"/>
      <c r="K116" s="24"/>
      <c r="L116" s="7"/>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c r="AM116" s="24"/>
      <c r="AN116" s="24"/>
      <c r="AO116" s="24"/>
      <c r="AP116" s="24"/>
      <c r="AQ116" s="24"/>
      <c r="AR116" s="24"/>
      <c r="AS116" s="24"/>
      <c r="AT116" s="24"/>
      <c r="AU116" s="24"/>
      <c r="AV116" s="24"/>
      <c r="AW116" s="24"/>
      <c r="AX116" s="24"/>
      <c r="AY116" s="24"/>
      <c r="AZ116" s="24"/>
      <c r="BA116" s="24"/>
      <c r="BB116" s="24"/>
      <c r="BC116" s="24"/>
      <c r="BD116" s="24"/>
      <c r="BE116" s="24"/>
      <c r="BF116" s="24"/>
      <c r="BG116" s="24"/>
      <c r="BH116" s="24"/>
    </row>
    <row r="117" spans="1:60">
      <c r="A117" s="7"/>
      <c r="B117" s="8"/>
      <c r="C117" s="9"/>
      <c r="D117" s="51"/>
      <c r="E117" s="51"/>
      <c r="F117" s="51"/>
      <c r="G117" s="51"/>
      <c r="H117" s="52"/>
      <c r="I117" s="52"/>
      <c r="J117" s="52"/>
      <c r="K117" s="24"/>
      <c r="L117" s="7"/>
      <c r="M117" s="24"/>
      <c r="N117" s="24"/>
      <c r="O117" s="24"/>
      <c r="P117" s="24"/>
      <c r="Q117" s="24"/>
      <c r="R117" s="24"/>
      <c r="S117" s="24"/>
      <c r="T117" s="24"/>
      <c r="U117" s="24"/>
      <c r="V117" s="24"/>
      <c r="W117" s="24"/>
      <c r="X117" s="24"/>
      <c r="Y117" s="24"/>
      <c r="Z117" s="24"/>
      <c r="AA117" s="24"/>
      <c r="AB117" s="24"/>
      <c r="AC117" s="24"/>
      <c r="AD117" s="24"/>
      <c r="AE117" s="24"/>
      <c r="AF117" s="24"/>
      <c r="AG117" s="24"/>
      <c r="AH117" s="24"/>
      <c r="AI117" s="24"/>
      <c r="AJ117" s="24"/>
      <c r="AK117" s="24"/>
      <c r="AL117" s="24"/>
      <c r="AM117" s="24"/>
      <c r="AN117" s="24"/>
      <c r="AO117" s="24"/>
      <c r="AP117" s="24"/>
      <c r="AQ117" s="24"/>
      <c r="AR117" s="24"/>
      <c r="AS117" s="24"/>
      <c r="AT117" s="24"/>
      <c r="AU117" s="24"/>
      <c r="AV117" s="24"/>
      <c r="AW117" s="24"/>
      <c r="AX117" s="24"/>
      <c r="AY117" s="24"/>
      <c r="AZ117" s="24"/>
      <c r="BA117" s="24"/>
      <c r="BB117" s="24"/>
      <c r="BC117" s="24"/>
      <c r="BD117" s="24"/>
      <c r="BE117" s="24"/>
      <c r="BF117" s="24"/>
      <c r="BG117" s="24"/>
      <c r="BH117" s="24"/>
    </row>
    <row r="118" spans="1:60">
      <c r="A118" s="7"/>
      <c r="B118" s="8"/>
      <c r="C118" s="9"/>
      <c r="D118" s="51"/>
      <c r="E118" s="51"/>
      <c r="F118" s="51"/>
      <c r="G118" s="51"/>
      <c r="H118" s="52"/>
      <c r="I118" s="52"/>
      <c r="J118" s="52"/>
      <c r="K118" s="24"/>
      <c r="L118" s="7"/>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4"/>
      <c r="AK118" s="24"/>
      <c r="AL118" s="24"/>
      <c r="AM118" s="24"/>
      <c r="AN118" s="24"/>
      <c r="AO118" s="24"/>
      <c r="AP118" s="24"/>
      <c r="AQ118" s="24"/>
      <c r="AR118" s="24"/>
      <c r="AS118" s="24"/>
      <c r="AT118" s="24"/>
      <c r="AU118" s="24"/>
      <c r="AV118" s="24"/>
      <c r="AW118" s="24"/>
      <c r="AX118" s="24"/>
      <c r="AY118" s="24"/>
      <c r="AZ118" s="24"/>
      <c r="BA118" s="24"/>
      <c r="BB118" s="24"/>
      <c r="BC118" s="24"/>
      <c r="BD118" s="24"/>
      <c r="BE118" s="24"/>
      <c r="BF118" s="24"/>
      <c r="BG118" s="24"/>
      <c r="BH118" s="24"/>
    </row>
    <row r="119" spans="1:60">
      <c r="A119" s="7"/>
      <c r="B119" s="8"/>
      <c r="C119" s="9"/>
      <c r="D119" s="51"/>
      <c r="E119" s="51"/>
      <c r="F119" s="51"/>
      <c r="G119" s="51"/>
      <c r="H119" s="52"/>
      <c r="I119" s="52"/>
      <c r="J119" s="52"/>
      <c r="K119" s="24"/>
      <c r="L119" s="7"/>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4"/>
      <c r="AK119" s="24"/>
      <c r="AL119" s="24"/>
      <c r="AM119" s="24"/>
      <c r="AN119" s="24"/>
      <c r="AO119" s="24"/>
      <c r="AP119" s="24"/>
      <c r="AQ119" s="24"/>
      <c r="AR119" s="24"/>
      <c r="AS119" s="24"/>
      <c r="AT119" s="24"/>
      <c r="AU119" s="24"/>
      <c r="AV119" s="24"/>
      <c r="AW119" s="24"/>
      <c r="AX119" s="24"/>
      <c r="AY119" s="24"/>
      <c r="AZ119" s="24"/>
      <c r="BA119" s="24"/>
      <c r="BB119" s="24"/>
      <c r="BC119" s="24"/>
      <c r="BD119" s="24"/>
      <c r="BE119" s="24"/>
      <c r="BF119" s="24"/>
      <c r="BG119" s="24"/>
      <c r="BH119" s="24"/>
    </row>
    <row r="120" spans="1:60">
      <c r="A120" s="7"/>
      <c r="B120" s="8"/>
      <c r="C120" s="9"/>
      <c r="D120" s="51"/>
      <c r="E120" s="51"/>
      <c r="F120" s="51"/>
      <c r="G120" s="51"/>
      <c r="H120" s="52"/>
      <c r="I120" s="52"/>
      <c r="J120" s="52"/>
      <c r="K120" s="24"/>
      <c r="L120" s="7"/>
      <c r="M120" s="24"/>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4"/>
      <c r="AK120" s="24"/>
      <c r="AL120" s="24"/>
      <c r="AM120" s="24"/>
      <c r="AN120" s="24"/>
      <c r="AO120" s="24"/>
      <c r="AP120" s="24"/>
      <c r="AQ120" s="24"/>
      <c r="AR120" s="24"/>
      <c r="AS120" s="24"/>
      <c r="AT120" s="24"/>
      <c r="AU120" s="24"/>
      <c r="AV120" s="24"/>
      <c r="AW120" s="24"/>
      <c r="AX120" s="24"/>
      <c r="AY120" s="24"/>
      <c r="AZ120" s="24"/>
      <c r="BA120" s="24"/>
      <c r="BB120" s="24"/>
      <c r="BC120" s="24"/>
      <c r="BD120" s="24"/>
      <c r="BE120" s="24"/>
      <c r="BF120" s="24"/>
      <c r="BG120" s="24"/>
      <c r="BH120" s="24"/>
    </row>
    <row r="121" spans="1:60">
      <c r="A121" s="7"/>
      <c r="B121" s="8"/>
      <c r="C121" s="9"/>
      <c r="D121" s="51"/>
      <c r="E121" s="51"/>
      <c r="F121" s="51"/>
      <c r="G121" s="51"/>
      <c r="H121" s="52"/>
      <c r="I121" s="52"/>
      <c r="J121" s="52"/>
      <c r="K121" s="24"/>
      <c r="L121" s="7"/>
      <c r="M121" s="24"/>
      <c r="N121" s="24"/>
      <c r="O121" s="24"/>
      <c r="P121" s="24"/>
      <c r="Q121" s="24"/>
      <c r="R121" s="24"/>
      <c r="S121" s="24"/>
      <c r="T121" s="24"/>
      <c r="U121" s="24"/>
      <c r="V121" s="24"/>
      <c r="W121" s="24"/>
      <c r="X121" s="24"/>
      <c r="Y121" s="24"/>
      <c r="Z121" s="24"/>
      <c r="AA121" s="24"/>
      <c r="AB121" s="24"/>
      <c r="AC121" s="24"/>
      <c r="AD121" s="24"/>
      <c r="AE121" s="24"/>
      <c r="AF121" s="24"/>
      <c r="AG121" s="24"/>
      <c r="AH121" s="24"/>
      <c r="AI121" s="24"/>
      <c r="AJ121" s="24"/>
      <c r="AK121" s="24"/>
      <c r="AL121" s="24"/>
      <c r="AM121" s="24"/>
      <c r="AN121" s="24"/>
      <c r="AO121" s="24"/>
      <c r="AP121" s="24"/>
      <c r="AQ121" s="24"/>
      <c r="AR121" s="24"/>
      <c r="AS121" s="24"/>
      <c r="AT121" s="24"/>
      <c r="AU121" s="24"/>
      <c r="AV121" s="24"/>
      <c r="AW121" s="24"/>
      <c r="AX121" s="24"/>
      <c r="AY121" s="24"/>
      <c r="AZ121" s="24"/>
      <c r="BA121" s="24"/>
      <c r="BB121" s="24"/>
      <c r="BC121" s="24"/>
      <c r="BD121" s="24"/>
      <c r="BE121" s="24"/>
      <c r="BF121" s="24"/>
      <c r="BG121" s="24"/>
      <c r="BH121" s="24"/>
    </row>
    <row r="122" spans="1:60">
      <c r="A122" s="7"/>
      <c r="B122" s="8"/>
      <c r="C122" s="9"/>
      <c r="D122" s="51"/>
      <c r="E122" s="51"/>
      <c r="F122" s="51"/>
      <c r="G122" s="51"/>
      <c r="H122" s="52"/>
      <c r="I122" s="52"/>
      <c r="J122" s="52"/>
      <c r="K122" s="24"/>
      <c r="L122" s="7"/>
      <c r="M122" s="24"/>
      <c r="N122" s="24"/>
      <c r="O122" s="24"/>
      <c r="P122" s="24"/>
      <c r="Q122" s="24"/>
      <c r="R122" s="24"/>
      <c r="S122" s="24"/>
      <c r="T122" s="24"/>
      <c r="U122" s="24"/>
      <c r="V122" s="24"/>
      <c r="W122" s="24"/>
      <c r="X122" s="24"/>
      <c r="Y122" s="24"/>
      <c r="Z122" s="24"/>
      <c r="AA122" s="24"/>
      <c r="AB122" s="24"/>
      <c r="AC122" s="24"/>
      <c r="AD122" s="24"/>
      <c r="AE122" s="24"/>
      <c r="AF122" s="24"/>
      <c r="AG122" s="24"/>
      <c r="AH122" s="24"/>
      <c r="AI122" s="24"/>
      <c r="AJ122" s="24"/>
      <c r="AK122" s="24"/>
      <c r="AL122" s="24"/>
      <c r="AM122" s="24"/>
      <c r="AN122" s="24"/>
      <c r="AO122" s="24"/>
      <c r="AP122" s="24"/>
      <c r="AQ122" s="24"/>
      <c r="AR122" s="24"/>
      <c r="AS122" s="24"/>
      <c r="AT122" s="24"/>
      <c r="AU122" s="24"/>
      <c r="AV122" s="24"/>
      <c r="AW122" s="24"/>
      <c r="AX122" s="24"/>
      <c r="AY122" s="24"/>
      <c r="AZ122" s="24"/>
      <c r="BA122" s="24"/>
      <c r="BB122" s="24"/>
      <c r="BC122" s="24"/>
      <c r="BD122" s="24"/>
      <c r="BE122" s="24"/>
      <c r="BF122" s="24"/>
      <c r="BG122" s="24"/>
      <c r="BH122" s="24"/>
    </row>
    <row r="123" spans="1:60">
      <c r="A123" s="7"/>
      <c r="B123" s="8"/>
      <c r="C123" s="9"/>
      <c r="D123" s="51"/>
      <c r="E123" s="51"/>
      <c r="F123" s="51"/>
      <c r="G123" s="51"/>
      <c r="H123" s="52"/>
      <c r="I123" s="52"/>
      <c r="J123" s="52"/>
      <c r="K123" s="24"/>
      <c r="L123" s="7"/>
      <c r="M123" s="24"/>
      <c r="N123" s="24"/>
      <c r="O123" s="24"/>
      <c r="P123" s="24"/>
      <c r="Q123" s="24"/>
      <c r="R123" s="24"/>
      <c r="S123" s="24"/>
      <c r="T123" s="24"/>
      <c r="U123" s="24"/>
      <c r="V123" s="24"/>
      <c r="W123" s="24"/>
      <c r="X123" s="24"/>
      <c r="Y123" s="24"/>
      <c r="Z123" s="24"/>
      <c r="AA123" s="24"/>
      <c r="AB123" s="24"/>
      <c r="AC123" s="24"/>
      <c r="AD123" s="24"/>
      <c r="AE123" s="24"/>
      <c r="AF123" s="24"/>
      <c r="AG123" s="24"/>
      <c r="AH123" s="24"/>
      <c r="AI123" s="24"/>
      <c r="AJ123" s="24"/>
      <c r="AK123" s="24"/>
      <c r="AL123" s="24"/>
      <c r="AM123" s="24"/>
      <c r="AN123" s="24"/>
      <c r="AO123" s="24"/>
      <c r="AP123" s="24"/>
      <c r="AQ123" s="24"/>
      <c r="AR123" s="24"/>
      <c r="AS123" s="24"/>
      <c r="AT123" s="24"/>
      <c r="AU123" s="24"/>
      <c r="AV123" s="24"/>
      <c r="AW123" s="24"/>
      <c r="AX123" s="24"/>
      <c r="AY123" s="24"/>
      <c r="AZ123" s="24"/>
      <c r="BA123" s="24"/>
      <c r="BB123" s="24"/>
      <c r="BC123" s="24"/>
      <c r="BD123" s="24"/>
      <c r="BE123" s="24"/>
      <c r="BF123" s="24"/>
      <c r="BG123" s="24"/>
      <c r="BH123" s="24"/>
    </row>
    <row r="124" spans="1:60">
      <c r="A124" s="7"/>
      <c r="B124" s="8"/>
      <c r="C124" s="9"/>
      <c r="D124" s="51"/>
      <c r="E124" s="51"/>
      <c r="F124" s="51"/>
      <c r="G124" s="51"/>
      <c r="H124" s="52"/>
      <c r="I124" s="52"/>
      <c r="J124" s="52"/>
      <c r="K124" s="24"/>
      <c r="L124" s="7"/>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4"/>
      <c r="AK124" s="24"/>
      <c r="AL124" s="24"/>
      <c r="AM124" s="24"/>
      <c r="AN124" s="24"/>
      <c r="AO124" s="24"/>
      <c r="AP124" s="24"/>
      <c r="AQ124" s="24"/>
      <c r="AR124" s="24"/>
      <c r="AS124" s="24"/>
      <c r="AT124" s="24"/>
      <c r="AU124" s="24"/>
      <c r="AV124" s="24"/>
      <c r="AW124" s="24"/>
      <c r="AX124" s="24"/>
      <c r="AY124" s="24"/>
      <c r="AZ124" s="24"/>
      <c r="BA124" s="24"/>
      <c r="BB124" s="24"/>
      <c r="BC124" s="24"/>
      <c r="BD124" s="24"/>
      <c r="BE124" s="24"/>
      <c r="BF124" s="24"/>
      <c r="BG124" s="24"/>
      <c r="BH124" s="24"/>
    </row>
    <row r="125" spans="1:60">
      <c r="A125" s="7"/>
      <c r="B125" s="8"/>
      <c r="C125" s="9"/>
      <c r="D125" s="51"/>
      <c r="E125" s="51"/>
      <c r="F125" s="51"/>
      <c r="G125" s="51"/>
      <c r="H125" s="52"/>
      <c r="I125" s="52"/>
      <c r="J125" s="52"/>
      <c r="K125" s="24"/>
      <c r="L125" s="7"/>
      <c r="M125" s="24"/>
      <c r="N125" s="24"/>
      <c r="O125" s="24"/>
      <c r="P125" s="24"/>
      <c r="Q125" s="24"/>
      <c r="R125" s="24"/>
      <c r="S125" s="24"/>
      <c r="T125" s="24"/>
      <c r="U125" s="24"/>
      <c r="V125" s="24"/>
      <c r="W125" s="24"/>
      <c r="X125" s="24"/>
      <c r="Y125" s="24"/>
      <c r="Z125" s="24"/>
      <c r="AA125" s="24"/>
      <c r="AB125" s="24"/>
      <c r="AC125" s="24"/>
      <c r="AD125" s="24"/>
      <c r="AE125" s="24"/>
      <c r="AF125" s="24"/>
      <c r="AG125" s="24"/>
      <c r="AH125" s="24"/>
      <c r="AI125" s="24"/>
      <c r="AJ125" s="24"/>
      <c r="AK125" s="24"/>
      <c r="AL125" s="24"/>
      <c r="AM125" s="24"/>
      <c r="AN125" s="24"/>
      <c r="AO125" s="24"/>
      <c r="AP125" s="24"/>
      <c r="AQ125" s="24"/>
      <c r="AR125" s="24"/>
      <c r="AS125" s="24"/>
      <c r="AT125" s="24"/>
      <c r="AU125" s="24"/>
      <c r="AV125" s="24"/>
      <c r="AW125" s="24"/>
      <c r="AX125" s="24"/>
      <c r="AY125" s="24"/>
      <c r="AZ125" s="24"/>
      <c r="BA125" s="24"/>
      <c r="BB125" s="24"/>
      <c r="BC125" s="24"/>
      <c r="BD125" s="24"/>
      <c r="BE125" s="24"/>
      <c r="BF125" s="24"/>
      <c r="BG125" s="24"/>
      <c r="BH125" s="24"/>
    </row>
    <row r="126" spans="1:60">
      <c r="A126" s="7"/>
      <c r="B126" s="8"/>
      <c r="C126" s="9"/>
      <c r="D126" s="51"/>
      <c r="E126" s="51"/>
      <c r="F126" s="51"/>
      <c r="G126" s="51"/>
      <c r="H126" s="52"/>
      <c r="I126" s="52"/>
      <c r="J126" s="52"/>
      <c r="K126" s="24"/>
      <c r="L126" s="7"/>
      <c r="M126" s="24"/>
      <c r="N126" s="24"/>
      <c r="O126" s="24"/>
      <c r="P126" s="24"/>
      <c r="Q126" s="24"/>
      <c r="R126" s="24"/>
      <c r="S126" s="24"/>
      <c r="T126" s="24"/>
      <c r="U126" s="24"/>
      <c r="V126" s="24"/>
      <c r="W126" s="24"/>
      <c r="X126" s="24"/>
      <c r="Y126" s="24"/>
      <c r="Z126" s="24"/>
      <c r="AA126" s="24"/>
      <c r="AB126" s="24"/>
      <c r="AC126" s="24"/>
      <c r="AD126" s="24"/>
      <c r="AE126" s="24"/>
      <c r="AF126" s="24"/>
      <c r="AG126" s="24"/>
      <c r="AH126" s="24"/>
      <c r="AI126" s="24"/>
      <c r="AJ126" s="24"/>
      <c r="AK126" s="24"/>
      <c r="AL126" s="24"/>
      <c r="AM126" s="24"/>
      <c r="AN126" s="24"/>
      <c r="AO126" s="24"/>
      <c r="AP126" s="24"/>
      <c r="AQ126" s="24"/>
      <c r="AR126" s="24"/>
      <c r="AS126" s="24"/>
      <c r="AT126" s="24"/>
      <c r="AU126" s="24"/>
      <c r="AV126" s="24"/>
      <c r="AW126" s="24"/>
      <c r="AX126" s="24"/>
      <c r="AY126" s="24"/>
      <c r="AZ126" s="24"/>
      <c r="BA126" s="24"/>
      <c r="BB126" s="24"/>
      <c r="BC126" s="24"/>
      <c r="BD126" s="24"/>
      <c r="BE126" s="24"/>
      <c r="BF126" s="24"/>
      <c r="BG126" s="24"/>
      <c r="BH126" s="24"/>
    </row>
    <row r="127" spans="1:60">
      <c r="A127" s="7"/>
      <c r="B127" s="8"/>
      <c r="C127" s="9"/>
      <c r="D127" s="51"/>
      <c r="E127" s="51"/>
      <c r="F127" s="51"/>
      <c r="G127" s="51"/>
      <c r="H127" s="52"/>
      <c r="I127" s="52"/>
      <c r="J127" s="52"/>
      <c r="K127" s="24"/>
      <c r="L127" s="7"/>
      <c r="M127" s="24"/>
      <c r="N127" s="24"/>
      <c r="O127" s="24"/>
      <c r="P127" s="24"/>
      <c r="Q127" s="24"/>
      <c r="R127" s="24"/>
      <c r="S127" s="24"/>
      <c r="T127" s="24"/>
      <c r="U127" s="24"/>
      <c r="V127" s="24"/>
      <c r="W127" s="24"/>
      <c r="X127" s="24"/>
      <c r="Y127" s="24"/>
      <c r="Z127" s="24"/>
      <c r="AA127" s="24"/>
      <c r="AB127" s="24"/>
      <c r="AC127" s="24"/>
      <c r="AD127" s="24"/>
      <c r="AE127" s="24"/>
      <c r="AF127" s="24"/>
      <c r="AG127" s="24"/>
      <c r="AH127" s="24"/>
      <c r="AI127" s="24"/>
      <c r="AJ127" s="24"/>
      <c r="AK127" s="24"/>
      <c r="AL127" s="24"/>
      <c r="AM127" s="24"/>
      <c r="AN127" s="24"/>
      <c r="AO127" s="24"/>
      <c r="AP127" s="24"/>
      <c r="AQ127" s="24"/>
      <c r="AR127" s="24"/>
      <c r="AS127" s="24"/>
      <c r="AT127" s="24"/>
      <c r="AU127" s="24"/>
      <c r="AV127" s="24"/>
      <c r="AW127" s="24"/>
      <c r="AX127" s="24"/>
      <c r="AY127" s="24"/>
      <c r="AZ127" s="24"/>
      <c r="BA127" s="24"/>
      <c r="BB127" s="24"/>
      <c r="BC127" s="24"/>
      <c r="BD127" s="24"/>
      <c r="BE127" s="24"/>
      <c r="BF127" s="24"/>
      <c r="BG127" s="24"/>
      <c r="BH127" s="24"/>
    </row>
    <row r="128" spans="1:60">
      <c r="A128" s="7"/>
      <c r="B128" s="8"/>
      <c r="C128" s="9"/>
      <c r="D128" s="51"/>
      <c r="E128" s="51"/>
      <c r="F128" s="51"/>
      <c r="G128" s="51"/>
      <c r="H128" s="52"/>
      <c r="I128" s="52"/>
      <c r="J128" s="52"/>
      <c r="K128" s="24"/>
      <c r="L128" s="7"/>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c r="AU128" s="24"/>
      <c r="AV128" s="24"/>
      <c r="AW128" s="24"/>
      <c r="AX128" s="24"/>
      <c r="AY128" s="24"/>
      <c r="AZ128" s="24"/>
      <c r="BA128" s="24"/>
      <c r="BB128" s="24"/>
      <c r="BC128" s="24"/>
      <c r="BD128" s="24"/>
      <c r="BE128" s="24"/>
      <c r="BF128" s="24"/>
      <c r="BG128" s="24"/>
      <c r="BH128" s="24"/>
    </row>
    <row r="129" spans="1:60">
      <c r="A129" s="7"/>
      <c r="B129" s="8"/>
      <c r="C129" s="9"/>
      <c r="D129" s="51"/>
      <c r="E129" s="51"/>
      <c r="F129" s="51"/>
      <c r="G129" s="51"/>
      <c r="H129" s="52"/>
      <c r="I129" s="52"/>
      <c r="J129" s="52"/>
      <c r="K129" s="24"/>
      <c r="L129" s="7"/>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c r="AU129" s="24"/>
      <c r="AV129" s="24"/>
      <c r="AW129" s="24"/>
      <c r="AX129" s="24"/>
      <c r="AY129" s="24"/>
      <c r="AZ129" s="24"/>
      <c r="BA129" s="24"/>
      <c r="BB129" s="24"/>
      <c r="BC129" s="24"/>
      <c r="BD129" s="24"/>
      <c r="BE129" s="24"/>
      <c r="BF129" s="24"/>
      <c r="BG129" s="24"/>
      <c r="BH129" s="24"/>
    </row>
    <row r="130" spans="1:60">
      <c r="A130" s="7"/>
      <c r="B130" s="8"/>
      <c r="C130" s="9"/>
      <c r="D130" s="51"/>
      <c r="E130" s="51"/>
      <c r="F130" s="51"/>
      <c r="G130" s="51"/>
      <c r="H130" s="52"/>
      <c r="I130" s="52"/>
      <c r="J130" s="52"/>
      <c r="K130" s="24"/>
      <c r="L130" s="7"/>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24"/>
      <c r="AV130" s="24"/>
      <c r="AW130" s="24"/>
      <c r="AX130" s="24"/>
      <c r="AY130" s="24"/>
      <c r="AZ130" s="24"/>
      <c r="BA130" s="24"/>
      <c r="BB130" s="24"/>
      <c r="BC130" s="24"/>
      <c r="BD130" s="24"/>
      <c r="BE130" s="24"/>
      <c r="BF130" s="24"/>
      <c r="BG130" s="24"/>
      <c r="BH130" s="24"/>
    </row>
    <row r="131" spans="1:60">
      <c r="A131" s="7"/>
      <c r="B131" s="8"/>
      <c r="C131" s="9"/>
      <c r="D131" s="51"/>
      <c r="E131" s="51"/>
      <c r="F131" s="51"/>
      <c r="G131" s="51"/>
      <c r="H131" s="52"/>
      <c r="I131" s="52"/>
      <c r="J131" s="52"/>
      <c r="K131" s="24"/>
      <c r="L131" s="7"/>
      <c r="M131" s="24"/>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c r="AU131" s="24"/>
      <c r="AV131" s="24"/>
      <c r="AW131" s="24"/>
      <c r="AX131" s="24"/>
      <c r="AY131" s="24"/>
      <c r="AZ131" s="24"/>
      <c r="BA131" s="24"/>
      <c r="BB131" s="24"/>
      <c r="BC131" s="24"/>
      <c r="BD131" s="24"/>
      <c r="BE131" s="24"/>
      <c r="BF131" s="24"/>
      <c r="BG131" s="24"/>
      <c r="BH131" s="24"/>
    </row>
    <row r="132" spans="1:60">
      <c r="A132" s="7"/>
      <c r="B132" s="8"/>
      <c r="C132" s="9"/>
      <c r="D132" s="51"/>
      <c r="E132" s="51"/>
      <c r="F132" s="51"/>
      <c r="G132" s="51"/>
      <c r="H132" s="52"/>
      <c r="I132" s="52"/>
      <c r="J132" s="52"/>
      <c r="K132" s="24"/>
      <c r="L132" s="7"/>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24"/>
      <c r="AW132" s="24"/>
      <c r="AX132" s="24"/>
      <c r="AY132" s="24"/>
      <c r="AZ132" s="24"/>
      <c r="BA132" s="24"/>
      <c r="BB132" s="24"/>
      <c r="BC132" s="24"/>
      <c r="BD132" s="24"/>
      <c r="BE132" s="24"/>
      <c r="BF132" s="24"/>
      <c r="BG132" s="24"/>
      <c r="BH132" s="24"/>
    </row>
    <row r="133" spans="1:60">
      <c r="A133" s="7"/>
      <c r="B133" s="8"/>
      <c r="C133" s="9"/>
      <c r="D133" s="51"/>
      <c r="E133" s="51"/>
      <c r="F133" s="51"/>
      <c r="G133" s="51"/>
      <c r="H133" s="52"/>
      <c r="I133" s="52"/>
      <c r="J133" s="52"/>
      <c r="K133" s="24"/>
      <c r="L133" s="7"/>
      <c r="M133" s="24"/>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c r="AM133" s="24"/>
      <c r="AN133" s="24"/>
      <c r="AO133" s="24"/>
      <c r="AP133" s="24"/>
      <c r="AQ133" s="24"/>
      <c r="AR133" s="24"/>
      <c r="AS133" s="24"/>
      <c r="AT133" s="24"/>
      <c r="AU133" s="24"/>
      <c r="AV133" s="24"/>
      <c r="AW133" s="24"/>
      <c r="AX133" s="24"/>
      <c r="AY133" s="24"/>
      <c r="AZ133" s="24"/>
      <c r="BA133" s="24"/>
      <c r="BB133" s="24"/>
      <c r="BC133" s="24"/>
      <c r="BD133" s="24"/>
      <c r="BE133" s="24"/>
      <c r="BF133" s="24"/>
      <c r="BG133" s="24"/>
      <c r="BH133" s="24"/>
    </row>
    <row r="134" spans="1:60">
      <c r="A134" s="7"/>
      <c r="B134" s="8"/>
      <c r="C134" s="9"/>
      <c r="D134" s="51"/>
      <c r="E134" s="51"/>
      <c r="F134" s="51"/>
      <c r="G134" s="51"/>
      <c r="H134" s="52"/>
      <c r="I134" s="52"/>
      <c r="J134" s="52"/>
      <c r="K134" s="24"/>
      <c r="L134" s="7"/>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c r="AT134" s="24"/>
      <c r="AU134" s="24"/>
      <c r="AV134" s="24"/>
      <c r="AW134" s="24"/>
      <c r="AX134" s="24"/>
      <c r="AY134" s="24"/>
      <c r="AZ134" s="24"/>
      <c r="BA134" s="24"/>
      <c r="BB134" s="24"/>
      <c r="BC134" s="24"/>
      <c r="BD134" s="24"/>
      <c r="BE134" s="24"/>
      <c r="BF134" s="24"/>
      <c r="BG134" s="24"/>
      <c r="BH134" s="24"/>
    </row>
    <row r="135" spans="1:60">
      <c r="A135" s="7"/>
      <c r="B135" s="8"/>
      <c r="C135" s="9"/>
      <c r="D135" s="51"/>
      <c r="E135" s="51"/>
      <c r="F135" s="51"/>
      <c r="G135" s="51"/>
      <c r="H135" s="52"/>
      <c r="I135" s="52"/>
      <c r="J135" s="52"/>
      <c r="K135" s="24"/>
      <c r="L135" s="7"/>
      <c r="M135" s="24"/>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c r="AU135" s="24"/>
      <c r="AV135" s="24"/>
      <c r="AW135" s="24"/>
      <c r="AX135" s="24"/>
      <c r="AY135" s="24"/>
      <c r="AZ135" s="24"/>
      <c r="BA135" s="24"/>
      <c r="BB135" s="24"/>
      <c r="BC135" s="24"/>
      <c r="BD135" s="24"/>
      <c r="BE135" s="24"/>
      <c r="BF135" s="24"/>
      <c r="BG135" s="24"/>
      <c r="BH135" s="24"/>
    </row>
    <row r="136" spans="1:60">
      <c r="A136" s="7"/>
      <c r="B136" s="8"/>
      <c r="C136" s="9"/>
      <c r="D136" s="51"/>
      <c r="E136" s="51"/>
      <c r="F136" s="51"/>
      <c r="G136" s="51"/>
      <c r="H136" s="52"/>
      <c r="I136" s="52"/>
      <c r="J136" s="52"/>
      <c r="K136" s="24"/>
      <c r="L136" s="7"/>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24"/>
      <c r="AU136" s="24"/>
      <c r="AV136" s="24"/>
      <c r="AW136" s="24"/>
      <c r="AX136" s="24"/>
      <c r="AY136" s="24"/>
      <c r="AZ136" s="24"/>
      <c r="BA136" s="24"/>
      <c r="BB136" s="24"/>
      <c r="BC136" s="24"/>
      <c r="BD136" s="24"/>
      <c r="BE136" s="24"/>
      <c r="BF136" s="24"/>
      <c r="BG136" s="24"/>
      <c r="BH136" s="24"/>
    </row>
    <row r="137" spans="1:60">
      <c r="A137" s="7"/>
      <c r="B137" s="8"/>
      <c r="C137" s="9"/>
      <c r="D137" s="51"/>
      <c r="E137" s="51"/>
      <c r="F137" s="51"/>
      <c r="G137" s="51"/>
      <c r="H137" s="52"/>
      <c r="I137" s="52"/>
      <c r="J137" s="52"/>
      <c r="K137" s="24"/>
      <c r="L137" s="7"/>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24"/>
      <c r="BB137" s="24"/>
      <c r="BC137" s="24"/>
      <c r="BD137" s="24"/>
      <c r="BE137" s="24"/>
      <c r="BF137" s="24"/>
      <c r="BG137" s="24"/>
      <c r="BH137" s="24"/>
    </row>
    <row r="138" spans="1:60">
      <c r="A138" s="7"/>
      <c r="B138" s="8"/>
      <c r="C138" s="9"/>
      <c r="D138" s="51"/>
      <c r="E138" s="51"/>
      <c r="F138" s="51"/>
      <c r="G138" s="51"/>
      <c r="H138" s="52"/>
      <c r="I138" s="52"/>
      <c r="J138" s="52"/>
      <c r="K138" s="24"/>
      <c r="L138" s="7"/>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c r="AT138" s="24"/>
      <c r="AU138" s="24"/>
      <c r="AV138" s="24"/>
      <c r="AW138" s="24"/>
      <c r="AX138" s="24"/>
      <c r="AY138" s="24"/>
      <c r="AZ138" s="24"/>
      <c r="BA138" s="24"/>
      <c r="BB138" s="24"/>
      <c r="BC138" s="24"/>
      <c r="BD138" s="24"/>
      <c r="BE138" s="24"/>
      <c r="BF138" s="24"/>
      <c r="BG138" s="24"/>
      <c r="BH138" s="24"/>
    </row>
    <row r="139" spans="1:60">
      <c r="A139" s="7"/>
      <c r="B139" s="8"/>
      <c r="C139" s="9"/>
      <c r="D139" s="51"/>
      <c r="E139" s="51"/>
      <c r="F139" s="51"/>
      <c r="G139" s="51"/>
      <c r="H139" s="52"/>
      <c r="I139" s="52"/>
      <c r="J139" s="52"/>
      <c r="K139" s="24"/>
      <c r="L139" s="7"/>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c r="AK139" s="24"/>
      <c r="AL139" s="24"/>
      <c r="AM139" s="24"/>
      <c r="AN139" s="24"/>
      <c r="AO139" s="24"/>
      <c r="AP139" s="24"/>
      <c r="AQ139" s="24"/>
      <c r="AR139" s="24"/>
      <c r="AS139" s="24"/>
      <c r="AT139" s="24"/>
      <c r="AU139" s="24"/>
      <c r="AV139" s="24"/>
      <c r="AW139" s="24"/>
      <c r="AX139" s="24"/>
      <c r="AY139" s="24"/>
      <c r="AZ139" s="24"/>
      <c r="BA139" s="24"/>
      <c r="BB139" s="24"/>
      <c r="BC139" s="24"/>
      <c r="BD139" s="24"/>
      <c r="BE139" s="24"/>
      <c r="BF139" s="24"/>
      <c r="BG139" s="24"/>
      <c r="BH139" s="24"/>
    </row>
    <row r="140" spans="1:60">
      <c r="A140" s="7"/>
      <c r="B140" s="8"/>
      <c r="C140" s="9"/>
      <c r="D140" s="51"/>
      <c r="E140" s="51"/>
      <c r="F140" s="51"/>
      <c r="G140" s="51"/>
      <c r="H140" s="52"/>
      <c r="I140" s="52"/>
      <c r="J140" s="52"/>
      <c r="K140" s="24"/>
      <c r="L140" s="7"/>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c r="AU140" s="24"/>
      <c r="AV140" s="24"/>
      <c r="AW140" s="24"/>
      <c r="AX140" s="24"/>
      <c r="AY140" s="24"/>
      <c r="AZ140" s="24"/>
      <c r="BA140" s="24"/>
      <c r="BB140" s="24"/>
      <c r="BC140" s="24"/>
      <c r="BD140" s="24"/>
      <c r="BE140" s="24"/>
      <c r="BF140" s="24"/>
      <c r="BG140" s="24"/>
      <c r="BH140" s="24"/>
    </row>
    <row r="141" spans="1:60">
      <c r="A141" s="7"/>
      <c r="B141" s="8"/>
      <c r="C141" s="9"/>
      <c r="D141" s="51"/>
      <c r="E141" s="51"/>
      <c r="F141" s="51"/>
      <c r="G141" s="51"/>
      <c r="H141" s="52"/>
      <c r="I141" s="52"/>
      <c r="J141" s="52"/>
      <c r="K141" s="24"/>
      <c r="L141" s="7"/>
      <c r="M141" s="24"/>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c r="AU141" s="24"/>
      <c r="AV141" s="24"/>
      <c r="AW141" s="24"/>
      <c r="AX141" s="24"/>
      <c r="AY141" s="24"/>
      <c r="AZ141" s="24"/>
      <c r="BA141" s="24"/>
      <c r="BB141" s="24"/>
      <c r="BC141" s="24"/>
      <c r="BD141" s="24"/>
      <c r="BE141" s="24"/>
      <c r="BF141" s="24"/>
      <c r="BG141" s="24"/>
      <c r="BH141" s="24"/>
    </row>
    <row r="142" spans="1:60">
      <c r="A142" s="7"/>
      <c r="B142" s="8"/>
      <c r="C142" s="9"/>
      <c r="D142" s="51"/>
      <c r="E142" s="51"/>
      <c r="F142" s="51"/>
      <c r="G142" s="51"/>
      <c r="H142" s="52"/>
      <c r="I142" s="52"/>
      <c r="J142" s="52"/>
      <c r="K142" s="24"/>
      <c r="L142" s="7"/>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c r="AU142" s="24"/>
      <c r="AV142" s="24"/>
      <c r="AW142" s="24"/>
      <c r="AX142" s="24"/>
      <c r="AY142" s="24"/>
      <c r="AZ142" s="24"/>
      <c r="BA142" s="24"/>
      <c r="BB142" s="24"/>
      <c r="BC142" s="24"/>
      <c r="BD142" s="24"/>
      <c r="BE142" s="24"/>
      <c r="BF142" s="24"/>
      <c r="BG142" s="24"/>
      <c r="BH142" s="24"/>
    </row>
    <row r="143" spans="1:60">
      <c r="A143" s="7"/>
      <c r="B143" s="8"/>
      <c r="C143" s="9"/>
      <c r="D143" s="51"/>
      <c r="E143" s="51"/>
      <c r="F143" s="51"/>
      <c r="G143" s="51"/>
      <c r="H143" s="52"/>
      <c r="I143" s="52"/>
      <c r="J143" s="52"/>
      <c r="K143" s="24"/>
      <c r="L143" s="7"/>
      <c r="M143" s="24"/>
      <c r="N143" s="24"/>
      <c r="O143" s="24"/>
      <c r="P143" s="24"/>
      <c r="Q143" s="24"/>
      <c r="R143" s="24"/>
      <c r="S143" s="24"/>
      <c r="T143" s="24"/>
      <c r="U143" s="24"/>
      <c r="V143" s="24"/>
      <c r="W143" s="24"/>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c r="AU143" s="24"/>
      <c r="AV143" s="24"/>
      <c r="AW143" s="24"/>
      <c r="AX143" s="24"/>
      <c r="AY143" s="24"/>
      <c r="AZ143" s="24"/>
      <c r="BA143" s="24"/>
      <c r="BB143" s="24"/>
      <c r="BC143" s="24"/>
      <c r="BD143" s="24"/>
      <c r="BE143" s="24"/>
      <c r="BF143" s="24"/>
      <c r="BG143" s="24"/>
      <c r="BH143" s="24"/>
    </row>
    <row r="144" spans="1:60">
      <c r="A144" s="7"/>
      <c r="B144" s="8"/>
      <c r="C144" s="9"/>
      <c r="D144" s="51"/>
      <c r="E144" s="51"/>
      <c r="F144" s="51"/>
      <c r="G144" s="51"/>
      <c r="H144" s="52"/>
      <c r="I144" s="52"/>
      <c r="J144" s="52"/>
      <c r="K144" s="24"/>
      <c r="L144" s="7"/>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c r="AU144" s="24"/>
      <c r="AV144" s="24"/>
      <c r="AW144" s="24"/>
      <c r="AX144" s="24"/>
      <c r="AY144" s="24"/>
      <c r="AZ144" s="24"/>
      <c r="BA144" s="24"/>
      <c r="BB144" s="24"/>
      <c r="BC144" s="24"/>
      <c r="BD144" s="24"/>
      <c r="BE144" s="24"/>
      <c r="BF144" s="24"/>
      <c r="BG144" s="24"/>
      <c r="BH144" s="24"/>
    </row>
    <row r="145" spans="1:60">
      <c r="A145" s="7"/>
      <c r="B145" s="8"/>
      <c r="C145" s="9"/>
      <c r="D145" s="51"/>
      <c r="E145" s="51"/>
      <c r="F145" s="51"/>
      <c r="G145" s="51"/>
      <c r="H145" s="52"/>
      <c r="I145" s="52"/>
      <c r="J145" s="52"/>
      <c r="K145" s="24"/>
      <c r="L145" s="7"/>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24"/>
      <c r="BA145" s="24"/>
      <c r="BB145" s="24"/>
      <c r="BC145" s="24"/>
      <c r="BD145" s="24"/>
      <c r="BE145" s="24"/>
      <c r="BF145" s="24"/>
      <c r="BG145" s="24"/>
      <c r="BH145" s="24"/>
    </row>
    <row r="146" spans="1:60">
      <c r="A146" s="7"/>
      <c r="B146" s="8"/>
      <c r="C146" s="9"/>
      <c r="D146" s="51"/>
      <c r="E146" s="51"/>
      <c r="F146" s="51"/>
      <c r="G146" s="51"/>
      <c r="H146" s="52"/>
      <c r="I146" s="52"/>
      <c r="J146" s="52"/>
      <c r="K146" s="24"/>
      <c r="L146" s="7"/>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c r="AU146" s="24"/>
      <c r="AV146" s="24"/>
      <c r="AW146" s="24"/>
      <c r="AX146" s="24"/>
      <c r="AY146" s="24"/>
      <c r="AZ146" s="24"/>
      <c r="BA146" s="24"/>
      <c r="BB146" s="24"/>
      <c r="BC146" s="24"/>
      <c r="BD146" s="24"/>
      <c r="BE146" s="24"/>
      <c r="BF146" s="24"/>
      <c r="BG146" s="24"/>
      <c r="BH146" s="24"/>
    </row>
    <row r="147" spans="1:60">
      <c r="A147" s="7"/>
      <c r="B147" s="8"/>
      <c r="C147" s="9"/>
      <c r="D147" s="51"/>
      <c r="E147" s="51"/>
      <c r="F147" s="51"/>
      <c r="G147" s="51"/>
      <c r="H147" s="52"/>
      <c r="I147" s="52"/>
      <c r="J147" s="52"/>
      <c r="K147" s="24"/>
      <c r="L147" s="7"/>
      <c r="M147" s="24"/>
      <c r="N147" s="24"/>
      <c r="O147" s="24"/>
      <c r="P147" s="24"/>
      <c r="Q147" s="24"/>
      <c r="R147" s="24"/>
      <c r="S147" s="24"/>
      <c r="T147" s="24"/>
      <c r="U147" s="24"/>
      <c r="V147" s="24"/>
      <c r="W147" s="24"/>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c r="AU147" s="24"/>
      <c r="AV147" s="24"/>
      <c r="AW147" s="24"/>
      <c r="AX147" s="24"/>
      <c r="AY147" s="24"/>
      <c r="AZ147" s="24"/>
      <c r="BA147" s="24"/>
      <c r="BB147" s="24"/>
      <c r="BC147" s="24"/>
      <c r="BD147" s="24"/>
      <c r="BE147" s="24"/>
      <c r="BF147" s="24"/>
      <c r="BG147" s="24"/>
      <c r="BH147" s="24"/>
    </row>
    <row r="148" spans="1:60">
      <c r="A148" s="7"/>
      <c r="B148" s="8"/>
      <c r="C148" s="9"/>
      <c r="D148" s="51"/>
      <c r="E148" s="51"/>
      <c r="F148" s="51"/>
      <c r="G148" s="51"/>
      <c r="H148" s="52"/>
      <c r="I148" s="52"/>
      <c r="J148" s="52"/>
      <c r="K148" s="24"/>
      <c r="L148" s="7"/>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24"/>
      <c r="BA148" s="24"/>
      <c r="BB148" s="24"/>
      <c r="BC148" s="24"/>
      <c r="BD148" s="24"/>
      <c r="BE148" s="24"/>
      <c r="BF148" s="24"/>
      <c r="BG148" s="24"/>
      <c r="BH148" s="24"/>
    </row>
    <row r="149" spans="1:60">
      <c r="A149" s="7"/>
      <c r="B149" s="8"/>
      <c r="C149" s="9"/>
      <c r="D149" s="51"/>
      <c r="E149" s="51"/>
      <c r="F149" s="51"/>
      <c r="G149" s="51"/>
      <c r="H149" s="52"/>
      <c r="I149" s="52"/>
      <c r="J149" s="52"/>
      <c r="K149" s="24"/>
      <c r="L149" s="7"/>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24"/>
      <c r="BA149" s="24"/>
      <c r="BB149" s="24"/>
      <c r="BC149" s="24"/>
      <c r="BD149" s="24"/>
      <c r="BE149" s="24"/>
      <c r="BF149" s="24"/>
      <c r="BG149" s="24"/>
      <c r="BH149" s="24"/>
    </row>
    <row r="150" spans="1:60">
      <c r="A150" s="7"/>
      <c r="B150" s="8"/>
      <c r="C150" s="9"/>
      <c r="D150" s="51"/>
      <c r="E150" s="51"/>
      <c r="F150" s="51"/>
      <c r="G150" s="51"/>
      <c r="H150" s="52"/>
      <c r="I150" s="52"/>
      <c r="J150" s="52"/>
      <c r="K150" s="24"/>
      <c r="L150" s="7"/>
      <c r="M150" s="24"/>
      <c r="N150" s="24"/>
      <c r="O150" s="24"/>
      <c r="P150" s="24"/>
      <c r="Q150" s="24"/>
      <c r="R150" s="24"/>
      <c r="S150" s="24"/>
      <c r="T150" s="24"/>
      <c r="U150" s="24"/>
      <c r="V150" s="24"/>
      <c r="W150" s="24"/>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c r="AU150" s="24"/>
      <c r="AV150" s="24"/>
      <c r="AW150" s="24"/>
      <c r="AX150" s="24"/>
      <c r="AY150" s="24"/>
      <c r="AZ150" s="24"/>
      <c r="BA150" s="24"/>
      <c r="BB150" s="24"/>
      <c r="BC150" s="24"/>
      <c r="BD150" s="24"/>
      <c r="BE150" s="24"/>
      <c r="BF150" s="24"/>
      <c r="BG150" s="24"/>
      <c r="BH150" s="24"/>
    </row>
    <row r="151" spans="1:60">
      <c r="A151" s="7"/>
      <c r="B151" s="8"/>
      <c r="C151" s="9"/>
      <c r="D151" s="51"/>
      <c r="E151" s="51"/>
      <c r="F151" s="51"/>
      <c r="G151" s="51"/>
      <c r="H151" s="52"/>
      <c r="I151" s="52"/>
      <c r="J151" s="52"/>
      <c r="K151" s="24"/>
      <c r="L151" s="7"/>
      <c r="M151" s="24"/>
      <c r="N151" s="24"/>
      <c r="O151" s="24"/>
      <c r="P151" s="24"/>
      <c r="Q151" s="24"/>
      <c r="R151" s="24"/>
      <c r="S151" s="24"/>
      <c r="T151" s="24"/>
      <c r="U151" s="24"/>
      <c r="V151" s="24"/>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24"/>
      <c r="BD151" s="24"/>
      <c r="BE151" s="24"/>
      <c r="BF151" s="24"/>
      <c r="BG151" s="24"/>
      <c r="BH151" s="24"/>
    </row>
    <row r="152" spans="1:60">
      <c r="A152" s="7"/>
      <c r="B152" s="8"/>
      <c r="C152" s="9"/>
      <c r="D152" s="51"/>
      <c r="E152" s="51"/>
      <c r="F152" s="51"/>
      <c r="G152" s="51"/>
      <c r="H152" s="52"/>
      <c r="I152" s="52"/>
      <c r="J152" s="52"/>
      <c r="K152" s="24"/>
      <c r="L152" s="7"/>
      <c r="M152" s="24"/>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24"/>
      <c r="BA152" s="24"/>
      <c r="BB152" s="24"/>
      <c r="BC152" s="24"/>
      <c r="BD152" s="24"/>
      <c r="BE152" s="24"/>
      <c r="BF152" s="24"/>
      <c r="BG152" s="24"/>
      <c r="BH152" s="24"/>
    </row>
    <row r="153" spans="1:60">
      <c r="A153" s="7"/>
      <c r="B153" s="8"/>
      <c r="C153" s="9"/>
      <c r="D153" s="51"/>
      <c r="E153" s="51"/>
      <c r="F153" s="51"/>
      <c r="G153" s="51"/>
      <c r="H153" s="52"/>
      <c r="I153" s="52"/>
      <c r="J153" s="52"/>
      <c r="K153" s="24"/>
      <c r="L153" s="7"/>
      <c r="M153" s="24"/>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c r="AM153" s="24"/>
      <c r="AN153" s="24"/>
      <c r="AO153" s="24"/>
      <c r="AP153" s="24"/>
      <c r="AQ153" s="24"/>
      <c r="AR153" s="24"/>
      <c r="AS153" s="24"/>
      <c r="AT153" s="24"/>
      <c r="AU153" s="24"/>
      <c r="AV153" s="24"/>
      <c r="AW153" s="24"/>
      <c r="AX153" s="24"/>
      <c r="AY153" s="24"/>
      <c r="AZ153" s="24"/>
      <c r="BA153" s="24"/>
      <c r="BB153" s="24"/>
      <c r="BC153" s="24"/>
      <c r="BD153" s="24"/>
      <c r="BE153" s="24"/>
      <c r="BF153" s="24"/>
      <c r="BG153" s="24"/>
      <c r="BH153" s="24"/>
    </row>
    <row r="154" spans="1:60">
      <c r="A154" s="7"/>
      <c r="B154" s="8"/>
      <c r="C154" s="9"/>
      <c r="D154" s="51"/>
      <c r="E154" s="51"/>
      <c r="F154" s="51"/>
      <c r="G154" s="51"/>
      <c r="H154" s="52"/>
      <c r="I154" s="52"/>
      <c r="J154" s="52"/>
      <c r="K154" s="24"/>
      <c r="L154" s="7"/>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4"/>
      <c r="BF154" s="24"/>
      <c r="BG154" s="24"/>
      <c r="BH154" s="24"/>
    </row>
    <row r="155" spans="1:60">
      <c r="A155" s="7"/>
      <c r="B155" s="8"/>
      <c r="C155" s="9"/>
      <c r="D155" s="51"/>
      <c r="E155" s="51"/>
      <c r="F155" s="51"/>
      <c r="G155" s="51"/>
      <c r="H155" s="52"/>
      <c r="I155" s="52"/>
      <c r="J155" s="52"/>
      <c r="K155" s="24"/>
      <c r="L155" s="7"/>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row>
    <row r="156" spans="1:60">
      <c r="A156" s="7"/>
      <c r="B156" s="8"/>
      <c r="C156" s="9"/>
      <c r="D156" s="51"/>
      <c r="E156" s="51"/>
      <c r="F156" s="51"/>
      <c r="G156" s="51"/>
      <c r="H156" s="52"/>
      <c r="I156" s="52"/>
      <c r="J156" s="52"/>
      <c r="K156" s="24"/>
      <c r="L156" s="7"/>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4"/>
      <c r="BF156" s="24"/>
      <c r="BG156" s="24"/>
      <c r="BH156" s="24"/>
    </row>
    <row r="157" spans="1:60">
      <c r="A157" s="7"/>
      <c r="B157" s="8"/>
      <c r="C157" s="9"/>
      <c r="D157" s="51"/>
      <c r="E157" s="51"/>
      <c r="F157" s="51"/>
      <c r="G157" s="51"/>
      <c r="H157" s="52"/>
      <c r="I157" s="52"/>
      <c r="J157" s="52"/>
      <c r="K157" s="24"/>
      <c r="L157" s="7"/>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4"/>
      <c r="BF157" s="24"/>
      <c r="BG157" s="24"/>
      <c r="BH157" s="24"/>
    </row>
    <row r="158" spans="1:60">
      <c r="A158" s="7"/>
      <c r="B158" s="8"/>
      <c r="C158" s="9"/>
      <c r="D158" s="51"/>
      <c r="E158" s="51"/>
      <c r="F158" s="51"/>
      <c r="G158" s="51"/>
      <c r="H158" s="52"/>
      <c r="I158" s="52"/>
      <c r="J158" s="52"/>
      <c r="K158" s="24"/>
      <c r="L158" s="7"/>
      <c r="M158" s="24"/>
      <c r="N158" s="24"/>
      <c r="O158" s="24"/>
      <c r="P158" s="24"/>
      <c r="Q158" s="24"/>
      <c r="R158" s="24"/>
      <c r="S158" s="24"/>
      <c r="T158" s="24"/>
      <c r="U158" s="24"/>
      <c r="V158" s="24"/>
      <c r="W158" s="24"/>
      <c r="X158" s="24"/>
      <c r="Y158" s="24"/>
      <c r="Z158" s="24"/>
      <c r="AA158" s="24"/>
      <c r="AB158" s="24"/>
      <c r="AC158" s="24"/>
      <c r="AD158" s="24"/>
      <c r="AE158" s="24"/>
      <c r="AF158" s="24"/>
      <c r="AG158" s="24"/>
      <c r="AH158" s="24"/>
      <c r="AI158" s="24"/>
      <c r="AJ158" s="24"/>
      <c r="AK158" s="24"/>
      <c r="AL158" s="24"/>
      <c r="AM158" s="24"/>
      <c r="AN158" s="24"/>
      <c r="AO158" s="24"/>
      <c r="AP158" s="24"/>
      <c r="AQ158" s="24"/>
      <c r="AR158" s="24"/>
      <c r="AS158" s="24"/>
      <c r="AT158" s="24"/>
      <c r="AU158" s="24"/>
      <c r="AV158" s="24"/>
      <c r="AW158" s="24"/>
      <c r="AX158" s="24"/>
      <c r="AY158" s="24"/>
      <c r="AZ158" s="24"/>
      <c r="BA158" s="24"/>
      <c r="BB158" s="24"/>
      <c r="BC158" s="24"/>
      <c r="BD158" s="24"/>
      <c r="BE158" s="24"/>
      <c r="BF158" s="24"/>
      <c r="BG158" s="24"/>
      <c r="BH158" s="24"/>
    </row>
    <row r="159" spans="1:60">
      <c r="A159" s="7"/>
      <c r="B159" s="8"/>
      <c r="C159" s="9"/>
      <c r="D159" s="51"/>
      <c r="E159" s="51"/>
      <c r="F159" s="51"/>
      <c r="G159" s="51"/>
      <c r="H159" s="52"/>
      <c r="I159" s="52"/>
      <c r="J159" s="52"/>
      <c r="K159" s="24"/>
      <c r="L159" s="7"/>
      <c r="M159" s="24"/>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4"/>
      <c r="AK159" s="24"/>
      <c r="AL159" s="24"/>
      <c r="AM159" s="24"/>
      <c r="AN159" s="24"/>
      <c r="AO159" s="24"/>
      <c r="AP159" s="24"/>
      <c r="AQ159" s="24"/>
      <c r="AR159" s="24"/>
      <c r="AS159" s="24"/>
      <c r="AT159" s="24"/>
      <c r="AU159" s="24"/>
      <c r="AV159" s="24"/>
      <c r="AW159" s="24"/>
      <c r="AX159" s="24"/>
      <c r="AY159" s="24"/>
      <c r="AZ159" s="24"/>
      <c r="BA159" s="24"/>
      <c r="BB159" s="24"/>
      <c r="BC159" s="24"/>
      <c r="BD159" s="24"/>
      <c r="BE159" s="24"/>
      <c r="BF159" s="24"/>
      <c r="BG159" s="24"/>
      <c r="BH159" s="24"/>
    </row>
    <row r="160" spans="1:60">
      <c r="A160" s="7"/>
      <c r="B160" s="8"/>
      <c r="C160" s="9"/>
      <c r="D160" s="51"/>
      <c r="E160" s="51"/>
      <c r="F160" s="51"/>
      <c r="G160" s="51"/>
      <c r="H160" s="52"/>
      <c r="I160" s="52"/>
      <c r="J160" s="52"/>
      <c r="K160" s="24"/>
      <c r="L160" s="7"/>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c r="AU160" s="24"/>
      <c r="AV160" s="24"/>
      <c r="AW160" s="24"/>
      <c r="AX160" s="24"/>
      <c r="AY160" s="24"/>
      <c r="AZ160" s="24"/>
      <c r="BA160" s="24"/>
      <c r="BB160" s="24"/>
      <c r="BC160" s="24"/>
      <c r="BD160" s="24"/>
      <c r="BE160" s="24"/>
      <c r="BF160" s="24"/>
      <c r="BG160" s="24"/>
      <c r="BH160" s="24"/>
    </row>
    <row r="161" spans="1:60">
      <c r="A161" s="7"/>
      <c r="B161" s="8"/>
      <c r="C161" s="9"/>
      <c r="D161" s="51"/>
      <c r="E161" s="51"/>
      <c r="F161" s="51"/>
      <c r="G161" s="51"/>
      <c r="H161" s="52"/>
      <c r="I161" s="52"/>
      <c r="J161" s="52"/>
      <c r="K161" s="24"/>
      <c r="L161" s="7"/>
      <c r="M161" s="24"/>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24"/>
      <c r="AL161" s="24"/>
      <c r="AM161" s="24"/>
      <c r="AN161" s="24"/>
      <c r="AO161" s="24"/>
      <c r="AP161" s="24"/>
      <c r="AQ161" s="24"/>
      <c r="AR161" s="24"/>
      <c r="AS161" s="24"/>
      <c r="AT161" s="24"/>
      <c r="AU161" s="24"/>
      <c r="AV161" s="24"/>
      <c r="AW161" s="24"/>
      <c r="AX161" s="24"/>
      <c r="AY161" s="24"/>
      <c r="AZ161" s="24"/>
      <c r="BA161" s="24"/>
      <c r="BB161" s="24"/>
      <c r="BC161" s="24"/>
      <c r="BD161" s="24"/>
      <c r="BE161" s="24"/>
      <c r="BF161" s="24"/>
      <c r="BG161" s="24"/>
      <c r="BH161" s="24"/>
    </row>
    <row r="162" spans="1:60">
      <c r="A162" s="7"/>
      <c r="B162" s="8"/>
      <c r="C162" s="9"/>
      <c r="D162" s="51"/>
      <c r="E162" s="51"/>
      <c r="F162" s="51"/>
      <c r="G162" s="51"/>
      <c r="H162" s="52"/>
      <c r="I162" s="52"/>
      <c r="J162" s="52"/>
      <c r="K162" s="24"/>
      <c r="L162" s="7"/>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24"/>
      <c r="AW162" s="24"/>
      <c r="AX162" s="24"/>
      <c r="AY162" s="24"/>
      <c r="AZ162" s="24"/>
      <c r="BA162" s="24"/>
      <c r="BB162" s="24"/>
      <c r="BC162" s="24"/>
      <c r="BD162" s="24"/>
      <c r="BE162" s="24"/>
      <c r="BF162" s="24"/>
      <c r="BG162" s="24"/>
      <c r="BH162" s="24"/>
    </row>
    <row r="163" spans="1:60">
      <c r="A163" s="7"/>
      <c r="B163" s="8"/>
      <c r="C163" s="9"/>
      <c r="D163" s="51"/>
      <c r="E163" s="51"/>
      <c r="F163" s="51"/>
      <c r="G163" s="51"/>
      <c r="H163" s="52"/>
      <c r="I163" s="52"/>
      <c r="J163" s="52"/>
      <c r="K163" s="24"/>
      <c r="L163" s="7"/>
      <c r="M163" s="24"/>
      <c r="N163" s="24"/>
      <c r="O163" s="24"/>
      <c r="P163" s="24"/>
      <c r="Q163" s="24"/>
      <c r="R163" s="24"/>
      <c r="S163" s="24"/>
      <c r="T163" s="24"/>
      <c r="U163" s="24"/>
      <c r="V163" s="24"/>
      <c r="W163" s="24"/>
      <c r="X163" s="24"/>
      <c r="Y163" s="24"/>
      <c r="Z163" s="24"/>
      <c r="AA163" s="24"/>
      <c r="AB163" s="24"/>
      <c r="AC163" s="24"/>
      <c r="AD163" s="24"/>
      <c r="AE163" s="24"/>
      <c r="AF163" s="24"/>
      <c r="AG163" s="24"/>
      <c r="AH163" s="24"/>
      <c r="AI163" s="24"/>
      <c r="AJ163" s="24"/>
      <c r="AK163" s="24"/>
      <c r="AL163" s="24"/>
      <c r="AM163" s="24"/>
      <c r="AN163" s="24"/>
      <c r="AO163" s="24"/>
      <c r="AP163" s="24"/>
      <c r="AQ163" s="24"/>
      <c r="AR163" s="24"/>
      <c r="AS163" s="24"/>
      <c r="AT163" s="24"/>
      <c r="AU163" s="24"/>
      <c r="AV163" s="24"/>
      <c r="AW163" s="24"/>
      <c r="AX163" s="24"/>
      <c r="AY163" s="24"/>
      <c r="AZ163" s="24"/>
      <c r="BA163" s="24"/>
      <c r="BB163" s="24"/>
      <c r="BC163" s="24"/>
      <c r="BD163" s="24"/>
      <c r="BE163" s="24"/>
      <c r="BF163" s="24"/>
      <c r="BG163" s="24"/>
      <c r="BH163" s="24"/>
    </row>
    <row r="164" spans="1:60">
      <c r="A164" s="7"/>
      <c r="B164" s="8"/>
      <c r="C164" s="9"/>
      <c r="D164" s="51"/>
      <c r="E164" s="51"/>
      <c r="F164" s="51"/>
      <c r="G164" s="51"/>
      <c r="H164" s="52"/>
      <c r="I164" s="52"/>
      <c r="J164" s="52"/>
      <c r="K164" s="24"/>
      <c r="L164" s="7"/>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4"/>
      <c r="AK164" s="24"/>
      <c r="AL164" s="24"/>
      <c r="AM164" s="24"/>
      <c r="AN164" s="24"/>
      <c r="AO164" s="24"/>
      <c r="AP164" s="24"/>
      <c r="AQ164" s="24"/>
      <c r="AR164" s="24"/>
      <c r="AS164" s="24"/>
      <c r="AT164" s="24"/>
      <c r="AU164" s="24"/>
      <c r="AV164" s="24"/>
      <c r="AW164" s="24"/>
      <c r="AX164" s="24"/>
      <c r="AY164" s="24"/>
      <c r="AZ164" s="24"/>
      <c r="BA164" s="24"/>
      <c r="BB164" s="24"/>
      <c r="BC164" s="24"/>
      <c r="BD164" s="24"/>
      <c r="BE164" s="24"/>
      <c r="BF164" s="24"/>
      <c r="BG164" s="24"/>
      <c r="BH164" s="24"/>
    </row>
    <row r="165" spans="1:60">
      <c r="A165" s="7"/>
      <c r="B165" s="8"/>
      <c r="C165" s="9"/>
      <c r="D165" s="51"/>
      <c r="E165" s="51"/>
      <c r="F165" s="51"/>
      <c r="G165" s="51"/>
      <c r="H165" s="52"/>
      <c r="I165" s="52"/>
      <c r="J165" s="52"/>
      <c r="K165" s="24"/>
      <c r="L165" s="7"/>
      <c r="M165" s="24"/>
      <c r="N165" s="24"/>
      <c r="O165" s="24"/>
      <c r="P165" s="24"/>
      <c r="Q165" s="24"/>
      <c r="R165" s="24"/>
      <c r="S165" s="24"/>
      <c r="T165" s="24"/>
      <c r="U165" s="24"/>
      <c r="V165" s="24"/>
      <c r="W165" s="24"/>
      <c r="X165" s="24"/>
      <c r="Y165" s="24"/>
      <c r="Z165" s="24"/>
      <c r="AA165" s="24"/>
      <c r="AB165" s="24"/>
      <c r="AC165" s="24"/>
      <c r="AD165" s="24"/>
      <c r="AE165" s="24"/>
      <c r="AF165" s="24"/>
      <c r="AG165" s="24"/>
      <c r="AH165" s="24"/>
      <c r="AI165" s="24"/>
      <c r="AJ165" s="24"/>
      <c r="AK165" s="24"/>
      <c r="AL165" s="24"/>
      <c r="AM165" s="24"/>
      <c r="AN165" s="24"/>
      <c r="AO165" s="24"/>
      <c r="AP165" s="24"/>
      <c r="AQ165" s="24"/>
      <c r="AR165" s="24"/>
      <c r="AS165" s="24"/>
      <c r="AT165" s="24"/>
      <c r="AU165" s="24"/>
      <c r="AV165" s="24"/>
      <c r="AW165" s="24"/>
      <c r="AX165" s="24"/>
      <c r="AY165" s="24"/>
      <c r="AZ165" s="24"/>
      <c r="BA165" s="24"/>
      <c r="BB165" s="24"/>
      <c r="BC165" s="24"/>
      <c r="BD165" s="24"/>
      <c r="BE165" s="24"/>
      <c r="BF165" s="24"/>
      <c r="BG165" s="24"/>
      <c r="BH165" s="24"/>
    </row>
    <row r="166" spans="1:60">
      <c r="A166" s="7"/>
      <c r="B166" s="8"/>
      <c r="C166" s="9"/>
      <c r="D166" s="51"/>
      <c r="E166" s="51"/>
      <c r="F166" s="51"/>
      <c r="G166" s="51"/>
      <c r="H166" s="52"/>
      <c r="I166" s="52"/>
      <c r="J166" s="52"/>
      <c r="K166" s="24"/>
      <c r="L166" s="7"/>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c r="AU166" s="24"/>
      <c r="AV166" s="24"/>
      <c r="AW166" s="24"/>
      <c r="AX166" s="24"/>
      <c r="AY166" s="24"/>
      <c r="AZ166" s="24"/>
      <c r="BA166" s="24"/>
      <c r="BB166" s="24"/>
      <c r="BC166" s="24"/>
      <c r="BD166" s="24"/>
      <c r="BE166" s="24"/>
      <c r="BF166" s="24"/>
      <c r="BG166" s="24"/>
      <c r="BH166" s="24"/>
    </row>
    <row r="167" spans="1:60">
      <c r="A167" s="7"/>
      <c r="B167" s="8"/>
      <c r="C167" s="9"/>
      <c r="D167" s="51"/>
      <c r="E167" s="51"/>
      <c r="F167" s="51"/>
      <c r="G167" s="51"/>
      <c r="H167" s="52"/>
      <c r="I167" s="52"/>
      <c r="J167" s="52"/>
      <c r="K167" s="24"/>
      <c r="L167" s="7"/>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24"/>
      <c r="BB167" s="24"/>
      <c r="BC167" s="24"/>
      <c r="BD167" s="24"/>
      <c r="BE167" s="24"/>
      <c r="BF167" s="24"/>
      <c r="BG167" s="24"/>
      <c r="BH167" s="24"/>
    </row>
    <row r="168" spans="1:60">
      <c r="A168" s="7"/>
      <c r="B168" s="8"/>
      <c r="C168" s="9"/>
      <c r="D168" s="51"/>
      <c r="E168" s="51"/>
      <c r="F168" s="51"/>
      <c r="G168" s="51"/>
      <c r="H168" s="52"/>
      <c r="I168" s="52"/>
      <c r="J168" s="52"/>
      <c r="K168" s="24"/>
      <c r="L168" s="7"/>
      <c r="M168" s="24"/>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4"/>
      <c r="AL168" s="24"/>
      <c r="AM168" s="24"/>
      <c r="AN168" s="24"/>
      <c r="AO168" s="24"/>
      <c r="AP168" s="24"/>
      <c r="AQ168" s="24"/>
      <c r="AR168" s="24"/>
      <c r="AS168" s="24"/>
      <c r="AT168" s="24"/>
      <c r="AU168" s="24"/>
      <c r="AV168" s="24"/>
      <c r="AW168" s="24"/>
      <c r="AX168" s="24"/>
      <c r="AY168" s="24"/>
      <c r="AZ168" s="24"/>
      <c r="BA168" s="24"/>
      <c r="BB168" s="24"/>
      <c r="BC168" s="24"/>
      <c r="BD168" s="24"/>
      <c r="BE168" s="24"/>
      <c r="BF168" s="24"/>
      <c r="BG168" s="24"/>
      <c r="BH168" s="24"/>
    </row>
    <row r="169" spans="1:60">
      <c r="A169" s="7"/>
      <c r="B169" s="8"/>
      <c r="C169" s="9"/>
      <c r="D169" s="51"/>
      <c r="E169" s="51"/>
      <c r="F169" s="51"/>
      <c r="G169" s="51"/>
      <c r="H169" s="52"/>
      <c r="I169" s="52"/>
      <c r="J169" s="52"/>
      <c r="K169" s="24"/>
      <c r="L169" s="7"/>
      <c r="M169" s="24"/>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4"/>
      <c r="AK169" s="24"/>
      <c r="AL169" s="24"/>
      <c r="AM169" s="24"/>
      <c r="AN169" s="24"/>
      <c r="AO169" s="24"/>
      <c r="AP169" s="24"/>
      <c r="AQ169" s="24"/>
      <c r="AR169" s="24"/>
      <c r="AS169" s="24"/>
      <c r="AT169" s="24"/>
      <c r="AU169" s="24"/>
      <c r="AV169" s="24"/>
      <c r="AW169" s="24"/>
      <c r="AX169" s="24"/>
      <c r="AY169" s="24"/>
      <c r="AZ169" s="24"/>
      <c r="BA169" s="24"/>
      <c r="BB169" s="24"/>
      <c r="BC169" s="24"/>
      <c r="BD169" s="24"/>
      <c r="BE169" s="24"/>
      <c r="BF169" s="24"/>
      <c r="BG169" s="24"/>
      <c r="BH169" s="24"/>
    </row>
    <row r="170" spans="1:60">
      <c r="A170" s="7"/>
      <c r="B170" s="8"/>
      <c r="C170" s="9"/>
      <c r="D170" s="51"/>
      <c r="E170" s="51"/>
      <c r="F170" s="51"/>
      <c r="G170" s="51"/>
      <c r="H170" s="52"/>
      <c r="I170" s="52"/>
      <c r="J170" s="52"/>
      <c r="K170" s="24"/>
      <c r="L170" s="7"/>
      <c r="M170" s="24"/>
      <c r="N170" s="24"/>
      <c r="O170" s="24"/>
      <c r="P170" s="24"/>
      <c r="Q170" s="24"/>
      <c r="R170" s="24"/>
      <c r="S170" s="24"/>
      <c r="T170" s="24"/>
      <c r="U170" s="24"/>
      <c r="V170" s="24"/>
      <c r="W170" s="24"/>
      <c r="X170" s="24"/>
      <c r="Y170" s="24"/>
      <c r="Z170" s="24"/>
      <c r="AA170" s="24"/>
      <c r="AB170" s="24"/>
      <c r="AC170" s="24"/>
      <c r="AD170" s="24"/>
      <c r="AE170" s="24"/>
      <c r="AF170" s="24"/>
      <c r="AG170" s="24"/>
      <c r="AH170" s="24"/>
      <c r="AI170" s="24"/>
      <c r="AJ170" s="24"/>
      <c r="AK170" s="24"/>
      <c r="AL170" s="24"/>
      <c r="AM170" s="24"/>
      <c r="AN170" s="24"/>
      <c r="AO170" s="24"/>
      <c r="AP170" s="24"/>
      <c r="AQ170" s="24"/>
      <c r="AR170" s="24"/>
      <c r="AS170" s="24"/>
      <c r="AT170" s="24"/>
      <c r="AU170" s="24"/>
      <c r="AV170" s="24"/>
      <c r="AW170" s="24"/>
      <c r="AX170" s="24"/>
      <c r="AY170" s="24"/>
      <c r="AZ170" s="24"/>
      <c r="BA170" s="24"/>
      <c r="BB170" s="24"/>
      <c r="BC170" s="24"/>
      <c r="BD170" s="24"/>
      <c r="BE170" s="24"/>
      <c r="BF170" s="24"/>
      <c r="BG170" s="24"/>
      <c r="BH170" s="24"/>
    </row>
    <row r="171" spans="1:60">
      <c r="A171" s="7"/>
      <c r="B171" s="8"/>
      <c r="C171" s="9"/>
      <c r="D171" s="51"/>
      <c r="E171" s="51"/>
      <c r="F171" s="51"/>
      <c r="G171" s="51"/>
      <c r="H171" s="52"/>
      <c r="I171" s="52"/>
      <c r="J171" s="52"/>
      <c r="K171" s="24"/>
      <c r="L171" s="7"/>
      <c r="M171" s="24"/>
      <c r="N171" s="24"/>
      <c r="O171" s="24"/>
      <c r="P171" s="24"/>
      <c r="Q171" s="24"/>
      <c r="R171" s="24"/>
      <c r="S171" s="24"/>
      <c r="T171" s="24"/>
      <c r="U171" s="24"/>
      <c r="V171" s="24"/>
      <c r="W171" s="24"/>
      <c r="X171" s="24"/>
      <c r="Y171" s="24"/>
      <c r="Z171" s="24"/>
      <c r="AA171" s="24"/>
      <c r="AB171" s="24"/>
      <c r="AC171" s="24"/>
      <c r="AD171" s="24"/>
      <c r="AE171" s="24"/>
      <c r="AF171" s="24"/>
      <c r="AG171" s="24"/>
      <c r="AH171" s="24"/>
      <c r="AI171" s="24"/>
      <c r="AJ171" s="24"/>
      <c r="AK171" s="24"/>
      <c r="AL171" s="24"/>
      <c r="AM171" s="24"/>
      <c r="AN171" s="24"/>
      <c r="AO171" s="24"/>
      <c r="AP171" s="24"/>
      <c r="AQ171" s="24"/>
      <c r="AR171" s="24"/>
      <c r="AS171" s="24"/>
      <c r="AT171" s="24"/>
      <c r="AU171" s="24"/>
      <c r="AV171" s="24"/>
      <c r="AW171" s="24"/>
      <c r="AX171" s="24"/>
      <c r="AY171" s="24"/>
      <c r="AZ171" s="24"/>
      <c r="BA171" s="24"/>
      <c r="BB171" s="24"/>
      <c r="BC171" s="24"/>
      <c r="BD171" s="24"/>
      <c r="BE171" s="24"/>
      <c r="BF171" s="24"/>
      <c r="BG171" s="24"/>
      <c r="BH171" s="24"/>
    </row>
    <row r="172" spans="1:60">
      <c r="A172" s="7"/>
      <c r="B172" s="8"/>
      <c r="C172" s="9"/>
      <c r="D172" s="51"/>
      <c r="E172" s="51"/>
      <c r="F172" s="51"/>
      <c r="G172" s="51"/>
      <c r="H172" s="52"/>
      <c r="I172" s="52"/>
      <c r="J172" s="52"/>
      <c r="K172" s="24"/>
      <c r="L172" s="7"/>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c r="AM172" s="24"/>
      <c r="AN172" s="24"/>
      <c r="AO172" s="24"/>
      <c r="AP172" s="24"/>
      <c r="AQ172" s="24"/>
      <c r="AR172" s="24"/>
      <c r="AS172" s="24"/>
      <c r="AT172" s="24"/>
      <c r="AU172" s="24"/>
      <c r="AV172" s="24"/>
      <c r="AW172" s="24"/>
      <c r="AX172" s="24"/>
      <c r="AY172" s="24"/>
      <c r="AZ172" s="24"/>
      <c r="BA172" s="24"/>
      <c r="BB172" s="24"/>
      <c r="BC172" s="24"/>
      <c r="BD172" s="24"/>
      <c r="BE172" s="24"/>
      <c r="BF172" s="24"/>
      <c r="BG172" s="24"/>
      <c r="BH172" s="24"/>
    </row>
    <row r="173" spans="1:60">
      <c r="A173" s="7"/>
      <c r="B173" s="8"/>
      <c r="C173" s="9"/>
      <c r="D173" s="51"/>
      <c r="E173" s="51"/>
      <c r="F173" s="51"/>
      <c r="G173" s="51"/>
      <c r="H173" s="52"/>
      <c r="I173" s="52"/>
      <c r="J173" s="52"/>
      <c r="K173" s="24"/>
      <c r="L173" s="7"/>
      <c r="M173" s="24"/>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c r="AM173" s="24"/>
      <c r="AN173" s="24"/>
      <c r="AO173" s="24"/>
      <c r="AP173" s="24"/>
      <c r="AQ173" s="24"/>
      <c r="AR173" s="24"/>
      <c r="AS173" s="24"/>
      <c r="AT173" s="24"/>
      <c r="AU173" s="24"/>
      <c r="AV173" s="24"/>
      <c r="AW173" s="24"/>
      <c r="AX173" s="24"/>
      <c r="AY173" s="24"/>
      <c r="AZ173" s="24"/>
      <c r="BA173" s="24"/>
      <c r="BB173" s="24"/>
      <c r="BC173" s="24"/>
      <c r="BD173" s="24"/>
      <c r="BE173" s="24"/>
      <c r="BF173" s="24"/>
      <c r="BG173" s="24"/>
      <c r="BH173" s="24"/>
    </row>
    <row r="174" spans="1:60">
      <c r="A174" s="7"/>
      <c r="B174" s="8"/>
      <c r="C174" s="9"/>
      <c r="D174" s="51"/>
      <c r="E174" s="51"/>
      <c r="F174" s="51"/>
      <c r="G174" s="51"/>
      <c r="H174" s="52"/>
      <c r="I174" s="52"/>
      <c r="J174" s="52"/>
      <c r="K174" s="24"/>
      <c r="L174" s="7"/>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c r="AM174" s="24"/>
      <c r="AN174" s="24"/>
      <c r="AO174" s="24"/>
      <c r="AP174" s="24"/>
      <c r="AQ174" s="24"/>
      <c r="AR174" s="24"/>
      <c r="AS174" s="24"/>
      <c r="AT174" s="24"/>
      <c r="AU174" s="24"/>
      <c r="AV174" s="24"/>
      <c r="AW174" s="24"/>
      <c r="AX174" s="24"/>
      <c r="AY174" s="24"/>
      <c r="AZ174" s="24"/>
      <c r="BA174" s="24"/>
      <c r="BB174" s="24"/>
      <c r="BC174" s="24"/>
      <c r="BD174" s="24"/>
      <c r="BE174" s="24"/>
      <c r="BF174" s="24"/>
      <c r="BG174" s="24"/>
      <c r="BH174" s="24"/>
    </row>
    <row r="175" spans="1:60">
      <c r="A175" s="7"/>
      <c r="B175" s="8"/>
      <c r="C175" s="9"/>
      <c r="D175" s="51"/>
      <c r="E175" s="51"/>
      <c r="F175" s="51"/>
      <c r="G175" s="51"/>
      <c r="H175" s="52"/>
      <c r="I175" s="52"/>
      <c r="J175" s="52"/>
      <c r="K175" s="24"/>
      <c r="L175" s="7"/>
      <c r="M175" s="24"/>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c r="AK175" s="24"/>
      <c r="AL175" s="24"/>
      <c r="AM175" s="24"/>
      <c r="AN175" s="24"/>
      <c r="AO175" s="24"/>
      <c r="AP175" s="24"/>
      <c r="AQ175" s="24"/>
      <c r="AR175" s="24"/>
      <c r="AS175" s="24"/>
      <c r="AT175" s="24"/>
      <c r="AU175" s="24"/>
      <c r="AV175" s="24"/>
      <c r="AW175" s="24"/>
      <c r="AX175" s="24"/>
      <c r="AY175" s="24"/>
      <c r="AZ175" s="24"/>
      <c r="BA175" s="24"/>
      <c r="BB175" s="24"/>
      <c r="BC175" s="24"/>
      <c r="BD175" s="24"/>
      <c r="BE175" s="24"/>
      <c r="BF175" s="24"/>
      <c r="BG175" s="24"/>
      <c r="BH175" s="24"/>
    </row>
    <row r="176" spans="1:60">
      <c r="A176" s="7"/>
      <c r="B176" s="8"/>
      <c r="C176" s="9"/>
      <c r="D176" s="51"/>
      <c r="E176" s="51"/>
      <c r="F176" s="51"/>
      <c r="G176" s="51"/>
      <c r="H176" s="52"/>
      <c r="I176" s="52"/>
      <c r="J176" s="52"/>
      <c r="K176" s="24"/>
      <c r="L176" s="7"/>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c r="AK176" s="24"/>
      <c r="AL176" s="24"/>
      <c r="AM176" s="24"/>
      <c r="AN176" s="24"/>
      <c r="AO176" s="24"/>
      <c r="AP176" s="24"/>
      <c r="AQ176" s="24"/>
      <c r="AR176" s="24"/>
      <c r="AS176" s="24"/>
      <c r="AT176" s="24"/>
      <c r="AU176" s="24"/>
      <c r="AV176" s="24"/>
      <c r="AW176" s="24"/>
      <c r="AX176" s="24"/>
      <c r="AY176" s="24"/>
      <c r="AZ176" s="24"/>
      <c r="BA176" s="24"/>
      <c r="BB176" s="24"/>
      <c r="BC176" s="24"/>
      <c r="BD176" s="24"/>
      <c r="BE176" s="24"/>
      <c r="BF176" s="24"/>
      <c r="BG176" s="24"/>
      <c r="BH176" s="24"/>
    </row>
    <row r="177" spans="1:60">
      <c r="A177" s="7"/>
      <c r="B177" s="8"/>
      <c r="C177" s="9"/>
      <c r="D177" s="51"/>
      <c r="E177" s="51"/>
      <c r="F177" s="51"/>
      <c r="G177" s="51"/>
      <c r="H177" s="52"/>
      <c r="I177" s="52"/>
      <c r="J177" s="52"/>
      <c r="K177" s="24"/>
      <c r="L177" s="7"/>
      <c r="M177" s="24"/>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c r="AK177" s="24"/>
      <c r="AL177" s="24"/>
      <c r="AM177" s="24"/>
      <c r="AN177" s="24"/>
      <c r="AO177" s="24"/>
      <c r="AP177" s="24"/>
      <c r="AQ177" s="24"/>
      <c r="AR177" s="24"/>
      <c r="AS177" s="24"/>
      <c r="AT177" s="24"/>
      <c r="AU177" s="24"/>
      <c r="AV177" s="24"/>
      <c r="AW177" s="24"/>
      <c r="AX177" s="24"/>
      <c r="AY177" s="24"/>
      <c r="AZ177" s="24"/>
      <c r="BA177" s="24"/>
      <c r="BB177" s="24"/>
      <c r="BC177" s="24"/>
      <c r="BD177" s="24"/>
      <c r="BE177" s="24"/>
      <c r="BF177" s="24"/>
      <c r="BG177" s="24"/>
      <c r="BH177" s="24"/>
    </row>
    <row r="178" spans="1:60">
      <c r="A178" s="7"/>
      <c r="B178" s="8"/>
      <c r="C178" s="9"/>
      <c r="D178" s="51"/>
      <c r="E178" s="51"/>
      <c r="F178" s="51"/>
      <c r="G178" s="51"/>
      <c r="H178" s="52"/>
      <c r="I178" s="52"/>
      <c r="J178" s="52"/>
      <c r="K178" s="24"/>
      <c r="L178" s="7"/>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c r="AM178" s="24"/>
      <c r="AN178" s="24"/>
      <c r="AO178" s="24"/>
      <c r="AP178" s="24"/>
      <c r="AQ178" s="24"/>
      <c r="AR178" s="24"/>
      <c r="AS178" s="24"/>
      <c r="AT178" s="24"/>
      <c r="AU178" s="24"/>
      <c r="AV178" s="24"/>
      <c r="AW178" s="24"/>
      <c r="AX178" s="24"/>
      <c r="AY178" s="24"/>
      <c r="AZ178" s="24"/>
      <c r="BA178" s="24"/>
      <c r="BB178" s="24"/>
      <c r="BC178" s="24"/>
      <c r="BD178" s="24"/>
      <c r="BE178" s="24"/>
      <c r="BF178" s="24"/>
      <c r="BG178" s="24"/>
      <c r="BH178" s="24"/>
    </row>
    <row r="179" spans="1:60">
      <c r="A179" s="7"/>
      <c r="B179" s="8"/>
      <c r="C179" s="9"/>
      <c r="D179" s="51"/>
      <c r="E179" s="51"/>
      <c r="F179" s="51"/>
      <c r="G179" s="51"/>
      <c r="H179" s="52"/>
      <c r="I179" s="52"/>
      <c r="J179" s="52"/>
      <c r="K179" s="24"/>
      <c r="L179" s="7"/>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c r="AM179" s="24"/>
      <c r="AN179" s="24"/>
      <c r="AO179" s="24"/>
      <c r="AP179" s="24"/>
      <c r="AQ179" s="24"/>
      <c r="AR179" s="24"/>
      <c r="AS179" s="24"/>
      <c r="AT179" s="24"/>
      <c r="AU179" s="24"/>
      <c r="AV179" s="24"/>
      <c r="AW179" s="24"/>
      <c r="AX179" s="24"/>
      <c r="AY179" s="24"/>
      <c r="AZ179" s="24"/>
      <c r="BA179" s="24"/>
      <c r="BB179" s="24"/>
      <c r="BC179" s="24"/>
      <c r="BD179" s="24"/>
      <c r="BE179" s="24"/>
      <c r="BF179" s="24"/>
      <c r="BG179" s="24"/>
      <c r="BH179" s="24"/>
    </row>
    <row r="180" spans="1:60">
      <c r="A180" s="7"/>
      <c r="B180" s="8"/>
      <c r="C180" s="9"/>
      <c r="D180" s="51"/>
      <c r="E180" s="51"/>
      <c r="F180" s="51"/>
      <c r="G180" s="51"/>
      <c r="H180" s="52"/>
      <c r="I180" s="52"/>
      <c r="J180" s="52"/>
      <c r="K180" s="24"/>
      <c r="L180" s="7"/>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4"/>
      <c r="AM180" s="24"/>
      <c r="AN180" s="24"/>
      <c r="AO180" s="24"/>
      <c r="AP180" s="24"/>
      <c r="AQ180" s="24"/>
      <c r="AR180" s="24"/>
      <c r="AS180" s="24"/>
      <c r="AT180" s="24"/>
      <c r="AU180" s="24"/>
      <c r="AV180" s="24"/>
      <c r="AW180" s="24"/>
      <c r="AX180" s="24"/>
      <c r="AY180" s="24"/>
      <c r="AZ180" s="24"/>
      <c r="BA180" s="24"/>
      <c r="BB180" s="24"/>
      <c r="BC180" s="24"/>
      <c r="BD180" s="24"/>
      <c r="BE180" s="24"/>
      <c r="BF180" s="24"/>
      <c r="BG180" s="24"/>
      <c r="BH180" s="24"/>
    </row>
    <row r="181" spans="1:60">
      <c r="A181" s="7"/>
      <c r="B181" s="8"/>
      <c r="C181" s="9"/>
      <c r="D181" s="51"/>
      <c r="E181" s="51"/>
      <c r="F181" s="51"/>
      <c r="G181" s="51"/>
      <c r="H181" s="52"/>
      <c r="I181" s="52"/>
      <c r="J181" s="52"/>
      <c r="K181" s="24"/>
      <c r="L181" s="7"/>
      <c r="M181" s="24"/>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c r="AK181" s="24"/>
      <c r="AL181" s="24"/>
      <c r="AM181" s="24"/>
      <c r="AN181" s="24"/>
      <c r="AO181" s="24"/>
      <c r="AP181" s="24"/>
      <c r="AQ181" s="24"/>
      <c r="AR181" s="24"/>
      <c r="AS181" s="24"/>
      <c r="AT181" s="24"/>
      <c r="AU181" s="24"/>
      <c r="AV181" s="24"/>
      <c r="AW181" s="24"/>
      <c r="AX181" s="24"/>
      <c r="AY181" s="24"/>
      <c r="AZ181" s="24"/>
      <c r="BA181" s="24"/>
      <c r="BB181" s="24"/>
      <c r="BC181" s="24"/>
      <c r="BD181" s="24"/>
      <c r="BE181" s="24"/>
      <c r="BF181" s="24"/>
      <c r="BG181" s="24"/>
      <c r="BH181" s="24"/>
    </row>
    <row r="182" spans="1:60">
      <c r="A182" s="7"/>
      <c r="B182" s="8"/>
      <c r="C182" s="9"/>
      <c r="D182" s="51"/>
      <c r="E182" s="51"/>
      <c r="F182" s="51"/>
      <c r="G182" s="51"/>
      <c r="H182" s="52"/>
      <c r="I182" s="52"/>
      <c r="J182" s="52"/>
      <c r="K182" s="24"/>
      <c r="L182" s="7"/>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24"/>
      <c r="AU182" s="24"/>
      <c r="AV182" s="24"/>
      <c r="AW182" s="24"/>
      <c r="AX182" s="24"/>
      <c r="AY182" s="24"/>
      <c r="AZ182" s="24"/>
      <c r="BA182" s="24"/>
      <c r="BB182" s="24"/>
      <c r="BC182" s="24"/>
      <c r="BD182" s="24"/>
      <c r="BE182" s="24"/>
      <c r="BF182" s="24"/>
      <c r="BG182" s="24"/>
      <c r="BH182" s="24"/>
    </row>
    <row r="183" spans="1:60">
      <c r="A183" s="7"/>
      <c r="B183" s="8"/>
      <c r="C183" s="9"/>
      <c r="D183" s="51"/>
      <c r="E183" s="51"/>
      <c r="F183" s="51"/>
      <c r="G183" s="51"/>
      <c r="H183" s="52"/>
      <c r="I183" s="52"/>
      <c r="J183" s="52"/>
      <c r="K183" s="24"/>
      <c r="L183" s="7"/>
      <c r="M183" s="24"/>
      <c r="N183" s="24"/>
      <c r="O183" s="24"/>
      <c r="P183" s="24"/>
      <c r="Q183" s="24"/>
      <c r="R183" s="24"/>
      <c r="S183" s="24"/>
      <c r="T183" s="24"/>
      <c r="U183" s="24"/>
      <c r="V183" s="24"/>
      <c r="W183" s="24"/>
      <c r="X183" s="24"/>
      <c r="Y183" s="24"/>
      <c r="Z183" s="24"/>
      <c r="AA183" s="24"/>
      <c r="AB183" s="24"/>
      <c r="AC183" s="24"/>
      <c r="AD183" s="24"/>
      <c r="AE183" s="24"/>
      <c r="AF183" s="24"/>
      <c r="AG183" s="24"/>
      <c r="AH183" s="24"/>
      <c r="AI183" s="24"/>
      <c r="AJ183" s="24"/>
      <c r="AK183" s="24"/>
      <c r="AL183" s="24"/>
      <c r="AM183" s="24"/>
      <c r="AN183" s="24"/>
      <c r="AO183" s="24"/>
      <c r="AP183" s="24"/>
      <c r="AQ183" s="24"/>
      <c r="AR183" s="24"/>
      <c r="AS183" s="24"/>
      <c r="AT183" s="24"/>
      <c r="AU183" s="24"/>
      <c r="AV183" s="24"/>
      <c r="AW183" s="24"/>
      <c r="AX183" s="24"/>
      <c r="AY183" s="24"/>
      <c r="AZ183" s="24"/>
      <c r="BA183" s="24"/>
      <c r="BB183" s="24"/>
      <c r="BC183" s="24"/>
      <c r="BD183" s="24"/>
      <c r="BE183" s="24"/>
      <c r="BF183" s="24"/>
      <c r="BG183" s="24"/>
      <c r="BH183" s="24"/>
    </row>
    <row r="184" spans="1:60">
      <c r="A184" s="7"/>
      <c r="B184" s="8"/>
      <c r="C184" s="9"/>
      <c r="D184" s="51"/>
      <c r="E184" s="51"/>
      <c r="F184" s="51"/>
      <c r="G184" s="51"/>
      <c r="H184" s="52"/>
      <c r="I184" s="52"/>
      <c r="J184" s="52"/>
      <c r="K184" s="24"/>
      <c r="L184" s="7"/>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4"/>
      <c r="AK184" s="24"/>
      <c r="AL184" s="24"/>
      <c r="AM184" s="24"/>
      <c r="AN184" s="24"/>
      <c r="AO184" s="24"/>
      <c r="AP184" s="24"/>
      <c r="AQ184" s="24"/>
      <c r="AR184" s="24"/>
      <c r="AS184" s="24"/>
      <c r="AT184" s="24"/>
      <c r="AU184" s="24"/>
      <c r="AV184" s="24"/>
      <c r="AW184" s="24"/>
      <c r="AX184" s="24"/>
      <c r="AY184" s="24"/>
      <c r="AZ184" s="24"/>
      <c r="BA184" s="24"/>
      <c r="BB184" s="24"/>
      <c r="BC184" s="24"/>
      <c r="BD184" s="24"/>
      <c r="BE184" s="24"/>
      <c r="BF184" s="24"/>
      <c r="BG184" s="24"/>
      <c r="BH184" s="24"/>
    </row>
    <row r="185" spans="1:60">
      <c r="A185" s="7"/>
      <c r="B185" s="8"/>
      <c r="C185" s="9"/>
      <c r="D185" s="51"/>
      <c r="E185" s="51"/>
      <c r="F185" s="51"/>
      <c r="G185" s="51"/>
      <c r="H185" s="52"/>
      <c r="I185" s="52"/>
      <c r="J185" s="52"/>
      <c r="K185" s="24"/>
      <c r="L185" s="7"/>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c r="AU185" s="24"/>
      <c r="AV185" s="24"/>
      <c r="AW185" s="24"/>
      <c r="AX185" s="24"/>
      <c r="AY185" s="24"/>
      <c r="AZ185" s="24"/>
      <c r="BA185" s="24"/>
      <c r="BB185" s="24"/>
      <c r="BC185" s="24"/>
      <c r="BD185" s="24"/>
      <c r="BE185" s="24"/>
      <c r="BF185" s="24"/>
      <c r="BG185" s="24"/>
      <c r="BH185" s="24"/>
    </row>
    <row r="186" spans="1:60">
      <c r="A186" s="7"/>
      <c r="B186" s="8"/>
      <c r="C186" s="9"/>
      <c r="D186" s="51"/>
      <c r="E186" s="51"/>
      <c r="F186" s="51"/>
      <c r="G186" s="51"/>
      <c r="H186" s="52"/>
      <c r="I186" s="52"/>
      <c r="J186" s="52"/>
      <c r="K186" s="24"/>
      <c r="L186" s="7"/>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4"/>
      <c r="AJ186" s="24"/>
      <c r="AK186" s="24"/>
      <c r="AL186" s="24"/>
      <c r="AM186" s="24"/>
      <c r="AN186" s="24"/>
      <c r="AO186" s="24"/>
      <c r="AP186" s="24"/>
      <c r="AQ186" s="24"/>
      <c r="AR186" s="24"/>
      <c r="AS186" s="24"/>
      <c r="AT186" s="24"/>
      <c r="AU186" s="24"/>
      <c r="AV186" s="24"/>
      <c r="AW186" s="24"/>
      <c r="AX186" s="24"/>
      <c r="AY186" s="24"/>
      <c r="AZ186" s="24"/>
      <c r="BA186" s="24"/>
      <c r="BB186" s="24"/>
      <c r="BC186" s="24"/>
      <c r="BD186" s="24"/>
      <c r="BE186" s="24"/>
      <c r="BF186" s="24"/>
      <c r="BG186" s="24"/>
      <c r="BH186" s="24"/>
    </row>
    <row r="187" spans="1:60">
      <c r="A187" s="7"/>
      <c r="B187" s="8"/>
      <c r="C187" s="9"/>
      <c r="D187" s="51"/>
      <c r="E187" s="51"/>
      <c r="F187" s="51"/>
      <c r="G187" s="51"/>
      <c r="H187" s="52"/>
      <c r="I187" s="52"/>
      <c r="J187" s="52"/>
      <c r="K187" s="24"/>
      <c r="L187" s="7"/>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4"/>
      <c r="AN187" s="24"/>
      <c r="AO187" s="24"/>
      <c r="AP187" s="24"/>
      <c r="AQ187" s="24"/>
      <c r="AR187" s="24"/>
      <c r="AS187" s="24"/>
      <c r="AT187" s="24"/>
      <c r="AU187" s="24"/>
      <c r="AV187" s="24"/>
      <c r="AW187" s="24"/>
      <c r="AX187" s="24"/>
      <c r="AY187" s="24"/>
      <c r="AZ187" s="24"/>
      <c r="BA187" s="24"/>
      <c r="BB187" s="24"/>
      <c r="BC187" s="24"/>
      <c r="BD187" s="24"/>
      <c r="BE187" s="24"/>
      <c r="BF187" s="24"/>
      <c r="BG187" s="24"/>
      <c r="BH187" s="24"/>
    </row>
    <row r="188" spans="1:60">
      <c r="A188" s="7"/>
      <c r="B188" s="8"/>
      <c r="C188" s="9"/>
      <c r="D188" s="51"/>
      <c r="E188" s="51"/>
      <c r="F188" s="51"/>
      <c r="G188" s="51"/>
      <c r="H188" s="52"/>
      <c r="I188" s="52"/>
      <c r="J188" s="52"/>
      <c r="K188" s="24"/>
      <c r="L188" s="7"/>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c r="AM188" s="24"/>
      <c r="AN188" s="24"/>
      <c r="AO188" s="24"/>
      <c r="AP188" s="24"/>
      <c r="AQ188" s="24"/>
      <c r="AR188" s="24"/>
      <c r="AS188" s="24"/>
      <c r="AT188" s="24"/>
      <c r="AU188" s="24"/>
      <c r="AV188" s="24"/>
      <c r="AW188" s="24"/>
      <c r="AX188" s="24"/>
      <c r="AY188" s="24"/>
      <c r="AZ188" s="24"/>
      <c r="BA188" s="24"/>
      <c r="BB188" s="24"/>
      <c r="BC188" s="24"/>
      <c r="BD188" s="24"/>
      <c r="BE188" s="24"/>
      <c r="BF188" s="24"/>
      <c r="BG188" s="24"/>
      <c r="BH188" s="24"/>
    </row>
    <row r="189" spans="1:60">
      <c r="A189" s="7"/>
      <c r="B189" s="8"/>
      <c r="C189" s="9"/>
      <c r="D189" s="51"/>
      <c r="E189" s="51"/>
      <c r="F189" s="51"/>
      <c r="G189" s="51"/>
      <c r="H189" s="52"/>
      <c r="I189" s="52"/>
      <c r="J189" s="52"/>
      <c r="K189" s="24"/>
      <c r="L189" s="7"/>
      <c r="M189" s="24"/>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c r="AM189" s="24"/>
      <c r="AN189" s="24"/>
      <c r="AO189" s="24"/>
      <c r="AP189" s="24"/>
      <c r="AQ189" s="24"/>
      <c r="AR189" s="24"/>
      <c r="AS189" s="24"/>
      <c r="AT189" s="24"/>
      <c r="AU189" s="24"/>
      <c r="AV189" s="24"/>
      <c r="AW189" s="24"/>
      <c r="AX189" s="24"/>
      <c r="AY189" s="24"/>
      <c r="AZ189" s="24"/>
      <c r="BA189" s="24"/>
      <c r="BB189" s="24"/>
      <c r="BC189" s="24"/>
      <c r="BD189" s="24"/>
      <c r="BE189" s="24"/>
      <c r="BF189" s="24"/>
      <c r="BG189" s="24"/>
      <c r="BH189" s="24"/>
    </row>
    <row r="190" spans="1:60">
      <c r="A190" s="7"/>
      <c r="B190" s="8"/>
      <c r="C190" s="9"/>
      <c r="D190" s="51"/>
      <c r="E190" s="51"/>
      <c r="F190" s="51"/>
      <c r="G190" s="51"/>
      <c r="H190" s="52"/>
      <c r="I190" s="52"/>
      <c r="J190" s="52"/>
      <c r="K190" s="24"/>
      <c r="L190" s="7"/>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c r="AU190" s="24"/>
      <c r="AV190" s="24"/>
      <c r="AW190" s="24"/>
      <c r="AX190" s="24"/>
      <c r="AY190" s="24"/>
      <c r="AZ190" s="24"/>
      <c r="BA190" s="24"/>
      <c r="BB190" s="24"/>
      <c r="BC190" s="24"/>
      <c r="BD190" s="24"/>
      <c r="BE190" s="24"/>
      <c r="BF190" s="24"/>
      <c r="BG190" s="24"/>
      <c r="BH190" s="24"/>
    </row>
    <row r="191" spans="1:60">
      <c r="A191" s="7"/>
      <c r="B191" s="8"/>
      <c r="C191" s="9"/>
      <c r="D191" s="51"/>
      <c r="E191" s="51"/>
      <c r="F191" s="51"/>
      <c r="G191" s="51"/>
      <c r="H191" s="52"/>
      <c r="I191" s="52"/>
      <c r="J191" s="52"/>
      <c r="K191" s="24"/>
      <c r="L191" s="7"/>
      <c r="M191" s="24"/>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4"/>
      <c r="AM191" s="24"/>
      <c r="AN191" s="24"/>
      <c r="AO191" s="24"/>
      <c r="AP191" s="24"/>
      <c r="AQ191" s="24"/>
      <c r="AR191" s="24"/>
      <c r="AS191" s="24"/>
      <c r="AT191" s="24"/>
      <c r="AU191" s="24"/>
      <c r="AV191" s="24"/>
      <c r="AW191" s="24"/>
      <c r="AX191" s="24"/>
      <c r="AY191" s="24"/>
      <c r="AZ191" s="24"/>
      <c r="BA191" s="24"/>
      <c r="BB191" s="24"/>
      <c r="BC191" s="24"/>
      <c r="BD191" s="24"/>
      <c r="BE191" s="24"/>
      <c r="BF191" s="24"/>
      <c r="BG191" s="24"/>
      <c r="BH191" s="24"/>
    </row>
    <row r="192" spans="1:60">
      <c r="A192" s="7"/>
      <c r="B192" s="8"/>
      <c r="C192" s="9"/>
      <c r="D192" s="51"/>
      <c r="E192" s="51"/>
      <c r="F192" s="51"/>
      <c r="G192" s="51"/>
      <c r="H192" s="52"/>
      <c r="I192" s="52"/>
      <c r="J192" s="52"/>
      <c r="K192" s="24"/>
      <c r="L192" s="7"/>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24"/>
      <c r="AW192" s="24"/>
      <c r="AX192" s="24"/>
      <c r="AY192" s="24"/>
      <c r="AZ192" s="24"/>
      <c r="BA192" s="24"/>
      <c r="BB192" s="24"/>
      <c r="BC192" s="24"/>
      <c r="BD192" s="24"/>
      <c r="BE192" s="24"/>
      <c r="BF192" s="24"/>
      <c r="BG192" s="24"/>
      <c r="BH192" s="24"/>
    </row>
    <row r="193" spans="1:60">
      <c r="A193" s="7"/>
      <c r="B193" s="8"/>
      <c r="C193" s="9"/>
      <c r="D193" s="51"/>
      <c r="E193" s="51"/>
      <c r="F193" s="51"/>
      <c r="G193" s="51"/>
      <c r="H193" s="52"/>
      <c r="I193" s="52"/>
      <c r="J193" s="52"/>
      <c r="K193" s="24"/>
      <c r="L193" s="7"/>
      <c r="M193" s="24"/>
      <c r="N193" s="24"/>
      <c r="O193" s="24"/>
      <c r="P193" s="24"/>
      <c r="Q193" s="24"/>
      <c r="R193" s="24"/>
      <c r="S193" s="24"/>
      <c r="T193" s="24"/>
      <c r="U193" s="24"/>
      <c r="V193" s="24"/>
      <c r="W193" s="24"/>
      <c r="X193" s="24"/>
      <c r="Y193" s="24"/>
      <c r="Z193" s="24"/>
      <c r="AA193" s="24"/>
      <c r="AB193" s="24"/>
      <c r="AC193" s="24"/>
      <c r="AD193" s="24"/>
      <c r="AE193" s="24"/>
      <c r="AF193" s="24"/>
      <c r="AG193" s="24"/>
      <c r="AH193" s="24"/>
      <c r="AI193" s="24"/>
      <c r="AJ193" s="24"/>
      <c r="AK193" s="24"/>
      <c r="AL193" s="24"/>
      <c r="AM193" s="24"/>
      <c r="AN193" s="24"/>
      <c r="AO193" s="24"/>
      <c r="AP193" s="24"/>
      <c r="AQ193" s="24"/>
      <c r="AR193" s="24"/>
      <c r="AS193" s="24"/>
      <c r="AT193" s="24"/>
      <c r="AU193" s="24"/>
      <c r="AV193" s="24"/>
      <c r="AW193" s="24"/>
      <c r="AX193" s="24"/>
      <c r="AY193" s="24"/>
      <c r="AZ193" s="24"/>
      <c r="BA193" s="24"/>
      <c r="BB193" s="24"/>
      <c r="BC193" s="24"/>
      <c r="BD193" s="24"/>
      <c r="BE193" s="24"/>
      <c r="BF193" s="24"/>
      <c r="BG193" s="24"/>
      <c r="BH193" s="24"/>
    </row>
    <row r="194" spans="1:60">
      <c r="A194" s="7"/>
      <c r="B194" s="8"/>
      <c r="C194" s="9"/>
      <c r="D194" s="51"/>
      <c r="E194" s="51"/>
      <c r="F194" s="51"/>
      <c r="G194" s="51"/>
      <c r="H194" s="52"/>
      <c r="I194" s="52"/>
      <c r="J194" s="52"/>
      <c r="K194" s="24"/>
      <c r="L194" s="7"/>
      <c r="M194" s="24"/>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4"/>
      <c r="AK194" s="24"/>
      <c r="AL194" s="24"/>
      <c r="AM194" s="24"/>
      <c r="AN194" s="24"/>
      <c r="AO194" s="24"/>
      <c r="AP194" s="24"/>
      <c r="AQ194" s="24"/>
      <c r="AR194" s="24"/>
      <c r="AS194" s="24"/>
      <c r="AT194" s="24"/>
      <c r="AU194" s="24"/>
      <c r="AV194" s="24"/>
      <c r="AW194" s="24"/>
      <c r="AX194" s="24"/>
      <c r="AY194" s="24"/>
      <c r="AZ194" s="24"/>
      <c r="BA194" s="24"/>
      <c r="BB194" s="24"/>
      <c r="BC194" s="24"/>
      <c r="BD194" s="24"/>
      <c r="BE194" s="24"/>
      <c r="BF194" s="24"/>
      <c r="BG194" s="24"/>
      <c r="BH194" s="24"/>
    </row>
    <row r="195" spans="1:60">
      <c r="A195" s="7"/>
      <c r="B195" s="8"/>
      <c r="C195" s="9"/>
      <c r="D195" s="51"/>
      <c r="E195" s="51"/>
      <c r="F195" s="51"/>
      <c r="G195" s="51"/>
      <c r="H195" s="52"/>
      <c r="I195" s="52"/>
      <c r="J195" s="52"/>
      <c r="K195" s="24"/>
      <c r="L195" s="7"/>
      <c r="M195" s="24"/>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4"/>
      <c r="AM195" s="24"/>
      <c r="AN195" s="24"/>
      <c r="AO195" s="24"/>
      <c r="AP195" s="24"/>
      <c r="AQ195" s="24"/>
      <c r="AR195" s="24"/>
      <c r="AS195" s="24"/>
      <c r="AT195" s="24"/>
      <c r="AU195" s="24"/>
      <c r="AV195" s="24"/>
      <c r="AW195" s="24"/>
      <c r="AX195" s="24"/>
      <c r="AY195" s="24"/>
      <c r="AZ195" s="24"/>
      <c r="BA195" s="24"/>
      <c r="BB195" s="24"/>
      <c r="BC195" s="24"/>
      <c r="BD195" s="24"/>
      <c r="BE195" s="24"/>
      <c r="BF195" s="24"/>
      <c r="BG195" s="24"/>
      <c r="BH195" s="24"/>
    </row>
    <row r="196" spans="1:60">
      <c r="A196" s="7"/>
      <c r="B196" s="8"/>
      <c r="C196" s="9"/>
      <c r="D196" s="51"/>
      <c r="E196" s="51"/>
      <c r="F196" s="51"/>
      <c r="G196" s="51"/>
      <c r="H196" s="52"/>
      <c r="I196" s="52"/>
      <c r="J196" s="52"/>
      <c r="K196" s="24"/>
      <c r="L196" s="7"/>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c r="AU196" s="24"/>
      <c r="AV196" s="24"/>
      <c r="AW196" s="24"/>
      <c r="AX196" s="24"/>
      <c r="AY196" s="24"/>
      <c r="AZ196" s="24"/>
      <c r="BA196" s="24"/>
      <c r="BB196" s="24"/>
      <c r="BC196" s="24"/>
      <c r="BD196" s="24"/>
      <c r="BE196" s="24"/>
      <c r="BF196" s="24"/>
      <c r="BG196" s="24"/>
      <c r="BH196" s="24"/>
    </row>
    <row r="197" spans="1:60">
      <c r="A197" s="7"/>
      <c r="B197" s="8"/>
      <c r="C197" s="9"/>
      <c r="D197" s="51"/>
      <c r="E197" s="51"/>
      <c r="F197" s="51"/>
      <c r="G197" s="51"/>
      <c r="H197" s="52"/>
      <c r="I197" s="52"/>
      <c r="J197" s="52"/>
      <c r="K197" s="24"/>
      <c r="L197" s="7"/>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24"/>
      <c r="BB197" s="24"/>
      <c r="BC197" s="24"/>
      <c r="BD197" s="24"/>
      <c r="BE197" s="24"/>
      <c r="BF197" s="24"/>
      <c r="BG197" s="24"/>
      <c r="BH197" s="24"/>
    </row>
    <row r="198" spans="1:60">
      <c r="A198" s="7"/>
      <c r="B198" s="8"/>
      <c r="C198" s="9"/>
      <c r="D198" s="51"/>
      <c r="E198" s="51"/>
      <c r="F198" s="51"/>
      <c r="G198" s="51"/>
      <c r="H198" s="52"/>
      <c r="I198" s="52"/>
      <c r="J198" s="52"/>
      <c r="K198" s="24"/>
      <c r="L198" s="7"/>
      <c r="M198" s="24"/>
      <c r="N198" s="24"/>
      <c r="O198" s="24"/>
      <c r="P198" s="24"/>
      <c r="Q198" s="24"/>
      <c r="R198" s="24"/>
      <c r="S198" s="24"/>
      <c r="T198" s="24"/>
      <c r="U198" s="24"/>
      <c r="V198" s="24"/>
      <c r="W198" s="24"/>
      <c r="X198" s="24"/>
      <c r="Y198" s="24"/>
      <c r="Z198" s="24"/>
      <c r="AA198" s="24"/>
      <c r="AB198" s="24"/>
      <c r="AC198" s="24"/>
      <c r="AD198" s="24"/>
      <c r="AE198" s="24"/>
      <c r="AF198" s="24"/>
      <c r="AG198" s="24"/>
      <c r="AH198" s="24"/>
      <c r="AI198" s="24"/>
      <c r="AJ198" s="24"/>
      <c r="AK198" s="24"/>
      <c r="AL198" s="24"/>
      <c r="AM198" s="24"/>
      <c r="AN198" s="24"/>
      <c r="AO198" s="24"/>
      <c r="AP198" s="24"/>
      <c r="AQ198" s="24"/>
      <c r="AR198" s="24"/>
      <c r="AS198" s="24"/>
      <c r="AT198" s="24"/>
      <c r="AU198" s="24"/>
      <c r="AV198" s="24"/>
      <c r="AW198" s="24"/>
      <c r="AX198" s="24"/>
      <c r="AY198" s="24"/>
      <c r="AZ198" s="24"/>
      <c r="BA198" s="24"/>
      <c r="BB198" s="24"/>
      <c r="BC198" s="24"/>
      <c r="BD198" s="24"/>
      <c r="BE198" s="24"/>
      <c r="BF198" s="24"/>
      <c r="BG198" s="24"/>
      <c r="BH198" s="24"/>
    </row>
    <row r="199" spans="1:60">
      <c r="A199" s="7"/>
      <c r="B199" s="8"/>
      <c r="C199" s="9"/>
      <c r="D199" s="51"/>
      <c r="E199" s="51"/>
      <c r="F199" s="51"/>
      <c r="G199" s="51"/>
      <c r="H199" s="52"/>
      <c r="I199" s="52"/>
      <c r="J199" s="52"/>
      <c r="K199" s="24"/>
      <c r="L199" s="7"/>
      <c r="M199" s="24"/>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4"/>
      <c r="AM199" s="24"/>
      <c r="AN199" s="24"/>
      <c r="AO199" s="24"/>
      <c r="AP199" s="24"/>
      <c r="AQ199" s="24"/>
      <c r="AR199" s="24"/>
      <c r="AS199" s="24"/>
      <c r="AT199" s="24"/>
      <c r="AU199" s="24"/>
      <c r="AV199" s="24"/>
      <c r="AW199" s="24"/>
      <c r="AX199" s="24"/>
      <c r="AY199" s="24"/>
      <c r="AZ199" s="24"/>
      <c r="BA199" s="24"/>
      <c r="BB199" s="24"/>
      <c r="BC199" s="24"/>
      <c r="BD199" s="24"/>
      <c r="BE199" s="24"/>
      <c r="BF199" s="24"/>
      <c r="BG199" s="24"/>
      <c r="BH199" s="24"/>
    </row>
    <row r="200" spans="1:60">
      <c r="A200" s="7"/>
      <c r="B200" s="8"/>
      <c r="C200" s="9"/>
      <c r="D200" s="51"/>
      <c r="E200" s="51"/>
      <c r="F200" s="51"/>
      <c r="G200" s="51"/>
      <c r="H200" s="52"/>
      <c r="I200" s="52"/>
      <c r="J200" s="52"/>
      <c r="K200" s="24"/>
      <c r="L200" s="7"/>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4"/>
      <c r="AM200" s="24"/>
      <c r="AN200" s="24"/>
      <c r="AO200" s="24"/>
      <c r="AP200" s="24"/>
      <c r="AQ200" s="24"/>
      <c r="AR200" s="24"/>
      <c r="AS200" s="24"/>
      <c r="AT200" s="24"/>
      <c r="AU200" s="24"/>
      <c r="AV200" s="24"/>
      <c r="AW200" s="24"/>
      <c r="AX200" s="24"/>
      <c r="AY200" s="24"/>
      <c r="AZ200" s="24"/>
      <c r="BA200" s="24"/>
      <c r="BB200" s="24"/>
      <c r="BC200" s="24"/>
      <c r="BD200" s="24"/>
      <c r="BE200" s="24"/>
      <c r="BF200" s="24"/>
      <c r="BG200" s="24"/>
      <c r="BH200" s="24"/>
    </row>
    <row r="201" spans="1:60">
      <c r="A201" s="7"/>
      <c r="B201" s="8"/>
      <c r="C201" s="9"/>
      <c r="D201" s="51"/>
      <c r="E201" s="51"/>
      <c r="F201" s="51"/>
      <c r="G201" s="51"/>
      <c r="H201" s="52"/>
      <c r="I201" s="52"/>
      <c r="J201" s="52"/>
      <c r="K201" s="24"/>
      <c r="L201" s="7"/>
      <c r="M201" s="24"/>
      <c r="N201" s="24"/>
      <c r="O201" s="24"/>
      <c r="P201" s="24"/>
      <c r="Q201" s="24"/>
      <c r="R201" s="24"/>
      <c r="S201" s="24"/>
      <c r="T201" s="24"/>
      <c r="U201" s="24"/>
      <c r="V201" s="24"/>
      <c r="W201" s="24"/>
      <c r="X201" s="24"/>
      <c r="Y201" s="24"/>
      <c r="Z201" s="24"/>
      <c r="AA201" s="24"/>
      <c r="AB201" s="24"/>
      <c r="AC201" s="24"/>
      <c r="AD201" s="24"/>
      <c r="AE201" s="24"/>
      <c r="AF201" s="24"/>
      <c r="AG201" s="24"/>
      <c r="AH201" s="24"/>
      <c r="AI201" s="24"/>
      <c r="AJ201" s="24"/>
      <c r="AK201" s="24"/>
      <c r="AL201" s="24"/>
      <c r="AM201" s="24"/>
      <c r="AN201" s="24"/>
      <c r="AO201" s="24"/>
      <c r="AP201" s="24"/>
      <c r="AQ201" s="24"/>
      <c r="AR201" s="24"/>
      <c r="AS201" s="24"/>
      <c r="AT201" s="24"/>
      <c r="AU201" s="24"/>
      <c r="AV201" s="24"/>
      <c r="AW201" s="24"/>
      <c r="AX201" s="24"/>
      <c r="AY201" s="24"/>
      <c r="AZ201" s="24"/>
      <c r="BA201" s="24"/>
      <c r="BB201" s="24"/>
      <c r="BC201" s="24"/>
      <c r="BD201" s="24"/>
      <c r="BE201" s="24"/>
      <c r="BF201" s="24"/>
      <c r="BG201" s="24"/>
      <c r="BH201" s="24"/>
    </row>
    <row r="202" spans="1:60">
      <c r="A202" s="7"/>
      <c r="B202" s="8"/>
      <c r="C202" s="9"/>
      <c r="D202" s="51"/>
      <c r="E202" s="51"/>
      <c r="F202" s="51"/>
      <c r="G202" s="51"/>
      <c r="H202" s="52"/>
      <c r="I202" s="52"/>
      <c r="J202" s="52"/>
      <c r="K202" s="24"/>
      <c r="L202" s="7"/>
      <c r="M202" s="24"/>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4"/>
      <c r="AK202" s="24"/>
      <c r="AL202" s="24"/>
      <c r="AM202" s="24"/>
      <c r="AN202" s="24"/>
      <c r="AO202" s="24"/>
      <c r="AP202" s="24"/>
      <c r="AQ202" s="24"/>
      <c r="AR202" s="24"/>
      <c r="AS202" s="24"/>
      <c r="AT202" s="24"/>
      <c r="AU202" s="24"/>
      <c r="AV202" s="24"/>
      <c r="AW202" s="24"/>
      <c r="AX202" s="24"/>
      <c r="AY202" s="24"/>
      <c r="AZ202" s="24"/>
      <c r="BA202" s="24"/>
      <c r="BB202" s="24"/>
      <c r="BC202" s="24"/>
      <c r="BD202" s="24"/>
      <c r="BE202" s="24"/>
      <c r="BF202" s="24"/>
      <c r="BG202" s="24"/>
      <c r="BH202" s="24"/>
    </row>
    <row r="203" spans="1:60">
      <c r="A203" s="7"/>
      <c r="B203" s="8"/>
      <c r="C203" s="9"/>
      <c r="D203" s="51"/>
      <c r="E203" s="51"/>
      <c r="F203" s="51"/>
      <c r="G203" s="51"/>
      <c r="H203" s="52"/>
      <c r="I203" s="52"/>
      <c r="J203" s="52"/>
      <c r="K203" s="24"/>
      <c r="L203" s="7"/>
      <c r="M203" s="24"/>
      <c r="N203" s="24"/>
      <c r="O203" s="24"/>
      <c r="P203" s="24"/>
      <c r="Q203" s="24"/>
      <c r="R203" s="24"/>
      <c r="S203" s="24"/>
      <c r="T203" s="24"/>
      <c r="U203" s="24"/>
      <c r="V203" s="24"/>
      <c r="W203" s="24"/>
      <c r="X203" s="24"/>
      <c r="Y203" s="24"/>
      <c r="Z203" s="24"/>
      <c r="AA203" s="24"/>
      <c r="AB203" s="24"/>
      <c r="AC203" s="24"/>
      <c r="AD203" s="24"/>
      <c r="AE203" s="24"/>
      <c r="AF203" s="24"/>
      <c r="AG203" s="24"/>
      <c r="AH203" s="24"/>
      <c r="AI203" s="24"/>
      <c r="AJ203" s="24"/>
      <c r="AK203" s="24"/>
      <c r="AL203" s="24"/>
      <c r="AM203" s="24"/>
      <c r="AN203" s="24"/>
      <c r="AO203" s="24"/>
      <c r="AP203" s="24"/>
      <c r="AQ203" s="24"/>
      <c r="AR203" s="24"/>
      <c r="AS203" s="24"/>
      <c r="AT203" s="24"/>
      <c r="AU203" s="24"/>
      <c r="AV203" s="24"/>
      <c r="AW203" s="24"/>
      <c r="AX203" s="24"/>
      <c r="AY203" s="24"/>
      <c r="AZ203" s="24"/>
      <c r="BA203" s="24"/>
      <c r="BB203" s="24"/>
      <c r="BC203" s="24"/>
      <c r="BD203" s="24"/>
      <c r="BE203" s="24"/>
      <c r="BF203" s="24"/>
      <c r="BG203" s="24"/>
      <c r="BH203" s="24"/>
    </row>
    <row r="204" spans="1:60">
      <c r="A204" s="7"/>
      <c r="B204" s="8"/>
      <c r="C204" s="9"/>
      <c r="D204" s="51"/>
      <c r="E204" s="51"/>
      <c r="F204" s="51"/>
      <c r="G204" s="51"/>
      <c r="H204" s="52"/>
      <c r="I204" s="52"/>
      <c r="J204" s="52"/>
      <c r="K204" s="24"/>
      <c r="L204" s="7"/>
      <c r="M204" s="24"/>
      <c r="N204" s="24"/>
      <c r="O204" s="24"/>
      <c r="P204" s="24"/>
      <c r="Q204" s="24"/>
      <c r="R204" s="24"/>
      <c r="S204" s="24"/>
      <c r="T204" s="24"/>
      <c r="U204" s="24"/>
      <c r="V204" s="24"/>
      <c r="W204" s="24"/>
      <c r="X204" s="24"/>
      <c r="Y204" s="24"/>
      <c r="Z204" s="24"/>
      <c r="AA204" s="24"/>
      <c r="AB204" s="24"/>
      <c r="AC204" s="24"/>
      <c r="AD204" s="24"/>
      <c r="AE204" s="24"/>
      <c r="AF204" s="24"/>
      <c r="AG204" s="24"/>
      <c r="AH204" s="24"/>
      <c r="AI204" s="24"/>
      <c r="AJ204" s="24"/>
      <c r="AK204" s="24"/>
      <c r="AL204" s="24"/>
      <c r="AM204" s="24"/>
      <c r="AN204" s="24"/>
      <c r="AO204" s="24"/>
      <c r="AP204" s="24"/>
      <c r="AQ204" s="24"/>
      <c r="AR204" s="24"/>
      <c r="AS204" s="24"/>
      <c r="AT204" s="24"/>
      <c r="AU204" s="24"/>
      <c r="AV204" s="24"/>
      <c r="AW204" s="24"/>
      <c r="AX204" s="24"/>
      <c r="AY204" s="24"/>
      <c r="AZ204" s="24"/>
      <c r="BA204" s="24"/>
      <c r="BB204" s="24"/>
      <c r="BC204" s="24"/>
      <c r="BD204" s="24"/>
      <c r="BE204" s="24"/>
      <c r="BF204" s="24"/>
      <c r="BG204" s="24"/>
      <c r="BH204" s="24"/>
    </row>
    <row r="205" spans="1:60">
      <c r="A205" s="7"/>
      <c r="B205" s="8"/>
      <c r="C205" s="9"/>
      <c r="D205" s="51"/>
      <c r="E205" s="51"/>
      <c r="F205" s="51"/>
      <c r="G205" s="51"/>
      <c r="H205" s="52"/>
      <c r="I205" s="52"/>
      <c r="J205" s="52"/>
      <c r="K205" s="24"/>
      <c r="L205" s="7"/>
      <c r="M205" s="24"/>
      <c r="N205" s="24"/>
      <c r="O205" s="24"/>
      <c r="P205" s="24"/>
      <c r="Q205" s="24"/>
      <c r="R205" s="24"/>
      <c r="S205" s="24"/>
      <c r="T205" s="24"/>
      <c r="U205" s="24"/>
      <c r="V205" s="24"/>
      <c r="W205" s="24"/>
      <c r="X205" s="24"/>
      <c r="Y205" s="24"/>
      <c r="Z205" s="24"/>
      <c r="AA205" s="24"/>
      <c r="AB205" s="24"/>
      <c r="AC205" s="24"/>
      <c r="AD205" s="24"/>
      <c r="AE205" s="24"/>
      <c r="AF205" s="24"/>
      <c r="AG205" s="24"/>
      <c r="AH205" s="24"/>
      <c r="AI205" s="24"/>
      <c r="AJ205" s="24"/>
      <c r="AK205" s="24"/>
      <c r="AL205" s="24"/>
      <c r="AM205" s="24"/>
      <c r="AN205" s="24"/>
      <c r="AO205" s="24"/>
      <c r="AP205" s="24"/>
      <c r="AQ205" s="24"/>
      <c r="AR205" s="24"/>
      <c r="AS205" s="24"/>
      <c r="AT205" s="24"/>
      <c r="AU205" s="24"/>
      <c r="AV205" s="24"/>
      <c r="AW205" s="24"/>
      <c r="AX205" s="24"/>
      <c r="AY205" s="24"/>
      <c r="AZ205" s="24"/>
      <c r="BA205" s="24"/>
      <c r="BB205" s="24"/>
      <c r="BC205" s="24"/>
      <c r="BD205" s="24"/>
      <c r="BE205" s="24"/>
      <c r="BF205" s="24"/>
      <c r="BG205" s="24"/>
      <c r="BH205" s="24"/>
    </row>
    <row r="206" spans="1:60">
      <c r="A206" s="7"/>
      <c r="B206" s="8"/>
      <c r="C206" s="9"/>
      <c r="D206" s="51"/>
      <c r="E206" s="51"/>
      <c r="F206" s="51"/>
      <c r="G206" s="51"/>
      <c r="H206" s="52"/>
      <c r="I206" s="52"/>
      <c r="J206" s="52"/>
      <c r="K206" s="24"/>
      <c r="L206" s="7"/>
      <c r="M206" s="24"/>
      <c r="N206" s="24"/>
      <c r="O206" s="24"/>
      <c r="P206" s="24"/>
      <c r="Q206" s="24"/>
      <c r="R206" s="24"/>
      <c r="S206" s="24"/>
      <c r="T206" s="24"/>
      <c r="U206" s="24"/>
      <c r="V206" s="24"/>
      <c r="W206" s="24"/>
      <c r="X206" s="24"/>
      <c r="Y206" s="24"/>
      <c r="Z206" s="24"/>
      <c r="AA206" s="24"/>
      <c r="AB206" s="24"/>
      <c r="AC206" s="24"/>
      <c r="AD206" s="24"/>
      <c r="AE206" s="24"/>
      <c r="AF206" s="24"/>
      <c r="AG206" s="24"/>
      <c r="AH206" s="24"/>
      <c r="AI206" s="24"/>
      <c r="AJ206" s="24"/>
      <c r="AK206" s="24"/>
      <c r="AL206" s="24"/>
      <c r="AM206" s="24"/>
      <c r="AN206" s="24"/>
      <c r="AO206" s="24"/>
      <c r="AP206" s="24"/>
      <c r="AQ206" s="24"/>
      <c r="AR206" s="24"/>
      <c r="AS206" s="24"/>
      <c r="AT206" s="24"/>
      <c r="AU206" s="24"/>
      <c r="AV206" s="24"/>
      <c r="AW206" s="24"/>
      <c r="AX206" s="24"/>
      <c r="AY206" s="24"/>
      <c r="AZ206" s="24"/>
      <c r="BA206" s="24"/>
      <c r="BB206" s="24"/>
      <c r="BC206" s="24"/>
      <c r="BD206" s="24"/>
      <c r="BE206" s="24"/>
      <c r="BF206" s="24"/>
      <c r="BG206" s="24"/>
      <c r="BH206" s="24"/>
    </row>
    <row r="207" spans="1:60">
      <c r="A207" s="7"/>
      <c r="B207" s="8"/>
      <c r="C207" s="9"/>
      <c r="D207" s="51"/>
      <c r="E207" s="51"/>
      <c r="F207" s="51"/>
      <c r="G207" s="51"/>
      <c r="H207" s="52"/>
      <c r="I207" s="52"/>
      <c r="J207" s="52"/>
      <c r="K207" s="24"/>
      <c r="L207" s="7"/>
      <c r="M207" s="24"/>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c r="AK207" s="24"/>
      <c r="AL207" s="24"/>
      <c r="AM207" s="24"/>
      <c r="AN207" s="24"/>
      <c r="AO207" s="24"/>
      <c r="AP207" s="24"/>
      <c r="AQ207" s="24"/>
      <c r="AR207" s="24"/>
      <c r="AS207" s="24"/>
      <c r="AT207" s="24"/>
      <c r="AU207" s="24"/>
      <c r="AV207" s="24"/>
      <c r="AW207" s="24"/>
      <c r="AX207" s="24"/>
      <c r="AY207" s="24"/>
      <c r="AZ207" s="24"/>
      <c r="BA207" s="24"/>
      <c r="BB207" s="24"/>
      <c r="BC207" s="24"/>
      <c r="BD207" s="24"/>
      <c r="BE207" s="24"/>
      <c r="BF207" s="24"/>
      <c r="BG207" s="24"/>
      <c r="BH207" s="24"/>
    </row>
    <row r="208" spans="1:60">
      <c r="A208" s="7"/>
      <c r="B208" s="8"/>
      <c r="C208" s="9"/>
      <c r="D208" s="51"/>
      <c r="E208" s="51"/>
      <c r="F208" s="51"/>
      <c r="G208" s="51"/>
      <c r="H208" s="52"/>
      <c r="I208" s="52"/>
      <c r="J208" s="52"/>
      <c r="K208" s="24"/>
      <c r="L208" s="7"/>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24"/>
      <c r="BA208" s="24"/>
      <c r="BB208" s="24"/>
      <c r="BC208" s="24"/>
      <c r="BD208" s="24"/>
      <c r="BE208" s="24"/>
      <c r="BF208" s="24"/>
      <c r="BG208" s="24"/>
      <c r="BH208" s="24"/>
    </row>
    <row r="209" spans="1:60">
      <c r="A209" s="7"/>
      <c r="B209" s="8"/>
      <c r="C209" s="9"/>
      <c r="D209" s="51"/>
      <c r="E209" s="51"/>
      <c r="F209" s="51"/>
      <c r="G209" s="51"/>
      <c r="H209" s="52"/>
      <c r="I209" s="52"/>
      <c r="J209" s="52"/>
      <c r="K209" s="24"/>
      <c r="L209" s="7"/>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24"/>
      <c r="AQ209" s="24"/>
      <c r="AR209" s="24"/>
      <c r="AS209" s="24"/>
      <c r="AT209" s="24"/>
      <c r="AU209" s="24"/>
      <c r="AV209" s="24"/>
      <c r="AW209" s="24"/>
      <c r="AX209" s="24"/>
      <c r="AY209" s="24"/>
      <c r="AZ209" s="24"/>
      <c r="BA209" s="24"/>
      <c r="BB209" s="24"/>
      <c r="BC209" s="24"/>
      <c r="BD209" s="24"/>
      <c r="BE209" s="24"/>
      <c r="BF209" s="24"/>
      <c r="BG209" s="24"/>
      <c r="BH209" s="24"/>
    </row>
    <row r="210" spans="1:60">
      <c r="A210" s="7"/>
      <c r="B210" s="8"/>
      <c r="C210" s="9"/>
      <c r="D210" s="51"/>
      <c r="E210" s="51"/>
      <c r="F210" s="51"/>
      <c r="G210" s="51"/>
      <c r="H210" s="52"/>
      <c r="I210" s="52"/>
      <c r="J210" s="52"/>
      <c r="K210" s="24"/>
      <c r="L210" s="7"/>
      <c r="M210" s="24"/>
      <c r="N210" s="24"/>
      <c r="O210" s="24"/>
      <c r="P210" s="24"/>
      <c r="Q210" s="24"/>
      <c r="R210" s="24"/>
      <c r="S210" s="24"/>
      <c r="T210" s="24"/>
      <c r="U210" s="24"/>
      <c r="V210" s="24"/>
      <c r="W210" s="24"/>
      <c r="X210" s="24"/>
      <c r="Y210" s="24"/>
      <c r="Z210" s="24"/>
      <c r="AA210" s="24"/>
      <c r="AB210" s="24"/>
      <c r="AC210" s="24"/>
      <c r="AD210" s="24"/>
      <c r="AE210" s="24"/>
      <c r="AF210" s="24"/>
      <c r="AG210" s="24"/>
      <c r="AH210" s="24"/>
      <c r="AI210" s="24"/>
      <c r="AJ210" s="24"/>
      <c r="AK210" s="24"/>
      <c r="AL210" s="24"/>
      <c r="AM210" s="24"/>
      <c r="AN210" s="24"/>
      <c r="AO210" s="24"/>
      <c r="AP210" s="24"/>
      <c r="AQ210" s="24"/>
      <c r="AR210" s="24"/>
      <c r="AS210" s="24"/>
      <c r="AT210" s="24"/>
      <c r="AU210" s="24"/>
      <c r="AV210" s="24"/>
      <c r="AW210" s="24"/>
      <c r="AX210" s="24"/>
      <c r="AY210" s="24"/>
      <c r="AZ210" s="24"/>
      <c r="BA210" s="24"/>
      <c r="BB210" s="24"/>
      <c r="BC210" s="24"/>
      <c r="BD210" s="24"/>
      <c r="BE210" s="24"/>
      <c r="BF210" s="24"/>
      <c r="BG210" s="24"/>
      <c r="BH210" s="24"/>
    </row>
    <row r="211" spans="1:60">
      <c r="A211" s="7"/>
      <c r="B211" s="8"/>
      <c r="C211" s="9"/>
      <c r="D211" s="51"/>
      <c r="E211" s="51"/>
      <c r="F211" s="51"/>
      <c r="G211" s="51"/>
      <c r="H211" s="52"/>
      <c r="I211" s="52"/>
      <c r="J211" s="52"/>
      <c r="K211" s="24"/>
      <c r="L211" s="7"/>
      <c r="M211" s="24"/>
      <c r="N211" s="24"/>
      <c r="O211" s="24"/>
      <c r="P211" s="24"/>
      <c r="Q211" s="24"/>
      <c r="R211" s="24"/>
      <c r="S211" s="24"/>
      <c r="T211" s="24"/>
      <c r="U211" s="24"/>
      <c r="V211" s="24"/>
      <c r="W211" s="24"/>
      <c r="X211" s="24"/>
      <c r="Y211" s="24"/>
      <c r="Z211" s="24"/>
      <c r="AA211" s="24"/>
      <c r="AB211" s="24"/>
      <c r="AC211" s="24"/>
      <c r="AD211" s="24"/>
      <c r="AE211" s="24"/>
      <c r="AF211" s="24"/>
      <c r="AG211" s="24"/>
      <c r="AH211" s="24"/>
      <c r="AI211" s="24"/>
      <c r="AJ211" s="24"/>
      <c r="AK211" s="24"/>
      <c r="AL211" s="24"/>
      <c r="AM211" s="24"/>
      <c r="AN211" s="24"/>
      <c r="AO211" s="24"/>
      <c r="AP211" s="24"/>
      <c r="AQ211" s="24"/>
      <c r="AR211" s="24"/>
      <c r="AS211" s="24"/>
      <c r="AT211" s="24"/>
      <c r="AU211" s="24"/>
      <c r="AV211" s="24"/>
      <c r="AW211" s="24"/>
      <c r="AX211" s="24"/>
      <c r="AY211" s="24"/>
      <c r="AZ211" s="24"/>
      <c r="BA211" s="24"/>
      <c r="BB211" s="24"/>
      <c r="BC211" s="24"/>
      <c r="BD211" s="24"/>
      <c r="BE211" s="24"/>
      <c r="BF211" s="24"/>
      <c r="BG211" s="24"/>
      <c r="BH211" s="24"/>
    </row>
    <row r="212" spans="1:60">
      <c r="A212" s="7"/>
      <c r="B212" s="8"/>
      <c r="C212" s="9"/>
      <c r="D212" s="51"/>
      <c r="E212" s="51"/>
      <c r="F212" s="51"/>
      <c r="G212" s="51"/>
      <c r="H212" s="52"/>
      <c r="I212" s="52"/>
      <c r="J212" s="52"/>
      <c r="K212" s="24"/>
      <c r="L212" s="7"/>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4"/>
      <c r="AK212" s="24"/>
      <c r="AL212" s="24"/>
      <c r="AM212" s="24"/>
      <c r="AN212" s="24"/>
      <c r="AO212" s="24"/>
      <c r="AP212" s="24"/>
      <c r="AQ212" s="24"/>
      <c r="AR212" s="24"/>
      <c r="AS212" s="24"/>
      <c r="AT212" s="24"/>
      <c r="AU212" s="24"/>
      <c r="AV212" s="24"/>
      <c r="AW212" s="24"/>
      <c r="AX212" s="24"/>
      <c r="AY212" s="24"/>
      <c r="AZ212" s="24"/>
      <c r="BA212" s="24"/>
      <c r="BB212" s="24"/>
      <c r="BC212" s="24"/>
      <c r="BD212" s="24"/>
      <c r="BE212" s="24"/>
      <c r="BF212" s="24"/>
      <c r="BG212" s="24"/>
      <c r="BH212" s="24"/>
    </row>
    <row r="213" spans="1:60">
      <c r="A213" s="7"/>
      <c r="B213" s="8"/>
      <c r="C213" s="9"/>
      <c r="D213" s="51"/>
      <c r="E213" s="51"/>
      <c r="F213" s="51"/>
      <c r="G213" s="51"/>
      <c r="H213" s="52"/>
      <c r="I213" s="52"/>
      <c r="J213" s="52"/>
      <c r="K213" s="24"/>
      <c r="L213" s="7"/>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24"/>
      <c r="AV213" s="24"/>
      <c r="AW213" s="24"/>
      <c r="AX213" s="24"/>
      <c r="AY213" s="24"/>
      <c r="AZ213" s="24"/>
      <c r="BA213" s="24"/>
      <c r="BB213" s="24"/>
      <c r="BC213" s="24"/>
      <c r="BD213" s="24"/>
      <c r="BE213" s="24"/>
      <c r="BF213" s="24"/>
      <c r="BG213" s="24"/>
      <c r="BH213" s="24"/>
    </row>
    <row r="214" spans="1:60">
      <c r="A214" s="7"/>
      <c r="B214" s="8"/>
      <c r="C214" s="9"/>
      <c r="D214" s="51"/>
      <c r="E214" s="51"/>
      <c r="F214" s="51"/>
      <c r="G214" s="51"/>
      <c r="H214" s="52"/>
      <c r="I214" s="52"/>
      <c r="J214" s="52"/>
      <c r="K214" s="24"/>
      <c r="L214" s="7"/>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c r="AT214" s="24"/>
      <c r="AU214" s="24"/>
      <c r="AV214" s="24"/>
      <c r="AW214" s="24"/>
      <c r="AX214" s="24"/>
      <c r="AY214" s="24"/>
      <c r="AZ214" s="24"/>
      <c r="BA214" s="24"/>
      <c r="BB214" s="24"/>
      <c r="BC214" s="24"/>
      <c r="BD214" s="24"/>
      <c r="BE214" s="24"/>
      <c r="BF214" s="24"/>
      <c r="BG214" s="24"/>
      <c r="BH214" s="24"/>
    </row>
    <row r="215" spans="1:60">
      <c r="A215" s="7"/>
      <c r="B215" s="8"/>
      <c r="C215" s="9"/>
      <c r="D215" s="51"/>
      <c r="E215" s="51"/>
      <c r="F215" s="51"/>
      <c r="G215" s="51"/>
      <c r="H215" s="52"/>
      <c r="I215" s="52"/>
      <c r="J215" s="52"/>
      <c r="K215" s="24"/>
      <c r="L215" s="7"/>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4"/>
      <c r="BF215" s="24"/>
      <c r="BG215" s="24"/>
      <c r="BH215" s="24"/>
    </row>
    <row r="216" spans="1:60">
      <c r="A216" s="7"/>
      <c r="B216" s="8"/>
      <c r="C216" s="9"/>
      <c r="D216" s="51"/>
      <c r="E216" s="51"/>
      <c r="F216" s="51"/>
      <c r="G216" s="51"/>
      <c r="H216" s="52"/>
      <c r="I216" s="52"/>
      <c r="J216" s="52"/>
      <c r="K216" s="24"/>
      <c r="L216" s="7"/>
      <c r="M216" s="24"/>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4"/>
      <c r="AK216" s="24"/>
      <c r="AL216" s="24"/>
      <c r="AM216" s="24"/>
      <c r="AN216" s="24"/>
      <c r="AO216" s="24"/>
      <c r="AP216" s="24"/>
      <c r="AQ216" s="24"/>
      <c r="AR216" s="24"/>
      <c r="AS216" s="24"/>
      <c r="AT216" s="24"/>
      <c r="AU216" s="24"/>
      <c r="AV216" s="24"/>
      <c r="AW216" s="24"/>
      <c r="AX216" s="24"/>
      <c r="AY216" s="24"/>
      <c r="AZ216" s="24"/>
      <c r="BA216" s="24"/>
      <c r="BB216" s="24"/>
      <c r="BC216" s="24"/>
      <c r="BD216" s="24"/>
      <c r="BE216" s="24"/>
      <c r="BF216" s="24"/>
      <c r="BG216" s="24"/>
      <c r="BH216" s="24"/>
    </row>
    <row r="217" spans="1:60">
      <c r="A217" s="7"/>
      <c r="B217" s="8"/>
      <c r="C217" s="9"/>
      <c r="D217" s="51"/>
      <c r="E217" s="51"/>
      <c r="F217" s="51"/>
      <c r="G217" s="51"/>
      <c r="H217" s="52"/>
      <c r="I217" s="52"/>
      <c r="J217" s="52"/>
      <c r="K217" s="24"/>
      <c r="L217" s="7"/>
      <c r="M217" s="24"/>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c r="AZ217" s="24"/>
      <c r="BA217" s="24"/>
      <c r="BB217" s="24"/>
      <c r="BC217" s="24"/>
      <c r="BD217" s="24"/>
      <c r="BE217" s="24"/>
      <c r="BF217" s="24"/>
      <c r="BG217" s="24"/>
      <c r="BH217" s="24"/>
    </row>
    <row r="218" spans="1:60">
      <c r="A218" s="7"/>
      <c r="B218" s="8"/>
      <c r="C218" s="9"/>
      <c r="D218" s="51"/>
      <c r="E218" s="51"/>
      <c r="F218" s="51"/>
      <c r="G218" s="51"/>
      <c r="H218" s="52"/>
      <c r="I218" s="52"/>
      <c r="J218" s="52"/>
      <c r="K218" s="24"/>
      <c r="L218" s="7"/>
      <c r="M218" s="24"/>
      <c r="N218" s="24"/>
      <c r="O218" s="24"/>
      <c r="P218" s="24"/>
      <c r="Q218" s="24"/>
      <c r="R218" s="24"/>
      <c r="S218" s="24"/>
      <c r="T218" s="24"/>
      <c r="U218" s="24"/>
      <c r="V218" s="24"/>
      <c r="W218" s="24"/>
      <c r="X218" s="24"/>
      <c r="Y218" s="24"/>
      <c r="Z218" s="24"/>
      <c r="AA218" s="24"/>
      <c r="AB218" s="24"/>
      <c r="AC218" s="24"/>
      <c r="AD218" s="24"/>
      <c r="AE218" s="24"/>
      <c r="AF218" s="24"/>
      <c r="AG218" s="24"/>
      <c r="AH218" s="24"/>
      <c r="AI218" s="24"/>
      <c r="AJ218" s="24"/>
      <c r="AK218" s="24"/>
      <c r="AL218" s="24"/>
      <c r="AM218" s="24"/>
      <c r="AN218" s="24"/>
      <c r="AO218" s="24"/>
      <c r="AP218" s="24"/>
      <c r="AQ218" s="24"/>
      <c r="AR218" s="24"/>
      <c r="AS218" s="24"/>
      <c r="AT218" s="24"/>
      <c r="AU218" s="24"/>
      <c r="AV218" s="24"/>
      <c r="AW218" s="24"/>
      <c r="AX218" s="24"/>
      <c r="AY218" s="24"/>
      <c r="AZ218" s="24"/>
      <c r="BA218" s="24"/>
      <c r="BB218" s="24"/>
      <c r="BC218" s="24"/>
      <c r="BD218" s="24"/>
      <c r="BE218" s="24"/>
      <c r="BF218" s="24"/>
      <c r="BG218" s="24"/>
      <c r="BH218" s="24"/>
    </row>
    <row r="219" spans="1:60">
      <c r="A219" s="7"/>
      <c r="B219" s="8"/>
      <c r="C219" s="9"/>
      <c r="D219" s="51"/>
      <c r="E219" s="51"/>
      <c r="F219" s="51"/>
      <c r="G219" s="51"/>
      <c r="H219" s="52"/>
      <c r="I219" s="52"/>
      <c r="J219" s="52"/>
      <c r="K219" s="24"/>
      <c r="L219" s="7"/>
      <c r="M219" s="24"/>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4"/>
      <c r="AK219" s="24"/>
      <c r="AL219" s="24"/>
      <c r="AM219" s="24"/>
      <c r="AN219" s="24"/>
      <c r="AO219" s="24"/>
      <c r="AP219" s="24"/>
      <c r="AQ219" s="24"/>
      <c r="AR219" s="24"/>
      <c r="AS219" s="24"/>
      <c r="AT219" s="24"/>
      <c r="AU219" s="24"/>
      <c r="AV219" s="24"/>
      <c r="AW219" s="24"/>
      <c r="AX219" s="24"/>
      <c r="AY219" s="24"/>
      <c r="AZ219" s="24"/>
      <c r="BA219" s="24"/>
      <c r="BB219" s="24"/>
      <c r="BC219" s="24"/>
      <c r="BD219" s="24"/>
      <c r="BE219" s="24"/>
      <c r="BF219" s="24"/>
      <c r="BG219" s="24"/>
      <c r="BH219" s="24"/>
    </row>
    <row r="220" spans="1:60">
      <c r="A220" s="7"/>
      <c r="B220" s="8"/>
      <c r="C220" s="9"/>
      <c r="D220" s="51"/>
      <c r="E220" s="51"/>
      <c r="F220" s="51"/>
      <c r="G220" s="51"/>
      <c r="H220" s="52"/>
      <c r="I220" s="52"/>
      <c r="J220" s="52"/>
      <c r="K220" s="24"/>
      <c r="L220" s="7"/>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24"/>
      <c r="AW220" s="24"/>
      <c r="AX220" s="24"/>
      <c r="AY220" s="24"/>
      <c r="AZ220" s="24"/>
      <c r="BA220" s="24"/>
      <c r="BB220" s="24"/>
      <c r="BC220" s="24"/>
      <c r="BD220" s="24"/>
      <c r="BE220" s="24"/>
      <c r="BF220" s="24"/>
      <c r="BG220" s="24"/>
      <c r="BH220" s="24"/>
    </row>
    <row r="221" spans="1:60">
      <c r="A221" s="7"/>
      <c r="B221" s="8"/>
      <c r="C221" s="9"/>
      <c r="D221" s="51"/>
      <c r="E221" s="51"/>
      <c r="F221" s="51"/>
      <c r="G221" s="51"/>
      <c r="H221" s="52"/>
      <c r="I221" s="52"/>
      <c r="J221" s="52"/>
      <c r="K221" s="24"/>
      <c r="L221" s="7"/>
      <c r="M221" s="24"/>
      <c r="N221" s="24"/>
      <c r="O221" s="24"/>
      <c r="P221" s="24"/>
      <c r="Q221" s="24"/>
      <c r="R221" s="24"/>
      <c r="S221" s="24"/>
      <c r="T221" s="24"/>
      <c r="U221" s="24"/>
      <c r="V221" s="24"/>
      <c r="W221" s="24"/>
      <c r="X221" s="24"/>
      <c r="Y221" s="24"/>
      <c r="Z221" s="24"/>
      <c r="AA221" s="24"/>
      <c r="AB221" s="24"/>
      <c r="AC221" s="24"/>
      <c r="AD221" s="24"/>
      <c r="AE221" s="24"/>
      <c r="AF221" s="24"/>
      <c r="AG221" s="24"/>
      <c r="AH221" s="24"/>
      <c r="AI221" s="24"/>
      <c r="AJ221" s="24"/>
      <c r="AK221" s="24"/>
      <c r="AL221" s="24"/>
      <c r="AM221" s="24"/>
      <c r="AN221" s="24"/>
      <c r="AO221" s="24"/>
      <c r="AP221" s="24"/>
      <c r="AQ221" s="24"/>
      <c r="AR221" s="24"/>
      <c r="AS221" s="24"/>
      <c r="AT221" s="24"/>
      <c r="AU221" s="24"/>
      <c r="AV221" s="24"/>
      <c r="AW221" s="24"/>
      <c r="AX221" s="24"/>
      <c r="AY221" s="24"/>
      <c r="AZ221" s="24"/>
      <c r="BA221" s="24"/>
      <c r="BB221" s="24"/>
      <c r="BC221" s="24"/>
      <c r="BD221" s="24"/>
      <c r="BE221" s="24"/>
      <c r="BF221" s="24"/>
      <c r="BG221" s="24"/>
      <c r="BH221" s="24"/>
    </row>
    <row r="222" spans="1:60">
      <c r="A222" s="7"/>
      <c r="B222" s="8"/>
      <c r="C222" s="9"/>
      <c r="D222" s="51"/>
      <c r="E222" s="51"/>
      <c r="F222" s="51"/>
      <c r="G222" s="51"/>
      <c r="H222" s="52"/>
      <c r="I222" s="52"/>
      <c r="J222" s="52"/>
      <c r="K222" s="24"/>
      <c r="L222" s="7"/>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24"/>
      <c r="AX222" s="24"/>
      <c r="AY222" s="24"/>
      <c r="AZ222" s="24"/>
      <c r="BA222" s="24"/>
      <c r="BB222" s="24"/>
      <c r="BC222" s="24"/>
      <c r="BD222" s="24"/>
      <c r="BE222" s="24"/>
      <c r="BF222" s="24"/>
      <c r="BG222" s="24"/>
      <c r="BH222" s="24"/>
    </row>
    <row r="223" spans="1:60">
      <c r="A223" s="7"/>
      <c r="B223" s="8"/>
      <c r="C223" s="9"/>
      <c r="D223" s="51"/>
      <c r="E223" s="51"/>
      <c r="F223" s="51"/>
      <c r="G223" s="51"/>
      <c r="H223" s="52"/>
      <c r="I223" s="52"/>
      <c r="J223" s="52"/>
      <c r="K223" s="24"/>
      <c r="L223" s="7"/>
      <c r="M223" s="24"/>
      <c r="N223" s="24"/>
      <c r="O223" s="24"/>
      <c r="P223" s="24"/>
      <c r="Q223" s="24"/>
      <c r="R223" s="24"/>
      <c r="S223" s="24"/>
      <c r="T223" s="24"/>
      <c r="U223" s="24"/>
      <c r="V223" s="24"/>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c r="AT223" s="24"/>
      <c r="AU223" s="24"/>
      <c r="AV223" s="24"/>
      <c r="AW223" s="24"/>
      <c r="AX223" s="24"/>
      <c r="AY223" s="24"/>
      <c r="AZ223" s="24"/>
      <c r="BA223" s="24"/>
      <c r="BB223" s="24"/>
      <c r="BC223" s="24"/>
      <c r="BD223" s="24"/>
      <c r="BE223" s="24"/>
      <c r="BF223" s="24"/>
      <c r="BG223" s="24"/>
      <c r="BH223" s="24"/>
    </row>
    <row r="224" spans="1:60">
      <c r="A224" s="7"/>
      <c r="B224" s="8"/>
      <c r="C224" s="9"/>
      <c r="D224" s="51"/>
      <c r="E224" s="51"/>
      <c r="F224" s="51"/>
      <c r="G224" s="51"/>
      <c r="H224" s="52"/>
      <c r="I224" s="52"/>
      <c r="J224" s="52"/>
      <c r="K224" s="24"/>
      <c r="L224" s="7"/>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4"/>
      <c r="AK224" s="24"/>
      <c r="AL224" s="24"/>
      <c r="AM224" s="24"/>
      <c r="AN224" s="24"/>
      <c r="AO224" s="24"/>
      <c r="AP224" s="24"/>
      <c r="AQ224" s="24"/>
      <c r="AR224" s="24"/>
      <c r="AS224" s="24"/>
      <c r="AT224" s="24"/>
      <c r="AU224" s="24"/>
      <c r="AV224" s="24"/>
      <c r="AW224" s="24"/>
      <c r="AX224" s="24"/>
      <c r="AY224" s="24"/>
      <c r="AZ224" s="24"/>
      <c r="BA224" s="24"/>
      <c r="BB224" s="24"/>
      <c r="BC224" s="24"/>
      <c r="BD224" s="24"/>
      <c r="BE224" s="24"/>
      <c r="BF224" s="24"/>
      <c r="BG224" s="24"/>
      <c r="BH224" s="24"/>
    </row>
    <row r="225" spans="1:60">
      <c r="A225" s="7"/>
      <c r="B225" s="8"/>
      <c r="C225" s="9"/>
      <c r="D225" s="51"/>
      <c r="E225" s="51"/>
      <c r="F225" s="51"/>
      <c r="G225" s="51"/>
      <c r="H225" s="52"/>
      <c r="I225" s="52"/>
      <c r="J225" s="52"/>
      <c r="K225" s="24"/>
      <c r="L225" s="7"/>
      <c r="M225" s="24"/>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24"/>
      <c r="BA225" s="24"/>
      <c r="BB225" s="24"/>
      <c r="BC225" s="24"/>
      <c r="BD225" s="24"/>
      <c r="BE225" s="24"/>
      <c r="BF225" s="24"/>
      <c r="BG225" s="24"/>
      <c r="BH225" s="24"/>
    </row>
    <row r="226" spans="1:60">
      <c r="A226" s="7"/>
      <c r="B226" s="8"/>
      <c r="C226" s="9"/>
      <c r="D226" s="51"/>
      <c r="E226" s="51"/>
      <c r="F226" s="51"/>
      <c r="G226" s="51"/>
      <c r="H226" s="52"/>
      <c r="I226" s="52"/>
      <c r="J226" s="52"/>
      <c r="K226" s="24"/>
      <c r="L226" s="7"/>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4"/>
      <c r="BF226" s="24"/>
      <c r="BG226" s="24"/>
      <c r="BH226" s="24"/>
    </row>
    <row r="227" spans="1:60">
      <c r="A227" s="7"/>
      <c r="B227" s="8"/>
      <c r="C227" s="9"/>
      <c r="D227" s="51"/>
      <c r="E227" s="51"/>
      <c r="F227" s="51"/>
      <c r="G227" s="51"/>
      <c r="H227" s="52"/>
      <c r="I227" s="52"/>
      <c r="J227" s="52"/>
      <c r="K227" s="24"/>
      <c r="L227" s="7"/>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24"/>
      <c r="BC227" s="24"/>
      <c r="BD227" s="24"/>
      <c r="BE227" s="24"/>
      <c r="BF227" s="24"/>
      <c r="BG227" s="24"/>
      <c r="BH227" s="24"/>
    </row>
    <row r="228" spans="1:60">
      <c r="A228" s="7"/>
      <c r="B228" s="8"/>
      <c r="C228" s="9"/>
      <c r="D228" s="51"/>
      <c r="E228" s="51"/>
      <c r="F228" s="51"/>
      <c r="G228" s="51"/>
      <c r="H228" s="52"/>
      <c r="I228" s="52"/>
      <c r="J228" s="52"/>
      <c r="K228" s="24"/>
      <c r="L228" s="7"/>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4"/>
      <c r="AK228" s="24"/>
      <c r="AL228" s="24"/>
      <c r="AM228" s="24"/>
      <c r="AN228" s="24"/>
      <c r="AO228" s="24"/>
      <c r="AP228" s="24"/>
      <c r="AQ228" s="24"/>
      <c r="AR228" s="24"/>
      <c r="AS228" s="24"/>
      <c r="AT228" s="24"/>
      <c r="AU228" s="24"/>
      <c r="AV228" s="24"/>
      <c r="AW228" s="24"/>
      <c r="AX228" s="24"/>
      <c r="AY228" s="24"/>
      <c r="AZ228" s="24"/>
      <c r="BA228" s="24"/>
      <c r="BB228" s="24"/>
      <c r="BC228" s="24"/>
      <c r="BD228" s="24"/>
      <c r="BE228" s="24"/>
      <c r="BF228" s="24"/>
      <c r="BG228" s="24"/>
      <c r="BH228" s="24"/>
    </row>
    <row r="229" spans="1:60">
      <c r="A229" s="7"/>
      <c r="B229" s="8"/>
      <c r="C229" s="9"/>
      <c r="D229" s="51"/>
      <c r="E229" s="51"/>
      <c r="F229" s="51"/>
      <c r="G229" s="51"/>
      <c r="H229" s="52"/>
      <c r="I229" s="52"/>
      <c r="J229" s="52"/>
      <c r="K229" s="24"/>
      <c r="L229" s="7"/>
      <c r="M229" s="24"/>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4"/>
      <c r="AK229" s="24"/>
      <c r="AL229" s="24"/>
      <c r="AM229" s="24"/>
      <c r="AN229" s="24"/>
      <c r="AO229" s="24"/>
      <c r="AP229" s="24"/>
      <c r="AQ229" s="24"/>
      <c r="AR229" s="24"/>
      <c r="AS229" s="24"/>
      <c r="AT229" s="24"/>
      <c r="AU229" s="24"/>
      <c r="AV229" s="24"/>
      <c r="AW229" s="24"/>
      <c r="AX229" s="24"/>
      <c r="AY229" s="24"/>
      <c r="AZ229" s="24"/>
      <c r="BA229" s="24"/>
      <c r="BB229" s="24"/>
      <c r="BC229" s="24"/>
      <c r="BD229" s="24"/>
      <c r="BE229" s="24"/>
      <c r="BF229" s="24"/>
      <c r="BG229" s="24"/>
      <c r="BH229" s="24"/>
    </row>
    <row r="230" spans="1:60">
      <c r="A230" s="7"/>
      <c r="B230" s="8"/>
      <c r="C230" s="9"/>
      <c r="D230" s="51"/>
      <c r="E230" s="51"/>
      <c r="F230" s="51"/>
      <c r="G230" s="51"/>
      <c r="H230" s="52"/>
      <c r="I230" s="52"/>
      <c r="J230" s="52"/>
      <c r="K230" s="24"/>
      <c r="L230" s="7"/>
      <c r="M230" s="24"/>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c r="AT230" s="24"/>
      <c r="AU230" s="24"/>
      <c r="AV230" s="24"/>
      <c r="AW230" s="24"/>
      <c r="AX230" s="24"/>
      <c r="AY230" s="24"/>
      <c r="AZ230" s="24"/>
      <c r="BA230" s="24"/>
      <c r="BB230" s="24"/>
      <c r="BC230" s="24"/>
      <c r="BD230" s="24"/>
      <c r="BE230" s="24"/>
      <c r="BF230" s="24"/>
      <c r="BG230" s="24"/>
      <c r="BH230" s="24"/>
    </row>
    <row r="231" spans="1:60">
      <c r="A231" s="7"/>
      <c r="B231" s="8"/>
      <c r="C231" s="9"/>
      <c r="D231" s="51"/>
      <c r="E231" s="51"/>
      <c r="F231" s="51"/>
      <c r="G231" s="51"/>
      <c r="H231" s="52"/>
      <c r="I231" s="52"/>
      <c r="J231" s="52"/>
      <c r="K231" s="24"/>
      <c r="L231" s="7"/>
      <c r="M231" s="24"/>
      <c r="N231" s="24"/>
      <c r="O231" s="24"/>
      <c r="P231" s="24"/>
      <c r="Q231" s="24"/>
      <c r="R231" s="24"/>
      <c r="S231" s="24"/>
      <c r="T231" s="24"/>
      <c r="U231" s="24"/>
      <c r="V231" s="24"/>
      <c r="W231" s="24"/>
      <c r="X231" s="24"/>
      <c r="Y231" s="24"/>
      <c r="Z231" s="24"/>
      <c r="AA231" s="24"/>
      <c r="AB231" s="24"/>
      <c r="AC231" s="24"/>
      <c r="AD231" s="24"/>
      <c r="AE231" s="24"/>
      <c r="AF231" s="24"/>
      <c r="AG231" s="24"/>
      <c r="AH231" s="24"/>
      <c r="AI231" s="24"/>
      <c r="AJ231" s="24"/>
      <c r="AK231" s="24"/>
      <c r="AL231" s="24"/>
      <c r="AM231" s="24"/>
      <c r="AN231" s="24"/>
      <c r="AO231" s="24"/>
      <c r="AP231" s="24"/>
      <c r="AQ231" s="24"/>
      <c r="AR231" s="24"/>
      <c r="AS231" s="24"/>
      <c r="AT231" s="24"/>
      <c r="AU231" s="24"/>
      <c r="AV231" s="24"/>
      <c r="AW231" s="24"/>
      <c r="AX231" s="24"/>
      <c r="AY231" s="24"/>
      <c r="AZ231" s="24"/>
      <c r="BA231" s="24"/>
      <c r="BB231" s="24"/>
      <c r="BC231" s="24"/>
      <c r="BD231" s="24"/>
      <c r="BE231" s="24"/>
      <c r="BF231" s="24"/>
      <c r="BG231" s="24"/>
      <c r="BH231" s="24"/>
    </row>
    <row r="232" spans="1:60">
      <c r="A232" s="7"/>
      <c r="B232" s="8"/>
      <c r="C232" s="9"/>
      <c r="D232" s="51"/>
      <c r="E232" s="51"/>
      <c r="F232" s="51"/>
      <c r="G232" s="51"/>
      <c r="H232" s="52"/>
      <c r="I232" s="52"/>
      <c r="J232" s="52"/>
      <c r="K232" s="24"/>
      <c r="L232" s="7"/>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c r="BH232" s="24"/>
    </row>
    <row r="233" spans="1:60">
      <c r="A233" s="7"/>
      <c r="B233" s="8"/>
      <c r="C233" s="9"/>
      <c r="D233" s="51"/>
      <c r="E233" s="51"/>
      <c r="F233" s="51"/>
      <c r="G233" s="51"/>
      <c r="H233" s="52"/>
      <c r="I233" s="52"/>
      <c r="J233" s="52"/>
      <c r="K233" s="24"/>
      <c r="L233" s="7"/>
      <c r="M233" s="24"/>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row>
    <row r="234" spans="1:60">
      <c r="A234" s="7"/>
      <c r="B234" s="8"/>
      <c r="C234" s="9"/>
      <c r="D234" s="51"/>
      <c r="E234" s="51"/>
      <c r="F234" s="51"/>
      <c r="G234" s="51"/>
      <c r="H234" s="52"/>
      <c r="I234" s="52"/>
      <c r="J234" s="52"/>
      <c r="K234" s="24"/>
      <c r="L234" s="7"/>
      <c r="M234" s="24"/>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4"/>
      <c r="AK234" s="24"/>
      <c r="AL234" s="24"/>
      <c r="AM234" s="24"/>
      <c r="AN234" s="24"/>
      <c r="AO234" s="24"/>
      <c r="AP234" s="24"/>
      <c r="AQ234" s="24"/>
      <c r="AR234" s="24"/>
      <c r="AS234" s="24"/>
      <c r="AT234" s="24"/>
      <c r="AU234" s="24"/>
      <c r="AV234" s="24"/>
      <c r="AW234" s="24"/>
      <c r="AX234" s="24"/>
      <c r="AY234" s="24"/>
      <c r="AZ234" s="24"/>
      <c r="BA234" s="24"/>
      <c r="BB234" s="24"/>
      <c r="BC234" s="24"/>
      <c r="BD234" s="24"/>
      <c r="BE234" s="24"/>
      <c r="BF234" s="24"/>
      <c r="BG234" s="24"/>
      <c r="BH234" s="24"/>
    </row>
    <row r="235" spans="1:60">
      <c r="A235" s="7"/>
      <c r="B235" s="8"/>
      <c r="C235" s="9"/>
      <c r="D235" s="51"/>
      <c r="E235" s="51"/>
      <c r="F235" s="51"/>
      <c r="G235" s="51"/>
      <c r="H235" s="52"/>
      <c r="I235" s="52"/>
      <c r="J235" s="52"/>
      <c r="K235" s="24"/>
      <c r="L235" s="7"/>
      <c r="M235" s="24"/>
      <c r="N235" s="24"/>
      <c r="O235" s="24"/>
      <c r="P235" s="24"/>
      <c r="Q235" s="24"/>
      <c r="R235" s="24"/>
      <c r="S235" s="24"/>
      <c r="T235" s="24"/>
      <c r="U235" s="24"/>
      <c r="V235" s="24"/>
      <c r="W235" s="24"/>
      <c r="X235" s="24"/>
      <c r="Y235" s="24"/>
      <c r="Z235" s="24"/>
      <c r="AA235" s="24"/>
      <c r="AB235" s="24"/>
      <c r="AC235" s="24"/>
      <c r="AD235" s="24"/>
      <c r="AE235" s="24"/>
      <c r="AF235" s="24"/>
      <c r="AG235" s="24"/>
      <c r="AH235" s="24"/>
      <c r="AI235" s="24"/>
      <c r="AJ235" s="24"/>
      <c r="AK235" s="24"/>
      <c r="AL235" s="24"/>
      <c r="AM235" s="24"/>
      <c r="AN235" s="24"/>
      <c r="AO235" s="24"/>
      <c r="AP235" s="24"/>
      <c r="AQ235" s="24"/>
      <c r="AR235" s="24"/>
      <c r="AS235" s="24"/>
      <c r="AT235" s="24"/>
      <c r="AU235" s="24"/>
      <c r="AV235" s="24"/>
      <c r="AW235" s="24"/>
      <c r="AX235" s="24"/>
      <c r="AY235" s="24"/>
      <c r="AZ235" s="24"/>
      <c r="BA235" s="24"/>
      <c r="BB235" s="24"/>
      <c r="BC235" s="24"/>
      <c r="BD235" s="24"/>
      <c r="BE235" s="24"/>
      <c r="BF235" s="24"/>
      <c r="BG235" s="24"/>
      <c r="BH235" s="24"/>
    </row>
    <row r="236" spans="1:60">
      <c r="A236" s="7"/>
      <c r="B236" s="8"/>
      <c r="C236" s="9"/>
      <c r="D236" s="51"/>
      <c r="E236" s="51"/>
      <c r="F236" s="51"/>
      <c r="G236" s="51"/>
      <c r="H236" s="52"/>
      <c r="I236" s="52"/>
      <c r="J236" s="52"/>
      <c r="K236" s="24"/>
      <c r="L236" s="7"/>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4"/>
      <c r="AK236" s="24"/>
      <c r="AL236" s="24"/>
      <c r="AM236" s="24"/>
      <c r="AN236" s="24"/>
      <c r="AO236" s="24"/>
      <c r="AP236" s="24"/>
      <c r="AQ236" s="24"/>
      <c r="AR236" s="24"/>
      <c r="AS236" s="24"/>
      <c r="AT236" s="24"/>
      <c r="AU236" s="24"/>
      <c r="AV236" s="24"/>
      <c r="AW236" s="24"/>
      <c r="AX236" s="24"/>
      <c r="AY236" s="24"/>
      <c r="AZ236" s="24"/>
      <c r="BA236" s="24"/>
      <c r="BB236" s="24"/>
      <c r="BC236" s="24"/>
      <c r="BD236" s="24"/>
      <c r="BE236" s="24"/>
      <c r="BF236" s="24"/>
      <c r="BG236" s="24"/>
      <c r="BH236" s="24"/>
    </row>
    <row r="237" spans="1:60">
      <c r="A237" s="7"/>
      <c r="B237" s="8"/>
      <c r="C237" s="9"/>
      <c r="D237" s="51"/>
      <c r="E237" s="51"/>
      <c r="F237" s="51"/>
      <c r="G237" s="51"/>
      <c r="H237" s="52"/>
      <c r="I237" s="52"/>
      <c r="J237" s="52"/>
      <c r="K237" s="24"/>
      <c r="L237" s="7"/>
      <c r="M237" s="24"/>
      <c r="N237" s="24"/>
      <c r="O237" s="24"/>
      <c r="P237" s="24"/>
      <c r="Q237" s="24"/>
      <c r="R237" s="24"/>
      <c r="S237" s="24"/>
      <c r="T237" s="24"/>
      <c r="U237" s="24"/>
      <c r="V237" s="24"/>
      <c r="W237" s="24"/>
      <c r="X237" s="24"/>
      <c r="Y237" s="24"/>
      <c r="Z237" s="24"/>
      <c r="AA237" s="24"/>
      <c r="AB237" s="24"/>
      <c r="AC237" s="24"/>
      <c r="AD237" s="24"/>
      <c r="AE237" s="24"/>
      <c r="AF237" s="24"/>
      <c r="AG237" s="24"/>
      <c r="AH237" s="24"/>
      <c r="AI237" s="24"/>
      <c r="AJ237" s="24"/>
      <c r="AK237" s="24"/>
      <c r="AL237" s="24"/>
      <c r="AM237" s="24"/>
      <c r="AN237" s="24"/>
      <c r="AO237" s="24"/>
      <c r="AP237" s="24"/>
      <c r="AQ237" s="24"/>
      <c r="AR237" s="24"/>
      <c r="AS237" s="24"/>
      <c r="AT237" s="24"/>
      <c r="AU237" s="24"/>
      <c r="AV237" s="24"/>
      <c r="AW237" s="24"/>
      <c r="AX237" s="24"/>
      <c r="AY237" s="24"/>
      <c r="AZ237" s="24"/>
      <c r="BA237" s="24"/>
      <c r="BB237" s="24"/>
      <c r="BC237" s="24"/>
      <c r="BD237" s="24"/>
      <c r="BE237" s="24"/>
      <c r="BF237" s="24"/>
      <c r="BG237" s="24"/>
      <c r="BH237" s="24"/>
    </row>
    <row r="238" spans="1:60">
      <c r="A238" s="7"/>
      <c r="B238" s="8"/>
      <c r="C238" s="9"/>
      <c r="D238" s="51"/>
      <c r="E238" s="51"/>
      <c r="F238" s="51"/>
      <c r="G238" s="51"/>
      <c r="H238" s="52"/>
      <c r="I238" s="52"/>
      <c r="J238" s="52"/>
      <c r="K238" s="24"/>
      <c r="L238" s="7"/>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4"/>
      <c r="AK238" s="24"/>
      <c r="AL238" s="24"/>
      <c r="AM238" s="24"/>
      <c r="AN238" s="24"/>
      <c r="AO238" s="24"/>
      <c r="AP238" s="24"/>
      <c r="AQ238" s="24"/>
      <c r="AR238" s="24"/>
      <c r="AS238" s="24"/>
      <c r="AT238" s="24"/>
      <c r="AU238" s="24"/>
      <c r="AV238" s="24"/>
      <c r="AW238" s="24"/>
      <c r="AX238" s="24"/>
      <c r="AY238" s="24"/>
      <c r="AZ238" s="24"/>
      <c r="BA238" s="24"/>
      <c r="BB238" s="24"/>
      <c r="BC238" s="24"/>
      <c r="BD238" s="24"/>
      <c r="BE238" s="24"/>
      <c r="BF238" s="24"/>
      <c r="BG238" s="24"/>
      <c r="BH238" s="24"/>
    </row>
    <row r="239" spans="1:60">
      <c r="A239" s="7"/>
      <c r="B239" s="8"/>
      <c r="C239" s="9"/>
      <c r="D239" s="51"/>
      <c r="E239" s="51"/>
      <c r="F239" s="51"/>
      <c r="G239" s="51"/>
      <c r="H239" s="52"/>
      <c r="I239" s="52"/>
      <c r="J239" s="52"/>
      <c r="K239" s="24"/>
      <c r="L239" s="7"/>
      <c r="M239" s="24"/>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4"/>
      <c r="AK239" s="24"/>
      <c r="AL239" s="24"/>
      <c r="AM239" s="24"/>
      <c r="AN239" s="24"/>
      <c r="AO239" s="24"/>
      <c r="AP239" s="24"/>
      <c r="AQ239" s="24"/>
      <c r="AR239" s="24"/>
      <c r="AS239" s="24"/>
      <c r="AT239" s="24"/>
      <c r="AU239" s="24"/>
      <c r="AV239" s="24"/>
      <c r="AW239" s="24"/>
      <c r="AX239" s="24"/>
      <c r="AY239" s="24"/>
      <c r="AZ239" s="24"/>
      <c r="BA239" s="24"/>
      <c r="BB239" s="24"/>
      <c r="BC239" s="24"/>
      <c r="BD239" s="24"/>
      <c r="BE239" s="24"/>
      <c r="BF239" s="24"/>
      <c r="BG239" s="24"/>
      <c r="BH239" s="24"/>
    </row>
    <row r="240" spans="1:60">
      <c r="A240" s="7"/>
      <c r="B240" s="8"/>
      <c r="C240" s="9"/>
      <c r="D240" s="51"/>
      <c r="E240" s="51"/>
      <c r="F240" s="51"/>
      <c r="G240" s="51"/>
      <c r="H240" s="52"/>
      <c r="I240" s="52"/>
      <c r="J240" s="52"/>
      <c r="K240" s="24"/>
      <c r="L240" s="7"/>
      <c r="M240" s="24"/>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4"/>
      <c r="AK240" s="24"/>
      <c r="AL240" s="24"/>
      <c r="AM240" s="24"/>
      <c r="AN240" s="24"/>
      <c r="AO240" s="24"/>
      <c r="AP240" s="24"/>
      <c r="AQ240" s="24"/>
      <c r="AR240" s="24"/>
      <c r="AS240" s="24"/>
      <c r="AT240" s="24"/>
      <c r="AU240" s="24"/>
      <c r="AV240" s="24"/>
      <c r="AW240" s="24"/>
      <c r="AX240" s="24"/>
      <c r="AY240" s="24"/>
      <c r="AZ240" s="24"/>
      <c r="BA240" s="24"/>
      <c r="BB240" s="24"/>
      <c r="BC240" s="24"/>
      <c r="BD240" s="24"/>
      <c r="BE240" s="24"/>
      <c r="BF240" s="24"/>
      <c r="BG240" s="24"/>
      <c r="BH240" s="24"/>
    </row>
    <row r="241" spans="1:60">
      <c r="A241" s="7"/>
      <c r="B241" s="8"/>
      <c r="C241" s="9"/>
      <c r="D241" s="51"/>
      <c r="E241" s="51"/>
      <c r="F241" s="51"/>
      <c r="G241" s="51"/>
      <c r="H241" s="52"/>
      <c r="I241" s="52"/>
      <c r="J241" s="52"/>
      <c r="K241" s="24"/>
      <c r="L241" s="7"/>
      <c r="M241" s="24"/>
      <c r="N241" s="24"/>
      <c r="O241" s="24"/>
      <c r="P241" s="24"/>
      <c r="Q241" s="24"/>
      <c r="R241" s="24"/>
      <c r="S241" s="24"/>
      <c r="T241" s="24"/>
      <c r="U241" s="24"/>
      <c r="V241" s="24"/>
      <c r="W241" s="24"/>
      <c r="X241" s="24"/>
      <c r="Y241" s="24"/>
      <c r="Z241" s="24"/>
      <c r="AA241" s="24"/>
      <c r="AB241" s="24"/>
      <c r="AC241" s="24"/>
      <c r="AD241" s="24"/>
      <c r="AE241" s="24"/>
      <c r="AF241" s="24"/>
      <c r="AG241" s="24"/>
      <c r="AH241" s="24"/>
      <c r="AI241" s="24"/>
      <c r="AJ241" s="24"/>
      <c r="AK241" s="24"/>
      <c r="AL241" s="24"/>
      <c r="AM241" s="24"/>
      <c r="AN241" s="24"/>
      <c r="AO241" s="24"/>
      <c r="AP241" s="24"/>
      <c r="AQ241" s="24"/>
      <c r="AR241" s="24"/>
      <c r="AS241" s="24"/>
      <c r="AT241" s="24"/>
      <c r="AU241" s="24"/>
      <c r="AV241" s="24"/>
      <c r="AW241" s="24"/>
      <c r="AX241" s="24"/>
      <c r="AY241" s="24"/>
      <c r="AZ241" s="24"/>
      <c r="BA241" s="24"/>
      <c r="BB241" s="24"/>
      <c r="BC241" s="24"/>
      <c r="BD241" s="24"/>
      <c r="BE241" s="24"/>
      <c r="BF241" s="24"/>
      <c r="BG241" s="24"/>
      <c r="BH241" s="24"/>
    </row>
    <row r="242" spans="1:60">
      <c r="A242" s="7"/>
      <c r="B242" s="8"/>
      <c r="C242" s="9"/>
      <c r="D242" s="51"/>
      <c r="E242" s="51"/>
      <c r="F242" s="51"/>
      <c r="G242" s="51"/>
      <c r="H242" s="52"/>
      <c r="I242" s="52"/>
      <c r="J242" s="52"/>
      <c r="K242" s="24"/>
      <c r="L242" s="7"/>
      <c r="M242" s="24"/>
      <c r="N242" s="24"/>
      <c r="O242" s="24"/>
      <c r="P242" s="24"/>
      <c r="Q242" s="24"/>
      <c r="R242" s="24"/>
      <c r="S242" s="24"/>
      <c r="T242" s="24"/>
      <c r="U242" s="24"/>
      <c r="V242" s="24"/>
      <c r="W242" s="24"/>
      <c r="X242" s="24"/>
      <c r="Y242" s="24"/>
      <c r="Z242" s="24"/>
      <c r="AA242" s="24"/>
      <c r="AB242" s="24"/>
      <c r="AC242" s="24"/>
      <c r="AD242" s="24"/>
      <c r="AE242" s="24"/>
      <c r="AF242" s="24"/>
      <c r="AG242" s="24"/>
      <c r="AH242" s="24"/>
      <c r="AI242" s="24"/>
      <c r="AJ242" s="24"/>
      <c r="AK242" s="24"/>
      <c r="AL242" s="24"/>
      <c r="AM242" s="24"/>
      <c r="AN242" s="24"/>
      <c r="AO242" s="24"/>
      <c r="AP242" s="24"/>
      <c r="AQ242" s="24"/>
      <c r="AR242" s="24"/>
      <c r="AS242" s="24"/>
      <c r="AT242" s="24"/>
      <c r="AU242" s="24"/>
      <c r="AV242" s="24"/>
      <c r="AW242" s="24"/>
      <c r="AX242" s="24"/>
      <c r="AY242" s="24"/>
      <c r="AZ242" s="24"/>
      <c r="BA242" s="24"/>
      <c r="BB242" s="24"/>
      <c r="BC242" s="24"/>
      <c r="BD242" s="24"/>
      <c r="BE242" s="24"/>
      <c r="BF242" s="24"/>
      <c r="BG242" s="24"/>
      <c r="BH242" s="24"/>
    </row>
    <row r="243" spans="1:60">
      <c r="A243" s="7"/>
      <c r="B243" s="8"/>
      <c r="C243" s="9"/>
      <c r="D243" s="51"/>
      <c r="E243" s="51"/>
      <c r="F243" s="51"/>
      <c r="G243" s="51"/>
      <c r="H243" s="52"/>
      <c r="I243" s="52"/>
      <c r="J243" s="52"/>
      <c r="K243" s="24"/>
      <c r="L243" s="7"/>
      <c r="M243" s="24"/>
      <c r="N243" s="24"/>
      <c r="O243" s="24"/>
      <c r="P243" s="24"/>
      <c r="Q243" s="24"/>
      <c r="R243" s="24"/>
      <c r="S243" s="24"/>
      <c r="T243" s="24"/>
      <c r="U243" s="24"/>
      <c r="V243" s="24"/>
      <c r="W243" s="24"/>
      <c r="X243" s="24"/>
      <c r="Y243" s="24"/>
      <c r="Z243" s="24"/>
      <c r="AA243" s="24"/>
      <c r="AB243" s="24"/>
      <c r="AC243" s="24"/>
      <c r="AD243" s="24"/>
      <c r="AE243" s="24"/>
      <c r="AF243" s="24"/>
      <c r="AG243" s="24"/>
      <c r="AH243" s="24"/>
      <c r="AI243" s="24"/>
      <c r="AJ243" s="24"/>
      <c r="AK243" s="24"/>
      <c r="AL243" s="24"/>
      <c r="AM243" s="24"/>
      <c r="AN243" s="24"/>
      <c r="AO243" s="24"/>
      <c r="AP243" s="24"/>
      <c r="AQ243" s="24"/>
      <c r="AR243" s="24"/>
      <c r="AS243" s="24"/>
      <c r="AT243" s="24"/>
      <c r="AU243" s="24"/>
      <c r="AV243" s="24"/>
      <c r="AW243" s="24"/>
      <c r="AX243" s="24"/>
      <c r="AY243" s="24"/>
      <c r="AZ243" s="24"/>
      <c r="BA243" s="24"/>
      <c r="BB243" s="24"/>
      <c r="BC243" s="24"/>
      <c r="BD243" s="24"/>
      <c r="BE243" s="24"/>
      <c r="BF243" s="24"/>
      <c r="BG243" s="24"/>
      <c r="BH243" s="24"/>
    </row>
    <row r="244" spans="1:60">
      <c r="A244" s="7"/>
      <c r="B244" s="8"/>
      <c r="C244" s="9"/>
      <c r="D244" s="51"/>
      <c r="E244" s="51"/>
      <c r="F244" s="51"/>
      <c r="G244" s="51"/>
      <c r="H244" s="52"/>
      <c r="I244" s="52"/>
      <c r="J244" s="52"/>
      <c r="K244" s="24"/>
      <c r="L244" s="7"/>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c r="AK244" s="24"/>
      <c r="AL244" s="24"/>
      <c r="AM244" s="24"/>
      <c r="AN244" s="24"/>
      <c r="AO244" s="24"/>
      <c r="AP244" s="24"/>
      <c r="AQ244" s="24"/>
      <c r="AR244" s="24"/>
      <c r="AS244" s="24"/>
      <c r="AT244" s="24"/>
      <c r="AU244" s="24"/>
      <c r="AV244" s="24"/>
      <c r="AW244" s="24"/>
      <c r="AX244" s="24"/>
      <c r="AY244" s="24"/>
      <c r="AZ244" s="24"/>
      <c r="BA244" s="24"/>
      <c r="BB244" s="24"/>
      <c r="BC244" s="24"/>
      <c r="BD244" s="24"/>
      <c r="BE244" s="24"/>
      <c r="BF244" s="24"/>
      <c r="BG244" s="24"/>
      <c r="BH244" s="24"/>
    </row>
    <row r="245" spans="1:60">
      <c r="A245" s="7"/>
      <c r="B245" s="8"/>
      <c r="C245" s="9"/>
      <c r="D245" s="51"/>
      <c r="E245" s="51"/>
      <c r="F245" s="51"/>
      <c r="G245" s="51"/>
      <c r="H245" s="52"/>
      <c r="I245" s="52"/>
      <c r="J245" s="52"/>
      <c r="K245" s="24"/>
      <c r="L245" s="7"/>
      <c r="M245" s="24"/>
      <c r="N245" s="24"/>
      <c r="O245" s="24"/>
      <c r="P245" s="24"/>
      <c r="Q245" s="24"/>
      <c r="R245" s="24"/>
      <c r="S245" s="24"/>
      <c r="T245" s="24"/>
      <c r="U245" s="24"/>
      <c r="V245" s="24"/>
      <c r="W245" s="24"/>
      <c r="X245" s="24"/>
      <c r="Y245" s="24"/>
      <c r="Z245" s="24"/>
      <c r="AA245" s="24"/>
      <c r="AB245" s="24"/>
      <c r="AC245" s="24"/>
      <c r="AD245" s="24"/>
      <c r="AE245" s="24"/>
      <c r="AF245" s="24"/>
      <c r="AG245" s="24"/>
      <c r="AH245" s="24"/>
      <c r="AI245" s="24"/>
      <c r="AJ245" s="24"/>
      <c r="AK245" s="24"/>
      <c r="AL245" s="24"/>
      <c r="AM245" s="24"/>
      <c r="AN245" s="24"/>
      <c r="AO245" s="24"/>
      <c r="AP245" s="24"/>
      <c r="AQ245" s="24"/>
      <c r="AR245" s="24"/>
      <c r="AS245" s="24"/>
      <c r="AT245" s="24"/>
      <c r="AU245" s="24"/>
      <c r="AV245" s="24"/>
      <c r="AW245" s="24"/>
      <c r="AX245" s="24"/>
      <c r="AY245" s="24"/>
      <c r="AZ245" s="24"/>
      <c r="BA245" s="24"/>
      <c r="BB245" s="24"/>
      <c r="BC245" s="24"/>
      <c r="BD245" s="24"/>
      <c r="BE245" s="24"/>
      <c r="BF245" s="24"/>
      <c r="BG245" s="24"/>
      <c r="BH245" s="24"/>
    </row>
    <row r="246" spans="1:60">
      <c r="A246" s="7"/>
      <c r="B246" s="8"/>
      <c r="C246" s="9"/>
      <c r="D246" s="51"/>
      <c r="E246" s="51"/>
      <c r="F246" s="51"/>
      <c r="G246" s="51"/>
      <c r="H246" s="52"/>
      <c r="I246" s="52"/>
      <c r="J246" s="52"/>
      <c r="K246" s="24"/>
      <c r="L246" s="7"/>
      <c r="M246" s="24"/>
      <c r="N246" s="24"/>
      <c r="O246" s="24"/>
      <c r="P246" s="24"/>
      <c r="Q246" s="24"/>
      <c r="R246" s="24"/>
      <c r="S246" s="24"/>
      <c r="T246" s="24"/>
      <c r="U246" s="24"/>
      <c r="V246" s="24"/>
      <c r="W246" s="24"/>
      <c r="X246" s="24"/>
      <c r="Y246" s="24"/>
      <c r="Z246" s="24"/>
      <c r="AA246" s="24"/>
      <c r="AB246" s="24"/>
      <c r="AC246" s="24"/>
      <c r="AD246" s="24"/>
      <c r="AE246" s="24"/>
      <c r="AF246" s="24"/>
      <c r="AG246" s="24"/>
      <c r="AH246" s="24"/>
      <c r="AI246" s="24"/>
      <c r="AJ246" s="24"/>
      <c r="AK246" s="24"/>
      <c r="AL246" s="24"/>
      <c r="AM246" s="24"/>
      <c r="AN246" s="24"/>
      <c r="AO246" s="24"/>
      <c r="AP246" s="24"/>
      <c r="AQ246" s="24"/>
      <c r="AR246" s="24"/>
      <c r="AS246" s="24"/>
      <c r="AT246" s="24"/>
      <c r="AU246" s="24"/>
      <c r="AV246" s="24"/>
      <c r="AW246" s="24"/>
      <c r="AX246" s="24"/>
      <c r="AY246" s="24"/>
      <c r="AZ246" s="24"/>
      <c r="BA246" s="24"/>
      <c r="BB246" s="24"/>
      <c r="BC246" s="24"/>
      <c r="BD246" s="24"/>
      <c r="BE246" s="24"/>
      <c r="BF246" s="24"/>
      <c r="BG246" s="24"/>
      <c r="BH246" s="24"/>
    </row>
    <row r="247" spans="1:60">
      <c r="A247" s="7"/>
      <c r="B247" s="8"/>
      <c r="C247" s="9"/>
      <c r="D247" s="51"/>
      <c r="E247" s="51"/>
      <c r="F247" s="51"/>
      <c r="G247" s="51"/>
      <c r="H247" s="52"/>
      <c r="I247" s="52"/>
      <c r="J247" s="52"/>
      <c r="K247" s="24"/>
      <c r="L247" s="7"/>
      <c r="M247" s="24"/>
      <c r="N247" s="24"/>
      <c r="O247" s="24"/>
      <c r="P247" s="24"/>
      <c r="Q247" s="24"/>
      <c r="R247" s="24"/>
      <c r="S247" s="24"/>
      <c r="T247" s="24"/>
      <c r="U247" s="24"/>
      <c r="V247" s="24"/>
      <c r="W247" s="24"/>
      <c r="X247" s="24"/>
      <c r="Y247" s="24"/>
      <c r="Z247" s="24"/>
      <c r="AA247" s="24"/>
      <c r="AB247" s="24"/>
      <c r="AC247" s="24"/>
      <c r="AD247" s="24"/>
      <c r="AE247" s="24"/>
      <c r="AF247" s="24"/>
      <c r="AG247" s="24"/>
      <c r="AH247" s="24"/>
      <c r="AI247" s="24"/>
      <c r="AJ247" s="24"/>
      <c r="AK247" s="24"/>
      <c r="AL247" s="24"/>
      <c r="AM247" s="24"/>
      <c r="AN247" s="24"/>
      <c r="AO247" s="24"/>
      <c r="AP247" s="24"/>
      <c r="AQ247" s="24"/>
      <c r="AR247" s="24"/>
      <c r="AS247" s="24"/>
      <c r="AT247" s="24"/>
      <c r="AU247" s="24"/>
      <c r="AV247" s="24"/>
      <c r="AW247" s="24"/>
      <c r="AX247" s="24"/>
      <c r="AY247" s="24"/>
      <c r="AZ247" s="24"/>
      <c r="BA247" s="24"/>
      <c r="BB247" s="24"/>
      <c r="BC247" s="24"/>
      <c r="BD247" s="24"/>
      <c r="BE247" s="24"/>
      <c r="BF247" s="24"/>
      <c r="BG247" s="24"/>
      <c r="BH247" s="24"/>
    </row>
    <row r="248" spans="1:60">
      <c r="A248" s="7"/>
      <c r="B248" s="8"/>
      <c r="C248" s="9"/>
      <c r="D248" s="51"/>
      <c r="E248" s="51"/>
      <c r="F248" s="51"/>
      <c r="G248" s="51"/>
      <c r="H248" s="52"/>
      <c r="I248" s="52"/>
      <c r="J248" s="52"/>
      <c r="K248" s="24"/>
      <c r="L248" s="7"/>
      <c r="M248" s="24"/>
      <c r="N248" s="24"/>
      <c r="O248" s="24"/>
      <c r="P248" s="24"/>
      <c r="Q248" s="24"/>
      <c r="R248" s="24"/>
      <c r="S248" s="24"/>
      <c r="T248" s="24"/>
      <c r="U248" s="24"/>
      <c r="V248" s="24"/>
      <c r="W248" s="24"/>
      <c r="X248" s="24"/>
      <c r="Y248" s="24"/>
      <c r="Z248" s="24"/>
      <c r="AA248" s="24"/>
      <c r="AB248" s="24"/>
      <c r="AC248" s="24"/>
      <c r="AD248" s="24"/>
      <c r="AE248" s="24"/>
      <c r="AF248" s="24"/>
      <c r="AG248" s="24"/>
      <c r="AH248" s="24"/>
      <c r="AI248" s="24"/>
      <c r="AJ248" s="24"/>
      <c r="AK248" s="24"/>
      <c r="AL248" s="24"/>
      <c r="AM248" s="24"/>
      <c r="AN248" s="24"/>
      <c r="AO248" s="24"/>
      <c r="AP248" s="24"/>
      <c r="AQ248" s="24"/>
      <c r="AR248" s="24"/>
      <c r="AS248" s="24"/>
      <c r="AT248" s="24"/>
      <c r="AU248" s="24"/>
      <c r="AV248" s="24"/>
      <c r="AW248" s="24"/>
      <c r="AX248" s="24"/>
      <c r="AY248" s="24"/>
      <c r="AZ248" s="24"/>
      <c r="BA248" s="24"/>
      <c r="BB248" s="24"/>
      <c r="BC248" s="24"/>
      <c r="BD248" s="24"/>
      <c r="BE248" s="24"/>
      <c r="BF248" s="24"/>
      <c r="BG248" s="24"/>
      <c r="BH248" s="24"/>
    </row>
    <row r="249" spans="1:60">
      <c r="A249" s="7"/>
      <c r="B249" s="8"/>
      <c r="C249" s="9"/>
      <c r="D249" s="51"/>
      <c r="E249" s="51"/>
      <c r="F249" s="51"/>
      <c r="G249" s="51"/>
      <c r="H249" s="52"/>
      <c r="I249" s="52"/>
      <c r="J249" s="52"/>
      <c r="K249" s="24"/>
      <c r="L249" s="7"/>
      <c r="M249" s="24"/>
      <c r="N249" s="24"/>
      <c r="O249" s="24"/>
      <c r="P249" s="24"/>
      <c r="Q249" s="24"/>
      <c r="R249" s="24"/>
      <c r="S249" s="24"/>
      <c r="T249" s="24"/>
      <c r="U249" s="24"/>
      <c r="V249" s="24"/>
      <c r="W249" s="24"/>
      <c r="X249" s="24"/>
      <c r="Y249" s="24"/>
      <c r="Z249" s="24"/>
      <c r="AA249" s="24"/>
      <c r="AB249" s="24"/>
      <c r="AC249" s="24"/>
      <c r="AD249" s="24"/>
      <c r="AE249" s="24"/>
      <c r="AF249" s="24"/>
      <c r="AG249" s="24"/>
      <c r="AH249" s="24"/>
      <c r="AI249" s="24"/>
      <c r="AJ249" s="24"/>
      <c r="AK249" s="24"/>
      <c r="AL249" s="24"/>
      <c r="AM249" s="24"/>
      <c r="AN249" s="24"/>
      <c r="AO249" s="24"/>
      <c r="AP249" s="24"/>
      <c r="AQ249" s="24"/>
      <c r="AR249" s="24"/>
      <c r="AS249" s="24"/>
      <c r="AT249" s="24"/>
      <c r="AU249" s="24"/>
      <c r="AV249" s="24"/>
      <c r="AW249" s="24"/>
      <c r="AX249" s="24"/>
      <c r="AY249" s="24"/>
      <c r="AZ249" s="24"/>
      <c r="BA249" s="24"/>
      <c r="BB249" s="24"/>
      <c r="BC249" s="24"/>
      <c r="BD249" s="24"/>
      <c r="BE249" s="24"/>
      <c r="BF249" s="24"/>
      <c r="BG249" s="24"/>
      <c r="BH249" s="24"/>
    </row>
    <row r="250" spans="1:60">
      <c r="A250" s="7"/>
      <c r="B250" s="8"/>
      <c r="C250" s="9"/>
      <c r="D250" s="51"/>
      <c r="E250" s="51"/>
      <c r="F250" s="51"/>
      <c r="G250" s="51"/>
      <c r="H250" s="52"/>
      <c r="I250" s="52"/>
      <c r="J250" s="52"/>
      <c r="K250" s="24"/>
      <c r="L250" s="7"/>
      <c r="M250" s="24"/>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4"/>
      <c r="AK250" s="24"/>
      <c r="AL250" s="24"/>
      <c r="AM250" s="24"/>
      <c r="AN250" s="24"/>
      <c r="AO250" s="24"/>
      <c r="AP250" s="24"/>
      <c r="AQ250" s="24"/>
      <c r="AR250" s="24"/>
      <c r="AS250" s="24"/>
      <c r="AT250" s="24"/>
      <c r="AU250" s="24"/>
      <c r="AV250" s="24"/>
      <c r="AW250" s="24"/>
      <c r="AX250" s="24"/>
      <c r="AY250" s="24"/>
      <c r="AZ250" s="24"/>
      <c r="BA250" s="24"/>
      <c r="BB250" s="24"/>
      <c r="BC250" s="24"/>
      <c r="BD250" s="24"/>
      <c r="BE250" s="24"/>
      <c r="BF250" s="24"/>
      <c r="BG250" s="24"/>
      <c r="BH250" s="24"/>
    </row>
    <row r="251" spans="1:60">
      <c r="A251" s="7"/>
      <c r="B251" s="8"/>
      <c r="C251" s="9"/>
      <c r="D251" s="51"/>
      <c r="E251" s="51"/>
      <c r="F251" s="51"/>
      <c r="G251" s="51"/>
      <c r="H251" s="52"/>
      <c r="I251" s="52"/>
      <c r="J251" s="52"/>
      <c r="K251" s="24"/>
      <c r="L251" s="7"/>
      <c r="M251" s="24"/>
      <c r="N251" s="24"/>
      <c r="O251" s="24"/>
      <c r="P251" s="24"/>
      <c r="Q251" s="24"/>
      <c r="R251" s="24"/>
      <c r="S251" s="24"/>
      <c r="T251" s="24"/>
      <c r="U251" s="24"/>
      <c r="V251" s="24"/>
      <c r="W251" s="24"/>
      <c r="X251" s="24"/>
      <c r="Y251" s="24"/>
      <c r="Z251" s="24"/>
      <c r="AA251" s="24"/>
      <c r="AB251" s="24"/>
      <c r="AC251" s="24"/>
      <c r="AD251" s="24"/>
      <c r="AE251" s="24"/>
      <c r="AF251" s="24"/>
      <c r="AG251" s="24"/>
      <c r="AH251" s="24"/>
      <c r="AI251" s="24"/>
      <c r="AJ251" s="24"/>
      <c r="AK251" s="24"/>
      <c r="AL251" s="24"/>
      <c r="AM251" s="24"/>
      <c r="AN251" s="24"/>
      <c r="AO251" s="24"/>
      <c r="AP251" s="24"/>
      <c r="AQ251" s="24"/>
      <c r="AR251" s="24"/>
      <c r="AS251" s="24"/>
      <c r="AT251" s="24"/>
      <c r="AU251" s="24"/>
      <c r="AV251" s="24"/>
      <c r="AW251" s="24"/>
      <c r="AX251" s="24"/>
      <c r="AY251" s="24"/>
      <c r="AZ251" s="24"/>
      <c r="BA251" s="24"/>
      <c r="BB251" s="24"/>
      <c r="BC251" s="24"/>
      <c r="BD251" s="24"/>
      <c r="BE251" s="24"/>
      <c r="BF251" s="24"/>
      <c r="BG251" s="24"/>
      <c r="BH251" s="24"/>
    </row>
    <row r="252" spans="1:60">
      <c r="A252" s="7"/>
      <c r="B252" s="8"/>
      <c r="C252" s="9"/>
      <c r="D252" s="51"/>
      <c r="E252" s="51"/>
      <c r="F252" s="51"/>
      <c r="G252" s="51"/>
      <c r="H252" s="52"/>
      <c r="I252" s="52"/>
      <c r="J252" s="52"/>
      <c r="K252" s="24"/>
      <c r="L252" s="7"/>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24"/>
      <c r="AX252" s="24"/>
      <c r="AY252" s="24"/>
      <c r="AZ252" s="24"/>
      <c r="BA252" s="24"/>
      <c r="BB252" s="24"/>
      <c r="BC252" s="24"/>
      <c r="BD252" s="24"/>
      <c r="BE252" s="24"/>
      <c r="BF252" s="24"/>
      <c r="BG252" s="24"/>
      <c r="BH252" s="24"/>
    </row>
    <row r="253" spans="1:60">
      <c r="A253" s="7"/>
      <c r="B253" s="8"/>
      <c r="C253" s="9"/>
      <c r="D253" s="51"/>
      <c r="E253" s="51"/>
      <c r="F253" s="51"/>
      <c r="G253" s="51"/>
      <c r="H253" s="52"/>
      <c r="I253" s="52"/>
      <c r="J253" s="52"/>
      <c r="K253" s="24"/>
      <c r="L253" s="7"/>
      <c r="M253" s="24"/>
      <c r="N253" s="24"/>
      <c r="O253" s="24"/>
      <c r="P253" s="24"/>
      <c r="Q253" s="24"/>
      <c r="R253" s="24"/>
      <c r="S253" s="24"/>
      <c r="T253" s="24"/>
      <c r="U253" s="24"/>
      <c r="V253" s="24"/>
      <c r="W253" s="24"/>
      <c r="X253" s="24"/>
      <c r="Y253" s="24"/>
      <c r="Z253" s="24"/>
      <c r="AA253" s="24"/>
      <c r="AB253" s="24"/>
      <c r="AC253" s="24"/>
      <c r="AD253" s="24"/>
      <c r="AE253" s="24"/>
      <c r="AF253" s="24"/>
      <c r="AG253" s="24"/>
      <c r="AH253" s="24"/>
      <c r="AI253" s="24"/>
      <c r="AJ253" s="24"/>
      <c r="AK253" s="24"/>
      <c r="AL253" s="24"/>
      <c r="AM253" s="24"/>
      <c r="AN253" s="24"/>
      <c r="AO253" s="24"/>
      <c r="AP253" s="24"/>
      <c r="AQ253" s="24"/>
      <c r="AR253" s="24"/>
      <c r="AS253" s="24"/>
      <c r="AT253" s="24"/>
      <c r="AU253" s="24"/>
      <c r="AV253" s="24"/>
      <c r="AW253" s="24"/>
      <c r="AX253" s="24"/>
      <c r="AY253" s="24"/>
      <c r="AZ253" s="24"/>
      <c r="BA253" s="24"/>
      <c r="BB253" s="24"/>
      <c r="BC253" s="24"/>
      <c r="BD253" s="24"/>
      <c r="BE253" s="24"/>
      <c r="BF253" s="24"/>
      <c r="BG253" s="24"/>
      <c r="BH253" s="24"/>
    </row>
    <row r="254" spans="1:60">
      <c r="A254" s="7"/>
      <c r="B254" s="8"/>
      <c r="C254" s="9"/>
      <c r="D254" s="51"/>
      <c r="E254" s="51"/>
      <c r="F254" s="51"/>
      <c r="G254" s="51"/>
      <c r="H254" s="52"/>
      <c r="I254" s="52"/>
      <c r="J254" s="52"/>
      <c r="K254" s="24"/>
      <c r="L254" s="7"/>
      <c r="M254" s="24"/>
      <c r="N254" s="24"/>
      <c r="O254" s="24"/>
      <c r="P254" s="24"/>
      <c r="Q254" s="24"/>
      <c r="R254" s="24"/>
      <c r="S254" s="24"/>
      <c r="T254" s="24"/>
      <c r="U254" s="24"/>
      <c r="V254" s="24"/>
      <c r="W254" s="24"/>
      <c r="X254" s="24"/>
      <c r="Y254" s="24"/>
      <c r="Z254" s="24"/>
      <c r="AA254" s="24"/>
      <c r="AB254" s="24"/>
      <c r="AC254" s="24"/>
      <c r="AD254" s="24"/>
      <c r="AE254" s="24"/>
      <c r="AF254" s="24"/>
      <c r="AG254" s="24"/>
      <c r="AH254" s="24"/>
      <c r="AI254" s="24"/>
      <c r="AJ254" s="24"/>
      <c r="AK254" s="24"/>
      <c r="AL254" s="24"/>
      <c r="AM254" s="24"/>
      <c r="AN254" s="24"/>
      <c r="AO254" s="24"/>
      <c r="AP254" s="24"/>
      <c r="AQ254" s="24"/>
      <c r="AR254" s="24"/>
      <c r="AS254" s="24"/>
      <c r="AT254" s="24"/>
      <c r="AU254" s="24"/>
      <c r="AV254" s="24"/>
      <c r="AW254" s="24"/>
      <c r="AX254" s="24"/>
      <c r="AY254" s="24"/>
      <c r="AZ254" s="24"/>
      <c r="BA254" s="24"/>
      <c r="BB254" s="24"/>
      <c r="BC254" s="24"/>
      <c r="BD254" s="24"/>
      <c r="BE254" s="24"/>
      <c r="BF254" s="24"/>
      <c r="BG254" s="24"/>
      <c r="BH254" s="24"/>
    </row>
    <row r="255" spans="1:60">
      <c r="A255" s="7"/>
      <c r="B255" s="8"/>
      <c r="C255" s="9"/>
      <c r="D255" s="51"/>
      <c r="E255" s="51"/>
      <c r="F255" s="51"/>
      <c r="G255" s="51"/>
      <c r="H255" s="52"/>
      <c r="I255" s="52"/>
      <c r="J255" s="52"/>
      <c r="K255" s="24"/>
      <c r="L255" s="7"/>
      <c r="M255" s="24"/>
      <c r="N255" s="24"/>
      <c r="O255" s="24"/>
      <c r="P255" s="24"/>
      <c r="Q255" s="24"/>
      <c r="R255" s="24"/>
      <c r="S255" s="24"/>
      <c r="T255" s="24"/>
      <c r="U255" s="24"/>
      <c r="V255" s="24"/>
      <c r="W255" s="24"/>
      <c r="X255" s="24"/>
      <c r="Y255" s="24"/>
      <c r="Z255" s="24"/>
      <c r="AA255" s="24"/>
      <c r="AB255" s="24"/>
      <c r="AC255" s="24"/>
      <c r="AD255" s="24"/>
      <c r="AE255" s="24"/>
      <c r="AF255" s="24"/>
      <c r="AG255" s="24"/>
      <c r="AH255" s="24"/>
      <c r="AI255" s="24"/>
      <c r="AJ255" s="24"/>
      <c r="AK255" s="24"/>
      <c r="AL255" s="24"/>
      <c r="AM255" s="24"/>
      <c r="AN255" s="24"/>
      <c r="AO255" s="24"/>
      <c r="AP255" s="24"/>
      <c r="AQ255" s="24"/>
      <c r="AR255" s="24"/>
      <c r="AS255" s="24"/>
      <c r="AT255" s="24"/>
      <c r="AU255" s="24"/>
      <c r="AV255" s="24"/>
      <c r="AW255" s="24"/>
      <c r="AX255" s="24"/>
      <c r="AY255" s="24"/>
      <c r="AZ255" s="24"/>
      <c r="BA255" s="24"/>
      <c r="BB255" s="24"/>
      <c r="BC255" s="24"/>
      <c r="BD255" s="24"/>
      <c r="BE255" s="24"/>
      <c r="BF255" s="24"/>
      <c r="BG255" s="24"/>
      <c r="BH255" s="24"/>
    </row>
    <row r="256" spans="1:60">
      <c r="A256" s="7"/>
      <c r="B256" s="8"/>
      <c r="C256" s="9"/>
      <c r="D256" s="51"/>
      <c r="E256" s="51"/>
      <c r="F256" s="51"/>
      <c r="G256" s="51"/>
      <c r="H256" s="52"/>
      <c r="I256" s="52"/>
      <c r="J256" s="52"/>
      <c r="K256" s="24"/>
      <c r="L256" s="7"/>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4"/>
      <c r="AK256" s="24"/>
      <c r="AL256" s="24"/>
      <c r="AM256" s="24"/>
      <c r="AN256" s="24"/>
      <c r="AO256" s="24"/>
      <c r="AP256" s="24"/>
      <c r="AQ256" s="24"/>
      <c r="AR256" s="24"/>
      <c r="AS256" s="24"/>
      <c r="AT256" s="24"/>
      <c r="AU256" s="24"/>
      <c r="AV256" s="24"/>
      <c r="AW256" s="24"/>
      <c r="AX256" s="24"/>
      <c r="AY256" s="24"/>
      <c r="AZ256" s="24"/>
      <c r="BA256" s="24"/>
      <c r="BB256" s="24"/>
      <c r="BC256" s="24"/>
      <c r="BD256" s="24"/>
      <c r="BE256" s="24"/>
      <c r="BF256" s="24"/>
      <c r="BG256" s="24"/>
      <c r="BH256" s="24"/>
    </row>
    <row r="257" spans="1:60">
      <c r="A257" s="7"/>
      <c r="B257" s="8"/>
      <c r="C257" s="9"/>
      <c r="D257" s="51"/>
      <c r="E257" s="51"/>
      <c r="F257" s="51"/>
      <c r="G257" s="51"/>
      <c r="H257" s="52"/>
      <c r="I257" s="52"/>
      <c r="J257" s="52"/>
      <c r="K257" s="24"/>
      <c r="L257" s="7"/>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24"/>
      <c r="BB257" s="24"/>
      <c r="BC257" s="24"/>
      <c r="BD257" s="24"/>
      <c r="BE257" s="24"/>
      <c r="BF257" s="24"/>
      <c r="BG257" s="24"/>
      <c r="BH257" s="24"/>
    </row>
    <row r="258" spans="1:60">
      <c r="A258" s="7"/>
      <c r="B258" s="8"/>
      <c r="C258" s="9"/>
      <c r="D258" s="51"/>
      <c r="E258" s="51"/>
      <c r="F258" s="51"/>
      <c r="G258" s="51"/>
      <c r="H258" s="52"/>
      <c r="I258" s="52"/>
      <c r="J258" s="52"/>
      <c r="K258" s="24"/>
      <c r="L258" s="7"/>
      <c r="M258" s="24"/>
      <c r="N258" s="24"/>
      <c r="O258" s="24"/>
      <c r="P258" s="24"/>
      <c r="Q258" s="24"/>
      <c r="R258" s="24"/>
      <c r="S258" s="24"/>
      <c r="T258" s="24"/>
      <c r="U258" s="24"/>
      <c r="V258" s="24"/>
      <c r="W258" s="24"/>
      <c r="X258" s="24"/>
      <c r="Y258" s="24"/>
      <c r="Z258" s="24"/>
      <c r="AA258" s="24"/>
      <c r="AB258" s="24"/>
      <c r="AC258" s="24"/>
      <c r="AD258" s="24"/>
      <c r="AE258" s="24"/>
      <c r="AF258" s="24"/>
      <c r="AG258" s="24"/>
      <c r="AH258" s="24"/>
      <c r="AI258" s="24"/>
      <c r="AJ258" s="24"/>
      <c r="AK258" s="24"/>
      <c r="AL258" s="24"/>
      <c r="AM258" s="24"/>
      <c r="AN258" s="24"/>
      <c r="AO258" s="24"/>
      <c r="AP258" s="24"/>
      <c r="AQ258" s="24"/>
      <c r="AR258" s="24"/>
      <c r="AS258" s="24"/>
      <c r="AT258" s="24"/>
      <c r="AU258" s="24"/>
      <c r="AV258" s="24"/>
      <c r="AW258" s="24"/>
      <c r="AX258" s="24"/>
      <c r="AY258" s="24"/>
      <c r="AZ258" s="24"/>
      <c r="BA258" s="24"/>
      <c r="BB258" s="24"/>
      <c r="BC258" s="24"/>
      <c r="BD258" s="24"/>
      <c r="BE258" s="24"/>
      <c r="BF258" s="24"/>
      <c r="BG258" s="24"/>
      <c r="BH258" s="24"/>
    </row>
    <row r="259" spans="1:60">
      <c r="A259" s="7"/>
      <c r="B259" s="8"/>
      <c r="C259" s="9"/>
      <c r="D259" s="51"/>
      <c r="E259" s="51"/>
      <c r="F259" s="51"/>
      <c r="G259" s="51"/>
      <c r="H259" s="52"/>
      <c r="I259" s="52"/>
      <c r="J259" s="52"/>
      <c r="K259" s="24"/>
      <c r="L259" s="7"/>
      <c r="M259" s="24"/>
      <c r="N259" s="24"/>
      <c r="O259" s="24"/>
      <c r="P259" s="24"/>
      <c r="Q259" s="24"/>
      <c r="R259" s="24"/>
      <c r="S259" s="24"/>
      <c r="T259" s="24"/>
      <c r="U259" s="24"/>
      <c r="V259" s="24"/>
      <c r="W259" s="24"/>
      <c r="X259" s="24"/>
      <c r="Y259" s="24"/>
      <c r="Z259" s="24"/>
      <c r="AA259" s="24"/>
      <c r="AB259" s="24"/>
      <c r="AC259" s="24"/>
      <c r="AD259" s="24"/>
      <c r="AE259" s="24"/>
      <c r="AF259" s="24"/>
      <c r="AG259" s="24"/>
      <c r="AH259" s="24"/>
      <c r="AI259" s="24"/>
      <c r="AJ259" s="24"/>
      <c r="AK259" s="24"/>
      <c r="AL259" s="24"/>
      <c r="AM259" s="24"/>
      <c r="AN259" s="24"/>
      <c r="AO259" s="24"/>
      <c r="AP259" s="24"/>
      <c r="AQ259" s="24"/>
      <c r="AR259" s="24"/>
      <c r="AS259" s="24"/>
      <c r="AT259" s="24"/>
      <c r="AU259" s="24"/>
      <c r="AV259" s="24"/>
      <c r="AW259" s="24"/>
      <c r="AX259" s="24"/>
      <c r="AY259" s="24"/>
      <c r="AZ259" s="24"/>
      <c r="BA259" s="24"/>
      <c r="BB259" s="24"/>
      <c r="BC259" s="24"/>
      <c r="BD259" s="24"/>
      <c r="BE259" s="24"/>
      <c r="BF259" s="24"/>
      <c r="BG259" s="24"/>
      <c r="BH259" s="24"/>
    </row>
    <row r="260" spans="1:60">
      <c r="A260" s="7"/>
      <c r="B260" s="8"/>
      <c r="C260" s="9"/>
      <c r="D260" s="51"/>
      <c r="E260" s="51"/>
      <c r="F260" s="51"/>
      <c r="G260" s="51"/>
      <c r="H260" s="52"/>
      <c r="I260" s="52"/>
      <c r="J260" s="52"/>
      <c r="K260" s="24"/>
      <c r="L260" s="7"/>
      <c r="M260" s="24"/>
      <c r="N260" s="24"/>
      <c r="O260" s="24"/>
      <c r="P260" s="24"/>
      <c r="Q260" s="24"/>
      <c r="R260" s="24"/>
      <c r="S260" s="24"/>
      <c r="T260" s="24"/>
      <c r="U260" s="24"/>
      <c r="V260" s="24"/>
      <c r="W260" s="24"/>
      <c r="X260" s="24"/>
      <c r="Y260" s="24"/>
      <c r="Z260" s="24"/>
      <c r="AA260" s="24"/>
      <c r="AB260" s="24"/>
      <c r="AC260" s="24"/>
      <c r="AD260" s="24"/>
      <c r="AE260" s="24"/>
      <c r="AF260" s="24"/>
      <c r="AG260" s="24"/>
      <c r="AH260" s="24"/>
      <c r="AI260" s="24"/>
      <c r="AJ260" s="24"/>
      <c r="AK260" s="24"/>
      <c r="AL260" s="24"/>
      <c r="AM260" s="24"/>
      <c r="AN260" s="24"/>
      <c r="AO260" s="24"/>
      <c r="AP260" s="24"/>
      <c r="AQ260" s="24"/>
      <c r="AR260" s="24"/>
      <c r="AS260" s="24"/>
      <c r="AT260" s="24"/>
      <c r="AU260" s="24"/>
      <c r="AV260" s="24"/>
      <c r="AW260" s="24"/>
      <c r="AX260" s="24"/>
      <c r="AY260" s="24"/>
      <c r="AZ260" s="24"/>
      <c r="BA260" s="24"/>
      <c r="BB260" s="24"/>
      <c r="BC260" s="24"/>
      <c r="BD260" s="24"/>
      <c r="BE260" s="24"/>
      <c r="BF260" s="24"/>
      <c r="BG260" s="24"/>
      <c r="BH260" s="24"/>
    </row>
    <row r="261" spans="1:60">
      <c r="A261" s="7"/>
      <c r="B261" s="8"/>
      <c r="C261" s="9"/>
      <c r="D261" s="51"/>
      <c r="E261" s="51"/>
      <c r="F261" s="51"/>
      <c r="G261" s="51"/>
      <c r="H261" s="52"/>
      <c r="I261" s="52"/>
      <c r="J261" s="52"/>
      <c r="K261" s="24"/>
      <c r="L261" s="7"/>
      <c r="M261" s="24"/>
      <c r="N261" s="24"/>
      <c r="O261" s="24"/>
      <c r="P261" s="24"/>
      <c r="Q261" s="24"/>
      <c r="R261" s="24"/>
      <c r="S261" s="24"/>
      <c r="T261" s="24"/>
      <c r="U261" s="24"/>
      <c r="V261" s="24"/>
      <c r="W261" s="24"/>
      <c r="X261" s="24"/>
      <c r="Y261" s="24"/>
      <c r="Z261" s="24"/>
      <c r="AA261" s="24"/>
      <c r="AB261" s="24"/>
      <c r="AC261" s="24"/>
      <c r="AD261" s="24"/>
      <c r="AE261" s="24"/>
      <c r="AF261" s="24"/>
      <c r="AG261" s="24"/>
      <c r="AH261" s="24"/>
      <c r="AI261" s="24"/>
      <c r="AJ261" s="24"/>
      <c r="AK261" s="24"/>
      <c r="AL261" s="24"/>
      <c r="AM261" s="24"/>
      <c r="AN261" s="24"/>
      <c r="AO261" s="24"/>
      <c r="AP261" s="24"/>
      <c r="AQ261" s="24"/>
      <c r="AR261" s="24"/>
      <c r="AS261" s="24"/>
      <c r="AT261" s="24"/>
      <c r="AU261" s="24"/>
      <c r="AV261" s="24"/>
      <c r="AW261" s="24"/>
      <c r="AX261" s="24"/>
      <c r="AY261" s="24"/>
      <c r="AZ261" s="24"/>
      <c r="BA261" s="24"/>
      <c r="BB261" s="24"/>
      <c r="BC261" s="24"/>
      <c r="BD261" s="24"/>
      <c r="BE261" s="24"/>
      <c r="BF261" s="24"/>
      <c r="BG261" s="24"/>
      <c r="BH261" s="24"/>
    </row>
    <row r="262" spans="1:60">
      <c r="A262" s="7"/>
      <c r="B262" s="8"/>
      <c r="C262" s="9"/>
      <c r="D262" s="51"/>
      <c r="E262" s="51"/>
      <c r="F262" s="51"/>
      <c r="G262" s="51"/>
      <c r="H262" s="52"/>
      <c r="I262" s="52"/>
      <c r="J262" s="52"/>
      <c r="K262" s="24"/>
      <c r="L262" s="7"/>
      <c r="M262" s="24"/>
      <c r="N262" s="24"/>
      <c r="O262" s="24"/>
      <c r="P262" s="24"/>
      <c r="Q262" s="24"/>
      <c r="R262" s="24"/>
      <c r="S262" s="24"/>
      <c r="T262" s="24"/>
      <c r="U262" s="24"/>
      <c r="V262" s="24"/>
      <c r="W262" s="24"/>
      <c r="X262" s="24"/>
      <c r="Y262" s="24"/>
      <c r="Z262" s="24"/>
      <c r="AA262" s="24"/>
      <c r="AB262" s="24"/>
      <c r="AC262" s="24"/>
      <c r="AD262" s="24"/>
      <c r="AE262" s="24"/>
      <c r="AF262" s="24"/>
      <c r="AG262" s="24"/>
      <c r="AH262" s="24"/>
      <c r="AI262" s="24"/>
      <c r="AJ262" s="24"/>
      <c r="AK262" s="24"/>
      <c r="AL262" s="24"/>
      <c r="AM262" s="24"/>
      <c r="AN262" s="24"/>
      <c r="AO262" s="24"/>
      <c r="AP262" s="24"/>
      <c r="AQ262" s="24"/>
      <c r="AR262" s="24"/>
      <c r="AS262" s="24"/>
      <c r="AT262" s="24"/>
      <c r="AU262" s="24"/>
      <c r="AV262" s="24"/>
      <c r="AW262" s="24"/>
      <c r="AX262" s="24"/>
      <c r="AY262" s="24"/>
      <c r="AZ262" s="24"/>
      <c r="BA262" s="24"/>
      <c r="BB262" s="24"/>
      <c r="BC262" s="24"/>
      <c r="BD262" s="24"/>
      <c r="BE262" s="24"/>
      <c r="BF262" s="24"/>
      <c r="BG262" s="24"/>
      <c r="BH262" s="24"/>
    </row>
    <row r="263" spans="1:60">
      <c r="A263" s="7"/>
      <c r="B263" s="8"/>
      <c r="C263" s="9"/>
      <c r="D263" s="51"/>
      <c r="E263" s="51"/>
      <c r="F263" s="51"/>
      <c r="G263" s="51"/>
      <c r="H263" s="52"/>
      <c r="I263" s="52"/>
      <c r="J263" s="52"/>
      <c r="K263" s="24"/>
      <c r="L263" s="7"/>
      <c r="M263" s="24"/>
      <c r="N263" s="24"/>
      <c r="O263" s="24"/>
      <c r="P263" s="24"/>
      <c r="Q263" s="24"/>
      <c r="R263" s="24"/>
      <c r="S263" s="24"/>
      <c r="T263" s="24"/>
      <c r="U263" s="24"/>
      <c r="V263" s="24"/>
      <c r="W263" s="24"/>
      <c r="X263" s="24"/>
      <c r="Y263" s="24"/>
      <c r="Z263" s="24"/>
      <c r="AA263" s="24"/>
      <c r="AB263" s="24"/>
      <c r="AC263" s="24"/>
      <c r="AD263" s="24"/>
      <c r="AE263" s="24"/>
      <c r="AF263" s="24"/>
      <c r="AG263" s="24"/>
      <c r="AH263" s="24"/>
      <c r="AI263" s="24"/>
      <c r="AJ263" s="24"/>
      <c r="AK263" s="24"/>
      <c r="AL263" s="24"/>
      <c r="AM263" s="24"/>
      <c r="AN263" s="24"/>
      <c r="AO263" s="24"/>
      <c r="AP263" s="24"/>
      <c r="AQ263" s="24"/>
      <c r="AR263" s="24"/>
      <c r="AS263" s="24"/>
      <c r="AT263" s="24"/>
      <c r="AU263" s="24"/>
      <c r="AV263" s="24"/>
      <c r="AW263" s="24"/>
      <c r="AX263" s="24"/>
      <c r="AY263" s="24"/>
      <c r="AZ263" s="24"/>
      <c r="BA263" s="24"/>
      <c r="BB263" s="24"/>
      <c r="BC263" s="24"/>
      <c r="BD263" s="24"/>
      <c r="BE263" s="24"/>
      <c r="BF263" s="24"/>
      <c r="BG263" s="24"/>
      <c r="BH263" s="24"/>
    </row>
    <row r="264" spans="1:60">
      <c r="A264" s="7"/>
      <c r="B264" s="8"/>
      <c r="C264" s="9"/>
      <c r="D264" s="51"/>
      <c r="E264" s="51"/>
      <c r="F264" s="51"/>
      <c r="G264" s="51"/>
      <c r="H264" s="52"/>
      <c r="I264" s="52"/>
      <c r="J264" s="52"/>
      <c r="K264" s="24"/>
      <c r="L264" s="7"/>
      <c r="M264" s="24"/>
      <c r="N264" s="24"/>
      <c r="O264" s="24"/>
      <c r="P264" s="24"/>
      <c r="Q264" s="24"/>
      <c r="R264" s="24"/>
      <c r="S264" s="24"/>
      <c r="T264" s="24"/>
      <c r="U264" s="24"/>
      <c r="V264" s="24"/>
      <c r="W264" s="24"/>
      <c r="X264" s="24"/>
      <c r="Y264" s="24"/>
      <c r="Z264" s="24"/>
      <c r="AA264" s="24"/>
      <c r="AB264" s="24"/>
      <c r="AC264" s="24"/>
      <c r="AD264" s="24"/>
      <c r="AE264" s="24"/>
      <c r="AF264" s="24"/>
      <c r="AG264" s="24"/>
      <c r="AH264" s="24"/>
      <c r="AI264" s="24"/>
      <c r="AJ264" s="24"/>
      <c r="AK264" s="24"/>
      <c r="AL264" s="24"/>
      <c r="AM264" s="24"/>
      <c r="AN264" s="24"/>
      <c r="AO264" s="24"/>
      <c r="AP264" s="24"/>
      <c r="AQ264" s="24"/>
      <c r="AR264" s="24"/>
      <c r="AS264" s="24"/>
      <c r="AT264" s="24"/>
      <c r="AU264" s="24"/>
      <c r="AV264" s="24"/>
      <c r="AW264" s="24"/>
      <c r="AX264" s="24"/>
      <c r="AY264" s="24"/>
      <c r="AZ264" s="24"/>
      <c r="BA264" s="24"/>
      <c r="BB264" s="24"/>
      <c r="BC264" s="24"/>
      <c r="BD264" s="24"/>
      <c r="BE264" s="24"/>
      <c r="BF264" s="24"/>
      <c r="BG264" s="24"/>
      <c r="BH264" s="24"/>
    </row>
    <row r="265" spans="1:60">
      <c r="A265" s="7"/>
      <c r="B265" s="8"/>
      <c r="C265" s="9"/>
      <c r="D265" s="51"/>
      <c r="E265" s="51"/>
      <c r="F265" s="51"/>
      <c r="G265" s="51"/>
      <c r="H265" s="52"/>
      <c r="I265" s="52"/>
      <c r="J265" s="52"/>
      <c r="K265" s="24"/>
      <c r="L265" s="7"/>
      <c r="M265" s="24"/>
      <c r="N265" s="24"/>
      <c r="O265" s="24"/>
      <c r="P265" s="24"/>
      <c r="Q265" s="24"/>
      <c r="R265" s="24"/>
      <c r="S265" s="24"/>
      <c r="T265" s="24"/>
      <c r="U265" s="24"/>
      <c r="V265" s="24"/>
      <c r="W265" s="24"/>
      <c r="X265" s="24"/>
      <c r="Y265" s="24"/>
      <c r="Z265" s="24"/>
      <c r="AA265" s="24"/>
      <c r="AB265" s="24"/>
      <c r="AC265" s="24"/>
      <c r="AD265" s="24"/>
      <c r="AE265" s="24"/>
      <c r="AF265" s="24"/>
      <c r="AG265" s="24"/>
      <c r="AH265" s="24"/>
      <c r="AI265" s="24"/>
      <c r="AJ265" s="24"/>
      <c r="AK265" s="24"/>
      <c r="AL265" s="24"/>
      <c r="AM265" s="24"/>
      <c r="AN265" s="24"/>
      <c r="AO265" s="24"/>
      <c r="AP265" s="24"/>
      <c r="AQ265" s="24"/>
      <c r="AR265" s="24"/>
      <c r="AS265" s="24"/>
      <c r="AT265" s="24"/>
      <c r="AU265" s="24"/>
      <c r="AV265" s="24"/>
      <c r="AW265" s="24"/>
      <c r="AX265" s="24"/>
      <c r="AY265" s="24"/>
      <c r="AZ265" s="24"/>
      <c r="BA265" s="24"/>
      <c r="BB265" s="24"/>
      <c r="BC265" s="24"/>
      <c r="BD265" s="24"/>
      <c r="BE265" s="24"/>
      <c r="BF265" s="24"/>
      <c r="BG265" s="24"/>
      <c r="BH265" s="24"/>
    </row>
    <row r="266" spans="1:60">
      <c r="A266" s="7"/>
      <c r="B266" s="8"/>
      <c r="C266" s="9"/>
      <c r="D266" s="51"/>
      <c r="E266" s="51"/>
      <c r="F266" s="51"/>
      <c r="G266" s="51"/>
      <c r="H266" s="52"/>
      <c r="I266" s="52"/>
      <c r="J266" s="52"/>
      <c r="K266" s="24"/>
      <c r="L266" s="7"/>
      <c r="M266" s="24"/>
      <c r="N266" s="24"/>
      <c r="O266" s="24"/>
      <c r="P266" s="24"/>
      <c r="Q266" s="24"/>
      <c r="R266" s="24"/>
      <c r="S266" s="24"/>
      <c r="T266" s="24"/>
      <c r="U266" s="24"/>
      <c r="V266" s="24"/>
      <c r="W266" s="24"/>
      <c r="X266" s="24"/>
      <c r="Y266" s="24"/>
      <c r="Z266" s="24"/>
      <c r="AA266" s="24"/>
      <c r="AB266" s="24"/>
      <c r="AC266" s="24"/>
      <c r="AD266" s="24"/>
      <c r="AE266" s="24"/>
      <c r="AF266" s="24"/>
      <c r="AG266" s="24"/>
      <c r="AH266" s="24"/>
      <c r="AI266" s="24"/>
      <c r="AJ266" s="24"/>
      <c r="AK266" s="24"/>
      <c r="AL266" s="24"/>
      <c r="AM266" s="24"/>
      <c r="AN266" s="24"/>
      <c r="AO266" s="24"/>
      <c r="AP266" s="24"/>
      <c r="AQ266" s="24"/>
      <c r="AR266" s="24"/>
      <c r="AS266" s="24"/>
      <c r="AT266" s="24"/>
      <c r="AU266" s="24"/>
      <c r="AV266" s="24"/>
      <c r="AW266" s="24"/>
      <c r="AX266" s="24"/>
      <c r="AY266" s="24"/>
      <c r="AZ266" s="24"/>
      <c r="BA266" s="24"/>
      <c r="BB266" s="24"/>
      <c r="BC266" s="24"/>
      <c r="BD266" s="24"/>
      <c r="BE266" s="24"/>
      <c r="BF266" s="24"/>
      <c r="BG266" s="24"/>
      <c r="BH266" s="24"/>
    </row>
    <row r="267" spans="1:60">
      <c r="A267" s="7"/>
      <c r="B267" s="8"/>
      <c r="C267" s="9"/>
      <c r="D267" s="51"/>
      <c r="E267" s="51"/>
      <c r="F267" s="51"/>
      <c r="G267" s="51"/>
      <c r="H267" s="52"/>
      <c r="I267" s="52"/>
      <c r="J267" s="52"/>
      <c r="K267" s="24"/>
      <c r="L267" s="7"/>
      <c r="M267" s="24"/>
      <c r="N267" s="24"/>
      <c r="O267" s="24"/>
      <c r="P267" s="24"/>
      <c r="Q267" s="24"/>
      <c r="R267" s="24"/>
      <c r="S267" s="24"/>
      <c r="T267" s="24"/>
      <c r="U267" s="24"/>
      <c r="V267" s="24"/>
      <c r="W267" s="24"/>
      <c r="X267" s="24"/>
      <c r="Y267" s="24"/>
      <c r="Z267" s="24"/>
      <c r="AA267" s="24"/>
      <c r="AB267" s="24"/>
      <c r="AC267" s="24"/>
      <c r="AD267" s="24"/>
      <c r="AE267" s="24"/>
      <c r="AF267" s="24"/>
      <c r="AG267" s="24"/>
      <c r="AH267" s="24"/>
      <c r="AI267" s="24"/>
      <c r="AJ267" s="24"/>
      <c r="AK267" s="24"/>
      <c r="AL267" s="24"/>
      <c r="AM267" s="24"/>
      <c r="AN267" s="24"/>
      <c r="AO267" s="24"/>
      <c r="AP267" s="24"/>
      <c r="AQ267" s="24"/>
      <c r="AR267" s="24"/>
      <c r="AS267" s="24"/>
      <c r="AT267" s="24"/>
      <c r="AU267" s="24"/>
      <c r="AV267" s="24"/>
      <c r="AW267" s="24"/>
      <c r="AX267" s="24"/>
      <c r="AY267" s="24"/>
      <c r="AZ267" s="24"/>
      <c r="BA267" s="24"/>
      <c r="BB267" s="24"/>
      <c r="BC267" s="24"/>
      <c r="BD267" s="24"/>
      <c r="BE267" s="24"/>
      <c r="BF267" s="24"/>
      <c r="BG267" s="24"/>
      <c r="BH267" s="24"/>
    </row>
    <row r="268" spans="1:60">
      <c r="A268" s="7"/>
      <c r="B268" s="8"/>
      <c r="C268" s="9"/>
      <c r="D268" s="51"/>
      <c r="E268" s="51"/>
      <c r="F268" s="51"/>
      <c r="G268" s="51"/>
      <c r="H268" s="52"/>
      <c r="I268" s="52"/>
      <c r="J268" s="52"/>
      <c r="K268" s="24"/>
      <c r="L268" s="7"/>
      <c r="M268" s="24"/>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4"/>
      <c r="AK268" s="24"/>
      <c r="AL268" s="24"/>
      <c r="AM268" s="24"/>
      <c r="AN268" s="24"/>
      <c r="AO268" s="24"/>
      <c r="AP268" s="24"/>
      <c r="AQ268" s="24"/>
      <c r="AR268" s="24"/>
      <c r="AS268" s="24"/>
      <c r="AT268" s="24"/>
      <c r="AU268" s="24"/>
      <c r="AV268" s="24"/>
      <c r="AW268" s="24"/>
      <c r="AX268" s="24"/>
      <c r="AY268" s="24"/>
      <c r="AZ268" s="24"/>
      <c r="BA268" s="24"/>
      <c r="BB268" s="24"/>
      <c r="BC268" s="24"/>
      <c r="BD268" s="24"/>
      <c r="BE268" s="24"/>
      <c r="BF268" s="24"/>
      <c r="BG268" s="24"/>
      <c r="BH268" s="24"/>
    </row>
    <row r="269" spans="1:60">
      <c r="A269" s="7"/>
      <c r="B269" s="8"/>
      <c r="C269" s="9"/>
      <c r="D269" s="51"/>
      <c r="E269" s="51"/>
      <c r="F269" s="51"/>
      <c r="G269" s="51"/>
      <c r="H269" s="52"/>
      <c r="I269" s="52"/>
      <c r="J269" s="52"/>
      <c r="K269" s="24"/>
      <c r="L269" s="7"/>
      <c r="M269" s="24"/>
      <c r="N269" s="24"/>
      <c r="O269" s="24"/>
      <c r="P269" s="24"/>
      <c r="Q269" s="24"/>
      <c r="R269" s="24"/>
      <c r="S269" s="24"/>
      <c r="T269" s="24"/>
      <c r="U269" s="24"/>
      <c r="V269" s="24"/>
      <c r="W269" s="24"/>
      <c r="X269" s="24"/>
      <c r="Y269" s="24"/>
      <c r="Z269" s="24"/>
      <c r="AA269" s="24"/>
      <c r="AB269" s="24"/>
      <c r="AC269" s="24"/>
      <c r="AD269" s="24"/>
      <c r="AE269" s="24"/>
      <c r="AF269" s="24"/>
      <c r="AG269" s="24"/>
      <c r="AH269" s="24"/>
      <c r="AI269" s="24"/>
      <c r="AJ269" s="24"/>
      <c r="AK269" s="24"/>
      <c r="AL269" s="24"/>
      <c r="AM269" s="24"/>
      <c r="AN269" s="24"/>
      <c r="AO269" s="24"/>
      <c r="AP269" s="24"/>
      <c r="AQ269" s="24"/>
      <c r="AR269" s="24"/>
      <c r="AS269" s="24"/>
      <c r="AT269" s="24"/>
      <c r="AU269" s="24"/>
      <c r="AV269" s="24"/>
      <c r="AW269" s="24"/>
      <c r="AX269" s="24"/>
      <c r="AY269" s="24"/>
      <c r="AZ269" s="24"/>
      <c r="BA269" s="24"/>
      <c r="BB269" s="24"/>
      <c r="BC269" s="24"/>
      <c r="BD269" s="24"/>
      <c r="BE269" s="24"/>
      <c r="BF269" s="24"/>
      <c r="BG269" s="24"/>
      <c r="BH269" s="24"/>
    </row>
    <row r="270" spans="1:60">
      <c r="A270" s="7"/>
      <c r="B270" s="8"/>
      <c r="C270" s="9"/>
      <c r="D270" s="51"/>
      <c r="E270" s="51"/>
      <c r="F270" s="51"/>
      <c r="G270" s="51"/>
      <c r="H270" s="52"/>
      <c r="I270" s="52"/>
      <c r="J270" s="52"/>
      <c r="K270" s="24"/>
      <c r="L270" s="7"/>
      <c r="M270" s="24"/>
      <c r="N270" s="24"/>
      <c r="O270" s="24"/>
      <c r="P270" s="24"/>
      <c r="Q270" s="24"/>
      <c r="R270" s="24"/>
      <c r="S270" s="24"/>
      <c r="T270" s="24"/>
      <c r="U270" s="24"/>
      <c r="V270" s="24"/>
      <c r="W270" s="24"/>
      <c r="X270" s="24"/>
      <c r="Y270" s="24"/>
      <c r="Z270" s="24"/>
      <c r="AA270" s="24"/>
      <c r="AB270" s="24"/>
      <c r="AC270" s="24"/>
      <c r="AD270" s="24"/>
      <c r="AE270" s="24"/>
      <c r="AF270" s="24"/>
      <c r="AG270" s="24"/>
      <c r="AH270" s="24"/>
      <c r="AI270" s="24"/>
      <c r="AJ270" s="24"/>
      <c r="AK270" s="24"/>
      <c r="AL270" s="24"/>
      <c r="AM270" s="24"/>
      <c r="AN270" s="24"/>
      <c r="AO270" s="24"/>
      <c r="AP270" s="24"/>
      <c r="AQ270" s="24"/>
      <c r="AR270" s="24"/>
      <c r="AS270" s="24"/>
      <c r="AT270" s="24"/>
      <c r="AU270" s="24"/>
      <c r="AV270" s="24"/>
      <c r="AW270" s="24"/>
      <c r="AX270" s="24"/>
      <c r="AY270" s="24"/>
      <c r="AZ270" s="24"/>
      <c r="BA270" s="24"/>
      <c r="BB270" s="24"/>
      <c r="BC270" s="24"/>
      <c r="BD270" s="24"/>
      <c r="BE270" s="24"/>
      <c r="BF270" s="24"/>
      <c r="BG270" s="24"/>
      <c r="BH270" s="24"/>
    </row>
    <row r="271" spans="1:60">
      <c r="A271" s="7"/>
      <c r="B271" s="8"/>
      <c r="C271" s="9"/>
      <c r="D271" s="51"/>
      <c r="E271" s="51"/>
      <c r="F271" s="51"/>
      <c r="G271" s="51"/>
      <c r="H271" s="52"/>
      <c r="I271" s="52"/>
      <c r="J271" s="52"/>
      <c r="K271" s="24"/>
      <c r="L271" s="7"/>
      <c r="M271" s="24"/>
      <c r="N271" s="24"/>
      <c r="O271" s="24"/>
      <c r="P271" s="24"/>
      <c r="Q271" s="24"/>
      <c r="R271" s="24"/>
      <c r="S271" s="24"/>
      <c r="T271" s="24"/>
      <c r="U271" s="24"/>
      <c r="V271" s="24"/>
      <c r="W271" s="24"/>
      <c r="X271" s="24"/>
      <c r="Y271" s="24"/>
      <c r="Z271" s="24"/>
      <c r="AA271" s="24"/>
      <c r="AB271" s="24"/>
      <c r="AC271" s="24"/>
      <c r="AD271" s="24"/>
      <c r="AE271" s="24"/>
      <c r="AF271" s="24"/>
      <c r="AG271" s="24"/>
      <c r="AH271" s="24"/>
      <c r="AI271" s="24"/>
      <c r="AJ271" s="24"/>
      <c r="AK271" s="24"/>
      <c r="AL271" s="24"/>
      <c r="AM271" s="24"/>
      <c r="AN271" s="24"/>
      <c r="AO271" s="24"/>
      <c r="AP271" s="24"/>
      <c r="AQ271" s="24"/>
      <c r="AR271" s="24"/>
      <c r="AS271" s="24"/>
      <c r="AT271" s="24"/>
      <c r="AU271" s="24"/>
      <c r="AV271" s="24"/>
      <c r="AW271" s="24"/>
      <c r="AX271" s="24"/>
      <c r="AY271" s="24"/>
      <c r="AZ271" s="24"/>
      <c r="BA271" s="24"/>
      <c r="BB271" s="24"/>
      <c r="BC271" s="24"/>
      <c r="BD271" s="24"/>
      <c r="BE271" s="24"/>
      <c r="BF271" s="24"/>
      <c r="BG271" s="24"/>
      <c r="BH271" s="24"/>
    </row>
    <row r="272" spans="1:60">
      <c r="A272" s="7"/>
      <c r="B272" s="8"/>
      <c r="C272" s="9"/>
      <c r="D272" s="51"/>
      <c r="E272" s="51"/>
      <c r="F272" s="51"/>
      <c r="G272" s="51"/>
      <c r="H272" s="52"/>
      <c r="I272" s="52"/>
      <c r="J272" s="52"/>
      <c r="K272" s="24"/>
      <c r="L272" s="7"/>
      <c r="M272" s="24"/>
      <c r="N272" s="24"/>
      <c r="O272" s="24"/>
      <c r="P272" s="24"/>
      <c r="Q272" s="24"/>
      <c r="R272" s="24"/>
      <c r="S272" s="24"/>
      <c r="T272" s="24"/>
      <c r="U272" s="24"/>
      <c r="V272" s="24"/>
      <c r="W272" s="24"/>
      <c r="X272" s="24"/>
      <c r="Y272" s="24"/>
      <c r="Z272" s="24"/>
      <c r="AA272" s="24"/>
      <c r="AB272" s="24"/>
      <c r="AC272" s="24"/>
      <c r="AD272" s="24"/>
      <c r="AE272" s="24"/>
      <c r="AF272" s="24"/>
      <c r="AG272" s="24"/>
      <c r="AH272" s="24"/>
      <c r="AI272" s="24"/>
      <c r="AJ272" s="24"/>
      <c r="AK272" s="24"/>
      <c r="AL272" s="24"/>
      <c r="AM272" s="24"/>
      <c r="AN272" s="24"/>
      <c r="AO272" s="24"/>
      <c r="AP272" s="24"/>
      <c r="AQ272" s="24"/>
      <c r="AR272" s="24"/>
      <c r="AS272" s="24"/>
      <c r="AT272" s="24"/>
      <c r="AU272" s="24"/>
      <c r="AV272" s="24"/>
      <c r="AW272" s="24"/>
      <c r="AX272" s="24"/>
      <c r="AY272" s="24"/>
      <c r="AZ272" s="24"/>
      <c r="BA272" s="24"/>
      <c r="BB272" s="24"/>
      <c r="BC272" s="24"/>
      <c r="BD272" s="24"/>
      <c r="BE272" s="24"/>
      <c r="BF272" s="24"/>
      <c r="BG272" s="24"/>
      <c r="BH272" s="24"/>
    </row>
    <row r="273" spans="1:60">
      <c r="A273" s="7"/>
      <c r="B273" s="8"/>
      <c r="C273" s="9"/>
      <c r="D273" s="51"/>
      <c r="E273" s="51"/>
      <c r="F273" s="51"/>
      <c r="G273" s="51"/>
      <c r="H273" s="52"/>
      <c r="I273" s="52"/>
      <c r="J273" s="52"/>
      <c r="K273" s="24"/>
      <c r="L273" s="7"/>
      <c r="M273" s="24"/>
      <c r="N273" s="24"/>
      <c r="O273" s="24"/>
      <c r="P273" s="24"/>
      <c r="Q273" s="24"/>
      <c r="R273" s="24"/>
      <c r="S273" s="24"/>
      <c r="T273" s="24"/>
      <c r="U273" s="24"/>
      <c r="V273" s="24"/>
      <c r="W273" s="24"/>
      <c r="X273" s="24"/>
      <c r="Y273" s="24"/>
      <c r="Z273" s="24"/>
      <c r="AA273" s="24"/>
      <c r="AB273" s="24"/>
      <c r="AC273" s="24"/>
      <c r="AD273" s="24"/>
      <c r="AE273" s="24"/>
      <c r="AF273" s="24"/>
      <c r="AG273" s="24"/>
      <c r="AH273" s="24"/>
      <c r="AI273" s="24"/>
      <c r="AJ273" s="24"/>
      <c r="AK273" s="24"/>
      <c r="AL273" s="24"/>
      <c r="AM273" s="24"/>
      <c r="AN273" s="24"/>
      <c r="AO273" s="24"/>
      <c r="AP273" s="24"/>
      <c r="AQ273" s="24"/>
      <c r="AR273" s="24"/>
      <c r="AS273" s="24"/>
      <c r="AT273" s="24"/>
      <c r="AU273" s="24"/>
      <c r="AV273" s="24"/>
      <c r="AW273" s="24"/>
      <c r="AX273" s="24"/>
      <c r="AY273" s="24"/>
      <c r="AZ273" s="24"/>
      <c r="BA273" s="24"/>
      <c r="BB273" s="24"/>
      <c r="BC273" s="24"/>
      <c r="BD273" s="24"/>
      <c r="BE273" s="24"/>
      <c r="BF273" s="24"/>
      <c r="BG273" s="24"/>
      <c r="BH273" s="24"/>
    </row>
    <row r="274" spans="1:60">
      <c r="A274" s="7"/>
      <c r="B274" s="8"/>
      <c r="C274" s="9"/>
      <c r="D274" s="51"/>
      <c r="E274" s="51"/>
      <c r="F274" s="51"/>
      <c r="G274" s="51"/>
      <c r="H274" s="52"/>
      <c r="I274" s="52"/>
      <c r="J274" s="52"/>
      <c r="K274" s="24"/>
      <c r="L274" s="7"/>
      <c r="M274" s="24"/>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4"/>
      <c r="AK274" s="24"/>
      <c r="AL274" s="24"/>
      <c r="AM274" s="24"/>
      <c r="AN274" s="24"/>
      <c r="AO274" s="24"/>
      <c r="AP274" s="24"/>
      <c r="AQ274" s="24"/>
      <c r="AR274" s="24"/>
      <c r="AS274" s="24"/>
      <c r="AT274" s="24"/>
      <c r="AU274" s="24"/>
      <c r="AV274" s="24"/>
      <c r="AW274" s="24"/>
      <c r="AX274" s="24"/>
      <c r="AY274" s="24"/>
      <c r="AZ274" s="24"/>
      <c r="BA274" s="24"/>
      <c r="BB274" s="24"/>
      <c r="BC274" s="24"/>
      <c r="BD274" s="24"/>
      <c r="BE274" s="24"/>
      <c r="BF274" s="24"/>
      <c r="BG274" s="24"/>
      <c r="BH274" s="24"/>
    </row>
    <row r="275" spans="1:60">
      <c r="A275" s="7"/>
      <c r="B275" s="8"/>
      <c r="C275" s="9"/>
      <c r="D275" s="51"/>
      <c r="E275" s="51"/>
      <c r="F275" s="51"/>
      <c r="G275" s="51"/>
      <c r="H275" s="52"/>
      <c r="I275" s="52"/>
      <c r="J275" s="52"/>
      <c r="K275" s="24"/>
      <c r="L275" s="7"/>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24"/>
      <c r="AU275" s="24"/>
      <c r="AV275" s="24"/>
      <c r="AW275" s="24"/>
      <c r="AX275" s="24"/>
      <c r="AY275" s="24"/>
      <c r="AZ275" s="24"/>
      <c r="BA275" s="24"/>
      <c r="BB275" s="24"/>
      <c r="BC275" s="24"/>
      <c r="BD275" s="24"/>
      <c r="BE275" s="24"/>
      <c r="BF275" s="24"/>
      <c r="BG275" s="24"/>
      <c r="BH275" s="24"/>
    </row>
    <row r="276" spans="1:60">
      <c r="A276" s="7"/>
      <c r="B276" s="8"/>
      <c r="C276" s="9"/>
      <c r="D276" s="51"/>
      <c r="E276" s="51"/>
      <c r="F276" s="51"/>
      <c r="G276" s="51"/>
      <c r="H276" s="52"/>
      <c r="I276" s="52"/>
      <c r="J276" s="52"/>
      <c r="K276" s="24"/>
      <c r="L276" s="7"/>
      <c r="M276" s="24"/>
      <c r="N276" s="24"/>
      <c r="O276" s="24"/>
      <c r="P276" s="24"/>
      <c r="Q276" s="24"/>
      <c r="R276" s="24"/>
      <c r="S276" s="24"/>
      <c r="T276" s="24"/>
      <c r="U276" s="24"/>
      <c r="V276" s="24"/>
      <c r="W276" s="24"/>
      <c r="X276" s="24"/>
      <c r="Y276" s="24"/>
      <c r="Z276" s="24"/>
      <c r="AA276" s="24"/>
      <c r="AB276" s="24"/>
      <c r="AC276" s="24"/>
      <c r="AD276" s="24"/>
      <c r="AE276" s="24"/>
      <c r="AF276" s="24"/>
      <c r="AG276" s="24"/>
      <c r="AH276" s="24"/>
      <c r="AI276" s="24"/>
      <c r="AJ276" s="24"/>
      <c r="AK276" s="24"/>
      <c r="AL276" s="24"/>
      <c r="AM276" s="24"/>
      <c r="AN276" s="24"/>
      <c r="AO276" s="24"/>
      <c r="AP276" s="24"/>
      <c r="AQ276" s="24"/>
      <c r="AR276" s="24"/>
      <c r="AS276" s="24"/>
      <c r="AT276" s="24"/>
      <c r="AU276" s="24"/>
      <c r="AV276" s="24"/>
      <c r="AW276" s="24"/>
      <c r="AX276" s="24"/>
      <c r="AY276" s="24"/>
      <c r="AZ276" s="24"/>
      <c r="BA276" s="24"/>
      <c r="BB276" s="24"/>
      <c r="BC276" s="24"/>
      <c r="BD276" s="24"/>
      <c r="BE276" s="24"/>
      <c r="BF276" s="24"/>
      <c r="BG276" s="24"/>
      <c r="BH276" s="24"/>
    </row>
    <row r="277" spans="1:60">
      <c r="A277" s="7"/>
      <c r="B277" s="8"/>
      <c r="C277" s="9"/>
      <c r="D277" s="51"/>
      <c r="E277" s="51"/>
      <c r="F277" s="51"/>
      <c r="G277" s="51"/>
      <c r="H277" s="52"/>
      <c r="I277" s="52"/>
      <c r="J277" s="52"/>
      <c r="K277" s="24"/>
      <c r="L277" s="7"/>
      <c r="M277" s="24"/>
      <c r="N277" s="24"/>
      <c r="O277" s="24"/>
      <c r="P277" s="24"/>
      <c r="Q277" s="24"/>
      <c r="R277" s="24"/>
      <c r="S277" s="24"/>
      <c r="T277" s="24"/>
      <c r="U277" s="24"/>
      <c r="V277" s="24"/>
      <c r="W277" s="24"/>
      <c r="X277" s="24"/>
      <c r="Y277" s="24"/>
      <c r="Z277" s="24"/>
      <c r="AA277" s="24"/>
      <c r="AB277" s="24"/>
      <c r="AC277" s="24"/>
      <c r="AD277" s="24"/>
      <c r="AE277" s="24"/>
      <c r="AF277" s="24"/>
      <c r="AG277" s="24"/>
      <c r="AH277" s="24"/>
      <c r="AI277" s="24"/>
      <c r="AJ277" s="24"/>
      <c r="AK277" s="24"/>
      <c r="AL277" s="24"/>
      <c r="AM277" s="24"/>
      <c r="AN277" s="24"/>
      <c r="AO277" s="24"/>
      <c r="AP277" s="24"/>
      <c r="AQ277" s="24"/>
      <c r="AR277" s="24"/>
      <c r="AS277" s="24"/>
      <c r="AT277" s="24"/>
      <c r="AU277" s="24"/>
      <c r="AV277" s="24"/>
      <c r="AW277" s="24"/>
      <c r="AX277" s="24"/>
      <c r="AY277" s="24"/>
      <c r="AZ277" s="24"/>
      <c r="BA277" s="24"/>
      <c r="BB277" s="24"/>
      <c r="BC277" s="24"/>
      <c r="BD277" s="24"/>
      <c r="BE277" s="24"/>
      <c r="BF277" s="24"/>
      <c r="BG277" s="24"/>
      <c r="BH277" s="24"/>
    </row>
    <row r="278" spans="1:60">
      <c r="A278" s="7"/>
      <c r="B278" s="8"/>
      <c r="C278" s="9"/>
      <c r="D278" s="51"/>
      <c r="E278" s="51"/>
      <c r="F278" s="51"/>
      <c r="G278" s="51"/>
      <c r="H278" s="52"/>
      <c r="I278" s="52"/>
      <c r="J278" s="52"/>
      <c r="K278" s="24"/>
      <c r="L278" s="7"/>
      <c r="M278" s="24"/>
      <c r="N278" s="24"/>
      <c r="O278" s="24"/>
      <c r="P278" s="24"/>
      <c r="Q278" s="24"/>
      <c r="R278" s="24"/>
      <c r="S278" s="24"/>
      <c r="T278" s="24"/>
      <c r="U278" s="24"/>
      <c r="V278" s="24"/>
      <c r="W278" s="24"/>
      <c r="X278" s="24"/>
      <c r="Y278" s="24"/>
      <c r="Z278" s="24"/>
      <c r="AA278" s="24"/>
      <c r="AB278" s="24"/>
      <c r="AC278" s="24"/>
      <c r="AD278" s="24"/>
      <c r="AE278" s="24"/>
      <c r="AF278" s="24"/>
      <c r="AG278" s="24"/>
      <c r="AH278" s="24"/>
      <c r="AI278" s="24"/>
      <c r="AJ278" s="24"/>
      <c r="AK278" s="24"/>
      <c r="AL278" s="24"/>
      <c r="AM278" s="24"/>
      <c r="AN278" s="24"/>
      <c r="AO278" s="24"/>
      <c r="AP278" s="24"/>
      <c r="AQ278" s="24"/>
      <c r="AR278" s="24"/>
      <c r="AS278" s="24"/>
      <c r="AT278" s="24"/>
      <c r="AU278" s="24"/>
      <c r="AV278" s="24"/>
      <c r="AW278" s="24"/>
      <c r="AX278" s="24"/>
      <c r="AY278" s="24"/>
      <c r="AZ278" s="24"/>
      <c r="BA278" s="24"/>
      <c r="BB278" s="24"/>
      <c r="BC278" s="24"/>
      <c r="BD278" s="24"/>
      <c r="BE278" s="24"/>
      <c r="BF278" s="24"/>
      <c r="BG278" s="24"/>
      <c r="BH278" s="24"/>
    </row>
    <row r="279" spans="1:60">
      <c r="A279" s="7"/>
      <c r="B279" s="8"/>
      <c r="C279" s="9"/>
      <c r="D279" s="51"/>
      <c r="E279" s="51"/>
      <c r="F279" s="51"/>
      <c r="G279" s="51"/>
      <c r="H279" s="52"/>
      <c r="I279" s="52"/>
      <c r="J279" s="52"/>
      <c r="K279" s="24"/>
      <c r="L279" s="7"/>
      <c r="M279" s="24"/>
      <c r="N279" s="24"/>
      <c r="O279" s="24"/>
      <c r="P279" s="24"/>
      <c r="Q279" s="24"/>
      <c r="R279" s="24"/>
      <c r="S279" s="24"/>
      <c r="T279" s="24"/>
      <c r="U279" s="24"/>
      <c r="V279" s="24"/>
      <c r="W279" s="24"/>
      <c r="X279" s="24"/>
      <c r="Y279" s="24"/>
      <c r="Z279" s="24"/>
      <c r="AA279" s="24"/>
      <c r="AB279" s="24"/>
      <c r="AC279" s="24"/>
      <c r="AD279" s="24"/>
      <c r="AE279" s="24"/>
      <c r="AF279" s="24"/>
      <c r="AG279" s="24"/>
      <c r="AH279" s="24"/>
      <c r="AI279" s="24"/>
      <c r="AJ279" s="24"/>
      <c r="AK279" s="24"/>
      <c r="AL279" s="24"/>
      <c r="AM279" s="24"/>
      <c r="AN279" s="24"/>
      <c r="AO279" s="24"/>
      <c r="AP279" s="24"/>
      <c r="AQ279" s="24"/>
      <c r="AR279" s="24"/>
      <c r="AS279" s="24"/>
      <c r="AT279" s="24"/>
      <c r="AU279" s="24"/>
      <c r="AV279" s="24"/>
      <c r="AW279" s="24"/>
      <c r="AX279" s="24"/>
      <c r="AY279" s="24"/>
      <c r="AZ279" s="24"/>
      <c r="BA279" s="24"/>
      <c r="BB279" s="24"/>
      <c r="BC279" s="24"/>
      <c r="BD279" s="24"/>
      <c r="BE279" s="24"/>
      <c r="BF279" s="24"/>
      <c r="BG279" s="24"/>
      <c r="BH279" s="24"/>
    </row>
    <row r="280" spans="1:60">
      <c r="A280" s="7"/>
      <c r="B280" s="8"/>
      <c r="C280" s="9"/>
      <c r="D280" s="51"/>
      <c r="E280" s="51"/>
      <c r="F280" s="51"/>
      <c r="G280" s="51"/>
      <c r="H280" s="52"/>
      <c r="I280" s="52"/>
      <c r="J280" s="52"/>
      <c r="K280" s="24"/>
      <c r="L280" s="7"/>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4"/>
      <c r="AK280" s="24"/>
      <c r="AL280" s="24"/>
      <c r="AM280" s="24"/>
      <c r="AN280" s="24"/>
      <c r="AO280" s="24"/>
      <c r="AP280" s="24"/>
      <c r="AQ280" s="24"/>
      <c r="AR280" s="24"/>
      <c r="AS280" s="24"/>
      <c r="AT280" s="24"/>
      <c r="AU280" s="24"/>
      <c r="AV280" s="24"/>
      <c r="AW280" s="24"/>
      <c r="AX280" s="24"/>
      <c r="AY280" s="24"/>
      <c r="AZ280" s="24"/>
      <c r="BA280" s="24"/>
      <c r="BB280" s="24"/>
      <c r="BC280" s="24"/>
      <c r="BD280" s="24"/>
      <c r="BE280" s="24"/>
      <c r="BF280" s="24"/>
      <c r="BG280" s="24"/>
      <c r="BH280" s="24"/>
    </row>
    <row r="281" spans="1:60">
      <c r="A281" s="7"/>
      <c r="B281" s="8"/>
      <c r="C281" s="9"/>
      <c r="D281" s="51"/>
      <c r="E281" s="51"/>
      <c r="F281" s="51"/>
      <c r="G281" s="51"/>
      <c r="H281" s="52"/>
      <c r="I281" s="52"/>
      <c r="J281" s="52"/>
      <c r="K281" s="24"/>
      <c r="L281" s="7"/>
      <c r="M281" s="24"/>
      <c r="N281" s="24"/>
      <c r="O281" s="24"/>
      <c r="P281" s="24"/>
      <c r="Q281" s="24"/>
      <c r="R281" s="24"/>
      <c r="S281" s="24"/>
      <c r="T281" s="24"/>
      <c r="U281" s="24"/>
      <c r="V281" s="24"/>
      <c r="W281" s="24"/>
      <c r="X281" s="24"/>
      <c r="Y281" s="24"/>
      <c r="Z281" s="24"/>
      <c r="AA281" s="24"/>
      <c r="AB281" s="24"/>
      <c r="AC281" s="24"/>
      <c r="AD281" s="24"/>
      <c r="AE281" s="24"/>
      <c r="AF281" s="24"/>
      <c r="AG281" s="24"/>
      <c r="AH281" s="24"/>
      <c r="AI281" s="24"/>
      <c r="AJ281" s="24"/>
      <c r="AK281" s="24"/>
      <c r="AL281" s="24"/>
      <c r="AM281" s="24"/>
      <c r="AN281" s="24"/>
      <c r="AO281" s="24"/>
      <c r="AP281" s="24"/>
      <c r="AQ281" s="24"/>
      <c r="AR281" s="24"/>
      <c r="AS281" s="24"/>
      <c r="AT281" s="24"/>
      <c r="AU281" s="24"/>
      <c r="AV281" s="24"/>
      <c r="AW281" s="24"/>
      <c r="AX281" s="24"/>
      <c r="AY281" s="24"/>
      <c r="AZ281" s="24"/>
      <c r="BA281" s="24"/>
      <c r="BB281" s="24"/>
      <c r="BC281" s="24"/>
      <c r="BD281" s="24"/>
      <c r="BE281" s="24"/>
      <c r="BF281" s="24"/>
      <c r="BG281" s="24"/>
      <c r="BH281" s="24"/>
    </row>
    <row r="282" spans="1:60">
      <c r="A282" s="7"/>
      <c r="B282" s="8"/>
      <c r="C282" s="9"/>
      <c r="D282" s="51"/>
      <c r="E282" s="51"/>
      <c r="F282" s="51"/>
      <c r="G282" s="51"/>
      <c r="H282" s="52"/>
      <c r="I282" s="52"/>
      <c r="J282" s="52"/>
      <c r="K282" s="24"/>
      <c r="L282" s="7"/>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24"/>
      <c r="AX282" s="24"/>
      <c r="AY282" s="24"/>
      <c r="AZ282" s="24"/>
      <c r="BA282" s="24"/>
      <c r="BB282" s="24"/>
      <c r="BC282" s="24"/>
      <c r="BD282" s="24"/>
      <c r="BE282" s="24"/>
      <c r="BF282" s="24"/>
      <c r="BG282" s="24"/>
      <c r="BH282" s="24"/>
    </row>
    <row r="283" spans="1:60">
      <c r="A283" s="7"/>
      <c r="B283" s="8"/>
      <c r="C283" s="9"/>
      <c r="D283" s="51"/>
      <c r="E283" s="51"/>
      <c r="F283" s="51"/>
      <c r="G283" s="51"/>
      <c r="H283" s="52"/>
      <c r="I283" s="52"/>
      <c r="J283" s="52"/>
      <c r="K283" s="24"/>
      <c r="L283" s="7"/>
      <c r="M283" s="24"/>
      <c r="N283" s="24"/>
      <c r="O283" s="24"/>
      <c r="P283" s="24"/>
      <c r="Q283" s="24"/>
      <c r="R283" s="24"/>
      <c r="S283" s="24"/>
      <c r="T283" s="24"/>
      <c r="U283" s="24"/>
      <c r="V283" s="24"/>
      <c r="W283" s="24"/>
      <c r="X283" s="24"/>
      <c r="Y283" s="24"/>
      <c r="Z283" s="24"/>
      <c r="AA283" s="24"/>
      <c r="AB283" s="24"/>
      <c r="AC283" s="24"/>
      <c r="AD283" s="24"/>
      <c r="AE283" s="24"/>
      <c r="AF283" s="24"/>
      <c r="AG283" s="24"/>
      <c r="AH283" s="24"/>
      <c r="AI283" s="24"/>
      <c r="AJ283" s="24"/>
      <c r="AK283" s="24"/>
      <c r="AL283" s="24"/>
      <c r="AM283" s="24"/>
      <c r="AN283" s="24"/>
      <c r="AO283" s="24"/>
      <c r="AP283" s="24"/>
      <c r="AQ283" s="24"/>
      <c r="AR283" s="24"/>
      <c r="AS283" s="24"/>
      <c r="AT283" s="24"/>
      <c r="AU283" s="24"/>
      <c r="AV283" s="24"/>
      <c r="AW283" s="24"/>
      <c r="AX283" s="24"/>
      <c r="AY283" s="24"/>
      <c r="AZ283" s="24"/>
      <c r="BA283" s="24"/>
      <c r="BB283" s="24"/>
      <c r="BC283" s="24"/>
      <c r="BD283" s="24"/>
      <c r="BE283" s="24"/>
      <c r="BF283" s="24"/>
      <c r="BG283" s="24"/>
      <c r="BH283" s="24"/>
    </row>
    <row r="284" spans="1:60">
      <c r="A284" s="7"/>
      <c r="B284" s="8"/>
      <c r="C284" s="9"/>
      <c r="D284" s="51"/>
      <c r="E284" s="51"/>
      <c r="F284" s="51"/>
      <c r="G284" s="51"/>
      <c r="H284" s="52"/>
      <c r="I284" s="52"/>
      <c r="J284" s="52"/>
      <c r="K284" s="24"/>
      <c r="L284" s="7"/>
      <c r="M284" s="24"/>
      <c r="N284" s="24"/>
      <c r="O284" s="24"/>
      <c r="P284" s="24"/>
      <c r="Q284" s="24"/>
      <c r="R284" s="24"/>
      <c r="S284" s="24"/>
      <c r="T284" s="24"/>
      <c r="U284" s="24"/>
      <c r="V284" s="24"/>
      <c r="W284" s="24"/>
      <c r="X284" s="24"/>
      <c r="Y284" s="24"/>
      <c r="Z284" s="24"/>
      <c r="AA284" s="24"/>
      <c r="AB284" s="24"/>
      <c r="AC284" s="24"/>
      <c r="AD284" s="24"/>
      <c r="AE284" s="24"/>
      <c r="AF284" s="24"/>
      <c r="AG284" s="24"/>
      <c r="AH284" s="24"/>
      <c r="AI284" s="24"/>
      <c r="AJ284" s="24"/>
      <c r="AK284" s="24"/>
      <c r="AL284" s="24"/>
      <c r="AM284" s="24"/>
      <c r="AN284" s="24"/>
      <c r="AO284" s="24"/>
      <c r="AP284" s="24"/>
      <c r="AQ284" s="24"/>
      <c r="AR284" s="24"/>
      <c r="AS284" s="24"/>
      <c r="AT284" s="24"/>
      <c r="AU284" s="24"/>
      <c r="AV284" s="24"/>
      <c r="AW284" s="24"/>
      <c r="AX284" s="24"/>
      <c r="AY284" s="24"/>
      <c r="AZ284" s="24"/>
      <c r="BA284" s="24"/>
      <c r="BB284" s="24"/>
      <c r="BC284" s="24"/>
      <c r="BD284" s="24"/>
      <c r="BE284" s="24"/>
      <c r="BF284" s="24"/>
      <c r="BG284" s="24"/>
      <c r="BH284" s="24"/>
    </row>
    <row r="285" spans="1:60">
      <c r="A285" s="7"/>
      <c r="B285" s="8"/>
      <c r="C285" s="9"/>
      <c r="D285" s="51"/>
      <c r="E285" s="51"/>
      <c r="F285" s="51"/>
      <c r="G285" s="51"/>
      <c r="H285" s="52"/>
      <c r="I285" s="52"/>
      <c r="J285" s="52"/>
      <c r="K285" s="24"/>
      <c r="L285" s="7"/>
      <c r="M285" s="24"/>
      <c r="N285" s="24"/>
      <c r="O285" s="24"/>
      <c r="P285" s="24"/>
      <c r="Q285" s="24"/>
      <c r="R285" s="24"/>
      <c r="S285" s="24"/>
      <c r="T285" s="24"/>
      <c r="U285" s="24"/>
      <c r="V285" s="24"/>
      <c r="W285" s="24"/>
      <c r="X285" s="24"/>
      <c r="Y285" s="24"/>
      <c r="Z285" s="24"/>
      <c r="AA285" s="24"/>
      <c r="AB285" s="24"/>
      <c r="AC285" s="24"/>
      <c r="AD285" s="24"/>
      <c r="AE285" s="24"/>
      <c r="AF285" s="24"/>
      <c r="AG285" s="24"/>
      <c r="AH285" s="24"/>
      <c r="AI285" s="24"/>
      <c r="AJ285" s="24"/>
      <c r="AK285" s="24"/>
      <c r="AL285" s="24"/>
      <c r="AM285" s="24"/>
      <c r="AN285" s="24"/>
      <c r="AO285" s="24"/>
      <c r="AP285" s="24"/>
      <c r="AQ285" s="24"/>
      <c r="AR285" s="24"/>
      <c r="AS285" s="24"/>
      <c r="AT285" s="24"/>
      <c r="AU285" s="24"/>
      <c r="AV285" s="24"/>
      <c r="AW285" s="24"/>
      <c r="AX285" s="24"/>
      <c r="AY285" s="24"/>
      <c r="AZ285" s="24"/>
      <c r="BA285" s="24"/>
      <c r="BB285" s="24"/>
      <c r="BC285" s="24"/>
      <c r="BD285" s="24"/>
      <c r="BE285" s="24"/>
      <c r="BF285" s="24"/>
      <c r="BG285" s="24"/>
      <c r="BH285" s="24"/>
    </row>
    <row r="286" spans="1:60">
      <c r="A286" s="7"/>
      <c r="B286" s="8"/>
      <c r="C286" s="9"/>
      <c r="D286" s="51"/>
      <c r="E286" s="51"/>
      <c r="F286" s="51"/>
      <c r="G286" s="51"/>
      <c r="H286" s="52"/>
      <c r="I286" s="52"/>
      <c r="J286" s="52"/>
      <c r="K286" s="24"/>
      <c r="L286" s="7"/>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c r="AT286" s="24"/>
      <c r="AU286" s="24"/>
      <c r="AV286" s="24"/>
      <c r="AW286" s="24"/>
      <c r="AX286" s="24"/>
      <c r="AY286" s="24"/>
      <c r="AZ286" s="24"/>
      <c r="BA286" s="24"/>
      <c r="BB286" s="24"/>
      <c r="BC286" s="24"/>
      <c r="BD286" s="24"/>
      <c r="BE286" s="24"/>
      <c r="BF286" s="24"/>
      <c r="BG286" s="24"/>
      <c r="BH286" s="24"/>
    </row>
    <row r="287" spans="1:60">
      <c r="A287" s="7"/>
      <c r="B287" s="8"/>
      <c r="C287" s="9"/>
      <c r="D287" s="51"/>
      <c r="E287" s="51"/>
      <c r="F287" s="51"/>
      <c r="G287" s="51"/>
      <c r="H287" s="52"/>
      <c r="I287" s="52"/>
      <c r="J287" s="52"/>
      <c r="K287" s="24"/>
      <c r="L287" s="7"/>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24"/>
      <c r="BB287" s="24"/>
      <c r="BC287" s="24"/>
      <c r="BD287" s="24"/>
      <c r="BE287" s="24"/>
      <c r="BF287" s="24"/>
      <c r="BG287" s="24"/>
      <c r="BH287" s="24"/>
    </row>
    <row r="288" spans="1:60">
      <c r="A288" s="7"/>
      <c r="B288" s="8"/>
      <c r="C288" s="9"/>
      <c r="D288" s="51"/>
      <c r="E288" s="51"/>
      <c r="F288" s="51"/>
      <c r="G288" s="51"/>
      <c r="H288" s="52"/>
      <c r="I288" s="52"/>
      <c r="J288" s="52"/>
      <c r="K288" s="24"/>
      <c r="L288" s="7"/>
      <c r="M288" s="24"/>
      <c r="N288" s="24"/>
      <c r="O288" s="24"/>
      <c r="P288" s="24"/>
      <c r="Q288" s="24"/>
      <c r="R288" s="24"/>
      <c r="S288" s="24"/>
      <c r="T288" s="24"/>
      <c r="U288" s="24"/>
      <c r="V288" s="24"/>
      <c r="W288" s="24"/>
      <c r="X288" s="24"/>
      <c r="Y288" s="24"/>
      <c r="Z288" s="24"/>
      <c r="AA288" s="24"/>
      <c r="AB288" s="24"/>
      <c r="AC288" s="24"/>
      <c r="AD288" s="24"/>
      <c r="AE288" s="24"/>
      <c r="AF288" s="24"/>
      <c r="AG288" s="24"/>
      <c r="AH288" s="24"/>
      <c r="AI288" s="24"/>
      <c r="AJ288" s="24"/>
      <c r="AK288" s="24"/>
      <c r="AL288" s="24"/>
      <c r="AM288" s="24"/>
      <c r="AN288" s="24"/>
      <c r="AO288" s="24"/>
      <c r="AP288" s="24"/>
      <c r="AQ288" s="24"/>
      <c r="AR288" s="24"/>
      <c r="AS288" s="24"/>
      <c r="AT288" s="24"/>
      <c r="AU288" s="24"/>
      <c r="AV288" s="24"/>
      <c r="AW288" s="24"/>
      <c r="AX288" s="24"/>
      <c r="AY288" s="24"/>
      <c r="AZ288" s="24"/>
      <c r="BA288" s="24"/>
      <c r="BB288" s="24"/>
      <c r="BC288" s="24"/>
      <c r="BD288" s="24"/>
      <c r="BE288" s="24"/>
      <c r="BF288" s="24"/>
      <c r="BG288" s="24"/>
      <c r="BH288" s="24"/>
    </row>
    <row r="289" spans="1:60">
      <c r="A289" s="7"/>
      <c r="B289" s="8"/>
      <c r="C289" s="9"/>
      <c r="D289" s="51"/>
      <c r="E289" s="51"/>
      <c r="F289" s="51"/>
      <c r="G289" s="51"/>
      <c r="H289" s="52"/>
      <c r="I289" s="52"/>
      <c r="J289" s="52"/>
      <c r="K289" s="24"/>
      <c r="L289" s="7"/>
      <c r="M289" s="24"/>
      <c r="N289" s="24"/>
      <c r="O289" s="24"/>
      <c r="P289" s="24"/>
      <c r="Q289" s="24"/>
      <c r="R289" s="24"/>
      <c r="S289" s="24"/>
      <c r="T289" s="24"/>
      <c r="U289" s="24"/>
      <c r="V289" s="24"/>
      <c r="W289" s="24"/>
      <c r="X289" s="24"/>
      <c r="Y289" s="24"/>
      <c r="Z289" s="24"/>
      <c r="AA289" s="24"/>
      <c r="AB289" s="24"/>
      <c r="AC289" s="24"/>
      <c r="AD289" s="24"/>
      <c r="AE289" s="24"/>
      <c r="AF289" s="24"/>
      <c r="AG289" s="24"/>
      <c r="AH289" s="24"/>
      <c r="AI289" s="24"/>
      <c r="AJ289" s="24"/>
      <c r="AK289" s="24"/>
      <c r="AL289" s="24"/>
      <c r="AM289" s="24"/>
      <c r="AN289" s="24"/>
      <c r="AO289" s="24"/>
      <c r="AP289" s="24"/>
      <c r="AQ289" s="24"/>
      <c r="AR289" s="24"/>
      <c r="AS289" s="24"/>
      <c r="AT289" s="24"/>
      <c r="AU289" s="24"/>
      <c r="AV289" s="24"/>
      <c r="AW289" s="24"/>
      <c r="AX289" s="24"/>
      <c r="AY289" s="24"/>
      <c r="AZ289" s="24"/>
      <c r="BA289" s="24"/>
      <c r="BB289" s="24"/>
      <c r="BC289" s="24"/>
      <c r="BD289" s="24"/>
      <c r="BE289" s="24"/>
      <c r="BF289" s="24"/>
      <c r="BG289" s="24"/>
      <c r="BH289" s="24"/>
    </row>
    <row r="290" spans="1:60">
      <c r="A290" s="7"/>
      <c r="B290" s="8"/>
      <c r="C290" s="9"/>
      <c r="D290" s="51"/>
      <c r="E290" s="51"/>
      <c r="F290" s="51"/>
      <c r="G290" s="51"/>
      <c r="H290" s="52"/>
      <c r="I290" s="52"/>
      <c r="J290" s="52"/>
      <c r="K290" s="24"/>
      <c r="L290" s="7"/>
      <c r="M290" s="24"/>
      <c r="N290" s="24"/>
      <c r="O290" s="24"/>
      <c r="P290" s="24"/>
      <c r="Q290" s="24"/>
      <c r="R290" s="24"/>
      <c r="S290" s="24"/>
      <c r="T290" s="24"/>
      <c r="U290" s="24"/>
      <c r="V290" s="24"/>
      <c r="W290" s="24"/>
      <c r="X290" s="24"/>
      <c r="Y290" s="24"/>
      <c r="Z290" s="24"/>
      <c r="AA290" s="24"/>
      <c r="AB290" s="24"/>
      <c r="AC290" s="24"/>
      <c r="AD290" s="24"/>
      <c r="AE290" s="24"/>
      <c r="AF290" s="24"/>
      <c r="AG290" s="24"/>
      <c r="AH290" s="24"/>
      <c r="AI290" s="24"/>
      <c r="AJ290" s="24"/>
      <c r="AK290" s="24"/>
      <c r="AL290" s="24"/>
      <c r="AM290" s="24"/>
      <c r="AN290" s="24"/>
      <c r="AO290" s="24"/>
      <c r="AP290" s="24"/>
      <c r="AQ290" s="24"/>
      <c r="AR290" s="24"/>
      <c r="AS290" s="24"/>
      <c r="AT290" s="24"/>
      <c r="AU290" s="24"/>
      <c r="AV290" s="24"/>
      <c r="AW290" s="24"/>
      <c r="AX290" s="24"/>
      <c r="AY290" s="24"/>
      <c r="AZ290" s="24"/>
      <c r="BA290" s="24"/>
      <c r="BB290" s="24"/>
      <c r="BC290" s="24"/>
      <c r="BD290" s="24"/>
      <c r="BE290" s="24"/>
      <c r="BF290" s="24"/>
      <c r="BG290" s="24"/>
      <c r="BH290" s="24"/>
    </row>
    <row r="291" spans="1:60">
      <c r="A291" s="7"/>
      <c r="B291" s="8"/>
      <c r="C291" s="9"/>
      <c r="D291" s="51"/>
      <c r="E291" s="51"/>
      <c r="F291" s="51"/>
      <c r="G291" s="51"/>
      <c r="H291" s="52"/>
      <c r="I291" s="52"/>
      <c r="J291" s="52"/>
      <c r="K291" s="24"/>
      <c r="L291" s="7"/>
      <c r="M291" s="24"/>
      <c r="N291" s="24"/>
      <c r="O291" s="24"/>
      <c r="P291" s="24"/>
      <c r="Q291" s="24"/>
      <c r="R291" s="24"/>
      <c r="S291" s="24"/>
      <c r="T291" s="24"/>
      <c r="U291" s="24"/>
      <c r="V291" s="24"/>
      <c r="W291" s="24"/>
      <c r="X291" s="24"/>
      <c r="Y291" s="24"/>
      <c r="Z291" s="24"/>
      <c r="AA291" s="24"/>
      <c r="AB291" s="24"/>
      <c r="AC291" s="24"/>
      <c r="AD291" s="24"/>
      <c r="AE291" s="24"/>
      <c r="AF291" s="24"/>
      <c r="AG291" s="24"/>
      <c r="AH291" s="24"/>
      <c r="AI291" s="24"/>
      <c r="AJ291" s="24"/>
      <c r="AK291" s="24"/>
      <c r="AL291" s="24"/>
      <c r="AM291" s="24"/>
      <c r="AN291" s="24"/>
      <c r="AO291" s="24"/>
      <c r="AP291" s="24"/>
      <c r="AQ291" s="24"/>
      <c r="AR291" s="24"/>
      <c r="AS291" s="24"/>
      <c r="AT291" s="24"/>
      <c r="AU291" s="24"/>
      <c r="AV291" s="24"/>
      <c r="AW291" s="24"/>
      <c r="AX291" s="24"/>
      <c r="AY291" s="24"/>
      <c r="AZ291" s="24"/>
      <c r="BA291" s="24"/>
      <c r="BB291" s="24"/>
      <c r="BC291" s="24"/>
      <c r="BD291" s="24"/>
      <c r="BE291" s="24"/>
      <c r="BF291" s="24"/>
      <c r="BG291" s="24"/>
      <c r="BH291" s="24"/>
    </row>
    <row r="292" spans="1:60">
      <c r="A292" s="7"/>
      <c r="B292" s="8"/>
      <c r="C292" s="9"/>
      <c r="D292" s="51"/>
      <c r="E292" s="51"/>
      <c r="F292" s="51"/>
      <c r="G292" s="51"/>
      <c r="H292" s="52"/>
      <c r="I292" s="52"/>
      <c r="J292" s="52"/>
      <c r="K292" s="24"/>
      <c r="L292" s="7"/>
      <c r="M292" s="24"/>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4"/>
      <c r="AK292" s="24"/>
      <c r="AL292" s="24"/>
      <c r="AM292" s="24"/>
      <c r="AN292" s="24"/>
      <c r="AO292" s="24"/>
      <c r="AP292" s="24"/>
      <c r="AQ292" s="24"/>
      <c r="AR292" s="24"/>
      <c r="AS292" s="24"/>
      <c r="AT292" s="24"/>
      <c r="AU292" s="24"/>
      <c r="AV292" s="24"/>
      <c r="AW292" s="24"/>
      <c r="AX292" s="24"/>
      <c r="AY292" s="24"/>
      <c r="AZ292" s="24"/>
      <c r="BA292" s="24"/>
      <c r="BB292" s="24"/>
      <c r="BC292" s="24"/>
      <c r="BD292" s="24"/>
      <c r="BE292" s="24"/>
      <c r="BF292" s="24"/>
      <c r="BG292" s="24"/>
      <c r="BH292" s="24"/>
    </row>
    <row r="293" spans="1:60">
      <c r="A293" s="7"/>
      <c r="B293" s="8"/>
      <c r="C293" s="9"/>
      <c r="D293" s="51"/>
      <c r="E293" s="51"/>
      <c r="F293" s="51"/>
      <c r="G293" s="51"/>
      <c r="H293" s="52"/>
      <c r="I293" s="52"/>
      <c r="J293" s="52"/>
      <c r="K293" s="24"/>
      <c r="L293" s="7"/>
      <c r="M293" s="24"/>
      <c r="N293" s="24"/>
      <c r="O293" s="24"/>
      <c r="P293" s="24"/>
      <c r="Q293" s="24"/>
      <c r="R293" s="24"/>
      <c r="S293" s="24"/>
      <c r="T293" s="24"/>
      <c r="U293" s="24"/>
      <c r="V293" s="24"/>
      <c r="W293" s="24"/>
      <c r="X293" s="24"/>
      <c r="Y293" s="24"/>
      <c r="Z293" s="24"/>
      <c r="AA293" s="24"/>
      <c r="AB293" s="24"/>
      <c r="AC293" s="24"/>
      <c r="AD293" s="24"/>
      <c r="AE293" s="24"/>
      <c r="AF293" s="24"/>
      <c r="AG293" s="24"/>
      <c r="AH293" s="24"/>
      <c r="AI293" s="24"/>
      <c r="AJ293" s="24"/>
      <c r="AK293" s="24"/>
      <c r="AL293" s="24"/>
      <c r="AM293" s="24"/>
      <c r="AN293" s="24"/>
      <c r="AO293" s="24"/>
      <c r="AP293" s="24"/>
      <c r="AQ293" s="24"/>
      <c r="AR293" s="24"/>
      <c r="AS293" s="24"/>
      <c r="AT293" s="24"/>
      <c r="AU293" s="24"/>
      <c r="AV293" s="24"/>
      <c r="AW293" s="24"/>
      <c r="AX293" s="24"/>
      <c r="AY293" s="24"/>
      <c r="AZ293" s="24"/>
      <c r="BA293" s="24"/>
      <c r="BB293" s="24"/>
      <c r="BC293" s="24"/>
      <c r="BD293" s="24"/>
      <c r="BE293" s="24"/>
      <c r="BF293" s="24"/>
      <c r="BG293" s="24"/>
      <c r="BH293" s="24"/>
    </row>
    <row r="294" spans="1:60">
      <c r="A294" s="7"/>
      <c r="B294" s="8"/>
      <c r="C294" s="9"/>
      <c r="D294" s="51"/>
      <c r="E294" s="51"/>
      <c r="F294" s="51"/>
      <c r="G294" s="51"/>
      <c r="H294" s="52"/>
      <c r="I294" s="52"/>
      <c r="J294" s="52"/>
      <c r="K294" s="24"/>
      <c r="L294" s="7"/>
      <c r="M294" s="24"/>
      <c r="N294" s="24"/>
      <c r="O294" s="24"/>
      <c r="P294" s="24"/>
      <c r="Q294" s="24"/>
      <c r="R294" s="24"/>
      <c r="S294" s="24"/>
      <c r="T294" s="24"/>
      <c r="U294" s="24"/>
      <c r="V294" s="24"/>
      <c r="W294" s="24"/>
      <c r="X294" s="24"/>
      <c r="Y294" s="24"/>
      <c r="Z294" s="24"/>
      <c r="AA294" s="24"/>
      <c r="AB294" s="24"/>
      <c r="AC294" s="24"/>
      <c r="AD294" s="24"/>
      <c r="AE294" s="24"/>
      <c r="AF294" s="24"/>
      <c r="AG294" s="24"/>
      <c r="AH294" s="24"/>
      <c r="AI294" s="24"/>
      <c r="AJ294" s="24"/>
      <c r="AK294" s="24"/>
      <c r="AL294" s="24"/>
      <c r="AM294" s="24"/>
      <c r="AN294" s="24"/>
      <c r="AO294" s="24"/>
      <c r="AP294" s="24"/>
      <c r="AQ294" s="24"/>
      <c r="AR294" s="24"/>
      <c r="AS294" s="24"/>
      <c r="AT294" s="24"/>
      <c r="AU294" s="24"/>
      <c r="AV294" s="24"/>
      <c r="AW294" s="24"/>
      <c r="AX294" s="24"/>
      <c r="AY294" s="24"/>
      <c r="AZ294" s="24"/>
      <c r="BA294" s="24"/>
      <c r="BB294" s="24"/>
      <c r="BC294" s="24"/>
      <c r="BD294" s="24"/>
      <c r="BE294" s="24"/>
      <c r="BF294" s="24"/>
      <c r="BG294" s="24"/>
      <c r="BH294" s="24"/>
    </row>
    <row r="295" spans="1:60">
      <c r="A295" s="7"/>
      <c r="B295" s="8"/>
      <c r="C295" s="9"/>
      <c r="D295" s="51"/>
      <c r="E295" s="51"/>
      <c r="F295" s="51"/>
      <c r="G295" s="51"/>
      <c r="H295" s="52"/>
      <c r="I295" s="52"/>
      <c r="J295" s="52"/>
      <c r="K295" s="24"/>
      <c r="L295" s="7"/>
      <c r="M295" s="24"/>
      <c r="N295" s="24"/>
      <c r="O295" s="24"/>
      <c r="P295" s="24"/>
      <c r="Q295" s="24"/>
      <c r="R295" s="24"/>
      <c r="S295" s="24"/>
      <c r="T295" s="24"/>
      <c r="U295" s="24"/>
      <c r="V295" s="24"/>
      <c r="W295" s="24"/>
      <c r="X295" s="24"/>
      <c r="Y295" s="24"/>
      <c r="Z295" s="24"/>
      <c r="AA295" s="24"/>
      <c r="AB295" s="24"/>
      <c r="AC295" s="24"/>
      <c r="AD295" s="24"/>
      <c r="AE295" s="24"/>
      <c r="AF295" s="24"/>
      <c r="AG295" s="24"/>
      <c r="AH295" s="24"/>
      <c r="AI295" s="24"/>
      <c r="AJ295" s="24"/>
      <c r="AK295" s="24"/>
      <c r="AL295" s="24"/>
      <c r="AM295" s="24"/>
      <c r="AN295" s="24"/>
      <c r="AO295" s="24"/>
      <c r="AP295" s="24"/>
      <c r="AQ295" s="24"/>
      <c r="AR295" s="24"/>
      <c r="AS295" s="24"/>
      <c r="AT295" s="24"/>
      <c r="AU295" s="24"/>
      <c r="AV295" s="24"/>
      <c r="AW295" s="24"/>
      <c r="AX295" s="24"/>
      <c r="AY295" s="24"/>
      <c r="AZ295" s="24"/>
      <c r="BA295" s="24"/>
      <c r="BB295" s="24"/>
      <c r="BC295" s="24"/>
      <c r="BD295" s="24"/>
      <c r="BE295" s="24"/>
      <c r="BF295" s="24"/>
      <c r="BG295" s="24"/>
      <c r="BH295" s="24"/>
    </row>
    <row r="296" spans="1:60">
      <c r="A296" s="7"/>
      <c r="B296" s="8"/>
      <c r="C296" s="9"/>
      <c r="D296" s="51"/>
      <c r="E296" s="51"/>
      <c r="F296" s="51"/>
      <c r="G296" s="51"/>
      <c r="H296" s="52"/>
      <c r="I296" s="52"/>
      <c r="J296" s="52"/>
      <c r="K296" s="24"/>
      <c r="L296" s="7"/>
      <c r="M296" s="24"/>
      <c r="N296" s="24"/>
      <c r="O296" s="24"/>
      <c r="P296" s="24"/>
      <c r="Q296" s="24"/>
      <c r="R296" s="24"/>
      <c r="S296" s="24"/>
      <c r="T296" s="24"/>
      <c r="U296" s="24"/>
      <c r="V296" s="24"/>
      <c r="W296" s="24"/>
      <c r="X296" s="24"/>
      <c r="Y296" s="24"/>
      <c r="Z296" s="24"/>
      <c r="AA296" s="24"/>
      <c r="AB296" s="24"/>
      <c r="AC296" s="24"/>
      <c r="AD296" s="24"/>
      <c r="AE296" s="24"/>
      <c r="AF296" s="24"/>
      <c r="AG296" s="24"/>
      <c r="AH296" s="24"/>
      <c r="AI296" s="24"/>
      <c r="AJ296" s="24"/>
      <c r="AK296" s="24"/>
      <c r="AL296" s="24"/>
      <c r="AM296" s="24"/>
      <c r="AN296" s="24"/>
      <c r="AO296" s="24"/>
      <c r="AP296" s="24"/>
      <c r="AQ296" s="24"/>
      <c r="AR296" s="24"/>
      <c r="AS296" s="24"/>
      <c r="AT296" s="24"/>
      <c r="AU296" s="24"/>
      <c r="AV296" s="24"/>
      <c r="AW296" s="24"/>
      <c r="AX296" s="24"/>
      <c r="AY296" s="24"/>
      <c r="AZ296" s="24"/>
      <c r="BA296" s="24"/>
      <c r="BB296" s="24"/>
      <c r="BC296" s="24"/>
      <c r="BD296" s="24"/>
      <c r="BE296" s="24"/>
      <c r="BF296" s="24"/>
      <c r="BG296" s="24"/>
      <c r="BH296" s="24"/>
    </row>
    <row r="297" spans="1:60">
      <c r="A297" s="7"/>
      <c r="B297" s="8"/>
      <c r="C297" s="9"/>
      <c r="D297" s="51"/>
      <c r="E297" s="51"/>
      <c r="F297" s="51"/>
      <c r="G297" s="51"/>
      <c r="H297" s="52"/>
      <c r="I297" s="52"/>
      <c r="J297" s="52"/>
      <c r="K297" s="24"/>
      <c r="L297" s="7"/>
      <c r="M297" s="24"/>
      <c r="N297" s="24"/>
      <c r="O297" s="24"/>
      <c r="P297" s="24"/>
      <c r="Q297" s="24"/>
      <c r="R297" s="24"/>
      <c r="S297" s="24"/>
      <c r="T297" s="24"/>
      <c r="U297" s="24"/>
      <c r="V297" s="24"/>
      <c r="W297" s="24"/>
      <c r="X297" s="24"/>
      <c r="Y297" s="24"/>
      <c r="Z297" s="24"/>
      <c r="AA297" s="24"/>
      <c r="AB297" s="24"/>
      <c r="AC297" s="24"/>
      <c r="AD297" s="24"/>
      <c r="AE297" s="24"/>
      <c r="AF297" s="24"/>
      <c r="AG297" s="24"/>
      <c r="AH297" s="24"/>
      <c r="AI297" s="24"/>
      <c r="AJ297" s="24"/>
      <c r="AK297" s="24"/>
      <c r="AL297" s="24"/>
      <c r="AM297" s="24"/>
      <c r="AN297" s="24"/>
      <c r="AO297" s="24"/>
      <c r="AP297" s="24"/>
      <c r="AQ297" s="24"/>
      <c r="AR297" s="24"/>
      <c r="AS297" s="24"/>
      <c r="AT297" s="24"/>
      <c r="AU297" s="24"/>
      <c r="AV297" s="24"/>
      <c r="AW297" s="24"/>
      <c r="AX297" s="24"/>
      <c r="AY297" s="24"/>
      <c r="AZ297" s="24"/>
      <c r="BA297" s="24"/>
      <c r="BB297" s="24"/>
      <c r="BC297" s="24"/>
      <c r="BD297" s="24"/>
      <c r="BE297" s="24"/>
      <c r="BF297" s="24"/>
      <c r="BG297" s="24"/>
      <c r="BH297" s="24"/>
    </row>
    <row r="298" spans="1:60">
      <c r="A298" s="7"/>
      <c r="B298" s="8"/>
      <c r="C298" s="9"/>
      <c r="D298" s="51"/>
      <c r="E298" s="51"/>
      <c r="F298" s="51"/>
      <c r="G298" s="51"/>
      <c r="H298" s="52"/>
      <c r="I298" s="52"/>
      <c r="J298" s="52"/>
      <c r="K298" s="24"/>
      <c r="L298" s="7"/>
      <c r="M298" s="24"/>
      <c r="N298" s="24"/>
      <c r="O298" s="24"/>
      <c r="P298" s="24"/>
      <c r="Q298" s="24"/>
      <c r="R298" s="24"/>
      <c r="S298" s="24"/>
      <c r="T298" s="24"/>
      <c r="U298" s="24"/>
      <c r="V298" s="24"/>
      <c r="W298" s="24"/>
      <c r="X298" s="24"/>
      <c r="Y298" s="24"/>
      <c r="Z298" s="24"/>
      <c r="AA298" s="24"/>
      <c r="AB298" s="24"/>
      <c r="AC298" s="24"/>
      <c r="AD298" s="24"/>
      <c r="AE298" s="24"/>
      <c r="AF298" s="24"/>
      <c r="AG298" s="24"/>
      <c r="AH298" s="24"/>
      <c r="AI298" s="24"/>
      <c r="AJ298" s="24"/>
      <c r="AK298" s="24"/>
      <c r="AL298" s="24"/>
      <c r="AM298" s="24"/>
      <c r="AN298" s="24"/>
      <c r="AO298" s="24"/>
      <c r="AP298" s="24"/>
      <c r="AQ298" s="24"/>
      <c r="AR298" s="24"/>
      <c r="AS298" s="24"/>
      <c r="AT298" s="24"/>
      <c r="AU298" s="24"/>
      <c r="AV298" s="24"/>
      <c r="AW298" s="24"/>
      <c r="AX298" s="24"/>
      <c r="AY298" s="24"/>
      <c r="AZ298" s="24"/>
      <c r="BA298" s="24"/>
      <c r="BB298" s="24"/>
      <c r="BC298" s="24"/>
      <c r="BD298" s="24"/>
      <c r="BE298" s="24"/>
      <c r="BF298" s="24"/>
      <c r="BG298" s="24"/>
      <c r="BH298" s="24"/>
    </row>
    <row r="299" spans="1:60">
      <c r="A299" s="7"/>
      <c r="B299" s="8"/>
      <c r="C299" s="9"/>
      <c r="D299" s="51"/>
      <c r="E299" s="51"/>
      <c r="F299" s="51"/>
      <c r="G299" s="51"/>
      <c r="H299" s="52"/>
      <c r="I299" s="52"/>
      <c r="J299" s="52"/>
      <c r="K299" s="24"/>
      <c r="L299" s="7"/>
      <c r="M299" s="24"/>
      <c r="N299" s="24"/>
      <c r="O299" s="24"/>
      <c r="P299" s="24"/>
      <c r="Q299" s="24"/>
      <c r="R299" s="24"/>
      <c r="S299" s="24"/>
      <c r="T299" s="24"/>
      <c r="U299" s="24"/>
      <c r="V299" s="24"/>
      <c r="W299" s="24"/>
      <c r="X299" s="24"/>
      <c r="Y299" s="24"/>
      <c r="Z299" s="24"/>
      <c r="AA299" s="24"/>
      <c r="AB299" s="24"/>
      <c r="AC299" s="24"/>
      <c r="AD299" s="24"/>
      <c r="AE299" s="24"/>
      <c r="AF299" s="24"/>
      <c r="AG299" s="24"/>
      <c r="AH299" s="24"/>
      <c r="AI299" s="24"/>
      <c r="AJ299" s="24"/>
      <c r="AK299" s="24"/>
      <c r="AL299" s="24"/>
      <c r="AM299" s="24"/>
      <c r="AN299" s="24"/>
      <c r="AO299" s="24"/>
      <c r="AP299" s="24"/>
      <c r="AQ299" s="24"/>
      <c r="AR299" s="24"/>
      <c r="AS299" s="24"/>
      <c r="AT299" s="24"/>
      <c r="AU299" s="24"/>
      <c r="AV299" s="24"/>
      <c r="AW299" s="24"/>
      <c r="AX299" s="24"/>
      <c r="AY299" s="24"/>
      <c r="AZ299" s="24"/>
      <c r="BA299" s="24"/>
      <c r="BB299" s="24"/>
      <c r="BC299" s="24"/>
      <c r="BD299" s="24"/>
      <c r="BE299" s="24"/>
      <c r="BF299" s="24"/>
      <c r="BG299" s="24"/>
      <c r="BH299" s="24"/>
    </row>
    <row r="300" spans="1:60">
      <c r="A300" s="7"/>
      <c r="B300" s="8"/>
      <c r="C300" s="9"/>
      <c r="D300" s="51"/>
      <c r="E300" s="51"/>
      <c r="F300" s="51"/>
      <c r="G300" s="51"/>
      <c r="H300" s="52"/>
      <c r="I300" s="52"/>
      <c r="J300" s="52"/>
      <c r="K300" s="24"/>
      <c r="L300" s="7"/>
      <c r="M300" s="24"/>
      <c r="N300" s="24"/>
      <c r="O300" s="24"/>
      <c r="P300" s="24"/>
      <c r="Q300" s="24"/>
      <c r="R300" s="24"/>
      <c r="S300" s="24"/>
      <c r="T300" s="24"/>
      <c r="U300" s="24"/>
      <c r="V300" s="24"/>
      <c r="W300" s="24"/>
      <c r="X300" s="24"/>
      <c r="Y300" s="24"/>
      <c r="Z300" s="24"/>
      <c r="AA300" s="24"/>
      <c r="AB300" s="24"/>
      <c r="AC300" s="24"/>
      <c r="AD300" s="24"/>
      <c r="AE300" s="24"/>
      <c r="AF300" s="24"/>
      <c r="AG300" s="24"/>
      <c r="AH300" s="24"/>
      <c r="AI300" s="24"/>
      <c r="AJ300" s="24"/>
      <c r="AK300" s="24"/>
      <c r="AL300" s="24"/>
      <c r="AM300" s="24"/>
      <c r="AN300" s="24"/>
      <c r="AO300" s="24"/>
      <c r="AP300" s="24"/>
      <c r="AQ300" s="24"/>
      <c r="AR300" s="24"/>
      <c r="AS300" s="24"/>
      <c r="AT300" s="24"/>
      <c r="AU300" s="24"/>
      <c r="AV300" s="24"/>
      <c r="AW300" s="24"/>
      <c r="AX300" s="24"/>
      <c r="AY300" s="24"/>
      <c r="AZ300" s="24"/>
      <c r="BA300" s="24"/>
      <c r="BB300" s="24"/>
      <c r="BC300" s="24"/>
      <c r="BD300" s="24"/>
      <c r="BE300" s="24"/>
      <c r="BF300" s="24"/>
      <c r="BG300" s="24"/>
      <c r="BH300" s="24"/>
    </row>
    <row r="301" spans="1:60">
      <c r="A301" s="7"/>
      <c r="B301" s="8"/>
      <c r="C301" s="9"/>
      <c r="D301" s="51"/>
      <c r="E301" s="51"/>
      <c r="F301" s="51"/>
      <c r="G301" s="51"/>
      <c r="H301" s="52"/>
      <c r="I301" s="52"/>
      <c r="J301" s="52"/>
      <c r="K301" s="24"/>
      <c r="L301" s="7"/>
      <c r="M301" s="24"/>
      <c r="N301" s="24"/>
      <c r="O301" s="24"/>
      <c r="P301" s="24"/>
      <c r="Q301" s="24"/>
      <c r="R301" s="24"/>
      <c r="S301" s="24"/>
      <c r="T301" s="24"/>
      <c r="U301" s="24"/>
      <c r="V301" s="24"/>
      <c r="W301" s="24"/>
      <c r="X301" s="24"/>
      <c r="Y301" s="24"/>
      <c r="Z301" s="24"/>
      <c r="AA301" s="24"/>
      <c r="AB301" s="24"/>
      <c r="AC301" s="24"/>
      <c r="AD301" s="24"/>
      <c r="AE301" s="24"/>
      <c r="AF301" s="24"/>
      <c r="AG301" s="24"/>
      <c r="AH301" s="24"/>
      <c r="AI301" s="24"/>
      <c r="AJ301" s="24"/>
      <c r="AK301" s="24"/>
      <c r="AL301" s="24"/>
      <c r="AM301" s="24"/>
      <c r="AN301" s="24"/>
      <c r="AO301" s="24"/>
      <c r="AP301" s="24"/>
      <c r="AQ301" s="24"/>
      <c r="AR301" s="24"/>
      <c r="AS301" s="24"/>
      <c r="AT301" s="24"/>
      <c r="AU301" s="24"/>
      <c r="AV301" s="24"/>
      <c r="AW301" s="24"/>
      <c r="AX301" s="24"/>
      <c r="AY301" s="24"/>
      <c r="AZ301" s="24"/>
      <c r="BA301" s="24"/>
      <c r="BB301" s="24"/>
      <c r="BC301" s="24"/>
      <c r="BD301" s="24"/>
      <c r="BE301" s="24"/>
      <c r="BF301" s="24"/>
      <c r="BG301" s="24"/>
      <c r="BH301" s="24"/>
    </row>
    <row r="302" spans="1:60">
      <c r="A302" s="7"/>
      <c r="B302" s="8"/>
      <c r="C302" s="9"/>
      <c r="D302" s="51"/>
      <c r="E302" s="51"/>
      <c r="F302" s="51"/>
      <c r="G302" s="51"/>
      <c r="H302" s="52"/>
      <c r="I302" s="52"/>
      <c r="J302" s="52"/>
      <c r="K302" s="24"/>
      <c r="L302" s="7"/>
      <c r="M302" s="24"/>
      <c r="N302" s="24"/>
      <c r="O302" s="24"/>
      <c r="P302" s="24"/>
      <c r="Q302" s="24"/>
      <c r="R302" s="24"/>
      <c r="S302" s="24"/>
      <c r="T302" s="24"/>
      <c r="U302" s="24"/>
      <c r="V302" s="24"/>
      <c r="W302" s="24"/>
      <c r="X302" s="24"/>
      <c r="Y302" s="24"/>
      <c r="Z302" s="24"/>
      <c r="AA302" s="24"/>
      <c r="AB302" s="24"/>
      <c r="AC302" s="24"/>
      <c r="AD302" s="24"/>
      <c r="AE302" s="24"/>
      <c r="AF302" s="24"/>
      <c r="AG302" s="24"/>
      <c r="AH302" s="24"/>
      <c r="AI302" s="24"/>
      <c r="AJ302" s="24"/>
      <c r="AK302" s="24"/>
      <c r="AL302" s="24"/>
      <c r="AM302" s="24"/>
      <c r="AN302" s="24"/>
      <c r="AO302" s="24"/>
      <c r="AP302" s="24"/>
      <c r="AQ302" s="24"/>
      <c r="AR302" s="24"/>
      <c r="AS302" s="24"/>
      <c r="AT302" s="24"/>
      <c r="AU302" s="24"/>
      <c r="AV302" s="24"/>
      <c r="AW302" s="24"/>
      <c r="AX302" s="24"/>
      <c r="AY302" s="24"/>
      <c r="AZ302" s="24"/>
      <c r="BA302" s="24"/>
      <c r="BB302" s="24"/>
      <c r="BC302" s="24"/>
      <c r="BD302" s="24"/>
      <c r="BE302" s="24"/>
      <c r="BF302" s="24"/>
      <c r="BG302" s="24"/>
      <c r="BH302" s="24"/>
    </row>
    <row r="303" spans="1:60">
      <c r="A303" s="7"/>
      <c r="B303" s="8"/>
      <c r="C303" s="9"/>
      <c r="D303" s="51"/>
      <c r="E303" s="51"/>
      <c r="F303" s="51"/>
      <c r="G303" s="51"/>
      <c r="H303" s="52"/>
      <c r="I303" s="52"/>
      <c r="J303" s="52"/>
      <c r="K303" s="24"/>
      <c r="L303" s="7"/>
      <c r="M303" s="24"/>
      <c r="N303" s="24"/>
      <c r="O303" s="24"/>
      <c r="P303" s="24"/>
      <c r="Q303" s="24"/>
      <c r="R303" s="24"/>
      <c r="S303" s="24"/>
      <c r="T303" s="24"/>
      <c r="U303" s="24"/>
      <c r="V303" s="24"/>
      <c r="W303" s="24"/>
      <c r="X303" s="24"/>
      <c r="Y303" s="24"/>
      <c r="Z303" s="24"/>
      <c r="AA303" s="24"/>
      <c r="AB303" s="24"/>
      <c r="AC303" s="24"/>
      <c r="AD303" s="24"/>
      <c r="AE303" s="24"/>
      <c r="AF303" s="24"/>
      <c r="AG303" s="24"/>
      <c r="AH303" s="24"/>
      <c r="AI303" s="24"/>
      <c r="AJ303" s="24"/>
      <c r="AK303" s="24"/>
      <c r="AL303" s="24"/>
      <c r="AM303" s="24"/>
      <c r="AN303" s="24"/>
      <c r="AO303" s="24"/>
      <c r="AP303" s="24"/>
      <c r="AQ303" s="24"/>
      <c r="AR303" s="24"/>
      <c r="AS303" s="24"/>
      <c r="AT303" s="24"/>
      <c r="AU303" s="24"/>
      <c r="AV303" s="24"/>
      <c r="AW303" s="24"/>
      <c r="AX303" s="24"/>
      <c r="AY303" s="24"/>
      <c r="AZ303" s="24"/>
      <c r="BA303" s="24"/>
      <c r="BB303" s="24"/>
      <c r="BC303" s="24"/>
      <c r="BD303" s="24"/>
      <c r="BE303" s="24"/>
      <c r="BF303" s="24"/>
      <c r="BG303" s="24"/>
      <c r="BH303" s="24"/>
    </row>
    <row r="304" spans="1:60">
      <c r="A304" s="7"/>
      <c r="B304" s="8"/>
      <c r="C304" s="9"/>
      <c r="D304" s="51"/>
      <c r="E304" s="51"/>
      <c r="F304" s="51"/>
      <c r="G304" s="51"/>
      <c r="H304" s="52"/>
      <c r="I304" s="52"/>
      <c r="J304" s="52"/>
      <c r="K304" s="24"/>
      <c r="L304" s="7"/>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4"/>
      <c r="AK304" s="24"/>
      <c r="AL304" s="24"/>
      <c r="AM304" s="24"/>
      <c r="AN304" s="24"/>
      <c r="AO304" s="24"/>
      <c r="AP304" s="24"/>
      <c r="AQ304" s="24"/>
      <c r="AR304" s="24"/>
      <c r="AS304" s="24"/>
      <c r="AT304" s="24"/>
      <c r="AU304" s="24"/>
      <c r="AV304" s="24"/>
      <c r="AW304" s="24"/>
      <c r="AX304" s="24"/>
      <c r="AY304" s="24"/>
      <c r="AZ304" s="24"/>
      <c r="BA304" s="24"/>
      <c r="BB304" s="24"/>
      <c r="BC304" s="24"/>
      <c r="BD304" s="24"/>
      <c r="BE304" s="24"/>
      <c r="BF304" s="24"/>
      <c r="BG304" s="24"/>
      <c r="BH304" s="24"/>
    </row>
    <row r="305" spans="1:60">
      <c r="A305" s="7"/>
      <c r="B305" s="8"/>
      <c r="C305" s="9"/>
      <c r="D305" s="51"/>
      <c r="E305" s="51"/>
      <c r="F305" s="51"/>
      <c r="G305" s="51"/>
      <c r="H305" s="52"/>
      <c r="I305" s="52"/>
      <c r="J305" s="52"/>
      <c r="K305" s="24"/>
      <c r="L305" s="7"/>
      <c r="M305" s="24"/>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24"/>
      <c r="BE305" s="24"/>
      <c r="BF305" s="24"/>
      <c r="BG305" s="24"/>
      <c r="BH305" s="24"/>
    </row>
    <row r="306" spans="1:60">
      <c r="A306" s="7"/>
      <c r="B306" s="8"/>
      <c r="C306" s="9"/>
      <c r="D306" s="51"/>
      <c r="E306" s="51"/>
      <c r="F306" s="51"/>
      <c r="G306" s="51"/>
      <c r="H306" s="52"/>
      <c r="I306" s="52"/>
      <c r="J306" s="52"/>
      <c r="K306" s="24"/>
      <c r="L306" s="7"/>
      <c r="M306" s="24"/>
      <c r="N306" s="24"/>
      <c r="O306" s="24"/>
      <c r="P306" s="24"/>
      <c r="Q306" s="24"/>
      <c r="R306" s="24"/>
      <c r="S306" s="24"/>
      <c r="T306" s="24"/>
      <c r="U306" s="24"/>
      <c r="V306" s="24"/>
      <c r="W306" s="24"/>
      <c r="X306" s="24"/>
      <c r="Y306" s="24"/>
      <c r="Z306" s="24"/>
      <c r="AA306" s="24"/>
      <c r="AB306" s="24"/>
      <c r="AC306" s="24"/>
      <c r="AD306" s="24"/>
      <c r="AE306" s="24"/>
      <c r="AF306" s="24"/>
      <c r="AG306" s="24"/>
      <c r="AH306" s="24"/>
      <c r="AI306" s="24"/>
      <c r="AJ306" s="24"/>
      <c r="AK306" s="24"/>
      <c r="AL306" s="24"/>
      <c r="AM306" s="24"/>
      <c r="AN306" s="24"/>
      <c r="AO306" s="24"/>
      <c r="AP306" s="24"/>
      <c r="AQ306" s="24"/>
      <c r="AR306" s="24"/>
      <c r="AS306" s="24"/>
      <c r="AT306" s="24"/>
      <c r="AU306" s="24"/>
      <c r="AV306" s="24"/>
      <c r="AW306" s="24"/>
      <c r="AX306" s="24"/>
      <c r="AY306" s="24"/>
      <c r="AZ306" s="24"/>
      <c r="BA306" s="24"/>
      <c r="BB306" s="24"/>
      <c r="BC306" s="24"/>
      <c r="BD306" s="24"/>
      <c r="BE306" s="24"/>
      <c r="BF306" s="24"/>
      <c r="BG306" s="24"/>
      <c r="BH306" s="24"/>
    </row>
    <row r="307" spans="1:60">
      <c r="A307" s="7"/>
      <c r="B307" s="8"/>
      <c r="C307" s="9"/>
      <c r="D307" s="51"/>
      <c r="E307" s="51"/>
      <c r="F307" s="51"/>
      <c r="G307" s="51"/>
      <c r="H307" s="52"/>
      <c r="I307" s="52"/>
      <c r="J307" s="52"/>
      <c r="K307" s="24"/>
      <c r="L307" s="7"/>
      <c r="M307" s="24"/>
      <c r="N307" s="24"/>
      <c r="O307" s="24"/>
      <c r="P307" s="24"/>
      <c r="Q307" s="24"/>
      <c r="R307" s="24"/>
      <c r="S307" s="24"/>
      <c r="T307" s="24"/>
      <c r="U307" s="24"/>
      <c r="V307" s="24"/>
      <c r="W307" s="24"/>
      <c r="X307" s="24"/>
      <c r="Y307" s="24"/>
      <c r="Z307" s="24"/>
      <c r="AA307" s="24"/>
      <c r="AB307" s="24"/>
      <c r="AC307" s="24"/>
      <c r="AD307" s="24"/>
      <c r="AE307" s="24"/>
      <c r="AF307" s="24"/>
      <c r="AG307" s="24"/>
      <c r="AH307" s="24"/>
      <c r="AI307" s="24"/>
      <c r="AJ307" s="24"/>
      <c r="AK307" s="24"/>
      <c r="AL307" s="24"/>
      <c r="AM307" s="24"/>
      <c r="AN307" s="24"/>
      <c r="AO307" s="24"/>
      <c r="AP307" s="24"/>
      <c r="AQ307" s="24"/>
      <c r="AR307" s="24"/>
      <c r="AS307" s="24"/>
      <c r="AT307" s="24"/>
      <c r="AU307" s="24"/>
      <c r="AV307" s="24"/>
      <c r="AW307" s="24"/>
      <c r="AX307" s="24"/>
      <c r="AY307" s="24"/>
      <c r="AZ307" s="24"/>
      <c r="BA307" s="24"/>
      <c r="BB307" s="24"/>
      <c r="BC307" s="24"/>
      <c r="BD307" s="24"/>
      <c r="BE307" s="24"/>
      <c r="BF307" s="24"/>
      <c r="BG307" s="24"/>
      <c r="BH307" s="24"/>
    </row>
    <row r="308" spans="1:60">
      <c r="A308" s="7"/>
      <c r="B308" s="8"/>
      <c r="C308" s="9"/>
      <c r="D308" s="51"/>
      <c r="E308" s="51"/>
      <c r="F308" s="51"/>
      <c r="G308" s="51"/>
      <c r="H308" s="52"/>
      <c r="I308" s="52"/>
      <c r="J308" s="52"/>
      <c r="K308" s="24"/>
      <c r="L308" s="7"/>
      <c r="M308" s="24"/>
      <c r="N308" s="24"/>
      <c r="O308" s="24"/>
      <c r="P308" s="24"/>
      <c r="Q308" s="24"/>
      <c r="R308" s="24"/>
      <c r="S308" s="24"/>
      <c r="T308" s="24"/>
      <c r="U308" s="24"/>
      <c r="V308" s="24"/>
      <c r="W308" s="24"/>
      <c r="X308" s="24"/>
      <c r="Y308" s="24"/>
      <c r="Z308" s="24"/>
      <c r="AA308" s="24"/>
      <c r="AB308" s="24"/>
      <c r="AC308" s="24"/>
      <c r="AD308" s="24"/>
      <c r="AE308" s="24"/>
      <c r="AF308" s="24"/>
      <c r="AG308" s="24"/>
      <c r="AH308" s="24"/>
      <c r="AI308" s="24"/>
      <c r="AJ308" s="24"/>
      <c r="AK308" s="24"/>
      <c r="AL308" s="24"/>
      <c r="AM308" s="24"/>
      <c r="AN308" s="24"/>
      <c r="AO308" s="24"/>
      <c r="AP308" s="24"/>
      <c r="AQ308" s="24"/>
      <c r="AR308" s="24"/>
      <c r="AS308" s="24"/>
      <c r="AT308" s="24"/>
      <c r="AU308" s="24"/>
      <c r="AV308" s="24"/>
      <c r="AW308" s="24"/>
      <c r="AX308" s="24"/>
      <c r="AY308" s="24"/>
      <c r="AZ308" s="24"/>
      <c r="BA308" s="24"/>
      <c r="BB308" s="24"/>
      <c r="BC308" s="24"/>
      <c r="BD308" s="24"/>
      <c r="BE308" s="24"/>
      <c r="BF308" s="24"/>
      <c r="BG308" s="24"/>
      <c r="BH308" s="24"/>
    </row>
    <row r="309" spans="1:60">
      <c r="A309" s="7"/>
      <c r="B309" s="8"/>
      <c r="C309" s="9"/>
      <c r="D309" s="51"/>
      <c r="E309" s="51"/>
      <c r="F309" s="51"/>
      <c r="G309" s="51"/>
      <c r="H309" s="52"/>
      <c r="I309" s="52"/>
      <c r="J309" s="52"/>
      <c r="K309" s="24"/>
      <c r="L309" s="7"/>
      <c r="M309" s="24"/>
      <c r="N309" s="24"/>
      <c r="O309" s="24"/>
      <c r="P309" s="24"/>
      <c r="Q309" s="24"/>
      <c r="R309" s="24"/>
      <c r="S309" s="24"/>
      <c r="T309" s="24"/>
      <c r="U309" s="24"/>
      <c r="V309" s="24"/>
      <c r="W309" s="24"/>
      <c r="X309" s="24"/>
      <c r="Y309" s="24"/>
      <c r="Z309" s="24"/>
      <c r="AA309" s="24"/>
      <c r="AB309" s="24"/>
      <c r="AC309" s="24"/>
      <c r="AD309" s="24"/>
      <c r="AE309" s="24"/>
      <c r="AF309" s="24"/>
      <c r="AG309" s="24"/>
      <c r="AH309" s="24"/>
      <c r="AI309" s="24"/>
      <c r="AJ309" s="24"/>
      <c r="AK309" s="24"/>
      <c r="AL309" s="24"/>
      <c r="AM309" s="24"/>
      <c r="AN309" s="24"/>
      <c r="AO309" s="24"/>
      <c r="AP309" s="24"/>
      <c r="AQ309" s="24"/>
      <c r="AR309" s="24"/>
      <c r="AS309" s="24"/>
      <c r="AT309" s="24"/>
      <c r="AU309" s="24"/>
      <c r="AV309" s="24"/>
      <c r="AW309" s="24"/>
      <c r="AX309" s="24"/>
      <c r="AY309" s="24"/>
      <c r="AZ309" s="24"/>
      <c r="BA309" s="24"/>
      <c r="BB309" s="24"/>
      <c r="BC309" s="24"/>
      <c r="BD309" s="24"/>
      <c r="BE309" s="24"/>
      <c r="BF309" s="24"/>
      <c r="BG309" s="24"/>
      <c r="BH309" s="24"/>
    </row>
    <row r="310" spans="1:60">
      <c r="A310" s="7"/>
      <c r="B310" s="8"/>
      <c r="C310" s="9"/>
      <c r="D310" s="51"/>
      <c r="E310" s="51"/>
      <c r="F310" s="51"/>
      <c r="G310" s="51"/>
      <c r="H310" s="52"/>
      <c r="I310" s="52"/>
      <c r="J310" s="52"/>
      <c r="K310" s="24"/>
      <c r="L310" s="7"/>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4"/>
      <c r="AK310" s="24"/>
      <c r="AL310" s="24"/>
      <c r="AM310" s="24"/>
      <c r="AN310" s="24"/>
      <c r="AO310" s="24"/>
      <c r="AP310" s="24"/>
      <c r="AQ310" s="24"/>
      <c r="AR310" s="24"/>
      <c r="AS310" s="24"/>
      <c r="AT310" s="24"/>
      <c r="AU310" s="24"/>
      <c r="AV310" s="24"/>
      <c r="AW310" s="24"/>
      <c r="AX310" s="24"/>
      <c r="AY310" s="24"/>
      <c r="AZ310" s="24"/>
      <c r="BA310" s="24"/>
      <c r="BB310" s="24"/>
      <c r="BC310" s="24"/>
      <c r="BD310" s="24"/>
      <c r="BE310" s="24"/>
      <c r="BF310" s="24"/>
      <c r="BG310" s="24"/>
      <c r="BH310" s="24"/>
    </row>
    <row r="311" spans="1:60">
      <c r="A311" s="7"/>
      <c r="B311" s="8"/>
      <c r="C311" s="9"/>
      <c r="D311" s="51"/>
      <c r="E311" s="51"/>
      <c r="F311" s="51"/>
      <c r="G311" s="51"/>
      <c r="H311" s="52"/>
      <c r="I311" s="52"/>
      <c r="J311" s="52"/>
      <c r="K311" s="24"/>
      <c r="L311" s="7"/>
      <c r="M311" s="24"/>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c r="AT311" s="24"/>
      <c r="AU311" s="24"/>
      <c r="AV311" s="24"/>
      <c r="AW311" s="24"/>
      <c r="AX311" s="24"/>
      <c r="AY311" s="24"/>
      <c r="AZ311" s="24"/>
      <c r="BA311" s="24"/>
      <c r="BB311" s="24"/>
      <c r="BC311" s="24"/>
      <c r="BD311" s="24"/>
      <c r="BE311" s="24"/>
      <c r="BF311" s="24"/>
      <c r="BG311" s="24"/>
      <c r="BH311" s="24"/>
    </row>
    <row r="312" spans="1:60">
      <c r="A312" s="7"/>
      <c r="B312" s="8"/>
      <c r="C312" s="9"/>
      <c r="D312" s="51"/>
      <c r="E312" s="51"/>
      <c r="F312" s="51"/>
      <c r="G312" s="51"/>
      <c r="H312" s="52"/>
      <c r="I312" s="52"/>
      <c r="J312" s="52"/>
      <c r="K312" s="24"/>
      <c r="L312" s="7"/>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24"/>
      <c r="AX312" s="24"/>
      <c r="AY312" s="24"/>
      <c r="AZ312" s="24"/>
      <c r="BA312" s="24"/>
      <c r="BB312" s="24"/>
      <c r="BC312" s="24"/>
      <c r="BD312" s="24"/>
      <c r="BE312" s="24"/>
      <c r="BF312" s="24"/>
      <c r="BG312" s="24"/>
      <c r="BH312" s="24"/>
    </row>
    <row r="313" spans="1:60">
      <c r="A313" s="7"/>
      <c r="B313" s="8"/>
      <c r="C313" s="9"/>
      <c r="D313" s="51"/>
      <c r="E313" s="51"/>
      <c r="F313" s="51"/>
      <c r="G313" s="51"/>
      <c r="H313" s="52"/>
      <c r="I313" s="52"/>
      <c r="J313" s="52"/>
      <c r="K313" s="24"/>
      <c r="L313" s="7"/>
      <c r="M313" s="24"/>
      <c r="N313" s="24"/>
      <c r="O313" s="24"/>
      <c r="P313" s="24"/>
      <c r="Q313" s="24"/>
      <c r="R313" s="24"/>
      <c r="S313" s="24"/>
      <c r="T313" s="24"/>
      <c r="U313" s="24"/>
      <c r="V313" s="24"/>
      <c r="W313" s="24"/>
      <c r="X313" s="24"/>
      <c r="Y313" s="24"/>
      <c r="Z313" s="24"/>
      <c r="AA313" s="24"/>
      <c r="AB313" s="24"/>
      <c r="AC313" s="24"/>
      <c r="AD313" s="24"/>
      <c r="AE313" s="24"/>
      <c r="AF313" s="24"/>
      <c r="AG313" s="24"/>
      <c r="AH313" s="24"/>
      <c r="AI313" s="24"/>
      <c r="AJ313" s="24"/>
      <c r="AK313" s="24"/>
      <c r="AL313" s="24"/>
      <c r="AM313" s="24"/>
      <c r="AN313" s="24"/>
      <c r="AO313" s="24"/>
      <c r="AP313" s="24"/>
      <c r="AQ313" s="24"/>
      <c r="AR313" s="24"/>
      <c r="AS313" s="24"/>
      <c r="AT313" s="24"/>
      <c r="AU313" s="24"/>
      <c r="AV313" s="24"/>
      <c r="AW313" s="24"/>
      <c r="AX313" s="24"/>
      <c r="AY313" s="24"/>
      <c r="AZ313" s="24"/>
      <c r="BA313" s="24"/>
      <c r="BB313" s="24"/>
      <c r="BC313" s="24"/>
      <c r="BD313" s="24"/>
      <c r="BE313" s="24"/>
      <c r="BF313" s="24"/>
      <c r="BG313" s="24"/>
      <c r="BH313" s="24"/>
    </row>
    <row r="314" spans="1:60">
      <c r="A314" s="7"/>
      <c r="B314" s="8"/>
      <c r="C314" s="9"/>
      <c r="D314" s="51"/>
      <c r="E314" s="51"/>
      <c r="F314" s="51"/>
      <c r="G314" s="51"/>
      <c r="H314" s="52"/>
      <c r="I314" s="52"/>
      <c r="J314" s="52"/>
      <c r="K314" s="24"/>
      <c r="L314" s="7"/>
      <c r="M314" s="24"/>
      <c r="N314" s="24"/>
      <c r="O314" s="24"/>
      <c r="P314" s="24"/>
      <c r="Q314" s="24"/>
      <c r="R314" s="24"/>
      <c r="S314" s="24"/>
      <c r="T314" s="24"/>
      <c r="U314" s="24"/>
      <c r="V314" s="24"/>
      <c r="W314" s="24"/>
      <c r="X314" s="24"/>
      <c r="Y314" s="24"/>
      <c r="Z314" s="24"/>
      <c r="AA314" s="24"/>
      <c r="AB314" s="24"/>
      <c r="AC314" s="24"/>
      <c r="AD314" s="24"/>
      <c r="AE314" s="24"/>
      <c r="AF314" s="24"/>
      <c r="AG314" s="24"/>
      <c r="AH314" s="24"/>
      <c r="AI314" s="24"/>
      <c r="AJ314" s="24"/>
      <c r="AK314" s="24"/>
      <c r="AL314" s="24"/>
      <c r="AM314" s="24"/>
      <c r="AN314" s="24"/>
      <c r="AO314" s="24"/>
      <c r="AP314" s="24"/>
      <c r="AQ314" s="24"/>
      <c r="AR314" s="24"/>
      <c r="AS314" s="24"/>
      <c r="AT314" s="24"/>
      <c r="AU314" s="24"/>
      <c r="AV314" s="24"/>
      <c r="AW314" s="24"/>
      <c r="AX314" s="24"/>
      <c r="AY314" s="24"/>
      <c r="AZ314" s="24"/>
      <c r="BA314" s="24"/>
      <c r="BB314" s="24"/>
      <c r="BC314" s="24"/>
      <c r="BD314" s="24"/>
      <c r="BE314" s="24"/>
      <c r="BF314" s="24"/>
      <c r="BG314" s="24"/>
      <c r="BH314" s="24"/>
    </row>
    <row r="315" spans="1:60">
      <c r="A315" s="7"/>
      <c r="B315" s="8"/>
      <c r="C315" s="9"/>
      <c r="D315" s="51"/>
      <c r="E315" s="51"/>
      <c r="F315" s="51"/>
      <c r="G315" s="51"/>
      <c r="H315" s="52"/>
      <c r="I315" s="52"/>
      <c r="J315" s="52"/>
      <c r="K315" s="24"/>
      <c r="L315" s="7"/>
      <c r="M315" s="24"/>
      <c r="N315" s="24"/>
      <c r="O315" s="24"/>
      <c r="P315" s="24"/>
      <c r="Q315" s="24"/>
      <c r="R315" s="24"/>
      <c r="S315" s="24"/>
      <c r="T315" s="24"/>
      <c r="U315" s="24"/>
      <c r="V315" s="24"/>
      <c r="W315" s="24"/>
      <c r="X315" s="24"/>
      <c r="Y315" s="24"/>
      <c r="Z315" s="24"/>
      <c r="AA315" s="24"/>
      <c r="AB315" s="24"/>
      <c r="AC315" s="24"/>
      <c r="AD315" s="24"/>
      <c r="AE315" s="24"/>
      <c r="AF315" s="24"/>
      <c r="AG315" s="24"/>
      <c r="AH315" s="24"/>
      <c r="AI315" s="24"/>
      <c r="AJ315" s="24"/>
      <c r="AK315" s="24"/>
      <c r="AL315" s="24"/>
      <c r="AM315" s="24"/>
      <c r="AN315" s="24"/>
      <c r="AO315" s="24"/>
      <c r="AP315" s="24"/>
      <c r="AQ315" s="24"/>
      <c r="AR315" s="24"/>
      <c r="AS315" s="24"/>
      <c r="AT315" s="24"/>
      <c r="AU315" s="24"/>
      <c r="AV315" s="24"/>
      <c r="AW315" s="24"/>
      <c r="AX315" s="24"/>
      <c r="AY315" s="24"/>
      <c r="AZ315" s="24"/>
      <c r="BA315" s="24"/>
      <c r="BB315" s="24"/>
      <c r="BC315" s="24"/>
      <c r="BD315" s="24"/>
      <c r="BE315" s="24"/>
      <c r="BF315" s="24"/>
      <c r="BG315" s="24"/>
      <c r="BH315" s="24"/>
    </row>
    <row r="316" spans="1:60">
      <c r="A316" s="7"/>
      <c r="B316" s="8"/>
      <c r="C316" s="9"/>
      <c r="D316" s="51"/>
      <c r="E316" s="51"/>
      <c r="F316" s="51"/>
      <c r="G316" s="51"/>
      <c r="H316" s="52"/>
      <c r="I316" s="52"/>
      <c r="J316" s="52"/>
      <c r="K316" s="24"/>
      <c r="L316" s="7"/>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4"/>
      <c r="BF316" s="24"/>
      <c r="BG316" s="24"/>
      <c r="BH316" s="24"/>
    </row>
    <row r="317" spans="1:60">
      <c r="A317" s="7"/>
      <c r="B317" s="8"/>
      <c r="C317" s="9"/>
      <c r="D317" s="51"/>
      <c r="E317" s="51"/>
      <c r="F317" s="51"/>
      <c r="G317" s="51"/>
      <c r="H317" s="52"/>
      <c r="I317" s="52"/>
      <c r="J317" s="52"/>
      <c r="K317" s="24"/>
      <c r="L317" s="7"/>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24"/>
      <c r="BB317" s="24"/>
      <c r="BC317" s="24"/>
      <c r="BD317" s="24"/>
      <c r="BE317" s="24"/>
      <c r="BF317" s="24"/>
      <c r="BG317" s="24"/>
      <c r="BH317" s="24"/>
    </row>
    <row r="318" spans="1:60">
      <c r="A318" s="7"/>
      <c r="B318" s="8"/>
      <c r="C318" s="9"/>
      <c r="D318" s="51"/>
      <c r="E318" s="51"/>
      <c r="F318" s="51"/>
      <c r="G318" s="51"/>
      <c r="H318" s="52"/>
      <c r="I318" s="52"/>
      <c r="J318" s="52"/>
      <c r="K318" s="24"/>
      <c r="L318" s="7"/>
      <c r="M318" s="24"/>
      <c r="N318" s="24"/>
      <c r="O318" s="24"/>
      <c r="P318" s="24"/>
      <c r="Q318" s="24"/>
      <c r="R318" s="24"/>
      <c r="S318" s="24"/>
      <c r="T318" s="24"/>
      <c r="U318" s="24"/>
      <c r="V318" s="24"/>
      <c r="W318" s="24"/>
      <c r="X318" s="24"/>
      <c r="Y318" s="24"/>
      <c r="Z318" s="24"/>
      <c r="AA318" s="24"/>
      <c r="AB318" s="24"/>
      <c r="AC318" s="24"/>
      <c r="AD318" s="24"/>
      <c r="AE318" s="24"/>
      <c r="AF318" s="24"/>
      <c r="AG318" s="24"/>
      <c r="AH318" s="24"/>
      <c r="AI318" s="24"/>
      <c r="AJ318" s="24"/>
      <c r="AK318" s="24"/>
      <c r="AL318" s="24"/>
      <c r="AM318" s="24"/>
      <c r="AN318" s="24"/>
      <c r="AO318" s="24"/>
      <c r="AP318" s="24"/>
      <c r="AQ318" s="24"/>
      <c r="AR318" s="24"/>
      <c r="AS318" s="24"/>
      <c r="AT318" s="24"/>
      <c r="AU318" s="24"/>
      <c r="AV318" s="24"/>
      <c r="AW318" s="24"/>
      <c r="AX318" s="24"/>
      <c r="AY318" s="24"/>
      <c r="AZ318" s="24"/>
      <c r="BA318" s="24"/>
      <c r="BB318" s="24"/>
      <c r="BC318" s="24"/>
      <c r="BD318" s="24"/>
      <c r="BE318" s="24"/>
      <c r="BF318" s="24"/>
      <c r="BG318" s="24"/>
      <c r="BH318" s="24"/>
    </row>
    <row r="319" spans="1:60">
      <c r="A319" s="7"/>
      <c r="B319" s="8"/>
      <c r="C319" s="9"/>
      <c r="D319" s="51"/>
      <c r="E319" s="51"/>
      <c r="F319" s="51"/>
      <c r="G319" s="51"/>
      <c r="H319" s="52"/>
      <c r="I319" s="52"/>
      <c r="J319" s="52"/>
      <c r="K319" s="24"/>
      <c r="L319" s="7"/>
      <c r="M319" s="24"/>
      <c r="N319" s="24"/>
      <c r="O319" s="24"/>
      <c r="P319" s="24"/>
      <c r="Q319" s="24"/>
      <c r="R319" s="24"/>
      <c r="S319" s="24"/>
      <c r="T319" s="24"/>
      <c r="U319" s="24"/>
      <c r="V319" s="24"/>
      <c r="W319" s="24"/>
      <c r="X319" s="24"/>
      <c r="Y319" s="24"/>
      <c r="Z319" s="24"/>
      <c r="AA319" s="24"/>
      <c r="AB319" s="24"/>
      <c r="AC319" s="24"/>
      <c r="AD319" s="24"/>
      <c r="AE319" s="24"/>
      <c r="AF319" s="24"/>
      <c r="AG319" s="24"/>
      <c r="AH319" s="24"/>
      <c r="AI319" s="24"/>
      <c r="AJ319" s="24"/>
      <c r="AK319" s="24"/>
      <c r="AL319" s="24"/>
      <c r="AM319" s="24"/>
      <c r="AN319" s="24"/>
      <c r="AO319" s="24"/>
      <c r="AP319" s="24"/>
      <c r="AQ319" s="24"/>
      <c r="AR319" s="24"/>
      <c r="AS319" s="24"/>
      <c r="AT319" s="24"/>
      <c r="AU319" s="24"/>
      <c r="AV319" s="24"/>
      <c r="AW319" s="24"/>
      <c r="AX319" s="24"/>
      <c r="AY319" s="24"/>
      <c r="AZ319" s="24"/>
      <c r="BA319" s="24"/>
      <c r="BB319" s="24"/>
      <c r="BC319" s="24"/>
      <c r="BD319" s="24"/>
      <c r="BE319" s="24"/>
      <c r="BF319" s="24"/>
      <c r="BG319" s="24"/>
      <c r="BH319" s="24"/>
    </row>
    <row r="320" spans="1:60">
      <c r="A320" s="7"/>
      <c r="B320" s="8"/>
      <c r="C320" s="9"/>
      <c r="D320" s="51"/>
      <c r="E320" s="51"/>
      <c r="F320" s="51"/>
      <c r="G320" s="51"/>
      <c r="H320" s="52"/>
      <c r="I320" s="52"/>
      <c r="J320" s="52"/>
      <c r="K320" s="24"/>
      <c r="L320" s="7"/>
      <c r="M320" s="24"/>
      <c r="N320" s="24"/>
      <c r="O320" s="24"/>
      <c r="P320" s="24"/>
      <c r="Q320" s="24"/>
      <c r="R320" s="24"/>
      <c r="S320" s="24"/>
      <c r="T320" s="24"/>
      <c r="U320" s="24"/>
      <c r="V320" s="24"/>
      <c r="W320" s="24"/>
      <c r="X320" s="24"/>
      <c r="Y320" s="24"/>
      <c r="Z320" s="24"/>
      <c r="AA320" s="24"/>
      <c r="AB320" s="24"/>
      <c r="AC320" s="24"/>
      <c r="AD320" s="24"/>
      <c r="AE320" s="24"/>
      <c r="AF320" s="24"/>
      <c r="AG320" s="24"/>
      <c r="AH320" s="24"/>
      <c r="AI320" s="24"/>
      <c r="AJ320" s="24"/>
      <c r="AK320" s="24"/>
      <c r="AL320" s="24"/>
      <c r="AM320" s="24"/>
      <c r="AN320" s="24"/>
      <c r="AO320" s="24"/>
      <c r="AP320" s="24"/>
      <c r="AQ320" s="24"/>
      <c r="AR320" s="24"/>
      <c r="AS320" s="24"/>
      <c r="AT320" s="24"/>
      <c r="AU320" s="24"/>
      <c r="AV320" s="24"/>
      <c r="AW320" s="24"/>
      <c r="AX320" s="24"/>
      <c r="AY320" s="24"/>
      <c r="AZ320" s="24"/>
      <c r="BA320" s="24"/>
      <c r="BB320" s="24"/>
      <c r="BC320" s="24"/>
      <c r="BD320" s="24"/>
      <c r="BE320" s="24"/>
      <c r="BF320" s="24"/>
      <c r="BG320" s="24"/>
      <c r="BH320" s="24"/>
    </row>
    <row r="321" spans="1:60">
      <c r="A321" s="7"/>
      <c r="B321" s="8"/>
      <c r="C321" s="9"/>
      <c r="D321" s="51"/>
      <c r="E321" s="51"/>
      <c r="F321" s="51"/>
      <c r="G321" s="51"/>
      <c r="H321" s="52"/>
      <c r="I321" s="52"/>
      <c r="J321" s="52"/>
      <c r="K321" s="24"/>
      <c r="L321" s="7"/>
      <c r="M321" s="24"/>
      <c r="N321" s="24"/>
      <c r="O321" s="24"/>
      <c r="P321" s="24"/>
      <c r="Q321" s="24"/>
      <c r="R321" s="24"/>
      <c r="S321" s="24"/>
      <c r="T321" s="24"/>
      <c r="U321" s="24"/>
      <c r="V321" s="24"/>
      <c r="W321" s="24"/>
      <c r="X321" s="24"/>
      <c r="Y321" s="24"/>
      <c r="Z321" s="24"/>
      <c r="AA321" s="24"/>
      <c r="AB321" s="24"/>
      <c r="AC321" s="24"/>
      <c r="AD321" s="24"/>
      <c r="AE321" s="24"/>
      <c r="AF321" s="24"/>
      <c r="AG321" s="24"/>
      <c r="AH321" s="24"/>
      <c r="AI321" s="24"/>
      <c r="AJ321" s="24"/>
      <c r="AK321" s="24"/>
      <c r="AL321" s="24"/>
      <c r="AM321" s="24"/>
      <c r="AN321" s="24"/>
      <c r="AO321" s="24"/>
      <c r="AP321" s="24"/>
      <c r="AQ321" s="24"/>
      <c r="AR321" s="24"/>
      <c r="AS321" s="24"/>
      <c r="AT321" s="24"/>
      <c r="AU321" s="24"/>
      <c r="AV321" s="24"/>
      <c r="AW321" s="24"/>
      <c r="AX321" s="24"/>
      <c r="AY321" s="24"/>
      <c r="AZ321" s="24"/>
      <c r="BA321" s="24"/>
      <c r="BB321" s="24"/>
      <c r="BC321" s="24"/>
      <c r="BD321" s="24"/>
      <c r="BE321" s="24"/>
      <c r="BF321" s="24"/>
      <c r="BG321" s="24"/>
      <c r="BH321" s="24"/>
    </row>
    <row r="322" spans="1:60">
      <c r="A322" s="7"/>
      <c r="B322" s="8"/>
      <c r="C322" s="9"/>
      <c r="D322" s="51"/>
      <c r="E322" s="51"/>
      <c r="F322" s="51"/>
      <c r="G322" s="51"/>
      <c r="H322" s="52"/>
      <c r="I322" s="52"/>
      <c r="J322" s="52"/>
      <c r="K322" s="24"/>
      <c r="L322" s="7"/>
      <c r="M322" s="24"/>
      <c r="N322" s="24"/>
      <c r="O322" s="24"/>
      <c r="P322" s="24"/>
      <c r="Q322" s="24"/>
      <c r="R322" s="24"/>
      <c r="S322" s="24"/>
      <c r="T322" s="24"/>
      <c r="U322" s="24"/>
      <c r="V322" s="24"/>
      <c r="W322" s="24"/>
      <c r="X322" s="24"/>
      <c r="Y322" s="24"/>
      <c r="Z322" s="24"/>
      <c r="AA322" s="24"/>
      <c r="AB322" s="24"/>
      <c r="AC322" s="24"/>
      <c r="AD322" s="24"/>
      <c r="AE322" s="24"/>
      <c r="AF322" s="24"/>
      <c r="AG322" s="24"/>
      <c r="AH322" s="24"/>
      <c r="AI322" s="24"/>
      <c r="AJ322" s="24"/>
      <c r="AK322" s="24"/>
      <c r="AL322" s="24"/>
      <c r="AM322" s="24"/>
      <c r="AN322" s="24"/>
      <c r="AO322" s="24"/>
      <c r="AP322" s="24"/>
      <c r="AQ322" s="24"/>
      <c r="AR322" s="24"/>
      <c r="AS322" s="24"/>
      <c r="AT322" s="24"/>
      <c r="AU322" s="24"/>
      <c r="AV322" s="24"/>
      <c r="AW322" s="24"/>
      <c r="AX322" s="24"/>
      <c r="AY322" s="24"/>
      <c r="AZ322" s="24"/>
      <c r="BA322" s="24"/>
      <c r="BB322" s="24"/>
      <c r="BC322" s="24"/>
      <c r="BD322" s="24"/>
      <c r="BE322" s="24"/>
      <c r="BF322" s="24"/>
      <c r="BG322" s="24"/>
      <c r="BH322" s="24"/>
    </row>
    <row r="323" spans="1:60">
      <c r="A323" s="7"/>
      <c r="B323" s="8"/>
      <c r="C323" s="9"/>
      <c r="D323" s="51"/>
      <c r="E323" s="51"/>
      <c r="F323" s="51"/>
      <c r="G323" s="51"/>
      <c r="H323" s="52"/>
      <c r="I323" s="52"/>
      <c r="J323" s="52"/>
      <c r="K323" s="24"/>
      <c r="L323" s="7"/>
      <c r="M323" s="24"/>
      <c r="N323" s="24"/>
      <c r="O323" s="24"/>
      <c r="P323" s="24"/>
      <c r="Q323" s="24"/>
      <c r="R323" s="24"/>
      <c r="S323" s="24"/>
      <c r="T323" s="24"/>
      <c r="U323" s="24"/>
      <c r="V323" s="24"/>
      <c r="W323" s="24"/>
      <c r="X323" s="24"/>
      <c r="Y323" s="24"/>
      <c r="Z323" s="24"/>
      <c r="AA323" s="24"/>
      <c r="AB323" s="24"/>
      <c r="AC323" s="24"/>
      <c r="AD323" s="24"/>
      <c r="AE323" s="24"/>
      <c r="AF323" s="24"/>
      <c r="AG323" s="24"/>
      <c r="AH323" s="24"/>
      <c r="AI323" s="24"/>
      <c r="AJ323" s="24"/>
      <c r="AK323" s="24"/>
      <c r="AL323" s="24"/>
      <c r="AM323" s="24"/>
      <c r="AN323" s="24"/>
      <c r="AO323" s="24"/>
      <c r="AP323" s="24"/>
      <c r="AQ323" s="24"/>
      <c r="AR323" s="24"/>
      <c r="AS323" s="24"/>
      <c r="AT323" s="24"/>
      <c r="AU323" s="24"/>
      <c r="AV323" s="24"/>
      <c r="AW323" s="24"/>
      <c r="AX323" s="24"/>
      <c r="AY323" s="24"/>
      <c r="AZ323" s="24"/>
      <c r="BA323" s="24"/>
      <c r="BB323" s="24"/>
      <c r="BC323" s="24"/>
      <c r="BD323" s="24"/>
      <c r="BE323" s="24"/>
      <c r="BF323" s="24"/>
      <c r="BG323" s="24"/>
      <c r="BH323" s="24"/>
    </row>
    <row r="324" spans="1:60">
      <c r="A324" s="7"/>
      <c r="B324" s="8"/>
      <c r="C324" s="9"/>
      <c r="D324" s="51"/>
      <c r="E324" s="51"/>
      <c r="F324" s="51"/>
      <c r="G324" s="51"/>
      <c r="H324" s="52"/>
      <c r="I324" s="52"/>
      <c r="J324" s="52"/>
      <c r="K324" s="24"/>
      <c r="L324" s="7"/>
      <c r="M324" s="24"/>
      <c r="N324" s="24"/>
      <c r="O324" s="24"/>
      <c r="P324" s="24"/>
      <c r="Q324" s="24"/>
      <c r="R324" s="24"/>
      <c r="S324" s="24"/>
      <c r="T324" s="24"/>
      <c r="U324" s="24"/>
      <c r="V324" s="24"/>
      <c r="W324" s="24"/>
      <c r="X324" s="24"/>
      <c r="Y324" s="24"/>
      <c r="Z324" s="24"/>
      <c r="AA324" s="24"/>
      <c r="AB324" s="24"/>
      <c r="AC324" s="24"/>
      <c r="AD324" s="24"/>
      <c r="AE324" s="24"/>
      <c r="AF324" s="24"/>
      <c r="AG324" s="24"/>
      <c r="AH324" s="24"/>
      <c r="AI324" s="24"/>
      <c r="AJ324" s="24"/>
      <c r="AK324" s="24"/>
      <c r="AL324" s="24"/>
      <c r="AM324" s="24"/>
      <c r="AN324" s="24"/>
      <c r="AO324" s="24"/>
      <c r="AP324" s="24"/>
      <c r="AQ324" s="24"/>
      <c r="AR324" s="24"/>
      <c r="AS324" s="24"/>
      <c r="AT324" s="24"/>
      <c r="AU324" s="24"/>
      <c r="AV324" s="24"/>
      <c r="AW324" s="24"/>
      <c r="AX324" s="24"/>
      <c r="AY324" s="24"/>
      <c r="AZ324" s="24"/>
      <c r="BA324" s="24"/>
      <c r="BB324" s="24"/>
      <c r="BC324" s="24"/>
      <c r="BD324" s="24"/>
      <c r="BE324" s="24"/>
      <c r="BF324" s="24"/>
      <c r="BG324" s="24"/>
      <c r="BH324" s="24"/>
    </row>
    <row r="325" spans="1:60">
      <c r="A325" s="7"/>
      <c r="B325" s="8"/>
      <c r="C325" s="9"/>
      <c r="D325" s="51"/>
      <c r="E325" s="51"/>
      <c r="F325" s="51"/>
      <c r="G325" s="51"/>
      <c r="H325" s="52"/>
      <c r="I325" s="52"/>
      <c r="J325" s="52"/>
      <c r="K325" s="24"/>
      <c r="L325" s="7"/>
      <c r="M325" s="24"/>
      <c r="N325" s="24"/>
      <c r="O325" s="24"/>
      <c r="P325" s="24"/>
      <c r="Q325" s="24"/>
      <c r="R325" s="24"/>
      <c r="S325" s="24"/>
      <c r="T325" s="24"/>
      <c r="U325" s="24"/>
      <c r="V325" s="24"/>
      <c r="W325" s="24"/>
      <c r="X325" s="24"/>
      <c r="Y325" s="24"/>
      <c r="Z325" s="24"/>
      <c r="AA325" s="24"/>
      <c r="AB325" s="24"/>
      <c r="AC325" s="24"/>
      <c r="AD325" s="24"/>
      <c r="AE325" s="24"/>
      <c r="AF325" s="24"/>
      <c r="AG325" s="24"/>
      <c r="AH325" s="24"/>
      <c r="AI325" s="24"/>
      <c r="AJ325" s="24"/>
      <c r="AK325" s="24"/>
      <c r="AL325" s="24"/>
      <c r="AM325" s="24"/>
      <c r="AN325" s="24"/>
      <c r="AO325" s="24"/>
      <c r="AP325" s="24"/>
      <c r="AQ325" s="24"/>
      <c r="AR325" s="24"/>
      <c r="AS325" s="24"/>
      <c r="AT325" s="24"/>
      <c r="AU325" s="24"/>
      <c r="AV325" s="24"/>
      <c r="AW325" s="24"/>
      <c r="AX325" s="24"/>
      <c r="AY325" s="24"/>
      <c r="AZ325" s="24"/>
      <c r="BA325" s="24"/>
      <c r="BB325" s="24"/>
      <c r="BC325" s="24"/>
      <c r="BD325" s="24"/>
      <c r="BE325" s="24"/>
      <c r="BF325" s="24"/>
      <c r="BG325" s="24"/>
      <c r="BH325" s="24"/>
    </row>
    <row r="326" spans="1:60">
      <c r="A326" s="7"/>
      <c r="B326" s="8"/>
      <c r="C326" s="9"/>
      <c r="D326" s="51"/>
      <c r="E326" s="51"/>
      <c r="F326" s="51"/>
      <c r="G326" s="51"/>
      <c r="H326" s="52"/>
      <c r="I326" s="52"/>
      <c r="J326" s="52"/>
      <c r="K326" s="24"/>
      <c r="L326" s="7"/>
      <c r="M326" s="24"/>
      <c r="N326" s="24"/>
      <c r="O326" s="24"/>
      <c r="P326" s="24"/>
      <c r="Q326" s="24"/>
      <c r="R326" s="24"/>
      <c r="S326" s="24"/>
      <c r="T326" s="24"/>
      <c r="U326" s="24"/>
      <c r="V326" s="24"/>
      <c r="W326" s="24"/>
      <c r="X326" s="24"/>
      <c r="Y326" s="24"/>
      <c r="Z326" s="24"/>
      <c r="AA326" s="24"/>
      <c r="AB326" s="24"/>
      <c r="AC326" s="24"/>
      <c r="AD326" s="24"/>
      <c r="AE326" s="24"/>
      <c r="AF326" s="24"/>
      <c r="AG326" s="24"/>
      <c r="AH326" s="24"/>
      <c r="AI326" s="24"/>
      <c r="AJ326" s="24"/>
      <c r="AK326" s="24"/>
      <c r="AL326" s="24"/>
      <c r="AM326" s="24"/>
      <c r="AN326" s="24"/>
      <c r="AO326" s="24"/>
      <c r="AP326" s="24"/>
      <c r="AQ326" s="24"/>
      <c r="AR326" s="24"/>
      <c r="AS326" s="24"/>
      <c r="AT326" s="24"/>
      <c r="AU326" s="24"/>
      <c r="AV326" s="24"/>
      <c r="AW326" s="24"/>
      <c r="AX326" s="24"/>
      <c r="AY326" s="24"/>
      <c r="AZ326" s="24"/>
      <c r="BA326" s="24"/>
      <c r="BB326" s="24"/>
      <c r="BC326" s="24"/>
      <c r="BD326" s="24"/>
      <c r="BE326" s="24"/>
      <c r="BF326" s="24"/>
      <c r="BG326" s="24"/>
      <c r="BH326" s="24"/>
    </row>
    <row r="327" spans="1:60">
      <c r="A327" s="7"/>
      <c r="B327" s="8"/>
      <c r="C327" s="9"/>
      <c r="D327" s="51"/>
      <c r="E327" s="51"/>
      <c r="F327" s="51"/>
      <c r="G327" s="51"/>
      <c r="H327" s="52"/>
      <c r="I327" s="52"/>
      <c r="J327" s="52"/>
      <c r="K327" s="24"/>
      <c r="L327" s="7"/>
      <c r="M327" s="24"/>
      <c r="N327" s="24"/>
      <c r="O327" s="24"/>
      <c r="P327" s="24"/>
      <c r="Q327" s="24"/>
      <c r="R327" s="24"/>
      <c r="S327" s="24"/>
      <c r="T327" s="24"/>
      <c r="U327" s="24"/>
      <c r="V327" s="24"/>
      <c r="W327" s="24"/>
      <c r="X327" s="24"/>
      <c r="Y327" s="24"/>
      <c r="Z327" s="24"/>
      <c r="AA327" s="24"/>
      <c r="AB327" s="24"/>
      <c r="AC327" s="24"/>
      <c r="AD327" s="24"/>
      <c r="AE327" s="24"/>
      <c r="AF327" s="24"/>
      <c r="AG327" s="24"/>
      <c r="AH327" s="24"/>
      <c r="AI327" s="24"/>
      <c r="AJ327" s="24"/>
      <c r="AK327" s="24"/>
      <c r="AL327" s="24"/>
      <c r="AM327" s="24"/>
      <c r="AN327" s="24"/>
      <c r="AO327" s="24"/>
      <c r="AP327" s="24"/>
      <c r="AQ327" s="24"/>
      <c r="AR327" s="24"/>
      <c r="AS327" s="24"/>
      <c r="AT327" s="24"/>
      <c r="AU327" s="24"/>
      <c r="AV327" s="24"/>
      <c r="AW327" s="24"/>
      <c r="AX327" s="24"/>
      <c r="AY327" s="24"/>
      <c r="AZ327" s="24"/>
      <c r="BA327" s="24"/>
      <c r="BB327" s="24"/>
      <c r="BC327" s="24"/>
      <c r="BD327" s="24"/>
      <c r="BE327" s="24"/>
      <c r="BF327" s="24"/>
      <c r="BG327" s="24"/>
      <c r="BH327" s="24"/>
    </row>
    <row r="328" spans="1:60">
      <c r="A328" s="7"/>
      <c r="B328" s="8"/>
      <c r="C328" s="9"/>
      <c r="D328" s="51"/>
      <c r="E328" s="51"/>
      <c r="F328" s="51"/>
      <c r="G328" s="51"/>
      <c r="H328" s="52"/>
      <c r="I328" s="52"/>
      <c r="J328" s="52"/>
      <c r="K328" s="24"/>
      <c r="L328" s="7"/>
      <c r="M328" s="24"/>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4"/>
      <c r="AK328" s="24"/>
      <c r="AL328" s="24"/>
      <c r="AM328" s="24"/>
      <c r="AN328" s="24"/>
      <c r="AO328" s="24"/>
      <c r="AP328" s="24"/>
      <c r="AQ328" s="24"/>
      <c r="AR328" s="24"/>
      <c r="AS328" s="24"/>
      <c r="AT328" s="24"/>
      <c r="AU328" s="24"/>
      <c r="AV328" s="24"/>
      <c r="AW328" s="24"/>
      <c r="AX328" s="24"/>
      <c r="AY328" s="24"/>
      <c r="AZ328" s="24"/>
      <c r="BA328" s="24"/>
      <c r="BB328" s="24"/>
      <c r="BC328" s="24"/>
      <c r="BD328" s="24"/>
      <c r="BE328" s="24"/>
      <c r="BF328" s="24"/>
      <c r="BG328" s="24"/>
      <c r="BH328" s="24"/>
    </row>
    <row r="329" spans="1:60">
      <c r="A329" s="7"/>
      <c r="B329" s="8"/>
      <c r="C329" s="9"/>
      <c r="D329" s="51"/>
      <c r="E329" s="51"/>
      <c r="F329" s="51"/>
      <c r="G329" s="51"/>
      <c r="H329" s="52"/>
      <c r="I329" s="52"/>
      <c r="J329" s="52"/>
      <c r="K329" s="24"/>
      <c r="L329" s="7"/>
      <c r="M329" s="24"/>
      <c r="N329" s="24"/>
      <c r="O329" s="24"/>
      <c r="P329" s="24"/>
      <c r="Q329" s="24"/>
      <c r="R329" s="24"/>
      <c r="S329" s="24"/>
      <c r="T329" s="24"/>
      <c r="U329" s="24"/>
      <c r="V329" s="24"/>
      <c r="W329" s="24"/>
      <c r="X329" s="24"/>
      <c r="Y329" s="24"/>
      <c r="Z329" s="24"/>
      <c r="AA329" s="24"/>
      <c r="AB329" s="24"/>
      <c r="AC329" s="24"/>
      <c r="AD329" s="24"/>
      <c r="AE329" s="24"/>
      <c r="AF329" s="24"/>
      <c r="AG329" s="24"/>
      <c r="AH329" s="24"/>
      <c r="AI329" s="24"/>
      <c r="AJ329" s="24"/>
      <c r="AK329" s="24"/>
      <c r="AL329" s="24"/>
      <c r="AM329" s="24"/>
      <c r="AN329" s="24"/>
      <c r="AO329" s="24"/>
      <c r="AP329" s="24"/>
      <c r="AQ329" s="24"/>
      <c r="AR329" s="24"/>
      <c r="AS329" s="24"/>
      <c r="AT329" s="24"/>
      <c r="AU329" s="24"/>
      <c r="AV329" s="24"/>
      <c r="AW329" s="24"/>
      <c r="AX329" s="24"/>
      <c r="AY329" s="24"/>
      <c r="AZ329" s="24"/>
      <c r="BA329" s="24"/>
      <c r="BB329" s="24"/>
      <c r="BC329" s="24"/>
      <c r="BD329" s="24"/>
      <c r="BE329" s="24"/>
      <c r="BF329" s="24"/>
      <c r="BG329" s="24"/>
      <c r="BH329" s="24"/>
    </row>
    <row r="330" spans="1:60">
      <c r="A330" s="7"/>
      <c r="B330" s="8"/>
      <c r="C330" s="9"/>
      <c r="D330" s="51"/>
      <c r="E330" s="51"/>
      <c r="F330" s="51"/>
      <c r="G330" s="51"/>
      <c r="H330" s="52"/>
      <c r="I330" s="52"/>
      <c r="J330" s="52"/>
      <c r="K330" s="24"/>
      <c r="L330" s="7"/>
      <c r="M330" s="24"/>
      <c r="N330" s="24"/>
      <c r="O330" s="24"/>
      <c r="P330" s="24"/>
      <c r="Q330" s="24"/>
      <c r="R330" s="24"/>
      <c r="S330" s="24"/>
      <c r="T330" s="24"/>
      <c r="U330" s="24"/>
      <c r="V330" s="24"/>
      <c r="W330" s="24"/>
      <c r="X330" s="24"/>
      <c r="Y330" s="24"/>
      <c r="Z330" s="24"/>
      <c r="AA330" s="24"/>
      <c r="AB330" s="24"/>
      <c r="AC330" s="24"/>
      <c r="AD330" s="24"/>
      <c r="AE330" s="24"/>
      <c r="AF330" s="24"/>
      <c r="AG330" s="24"/>
      <c r="AH330" s="24"/>
      <c r="AI330" s="24"/>
      <c r="AJ330" s="24"/>
      <c r="AK330" s="24"/>
      <c r="AL330" s="24"/>
      <c r="AM330" s="24"/>
      <c r="AN330" s="24"/>
      <c r="AO330" s="24"/>
      <c r="AP330" s="24"/>
      <c r="AQ330" s="24"/>
      <c r="AR330" s="24"/>
      <c r="AS330" s="24"/>
      <c r="AT330" s="24"/>
      <c r="AU330" s="24"/>
      <c r="AV330" s="24"/>
      <c r="AW330" s="24"/>
      <c r="AX330" s="24"/>
      <c r="AY330" s="24"/>
      <c r="AZ330" s="24"/>
      <c r="BA330" s="24"/>
      <c r="BB330" s="24"/>
      <c r="BC330" s="24"/>
      <c r="BD330" s="24"/>
      <c r="BE330" s="24"/>
      <c r="BF330" s="24"/>
      <c r="BG330" s="24"/>
      <c r="BH330" s="24"/>
    </row>
    <row r="331" spans="1:60">
      <c r="A331" s="7"/>
      <c r="B331" s="8"/>
      <c r="C331" s="9"/>
      <c r="D331" s="51"/>
      <c r="E331" s="51"/>
      <c r="F331" s="51"/>
      <c r="G331" s="51"/>
      <c r="H331" s="52"/>
      <c r="I331" s="52"/>
      <c r="J331" s="52"/>
      <c r="K331" s="24"/>
      <c r="L331" s="7"/>
      <c r="M331" s="24"/>
      <c r="N331" s="24"/>
      <c r="O331" s="24"/>
      <c r="P331" s="24"/>
      <c r="Q331" s="24"/>
      <c r="R331" s="24"/>
      <c r="S331" s="24"/>
      <c r="T331" s="24"/>
      <c r="U331" s="24"/>
      <c r="V331" s="24"/>
      <c r="W331" s="24"/>
      <c r="X331" s="24"/>
      <c r="Y331" s="24"/>
      <c r="Z331" s="24"/>
      <c r="AA331" s="24"/>
      <c r="AB331" s="24"/>
      <c r="AC331" s="24"/>
      <c r="AD331" s="24"/>
      <c r="AE331" s="24"/>
      <c r="AF331" s="24"/>
      <c r="AG331" s="24"/>
      <c r="AH331" s="24"/>
      <c r="AI331" s="24"/>
      <c r="AJ331" s="24"/>
      <c r="AK331" s="24"/>
      <c r="AL331" s="24"/>
      <c r="AM331" s="24"/>
      <c r="AN331" s="24"/>
      <c r="AO331" s="24"/>
      <c r="AP331" s="24"/>
      <c r="AQ331" s="24"/>
      <c r="AR331" s="24"/>
      <c r="AS331" s="24"/>
      <c r="AT331" s="24"/>
      <c r="AU331" s="24"/>
      <c r="AV331" s="24"/>
      <c r="AW331" s="24"/>
      <c r="AX331" s="24"/>
      <c r="AY331" s="24"/>
      <c r="AZ331" s="24"/>
      <c r="BA331" s="24"/>
      <c r="BB331" s="24"/>
      <c r="BC331" s="24"/>
      <c r="BD331" s="24"/>
      <c r="BE331" s="24"/>
      <c r="BF331" s="24"/>
      <c r="BG331" s="24"/>
      <c r="BH331" s="24"/>
    </row>
    <row r="332" spans="1:60">
      <c r="A332" s="7"/>
      <c r="B332" s="8"/>
      <c r="C332" s="9"/>
      <c r="D332" s="51"/>
      <c r="E332" s="51"/>
      <c r="F332" s="51"/>
      <c r="G332" s="51"/>
      <c r="H332" s="52"/>
      <c r="I332" s="52"/>
      <c r="J332" s="52"/>
      <c r="K332" s="24"/>
      <c r="L332" s="7"/>
      <c r="M332" s="24"/>
      <c r="N332" s="24"/>
      <c r="O332" s="24"/>
      <c r="P332" s="24"/>
      <c r="Q332" s="24"/>
      <c r="R332" s="24"/>
      <c r="S332" s="24"/>
      <c r="T332" s="24"/>
      <c r="U332" s="24"/>
      <c r="V332" s="24"/>
      <c r="W332" s="24"/>
      <c r="X332" s="24"/>
      <c r="Y332" s="24"/>
      <c r="Z332" s="24"/>
      <c r="AA332" s="24"/>
      <c r="AB332" s="24"/>
      <c r="AC332" s="24"/>
      <c r="AD332" s="24"/>
      <c r="AE332" s="24"/>
      <c r="AF332" s="24"/>
      <c r="AG332" s="24"/>
      <c r="AH332" s="24"/>
      <c r="AI332" s="24"/>
      <c r="AJ332" s="24"/>
      <c r="AK332" s="24"/>
      <c r="AL332" s="24"/>
      <c r="AM332" s="24"/>
      <c r="AN332" s="24"/>
      <c r="AO332" s="24"/>
      <c r="AP332" s="24"/>
      <c r="AQ332" s="24"/>
      <c r="AR332" s="24"/>
      <c r="AS332" s="24"/>
      <c r="AT332" s="24"/>
      <c r="AU332" s="24"/>
      <c r="AV332" s="24"/>
      <c r="AW332" s="24"/>
      <c r="AX332" s="24"/>
      <c r="AY332" s="24"/>
      <c r="AZ332" s="24"/>
      <c r="BA332" s="24"/>
      <c r="BB332" s="24"/>
      <c r="BC332" s="24"/>
      <c r="BD332" s="24"/>
      <c r="BE332" s="24"/>
      <c r="BF332" s="24"/>
      <c r="BG332" s="24"/>
      <c r="BH332" s="24"/>
    </row>
    <row r="333" spans="1:60">
      <c r="A333" s="7"/>
      <c r="B333" s="8"/>
      <c r="C333" s="9"/>
      <c r="D333" s="51"/>
      <c r="E333" s="51"/>
      <c r="F333" s="51"/>
      <c r="G333" s="51"/>
      <c r="H333" s="52"/>
      <c r="I333" s="52"/>
      <c r="J333" s="52"/>
      <c r="K333" s="24"/>
      <c r="L333" s="7"/>
      <c r="M333" s="24"/>
      <c r="N333" s="24"/>
      <c r="O333" s="24"/>
      <c r="P333" s="24"/>
      <c r="Q333" s="24"/>
      <c r="R333" s="24"/>
      <c r="S333" s="24"/>
      <c r="T333" s="24"/>
      <c r="U333" s="24"/>
      <c r="V333" s="24"/>
      <c r="W333" s="24"/>
      <c r="X333" s="24"/>
      <c r="Y333" s="24"/>
      <c r="Z333" s="24"/>
      <c r="AA333" s="24"/>
      <c r="AB333" s="24"/>
      <c r="AC333" s="24"/>
      <c r="AD333" s="24"/>
      <c r="AE333" s="24"/>
      <c r="AF333" s="24"/>
      <c r="AG333" s="24"/>
      <c r="AH333" s="24"/>
      <c r="AI333" s="24"/>
      <c r="AJ333" s="24"/>
      <c r="AK333" s="24"/>
      <c r="AL333" s="24"/>
      <c r="AM333" s="24"/>
      <c r="AN333" s="24"/>
      <c r="AO333" s="24"/>
      <c r="AP333" s="24"/>
      <c r="AQ333" s="24"/>
      <c r="AR333" s="24"/>
      <c r="AS333" s="24"/>
      <c r="AT333" s="24"/>
      <c r="AU333" s="24"/>
      <c r="AV333" s="24"/>
      <c r="AW333" s="24"/>
      <c r="AX333" s="24"/>
      <c r="AY333" s="24"/>
      <c r="AZ333" s="24"/>
      <c r="BA333" s="24"/>
      <c r="BB333" s="24"/>
      <c r="BC333" s="24"/>
      <c r="BD333" s="24"/>
      <c r="BE333" s="24"/>
      <c r="BF333" s="24"/>
      <c r="BG333" s="24"/>
      <c r="BH333" s="24"/>
    </row>
    <row r="334" spans="1:60">
      <c r="A334" s="7"/>
      <c r="B334" s="8"/>
      <c r="C334" s="9"/>
      <c r="D334" s="51"/>
      <c r="E334" s="51"/>
      <c r="F334" s="51"/>
      <c r="G334" s="51"/>
      <c r="H334" s="52"/>
      <c r="I334" s="52"/>
      <c r="J334" s="52"/>
      <c r="K334" s="24"/>
      <c r="L334" s="7"/>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c r="BC334" s="24"/>
      <c r="BD334" s="24"/>
      <c r="BE334" s="24"/>
      <c r="BF334" s="24"/>
      <c r="BG334" s="24"/>
      <c r="BH334" s="24"/>
    </row>
    <row r="335" spans="1:60">
      <c r="A335" s="7"/>
      <c r="B335" s="8"/>
      <c r="C335" s="9"/>
      <c r="D335" s="51"/>
      <c r="E335" s="51"/>
      <c r="F335" s="51"/>
      <c r="G335" s="51"/>
      <c r="H335" s="52"/>
      <c r="I335" s="52"/>
      <c r="J335" s="52"/>
      <c r="K335" s="24"/>
      <c r="L335" s="7"/>
      <c r="M335" s="24"/>
      <c r="N335" s="24"/>
      <c r="O335" s="24"/>
      <c r="P335" s="24"/>
      <c r="Q335" s="24"/>
      <c r="R335" s="24"/>
      <c r="S335" s="24"/>
      <c r="T335" s="24"/>
      <c r="U335" s="24"/>
      <c r="V335" s="24"/>
      <c r="W335" s="24"/>
      <c r="X335" s="24"/>
      <c r="Y335" s="24"/>
      <c r="Z335" s="24"/>
      <c r="AA335" s="24"/>
      <c r="AB335" s="24"/>
      <c r="AC335" s="24"/>
      <c r="AD335" s="24"/>
      <c r="AE335" s="24"/>
      <c r="AF335" s="24"/>
      <c r="AG335" s="24"/>
      <c r="AH335" s="24"/>
      <c r="AI335" s="24"/>
      <c r="AJ335" s="24"/>
      <c r="AK335" s="24"/>
      <c r="AL335" s="24"/>
      <c r="AM335" s="24"/>
      <c r="AN335" s="24"/>
      <c r="AO335" s="24"/>
      <c r="AP335" s="24"/>
      <c r="AQ335" s="24"/>
      <c r="AR335" s="24"/>
      <c r="AS335" s="24"/>
      <c r="AT335" s="24"/>
      <c r="AU335" s="24"/>
      <c r="AV335" s="24"/>
      <c r="AW335" s="24"/>
      <c r="AX335" s="24"/>
      <c r="AY335" s="24"/>
      <c r="AZ335" s="24"/>
      <c r="BA335" s="24"/>
      <c r="BB335" s="24"/>
      <c r="BC335" s="24"/>
      <c r="BD335" s="24"/>
      <c r="BE335" s="24"/>
      <c r="BF335" s="24"/>
      <c r="BG335" s="24"/>
      <c r="BH335" s="24"/>
    </row>
    <row r="336" spans="1:60">
      <c r="A336" s="7"/>
      <c r="B336" s="8"/>
      <c r="C336" s="9"/>
      <c r="D336" s="51"/>
      <c r="E336" s="51"/>
      <c r="F336" s="51"/>
      <c r="G336" s="51"/>
      <c r="H336" s="52"/>
      <c r="I336" s="52"/>
      <c r="J336" s="52"/>
      <c r="K336" s="24"/>
      <c r="L336" s="7"/>
      <c r="M336" s="24"/>
      <c r="N336" s="24"/>
      <c r="O336" s="24"/>
      <c r="P336" s="24"/>
      <c r="Q336" s="24"/>
      <c r="R336" s="24"/>
      <c r="S336" s="24"/>
      <c r="T336" s="24"/>
      <c r="U336" s="24"/>
      <c r="V336" s="24"/>
      <c r="W336" s="24"/>
      <c r="X336" s="24"/>
      <c r="Y336" s="24"/>
      <c r="Z336" s="24"/>
      <c r="AA336" s="24"/>
      <c r="AB336" s="24"/>
      <c r="AC336" s="24"/>
      <c r="AD336" s="24"/>
      <c r="AE336" s="24"/>
      <c r="AF336" s="24"/>
      <c r="AG336" s="24"/>
      <c r="AH336" s="24"/>
      <c r="AI336" s="24"/>
      <c r="AJ336" s="24"/>
      <c r="AK336" s="24"/>
      <c r="AL336" s="24"/>
      <c r="AM336" s="24"/>
      <c r="AN336" s="24"/>
      <c r="AO336" s="24"/>
      <c r="AP336" s="24"/>
      <c r="AQ336" s="24"/>
      <c r="AR336" s="24"/>
      <c r="AS336" s="24"/>
      <c r="AT336" s="24"/>
      <c r="AU336" s="24"/>
      <c r="AV336" s="24"/>
      <c r="AW336" s="24"/>
      <c r="AX336" s="24"/>
      <c r="AY336" s="24"/>
      <c r="AZ336" s="24"/>
      <c r="BA336" s="24"/>
      <c r="BB336" s="24"/>
      <c r="BC336" s="24"/>
      <c r="BD336" s="24"/>
      <c r="BE336" s="24"/>
      <c r="BF336" s="24"/>
      <c r="BG336" s="24"/>
      <c r="BH336" s="24"/>
    </row>
    <row r="337" spans="1:60">
      <c r="A337" s="7"/>
      <c r="B337" s="8"/>
      <c r="C337" s="9"/>
      <c r="D337" s="51"/>
      <c r="E337" s="51"/>
      <c r="F337" s="51"/>
      <c r="G337" s="51"/>
      <c r="H337" s="52"/>
      <c r="I337" s="52"/>
      <c r="J337" s="52"/>
      <c r="K337" s="24"/>
      <c r="L337" s="7"/>
      <c r="M337" s="24"/>
      <c r="N337" s="24"/>
      <c r="O337" s="24"/>
      <c r="P337" s="24"/>
      <c r="Q337" s="24"/>
      <c r="R337" s="24"/>
      <c r="S337" s="24"/>
      <c r="T337" s="24"/>
      <c r="U337" s="24"/>
      <c r="V337" s="24"/>
      <c r="W337" s="24"/>
      <c r="X337" s="24"/>
      <c r="Y337" s="24"/>
      <c r="Z337" s="24"/>
      <c r="AA337" s="24"/>
      <c r="AB337" s="24"/>
      <c r="AC337" s="24"/>
      <c r="AD337" s="24"/>
      <c r="AE337" s="24"/>
      <c r="AF337" s="24"/>
      <c r="AG337" s="24"/>
      <c r="AH337" s="24"/>
      <c r="AI337" s="24"/>
      <c r="AJ337" s="24"/>
      <c r="AK337" s="24"/>
      <c r="AL337" s="24"/>
      <c r="AM337" s="24"/>
      <c r="AN337" s="24"/>
      <c r="AO337" s="24"/>
      <c r="AP337" s="24"/>
      <c r="AQ337" s="24"/>
      <c r="AR337" s="24"/>
      <c r="AS337" s="24"/>
      <c r="AT337" s="24"/>
      <c r="AU337" s="24"/>
      <c r="AV337" s="24"/>
      <c r="AW337" s="24"/>
      <c r="AX337" s="24"/>
      <c r="AY337" s="24"/>
      <c r="AZ337" s="24"/>
      <c r="BA337" s="24"/>
      <c r="BB337" s="24"/>
      <c r="BC337" s="24"/>
      <c r="BD337" s="24"/>
      <c r="BE337" s="24"/>
      <c r="BF337" s="24"/>
      <c r="BG337" s="24"/>
      <c r="BH337" s="24"/>
    </row>
    <row r="338" spans="1:60">
      <c r="A338" s="7"/>
      <c r="B338" s="8"/>
      <c r="C338" s="9"/>
      <c r="D338" s="51"/>
      <c r="E338" s="51"/>
      <c r="F338" s="51"/>
      <c r="G338" s="51"/>
      <c r="H338" s="52"/>
      <c r="I338" s="52"/>
      <c r="J338" s="52"/>
      <c r="K338" s="24"/>
      <c r="L338" s="7"/>
      <c r="M338" s="24"/>
      <c r="N338" s="24"/>
      <c r="O338" s="24"/>
      <c r="P338" s="24"/>
      <c r="Q338" s="24"/>
      <c r="R338" s="24"/>
      <c r="S338" s="24"/>
      <c r="T338" s="24"/>
      <c r="U338" s="24"/>
      <c r="V338" s="24"/>
      <c r="W338" s="24"/>
      <c r="X338" s="24"/>
      <c r="Y338" s="24"/>
      <c r="Z338" s="24"/>
      <c r="AA338" s="24"/>
      <c r="AB338" s="24"/>
      <c r="AC338" s="24"/>
      <c r="AD338" s="24"/>
      <c r="AE338" s="24"/>
      <c r="AF338" s="24"/>
      <c r="AG338" s="24"/>
      <c r="AH338" s="24"/>
      <c r="AI338" s="24"/>
      <c r="AJ338" s="24"/>
      <c r="AK338" s="24"/>
      <c r="AL338" s="24"/>
      <c r="AM338" s="24"/>
      <c r="AN338" s="24"/>
      <c r="AO338" s="24"/>
      <c r="AP338" s="24"/>
      <c r="AQ338" s="24"/>
      <c r="AR338" s="24"/>
      <c r="AS338" s="24"/>
      <c r="AT338" s="24"/>
      <c r="AU338" s="24"/>
      <c r="AV338" s="24"/>
      <c r="AW338" s="24"/>
      <c r="AX338" s="24"/>
      <c r="AY338" s="24"/>
      <c r="AZ338" s="24"/>
      <c r="BA338" s="24"/>
      <c r="BB338" s="24"/>
      <c r="BC338" s="24"/>
      <c r="BD338" s="24"/>
      <c r="BE338" s="24"/>
      <c r="BF338" s="24"/>
      <c r="BG338" s="24"/>
      <c r="BH338" s="24"/>
    </row>
    <row r="339" spans="1:60">
      <c r="A339" s="7"/>
      <c r="B339" s="8"/>
      <c r="C339" s="9"/>
      <c r="D339" s="51"/>
      <c r="E339" s="51"/>
      <c r="F339" s="51"/>
      <c r="G339" s="51"/>
      <c r="H339" s="52"/>
      <c r="I339" s="52"/>
      <c r="J339" s="52"/>
      <c r="K339" s="24"/>
      <c r="L339" s="7"/>
      <c r="M339" s="24"/>
      <c r="N339" s="24"/>
      <c r="O339" s="24"/>
      <c r="P339" s="24"/>
      <c r="Q339" s="24"/>
      <c r="R339" s="24"/>
      <c r="S339" s="24"/>
      <c r="T339" s="24"/>
      <c r="U339" s="24"/>
      <c r="V339" s="24"/>
      <c r="W339" s="24"/>
      <c r="X339" s="24"/>
      <c r="Y339" s="24"/>
      <c r="Z339" s="24"/>
      <c r="AA339" s="24"/>
      <c r="AB339" s="24"/>
      <c r="AC339" s="24"/>
      <c r="AD339" s="24"/>
      <c r="AE339" s="24"/>
      <c r="AF339" s="24"/>
      <c r="AG339" s="24"/>
      <c r="AH339" s="24"/>
      <c r="AI339" s="24"/>
      <c r="AJ339" s="24"/>
      <c r="AK339" s="24"/>
      <c r="AL339" s="24"/>
      <c r="AM339" s="24"/>
      <c r="AN339" s="24"/>
      <c r="AO339" s="24"/>
      <c r="AP339" s="24"/>
      <c r="AQ339" s="24"/>
      <c r="AR339" s="24"/>
      <c r="AS339" s="24"/>
      <c r="AT339" s="24"/>
      <c r="AU339" s="24"/>
      <c r="AV339" s="24"/>
      <c r="AW339" s="24"/>
      <c r="AX339" s="24"/>
      <c r="AY339" s="24"/>
      <c r="AZ339" s="24"/>
      <c r="BA339" s="24"/>
      <c r="BB339" s="24"/>
      <c r="BC339" s="24"/>
      <c r="BD339" s="24"/>
      <c r="BE339" s="24"/>
      <c r="BF339" s="24"/>
      <c r="BG339" s="24"/>
      <c r="BH339" s="24"/>
    </row>
    <row r="340" spans="1:60">
      <c r="A340" s="7"/>
      <c r="B340" s="8"/>
      <c r="C340" s="9"/>
      <c r="D340" s="51"/>
      <c r="E340" s="51"/>
      <c r="F340" s="51"/>
      <c r="G340" s="51"/>
      <c r="H340" s="52"/>
      <c r="I340" s="52"/>
      <c r="J340" s="52"/>
      <c r="K340" s="24"/>
      <c r="L340" s="7"/>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4"/>
      <c r="AK340" s="24"/>
      <c r="AL340" s="24"/>
      <c r="AM340" s="24"/>
      <c r="AN340" s="24"/>
      <c r="AO340" s="24"/>
      <c r="AP340" s="24"/>
      <c r="AQ340" s="24"/>
      <c r="AR340" s="24"/>
      <c r="AS340" s="24"/>
      <c r="AT340" s="24"/>
      <c r="AU340" s="24"/>
      <c r="AV340" s="24"/>
      <c r="AW340" s="24"/>
      <c r="AX340" s="24"/>
      <c r="AY340" s="24"/>
      <c r="AZ340" s="24"/>
      <c r="BA340" s="24"/>
      <c r="BB340" s="24"/>
      <c r="BC340" s="24"/>
      <c r="BD340" s="24"/>
      <c r="BE340" s="24"/>
      <c r="BF340" s="24"/>
      <c r="BG340" s="24"/>
      <c r="BH340" s="24"/>
    </row>
    <row r="341" spans="1:60">
      <c r="A341" s="7"/>
      <c r="B341" s="8"/>
      <c r="C341" s="9"/>
      <c r="D341" s="51"/>
      <c r="E341" s="51"/>
      <c r="F341" s="51"/>
      <c r="G341" s="51"/>
      <c r="H341" s="52"/>
      <c r="I341" s="52"/>
      <c r="J341" s="52"/>
      <c r="K341" s="24"/>
      <c r="L341" s="7"/>
      <c r="M341" s="24"/>
      <c r="N341" s="24"/>
      <c r="O341" s="24"/>
      <c r="P341" s="24"/>
      <c r="Q341" s="24"/>
      <c r="R341" s="24"/>
      <c r="S341" s="24"/>
      <c r="T341" s="24"/>
      <c r="U341" s="24"/>
      <c r="V341" s="24"/>
      <c r="W341" s="24"/>
      <c r="X341" s="24"/>
      <c r="Y341" s="24"/>
      <c r="Z341" s="24"/>
      <c r="AA341" s="24"/>
      <c r="AB341" s="24"/>
      <c r="AC341" s="24"/>
      <c r="AD341" s="24"/>
      <c r="AE341" s="24"/>
      <c r="AF341" s="24"/>
      <c r="AG341" s="24"/>
      <c r="AH341" s="24"/>
      <c r="AI341" s="24"/>
      <c r="AJ341" s="24"/>
      <c r="AK341" s="24"/>
      <c r="AL341" s="24"/>
      <c r="AM341" s="24"/>
      <c r="AN341" s="24"/>
      <c r="AO341" s="24"/>
      <c r="AP341" s="24"/>
      <c r="AQ341" s="24"/>
      <c r="AR341" s="24"/>
      <c r="AS341" s="24"/>
      <c r="AT341" s="24"/>
      <c r="AU341" s="24"/>
      <c r="AV341" s="24"/>
      <c r="AW341" s="24"/>
      <c r="AX341" s="24"/>
      <c r="AY341" s="24"/>
      <c r="AZ341" s="24"/>
      <c r="BA341" s="24"/>
      <c r="BB341" s="24"/>
      <c r="BC341" s="24"/>
      <c r="BD341" s="24"/>
      <c r="BE341" s="24"/>
      <c r="BF341" s="24"/>
      <c r="BG341" s="24"/>
      <c r="BH341" s="24"/>
    </row>
    <row r="342" spans="1:60">
      <c r="A342" s="7"/>
      <c r="B342" s="8"/>
      <c r="C342" s="9"/>
      <c r="D342" s="51"/>
      <c r="E342" s="51"/>
      <c r="F342" s="51"/>
      <c r="G342" s="51"/>
      <c r="H342" s="52"/>
      <c r="I342" s="52"/>
      <c r="J342" s="52"/>
      <c r="K342" s="24"/>
      <c r="L342" s="7"/>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24"/>
      <c r="BF342" s="24"/>
      <c r="BG342" s="24"/>
      <c r="BH342" s="24"/>
    </row>
    <row r="343" spans="1:60">
      <c r="A343" s="7"/>
      <c r="B343" s="8"/>
      <c r="C343" s="9"/>
      <c r="D343" s="51"/>
      <c r="E343" s="51"/>
      <c r="F343" s="51"/>
      <c r="G343" s="51"/>
      <c r="H343" s="52"/>
      <c r="I343" s="52"/>
      <c r="J343" s="52"/>
      <c r="K343" s="24"/>
      <c r="L343" s="7"/>
      <c r="M343" s="24"/>
      <c r="N343" s="24"/>
      <c r="O343" s="24"/>
      <c r="P343" s="24"/>
      <c r="Q343" s="24"/>
      <c r="R343" s="24"/>
      <c r="S343" s="24"/>
      <c r="T343" s="24"/>
      <c r="U343" s="24"/>
      <c r="V343" s="24"/>
      <c r="W343" s="24"/>
      <c r="X343" s="24"/>
      <c r="Y343" s="24"/>
      <c r="Z343" s="24"/>
      <c r="AA343" s="24"/>
      <c r="AB343" s="24"/>
      <c r="AC343" s="24"/>
      <c r="AD343" s="24"/>
      <c r="AE343" s="24"/>
      <c r="AF343" s="24"/>
      <c r="AG343" s="24"/>
      <c r="AH343" s="24"/>
      <c r="AI343" s="24"/>
      <c r="AJ343" s="24"/>
      <c r="AK343" s="24"/>
      <c r="AL343" s="24"/>
      <c r="AM343" s="24"/>
      <c r="AN343" s="24"/>
      <c r="AO343" s="24"/>
      <c r="AP343" s="24"/>
      <c r="AQ343" s="24"/>
      <c r="AR343" s="24"/>
      <c r="AS343" s="24"/>
      <c r="AT343" s="24"/>
      <c r="AU343" s="24"/>
      <c r="AV343" s="24"/>
      <c r="AW343" s="24"/>
      <c r="AX343" s="24"/>
      <c r="AY343" s="24"/>
      <c r="AZ343" s="24"/>
      <c r="BA343" s="24"/>
      <c r="BB343" s="24"/>
      <c r="BC343" s="24"/>
      <c r="BD343" s="24"/>
      <c r="BE343" s="24"/>
      <c r="BF343" s="24"/>
      <c r="BG343" s="24"/>
      <c r="BH343" s="24"/>
    </row>
    <row r="344" spans="1:60">
      <c r="A344" s="7"/>
      <c r="B344" s="8"/>
      <c r="C344" s="9"/>
      <c r="D344" s="51"/>
      <c r="E344" s="51"/>
      <c r="F344" s="51"/>
      <c r="G344" s="51"/>
      <c r="H344" s="52"/>
      <c r="I344" s="52"/>
      <c r="J344" s="52"/>
      <c r="K344" s="24"/>
      <c r="L344" s="7"/>
      <c r="M344" s="24"/>
      <c r="N344" s="24"/>
      <c r="O344" s="24"/>
      <c r="P344" s="24"/>
      <c r="Q344" s="24"/>
      <c r="R344" s="24"/>
      <c r="S344" s="24"/>
      <c r="T344" s="24"/>
      <c r="U344" s="24"/>
      <c r="V344" s="24"/>
      <c r="W344" s="24"/>
      <c r="X344" s="24"/>
      <c r="Y344" s="24"/>
      <c r="Z344" s="24"/>
      <c r="AA344" s="24"/>
      <c r="AB344" s="24"/>
      <c r="AC344" s="24"/>
      <c r="AD344" s="24"/>
      <c r="AE344" s="24"/>
      <c r="AF344" s="24"/>
      <c r="AG344" s="24"/>
      <c r="AH344" s="24"/>
      <c r="AI344" s="24"/>
      <c r="AJ344" s="24"/>
      <c r="AK344" s="24"/>
      <c r="AL344" s="24"/>
      <c r="AM344" s="24"/>
      <c r="AN344" s="24"/>
      <c r="AO344" s="24"/>
      <c r="AP344" s="24"/>
      <c r="AQ344" s="24"/>
      <c r="AR344" s="24"/>
      <c r="AS344" s="24"/>
      <c r="AT344" s="24"/>
      <c r="AU344" s="24"/>
      <c r="AV344" s="24"/>
      <c r="AW344" s="24"/>
      <c r="AX344" s="24"/>
      <c r="AY344" s="24"/>
      <c r="AZ344" s="24"/>
      <c r="BA344" s="24"/>
      <c r="BB344" s="24"/>
      <c r="BC344" s="24"/>
      <c r="BD344" s="24"/>
      <c r="BE344" s="24"/>
      <c r="BF344" s="24"/>
      <c r="BG344" s="24"/>
      <c r="BH344" s="24"/>
    </row>
    <row r="345" spans="1:60">
      <c r="A345" s="7"/>
      <c r="B345" s="8"/>
      <c r="C345" s="9"/>
      <c r="D345" s="51"/>
      <c r="E345" s="51"/>
      <c r="F345" s="51"/>
      <c r="G345" s="51"/>
      <c r="H345" s="52"/>
      <c r="I345" s="52"/>
      <c r="J345" s="52"/>
      <c r="K345" s="24"/>
      <c r="L345" s="7"/>
      <c r="M345" s="24"/>
      <c r="N345" s="24"/>
      <c r="O345" s="24"/>
      <c r="P345" s="24"/>
      <c r="Q345" s="24"/>
      <c r="R345" s="24"/>
      <c r="S345" s="24"/>
      <c r="T345" s="24"/>
      <c r="U345" s="24"/>
      <c r="V345" s="24"/>
      <c r="W345" s="24"/>
      <c r="X345" s="24"/>
      <c r="Y345" s="24"/>
      <c r="Z345" s="24"/>
      <c r="AA345" s="24"/>
      <c r="AB345" s="24"/>
      <c r="AC345" s="24"/>
      <c r="AD345" s="24"/>
      <c r="AE345" s="24"/>
      <c r="AF345" s="24"/>
      <c r="AG345" s="24"/>
      <c r="AH345" s="24"/>
      <c r="AI345" s="24"/>
      <c r="AJ345" s="24"/>
      <c r="AK345" s="24"/>
      <c r="AL345" s="24"/>
      <c r="AM345" s="24"/>
      <c r="AN345" s="24"/>
      <c r="AO345" s="24"/>
      <c r="AP345" s="24"/>
      <c r="AQ345" s="24"/>
      <c r="AR345" s="24"/>
      <c r="AS345" s="24"/>
      <c r="AT345" s="24"/>
      <c r="AU345" s="24"/>
      <c r="AV345" s="24"/>
      <c r="AW345" s="24"/>
      <c r="AX345" s="24"/>
      <c r="AY345" s="24"/>
      <c r="AZ345" s="24"/>
      <c r="BA345" s="24"/>
      <c r="BB345" s="24"/>
      <c r="BC345" s="24"/>
      <c r="BD345" s="24"/>
      <c r="BE345" s="24"/>
      <c r="BF345" s="24"/>
      <c r="BG345" s="24"/>
      <c r="BH345" s="24"/>
    </row>
    <row r="346" spans="1:60">
      <c r="A346" s="7"/>
      <c r="B346" s="8"/>
      <c r="C346" s="9"/>
      <c r="D346" s="51"/>
      <c r="E346" s="51"/>
      <c r="F346" s="51"/>
      <c r="G346" s="51"/>
      <c r="H346" s="52"/>
      <c r="I346" s="52"/>
      <c r="J346" s="52"/>
      <c r="K346" s="24"/>
      <c r="L346" s="7"/>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4"/>
      <c r="BF346" s="24"/>
      <c r="BG346" s="24"/>
      <c r="BH346" s="24"/>
    </row>
    <row r="347" spans="1:60">
      <c r="A347" s="7"/>
      <c r="B347" s="8"/>
      <c r="C347" s="9"/>
      <c r="D347" s="51"/>
      <c r="E347" s="51"/>
      <c r="F347" s="51"/>
      <c r="G347" s="51"/>
      <c r="H347" s="52"/>
      <c r="I347" s="52"/>
      <c r="J347" s="52"/>
      <c r="K347" s="24"/>
      <c r="L347" s="7"/>
      <c r="M347" s="24"/>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24"/>
      <c r="BB347" s="24"/>
      <c r="BC347" s="24"/>
      <c r="BD347" s="24"/>
      <c r="BE347" s="24"/>
      <c r="BF347" s="24"/>
      <c r="BG347" s="24"/>
      <c r="BH347" s="24"/>
    </row>
    <row r="348" spans="1:60">
      <c r="A348" s="7"/>
      <c r="B348" s="8"/>
      <c r="C348" s="9"/>
      <c r="D348" s="51"/>
      <c r="E348" s="51"/>
      <c r="F348" s="51"/>
      <c r="G348" s="51"/>
      <c r="H348" s="52"/>
      <c r="I348" s="52"/>
      <c r="J348" s="52"/>
      <c r="K348" s="24"/>
      <c r="L348" s="7"/>
      <c r="M348" s="24"/>
      <c r="N348" s="24"/>
      <c r="O348" s="24"/>
      <c r="P348" s="24"/>
      <c r="Q348" s="24"/>
      <c r="R348" s="24"/>
      <c r="S348" s="24"/>
      <c r="T348" s="24"/>
      <c r="U348" s="24"/>
      <c r="V348" s="24"/>
      <c r="W348" s="24"/>
      <c r="X348" s="24"/>
      <c r="Y348" s="24"/>
      <c r="Z348" s="24"/>
      <c r="AA348" s="24"/>
      <c r="AB348" s="24"/>
      <c r="AC348" s="24"/>
      <c r="AD348" s="24"/>
      <c r="AE348" s="24"/>
      <c r="AF348" s="24"/>
      <c r="AG348" s="24"/>
      <c r="AH348" s="24"/>
      <c r="AI348" s="24"/>
      <c r="AJ348" s="24"/>
      <c r="AK348" s="24"/>
      <c r="AL348" s="24"/>
      <c r="AM348" s="24"/>
      <c r="AN348" s="24"/>
      <c r="AO348" s="24"/>
      <c r="AP348" s="24"/>
      <c r="AQ348" s="24"/>
      <c r="AR348" s="24"/>
      <c r="AS348" s="24"/>
      <c r="AT348" s="24"/>
      <c r="AU348" s="24"/>
      <c r="AV348" s="24"/>
      <c r="AW348" s="24"/>
      <c r="AX348" s="24"/>
      <c r="AY348" s="24"/>
      <c r="AZ348" s="24"/>
      <c r="BA348" s="24"/>
      <c r="BB348" s="24"/>
      <c r="BC348" s="24"/>
      <c r="BD348" s="24"/>
      <c r="BE348" s="24"/>
      <c r="BF348" s="24"/>
      <c r="BG348" s="24"/>
      <c r="BH348" s="24"/>
    </row>
    <row r="349" spans="1:60">
      <c r="A349" s="7"/>
      <c r="B349" s="8"/>
      <c r="C349" s="9"/>
      <c r="D349" s="51"/>
      <c r="E349" s="51"/>
      <c r="F349" s="51"/>
      <c r="G349" s="51"/>
      <c r="H349" s="52"/>
      <c r="I349" s="52"/>
      <c r="J349" s="52"/>
      <c r="K349" s="24"/>
      <c r="L349" s="7"/>
      <c r="M349" s="24"/>
      <c r="N349" s="24"/>
      <c r="O349" s="24"/>
      <c r="P349" s="24"/>
      <c r="Q349" s="24"/>
      <c r="R349" s="24"/>
      <c r="S349" s="24"/>
      <c r="T349" s="24"/>
      <c r="U349" s="24"/>
      <c r="V349" s="24"/>
      <c r="W349" s="24"/>
      <c r="X349" s="24"/>
      <c r="Y349" s="24"/>
      <c r="Z349" s="24"/>
      <c r="AA349" s="24"/>
      <c r="AB349" s="24"/>
      <c r="AC349" s="24"/>
      <c r="AD349" s="24"/>
      <c r="AE349" s="24"/>
      <c r="AF349" s="24"/>
      <c r="AG349" s="24"/>
      <c r="AH349" s="24"/>
      <c r="AI349" s="24"/>
      <c r="AJ349" s="24"/>
      <c r="AK349" s="24"/>
      <c r="AL349" s="24"/>
      <c r="AM349" s="24"/>
      <c r="AN349" s="24"/>
      <c r="AO349" s="24"/>
      <c r="AP349" s="24"/>
      <c r="AQ349" s="24"/>
      <c r="AR349" s="24"/>
      <c r="AS349" s="24"/>
      <c r="AT349" s="24"/>
      <c r="AU349" s="24"/>
      <c r="AV349" s="24"/>
      <c r="AW349" s="24"/>
      <c r="AX349" s="24"/>
      <c r="AY349" s="24"/>
      <c r="AZ349" s="24"/>
      <c r="BA349" s="24"/>
      <c r="BB349" s="24"/>
      <c r="BC349" s="24"/>
      <c r="BD349" s="24"/>
      <c r="BE349" s="24"/>
      <c r="BF349" s="24"/>
      <c r="BG349" s="24"/>
      <c r="BH349" s="24"/>
    </row>
    <row r="350" spans="1:60">
      <c r="A350" s="7"/>
      <c r="B350" s="8"/>
      <c r="C350" s="9"/>
      <c r="D350" s="51"/>
      <c r="E350" s="51"/>
      <c r="F350" s="51"/>
      <c r="G350" s="51"/>
      <c r="H350" s="52"/>
      <c r="I350" s="52"/>
      <c r="J350" s="52"/>
      <c r="K350" s="24"/>
      <c r="L350" s="7"/>
      <c r="M350" s="24"/>
      <c r="N350" s="24"/>
      <c r="O350" s="24"/>
      <c r="P350" s="24"/>
      <c r="Q350" s="24"/>
      <c r="R350" s="24"/>
      <c r="S350" s="24"/>
      <c r="T350" s="24"/>
      <c r="U350" s="24"/>
      <c r="V350" s="24"/>
      <c r="W350" s="24"/>
      <c r="X350" s="24"/>
      <c r="Y350" s="24"/>
      <c r="Z350" s="24"/>
      <c r="AA350" s="24"/>
      <c r="AB350" s="24"/>
      <c r="AC350" s="24"/>
      <c r="AD350" s="24"/>
      <c r="AE350" s="24"/>
      <c r="AF350" s="24"/>
      <c r="AG350" s="24"/>
      <c r="AH350" s="24"/>
      <c r="AI350" s="24"/>
      <c r="AJ350" s="24"/>
      <c r="AK350" s="24"/>
      <c r="AL350" s="24"/>
      <c r="AM350" s="24"/>
      <c r="AN350" s="24"/>
      <c r="AO350" s="24"/>
      <c r="AP350" s="24"/>
      <c r="AQ350" s="24"/>
      <c r="AR350" s="24"/>
      <c r="AS350" s="24"/>
      <c r="AT350" s="24"/>
      <c r="AU350" s="24"/>
      <c r="AV350" s="24"/>
      <c r="AW350" s="24"/>
      <c r="AX350" s="24"/>
      <c r="AY350" s="24"/>
      <c r="AZ350" s="24"/>
      <c r="BA350" s="24"/>
      <c r="BB350" s="24"/>
      <c r="BC350" s="24"/>
      <c r="BD350" s="24"/>
      <c r="BE350" s="24"/>
      <c r="BF350" s="24"/>
      <c r="BG350" s="24"/>
      <c r="BH350" s="24"/>
    </row>
    <row r="351" spans="1:60">
      <c r="A351" s="7"/>
      <c r="B351" s="8"/>
      <c r="C351" s="9"/>
      <c r="D351" s="51"/>
      <c r="E351" s="51"/>
      <c r="F351" s="51"/>
      <c r="G351" s="51"/>
      <c r="H351" s="52"/>
      <c r="I351" s="52"/>
      <c r="J351" s="52"/>
      <c r="K351" s="24"/>
      <c r="L351" s="7"/>
      <c r="M351" s="24"/>
      <c r="N351" s="24"/>
      <c r="O351" s="24"/>
      <c r="P351" s="24"/>
      <c r="Q351" s="24"/>
      <c r="R351" s="24"/>
      <c r="S351" s="24"/>
      <c r="T351" s="24"/>
      <c r="U351" s="24"/>
      <c r="V351" s="24"/>
      <c r="W351" s="24"/>
      <c r="X351" s="24"/>
      <c r="Y351" s="24"/>
      <c r="Z351" s="24"/>
      <c r="AA351" s="24"/>
      <c r="AB351" s="24"/>
      <c r="AC351" s="24"/>
      <c r="AD351" s="24"/>
      <c r="AE351" s="24"/>
      <c r="AF351" s="24"/>
      <c r="AG351" s="24"/>
      <c r="AH351" s="24"/>
      <c r="AI351" s="24"/>
      <c r="AJ351" s="24"/>
      <c r="AK351" s="24"/>
      <c r="AL351" s="24"/>
      <c r="AM351" s="24"/>
      <c r="AN351" s="24"/>
      <c r="AO351" s="24"/>
      <c r="AP351" s="24"/>
      <c r="AQ351" s="24"/>
      <c r="AR351" s="24"/>
      <c r="AS351" s="24"/>
      <c r="AT351" s="24"/>
      <c r="AU351" s="24"/>
      <c r="AV351" s="24"/>
      <c r="AW351" s="24"/>
      <c r="AX351" s="24"/>
      <c r="AY351" s="24"/>
      <c r="AZ351" s="24"/>
      <c r="BA351" s="24"/>
      <c r="BB351" s="24"/>
      <c r="BC351" s="24"/>
      <c r="BD351" s="24"/>
      <c r="BE351" s="24"/>
      <c r="BF351" s="24"/>
      <c r="BG351" s="24"/>
      <c r="BH351" s="24"/>
    </row>
    <row r="352" spans="1:60">
      <c r="A352" s="7"/>
      <c r="B352" s="8"/>
      <c r="C352" s="9"/>
      <c r="D352" s="51"/>
      <c r="E352" s="51"/>
      <c r="F352" s="51"/>
      <c r="G352" s="51"/>
      <c r="H352" s="52"/>
      <c r="I352" s="52"/>
      <c r="J352" s="52"/>
      <c r="K352" s="24"/>
      <c r="L352" s="7"/>
      <c r="M352" s="24"/>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4"/>
      <c r="AK352" s="24"/>
      <c r="AL352" s="24"/>
      <c r="AM352" s="24"/>
      <c r="AN352" s="24"/>
      <c r="AO352" s="24"/>
      <c r="AP352" s="24"/>
      <c r="AQ352" s="24"/>
      <c r="AR352" s="24"/>
      <c r="AS352" s="24"/>
      <c r="AT352" s="24"/>
      <c r="AU352" s="24"/>
      <c r="AV352" s="24"/>
      <c r="AW352" s="24"/>
      <c r="AX352" s="24"/>
      <c r="AY352" s="24"/>
      <c r="AZ352" s="24"/>
      <c r="BA352" s="24"/>
      <c r="BB352" s="24"/>
      <c r="BC352" s="24"/>
      <c r="BD352" s="24"/>
      <c r="BE352" s="24"/>
      <c r="BF352" s="24"/>
      <c r="BG352" s="24"/>
      <c r="BH352" s="24"/>
    </row>
    <row r="353" spans="1:60">
      <c r="A353" s="7"/>
      <c r="B353" s="8"/>
      <c r="C353" s="9"/>
      <c r="D353" s="51"/>
      <c r="E353" s="51"/>
      <c r="F353" s="51"/>
      <c r="G353" s="51"/>
      <c r="H353" s="52"/>
      <c r="I353" s="52"/>
      <c r="J353" s="52"/>
      <c r="K353" s="24"/>
      <c r="L353" s="7"/>
      <c r="M353" s="24"/>
      <c r="N353" s="24"/>
      <c r="O353" s="24"/>
      <c r="P353" s="24"/>
      <c r="Q353" s="24"/>
      <c r="R353" s="24"/>
      <c r="S353" s="24"/>
      <c r="T353" s="24"/>
      <c r="U353" s="24"/>
      <c r="V353" s="24"/>
      <c r="W353" s="24"/>
      <c r="X353" s="24"/>
      <c r="Y353" s="24"/>
      <c r="Z353" s="24"/>
      <c r="AA353" s="24"/>
      <c r="AB353" s="24"/>
      <c r="AC353" s="24"/>
      <c r="AD353" s="24"/>
      <c r="AE353" s="24"/>
      <c r="AF353" s="24"/>
      <c r="AG353" s="24"/>
      <c r="AH353" s="24"/>
      <c r="AI353" s="24"/>
      <c r="AJ353" s="24"/>
      <c r="AK353" s="24"/>
      <c r="AL353" s="24"/>
      <c r="AM353" s="24"/>
      <c r="AN353" s="24"/>
      <c r="AO353" s="24"/>
      <c r="AP353" s="24"/>
      <c r="AQ353" s="24"/>
      <c r="AR353" s="24"/>
      <c r="AS353" s="24"/>
      <c r="AT353" s="24"/>
      <c r="AU353" s="24"/>
      <c r="AV353" s="24"/>
      <c r="AW353" s="24"/>
      <c r="AX353" s="24"/>
      <c r="AY353" s="24"/>
      <c r="AZ353" s="24"/>
      <c r="BA353" s="24"/>
      <c r="BB353" s="24"/>
      <c r="BC353" s="24"/>
      <c r="BD353" s="24"/>
      <c r="BE353" s="24"/>
      <c r="BF353" s="24"/>
      <c r="BG353" s="24"/>
      <c r="BH353" s="24"/>
    </row>
    <row r="354" spans="1:60">
      <c r="A354" s="7"/>
      <c r="B354" s="8"/>
      <c r="C354" s="9"/>
      <c r="D354" s="51"/>
      <c r="E354" s="51"/>
      <c r="F354" s="51"/>
      <c r="G354" s="51"/>
      <c r="H354" s="52"/>
      <c r="I354" s="52"/>
      <c r="J354" s="52"/>
      <c r="K354" s="24"/>
      <c r="L354" s="7"/>
      <c r="M354" s="24"/>
      <c r="N354" s="24"/>
      <c r="O354" s="24"/>
      <c r="P354" s="24"/>
      <c r="Q354" s="24"/>
      <c r="R354" s="24"/>
      <c r="S354" s="24"/>
      <c r="T354" s="24"/>
      <c r="U354" s="24"/>
      <c r="V354" s="24"/>
      <c r="W354" s="24"/>
      <c r="X354" s="24"/>
      <c r="Y354" s="24"/>
      <c r="Z354" s="24"/>
      <c r="AA354" s="24"/>
      <c r="AB354" s="24"/>
      <c r="AC354" s="24"/>
      <c r="AD354" s="24"/>
      <c r="AE354" s="24"/>
      <c r="AF354" s="24"/>
      <c r="AG354" s="24"/>
      <c r="AH354" s="24"/>
      <c r="AI354" s="24"/>
      <c r="AJ354" s="24"/>
      <c r="AK354" s="24"/>
      <c r="AL354" s="24"/>
      <c r="AM354" s="24"/>
      <c r="AN354" s="24"/>
      <c r="AO354" s="24"/>
      <c r="AP354" s="24"/>
      <c r="AQ354" s="24"/>
      <c r="AR354" s="24"/>
      <c r="AS354" s="24"/>
      <c r="AT354" s="24"/>
      <c r="AU354" s="24"/>
      <c r="AV354" s="24"/>
      <c r="AW354" s="24"/>
      <c r="AX354" s="24"/>
      <c r="AY354" s="24"/>
      <c r="AZ354" s="24"/>
      <c r="BA354" s="24"/>
      <c r="BB354" s="24"/>
      <c r="BC354" s="24"/>
      <c r="BD354" s="24"/>
      <c r="BE354" s="24"/>
      <c r="BF354" s="24"/>
      <c r="BG354" s="24"/>
      <c r="BH354" s="24"/>
    </row>
    <row r="355" spans="1:60">
      <c r="A355" s="7"/>
      <c r="B355" s="8"/>
      <c r="C355" s="9"/>
      <c r="D355" s="51"/>
      <c r="E355" s="51"/>
      <c r="F355" s="51"/>
      <c r="G355" s="51"/>
      <c r="H355" s="52"/>
      <c r="I355" s="52"/>
      <c r="J355" s="52"/>
      <c r="K355" s="24"/>
      <c r="L355" s="7"/>
      <c r="M355" s="24"/>
      <c r="N355" s="24"/>
      <c r="O355" s="24"/>
      <c r="P355" s="24"/>
      <c r="Q355" s="24"/>
      <c r="R355" s="24"/>
      <c r="S355" s="24"/>
      <c r="T355" s="24"/>
      <c r="U355" s="24"/>
      <c r="V355" s="24"/>
      <c r="W355" s="24"/>
      <c r="X355" s="24"/>
      <c r="Y355" s="24"/>
      <c r="Z355" s="24"/>
      <c r="AA355" s="24"/>
      <c r="AB355" s="24"/>
      <c r="AC355" s="24"/>
      <c r="AD355" s="24"/>
      <c r="AE355" s="24"/>
      <c r="AF355" s="24"/>
      <c r="AG355" s="24"/>
      <c r="AH355" s="24"/>
      <c r="AI355" s="24"/>
      <c r="AJ355" s="24"/>
      <c r="AK355" s="24"/>
      <c r="AL355" s="24"/>
      <c r="AM355" s="24"/>
      <c r="AN355" s="24"/>
      <c r="AO355" s="24"/>
      <c r="AP355" s="24"/>
      <c r="AQ355" s="24"/>
      <c r="AR355" s="24"/>
      <c r="AS355" s="24"/>
      <c r="AT355" s="24"/>
      <c r="AU355" s="24"/>
      <c r="AV355" s="24"/>
      <c r="AW355" s="24"/>
      <c r="AX355" s="24"/>
      <c r="AY355" s="24"/>
      <c r="AZ355" s="24"/>
      <c r="BA355" s="24"/>
      <c r="BB355" s="24"/>
      <c r="BC355" s="24"/>
      <c r="BD355" s="24"/>
      <c r="BE355" s="24"/>
      <c r="BF355" s="24"/>
      <c r="BG355" s="24"/>
      <c r="BH355" s="24"/>
    </row>
    <row r="356" spans="1:60">
      <c r="A356" s="7"/>
      <c r="B356" s="8"/>
      <c r="C356" s="9"/>
      <c r="D356" s="51"/>
      <c r="E356" s="51"/>
      <c r="F356" s="51"/>
      <c r="G356" s="51"/>
      <c r="H356" s="52"/>
      <c r="I356" s="52"/>
      <c r="J356" s="52"/>
      <c r="K356" s="24"/>
      <c r="L356" s="7"/>
      <c r="M356" s="24"/>
      <c r="N356" s="24"/>
      <c r="O356" s="24"/>
      <c r="P356" s="24"/>
      <c r="Q356" s="24"/>
      <c r="R356" s="24"/>
      <c r="S356" s="24"/>
      <c r="T356" s="24"/>
      <c r="U356" s="24"/>
      <c r="V356" s="24"/>
      <c r="W356" s="24"/>
      <c r="X356" s="24"/>
      <c r="Y356" s="24"/>
      <c r="Z356" s="24"/>
      <c r="AA356" s="24"/>
      <c r="AB356" s="24"/>
      <c r="AC356" s="24"/>
      <c r="AD356" s="24"/>
      <c r="AE356" s="24"/>
      <c r="AF356" s="24"/>
      <c r="AG356" s="24"/>
      <c r="AH356" s="24"/>
      <c r="AI356" s="24"/>
      <c r="AJ356" s="24"/>
      <c r="AK356" s="24"/>
      <c r="AL356" s="24"/>
      <c r="AM356" s="24"/>
      <c r="AN356" s="24"/>
      <c r="AO356" s="24"/>
      <c r="AP356" s="24"/>
      <c r="AQ356" s="24"/>
      <c r="AR356" s="24"/>
      <c r="AS356" s="24"/>
      <c r="AT356" s="24"/>
      <c r="AU356" s="24"/>
      <c r="AV356" s="24"/>
      <c r="AW356" s="24"/>
      <c r="AX356" s="24"/>
      <c r="AY356" s="24"/>
      <c r="AZ356" s="24"/>
      <c r="BA356" s="24"/>
      <c r="BB356" s="24"/>
      <c r="BC356" s="24"/>
      <c r="BD356" s="24"/>
      <c r="BE356" s="24"/>
      <c r="BF356" s="24"/>
      <c r="BG356" s="24"/>
      <c r="BH356" s="24"/>
    </row>
    <row r="357" spans="1:60">
      <c r="A357" s="7"/>
      <c r="B357" s="8"/>
      <c r="C357" s="9"/>
      <c r="D357" s="51"/>
      <c r="E357" s="51"/>
      <c r="F357" s="51"/>
      <c r="G357" s="51"/>
      <c r="H357" s="52"/>
      <c r="I357" s="52"/>
      <c r="J357" s="52"/>
      <c r="K357" s="24"/>
      <c r="L357" s="7"/>
      <c r="M357" s="24"/>
      <c r="N357" s="24"/>
      <c r="O357" s="24"/>
      <c r="P357" s="24"/>
      <c r="Q357" s="24"/>
      <c r="R357" s="24"/>
      <c r="S357" s="24"/>
      <c r="T357" s="24"/>
      <c r="U357" s="24"/>
      <c r="V357" s="24"/>
      <c r="W357" s="24"/>
      <c r="X357" s="24"/>
      <c r="Y357" s="24"/>
      <c r="Z357" s="24"/>
      <c r="AA357" s="24"/>
      <c r="AB357" s="24"/>
      <c r="AC357" s="24"/>
      <c r="AD357" s="24"/>
      <c r="AE357" s="24"/>
      <c r="AF357" s="24"/>
      <c r="AG357" s="24"/>
      <c r="AH357" s="24"/>
      <c r="AI357" s="24"/>
      <c r="AJ357" s="24"/>
      <c r="AK357" s="24"/>
      <c r="AL357" s="24"/>
      <c r="AM357" s="24"/>
      <c r="AN357" s="24"/>
      <c r="AO357" s="24"/>
      <c r="AP357" s="24"/>
      <c r="AQ357" s="24"/>
      <c r="AR357" s="24"/>
      <c r="AS357" s="24"/>
      <c r="AT357" s="24"/>
      <c r="AU357" s="24"/>
      <c r="AV357" s="24"/>
      <c r="AW357" s="24"/>
      <c r="AX357" s="24"/>
      <c r="AY357" s="24"/>
      <c r="AZ357" s="24"/>
      <c r="BA357" s="24"/>
      <c r="BB357" s="24"/>
      <c r="BC357" s="24"/>
      <c r="BD357" s="24"/>
      <c r="BE357" s="24"/>
      <c r="BF357" s="24"/>
      <c r="BG357" s="24"/>
      <c r="BH357" s="24"/>
    </row>
    <row r="358" spans="1:60">
      <c r="A358" s="7"/>
      <c r="B358" s="8"/>
      <c r="C358" s="9"/>
      <c r="D358" s="51"/>
      <c r="E358" s="51"/>
      <c r="F358" s="51"/>
      <c r="G358" s="51"/>
      <c r="H358" s="52"/>
      <c r="I358" s="52"/>
      <c r="J358" s="52"/>
      <c r="K358" s="24"/>
      <c r="L358" s="7"/>
      <c r="M358" s="24"/>
      <c r="N358" s="24"/>
      <c r="O358" s="24"/>
      <c r="P358" s="24"/>
      <c r="Q358" s="24"/>
      <c r="R358" s="24"/>
      <c r="S358" s="24"/>
      <c r="T358" s="24"/>
      <c r="U358" s="24"/>
      <c r="V358" s="24"/>
      <c r="W358" s="24"/>
      <c r="X358" s="24"/>
      <c r="Y358" s="24"/>
      <c r="Z358" s="24"/>
      <c r="AA358" s="24"/>
      <c r="AB358" s="24"/>
      <c r="AC358" s="24"/>
      <c r="AD358" s="24"/>
      <c r="AE358" s="24"/>
      <c r="AF358" s="24"/>
      <c r="AG358" s="24"/>
      <c r="AH358" s="24"/>
      <c r="AI358" s="24"/>
      <c r="AJ358" s="24"/>
      <c r="AK358" s="24"/>
      <c r="AL358" s="24"/>
      <c r="AM358" s="24"/>
      <c r="AN358" s="24"/>
      <c r="AO358" s="24"/>
      <c r="AP358" s="24"/>
      <c r="AQ358" s="24"/>
      <c r="AR358" s="24"/>
      <c r="AS358" s="24"/>
      <c r="AT358" s="24"/>
      <c r="AU358" s="24"/>
      <c r="AV358" s="24"/>
      <c r="AW358" s="24"/>
      <c r="AX358" s="24"/>
      <c r="AY358" s="24"/>
      <c r="AZ358" s="24"/>
      <c r="BA358" s="24"/>
      <c r="BB358" s="24"/>
      <c r="BC358" s="24"/>
      <c r="BD358" s="24"/>
      <c r="BE358" s="24"/>
      <c r="BF358" s="24"/>
      <c r="BG358" s="24"/>
      <c r="BH358" s="24"/>
    </row>
    <row r="359" spans="1:60">
      <c r="A359" s="7"/>
      <c r="B359" s="8"/>
      <c r="C359" s="9"/>
      <c r="D359" s="51"/>
      <c r="E359" s="51"/>
      <c r="F359" s="51"/>
      <c r="G359" s="51"/>
      <c r="H359" s="52"/>
      <c r="I359" s="52"/>
      <c r="J359" s="52"/>
      <c r="K359" s="24"/>
      <c r="L359" s="7"/>
      <c r="M359" s="24"/>
      <c r="N359" s="24"/>
      <c r="O359" s="24"/>
      <c r="P359" s="24"/>
      <c r="Q359" s="24"/>
      <c r="R359" s="24"/>
      <c r="S359" s="24"/>
      <c r="T359" s="24"/>
      <c r="U359" s="24"/>
      <c r="V359" s="24"/>
      <c r="W359" s="24"/>
      <c r="X359" s="24"/>
      <c r="Y359" s="24"/>
      <c r="Z359" s="24"/>
      <c r="AA359" s="24"/>
      <c r="AB359" s="24"/>
      <c r="AC359" s="24"/>
      <c r="AD359" s="24"/>
      <c r="AE359" s="24"/>
      <c r="AF359" s="24"/>
      <c r="AG359" s="24"/>
      <c r="AH359" s="24"/>
      <c r="AI359" s="24"/>
      <c r="AJ359" s="24"/>
      <c r="AK359" s="24"/>
      <c r="AL359" s="24"/>
      <c r="AM359" s="24"/>
      <c r="AN359" s="24"/>
      <c r="AO359" s="24"/>
      <c r="AP359" s="24"/>
      <c r="AQ359" s="24"/>
      <c r="AR359" s="24"/>
      <c r="AS359" s="24"/>
      <c r="AT359" s="24"/>
      <c r="AU359" s="24"/>
      <c r="AV359" s="24"/>
      <c r="AW359" s="24"/>
      <c r="AX359" s="24"/>
      <c r="AY359" s="24"/>
      <c r="AZ359" s="24"/>
      <c r="BA359" s="24"/>
      <c r="BB359" s="24"/>
      <c r="BC359" s="24"/>
      <c r="BD359" s="24"/>
      <c r="BE359" s="24"/>
      <c r="BF359" s="24"/>
      <c r="BG359" s="24"/>
      <c r="BH359" s="24"/>
    </row>
    <row r="360" spans="1:60">
      <c r="A360" s="7"/>
      <c r="B360" s="8"/>
      <c r="C360" s="9"/>
      <c r="D360" s="51"/>
      <c r="E360" s="51"/>
      <c r="F360" s="51"/>
      <c r="G360" s="51"/>
      <c r="H360" s="52"/>
      <c r="I360" s="52"/>
      <c r="J360" s="52"/>
      <c r="K360" s="24"/>
      <c r="L360" s="7"/>
      <c r="M360" s="24"/>
      <c r="N360" s="24"/>
      <c r="O360" s="24"/>
      <c r="P360" s="24"/>
      <c r="Q360" s="24"/>
      <c r="R360" s="24"/>
      <c r="S360" s="24"/>
      <c r="T360" s="24"/>
      <c r="U360" s="24"/>
      <c r="V360" s="24"/>
      <c r="W360" s="24"/>
      <c r="X360" s="24"/>
      <c r="Y360" s="24"/>
      <c r="Z360" s="24"/>
      <c r="AA360" s="24"/>
      <c r="AB360" s="24"/>
      <c r="AC360" s="24"/>
      <c r="AD360" s="24"/>
      <c r="AE360" s="24"/>
      <c r="AF360" s="24"/>
      <c r="AG360" s="24"/>
      <c r="AH360" s="24"/>
      <c r="AI360" s="24"/>
      <c r="AJ360" s="24"/>
      <c r="AK360" s="24"/>
      <c r="AL360" s="24"/>
      <c r="AM360" s="24"/>
      <c r="AN360" s="24"/>
      <c r="AO360" s="24"/>
      <c r="AP360" s="24"/>
      <c r="AQ360" s="24"/>
      <c r="AR360" s="24"/>
      <c r="AS360" s="24"/>
      <c r="AT360" s="24"/>
      <c r="AU360" s="24"/>
      <c r="AV360" s="24"/>
      <c r="AW360" s="24"/>
      <c r="AX360" s="24"/>
      <c r="AY360" s="24"/>
      <c r="AZ360" s="24"/>
      <c r="BA360" s="24"/>
      <c r="BB360" s="24"/>
      <c r="BC360" s="24"/>
      <c r="BD360" s="24"/>
      <c r="BE360" s="24"/>
      <c r="BF360" s="24"/>
      <c r="BG360" s="24"/>
      <c r="BH360" s="24"/>
    </row>
    <row r="361" spans="1:60">
      <c r="A361" s="7"/>
      <c r="B361" s="8"/>
      <c r="C361" s="9"/>
      <c r="D361" s="51"/>
      <c r="E361" s="51"/>
      <c r="F361" s="51"/>
      <c r="G361" s="51"/>
      <c r="H361" s="52"/>
      <c r="I361" s="52"/>
      <c r="J361" s="52"/>
      <c r="K361" s="24"/>
      <c r="L361" s="7"/>
      <c r="M361" s="24"/>
      <c r="N361" s="24"/>
      <c r="O361" s="24"/>
      <c r="P361" s="24"/>
      <c r="Q361" s="24"/>
      <c r="R361" s="24"/>
      <c r="S361" s="24"/>
      <c r="T361" s="24"/>
      <c r="U361" s="24"/>
      <c r="V361" s="24"/>
      <c r="W361" s="24"/>
      <c r="X361" s="24"/>
      <c r="Y361" s="24"/>
      <c r="Z361" s="24"/>
      <c r="AA361" s="24"/>
      <c r="AB361" s="24"/>
      <c r="AC361" s="24"/>
      <c r="AD361" s="24"/>
      <c r="AE361" s="24"/>
      <c r="AF361" s="24"/>
      <c r="AG361" s="24"/>
      <c r="AH361" s="24"/>
      <c r="AI361" s="24"/>
      <c r="AJ361" s="24"/>
      <c r="AK361" s="24"/>
      <c r="AL361" s="24"/>
      <c r="AM361" s="24"/>
      <c r="AN361" s="24"/>
      <c r="AO361" s="24"/>
      <c r="AP361" s="24"/>
      <c r="AQ361" s="24"/>
      <c r="AR361" s="24"/>
      <c r="AS361" s="24"/>
      <c r="AT361" s="24"/>
      <c r="AU361" s="24"/>
      <c r="AV361" s="24"/>
      <c r="AW361" s="24"/>
      <c r="AX361" s="24"/>
      <c r="AY361" s="24"/>
      <c r="AZ361" s="24"/>
      <c r="BA361" s="24"/>
      <c r="BB361" s="24"/>
      <c r="BC361" s="24"/>
      <c r="BD361" s="24"/>
      <c r="BE361" s="24"/>
      <c r="BF361" s="24"/>
      <c r="BG361" s="24"/>
      <c r="BH361" s="24"/>
    </row>
    <row r="362" spans="1:60">
      <c r="A362" s="7"/>
      <c r="B362" s="8"/>
      <c r="C362" s="9"/>
      <c r="D362" s="51"/>
      <c r="E362" s="51"/>
      <c r="F362" s="51"/>
      <c r="G362" s="51"/>
      <c r="H362" s="52"/>
      <c r="I362" s="52"/>
      <c r="J362" s="52"/>
      <c r="K362" s="24"/>
      <c r="L362" s="7"/>
      <c r="M362" s="24"/>
      <c r="N362" s="24"/>
      <c r="O362" s="24"/>
      <c r="P362" s="24"/>
      <c r="Q362" s="24"/>
      <c r="R362" s="24"/>
      <c r="S362" s="24"/>
      <c r="T362" s="24"/>
      <c r="U362" s="24"/>
      <c r="V362" s="24"/>
      <c r="W362" s="24"/>
      <c r="X362" s="24"/>
      <c r="Y362" s="24"/>
      <c r="Z362" s="24"/>
      <c r="AA362" s="24"/>
      <c r="AB362" s="24"/>
      <c r="AC362" s="24"/>
      <c r="AD362" s="24"/>
      <c r="AE362" s="24"/>
      <c r="AF362" s="24"/>
      <c r="AG362" s="24"/>
      <c r="AH362" s="24"/>
      <c r="AI362" s="24"/>
      <c r="AJ362" s="24"/>
      <c r="AK362" s="24"/>
      <c r="AL362" s="24"/>
      <c r="AM362" s="24"/>
      <c r="AN362" s="24"/>
      <c r="AO362" s="24"/>
      <c r="AP362" s="24"/>
      <c r="AQ362" s="24"/>
      <c r="AR362" s="24"/>
      <c r="AS362" s="24"/>
      <c r="AT362" s="24"/>
      <c r="AU362" s="24"/>
      <c r="AV362" s="24"/>
      <c r="AW362" s="24"/>
      <c r="AX362" s="24"/>
      <c r="AY362" s="24"/>
      <c r="AZ362" s="24"/>
      <c r="BA362" s="24"/>
      <c r="BB362" s="24"/>
      <c r="BC362" s="24"/>
      <c r="BD362" s="24"/>
      <c r="BE362" s="24"/>
      <c r="BF362" s="24"/>
      <c r="BG362" s="24"/>
      <c r="BH362" s="24"/>
    </row>
    <row r="363" spans="1:60">
      <c r="A363" s="7"/>
      <c r="B363" s="8"/>
      <c r="C363" s="9"/>
      <c r="D363" s="51"/>
      <c r="E363" s="51"/>
      <c r="F363" s="51"/>
      <c r="G363" s="51"/>
      <c r="H363" s="52"/>
      <c r="I363" s="52"/>
      <c r="J363" s="52"/>
      <c r="K363" s="24"/>
      <c r="L363" s="7"/>
      <c r="M363" s="24"/>
      <c r="N363" s="24"/>
      <c r="O363" s="24"/>
      <c r="P363" s="24"/>
      <c r="Q363" s="24"/>
      <c r="R363" s="24"/>
      <c r="S363" s="24"/>
      <c r="T363" s="24"/>
      <c r="U363" s="24"/>
      <c r="V363" s="24"/>
      <c r="W363" s="24"/>
      <c r="X363" s="24"/>
      <c r="Y363" s="24"/>
      <c r="Z363" s="24"/>
      <c r="AA363" s="24"/>
      <c r="AB363" s="24"/>
      <c r="AC363" s="24"/>
      <c r="AD363" s="24"/>
      <c r="AE363" s="24"/>
      <c r="AF363" s="24"/>
      <c r="AG363" s="24"/>
      <c r="AH363" s="24"/>
      <c r="AI363" s="24"/>
      <c r="AJ363" s="24"/>
      <c r="AK363" s="24"/>
      <c r="AL363" s="24"/>
      <c r="AM363" s="24"/>
      <c r="AN363" s="24"/>
      <c r="AO363" s="24"/>
      <c r="AP363" s="24"/>
      <c r="AQ363" s="24"/>
      <c r="AR363" s="24"/>
      <c r="AS363" s="24"/>
      <c r="AT363" s="24"/>
      <c r="AU363" s="24"/>
      <c r="AV363" s="24"/>
      <c r="AW363" s="24"/>
      <c r="AX363" s="24"/>
      <c r="AY363" s="24"/>
      <c r="AZ363" s="24"/>
      <c r="BA363" s="24"/>
      <c r="BB363" s="24"/>
      <c r="BC363" s="24"/>
      <c r="BD363" s="24"/>
      <c r="BE363" s="24"/>
      <c r="BF363" s="24"/>
      <c r="BG363" s="24"/>
      <c r="BH363" s="24"/>
    </row>
    <row r="364" spans="1:60">
      <c r="A364" s="7"/>
      <c r="B364" s="8"/>
      <c r="C364" s="9"/>
      <c r="D364" s="51"/>
      <c r="E364" s="51"/>
      <c r="F364" s="51"/>
      <c r="G364" s="51"/>
      <c r="H364" s="52"/>
      <c r="I364" s="52"/>
      <c r="J364" s="52"/>
      <c r="K364" s="24"/>
      <c r="L364" s="7"/>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4"/>
      <c r="AK364" s="24"/>
      <c r="AL364" s="24"/>
      <c r="AM364" s="24"/>
      <c r="AN364" s="24"/>
      <c r="AO364" s="24"/>
      <c r="AP364" s="24"/>
      <c r="AQ364" s="24"/>
      <c r="AR364" s="24"/>
      <c r="AS364" s="24"/>
      <c r="AT364" s="24"/>
      <c r="AU364" s="24"/>
      <c r="AV364" s="24"/>
      <c r="AW364" s="24"/>
      <c r="AX364" s="24"/>
      <c r="AY364" s="24"/>
      <c r="AZ364" s="24"/>
      <c r="BA364" s="24"/>
      <c r="BB364" s="24"/>
      <c r="BC364" s="24"/>
      <c r="BD364" s="24"/>
      <c r="BE364" s="24"/>
      <c r="BF364" s="24"/>
      <c r="BG364" s="24"/>
      <c r="BH364" s="24"/>
    </row>
    <row r="365" spans="1:60">
      <c r="A365" s="7"/>
      <c r="B365" s="8"/>
      <c r="C365" s="9"/>
      <c r="D365" s="51"/>
      <c r="E365" s="51"/>
      <c r="F365" s="51"/>
      <c r="G365" s="51"/>
      <c r="H365" s="52"/>
      <c r="I365" s="52"/>
      <c r="J365" s="52"/>
      <c r="K365" s="24"/>
      <c r="L365" s="7"/>
      <c r="M365" s="24"/>
      <c r="N365" s="24"/>
      <c r="O365" s="24"/>
      <c r="P365" s="24"/>
      <c r="Q365" s="24"/>
      <c r="R365" s="24"/>
      <c r="S365" s="24"/>
      <c r="T365" s="24"/>
      <c r="U365" s="24"/>
      <c r="V365" s="24"/>
      <c r="W365" s="24"/>
      <c r="X365" s="24"/>
      <c r="Y365" s="24"/>
      <c r="Z365" s="24"/>
      <c r="AA365" s="24"/>
      <c r="AB365" s="24"/>
      <c r="AC365" s="24"/>
      <c r="AD365" s="24"/>
      <c r="AE365" s="24"/>
      <c r="AF365" s="24"/>
      <c r="AG365" s="24"/>
      <c r="AH365" s="24"/>
      <c r="AI365" s="24"/>
      <c r="AJ365" s="24"/>
      <c r="AK365" s="24"/>
      <c r="AL365" s="24"/>
      <c r="AM365" s="24"/>
      <c r="AN365" s="24"/>
      <c r="AO365" s="24"/>
      <c r="AP365" s="24"/>
      <c r="AQ365" s="24"/>
      <c r="AR365" s="24"/>
      <c r="AS365" s="24"/>
      <c r="AT365" s="24"/>
      <c r="AU365" s="24"/>
      <c r="AV365" s="24"/>
      <c r="AW365" s="24"/>
      <c r="AX365" s="24"/>
      <c r="AY365" s="24"/>
      <c r="AZ365" s="24"/>
      <c r="BA365" s="24"/>
      <c r="BB365" s="24"/>
      <c r="BC365" s="24"/>
      <c r="BD365" s="24"/>
      <c r="BE365" s="24"/>
      <c r="BF365" s="24"/>
      <c r="BG365" s="24"/>
      <c r="BH365" s="24"/>
    </row>
    <row r="366" spans="1:60">
      <c r="A366" s="7"/>
      <c r="B366" s="8"/>
      <c r="C366" s="9"/>
      <c r="D366" s="51"/>
      <c r="E366" s="51"/>
      <c r="F366" s="51"/>
      <c r="G366" s="51"/>
      <c r="H366" s="52"/>
      <c r="I366" s="52"/>
      <c r="J366" s="52"/>
      <c r="K366" s="24"/>
      <c r="L366" s="7"/>
      <c r="M366" s="24"/>
      <c r="N366" s="24"/>
      <c r="O366" s="24"/>
      <c r="P366" s="24"/>
      <c r="Q366" s="24"/>
      <c r="R366" s="24"/>
      <c r="S366" s="24"/>
      <c r="T366" s="24"/>
      <c r="U366" s="24"/>
      <c r="V366" s="24"/>
      <c r="W366" s="24"/>
      <c r="X366" s="24"/>
      <c r="Y366" s="24"/>
      <c r="Z366" s="24"/>
      <c r="AA366" s="24"/>
      <c r="AB366" s="24"/>
      <c r="AC366" s="24"/>
      <c r="AD366" s="24"/>
      <c r="AE366" s="24"/>
      <c r="AF366" s="24"/>
      <c r="AG366" s="24"/>
      <c r="AH366" s="24"/>
      <c r="AI366" s="24"/>
      <c r="AJ366" s="24"/>
      <c r="AK366" s="24"/>
      <c r="AL366" s="24"/>
      <c r="AM366" s="24"/>
      <c r="AN366" s="24"/>
      <c r="AO366" s="24"/>
      <c r="AP366" s="24"/>
      <c r="AQ366" s="24"/>
      <c r="AR366" s="24"/>
      <c r="AS366" s="24"/>
      <c r="AT366" s="24"/>
      <c r="AU366" s="24"/>
      <c r="AV366" s="24"/>
      <c r="AW366" s="24"/>
      <c r="AX366" s="24"/>
      <c r="AY366" s="24"/>
      <c r="AZ366" s="24"/>
      <c r="BA366" s="24"/>
      <c r="BB366" s="24"/>
      <c r="BC366" s="24"/>
      <c r="BD366" s="24"/>
      <c r="BE366" s="24"/>
      <c r="BF366" s="24"/>
      <c r="BG366" s="24"/>
      <c r="BH366" s="24"/>
    </row>
    <row r="367" spans="1:60">
      <c r="A367" s="7"/>
      <c r="B367" s="8"/>
      <c r="C367" s="9"/>
      <c r="D367" s="51"/>
      <c r="E367" s="51"/>
      <c r="F367" s="51"/>
      <c r="G367" s="51"/>
      <c r="H367" s="52"/>
      <c r="I367" s="52"/>
      <c r="J367" s="52"/>
      <c r="K367" s="24"/>
      <c r="L367" s="7"/>
      <c r="M367" s="24"/>
      <c r="N367" s="24"/>
      <c r="O367" s="24"/>
      <c r="P367" s="24"/>
      <c r="Q367" s="24"/>
      <c r="R367" s="24"/>
      <c r="S367" s="24"/>
      <c r="T367" s="24"/>
      <c r="U367" s="24"/>
      <c r="V367" s="24"/>
      <c r="W367" s="24"/>
      <c r="X367" s="24"/>
      <c r="Y367" s="24"/>
      <c r="Z367" s="24"/>
      <c r="AA367" s="24"/>
      <c r="AB367" s="24"/>
      <c r="AC367" s="24"/>
      <c r="AD367" s="24"/>
      <c r="AE367" s="24"/>
      <c r="AF367" s="24"/>
      <c r="AG367" s="24"/>
      <c r="AH367" s="24"/>
      <c r="AI367" s="24"/>
      <c r="AJ367" s="24"/>
      <c r="AK367" s="24"/>
      <c r="AL367" s="24"/>
      <c r="AM367" s="24"/>
      <c r="AN367" s="24"/>
      <c r="AO367" s="24"/>
      <c r="AP367" s="24"/>
      <c r="AQ367" s="24"/>
      <c r="AR367" s="24"/>
      <c r="AS367" s="24"/>
      <c r="AT367" s="24"/>
      <c r="AU367" s="24"/>
      <c r="AV367" s="24"/>
      <c r="AW367" s="24"/>
      <c r="AX367" s="24"/>
      <c r="AY367" s="24"/>
      <c r="AZ367" s="24"/>
      <c r="BA367" s="24"/>
      <c r="BB367" s="24"/>
      <c r="BC367" s="24"/>
      <c r="BD367" s="24"/>
      <c r="BE367" s="24"/>
      <c r="BF367" s="24"/>
      <c r="BG367" s="24"/>
      <c r="BH367" s="24"/>
    </row>
    <row r="368" spans="1:60">
      <c r="A368" s="7"/>
      <c r="B368" s="8"/>
      <c r="C368" s="9"/>
      <c r="D368" s="51"/>
      <c r="E368" s="51"/>
      <c r="F368" s="51"/>
      <c r="G368" s="51"/>
      <c r="H368" s="52"/>
      <c r="I368" s="52"/>
      <c r="J368" s="52"/>
      <c r="K368" s="24"/>
      <c r="L368" s="7"/>
      <c r="M368" s="24"/>
      <c r="N368" s="24"/>
      <c r="O368" s="24"/>
      <c r="P368" s="24"/>
      <c r="Q368" s="24"/>
      <c r="R368" s="24"/>
      <c r="S368" s="24"/>
      <c r="T368" s="24"/>
      <c r="U368" s="24"/>
      <c r="V368" s="24"/>
      <c r="W368" s="24"/>
      <c r="X368" s="24"/>
      <c r="Y368" s="24"/>
      <c r="Z368" s="24"/>
      <c r="AA368" s="24"/>
      <c r="AB368" s="24"/>
      <c r="AC368" s="24"/>
      <c r="AD368" s="24"/>
      <c r="AE368" s="24"/>
      <c r="AF368" s="24"/>
      <c r="AG368" s="24"/>
      <c r="AH368" s="24"/>
      <c r="AI368" s="24"/>
      <c r="AJ368" s="24"/>
      <c r="AK368" s="24"/>
      <c r="AL368" s="24"/>
      <c r="AM368" s="24"/>
      <c r="AN368" s="24"/>
      <c r="AO368" s="24"/>
      <c r="AP368" s="24"/>
      <c r="AQ368" s="24"/>
      <c r="AR368" s="24"/>
      <c r="AS368" s="24"/>
      <c r="AT368" s="24"/>
      <c r="AU368" s="24"/>
      <c r="AV368" s="24"/>
      <c r="AW368" s="24"/>
      <c r="AX368" s="24"/>
      <c r="AY368" s="24"/>
      <c r="AZ368" s="24"/>
      <c r="BA368" s="24"/>
      <c r="BB368" s="24"/>
      <c r="BC368" s="24"/>
      <c r="BD368" s="24"/>
      <c r="BE368" s="24"/>
      <c r="BF368" s="24"/>
      <c r="BG368" s="24"/>
      <c r="BH368" s="24"/>
    </row>
    <row r="369" spans="1:60">
      <c r="A369" s="7"/>
      <c r="B369" s="8"/>
      <c r="C369" s="9"/>
      <c r="D369" s="51"/>
      <c r="E369" s="51"/>
      <c r="F369" s="51"/>
      <c r="G369" s="51"/>
      <c r="H369" s="52"/>
      <c r="I369" s="52"/>
      <c r="J369" s="52"/>
      <c r="K369" s="24"/>
      <c r="L369" s="7"/>
      <c r="M369" s="24"/>
      <c r="N369" s="24"/>
      <c r="O369" s="24"/>
      <c r="P369" s="24"/>
      <c r="Q369" s="24"/>
      <c r="R369" s="24"/>
      <c r="S369" s="24"/>
      <c r="T369" s="24"/>
      <c r="U369" s="24"/>
      <c r="V369" s="24"/>
      <c r="W369" s="24"/>
      <c r="X369" s="24"/>
      <c r="Y369" s="24"/>
      <c r="Z369" s="24"/>
      <c r="AA369" s="24"/>
      <c r="AB369" s="24"/>
      <c r="AC369" s="24"/>
      <c r="AD369" s="24"/>
      <c r="AE369" s="24"/>
      <c r="AF369" s="24"/>
      <c r="AG369" s="24"/>
      <c r="AH369" s="24"/>
      <c r="AI369" s="24"/>
      <c r="AJ369" s="24"/>
      <c r="AK369" s="24"/>
      <c r="AL369" s="24"/>
      <c r="AM369" s="24"/>
      <c r="AN369" s="24"/>
      <c r="AO369" s="24"/>
      <c r="AP369" s="24"/>
      <c r="AQ369" s="24"/>
      <c r="AR369" s="24"/>
      <c r="AS369" s="24"/>
      <c r="AT369" s="24"/>
      <c r="AU369" s="24"/>
      <c r="AV369" s="24"/>
      <c r="AW369" s="24"/>
      <c r="AX369" s="24"/>
      <c r="AY369" s="24"/>
      <c r="AZ369" s="24"/>
      <c r="BA369" s="24"/>
      <c r="BB369" s="24"/>
      <c r="BC369" s="24"/>
      <c r="BD369" s="24"/>
      <c r="BE369" s="24"/>
      <c r="BF369" s="24"/>
      <c r="BG369" s="24"/>
      <c r="BH369" s="24"/>
    </row>
    <row r="370" spans="1:60">
      <c r="A370" s="7"/>
      <c r="B370" s="8"/>
      <c r="C370" s="9"/>
      <c r="D370" s="51"/>
      <c r="E370" s="51"/>
      <c r="F370" s="51"/>
      <c r="G370" s="51"/>
      <c r="H370" s="52"/>
      <c r="I370" s="52"/>
      <c r="J370" s="52"/>
      <c r="K370" s="24"/>
      <c r="L370" s="7"/>
      <c r="M370" s="24"/>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4"/>
      <c r="AK370" s="24"/>
      <c r="AL370" s="24"/>
      <c r="AM370" s="24"/>
      <c r="AN370" s="24"/>
      <c r="AO370" s="24"/>
      <c r="AP370" s="24"/>
      <c r="AQ370" s="24"/>
      <c r="AR370" s="24"/>
      <c r="AS370" s="24"/>
      <c r="AT370" s="24"/>
      <c r="AU370" s="24"/>
      <c r="AV370" s="24"/>
      <c r="AW370" s="24"/>
      <c r="AX370" s="24"/>
      <c r="AY370" s="24"/>
      <c r="AZ370" s="24"/>
      <c r="BA370" s="24"/>
      <c r="BB370" s="24"/>
      <c r="BC370" s="24"/>
      <c r="BD370" s="24"/>
      <c r="BE370" s="24"/>
      <c r="BF370" s="24"/>
      <c r="BG370" s="24"/>
      <c r="BH370" s="24"/>
    </row>
    <row r="371" spans="1:60">
      <c r="A371" s="7"/>
      <c r="B371" s="8"/>
      <c r="C371" s="9"/>
      <c r="D371" s="51"/>
      <c r="E371" s="51"/>
      <c r="F371" s="51"/>
      <c r="G371" s="51"/>
      <c r="H371" s="52"/>
      <c r="I371" s="52"/>
      <c r="J371" s="52"/>
      <c r="K371" s="24"/>
      <c r="L371" s="7"/>
      <c r="M371" s="24"/>
      <c r="N371" s="24"/>
      <c r="O371" s="24"/>
      <c r="P371" s="24"/>
      <c r="Q371" s="24"/>
      <c r="R371" s="24"/>
      <c r="S371" s="24"/>
      <c r="T371" s="24"/>
      <c r="U371" s="24"/>
      <c r="V371" s="24"/>
      <c r="W371" s="24"/>
      <c r="X371" s="24"/>
      <c r="Y371" s="24"/>
      <c r="Z371" s="24"/>
      <c r="AA371" s="24"/>
      <c r="AB371" s="24"/>
      <c r="AC371" s="24"/>
      <c r="AD371" s="24"/>
      <c r="AE371" s="24"/>
      <c r="AF371" s="24"/>
      <c r="AG371" s="24"/>
      <c r="AH371" s="24"/>
      <c r="AI371" s="24"/>
      <c r="AJ371" s="24"/>
      <c r="AK371" s="24"/>
      <c r="AL371" s="24"/>
      <c r="AM371" s="24"/>
      <c r="AN371" s="24"/>
      <c r="AO371" s="24"/>
      <c r="AP371" s="24"/>
      <c r="AQ371" s="24"/>
      <c r="AR371" s="24"/>
      <c r="AS371" s="24"/>
      <c r="AT371" s="24"/>
      <c r="AU371" s="24"/>
      <c r="AV371" s="24"/>
      <c r="AW371" s="24"/>
      <c r="AX371" s="24"/>
      <c r="AY371" s="24"/>
      <c r="AZ371" s="24"/>
      <c r="BA371" s="24"/>
      <c r="BB371" s="24"/>
      <c r="BC371" s="24"/>
      <c r="BD371" s="24"/>
      <c r="BE371" s="24"/>
      <c r="BF371" s="24"/>
      <c r="BG371" s="24"/>
      <c r="BH371" s="24"/>
    </row>
    <row r="372" spans="1:60">
      <c r="A372" s="7"/>
      <c r="B372" s="8"/>
      <c r="C372" s="9"/>
      <c r="D372" s="51"/>
      <c r="E372" s="51"/>
      <c r="F372" s="51"/>
      <c r="G372" s="51"/>
      <c r="H372" s="52"/>
      <c r="I372" s="52"/>
      <c r="J372" s="52"/>
      <c r="K372" s="24"/>
      <c r="L372" s="7"/>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24"/>
      <c r="BF372" s="24"/>
      <c r="BG372" s="24"/>
      <c r="BH372" s="24"/>
    </row>
    <row r="373" spans="1:60">
      <c r="A373" s="7"/>
      <c r="B373" s="8"/>
      <c r="C373" s="9"/>
      <c r="D373" s="51"/>
      <c r="E373" s="51"/>
      <c r="F373" s="51"/>
      <c r="G373" s="51"/>
      <c r="H373" s="52"/>
      <c r="I373" s="52"/>
      <c r="J373" s="52"/>
      <c r="K373" s="24"/>
      <c r="L373" s="7"/>
      <c r="M373" s="24"/>
      <c r="N373" s="24"/>
      <c r="O373" s="24"/>
      <c r="P373" s="24"/>
      <c r="Q373" s="24"/>
      <c r="R373" s="24"/>
      <c r="S373" s="24"/>
      <c r="T373" s="24"/>
      <c r="U373" s="24"/>
      <c r="V373" s="24"/>
      <c r="W373" s="24"/>
      <c r="X373" s="24"/>
      <c r="Y373" s="24"/>
      <c r="Z373" s="24"/>
      <c r="AA373" s="24"/>
      <c r="AB373" s="24"/>
      <c r="AC373" s="24"/>
      <c r="AD373" s="24"/>
      <c r="AE373" s="24"/>
      <c r="AF373" s="24"/>
      <c r="AG373" s="24"/>
      <c r="AH373" s="24"/>
      <c r="AI373" s="24"/>
      <c r="AJ373" s="24"/>
      <c r="AK373" s="24"/>
      <c r="AL373" s="24"/>
      <c r="AM373" s="24"/>
      <c r="AN373" s="24"/>
      <c r="AO373" s="24"/>
      <c r="AP373" s="24"/>
      <c r="AQ373" s="24"/>
      <c r="AR373" s="24"/>
      <c r="AS373" s="24"/>
      <c r="AT373" s="24"/>
      <c r="AU373" s="24"/>
      <c r="AV373" s="24"/>
      <c r="AW373" s="24"/>
      <c r="AX373" s="24"/>
      <c r="AY373" s="24"/>
      <c r="AZ373" s="24"/>
      <c r="BA373" s="24"/>
      <c r="BB373" s="24"/>
      <c r="BC373" s="24"/>
      <c r="BD373" s="24"/>
      <c r="BE373" s="24"/>
      <c r="BF373" s="24"/>
      <c r="BG373" s="24"/>
      <c r="BH373" s="24"/>
    </row>
    <row r="374" spans="1:60">
      <c r="A374" s="7"/>
      <c r="B374" s="8"/>
      <c r="C374" s="9"/>
      <c r="D374" s="51"/>
      <c r="E374" s="51"/>
      <c r="F374" s="51"/>
      <c r="G374" s="51"/>
      <c r="H374" s="52"/>
      <c r="I374" s="52"/>
      <c r="J374" s="52"/>
      <c r="K374" s="24"/>
      <c r="L374" s="7"/>
      <c r="M374" s="24"/>
      <c r="N374" s="24"/>
      <c r="O374" s="24"/>
      <c r="P374" s="24"/>
      <c r="Q374" s="24"/>
      <c r="R374" s="24"/>
      <c r="S374" s="24"/>
      <c r="T374" s="24"/>
      <c r="U374" s="24"/>
      <c r="V374" s="24"/>
      <c r="W374" s="24"/>
      <c r="X374" s="24"/>
      <c r="Y374" s="24"/>
      <c r="Z374" s="24"/>
      <c r="AA374" s="24"/>
      <c r="AB374" s="24"/>
      <c r="AC374" s="24"/>
      <c r="AD374" s="24"/>
      <c r="AE374" s="24"/>
      <c r="AF374" s="24"/>
      <c r="AG374" s="24"/>
      <c r="AH374" s="24"/>
      <c r="AI374" s="24"/>
      <c r="AJ374" s="24"/>
      <c r="AK374" s="24"/>
      <c r="AL374" s="24"/>
      <c r="AM374" s="24"/>
      <c r="AN374" s="24"/>
      <c r="AO374" s="24"/>
      <c r="AP374" s="24"/>
      <c r="AQ374" s="24"/>
      <c r="AR374" s="24"/>
      <c r="AS374" s="24"/>
      <c r="AT374" s="24"/>
      <c r="AU374" s="24"/>
      <c r="AV374" s="24"/>
      <c r="AW374" s="24"/>
      <c r="AX374" s="24"/>
      <c r="AY374" s="24"/>
      <c r="AZ374" s="24"/>
      <c r="BA374" s="24"/>
      <c r="BB374" s="24"/>
      <c r="BC374" s="24"/>
      <c r="BD374" s="24"/>
      <c r="BE374" s="24"/>
      <c r="BF374" s="24"/>
      <c r="BG374" s="24"/>
      <c r="BH374" s="24"/>
    </row>
    <row r="375" spans="1:60">
      <c r="A375" s="7"/>
      <c r="B375" s="8"/>
      <c r="C375" s="9"/>
      <c r="D375" s="51"/>
      <c r="E375" s="51"/>
      <c r="F375" s="51"/>
      <c r="G375" s="51"/>
      <c r="H375" s="52"/>
      <c r="I375" s="52"/>
      <c r="J375" s="52"/>
      <c r="K375" s="24"/>
      <c r="L375" s="7"/>
      <c r="M375" s="24"/>
      <c r="N375" s="24"/>
      <c r="O375" s="24"/>
      <c r="P375" s="24"/>
      <c r="Q375" s="24"/>
      <c r="R375" s="24"/>
      <c r="S375" s="24"/>
      <c r="T375" s="24"/>
      <c r="U375" s="24"/>
      <c r="V375" s="24"/>
      <c r="W375" s="24"/>
      <c r="X375" s="24"/>
      <c r="Y375" s="24"/>
      <c r="Z375" s="24"/>
      <c r="AA375" s="24"/>
      <c r="AB375" s="24"/>
      <c r="AC375" s="24"/>
      <c r="AD375" s="24"/>
      <c r="AE375" s="24"/>
      <c r="AF375" s="24"/>
      <c r="AG375" s="24"/>
      <c r="AH375" s="24"/>
      <c r="AI375" s="24"/>
      <c r="AJ375" s="24"/>
      <c r="AK375" s="24"/>
      <c r="AL375" s="24"/>
      <c r="AM375" s="24"/>
      <c r="AN375" s="24"/>
      <c r="AO375" s="24"/>
      <c r="AP375" s="24"/>
      <c r="AQ375" s="24"/>
      <c r="AR375" s="24"/>
      <c r="AS375" s="24"/>
      <c r="AT375" s="24"/>
      <c r="AU375" s="24"/>
      <c r="AV375" s="24"/>
      <c r="AW375" s="24"/>
      <c r="AX375" s="24"/>
      <c r="AY375" s="24"/>
      <c r="AZ375" s="24"/>
      <c r="BA375" s="24"/>
      <c r="BB375" s="24"/>
      <c r="BC375" s="24"/>
      <c r="BD375" s="24"/>
      <c r="BE375" s="24"/>
      <c r="BF375" s="24"/>
      <c r="BG375" s="24"/>
      <c r="BH375" s="24"/>
    </row>
    <row r="376" spans="1:60">
      <c r="A376" s="7"/>
      <c r="B376" s="8"/>
      <c r="C376" s="9"/>
      <c r="D376" s="51"/>
      <c r="E376" s="51"/>
      <c r="F376" s="51"/>
      <c r="G376" s="51"/>
      <c r="H376" s="52"/>
      <c r="I376" s="52"/>
      <c r="J376" s="52"/>
      <c r="K376" s="24"/>
      <c r="L376" s="7"/>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4"/>
      <c r="BF376" s="24"/>
      <c r="BG376" s="24"/>
      <c r="BH376" s="24"/>
    </row>
    <row r="377" spans="1:60">
      <c r="A377" s="7"/>
      <c r="B377" s="8"/>
      <c r="C377" s="9"/>
      <c r="D377" s="51"/>
      <c r="E377" s="51"/>
      <c r="F377" s="51"/>
      <c r="G377" s="51"/>
      <c r="H377" s="52"/>
      <c r="I377" s="52"/>
      <c r="J377" s="52"/>
      <c r="K377" s="24"/>
      <c r="L377" s="7"/>
      <c r="M377" s="24"/>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24"/>
      <c r="BB377" s="24"/>
      <c r="BC377" s="24"/>
      <c r="BD377" s="24"/>
      <c r="BE377" s="24"/>
      <c r="BF377" s="24"/>
      <c r="BG377" s="24"/>
      <c r="BH377" s="24"/>
    </row>
    <row r="378" spans="1:60">
      <c r="A378" s="7"/>
      <c r="B378" s="8"/>
      <c r="C378" s="9"/>
      <c r="D378" s="51"/>
      <c r="E378" s="51"/>
      <c r="F378" s="51"/>
      <c r="G378" s="51"/>
      <c r="H378" s="52"/>
      <c r="I378" s="52"/>
      <c r="J378" s="52"/>
      <c r="K378" s="24"/>
      <c r="L378" s="7"/>
      <c r="M378" s="24"/>
      <c r="N378" s="24"/>
      <c r="O378" s="24"/>
      <c r="P378" s="24"/>
      <c r="Q378" s="24"/>
      <c r="R378" s="24"/>
      <c r="S378" s="24"/>
      <c r="T378" s="24"/>
      <c r="U378" s="24"/>
      <c r="V378" s="24"/>
      <c r="W378" s="24"/>
      <c r="X378" s="24"/>
      <c r="Y378" s="24"/>
      <c r="Z378" s="24"/>
      <c r="AA378" s="24"/>
      <c r="AB378" s="24"/>
      <c r="AC378" s="24"/>
      <c r="AD378" s="24"/>
      <c r="AE378" s="24"/>
      <c r="AF378" s="24"/>
      <c r="AG378" s="24"/>
      <c r="AH378" s="24"/>
      <c r="AI378" s="24"/>
      <c r="AJ378" s="24"/>
      <c r="AK378" s="24"/>
      <c r="AL378" s="24"/>
      <c r="AM378" s="24"/>
      <c r="AN378" s="24"/>
      <c r="AO378" s="24"/>
      <c r="AP378" s="24"/>
      <c r="AQ378" s="24"/>
      <c r="AR378" s="24"/>
      <c r="AS378" s="24"/>
      <c r="AT378" s="24"/>
      <c r="AU378" s="24"/>
      <c r="AV378" s="24"/>
      <c r="AW378" s="24"/>
      <c r="AX378" s="24"/>
      <c r="AY378" s="24"/>
      <c r="AZ378" s="24"/>
      <c r="BA378" s="24"/>
      <c r="BB378" s="24"/>
      <c r="BC378" s="24"/>
      <c r="BD378" s="24"/>
      <c r="BE378" s="24"/>
      <c r="BF378" s="24"/>
      <c r="BG378" s="24"/>
      <c r="BH378" s="24"/>
    </row>
    <row r="379" spans="1:60">
      <c r="A379" s="7"/>
      <c r="B379" s="8"/>
      <c r="C379" s="9"/>
      <c r="D379" s="51"/>
      <c r="E379" s="51"/>
      <c r="F379" s="51"/>
      <c r="G379" s="51"/>
      <c r="H379" s="52"/>
      <c r="I379" s="52"/>
      <c r="J379" s="52"/>
      <c r="K379" s="24"/>
      <c r="L379" s="7"/>
      <c r="M379" s="24"/>
      <c r="N379" s="24"/>
      <c r="O379" s="24"/>
      <c r="P379" s="24"/>
      <c r="Q379" s="24"/>
      <c r="R379" s="24"/>
      <c r="S379" s="24"/>
      <c r="T379" s="24"/>
      <c r="U379" s="24"/>
      <c r="V379" s="24"/>
      <c r="W379" s="24"/>
      <c r="X379" s="24"/>
      <c r="Y379" s="24"/>
      <c r="Z379" s="24"/>
      <c r="AA379" s="24"/>
      <c r="AB379" s="24"/>
      <c r="AC379" s="24"/>
      <c r="AD379" s="24"/>
      <c r="AE379" s="24"/>
      <c r="AF379" s="24"/>
      <c r="AG379" s="24"/>
      <c r="AH379" s="24"/>
      <c r="AI379" s="24"/>
      <c r="AJ379" s="24"/>
      <c r="AK379" s="24"/>
      <c r="AL379" s="24"/>
      <c r="AM379" s="24"/>
      <c r="AN379" s="24"/>
      <c r="AO379" s="24"/>
      <c r="AP379" s="24"/>
      <c r="AQ379" s="24"/>
      <c r="AR379" s="24"/>
      <c r="AS379" s="24"/>
      <c r="AT379" s="24"/>
      <c r="AU379" s="24"/>
      <c r="AV379" s="24"/>
      <c r="AW379" s="24"/>
      <c r="AX379" s="24"/>
      <c r="AY379" s="24"/>
      <c r="AZ379" s="24"/>
      <c r="BA379" s="24"/>
      <c r="BB379" s="24"/>
      <c r="BC379" s="24"/>
      <c r="BD379" s="24"/>
      <c r="BE379" s="24"/>
      <c r="BF379" s="24"/>
      <c r="BG379" s="24"/>
      <c r="BH379" s="24"/>
    </row>
    <row r="380" spans="1:60">
      <c r="A380" s="7"/>
      <c r="B380" s="8"/>
      <c r="C380" s="9"/>
      <c r="D380" s="51"/>
      <c r="E380" s="51"/>
      <c r="F380" s="51"/>
      <c r="G380" s="51"/>
      <c r="H380" s="52"/>
      <c r="I380" s="52"/>
      <c r="J380" s="52"/>
      <c r="K380" s="24"/>
      <c r="L380" s="7"/>
      <c r="M380" s="24"/>
      <c r="N380" s="24"/>
      <c r="O380" s="24"/>
      <c r="P380" s="24"/>
      <c r="Q380" s="24"/>
      <c r="R380" s="24"/>
      <c r="S380" s="24"/>
      <c r="T380" s="24"/>
      <c r="U380" s="24"/>
      <c r="V380" s="24"/>
      <c r="W380" s="24"/>
      <c r="X380" s="24"/>
      <c r="Y380" s="24"/>
      <c r="Z380" s="24"/>
      <c r="AA380" s="24"/>
      <c r="AB380" s="24"/>
      <c r="AC380" s="24"/>
      <c r="AD380" s="24"/>
      <c r="AE380" s="24"/>
      <c r="AF380" s="24"/>
      <c r="AG380" s="24"/>
      <c r="AH380" s="24"/>
      <c r="AI380" s="24"/>
      <c r="AJ380" s="24"/>
      <c r="AK380" s="24"/>
      <c r="AL380" s="24"/>
      <c r="AM380" s="24"/>
      <c r="AN380" s="24"/>
      <c r="AO380" s="24"/>
      <c r="AP380" s="24"/>
      <c r="AQ380" s="24"/>
      <c r="AR380" s="24"/>
      <c r="AS380" s="24"/>
      <c r="AT380" s="24"/>
      <c r="AU380" s="24"/>
      <c r="AV380" s="24"/>
      <c r="AW380" s="24"/>
      <c r="AX380" s="24"/>
      <c r="AY380" s="24"/>
      <c r="AZ380" s="24"/>
      <c r="BA380" s="24"/>
      <c r="BB380" s="24"/>
      <c r="BC380" s="24"/>
      <c r="BD380" s="24"/>
      <c r="BE380" s="24"/>
      <c r="BF380" s="24"/>
      <c r="BG380" s="24"/>
      <c r="BH380" s="24"/>
    </row>
    <row r="381" spans="1:60">
      <c r="A381" s="7"/>
      <c r="B381" s="8"/>
      <c r="C381" s="9"/>
      <c r="D381" s="51"/>
      <c r="E381" s="51"/>
      <c r="F381" s="51"/>
      <c r="G381" s="51"/>
      <c r="H381" s="52"/>
      <c r="I381" s="52"/>
      <c r="J381" s="52"/>
      <c r="K381" s="24"/>
      <c r="L381" s="7"/>
      <c r="M381" s="24"/>
      <c r="N381" s="24"/>
      <c r="O381" s="24"/>
      <c r="P381" s="24"/>
      <c r="Q381" s="24"/>
      <c r="R381" s="24"/>
      <c r="S381" s="24"/>
      <c r="T381" s="24"/>
      <c r="U381" s="24"/>
      <c r="V381" s="24"/>
      <c r="W381" s="24"/>
      <c r="X381" s="24"/>
      <c r="Y381" s="24"/>
      <c r="Z381" s="24"/>
      <c r="AA381" s="24"/>
      <c r="AB381" s="24"/>
      <c r="AC381" s="24"/>
      <c r="AD381" s="24"/>
      <c r="AE381" s="24"/>
      <c r="AF381" s="24"/>
      <c r="AG381" s="24"/>
      <c r="AH381" s="24"/>
      <c r="AI381" s="24"/>
      <c r="AJ381" s="24"/>
      <c r="AK381" s="24"/>
      <c r="AL381" s="24"/>
      <c r="AM381" s="24"/>
      <c r="AN381" s="24"/>
      <c r="AO381" s="24"/>
      <c r="AP381" s="24"/>
      <c r="AQ381" s="24"/>
      <c r="AR381" s="24"/>
      <c r="AS381" s="24"/>
      <c r="AT381" s="24"/>
      <c r="AU381" s="24"/>
      <c r="AV381" s="24"/>
      <c r="AW381" s="24"/>
      <c r="AX381" s="24"/>
      <c r="AY381" s="24"/>
      <c r="AZ381" s="24"/>
      <c r="BA381" s="24"/>
      <c r="BB381" s="24"/>
      <c r="BC381" s="24"/>
      <c r="BD381" s="24"/>
      <c r="BE381" s="24"/>
      <c r="BF381" s="24"/>
      <c r="BG381" s="24"/>
      <c r="BH381" s="24"/>
    </row>
    <row r="382" spans="1:60">
      <c r="A382" s="7"/>
      <c r="B382" s="8"/>
      <c r="C382" s="9"/>
      <c r="D382" s="51"/>
      <c r="E382" s="51"/>
      <c r="F382" s="51"/>
      <c r="G382" s="51"/>
      <c r="H382" s="52"/>
      <c r="I382" s="52"/>
      <c r="J382" s="52"/>
      <c r="K382" s="24"/>
      <c r="L382" s="7"/>
      <c r="M382" s="24"/>
      <c r="N382" s="24"/>
      <c r="O382" s="24"/>
      <c r="P382" s="24"/>
      <c r="Q382" s="24"/>
      <c r="R382" s="24"/>
      <c r="S382" s="24"/>
      <c r="T382" s="24"/>
      <c r="U382" s="24"/>
      <c r="V382" s="24"/>
      <c r="W382" s="24"/>
      <c r="X382" s="24"/>
      <c r="Y382" s="24"/>
      <c r="Z382" s="24"/>
      <c r="AA382" s="24"/>
      <c r="AB382" s="24"/>
      <c r="AC382" s="24"/>
      <c r="AD382" s="24"/>
      <c r="AE382" s="24"/>
      <c r="AF382" s="24"/>
      <c r="AG382" s="24"/>
      <c r="AH382" s="24"/>
      <c r="AI382" s="24"/>
      <c r="AJ382" s="24"/>
      <c r="AK382" s="24"/>
      <c r="AL382" s="24"/>
      <c r="AM382" s="24"/>
      <c r="AN382" s="24"/>
      <c r="AO382" s="24"/>
      <c r="AP382" s="24"/>
      <c r="AQ382" s="24"/>
      <c r="AR382" s="24"/>
      <c r="AS382" s="24"/>
      <c r="AT382" s="24"/>
      <c r="AU382" s="24"/>
      <c r="AV382" s="24"/>
      <c r="AW382" s="24"/>
      <c r="AX382" s="24"/>
      <c r="AY382" s="24"/>
      <c r="AZ382" s="24"/>
      <c r="BA382" s="24"/>
      <c r="BB382" s="24"/>
      <c r="BC382" s="24"/>
      <c r="BD382" s="24"/>
      <c r="BE382" s="24"/>
      <c r="BF382" s="24"/>
      <c r="BG382" s="24"/>
      <c r="BH382" s="24"/>
    </row>
    <row r="383" spans="1:60">
      <c r="A383" s="7"/>
      <c r="B383" s="8"/>
      <c r="C383" s="9"/>
      <c r="D383" s="51"/>
      <c r="E383" s="51"/>
      <c r="F383" s="51"/>
      <c r="G383" s="51"/>
      <c r="H383" s="52"/>
      <c r="I383" s="52"/>
      <c r="J383" s="52"/>
      <c r="K383" s="24"/>
      <c r="L383" s="7"/>
      <c r="M383" s="24"/>
      <c r="N383" s="24"/>
      <c r="O383" s="24"/>
      <c r="P383" s="24"/>
      <c r="Q383" s="24"/>
      <c r="R383" s="24"/>
      <c r="S383" s="24"/>
      <c r="T383" s="24"/>
      <c r="U383" s="24"/>
      <c r="V383" s="24"/>
      <c r="W383" s="24"/>
      <c r="X383" s="24"/>
      <c r="Y383" s="24"/>
      <c r="Z383" s="24"/>
      <c r="AA383" s="24"/>
      <c r="AB383" s="24"/>
      <c r="AC383" s="24"/>
      <c r="AD383" s="24"/>
      <c r="AE383" s="24"/>
      <c r="AF383" s="24"/>
      <c r="AG383" s="24"/>
      <c r="AH383" s="24"/>
      <c r="AI383" s="24"/>
      <c r="AJ383" s="24"/>
      <c r="AK383" s="24"/>
      <c r="AL383" s="24"/>
      <c r="AM383" s="24"/>
      <c r="AN383" s="24"/>
      <c r="AO383" s="24"/>
      <c r="AP383" s="24"/>
      <c r="AQ383" s="24"/>
      <c r="AR383" s="24"/>
      <c r="AS383" s="24"/>
      <c r="AT383" s="24"/>
      <c r="AU383" s="24"/>
      <c r="AV383" s="24"/>
      <c r="AW383" s="24"/>
      <c r="AX383" s="24"/>
      <c r="AY383" s="24"/>
      <c r="AZ383" s="24"/>
      <c r="BA383" s="24"/>
      <c r="BB383" s="24"/>
      <c r="BC383" s="24"/>
      <c r="BD383" s="24"/>
      <c r="BE383" s="24"/>
      <c r="BF383" s="24"/>
      <c r="BG383" s="24"/>
      <c r="BH383" s="24"/>
    </row>
    <row r="384" spans="1:60">
      <c r="A384" s="7"/>
      <c r="B384" s="8"/>
      <c r="C384" s="9"/>
      <c r="D384" s="51"/>
      <c r="E384" s="51"/>
      <c r="F384" s="51"/>
      <c r="G384" s="51"/>
      <c r="H384" s="52"/>
      <c r="I384" s="52"/>
      <c r="J384" s="52"/>
      <c r="K384" s="24"/>
      <c r="L384" s="7"/>
      <c r="M384" s="24"/>
      <c r="N384" s="24"/>
      <c r="O384" s="24"/>
      <c r="P384" s="24"/>
      <c r="Q384" s="24"/>
      <c r="R384" s="24"/>
      <c r="S384" s="24"/>
      <c r="T384" s="24"/>
      <c r="U384" s="24"/>
      <c r="V384" s="24"/>
      <c r="W384" s="24"/>
      <c r="X384" s="24"/>
      <c r="Y384" s="24"/>
      <c r="Z384" s="24"/>
      <c r="AA384" s="24"/>
      <c r="AB384" s="24"/>
      <c r="AC384" s="24"/>
      <c r="AD384" s="24"/>
      <c r="AE384" s="24"/>
      <c r="AF384" s="24"/>
      <c r="AG384" s="24"/>
      <c r="AH384" s="24"/>
      <c r="AI384" s="24"/>
      <c r="AJ384" s="24"/>
      <c r="AK384" s="24"/>
      <c r="AL384" s="24"/>
      <c r="AM384" s="24"/>
      <c r="AN384" s="24"/>
      <c r="AO384" s="24"/>
      <c r="AP384" s="24"/>
      <c r="AQ384" s="24"/>
      <c r="AR384" s="24"/>
      <c r="AS384" s="24"/>
      <c r="AT384" s="24"/>
      <c r="AU384" s="24"/>
      <c r="AV384" s="24"/>
      <c r="AW384" s="24"/>
      <c r="AX384" s="24"/>
      <c r="AY384" s="24"/>
      <c r="AZ384" s="24"/>
      <c r="BA384" s="24"/>
      <c r="BB384" s="24"/>
      <c r="BC384" s="24"/>
      <c r="BD384" s="24"/>
      <c r="BE384" s="24"/>
      <c r="BF384" s="24"/>
      <c r="BG384" s="24"/>
      <c r="BH384" s="24"/>
    </row>
    <row r="385" spans="1:60">
      <c r="A385" s="7"/>
      <c r="B385" s="8"/>
      <c r="C385" s="9"/>
      <c r="D385" s="51"/>
      <c r="E385" s="51"/>
      <c r="F385" s="51"/>
      <c r="G385" s="51"/>
      <c r="H385" s="52"/>
      <c r="I385" s="52"/>
      <c r="J385" s="52"/>
      <c r="K385" s="24"/>
      <c r="L385" s="7"/>
      <c r="M385" s="24"/>
      <c r="N385" s="24"/>
      <c r="O385" s="24"/>
      <c r="P385" s="24"/>
      <c r="Q385" s="24"/>
      <c r="R385" s="24"/>
      <c r="S385" s="24"/>
      <c r="T385" s="24"/>
      <c r="U385" s="24"/>
      <c r="V385" s="24"/>
      <c r="W385" s="24"/>
      <c r="X385" s="24"/>
      <c r="Y385" s="24"/>
      <c r="Z385" s="24"/>
      <c r="AA385" s="24"/>
      <c r="AB385" s="24"/>
      <c r="AC385" s="24"/>
      <c r="AD385" s="24"/>
      <c r="AE385" s="24"/>
      <c r="AF385" s="24"/>
      <c r="AG385" s="24"/>
      <c r="AH385" s="24"/>
      <c r="AI385" s="24"/>
      <c r="AJ385" s="24"/>
      <c r="AK385" s="24"/>
      <c r="AL385" s="24"/>
      <c r="AM385" s="24"/>
      <c r="AN385" s="24"/>
      <c r="AO385" s="24"/>
      <c r="AP385" s="24"/>
      <c r="AQ385" s="24"/>
      <c r="AR385" s="24"/>
      <c r="AS385" s="24"/>
      <c r="AT385" s="24"/>
      <c r="AU385" s="24"/>
      <c r="AV385" s="24"/>
      <c r="AW385" s="24"/>
      <c r="AX385" s="24"/>
      <c r="AY385" s="24"/>
      <c r="AZ385" s="24"/>
      <c r="BA385" s="24"/>
      <c r="BB385" s="24"/>
      <c r="BC385" s="24"/>
      <c r="BD385" s="24"/>
      <c r="BE385" s="24"/>
      <c r="BF385" s="24"/>
      <c r="BG385" s="24"/>
      <c r="BH385" s="24"/>
    </row>
    <row r="386" spans="1:60">
      <c r="A386" s="7"/>
      <c r="B386" s="8"/>
      <c r="C386" s="9"/>
      <c r="D386" s="51"/>
      <c r="E386" s="51"/>
      <c r="F386" s="51"/>
      <c r="G386" s="51"/>
      <c r="H386" s="52"/>
      <c r="I386" s="52"/>
      <c r="J386" s="52"/>
      <c r="K386" s="24"/>
      <c r="L386" s="7"/>
      <c r="M386" s="24"/>
      <c r="N386" s="24"/>
      <c r="O386" s="24"/>
      <c r="P386" s="24"/>
      <c r="Q386" s="24"/>
      <c r="R386" s="24"/>
      <c r="S386" s="24"/>
      <c r="T386" s="24"/>
      <c r="U386" s="24"/>
      <c r="V386" s="24"/>
      <c r="W386" s="24"/>
      <c r="X386" s="24"/>
      <c r="Y386" s="24"/>
      <c r="Z386" s="24"/>
      <c r="AA386" s="24"/>
      <c r="AB386" s="24"/>
      <c r="AC386" s="24"/>
      <c r="AD386" s="24"/>
      <c r="AE386" s="24"/>
      <c r="AF386" s="24"/>
      <c r="AG386" s="24"/>
      <c r="AH386" s="24"/>
      <c r="AI386" s="24"/>
      <c r="AJ386" s="24"/>
      <c r="AK386" s="24"/>
      <c r="AL386" s="24"/>
      <c r="AM386" s="24"/>
      <c r="AN386" s="24"/>
      <c r="AO386" s="24"/>
      <c r="AP386" s="24"/>
      <c r="AQ386" s="24"/>
      <c r="AR386" s="24"/>
      <c r="AS386" s="24"/>
      <c r="AT386" s="24"/>
      <c r="AU386" s="24"/>
      <c r="AV386" s="24"/>
      <c r="AW386" s="24"/>
      <c r="AX386" s="24"/>
      <c r="AY386" s="24"/>
      <c r="AZ386" s="24"/>
      <c r="BA386" s="24"/>
      <c r="BB386" s="24"/>
      <c r="BC386" s="24"/>
      <c r="BD386" s="24"/>
      <c r="BE386" s="24"/>
      <c r="BF386" s="24"/>
      <c r="BG386" s="24"/>
      <c r="BH386" s="24"/>
    </row>
    <row r="387" spans="1:60">
      <c r="A387" s="7"/>
      <c r="B387" s="8"/>
      <c r="C387" s="9"/>
      <c r="D387" s="51"/>
      <c r="E387" s="51"/>
      <c r="F387" s="51"/>
      <c r="G387" s="51"/>
      <c r="H387" s="52"/>
      <c r="I387" s="52"/>
      <c r="J387" s="52"/>
      <c r="K387" s="24"/>
      <c r="L387" s="7"/>
      <c r="M387" s="24"/>
      <c r="N387" s="24"/>
      <c r="O387" s="24"/>
      <c r="P387" s="24"/>
      <c r="Q387" s="24"/>
      <c r="R387" s="24"/>
      <c r="S387" s="24"/>
      <c r="T387" s="24"/>
      <c r="U387" s="24"/>
      <c r="V387" s="24"/>
      <c r="W387" s="24"/>
      <c r="X387" s="24"/>
      <c r="Y387" s="24"/>
      <c r="Z387" s="24"/>
      <c r="AA387" s="24"/>
      <c r="AB387" s="24"/>
      <c r="AC387" s="24"/>
      <c r="AD387" s="24"/>
      <c r="AE387" s="24"/>
      <c r="AF387" s="24"/>
      <c r="AG387" s="24"/>
      <c r="AH387" s="24"/>
      <c r="AI387" s="24"/>
      <c r="AJ387" s="24"/>
      <c r="AK387" s="24"/>
      <c r="AL387" s="24"/>
      <c r="AM387" s="24"/>
      <c r="AN387" s="24"/>
      <c r="AO387" s="24"/>
      <c r="AP387" s="24"/>
      <c r="AQ387" s="24"/>
      <c r="AR387" s="24"/>
      <c r="AS387" s="24"/>
      <c r="AT387" s="24"/>
      <c r="AU387" s="24"/>
      <c r="AV387" s="24"/>
      <c r="AW387" s="24"/>
      <c r="AX387" s="24"/>
      <c r="AY387" s="24"/>
      <c r="AZ387" s="24"/>
      <c r="BA387" s="24"/>
      <c r="BB387" s="24"/>
      <c r="BC387" s="24"/>
      <c r="BD387" s="24"/>
      <c r="BE387" s="24"/>
      <c r="BF387" s="24"/>
      <c r="BG387" s="24"/>
      <c r="BH387" s="24"/>
    </row>
    <row r="388" spans="1:60">
      <c r="A388" s="7"/>
      <c r="B388" s="8"/>
      <c r="C388" s="9"/>
      <c r="D388" s="51"/>
      <c r="E388" s="51"/>
      <c r="F388" s="51"/>
      <c r="G388" s="51"/>
      <c r="H388" s="52"/>
      <c r="I388" s="52"/>
      <c r="J388" s="52"/>
      <c r="K388" s="24"/>
      <c r="L388" s="7"/>
      <c r="M388" s="24"/>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4"/>
      <c r="AK388" s="24"/>
      <c r="AL388" s="24"/>
      <c r="AM388" s="24"/>
      <c r="AN388" s="24"/>
      <c r="AO388" s="24"/>
      <c r="AP388" s="24"/>
      <c r="AQ388" s="24"/>
      <c r="AR388" s="24"/>
      <c r="AS388" s="24"/>
      <c r="AT388" s="24"/>
      <c r="AU388" s="24"/>
      <c r="AV388" s="24"/>
      <c r="AW388" s="24"/>
      <c r="AX388" s="24"/>
      <c r="AY388" s="24"/>
      <c r="AZ388" s="24"/>
      <c r="BA388" s="24"/>
      <c r="BB388" s="24"/>
      <c r="BC388" s="24"/>
      <c r="BD388" s="24"/>
      <c r="BE388" s="24"/>
      <c r="BF388" s="24"/>
      <c r="BG388" s="24"/>
      <c r="BH388" s="24"/>
    </row>
    <row r="389" spans="1:60">
      <c r="A389" s="7"/>
      <c r="B389" s="8"/>
      <c r="C389" s="9"/>
      <c r="D389" s="51"/>
      <c r="E389" s="51"/>
      <c r="F389" s="51"/>
      <c r="G389" s="51"/>
      <c r="H389" s="52"/>
      <c r="I389" s="52"/>
      <c r="J389" s="52"/>
      <c r="K389" s="24"/>
      <c r="L389" s="7"/>
      <c r="M389" s="24"/>
      <c r="N389" s="24"/>
      <c r="O389" s="24"/>
      <c r="P389" s="24"/>
      <c r="Q389" s="24"/>
      <c r="R389" s="24"/>
      <c r="S389" s="24"/>
      <c r="T389" s="24"/>
      <c r="U389" s="24"/>
      <c r="V389" s="24"/>
      <c r="W389" s="24"/>
      <c r="X389" s="24"/>
      <c r="Y389" s="24"/>
      <c r="Z389" s="24"/>
      <c r="AA389" s="24"/>
      <c r="AB389" s="24"/>
      <c r="AC389" s="24"/>
      <c r="AD389" s="24"/>
      <c r="AE389" s="24"/>
      <c r="AF389" s="24"/>
      <c r="AG389" s="24"/>
      <c r="AH389" s="24"/>
      <c r="AI389" s="24"/>
      <c r="AJ389" s="24"/>
      <c r="AK389" s="24"/>
      <c r="AL389" s="24"/>
      <c r="AM389" s="24"/>
      <c r="AN389" s="24"/>
      <c r="AO389" s="24"/>
      <c r="AP389" s="24"/>
      <c r="AQ389" s="24"/>
      <c r="AR389" s="24"/>
      <c r="AS389" s="24"/>
      <c r="AT389" s="24"/>
      <c r="AU389" s="24"/>
      <c r="AV389" s="24"/>
      <c r="AW389" s="24"/>
      <c r="AX389" s="24"/>
      <c r="AY389" s="24"/>
      <c r="AZ389" s="24"/>
      <c r="BA389" s="24"/>
      <c r="BB389" s="24"/>
      <c r="BC389" s="24"/>
      <c r="BD389" s="24"/>
      <c r="BE389" s="24"/>
      <c r="BF389" s="24"/>
      <c r="BG389" s="24"/>
      <c r="BH389" s="24"/>
    </row>
    <row r="390" spans="1:60">
      <c r="A390" s="7"/>
      <c r="B390" s="8"/>
      <c r="C390" s="9"/>
      <c r="D390" s="51"/>
      <c r="E390" s="51"/>
      <c r="F390" s="51"/>
      <c r="G390" s="51"/>
      <c r="H390" s="52"/>
      <c r="I390" s="52"/>
      <c r="J390" s="52"/>
      <c r="K390" s="24"/>
      <c r="L390" s="7"/>
      <c r="M390" s="24"/>
      <c r="N390" s="24"/>
      <c r="O390" s="24"/>
      <c r="P390" s="24"/>
      <c r="Q390" s="24"/>
      <c r="R390" s="24"/>
      <c r="S390" s="24"/>
      <c r="T390" s="24"/>
      <c r="U390" s="24"/>
      <c r="V390" s="24"/>
      <c r="W390" s="24"/>
      <c r="X390" s="24"/>
      <c r="Y390" s="24"/>
      <c r="Z390" s="24"/>
      <c r="AA390" s="24"/>
      <c r="AB390" s="24"/>
      <c r="AC390" s="24"/>
      <c r="AD390" s="24"/>
      <c r="AE390" s="24"/>
      <c r="AF390" s="24"/>
      <c r="AG390" s="24"/>
      <c r="AH390" s="24"/>
      <c r="AI390" s="24"/>
      <c r="AJ390" s="24"/>
      <c r="AK390" s="24"/>
      <c r="AL390" s="24"/>
      <c r="AM390" s="24"/>
      <c r="AN390" s="24"/>
      <c r="AO390" s="24"/>
      <c r="AP390" s="24"/>
      <c r="AQ390" s="24"/>
      <c r="AR390" s="24"/>
      <c r="AS390" s="24"/>
      <c r="AT390" s="24"/>
      <c r="AU390" s="24"/>
      <c r="AV390" s="24"/>
      <c r="AW390" s="24"/>
      <c r="AX390" s="24"/>
      <c r="AY390" s="24"/>
      <c r="AZ390" s="24"/>
      <c r="BA390" s="24"/>
      <c r="BB390" s="24"/>
      <c r="BC390" s="24"/>
      <c r="BD390" s="24"/>
      <c r="BE390" s="24"/>
      <c r="BF390" s="24"/>
      <c r="BG390" s="24"/>
      <c r="BH390" s="24"/>
    </row>
    <row r="391" spans="1:60">
      <c r="A391" s="7"/>
      <c r="B391" s="8"/>
      <c r="C391" s="9"/>
      <c r="D391" s="51"/>
      <c r="E391" s="51"/>
      <c r="F391" s="51"/>
      <c r="G391" s="51"/>
      <c r="H391" s="52"/>
      <c r="I391" s="52"/>
      <c r="J391" s="52"/>
      <c r="K391" s="24"/>
      <c r="L391" s="7"/>
      <c r="M391" s="24"/>
      <c r="N391" s="24"/>
      <c r="O391" s="24"/>
      <c r="P391" s="24"/>
      <c r="Q391" s="24"/>
      <c r="R391" s="24"/>
      <c r="S391" s="24"/>
      <c r="T391" s="24"/>
      <c r="U391" s="24"/>
      <c r="V391" s="24"/>
      <c r="W391" s="24"/>
      <c r="X391" s="24"/>
      <c r="Y391" s="24"/>
      <c r="Z391" s="24"/>
      <c r="AA391" s="24"/>
      <c r="AB391" s="24"/>
      <c r="AC391" s="24"/>
      <c r="AD391" s="24"/>
      <c r="AE391" s="24"/>
      <c r="AF391" s="24"/>
      <c r="AG391" s="24"/>
      <c r="AH391" s="24"/>
      <c r="AI391" s="24"/>
      <c r="AJ391" s="24"/>
      <c r="AK391" s="24"/>
      <c r="AL391" s="24"/>
      <c r="AM391" s="24"/>
      <c r="AN391" s="24"/>
      <c r="AO391" s="24"/>
      <c r="AP391" s="24"/>
      <c r="AQ391" s="24"/>
      <c r="AR391" s="24"/>
      <c r="AS391" s="24"/>
      <c r="AT391" s="24"/>
      <c r="AU391" s="24"/>
      <c r="AV391" s="24"/>
      <c r="AW391" s="24"/>
      <c r="AX391" s="24"/>
      <c r="AY391" s="24"/>
      <c r="AZ391" s="24"/>
      <c r="BA391" s="24"/>
      <c r="BB391" s="24"/>
      <c r="BC391" s="24"/>
      <c r="BD391" s="24"/>
      <c r="BE391" s="24"/>
      <c r="BF391" s="24"/>
      <c r="BG391" s="24"/>
      <c r="BH391" s="24"/>
    </row>
    <row r="392" spans="1:60">
      <c r="A392" s="7"/>
      <c r="B392" s="8"/>
      <c r="C392" s="9"/>
      <c r="D392" s="51"/>
      <c r="E392" s="51"/>
      <c r="F392" s="51"/>
      <c r="G392" s="51"/>
      <c r="H392" s="52"/>
      <c r="I392" s="52"/>
      <c r="J392" s="52"/>
      <c r="K392" s="24"/>
      <c r="L392" s="7"/>
      <c r="M392" s="24"/>
      <c r="N392" s="24"/>
      <c r="O392" s="24"/>
      <c r="P392" s="24"/>
      <c r="Q392" s="24"/>
      <c r="R392" s="24"/>
      <c r="S392" s="24"/>
      <c r="T392" s="24"/>
      <c r="U392" s="24"/>
      <c r="V392" s="24"/>
      <c r="W392" s="24"/>
      <c r="X392" s="24"/>
      <c r="Y392" s="24"/>
      <c r="Z392" s="24"/>
      <c r="AA392" s="24"/>
      <c r="AB392" s="24"/>
      <c r="AC392" s="24"/>
      <c r="AD392" s="24"/>
      <c r="AE392" s="24"/>
      <c r="AF392" s="24"/>
      <c r="AG392" s="24"/>
      <c r="AH392" s="24"/>
      <c r="AI392" s="24"/>
      <c r="AJ392" s="24"/>
      <c r="AK392" s="24"/>
      <c r="AL392" s="24"/>
      <c r="AM392" s="24"/>
      <c r="AN392" s="24"/>
      <c r="AO392" s="24"/>
      <c r="AP392" s="24"/>
      <c r="AQ392" s="24"/>
      <c r="AR392" s="24"/>
      <c r="AS392" s="24"/>
      <c r="AT392" s="24"/>
      <c r="AU392" s="24"/>
      <c r="AV392" s="24"/>
      <c r="AW392" s="24"/>
      <c r="AX392" s="24"/>
      <c r="AY392" s="24"/>
      <c r="AZ392" s="24"/>
      <c r="BA392" s="24"/>
      <c r="BB392" s="24"/>
      <c r="BC392" s="24"/>
      <c r="BD392" s="24"/>
      <c r="BE392" s="24"/>
      <c r="BF392" s="24"/>
      <c r="BG392" s="24"/>
      <c r="BH392" s="24"/>
    </row>
    <row r="393" spans="1:60">
      <c r="A393" s="7"/>
      <c r="B393" s="8"/>
      <c r="C393" s="9"/>
      <c r="D393" s="51"/>
      <c r="E393" s="51"/>
      <c r="F393" s="51"/>
      <c r="G393" s="51"/>
      <c r="H393" s="52"/>
      <c r="I393" s="52"/>
      <c r="J393" s="52"/>
      <c r="K393" s="24"/>
      <c r="L393" s="7"/>
      <c r="M393" s="24"/>
      <c r="N393" s="24"/>
      <c r="O393" s="24"/>
      <c r="P393" s="24"/>
      <c r="Q393" s="24"/>
      <c r="R393" s="24"/>
      <c r="S393" s="24"/>
      <c r="T393" s="24"/>
      <c r="U393" s="24"/>
      <c r="V393" s="24"/>
      <c r="W393" s="24"/>
      <c r="X393" s="24"/>
      <c r="Y393" s="24"/>
      <c r="Z393" s="24"/>
      <c r="AA393" s="24"/>
      <c r="AB393" s="24"/>
      <c r="AC393" s="24"/>
      <c r="AD393" s="24"/>
      <c r="AE393" s="24"/>
      <c r="AF393" s="24"/>
      <c r="AG393" s="24"/>
      <c r="AH393" s="24"/>
      <c r="AI393" s="24"/>
      <c r="AJ393" s="24"/>
      <c r="AK393" s="24"/>
      <c r="AL393" s="24"/>
      <c r="AM393" s="24"/>
      <c r="AN393" s="24"/>
      <c r="AO393" s="24"/>
      <c r="AP393" s="24"/>
      <c r="AQ393" s="24"/>
      <c r="AR393" s="24"/>
      <c r="AS393" s="24"/>
      <c r="AT393" s="24"/>
      <c r="AU393" s="24"/>
      <c r="AV393" s="24"/>
      <c r="AW393" s="24"/>
      <c r="AX393" s="24"/>
      <c r="AY393" s="24"/>
      <c r="AZ393" s="24"/>
      <c r="BA393" s="24"/>
      <c r="BB393" s="24"/>
      <c r="BC393" s="24"/>
      <c r="BD393" s="24"/>
      <c r="BE393" s="24"/>
      <c r="BF393" s="24"/>
      <c r="BG393" s="24"/>
      <c r="BH393" s="24"/>
    </row>
    <row r="394" spans="1:60">
      <c r="A394" s="7"/>
      <c r="B394" s="8"/>
      <c r="C394" s="9"/>
      <c r="D394" s="51"/>
      <c r="E394" s="51"/>
      <c r="F394" s="51"/>
      <c r="G394" s="51"/>
      <c r="H394" s="52"/>
      <c r="I394" s="52"/>
      <c r="J394" s="52"/>
      <c r="K394" s="24"/>
      <c r="L394" s="7"/>
      <c r="M394" s="24"/>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4"/>
      <c r="AK394" s="24"/>
      <c r="AL394" s="24"/>
      <c r="AM394" s="24"/>
      <c r="AN394" s="24"/>
      <c r="AO394" s="24"/>
      <c r="AP394" s="24"/>
      <c r="AQ394" s="24"/>
      <c r="AR394" s="24"/>
      <c r="AS394" s="24"/>
      <c r="AT394" s="24"/>
      <c r="AU394" s="24"/>
      <c r="AV394" s="24"/>
      <c r="AW394" s="24"/>
      <c r="AX394" s="24"/>
      <c r="AY394" s="24"/>
      <c r="AZ394" s="24"/>
      <c r="BA394" s="24"/>
      <c r="BB394" s="24"/>
      <c r="BC394" s="24"/>
      <c r="BD394" s="24"/>
      <c r="BE394" s="24"/>
      <c r="BF394" s="24"/>
      <c r="BG394" s="24"/>
      <c r="BH394" s="24"/>
    </row>
    <row r="395" spans="1:60">
      <c r="A395" s="7"/>
      <c r="B395" s="8"/>
      <c r="C395" s="9"/>
      <c r="D395" s="51"/>
      <c r="E395" s="51"/>
      <c r="F395" s="51"/>
      <c r="G395" s="51"/>
      <c r="H395" s="52"/>
      <c r="I395" s="52"/>
      <c r="J395" s="52"/>
      <c r="K395" s="24"/>
      <c r="L395" s="7"/>
      <c r="M395" s="24"/>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c r="AT395" s="24"/>
      <c r="AU395" s="24"/>
      <c r="AV395" s="24"/>
      <c r="AW395" s="24"/>
      <c r="AX395" s="24"/>
      <c r="AY395" s="24"/>
      <c r="AZ395" s="24"/>
      <c r="BA395" s="24"/>
      <c r="BB395" s="24"/>
      <c r="BC395" s="24"/>
      <c r="BD395" s="24"/>
      <c r="BE395" s="24"/>
      <c r="BF395" s="24"/>
      <c r="BG395" s="24"/>
      <c r="BH395" s="24"/>
    </row>
    <row r="396" spans="1:60">
      <c r="A396" s="7"/>
      <c r="B396" s="8"/>
      <c r="C396" s="9"/>
      <c r="D396" s="51"/>
      <c r="E396" s="51"/>
      <c r="F396" s="51"/>
      <c r="G396" s="51"/>
      <c r="H396" s="52"/>
      <c r="I396" s="52"/>
      <c r="J396" s="52"/>
      <c r="K396" s="24"/>
      <c r="L396" s="7"/>
      <c r="M396" s="24"/>
      <c r="N396" s="24"/>
      <c r="O396" s="24"/>
      <c r="P396" s="24"/>
      <c r="Q396" s="24"/>
      <c r="R396" s="24"/>
      <c r="S396" s="24"/>
      <c r="T396" s="24"/>
      <c r="U396" s="24"/>
      <c r="V396" s="24"/>
      <c r="W396" s="24"/>
      <c r="X396" s="24"/>
      <c r="Y396" s="24"/>
      <c r="Z396" s="24"/>
      <c r="AA396" s="24"/>
      <c r="AB396" s="24"/>
      <c r="AC396" s="24"/>
      <c r="AD396" s="24"/>
      <c r="AE396" s="24"/>
      <c r="AF396" s="24"/>
      <c r="AG396" s="24"/>
      <c r="AH396" s="24"/>
      <c r="AI396" s="24"/>
      <c r="AJ396" s="24"/>
      <c r="AK396" s="24"/>
      <c r="AL396" s="24"/>
      <c r="AM396" s="24"/>
      <c r="AN396" s="24"/>
      <c r="AO396" s="24"/>
      <c r="AP396" s="24"/>
      <c r="AQ396" s="24"/>
      <c r="AR396" s="24"/>
      <c r="AS396" s="24"/>
      <c r="AT396" s="24"/>
      <c r="AU396" s="24"/>
      <c r="AV396" s="24"/>
      <c r="AW396" s="24"/>
      <c r="AX396" s="24"/>
      <c r="AY396" s="24"/>
      <c r="AZ396" s="24"/>
      <c r="BA396" s="24"/>
      <c r="BB396" s="24"/>
      <c r="BC396" s="24"/>
      <c r="BD396" s="24"/>
      <c r="BE396" s="24"/>
      <c r="BF396" s="24"/>
      <c r="BG396" s="24"/>
      <c r="BH396" s="24"/>
    </row>
    <row r="397" spans="1:60">
      <c r="A397" s="7"/>
      <c r="B397" s="8"/>
      <c r="C397" s="9"/>
      <c r="D397" s="51"/>
      <c r="E397" s="51"/>
      <c r="F397" s="51"/>
      <c r="G397" s="51"/>
      <c r="H397" s="52"/>
      <c r="I397" s="52"/>
      <c r="J397" s="52"/>
      <c r="K397" s="24"/>
      <c r="L397" s="7"/>
      <c r="M397" s="24"/>
      <c r="N397" s="24"/>
      <c r="O397" s="24"/>
      <c r="P397" s="24"/>
      <c r="Q397" s="24"/>
      <c r="R397" s="24"/>
      <c r="S397" s="24"/>
      <c r="T397" s="24"/>
      <c r="U397" s="24"/>
      <c r="V397" s="24"/>
      <c r="W397" s="24"/>
      <c r="X397" s="24"/>
      <c r="Y397" s="24"/>
      <c r="Z397" s="24"/>
      <c r="AA397" s="24"/>
      <c r="AB397" s="24"/>
      <c r="AC397" s="24"/>
      <c r="AD397" s="24"/>
      <c r="AE397" s="24"/>
      <c r="AF397" s="24"/>
      <c r="AG397" s="24"/>
      <c r="AH397" s="24"/>
      <c r="AI397" s="24"/>
      <c r="AJ397" s="24"/>
      <c r="AK397" s="24"/>
      <c r="AL397" s="24"/>
      <c r="AM397" s="24"/>
      <c r="AN397" s="24"/>
      <c r="AO397" s="24"/>
      <c r="AP397" s="24"/>
      <c r="AQ397" s="24"/>
      <c r="AR397" s="24"/>
      <c r="AS397" s="24"/>
      <c r="AT397" s="24"/>
      <c r="AU397" s="24"/>
      <c r="AV397" s="24"/>
      <c r="AW397" s="24"/>
      <c r="AX397" s="24"/>
      <c r="AY397" s="24"/>
      <c r="AZ397" s="24"/>
      <c r="BA397" s="24"/>
      <c r="BB397" s="24"/>
      <c r="BC397" s="24"/>
      <c r="BD397" s="24"/>
      <c r="BE397" s="24"/>
      <c r="BF397" s="24"/>
      <c r="BG397" s="24"/>
      <c r="BH397" s="24"/>
    </row>
    <row r="398" spans="1:60">
      <c r="A398" s="7"/>
      <c r="B398" s="8"/>
      <c r="C398" s="9"/>
      <c r="D398" s="51"/>
      <c r="E398" s="51"/>
      <c r="F398" s="51"/>
      <c r="G398" s="51"/>
      <c r="H398" s="52"/>
      <c r="I398" s="52"/>
      <c r="J398" s="52"/>
      <c r="K398" s="24"/>
      <c r="L398" s="7"/>
      <c r="M398" s="24"/>
      <c r="N398" s="24"/>
      <c r="O398" s="24"/>
      <c r="P398" s="24"/>
      <c r="Q398" s="24"/>
      <c r="R398" s="24"/>
      <c r="S398" s="24"/>
      <c r="T398" s="24"/>
      <c r="U398" s="24"/>
      <c r="V398" s="24"/>
      <c r="W398" s="24"/>
      <c r="X398" s="24"/>
      <c r="Y398" s="24"/>
      <c r="Z398" s="24"/>
      <c r="AA398" s="24"/>
      <c r="AB398" s="24"/>
      <c r="AC398" s="24"/>
      <c r="AD398" s="24"/>
      <c r="AE398" s="24"/>
      <c r="AF398" s="24"/>
      <c r="AG398" s="24"/>
      <c r="AH398" s="24"/>
      <c r="AI398" s="24"/>
      <c r="AJ398" s="24"/>
      <c r="AK398" s="24"/>
      <c r="AL398" s="24"/>
      <c r="AM398" s="24"/>
      <c r="AN398" s="24"/>
      <c r="AO398" s="24"/>
      <c r="AP398" s="24"/>
      <c r="AQ398" s="24"/>
      <c r="AR398" s="24"/>
      <c r="AS398" s="24"/>
      <c r="AT398" s="24"/>
      <c r="AU398" s="24"/>
      <c r="AV398" s="24"/>
      <c r="AW398" s="24"/>
      <c r="AX398" s="24"/>
      <c r="AY398" s="24"/>
      <c r="AZ398" s="24"/>
      <c r="BA398" s="24"/>
      <c r="BB398" s="24"/>
      <c r="BC398" s="24"/>
      <c r="BD398" s="24"/>
      <c r="BE398" s="24"/>
      <c r="BF398" s="24"/>
      <c r="BG398" s="24"/>
      <c r="BH398" s="24"/>
    </row>
    <row r="399" spans="1:60">
      <c r="A399" s="7"/>
      <c r="B399" s="8"/>
      <c r="C399" s="9"/>
      <c r="D399" s="51"/>
      <c r="E399" s="51"/>
      <c r="F399" s="51"/>
      <c r="G399" s="51"/>
      <c r="H399" s="52"/>
      <c r="I399" s="52"/>
      <c r="J399" s="52"/>
      <c r="K399" s="24"/>
      <c r="L399" s="7"/>
      <c r="M399" s="24"/>
      <c r="N399" s="24"/>
      <c r="O399" s="24"/>
      <c r="P399" s="24"/>
      <c r="Q399" s="24"/>
      <c r="R399" s="24"/>
      <c r="S399" s="24"/>
      <c r="T399" s="24"/>
      <c r="U399" s="24"/>
      <c r="V399" s="24"/>
      <c r="W399" s="24"/>
      <c r="X399" s="24"/>
      <c r="Y399" s="24"/>
      <c r="Z399" s="24"/>
      <c r="AA399" s="24"/>
      <c r="AB399" s="24"/>
      <c r="AC399" s="24"/>
      <c r="AD399" s="24"/>
      <c r="AE399" s="24"/>
      <c r="AF399" s="24"/>
      <c r="AG399" s="24"/>
      <c r="AH399" s="24"/>
      <c r="AI399" s="24"/>
      <c r="AJ399" s="24"/>
      <c r="AK399" s="24"/>
      <c r="AL399" s="24"/>
      <c r="AM399" s="24"/>
      <c r="AN399" s="24"/>
      <c r="AO399" s="24"/>
      <c r="AP399" s="24"/>
      <c r="AQ399" s="24"/>
      <c r="AR399" s="24"/>
      <c r="AS399" s="24"/>
      <c r="AT399" s="24"/>
      <c r="AU399" s="24"/>
      <c r="AV399" s="24"/>
      <c r="AW399" s="24"/>
      <c r="AX399" s="24"/>
      <c r="AY399" s="24"/>
      <c r="AZ399" s="24"/>
      <c r="BA399" s="24"/>
      <c r="BB399" s="24"/>
      <c r="BC399" s="24"/>
      <c r="BD399" s="24"/>
      <c r="BE399" s="24"/>
      <c r="BF399" s="24"/>
      <c r="BG399" s="24"/>
      <c r="BH399" s="24"/>
    </row>
    <row r="400" spans="1:60">
      <c r="A400" s="7"/>
      <c r="B400" s="8"/>
      <c r="C400" s="9"/>
      <c r="D400" s="51"/>
      <c r="E400" s="51"/>
      <c r="F400" s="51"/>
      <c r="G400" s="51"/>
      <c r="H400" s="52"/>
      <c r="I400" s="52"/>
      <c r="J400" s="52"/>
      <c r="K400" s="24"/>
      <c r="L400" s="7"/>
      <c r="M400" s="24"/>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4"/>
      <c r="AK400" s="24"/>
      <c r="AL400" s="24"/>
      <c r="AM400" s="24"/>
      <c r="AN400" s="24"/>
      <c r="AO400" s="24"/>
      <c r="AP400" s="24"/>
      <c r="AQ400" s="24"/>
      <c r="AR400" s="24"/>
      <c r="AS400" s="24"/>
      <c r="AT400" s="24"/>
      <c r="AU400" s="24"/>
      <c r="AV400" s="24"/>
      <c r="AW400" s="24"/>
      <c r="AX400" s="24"/>
      <c r="AY400" s="24"/>
      <c r="AZ400" s="24"/>
      <c r="BA400" s="24"/>
      <c r="BB400" s="24"/>
      <c r="BC400" s="24"/>
      <c r="BD400" s="24"/>
      <c r="BE400" s="24"/>
      <c r="BF400" s="24"/>
      <c r="BG400" s="24"/>
      <c r="BH400" s="24"/>
    </row>
    <row r="401" spans="1:60">
      <c r="A401" s="7"/>
      <c r="B401" s="8"/>
      <c r="C401" s="9"/>
      <c r="D401" s="51"/>
      <c r="E401" s="51"/>
      <c r="F401" s="51"/>
      <c r="G401" s="51"/>
      <c r="H401" s="52"/>
      <c r="I401" s="52"/>
      <c r="J401" s="52"/>
      <c r="K401" s="24"/>
      <c r="L401" s="7"/>
      <c r="M401" s="24"/>
      <c r="N401" s="24"/>
      <c r="O401" s="24"/>
      <c r="P401" s="24"/>
      <c r="Q401" s="24"/>
      <c r="R401" s="24"/>
      <c r="S401" s="24"/>
      <c r="T401" s="24"/>
      <c r="U401" s="24"/>
      <c r="V401" s="24"/>
      <c r="W401" s="24"/>
      <c r="X401" s="24"/>
      <c r="Y401" s="24"/>
      <c r="Z401" s="24"/>
      <c r="AA401" s="24"/>
      <c r="AB401" s="24"/>
      <c r="AC401" s="24"/>
      <c r="AD401" s="24"/>
      <c r="AE401" s="24"/>
      <c r="AF401" s="24"/>
      <c r="AG401" s="24"/>
      <c r="AH401" s="24"/>
      <c r="AI401" s="24"/>
      <c r="AJ401" s="24"/>
      <c r="AK401" s="24"/>
      <c r="AL401" s="24"/>
      <c r="AM401" s="24"/>
      <c r="AN401" s="24"/>
      <c r="AO401" s="24"/>
      <c r="AP401" s="24"/>
      <c r="AQ401" s="24"/>
      <c r="AR401" s="24"/>
      <c r="AS401" s="24"/>
      <c r="AT401" s="24"/>
      <c r="AU401" s="24"/>
      <c r="AV401" s="24"/>
      <c r="AW401" s="24"/>
      <c r="AX401" s="24"/>
      <c r="AY401" s="24"/>
      <c r="AZ401" s="24"/>
      <c r="BA401" s="24"/>
      <c r="BB401" s="24"/>
      <c r="BC401" s="24"/>
      <c r="BD401" s="24"/>
      <c r="BE401" s="24"/>
      <c r="BF401" s="24"/>
      <c r="BG401" s="24"/>
      <c r="BH401" s="24"/>
    </row>
    <row r="402" spans="1:60">
      <c r="A402" s="7"/>
      <c r="B402" s="8"/>
      <c r="C402" s="9"/>
      <c r="D402" s="51"/>
      <c r="E402" s="51"/>
      <c r="F402" s="51"/>
      <c r="G402" s="51"/>
      <c r="H402" s="52"/>
      <c r="I402" s="52"/>
      <c r="J402" s="52"/>
      <c r="K402" s="24"/>
      <c r="L402" s="7"/>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24"/>
      <c r="BF402" s="24"/>
      <c r="BG402" s="24"/>
      <c r="BH402" s="24"/>
    </row>
    <row r="403" spans="1:60">
      <c r="A403" s="7"/>
      <c r="B403" s="8"/>
      <c r="C403" s="9"/>
      <c r="D403" s="51"/>
      <c r="E403" s="51"/>
      <c r="F403" s="51"/>
      <c r="G403" s="51"/>
      <c r="H403" s="52"/>
      <c r="I403" s="52"/>
      <c r="J403" s="52"/>
      <c r="K403" s="24"/>
      <c r="L403" s="7"/>
      <c r="M403" s="24"/>
      <c r="N403" s="24"/>
      <c r="O403" s="24"/>
      <c r="P403" s="24"/>
      <c r="Q403" s="24"/>
      <c r="R403" s="24"/>
      <c r="S403" s="24"/>
      <c r="T403" s="24"/>
      <c r="U403" s="24"/>
      <c r="V403" s="24"/>
      <c r="W403" s="24"/>
      <c r="X403" s="24"/>
      <c r="Y403" s="24"/>
      <c r="Z403" s="24"/>
      <c r="AA403" s="24"/>
      <c r="AB403" s="24"/>
      <c r="AC403" s="24"/>
      <c r="AD403" s="24"/>
      <c r="AE403" s="24"/>
      <c r="AF403" s="24"/>
      <c r="AG403" s="24"/>
      <c r="AH403" s="24"/>
      <c r="AI403" s="24"/>
      <c r="AJ403" s="24"/>
      <c r="AK403" s="24"/>
      <c r="AL403" s="24"/>
      <c r="AM403" s="24"/>
      <c r="AN403" s="24"/>
      <c r="AO403" s="24"/>
      <c r="AP403" s="24"/>
      <c r="AQ403" s="24"/>
      <c r="AR403" s="24"/>
      <c r="AS403" s="24"/>
      <c r="AT403" s="24"/>
      <c r="AU403" s="24"/>
      <c r="AV403" s="24"/>
      <c r="AW403" s="24"/>
      <c r="AX403" s="24"/>
      <c r="AY403" s="24"/>
      <c r="AZ403" s="24"/>
      <c r="BA403" s="24"/>
      <c r="BB403" s="24"/>
      <c r="BC403" s="24"/>
      <c r="BD403" s="24"/>
      <c r="BE403" s="24"/>
      <c r="BF403" s="24"/>
      <c r="BG403" s="24"/>
      <c r="BH403" s="24"/>
    </row>
    <row r="404" spans="1:60">
      <c r="A404" s="7"/>
      <c r="B404" s="8"/>
      <c r="C404" s="9"/>
      <c r="D404" s="51"/>
      <c r="E404" s="51"/>
      <c r="F404" s="51"/>
      <c r="G404" s="51"/>
      <c r="H404" s="52"/>
      <c r="I404" s="52"/>
      <c r="J404" s="52"/>
      <c r="K404" s="24"/>
      <c r="L404" s="7"/>
      <c r="M404" s="24"/>
      <c r="N404" s="24"/>
      <c r="O404" s="24"/>
      <c r="P404" s="24"/>
      <c r="Q404" s="24"/>
      <c r="R404" s="24"/>
      <c r="S404" s="24"/>
      <c r="T404" s="24"/>
      <c r="U404" s="24"/>
      <c r="V404" s="24"/>
      <c r="W404" s="24"/>
      <c r="X404" s="24"/>
      <c r="Y404" s="24"/>
      <c r="Z404" s="24"/>
      <c r="AA404" s="24"/>
      <c r="AB404" s="24"/>
      <c r="AC404" s="24"/>
      <c r="AD404" s="24"/>
      <c r="AE404" s="24"/>
      <c r="AF404" s="24"/>
      <c r="AG404" s="24"/>
      <c r="AH404" s="24"/>
      <c r="AI404" s="24"/>
      <c r="AJ404" s="24"/>
      <c r="AK404" s="24"/>
      <c r="AL404" s="24"/>
      <c r="AM404" s="24"/>
      <c r="AN404" s="24"/>
      <c r="AO404" s="24"/>
      <c r="AP404" s="24"/>
      <c r="AQ404" s="24"/>
      <c r="AR404" s="24"/>
      <c r="AS404" s="24"/>
      <c r="AT404" s="24"/>
      <c r="AU404" s="24"/>
      <c r="AV404" s="24"/>
      <c r="AW404" s="24"/>
      <c r="AX404" s="24"/>
      <c r="AY404" s="24"/>
      <c r="AZ404" s="24"/>
      <c r="BA404" s="24"/>
      <c r="BB404" s="24"/>
      <c r="BC404" s="24"/>
      <c r="BD404" s="24"/>
      <c r="BE404" s="24"/>
      <c r="BF404" s="24"/>
      <c r="BG404" s="24"/>
      <c r="BH404" s="24"/>
    </row>
    <row r="405" spans="1:60">
      <c r="A405" s="7"/>
      <c r="B405" s="8"/>
      <c r="C405" s="9"/>
      <c r="D405" s="51"/>
      <c r="E405" s="51"/>
      <c r="F405" s="51"/>
      <c r="G405" s="51"/>
      <c r="H405" s="52"/>
      <c r="I405" s="52"/>
      <c r="J405" s="52"/>
      <c r="K405" s="24"/>
      <c r="L405" s="7"/>
      <c r="M405" s="24"/>
      <c r="N405" s="24"/>
      <c r="O405" s="24"/>
      <c r="P405" s="24"/>
      <c r="Q405" s="24"/>
      <c r="R405" s="24"/>
      <c r="S405" s="24"/>
      <c r="T405" s="24"/>
      <c r="U405" s="24"/>
      <c r="V405" s="24"/>
      <c r="W405" s="24"/>
      <c r="X405" s="24"/>
      <c r="Y405" s="24"/>
      <c r="Z405" s="24"/>
      <c r="AA405" s="24"/>
      <c r="AB405" s="24"/>
      <c r="AC405" s="24"/>
      <c r="AD405" s="24"/>
      <c r="AE405" s="24"/>
      <c r="AF405" s="24"/>
      <c r="AG405" s="24"/>
      <c r="AH405" s="24"/>
      <c r="AI405" s="24"/>
      <c r="AJ405" s="24"/>
      <c r="AK405" s="24"/>
      <c r="AL405" s="24"/>
      <c r="AM405" s="24"/>
      <c r="AN405" s="24"/>
      <c r="AO405" s="24"/>
      <c r="AP405" s="24"/>
      <c r="AQ405" s="24"/>
      <c r="AR405" s="24"/>
      <c r="AS405" s="24"/>
      <c r="AT405" s="24"/>
      <c r="AU405" s="24"/>
      <c r="AV405" s="24"/>
      <c r="AW405" s="24"/>
      <c r="AX405" s="24"/>
      <c r="AY405" s="24"/>
      <c r="AZ405" s="24"/>
      <c r="BA405" s="24"/>
      <c r="BB405" s="24"/>
      <c r="BC405" s="24"/>
      <c r="BD405" s="24"/>
      <c r="BE405" s="24"/>
      <c r="BF405" s="24"/>
      <c r="BG405" s="24"/>
      <c r="BH405" s="24"/>
    </row>
    <row r="406" spans="1:60">
      <c r="A406" s="7"/>
      <c r="B406" s="8"/>
      <c r="C406" s="9"/>
      <c r="D406" s="51"/>
      <c r="E406" s="51"/>
      <c r="F406" s="51"/>
      <c r="G406" s="51"/>
      <c r="H406" s="52"/>
      <c r="I406" s="52"/>
      <c r="J406" s="52"/>
      <c r="K406" s="24"/>
      <c r="L406" s="7"/>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4"/>
      <c r="BF406" s="24"/>
      <c r="BG406" s="24"/>
      <c r="BH406" s="24"/>
    </row>
    <row r="407" spans="1:60">
      <c r="A407" s="7"/>
      <c r="B407" s="8"/>
      <c r="C407" s="9"/>
      <c r="D407" s="51"/>
      <c r="E407" s="51"/>
      <c r="F407" s="51"/>
      <c r="G407" s="51"/>
      <c r="H407" s="52"/>
      <c r="I407" s="52"/>
      <c r="J407" s="52"/>
      <c r="K407" s="24"/>
      <c r="L407" s="7"/>
      <c r="M407" s="24"/>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24"/>
      <c r="BE407" s="24"/>
      <c r="BF407" s="24"/>
      <c r="BG407" s="24"/>
      <c r="BH407" s="24"/>
    </row>
    <row r="408" spans="1:60">
      <c r="A408" s="7"/>
      <c r="B408" s="8"/>
      <c r="C408" s="9"/>
      <c r="D408" s="51"/>
      <c r="E408" s="51"/>
      <c r="F408" s="51"/>
      <c r="G408" s="51"/>
      <c r="H408" s="52"/>
      <c r="I408" s="52"/>
      <c r="J408" s="52"/>
      <c r="K408" s="24"/>
      <c r="L408" s="7"/>
      <c r="M408" s="24"/>
      <c r="N408" s="24"/>
      <c r="O408" s="24"/>
      <c r="P408" s="24"/>
      <c r="Q408" s="24"/>
      <c r="R408" s="24"/>
      <c r="S408" s="24"/>
      <c r="T408" s="24"/>
      <c r="U408" s="24"/>
      <c r="V408" s="24"/>
      <c r="W408" s="24"/>
      <c r="X408" s="24"/>
      <c r="Y408" s="24"/>
      <c r="Z408" s="24"/>
      <c r="AA408" s="24"/>
      <c r="AB408" s="24"/>
      <c r="AC408" s="24"/>
      <c r="AD408" s="24"/>
      <c r="AE408" s="24"/>
      <c r="AF408" s="24"/>
      <c r="AG408" s="24"/>
      <c r="AH408" s="24"/>
      <c r="AI408" s="24"/>
      <c r="AJ408" s="24"/>
      <c r="AK408" s="24"/>
      <c r="AL408" s="24"/>
      <c r="AM408" s="24"/>
      <c r="AN408" s="24"/>
      <c r="AO408" s="24"/>
      <c r="AP408" s="24"/>
      <c r="AQ408" s="24"/>
      <c r="AR408" s="24"/>
      <c r="AS408" s="24"/>
      <c r="AT408" s="24"/>
      <c r="AU408" s="24"/>
      <c r="AV408" s="24"/>
      <c r="AW408" s="24"/>
      <c r="AX408" s="24"/>
      <c r="AY408" s="24"/>
      <c r="AZ408" s="24"/>
      <c r="BA408" s="24"/>
      <c r="BB408" s="24"/>
      <c r="BC408" s="24"/>
      <c r="BD408" s="24"/>
      <c r="BE408" s="24"/>
      <c r="BF408" s="24"/>
      <c r="BG408" s="24"/>
      <c r="BH408" s="24"/>
    </row>
    <row r="409" spans="1:60">
      <c r="A409" s="7"/>
      <c r="B409" s="8"/>
      <c r="C409" s="9"/>
      <c r="D409" s="51"/>
      <c r="E409" s="51"/>
      <c r="F409" s="51"/>
      <c r="G409" s="51"/>
      <c r="H409" s="52"/>
      <c r="I409" s="52"/>
      <c r="J409" s="52"/>
      <c r="K409" s="24"/>
      <c r="L409" s="7"/>
      <c r="M409" s="24"/>
      <c r="N409" s="24"/>
      <c r="O409" s="24"/>
      <c r="P409" s="24"/>
      <c r="Q409" s="24"/>
      <c r="R409" s="24"/>
      <c r="S409" s="24"/>
      <c r="T409" s="24"/>
      <c r="U409" s="24"/>
      <c r="V409" s="24"/>
      <c r="W409" s="24"/>
      <c r="X409" s="24"/>
      <c r="Y409" s="24"/>
      <c r="Z409" s="24"/>
      <c r="AA409" s="24"/>
      <c r="AB409" s="24"/>
      <c r="AC409" s="24"/>
      <c r="AD409" s="24"/>
      <c r="AE409" s="24"/>
      <c r="AF409" s="24"/>
      <c r="AG409" s="24"/>
      <c r="AH409" s="24"/>
      <c r="AI409" s="24"/>
      <c r="AJ409" s="24"/>
      <c r="AK409" s="24"/>
      <c r="AL409" s="24"/>
      <c r="AM409" s="24"/>
      <c r="AN409" s="24"/>
      <c r="AO409" s="24"/>
      <c r="AP409" s="24"/>
      <c r="AQ409" s="24"/>
      <c r="AR409" s="24"/>
      <c r="AS409" s="24"/>
      <c r="AT409" s="24"/>
      <c r="AU409" s="24"/>
      <c r="AV409" s="24"/>
      <c r="AW409" s="24"/>
      <c r="AX409" s="24"/>
      <c r="AY409" s="24"/>
      <c r="AZ409" s="24"/>
      <c r="BA409" s="24"/>
      <c r="BB409" s="24"/>
      <c r="BC409" s="24"/>
      <c r="BD409" s="24"/>
      <c r="BE409" s="24"/>
      <c r="BF409" s="24"/>
      <c r="BG409" s="24"/>
      <c r="BH409" s="24"/>
    </row>
    <row r="410" spans="1:60">
      <c r="A410" s="7"/>
      <c r="B410" s="8"/>
      <c r="C410" s="9"/>
      <c r="D410" s="51"/>
      <c r="E410" s="51"/>
      <c r="F410" s="51"/>
      <c r="G410" s="51"/>
      <c r="H410" s="52"/>
      <c r="I410" s="52"/>
      <c r="J410" s="52"/>
      <c r="K410" s="24"/>
      <c r="L410" s="7"/>
      <c r="M410" s="24"/>
      <c r="N410" s="24"/>
      <c r="O410" s="24"/>
      <c r="P410" s="24"/>
      <c r="Q410" s="24"/>
      <c r="R410" s="24"/>
      <c r="S410" s="24"/>
      <c r="T410" s="24"/>
      <c r="U410" s="24"/>
      <c r="V410" s="24"/>
      <c r="W410" s="24"/>
      <c r="X410" s="24"/>
      <c r="Y410" s="24"/>
      <c r="Z410" s="24"/>
      <c r="AA410" s="24"/>
      <c r="AB410" s="24"/>
      <c r="AC410" s="24"/>
      <c r="AD410" s="24"/>
      <c r="AE410" s="24"/>
      <c r="AF410" s="24"/>
      <c r="AG410" s="24"/>
      <c r="AH410" s="24"/>
      <c r="AI410" s="24"/>
      <c r="AJ410" s="24"/>
      <c r="AK410" s="24"/>
      <c r="AL410" s="24"/>
      <c r="AM410" s="24"/>
      <c r="AN410" s="24"/>
      <c r="AO410" s="24"/>
      <c r="AP410" s="24"/>
      <c r="AQ410" s="24"/>
      <c r="AR410" s="24"/>
      <c r="AS410" s="24"/>
      <c r="AT410" s="24"/>
      <c r="AU410" s="24"/>
      <c r="AV410" s="24"/>
      <c r="AW410" s="24"/>
      <c r="AX410" s="24"/>
      <c r="AY410" s="24"/>
      <c r="AZ410" s="24"/>
      <c r="BA410" s="24"/>
      <c r="BB410" s="24"/>
      <c r="BC410" s="24"/>
      <c r="BD410" s="24"/>
      <c r="BE410" s="24"/>
      <c r="BF410" s="24"/>
      <c r="BG410" s="24"/>
      <c r="BH410" s="24"/>
    </row>
    <row r="411" spans="1:60">
      <c r="A411" s="7"/>
      <c r="B411" s="8"/>
      <c r="C411" s="9"/>
      <c r="D411" s="51"/>
      <c r="E411" s="51"/>
      <c r="F411" s="51"/>
      <c r="G411" s="51"/>
      <c r="H411" s="52"/>
      <c r="I411" s="52"/>
      <c r="J411" s="52"/>
      <c r="K411" s="24"/>
      <c r="L411" s="7"/>
      <c r="M411" s="24"/>
      <c r="N411" s="24"/>
      <c r="O411" s="24"/>
      <c r="P411" s="24"/>
      <c r="Q411" s="24"/>
      <c r="R411" s="24"/>
      <c r="S411" s="24"/>
      <c r="T411" s="24"/>
      <c r="U411" s="24"/>
      <c r="V411" s="24"/>
      <c r="W411" s="24"/>
      <c r="X411" s="24"/>
      <c r="Y411" s="24"/>
      <c r="Z411" s="24"/>
      <c r="AA411" s="24"/>
      <c r="AB411" s="24"/>
      <c r="AC411" s="24"/>
      <c r="AD411" s="24"/>
      <c r="AE411" s="24"/>
      <c r="AF411" s="24"/>
      <c r="AG411" s="24"/>
      <c r="AH411" s="24"/>
      <c r="AI411" s="24"/>
      <c r="AJ411" s="24"/>
      <c r="AK411" s="24"/>
      <c r="AL411" s="24"/>
      <c r="AM411" s="24"/>
      <c r="AN411" s="24"/>
      <c r="AO411" s="24"/>
      <c r="AP411" s="24"/>
      <c r="AQ411" s="24"/>
      <c r="AR411" s="24"/>
      <c r="AS411" s="24"/>
      <c r="AT411" s="24"/>
      <c r="AU411" s="24"/>
      <c r="AV411" s="24"/>
      <c r="AW411" s="24"/>
      <c r="AX411" s="24"/>
      <c r="AY411" s="24"/>
      <c r="AZ411" s="24"/>
      <c r="BA411" s="24"/>
      <c r="BB411" s="24"/>
      <c r="BC411" s="24"/>
      <c r="BD411" s="24"/>
      <c r="BE411" s="24"/>
      <c r="BF411" s="24"/>
      <c r="BG411" s="24"/>
      <c r="BH411" s="24"/>
    </row>
    <row r="412" spans="1:60">
      <c r="A412" s="7"/>
      <c r="B412" s="8"/>
      <c r="C412" s="9"/>
      <c r="D412" s="51"/>
      <c r="E412" s="51"/>
      <c r="F412" s="51"/>
      <c r="G412" s="51"/>
      <c r="H412" s="52"/>
      <c r="I412" s="52"/>
      <c r="J412" s="52"/>
      <c r="K412" s="24"/>
      <c r="L412" s="7"/>
      <c r="M412" s="24"/>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4"/>
      <c r="AK412" s="24"/>
      <c r="AL412" s="24"/>
      <c r="AM412" s="24"/>
      <c r="AN412" s="24"/>
      <c r="AO412" s="24"/>
      <c r="AP412" s="24"/>
      <c r="AQ412" s="24"/>
      <c r="AR412" s="24"/>
      <c r="AS412" s="24"/>
      <c r="AT412" s="24"/>
      <c r="AU412" s="24"/>
      <c r="AV412" s="24"/>
      <c r="AW412" s="24"/>
      <c r="AX412" s="24"/>
      <c r="AY412" s="24"/>
      <c r="AZ412" s="24"/>
      <c r="BA412" s="24"/>
      <c r="BB412" s="24"/>
      <c r="BC412" s="24"/>
      <c r="BD412" s="24"/>
      <c r="BE412" s="24"/>
      <c r="BF412" s="24"/>
      <c r="BG412" s="24"/>
      <c r="BH412" s="24"/>
    </row>
    <row r="413" spans="1:60">
      <c r="A413" s="7"/>
      <c r="B413" s="8"/>
      <c r="C413" s="9"/>
      <c r="D413" s="51"/>
      <c r="E413" s="51"/>
      <c r="F413" s="51"/>
      <c r="G413" s="51"/>
      <c r="H413" s="52"/>
      <c r="I413" s="52"/>
      <c r="J413" s="52"/>
      <c r="K413" s="24"/>
      <c r="L413" s="7"/>
      <c r="M413" s="24"/>
      <c r="N413" s="24"/>
      <c r="O413" s="24"/>
      <c r="P413" s="24"/>
      <c r="Q413" s="24"/>
      <c r="R413" s="24"/>
      <c r="S413" s="24"/>
      <c r="T413" s="24"/>
      <c r="U413" s="24"/>
      <c r="V413" s="24"/>
      <c r="W413" s="24"/>
      <c r="X413" s="24"/>
      <c r="Y413" s="24"/>
      <c r="Z413" s="24"/>
      <c r="AA413" s="24"/>
      <c r="AB413" s="24"/>
      <c r="AC413" s="24"/>
      <c r="AD413" s="24"/>
      <c r="AE413" s="24"/>
      <c r="AF413" s="24"/>
      <c r="AG413" s="24"/>
      <c r="AH413" s="24"/>
      <c r="AI413" s="24"/>
      <c r="AJ413" s="24"/>
      <c r="AK413" s="24"/>
      <c r="AL413" s="24"/>
      <c r="AM413" s="24"/>
      <c r="AN413" s="24"/>
      <c r="AO413" s="24"/>
      <c r="AP413" s="24"/>
      <c r="AQ413" s="24"/>
      <c r="AR413" s="24"/>
      <c r="AS413" s="24"/>
      <c r="AT413" s="24"/>
      <c r="AU413" s="24"/>
      <c r="AV413" s="24"/>
      <c r="AW413" s="24"/>
      <c r="AX413" s="24"/>
      <c r="AY413" s="24"/>
      <c r="AZ413" s="24"/>
      <c r="BA413" s="24"/>
      <c r="BB413" s="24"/>
      <c r="BC413" s="24"/>
      <c r="BD413" s="24"/>
      <c r="BE413" s="24"/>
      <c r="BF413" s="24"/>
      <c r="BG413" s="24"/>
      <c r="BH413" s="24"/>
    </row>
    <row r="414" spans="1:60">
      <c r="A414" s="7"/>
      <c r="B414" s="8"/>
      <c r="C414" s="9"/>
      <c r="D414" s="51"/>
      <c r="E414" s="51"/>
      <c r="F414" s="51"/>
      <c r="G414" s="51"/>
      <c r="H414" s="52"/>
      <c r="I414" s="52"/>
      <c r="J414" s="52"/>
      <c r="K414" s="24"/>
      <c r="L414" s="7"/>
      <c r="M414" s="24"/>
      <c r="N414" s="24"/>
      <c r="O414" s="24"/>
      <c r="P414" s="24"/>
      <c r="Q414" s="24"/>
      <c r="R414" s="24"/>
      <c r="S414" s="24"/>
      <c r="T414" s="24"/>
      <c r="U414" s="24"/>
      <c r="V414" s="24"/>
      <c r="W414" s="24"/>
      <c r="X414" s="24"/>
      <c r="Y414" s="24"/>
      <c r="Z414" s="24"/>
      <c r="AA414" s="24"/>
      <c r="AB414" s="24"/>
      <c r="AC414" s="24"/>
      <c r="AD414" s="24"/>
      <c r="AE414" s="24"/>
      <c r="AF414" s="24"/>
      <c r="AG414" s="24"/>
      <c r="AH414" s="24"/>
      <c r="AI414" s="24"/>
      <c r="AJ414" s="24"/>
      <c r="AK414" s="24"/>
      <c r="AL414" s="24"/>
      <c r="AM414" s="24"/>
      <c r="AN414" s="24"/>
      <c r="AO414" s="24"/>
      <c r="AP414" s="24"/>
      <c r="AQ414" s="24"/>
      <c r="AR414" s="24"/>
      <c r="AS414" s="24"/>
      <c r="AT414" s="24"/>
      <c r="AU414" s="24"/>
      <c r="AV414" s="24"/>
      <c r="AW414" s="24"/>
      <c r="AX414" s="24"/>
      <c r="AY414" s="24"/>
      <c r="AZ414" s="24"/>
      <c r="BA414" s="24"/>
      <c r="BB414" s="24"/>
      <c r="BC414" s="24"/>
      <c r="BD414" s="24"/>
      <c r="BE414" s="24"/>
      <c r="BF414" s="24"/>
      <c r="BG414" s="24"/>
      <c r="BH414" s="24"/>
    </row>
    <row r="415" spans="1:60">
      <c r="A415" s="7"/>
      <c r="B415" s="8"/>
      <c r="C415" s="9"/>
      <c r="D415" s="51"/>
      <c r="E415" s="51"/>
      <c r="F415" s="51"/>
      <c r="G415" s="51"/>
      <c r="H415" s="52"/>
      <c r="I415" s="52"/>
      <c r="J415" s="52"/>
      <c r="K415" s="24"/>
      <c r="L415" s="7"/>
      <c r="M415" s="24"/>
      <c r="N415" s="24"/>
      <c r="O415" s="24"/>
      <c r="P415" s="24"/>
      <c r="Q415" s="24"/>
      <c r="R415" s="24"/>
      <c r="S415" s="24"/>
      <c r="T415" s="24"/>
      <c r="U415" s="24"/>
      <c r="V415" s="24"/>
      <c r="W415" s="24"/>
      <c r="X415" s="24"/>
      <c r="Y415" s="24"/>
      <c r="Z415" s="24"/>
      <c r="AA415" s="24"/>
      <c r="AB415" s="24"/>
      <c r="AC415" s="24"/>
      <c r="AD415" s="24"/>
      <c r="AE415" s="24"/>
      <c r="AF415" s="24"/>
      <c r="AG415" s="24"/>
      <c r="AH415" s="24"/>
      <c r="AI415" s="24"/>
      <c r="AJ415" s="24"/>
      <c r="AK415" s="24"/>
      <c r="AL415" s="24"/>
      <c r="AM415" s="24"/>
      <c r="AN415" s="24"/>
      <c r="AO415" s="24"/>
      <c r="AP415" s="24"/>
      <c r="AQ415" s="24"/>
      <c r="AR415" s="24"/>
      <c r="AS415" s="24"/>
      <c r="AT415" s="24"/>
      <c r="AU415" s="24"/>
      <c r="AV415" s="24"/>
      <c r="AW415" s="24"/>
      <c r="AX415" s="24"/>
      <c r="AY415" s="24"/>
      <c r="AZ415" s="24"/>
      <c r="BA415" s="24"/>
      <c r="BB415" s="24"/>
      <c r="BC415" s="24"/>
      <c r="BD415" s="24"/>
      <c r="BE415" s="24"/>
      <c r="BF415" s="24"/>
      <c r="BG415" s="24"/>
      <c r="BH415" s="24"/>
    </row>
    <row r="416" spans="1:60">
      <c r="A416" s="7"/>
      <c r="B416" s="8"/>
      <c r="C416" s="9"/>
      <c r="D416" s="51"/>
      <c r="E416" s="51"/>
      <c r="F416" s="51"/>
      <c r="G416" s="51"/>
      <c r="H416" s="52"/>
      <c r="I416" s="52"/>
      <c r="J416" s="52"/>
      <c r="K416" s="24"/>
      <c r="L416" s="7"/>
      <c r="M416" s="24"/>
      <c r="N416" s="24"/>
      <c r="O416" s="24"/>
      <c r="P416" s="24"/>
      <c r="Q416" s="24"/>
      <c r="R416" s="24"/>
      <c r="S416" s="24"/>
      <c r="T416" s="24"/>
      <c r="U416" s="24"/>
      <c r="V416" s="24"/>
      <c r="W416" s="24"/>
      <c r="X416" s="24"/>
      <c r="Y416" s="24"/>
      <c r="Z416" s="24"/>
      <c r="AA416" s="24"/>
      <c r="AB416" s="24"/>
      <c r="AC416" s="24"/>
      <c r="AD416" s="24"/>
      <c r="AE416" s="24"/>
      <c r="AF416" s="24"/>
      <c r="AG416" s="24"/>
      <c r="AH416" s="24"/>
      <c r="AI416" s="24"/>
      <c r="AJ416" s="24"/>
      <c r="AK416" s="24"/>
      <c r="AL416" s="24"/>
      <c r="AM416" s="24"/>
      <c r="AN416" s="24"/>
      <c r="AO416" s="24"/>
      <c r="AP416" s="24"/>
      <c r="AQ416" s="24"/>
      <c r="AR416" s="24"/>
      <c r="AS416" s="24"/>
      <c r="AT416" s="24"/>
      <c r="AU416" s="24"/>
      <c r="AV416" s="24"/>
      <c r="AW416" s="24"/>
      <c r="AX416" s="24"/>
      <c r="AY416" s="24"/>
      <c r="AZ416" s="24"/>
      <c r="BA416" s="24"/>
      <c r="BB416" s="24"/>
      <c r="BC416" s="24"/>
      <c r="BD416" s="24"/>
      <c r="BE416" s="24"/>
      <c r="BF416" s="24"/>
      <c r="BG416" s="24"/>
      <c r="BH416" s="24"/>
    </row>
    <row r="417" spans="1:60">
      <c r="A417" s="7"/>
      <c r="B417" s="8"/>
      <c r="C417" s="9"/>
      <c r="D417" s="51"/>
      <c r="E417" s="51"/>
      <c r="F417" s="51"/>
      <c r="G417" s="51"/>
      <c r="H417" s="52"/>
      <c r="I417" s="52"/>
      <c r="J417" s="52"/>
      <c r="K417" s="24"/>
      <c r="L417" s="7"/>
      <c r="M417" s="24"/>
      <c r="N417" s="24"/>
      <c r="O417" s="24"/>
      <c r="P417" s="24"/>
      <c r="Q417" s="24"/>
      <c r="R417" s="24"/>
      <c r="S417" s="24"/>
      <c r="T417" s="24"/>
      <c r="U417" s="24"/>
      <c r="V417" s="24"/>
      <c r="W417" s="24"/>
      <c r="X417" s="24"/>
      <c r="Y417" s="24"/>
      <c r="Z417" s="24"/>
      <c r="AA417" s="24"/>
      <c r="AB417" s="24"/>
      <c r="AC417" s="24"/>
      <c r="AD417" s="24"/>
      <c r="AE417" s="24"/>
      <c r="AF417" s="24"/>
      <c r="AG417" s="24"/>
      <c r="AH417" s="24"/>
      <c r="AI417" s="24"/>
      <c r="AJ417" s="24"/>
      <c r="AK417" s="24"/>
      <c r="AL417" s="24"/>
      <c r="AM417" s="24"/>
      <c r="AN417" s="24"/>
      <c r="AO417" s="24"/>
      <c r="AP417" s="24"/>
      <c r="AQ417" s="24"/>
      <c r="AR417" s="24"/>
      <c r="AS417" s="24"/>
      <c r="AT417" s="24"/>
      <c r="AU417" s="24"/>
      <c r="AV417" s="24"/>
      <c r="AW417" s="24"/>
      <c r="AX417" s="24"/>
      <c r="AY417" s="24"/>
      <c r="AZ417" s="24"/>
      <c r="BA417" s="24"/>
      <c r="BB417" s="24"/>
      <c r="BC417" s="24"/>
      <c r="BD417" s="24"/>
      <c r="BE417" s="24"/>
      <c r="BF417" s="24"/>
      <c r="BG417" s="24"/>
      <c r="BH417" s="24"/>
    </row>
    <row r="418" spans="1:60">
      <c r="A418" s="7"/>
      <c r="B418" s="8"/>
      <c r="C418" s="9"/>
      <c r="D418" s="51"/>
      <c r="E418" s="51"/>
      <c r="F418" s="51"/>
      <c r="G418" s="51"/>
      <c r="H418" s="52"/>
      <c r="I418" s="52"/>
      <c r="J418" s="52"/>
      <c r="K418" s="24"/>
      <c r="L418" s="7"/>
      <c r="M418" s="24"/>
      <c r="N418" s="24"/>
      <c r="O418" s="24"/>
      <c r="P418" s="24"/>
      <c r="Q418" s="24"/>
      <c r="R418" s="24"/>
      <c r="S418" s="24"/>
      <c r="T418" s="24"/>
      <c r="U418" s="24"/>
      <c r="V418" s="24"/>
      <c r="W418" s="24"/>
      <c r="X418" s="24"/>
      <c r="Y418" s="24"/>
      <c r="Z418" s="24"/>
      <c r="AA418" s="24"/>
      <c r="AB418" s="24"/>
      <c r="AC418" s="24"/>
      <c r="AD418" s="24"/>
      <c r="AE418" s="24"/>
      <c r="AF418" s="24"/>
      <c r="AG418" s="24"/>
      <c r="AH418" s="24"/>
      <c r="AI418" s="24"/>
      <c r="AJ418" s="24"/>
      <c r="AK418" s="24"/>
      <c r="AL418" s="24"/>
      <c r="AM418" s="24"/>
      <c r="AN418" s="24"/>
      <c r="AO418" s="24"/>
      <c r="AP418" s="24"/>
      <c r="AQ418" s="24"/>
      <c r="AR418" s="24"/>
      <c r="AS418" s="24"/>
      <c r="AT418" s="24"/>
      <c r="AU418" s="24"/>
      <c r="AV418" s="24"/>
      <c r="AW418" s="24"/>
      <c r="AX418" s="24"/>
      <c r="AY418" s="24"/>
      <c r="AZ418" s="24"/>
      <c r="BA418" s="24"/>
      <c r="BB418" s="24"/>
      <c r="BC418" s="24"/>
      <c r="BD418" s="24"/>
      <c r="BE418" s="24"/>
      <c r="BF418" s="24"/>
      <c r="BG418" s="24"/>
      <c r="BH418" s="24"/>
    </row>
    <row r="419" spans="1:60">
      <c r="A419" s="7"/>
      <c r="B419" s="8"/>
      <c r="C419" s="9"/>
      <c r="D419" s="51"/>
      <c r="E419" s="51"/>
      <c r="F419" s="51"/>
      <c r="G419" s="51"/>
      <c r="H419" s="52"/>
      <c r="I419" s="52"/>
      <c r="J419" s="52"/>
      <c r="K419" s="24"/>
      <c r="L419" s="7"/>
      <c r="M419" s="24"/>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4"/>
      <c r="AK419" s="24"/>
      <c r="AL419" s="24"/>
      <c r="AM419" s="24"/>
      <c r="AN419" s="24"/>
      <c r="AO419" s="24"/>
      <c r="AP419" s="24"/>
      <c r="AQ419" s="24"/>
      <c r="AR419" s="24"/>
      <c r="AS419" s="24"/>
      <c r="AT419" s="24"/>
      <c r="AU419" s="24"/>
      <c r="AV419" s="24"/>
      <c r="AW419" s="24"/>
      <c r="AX419" s="24"/>
      <c r="AY419" s="24"/>
      <c r="AZ419" s="24"/>
      <c r="BA419" s="24"/>
      <c r="BB419" s="24"/>
      <c r="BC419" s="24"/>
      <c r="BD419" s="24"/>
      <c r="BE419" s="24"/>
      <c r="BF419" s="24"/>
      <c r="BG419" s="24"/>
      <c r="BH419" s="24"/>
    </row>
    <row r="420" spans="1:60">
      <c r="A420" s="7"/>
      <c r="B420" s="8"/>
      <c r="C420" s="9"/>
      <c r="D420" s="51"/>
      <c r="E420" s="51"/>
      <c r="F420" s="51"/>
      <c r="G420" s="51"/>
      <c r="H420" s="52"/>
      <c r="I420" s="52"/>
      <c r="J420" s="52"/>
      <c r="K420" s="24"/>
      <c r="L420" s="7"/>
      <c r="M420" s="24"/>
      <c r="N420" s="24"/>
      <c r="O420" s="24"/>
      <c r="P420" s="24"/>
      <c r="Q420" s="24"/>
      <c r="R420" s="24"/>
      <c r="S420" s="24"/>
      <c r="T420" s="24"/>
      <c r="U420" s="24"/>
      <c r="V420" s="24"/>
      <c r="W420" s="24"/>
      <c r="X420" s="24"/>
      <c r="Y420" s="24"/>
      <c r="Z420" s="24"/>
      <c r="AA420" s="24"/>
      <c r="AB420" s="24"/>
      <c r="AC420" s="24"/>
      <c r="AD420" s="24"/>
      <c r="AE420" s="24"/>
      <c r="AF420" s="24"/>
      <c r="AG420" s="24"/>
      <c r="AH420" s="24"/>
      <c r="AI420" s="24"/>
      <c r="AJ420" s="24"/>
      <c r="AK420" s="24"/>
      <c r="AL420" s="24"/>
      <c r="AM420" s="24"/>
      <c r="AN420" s="24"/>
      <c r="AO420" s="24"/>
      <c r="AP420" s="24"/>
      <c r="AQ420" s="24"/>
      <c r="AR420" s="24"/>
      <c r="AS420" s="24"/>
      <c r="AT420" s="24"/>
      <c r="AU420" s="24"/>
      <c r="AV420" s="24"/>
      <c r="AW420" s="24"/>
      <c r="AX420" s="24"/>
      <c r="AY420" s="24"/>
      <c r="AZ420" s="24"/>
      <c r="BA420" s="24"/>
      <c r="BB420" s="24"/>
      <c r="BC420" s="24"/>
      <c r="BD420" s="24"/>
      <c r="BE420" s="24"/>
      <c r="BF420" s="24"/>
      <c r="BG420" s="24"/>
      <c r="BH420" s="24"/>
    </row>
    <row r="421" spans="1:60">
      <c r="A421" s="7"/>
      <c r="B421" s="8"/>
      <c r="C421" s="9"/>
      <c r="D421" s="51"/>
      <c r="E421" s="51"/>
      <c r="F421" s="51"/>
      <c r="G421" s="51"/>
      <c r="H421" s="52"/>
      <c r="I421" s="52"/>
      <c r="J421" s="52"/>
      <c r="K421" s="24"/>
      <c r="L421" s="7"/>
      <c r="M421" s="24"/>
      <c r="N421" s="24"/>
      <c r="O421" s="24"/>
      <c r="P421" s="24"/>
      <c r="Q421" s="24"/>
      <c r="R421" s="24"/>
      <c r="S421" s="24"/>
      <c r="T421" s="24"/>
      <c r="U421" s="24"/>
      <c r="V421" s="24"/>
      <c r="W421" s="24"/>
      <c r="X421" s="24"/>
      <c r="Y421" s="24"/>
      <c r="Z421" s="24"/>
      <c r="AA421" s="24"/>
      <c r="AB421" s="24"/>
      <c r="AC421" s="24"/>
      <c r="AD421" s="24"/>
      <c r="AE421" s="24"/>
      <c r="AF421" s="24"/>
      <c r="AG421" s="24"/>
      <c r="AH421" s="24"/>
      <c r="AI421" s="24"/>
      <c r="AJ421" s="24"/>
      <c r="AK421" s="24"/>
      <c r="AL421" s="24"/>
      <c r="AM421" s="24"/>
      <c r="AN421" s="24"/>
      <c r="AO421" s="24"/>
      <c r="AP421" s="24"/>
      <c r="AQ421" s="24"/>
      <c r="AR421" s="24"/>
      <c r="AS421" s="24"/>
      <c r="AT421" s="24"/>
      <c r="AU421" s="24"/>
      <c r="AV421" s="24"/>
      <c r="AW421" s="24"/>
      <c r="AX421" s="24"/>
      <c r="AY421" s="24"/>
      <c r="AZ421" s="24"/>
      <c r="BA421" s="24"/>
      <c r="BB421" s="24"/>
      <c r="BC421" s="24"/>
      <c r="BD421" s="24"/>
      <c r="BE421" s="24"/>
      <c r="BF421" s="24"/>
      <c r="BG421" s="24"/>
      <c r="BH421" s="24"/>
    </row>
    <row r="422" spans="1:60">
      <c r="A422" s="7"/>
      <c r="B422" s="8"/>
      <c r="C422" s="9"/>
      <c r="D422" s="51"/>
      <c r="E422" s="51"/>
      <c r="F422" s="51"/>
      <c r="G422" s="51"/>
      <c r="H422" s="52"/>
      <c r="I422" s="52"/>
      <c r="J422" s="52"/>
      <c r="K422" s="24"/>
      <c r="L422" s="7"/>
      <c r="M422" s="24"/>
      <c r="N422" s="24"/>
      <c r="O422" s="24"/>
      <c r="P422" s="24"/>
      <c r="Q422" s="24"/>
      <c r="R422" s="24"/>
      <c r="S422" s="24"/>
      <c r="T422" s="24"/>
      <c r="U422" s="24"/>
      <c r="V422" s="24"/>
      <c r="W422" s="24"/>
      <c r="X422" s="24"/>
      <c r="Y422" s="24"/>
      <c r="Z422" s="24"/>
      <c r="AA422" s="24"/>
      <c r="AB422" s="24"/>
      <c r="AC422" s="24"/>
      <c r="AD422" s="24"/>
      <c r="AE422" s="24"/>
      <c r="AF422" s="24"/>
      <c r="AG422" s="24"/>
      <c r="AH422" s="24"/>
      <c r="AI422" s="24"/>
      <c r="AJ422" s="24"/>
      <c r="AK422" s="24"/>
      <c r="AL422" s="24"/>
      <c r="AM422" s="24"/>
      <c r="AN422" s="24"/>
      <c r="AO422" s="24"/>
      <c r="AP422" s="24"/>
      <c r="AQ422" s="24"/>
      <c r="AR422" s="24"/>
      <c r="AS422" s="24"/>
      <c r="AT422" s="24"/>
      <c r="AU422" s="24"/>
      <c r="AV422" s="24"/>
      <c r="AW422" s="24"/>
      <c r="AX422" s="24"/>
      <c r="AY422" s="24"/>
      <c r="AZ422" s="24"/>
      <c r="BA422" s="24"/>
      <c r="BB422" s="24"/>
      <c r="BC422" s="24"/>
      <c r="BD422" s="24"/>
      <c r="BE422" s="24"/>
      <c r="BF422" s="24"/>
      <c r="BG422" s="24"/>
      <c r="BH422" s="24"/>
    </row>
    <row r="423" spans="1:60">
      <c r="A423" s="7"/>
      <c r="B423" s="8"/>
      <c r="C423" s="9"/>
      <c r="D423" s="51"/>
      <c r="E423" s="51"/>
      <c r="F423" s="51"/>
      <c r="G423" s="51"/>
      <c r="H423" s="52"/>
      <c r="I423" s="52"/>
      <c r="J423" s="52"/>
      <c r="K423" s="24"/>
      <c r="L423" s="7"/>
      <c r="M423" s="24"/>
      <c r="N423" s="24"/>
      <c r="O423" s="24"/>
      <c r="P423" s="24"/>
      <c r="Q423" s="24"/>
      <c r="R423" s="24"/>
      <c r="S423" s="24"/>
      <c r="T423" s="24"/>
      <c r="U423" s="24"/>
      <c r="V423" s="24"/>
      <c r="W423" s="24"/>
      <c r="X423" s="24"/>
      <c r="Y423" s="24"/>
      <c r="Z423" s="24"/>
      <c r="AA423" s="24"/>
      <c r="AB423" s="24"/>
      <c r="AC423" s="24"/>
      <c r="AD423" s="24"/>
      <c r="AE423" s="24"/>
      <c r="AF423" s="24"/>
      <c r="AG423" s="24"/>
      <c r="AH423" s="24"/>
      <c r="AI423" s="24"/>
      <c r="AJ423" s="24"/>
      <c r="AK423" s="24"/>
      <c r="AL423" s="24"/>
      <c r="AM423" s="24"/>
      <c r="AN423" s="24"/>
      <c r="AO423" s="24"/>
      <c r="AP423" s="24"/>
      <c r="AQ423" s="24"/>
      <c r="AR423" s="24"/>
      <c r="AS423" s="24"/>
      <c r="AT423" s="24"/>
      <c r="AU423" s="24"/>
      <c r="AV423" s="24"/>
      <c r="AW423" s="24"/>
      <c r="AX423" s="24"/>
      <c r="AY423" s="24"/>
      <c r="AZ423" s="24"/>
      <c r="BA423" s="24"/>
      <c r="BB423" s="24"/>
      <c r="BC423" s="24"/>
      <c r="BD423" s="24"/>
      <c r="BE423" s="24"/>
      <c r="BF423" s="24"/>
      <c r="BG423" s="24"/>
      <c r="BH423" s="24"/>
    </row>
    <row r="424" spans="1:60">
      <c r="A424" s="7"/>
      <c r="B424" s="8"/>
      <c r="C424" s="9"/>
      <c r="D424" s="51"/>
      <c r="E424" s="51"/>
      <c r="F424" s="51"/>
      <c r="G424" s="51"/>
      <c r="H424" s="52"/>
      <c r="I424" s="52"/>
      <c r="J424" s="52"/>
      <c r="K424" s="24"/>
      <c r="L424" s="7"/>
      <c r="M424" s="24"/>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4"/>
      <c r="AK424" s="24"/>
      <c r="AL424" s="24"/>
      <c r="AM424" s="24"/>
      <c r="AN424" s="24"/>
      <c r="AO424" s="24"/>
      <c r="AP424" s="24"/>
      <c r="AQ424" s="24"/>
      <c r="AR424" s="24"/>
      <c r="AS424" s="24"/>
      <c r="AT424" s="24"/>
      <c r="AU424" s="24"/>
      <c r="AV424" s="24"/>
      <c r="AW424" s="24"/>
      <c r="AX424" s="24"/>
      <c r="AY424" s="24"/>
      <c r="AZ424" s="24"/>
      <c r="BA424" s="24"/>
      <c r="BB424" s="24"/>
      <c r="BC424" s="24"/>
      <c r="BD424" s="24"/>
      <c r="BE424" s="24"/>
      <c r="BF424" s="24"/>
      <c r="BG424" s="24"/>
      <c r="BH424" s="24"/>
    </row>
    <row r="425" spans="1:60">
      <c r="A425" s="7"/>
      <c r="B425" s="8"/>
      <c r="C425" s="9"/>
      <c r="D425" s="51"/>
      <c r="E425" s="51"/>
      <c r="F425" s="51"/>
      <c r="G425" s="51"/>
      <c r="H425" s="52"/>
      <c r="I425" s="52"/>
      <c r="J425" s="52"/>
      <c r="K425" s="24"/>
      <c r="L425" s="7"/>
      <c r="M425" s="24"/>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c r="AQ425" s="24"/>
      <c r="AR425" s="24"/>
      <c r="AS425" s="24"/>
      <c r="AT425" s="24"/>
      <c r="AU425" s="24"/>
      <c r="AV425" s="24"/>
      <c r="AW425" s="24"/>
      <c r="AX425" s="24"/>
      <c r="AY425" s="24"/>
      <c r="AZ425" s="24"/>
      <c r="BA425" s="24"/>
      <c r="BB425" s="24"/>
      <c r="BC425" s="24"/>
      <c r="BD425" s="24"/>
      <c r="BE425" s="24"/>
      <c r="BF425" s="24"/>
      <c r="BG425" s="24"/>
      <c r="BH425" s="24"/>
    </row>
    <row r="426" spans="1:60">
      <c r="A426" s="7"/>
      <c r="B426" s="8"/>
      <c r="C426" s="9"/>
      <c r="D426" s="51"/>
      <c r="E426" s="51"/>
      <c r="F426" s="51"/>
      <c r="G426" s="51"/>
      <c r="H426" s="52"/>
      <c r="I426" s="52"/>
      <c r="J426" s="52"/>
      <c r="K426" s="24"/>
      <c r="L426" s="7"/>
      <c r="M426" s="24"/>
      <c r="N426" s="24"/>
      <c r="O426" s="24"/>
      <c r="P426" s="24"/>
      <c r="Q426" s="24"/>
      <c r="R426" s="24"/>
      <c r="S426" s="24"/>
      <c r="T426" s="24"/>
      <c r="U426" s="24"/>
      <c r="V426" s="24"/>
      <c r="W426" s="24"/>
      <c r="X426" s="24"/>
      <c r="Y426" s="24"/>
      <c r="Z426" s="24"/>
      <c r="AA426" s="24"/>
      <c r="AB426" s="24"/>
      <c r="AC426" s="24"/>
      <c r="AD426" s="24"/>
      <c r="AE426" s="24"/>
      <c r="AF426" s="24"/>
      <c r="AG426" s="24"/>
      <c r="AH426" s="24"/>
      <c r="AI426" s="24"/>
      <c r="AJ426" s="24"/>
      <c r="AK426" s="24"/>
      <c r="AL426" s="24"/>
      <c r="AM426" s="24"/>
      <c r="AN426" s="24"/>
      <c r="AO426" s="24"/>
      <c r="AP426" s="24"/>
      <c r="AQ426" s="24"/>
      <c r="AR426" s="24"/>
      <c r="AS426" s="24"/>
      <c r="AT426" s="24"/>
      <c r="AU426" s="24"/>
      <c r="AV426" s="24"/>
      <c r="AW426" s="24"/>
      <c r="AX426" s="24"/>
      <c r="AY426" s="24"/>
      <c r="AZ426" s="24"/>
      <c r="BA426" s="24"/>
      <c r="BB426" s="24"/>
      <c r="BC426" s="24"/>
      <c r="BD426" s="24"/>
      <c r="BE426" s="24"/>
      <c r="BF426" s="24"/>
      <c r="BG426" s="24"/>
      <c r="BH426" s="24"/>
    </row>
    <row r="427" spans="1:60">
      <c r="A427" s="7"/>
      <c r="B427" s="8"/>
      <c r="C427" s="9"/>
      <c r="D427" s="51"/>
      <c r="E427" s="51"/>
      <c r="F427" s="51"/>
      <c r="G427" s="51"/>
      <c r="H427" s="52"/>
      <c r="I427" s="52"/>
      <c r="J427" s="52"/>
      <c r="K427" s="24"/>
      <c r="L427" s="7"/>
      <c r="M427" s="24"/>
      <c r="N427" s="24"/>
      <c r="O427" s="24"/>
      <c r="P427" s="24"/>
      <c r="Q427" s="24"/>
      <c r="R427" s="24"/>
      <c r="S427" s="24"/>
      <c r="T427" s="24"/>
      <c r="U427" s="24"/>
      <c r="V427" s="24"/>
      <c r="W427" s="24"/>
      <c r="X427" s="24"/>
      <c r="Y427" s="24"/>
      <c r="Z427" s="24"/>
      <c r="AA427" s="24"/>
      <c r="AB427" s="24"/>
      <c r="AC427" s="24"/>
      <c r="AD427" s="24"/>
      <c r="AE427" s="24"/>
      <c r="AF427" s="24"/>
      <c r="AG427" s="24"/>
      <c r="AH427" s="24"/>
      <c r="AI427" s="24"/>
      <c r="AJ427" s="24"/>
      <c r="AK427" s="24"/>
      <c r="AL427" s="24"/>
      <c r="AM427" s="24"/>
      <c r="AN427" s="24"/>
      <c r="AO427" s="24"/>
      <c r="AP427" s="24"/>
      <c r="AQ427" s="24"/>
      <c r="AR427" s="24"/>
      <c r="AS427" s="24"/>
      <c r="AT427" s="24"/>
      <c r="AU427" s="24"/>
      <c r="AV427" s="24"/>
      <c r="AW427" s="24"/>
      <c r="AX427" s="24"/>
      <c r="AY427" s="24"/>
      <c r="AZ427" s="24"/>
      <c r="BA427" s="24"/>
      <c r="BB427" s="24"/>
      <c r="BC427" s="24"/>
      <c r="BD427" s="24"/>
      <c r="BE427" s="24"/>
      <c r="BF427" s="24"/>
      <c r="BG427" s="24"/>
      <c r="BH427" s="24"/>
    </row>
    <row r="428" spans="1:60">
      <c r="A428" s="7"/>
      <c r="B428" s="8"/>
      <c r="C428" s="9"/>
      <c r="D428" s="51"/>
      <c r="E428" s="51"/>
      <c r="F428" s="51"/>
      <c r="G428" s="51"/>
      <c r="H428" s="52"/>
      <c r="I428" s="52"/>
      <c r="J428" s="52"/>
      <c r="K428" s="24"/>
      <c r="L428" s="7"/>
      <c r="M428" s="24"/>
      <c r="N428" s="24"/>
      <c r="O428" s="24"/>
      <c r="P428" s="24"/>
      <c r="Q428" s="24"/>
      <c r="R428" s="24"/>
      <c r="S428" s="24"/>
      <c r="T428" s="24"/>
      <c r="U428" s="24"/>
      <c r="V428" s="24"/>
      <c r="W428" s="24"/>
      <c r="X428" s="24"/>
      <c r="Y428" s="24"/>
      <c r="Z428" s="24"/>
      <c r="AA428" s="24"/>
      <c r="AB428" s="24"/>
      <c r="AC428" s="24"/>
      <c r="AD428" s="24"/>
      <c r="AE428" s="24"/>
      <c r="AF428" s="24"/>
      <c r="AG428" s="24"/>
      <c r="AH428" s="24"/>
      <c r="AI428" s="24"/>
      <c r="AJ428" s="24"/>
      <c r="AK428" s="24"/>
      <c r="AL428" s="24"/>
      <c r="AM428" s="24"/>
      <c r="AN428" s="24"/>
      <c r="AO428" s="24"/>
      <c r="AP428" s="24"/>
      <c r="AQ428" s="24"/>
      <c r="AR428" s="24"/>
      <c r="AS428" s="24"/>
      <c r="AT428" s="24"/>
      <c r="AU428" s="24"/>
      <c r="AV428" s="24"/>
      <c r="AW428" s="24"/>
      <c r="AX428" s="24"/>
      <c r="AY428" s="24"/>
      <c r="AZ428" s="24"/>
      <c r="BA428" s="24"/>
      <c r="BB428" s="24"/>
      <c r="BC428" s="24"/>
      <c r="BD428" s="24"/>
      <c r="BE428" s="24"/>
      <c r="BF428" s="24"/>
      <c r="BG428" s="24"/>
      <c r="BH428" s="24"/>
    </row>
    <row r="429" spans="1:60">
      <c r="A429" s="7"/>
      <c r="B429" s="8"/>
      <c r="C429" s="9"/>
      <c r="D429" s="51"/>
      <c r="E429" s="51"/>
      <c r="F429" s="51"/>
      <c r="G429" s="51"/>
      <c r="H429" s="52"/>
      <c r="I429" s="52"/>
      <c r="J429" s="52"/>
      <c r="K429" s="24"/>
      <c r="L429" s="7"/>
      <c r="M429" s="24"/>
      <c r="N429" s="24"/>
      <c r="O429" s="24"/>
      <c r="P429" s="24"/>
      <c r="Q429" s="24"/>
      <c r="R429" s="24"/>
      <c r="S429" s="24"/>
      <c r="T429" s="24"/>
      <c r="U429" s="24"/>
      <c r="V429" s="24"/>
      <c r="W429" s="24"/>
      <c r="X429" s="24"/>
      <c r="Y429" s="24"/>
      <c r="Z429" s="24"/>
      <c r="AA429" s="24"/>
      <c r="AB429" s="24"/>
      <c r="AC429" s="24"/>
      <c r="AD429" s="24"/>
      <c r="AE429" s="24"/>
      <c r="AF429" s="24"/>
      <c r="AG429" s="24"/>
      <c r="AH429" s="24"/>
      <c r="AI429" s="24"/>
      <c r="AJ429" s="24"/>
      <c r="AK429" s="24"/>
      <c r="AL429" s="24"/>
      <c r="AM429" s="24"/>
      <c r="AN429" s="24"/>
      <c r="AO429" s="24"/>
      <c r="AP429" s="24"/>
      <c r="AQ429" s="24"/>
      <c r="AR429" s="24"/>
      <c r="AS429" s="24"/>
      <c r="AT429" s="24"/>
      <c r="AU429" s="24"/>
      <c r="AV429" s="24"/>
      <c r="AW429" s="24"/>
      <c r="AX429" s="24"/>
      <c r="AY429" s="24"/>
      <c r="AZ429" s="24"/>
      <c r="BA429" s="24"/>
      <c r="BB429" s="24"/>
      <c r="BC429" s="24"/>
      <c r="BD429" s="24"/>
      <c r="BE429" s="24"/>
      <c r="BF429" s="24"/>
      <c r="BG429" s="24"/>
      <c r="BH429" s="24"/>
    </row>
    <row r="430" spans="1:60">
      <c r="A430" s="7"/>
      <c r="B430" s="8"/>
      <c r="C430" s="9"/>
      <c r="D430" s="51"/>
      <c r="E430" s="51"/>
      <c r="F430" s="51"/>
      <c r="G430" s="51"/>
      <c r="H430" s="52"/>
      <c r="I430" s="52"/>
      <c r="J430" s="52"/>
      <c r="K430" s="24"/>
      <c r="L430" s="7"/>
      <c r="M430" s="24"/>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4"/>
      <c r="AK430" s="24"/>
      <c r="AL430" s="24"/>
      <c r="AM430" s="24"/>
      <c r="AN430" s="24"/>
      <c r="AO430" s="24"/>
      <c r="AP430" s="24"/>
      <c r="AQ430" s="24"/>
      <c r="AR430" s="24"/>
      <c r="AS430" s="24"/>
      <c r="AT430" s="24"/>
      <c r="AU430" s="24"/>
      <c r="AV430" s="24"/>
      <c r="AW430" s="24"/>
      <c r="AX430" s="24"/>
      <c r="AY430" s="24"/>
      <c r="AZ430" s="24"/>
      <c r="BA430" s="24"/>
      <c r="BB430" s="24"/>
      <c r="BC430" s="24"/>
      <c r="BD430" s="24"/>
      <c r="BE430" s="24"/>
      <c r="BF430" s="24"/>
      <c r="BG430" s="24"/>
      <c r="BH430" s="24"/>
    </row>
    <row r="431" spans="1:60">
      <c r="A431" s="7"/>
      <c r="B431" s="8"/>
      <c r="C431" s="9"/>
      <c r="D431" s="51"/>
      <c r="E431" s="51"/>
      <c r="F431" s="51"/>
      <c r="G431" s="51"/>
      <c r="H431" s="52"/>
      <c r="I431" s="52"/>
      <c r="J431" s="52"/>
      <c r="K431" s="24"/>
      <c r="L431" s="7"/>
      <c r="M431" s="24"/>
      <c r="N431" s="24"/>
      <c r="O431" s="24"/>
      <c r="P431" s="24"/>
      <c r="Q431" s="24"/>
      <c r="R431" s="24"/>
      <c r="S431" s="24"/>
      <c r="T431" s="24"/>
      <c r="U431" s="24"/>
      <c r="V431" s="24"/>
      <c r="W431" s="24"/>
      <c r="X431" s="24"/>
      <c r="Y431" s="24"/>
      <c r="Z431" s="24"/>
      <c r="AA431" s="24"/>
      <c r="AB431" s="24"/>
      <c r="AC431" s="24"/>
      <c r="AD431" s="24"/>
      <c r="AE431" s="24"/>
      <c r="AF431" s="24"/>
      <c r="AG431" s="24"/>
      <c r="AH431" s="24"/>
      <c r="AI431" s="24"/>
      <c r="AJ431" s="24"/>
      <c r="AK431" s="24"/>
      <c r="AL431" s="24"/>
      <c r="AM431" s="24"/>
      <c r="AN431" s="24"/>
      <c r="AO431" s="24"/>
      <c r="AP431" s="24"/>
      <c r="AQ431" s="24"/>
      <c r="AR431" s="24"/>
      <c r="AS431" s="24"/>
      <c r="AT431" s="24"/>
      <c r="AU431" s="24"/>
      <c r="AV431" s="24"/>
      <c r="AW431" s="24"/>
      <c r="AX431" s="24"/>
      <c r="AY431" s="24"/>
      <c r="AZ431" s="24"/>
      <c r="BA431" s="24"/>
      <c r="BB431" s="24"/>
      <c r="BC431" s="24"/>
      <c r="BD431" s="24"/>
      <c r="BE431" s="24"/>
      <c r="BF431" s="24"/>
      <c r="BG431" s="24"/>
      <c r="BH431" s="24"/>
    </row>
    <row r="432" spans="1:60">
      <c r="A432" s="7"/>
      <c r="B432" s="8"/>
      <c r="C432" s="9"/>
      <c r="D432" s="51"/>
      <c r="E432" s="51"/>
      <c r="F432" s="51"/>
      <c r="G432" s="51"/>
      <c r="H432" s="52"/>
      <c r="I432" s="52"/>
      <c r="J432" s="52"/>
      <c r="K432" s="24"/>
      <c r="L432" s="7"/>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24"/>
      <c r="BF432" s="24"/>
      <c r="BG432" s="24"/>
      <c r="BH432" s="24"/>
    </row>
    <row r="433" spans="1:60">
      <c r="A433" s="7"/>
      <c r="B433" s="8"/>
      <c r="C433" s="9"/>
      <c r="D433" s="51"/>
      <c r="E433" s="51"/>
      <c r="F433" s="51"/>
      <c r="G433" s="51"/>
      <c r="H433" s="52"/>
      <c r="I433" s="52"/>
      <c r="J433" s="52"/>
      <c r="K433" s="24"/>
      <c r="L433" s="7"/>
      <c r="M433" s="24"/>
      <c r="N433" s="24"/>
      <c r="O433" s="24"/>
      <c r="P433" s="24"/>
      <c r="Q433" s="24"/>
      <c r="R433" s="24"/>
      <c r="S433" s="24"/>
      <c r="T433" s="24"/>
      <c r="U433" s="24"/>
      <c r="V433" s="24"/>
      <c r="W433" s="24"/>
      <c r="X433" s="24"/>
      <c r="Y433" s="24"/>
      <c r="Z433" s="24"/>
      <c r="AA433" s="24"/>
      <c r="AB433" s="24"/>
      <c r="AC433" s="24"/>
      <c r="AD433" s="24"/>
      <c r="AE433" s="24"/>
      <c r="AF433" s="24"/>
      <c r="AG433" s="24"/>
      <c r="AH433" s="24"/>
      <c r="AI433" s="24"/>
      <c r="AJ433" s="24"/>
      <c r="AK433" s="24"/>
      <c r="AL433" s="24"/>
      <c r="AM433" s="24"/>
      <c r="AN433" s="24"/>
      <c r="AO433" s="24"/>
      <c r="AP433" s="24"/>
      <c r="AQ433" s="24"/>
      <c r="AR433" s="24"/>
      <c r="AS433" s="24"/>
      <c r="AT433" s="24"/>
      <c r="AU433" s="24"/>
      <c r="AV433" s="24"/>
      <c r="AW433" s="24"/>
      <c r="AX433" s="24"/>
      <c r="AY433" s="24"/>
      <c r="AZ433" s="24"/>
      <c r="BA433" s="24"/>
      <c r="BB433" s="24"/>
      <c r="BC433" s="24"/>
      <c r="BD433" s="24"/>
      <c r="BE433" s="24"/>
      <c r="BF433" s="24"/>
      <c r="BG433" s="24"/>
      <c r="BH433" s="24"/>
    </row>
    <row r="434" spans="1:60">
      <c r="A434" s="7"/>
      <c r="B434" s="8"/>
      <c r="C434" s="9"/>
      <c r="D434" s="51"/>
      <c r="E434" s="51"/>
      <c r="F434" s="51"/>
      <c r="G434" s="51"/>
      <c r="H434" s="52"/>
      <c r="I434" s="52"/>
      <c r="J434" s="52"/>
      <c r="K434" s="24"/>
      <c r="L434" s="7"/>
      <c r="M434" s="24"/>
      <c r="N434" s="24"/>
      <c r="O434" s="24"/>
      <c r="P434" s="24"/>
      <c r="Q434" s="24"/>
      <c r="R434" s="24"/>
      <c r="S434" s="24"/>
      <c r="T434" s="24"/>
      <c r="U434" s="24"/>
      <c r="V434" s="24"/>
      <c r="W434" s="24"/>
      <c r="X434" s="24"/>
      <c r="Y434" s="24"/>
      <c r="Z434" s="24"/>
      <c r="AA434" s="24"/>
      <c r="AB434" s="24"/>
      <c r="AC434" s="24"/>
      <c r="AD434" s="24"/>
      <c r="AE434" s="24"/>
      <c r="AF434" s="24"/>
      <c r="AG434" s="24"/>
      <c r="AH434" s="24"/>
      <c r="AI434" s="24"/>
      <c r="AJ434" s="24"/>
      <c r="AK434" s="24"/>
      <c r="AL434" s="24"/>
      <c r="AM434" s="24"/>
      <c r="AN434" s="24"/>
      <c r="AO434" s="24"/>
      <c r="AP434" s="24"/>
      <c r="AQ434" s="24"/>
      <c r="AR434" s="24"/>
      <c r="AS434" s="24"/>
      <c r="AT434" s="24"/>
      <c r="AU434" s="24"/>
      <c r="AV434" s="24"/>
      <c r="AW434" s="24"/>
      <c r="AX434" s="24"/>
      <c r="AY434" s="24"/>
      <c r="AZ434" s="24"/>
      <c r="BA434" s="24"/>
      <c r="BB434" s="24"/>
      <c r="BC434" s="24"/>
      <c r="BD434" s="24"/>
      <c r="BE434" s="24"/>
      <c r="BF434" s="24"/>
      <c r="BG434" s="24"/>
      <c r="BH434" s="24"/>
    </row>
    <row r="435" spans="1:60">
      <c r="A435" s="7"/>
      <c r="B435" s="8"/>
      <c r="C435" s="9"/>
      <c r="D435" s="51"/>
      <c r="E435" s="51"/>
      <c r="F435" s="51"/>
      <c r="G435" s="51"/>
      <c r="H435" s="52"/>
      <c r="I435" s="52"/>
      <c r="J435" s="52"/>
      <c r="K435" s="24"/>
      <c r="L435" s="7"/>
      <c r="M435" s="24"/>
      <c r="N435" s="24"/>
      <c r="O435" s="24"/>
      <c r="P435" s="24"/>
      <c r="Q435" s="24"/>
      <c r="R435" s="24"/>
      <c r="S435" s="24"/>
      <c r="T435" s="24"/>
      <c r="U435" s="24"/>
      <c r="V435" s="24"/>
      <c r="W435" s="24"/>
      <c r="X435" s="24"/>
      <c r="Y435" s="24"/>
      <c r="Z435" s="24"/>
      <c r="AA435" s="24"/>
      <c r="AB435" s="24"/>
      <c r="AC435" s="24"/>
      <c r="AD435" s="24"/>
      <c r="AE435" s="24"/>
      <c r="AF435" s="24"/>
      <c r="AG435" s="24"/>
      <c r="AH435" s="24"/>
      <c r="AI435" s="24"/>
      <c r="AJ435" s="24"/>
      <c r="AK435" s="24"/>
      <c r="AL435" s="24"/>
      <c r="AM435" s="24"/>
      <c r="AN435" s="24"/>
      <c r="AO435" s="24"/>
      <c r="AP435" s="24"/>
      <c r="AQ435" s="24"/>
      <c r="AR435" s="24"/>
      <c r="AS435" s="24"/>
      <c r="AT435" s="24"/>
      <c r="AU435" s="24"/>
      <c r="AV435" s="24"/>
      <c r="AW435" s="24"/>
      <c r="AX435" s="24"/>
      <c r="AY435" s="24"/>
      <c r="AZ435" s="24"/>
      <c r="BA435" s="24"/>
      <c r="BB435" s="24"/>
      <c r="BC435" s="24"/>
      <c r="BD435" s="24"/>
      <c r="BE435" s="24"/>
      <c r="BF435" s="24"/>
      <c r="BG435" s="24"/>
      <c r="BH435" s="24"/>
    </row>
    <row r="436" spans="1:60">
      <c r="A436" s="7"/>
      <c r="B436" s="8"/>
      <c r="C436" s="9"/>
      <c r="D436" s="51"/>
      <c r="E436" s="51"/>
      <c r="F436" s="51"/>
      <c r="G436" s="51"/>
      <c r="H436" s="52"/>
      <c r="I436" s="52"/>
      <c r="J436" s="52"/>
      <c r="K436" s="24"/>
      <c r="L436" s="7"/>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4"/>
      <c r="BF436" s="24"/>
      <c r="BG436" s="24"/>
      <c r="BH436" s="24"/>
    </row>
    <row r="437" spans="1:60">
      <c r="A437" s="7"/>
      <c r="B437" s="8"/>
      <c r="C437" s="9"/>
      <c r="D437" s="51"/>
      <c r="E437" s="51"/>
      <c r="F437" s="51"/>
      <c r="G437" s="51"/>
      <c r="H437" s="52"/>
      <c r="I437" s="52"/>
      <c r="J437" s="52"/>
      <c r="K437" s="24"/>
      <c r="L437" s="7"/>
      <c r="M437" s="24"/>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24"/>
      <c r="BE437" s="24"/>
      <c r="BF437" s="24"/>
      <c r="BG437" s="24"/>
      <c r="BH437" s="24"/>
    </row>
    <row r="438" spans="1:60">
      <c r="A438" s="7"/>
      <c r="B438" s="8"/>
      <c r="C438" s="9"/>
      <c r="D438" s="51"/>
      <c r="E438" s="51"/>
      <c r="F438" s="51"/>
      <c r="G438" s="51"/>
      <c r="H438" s="52"/>
      <c r="I438" s="52"/>
      <c r="J438" s="52"/>
      <c r="K438" s="24"/>
      <c r="L438" s="7"/>
      <c r="M438" s="24"/>
      <c r="N438" s="24"/>
      <c r="O438" s="24"/>
      <c r="P438" s="24"/>
      <c r="Q438" s="24"/>
      <c r="R438" s="24"/>
      <c r="S438" s="24"/>
      <c r="T438" s="24"/>
      <c r="U438" s="24"/>
      <c r="V438" s="24"/>
      <c r="W438" s="24"/>
      <c r="X438" s="24"/>
      <c r="Y438" s="24"/>
      <c r="Z438" s="24"/>
      <c r="AA438" s="24"/>
      <c r="AB438" s="24"/>
      <c r="AC438" s="24"/>
      <c r="AD438" s="24"/>
      <c r="AE438" s="24"/>
      <c r="AF438" s="24"/>
      <c r="AG438" s="24"/>
      <c r="AH438" s="24"/>
      <c r="AI438" s="24"/>
      <c r="AJ438" s="24"/>
      <c r="AK438" s="24"/>
      <c r="AL438" s="24"/>
      <c r="AM438" s="24"/>
      <c r="AN438" s="24"/>
      <c r="AO438" s="24"/>
      <c r="AP438" s="24"/>
      <c r="AQ438" s="24"/>
      <c r="AR438" s="24"/>
      <c r="AS438" s="24"/>
      <c r="AT438" s="24"/>
      <c r="AU438" s="24"/>
      <c r="AV438" s="24"/>
      <c r="AW438" s="24"/>
      <c r="AX438" s="24"/>
      <c r="AY438" s="24"/>
      <c r="AZ438" s="24"/>
      <c r="BA438" s="24"/>
      <c r="BB438" s="24"/>
      <c r="BC438" s="24"/>
      <c r="BD438" s="24"/>
      <c r="BE438" s="24"/>
      <c r="BF438" s="24"/>
      <c r="BG438" s="24"/>
      <c r="BH438" s="24"/>
    </row>
    <row r="439" spans="1:60">
      <c r="A439" s="7"/>
      <c r="B439" s="8"/>
      <c r="C439" s="9"/>
      <c r="D439" s="51"/>
      <c r="E439" s="51"/>
      <c r="F439" s="51"/>
      <c r="G439" s="51"/>
      <c r="H439" s="52"/>
      <c r="I439" s="52"/>
      <c r="J439" s="52"/>
      <c r="K439" s="24"/>
      <c r="L439" s="7"/>
      <c r="M439" s="24"/>
      <c r="N439" s="24"/>
      <c r="O439" s="24"/>
      <c r="P439" s="24"/>
      <c r="Q439" s="24"/>
      <c r="R439" s="24"/>
      <c r="S439" s="24"/>
      <c r="T439" s="24"/>
      <c r="U439" s="24"/>
      <c r="V439" s="24"/>
      <c r="W439" s="24"/>
      <c r="X439" s="24"/>
      <c r="Y439" s="24"/>
      <c r="Z439" s="24"/>
      <c r="AA439" s="24"/>
      <c r="AB439" s="24"/>
      <c r="AC439" s="24"/>
      <c r="AD439" s="24"/>
      <c r="AE439" s="24"/>
      <c r="AF439" s="24"/>
      <c r="AG439" s="24"/>
      <c r="AH439" s="24"/>
      <c r="AI439" s="24"/>
      <c r="AJ439" s="24"/>
      <c r="AK439" s="24"/>
      <c r="AL439" s="24"/>
      <c r="AM439" s="24"/>
      <c r="AN439" s="24"/>
      <c r="AO439" s="24"/>
      <c r="AP439" s="24"/>
      <c r="AQ439" s="24"/>
      <c r="AR439" s="24"/>
      <c r="AS439" s="24"/>
      <c r="AT439" s="24"/>
      <c r="AU439" s="24"/>
      <c r="AV439" s="24"/>
      <c r="AW439" s="24"/>
      <c r="AX439" s="24"/>
      <c r="AY439" s="24"/>
      <c r="AZ439" s="24"/>
      <c r="BA439" s="24"/>
      <c r="BB439" s="24"/>
      <c r="BC439" s="24"/>
      <c r="BD439" s="24"/>
      <c r="BE439" s="24"/>
      <c r="BF439" s="24"/>
      <c r="BG439" s="24"/>
      <c r="BH439" s="24"/>
    </row>
    <row r="440" spans="1:60">
      <c r="A440" s="7"/>
      <c r="B440" s="8"/>
      <c r="C440" s="9"/>
      <c r="D440" s="51"/>
      <c r="E440" s="51"/>
      <c r="F440" s="51"/>
      <c r="G440" s="51"/>
      <c r="H440" s="52"/>
      <c r="I440" s="52"/>
      <c r="J440" s="52"/>
      <c r="K440" s="24"/>
      <c r="L440" s="7"/>
      <c r="M440" s="24"/>
      <c r="N440" s="24"/>
      <c r="O440" s="24"/>
      <c r="P440" s="24"/>
      <c r="Q440" s="24"/>
      <c r="R440" s="24"/>
      <c r="S440" s="24"/>
      <c r="T440" s="24"/>
      <c r="U440" s="24"/>
      <c r="V440" s="24"/>
      <c r="W440" s="24"/>
      <c r="X440" s="24"/>
      <c r="Y440" s="24"/>
      <c r="Z440" s="24"/>
      <c r="AA440" s="24"/>
      <c r="AB440" s="24"/>
      <c r="AC440" s="24"/>
      <c r="AD440" s="24"/>
      <c r="AE440" s="24"/>
      <c r="AF440" s="24"/>
      <c r="AG440" s="24"/>
      <c r="AH440" s="24"/>
      <c r="AI440" s="24"/>
      <c r="AJ440" s="24"/>
      <c r="AK440" s="24"/>
      <c r="AL440" s="24"/>
      <c r="AM440" s="24"/>
      <c r="AN440" s="24"/>
      <c r="AO440" s="24"/>
      <c r="AP440" s="24"/>
      <c r="AQ440" s="24"/>
      <c r="AR440" s="24"/>
      <c r="AS440" s="24"/>
      <c r="AT440" s="24"/>
      <c r="AU440" s="24"/>
      <c r="AV440" s="24"/>
      <c r="AW440" s="24"/>
      <c r="AX440" s="24"/>
      <c r="AY440" s="24"/>
      <c r="AZ440" s="24"/>
      <c r="BA440" s="24"/>
      <c r="BB440" s="24"/>
      <c r="BC440" s="24"/>
      <c r="BD440" s="24"/>
      <c r="BE440" s="24"/>
      <c r="BF440" s="24"/>
      <c r="BG440" s="24"/>
      <c r="BH440" s="24"/>
    </row>
    <row r="441" spans="1:60">
      <c r="A441" s="7"/>
      <c r="B441" s="8"/>
      <c r="C441" s="9"/>
      <c r="D441" s="51"/>
      <c r="E441" s="51"/>
      <c r="F441" s="51"/>
      <c r="G441" s="51"/>
      <c r="H441" s="52"/>
      <c r="I441" s="52"/>
      <c r="J441" s="52"/>
      <c r="K441" s="24"/>
      <c r="L441" s="7"/>
      <c r="M441" s="24"/>
      <c r="N441" s="24"/>
      <c r="O441" s="24"/>
      <c r="P441" s="24"/>
      <c r="Q441" s="24"/>
      <c r="R441" s="24"/>
      <c r="S441" s="24"/>
      <c r="T441" s="24"/>
      <c r="U441" s="24"/>
      <c r="V441" s="24"/>
      <c r="W441" s="24"/>
      <c r="X441" s="24"/>
      <c r="Y441" s="24"/>
      <c r="Z441" s="24"/>
      <c r="AA441" s="24"/>
      <c r="AB441" s="24"/>
      <c r="AC441" s="24"/>
      <c r="AD441" s="24"/>
      <c r="AE441" s="24"/>
      <c r="AF441" s="24"/>
      <c r="AG441" s="24"/>
      <c r="AH441" s="24"/>
      <c r="AI441" s="24"/>
      <c r="AJ441" s="24"/>
      <c r="AK441" s="24"/>
      <c r="AL441" s="24"/>
      <c r="AM441" s="24"/>
      <c r="AN441" s="24"/>
      <c r="AO441" s="24"/>
      <c r="AP441" s="24"/>
      <c r="AQ441" s="24"/>
      <c r="AR441" s="24"/>
      <c r="AS441" s="24"/>
      <c r="AT441" s="24"/>
      <c r="AU441" s="24"/>
      <c r="AV441" s="24"/>
      <c r="AW441" s="24"/>
      <c r="AX441" s="24"/>
      <c r="AY441" s="24"/>
      <c r="AZ441" s="24"/>
      <c r="BA441" s="24"/>
      <c r="BB441" s="24"/>
      <c r="BC441" s="24"/>
      <c r="BD441" s="24"/>
      <c r="BE441" s="24"/>
      <c r="BF441" s="24"/>
      <c r="BG441" s="24"/>
      <c r="BH441" s="24"/>
    </row>
    <row r="442" spans="1:60">
      <c r="A442" s="7"/>
      <c r="B442" s="8"/>
      <c r="C442" s="9"/>
      <c r="D442" s="25"/>
      <c r="E442" s="25"/>
      <c r="F442" s="25"/>
      <c r="G442" s="25"/>
      <c r="H442" s="53"/>
      <c r="I442" s="53"/>
      <c r="J442" s="53"/>
      <c r="K442" s="24"/>
      <c r="L442" s="7"/>
      <c r="M442" s="24"/>
      <c r="N442" s="24"/>
      <c r="O442" s="24"/>
      <c r="P442" s="24"/>
      <c r="Q442" s="24"/>
      <c r="R442" s="24"/>
      <c r="S442" s="24"/>
      <c r="T442" s="24"/>
      <c r="U442" s="24"/>
      <c r="V442" s="24"/>
      <c r="W442" s="24"/>
      <c r="X442" s="24"/>
      <c r="Y442" s="24"/>
      <c r="Z442" s="24"/>
      <c r="AA442" s="24"/>
      <c r="AB442" s="24"/>
      <c r="AC442" s="24"/>
      <c r="AD442" s="24"/>
      <c r="AE442" s="24"/>
      <c r="AF442" s="24"/>
      <c r="AG442" s="24"/>
      <c r="AH442" s="24"/>
      <c r="AI442" s="24"/>
      <c r="AJ442" s="24"/>
      <c r="AK442" s="24"/>
      <c r="AL442" s="24"/>
      <c r="AM442" s="24"/>
      <c r="AN442" s="24"/>
      <c r="AO442" s="24"/>
      <c r="AP442" s="24"/>
      <c r="AQ442" s="24"/>
      <c r="AR442" s="24"/>
      <c r="AS442" s="24"/>
      <c r="AT442" s="24"/>
      <c r="AU442" s="24"/>
      <c r="AV442" s="24"/>
      <c r="AW442" s="24"/>
      <c r="AX442" s="24"/>
      <c r="AY442" s="24"/>
      <c r="AZ442" s="24"/>
      <c r="BA442" s="24"/>
      <c r="BB442" s="24"/>
      <c r="BC442" s="24"/>
      <c r="BD442" s="24"/>
      <c r="BE442" s="24"/>
      <c r="BF442" s="24"/>
      <c r="BG442" s="24"/>
      <c r="BH442" s="24"/>
    </row>
    <row r="443" spans="1:60">
      <c r="A443" s="7"/>
      <c r="B443" s="8"/>
      <c r="C443" s="9"/>
      <c r="D443" s="25"/>
      <c r="E443" s="25"/>
      <c r="F443" s="25"/>
      <c r="G443" s="25"/>
      <c r="H443" s="53"/>
      <c r="I443" s="53"/>
      <c r="J443" s="53"/>
      <c r="K443" s="24"/>
      <c r="L443" s="7"/>
      <c r="M443" s="24"/>
      <c r="N443" s="24"/>
      <c r="O443" s="24"/>
      <c r="P443" s="24"/>
      <c r="Q443" s="24"/>
      <c r="R443" s="24"/>
      <c r="S443" s="24"/>
      <c r="T443" s="24"/>
      <c r="U443" s="24"/>
      <c r="V443" s="24"/>
      <c r="W443" s="24"/>
      <c r="X443" s="24"/>
      <c r="Y443" s="24"/>
      <c r="Z443" s="24"/>
      <c r="AA443" s="24"/>
      <c r="AB443" s="24"/>
      <c r="AC443" s="24"/>
      <c r="AD443" s="24"/>
      <c r="AE443" s="24"/>
      <c r="AF443" s="24"/>
      <c r="AG443" s="24"/>
      <c r="AH443" s="24"/>
      <c r="AI443" s="24"/>
      <c r="AJ443" s="24"/>
      <c r="AK443" s="24"/>
      <c r="AL443" s="24"/>
      <c r="AM443" s="24"/>
      <c r="AN443" s="24"/>
      <c r="AO443" s="24"/>
      <c r="AP443" s="24"/>
      <c r="AQ443" s="24"/>
      <c r="AR443" s="24"/>
      <c r="AS443" s="24"/>
      <c r="AT443" s="24"/>
      <c r="AU443" s="24"/>
      <c r="AV443" s="24"/>
      <c r="AW443" s="24"/>
      <c r="AX443" s="24"/>
      <c r="AY443" s="24"/>
      <c r="AZ443" s="24"/>
      <c r="BA443" s="24"/>
      <c r="BB443" s="24"/>
      <c r="BC443" s="24"/>
      <c r="BD443" s="24"/>
      <c r="BE443" s="24"/>
      <c r="BF443" s="24"/>
      <c r="BG443" s="24"/>
      <c r="BH443" s="24"/>
    </row>
    <row r="444" spans="1:60">
      <c r="A444" s="7"/>
      <c r="B444" s="8"/>
      <c r="C444" s="9"/>
      <c r="D444" s="25"/>
      <c r="E444" s="25"/>
      <c r="F444" s="25"/>
      <c r="G444" s="25"/>
      <c r="H444" s="53"/>
      <c r="I444" s="53"/>
      <c r="J444" s="53"/>
      <c r="K444" s="24"/>
      <c r="L444" s="7"/>
      <c r="M444" s="24"/>
      <c r="N444" s="24"/>
      <c r="O444" s="24"/>
      <c r="P444" s="24"/>
      <c r="Q444" s="24"/>
      <c r="R444" s="24"/>
      <c r="S444" s="24"/>
      <c r="T444" s="24"/>
      <c r="U444" s="24"/>
      <c r="V444" s="24"/>
      <c r="W444" s="24"/>
      <c r="X444" s="24"/>
      <c r="Y444" s="24"/>
      <c r="Z444" s="24"/>
      <c r="AA444" s="24"/>
      <c r="AB444" s="24"/>
      <c r="AC444" s="24"/>
      <c r="AD444" s="24"/>
      <c r="AE444" s="24"/>
      <c r="AF444" s="24"/>
      <c r="AG444" s="24"/>
      <c r="AH444" s="24"/>
      <c r="AI444" s="24"/>
      <c r="AJ444" s="24"/>
      <c r="AK444" s="24"/>
      <c r="AL444" s="24"/>
      <c r="AM444" s="24"/>
      <c r="AN444" s="24"/>
      <c r="AO444" s="24"/>
      <c r="AP444" s="24"/>
      <c r="AQ444" s="24"/>
      <c r="AR444" s="24"/>
      <c r="AS444" s="24"/>
      <c r="AT444" s="24"/>
      <c r="AU444" s="24"/>
      <c r="AV444" s="24"/>
      <c r="AW444" s="24"/>
      <c r="AX444" s="24"/>
      <c r="AY444" s="24"/>
      <c r="AZ444" s="24"/>
      <c r="BA444" s="24"/>
      <c r="BB444" s="24"/>
      <c r="BC444" s="24"/>
      <c r="BD444" s="24"/>
      <c r="BE444" s="24"/>
      <c r="BF444" s="24"/>
      <c r="BG444" s="24"/>
      <c r="BH444" s="24"/>
    </row>
    <row r="445" spans="1:60">
      <c r="A445" s="7"/>
      <c r="B445" s="8"/>
      <c r="C445" s="9"/>
      <c r="D445" s="25"/>
      <c r="E445" s="25"/>
      <c r="F445" s="25"/>
      <c r="G445" s="25"/>
      <c r="H445" s="53"/>
      <c r="I445" s="53"/>
      <c r="J445" s="53"/>
      <c r="K445" s="24"/>
      <c r="L445" s="7"/>
      <c r="M445" s="24"/>
      <c r="N445" s="24"/>
      <c r="O445" s="24"/>
      <c r="P445" s="24"/>
      <c r="Q445" s="24"/>
      <c r="R445" s="24"/>
      <c r="S445" s="24"/>
      <c r="T445" s="24"/>
      <c r="U445" s="24"/>
      <c r="V445" s="24"/>
      <c r="W445" s="24"/>
      <c r="X445" s="24"/>
      <c r="Y445" s="24"/>
      <c r="Z445" s="24"/>
      <c r="AA445" s="24"/>
      <c r="AB445" s="24"/>
      <c r="AC445" s="24"/>
      <c r="AD445" s="24"/>
      <c r="AE445" s="24"/>
      <c r="AF445" s="24"/>
      <c r="AG445" s="24"/>
      <c r="AH445" s="24"/>
      <c r="AI445" s="24"/>
      <c r="AJ445" s="24"/>
      <c r="AK445" s="24"/>
      <c r="AL445" s="24"/>
      <c r="AM445" s="24"/>
      <c r="AN445" s="24"/>
      <c r="AO445" s="24"/>
      <c r="AP445" s="24"/>
      <c r="AQ445" s="24"/>
      <c r="AR445" s="24"/>
      <c r="AS445" s="24"/>
      <c r="AT445" s="24"/>
      <c r="AU445" s="24"/>
      <c r="AV445" s="24"/>
      <c r="AW445" s="24"/>
      <c r="AX445" s="24"/>
      <c r="AY445" s="24"/>
      <c r="AZ445" s="24"/>
      <c r="BA445" s="24"/>
      <c r="BB445" s="24"/>
      <c r="BC445" s="24"/>
      <c r="BD445" s="24"/>
      <c r="BE445" s="24"/>
      <c r="BF445" s="24"/>
      <c r="BG445" s="24"/>
      <c r="BH445" s="24"/>
    </row>
    <row r="446" spans="1:60">
      <c r="A446" s="7"/>
      <c r="B446" s="8"/>
      <c r="C446" s="9"/>
      <c r="D446" s="25"/>
      <c r="E446" s="25"/>
      <c r="F446" s="25"/>
      <c r="G446" s="25"/>
      <c r="H446" s="53"/>
      <c r="I446" s="53"/>
      <c r="J446" s="53"/>
      <c r="K446" s="24"/>
      <c r="L446" s="7"/>
      <c r="M446" s="24"/>
      <c r="N446" s="24"/>
      <c r="O446" s="24"/>
      <c r="P446" s="24"/>
      <c r="Q446" s="24"/>
      <c r="R446" s="24"/>
      <c r="S446" s="24"/>
      <c r="T446" s="24"/>
      <c r="U446" s="24"/>
      <c r="V446" s="24"/>
      <c r="W446" s="24"/>
      <c r="X446" s="24"/>
      <c r="Y446" s="24"/>
      <c r="Z446" s="24"/>
      <c r="AA446" s="24"/>
      <c r="AB446" s="24"/>
      <c r="AC446" s="24"/>
      <c r="AD446" s="24"/>
      <c r="AE446" s="24"/>
      <c r="AF446" s="24"/>
      <c r="AG446" s="24"/>
      <c r="AH446" s="24"/>
      <c r="AI446" s="24"/>
      <c r="AJ446" s="24"/>
      <c r="AK446" s="24"/>
      <c r="AL446" s="24"/>
      <c r="AM446" s="24"/>
      <c r="AN446" s="24"/>
      <c r="AO446" s="24"/>
      <c r="AP446" s="24"/>
      <c r="AQ446" s="24"/>
      <c r="AR446" s="24"/>
      <c r="AS446" s="24"/>
      <c r="AT446" s="24"/>
      <c r="AU446" s="24"/>
      <c r="AV446" s="24"/>
      <c r="AW446" s="24"/>
      <c r="AX446" s="24"/>
      <c r="AY446" s="24"/>
      <c r="AZ446" s="24"/>
      <c r="BA446" s="24"/>
      <c r="BB446" s="24"/>
      <c r="BC446" s="24"/>
      <c r="BD446" s="24"/>
      <c r="BE446" s="24"/>
      <c r="BF446" s="24"/>
      <c r="BG446" s="24"/>
      <c r="BH446" s="24"/>
    </row>
    <row r="447" spans="1:60">
      <c r="A447" s="7"/>
      <c r="B447" s="8"/>
      <c r="C447" s="9"/>
      <c r="D447" s="25"/>
      <c r="E447" s="25"/>
      <c r="F447" s="25"/>
      <c r="G447" s="25"/>
      <c r="H447" s="53"/>
      <c r="I447" s="53"/>
      <c r="J447" s="53"/>
      <c r="K447" s="24"/>
      <c r="L447" s="7"/>
      <c r="M447" s="24"/>
      <c r="N447" s="24"/>
      <c r="O447" s="24"/>
      <c r="P447" s="24"/>
      <c r="Q447" s="24"/>
      <c r="R447" s="24"/>
      <c r="S447" s="24"/>
      <c r="T447" s="24"/>
      <c r="U447" s="24"/>
      <c r="V447" s="24"/>
      <c r="W447" s="24"/>
      <c r="X447" s="24"/>
      <c r="Y447" s="24"/>
      <c r="Z447" s="24"/>
      <c r="AA447" s="24"/>
      <c r="AB447" s="24"/>
      <c r="AC447" s="24"/>
      <c r="AD447" s="24"/>
      <c r="AE447" s="24"/>
      <c r="AF447" s="24"/>
      <c r="AG447" s="24"/>
      <c r="AH447" s="24"/>
      <c r="AI447" s="24"/>
      <c r="AJ447" s="24"/>
      <c r="AK447" s="24"/>
      <c r="AL447" s="24"/>
      <c r="AM447" s="24"/>
      <c r="AN447" s="24"/>
      <c r="AO447" s="24"/>
      <c r="AP447" s="24"/>
      <c r="AQ447" s="24"/>
      <c r="AR447" s="24"/>
      <c r="AS447" s="24"/>
      <c r="AT447" s="24"/>
      <c r="AU447" s="24"/>
      <c r="AV447" s="24"/>
      <c r="AW447" s="24"/>
      <c r="AX447" s="24"/>
      <c r="AY447" s="24"/>
      <c r="AZ447" s="24"/>
      <c r="BA447" s="24"/>
      <c r="BB447" s="24"/>
      <c r="BC447" s="24"/>
      <c r="BD447" s="24"/>
      <c r="BE447" s="24"/>
      <c r="BF447" s="24"/>
      <c r="BG447" s="24"/>
      <c r="BH447" s="24"/>
    </row>
    <row r="448" spans="1:60">
      <c r="A448" s="7"/>
      <c r="B448" s="8"/>
      <c r="C448" s="9"/>
      <c r="D448" s="25"/>
      <c r="E448" s="25"/>
      <c r="F448" s="25"/>
      <c r="G448" s="25"/>
      <c r="H448" s="53"/>
      <c r="I448" s="53"/>
      <c r="J448" s="53"/>
      <c r="K448" s="24"/>
      <c r="L448" s="7"/>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4"/>
      <c r="AK448" s="24"/>
      <c r="AL448" s="24"/>
      <c r="AM448" s="24"/>
      <c r="AN448" s="24"/>
      <c r="AO448" s="24"/>
      <c r="AP448" s="24"/>
      <c r="AQ448" s="24"/>
      <c r="AR448" s="24"/>
      <c r="AS448" s="24"/>
      <c r="AT448" s="24"/>
      <c r="AU448" s="24"/>
      <c r="AV448" s="24"/>
      <c r="AW448" s="24"/>
      <c r="AX448" s="24"/>
      <c r="AY448" s="24"/>
      <c r="AZ448" s="24"/>
      <c r="BA448" s="24"/>
      <c r="BB448" s="24"/>
      <c r="BC448" s="24"/>
      <c r="BD448" s="24"/>
      <c r="BE448" s="24"/>
      <c r="BF448" s="24"/>
      <c r="BG448" s="24"/>
      <c r="BH448" s="24"/>
    </row>
    <row r="449" spans="1:60">
      <c r="A449" s="7"/>
      <c r="B449" s="8"/>
      <c r="C449" s="9"/>
      <c r="D449" s="25"/>
      <c r="E449" s="25"/>
      <c r="F449" s="25"/>
      <c r="G449" s="25"/>
      <c r="H449" s="53"/>
      <c r="I449" s="53"/>
      <c r="J449" s="53"/>
      <c r="K449" s="24"/>
      <c r="L449" s="7"/>
      <c r="M449" s="24"/>
      <c r="N449" s="24"/>
      <c r="O449" s="24"/>
      <c r="P449" s="24"/>
      <c r="Q449" s="24"/>
      <c r="R449" s="24"/>
      <c r="S449" s="24"/>
      <c r="T449" s="24"/>
      <c r="U449" s="24"/>
      <c r="V449" s="24"/>
      <c r="W449" s="24"/>
      <c r="X449" s="24"/>
      <c r="Y449" s="24"/>
      <c r="Z449" s="24"/>
      <c r="AA449" s="24"/>
      <c r="AB449" s="24"/>
      <c r="AC449" s="24"/>
      <c r="AD449" s="24"/>
      <c r="AE449" s="24"/>
      <c r="AF449" s="24"/>
      <c r="AG449" s="24"/>
      <c r="AH449" s="24"/>
      <c r="AI449" s="24"/>
      <c r="AJ449" s="24"/>
      <c r="AK449" s="24"/>
      <c r="AL449" s="24"/>
      <c r="AM449" s="24"/>
      <c r="AN449" s="24"/>
      <c r="AO449" s="24"/>
      <c r="AP449" s="24"/>
      <c r="AQ449" s="24"/>
      <c r="AR449" s="24"/>
      <c r="AS449" s="24"/>
      <c r="AT449" s="24"/>
      <c r="AU449" s="24"/>
      <c r="AV449" s="24"/>
      <c r="AW449" s="24"/>
      <c r="AX449" s="24"/>
      <c r="AY449" s="24"/>
      <c r="AZ449" s="24"/>
      <c r="BA449" s="24"/>
      <c r="BB449" s="24"/>
      <c r="BC449" s="24"/>
      <c r="BD449" s="24"/>
      <c r="BE449" s="24"/>
      <c r="BF449" s="24"/>
      <c r="BG449" s="24"/>
      <c r="BH449" s="24"/>
    </row>
    <row r="450" spans="1:60">
      <c r="A450" s="7"/>
      <c r="B450" s="8"/>
      <c r="C450" s="9"/>
      <c r="D450" s="25"/>
      <c r="E450" s="25"/>
      <c r="F450" s="25"/>
      <c r="G450" s="25"/>
      <c r="H450" s="53"/>
      <c r="I450" s="53"/>
      <c r="J450" s="53"/>
      <c r="K450" s="24"/>
      <c r="L450" s="7"/>
      <c r="M450" s="24"/>
      <c r="N450" s="24"/>
      <c r="O450" s="24"/>
      <c r="P450" s="24"/>
      <c r="Q450" s="24"/>
      <c r="R450" s="24"/>
      <c r="S450" s="24"/>
      <c r="T450" s="24"/>
      <c r="U450" s="24"/>
      <c r="V450" s="24"/>
      <c r="W450" s="24"/>
      <c r="X450" s="24"/>
      <c r="Y450" s="24"/>
      <c r="Z450" s="24"/>
      <c r="AA450" s="24"/>
      <c r="AB450" s="24"/>
      <c r="AC450" s="24"/>
      <c r="AD450" s="24"/>
      <c r="AE450" s="24"/>
      <c r="AF450" s="24"/>
      <c r="AG450" s="24"/>
      <c r="AH450" s="24"/>
      <c r="AI450" s="24"/>
      <c r="AJ450" s="24"/>
      <c r="AK450" s="24"/>
      <c r="AL450" s="24"/>
      <c r="AM450" s="24"/>
      <c r="AN450" s="24"/>
      <c r="AO450" s="24"/>
      <c r="AP450" s="24"/>
      <c r="AQ450" s="24"/>
      <c r="AR450" s="24"/>
      <c r="AS450" s="24"/>
      <c r="AT450" s="24"/>
      <c r="AU450" s="24"/>
      <c r="AV450" s="24"/>
      <c r="AW450" s="24"/>
      <c r="AX450" s="24"/>
      <c r="AY450" s="24"/>
      <c r="AZ450" s="24"/>
      <c r="BA450" s="24"/>
      <c r="BB450" s="24"/>
      <c r="BC450" s="24"/>
      <c r="BD450" s="24"/>
      <c r="BE450" s="24"/>
      <c r="BF450" s="24"/>
      <c r="BG450" s="24"/>
      <c r="BH450" s="24"/>
    </row>
    <row r="451" spans="1:60">
      <c r="A451" s="7"/>
      <c r="B451" s="8"/>
      <c r="C451" s="9"/>
      <c r="D451" s="25"/>
      <c r="E451" s="25"/>
      <c r="F451" s="25"/>
      <c r="G451" s="25"/>
      <c r="H451" s="53"/>
      <c r="I451" s="53"/>
      <c r="J451" s="53"/>
      <c r="K451" s="24"/>
      <c r="L451" s="7"/>
      <c r="M451" s="24"/>
      <c r="N451" s="24"/>
      <c r="O451" s="24"/>
      <c r="P451" s="24"/>
      <c r="Q451" s="24"/>
      <c r="R451" s="24"/>
      <c r="S451" s="24"/>
      <c r="T451" s="24"/>
      <c r="U451" s="24"/>
      <c r="V451" s="24"/>
      <c r="W451" s="24"/>
      <c r="X451" s="24"/>
      <c r="Y451" s="24"/>
      <c r="Z451" s="24"/>
      <c r="AA451" s="24"/>
      <c r="AB451" s="24"/>
      <c r="AC451" s="24"/>
      <c r="AD451" s="24"/>
      <c r="AE451" s="24"/>
      <c r="AF451" s="24"/>
      <c r="AG451" s="24"/>
      <c r="AH451" s="24"/>
      <c r="AI451" s="24"/>
      <c r="AJ451" s="24"/>
      <c r="AK451" s="24"/>
      <c r="AL451" s="24"/>
      <c r="AM451" s="24"/>
      <c r="AN451" s="24"/>
      <c r="AO451" s="24"/>
      <c r="AP451" s="24"/>
      <c r="AQ451" s="24"/>
      <c r="AR451" s="24"/>
      <c r="AS451" s="24"/>
      <c r="AT451" s="24"/>
      <c r="AU451" s="24"/>
      <c r="AV451" s="24"/>
      <c r="AW451" s="24"/>
      <c r="AX451" s="24"/>
      <c r="AY451" s="24"/>
      <c r="AZ451" s="24"/>
      <c r="BA451" s="24"/>
      <c r="BB451" s="24"/>
      <c r="BC451" s="24"/>
      <c r="BD451" s="24"/>
      <c r="BE451" s="24"/>
      <c r="BF451" s="24"/>
      <c r="BG451" s="24"/>
      <c r="BH451" s="24"/>
    </row>
    <row r="452" spans="1:60">
      <c r="A452" s="7"/>
      <c r="B452" s="8"/>
      <c r="C452" s="9"/>
      <c r="D452" s="25"/>
      <c r="E452" s="25"/>
      <c r="F452" s="25"/>
      <c r="G452" s="25"/>
      <c r="H452" s="53"/>
      <c r="I452" s="53"/>
      <c r="J452" s="53"/>
      <c r="K452" s="24"/>
      <c r="L452" s="7"/>
      <c r="M452" s="24"/>
      <c r="N452" s="24"/>
      <c r="O452" s="24"/>
      <c r="P452" s="24"/>
      <c r="Q452" s="24"/>
      <c r="R452" s="24"/>
      <c r="S452" s="24"/>
      <c r="T452" s="24"/>
      <c r="U452" s="24"/>
      <c r="V452" s="24"/>
      <c r="W452" s="24"/>
      <c r="X452" s="24"/>
      <c r="Y452" s="24"/>
      <c r="Z452" s="24"/>
      <c r="AA452" s="24"/>
      <c r="AB452" s="24"/>
      <c r="AC452" s="24"/>
      <c r="AD452" s="24"/>
      <c r="AE452" s="24"/>
      <c r="AF452" s="24"/>
      <c r="AG452" s="24"/>
      <c r="AH452" s="24"/>
      <c r="AI452" s="24"/>
      <c r="AJ452" s="24"/>
      <c r="AK452" s="24"/>
      <c r="AL452" s="24"/>
      <c r="AM452" s="24"/>
      <c r="AN452" s="24"/>
      <c r="AO452" s="24"/>
      <c r="AP452" s="24"/>
      <c r="AQ452" s="24"/>
      <c r="AR452" s="24"/>
      <c r="AS452" s="24"/>
      <c r="AT452" s="24"/>
      <c r="AU452" s="24"/>
      <c r="AV452" s="24"/>
      <c r="AW452" s="24"/>
      <c r="AX452" s="24"/>
      <c r="AY452" s="24"/>
      <c r="AZ452" s="24"/>
      <c r="BA452" s="24"/>
      <c r="BB452" s="24"/>
      <c r="BC452" s="24"/>
      <c r="BD452" s="24"/>
      <c r="BE452" s="24"/>
      <c r="BF452" s="24"/>
      <c r="BG452" s="24"/>
      <c r="BH452" s="24"/>
    </row>
    <row r="453" spans="1:60">
      <c r="A453" s="7"/>
      <c r="B453" s="8"/>
      <c r="C453" s="9"/>
      <c r="D453" s="25"/>
      <c r="E453" s="25"/>
      <c r="F453" s="25"/>
      <c r="G453" s="25"/>
      <c r="H453" s="53"/>
      <c r="I453" s="53"/>
      <c r="J453" s="53"/>
      <c r="K453" s="24"/>
      <c r="L453" s="7"/>
      <c r="M453" s="24"/>
      <c r="N453" s="24"/>
      <c r="O453" s="24"/>
      <c r="P453" s="24"/>
      <c r="Q453" s="24"/>
      <c r="R453" s="24"/>
      <c r="S453" s="24"/>
      <c r="T453" s="24"/>
      <c r="U453" s="24"/>
      <c r="V453" s="24"/>
      <c r="W453" s="24"/>
      <c r="X453" s="24"/>
      <c r="Y453" s="24"/>
      <c r="Z453" s="24"/>
      <c r="AA453" s="24"/>
      <c r="AB453" s="24"/>
      <c r="AC453" s="24"/>
      <c r="AD453" s="24"/>
      <c r="AE453" s="24"/>
      <c r="AF453" s="24"/>
      <c r="AG453" s="24"/>
      <c r="AH453" s="24"/>
      <c r="AI453" s="24"/>
      <c r="AJ453" s="24"/>
      <c r="AK453" s="24"/>
      <c r="AL453" s="24"/>
      <c r="AM453" s="24"/>
      <c r="AN453" s="24"/>
      <c r="AO453" s="24"/>
      <c r="AP453" s="24"/>
      <c r="AQ453" s="24"/>
      <c r="AR453" s="24"/>
      <c r="AS453" s="24"/>
      <c r="AT453" s="24"/>
      <c r="AU453" s="24"/>
      <c r="AV453" s="24"/>
      <c r="AW453" s="24"/>
      <c r="AX453" s="24"/>
      <c r="AY453" s="24"/>
      <c r="AZ453" s="24"/>
      <c r="BA453" s="24"/>
      <c r="BB453" s="24"/>
      <c r="BC453" s="24"/>
      <c r="BD453" s="24"/>
      <c r="BE453" s="24"/>
      <c r="BF453" s="24"/>
      <c r="BG453" s="24"/>
      <c r="BH453" s="24"/>
    </row>
    <row r="454" spans="1:60">
      <c r="A454" s="7"/>
      <c r="B454" s="8"/>
      <c r="C454" s="9"/>
      <c r="D454" s="25"/>
      <c r="E454" s="25"/>
      <c r="F454" s="25"/>
      <c r="G454" s="25"/>
      <c r="H454" s="53"/>
      <c r="I454" s="53"/>
      <c r="J454" s="53"/>
      <c r="K454" s="24"/>
      <c r="L454" s="7"/>
      <c r="M454" s="24"/>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4"/>
      <c r="AK454" s="24"/>
      <c r="AL454" s="24"/>
      <c r="AM454" s="24"/>
      <c r="AN454" s="24"/>
      <c r="AO454" s="24"/>
      <c r="AP454" s="24"/>
      <c r="AQ454" s="24"/>
      <c r="AR454" s="24"/>
      <c r="AS454" s="24"/>
      <c r="AT454" s="24"/>
      <c r="AU454" s="24"/>
      <c r="AV454" s="24"/>
      <c r="AW454" s="24"/>
      <c r="AX454" s="24"/>
      <c r="AY454" s="24"/>
      <c r="AZ454" s="24"/>
      <c r="BA454" s="24"/>
      <c r="BB454" s="24"/>
      <c r="BC454" s="24"/>
      <c r="BD454" s="24"/>
      <c r="BE454" s="24"/>
      <c r="BF454" s="24"/>
      <c r="BG454" s="24"/>
      <c r="BH454" s="24"/>
    </row>
    <row r="455" spans="1:60">
      <c r="A455" s="7"/>
      <c r="B455" s="8"/>
      <c r="C455" s="9"/>
      <c r="D455" s="25"/>
      <c r="E455" s="25"/>
      <c r="F455" s="25"/>
      <c r="G455" s="25"/>
      <c r="H455" s="53"/>
      <c r="I455" s="53"/>
      <c r="J455" s="53"/>
      <c r="K455" s="24"/>
      <c r="L455" s="7"/>
      <c r="M455" s="24"/>
      <c r="N455" s="24"/>
      <c r="O455" s="24"/>
      <c r="P455" s="24"/>
      <c r="Q455" s="24"/>
      <c r="R455" s="24"/>
      <c r="S455" s="24"/>
      <c r="T455" s="24"/>
      <c r="U455" s="24"/>
      <c r="V455" s="24"/>
      <c r="W455" s="24"/>
      <c r="X455" s="24"/>
      <c r="Y455" s="24"/>
      <c r="Z455" s="24"/>
      <c r="AA455" s="24"/>
      <c r="AB455" s="24"/>
      <c r="AC455" s="24"/>
      <c r="AD455" s="24"/>
      <c r="AE455" s="24"/>
      <c r="AF455" s="24"/>
      <c r="AG455" s="24"/>
      <c r="AH455" s="24"/>
      <c r="AI455" s="24"/>
      <c r="AJ455" s="24"/>
      <c r="AK455" s="24"/>
      <c r="AL455" s="24"/>
      <c r="AM455" s="24"/>
      <c r="AN455" s="24"/>
      <c r="AO455" s="24"/>
      <c r="AP455" s="24"/>
      <c r="AQ455" s="24"/>
      <c r="AR455" s="24"/>
      <c r="AS455" s="24"/>
      <c r="AT455" s="24"/>
      <c r="AU455" s="24"/>
      <c r="AV455" s="24"/>
      <c r="AW455" s="24"/>
      <c r="AX455" s="24"/>
      <c r="AY455" s="24"/>
      <c r="AZ455" s="24"/>
      <c r="BA455" s="24"/>
      <c r="BB455" s="24"/>
      <c r="BC455" s="24"/>
      <c r="BD455" s="24"/>
      <c r="BE455" s="24"/>
      <c r="BF455" s="24"/>
      <c r="BG455" s="24"/>
      <c r="BH455" s="24"/>
    </row>
    <row r="456" spans="1:60">
      <c r="A456" s="7"/>
      <c r="B456" s="8"/>
      <c r="C456" s="9"/>
      <c r="D456" s="25"/>
      <c r="E456" s="25"/>
      <c r="F456" s="25"/>
      <c r="G456" s="25"/>
      <c r="H456" s="53"/>
      <c r="I456" s="53"/>
      <c r="J456" s="53"/>
      <c r="K456" s="24"/>
      <c r="L456" s="7"/>
      <c r="M456" s="24"/>
      <c r="N456" s="24"/>
      <c r="O456" s="24"/>
      <c r="P456" s="24"/>
      <c r="Q456" s="24"/>
      <c r="R456" s="24"/>
      <c r="S456" s="24"/>
      <c r="T456" s="24"/>
      <c r="U456" s="24"/>
      <c r="V456" s="24"/>
      <c r="W456" s="24"/>
      <c r="X456" s="24"/>
      <c r="Y456" s="24"/>
      <c r="Z456" s="24"/>
      <c r="AA456" s="24"/>
      <c r="AB456" s="24"/>
      <c r="AC456" s="24"/>
      <c r="AD456" s="24"/>
      <c r="AE456" s="24"/>
      <c r="AF456" s="24"/>
      <c r="AG456" s="24"/>
      <c r="AH456" s="24"/>
      <c r="AI456" s="24"/>
      <c r="AJ456" s="24"/>
      <c r="AK456" s="24"/>
      <c r="AL456" s="24"/>
      <c r="AM456" s="24"/>
      <c r="AN456" s="24"/>
      <c r="AO456" s="24"/>
      <c r="AP456" s="24"/>
      <c r="AQ456" s="24"/>
      <c r="AR456" s="24"/>
      <c r="AS456" s="24"/>
      <c r="AT456" s="24"/>
      <c r="AU456" s="24"/>
      <c r="AV456" s="24"/>
      <c r="AW456" s="24"/>
      <c r="AX456" s="24"/>
      <c r="AY456" s="24"/>
      <c r="AZ456" s="24"/>
      <c r="BA456" s="24"/>
      <c r="BB456" s="24"/>
      <c r="BC456" s="24"/>
      <c r="BD456" s="24"/>
      <c r="BE456" s="24"/>
      <c r="BF456" s="24"/>
      <c r="BG456" s="24"/>
      <c r="BH456" s="24"/>
    </row>
    <row r="457" spans="1:60">
      <c r="A457" s="7"/>
      <c r="B457" s="8"/>
      <c r="C457" s="9"/>
      <c r="D457" s="25"/>
      <c r="E457" s="25"/>
      <c r="F457" s="25"/>
      <c r="G457" s="25"/>
      <c r="H457" s="53"/>
      <c r="I457" s="53"/>
      <c r="J457" s="53"/>
      <c r="K457" s="24"/>
      <c r="L457" s="7"/>
      <c r="M457" s="24"/>
      <c r="N457" s="24"/>
      <c r="O457" s="24"/>
      <c r="P457" s="24"/>
      <c r="Q457" s="24"/>
      <c r="R457" s="24"/>
      <c r="S457" s="24"/>
      <c r="T457" s="24"/>
      <c r="U457" s="24"/>
      <c r="V457" s="24"/>
      <c r="W457" s="24"/>
      <c r="X457" s="24"/>
      <c r="Y457" s="24"/>
      <c r="Z457" s="24"/>
      <c r="AA457" s="24"/>
      <c r="AB457" s="24"/>
      <c r="AC457" s="24"/>
      <c r="AD457" s="24"/>
      <c r="AE457" s="24"/>
      <c r="AF457" s="24"/>
      <c r="AG457" s="24"/>
      <c r="AH457" s="24"/>
      <c r="AI457" s="24"/>
      <c r="AJ457" s="24"/>
      <c r="AK457" s="24"/>
      <c r="AL457" s="24"/>
      <c r="AM457" s="24"/>
      <c r="AN457" s="24"/>
      <c r="AO457" s="24"/>
      <c r="AP457" s="24"/>
      <c r="AQ457" s="24"/>
      <c r="AR457" s="24"/>
      <c r="AS457" s="24"/>
      <c r="AT457" s="24"/>
      <c r="AU457" s="24"/>
      <c r="AV457" s="24"/>
      <c r="AW457" s="24"/>
      <c r="AX457" s="24"/>
      <c r="AY457" s="24"/>
      <c r="AZ457" s="24"/>
      <c r="BA457" s="24"/>
      <c r="BB457" s="24"/>
      <c r="BC457" s="24"/>
      <c r="BD457" s="24"/>
      <c r="BE457" s="24"/>
      <c r="BF457" s="24"/>
      <c r="BG457" s="24"/>
      <c r="BH457" s="24"/>
    </row>
    <row r="458" spans="1:60">
      <c r="A458" s="7"/>
      <c r="B458" s="8"/>
      <c r="C458" s="9"/>
      <c r="D458" s="25"/>
      <c r="E458" s="25"/>
      <c r="F458" s="25"/>
      <c r="G458" s="25"/>
      <c r="H458" s="53"/>
      <c r="I458" s="53"/>
      <c r="J458" s="53"/>
      <c r="K458" s="24"/>
      <c r="L458" s="7"/>
      <c r="M458" s="24"/>
      <c r="N458" s="24"/>
      <c r="O458" s="24"/>
      <c r="P458" s="24"/>
      <c r="Q458" s="24"/>
      <c r="R458" s="24"/>
      <c r="S458" s="24"/>
      <c r="T458" s="24"/>
      <c r="U458" s="24"/>
      <c r="V458" s="24"/>
      <c r="W458" s="24"/>
      <c r="X458" s="24"/>
      <c r="Y458" s="24"/>
      <c r="Z458" s="24"/>
      <c r="AA458" s="24"/>
      <c r="AB458" s="24"/>
      <c r="AC458" s="24"/>
      <c r="AD458" s="24"/>
      <c r="AE458" s="24"/>
      <c r="AF458" s="24"/>
      <c r="AG458" s="24"/>
      <c r="AH458" s="24"/>
      <c r="AI458" s="24"/>
      <c r="AJ458" s="24"/>
      <c r="AK458" s="24"/>
      <c r="AL458" s="24"/>
      <c r="AM458" s="24"/>
      <c r="AN458" s="24"/>
      <c r="AO458" s="24"/>
      <c r="AP458" s="24"/>
      <c r="AQ458" s="24"/>
      <c r="AR458" s="24"/>
      <c r="AS458" s="24"/>
      <c r="AT458" s="24"/>
      <c r="AU458" s="24"/>
      <c r="AV458" s="24"/>
      <c r="AW458" s="24"/>
      <c r="AX458" s="24"/>
      <c r="AY458" s="24"/>
      <c r="AZ458" s="24"/>
      <c r="BA458" s="24"/>
      <c r="BB458" s="24"/>
      <c r="BC458" s="24"/>
      <c r="BD458" s="24"/>
      <c r="BE458" s="24"/>
      <c r="BF458" s="24"/>
      <c r="BG458" s="24"/>
      <c r="BH458" s="24"/>
    </row>
    <row r="459" spans="1:60">
      <c r="A459" s="7"/>
      <c r="B459" s="8"/>
      <c r="C459" s="9"/>
      <c r="D459" s="25"/>
      <c r="E459" s="25"/>
      <c r="F459" s="25"/>
      <c r="G459" s="25"/>
      <c r="H459" s="53"/>
      <c r="I459" s="53"/>
      <c r="J459" s="53"/>
      <c r="K459" s="24"/>
      <c r="L459" s="7"/>
      <c r="M459" s="24"/>
      <c r="N459" s="24"/>
      <c r="O459" s="24"/>
      <c r="P459" s="24"/>
      <c r="Q459" s="24"/>
      <c r="R459" s="24"/>
      <c r="S459" s="24"/>
      <c r="T459" s="24"/>
      <c r="U459" s="24"/>
      <c r="V459" s="24"/>
      <c r="W459" s="24"/>
      <c r="X459" s="24"/>
      <c r="Y459" s="24"/>
      <c r="Z459" s="24"/>
      <c r="AA459" s="24"/>
      <c r="AB459" s="24"/>
      <c r="AC459" s="24"/>
      <c r="AD459" s="24"/>
      <c r="AE459" s="24"/>
      <c r="AF459" s="24"/>
      <c r="AG459" s="24"/>
      <c r="AH459" s="24"/>
      <c r="AI459" s="24"/>
      <c r="AJ459" s="24"/>
      <c r="AK459" s="24"/>
      <c r="AL459" s="24"/>
      <c r="AM459" s="24"/>
      <c r="AN459" s="24"/>
      <c r="AO459" s="24"/>
      <c r="AP459" s="24"/>
      <c r="AQ459" s="24"/>
      <c r="AR459" s="24"/>
      <c r="AS459" s="24"/>
      <c r="AT459" s="24"/>
      <c r="AU459" s="24"/>
      <c r="AV459" s="24"/>
      <c r="AW459" s="24"/>
      <c r="AX459" s="24"/>
      <c r="AY459" s="24"/>
      <c r="AZ459" s="24"/>
      <c r="BA459" s="24"/>
      <c r="BB459" s="24"/>
      <c r="BC459" s="24"/>
      <c r="BD459" s="24"/>
      <c r="BE459" s="24"/>
      <c r="BF459" s="24"/>
      <c r="BG459" s="24"/>
      <c r="BH459" s="24"/>
    </row>
    <row r="460" spans="1:60">
      <c r="A460" s="7"/>
      <c r="B460" s="8"/>
      <c r="C460" s="9"/>
      <c r="D460" s="25"/>
      <c r="E460" s="25"/>
      <c r="F460" s="25"/>
      <c r="G460" s="25"/>
      <c r="H460" s="53"/>
      <c r="I460" s="53"/>
      <c r="J460" s="53"/>
      <c r="K460" s="24"/>
      <c r="L460" s="7"/>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4"/>
      <c r="AK460" s="24"/>
      <c r="AL460" s="24"/>
      <c r="AM460" s="24"/>
      <c r="AN460" s="24"/>
      <c r="AO460" s="24"/>
      <c r="AP460" s="24"/>
      <c r="AQ460" s="24"/>
      <c r="AR460" s="24"/>
      <c r="AS460" s="24"/>
      <c r="AT460" s="24"/>
      <c r="AU460" s="24"/>
      <c r="AV460" s="24"/>
      <c r="AW460" s="24"/>
      <c r="AX460" s="24"/>
      <c r="AY460" s="24"/>
      <c r="AZ460" s="24"/>
      <c r="BA460" s="24"/>
      <c r="BB460" s="24"/>
      <c r="BC460" s="24"/>
      <c r="BD460" s="24"/>
      <c r="BE460" s="24"/>
      <c r="BF460" s="24"/>
      <c r="BG460" s="24"/>
      <c r="BH460" s="24"/>
    </row>
    <row r="461" spans="1:60">
      <c r="A461" s="7"/>
      <c r="B461" s="8"/>
      <c r="C461" s="9"/>
      <c r="D461" s="25"/>
      <c r="E461" s="25"/>
      <c r="F461" s="25"/>
      <c r="G461" s="25"/>
      <c r="H461" s="53"/>
      <c r="I461" s="53"/>
      <c r="J461" s="53"/>
      <c r="K461" s="24"/>
      <c r="L461" s="7"/>
      <c r="M461" s="24"/>
      <c r="N461" s="24"/>
      <c r="O461" s="24"/>
      <c r="P461" s="24"/>
      <c r="Q461" s="24"/>
      <c r="R461" s="24"/>
      <c r="S461" s="24"/>
      <c r="T461" s="24"/>
      <c r="U461" s="24"/>
      <c r="V461" s="24"/>
      <c r="W461" s="24"/>
      <c r="X461" s="24"/>
      <c r="Y461" s="24"/>
      <c r="Z461" s="24"/>
      <c r="AA461" s="24"/>
      <c r="AB461" s="24"/>
      <c r="AC461" s="24"/>
      <c r="AD461" s="24"/>
      <c r="AE461" s="24"/>
      <c r="AF461" s="24"/>
      <c r="AG461" s="24"/>
      <c r="AH461" s="24"/>
      <c r="AI461" s="24"/>
      <c r="AJ461" s="24"/>
      <c r="AK461" s="24"/>
      <c r="AL461" s="24"/>
      <c r="AM461" s="24"/>
      <c r="AN461" s="24"/>
      <c r="AO461" s="24"/>
      <c r="AP461" s="24"/>
      <c r="AQ461" s="24"/>
      <c r="AR461" s="24"/>
      <c r="AS461" s="24"/>
      <c r="AT461" s="24"/>
      <c r="AU461" s="24"/>
      <c r="AV461" s="24"/>
      <c r="AW461" s="24"/>
      <c r="AX461" s="24"/>
      <c r="AY461" s="24"/>
      <c r="AZ461" s="24"/>
      <c r="BA461" s="24"/>
      <c r="BB461" s="24"/>
      <c r="BC461" s="24"/>
      <c r="BD461" s="24"/>
      <c r="BE461" s="24"/>
      <c r="BF461" s="24"/>
      <c r="BG461" s="24"/>
      <c r="BH461" s="24"/>
    </row>
    <row r="462" spans="1:60">
      <c r="A462" s="7"/>
      <c r="B462" s="8"/>
      <c r="C462" s="9"/>
      <c r="D462" s="25"/>
      <c r="E462" s="25"/>
      <c r="F462" s="25"/>
      <c r="G462" s="25"/>
      <c r="H462" s="53"/>
      <c r="I462" s="53"/>
      <c r="J462" s="53"/>
      <c r="K462" s="24"/>
      <c r="L462" s="7"/>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4"/>
      <c r="BF462" s="24"/>
      <c r="BG462" s="24"/>
      <c r="BH462" s="24"/>
    </row>
    <row r="463" spans="1:60">
      <c r="A463" s="7"/>
      <c r="B463" s="8"/>
      <c r="C463" s="9"/>
      <c r="D463" s="25"/>
      <c r="E463" s="25"/>
      <c r="F463" s="25"/>
      <c r="G463" s="25"/>
      <c r="H463" s="53"/>
      <c r="I463" s="53"/>
      <c r="J463" s="53"/>
      <c r="K463" s="24"/>
      <c r="L463" s="7"/>
      <c r="M463" s="24"/>
      <c r="N463" s="24"/>
      <c r="O463" s="24"/>
      <c r="P463" s="24"/>
      <c r="Q463" s="24"/>
      <c r="R463" s="24"/>
      <c r="S463" s="24"/>
      <c r="T463" s="24"/>
      <c r="U463" s="24"/>
      <c r="V463" s="24"/>
      <c r="W463" s="24"/>
      <c r="X463" s="24"/>
      <c r="Y463" s="24"/>
      <c r="Z463" s="24"/>
      <c r="AA463" s="24"/>
      <c r="AB463" s="24"/>
      <c r="AC463" s="24"/>
      <c r="AD463" s="24"/>
      <c r="AE463" s="24"/>
      <c r="AF463" s="24"/>
      <c r="AG463" s="24"/>
      <c r="AH463" s="24"/>
      <c r="AI463" s="24"/>
      <c r="AJ463" s="24"/>
      <c r="AK463" s="24"/>
      <c r="AL463" s="24"/>
      <c r="AM463" s="24"/>
      <c r="AN463" s="24"/>
      <c r="AO463" s="24"/>
      <c r="AP463" s="24"/>
      <c r="AQ463" s="24"/>
      <c r="AR463" s="24"/>
      <c r="AS463" s="24"/>
      <c r="AT463" s="24"/>
      <c r="AU463" s="24"/>
      <c r="AV463" s="24"/>
      <c r="AW463" s="24"/>
      <c r="AX463" s="24"/>
      <c r="AY463" s="24"/>
      <c r="AZ463" s="24"/>
      <c r="BA463" s="24"/>
      <c r="BB463" s="24"/>
      <c r="BC463" s="24"/>
      <c r="BD463" s="24"/>
      <c r="BE463" s="24"/>
      <c r="BF463" s="24"/>
      <c r="BG463" s="24"/>
      <c r="BH463" s="24"/>
    </row>
    <row r="464" spans="1:60">
      <c r="A464" s="7"/>
      <c r="B464" s="8"/>
      <c r="C464" s="9"/>
      <c r="D464" s="25"/>
      <c r="E464" s="25"/>
      <c r="F464" s="25"/>
      <c r="G464" s="25"/>
      <c r="H464" s="53"/>
      <c r="I464" s="53"/>
      <c r="J464" s="53"/>
      <c r="K464" s="24"/>
      <c r="L464" s="7"/>
      <c r="M464" s="24"/>
      <c r="N464" s="24"/>
      <c r="O464" s="24"/>
      <c r="P464" s="24"/>
      <c r="Q464" s="24"/>
      <c r="R464" s="24"/>
      <c r="S464" s="24"/>
      <c r="T464" s="24"/>
      <c r="U464" s="24"/>
      <c r="V464" s="24"/>
      <c r="W464" s="24"/>
      <c r="X464" s="24"/>
      <c r="Y464" s="24"/>
      <c r="Z464" s="24"/>
      <c r="AA464" s="24"/>
      <c r="AB464" s="24"/>
      <c r="AC464" s="24"/>
      <c r="AD464" s="24"/>
      <c r="AE464" s="24"/>
      <c r="AF464" s="24"/>
      <c r="AG464" s="24"/>
      <c r="AH464" s="24"/>
      <c r="AI464" s="24"/>
      <c r="AJ464" s="24"/>
      <c r="AK464" s="24"/>
      <c r="AL464" s="24"/>
      <c r="AM464" s="24"/>
      <c r="AN464" s="24"/>
      <c r="AO464" s="24"/>
      <c r="AP464" s="24"/>
      <c r="AQ464" s="24"/>
      <c r="AR464" s="24"/>
      <c r="AS464" s="24"/>
      <c r="AT464" s="24"/>
      <c r="AU464" s="24"/>
      <c r="AV464" s="24"/>
      <c r="AW464" s="24"/>
      <c r="AX464" s="24"/>
      <c r="AY464" s="24"/>
      <c r="AZ464" s="24"/>
      <c r="BA464" s="24"/>
      <c r="BB464" s="24"/>
      <c r="BC464" s="24"/>
      <c r="BD464" s="24"/>
      <c r="BE464" s="24"/>
      <c r="BF464" s="24"/>
      <c r="BG464" s="24"/>
      <c r="BH464" s="24"/>
    </row>
    <row r="465" spans="1:60">
      <c r="A465" s="7"/>
      <c r="B465" s="8"/>
      <c r="C465" s="9"/>
      <c r="D465" s="25"/>
      <c r="E465" s="25"/>
      <c r="F465" s="25"/>
      <c r="G465" s="25"/>
      <c r="H465" s="53"/>
      <c r="I465" s="53"/>
      <c r="J465" s="53"/>
      <c r="K465" s="24"/>
      <c r="L465" s="7"/>
      <c r="M465" s="24"/>
      <c r="N465" s="24"/>
      <c r="O465" s="24"/>
      <c r="P465" s="24"/>
      <c r="Q465" s="24"/>
      <c r="R465" s="24"/>
      <c r="S465" s="24"/>
      <c r="T465" s="24"/>
      <c r="U465" s="24"/>
      <c r="V465" s="24"/>
      <c r="W465" s="24"/>
      <c r="X465" s="24"/>
      <c r="Y465" s="24"/>
      <c r="Z465" s="24"/>
      <c r="AA465" s="24"/>
      <c r="AB465" s="24"/>
      <c r="AC465" s="24"/>
      <c r="AD465" s="24"/>
      <c r="AE465" s="24"/>
      <c r="AF465" s="24"/>
      <c r="AG465" s="24"/>
      <c r="AH465" s="24"/>
      <c r="AI465" s="24"/>
      <c r="AJ465" s="24"/>
      <c r="AK465" s="24"/>
      <c r="AL465" s="24"/>
      <c r="AM465" s="24"/>
      <c r="AN465" s="24"/>
      <c r="AO465" s="24"/>
      <c r="AP465" s="24"/>
      <c r="AQ465" s="24"/>
      <c r="AR465" s="24"/>
      <c r="AS465" s="24"/>
      <c r="AT465" s="24"/>
      <c r="AU465" s="24"/>
      <c r="AV465" s="24"/>
      <c r="AW465" s="24"/>
      <c r="AX465" s="24"/>
      <c r="AY465" s="24"/>
      <c r="AZ465" s="24"/>
      <c r="BA465" s="24"/>
      <c r="BB465" s="24"/>
      <c r="BC465" s="24"/>
      <c r="BD465" s="24"/>
      <c r="BE465" s="24"/>
      <c r="BF465" s="24"/>
      <c r="BG465" s="24"/>
      <c r="BH465" s="24"/>
    </row>
    <row r="466" spans="1:60">
      <c r="A466" s="7"/>
      <c r="B466" s="8"/>
      <c r="C466" s="9"/>
      <c r="D466" s="25"/>
      <c r="E466" s="25"/>
      <c r="F466" s="25"/>
      <c r="G466" s="25"/>
      <c r="H466" s="53"/>
      <c r="I466" s="53"/>
      <c r="J466" s="53"/>
      <c r="K466" s="24"/>
      <c r="L466" s="7"/>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4"/>
      <c r="BF466" s="24"/>
      <c r="BG466" s="24"/>
      <c r="BH466" s="24"/>
    </row>
    <row r="467" spans="1:60">
      <c r="A467" s="7"/>
      <c r="B467" s="8"/>
      <c r="C467" s="9"/>
      <c r="D467" s="25"/>
      <c r="E467" s="25"/>
      <c r="F467" s="25"/>
      <c r="G467" s="25"/>
      <c r="H467" s="53"/>
      <c r="I467" s="53"/>
      <c r="J467" s="53"/>
      <c r="K467" s="24"/>
      <c r="L467" s="7"/>
      <c r="M467" s="24"/>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24"/>
      <c r="BA467" s="24"/>
      <c r="BB467" s="24"/>
      <c r="BC467" s="24"/>
      <c r="BD467" s="24"/>
      <c r="BE467" s="24"/>
      <c r="BF467" s="24"/>
      <c r="BG467" s="24"/>
      <c r="BH467" s="24"/>
    </row>
    <row r="468" spans="1:60">
      <c r="A468" s="7"/>
      <c r="B468" s="8"/>
      <c r="C468" s="9"/>
      <c r="D468" s="25"/>
      <c r="E468" s="25"/>
      <c r="F468" s="25"/>
      <c r="G468" s="25"/>
      <c r="H468" s="53"/>
      <c r="I468" s="53"/>
      <c r="J468" s="53"/>
      <c r="K468" s="24"/>
      <c r="L468" s="7"/>
      <c r="M468" s="24"/>
      <c r="N468" s="24"/>
      <c r="O468" s="24"/>
      <c r="P468" s="24"/>
      <c r="Q468" s="24"/>
      <c r="R468" s="24"/>
      <c r="S468" s="24"/>
      <c r="T468" s="24"/>
      <c r="U468" s="24"/>
      <c r="V468" s="24"/>
      <c r="W468" s="24"/>
      <c r="X468" s="24"/>
      <c r="Y468" s="24"/>
      <c r="Z468" s="24"/>
      <c r="AA468" s="24"/>
      <c r="AB468" s="24"/>
      <c r="AC468" s="24"/>
      <c r="AD468" s="24"/>
      <c r="AE468" s="24"/>
      <c r="AF468" s="24"/>
      <c r="AG468" s="24"/>
      <c r="AH468" s="24"/>
      <c r="AI468" s="24"/>
      <c r="AJ468" s="24"/>
      <c r="AK468" s="24"/>
      <c r="AL468" s="24"/>
      <c r="AM468" s="24"/>
      <c r="AN468" s="24"/>
      <c r="AO468" s="24"/>
      <c r="AP468" s="24"/>
      <c r="AQ468" s="24"/>
      <c r="AR468" s="24"/>
      <c r="AS468" s="24"/>
      <c r="AT468" s="24"/>
      <c r="AU468" s="24"/>
      <c r="AV468" s="24"/>
      <c r="AW468" s="24"/>
      <c r="AX468" s="24"/>
      <c r="AY468" s="24"/>
      <c r="AZ468" s="24"/>
      <c r="BA468" s="24"/>
      <c r="BB468" s="24"/>
      <c r="BC468" s="24"/>
      <c r="BD468" s="24"/>
      <c r="BE468" s="24"/>
      <c r="BF468" s="24"/>
      <c r="BG468" s="24"/>
      <c r="BH468" s="24"/>
    </row>
    <row r="469" spans="1:60">
      <c r="A469" s="7"/>
      <c r="B469" s="8"/>
      <c r="C469" s="9"/>
      <c r="D469" s="25"/>
      <c r="E469" s="25"/>
      <c r="F469" s="25"/>
      <c r="G469" s="25"/>
      <c r="H469" s="53"/>
      <c r="I469" s="53"/>
      <c r="J469" s="53"/>
      <c r="K469" s="24"/>
      <c r="L469" s="7"/>
      <c r="M469" s="24"/>
      <c r="N469" s="24"/>
      <c r="O469" s="24"/>
      <c r="P469" s="24"/>
      <c r="Q469" s="24"/>
      <c r="R469" s="24"/>
      <c r="S469" s="24"/>
      <c r="T469" s="24"/>
      <c r="U469" s="24"/>
      <c r="V469" s="24"/>
      <c r="W469" s="24"/>
      <c r="X469" s="24"/>
      <c r="Y469" s="24"/>
      <c r="Z469" s="24"/>
      <c r="AA469" s="24"/>
      <c r="AB469" s="24"/>
      <c r="AC469" s="24"/>
      <c r="AD469" s="24"/>
      <c r="AE469" s="24"/>
      <c r="AF469" s="24"/>
      <c r="AG469" s="24"/>
      <c r="AH469" s="24"/>
      <c r="AI469" s="24"/>
      <c r="AJ469" s="24"/>
      <c r="AK469" s="24"/>
      <c r="AL469" s="24"/>
      <c r="AM469" s="24"/>
      <c r="AN469" s="24"/>
      <c r="AO469" s="24"/>
      <c r="AP469" s="24"/>
      <c r="AQ469" s="24"/>
      <c r="AR469" s="24"/>
      <c r="AS469" s="24"/>
      <c r="AT469" s="24"/>
      <c r="AU469" s="24"/>
      <c r="AV469" s="24"/>
      <c r="AW469" s="24"/>
      <c r="AX469" s="24"/>
      <c r="AY469" s="24"/>
      <c r="AZ469" s="24"/>
      <c r="BA469" s="24"/>
      <c r="BB469" s="24"/>
      <c r="BC469" s="24"/>
      <c r="BD469" s="24"/>
      <c r="BE469" s="24"/>
      <c r="BF469" s="24"/>
      <c r="BG469" s="24"/>
      <c r="BH469" s="24"/>
    </row>
    <row r="470" spans="1:60">
      <c r="A470" s="7"/>
      <c r="B470" s="8"/>
      <c r="C470" s="9"/>
      <c r="D470" s="25"/>
      <c r="E470" s="25"/>
      <c r="F470" s="25"/>
      <c r="G470" s="25"/>
      <c r="H470" s="53"/>
      <c r="I470" s="53"/>
      <c r="J470" s="53"/>
      <c r="K470" s="24"/>
      <c r="L470" s="7"/>
      <c r="M470" s="24"/>
      <c r="N470" s="24"/>
      <c r="O470" s="24"/>
      <c r="P470" s="24"/>
      <c r="Q470" s="24"/>
      <c r="R470" s="24"/>
      <c r="S470" s="24"/>
      <c r="T470" s="24"/>
      <c r="U470" s="24"/>
      <c r="V470" s="24"/>
      <c r="W470" s="24"/>
      <c r="X470" s="24"/>
      <c r="Y470" s="24"/>
      <c r="Z470" s="24"/>
      <c r="AA470" s="24"/>
      <c r="AB470" s="24"/>
      <c r="AC470" s="24"/>
      <c r="AD470" s="24"/>
      <c r="AE470" s="24"/>
      <c r="AF470" s="24"/>
      <c r="AG470" s="24"/>
      <c r="AH470" s="24"/>
      <c r="AI470" s="24"/>
      <c r="AJ470" s="24"/>
      <c r="AK470" s="24"/>
      <c r="AL470" s="24"/>
      <c r="AM470" s="24"/>
      <c r="AN470" s="24"/>
      <c r="AO470" s="24"/>
      <c r="AP470" s="24"/>
      <c r="AQ470" s="24"/>
      <c r="AR470" s="24"/>
      <c r="AS470" s="24"/>
      <c r="AT470" s="24"/>
      <c r="AU470" s="24"/>
      <c r="AV470" s="24"/>
      <c r="AW470" s="24"/>
      <c r="AX470" s="24"/>
      <c r="AY470" s="24"/>
      <c r="AZ470" s="24"/>
      <c r="BA470" s="24"/>
      <c r="BB470" s="24"/>
      <c r="BC470" s="24"/>
      <c r="BD470" s="24"/>
      <c r="BE470" s="24"/>
      <c r="BF470" s="24"/>
      <c r="BG470" s="24"/>
      <c r="BH470" s="24"/>
    </row>
    <row r="471" spans="1:60">
      <c r="A471" s="7"/>
      <c r="B471" s="8"/>
      <c r="C471" s="9"/>
      <c r="D471" s="25"/>
      <c r="E471" s="25"/>
      <c r="F471" s="25"/>
      <c r="G471" s="25"/>
      <c r="H471" s="53"/>
      <c r="I471" s="53"/>
      <c r="J471" s="53"/>
      <c r="K471" s="24"/>
      <c r="L471" s="7"/>
      <c r="M471" s="24"/>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c r="AQ471" s="24"/>
      <c r="AR471" s="24"/>
      <c r="AS471" s="24"/>
      <c r="AT471" s="24"/>
      <c r="AU471" s="24"/>
      <c r="AV471" s="24"/>
      <c r="AW471" s="24"/>
      <c r="AX471" s="24"/>
      <c r="AY471" s="24"/>
      <c r="AZ471" s="24"/>
      <c r="BA471" s="24"/>
      <c r="BB471" s="24"/>
      <c r="BC471" s="24"/>
      <c r="BD471" s="24"/>
      <c r="BE471" s="24"/>
      <c r="BF471" s="24"/>
      <c r="BG471" s="24"/>
      <c r="BH471" s="24"/>
    </row>
    <row r="472" spans="1:60">
      <c r="A472" s="7"/>
      <c r="B472" s="8"/>
      <c r="C472" s="9"/>
      <c r="D472" s="25"/>
      <c r="E472" s="25"/>
      <c r="F472" s="25"/>
      <c r="G472" s="25"/>
      <c r="H472" s="53"/>
      <c r="I472" s="53"/>
      <c r="J472" s="53"/>
      <c r="K472" s="24"/>
      <c r="L472" s="7"/>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4"/>
      <c r="AK472" s="24"/>
      <c r="AL472" s="24"/>
      <c r="AM472" s="24"/>
      <c r="AN472" s="24"/>
      <c r="AO472" s="24"/>
      <c r="AP472" s="24"/>
      <c r="AQ472" s="24"/>
      <c r="AR472" s="24"/>
      <c r="AS472" s="24"/>
      <c r="AT472" s="24"/>
      <c r="AU472" s="24"/>
      <c r="AV472" s="24"/>
      <c r="AW472" s="24"/>
      <c r="AX472" s="24"/>
      <c r="AY472" s="24"/>
      <c r="AZ472" s="24"/>
      <c r="BA472" s="24"/>
      <c r="BB472" s="24"/>
      <c r="BC472" s="24"/>
      <c r="BD472" s="24"/>
      <c r="BE472" s="24"/>
      <c r="BF472" s="24"/>
      <c r="BG472" s="24"/>
      <c r="BH472" s="24"/>
    </row>
    <row r="473" spans="1:60">
      <c r="A473" s="7"/>
      <c r="B473" s="8"/>
      <c r="C473" s="9"/>
      <c r="D473" s="25"/>
      <c r="E473" s="25"/>
      <c r="F473" s="25"/>
      <c r="G473" s="25"/>
      <c r="H473" s="53"/>
      <c r="I473" s="53"/>
      <c r="J473" s="53"/>
      <c r="K473" s="24"/>
      <c r="L473" s="7"/>
      <c r="M473" s="24"/>
      <c r="N473" s="24"/>
      <c r="O473" s="24"/>
      <c r="P473" s="24"/>
      <c r="Q473" s="24"/>
      <c r="R473" s="24"/>
      <c r="S473" s="24"/>
      <c r="T473" s="24"/>
      <c r="U473" s="24"/>
      <c r="V473" s="24"/>
      <c r="W473" s="24"/>
      <c r="X473" s="24"/>
      <c r="Y473" s="24"/>
      <c r="Z473" s="24"/>
      <c r="AA473" s="24"/>
      <c r="AB473" s="24"/>
      <c r="AC473" s="24"/>
      <c r="AD473" s="24"/>
      <c r="AE473" s="24"/>
      <c r="AF473" s="24"/>
      <c r="AG473" s="24"/>
      <c r="AH473" s="24"/>
      <c r="AI473" s="24"/>
      <c r="AJ473" s="24"/>
      <c r="AK473" s="24"/>
      <c r="AL473" s="24"/>
      <c r="AM473" s="24"/>
      <c r="AN473" s="24"/>
      <c r="AO473" s="24"/>
      <c r="AP473" s="24"/>
      <c r="AQ473" s="24"/>
      <c r="AR473" s="24"/>
      <c r="AS473" s="24"/>
      <c r="AT473" s="24"/>
      <c r="AU473" s="24"/>
      <c r="AV473" s="24"/>
      <c r="AW473" s="24"/>
      <c r="AX473" s="24"/>
      <c r="AY473" s="24"/>
      <c r="AZ473" s="24"/>
      <c r="BA473" s="24"/>
      <c r="BB473" s="24"/>
      <c r="BC473" s="24"/>
      <c r="BD473" s="24"/>
      <c r="BE473" s="24"/>
      <c r="BF473" s="24"/>
      <c r="BG473" s="24"/>
      <c r="BH473" s="24"/>
    </row>
    <row r="474" spans="1:60">
      <c r="A474" s="7"/>
      <c r="B474" s="8"/>
      <c r="C474" s="9"/>
      <c r="D474" s="25"/>
      <c r="E474" s="25"/>
      <c r="F474" s="25"/>
      <c r="G474" s="25"/>
      <c r="H474" s="53"/>
      <c r="I474" s="53"/>
      <c r="J474" s="53"/>
      <c r="K474" s="24"/>
      <c r="L474" s="7"/>
      <c r="M474" s="24"/>
      <c r="N474" s="24"/>
      <c r="O474" s="24"/>
      <c r="P474" s="24"/>
      <c r="Q474" s="24"/>
      <c r="R474" s="24"/>
      <c r="S474" s="24"/>
      <c r="T474" s="24"/>
      <c r="U474" s="24"/>
      <c r="V474" s="24"/>
      <c r="W474" s="24"/>
      <c r="X474" s="24"/>
      <c r="Y474" s="24"/>
      <c r="Z474" s="24"/>
      <c r="AA474" s="24"/>
      <c r="AB474" s="24"/>
      <c r="AC474" s="24"/>
      <c r="AD474" s="24"/>
      <c r="AE474" s="24"/>
      <c r="AF474" s="24"/>
      <c r="AG474" s="24"/>
      <c r="AH474" s="24"/>
      <c r="AI474" s="24"/>
      <c r="AJ474" s="24"/>
      <c r="AK474" s="24"/>
      <c r="AL474" s="24"/>
      <c r="AM474" s="24"/>
      <c r="AN474" s="24"/>
      <c r="AO474" s="24"/>
      <c r="AP474" s="24"/>
      <c r="AQ474" s="24"/>
      <c r="AR474" s="24"/>
      <c r="AS474" s="24"/>
      <c r="AT474" s="24"/>
      <c r="AU474" s="24"/>
      <c r="AV474" s="24"/>
      <c r="AW474" s="24"/>
      <c r="AX474" s="24"/>
      <c r="AY474" s="24"/>
      <c r="AZ474" s="24"/>
      <c r="BA474" s="24"/>
      <c r="BB474" s="24"/>
      <c r="BC474" s="24"/>
      <c r="BD474" s="24"/>
      <c r="BE474" s="24"/>
      <c r="BF474" s="24"/>
      <c r="BG474" s="24"/>
      <c r="BH474" s="24"/>
    </row>
    <row r="475" spans="1:60">
      <c r="A475" s="7"/>
      <c r="B475" s="8"/>
      <c r="C475" s="9"/>
      <c r="D475" s="25"/>
      <c r="E475" s="25"/>
      <c r="F475" s="25"/>
      <c r="G475" s="25"/>
      <c r="H475" s="53"/>
      <c r="I475" s="53"/>
      <c r="J475" s="53"/>
      <c r="K475" s="24"/>
      <c r="L475" s="7"/>
      <c r="M475" s="24"/>
      <c r="N475" s="24"/>
      <c r="O475" s="24"/>
      <c r="P475" s="24"/>
      <c r="Q475" s="24"/>
      <c r="R475" s="24"/>
      <c r="S475" s="24"/>
      <c r="T475" s="24"/>
      <c r="U475" s="24"/>
      <c r="V475" s="24"/>
      <c r="W475" s="24"/>
      <c r="X475" s="24"/>
      <c r="Y475" s="24"/>
      <c r="Z475" s="24"/>
      <c r="AA475" s="24"/>
      <c r="AB475" s="24"/>
      <c r="AC475" s="24"/>
      <c r="AD475" s="24"/>
      <c r="AE475" s="24"/>
      <c r="AF475" s="24"/>
      <c r="AG475" s="24"/>
      <c r="AH475" s="24"/>
      <c r="AI475" s="24"/>
      <c r="AJ475" s="24"/>
      <c r="AK475" s="24"/>
      <c r="AL475" s="24"/>
      <c r="AM475" s="24"/>
      <c r="AN475" s="24"/>
      <c r="AO475" s="24"/>
      <c r="AP475" s="24"/>
      <c r="AQ475" s="24"/>
      <c r="AR475" s="24"/>
      <c r="AS475" s="24"/>
      <c r="AT475" s="24"/>
      <c r="AU475" s="24"/>
      <c r="AV475" s="24"/>
      <c r="AW475" s="24"/>
      <c r="AX475" s="24"/>
      <c r="AY475" s="24"/>
      <c r="AZ475" s="24"/>
      <c r="BA475" s="24"/>
      <c r="BB475" s="24"/>
      <c r="BC475" s="24"/>
      <c r="BD475" s="24"/>
      <c r="BE475" s="24"/>
      <c r="BF475" s="24"/>
      <c r="BG475" s="24"/>
      <c r="BH475" s="24"/>
    </row>
    <row r="476" spans="1:60">
      <c r="A476" s="7"/>
      <c r="B476" s="8"/>
      <c r="C476" s="9"/>
      <c r="D476" s="25"/>
      <c r="E476" s="25"/>
      <c r="F476" s="25"/>
      <c r="G476" s="25"/>
      <c r="H476" s="53"/>
      <c r="I476" s="53"/>
      <c r="J476" s="53"/>
      <c r="K476" s="24"/>
      <c r="L476" s="7"/>
      <c r="M476" s="24"/>
      <c r="N476" s="24"/>
      <c r="O476" s="24"/>
      <c r="P476" s="24"/>
      <c r="Q476" s="24"/>
      <c r="R476" s="24"/>
      <c r="S476" s="24"/>
      <c r="T476" s="24"/>
      <c r="U476" s="24"/>
      <c r="V476" s="24"/>
      <c r="W476" s="24"/>
      <c r="X476" s="24"/>
      <c r="Y476" s="24"/>
      <c r="Z476" s="24"/>
      <c r="AA476" s="24"/>
      <c r="AB476" s="24"/>
      <c r="AC476" s="24"/>
      <c r="AD476" s="24"/>
      <c r="AE476" s="24"/>
      <c r="AF476" s="24"/>
      <c r="AG476" s="24"/>
      <c r="AH476" s="24"/>
      <c r="AI476" s="24"/>
      <c r="AJ476" s="24"/>
      <c r="AK476" s="24"/>
      <c r="AL476" s="24"/>
      <c r="AM476" s="24"/>
      <c r="AN476" s="24"/>
      <c r="AO476" s="24"/>
      <c r="AP476" s="24"/>
      <c r="AQ476" s="24"/>
      <c r="AR476" s="24"/>
      <c r="AS476" s="24"/>
      <c r="AT476" s="24"/>
      <c r="AU476" s="24"/>
      <c r="AV476" s="24"/>
      <c r="AW476" s="24"/>
      <c r="AX476" s="24"/>
      <c r="AY476" s="24"/>
      <c r="AZ476" s="24"/>
      <c r="BA476" s="24"/>
      <c r="BB476" s="24"/>
      <c r="BC476" s="24"/>
      <c r="BD476" s="24"/>
      <c r="BE476" s="24"/>
      <c r="BF476" s="24"/>
      <c r="BG476" s="24"/>
      <c r="BH476" s="24"/>
    </row>
    <row r="477" spans="1:60">
      <c r="A477" s="7"/>
      <c r="B477" s="8"/>
      <c r="C477" s="9"/>
      <c r="D477" s="25"/>
      <c r="E477" s="25"/>
      <c r="F477" s="25"/>
      <c r="G477" s="25"/>
      <c r="H477" s="53"/>
      <c r="I477" s="53"/>
      <c r="J477" s="53"/>
      <c r="K477" s="24"/>
      <c r="L477" s="7"/>
      <c r="M477" s="24"/>
      <c r="N477" s="24"/>
      <c r="O477" s="24"/>
      <c r="P477" s="24"/>
      <c r="Q477" s="24"/>
      <c r="R477" s="24"/>
      <c r="S477" s="24"/>
      <c r="T477" s="24"/>
      <c r="U477" s="24"/>
      <c r="V477" s="24"/>
      <c r="W477" s="24"/>
      <c r="X477" s="24"/>
      <c r="Y477" s="24"/>
      <c r="Z477" s="24"/>
      <c r="AA477" s="24"/>
      <c r="AB477" s="24"/>
      <c r="AC477" s="24"/>
      <c r="AD477" s="24"/>
      <c r="AE477" s="24"/>
      <c r="AF477" s="24"/>
      <c r="AG477" s="24"/>
      <c r="AH477" s="24"/>
      <c r="AI477" s="24"/>
      <c r="AJ477" s="24"/>
      <c r="AK477" s="24"/>
      <c r="AL477" s="24"/>
      <c r="AM477" s="24"/>
      <c r="AN477" s="24"/>
      <c r="AO477" s="24"/>
      <c r="AP477" s="24"/>
      <c r="AQ477" s="24"/>
      <c r="AR477" s="24"/>
      <c r="AS477" s="24"/>
      <c r="AT477" s="24"/>
      <c r="AU477" s="24"/>
      <c r="AV477" s="24"/>
      <c r="AW477" s="24"/>
      <c r="AX477" s="24"/>
      <c r="AY477" s="24"/>
      <c r="AZ477" s="24"/>
      <c r="BA477" s="24"/>
      <c r="BB477" s="24"/>
      <c r="BC477" s="24"/>
      <c r="BD477" s="24"/>
      <c r="BE477" s="24"/>
      <c r="BF477" s="24"/>
      <c r="BG477" s="24"/>
      <c r="BH477" s="24"/>
    </row>
    <row r="478" spans="1:60">
      <c r="A478" s="7"/>
      <c r="B478" s="8"/>
      <c r="C478" s="9"/>
      <c r="D478" s="25"/>
      <c r="E478" s="25"/>
      <c r="F478" s="25"/>
      <c r="G478" s="25"/>
      <c r="H478" s="53"/>
      <c r="I478" s="53"/>
      <c r="J478" s="53"/>
      <c r="K478" s="24"/>
      <c r="L478" s="7"/>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c r="AQ478" s="24"/>
      <c r="AR478" s="24"/>
      <c r="AS478" s="24"/>
      <c r="AT478" s="24"/>
      <c r="AU478" s="24"/>
      <c r="AV478" s="24"/>
      <c r="AW478" s="24"/>
      <c r="AX478" s="24"/>
      <c r="AY478" s="24"/>
      <c r="AZ478" s="24"/>
      <c r="BA478" s="24"/>
      <c r="BB478" s="24"/>
      <c r="BC478" s="24"/>
      <c r="BD478" s="24"/>
      <c r="BE478" s="24"/>
      <c r="BF478" s="24"/>
      <c r="BG478" s="24"/>
      <c r="BH478" s="24"/>
    </row>
    <row r="479" spans="1:60">
      <c r="A479" s="7"/>
      <c r="B479" s="8"/>
      <c r="C479" s="9"/>
      <c r="D479" s="25"/>
      <c r="E479" s="25"/>
      <c r="F479" s="25"/>
      <c r="G479" s="25"/>
      <c r="H479" s="53"/>
      <c r="I479" s="53"/>
      <c r="J479" s="53"/>
      <c r="K479" s="24"/>
      <c r="L479" s="7"/>
      <c r="M479" s="24"/>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4"/>
      <c r="AK479" s="24"/>
      <c r="AL479" s="24"/>
      <c r="AM479" s="24"/>
      <c r="AN479" s="24"/>
      <c r="AO479" s="24"/>
      <c r="AP479" s="24"/>
      <c r="AQ479" s="24"/>
      <c r="AR479" s="24"/>
      <c r="AS479" s="24"/>
      <c r="AT479" s="24"/>
      <c r="AU479" s="24"/>
      <c r="AV479" s="24"/>
      <c r="AW479" s="24"/>
      <c r="AX479" s="24"/>
      <c r="AY479" s="24"/>
      <c r="AZ479" s="24"/>
      <c r="BA479" s="24"/>
      <c r="BB479" s="24"/>
      <c r="BC479" s="24"/>
      <c r="BD479" s="24"/>
      <c r="BE479" s="24"/>
      <c r="BF479" s="24"/>
      <c r="BG479" s="24"/>
      <c r="BH479" s="24"/>
    </row>
    <row r="480" spans="1:60">
      <c r="A480" s="7"/>
      <c r="B480" s="8"/>
      <c r="C480" s="9"/>
      <c r="D480" s="25"/>
      <c r="E480" s="25"/>
      <c r="F480" s="25"/>
      <c r="G480" s="25"/>
      <c r="H480" s="53"/>
      <c r="I480" s="53"/>
      <c r="J480" s="53"/>
      <c r="K480" s="24"/>
      <c r="L480" s="7"/>
      <c r="M480" s="24"/>
      <c r="N480" s="24"/>
      <c r="O480" s="24"/>
      <c r="P480" s="24"/>
      <c r="Q480" s="24"/>
      <c r="R480" s="24"/>
      <c r="S480" s="24"/>
      <c r="T480" s="24"/>
      <c r="U480" s="24"/>
      <c r="V480" s="24"/>
      <c r="W480" s="24"/>
      <c r="X480" s="24"/>
      <c r="Y480" s="24"/>
      <c r="Z480" s="24"/>
      <c r="AA480" s="24"/>
      <c r="AB480" s="24"/>
      <c r="AC480" s="24"/>
      <c r="AD480" s="24"/>
      <c r="AE480" s="24"/>
      <c r="AF480" s="24"/>
      <c r="AG480" s="24"/>
      <c r="AH480" s="24"/>
      <c r="AI480" s="24"/>
      <c r="AJ480" s="24"/>
      <c r="AK480" s="24"/>
      <c r="AL480" s="24"/>
      <c r="AM480" s="24"/>
      <c r="AN480" s="24"/>
      <c r="AO480" s="24"/>
      <c r="AP480" s="24"/>
      <c r="AQ480" s="24"/>
      <c r="AR480" s="24"/>
      <c r="AS480" s="24"/>
      <c r="AT480" s="24"/>
      <c r="AU480" s="24"/>
      <c r="AV480" s="24"/>
      <c r="AW480" s="24"/>
      <c r="AX480" s="24"/>
      <c r="AY480" s="24"/>
      <c r="AZ480" s="24"/>
      <c r="BA480" s="24"/>
      <c r="BB480" s="24"/>
      <c r="BC480" s="24"/>
      <c r="BD480" s="24"/>
      <c r="BE480" s="24"/>
      <c r="BF480" s="24"/>
      <c r="BG480" s="24"/>
      <c r="BH480" s="24"/>
    </row>
    <row r="481" spans="1:60">
      <c r="A481" s="7"/>
      <c r="B481" s="8"/>
      <c r="C481" s="9"/>
      <c r="D481" s="25"/>
      <c r="E481" s="25"/>
      <c r="F481" s="25"/>
      <c r="G481" s="25"/>
      <c r="H481" s="53"/>
      <c r="I481" s="53"/>
      <c r="J481" s="53"/>
      <c r="K481" s="24"/>
      <c r="L481" s="7"/>
      <c r="M481" s="24"/>
      <c r="N481" s="24"/>
      <c r="O481" s="24"/>
      <c r="P481" s="24"/>
      <c r="Q481" s="24"/>
      <c r="R481" s="24"/>
      <c r="S481" s="24"/>
      <c r="T481" s="24"/>
      <c r="U481" s="24"/>
      <c r="V481" s="24"/>
      <c r="W481" s="24"/>
      <c r="X481" s="24"/>
      <c r="Y481" s="24"/>
      <c r="Z481" s="24"/>
      <c r="AA481" s="24"/>
      <c r="AB481" s="24"/>
      <c r="AC481" s="24"/>
      <c r="AD481" s="24"/>
      <c r="AE481" s="24"/>
      <c r="AF481" s="24"/>
      <c r="AG481" s="24"/>
      <c r="AH481" s="24"/>
      <c r="AI481" s="24"/>
      <c r="AJ481" s="24"/>
      <c r="AK481" s="24"/>
      <c r="AL481" s="24"/>
      <c r="AM481" s="24"/>
      <c r="AN481" s="24"/>
      <c r="AO481" s="24"/>
      <c r="AP481" s="24"/>
      <c r="AQ481" s="24"/>
      <c r="AR481" s="24"/>
      <c r="AS481" s="24"/>
      <c r="AT481" s="24"/>
      <c r="AU481" s="24"/>
      <c r="AV481" s="24"/>
      <c r="AW481" s="24"/>
      <c r="AX481" s="24"/>
      <c r="AY481" s="24"/>
      <c r="AZ481" s="24"/>
      <c r="BA481" s="24"/>
      <c r="BB481" s="24"/>
      <c r="BC481" s="24"/>
      <c r="BD481" s="24"/>
      <c r="BE481" s="24"/>
      <c r="BF481" s="24"/>
      <c r="BG481" s="24"/>
      <c r="BH481" s="24"/>
    </row>
    <row r="482" spans="1:60">
      <c r="A482" s="7"/>
      <c r="B482" s="8"/>
      <c r="C482" s="9"/>
      <c r="D482" s="25"/>
      <c r="E482" s="25"/>
      <c r="F482" s="25"/>
      <c r="G482" s="25"/>
      <c r="H482" s="53"/>
      <c r="I482" s="53"/>
      <c r="J482" s="53"/>
      <c r="K482" s="24"/>
      <c r="L482" s="7"/>
      <c r="M482" s="24"/>
      <c r="N482" s="24"/>
      <c r="O482" s="24"/>
      <c r="P482" s="24"/>
      <c r="Q482" s="24"/>
      <c r="R482" s="24"/>
      <c r="S482" s="24"/>
      <c r="T482" s="24"/>
      <c r="U482" s="24"/>
      <c r="V482" s="24"/>
      <c r="W482" s="24"/>
      <c r="X482" s="24"/>
      <c r="Y482" s="24"/>
      <c r="Z482" s="24"/>
      <c r="AA482" s="24"/>
      <c r="AB482" s="24"/>
      <c r="AC482" s="24"/>
      <c r="AD482" s="24"/>
      <c r="AE482" s="24"/>
      <c r="AF482" s="24"/>
      <c r="AG482" s="24"/>
      <c r="AH482" s="24"/>
      <c r="AI482" s="24"/>
      <c r="AJ482" s="24"/>
      <c r="AK482" s="24"/>
      <c r="AL482" s="24"/>
      <c r="AM482" s="24"/>
      <c r="AN482" s="24"/>
      <c r="AO482" s="24"/>
      <c r="AP482" s="24"/>
      <c r="AQ482" s="24"/>
      <c r="AR482" s="24"/>
      <c r="AS482" s="24"/>
      <c r="AT482" s="24"/>
      <c r="AU482" s="24"/>
      <c r="AV482" s="24"/>
      <c r="AW482" s="24"/>
      <c r="AX482" s="24"/>
      <c r="AY482" s="24"/>
      <c r="AZ482" s="24"/>
      <c r="BA482" s="24"/>
      <c r="BB482" s="24"/>
      <c r="BC482" s="24"/>
      <c r="BD482" s="24"/>
      <c r="BE482" s="24"/>
      <c r="BF482" s="24"/>
      <c r="BG482" s="24"/>
      <c r="BH482" s="24"/>
    </row>
    <row r="483" spans="1:60">
      <c r="A483" s="7"/>
      <c r="B483" s="8"/>
      <c r="C483" s="9"/>
      <c r="D483" s="25"/>
      <c r="E483" s="25"/>
      <c r="F483" s="25"/>
      <c r="G483" s="25"/>
      <c r="H483" s="53"/>
      <c r="I483" s="53"/>
      <c r="J483" s="53"/>
      <c r="K483" s="24"/>
      <c r="L483" s="7"/>
      <c r="M483" s="24"/>
      <c r="N483" s="24"/>
      <c r="O483" s="24"/>
      <c r="P483" s="24"/>
      <c r="Q483" s="24"/>
      <c r="R483" s="24"/>
      <c r="S483" s="24"/>
      <c r="T483" s="24"/>
      <c r="U483" s="24"/>
      <c r="V483" s="24"/>
      <c r="W483" s="24"/>
      <c r="X483" s="24"/>
      <c r="Y483" s="24"/>
      <c r="Z483" s="24"/>
      <c r="AA483" s="24"/>
      <c r="AB483" s="24"/>
      <c r="AC483" s="24"/>
      <c r="AD483" s="24"/>
      <c r="AE483" s="24"/>
      <c r="AF483" s="24"/>
      <c r="AG483" s="24"/>
      <c r="AH483" s="24"/>
      <c r="AI483" s="24"/>
      <c r="AJ483" s="24"/>
      <c r="AK483" s="24"/>
      <c r="AL483" s="24"/>
      <c r="AM483" s="24"/>
      <c r="AN483" s="24"/>
      <c r="AO483" s="24"/>
      <c r="AP483" s="24"/>
      <c r="AQ483" s="24"/>
      <c r="AR483" s="24"/>
      <c r="AS483" s="24"/>
      <c r="AT483" s="24"/>
      <c r="AU483" s="24"/>
      <c r="AV483" s="24"/>
      <c r="AW483" s="24"/>
      <c r="AX483" s="24"/>
      <c r="AY483" s="24"/>
      <c r="AZ483" s="24"/>
      <c r="BA483" s="24"/>
      <c r="BB483" s="24"/>
      <c r="BC483" s="24"/>
      <c r="BD483" s="24"/>
      <c r="BE483" s="24"/>
      <c r="BF483" s="24"/>
      <c r="BG483" s="24"/>
      <c r="BH483" s="24"/>
    </row>
    <row r="484" spans="1:60">
      <c r="A484" s="7"/>
      <c r="B484" s="8"/>
      <c r="C484" s="9"/>
      <c r="D484" s="25"/>
      <c r="E484" s="25"/>
      <c r="F484" s="25"/>
      <c r="G484" s="25"/>
      <c r="H484" s="53"/>
      <c r="I484" s="53"/>
      <c r="J484" s="53"/>
      <c r="K484" s="24"/>
      <c r="L484" s="7"/>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c r="AQ484" s="24"/>
      <c r="AR484" s="24"/>
      <c r="AS484" s="24"/>
      <c r="AT484" s="24"/>
      <c r="AU484" s="24"/>
      <c r="AV484" s="24"/>
      <c r="AW484" s="24"/>
      <c r="AX484" s="24"/>
      <c r="AY484" s="24"/>
      <c r="AZ484" s="24"/>
      <c r="BA484" s="24"/>
      <c r="BB484" s="24"/>
      <c r="BC484" s="24"/>
      <c r="BD484" s="24"/>
      <c r="BE484" s="24"/>
      <c r="BF484" s="24"/>
      <c r="BG484" s="24"/>
      <c r="BH484" s="24"/>
    </row>
    <row r="485" spans="1:60">
      <c r="A485" s="7"/>
      <c r="B485" s="8"/>
      <c r="C485" s="9"/>
      <c r="D485" s="25"/>
      <c r="E485" s="25"/>
      <c r="F485" s="25"/>
      <c r="G485" s="25"/>
      <c r="H485" s="53"/>
      <c r="I485" s="53"/>
      <c r="J485" s="53"/>
      <c r="K485" s="24"/>
      <c r="L485" s="7"/>
      <c r="M485" s="24"/>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c r="AQ485" s="24"/>
      <c r="AR485" s="24"/>
      <c r="AS485" s="24"/>
      <c r="AT485" s="24"/>
      <c r="AU485" s="24"/>
      <c r="AV485" s="24"/>
      <c r="AW485" s="24"/>
      <c r="AX485" s="24"/>
      <c r="AY485" s="24"/>
      <c r="AZ485" s="24"/>
      <c r="BA485" s="24"/>
      <c r="BB485" s="24"/>
      <c r="BC485" s="24"/>
      <c r="BD485" s="24"/>
      <c r="BE485" s="24"/>
      <c r="BF485" s="24"/>
      <c r="BG485" s="24"/>
      <c r="BH485" s="24"/>
    </row>
    <row r="486" spans="1:60">
      <c r="A486" s="7"/>
      <c r="B486" s="8"/>
      <c r="C486" s="9"/>
      <c r="D486" s="25"/>
      <c r="E486" s="25"/>
      <c r="F486" s="25"/>
      <c r="G486" s="25"/>
      <c r="H486" s="53"/>
      <c r="I486" s="53"/>
      <c r="J486" s="53"/>
      <c r="K486" s="24"/>
      <c r="L486" s="7"/>
      <c r="M486" s="24"/>
      <c r="N486" s="24"/>
      <c r="O486" s="24"/>
      <c r="P486" s="24"/>
      <c r="Q486" s="24"/>
      <c r="R486" s="24"/>
      <c r="S486" s="24"/>
      <c r="T486" s="24"/>
      <c r="U486" s="24"/>
      <c r="V486" s="24"/>
      <c r="W486" s="24"/>
      <c r="X486" s="24"/>
      <c r="Y486" s="24"/>
      <c r="Z486" s="24"/>
      <c r="AA486" s="24"/>
      <c r="AB486" s="24"/>
      <c r="AC486" s="24"/>
      <c r="AD486" s="24"/>
      <c r="AE486" s="24"/>
      <c r="AF486" s="24"/>
      <c r="AG486" s="24"/>
      <c r="AH486" s="24"/>
      <c r="AI486" s="24"/>
      <c r="AJ486" s="24"/>
      <c r="AK486" s="24"/>
      <c r="AL486" s="24"/>
      <c r="AM486" s="24"/>
      <c r="AN486" s="24"/>
      <c r="AO486" s="24"/>
      <c r="AP486" s="24"/>
      <c r="AQ486" s="24"/>
      <c r="AR486" s="24"/>
      <c r="AS486" s="24"/>
      <c r="AT486" s="24"/>
      <c r="AU486" s="24"/>
      <c r="AV486" s="24"/>
      <c r="AW486" s="24"/>
      <c r="AX486" s="24"/>
      <c r="AY486" s="24"/>
      <c r="AZ486" s="24"/>
      <c r="BA486" s="24"/>
      <c r="BB486" s="24"/>
      <c r="BC486" s="24"/>
      <c r="BD486" s="24"/>
      <c r="BE486" s="24"/>
      <c r="BF486" s="24"/>
      <c r="BG486" s="24"/>
      <c r="BH486" s="24"/>
    </row>
    <row r="487" spans="1:60">
      <c r="A487" s="7"/>
      <c r="B487" s="8"/>
      <c r="C487" s="9"/>
      <c r="D487" s="25"/>
      <c r="E487" s="25"/>
      <c r="F487" s="25"/>
      <c r="G487" s="25"/>
      <c r="H487" s="53"/>
      <c r="I487" s="53"/>
      <c r="J487" s="53"/>
      <c r="K487" s="24"/>
      <c r="L487" s="7"/>
      <c r="M487" s="24"/>
      <c r="N487" s="24"/>
      <c r="O487" s="24"/>
      <c r="P487" s="24"/>
      <c r="Q487" s="24"/>
      <c r="R487" s="24"/>
      <c r="S487" s="24"/>
      <c r="T487" s="24"/>
      <c r="U487" s="24"/>
      <c r="V487" s="24"/>
      <c r="W487" s="24"/>
      <c r="X487" s="24"/>
      <c r="Y487" s="24"/>
      <c r="Z487" s="24"/>
      <c r="AA487" s="24"/>
      <c r="AB487" s="24"/>
      <c r="AC487" s="24"/>
      <c r="AD487" s="24"/>
      <c r="AE487" s="24"/>
      <c r="AF487" s="24"/>
      <c r="AG487" s="24"/>
      <c r="AH487" s="24"/>
      <c r="AI487" s="24"/>
      <c r="AJ487" s="24"/>
      <c r="AK487" s="24"/>
      <c r="AL487" s="24"/>
      <c r="AM487" s="24"/>
      <c r="AN487" s="24"/>
      <c r="AO487" s="24"/>
      <c r="AP487" s="24"/>
      <c r="AQ487" s="24"/>
      <c r="AR487" s="24"/>
      <c r="AS487" s="24"/>
      <c r="AT487" s="24"/>
      <c r="AU487" s="24"/>
      <c r="AV487" s="24"/>
      <c r="AW487" s="24"/>
      <c r="AX487" s="24"/>
      <c r="AY487" s="24"/>
      <c r="AZ487" s="24"/>
      <c r="BA487" s="24"/>
      <c r="BB487" s="24"/>
      <c r="BC487" s="24"/>
      <c r="BD487" s="24"/>
      <c r="BE487" s="24"/>
      <c r="BF487" s="24"/>
      <c r="BG487" s="24"/>
      <c r="BH487" s="24"/>
    </row>
    <row r="488" spans="1:60">
      <c r="A488" s="7"/>
      <c r="B488" s="8"/>
      <c r="C488" s="9"/>
      <c r="D488" s="25"/>
      <c r="E488" s="25"/>
      <c r="F488" s="25"/>
      <c r="G488" s="25"/>
      <c r="H488" s="53"/>
      <c r="I488" s="53"/>
      <c r="J488" s="53"/>
      <c r="K488" s="24"/>
      <c r="L488" s="7"/>
      <c r="M488" s="24"/>
      <c r="N488" s="24"/>
      <c r="O488" s="24"/>
      <c r="P488" s="24"/>
      <c r="Q488" s="24"/>
      <c r="R488" s="24"/>
      <c r="S488" s="24"/>
      <c r="T488" s="24"/>
      <c r="U488" s="24"/>
      <c r="V488" s="24"/>
      <c r="W488" s="24"/>
      <c r="X488" s="24"/>
      <c r="Y488" s="24"/>
      <c r="Z488" s="24"/>
      <c r="AA488" s="24"/>
      <c r="AB488" s="24"/>
      <c r="AC488" s="24"/>
      <c r="AD488" s="24"/>
      <c r="AE488" s="24"/>
      <c r="AF488" s="24"/>
      <c r="AG488" s="24"/>
      <c r="AH488" s="24"/>
      <c r="AI488" s="24"/>
      <c r="AJ488" s="24"/>
      <c r="AK488" s="24"/>
      <c r="AL488" s="24"/>
      <c r="AM488" s="24"/>
      <c r="AN488" s="24"/>
      <c r="AO488" s="24"/>
      <c r="AP488" s="24"/>
      <c r="AQ488" s="24"/>
      <c r="AR488" s="24"/>
      <c r="AS488" s="24"/>
      <c r="AT488" s="24"/>
      <c r="AU488" s="24"/>
      <c r="AV488" s="24"/>
      <c r="AW488" s="24"/>
      <c r="AX488" s="24"/>
      <c r="AY488" s="24"/>
      <c r="AZ488" s="24"/>
      <c r="BA488" s="24"/>
      <c r="BB488" s="24"/>
      <c r="BC488" s="24"/>
      <c r="BD488" s="24"/>
      <c r="BE488" s="24"/>
      <c r="BF488" s="24"/>
      <c r="BG488" s="24"/>
      <c r="BH488" s="24"/>
    </row>
    <row r="489" spans="1:60">
      <c r="A489" s="7"/>
      <c r="B489" s="8"/>
      <c r="C489" s="9"/>
      <c r="D489" s="25"/>
      <c r="E489" s="25"/>
      <c r="F489" s="25"/>
      <c r="G489" s="25"/>
      <c r="H489" s="53"/>
      <c r="I489" s="53"/>
      <c r="J489" s="53"/>
      <c r="K489" s="24"/>
      <c r="L489" s="7"/>
      <c r="M489" s="24"/>
      <c r="N489" s="24"/>
      <c r="O489" s="24"/>
      <c r="P489" s="24"/>
      <c r="Q489" s="24"/>
      <c r="R489" s="24"/>
      <c r="S489" s="24"/>
      <c r="T489" s="24"/>
      <c r="U489" s="24"/>
      <c r="V489" s="24"/>
      <c r="W489" s="24"/>
      <c r="X489" s="24"/>
      <c r="Y489" s="24"/>
      <c r="Z489" s="24"/>
      <c r="AA489" s="24"/>
      <c r="AB489" s="24"/>
      <c r="AC489" s="24"/>
      <c r="AD489" s="24"/>
      <c r="AE489" s="24"/>
      <c r="AF489" s="24"/>
      <c r="AG489" s="24"/>
      <c r="AH489" s="24"/>
      <c r="AI489" s="24"/>
      <c r="AJ489" s="24"/>
      <c r="AK489" s="24"/>
      <c r="AL489" s="24"/>
      <c r="AM489" s="24"/>
      <c r="AN489" s="24"/>
      <c r="AO489" s="24"/>
      <c r="AP489" s="24"/>
      <c r="AQ489" s="24"/>
      <c r="AR489" s="24"/>
      <c r="AS489" s="24"/>
      <c r="AT489" s="24"/>
      <c r="AU489" s="24"/>
      <c r="AV489" s="24"/>
      <c r="AW489" s="24"/>
      <c r="AX489" s="24"/>
      <c r="AY489" s="24"/>
      <c r="AZ489" s="24"/>
      <c r="BA489" s="24"/>
      <c r="BB489" s="24"/>
      <c r="BC489" s="24"/>
      <c r="BD489" s="24"/>
      <c r="BE489" s="24"/>
      <c r="BF489" s="24"/>
      <c r="BG489" s="24"/>
      <c r="BH489" s="24"/>
    </row>
    <row r="490" spans="1:60">
      <c r="A490" s="7"/>
      <c r="B490" s="8"/>
      <c r="C490" s="9"/>
      <c r="D490" s="25"/>
      <c r="E490" s="25"/>
      <c r="F490" s="25"/>
      <c r="G490" s="25"/>
      <c r="H490" s="53"/>
      <c r="I490" s="53"/>
      <c r="J490" s="53"/>
      <c r="K490" s="24"/>
      <c r="L490" s="7"/>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4"/>
      <c r="AK490" s="24"/>
      <c r="AL490" s="24"/>
      <c r="AM490" s="24"/>
      <c r="AN490" s="24"/>
      <c r="AO490" s="24"/>
      <c r="AP490" s="24"/>
      <c r="AQ490" s="24"/>
      <c r="AR490" s="24"/>
      <c r="AS490" s="24"/>
      <c r="AT490" s="24"/>
      <c r="AU490" s="24"/>
      <c r="AV490" s="24"/>
      <c r="AW490" s="24"/>
      <c r="AX490" s="24"/>
      <c r="AY490" s="24"/>
      <c r="AZ490" s="24"/>
      <c r="BA490" s="24"/>
      <c r="BB490" s="24"/>
      <c r="BC490" s="24"/>
      <c r="BD490" s="24"/>
      <c r="BE490" s="24"/>
      <c r="BF490" s="24"/>
      <c r="BG490" s="24"/>
      <c r="BH490" s="24"/>
    </row>
    <row r="491" spans="1:60">
      <c r="A491" s="7"/>
      <c r="B491" s="8"/>
      <c r="C491" s="9"/>
      <c r="D491" s="25"/>
      <c r="E491" s="25"/>
      <c r="F491" s="25"/>
      <c r="G491" s="25"/>
      <c r="H491" s="53"/>
      <c r="I491" s="53"/>
      <c r="J491" s="53"/>
      <c r="K491" s="24"/>
      <c r="L491" s="7"/>
      <c r="M491" s="24"/>
      <c r="N491" s="24"/>
      <c r="O491" s="24"/>
      <c r="P491" s="24"/>
      <c r="Q491" s="24"/>
      <c r="R491" s="24"/>
      <c r="S491" s="24"/>
      <c r="T491" s="24"/>
      <c r="U491" s="24"/>
      <c r="V491" s="24"/>
      <c r="W491" s="24"/>
      <c r="X491" s="24"/>
      <c r="Y491" s="24"/>
      <c r="Z491" s="24"/>
      <c r="AA491" s="24"/>
      <c r="AB491" s="24"/>
      <c r="AC491" s="24"/>
      <c r="AD491" s="24"/>
      <c r="AE491" s="24"/>
      <c r="AF491" s="24"/>
      <c r="AG491" s="24"/>
      <c r="AH491" s="24"/>
      <c r="AI491" s="24"/>
      <c r="AJ491" s="24"/>
      <c r="AK491" s="24"/>
      <c r="AL491" s="24"/>
      <c r="AM491" s="24"/>
      <c r="AN491" s="24"/>
      <c r="AO491" s="24"/>
      <c r="AP491" s="24"/>
      <c r="AQ491" s="24"/>
      <c r="AR491" s="24"/>
      <c r="AS491" s="24"/>
      <c r="AT491" s="24"/>
      <c r="AU491" s="24"/>
      <c r="AV491" s="24"/>
      <c r="AW491" s="24"/>
      <c r="AX491" s="24"/>
      <c r="AY491" s="24"/>
      <c r="AZ491" s="24"/>
      <c r="BA491" s="24"/>
      <c r="BB491" s="24"/>
      <c r="BC491" s="24"/>
      <c r="BD491" s="24"/>
      <c r="BE491" s="24"/>
      <c r="BF491" s="24"/>
      <c r="BG491" s="24"/>
      <c r="BH491" s="24"/>
    </row>
    <row r="492" spans="1:60">
      <c r="A492" s="7"/>
      <c r="B492" s="8"/>
      <c r="C492" s="9"/>
      <c r="D492" s="25"/>
      <c r="E492" s="25"/>
      <c r="F492" s="25"/>
      <c r="G492" s="25"/>
      <c r="H492" s="53"/>
      <c r="I492" s="53"/>
      <c r="J492" s="53"/>
      <c r="K492" s="24"/>
      <c r="L492" s="7"/>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4"/>
      <c r="BF492" s="24"/>
      <c r="BG492" s="24"/>
      <c r="BH492" s="24"/>
    </row>
    <row r="493" spans="1:60">
      <c r="A493" s="7"/>
      <c r="B493" s="8"/>
      <c r="C493" s="9"/>
      <c r="D493" s="25"/>
      <c r="E493" s="25"/>
      <c r="F493" s="25"/>
      <c r="G493" s="25"/>
      <c r="H493" s="53"/>
      <c r="I493" s="53"/>
      <c r="J493" s="53"/>
      <c r="K493" s="24"/>
      <c r="L493" s="7"/>
      <c r="M493" s="24"/>
      <c r="N493" s="24"/>
      <c r="O493" s="24"/>
      <c r="P493" s="24"/>
      <c r="Q493" s="24"/>
      <c r="R493" s="24"/>
      <c r="S493" s="24"/>
      <c r="T493" s="24"/>
      <c r="U493" s="24"/>
      <c r="V493" s="24"/>
      <c r="W493" s="24"/>
      <c r="X493" s="24"/>
      <c r="Y493" s="24"/>
      <c r="Z493" s="24"/>
      <c r="AA493" s="24"/>
      <c r="AB493" s="24"/>
      <c r="AC493" s="24"/>
      <c r="AD493" s="24"/>
      <c r="AE493" s="24"/>
      <c r="AF493" s="24"/>
      <c r="AG493" s="24"/>
      <c r="AH493" s="24"/>
      <c r="AI493" s="24"/>
      <c r="AJ493" s="24"/>
      <c r="AK493" s="24"/>
      <c r="AL493" s="24"/>
      <c r="AM493" s="24"/>
      <c r="AN493" s="24"/>
      <c r="AO493" s="24"/>
      <c r="AP493" s="24"/>
      <c r="AQ493" s="24"/>
      <c r="AR493" s="24"/>
      <c r="AS493" s="24"/>
      <c r="AT493" s="24"/>
      <c r="AU493" s="24"/>
      <c r="AV493" s="24"/>
      <c r="AW493" s="24"/>
      <c r="AX493" s="24"/>
      <c r="AY493" s="24"/>
      <c r="AZ493" s="24"/>
      <c r="BA493" s="24"/>
      <c r="BB493" s="24"/>
      <c r="BC493" s="24"/>
      <c r="BD493" s="24"/>
      <c r="BE493" s="24"/>
      <c r="BF493" s="24"/>
      <c r="BG493" s="24"/>
      <c r="BH493" s="24"/>
    </row>
    <row r="494" spans="1:60">
      <c r="A494" s="7"/>
      <c r="B494" s="8"/>
      <c r="C494" s="9"/>
      <c r="D494" s="25"/>
      <c r="E494" s="25"/>
      <c r="F494" s="25"/>
      <c r="G494" s="25"/>
      <c r="H494" s="53"/>
      <c r="I494" s="53"/>
      <c r="J494" s="53"/>
      <c r="K494" s="24"/>
      <c r="L494" s="7"/>
      <c r="M494" s="24"/>
      <c r="N494" s="24"/>
      <c r="O494" s="24"/>
      <c r="P494" s="24"/>
      <c r="Q494" s="24"/>
      <c r="R494" s="24"/>
      <c r="S494" s="24"/>
      <c r="T494" s="24"/>
      <c r="U494" s="24"/>
      <c r="V494" s="24"/>
      <c r="W494" s="24"/>
      <c r="X494" s="24"/>
      <c r="Y494" s="24"/>
      <c r="Z494" s="24"/>
      <c r="AA494" s="24"/>
      <c r="AB494" s="24"/>
      <c r="AC494" s="24"/>
      <c r="AD494" s="24"/>
      <c r="AE494" s="24"/>
      <c r="AF494" s="24"/>
      <c r="AG494" s="24"/>
      <c r="AH494" s="24"/>
      <c r="AI494" s="24"/>
      <c r="AJ494" s="24"/>
      <c r="AK494" s="24"/>
      <c r="AL494" s="24"/>
      <c r="AM494" s="24"/>
      <c r="AN494" s="24"/>
      <c r="AO494" s="24"/>
      <c r="AP494" s="24"/>
      <c r="AQ494" s="24"/>
      <c r="AR494" s="24"/>
      <c r="AS494" s="24"/>
      <c r="AT494" s="24"/>
      <c r="AU494" s="24"/>
      <c r="AV494" s="24"/>
      <c r="AW494" s="24"/>
      <c r="AX494" s="24"/>
      <c r="AY494" s="24"/>
      <c r="AZ494" s="24"/>
      <c r="BA494" s="24"/>
      <c r="BB494" s="24"/>
      <c r="BC494" s="24"/>
      <c r="BD494" s="24"/>
      <c r="BE494" s="24"/>
      <c r="BF494" s="24"/>
      <c r="BG494" s="24"/>
      <c r="BH494" s="24"/>
    </row>
    <row r="495" spans="1:60">
      <c r="A495" s="7"/>
      <c r="B495" s="8"/>
      <c r="C495" s="9"/>
      <c r="D495" s="25"/>
      <c r="E495" s="25"/>
      <c r="F495" s="25"/>
      <c r="G495" s="25"/>
      <c r="H495" s="53"/>
      <c r="I495" s="53"/>
      <c r="J495" s="53"/>
      <c r="K495" s="24"/>
      <c r="L495" s="7"/>
      <c r="M495" s="24"/>
      <c r="N495" s="24"/>
      <c r="O495" s="24"/>
      <c r="P495" s="24"/>
      <c r="Q495" s="24"/>
      <c r="R495" s="24"/>
      <c r="S495" s="24"/>
      <c r="T495" s="24"/>
      <c r="U495" s="24"/>
      <c r="V495" s="24"/>
      <c r="W495" s="24"/>
      <c r="X495" s="24"/>
      <c r="Y495" s="24"/>
      <c r="Z495" s="24"/>
      <c r="AA495" s="24"/>
      <c r="AB495" s="24"/>
      <c r="AC495" s="24"/>
      <c r="AD495" s="24"/>
      <c r="AE495" s="24"/>
      <c r="AF495" s="24"/>
      <c r="AG495" s="24"/>
      <c r="AH495" s="24"/>
      <c r="AI495" s="24"/>
      <c r="AJ495" s="24"/>
      <c r="AK495" s="24"/>
      <c r="AL495" s="24"/>
      <c r="AM495" s="24"/>
      <c r="AN495" s="24"/>
      <c r="AO495" s="24"/>
      <c r="AP495" s="24"/>
      <c r="AQ495" s="24"/>
      <c r="AR495" s="24"/>
      <c r="AS495" s="24"/>
      <c r="AT495" s="24"/>
      <c r="AU495" s="24"/>
      <c r="AV495" s="24"/>
      <c r="AW495" s="24"/>
      <c r="AX495" s="24"/>
      <c r="AY495" s="24"/>
      <c r="AZ495" s="24"/>
      <c r="BA495" s="24"/>
      <c r="BB495" s="24"/>
      <c r="BC495" s="24"/>
      <c r="BD495" s="24"/>
      <c r="BE495" s="24"/>
      <c r="BF495" s="24"/>
      <c r="BG495" s="24"/>
      <c r="BH495" s="24"/>
    </row>
    <row r="496" spans="1:60">
      <c r="A496" s="7"/>
      <c r="B496" s="8"/>
      <c r="C496" s="9"/>
      <c r="D496" s="25"/>
      <c r="E496" s="25"/>
      <c r="F496" s="25"/>
      <c r="G496" s="25"/>
      <c r="H496" s="53"/>
      <c r="I496" s="53"/>
      <c r="J496" s="53"/>
      <c r="K496" s="24"/>
      <c r="L496" s="7"/>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4"/>
      <c r="BF496" s="24"/>
      <c r="BG496" s="24"/>
      <c r="BH496" s="24"/>
    </row>
    <row r="497" spans="1:60">
      <c r="A497" s="7"/>
      <c r="B497" s="8"/>
      <c r="C497" s="9"/>
      <c r="D497" s="25"/>
      <c r="E497" s="25"/>
      <c r="F497" s="25"/>
      <c r="G497" s="25"/>
      <c r="H497" s="53"/>
      <c r="I497" s="53"/>
      <c r="J497" s="53"/>
      <c r="K497" s="24"/>
      <c r="L497" s="7"/>
      <c r="M497" s="24"/>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24"/>
      <c r="BC497" s="24"/>
      <c r="BD497" s="24"/>
      <c r="BE497" s="24"/>
      <c r="BF497" s="24"/>
      <c r="BG497" s="24"/>
      <c r="BH497" s="24"/>
    </row>
    <row r="498" spans="1:60">
      <c r="A498" s="7"/>
      <c r="B498" s="8"/>
      <c r="C498" s="9"/>
      <c r="D498" s="25"/>
      <c r="E498" s="25"/>
      <c r="F498" s="25"/>
      <c r="G498" s="25"/>
      <c r="H498" s="53"/>
      <c r="I498" s="53"/>
      <c r="J498" s="53"/>
      <c r="K498" s="24"/>
      <c r="L498" s="7"/>
      <c r="M498" s="24"/>
      <c r="N498" s="24"/>
      <c r="O498" s="24"/>
      <c r="P498" s="24"/>
      <c r="Q498" s="24"/>
      <c r="R498" s="24"/>
      <c r="S498" s="24"/>
      <c r="T498" s="24"/>
      <c r="U498" s="24"/>
      <c r="V498" s="24"/>
      <c r="W498" s="24"/>
      <c r="X498" s="24"/>
      <c r="Y498" s="24"/>
      <c r="Z498" s="24"/>
      <c r="AA498" s="24"/>
      <c r="AB498" s="24"/>
      <c r="AC498" s="24"/>
      <c r="AD498" s="24"/>
      <c r="AE498" s="24"/>
      <c r="AF498" s="24"/>
      <c r="AG498" s="24"/>
      <c r="AH498" s="24"/>
      <c r="AI498" s="24"/>
      <c r="AJ498" s="24"/>
      <c r="AK498" s="24"/>
      <c r="AL498" s="24"/>
      <c r="AM498" s="24"/>
      <c r="AN498" s="24"/>
      <c r="AO498" s="24"/>
      <c r="AP498" s="24"/>
      <c r="AQ498" s="24"/>
      <c r="AR498" s="24"/>
      <c r="AS498" s="24"/>
      <c r="AT498" s="24"/>
      <c r="AU498" s="24"/>
      <c r="AV498" s="24"/>
      <c r="AW498" s="24"/>
      <c r="AX498" s="24"/>
      <c r="AY498" s="24"/>
      <c r="AZ498" s="24"/>
      <c r="BA498" s="24"/>
      <c r="BB498" s="24"/>
      <c r="BC498" s="24"/>
      <c r="BD498" s="24"/>
      <c r="BE498" s="24"/>
      <c r="BF498" s="24"/>
      <c r="BG498" s="24"/>
      <c r="BH498" s="24"/>
    </row>
    <row r="499" spans="1:60">
      <c r="A499" s="7"/>
      <c r="B499" s="8"/>
      <c r="C499" s="9"/>
      <c r="D499" s="25"/>
      <c r="E499" s="25"/>
      <c r="F499" s="25"/>
      <c r="G499" s="25"/>
      <c r="H499" s="53"/>
      <c r="I499" s="53"/>
      <c r="J499" s="53"/>
      <c r="K499" s="24"/>
      <c r="L499" s="7"/>
      <c r="M499" s="24"/>
      <c r="N499" s="24"/>
      <c r="O499" s="24"/>
      <c r="P499" s="24"/>
      <c r="Q499" s="24"/>
      <c r="R499" s="24"/>
      <c r="S499" s="24"/>
      <c r="T499" s="24"/>
      <c r="U499" s="24"/>
      <c r="V499" s="24"/>
      <c r="W499" s="24"/>
      <c r="X499" s="24"/>
      <c r="Y499" s="24"/>
      <c r="Z499" s="24"/>
      <c r="AA499" s="24"/>
      <c r="AB499" s="24"/>
      <c r="AC499" s="24"/>
      <c r="AD499" s="24"/>
      <c r="AE499" s="24"/>
      <c r="AF499" s="24"/>
      <c r="AG499" s="24"/>
      <c r="AH499" s="24"/>
      <c r="AI499" s="24"/>
      <c r="AJ499" s="24"/>
      <c r="AK499" s="24"/>
      <c r="AL499" s="24"/>
      <c r="AM499" s="24"/>
      <c r="AN499" s="24"/>
      <c r="AO499" s="24"/>
      <c r="AP499" s="24"/>
      <c r="AQ499" s="24"/>
      <c r="AR499" s="24"/>
      <c r="AS499" s="24"/>
      <c r="AT499" s="24"/>
      <c r="AU499" s="24"/>
      <c r="AV499" s="24"/>
      <c r="AW499" s="24"/>
      <c r="AX499" s="24"/>
      <c r="AY499" s="24"/>
      <c r="AZ499" s="24"/>
      <c r="BA499" s="24"/>
      <c r="BB499" s="24"/>
      <c r="BC499" s="24"/>
      <c r="BD499" s="24"/>
      <c r="BE499" s="24"/>
      <c r="BF499" s="24"/>
      <c r="BG499" s="24"/>
      <c r="BH499" s="24"/>
    </row>
    <row r="500" spans="1:60">
      <c r="A500" s="7"/>
      <c r="B500" s="8"/>
      <c r="C500" s="9"/>
      <c r="D500" s="25"/>
      <c r="E500" s="25"/>
      <c r="F500" s="25"/>
      <c r="G500" s="25"/>
      <c r="H500" s="53"/>
      <c r="I500" s="53"/>
      <c r="J500" s="53"/>
      <c r="K500" s="24"/>
      <c r="L500" s="7"/>
      <c r="M500" s="24"/>
      <c r="N500" s="24"/>
      <c r="O500" s="24"/>
      <c r="P500" s="24"/>
      <c r="Q500" s="24"/>
      <c r="R500" s="24"/>
      <c r="S500" s="24"/>
      <c r="T500" s="24"/>
      <c r="U500" s="24"/>
      <c r="V500" s="24"/>
      <c r="W500" s="24"/>
      <c r="X500" s="24"/>
      <c r="Y500" s="24"/>
      <c r="Z500" s="24"/>
      <c r="AA500" s="24"/>
      <c r="AB500" s="24"/>
      <c r="AC500" s="24"/>
      <c r="AD500" s="24"/>
      <c r="AE500" s="24"/>
      <c r="AF500" s="24"/>
      <c r="AG500" s="24"/>
      <c r="AH500" s="24"/>
      <c r="AI500" s="24"/>
      <c r="AJ500" s="24"/>
      <c r="AK500" s="24"/>
      <c r="AL500" s="24"/>
      <c r="AM500" s="24"/>
      <c r="AN500" s="24"/>
      <c r="AO500" s="24"/>
      <c r="AP500" s="24"/>
      <c r="AQ500" s="24"/>
      <c r="AR500" s="24"/>
      <c r="AS500" s="24"/>
      <c r="AT500" s="24"/>
      <c r="AU500" s="24"/>
      <c r="AV500" s="24"/>
      <c r="AW500" s="24"/>
      <c r="AX500" s="24"/>
      <c r="AY500" s="24"/>
      <c r="AZ500" s="24"/>
      <c r="BA500" s="24"/>
      <c r="BB500" s="24"/>
      <c r="BC500" s="24"/>
      <c r="BD500" s="24"/>
      <c r="BE500" s="24"/>
      <c r="BF500" s="24"/>
      <c r="BG500" s="24"/>
      <c r="BH500" s="24"/>
    </row>
    <row r="501" spans="1:60">
      <c r="A501" s="7"/>
      <c r="B501" s="8"/>
      <c r="C501" s="9"/>
      <c r="D501" s="25"/>
      <c r="E501" s="25"/>
      <c r="F501" s="25"/>
      <c r="G501" s="25"/>
      <c r="H501" s="53"/>
      <c r="I501" s="53"/>
      <c r="J501" s="53"/>
      <c r="K501" s="24"/>
      <c r="L501" s="7"/>
      <c r="M501" s="24"/>
      <c r="N501" s="24"/>
      <c r="O501" s="24"/>
      <c r="P501" s="24"/>
      <c r="Q501" s="24"/>
      <c r="R501" s="24"/>
      <c r="S501" s="24"/>
      <c r="T501" s="24"/>
      <c r="U501" s="24"/>
      <c r="V501" s="24"/>
      <c r="W501" s="24"/>
      <c r="X501" s="24"/>
      <c r="Y501" s="24"/>
      <c r="Z501" s="24"/>
      <c r="AA501" s="24"/>
      <c r="AB501" s="24"/>
      <c r="AC501" s="24"/>
      <c r="AD501" s="24"/>
      <c r="AE501" s="24"/>
      <c r="AF501" s="24"/>
      <c r="AG501" s="24"/>
      <c r="AH501" s="24"/>
      <c r="AI501" s="24"/>
      <c r="AJ501" s="24"/>
      <c r="AK501" s="24"/>
      <c r="AL501" s="24"/>
      <c r="AM501" s="24"/>
      <c r="AN501" s="24"/>
      <c r="AO501" s="24"/>
      <c r="AP501" s="24"/>
      <c r="AQ501" s="24"/>
      <c r="AR501" s="24"/>
      <c r="AS501" s="24"/>
      <c r="AT501" s="24"/>
      <c r="AU501" s="24"/>
      <c r="AV501" s="24"/>
      <c r="AW501" s="24"/>
      <c r="AX501" s="24"/>
      <c r="AY501" s="24"/>
      <c r="AZ501" s="24"/>
      <c r="BA501" s="24"/>
      <c r="BB501" s="24"/>
      <c r="BC501" s="24"/>
      <c r="BD501" s="24"/>
      <c r="BE501" s="24"/>
      <c r="BF501" s="24"/>
      <c r="BG501" s="24"/>
      <c r="BH501" s="24"/>
    </row>
    <row r="502" spans="1:60">
      <c r="A502" s="7"/>
      <c r="B502" s="8"/>
      <c r="C502" s="9"/>
      <c r="D502" s="25"/>
      <c r="E502" s="25"/>
      <c r="F502" s="25"/>
      <c r="G502" s="25"/>
      <c r="H502" s="53"/>
      <c r="I502" s="53"/>
      <c r="J502" s="53"/>
      <c r="K502" s="24"/>
      <c r="L502" s="7"/>
      <c r="M502" s="24"/>
      <c r="N502" s="24"/>
      <c r="O502" s="24"/>
      <c r="P502" s="24"/>
      <c r="Q502" s="24"/>
      <c r="R502" s="24"/>
      <c r="S502" s="24"/>
      <c r="T502" s="24"/>
      <c r="U502" s="24"/>
      <c r="V502" s="24"/>
      <c r="W502" s="24"/>
      <c r="X502" s="24"/>
      <c r="Y502" s="24"/>
      <c r="Z502" s="24"/>
      <c r="AA502" s="24"/>
      <c r="AB502" s="24"/>
      <c r="AC502" s="24"/>
      <c r="AD502" s="24"/>
      <c r="AE502" s="24"/>
      <c r="AF502" s="24"/>
      <c r="AG502" s="24"/>
      <c r="AH502" s="24"/>
      <c r="AI502" s="24"/>
      <c r="AJ502" s="24"/>
      <c r="AK502" s="24"/>
      <c r="AL502" s="24"/>
      <c r="AM502" s="24"/>
      <c r="AN502" s="24"/>
      <c r="AO502" s="24"/>
      <c r="AP502" s="24"/>
      <c r="AQ502" s="24"/>
      <c r="AR502" s="24"/>
      <c r="AS502" s="24"/>
      <c r="AT502" s="24"/>
      <c r="AU502" s="24"/>
      <c r="AV502" s="24"/>
      <c r="AW502" s="24"/>
      <c r="AX502" s="24"/>
      <c r="AY502" s="24"/>
      <c r="AZ502" s="24"/>
      <c r="BA502" s="24"/>
      <c r="BB502" s="24"/>
      <c r="BC502" s="24"/>
      <c r="BD502" s="24"/>
      <c r="BE502" s="24"/>
      <c r="BF502" s="24"/>
      <c r="BG502" s="24"/>
      <c r="BH502" s="24"/>
    </row>
    <row r="503" spans="1:60">
      <c r="A503" s="7"/>
      <c r="B503" s="8"/>
      <c r="C503" s="9"/>
      <c r="D503" s="25"/>
      <c r="E503" s="25"/>
      <c r="F503" s="25"/>
      <c r="G503" s="25"/>
      <c r="H503" s="53"/>
      <c r="I503" s="53"/>
      <c r="J503" s="53"/>
      <c r="K503" s="24"/>
      <c r="L503" s="7"/>
      <c r="M503" s="24"/>
      <c r="N503" s="24"/>
      <c r="O503" s="24"/>
      <c r="P503" s="24"/>
      <c r="Q503" s="24"/>
      <c r="R503" s="24"/>
      <c r="S503" s="24"/>
      <c r="T503" s="24"/>
      <c r="U503" s="24"/>
      <c r="V503" s="24"/>
      <c r="W503" s="24"/>
      <c r="X503" s="24"/>
      <c r="Y503" s="24"/>
      <c r="Z503" s="24"/>
      <c r="AA503" s="24"/>
      <c r="AB503" s="24"/>
      <c r="AC503" s="24"/>
      <c r="AD503" s="24"/>
      <c r="AE503" s="24"/>
      <c r="AF503" s="24"/>
      <c r="AG503" s="24"/>
      <c r="AH503" s="24"/>
      <c r="AI503" s="24"/>
      <c r="AJ503" s="24"/>
      <c r="AK503" s="24"/>
      <c r="AL503" s="24"/>
      <c r="AM503" s="24"/>
      <c r="AN503" s="24"/>
      <c r="AO503" s="24"/>
      <c r="AP503" s="24"/>
      <c r="AQ503" s="24"/>
      <c r="AR503" s="24"/>
      <c r="AS503" s="24"/>
      <c r="AT503" s="24"/>
      <c r="AU503" s="24"/>
      <c r="AV503" s="24"/>
      <c r="AW503" s="24"/>
      <c r="AX503" s="24"/>
      <c r="AY503" s="24"/>
      <c r="AZ503" s="24"/>
      <c r="BA503" s="24"/>
      <c r="BB503" s="24"/>
      <c r="BC503" s="24"/>
      <c r="BD503" s="24"/>
      <c r="BE503" s="24"/>
      <c r="BF503" s="24"/>
      <c r="BG503" s="24"/>
      <c r="BH503" s="24"/>
    </row>
    <row r="504" spans="1:60">
      <c r="A504" s="7"/>
      <c r="B504" s="8"/>
      <c r="C504" s="9"/>
      <c r="D504" s="25"/>
      <c r="E504" s="25"/>
      <c r="F504" s="25"/>
      <c r="G504" s="25"/>
      <c r="H504" s="53"/>
      <c r="I504" s="53"/>
      <c r="J504" s="53"/>
      <c r="K504" s="24"/>
      <c r="L504" s="7"/>
      <c r="M504" s="24"/>
      <c r="N504" s="24"/>
      <c r="O504" s="24"/>
      <c r="P504" s="24"/>
      <c r="Q504" s="24"/>
      <c r="R504" s="24"/>
      <c r="S504" s="24"/>
      <c r="T504" s="24"/>
      <c r="U504" s="24"/>
      <c r="V504" s="24"/>
      <c r="W504" s="24"/>
      <c r="X504" s="24"/>
      <c r="Y504" s="24"/>
      <c r="Z504" s="24"/>
      <c r="AA504" s="24"/>
      <c r="AB504" s="24"/>
      <c r="AC504" s="24"/>
      <c r="AD504" s="24"/>
      <c r="AE504" s="24"/>
      <c r="AF504" s="24"/>
      <c r="AG504" s="24"/>
      <c r="AH504" s="24"/>
      <c r="AI504" s="24"/>
      <c r="AJ504" s="24"/>
      <c r="AK504" s="24"/>
      <c r="AL504" s="24"/>
      <c r="AM504" s="24"/>
      <c r="AN504" s="24"/>
      <c r="AO504" s="24"/>
      <c r="AP504" s="24"/>
      <c r="AQ504" s="24"/>
      <c r="AR504" s="24"/>
      <c r="AS504" s="24"/>
      <c r="AT504" s="24"/>
      <c r="AU504" s="24"/>
      <c r="AV504" s="24"/>
      <c r="AW504" s="24"/>
      <c r="AX504" s="24"/>
      <c r="AY504" s="24"/>
      <c r="AZ504" s="24"/>
      <c r="BA504" s="24"/>
      <c r="BB504" s="24"/>
      <c r="BC504" s="24"/>
      <c r="BD504" s="24"/>
      <c r="BE504" s="24"/>
      <c r="BF504" s="24"/>
      <c r="BG504" s="24"/>
      <c r="BH504" s="24"/>
    </row>
    <row r="505" spans="1:60">
      <c r="A505" s="7"/>
      <c r="B505" s="8"/>
      <c r="C505" s="9"/>
      <c r="D505" s="25"/>
      <c r="E505" s="25"/>
      <c r="F505" s="25"/>
      <c r="G505" s="25"/>
      <c r="H505" s="53"/>
      <c r="I505" s="53"/>
      <c r="J505" s="53"/>
      <c r="K505" s="24"/>
      <c r="L505" s="7"/>
      <c r="M505" s="24"/>
      <c r="N505" s="24"/>
      <c r="O505" s="24"/>
      <c r="P505" s="24"/>
      <c r="Q505" s="24"/>
      <c r="R505" s="24"/>
      <c r="S505" s="24"/>
      <c r="T505" s="24"/>
      <c r="U505" s="24"/>
      <c r="V505" s="24"/>
      <c r="W505" s="24"/>
      <c r="X505" s="24"/>
      <c r="Y505" s="24"/>
      <c r="Z505" s="24"/>
      <c r="AA505" s="24"/>
      <c r="AB505" s="24"/>
      <c r="AC505" s="24"/>
      <c r="AD505" s="24"/>
      <c r="AE505" s="24"/>
      <c r="AF505" s="24"/>
      <c r="AG505" s="24"/>
      <c r="AH505" s="24"/>
      <c r="AI505" s="24"/>
      <c r="AJ505" s="24"/>
      <c r="AK505" s="24"/>
      <c r="AL505" s="24"/>
      <c r="AM505" s="24"/>
      <c r="AN505" s="24"/>
      <c r="AO505" s="24"/>
      <c r="AP505" s="24"/>
      <c r="AQ505" s="24"/>
      <c r="AR505" s="24"/>
      <c r="AS505" s="24"/>
      <c r="AT505" s="24"/>
      <c r="AU505" s="24"/>
      <c r="AV505" s="24"/>
      <c r="AW505" s="24"/>
      <c r="AX505" s="24"/>
      <c r="AY505" s="24"/>
      <c r="AZ505" s="24"/>
      <c r="BA505" s="24"/>
      <c r="BB505" s="24"/>
      <c r="BC505" s="24"/>
      <c r="BD505" s="24"/>
      <c r="BE505" s="24"/>
      <c r="BF505" s="24"/>
      <c r="BG505" s="24"/>
      <c r="BH505" s="24"/>
    </row>
    <row r="506" spans="1:60">
      <c r="A506" s="7"/>
      <c r="B506" s="8"/>
      <c r="C506" s="9"/>
      <c r="D506" s="25"/>
      <c r="E506" s="25"/>
      <c r="F506" s="25"/>
      <c r="G506" s="25"/>
      <c r="H506" s="53"/>
      <c r="I506" s="53"/>
      <c r="J506" s="53"/>
      <c r="K506" s="24"/>
      <c r="L506" s="7"/>
      <c r="M506" s="24"/>
      <c r="N506" s="24"/>
      <c r="O506" s="24"/>
      <c r="P506" s="24"/>
      <c r="Q506" s="24"/>
      <c r="R506" s="24"/>
      <c r="S506" s="24"/>
      <c r="T506" s="24"/>
      <c r="U506" s="24"/>
      <c r="V506" s="24"/>
      <c r="W506" s="24"/>
      <c r="X506" s="24"/>
      <c r="Y506" s="24"/>
      <c r="Z506" s="24"/>
      <c r="AA506" s="24"/>
      <c r="AB506" s="24"/>
      <c r="AC506" s="24"/>
      <c r="AD506" s="24"/>
      <c r="AE506" s="24"/>
      <c r="AF506" s="24"/>
      <c r="AG506" s="24"/>
      <c r="AH506" s="24"/>
      <c r="AI506" s="24"/>
      <c r="AJ506" s="24"/>
      <c r="AK506" s="24"/>
      <c r="AL506" s="24"/>
      <c r="AM506" s="24"/>
      <c r="AN506" s="24"/>
      <c r="AO506" s="24"/>
      <c r="AP506" s="24"/>
      <c r="AQ506" s="24"/>
      <c r="AR506" s="24"/>
      <c r="AS506" s="24"/>
      <c r="AT506" s="24"/>
      <c r="AU506" s="24"/>
      <c r="AV506" s="24"/>
      <c r="AW506" s="24"/>
      <c r="AX506" s="24"/>
      <c r="AY506" s="24"/>
      <c r="AZ506" s="24"/>
      <c r="BA506" s="24"/>
      <c r="BB506" s="24"/>
      <c r="BC506" s="24"/>
      <c r="BD506" s="24"/>
      <c r="BE506" s="24"/>
      <c r="BF506" s="24"/>
      <c r="BG506" s="24"/>
      <c r="BH506" s="24"/>
    </row>
    <row r="507" spans="1:60">
      <c r="A507" s="7"/>
      <c r="B507" s="8"/>
      <c r="C507" s="9"/>
      <c r="D507" s="25"/>
      <c r="E507" s="25"/>
      <c r="F507" s="25"/>
      <c r="G507" s="25"/>
      <c r="H507" s="53"/>
      <c r="I507" s="53"/>
      <c r="J507" s="53"/>
      <c r="K507" s="24"/>
      <c r="L507" s="7"/>
      <c r="M507" s="24"/>
      <c r="N507" s="24"/>
      <c r="O507" s="24"/>
      <c r="P507" s="24"/>
      <c r="Q507" s="24"/>
      <c r="R507" s="24"/>
      <c r="S507" s="24"/>
      <c r="T507" s="24"/>
      <c r="U507" s="24"/>
      <c r="V507" s="24"/>
      <c r="W507" s="24"/>
      <c r="X507" s="24"/>
      <c r="Y507" s="24"/>
      <c r="Z507" s="24"/>
      <c r="AA507" s="24"/>
      <c r="AB507" s="24"/>
      <c r="AC507" s="24"/>
      <c r="AD507" s="24"/>
      <c r="AE507" s="24"/>
      <c r="AF507" s="24"/>
      <c r="AG507" s="24"/>
      <c r="AH507" s="24"/>
      <c r="AI507" s="24"/>
      <c r="AJ507" s="24"/>
      <c r="AK507" s="24"/>
      <c r="AL507" s="24"/>
      <c r="AM507" s="24"/>
      <c r="AN507" s="24"/>
      <c r="AO507" s="24"/>
      <c r="AP507" s="24"/>
      <c r="AQ507" s="24"/>
      <c r="AR507" s="24"/>
      <c r="AS507" s="24"/>
      <c r="AT507" s="24"/>
      <c r="AU507" s="24"/>
      <c r="AV507" s="24"/>
      <c r="AW507" s="24"/>
      <c r="AX507" s="24"/>
      <c r="AY507" s="24"/>
      <c r="AZ507" s="24"/>
      <c r="BA507" s="24"/>
      <c r="BB507" s="24"/>
      <c r="BC507" s="24"/>
      <c r="BD507" s="24"/>
      <c r="BE507" s="24"/>
      <c r="BF507" s="24"/>
      <c r="BG507" s="24"/>
      <c r="BH507" s="24"/>
    </row>
    <row r="508" spans="1:60">
      <c r="A508" s="7"/>
      <c r="B508" s="8"/>
      <c r="C508" s="9"/>
      <c r="D508" s="25"/>
      <c r="E508" s="25"/>
      <c r="F508" s="25"/>
      <c r="G508" s="25"/>
      <c r="H508" s="53"/>
      <c r="I508" s="53"/>
      <c r="J508" s="53"/>
      <c r="K508" s="24"/>
      <c r="L508" s="7"/>
      <c r="M508" s="24"/>
      <c r="N508" s="24"/>
      <c r="O508" s="24"/>
      <c r="P508" s="24"/>
      <c r="Q508" s="24"/>
      <c r="R508" s="24"/>
      <c r="S508" s="24"/>
      <c r="T508" s="24"/>
      <c r="U508" s="24"/>
      <c r="V508" s="24"/>
      <c r="W508" s="24"/>
      <c r="X508" s="24"/>
      <c r="Y508" s="24"/>
      <c r="Z508" s="24"/>
      <c r="AA508" s="24"/>
      <c r="AB508" s="24"/>
      <c r="AC508" s="24"/>
      <c r="AD508" s="24"/>
      <c r="AE508" s="24"/>
      <c r="AF508" s="24"/>
      <c r="AG508" s="24"/>
      <c r="AH508" s="24"/>
      <c r="AI508" s="24"/>
      <c r="AJ508" s="24"/>
      <c r="AK508" s="24"/>
      <c r="AL508" s="24"/>
      <c r="AM508" s="24"/>
      <c r="AN508" s="24"/>
      <c r="AO508" s="24"/>
      <c r="AP508" s="24"/>
      <c r="AQ508" s="24"/>
      <c r="AR508" s="24"/>
      <c r="AS508" s="24"/>
      <c r="AT508" s="24"/>
      <c r="AU508" s="24"/>
      <c r="AV508" s="24"/>
      <c r="AW508" s="24"/>
      <c r="AX508" s="24"/>
      <c r="AY508" s="24"/>
      <c r="AZ508" s="24"/>
      <c r="BA508" s="24"/>
      <c r="BB508" s="24"/>
      <c r="BC508" s="24"/>
      <c r="BD508" s="24"/>
      <c r="BE508" s="24"/>
      <c r="BF508" s="24"/>
      <c r="BG508" s="24"/>
      <c r="BH508" s="24"/>
    </row>
    <row r="509" spans="1:60">
      <c r="A509" s="7"/>
      <c r="B509" s="8"/>
      <c r="C509" s="9"/>
      <c r="D509" s="25"/>
      <c r="E509" s="25"/>
      <c r="F509" s="25"/>
      <c r="G509" s="25"/>
      <c r="H509" s="53"/>
      <c r="I509" s="53"/>
      <c r="J509" s="53"/>
      <c r="K509" s="24"/>
      <c r="L509" s="7"/>
      <c r="M509" s="24"/>
      <c r="N509" s="24"/>
      <c r="O509" s="24"/>
      <c r="P509" s="24"/>
      <c r="Q509" s="24"/>
      <c r="R509" s="24"/>
      <c r="S509" s="24"/>
      <c r="T509" s="24"/>
      <c r="U509" s="24"/>
      <c r="V509" s="24"/>
      <c r="W509" s="24"/>
      <c r="X509" s="24"/>
      <c r="Y509" s="24"/>
      <c r="Z509" s="24"/>
      <c r="AA509" s="24"/>
      <c r="AB509" s="24"/>
      <c r="AC509" s="24"/>
      <c r="AD509" s="24"/>
      <c r="AE509" s="24"/>
      <c r="AF509" s="24"/>
      <c r="AG509" s="24"/>
      <c r="AH509" s="24"/>
      <c r="AI509" s="24"/>
      <c r="AJ509" s="24"/>
      <c r="AK509" s="24"/>
      <c r="AL509" s="24"/>
      <c r="AM509" s="24"/>
      <c r="AN509" s="24"/>
      <c r="AO509" s="24"/>
      <c r="AP509" s="24"/>
      <c r="AQ509" s="24"/>
      <c r="AR509" s="24"/>
      <c r="AS509" s="24"/>
      <c r="AT509" s="24"/>
      <c r="AU509" s="24"/>
      <c r="AV509" s="24"/>
      <c r="AW509" s="24"/>
      <c r="AX509" s="24"/>
      <c r="AY509" s="24"/>
      <c r="AZ509" s="24"/>
      <c r="BA509" s="24"/>
      <c r="BB509" s="24"/>
      <c r="BC509" s="24"/>
      <c r="BD509" s="24"/>
      <c r="BE509" s="24"/>
      <c r="BF509" s="24"/>
      <c r="BG509" s="24"/>
      <c r="BH509" s="24"/>
    </row>
    <row r="510" spans="1:60">
      <c r="A510" s="7"/>
      <c r="B510" s="8"/>
      <c r="C510" s="9"/>
      <c r="D510" s="25"/>
      <c r="E510" s="25"/>
      <c r="F510" s="25"/>
      <c r="G510" s="25"/>
      <c r="H510" s="53"/>
      <c r="I510" s="53"/>
      <c r="J510" s="53"/>
      <c r="K510" s="24"/>
      <c r="L510" s="7"/>
      <c r="M510" s="24"/>
      <c r="N510" s="24"/>
      <c r="O510" s="24"/>
      <c r="P510" s="24"/>
      <c r="Q510" s="24"/>
      <c r="R510" s="24"/>
      <c r="S510" s="24"/>
      <c r="T510" s="24"/>
      <c r="U510" s="24"/>
      <c r="V510" s="24"/>
      <c r="W510" s="24"/>
      <c r="X510" s="24"/>
      <c r="Y510" s="24"/>
      <c r="Z510" s="24"/>
      <c r="AA510" s="24"/>
      <c r="AB510" s="24"/>
      <c r="AC510" s="24"/>
      <c r="AD510" s="24"/>
      <c r="AE510" s="24"/>
      <c r="AF510" s="24"/>
      <c r="AG510" s="24"/>
      <c r="AH510" s="24"/>
      <c r="AI510" s="24"/>
      <c r="AJ510" s="24"/>
      <c r="AK510" s="24"/>
      <c r="AL510" s="24"/>
      <c r="AM510" s="24"/>
      <c r="AN510" s="24"/>
      <c r="AO510" s="24"/>
      <c r="AP510" s="24"/>
      <c r="AQ510" s="24"/>
      <c r="AR510" s="24"/>
      <c r="AS510" s="24"/>
      <c r="AT510" s="24"/>
      <c r="AU510" s="24"/>
      <c r="AV510" s="24"/>
      <c r="AW510" s="24"/>
      <c r="AX510" s="24"/>
      <c r="AY510" s="24"/>
      <c r="AZ510" s="24"/>
      <c r="BA510" s="24"/>
      <c r="BB510" s="24"/>
      <c r="BC510" s="24"/>
      <c r="BD510" s="24"/>
      <c r="BE510" s="24"/>
      <c r="BF510" s="24"/>
      <c r="BG510" s="24"/>
      <c r="BH510" s="24"/>
    </row>
    <row r="511" spans="1:60">
      <c r="A511" s="7"/>
      <c r="B511" s="8"/>
      <c r="C511" s="9"/>
      <c r="D511" s="25"/>
      <c r="E511" s="25"/>
      <c r="F511" s="25"/>
      <c r="G511" s="25"/>
      <c r="H511" s="53"/>
      <c r="I511" s="53"/>
      <c r="J511" s="53"/>
      <c r="K511" s="24"/>
      <c r="L511" s="7"/>
      <c r="M511" s="24"/>
      <c r="N511" s="24"/>
      <c r="O511" s="24"/>
      <c r="P511" s="24"/>
      <c r="Q511" s="24"/>
      <c r="R511" s="24"/>
      <c r="S511" s="24"/>
      <c r="T511" s="24"/>
      <c r="U511" s="24"/>
      <c r="V511" s="24"/>
      <c r="W511" s="24"/>
      <c r="X511" s="24"/>
      <c r="Y511" s="24"/>
      <c r="Z511" s="24"/>
      <c r="AA511" s="24"/>
      <c r="AB511" s="24"/>
      <c r="AC511" s="24"/>
      <c r="AD511" s="24"/>
      <c r="AE511" s="24"/>
      <c r="AF511" s="24"/>
      <c r="AG511" s="24"/>
      <c r="AH511" s="24"/>
      <c r="AI511" s="24"/>
      <c r="AJ511" s="24"/>
      <c r="AK511" s="24"/>
      <c r="AL511" s="24"/>
      <c r="AM511" s="24"/>
      <c r="AN511" s="24"/>
      <c r="AO511" s="24"/>
      <c r="AP511" s="24"/>
      <c r="AQ511" s="24"/>
      <c r="AR511" s="24"/>
      <c r="AS511" s="24"/>
      <c r="AT511" s="24"/>
      <c r="AU511" s="24"/>
      <c r="AV511" s="24"/>
      <c r="AW511" s="24"/>
      <c r="AX511" s="24"/>
      <c r="AY511" s="24"/>
      <c r="AZ511" s="24"/>
      <c r="BA511" s="24"/>
      <c r="BB511" s="24"/>
      <c r="BC511" s="24"/>
      <c r="BD511" s="24"/>
      <c r="BE511" s="24"/>
      <c r="BF511" s="24"/>
      <c r="BG511" s="24"/>
      <c r="BH511" s="24"/>
    </row>
    <row r="512" spans="1:60">
      <c r="A512" s="7"/>
      <c r="B512" s="8"/>
      <c r="C512" s="9"/>
      <c r="D512" s="25"/>
      <c r="E512" s="25"/>
      <c r="F512" s="25"/>
      <c r="G512" s="25"/>
      <c r="H512" s="53"/>
      <c r="I512" s="53"/>
      <c r="J512" s="53"/>
      <c r="K512" s="24"/>
      <c r="L512" s="7"/>
      <c r="M512" s="24"/>
      <c r="N512" s="24"/>
      <c r="O512" s="24"/>
      <c r="P512" s="24"/>
      <c r="Q512" s="24"/>
      <c r="R512" s="24"/>
      <c r="S512" s="24"/>
      <c r="T512" s="24"/>
      <c r="U512" s="24"/>
      <c r="V512" s="24"/>
      <c r="W512" s="24"/>
      <c r="X512" s="24"/>
      <c r="Y512" s="24"/>
      <c r="Z512" s="24"/>
      <c r="AA512" s="24"/>
      <c r="AB512" s="24"/>
      <c r="AC512" s="24"/>
      <c r="AD512" s="24"/>
      <c r="AE512" s="24"/>
      <c r="AF512" s="24"/>
      <c r="AG512" s="24"/>
      <c r="AH512" s="24"/>
      <c r="AI512" s="24"/>
      <c r="AJ512" s="24"/>
      <c r="AK512" s="24"/>
      <c r="AL512" s="24"/>
      <c r="AM512" s="24"/>
      <c r="AN512" s="24"/>
      <c r="AO512" s="24"/>
      <c r="AP512" s="24"/>
      <c r="AQ512" s="24"/>
      <c r="AR512" s="24"/>
      <c r="AS512" s="24"/>
      <c r="AT512" s="24"/>
      <c r="AU512" s="24"/>
      <c r="AV512" s="24"/>
      <c r="AW512" s="24"/>
      <c r="AX512" s="24"/>
      <c r="AY512" s="24"/>
      <c r="AZ512" s="24"/>
      <c r="BA512" s="24"/>
      <c r="BB512" s="24"/>
      <c r="BC512" s="24"/>
      <c r="BD512" s="24"/>
      <c r="BE512" s="24"/>
      <c r="BF512" s="24"/>
      <c r="BG512" s="24"/>
      <c r="BH512" s="24"/>
    </row>
    <row r="513" spans="1:60">
      <c r="A513" s="7"/>
      <c r="B513" s="8"/>
      <c r="C513" s="9"/>
      <c r="D513" s="25"/>
      <c r="E513" s="25"/>
      <c r="F513" s="25"/>
      <c r="G513" s="25"/>
      <c r="H513" s="53"/>
      <c r="I513" s="53"/>
      <c r="J513" s="53"/>
      <c r="K513" s="24"/>
      <c r="L513" s="7"/>
      <c r="M513" s="24"/>
      <c r="N513" s="24"/>
      <c r="O513" s="24"/>
      <c r="P513" s="24"/>
      <c r="Q513" s="24"/>
      <c r="R513" s="24"/>
      <c r="S513" s="24"/>
      <c r="T513" s="24"/>
      <c r="U513" s="24"/>
      <c r="V513" s="24"/>
      <c r="W513" s="24"/>
      <c r="X513" s="24"/>
      <c r="Y513" s="24"/>
      <c r="Z513" s="24"/>
      <c r="AA513" s="24"/>
      <c r="AB513" s="24"/>
      <c r="AC513" s="24"/>
      <c r="AD513" s="24"/>
      <c r="AE513" s="24"/>
      <c r="AF513" s="24"/>
      <c r="AG513" s="24"/>
      <c r="AH513" s="24"/>
      <c r="AI513" s="24"/>
      <c r="AJ513" s="24"/>
      <c r="AK513" s="24"/>
      <c r="AL513" s="24"/>
      <c r="AM513" s="24"/>
      <c r="AN513" s="24"/>
      <c r="AO513" s="24"/>
      <c r="AP513" s="24"/>
      <c r="AQ513" s="24"/>
      <c r="AR513" s="24"/>
      <c r="AS513" s="24"/>
      <c r="AT513" s="24"/>
      <c r="AU513" s="24"/>
      <c r="AV513" s="24"/>
      <c r="AW513" s="24"/>
      <c r="AX513" s="24"/>
      <c r="AY513" s="24"/>
      <c r="AZ513" s="24"/>
      <c r="BA513" s="24"/>
      <c r="BB513" s="24"/>
      <c r="BC513" s="24"/>
      <c r="BD513" s="24"/>
      <c r="BE513" s="24"/>
      <c r="BF513" s="24"/>
      <c r="BG513" s="24"/>
      <c r="BH513" s="24"/>
    </row>
    <row r="514" spans="1:60">
      <c r="A514" s="7"/>
      <c r="B514" s="8"/>
      <c r="C514" s="9"/>
      <c r="D514" s="25"/>
      <c r="E514" s="25"/>
      <c r="F514" s="25"/>
      <c r="G514" s="25"/>
      <c r="H514" s="53"/>
      <c r="I514" s="53"/>
      <c r="J514" s="53"/>
      <c r="K514" s="24"/>
      <c r="L514" s="7"/>
      <c r="M514" s="24"/>
      <c r="N514" s="24"/>
      <c r="O514" s="24"/>
      <c r="P514" s="24"/>
      <c r="Q514" s="24"/>
      <c r="R514" s="24"/>
      <c r="S514" s="24"/>
      <c r="T514" s="24"/>
      <c r="U514" s="24"/>
      <c r="V514" s="24"/>
      <c r="W514" s="24"/>
      <c r="X514" s="24"/>
      <c r="Y514" s="24"/>
      <c r="Z514" s="24"/>
      <c r="AA514" s="24"/>
      <c r="AB514" s="24"/>
      <c r="AC514" s="24"/>
      <c r="AD514" s="24"/>
      <c r="AE514" s="24"/>
      <c r="AF514" s="24"/>
      <c r="AG514" s="24"/>
      <c r="AH514" s="24"/>
      <c r="AI514" s="24"/>
      <c r="AJ514" s="24"/>
      <c r="AK514" s="24"/>
      <c r="AL514" s="24"/>
      <c r="AM514" s="24"/>
      <c r="AN514" s="24"/>
      <c r="AO514" s="24"/>
      <c r="AP514" s="24"/>
      <c r="AQ514" s="24"/>
      <c r="AR514" s="24"/>
      <c r="AS514" s="24"/>
      <c r="AT514" s="24"/>
      <c r="AU514" s="24"/>
      <c r="AV514" s="24"/>
      <c r="AW514" s="24"/>
      <c r="AX514" s="24"/>
      <c r="AY514" s="24"/>
      <c r="AZ514" s="24"/>
      <c r="BA514" s="24"/>
      <c r="BB514" s="24"/>
      <c r="BC514" s="24"/>
      <c r="BD514" s="24"/>
      <c r="BE514" s="24"/>
      <c r="BF514" s="24"/>
      <c r="BG514" s="24"/>
      <c r="BH514" s="24"/>
    </row>
    <row r="515" spans="1:60">
      <c r="A515" s="7"/>
      <c r="B515" s="8"/>
      <c r="C515" s="9"/>
      <c r="D515" s="25"/>
      <c r="E515" s="25"/>
      <c r="F515" s="25"/>
      <c r="G515" s="25"/>
      <c r="H515" s="53"/>
      <c r="I515" s="53"/>
      <c r="J515" s="53"/>
      <c r="K515" s="24"/>
      <c r="L515" s="7"/>
      <c r="M515" s="24"/>
      <c r="N515" s="24"/>
      <c r="O515" s="24"/>
      <c r="P515" s="24"/>
      <c r="Q515" s="24"/>
      <c r="R515" s="24"/>
      <c r="S515" s="24"/>
      <c r="T515" s="24"/>
      <c r="U515" s="24"/>
      <c r="V515" s="24"/>
      <c r="W515" s="24"/>
      <c r="X515" s="24"/>
      <c r="Y515" s="24"/>
      <c r="Z515" s="24"/>
      <c r="AA515" s="24"/>
      <c r="AB515" s="24"/>
      <c r="AC515" s="24"/>
      <c r="AD515" s="24"/>
      <c r="AE515" s="24"/>
      <c r="AF515" s="24"/>
      <c r="AG515" s="24"/>
      <c r="AH515" s="24"/>
      <c r="AI515" s="24"/>
      <c r="AJ515" s="24"/>
      <c r="AK515" s="24"/>
      <c r="AL515" s="24"/>
      <c r="AM515" s="24"/>
      <c r="AN515" s="24"/>
      <c r="AO515" s="24"/>
      <c r="AP515" s="24"/>
      <c r="AQ515" s="24"/>
      <c r="AR515" s="24"/>
      <c r="AS515" s="24"/>
      <c r="AT515" s="24"/>
      <c r="AU515" s="24"/>
      <c r="AV515" s="24"/>
      <c r="AW515" s="24"/>
      <c r="AX515" s="24"/>
      <c r="AY515" s="24"/>
      <c r="AZ515" s="24"/>
      <c r="BA515" s="24"/>
      <c r="BB515" s="24"/>
      <c r="BC515" s="24"/>
      <c r="BD515" s="24"/>
      <c r="BE515" s="24"/>
      <c r="BF515" s="24"/>
      <c r="BG515" s="24"/>
      <c r="BH515" s="24"/>
    </row>
    <row r="516" spans="1:60">
      <c r="A516" s="7"/>
      <c r="B516" s="8"/>
      <c r="C516" s="9"/>
      <c r="D516" s="25"/>
      <c r="E516" s="25"/>
      <c r="F516" s="25"/>
      <c r="G516" s="25"/>
      <c r="H516" s="53"/>
      <c r="I516" s="53"/>
      <c r="J516" s="53"/>
      <c r="K516" s="24"/>
      <c r="L516" s="7"/>
      <c r="M516" s="24"/>
      <c r="N516" s="24"/>
      <c r="O516" s="24"/>
      <c r="P516" s="24"/>
      <c r="Q516" s="24"/>
      <c r="R516" s="24"/>
      <c r="S516" s="24"/>
      <c r="T516" s="24"/>
      <c r="U516" s="24"/>
      <c r="V516" s="24"/>
      <c r="W516" s="24"/>
      <c r="X516" s="24"/>
      <c r="Y516" s="24"/>
      <c r="Z516" s="24"/>
      <c r="AA516" s="24"/>
      <c r="AB516" s="24"/>
      <c r="AC516" s="24"/>
      <c r="AD516" s="24"/>
      <c r="AE516" s="24"/>
      <c r="AF516" s="24"/>
      <c r="AG516" s="24"/>
      <c r="AH516" s="24"/>
      <c r="AI516" s="24"/>
      <c r="AJ516" s="24"/>
      <c r="AK516" s="24"/>
      <c r="AL516" s="24"/>
      <c r="AM516" s="24"/>
      <c r="AN516" s="24"/>
      <c r="AO516" s="24"/>
      <c r="AP516" s="24"/>
      <c r="AQ516" s="24"/>
      <c r="AR516" s="24"/>
      <c r="AS516" s="24"/>
      <c r="AT516" s="24"/>
      <c r="AU516" s="24"/>
      <c r="AV516" s="24"/>
      <c r="AW516" s="24"/>
      <c r="AX516" s="24"/>
      <c r="AY516" s="24"/>
      <c r="AZ516" s="24"/>
      <c r="BA516" s="24"/>
      <c r="BB516" s="24"/>
      <c r="BC516" s="24"/>
      <c r="BD516" s="24"/>
      <c r="BE516" s="24"/>
      <c r="BF516" s="24"/>
      <c r="BG516" s="24"/>
      <c r="BH516" s="24"/>
    </row>
    <row r="517" spans="1:60">
      <c r="A517" s="7"/>
      <c r="B517" s="8"/>
      <c r="C517" s="9"/>
      <c r="D517" s="25"/>
      <c r="E517" s="25"/>
      <c r="F517" s="25"/>
      <c r="G517" s="25"/>
      <c r="H517" s="53"/>
      <c r="I517" s="53"/>
      <c r="J517" s="53"/>
      <c r="K517" s="24"/>
      <c r="L517" s="7"/>
      <c r="M517" s="24"/>
      <c r="N517" s="24"/>
      <c r="O517" s="24"/>
      <c r="P517" s="24"/>
      <c r="Q517" s="24"/>
      <c r="R517" s="24"/>
      <c r="S517" s="24"/>
      <c r="T517" s="24"/>
      <c r="U517" s="24"/>
      <c r="V517" s="24"/>
      <c r="W517" s="24"/>
      <c r="X517" s="24"/>
      <c r="Y517" s="24"/>
      <c r="Z517" s="24"/>
      <c r="AA517" s="24"/>
      <c r="AB517" s="24"/>
      <c r="AC517" s="24"/>
      <c r="AD517" s="24"/>
      <c r="AE517" s="24"/>
      <c r="AF517" s="24"/>
      <c r="AG517" s="24"/>
      <c r="AH517" s="24"/>
      <c r="AI517" s="24"/>
      <c r="AJ517" s="24"/>
      <c r="AK517" s="24"/>
      <c r="AL517" s="24"/>
      <c r="AM517" s="24"/>
      <c r="AN517" s="24"/>
      <c r="AO517" s="24"/>
      <c r="AP517" s="24"/>
      <c r="AQ517" s="24"/>
      <c r="AR517" s="24"/>
      <c r="AS517" s="24"/>
      <c r="AT517" s="24"/>
      <c r="AU517" s="24"/>
      <c r="AV517" s="24"/>
      <c r="AW517" s="24"/>
      <c r="AX517" s="24"/>
      <c r="AY517" s="24"/>
      <c r="AZ517" s="24"/>
      <c r="BA517" s="24"/>
      <c r="BB517" s="24"/>
      <c r="BC517" s="24"/>
      <c r="BD517" s="24"/>
      <c r="BE517" s="24"/>
      <c r="BF517" s="24"/>
      <c r="BG517" s="24"/>
      <c r="BH517" s="24"/>
    </row>
    <row r="518" spans="1:60">
      <c r="A518" s="7"/>
      <c r="B518" s="8"/>
      <c r="C518" s="9"/>
      <c r="D518" s="25"/>
      <c r="E518" s="25"/>
      <c r="F518" s="25"/>
      <c r="G518" s="25"/>
      <c r="H518" s="53"/>
      <c r="I518" s="53"/>
      <c r="J518" s="53"/>
      <c r="K518" s="24"/>
      <c r="L518" s="7"/>
      <c r="M518" s="24"/>
      <c r="N518" s="24"/>
      <c r="O518" s="24"/>
      <c r="P518" s="24"/>
      <c r="Q518" s="24"/>
      <c r="R518" s="24"/>
      <c r="S518" s="24"/>
      <c r="T518" s="24"/>
      <c r="U518" s="24"/>
      <c r="V518" s="24"/>
      <c r="W518" s="24"/>
      <c r="X518" s="24"/>
      <c r="Y518" s="24"/>
      <c r="Z518" s="24"/>
      <c r="AA518" s="24"/>
      <c r="AB518" s="24"/>
      <c r="AC518" s="24"/>
      <c r="AD518" s="24"/>
      <c r="AE518" s="24"/>
      <c r="AF518" s="24"/>
      <c r="AG518" s="24"/>
      <c r="AH518" s="24"/>
      <c r="AI518" s="24"/>
      <c r="AJ518" s="24"/>
      <c r="AK518" s="24"/>
      <c r="AL518" s="24"/>
      <c r="AM518" s="24"/>
      <c r="AN518" s="24"/>
      <c r="AO518" s="24"/>
      <c r="AP518" s="24"/>
      <c r="AQ518" s="24"/>
      <c r="AR518" s="24"/>
      <c r="AS518" s="24"/>
      <c r="AT518" s="24"/>
      <c r="AU518" s="24"/>
      <c r="AV518" s="24"/>
      <c r="AW518" s="24"/>
      <c r="AX518" s="24"/>
      <c r="AY518" s="24"/>
      <c r="AZ518" s="24"/>
      <c r="BA518" s="24"/>
      <c r="BB518" s="24"/>
      <c r="BC518" s="24"/>
      <c r="BD518" s="24"/>
      <c r="BE518" s="24"/>
      <c r="BF518" s="24"/>
      <c r="BG518" s="24"/>
      <c r="BH518" s="24"/>
    </row>
    <row r="519" spans="1:60">
      <c r="A519" s="7"/>
      <c r="B519" s="8"/>
      <c r="C519" s="9"/>
      <c r="D519" s="25"/>
      <c r="E519" s="25"/>
      <c r="F519" s="25"/>
      <c r="G519" s="25"/>
      <c r="H519" s="53"/>
      <c r="I519" s="53"/>
      <c r="J519" s="53"/>
      <c r="K519" s="24"/>
      <c r="L519" s="7"/>
      <c r="M519" s="24"/>
      <c r="N519" s="24"/>
      <c r="O519" s="24"/>
      <c r="P519" s="24"/>
      <c r="Q519" s="24"/>
      <c r="R519" s="24"/>
      <c r="S519" s="24"/>
      <c r="T519" s="24"/>
      <c r="U519" s="24"/>
      <c r="V519" s="24"/>
      <c r="W519" s="24"/>
      <c r="X519" s="24"/>
      <c r="Y519" s="24"/>
      <c r="Z519" s="24"/>
      <c r="AA519" s="24"/>
      <c r="AB519" s="24"/>
      <c r="AC519" s="24"/>
      <c r="AD519" s="24"/>
      <c r="AE519" s="24"/>
      <c r="AF519" s="24"/>
      <c r="AG519" s="24"/>
      <c r="AH519" s="24"/>
      <c r="AI519" s="24"/>
      <c r="AJ519" s="24"/>
      <c r="AK519" s="24"/>
      <c r="AL519" s="24"/>
      <c r="AM519" s="24"/>
      <c r="AN519" s="24"/>
      <c r="AO519" s="24"/>
      <c r="AP519" s="24"/>
      <c r="AQ519" s="24"/>
      <c r="AR519" s="24"/>
      <c r="AS519" s="24"/>
      <c r="AT519" s="24"/>
      <c r="AU519" s="24"/>
      <c r="AV519" s="24"/>
      <c r="AW519" s="24"/>
      <c r="AX519" s="24"/>
      <c r="AY519" s="24"/>
      <c r="AZ519" s="24"/>
      <c r="BA519" s="24"/>
      <c r="BB519" s="24"/>
      <c r="BC519" s="24"/>
      <c r="BD519" s="24"/>
      <c r="BE519" s="24"/>
      <c r="BF519" s="24"/>
      <c r="BG519" s="24"/>
      <c r="BH519" s="24"/>
    </row>
    <row r="520" spans="1:60">
      <c r="A520" s="7"/>
      <c r="B520" s="8"/>
      <c r="C520" s="9"/>
      <c r="D520" s="25"/>
      <c r="E520" s="25"/>
      <c r="F520" s="25"/>
      <c r="G520" s="25"/>
      <c r="H520" s="53"/>
      <c r="I520" s="53"/>
      <c r="J520" s="53"/>
      <c r="K520" s="24"/>
      <c r="L520" s="7"/>
      <c r="M520" s="24"/>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4"/>
      <c r="AK520" s="24"/>
      <c r="AL520" s="24"/>
      <c r="AM520" s="24"/>
      <c r="AN520" s="24"/>
      <c r="AO520" s="24"/>
      <c r="AP520" s="24"/>
      <c r="AQ520" s="24"/>
      <c r="AR520" s="24"/>
      <c r="AS520" s="24"/>
      <c r="AT520" s="24"/>
      <c r="AU520" s="24"/>
      <c r="AV520" s="24"/>
      <c r="AW520" s="24"/>
      <c r="AX520" s="24"/>
      <c r="AY520" s="24"/>
      <c r="AZ520" s="24"/>
      <c r="BA520" s="24"/>
      <c r="BB520" s="24"/>
      <c r="BC520" s="24"/>
      <c r="BD520" s="24"/>
      <c r="BE520" s="24"/>
      <c r="BF520" s="24"/>
      <c r="BG520" s="24"/>
      <c r="BH520" s="24"/>
    </row>
    <row r="521" spans="1:60">
      <c r="A521" s="7"/>
      <c r="B521" s="8"/>
      <c r="C521" s="9"/>
      <c r="D521" s="25"/>
      <c r="E521" s="25"/>
      <c r="F521" s="25"/>
      <c r="G521" s="25"/>
      <c r="H521" s="53"/>
      <c r="I521" s="53"/>
      <c r="J521" s="53"/>
      <c r="K521" s="24"/>
      <c r="L521" s="7"/>
      <c r="M521" s="24"/>
      <c r="N521" s="24"/>
      <c r="O521" s="24"/>
      <c r="P521" s="24"/>
      <c r="Q521" s="24"/>
      <c r="R521" s="24"/>
      <c r="S521" s="24"/>
      <c r="T521" s="24"/>
      <c r="U521" s="24"/>
      <c r="V521" s="24"/>
      <c r="W521" s="24"/>
      <c r="X521" s="24"/>
      <c r="Y521" s="24"/>
      <c r="Z521" s="24"/>
      <c r="AA521" s="24"/>
      <c r="AB521" s="24"/>
      <c r="AC521" s="24"/>
      <c r="AD521" s="24"/>
      <c r="AE521" s="24"/>
      <c r="AF521" s="24"/>
      <c r="AG521" s="24"/>
      <c r="AH521" s="24"/>
      <c r="AI521" s="24"/>
      <c r="AJ521" s="24"/>
      <c r="AK521" s="24"/>
      <c r="AL521" s="24"/>
      <c r="AM521" s="24"/>
      <c r="AN521" s="24"/>
      <c r="AO521" s="24"/>
      <c r="AP521" s="24"/>
      <c r="AQ521" s="24"/>
      <c r="AR521" s="24"/>
      <c r="AS521" s="24"/>
      <c r="AT521" s="24"/>
      <c r="AU521" s="24"/>
      <c r="AV521" s="24"/>
      <c r="AW521" s="24"/>
      <c r="AX521" s="24"/>
      <c r="AY521" s="24"/>
      <c r="AZ521" s="24"/>
      <c r="BA521" s="24"/>
      <c r="BB521" s="24"/>
      <c r="BC521" s="24"/>
      <c r="BD521" s="24"/>
      <c r="BE521" s="24"/>
      <c r="BF521" s="24"/>
      <c r="BG521" s="24"/>
      <c r="BH521" s="24"/>
    </row>
    <row r="522" spans="1:60">
      <c r="A522" s="7"/>
      <c r="B522" s="8"/>
      <c r="C522" s="9"/>
      <c r="D522" s="25"/>
      <c r="E522" s="25"/>
      <c r="F522" s="25"/>
      <c r="G522" s="25"/>
      <c r="H522" s="53"/>
      <c r="I522" s="53"/>
      <c r="J522" s="53"/>
      <c r="K522" s="24"/>
      <c r="L522" s="7"/>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4"/>
      <c r="BF522" s="24"/>
      <c r="BG522" s="24"/>
      <c r="BH522" s="24"/>
    </row>
    <row r="523" spans="1:60">
      <c r="A523" s="7"/>
      <c r="B523" s="8"/>
      <c r="C523" s="9"/>
      <c r="D523" s="25"/>
      <c r="E523" s="25"/>
      <c r="F523" s="25"/>
      <c r="G523" s="25"/>
      <c r="H523" s="53"/>
      <c r="I523" s="53"/>
      <c r="J523" s="53"/>
      <c r="K523" s="24"/>
      <c r="L523" s="7"/>
      <c r="M523" s="24"/>
      <c r="N523" s="24"/>
      <c r="O523" s="24"/>
      <c r="P523" s="24"/>
      <c r="Q523" s="24"/>
      <c r="R523" s="24"/>
      <c r="S523" s="24"/>
      <c r="T523" s="24"/>
      <c r="U523" s="24"/>
      <c r="V523" s="24"/>
      <c r="W523" s="24"/>
      <c r="X523" s="24"/>
      <c r="Y523" s="24"/>
      <c r="Z523" s="24"/>
      <c r="AA523" s="24"/>
      <c r="AB523" s="24"/>
      <c r="AC523" s="24"/>
      <c r="AD523" s="24"/>
      <c r="AE523" s="24"/>
      <c r="AF523" s="24"/>
      <c r="AG523" s="24"/>
      <c r="AH523" s="24"/>
      <c r="AI523" s="24"/>
      <c r="AJ523" s="24"/>
      <c r="AK523" s="24"/>
      <c r="AL523" s="24"/>
      <c r="AM523" s="24"/>
      <c r="AN523" s="24"/>
      <c r="AO523" s="24"/>
      <c r="AP523" s="24"/>
      <c r="AQ523" s="24"/>
      <c r="AR523" s="24"/>
      <c r="AS523" s="24"/>
      <c r="AT523" s="24"/>
      <c r="AU523" s="24"/>
      <c r="AV523" s="24"/>
      <c r="AW523" s="24"/>
      <c r="AX523" s="24"/>
      <c r="AY523" s="24"/>
      <c r="AZ523" s="24"/>
      <c r="BA523" s="24"/>
      <c r="BB523" s="24"/>
      <c r="BC523" s="24"/>
      <c r="BD523" s="24"/>
      <c r="BE523" s="24"/>
      <c r="BF523" s="24"/>
      <c r="BG523" s="24"/>
      <c r="BH523" s="24"/>
    </row>
    <row r="524" spans="1:60">
      <c r="A524" s="7"/>
      <c r="B524" s="8"/>
      <c r="C524" s="9"/>
      <c r="D524" s="25"/>
      <c r="E524" s="25"/>
      <c r="F524" s="25"/>
      <c r="G524" s="25"/>
      <c r="H524" s="53"/>
      <c r="I524" s="53"/>
      <c r="J524" s="53"/>
      <c r="K524" s="24"/>
      <c r="L524" s="7"/>
      <c r="M524" s="24"/>
      <c r="N524" s="24"/>
      <c r="O524" s="24"/>
      <c r="P524" s="24"/>
      <c r="Q524" s="24"/>
      <c r="R524" s="24"/>
      <c r="S524" s="24"/>
      <c r="T524" s="24"/>
      <c r="U524" s="24"/>
      <c r="V524" s="24"/>
      <c r="W524" s="24"/>
      <c r="X524" s="24"/>
      <c r="Y524" s="24"/>
      <c r="Z524" s="24"/>
      <c r="AA524" s="24"/>
      <c r="AB524" s="24"/>
      <c r="AC524" s="24"/>
      <c r="AD524" s="24"/>
      <c r="AE524" s="24"/>
      <c r="AF524" s="24"/>
      <c r="AG524" s="24"/>
      <c r="AH524" s="24"/>
      <c r="AI524" s="24"/>
      <c r="AJ524" s="24"/>
      <c r="AK524" s="24"/>
      <c r="AL524" s="24"/>
      <c r="AM524" s="24"/>
      <c r="AN524" s="24"/>
      <c r="AO524" s="24"/>
      <c r="AP524" s="24"/>
      <c r="AQ524" s="24"/>
      <c r="AR524" s="24"/>
      <c r="AS524" s="24"/>
      <c r="AT524" s="24"/>
      <c r="AU524" s="24"/>
      <c r="AV524" s="24"/>
      <c r="AW524" s="24"/>
      <c r="AX524" s="24"/>
      <c r="AY524" s="24"/>
      <c r="AZ524" s="24"/>
      <c r="BA524" s="24"/>
      <c r="BB524" s="24"/>
      <c r="BC524" s="24"/>
      <c r="BD524" s="24"/>
      <c r="BE524" s="24"/>
      <c r="BF524" s="24"/>
      <c r="BG524" s="24"/>
      <c r="BH524" s="24"/>
    </row>
    <row r="525" spans="1:60">
      <c r="A525" s="7"/>
      <c r="B525" s="8"/>
      <c r="C525" s="9"/>
      <c r="D525" s="25"/>
      <c r="E525" s="25"/>
      <c r="F525" s="25"/>
      <c r="G525" s="25"/>
      <c r="H525" s="53"/>
      <c r="I525" s="53"/>
      <c r="J525" s="53"/>
      <c r="K525" s="24"/>
      <c r="L525" s="7"/>
      <c r="M525" s="24"/>
      <c r="N525" s="24"/>
      <c r="O525" s="24"/>
      <c r="P525" s="24"/>
      <c r="Q525" s="24"/>
      <c r="R525" s="24"/>
      <c r="S525" s="24"/>
      <c r="T525" s="24"/>
      <c r="U525" s="24"/>
      <c r="V525" s="24"/>
      <c r="W525" s="24"/>
      <c r="X525" s="24"/>
      <c r="Y525" s="24"/>
      <c r="Z525" s="24"/>
      <c r="AA525" s="24"/>
      <c r="AB525" s="24"/>
      <c r="AC525" s="24"/>
      <c r="AD525" s="24"/>
      <c r="AE525" s="24"/>
      <c r="AF525" s="24"/>
      <c r="AG525" s="24"/>
      <c r="AH525" s="24"/>
      <c r="AI525" s="24"/>
      <c r="AJ525" s="24"/>
      <c r="AK525" s="24"/>
      <c r="AL525" s="24"/>
      <c r="AM525" s="24"/>
      <c r="AN525" s="24"/>
      <c r="AO525" s="24"/>
      <c r="AP525" s="24"/>
      <c r="AQ525" s="24"/>
      <c r="AR525" s="24"/>
      <c r="AS525" s="24"/>
      <c r="AT525" s="24"/>
      <c r="AU525" s="24"/>
      <c r="AV525" s="24"/>
      <c r="AW525" s="24"/>
      <c r="AX525" s="24"/>
      <c r="AY525" s="24"/>
      <c r="AZ525" s="24"/>
      <c r="BA525" s="24"/>
      <c r="BB525" s="24"/>
      <c r="BC525" s="24"/>
      <c r="BD525" s="24"/>
      <c r="BE525" s="24"/>
      <c r="BF525" s="24"/>
      <c r="BG525" s="24"/>
      <c r="BH525" s="24"/>
    </row>
    <row r="526" spans="1:60">
      <c r="A526" s="7"/>
      <c r="B526" s="8"/>
      <c r="C526" s="9"/>
      <c r="D526" s="25"/>
      <c r="E526" s="25"/>
      <c r="F526" s="25"/>
      <c r="G526" s="25"/>
      <c r="H526" s="53"/>
      <c r="I526" s="53"/>
      <c r="J526" s="53"/>
      <c r="K526" s="24"/>
      <c r="L526" s="7"/>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c r="AT526" s="24"/>
      <c r="AU526" s="24"/>
      <c r="AV526" s="24"/>
      <c r="AW526" s="24"/>
      <c r="AX526" s="24"/>
      <c r="AY526" s="24"/>
      <c r="AZ526" s="24"/>
      <c r="BA526" s="24"/>
      <c r="BB526" s="24"/>
      <c r="BC526" s="24"/>
      <c r="BD526" s="24"/>
      <c r="BE526" s="24"/>
      <c r="BF526" s="24"/>
      <c r="BG526" s="24"/>
      <c r="BH526" s="24"/>
    </row>
    <row r="527" spans="1:60">
      <c r="A527" s="7"/>
      <c r="B527" s="8"/>
      <c r="C527" s="9"/>
      <c r="D527" s="25"/>
      <c r="E527" s="25"/>
      <c r="F527" s="25"/>
      <c r="G527" s="25"/>
      <c r="H527" s="53"/>
      <c r="I527" s="53"/>
      <c r="J527" s="53"/>
      <c r="K527" s="24"/>
      <c r="L527" s="7"/>
      <c r="M527" s="24"/>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24"/>
      <c r="BB527" s="24"/>
      <c r="BC527" s="24"/>
      <c r="BD527" s="24"/>
      <c r="BE527" s="24"/>
      <c r="BF527" s="24"/>
      <c r="BG527" s="24"/>
      <c r="BH527" s="24"/>
    </row>
    <row r="528" spans="1:60">
      <c r="A528" s="7"/>
      <c r="B528" s="8"/>
      <c r="C528" s="9"/>
      <c r="D528" s="25"/>
      <c r="E528" s="25"/>
      <c r="F528" s="25"/>
      <c r="G528" s="25"/>
      <c r="H528" s="53"/>
      <c r="I528" s="53"/>
      <c r="J528" s="53"/>
      <c r="K528" s="24"/>
      <c r="L528" s="7"/>
      <c r="M528" s="24"/>
      <c r="N528" s="24"/>
      <c r="O528" s="24"/>
      <c r="P528" s="24"/>
      <c r="Q528" s="24"/>
      <c r="R528" s="24"/>
      <c r="S528" s="24"/>
      <c r="T528" s="24"/>
      <c r="U528" s="24"/>
      <c r="V528" s="24"/>
      <c r="W528" s="24"/>
      <c r="X528" s="24"/>
      <c r="Y528" s="24"/>
      <c r="Z528" s="24"/>
      <c r="AA528" s="24"/>
      <c r="AB528" s="24"/>
      <c r="AC528" s="24"/>
      <c r="AD528" s="24"/>
      <c r="AE528" s="24"/>
      <c r="AF528" s="24"/>
      <c r="AG528" s="24"/>
      <c r="AH528" s="24"/>
      <c r="AI528" s="24"/>
      <c r="AJ528" s="24"/>
      <c r="AK528" s="24"/>
      <c r="AL528" s="24"/>
      <c r="AM528" s="24"/>
      <c r="AN528" s="24"/>
      <c r="AO528" s="24"/>
      <c r="AP528" s="24"/>
      <c r="AQ528" s="24"/>
      <c r="AR528" s="24"/>
      <c r="AS528" s="24"/>
      <c r="AT528" s="24"/>
      <c r="AU528" s="24"/>
      <c r="AV528" s="24"/>
      <c r="AW528" s="24"/>
      <c r="AX528" s="24"/>
      <c r="AY528" s="24"/>
      <c r="AZ528" s="24"/>
      <c r="BA528" s="24"/>
      <c r="BB528" s="24"/>
      <c r="BC528" s="24"/>
      <c r="BD528" s="24"/>
      <c r="BE528" s="24"/>
      <c r="BF528" s="24"/>
      <c r="BG528" s="24"/>
      <c r="BH528" s="24"/>
    </row>
    <row r="529" spans="1:60">
      <c r="A529" s="7"/>
      <c r="B529" s="8"/>
      <c r="C529" s="9"/>
      <c r="D529" s="25"/>
      <c r="E529" s="25"/>
      <c r="F529" s="25"/>
      <c r="G529" s="25"/>
      <c r="H529" s="53"/>
      <c r="I529" s="53"/>
      <c r="J529" s="53"/>
      <c r="K529" s="24"/>
      <c r="L529" s="7"/>
      <c r="M529" s="24"/>
      <c r="N529" s="24"/>
      <c r="O529" s="24"/>
      <c r="P529" s="24"/>
      <c r="Q529" s="24"/>
      <c r="R529" s="24"/>
      <c r="S529" s="24"/>
      <c r="T529" s="24"/>
      <c r="U529" s="24"/>
      <c r="V529" s="24"/>
      <c r="W529" s="24"/>
      <c r="X529" s="24"/>
      <c r="Y529" s="24"/>
      <c r="Z529" s="24"/>
      <c r="AA529" s="24"/>
      <c r="AB529" s="24"/>
      <c r="AC529" s="24"/>
      <c r="AD529" s="24"/>
      <c r="AE529" s="24"/>
      <c r="AF529" s="24"/>
      <c r="AG529" s="24"/>
      <c r="AH529" s="24"/>
      <c r="AI529" s="24"/>
      <c r="AJ529" s="24"/>
      <c r="AK529" s="24"/>
      <c r="AL529" s="24"/>
      <c r="AM529" s="24"/>
      <c r="AN529" s="24"/>
      <c r="AO529" s="24"/>
      <c r="AP529" s="24"/>
      <c r="AQ529" s="24"/>
      <c r="AR529" s="24"/>
      <c r="AS529" s="24"/>
      <c r="AT529" s="24"/>
      <c r="AU529" s="24"/>
      <c r="AV529" s="24"/>
      <c r="AW529" s="24"/>
      <c r="AX529" s="24"/>
      <c r="AY529" s="24"/>
      <c r="AZ529" s="24"/>
      <c r="BA529" s="24"/>
      <c r="BB529" s="24"/>
      <c r="BC529" s="24"/>
      <c r="BD529" s="24"/>
      <c r="BE529" s="24"/>
      <c r="BF529" s="24"/>
      <c r="BG529" s="24"/>
      <c r="BH529" s="24"/>
    </row>
    <row r="530" spans="1:60">
      <c r="A530" s="7"/>
      <c r="B530" s="8"/>
      <c r="C530" s="9"/>
      <c r="D530" s="25"/>
      <c r="E530" s="25"/>
      <c r="F530" s="25"/>
      <c r="G530" s="25"/>
      <c r="H530" s="53"/>
      <c r="I530" s="53"/>
      <c r="J530" s="53"/>
      <c r="K530" s="24"/>
      <c r="L530" s="7"/>
      <c r="M530" s="24"/>
      <c r="N530" s="24"/>
      <c r="O530" s="24"/>
      <c r="P530" s="24"/>
      <c r="Q530" s="24"/>
      <c r="R530" s="24"/>
      <c r="S530" s="24"/>
      <c r="T530" s="24"/>
      <c r="U530" s="24"/>
      <c r="V530" s="24"/>
      <c r="W530" s="24"/>
      <c r="X530" s="24"/>
      <c r="Y530" s="24"/>
      <c r="Z530" s="24"/>
      <c r="AA530" s="24"/>
      <c r="AB530" s="24"/>
      <c r="AC530" s="24"/>
      <c r="AD530" s="24"/>
      <c r="AE530" s="24"/>
      <c r="AF530" s="24"/>
      <c r="AG530" s="24"/>
      <c r="AH530" s="24"/>
      <c r="AI530" s="24"/>
      <c r="AJ530" s="24"/>
      <c r="AK530" s="24"/>
      <c r="AL530" s="24"/>
      <c r="AM530" s="24"/>
      <c r="AN530" s="24"/>
      <c r="AO530" s="24"/>
      <c r="AP530" s="24"/>
      <c r="AQ530" s="24"/>
      <c r="AR530" s="24"/>
      <c r="AS530" s="24"/>
      <c r="AT530" s="24"/>
      <c r="AU530" s="24"/>
      <c r="AV530" s="24"/>
      <c r="AW530" s="24"/>
      <c r="AX530" s="24"/>
      <c r="AY530" s="24"/>
      <c r="AZ530" s="24"/>
      <c r="BA530" s="24"/>
      <c r="BB530" s="24"/>
      <c r="BC530" s="24"/>
      <c r="BD530" s="24"/>
      <c r="BE530" s="24"/>
      <c r="BF530" s="24"/>
      <c r="BG530" s="24"/>
      <c r="BH530" s="24"/>
    </row>
    <row r="531" spans="1:60">
      <c r="A531" s="7"/>
      <c r="B531" s="8"/>
      <c r="C531" s="9"/>
      <c r="D531" s="25"/>
      <c r="E531" s="25"/>
      <c r="F531" s="25"/>
      <c r="G531" s="25"/>
      <c r="H531" s="53"/>
      <c r="I531" s="53"/>
      <c r="J531" s="53"/>
      <c r="K531" s="24"/>
      <c r="L531" s="7"/>
      <c r="M531" s="24"/>
      <c r="N531" s="24"/>
      <c r="O531" s="24"/>
      <c r="P531" s="24"/>
      <c r="Q531" s="24"/>
      <c r="R531" s="24"/>
      <c r="S531" s="24"/>
      <c r="T531" s="24"/>
      <c r="U531" s="24"/>
      <c r="V531" s="24"/>
      <c r="W531" s="24"/>
      <c r="X531" s="24"/>
      <c r="Y531" s="24"/>
      <c r="Z531" s="24"/>
      <c r="AA531" s="24"/>
      <c r="AB531" s="24"/>
      <c r="AC531" s="24"/>
      <c r="AD531" s="24"/>
      <c r="AE531" s="24"/>
      <c r="AF531" s="24"/>
      <c r="AG531" s="24"/>
      <c r="AH531" s="24"/>
      <c r="AI531" s="24"/>
      <c r="AJ531" s="24"/>
      <c r="AK531" s="24"/>
      <c r="AL531" s="24"/>
      <c r="AM531" s="24"/>
      <c r="AN531" s="24"/>
      <c r="AO531" s="24"/>
      <c r="AP531" s="24"/>
      <c r="AQ531" s="24"/>
      <c r="AR531" s="24"/>
      <c r="AS531" s="24"/>
      <c r="AT531" s="24"/>
      <c r="AU531" s="24"/>
      <c r="AV531" s="24"/>
      <c r="AW531" s="24"/>
      <c r="AX531" s="24"/>
      <c r="AY531" s="24"/>
      <c r="AZ531" s="24"/>
      <c r="BA531" s="24"/>
      <c r="BB531" s="24"/>
      <c r="BC531" s="24"/>
      <c r="BD531" s="24"/>
      <c r="BE531" s="24"/>
      <c r="BF531" s="24"/>
      <c r="BG531" s="24"/>
      <c r="BH531" s="24"/>
    </row>
    <row r="532" spans="1:60">
      <c r="A532" s="7"/>
      <c r="B532" s="8"/>
      <c r="C532" s="9"/>
      <c r="D532" s="25"/>
      <c r="E532" s="25"/>
      <c r="F532" s="25"/>
      <c r="G532" s="25"/>
      <c r="H532" s="53"/>
      <c r="I532" s="53"/>
      <c r="J532" s="53"/>
      <c r="K532" s="24"/>
      <c r="L532" s="7"/>
      <c r="M532" s="24"/>
      <c r="N532" s="24"/>
      <c r="O532" s="24"/>
      <c r="P532" s="24"/>
      <c r="Q532" s="24"/>
      <c r="R532" s="24"/>
      <c r="S532" s="24"/>
      <c r="T532" s="24"/>
      <c r="U532" s="24"/>
      <c r="V532" s="24"/>
      <c r="W532" s="24"/>
      <c r="X532" s="24"/>
      <c r="Y532" s="24"/>
      <c r="Z532" s="24"/>
      <c r="AA532" s="24"/>
      <c r="AB532" s="24"/>
      <c r="AC532" s="24"/>
      <c r="AD532" s="24"/>
      <c r="AE532" s="24"/>
      <c r="AF532" s="24"/>
      <c r="AG532" s="24"/>
      <c r="AH532" s="24"/>
      <c r="AI532" s="24"/>
      <c r="AJ532" s="24"/>
      <c r="AK532" s="24"/>
      <c r="AL532" s="24"/>
      <c r="AM532" s="24"/>
      <c r="AN532" s="24"/>
      <c r="AO532" s="24"/>
      <c r="AP532" s="24"/>
      <c r="AQ532" s="24"/>
      <c r="AR532" s="24"/>
      <c r="AS532" s="24"/>
      <c r="AT532" s="24"/>
      <c r="AU532" s="24"/>
      <c r="AV532" s="24"/>
      <c r="AW532" s="24"/>
      <c r="AX532" s="24"/>
      <c r="AY532" s="24"/>
      <c r="AZ532" s="24"/>
      <c r="BA532" s="24"/>
      <c r="BB532" s="24"/>
      <c r="BC532" s="24"/>
      <c r="BD532" s="24"/>
      <c r="BE532" s="24"/>
      <c r="BF532" s="24"/>
      <c r="BG532" s="24"/>
      <c r="BH532" s="24"/>
    </row>
    <row r="533" spans="1:60">
      <c r="A533" s="7"/>
      <c r="B533" s="8"/>
      <c r="C533" s="9"/>
      <c r="D533" s="25"/>
      <c r="E533" s="25"/>
      <c r="F533" s="25"/>
      <c r="G533" s="25"/>
      <c r="H533" s="53"/>
      <c r="I533" s="53"/>
      <c r="J533" s="53"/>
      <c r="K533" s="24"/>
      <c r="L533" s="7"/>
      <c r="M533" s="24"/>
      <c r="N533" s="24"/>
      <c r="O533" s="24"/>
      <c r="P533" s="24"/>
      <c r="Q533" s="24"/>
      <c r="R533" s="24"/>
      <c r="S533" s="24"/>
      <c r="T533" s="24"/>
      <c r="U533" s="24"/>
      <c r="V533" s="24"/>
      <c r="W533" s="24"/>
      <c r="X533" s="24"/>
      <c r="Y533" s="24"/>
      <c r="Z533" s="24"/>
      <c r="AA533" s="24"/>
      <c r="AB533" s="24"/>
      <c r="AC533" s="24"/>
      <c r="AD533" s="24"/>
      <c r="AE533" s="24"/>
      <c r="AF533" s="24"/>
      <c r="AG533" s="24"/>
      <c r="AH533" s="24"/>
      <c r="AI533" s="24"/>
      <c r="AJ533" s="24"/>
      <c r="AK533" s="24"/>
      <c r="AL533" s="24"/>
      <c r="AM533" s="24"/>
      <c r="AN533" s="24"/>
      <c r="AO533" s="24"/>
      <c r="AP533" s="24"/>
      <c r="AQ533" s="24"/>
      <c r="AR533" s="24"/>
      <c r="AS533" s="24"/>
      <c r="AT533" s="24"/>
      <c r="AU533" s="24"/>
      <c r="AV533" s="24"/>
      <c r="AW533" s="24"/>
      <c r="AX533" s="24"/>
      <c r="AY533" s="24"/>
      <c r="AZ533" s="24"/>
      <c r="BA533" s="24"/>
      <c r="BB533" s="24"/>
      <c r="BC533" s="24"/>
      <c r="BD533" s="24"/>
      <c r="BE533" s="24"/>
      <c r="BF533" s="24"/>
      <c r="BG533" s="24"/>
      <c r="BH533" s="24"/>
    </row>
    <row r="534" spans="1:60">
      <c r="A534" s="7"/>
      <c r="B534" s="8"/>
      <c r="C534" s="9"/>
      <c r="D534" s="25"/>
      <c r="E534" s="25"/>
      <c r="F534" s="25"/>
      <c r="G534" s="25"/>
      <c r="H534" s="53"/>
      <c r="I534" s="53"/>
      <c r="J534" s="53"/>
      <c r="K534" s="24"/>
      <c r="L534" s="7"/>
      <c r="M534" s="24"/>
      <c r="N534" s="24"/>
      <c r="O534" s="24"/>
      <c r="P534" s="24"/>
      <c r="Q534" s="24"/>
      <c r="R534" s="24"/>
      <c r="S534" s="24"/>
      <c r="T534" s="24"/>
      <c r="U534" s="24"/>
      <c r="V534" s="24"/>
      <c r="W534" s="24"/>
      <c r="X534" s="24"/>
      <c r="Y534" s="24"/>
      <c r="Z534" s="24"/>
      <c r="AA534" s="24"/>
      <c r="AB534" s="24"/>
      <c r="AC534" s="24"/>
      <c r="AD534" s="24"/>
      <c r="AE534" s="24"/>
      <c r="AF534" s="24"/>
      <c r="AG534" s="24"/>
      <c r="AH534" s="24"/>
      <c r="AI534" s="24"/>
      <c r="AJ534" s="24"/>
      <c r="AK534" s="24"/>
      <c r="AL534" s="24"/>
      <c r="AM534" s="24"/>
      <c r="AN534" s="24"/>
      <c r="AO534" s="24"/>
      <c r="AP534" s="24"/>
      <c r="AQ534" s="24"/>
      <c r="AR534" s="24"/>
      <c r="AS534" s="24"/>
      <c r="AT534" s="24"/>
      <c r="AU534" s="24"/>
      <c r="AV534" s="24"/>
      <c r="AW534" s="24"/>
      <c r="AX534" s="24"/>
      <c r="AY534" s="24"/>
      <c r="AZ534" s="24"/>
      <c r="BA534" s="24"/>
      <c r="BB534" s="24"/>
      <c r="BC534" s="24"/>
      <c r="BD534" s="24"/>
      <c r="BE534" s="24"/>
      <c r="BF534" s="24"/>
      <c r="BG534" s="24"/>
      <c r="BH534" s="24"/>
    </row>
    <row r="535" spans="1:60">
      <c r="A535" s="7"/>
      <c r="B535" s="8"/>
      <c r="C535" s="9"/>
      <c r="D535" s="25"/>
      <c r="E535" s="25"/>
      <c r="F535" s="25"/>
      <c r="G535" s="25"/>
      <c r="H535" s="53"/>
      <c r="I535" s="53"/>
      <c r="J535" s="53"/>
      <c r="K535" s="24"/>
      <c r="L535" s="7"/>
      <c r="M535" s="24"/>
      <c r="N535" s="24"/>
      <c r="O535" s="24"/>
      <c r="P535" s="24"/>
      <c r="Q535" s="24"/>
      <c r="R535" s="24"/>
      <c r="S535" s="24"/>
      <c r="T535" s="24"/>
      <c r="U535" s="24"/>
      <c r="V535" s="24"/>
      <c r="W535" s="24"/>
      <c r="X535" s="24"/>
      <c r="Y535" s="24"/>
      <c r="Z535" s="24"/>
      <c r="AA535" s="24"/>
      <c r="AB535" s="24"/>
      <c r="AC535" s="24"/>
      <c r="AD535" s="24"/>
      <c r="AE535" s="24"/>
      <c r="AF535" s="24"/>
      <c r="AG535" s="24"/>
      <c r="AH535" s="24"/>
      <c r="AI535" s="24"/>
      <c r="AJ535" s="24"/>
      <c r="AK535" s="24"/>
      <c r="AL535" s="24"/>
      <c r="AM535" s="24"/>
      <c r="AN535" s="24"/>
      <c r="AO535" s="24"/>
      <c r="AP535" s="24"/>
      <c r="AQ535" s="24"/>
      <c r="AR535" s="24"/>
      <c r="AS535" s="24"/>
      <c r="AT535" s="24"/>
      <c r="AU535" s="24"/>
      <c r="AV535" s="24"/>
      <c r="AW535" s="24"/>
      <c r="AX535" s="24"/>
      <c r="AY535" s="24"/>
      <c r="AZ535" s="24"/>
      <c r="BA535" s="24"/>
      <c r="BB535" s="24"/>
      <c r="BC535" s="24"/>
      <c r="BD535" s="24"/>
      <c r="BE535" s="24"/>
      <c r="BF535" s="24"/>
      <c r="BG535" s="24"/>
      <c r="BH535" s="24"/>
    </row>
    <row r="536" spans="1:60">
      <c r="A536" s="7"/>
      <c r="B536" s="8"/>
      <c r="C536" s="9"/>
      <c r="D536" s="25"/>
      <c r="E536" s="25"/>
      <c r="F536" s="25"/>
      <c r="G536" s="25"/>
      <c r="H536" s="53"/>
      <c r="I536" s="53"/>
      <c r="J536" s="53"/>
      <c r="K536" s="24"/>
      <c r="L536" s="7"/>
      <c r="M536" s="24"/>
      <c r="N536" s="24"/>
      <c r="O536" s="24"/>
      <c r="P536" s="24"/>
      <c r="Q536" s="24"/>
      <c r="R536" s="24"/>
      <c r="S536" s="24"/>
      <c r="T536" s="24"/>
      <c r="U536" s="24"/>
      <c r="V536" s="24"/>
      <c r="W536" s="24"/>
      <c r="X536" s="24"/>
      <c r="Y536" s="24"/>
      <c r="Z536" s="24"/>
      <c r="AA536" s="24"/>
      <c r="AB536" s="24"/>
      <c r="AC536" s="24"/>
      <c r="AD536" s="24"/>
      <c r="AE536" s="24"/>
      <c r="AF536" s="24"/>
      <c r="AG536" s="24"/>
      <c r="AH536" s="24"/>
      <c r="AI536" s="24"/>
      <c r="AJ536" s="24"/>
      <c r="AK536" s="24"/>
      <c r="AL536" s="24"/>
      <c r="AM536" s="24"/>
      <c r="AN536" s="24"/>
      <c r="AO536" s="24"/>
      <c r="AP536" s="24"/>
      <c r="AQ536" s="24"/>
      <c r="AR536" s="24"/>
      <c r="AS536" s="24"/>
      <c r="AT536" s="24"/>
      <c r="AU536" s="24"/>
      <c r="AV536" s="24"/>
      <c r="AW536" s="24"/>
      <c r="AX536" s="24"/>
      <c r="AY536" s="24"/>
      <c r="AZ536" s="24"/>
      <c r="BA536" s="24"/>
      <c r="BB536" s="24"/>
      <c r="BC536" s="24"/>
      <c r="BD536" s="24"/>
      <c r="BE536" s="24"/>
      <c r="BF536" s="24"/>
      <c r="BG536" s="24"/>
      <c r="BH536" s="24"/>
    </row>
    <row r="537" spans="1:60">
      <c r="A537" s="7"/>
      <c r="B537" s="8"/>
      <c r="C537" s="9"/>
      <c r="D537" s="25"/>
      <c r="E537" s="25"/>
      <c r="F537" s="25"/>
      <c r="G537" s="25"/>
      <c r="H537" s="53"/>
      <c r="I537" s="53"/>
      <c r="J537" s="53"/>
      <c r="K537" s="24"/>
      <c r="L537" s="7"/>
      <c r="M537" s="24"/>
      <c r="N537" s="24"/>
      <c r="O537" s="24"/>
      <c r="P537" s="24"/>
      <c r="Q537" s="24"/>
      <c r="R537" s="24"/>
      <c r="S537" s="24"/>
      <c r="T537" s="24"/>
      <c r="U537" s="24"/>
      <c r="V537" s="24"/>
      <c r="W537" s="24"/>
      <c r="X537" s="24"/>
      <c r="Y537" s="24"/>
      <c r="Z537" s="24"/>
      <c r="AA537" s="24"/>
      <c r="AB537" s="24"/>
      <c r="AC537" s="24"/>
      <c r="AD537" s="24"/>
      <c r="AE537" s="24"/>
      <c r="AF537" s="24"/>
      <c r="AG537" s="24"/>
      <c r="AH537" s="24"/>
      <c r="AI537" s="24"/>
      <c r="AJ537" s="24"/>
      <c r="AK537" s="24"/>
      <c r="AL537" s="24"/>
      <c r="AM537" s="24"/>
      <c r="AN537" s="24"/>
      <c r="AO537" s="24"/>
      <c r="AP537" s="24"/>
      <c r="AQ537" s="24"/>
      <c r="AR537" s="24"/>
      <c r="AS537" s="24"/>
      <c r="AT537" s="24"/>
      <c r="AU537" s="24"/>
      <c r="AV537" s="24"/>
      <c r="AW537" s="24"/>
      <c r="AX537" s="24"/>
      <c r="AY537" s="24"/>
      <c r="AZ537" s="24"/>
      <c r="BA537" s="24"/>
      <c r="BB537" s="24"/>
      <c r="BC537" s="24"/>
      <c r="BD537" s="24"/>
      <c r="BE537" s="24"/>
      <c r="BF537" s="24"/>
      <c r="BG537" s="24"/>
      <c r="BH537" s="24"/>
    </row>
    <row r="538" spans="1:60">
      <c r="A538" s="7"/>
      <c r="B538" s="8"/>
      <c r="C538" s="9"/>
      <c r="D538" s="25"/>
      <c r="E538" s="25"/>
      <c r="F538" s="25"/>
      <c r="G538" s="25"/>
      <c r="H538" s="53"/>
      <c r="I538" s="53"/>
      <c r="J538" s="53"/>
      <c r="K538" s="24"/>
      <c r="L538" s="7"/>
      <c r="M538" s="24"/>
      <c r="N538" s="24"/>
      <c r="O538" s="24"/>
      <c r="P538" s="24"/>
      <c r="Q538" s="24"/>
      <c r="R538" s="24"/>
      <c r="S538" s="24"/>
      <c r="T538" s="24"/>
      <c r="U538" s="24"/>
      <c r="V538" s="24"/>
      <c r="W538" s="24"/>
      <c r="X538" s="24"/>
      <c r="Y538" s="24"/>
      <c r="Z538" s="24"/>
      <c r="AA538" s="24"/>
      <c r="AB538" s="24"/>
      <c r="AC538" s="24"/>
      <c r="AD538" s="24"/>
      <c r="AE538" s="24"/>
      <c r="AF538" s="24"/>
      <c r="AG538" s="24"/>
      <c r="AH538" s="24"/>
      <c r="AI538" s="24"/>
      <c r="AJ538" s="24"/>
      <c r="AK538" s="24"/>
      <c r="AL538" s="24"/>
      <c r="AM538" s="24"/>
      <c r="AN538" s="24"/>
      <c r="AO538" s="24"/>
      <c r="AP538" s="24"/>
      <c r="AQ538" s="24"/>
      <c r="AR538" s="24"/>
      <c r="AS538" s="24"/>
      <c r="AT538" s="24"/>
      <c r="AU538" s="24"/>
      <c r="AV538" s="24"/>
      <c r="AW538" s="24"/>
      <c r="AX538" s="24"/>
      <c r="AY538" s="24"/>
      <c r="AZ538" s="24"/>
      <c r="BA538" s="24"/>
      <c r="BB538" s="24"/>
      <c r="BC538" s="24"/>
      <c r="BD538" s="24"/>
      <c r="BE538" s="24"/>
      <c r="BF538" s="24"/>
      <c r="BG538" s="24"/>
      <c r="BH538" s="24"/>
    </row>
    <row r="539" spans="1:60">
      <c r="A539" s="7"/>
      <c r="B539" s="8"/>
      <c r="C539" s="9"/>
      <c r="D539" s="25"/>
      <c r="E539" s="25"/>
      <c r="F539" s="25"/>
      <c r="G539" s="25"/>
      <c r="H539" s="53"/>
      <c r="I539" s="53"/>
      <c r="J539" s="53"/>
      <c r="K539" s="24"/>
      <c r="L539" s="7"/>
      <c r="M539" s="24"/>
      <c r="N539" s="24"/>
      <c r="O539" s="24"/>
      <c r="P539" s="24"/>
      <c r="Q539" s="24"/>
      <c r="R539" s="24"/>
      <c r="S539" s="24"/>
      <c r="T539" s="24"/>
      <c r="U539" s="24"/>
      <c r="V539" s="24"/>
      <c r="W539" s="24"/>
      <c r="X539" s="24"/>
      <c r="Y539" s="24"/>
      <c r="Z539" s="24"/>
      <c r="AA539" s="24"/>
      <c r="AB539" s="24"/>
      <c r="AC539" s="24"/>
      <c r="AD539" s="24"/>
      <c r="AE539" s="24"/>
      <c r="AF539" s="24"/>
      <c r="AG539" s="24"/>
      <c r="AH539" s="24"/>
      <c r="AI539" s="24"/>
      <c r="AJ539" s="24"/>
      <c r="AK539" s="24"/>
      <c r="AL539" s="24"/>
      <c r="AM539" s="24"/>
      <c r="AN539" s="24"/>
      <c r="AO539" s="24"/>
      <c r="AP539" s="24"/>
      <c r="AQ539" s="24"/>
      <c r="AR539" s="24"/>
      <c r="AS539" s="24"/>
      <c r="AT539" s="24"/>
      <c r="AU539" s="24"/>
      <c r="AV539" s="24"/>
      <c r="AW539" s="24"/>
      <c r="AX539" s="24"/>
      <c r="AY539" s="24"/>
      <c r="AZ539" s="24"/>
      <c r="BA539" s="24"/>
      <c r="BB539" s="24"/>
      <c r="BC539" s="24"/>
      <c r="BD539" s="24"/>
      <c r="BE539" s="24"/>
      <c r="BF539" s="24"/>
      <c r="BG539" s="24"/>
      <c r="BH539" s="24"/>
    </row>
    <row r="540" spans="1:60">
      <c r="A540" s="7"/>
      <c r="B540" s="8"/>
      <c r="C540" s="9"/>
      <c r="D540" s="25"/>
      <c r="E540" s="25"/>
      <c r="F540" s="25"/>
      <c r="G540" s="25"/>
      <c r="H540" s="53"/>
      <c r="I540" s="53"/>
      <c r="J540" s="53"/>
      <c r="K540" s="24"/>
      <c r="L540" s="7"/>
      <c r="M540" s="24"/>
      <c r="N540" s="24"/>
      <c r="O540" s="24"/>
      <c r="P540" s="24"/>
      <c r="Q540" s="24"/>
      <c r="R540" s="24"/>
      <c r="S540" s="24"/>
      <c r="T540" s="24"/>
      <c r="U540" s="24"/>
      <c r="V540" s="24"/>
      <c r="W540" s="24"/>
      <c r="X540" s="24"/>
      <c r="Y540" s="24"/>
      <c r="Z540" s="24"/>
      <c r="AA540" s="24"/>
      <c r="AB540" s="24"/>
      <c r="AC540" s="24"/>
      <c r="AD540" s="24"/>
      <c r="AE540" s="24"/>
      <c r="AF540" s="24"/>
      <c r="AG540" s="24"/>
      <c r="AH540" s="24"/>
      <c r="AI540" s="24"/>
      <c r="AJ540" s="24"/>
      <c r="AK540" s="24"/>
      <c r="AL540" s="24"/>
      <c r="AM540" s="24"/>
      <c r="AN540" s="24"/>
      <c r="AO540" s="24"/>
      <c r="AP540" s="24"/>
      <c r="AQ540" s="24"/>
      <c r="AR540" s="24"/>
      <c r="AS540" s="24"/>
      <c r="AT540" s="24"/>
      <c r="AU540" s="24"/>
      <c r="AV540" s="24"/>
      <c r="AW540" s="24"/>
      <c r="AX540" s="24"/>
      <c r="AY540" s="24"/>
      <c r="AZ540" s="24"/>
      <c r="BA540" s="24"/>
      <c r="BB540" s="24"/>
      <c r="BC540" s="24"/>
      <c r="BD540" s="24"/>
      <c r="BE540" s="24"/>
      <c r="BF540" s="24"/>
      <c r="BG540" s="24"/>
      <c r="BH540" s="24"/>
    </row>
    <row r="541" spans="1:60">
      <c r="A541" s="7"/>
      <c r="B541" s="8"/>
      <c r="C541" s="9"/>
      <c r="D541" s="25"/>
      <c r="E541" s="25"/>
      <c r="F541" s="25"/>
      <c r="G541" s="25"/>
      <c r="H541" s="53"/>
      <c r="I541" s="53"/>
      <c r="J541" s="53"/>
      <c r="K541" s="24"/>
      <c r="L541" s="7"/>
      <c r="M541" s="24"/>
      <c r="N541" s="24"/>
      <c r="O541" s="24"/>
      <c r="P541" s="24"/>
      <c r="Q541" s="24"/>
      <c r="R541" s="24"/>
      <c r="S541" s="24"/>
      <c r="T541" s="24"/>
      <c r="U541" s="24"/>
      <c r="V541" s="24"/>
      <c r="W541" s="24"/>
      <c r="X541" s="24"/>
      <c r="Y541" s="24"/>
      <c r="Z541" s="24"/>
      <c r="AA541" s="24"/>
      <c r="AB541" s="24"/>
      <c r="AC541" s="24"/>
      <c r="AD541" s="24"/>
      <c r="AE541" s="24"/>
      <c r="AF541" s="24"/>
      <c r="AG541" s="24"/>
      <c r="AH541" s="24"/>
      <c r="AI541" s="24"/>
      <c r="AJ541" s="24"/>
      <c r="AK541" s="24"/>
      <c r="AL541" s="24"/>
      <c r="AM541" s="24"/>
      <c r="AN541" s="24"/>
      <c r="AO541" s="24"/>
      <c r="AP541" s="24"/>
      <c r="AQ541" s="24"/>
      <c r="AR541" s="24"/>
      <c r="AS541" s="24"/>
      <c r="AT541" s="24"/>
      <c r="AU541" s="24"/>
      <c r="AV541" s="24"/>
      <c r="AW541" s="24"/>
      <c r="AX541" s="24"/>
      <c r="AY541" s="24"/>
      <c r="AZ541" s="24"/>
      <c r="BA541" s="24"/>
      <c r="BB541" s="24"/>
      <c r="BC541" s="24"/>
      <c r="BD541" s="24"/>
      <c r="BE541" s="24"/>
      <c r="BF541" s="24"/>
      <c r="BG541" s="24"/>
      <c r="BH541" s="24"/>
    </row>
    <row r="542" spans="1:60">
      <c r="A542" s="7"/>
      <c r="B542" s="8"/>
      <c r="C542" s="9"/>
      <c r="D542" s="25"/>
      <c r="E542" s="25"/>
      <c r="F542" s="25"/>
      <c r="G542" s="25"/>
      <c r="H542" s="53"/>
      <c r="I542" s="53"/>
      <c r="J542" s="53"/>
      <c r="K542" s="24"/>
      <c r="L542" s="7"/>
      <c r="M542" s="24"/>
      <c r="N542" s="24"/>
      <c r="O542" s="24"/>
      <c r="P542" s="24"/>
      <c r="Q542" s="24"/>
      <c r="R542" s="24"/>
      <c r="S542" s="24"/>
      <c r="T542" s="24"/>
      <c r="U542" s="24"/>
      <c r="V542" s="24"/>
      <c r="W542" s="24"/>
      <c r="X542" s="24"/>
      <c r="Y542" s="24"/>
      <c r="Z542" s="24"/>
      <c r="AA542" s="24"/>
      <c r="AB542" s="24"/>
      <c r="AC542" s="24"/>
      <c r="AD542" s="24"/>
      <c r="AE542" s="24"/>
      <c r="AF542" s="24"/>
      <c r="AG542" s="24"/>
      <c r="AH542" s="24"/>
      <c r="AI542" s="24"/>
      <c r="AJ542" s="24"/>
      <c r="AK542" s="24"/>
      <c r="AL542" s="24"/>
      <c r="AM542" s="24"/>
      <c r="AN542" s="24"/>
      <c r="AO542" s="24"/>
      <c r="AP542" s="24"/>
      <c r="AQ542" s="24"/>
      <c r="AR542" s="24"/>
      <c r="AS542" s="24"/>
      <c r="AT542" s="24"/>
      <c r="AU542" s="24"/>
      <c r="AV542" s="24"/>
      <c r="AW542" s="24"/>
      <c r="AX542" s="24"/>
      <c r="AY542" s="24"/>
      <c r="AZ542" s="24"/>
      <c r="BA542" s="24"/>
      <c r="BB542" s="24"/>
      <c r="BC542" s="24"/>
      <c r="BD542" s="24"/>
      <c r="BE542" s="24"/>
      <c r="BF542" s="24"/>
      <c r="BG542" s="24"/>
      <c r="BH542" s="24"/>
    </row>
    <row r="543" spans="1:60">
      <c r="A543" s="7"/>
      <c r="B543" s="8"/>
      <c r="C543" s="9"/>
      <c r="D543" s="25"/>
      <c r="E543" s="25"/>
      <c r="F543" s="25"/>
      <c r="G543" s="25"/>
      <c r="H543" s="53"/>
      <c r="I543" s="53"/>
      <c r="J543" s="53"/>
      <c r="K543" s="24"/>
      <c r="L543" s="7"/>
      <c r="M543" s="24"/>
      <c r="N543" s="24"/>
      <c r="O543" s="24"/>
      <c r="P543" s="24"/>
      <c r="Q543" s="24"/>
      <c r="R543" s="24"/>
      <c r="S543" s="24"/>
      <c r="T543" s="24"/>
      <c r="U543" s="24"/>
      <c r="V543" s="24"/>
      <c r="W543" s="24"/>
      <c r="X543" s="24"/>
      <c r="Y543" s="24"/>
      <c r="Z543" s="24"/>
      <c r="AA543" s="24"/>
      <c r="AB543" s="24"/>
      <c r="AC543" s="24"/>
      <c r="AD543" s="24"/>
      <c r="AE543" s="24"/>
      <c r="AF543" s="24"/>
      <c r="AG543" s="24"/>
      <c r="AH543" s="24"/>
      <c r="AI543" s="24"/>
      <c r="AJ543" s="24"/>
      <c r="AK543" s="24"/>
      <c r="AL543" s="24"/>
      <c r="AM543" s="24"/>
      <c r="AN543" s="24"/>
      <c r="AO543" s="24"/>
      <c r="AP543" s="24"/>
      <c r="AQ543" s="24"/>
      <c r="AR543" s="24"/>
      <c r="AS543" s="24"/>
      <c r="AT543" s="24"/>
      <c r="AU543" s="24"/>
      <c r="AV543" s="24"/>
      <c r="AW543" s="24"/>
      <c r="AX543" s="24"/>
      <c r="AY543" s="24"/>
      <c r="AZ543" s="24"/>
      <c r="BA543" s="24"/>
      <c r="BB543" s="24"/>
      <c r="BC543" s="24"/>
      <c r="BD543" s="24"/>
      <c r="BE543" s="24"/>
      <c r="BF543" s="24"/>
      <c r="BG543" s="24"/>
      <c r="BH543" s="24"/>
    </row>
    <row r="544" spans="1:60">
      <c r="A544" s="7"/>
      <c r="B544" s="8"/>
      <c r="C544" s="9"/>
      <c r="D544" s="25"/>
      <c r="E544" s="25"/>
      <c r="F544" s="25"/>
      <c r="G544" s="25"/>
      <c r="H544" s="53"/>
      <c r="I544" s="53"/>
      <c r="J544" s="53"/>
      <c r="K544" s="24"/>
      <c r="L544" s="7"/>
      <c r="M544" s="24"/>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4"/>
      <c r="AK544" s="24"/>
      <c r="AL544" s="24"/>
      <c r="AM544" s="24"/>
      <c r="AN544" s="24"/>
      <c r="AO544" s="24"/>
      <c r="AP544" s="24"/>
      <c r="AQ544" s="24"/>
      <c r="AR544" s="24"/>
      <c r="AS544" s="24"/>
      <c r="AT544" s="24"/>
      <c r="AU544" s="24"/>
      <c r="AV544" s="24"/>
      <c r="AW544" s="24"/>
      <c r="AX544" s="24"/>
      <c r="AY544" s="24"/>
      <c r="AZ544" s="24"/>
      <c r="BA544" s="24"/>
      <c r="BB544" s="24"/>
      <c r="BC544" s="24"/>
      <c r="BD544" s="24"/>
      <c r="BE544" s="24"/>
      <c r="BF544" s="24"/>
      <c r="BG544" s="24"/>
      <c r="BH544" s="24"/>
    </row>
    <row r="545" spans="1:60">
      <c r="A545" s="7"/>
      <c r="B545" s="8"/>
      <c r="C545" s="9"/>
      <c r="D545" s="25"/>
      <c r="E545" s="25"/>
      <c r="F545" s="25"/>
      <c r="G545" s="25"/>
      <c r="H545" s="53"/>
      <c r="I545" s="53"/>
      <c r="J545" s="53"/>
      <c r="K545" s="24"/>
      <c r="L545" s="7"/>
      <c r="M545" s="24"/>
      <c r="N545" s="24"/>
      <c r="O545" s="24"/>
      <c r="P545" s="24"/>
      <c r="Q545" s="24"/>
      <c r="R545" s="24"/>
      <c r="S545" s="24"/>
      <c r="T545" s="24"/>
      <c r="U545" s="24"/>
      <c r="V545" s="24"/>
      <c r="W545" s="24"/>
      <c r="X545" s="24"/>
      <c r="Y545" s="24"/>
      <c r="Z545" s="24"/>
      <c r="AA545" s="24"/>
      <c r="AB545" s="24"/>
      <c r="AC545" s="24"/>
      <c r="AD545" s="24"/>
      <c r="AE545" s="24"/>
      <c r="AF545" s="24"/>
      <c r="AG545" s="24"/>
      <c r="AH545" s="24"/>
      <c r="AI545" s="24"/>
      <c r="AJ545" s="24"/>
      <c r="AK545" s="24"/>
      <c r="AL545" s="24"/>
      <c r="AM545" s="24"/>
      <c r="AN545" s="24"/>
      <c r="AO545" s="24"/>
      <c r="AP545" s="24"/>
      <c r="AQ545" s="24"/>
      <c r="AR545" s="24"/>
      <c r="AS545" s="24"/>
      <c r="AT545" s="24"/>
      <c r="AU545" s="24"/>
      <c r="AV545" s="24"/>
      <c r="AW545" s="24"/>
      <c r="AX545" s="24"/>
      <c r="AY545" s="24"/>
      <c r="AZ545" s="24"/>
      <c r="BA545" s="24"/>
      <c r="BB545" s="24"/>
      <c r="BC545" s="24"/>
      <c r="BD545" s="24"/>
      <c r="BE545" s="24"/>
      <c r="BF545" s="24"/>
      <c r="BG545" s="24"/>
      <c r="BH545" s="24"/>
    </row>
    <row r="546" spans="1:60">
      <c r="A546" s="7"/>
      <c r="B546" s="8"/>
      <c r="C546" s="9"/>
      <c r="D546" s="25"/>
      <c r="E546" s="25"/>
      <c r="F546" s="25"/>
      <c r="G546" s="25"/>
      <c r="H546" s="53"/>
      <c r="I546" s="53"/>
      <c r="J546" s="53"/>
      <c r="K546" s="24"/>
      <c r="L546" s="7"/>
      <c r="M546" s="24"/>
      <c r="N546" s="24"/>
      <c r="O546" s="24"/>
      <c r="P546" s="24"/>
      <c r="Q546" s="24"/>
      <c r="R546" s="24"/>
      <c r="S546" s="24"/>
      <c r="T546" s="24"/>
      <c r="U546" s="24"/>
      <c r="V546" s="24"/>
      <c r="W546" s="24"/>
      <c r="X546" s="24"/>
      <c r="Y546" s="24"/>
      <c r="Z546" s="24"/>
      <c r="AA546" s="24"/>
      <c r="AB546" s="24"/>
      <c r="AC546" s="24"/>
      <c r="AD546" s="24"/>
      <c r="AE546" s="24"/>
      <c r="AF546" s="24"/>
      <c r="AG546" s="24"/>
      <c r="AH546" s="24"/>
      <c r="AI546" s="24"/>
      <c r="AJ546" s="24"/>
      <c r="AK546" s="24"/>
      <c r="AL546" s="24"/>
      <c r="AM546" s="24"/>
      <c r="AN546" s="24"/>
      <c r="AO546" s="24"/>
      <c r="AP546" s="24"/>
      <c r="AQ546" s="24"/>
      <c r="AR546" s="24"/>
      <c r="AS546" s="24"/>
      <c r="AT546" s="24"/>
      <c r="AU546" s="24"/>
      <c r="AV546" s="24"/>
      <c r="AW546" s="24"/>
      <c r="AX546" s="24"/>
      <c r="AY546" s="24"/>
      <c r="AZ546" s="24"/>
      <c r="BA546" s="24"/>
      <c r="BB546" s="24"/>
      <c r="BC546" s="24"/>
      <c r="BD546" s="24"/>
      <c r="BE546" s="24"/>
      <c r="BF546" s="24"/>
      <c r="BG546" s="24"/>
      <c r="BH546" s="24"/>
    </row>
    <row r="547" spans="1:60">
      <c r="A547" s="7"/>
      <c r="B547" s="8"/>
      <c r="C547" s="9"/>
      <c r="D547" s="25"/>
      <c r="E547" s="25"/>
      <c r="F547" s="25"/>
      <c r="G547" s="25"/>
      <c r="H547" s="53"/>
      <c r="I547" s="53"/>
      <c r="J547" s="53"/>
      <c r="K547" s="24"/>
      <c r="L547" s="7"/>
      <c r="M547" s="24"/>
      <c r="N547" s="24"/>
      <c r="O547" s="24"/>
      <c r="P547" s="24"/>
      <c r="Q547" s="24"/>
      <c r="R547" s="24"/>
      <c r="S547" s="24"/>
      <c r="T547" s="24"/>
      <c r="U547" s="24"/>
      <c r="V547" s="24"/>
      <c r="W547" s="24"/>
      <c r="X547" s="24"/>
      <c r="Y547" s="24"/>
      <c r="Z547" s="24"/>
      <c r="AA547" s="24"/>
      <c r="AB547" s="24"/>
      <c r="AC547" s="24"/>
      <c r="AD547" s="24"/>
      <c r="AE547" s="24"/>
      <c r="AF547" s="24"/>
      <c r="AG547" s="24"/>
      <c r="AH547" s="24"/>
      <c r="AI547" s="24"/>
      <c r="AJ547" s="24"/>
      <c r="AK547" s="24"/>
      <c r="AL547" s="24"/>
      <c r="AM547" s="24"/>
      <c r="AN547" s="24"/>
      <c r="AO547" s="24"/>
      <c r="AP547" s="24"/>
      <c r="AQ547" s="24"/>
      <c r="AR547" s="24"/>
      <c r="AS547" s="24"/>
      <c r="AT547" s="24"/>
      <c r="AU547" s="24"/>
      <c r="AV547" s="24"/>
      <c r="AW547" s="24"/>
      <c r="AX547" s="24"/>
      <c r="AY547" s="24"/>
      <c r="AZ547" s="24"/>
      <c r="BA547" s="24"/>
      <c r="BB547" s="24"/>
      <c r="BC547" s="24"/>
      <c r="BD547" s="24"/>
      <c r="BE547" s="24"/>
      <c r="BF547" s="24"/>
      <c r="BG547" s="24"/>
      <c r="BH547" s="24"/>
    </row>
    <row r="548" spans="1:60">
      <c r="A548" s="7"/>
      <c r="B548" s="8"/>
      <c r="C548" s="9"/>
      <c r="D548" s="25"/>
      <c r="E548" s="25"/>
      <c r="F548" s="25"/>
      <c r="G548" s="25"/>
      <c r="H548" s="53"/>
      <c r="I548" s="53"/>
      <c r="J548" s="53"/>
      <c r="K548" s="24"/>
      <c r="L548" s="7"/>
      <c r="M548" s="24"/>
      <c r="N548" s="24"/>
      <c r="O548" s="24"/>
      <c r="P548" s="24"/>
      <c r="Q548" s="24"/>
      <c r="R548" s="24"/>
      <c r="S548" s="24"/>
      <c r="T548" s="24"/>
      <c r="U548" s="24"/>
      <c r="V548" s="24"/>
      <c r="W548" s="24"/>
      <c r="X548" s="24"/>
      <c r="Y548" s="24"/>
      <c r="Z548" s="24"/>
      <c r="AA548" s="24"/>
      <c r="AB548" s="24"/>
      <c r="AC548" s="24"/>
      <c r="AD548" s="24"/>
      <c r="AE548" s="24"/>
      <c r="AF548" s="24"/>
      <c r="AG548" s="24"/>
      <c r="AH548" s="24"/>
      <c r="AI548" s="24"/>
      <c r="AJ548" s="24"/>
      <c r="AK548" s="24"/>
      <c r="AL548" s="24"/>
      <c r="AM548" s="24"/>
      <c r="AN548" s="24"/>
      <c r="AO548" s="24"/>
      <c r="AP548" s="24"/>
      <c r="AQ548" s="24"/>
      <c r="AR548" s="24"/>
      <c r="AS548" s="24"/>
      <c r="AT548" s="24"/>
      <c r="AU548" s="24"/>
      <c r="AV548" s="24"/>
      <c r="AW548" s="24"/>
      <c r="AX548" s="24"/>
      <c r="AY548" s="24"/>
      <c r="AZ548" s="24"/>
      <c r="BA548" s="24"/>
      <c r="BB548" s="24"/>
      <c r="BC548" s="24"/>
      <c r="BD548" s="24"/>
      <c r="BE548" s="24"/>
      <c r="BF548" s="24"/>
      <c r="BG548" s="24"/>
      <c r="BH548" s="24"/>
    </row>
    <row r="549" spans="1:60">
      <c r="A549" s="7"/>
      <c r="B549" s="8"/>
      <c r="C549" s="9"/>
      <c r="D549" s="25"/>
      <c r="E549" s="25"/>
      <c r="F549" s="25"/>
      <c r="G549" s="25"/>
      <c r="H549" s="53"/>
      <c r="I549" s="53"/>
      <c r="J549" s="53"/>
      <c r="K549" s="24"/>
      <c r="L549" s="7"/>
      <c r="M549" s="24"/>
      <c r="N549" s="24"/>
      <c r="O549" s="24"/>
      <c r="P549" s="24"/>
      <c r="Q549" s="24"/>
      <c r="R549" s="24"/>
      <c r="S549" s="24"/>
      <c r="T549" s="24"/>
      <c r="U549" s="24"/>
      <c r="V549" s="24"/>
      <c r="W549" s="24"/>
      <c r="X549" s="24"/>
      <c r="Y549" s="24"/>
      <c r="Z549" s="24"/>
      <c r="AA549" s="24"/>
      <c r="AB549" s="24"/>
      <c r="AC549" s="24"/>
      <c r="AD549" s="24"/>
      <c r="AE549" s="24"/>
      <c r="AF549" s="24"/>
      <c r="AG549" s="24"/>
      <c r="AH549" s="24"/>
      <c r="AI549" s="24"/>
      <c r="AJ549" s="24"/>
      <c r="AK549" s="24"/>
      <c r="AL549" s="24"/>
      <c r="AM549" s="24"/>
      <c r="AN549" s="24"/>
      <c r="AO549" s="24"/>
      <c r="AP549" s="24"/>
      <c r="AQ549" s="24"/>
      <c r="AR549" s="24"/>
      <c r="AS549" s="24"/>
      <c r="AT549" s="24"/>
      <c r="AU549" s="24"/>
      <c r="AV549" s="24"/>
      <c r="AW549" s="24"/>
      <c r="AX549" s="24"/>
      <c r="AY549" s="24"/>
      <c r="AZ549" s="24"/>
      <c r="BA549" s="24"/>
      <c r="BB549" s="24"/>
      <c r="BC549" s="24"/>
      <c r="BD549" s="24"/>
      <c r="BE549" s="24"/>
      <c r="BF549" s="24"/>
      <c r="BG549" s="24"/>
      <c r="BH549" s="24"/>
    </row>
    <row r="550" spans="1:60">
      <c r="A550" s="7"/>
      <c r="B550" s="8"/>
      <c r="C550" s="9"/>
      <c r="D550" s="25"/>
      <c r="E550" s="25"/>
      <c r="F550" s="25"/>
      <c r="G550" s="25"/>
      <c r="H550" s="53"/>
      <c r="I550" s="53"/>
      <c r="J550" s="53"/>
      <c r="K550" s="24"/>
      <c r="L550" s="7"/>
      <c r="M550" s="24"/>
      <c r="N550" s="24"/>
      <c r="O550" s="24"/>
      <c r="P550" s="24"/>
      <c r="Q550" s="24"/>
      <c r="R550" s="24"/>
      <c r="S550" s="24"/>
      <c r="T550" s="24"/>
      <c r="U550" s="24"/>
      <c r="V550" s="24"/>
      <c r="W550" s="24"/>
      <c r="X550" s="24"/>
      <c r="Y550" s="24"/>
      <c r="Z550" s="24"/>
      <c r="AA550" s="24"/>
      <c r="AB550" s="24"/>
      <c r="AC550" s="24"/>
      <c r="AD550" s="24"/>
      <c r="AE550" s="24"/>
      <c r="AF550" s="24"/>
      <c r="AG550" s="24"/>
      <c r="AH550" s="24"/>
      <c r="AI550" s="24"/>
      <c r="AJ550" s="24"/>
      <c r="AK550" s="24"/>
      <c r="AL550" s="24"/>
      <c r="AM550" s="24"/>
      <c r="AN550" s="24"/>
      <c r="AO550" s="24"/>
      <c r="AP550" s="24"/>
      <c r="AQ550" s="24"/>
      <c r="AR550" s="24"/>
      <c r="AS550" s="24"/>
      <c r="AT550" s="24"/>
      <c r="AU550" s="24"/>
      <c r="AV550" s="24"/>
      <c r="AW550" s="24"/>
      <c r="AX550" s="24"/>
      <c r="AY550" s="24"/>
      <c r="AZ550" s="24"/>
      <c r="BA550" s="24"/>
      <c r="BB550" s="24"/>
      <c r="BC550" s="24"/>
      <c r="BD550" s="24"/>
      <c r="BE550" s="24"/>
      <c r="BF550" s="24"/>
      <c r="BG550" s="24"/>
      <c r="BH550" s="24"/>
    </row>
    <row r="551" spans="1:60">
      <c r="A551" s="7"/>
      <c r="B551" s="8"/>
      <c r="C551" s="9"/>
      <c r="D551" s="25"/>
      <c r="E551" s="25"/>
      <c r="F551" s="25"/>
      <c r="G551" s="25"/>
      <c r="H551" s="53"/>
      <c r="I551" s="53"/>
      <c r="J551" s="53"/>
      <c r="K551" s="24"/>
      <c r="L551" s="7"/>
      <c r="M551" s="24"/>
      <c r="N551" s="24"/>
      <c r="O551" s="24"/>
      <c r="P551" s="24"/>
      <c r="Q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4"/>
      <c r="BF551" s="24"/>
      <c r="BG551" s="24"/>
      <c r="BH551" s="24"/>
    </row>
    <row r="552" spans="1:60">
      <c r="A552" s="7"/>
      <c r="B552" s="8"/>
      <c r="C552" s="9"/>
      <c r="D552" s="25"/>
      <c r="E552" s="25"/>
      <c r="F552" s="25"/>
      <c r="G552" s="25"/>
      <c r="H552" s="53"/>
      <c r="I552" s="53"/>
      <c r="J552" s="53"/>
      <c r="K552" s="24"/>
      <c r="L552" s="7"/>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24"/>
      <c r="BG552" s="24"/>
      <c r="BH552" s="24"/>
    </row>
    <row r="553" spans="1:60">
      <c r="A553" s="7"/>
      <c r="B553" s="8"/>
      <c r="C553" s="9"/>
      <c r="D553" s="25"/>
      <c r="E553" s="25"/>
      <c r="F553" s="25"/>
      <c r="G553" s="25"/>
      <c r="H553" s="53"/>
      <c r="I553" s="53"/>
      <c r="J553" s="53"/>
      <c r="K553" s="24"/>
      <c r="L553" s="7"/>
      <c r="M553" s="24"/>
      <c r="N553" s="24"/>
      <c r="O553" s="24"/>
      <c r="P553" s="24"/>
      <c r="Q553" s="24"/>
      <c r="R553" s="24"/>
      <c r="S553" s="24"/>
      <c r="T553" s="24"/>
      <c r="U553" s="24"/>
      <c r="V553" s="24"/>
      <c r="W553" s="24"/>
      <c r="X553" s="24"/>
      <c r="Y553" s="24"/>
      <c r="Z553" s="24"/>
      <c r="AA553" s="24"/>
      <c r="AB553" s="24"/>
      <c r="AC553" s="24"/>
      <c r="AD553" s="24"/>
      <c r="AE553" s="24"/>
      <c r="AF553" s="24"/>
      <c r="AG553" s="24"/>
      <c r="AH553" s="24"/>
      <c r="AI553" s="24"/>
      <c r="AJ553" s="24"/>
      <c r="AK553" s="24"/>
      <c r="AL553" s="24"/>
      <c r="AM553" s="24"/>
      <c r="AN553" s="24"/>
      <c r="AO553" s="24"/>
      <c r="AP553" s="24"/>
      <c r="AQ553" s="24"/>
      <c r="AR553" s="24"/>
      <c r="AS553" s="24"/>
      <c r="AT553" s="24"/>
      <c r="AU553" s="24"/>
      <c r="AV553" s="24"/>
      <c r="AW553" s="24"/>
      <c r="AX553" s="24"/>
      <c r="AY553" s="24"/>
      <c r="AZ553" s="24"/>
      <c r="BA553" s="24"/>
      <c r="BB553" s="24"/>
      <c r="BC553" s="24"/>
      <c r="BD553" s="24"/>
      <c r="BE553" s="24"/>
      <c r="BF553" s="24"/>
      <c r="BG553" s="24"/>
      <c r="BH553" s="24"/>
    </row>
    <row r="554" spans="1:60">
      <c r="A554" s="7"/>
      <c r="B554" s="8"/>
      <c r="C554" s="9"/>
      <c r="D554" s="25"/>
      <c r="E554" s="25"/>
      <c r="F554" s="25"/>
      <c r="G554" s="25"/>
      <c r="H554" s="53"/>
      <c r="I554" s="53"/>
      <c r="J554" s="53"/>
      <c r="K554" s="24"/>
      <c r="L554" s="7"/>
      <c r="M554" s="24"/>
      <c r="N554" s="24"/>
      <c r="O554" s="24"/>
      <c r="P554" s="24"/>
      <c r="Q554" s="24"/>
      <c r="R554" s="24"/>
      <c r="S554" s="24"/>
      <c r="T554" s="24"/>
      <c r="U554" s="24"/>
      <c r="V554" s="24"/>
      <c r="W554" s="24"/>
      <c r="X554" s="24"/>
      <c r="Y554" s="24"/>
      <c r="Z554" s="24"/>
      <c r="AA554" s="24"/>
      <c r="AB554" s="24"/>
      <c r="AC554" s="24"/>
      <c r="AD554" s="24"/>
      <c r="AE554" s="24"/>
      <c r="AF554" s="24"/>
      <c r="AG554" s="24"/>
      <c r="AH554" s="24"/>
      <c r="AI554" s="24"/>
      <c r="AJ554" s="24"/>
      <c r="AK554" s="24"/>
      <c r="AL554" s="24"/>
      <c r="AM554" s="24"/>
      <c r="AN554" s="24"/>
      <c r="AO554" s="24"/>
      <c r="AP554" s="24"/>
      <c r="AQ554" s="24"/>
      <c r="AR554" s="24"/>
      <c r="AS554" s="24"/>
      <c r="AT554" s="24"/>
      <c r="AU554" s="24"/>
      <c r="AV554" s="24"/>
      <c r="AW554" s="24"/>
      <c r="AX554" s="24"/>
      <c r="AY554" s="24"/>
      <c r="AZ554" s="24"/>
      <c r="BA554" s="24"/>
      <c r="BB554" s="24"/>
      <c r="BC554" s="24"/>
      <c r="BD554" s="24"/>
      <c r="BE554" s="24"/>
      <c r="BF554" s="24"/>
      <c r="BG554" s="24"/>
      <c r="BH554" s="24"/>
    </row>
    <row r="555" spans="1:60">
      <c r="A555" s="7"/>
      <c r="B555" s="8"/>
      <c r="C555" s="9"/>
      <c r="D555" s="25"/>
      <c r="E555" s="25"/>
      <c r="F555" s="25"/>
      <c r="G555" s="25"/>
      <c r="H555" s="53"/>
      <c r="I555" s="53"/>
      <c r="J555" s="53"/>
      <c r="K555" s="24"/>
      <c r="L555" s="7"/>
      <c r="M555" s="24"/>
      <c r="N555" s="24"/>
      <c r="O555" s="24"/>
      <c r="P555" s="24"/>
      <c r="Q555" s="24"/>
      <c r="R555" s="24"/>
      <c r="S555" s="24"/>
      <c r="T555" s="24"/>
      <c r="U555" s="24"/>
      <c r="V555" s="24"/>
      <c r="W555" s="24"/>
      <c r="X555" s="24"/>
      <c r="Y555" s="24"/>
      <c r="Z555" s="24"/>
      <c r="AA555" s="24"/>
      <c r="AB555" s="24"/>
      <c r="AC555" s="24"/>
      <c r="AD555" s="24"/>
      <c r="AE555" s="24"/>
      <c r="AF555" s="24"/>
      <c r="AG555" s="24"/>
      <c r="AH555" s="24"/>
      <c r="AI555" s="24"/>
      <c r="AJ555" s="24"/>
      <c r="AK555" s="24"/>
      <c r="AL555" s="24"/>
      <c r="AM555" s="24"/>
      <c r="AN555" s="24"/>
      <c r="AO555" s="24"/>
      <c r="AP555" s="24"/>
      <c r="AQ555" s="24"/>
      <c r="AR555" s="24"/>
      <c r="AS555" s="24"/>
      <c r="AT555" s="24"/>
      <c r="AU555" s="24"/>
      <c r="AV555" s="24"/>
      <c r="AW555" s="24"/>
      <c r="AX555" s="24"/>
      <c r="AY555" s="24"/>
      <c r="AZ555" s="24"/>
      <c r="BA555" s="24"/>
      <c r="BB555" s="24"/>
      <c r="BC555" s="24"/>
      <c r="BD555" s="24"/>
      <c r="BE555" s="24"/>
      <c r="BF555" s="24"/>
      <c r="BG555" s="24"/>
      <c r="BH555" s="24"/>
    </row>
    <row r="556" spans="1:60">
      <c r="A556" s="7"/>
      <c r="B556" s="8"/>
      <c r="C556" s="9"/>
      <c r="D556" s="25"/>
      <c r="E556" s="25"/>
      <c r="F556" s="25"/>
      <c r="G556" s="25"/>
      <c r="H556" s="53"/>
      <c r="I556" s="53"/>
      <c r="J556" s="53"/>
      <c r="K556" s="24"/>
      <c r="L556" s="7"/>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4"/>
      <c r="AK556" s="24"/>
      <c r="AL556" s="24"/>
      <c r="AM556" s="24"/>
      <c r="AN556" s="24"/>
      <c r="AO556" s="24"/>
      <c r="AP556" s="24"/>
      <c r="AQ556" s="24"/>
      <c r="AR556" s="24"/>
      <c r="AS556" s="24"/>
      <c r="AT556" s="24"/>
      <c r="AU556" s="24"/>
      <c r="AV556" s="24"/>
      <c r="AW556" s="24"/>
      <c r="AX556" s="24"/>
      <c r="AY556" s="24"/>
      <c r="AZ556" s="24"/>
      <c r="BA556" s="24"/>
      <c r="BB556" s="24"/>
      <c r="BC556" s="24"/>
      <c r="BD556" s="24"/>
      <c r="BE556" s="24"/>
      <c r="BF556" s="24"/>
      <c r="BG556" s="24"/>
      <c r="BH556" s="24"/>
    </row>
    <row r="557" spans="1:60">
      <c r="A557" s="7"/>
      <c r="B557" s="8"/>
      <c r="C557" s="9"/>
      <c r="D557" s="25"/>
      <c r="E557" s="25"/>
      <c r="F557" s="25"/>
      <c r="G557" s="25"/>
      <c r="H557" s="53"/>
      <c r="I557" s="53"/>
      <c r="J557" s="53"/>
      <c r="K557" s="24"/>
      <c r="L557" s="7"/>
      <c r="M557" s="24"/>
      <c r="N557" s="24"/>
      <c r="O557" s="24"/>
      <c r="P557" s="24"/>
      <c r="Q557" s="24"/>
      <c r="R557" s="24"/>
      <c r="S557" s="24"/>
      <c r="T557" s="24"/>
      <c r="U557" s="24"/>
      <c r="V557" s="24"/>
      <c r="W557" s="24"/>
      <c r="X557" s="24"/>
      <c r="Y557" s="24"/>
      <c r="Z557" s="24"/>
      <c r="AA557" s="24"/>
      <c r="AB557" s="24"/>
      <c r="AC557" s="24"/>
      <c r="AD557" s="24"/>
      <c r="AE557" s="24"/>
      <c r="AF557" s="24"/>
      <c r="AG557" s="24"/>
      <c r="AH557" s="24"/>
      <c r="AI557" s="24"/>
      <c r="AJ557" s="24"/>
      <c r="AK557" s="24"/>
      <c r="AL557" s="24"/>
      <c r="AM557" s="24"/>
      <c r="AN557" s="24"/>
      <c r="AO557" s="24"/>
      <c r="AP557" s="24"/>
      <c r="AQ557" s="24"/>
      <c r="AR557" s="24"/>
      <c r="AS557" s="24"/>
      <c r="AT557" s="24"/>
      <c r="AU557" s="24"/>
      <c r="AV557" s="24"/>
      <c r="AW557" s="24"/>
      <c r="AX557" s="24"/>
      <c r="AY557" s="24"/>
      <c r="AZ557" s="24"/>
      <c r="BA557" s="24"/>
      <c r="BB557" s="24"/>
      <c r="BC557" s="24"/>
      <c r="BD557" s="24"/>
      <c r="BE557" s="24"/>
      <c r="BF557" s="24"/>
      <c r="BG557" s="24"/>
      <c r="BH557" s="24"/>
    </row>
    <row r="558" spans="1:60">
      <c r="A558" s="7"/>
      <c r="B558" s="8"/>
      <c r="C558" s="9"/>
      <c r="D558" s="25"/>
      <c r="E558" s="25"/>
      <c r="F558" s="25"/>
      <c r="G558" s="25"/>
      <c r="H558" s="53"/>
      <c r="I558" s="53"/>
      <c r="J558" s="53"/>
      <c r="K558" s="24"/>
      <c r="L558" s="7"/>
      <c r="M558" s="24"/>
      <c r="N558" s="24"/>
      <c r="O558" s="24"/>
      <c r="P558" s="24"/>
      <c r="Q558" s="24"/>
      <c r="R558" s="24"/>
      <c r="S558" s="24"/>
      <c r="T558" s="24"/>
      <c r="U558" s="24"/>
      <c r="V558" s="24"/>
      <c r="W558" s="24"/>
      <c r="X558" s="24"/>
      <c r="Y558" s="24"/>
      <c r="Z558" s="24"/>
      <c r="AA558" s="24"/>
      <c r="AB558" s="24"/>
      <c r="AC558" s="24"/>
      <c r="AD558" s="24"/>
      <c r="AE558" s="24"/>
      <c r="AF558" s="24"/>
      <c r="AG558" s="24"/>
      <c r="AH558" s="24"/>
      <c r="AI558" s="24"/>
      <c r="AJ558" s="24"/>
      <c r="AK558" s="24"/>
      <c r="AL558" s="24"/>
      <c r="AM558" s="24"/>
      <c r="AN558" s="24"/>
      <c r="AO558" s="24"/>
      <c r="AP558" s="24"/>
      <c r="AQ558" s="24"/>
      <c r="AR558" s="24"/>
      <c r="AS558" s="24"/>
      <c r="AT558" s="24"/>
      <c r="AU558" s="24"/>
      <c r="AV558" s="24"/>
      <c r="AW558" s="24"/>
      <c r="AX558" s="24"/>
      <c r="AY558" s="24"/>
      <c r="AZ558" s="24"/>
      <c r="BA558" s="24"/>
      <c r="BB558" s="24"/>
      <c r="BC558" s="24"/>
      <c r="BD558" s="24"/>
      <c r="BE558" s="24"/>
      <c r="BF558" s="24"/>
      <c r="BG558" s="24"/>
      <c r="BH558" s="24"/>
    </row>
    <row r="559" spans="1:60">
      <c r="A559" s="7"/>
      <c r="B559" s="8"/>
      <c r="C559" s="9"/>
      <c r="D559" s="25"/>
      <c r="E559" s="25"/>
      <c r="F559" s="25"/>
      <c r="G559" s="25"/>
      <c r="H559" s="53"/>
      <c r="I559" s="53"/>
      <c r="J559" s="53"/>
      <c r="K559" s="24"/>
      <c r="L559" s="7"/>
      <c r="M559" s="24"/>
      <c r="N559" s="24"/>
      <c r="O559" s="24"/>
      <c r="P559" s="24"/>
      <c r="Q559" s="24"/>
      <c r="R559" s="24"/>
      <c r="S559" s="24"/>
      <c r="T559" s="24"/>
      <c r="U559" s="24"/>
      <c r="V559" s="24"/>
      <c r="W559" s="24"/>
      <c r="X559" s="24"/>
      <c r="Y559" s="24"/>
      <c r="Z559" s="24"/>
      <c r="AA559" s="24"/>
      <c r="AB559" s="24"/>
      <c r="AC559" s="24"/>
      <c r="AD559" s="24"/>
      <c r="AE559" s="24"/>
      <c r="AF559" s="24"/>
      <c r="AG559" s="24"/>
      <c r="AH559" s="24"/>
      <c r="AI559" s="24"/>
      <c r="AJ559" s="24"/>
      <c r="AK559" s="24"/>
      <c r="AL559" s="24"/>
      <c r="AM559" s="24"/>
      <c r="AN559" s="24"/>
      <c r="AO559" s="24"/>
      <c r="AP559" s="24"/>
      <c r="AQ559" s="24"/>
      <c r="AR559" s="24"/>
      <c r="AS559" s="24"/>
      <c r="AT559" s="24"/>
      <c r="AU559" s="24"/>
      <c r="AV559" s="24"/>
      <c r="AW559" s="24"/>
      <c r="AX559" s="24"/>
      <c r="AY559" s="24"/>
      <c r="AZ559" s="24"/>
      <c r="BA559" s="24"/>
      <c r="BB559" s="24"/>
      <c r="BC559" s="24"/>
      <c r="BD559" s="24"/>
      <c r="BE559" s="24"/>
      <c r="BF559" s="24"/>
      <c r="BG559" s="24"/>
      <c r="BH559" s="24"/>
    </row>
    <row r="560" spans="1:60">
      <c r="A560" s="7"/>
      <c r="B560" s="8"/>
      <c r="C560" s="9"/>
      <c r="D560" s="25"/>
      <c r="E560" s="25"/>
      <c r="F560" s="25"/>
      <c r="G560" s="25"/>
      <c r="H560" s="53"/>
      <c r="I560" s="53"/>
      <c r="J560" s="53"/>
      <c r="K560" s="24"/>
      <c r="L560" s="7"/>
      <c r="M560" s="24"/>
      <c r="N560" s="24"/>
      <c r="O560" s="24"/>
      <c r="P560" s="24"/>
      <c r="Q560" s="24"/>
      <c r="R560" s="24"/>
      <c r="S560" s="24"/>
      <c r="T560" s="24"/>
      <c r="U560" s="24"/>
      <c r="V560" s="24"/>
      <c r="W560" s="24"/>
      <c r="X560" s="24"/>
      <c r="Y560" s="24"/>
      <c r="Z560" s="24"/>
      <c r="AA560" s="24"/>
      <c r="AB560" s="24"/>
      <c r="AC560" s="24"/>
      <c r="AD560" s="24"/>
      <c r="AE560" s="24"/>
      <c r="AF560" s="24"/>
      <c r="AG560" s="24"/>
      <c r="AH560" s="24"/>
      <c r="AI560" s="24"/>
      <c r="AJ560" s="24"/>
      <c r="AK560" s="24"/>
      <c r="AL560" s="24"/>
      <c r="AM560" s="24"/>
      <c r="AN560" s="24"/>
      <c r="AO560" s="24"/>
      <c r="AP560" s="24"/>
      <c r="AQ560" s="24"/>
      <c r="AR560" s="24"/>
      <c r="AS560" s="24"/>
      <c r="AT560" s="24"/>
      <c r="AU560" s="24"/>
      <c r="AV560" s="24"/>
      <c r="AW560" s="24"/>
      <c r="AX560" s="24"/>
      <c r="AY560" s="24"/>
      <c r="AZ560" s="24"/>
      <c r="BA560" s="24"/>
      <c r="BB560" s="24"/>
      <c r="BC560" s="24"/>
      <c r="BD560" s="24"/>
      <c r="BE560" s="24"/>
      <c r="BF560" s="24"/>
      <c r="BG560" s="24"/>
      <c r="BH560" s="24"/>
    </row>
    <row r="561" spans="1:60">
      <c r="A561" s="7"/>
      <c r="B561" s="8"/>
      <c r="C561" s="9"/>
      <c r="D561" s="25"/>
      <c r="E561" s="25"/>
      <c r="F561" s="25"/>
      <c r="G561" s="25"/>
      <c r="H561" s="53"/>
      <c r="I561" s="53"/>
      <c r="J561" s="53"/>
      <c r="K561" s="24"/>
      <c r="L561" s="7"/>
      <c r="M561" s="24"/>
      <c r="N561" s="24"/>
      <c r="O561" s="24"/>
      <c r="P561" s="24"/>
      <c r="Q561" s="24"/>
      <c r="R561" s="24"/>
      <c r="S561" s="24"/>
      <c r="T561" s="24"/>
      <c r="U561" s="24"/>
      <c r="V561" s="24"/>
      <c r="W561" s="24"/>
      <c r="X561" s="24"/>
      <c r="Y561" s="24"/>
      <c r="Z561" s="24"/>
      <c r="AA561" s="24"/>
      <c r="AB561" s="24"/>
      <c r="AC561" s="24"/>
      <c r="AD561" s="24"/>
      <c r="AE561" s="24"/>
      <c r="AF561" s="24"/>
      <c r="AG561" s="24"/>
      <c r="AH561" s="24"/>
      <c r="AI561" s="24"/>
      <c r="AJ561" s="24"/>
      <c r="AK561" s="24"/>
      <c r="AL561" s="24"/>
      <c r="AM561" s="24"/>
      <c r="AN561" s="24"/>
      <c r="AO561" s="24"/>
      <c r="AP561" s="24"/>
      <c r="AQ561" s="24"/>
      <c r="AR561" s="24"/>
      <c r="AS561" s="24"/>
      <c r="AT561" s="24"/>
      <c r="AU561" s="24"/>
      <c r="AV561" s="24"/>
      <c r="AW561" s="24"/>
      <c r="AX561" s="24"/>
      <c r="AY561" s="24"/>
      <c r="AZ561" s="24"/>
      <c r="BA561" s="24"/>
      <c r="BB561" s="24"/>
      <c r="BC561" s="24"/>
      <c r="BD561" s="24"/>
      <c r="BE561" s="24"/>
      <c r="BF561" s="24"/>
      <c r="BG561" s="24"/>
      <c r="BH561" s="24"/>
    </row>
    <row r="562" spans="1:60">
      <c r="A562" s="7"/>
      <c r="B562" s="8"/>
      <c r="C562" s="9"/>
      <c r="D562" s="25"/>
      <c r="E562" s="25"/>
      <c r="F562" s="25"/>
      <c r="G562" s="25"/>
      <c r="H562" s="53"/>
      <c r="I562" s="53"/>
      <c r="J562" s="53"/>
      <c r="K562" s="24"/>
      <c r="L562" s="7"/>
      <c r="M562" s="24"/>
      <c r="N562" s="24"/>
      <c r="O562" s="24"/>
      <c r="P562" s="24"/>
      <c r="Q562" s="24"/>
      <c r="R562" s="24"/>
      <c r="S562" s="24"/>
      <c r="T562" s="24"/>
      <c r="U562" s="24"/>
      <c r="V562" s="24"/>
      <c r="W562" s="24"/>
      <c r="X562" s="24"/>
      <c r="Y562" s="24"/>
      <c r="Z562" s="24"/>
      <c r="AA562" s="24"/>
      <c r="AB562" s="24"/>
      <c r="AC562" s="24"/>
      <c r="AD562" s="24"/>
      <c r="AE562" s="24"/>
      <c r="AF562" s="24"/>
      <c r="AG562" s="24"/>
      <c r="AH562" s="24"/>
      <c r="AI562" s="24"/>
      <c r="AJ562" s="24"/>
      <c r="AK562" s="24"/>
      <c r="AL562" s="24"/>
      <c r="AM562" s="24"/>
      <c r="AN562" s="24"/>
      <c r="AO562" s="24"/>
      <c r="AP562" s="24"/>
      <c r="AQ562" s="24"/>
      <c r="AR562" s="24"/>
      <c r="AS562" s="24"/>
      <c r="AT562" s="24"/>
      <c r="AU562" s="24"/>
      <c r="AV562" s="24"/>
      <c r="AW562" s="24"/>
      <c r="AX562" s="24"/>
      <c r="AY562" s="24"/>
      <c r="AZ562" s="24"/>
      <c r="BA562" s="24"/>
      <c r="BB562" s="24"/>
      <c r="BC562" s="24"/>
      <c r="BD562" s="24"/>
      <c r="BE562" s="24"/>
      <c r="BF562" s="24"/>
      <c r="BG562" s="24"/>
      <c r="BH562" s="24"/>
    </row>
    <row r="563" spans="1:60">
      <c r="A563" s="7"/>
      <c r="B563" s="8"/>
      <c r="C563" s="9"/>
      <c r="D563" s="25"/>
      <c r="E563" s="25"/>
      <c r="F563" s="25"/>
      <c r="G563" s="25"/>
      <c r="H563" s="53"/>
      <c r="I563" s="53"/>
      <c r="J563" s="53"/>
      <c r="K563" s="24"/>
      <c r="L563" s="7"/>
      <c r="M563" s="24"/>
      <c r="N563" s="24"/>
      <c r="O563" s="24"/>
      <c r="P563" s="24"/>
      <c r="Q563" s="24"/>
      <c r="R563" s="24"/>
      <c r="S563" s="24"/>
      <c r="T563" s="24"/>
      <c r="U563" s="24"/>
      <c r="V563" s="24"/>
      <c r="W563" s="24"/>
      <c r="X563" s="24"/>
      <c r="Y563" s="24"/>
      <c r="Z563" s="24"/>
      <c r="AA563" s="24"/>
      <c r="AB563" s="24"/>
      <c r="AC563" s="24"/>
      <c r="AD563" s="24"/>
      <c r="AE563" s="24"/>
      <c r="AF563" s="24"/>
      <c r="AG563" s="24"/>
      <c r="AH563" s="24"/>
      <c r="AI563" s="24"/>
      <c r="AJ563" s="24"/>
      <c r="AK563" s="24"/>
      <c r="AL563" s="24"/>
      <c r="AM563" s="24"/>
      <c r="AN563" s="24"/>
      <c r="AO563" s="24"/>
      <c r="AP563" s="24"/>
      <c r="AQ563" s="24"/>
      <c r="AR563" s="24"/>
      <c r="AS563" s="24"/>
      <c r="AT563" s="24"/>
      <c r="AU563" s="24"/>
      <c r="AV563" s="24"/>
      <c r="AW563" s="24"/>
      <c r="AX563" s="24"/>
      <c r="AY563" s="24"/>
      <c r="AZ563" s="24"/>
      <c r="BA563" s="24"/>
      <c r="BB563" s="24"/>
      <c r="BC563" s="24"/>
      <c r="BD563" s="24"/>
      <c r="BE563" s="24"/>
      <c r="BF563" s="24"/>
      <c r="BG563" s="24"/>
      <c r="BH563" s="24"/>
    </row>
    <row r="564" spans="1:60">
      <c r="A564" s="7"/>
      <c r="B564" s="8"/>
      <c r="C564" s="9"/>
      <c r="D564" s="25"/>
      <c r="E564" s="25"/>
      <c r="F564" s="25"/>
      <c r="G564" s="25"/>
      <c r="H564" s="53"/>
      <c r="I564" s="53"/>
      <c r="J564" s="53"/>
      <c r="K564" s="24"/>
      <c r="L564" s="7"/>
      <c r="M564" s="24"/>
      <c r="N564" s="24"/>
      <c r="O564" s="24"/>
      <c r="P564" s="24"/>
      <c r="Q564" s="24"/>
      <c r="R564" s="24"/>
      <c r="S564" s="24"/>
      <c r="T564" s="24"/>
      <c r="U564" s="24"/>
      <c r="V564" s="24"/>
      <c r="W564" s="24"/>
      <c r="X564" s="24"/>
      <c r="Y564" s="24"/>
      <c r="Z564" s="24"/>
      <c r="AA564" s="24"/>
      <c r="AB564" s="24"/>
      <c r="AC564" s="24"/>
      <c r="AD564" s="24"/>
      <c r="AE564" s="24"/>
      <c r="AF564" s="24"/>
      <c r="AG564" s="24"/>
      <c r="AH564" s="24"/>
      <c r="AI564" s="24"/>
      <c r="AJ564" s="24"/>
      <c r="AK564" s="24"/>
      <c r="AL564" s="24"/>
      <c r="AM564" s="24"/>
      <c r="AN564" s="24"/>
      <c r="AO564" s="24"/>
      <c r="AP564" s="24"/>
      <c r="AQ564" s="24"/>
      <c r="AR564" s="24"/>
      <c r="AS564" s="24"/>
      <c r="AT564" s="24"/>
      <c r="AU564" s="24"/>
      <c r="AV564" s="24"/>
      <c r="AW564" s="24"/>
      <c r="AX564" s="24"/>
      <c r="AY564" s="24"/>
      <c r="AZ564" s="24"/>
      <c r="BA564" s="24"/>
      <c r="BB564" s="24"/>
      <c r="BC564" s="24"/>
      <c r="BD564" s="24"/>
      <c r="BE564" s="24"/>
      <c r="BF564" s="24"/>
      <c r="BG564" s="24"/>
      <c r="BH564" s="24"/>
    </row>
    <row r="565" spans="1:60">
      <c r="A565" s="7"/>
      <c r="B565" s="8"/>
      <c r="C565" s="9"/>
      <c r="D565" s="25"/>
      <c r="E565" s="25"/>
      <c r="F565" s="25"/>
      <c r="G565" s="25"/>
      <c r="H565" s="53"/>
      <c r="I565" s="53"/>
      <c r="J565" s="53"/>
      <c r="K565" s="24"/>
      <c r="L565" s="7"/>
      <c r="M565" s="24"/>
      <c r="N565" s="24"/>
      <c r="O565" s="24"/>
      <c r="P565" s="24"/>
      <c r="Q565" s="24"/>
      <c r="R565" s="24"/>
      <c r="S565" s="24"/>
      <c r="T565" s="24"/>
      <c r="U565" s="24"/>
      <c r="V565" s="24"/>
      <c r="W565" s="24"/>
      <c r="X565" s="24"/>
      <c r="Y565" s="24"/>
      <c r="Z565" s="24"/>
      <c r="AA565" s="24"/>
      <c r="AB565" s="24"/>
      <c r="AC565" s="24"/>
      <c r="AD565" s="24"/>
      <c r="AE565" s="24"/>
      <c r="AF565" s="24"/>
      <c r="AG565" s="24"/>
      <c r="AH565" s="24"/>
      <c r="AI565" s="24"/>
      <c r="AJ565" s="24"/>
      <c r="AK565" s="24"/>
      <c r="AL565" s="24"/>
      <c r="AM565" s="24"/>
      <c r="AN565" s="24"/>
      <c r="AO565" s="24"/>
      <c r="AP565" s="24"/>
      <c r="AQ565" s="24"/>
      <c r="AR565" s="24"/>
      <c r="AS565" s="24"/>
      <c r="AT565" s="24"/>
      <c r="AU565" s="24"/>
      <c r="AV565" s="24"/>
      <c r="AW565" s="24"/>
      <c r="AX565" s="24"/>
      <c r="AY565" s="24"/>
      <c r="AZ565" s="24"/>
      <c r="BA565" s="24"/>
      <c r="BB565" s="24"/>
      <c r="BC565" s="24"/>
      <c r="BD565" s="24"/>
      <c r="BE565" s="24"/>
      <c r="BF565" s="24"/>
      <c r="BG565" s="24"/>
      <c r="BH565" s="24"/>
    </row>
    <row r="566" spans="1:60">
      <c r="A566" s="7"/>
      <c r="B566" s="8"/>
      <c r="C566" s="9"/>
      <c r="D566" s="25"/>
      <c r="E566" s="25"/>
      <c r="F566" s="25"/>
      <c r="G566" s="25"/>
      <c r="H566" s="53"/>
      <c r="I566" s="53"/>
      <c r="J566" s="53"/>
      <c r="K566" s="24"/>
      <c r="L566" s="7"/>
      <c r="M566" s="24"/>
      <c r="N566" s="24"/>
      <c r="O566" s="24"/>
      <c r="P566" s="24"/>
      <c r="Q566" s="24"/>
      <c r="R566" s="24"/>
      <c r="S566" s="24"/>
      <c r="T566" s="24"/>
      <c r="U566" s="24"/>
      <c r="V566" s="24"/>
      <c r="W566" s="24"/>
      <c r="X566" s="24"/>
      <c r="Y566" s="24"/>
      <c r="Z566" s="24"/>
      <c r="AA566" s="24"/>
      <c r="AB566" s="24"/>
      <c r="AC566" s="24"/>
      <c r="AD566" s="24"/>
      <c r="AE566" s="24"/>
      <c r="AF566" s="24"/>
      <c r="AG566" s="24"/>
      <c r="AH566" s="24"/>
      <c r="AI566" s="24"/>
      <c r="AJ566" s="24"/>
      <c r="AK566" s="24"/>
      <c r="AL566" s="24"/>
      <c r="AM566" s="24"/>
      <c r="AN566" s="24"/>
      <c r="AO566" s="24"/>
      <c r="AP566" s="24"/>
      <c r="AQ566" s="24"/>
      <c r="AR566" s="24"/>
      <c r="AS566" s="24"/>
      <c r="AT566" s="24"/>
      <c r="AU566" s="24"/>
      <c r="AV566" s="24"/>
      <c r="AW566" s="24"/>
      <c r="AX566" s="24"/>
      <c r="AY566" s="24"/>
      <c r="AZ566" s="24"/>
      <c r="BA566" s="24"/>
      <c r="BB566" s="24"/>
      <c r="BC566" s="24"/>
      <c r="BD566" s="24"/>
      <c r="BE566" s="24"/>
      <c r="BF566" s="24"/>
      <c r="BG566" s="24"/>
      <c r="BH566" s="24"/>
    </row>
    <row r="567" spans="1:60">
      <c r="A567" s="7"/>
      <c r="B567" s="8"/>
      <c r="C567" s="9"/>
      <c r="D567" s="25"/>
      <c r="E567" s="25"/>
      <c r="F567" s="25"/>
      <c r="G567" s="25"/>
      <c r="H567" s="53"/>
      <c r="I567" s="53"/>
      <c r="J567" s="53"/>
      <c r="K567" s="24"/>
      <c r="L567" s="7"/>
      <c r="M567" s="24"/>
      <c r="N567" s="24"/>
      <c r="O567" s="24"/>
      <c r="P567" s="24"/>
      <c r="Q567" s="24"/>
      <c r="R567" s="24"/>
      <c r="S567" s="24"/>
      <c r="T567" s="24"/>
      <c r="U567" s="24"/>
      <c r="V567" s="24"/>
      <c r="W567" s="24"/>
      <c r="X567" s="24"/>
      <c r="Y567" s="24"/>
      <c r="Z567" s="24"/>
      <c r="AA567" s="24"/>
      <c r="AB567" s="24"/>
      <c r="AC567" s="24"/>
      <c r="AD567" s="24"/>
      <c r="AE567" s="24"/>
      <c r="AF567" s="24"/>
      <c r="AG567" s="24"/>
      <c r="AH567" s="24"/>
      <c r="AI567" s="24"/>
      <c r="AJ567" s="24"/>
      <c r="AK567" s="24"/>
      <c r="AL567" s="24"/>
      <c r="AM567" s="24"/>
      <c r="AN567" s="24"/>
      <c r="AO567" s="24"/>
      <c r="AP567" s="24"/>
      <c r="AQ567" s="24"/>
      <c r="AR567" s="24"/>
      <c r="AS567" s="24"/>
      <c r="AT567" s="24"/>
      <c r="AU567" s="24"/>
      <c r="AV567" s="24"/>
      <c r="AW567" s="24"/>
      <c r="AX567" s="24"/>
      <c r="AY567" s="24"/>
      <c r="AZ567" s="24"/>
      <c r="BA567" s="24"/>
      <c r="BB567" s="24"/>
      <c r="BC567" s="24"/>
      <c r="BD567" s="24"/>
      <c r="BE567" s="24"/>
      <c r="BF567" s="24"/>
      <c r="BG567" s="24"/>
      <c r="BH567" s="24"/>
    </row>
    <row r="568" spans="1:60">
      <c r="A568" s="7"/>
      <c r="B568" s="8"/>
      <c r="C568" s="9"/>
      <c r="D568" s="25"/>
      <c r="E568" s="25"/>
      <c r="F568" s="25"/>
      <c r="G568" s="25"/>
      <c r="H568" s="53"/>
      <c r="I568" s="53"/>
      <c r="J568" s="53"/>
      <c r="K568" s="24"/>
      <c r="L568" s="7"/>
      <c r="M568" s="24"/>
      <c r="N568" s="24"/>
      <c r="O568" s="24"/>
      <c r="P568" s="24"/>
      <c r="Q568" s="24"/>
      <c r="R568" s="24"/>
      <c r="S568" s="24"/>
      <c r="T568" s="24"/>
      <c r="U568" s="24"/>
      <c r="V568" s="24"/>
      <c r="W568" s="24"/>
      <c r="X568" s="24"/>
      <c r="Y568" s="24"/>
      <c r="Z568" s="24"/>
      <c r="AA568" s="24"/>
      <c r="AB568" s="24"/>
      <c r="AC568" s="24"/>
      <c r="AD568" s="24"/>
      <c r="AE568" s="24"/>
      <c r="AF568" s="24"/>
      <c r="AG568" s="24"/>
      <c r="AH568" s="24"/>
      <c r="AI568" s="24"/>
      <c r="AJ568" s="24"/>
      <c r="AK568" s="24"/>
      <c r="AL568" s="24"/>
      <c r="AM568" s="24"/>
      <c r="AN568" s="24"/>
      <c r="AO568" s="24"/>
      <c r="AP568" s="24"/>
      <c r="AQ568" s="24"/>
      <c r="AR568" s="24"/>
      <c r="AS568" s="24"/>
      <c r="AT568" s="24"/>
      <c r="AU568" s="24"/>
      <c r="AV568" s="24"/>
      <c r="AW568" s="24"/>
      <c r="AX568" s="24"/>
      <c r="AY568" s="24"/>
      <c r="AZ568" s="24"/>
      <c r="BA568" s="24"/>
      <c r="BB568" s="24"/>
      <c r="BC568" s="24"/>
      <c r="BD568" s="24"/>
      <c r="BE568" s="24"/>
      <c r="BF568" s="24"/>
      <c r="BG568" s="24"/>
      <c r="BH568" s="24"/>
    </row>
    <row r="569" spans="1:60">
      <c r="A569" s="7"/>
      <c r="B569" s="8"/>
      <c r="C569" s="9"/>
      <c r="D569" s="25"/>
      <c r="E569" s="25"/>
      <c r="F569" s="25"/>
      <c r="G569" s="25"/>
      <c r="H569" s="53"/>
      <c r="I569" s="53"/>
      <c r="J569" s="53"/>
      <c r="K569" s="24"/>
      <c r="L569" s="7"/>
      <c r="M569" s="24"/>
      <c r="N569" s="24"/>
      <c r="O569" s="24"/>
      <c r="P569" s="24"/>
      <c r="Q569" s="24"/>
      <c r="R569" s="24"/>
      <c r="S569" s="24"/>
      <c r="T569" s="24"/>
      <c r="U569" s="24"/>
      <c r="V569" s="24"/>
      <c r="W569" s="24"/>
      <c r="X569" s="24"/>
      <c r="Y569" s="24"/>
      <c r="Z569" s="24"/>
      <c r="AA569" s="24"/>
      <c r="AB569" s="24"/>
      <c r="AC569" s="24"/>
      <c r="AD569" s="24"/>
      <c r="AE569" s="24"/>
      <c r="AF569" s="24"/>
      <c r="AG569" s="24"/>
      <c r="AH569" s="24"/>
      <c r="AI569" s="24"/>
      <c r="AJ569" s="24"/>
      <c r="AK569" s="24"/>
      <c r="AL569" s="24"/>
      <c r="AM569" s="24"/>
      <c r="AN569" s="24"/>
      <c r="AO569" s="24"/>
      <c r="AP569" s="24"/>
      <c r="AQ569" s="24"/>
      <c r="AR569" s="24"/>
      <c r="AS569" s="24"/>
      <c r="AT569" s="24"/>
      <c r="AU569" s="24"/>
      <c r="AV569" s="24"/>
      <c r="AW569" s="24"/>
      <c r="AX569" s="24"/>
      <c r="AY569" s="24"/>
      <c r="AZ569" s="24"/>
      <c r="BA569" s="24"/>
      <c r="BB569" s="24"/>
      <c r="BC569" s="24"/>
      <c r="BD569" s="24"/>
      <c r="BE569" s="24"/>
      <c r="BF569" s="24"/>
      <c r="BG569" s="24"/>
      <c r="BH569" s="24"/>
    </row>
    <row r="570" spans="1:60">
      <c r="A570" s="7"/>
      <c r="B570" s="8"/>
      <c r="C570" s="9"/>
      <c r="D570" s="25"/>
      <c r="E570" s="25"/>
      <c r="F570" s="25"/>
      <c r="G570" s="25"/>
      <c r="H570" s="53"/>
      <c r="I570" s="53"/>
      <c r="J570" s="53"/>
      <c r="K570" s="24"/>
      <c r="L570" s="7"/>
      <c r="M570" s="24"/>
      <c r="N570" s="24"/>
      <c r="O570" s="24"/>
      <c r="P570" s="24"/>
      <c r="Q570" s="24"/>
      <c r="R570" s="24"/>
      <c r="S570" s="24"/>
      <c r="T570" s="24"/>
      <c r="U570" s="24"/>
      <c r="V570" s="24"/>
      <c r="W570" s="24"/>
      <c r="X570" s="24"/>
      <c r="Y570" s="24"/>
      <c r="Z570" s="24"/>
      <c r="AA570" s="24"/>
      <c r="AB570" s="24"/>
      <c r="AC570" s="24"/>
      <c r="AD570" s="24"/>
      <c r="AE570" s="24"/>
      <c r="AF570" s="24"/>
      <c r="AG570" s="24"/>
      <c r="AH570" s="24"/>
      <c r="AI570" s="24"/>
      <c r="AJ570" s="24"/>
      <c r="AK570" s="24"/>
      <c r="AL570" s="24"/>
      <c r="AM570" s="24"/>
      <c r="AN570" s="24"/>
      <c r="AO570" s="24"/>
      <c r="AP570" s="24"/>
      <c r="AQ570" s="24"/>
      <c r="AR570" s="24"/>
      <c r="AS570" s="24"/>
      <c r="AT570" s="24"/>
      <c r="AU570" s="24"/>
      <c r="AV570" s="24"/>
      <c r="AW570" s="24"/>
      <c r="AX570" s="24"/>
      <c r="AY570" s="24"/>
      <c r="AZ570" s="24"/>
      <c r="BA570" s="24"/>
      <c r="BB570" s="24"/>
      <c r="BC570" s="24"/>
      <c r="BD570" s="24"/>
      <c r="BE570" s="24"/>
      <c r="BF570" s="24"/>
      <c r="BG570" s="24"/>
      <c r="BH570" s="24"/>
    </row>
    <row r="571" spans="1:60">
      <c r="A571" s="7"/>
      <c r="B571" s="8"/>
      <c r="C571" s="9"/>
      <c r="D571" s="25"/>
      <c r="E571" s="25"/>
      <c r="F571" s="25"/>
      <c r="G571" s="25"/>
      <c r="H571" s="53"/>
      <c r="I571" s="53"/>
      <c r="J571" s="53"/>
      <c r="K571" s="24"/>
      <c r="L571" s="7"/>
      <c r="M571" s="24"/>
      <c r="N571" s="24"/>
      <c r="O571" s="24"/>
      <c r="P571" s="24"/>
      <c r="Q571" s="24"/>
      <c r="R571" s="24"/>
      <c r="S571" s="24"/>
      <c r="T571" s="24"/>
      <c r="U571" s="24"/>
      <c r="V571" s="24"/>
      <c r="W571" s="24"/>
      <c r="X571" s="24"/>
      <c r="Y571" s="24"/>
      <c r="Z571" s="24"/>
      <c r="AA571" s="24"/>
      <c r="AB571" s="24"/>
      <c r="AC571" s="24"/>
      <c r="AD571" s="24"/>
      <c r="AE571" s="24"/>
      <c r="AF571" s="24"/>
      <c r="AG571" s="24"/>
      <c r="AH571" s="24"/>
      <c r="AI571" s="24"/>
      <c r="AJ571" s="24"/>
      <c r="AK571" s="24"/>
      <c r="AL571" s="24"/>
      <c r="AM571" s="24"/>
      <c r="AN571" s="24"/>
      <c r="AO571" s="24"/>
      <c r="AP571" s="24"/>
      <c r="AQ571" s="24"/>
      <c r="AR571" s="24"/>
      <c r="AS571" s="24"/>
      <c r="AT571" s="24"/>
      <c r="AU571" s="24"/>
      <c r="AV571" s="24"/>
      <c r="AW571" s="24"/>
      <c r="AX571" s="24"/>
      <c r="AY571" s="24"/>
      <c r="AZ571" s="24"/>
      <c r="BA571" s="24"/>
      <c r="BB571" s="24"/>
      <c r="BC571" s="24"/>
      <c r="BD571" s="24"/>
      <c r="BE571" s="24"/>
      <c r="BF571" s="24"/>
      <c r="BG571" s="24"/>
      <c r="BH571" s="24"/>
    </row>
    <row r="572" spans="1:60">
      <c r="A572" s="7"/>
      <c r="B572" s="8"/>
      <c r="C572" s="9"/>
      <c r="D572" s="25"/>
      <c r="E572" s="25"/>
      <c r="F572" s="25"/>
      <c r="G572" s="25"/>
      <c r="H572" s="53"/>
      <c r="I572" s="53"/>
      <c r="J572" s="53"/>
      <c r="K572" s="24"/>
      <c r="L572" s="7"/>
      <c r="M572" s="24"/>
      <c r="N572" s="24"/>
      <c r="O572" s="24"/>
      <c r="P572" s="24"/>
      <c r="Q572" s="24"/>
      <c r="R572" s="24"/>
      <c r="S572" s="24"/>
      <c r="T572" s="24"/>
      <c r="U572" s="24"/>
      <c r="V572" s="24"/>
      <c r="W572" s="24"/>
      <c r="X572" s="24"/>
      <c r="Y572" s="24"/>
      <c r="Z572" s="24"/>
      <c r="AA572" s="24"/>
      <c r="AB572" s="24"/>
      <c r="AC572" s="24"/>
      <c r="AD572" s="24"/>
      <c r="AE572" s="24"/>
      <c r="AF572" s="24"/>
      <c r="AG572" s="24"/>
      <c r="AH572" s="24"/>
      <c r="AI572" s="24"/>
      <c r="AJ572" s="24"/>
      <c r="AK572" s="24"/>
      <c r="AL572" s="24"/>
      <c r="AM572" s="24"/>
      <c r="AN572" s="24"/>
      <c r="AO572" s="24"/>
      <c r="AP572" s="24"/>
      <c r="AQ572" s="24"/>
      <c r="AR572" s="24"/>
      <c r="AS572" s="24"/>
      <c r="AT572" s="24"/>
      <c r="AU572" s="24"/>
      <c r="AV572" s="24"/>
      <c r="AW572" s="24"/>
      <c r="AX572" s="24"/>
      <c r="AY572" s="24"/>
      <c r="AZ572" s="24"/>
      <c r="BA572" s="24"/>
      <c r="BB572" s="24"/>
      <c r="BC572" s="24"/>
      <c r="BD572" s="24"/>
      <c r="BE572" s="24"/>
      <c r="BF572" s="24"/>
      <c r="BG572" s="24"/>
      <c r="BH572" s="24"/>
    </row>
    <row r="573" spans="1:60">
      <c r="A573" s="7"/>
      <c r="B573" s="8"/>
      <c r="C573" s="9"/>
      <c r="D573" s="25"/>
      <c r="E573" s="25"/>
      <c r="F573" s="25"/>
      <c r="G573" s="25"/>
      <c r="H573" s="53"/>
      <c r="I573" s="53"/>
      <c r="J573" s="53"/>
      <c r="K573" s="24"/>
      <c r="L573" s="7"/>
      <c r="M573" s="24"/>
      <c r="N573" s="24"/>
      <c r="O573" s="24"/>
      <c r="P573" s="24"/>
      <c r="Q573" s="24"/>
      <c r="R573" s="24"/>
      <c r="S573" s="24"/>
      <c r="T573" s="24"/>
      <c r="U573" s="24"/>
      <c r="V573" s="24"/>
      <c r="W573" s="24"/>
      <c r="X573" s="24"/>
      <c r="Y573" s="24"/>
      <c r="Z573" s="24"/>
      <c r="AA573" s="24"/>
      <c r="AB573" s="24"/>
      <c r="AC573" s="24"/>
      <c r="AD573" s="24"/>
      <c r="AE573" s="24"/>
      <c r="AF573" s="24"/>
      <c r="AG573" s="24"/>
      <c r="AH573" s="24"/>
      <c r="AI573" s="24"/>
      <c r="AJ573" s="24"/>
      <c r="AK573" s="24"/>
      <c r="AL573" s="24"/>
      <c r="AM573" s="24"/>
      <c r="AN573" s="24"/>
      <c r="AO573" s="24"/>
      <c r="AP573" s="24"/>
      <c r="AQ573" s="24"/>
      <c r="AR573" s="24"/>
      <c r="AS573" s="24"/>
      <c r="AT573" s="24"/>
      <c r="AU573" s="24"/>
      <c r="AV573" s="24"/>
      <c r="AW573" s="24"/>
      <c r="AX573" s="24"/>
      <c r="AY573" s="24"/>
      <c r="AZ573" s="24"/>
      <c r="BA573" s="24"/>
      <c r="BB573" s="24"/>
      <c r="BC573" s="24"/>
      <c r="BD573" s="24"/>
      <c r="BE573" s="24"/>
      <c r="BF573" s="24"/>
      <c r="BG573" s="24"/>
      <c r="BH573" s="24"/>
    </row>
    <row r="574" spans="1:60">
      <c r="A574" s="7"/>
      <c r="B574" s="8"/>
      <c r="C574" s="9"/>
      <c r="D574" s="25"/>
      <c r="E574" s="25"/>
      <c r="F574" s="25"/>
      <c r="G574" s="25"/>
      <c r="H574" s="53"/>
      <c r="I574" s="53"/>
      <c r="J574" s="53"/>
      <c r="K574" s="24"/>
      <c r="L574" s="7"/>
      <c r="M574" s="24"/>
      <c r="N574" s="24"/>
      <c r="O574" s="24"/>
      <c r="P574" s="24"/>
      <c r="Q574" s="24"/>
      <c r="R574" s="24"/>
      <c r="S574" s="24"/>
      <c r="T574" s="24"/>
      <c r="U574" s="24"/>
      <c r="V574" s="24"/>
      <c r="W574" s="24"/>
      <c r="X574" s="24"/>
      <c r="Y574" s="24"/>
      <c r="Z574" s="24"/>
      <c r="AA574" s="24"/>
      <c r="AB574" s="24"/>
      <c r="AC574" s="24"/>
      <c r="AD574" s="24"/>
      <c r="AE574" s="24"/>
      <c r="AF574" s="24"/>
      <c r="AG574" s="24"/>
      <c r="AH574" s="24"/>
      <c r="AI574" s="24"/>
      <c r="AJ574" s="24"/>
      <c r="AK574" s="24"/>
      <c r="AL574" s="24"/>
      <c r="AM574" s="24"/>
      <c r="AN574" s="24"/>
      <c r="AO574" s="24"/>
      <c r="AP574" s="24"/>
      <c r="AQ574" s="24"/>
      <c r="AR574" s="24"/>
      <c r="AS574" s="24"/>
      <c r="AT574" s="24"/>
      <c r="AU574" s="24"/>
      <c r="AV574" s="24"/>
      <c r="AW574" s="24"/>
      <c r="AX574" s="24"/>
      <c r="AY574" s="24"/>
      <c r="AZ574" s="24"/>
      <c r="BA574" s="24"/>
      <c r="BB574" s="24"/>
      <c r="BC574" s="24"/>
      <c r="BD574" s="24"/>
      <c r="BE574" s="24"/>
      <c r="BF574" s="24"/>
      <c r="BG574" s="24"/>
      <c r="BH574" s="24"/>
    </row>
    <row r="575" spans="1:60">
      <c r="A575" s="7"/>
      <c r="B575" s="8"/>
      <c r="C575" s="9"/>
      <c r="D575" s="25"/>
      <c r="E575" s="25"/>
      <c r="F575" s="25"/>
      <c r="G575" s="25"/>
      <c r="H575" s="53"/>
      <c r="I575" s="53"/>
      <c r="J575" s="53"/>
      <c r="K575" s="24"/>
      <c r="L575" s="7"/>
      <c r="M575" s="24"/>
      <c r="N575" s="24"/>
      <c r="O575" s="24"/>
      <c r="P575" s="24"/>
      <c r="Q575" s="24"/>
      <c r="R575" s="24"/>
      <c r="S575" s="24"/>
      <c r="T575" s="24"/>
      <c r="U575" s="24"/>
      <c r="V575" s="24"/>
      <c r="W575" s="24"/>
      <c r="X575" s="24"/>
      <c r="Y575" s="24"/>
      <c r="Z575" s="24"/>
      <c r="AA575" s="24"/>
      <c r="AB575" s="24"/>
      <c r="AC575" s="24"/>
      <c r="AD575" s="24"/>
      <c r="AE575" s="24"/>
      <c r="AF575" s="24"/>
      <c r="AG575" s="24"/>
      <c r="AH575" s="24"/>
      <c r="AI575" s="24"/>
      <c r="AJ575" s="24"/>
      <c r="AK575" s="24"/>
      <c r="AL575" s="24"/>
      <c r="AM575" s="24"/>
      <c r="AN575" s="24"/>
      <c r="AO575" s="24"/>
      <c r="AP575" s="24"/>
      <c r="AQ575" s="24"/>
      <c r="AR575" s="24"/>
      <c r="AS575" s="24"/>
      <c r="AT575" s="24"/>
      <c r="AU575" s="24"/>
      <c r="AV575" s="24"/>
      <c r="AW575" s="24"/>
      <c r="AX575" s="24"/>
      <c r="AY575" s="24"/>
      <c r="AZ575" s="24"/>
      <c r="BA575" s="24"/>
      <c r="BB575" s="24"/>
      <c r="BC575" s="24"/>
      <c r="BD575" s="24"/>
      <c r="BE575" s="24"/>
      <c r="BF575" s="24"/>
      <c r="BG575" s="24"/>
      <c r="BH575" s="24"/>
    </row>
    <row r="576" spans="1:60">
      <c r="A576" s="7"/>
      <c r="B576" s="8"/>
      <c r="C576" s="9"/>
      <c r="D576" s="25"/>
      <c r="E576" s="25"/>
      <c r="F576" s="25"/>
      <c r="G576" s="25"/>
      <c r="H576" s="53"/>
      <c r="I576" s="53"/>
      <c r="J576" s="53"/>
      <c r="K576" s="24"/>
      <c r="L576" s="7"/>
      <c r="M576" s="24"/>
      <c r="N576" s="24"/>
      <c r="O576" s="24"/>
      <c r="P576" s="24"/>
      <c r="Q576" s="24"/>
      <c r="R576" s="24"/>
      <c r="S576" s="24"/>
      <c r="T576" s="24"/>
      <c r="U576" s="24"/>
      <c r="V576" s="24"/>
      <c r="W576" s="24"/>
      <c r="X576" s="24"/>
      <c r="Y576" s="24"/>
      <c r="Z576" s="24"/>
      <c r="AA576" s="24"/>
      <c r="AB576" s="24"/>
      <c r="AC576" s="24"/>
      <c r="AD576" s="24"/>
      <c r="AE576" s="24"/>
      <c r="AF576" s="24"/>
      <c r="AG576" s="24"/>
      <c r="AH576" s="24"/>
      <c r="AI576" s="24"/>
      <c r="AJ576" s="24"/>
      <c r="AK576" s="24"/>
      <c r="AL576" s="24"/>
      <c r="AM576" s="24"/>
      <c r="AN576" s="24"/>
      <c r="AO576" s="24"/>
      <c r="AP576" s="24"/>
      <c r="AQ576" s="24"/>
      <c r="AR576" s="24"/>
      <c r="AS576" s="24"/>
      <c r="AT576" s="24"/>
      <c r="AU576" s="24"/>
      <c r="AV576" s="24"/>
      <c r="AW576" s="24"/>
      <c r="AX576" s="24"/>
      <c r="AY576" s="24"/>
      <c r="AZ576" s="24"/>
      <c r="BA576" s="24"/>
      <c r="BB576" s="24"/>
      <c r="BC576" s="24"/>
      <c r="BD576" s="24"/>
      <c r="BE576" s="24"/>
      <c r="BF576" s="24"/>
      <c r="BG576" s="24"/>
      <c r="BH576" s="24"/>
    </row>
    <row r="577" spans="1:60">
      <c r="A577" s="7"/>
      <c r="B577" s="8"/>
      <c r="C577" s="9"/>
      <c r="D577" s="25"/>
      <c r="E577" s="25"/>
      <c r="F577" s="25"/>
      <c r="G577" s="25"/>
      <c r="H577" s="53"/>
      <c r="I577" s="53"/>
      <c r="J577" s="53"/>
      <c r="K577" s="24"/>
      <c r="L577" s="7"/>
      <c r="M577" s="24"/>
      <c r="N577" s="24"/>
      <c r="O577" s="24"/>
      <c r="P577" s="24"/>
      <c r="Q577" s="24"/>
      <c r="R577" s="24"/>
      <c r="S577" s="24"/>
      <c r="T577" s="24"/>
      <c r="U577" s="24"/>
      <c r="V577" s="24"/>
      <c r="W577" s="24"/>
      <c r="X577" s="24"/>
      <c r="Y577" s="24"/>
      <c r="Z577" s="24"/>
      <c r="AA577" s="24"/>
      <c r="AB577" s="24"/>
      <c r="AC577" s="24"/>
      <c r="AD577" s="24"/>
      <c r="AE577" s="24"/>
      <c r="AF577" s="24"/>
      <c r="AG577" s="24"/>
      <c r="AH577" s="24"/>
      <c r="AI577" s="24"/>
      <c r="AJ577" s="24"/>
      <c r="AK577" s="24"/>
      <c r="AL577" s="24"/>
      <c r="AM577" s="24"/>
      <c r="AN577" s="24"/>
      <c r="AO577" s="24"/>
      <c r="AP577" s="24"/>
      <c r="AQ577" s="24"/>
      <c r="AR577" s="24"/>
      <c r="AS577" s="24"/>
      <c r="AT577" s="24"/>
      <c r="AU577" s="24"/>
      <c r="AV577" s="24"/>
      <c r="AW577" s="24"/>
      <c r="AX577" s="24"/>
      <c r="AY577" s="24"/>
      <c r="AZ577" s="24"/>
      <c r="BA577" s="24"/>
      <c r="BB577" s="24"/>
      <c r="BC577" s="24"/>
      <c r="BD577" s="24"/>
      <c r="BE577" s="24"/>
      <c r="BF577" s="24"/>
      <c r="BG577" s="24"/>
      <c r="BH577" s="24"/>
    </row>
    <row r="578" spans="1:60">
      <c r="A578" s="7"/>
      <c r="B578" s="8"/>
      <c r="C578" s="9"/>
      <c r="D578" s="25"/>
      <c r="E578" s="25"/>
      <c r="F578" s="25"/>
      <c r="G578" s="25"/>
      <c r="H578" s="53"/>
      <c r="I578" s="53"/>
      <c r="J578" s="53"/>
      <c r="K578" s="24"/>
      <c r="L578" s="7"/>
      <c r="M578" s="24"/>
      <c r="N578" s="24"/>
      <c r="O578" s="24"/>
      <c r="P578" s="24"/>
      <c r="Q578" s="24"/>
      <c r="R578" s="24"/>
      <c r="S578" s="24"/>
      <c r="T578" s="24"/>
      <c r="U578" s="24"/>
      <c r="V578" s="24"/>
      <c r="W578" s="24"/>
      <c r="X578" s="24"/>
      <c r="Y578" s="24"/>
      <c r="Z578" s="24"/>
      <c r="AA578" s="24"/>
      <c r="AB578" s="24"/>
      <c r="AC578" s="24"/>
      <c r="AD578" s="24"/>
      <c r="AE578" s="24"/>
      <c r="AF578" s="24"/>
      <c r="AG578" s="24"/>
      <c r="AH578" s="24"/>
      <c r="AI578" s="24"/>
      <c r="AJ578" s="24"/>
      <c r="AK578" s="24"/>
      <c r="AL578" s="24"/>
      <c r="AM578" s="24"/>
      <c r="AN578" s="24"/>
      <c r="AO578" s="24"/>
      <c r="AP578" s="24"/>
      <c r="AQ578" s="24"/>
      <c r="AR578" s="24"/>
      <c r="AS578" s="24"/>
      <c r="AT578" s="24"/>
      <c r="AU578" s="24"/>
      <c r="AV578" s="24"/>
      <c r="AW578" s="24"/>
      <c r="AX578" s="24"/>
      <c r="AY578" s="24"/>
      <c r="AZ578" s="24"/>
      <c r="BA578" s="24"/>
      <c r="BB578" s="24"/>
      <c r="BC578" s="24"/>
      <c r="BD578" s="24"/>
      <c r="BE578" s="24"/>
      <c r="BF578" s="24"/>
      <c r="BG578" s="24"/>
      <c r="BH578" s="24"/>
    </row>
    <row r="579" spans="1:60">
      <c r="A579" s="7"/>
      <c r="B579" s="8"/>
      <c r="C579" s="9"/>
      <c r="D579" s="25"/>
      <c r="E579" s="25"/>
      <c r="F579" s="25"/>
      <c r="G579" s="25"/>
      <c r="H579" s="53"/>
      <c r="I579" s="53"/>
      <c r="J579" s="53"/>
      <c r="K579" s="24"/>
      <c r="L579" s="7"/>
      <c r="M579" s="24"/>
      <c r="N579" s="24"/>
      <c r="O579" s="24"/>
      <c r="P579" s="24"/>
      <c r="Q579" s="24"/>
      <c r="R579" s="24"/>
      <c r="S579" s="24"/>
      <c r="T579" s="24"/>
      <c r="U579" s="24"/>
      <c r="V579" s="24"/>
      <c r="W579" s="24"/>
      <c r="X579" s="24"/>
      <c r="Y579" s="24"/>
      <c r="Z579" s="24"/>
      <c r="AA579" s="24"/>
      <c r="AB579" s="24"/>
      <c r="AC579" s="24"/>
      <c r="AD579" s="24"/>
      <c r="AE579" s="24"/>
      <c r="AF579" s="24"/>
      <c r="AG579" s="24"/>
      <c r="AH579" s="24"/>
      <c r="AI579" s="24"/>
      <c r="AJ579" s="24"/>
      <c r="AK579" s="24"/>
      <c r="AL579" s="24"/>
      <c r="AM579" s="24"/>
      <c r="AN579" s="24"/>
      <c r="AO579" s="24"/>
      <c r="AP579" s="24"/>
      <c r="AQ579" s="24"/>
      <c r="AR579" s="24"/>
      <c r="AS579" s="24"/>
      <c r="AT579" s="24"/>
      <c r="AU579" s="24"/>
      <c r="AV579" s="24"/>
      <c r="AW579" s="24"/>
      <c r="AX579" s="24"/>
      <c r="AY579" s="24"/>
      <c r="AZ579" s="24"/>
      <c r="BA579" s="24"/>
      <c r="BB579" s="24"/>
      <c r="BC579" s="24"/>
      <c r="BD579" s="24"/>
      <c r="BE579" s="24"/>
      <c r="BF579" s="24"/>
      <c r="BG579" s="24"/>
      <c r="BH579" s="24"/>
    </row>
    <row r="580" spans="1:60">
      <c r="A580" s="7"/>
      <c r="B580" s="8"/>
      <c r="C580" s="9"/>
      <c r="D580" s="25"/>
      <c r="E580" s="25"/>
      <c r="F580" s="25"/>
      <c r="G580" s="25"/>
      <c r="H580" s="53"/>
      <c r="I580" s="53"/>
      <c r="J580" s="53"/>
      <c r="K580" s="24"/>
      <c r="L580" s="7"/>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4"/>
      <c r="AK580" s="24"/>
      <c r="AL580" s="24"/>
      <c r="AM580" s="24"/>
      <c r="AN580" s="24"/>
      <c r="AO580" s="24"/>
      <c r="AP580" s="24"/>
      <c r="AQ580" s="24"/>
      <c r="AR580" s="24"/>
      <c r="AS580" s="24"/>
      <c r="AT580" s="24"/>
      <c r="AU580" s="24"/>
      <c r="AV580" s="24"/>
      <c r="AW580" s="24"/>
      <c r="AX580" s="24"/>
      <c r="AY580" s="24"/>
      <c r="AZ580" s="24"/>
      <c r="BA580" s="24"/>
      <c r="BB580" s="24"/>
      <c r="BC580" s="24"/>
      <c r="BD580" s="24"/>
      <c r="BE580" s="24"/>
      <c r="BF580" s="24"/>
      <c r="BG580" s="24"/>
      <c r="BH580" s="24"/>
    </row>
    <row r="581" spans="1:60">
      <c r="A581" s="7"/>
      <c r="B581" s="8"/>
      <c r="C581" s="9"/>
      <c r="D581" s="25"/>
      <c r="E581" s="25"/>
      <c r="F581" s="25"/>
      <c r="G581" s="25"/>
      <c r="H581" s="53"/>
      <c r="I581" s="53"/>
      <c r="J581" s="53"/>
      <c r="K581" s="24"/>
      <c r="L581" s="7"/>
      <c r="M581" s="24"/>
      <c r="N581" s="24"/>
      <c r="O581" s="24"/>
      <c r="P581" s="24"/>
      <c r="Q581" s="24"/>
      <c r="R581" s="24"/>
      <c r="S581" s="24"/>
      <c r="T581" s="24"/>
      <c r="U581" s="24"/>
      <c r="V581" s="24"/>
      <c r="W581" s="24"/>
      <c r="X581" s="24"/>
      <c r="Y581" s="24"/>
      <c r="Z581" s="24"/>
      <c r="AA581" s="24"/>
      <c r="AB581" s="24"/>
      <c r="AC581" s="24"/>
      <c r="AD581" s="24"/>
      <c r="AE581" s="24"/>
      <c r="AF581" s="24"/>
      <c r="AG581" s="24"/>
      <c r="AH581" s="24"/>
      <c r="AI581" s="24"/>
      <c r="AJ581" s="24"/>
      <c r="AK581" s="24"/>
      <c r="AL581" s="24"/>
      <c r="AM581" s="24"/>
      <c r="AN581" s="24"/>
      <c r="AO581" s="24"/>
      <c r="AP581" s="24"/>
      <c r="AQ581" s="24"/>
      <c r="AR581" s="24"/>
      <c r="AS581" s="24"/>
      <c r="AT581" s="24"/>
      <c r="AU581" s="24"/>
      <c r="AV581" s="24"/>
      <c r="AW581" s="24"/>
      <c r="AX581" s="24"/>
      <c r="AY581" s="24"/>
      <c r="AZ581" s="24"/>
      <c r="BA581" s="24"/>
      <c r="BB581" s="24"/>
      <c r="BC581" s="24"/>
      <c r="BD581" s="24"/>
      <c r="BE581" s="24"/>
      <c r="BF581" s="24"/>
      <c r="BG581" s="24"/>
      <c r="BH581" s="24"/>
    </row>
    <row r="582" spans="1:60">
      <c r="A582" s="7"/>
      <c r="B582" s="8"/>
      <c r="C582" s="9"/>
      <c r="D582" s="25"/>
      <c r="E582" s="25"/>
      <c r="F582" s="25"/>
      <c r="G582" s="25"/>
      <c r="H582" s="53"/>
      <c r="I582" s="53"/>
      <c r="J582" s="53"/>
      <c r="K582" s="24"/>
      <c r="L582" s="7"/>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24"/>
      <c r="BG582" s="24"/>
      <c r="BH582" s="24"/>
    </row>
    <row r="583" spans="1:60">
      <c r="A583" s="7"/>
      <c r="B583" s="8"/>
      <c r="C583" s="9"/>
      <c r="D583" s="25"/>
      <c r="E583" s="25"/>
      <c r="F583" s="25"/>
      <c r="G583" s="25"/>
      <c r="H583" s="53"/>
      <c r="I583" s="53"/>
      <c r="J583" s="53"/>
      <c r="K583" s="24"/>
      <c r="L583" s="7"/>
      <c r="M583" s="24"/>
      <c r="N583" s="24"/>
      <c r="O583" s="24"/>
      <c r="P583" s="24"/>
      <c r="Q583" s="24"/>
      <c r="R583" s="24"/>
      <c r="S583" s="24"/>
      <c r="T583" s="24"/>
      <c r="U583" s="24"/>
      <c r="V583" s="24"/>
      <c r="W583" s="24"/>
      <c r="X583" s="24"/>
      <c r="Y583" s="24"/>
      <c r="Z583" s="24"/>
      <c r="AA583" s="24"/>
      <c r="AB583" s="24"/>
      <c r="AC583" s="24"/>
      <c r="AD583" s="24"/>
      <c r="AE583" s="24"/>
      <c r="AF583" s="24"/>
      <c r="AG583" s="24"/>
      <c r="AH583" s="24"/>
      <c r="AI583" s="24"/>
      <c r="AJ583" s="24"/>
      <c r="AK583" s="24"/>
      <c r="AL583" s="24"/>
      <c r="AM583" s="24"/>
      <c r="AN583" s="24"/>
      <c r="AO583" s="24"/>
      <c r="AP583" s="24"/>
      <c r="AQ583" s="24"/>
      <c r="AR583" s="24"/>
      <c r="AS583" s="24"/>
      <c r="AT583" s="24"/>
      <c r="AU583" s="24"/>
      <c r="AV583" s="24"/>
      <c r="AW583" s="24"/>
      <c r="AX583" s="24"/>
      <c r="AY583" s="24"/>
      <c r="AZ583" s="24"/>
      <c r="BA583" s="24"/>
      <c r="BB583" s="24"/>
      <c r="BC583" s="24"/>
      <c r="BD583" s="24"/>
      <c r="BE583" s="24"/>
      <c r="BF583" s="24"/>
      <c r="BG583" s="24"/>
      <c r="BH583" s="24"/>
    </row>
    <row r="584" spans="1:60">
      <c r="A584" s="7"/>
      <c r="B584" s="8"/>
      <c r="C584" s="9"/>
      <c r="D584" s="25"/>
      <c r="E584" s="25"/>
      <c r="F584" s="25"/>
      <c r="G584" s="25"/>
      <c r="H584" s="53"/>
      <c r="I584" s="53"/>
      <c r="J584" s="53"/>
      <c r="K584" s="24"/>
      <c r="L584" s="7"/>
      <c r="M584" s="24"/>
      <c r="N584" s="24"/>
      <c r="O584" s="24"/>
      <c r="P584" s="24"/>
      <c r="Q584" s="24"/>
      <c r="R584" s="24"/>
      <c r="S584" s="24"/>
      <c r="T584" s="24"/>
      <c r="U584" s="24"/>
      <c r="V584" s="24"/>
      <c r="W584" s="24"/>
      <c r="X584" s="24"/>
      <c r="Y584" s="24"/>
      <c r="Z584" s="24"/>
      <c r="AA584" s="24"/>
      <c r="AB584" s="24"/>
      <c r="AC584" s="24"/>
      <c r="AD584" s="24"/>
      <c r="AE584" s="24"/>
      <c r="AF584" s="24"/>
      <c r="AG584" s="24"/>
      <c r="AH584" s="24"/>
      <c r="AI584" s="24"/>
      <c r="AJ584" s="24"/>
      <c r="AK584" s="24"/>
      <c r="AL584" s="24"/>
      <c r="AM584" s="24"/>
      <c r="AN584" s="24"/>
      <c r="AO584" s="24"/>
      <c r="AP584" s="24"/>
      <c r="AQ584" s="24"/>
      <c r="AR584" s="24"/>
      <c r="AS584" s="24"/>
      <c r="AT584" s="24"/>
      <c r="AU584" s="24"/>
      <c r="AV584" s="24"/>
      <c r="AW584" s="24"/>
      <c r="AX584" s="24"/>
      <c r="AY584" s="24"/>
      <c r="AZ584" s="24"/>
      <c r="BA584" s="24"/>
      <c r="BB584" s="24"/>
      <c r="BC584" s="24"/>
      <c r="BD584" s="24"/>
      <c r="BE584" s="24"/>
      <c r="BF584" s="24"/>
      <c r="BG584" s="24"/>
      <c r="BH584" s="24"/>
    </row>
    <row r="585" spans="1:60">
      <c r="A585" s="7"/>
      <c r="B585" s="8"/>
      <c r="C585" s="9"/>
      <c r="D585" s="25"/>
      <c r="E585" s="25"/>
      <c r="F585" s="25"/>
      <c r="G585" s="25"/>
      <c r="H585" s="53"/>
      <c r="I585" s="53"/>
      <c r="J585" s="53"/>
      <c r="K585" s="24"/>
      <c r="L585" s="7"/>
      <c r="M585" s="24"/>
      <c r="N585" s="24"/>
      <c r="O585" s="24"/>
      <c r="P585" s="24"/>
      <c r="Q585" s="24"/>
      <c r="R585" s="24"/>
      <c r="S585" s="24"/>
      <c r="T585" s="24"/>
      <c r="U585" s="24"/>
      <c r="V585" s="24"/>
      <c r="W585" s="24"/>
      <c r="X585" s="24"/>
      <c r="Y585" s="24"/>
      <c r="Z585" s="24"/>
      <c r="AA585" s="24"/>
      <c r="AB585" s="24"/>
      <c r="AC585" s="24"/>
      <c r="AD585" s="24"/>
      <c r="AE585" s="24"/>
      <c r="AF585" s="24"/>
      <c r="AG585" s="24"/>
      <c r="AH585" s="24"/>
      <c r="AI585" s="24"/>
      <c r="AJ585" s="24"/>
      <c r="AK585" s="24"/>
      <c r="AL585" s="24"/>
      <c r="AM585" s="24"/>
      <c r="AN585" s="24"/>
      <c r="AO585" s="24"/>
      <c r="AP585" s="24"/>
      <c r="AQ585" s="24"/>
      <c r="AR585" s="24"/>
      <c r="AS585" s="24"/>
      <c r="AT585" s="24"/>
      <c r="AU585" s="24"/>
      <c r="AV585" s="24"/>
      <c r="AW585" s="24"/>
      <c r="AX585" s="24"/>
      <c r="AY585" s="24"/>
      <c r="AZ585" s="24"/>
      <c r="BA585" s="24"/>
      <c r="BB585" s="24"/>
      <c r="BC585" s="24"/>
      <c r="BD585" s="24"/>
      <c r="BE585" s="24"/>
      <c r="BF585" s="24"/>
      <c r="BG585" s="24"/>
      <c r="BH585" s="24"/>
    </row>
    <row r="586" spans="1:60">
      <c r="A586" s="7"/>
      <c r="B586" s="8"/>
      <c r="C586" s="9"/>
      <c r="D586" s="25"/>
      <c r="E586" s="25"/>
      <c r="F586" s="25"/>
      <c r="G586" s="25"/>
      <c r="H586" s="53"/>
      <c r="I586" s="53"/>
      <c r="J586" s="53"/>
      <c r="K586" s="24"/>
      <c r="L586" s="7"/>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4"/>
      <c r="AK586" s="24"/>
      <c r="AL586" s="24"/>
      <c r="AM586" s="24"/>
      <c r="AN586" s="24"/>
      <c r="AO586" s="24"/>
      <c r="AP586" s="24"/>
      <c r="AQ586" s="24"/>
      <c r="AR586" s="24"/>
      <c r="AS586" s="24"/>
      <c r="AT586" s="24"/>
      <c r="AU586" s="24"/>
      <c r="AV586" s="24"/>
      <c r="AW586" s="24"/>
      <c r="AX586" s="24"/>
      <c r="AY586" s="24"/>
      <c r="AZ586" s="24"/>
      <c r="BA586" s="24"/>
      <c r="BB586" s="24"/>
      <c r="BC586" s="24"/>
      <c r="BD586" s="24"/>
      <c r="BE586" s="24"/>
      <c r="BF586" s="24"/>
      <c r="BG586" s="24"/>
      <c r="BH586" s="24"/>
    </row>
    <row r="587" spans="1:60">
      <c r="A587" s="7"/>
      <c r="B587" s="8"/>
      <c r="C587" s="9"/>
      <c r="D587" s="25"/>
      <c r="E587" s="25"/>
      <c r="F587" s="25"/>
      <c r="G587" s="25"/>
      <c r="H587" s="53"/>
      <c r="I587" s="53"/>
      <c r="J587" s="53"/>
      <c r="K587" s="24"/>
      <c r="L587" s="7"/>
      <c r="M587" s="24"/>
      <c r="N587" s="24"/>
      <c r="O587" s="24"/>
      <c r="P587" s="24"/>
      <c r="Q587" s="24"/>
      <c r="R587" s="24"/>
      <c r="S587" s="24"/>
      <c r="T587" s="24"/>
      <c r="U587" s="24"/>
      <c r="V587" s="24"/>
      <c r="W587" s="24"/>
      <c r="X587" s="24"/>
      <c r="Y587" s="24"/>
      <c r="Z587" s="24"/>
      <c r="AA587" s="24"/>
      <c r="AB587" s="24"/>
      <c r="AC587" s="24"/>
      <c r="AD587" s="24"/>
      <c r="AE587" s="24"/>
      <c r="AF587" s="24"/>
      <c r="AG587" s="24"/>
      <c r="AH587" s="24"/>
      <c r="AI587" s="24"/>
      <c r="AJ587" s="24"/>
      <c r="AK587" s="24"/>
      <c r="AL587" s="24"/>
      <c r="AM587" s="24"/>
      <c r="AN587" s="24"/>
      <c r="AO587" s="24"/>
      <c r="AP587" s="24"/>
      <c r="AQ587" s="24"/>
      <c r="AR587" s="24"/>
      <c r="AS587" s="24"/>
      <c r="AT587" s="24"/>
      <c r="AU587" s="24"/>
      <c r="AV587" s="24"/>
      <c r="AW587" s="24"/>
      <c r="AX587" s="24"/>
      <c r="AY587" s="24"/>
      <c r="AZ587" s="24"/>
      <c r="BA587" s="24"/>
      <c r="BB587" s="24"/>
      <c r="BC587" s="24"/>
      <c r="BD587" s="24"/>
      <c r="BE587" s="24"/>
      <c r="BF587" s="24"/>
      <c r="BG587" s="24"/>
      <c r="BH587" s="24"/>
    </row>
    <row r="588" spans="1:60">
      <c r="A588" s="7"/>
      <c r="B588" s="8"/>
      <c r="C588" s="9"/>
      <c r="D588" s="25"/>
      <c r="E588" s="25"/>
      <c r="F588" s="25"/>
      <c r="G588" s="25"/>
      <c r="H588" s="53"/>
      <c r="I588" s="53"/>
      <c r="J588" s="53"/>
      <c r="K588" s="24"/>
      <c r="L588" s="7"/>
      <c r="M588" s="24"/>
      <c r="N588" s="24"/>
      <c r="O588" s="24"/>
      <c r="P588" s="24"/>
      <c r="Q588" s="24"/>
      <c r="R588" s="24"/>
      <c r="S588" s="24"/>
      <c r="T588" s="24"/>
      <c r="U588" s="24"/>
      <c r="V588" s="24"/>
      <c r="W588" s="24"/>
      <c r="X588" s="24"/>
      <c r="Y588" s="24"/>
      <c r="Z588" s="24"/>
      <c r="AA588" s="24"/>
      <c r="AB588" s="24"/>
      <c r="AC588" s="24"/>
      <c r="AD588" s="24"/>
      <c r="AE588" s="24"/>
      <c r="AF588" s="24"/>
      <c r="AG588" s="24"/>
      <c r="AH588" s="24"/>
      <c r="AI588" s="24"/>
      <c r="AJ588" s="24"/>
      <c r="AK588" s="24"/>
      <c r="AL588" s="24"/>
      <c r="AM588" s="24"/>
      <c r="AN588" s="24"/>
      <c r="AO588" s="24"/>
      <c r="AP588" s="24"/>
      <c r="AQ588" s="24"/>
      <c r="AR588" s="24"/>
      <c r="AS588" s="24"/>
      <c r="AT588" s="24"/>
      <c r="AU588" s="24"/>
      <c r="AV588" s="24"/>
      <c r="AW588" s="24"/>
      <c r="AX588" s="24"/>
      <c r="AY588" s="24"/>
      <c r="AZ588" s="24"/>
      <c r="BA588" s="24"/>
      <c r="BB588" s="24"/>
      <c r="BC588" s="24"/>
      <c r="BD588" s="24"/>
      <c r="BE588" s="24"/>
      <c r="BF588" s="24"/>
      <c r="BG588" s="24"/>
      <c r="BH588" s="24"/>
    </row>
    <row r="589" spans="1:60">
      <c r="A589" s="7"/>
      <c r="B589" s="8"/>
      <c r="C589" s="9"/>
      <c r="D589" s="25"/>
      <c r="E589" s="25"/>
      <c r="F589" s="25"/>
      <c r="G589" s="25"/>
      <c r="H589" s="53"/>
      <c r="I589" s="53"/>
      <c r="J589" s="53"/>
      <c r="K589" s="24"/>
      <c r="L589" s="7"/>
      <c r="M589" s="24"/>
      <c r="N589" s="24"/>
      <c r="O589" s="24"/>
      <c r="P589" s="24"/>
      <c r="Q589" s="24"/>
      <c r="R589" s="24"/>
      <c r="S589" s="24"/>
      <c r="T589" s="24"/>
      <c r="U589" s="24"/>
      <c r="V589" s="24"/>
      <c r="W589" s="24"/>
      <c r="X589" s="24"/>
      <c r="Y589" s="24"/>
      <c r="Z589" s="24"/>
      <c r="AA589" s="24"/>
      <c r="AB589" s="24"/>
      <c r="AC589" s="24"/>
      <c r="AD589" s="24"/>
      <c r="AE589" s="24"/>
      <c r="AF589" s="24"/>
      <c r="AG589" s="24"/>
      <c r="AH589" s="24"/>
      <c r="AI589" s="24"/>
      <c r="AJ589" s="24"/>
      <c r="AK589" s="24"/>
      <c r="AL589" s="24"/>
      <c r="AM589" s="24"/>
      <c r="AN589" s="24"/>
      <c r="AO589" s="24"/>
      <c r="AP589" s="24"/>
      <c r="AQ589" s="24"/>
      <c r="AR589" s="24"/>
      <c r="AS589" s="24"/>
      <c r="AT589" s="24"/>
      <c r="AU589" s="24"/>
      <c r="AV589" s="24"/>
      <c r="AW589" s="24"/>
      <c r="AX589" s="24"/>
      <c r="AY589" s="24"/>
      <c r="AZ589" s="24"/>
      <c r="BA589" s="24"/>
      <c r="BB589" s="24"/>
      <c r="BC589" s="24"/>
      <c r="BD589" s="24"/>
      <c r="BE589" s="24"/>
      <c r="BF589" s="24"/>
      <c r="BG589" s="24"/>
      <c r="BH589" s="24"/>
    </row>
    <row r="590" spans="1:60">
      <c r="A590" s="7"/>
      <c r="B590" s="8"/>
      <c r="C590" s="9"/>
      <c r="D590" s="25"/>
      <c r="E590" s="25"/>
      <c r="F590" s="25"/>
      <c r="G590" s="25"/>
      <c r="H590" s="53"/>
      <c r="I590" s="53"/>
      <c r="J590" s="53"/>
      <c r="K590" s="24"/>
      <c r="L590" s="7"/>
      <c r="M590" s="24"/>
      <c r="N590" s="24"/>
      <c r="O590" s="24"/>
      <c r="P590" s="24"/>
      <c r="Q590" s="24"/>
      <c r="R590" s="24"/>
      <c r="S590" s="24"/>
      <c r="T590" s="24"/>
      <c r="U590" s="24"/>
      <c r="V590" s="24"/>
      <c r="W590" s="24"/>
      <c r="X590" s="24"/>
      <c r="Y590" s="24"/>
      <c r="Z590" s="24"/>
      <c r="AA590" s="24"/>
      <c r="AB590" s="24"/>
      <c r="AC590" s="24"/>
      <c r="AD590" s="24"/>
      <c r="AE590" s="24"/>
      <c r="AF590" s="24"/>
      <c r="AG590" s="24"/>
      <c r="AH590" s="24"/>
      <c r="AI590" s="24"/>
      <c r="AJ590" s="24"/>
      <c r="AK590" s="24"/>
      <c r="AL590" s="24"/>
      <c r="AM590" s="24"/>
      <c r="AN590" s="24"/>
      <c r="AO590" s="24"/>
      <c r="AP590" s="24"/>
      <c r="AQ590" s="24"/>
      <c r="AR590" s="24"/>
      <c r="AS590" s="24"/>
      <c r="AT590" s="24"/>
      <c r="AU590" s="24"/>
      <c r="AV590" s="24"/>
      <c r="AW590" s="24"/>
      <c r="AX590" s="24"/>
      <c r="AY590" s="24"/>
      <c r="AZ590" s="24"/>
      <c r="BA590" s="24"/>
      <c r="BB590" s="24"/>
      <c r="BC590" s="24"/>
      <c r="BD590" s="24"/>
      <c r="BE590" s="24"/>
      <c r="BF590" s="24"/>
      <c r="BG590" s="24"/>
      <c r="BH590" s="24"/>
    </row>
    <row r="591" spans="1:60">
      <c r="A591" s="7"/>
      <c r="B591" s="8"/>
      <c r="C591" s="9"/>
      <c r="D591" s="25"/>
      <c r="E591" s="25"/>
      <c r="F591" s="25"/>
      <c r="G591" s="25"/>
      <c r="H591" s="53"/>
      <c r="I591" s="53"/>
      <c r="J591" s="53"/>
      <c r="K591" s="24"/>
      <c r="L591" s="7"/>
      <c r="M591" s="24"/>
      <c r="N591" s="24"/>
      <c r="O591" s="24"/>
      <c r="P591" s="24"/>
      <c r="Q591" s="24"/>
      <c r="R591" s="24"/>
      <c r="S591" s="24"/>
      <c r="T591" s="24"/>
      <c r="U591" s="24"/>
      <c r="V591" s="24"/>
      <c r="W591" s="24"/>
      <c r="X591" s="24"/>
      <c r="Y591" s="24"/>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c r="BC591" s="24"/>
      <c r="BD591" s="24"/>
      <c r="BE591" s="24"/>
      <c r="BF591" s="24"/>
      <c r="BG591" s="24"/>
      <c r="BH591" s="24"/>
    </row>
    <row r="592" spans="1:60">
      <c r="A592" s="7"/>
      <c r="B592" s="8"/>
      <c r="C592" s="9"/>
      <c r="D592" s="25"/>
      <c r="E592" s="25"/>
      <c r="F592" s="25"/>
      <c r="G592" s="25"/>
      <c r="H592" s="53"/>
      <c r="I592" s="53"/>
      <c r="J592" s="53"/>
      <c r="K592" s="24"/>
      <c r="L592" s="7"/>
      <c r="M592" s="24"/>
      <c r="N592" s="24"/>
      <c r="O592" s="24"/>
      <c r="P592" s="24"/>
      <c r="Q592" s="24"/>
      <c r="R592" s="24"/>
      <c r="S592" s="24"/>
      <c r="T592" s="24"/>
      <c r="U592" s="24"/>
      <c r="V592" s="24"/>
      <c r="W592" s="24"/>
      <c r="X592" s="24"/>
      <c r="Y592" s="24"/>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c r="BC592" s="24"/>
      <c r="BD592" s="24"/>
      <c r="BE592" s="24"/>
      <c r="BF592" s="24"/>
      <c r="BG592" s="24"/>
      <c r="BH592" s="24"/>
    </row>
    <row r="593" spans="1:60">
      <c r="A593" s="7"/>
      <c r="B593" s="8"/>
      <c r="C593" s="9"/>
      <c r="D593" s="25"/>
      <c r="E593" s="25"/>
      <c r="F593" s="25"/>
      <c r="G593" s="25"/>
      <c r="H593" s="53"/>
      <c r="I593" s="53"/>
      <c r="J593" s="53"/>
      <c r="K593" s="24"/>
      <c r="L593" s="7"/>
      <c r="M593" s="24"/>
      <c r="N593" s="24"/>
      <c r="O593" s="24"/>
      <c r="P593" s="24"/>
      <c r="Q593" s="24"/>
      <c r="R593" s="24"/>
      <c r="S593" s="24"/>
      <c r="T593" s="24"/>
      <c r="U593" s="24"/>
      <c r="V593" s="24"/>
      <c r="W593" s="24"/>
      <c r="X593" s="24"/>
      <c r="Y593" s="24"/>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c r="BC593" s="24"/>
      <c r="BD593" s="24"/>
      <c r="BE593" s="24"/>
      <c r="BF593" s="24"/>
      <c r="BG593" s="24"/>
      <c r="BH593" s="24"/>
    </row>
    <row r="594" spans="1:60">
      <c r="A594" s="7"/>
      <c r="B594" s="8"/>
      <c r="C594" s="9"/>
      <c r="D594" s="25"/>
      <c r="E594" s="25"/>
      <c r="F594" s="25"/>
      <c r="G594" s="25"/>
      <c r="H594" s="53"/>
      <c r="I594" s="53"/>
      <c r="J594" s="53"/>
      <c r="K594" s="24"/>
      <c r="L594" s="7"/>
      <c r="M594" s="24"/>
      <c r="N594" s="24"/>
      <c r="O594" s="24"/>
      <c r="P594" s="24"/>
      <c r="Q594" s="24"/>
      <c r="R594" s="24"/>
      <c r="S594" s="24"/>
      <c r="T594" s="24"/>
      <c r="U594" s="24"/>
      <c r="V594" s="24"/>
      <c r="W594" s="24"/>
      <c r="X594" s="24"/>
      <c r="Y594" s="24"/>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c r="BC594" s="24"/>
      <c r="BD594" s="24"/>
      <c r="BE594" s="24"/>
      <c r="BF594" s="24"/>
      <c r="BG594" s="24"/>
      <c r="BH594" s="24"/>
    </row>
    <row r="595" spans="1:60">
      <c r="A595" s="7"/>
      <c r="B595" s="8"/>
      <c r="C595" s="9"/>
      <c r="D595" s="25"/>
      <c r="E595" s="25"/>
      <c r="F595" s="25"/>
      <c r="G595" s="25"/>
      <c r="H595" s="53"/>
      <c r="I595" s="53"/>
      <c r="J595" s="53"/>
      <c r="K595" s="24"/>
      <c r="L595" s="7"/>
      <c r="M595" s="24"/>
      <c r="N595" s="24"/>
      <c r="O595" s="24"/>
      <c r="P595" s="24"/>
      <c r="Q595" s="24"/>
      <c r="R595" s="24"/>
      <c r="S595" s="24"/>
      <c r="T595" s="24"/>
      <c r="U595" s="24"/>
      <c r="V595" s="24"/>
      <c r="W595" s="24"/>
      <c r="X595" s="24"/>
      <c r="Y595" s="24"/>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c r="BC595" s="24"/>
      <c r="BD595" s="24"/>
      <c r="BE595" s="24"/>
      <c r="BF595" s="24"/>
      <c r="BG595" s="24"/>
      <c r="BH595" s="24"/>
    </row>
    <row r="596" spans="1:60">
      <c r="A596" s="7"/>
      <c r="B596" s="8"/>
      <c r="C596" s="9"/>
      <c r="D596" s="25"/>
      <c r="E596" s="25"/>
      <c r="F596" s="25"/>
      <c r="G596" s="25"/>
      <c r="H596" s="53"/>
      <c r="I596" s="53"/>
      <c r="J596" s="53"/>
      <c r="K596" s="24"/>
      <c r="L596" s="7"/>
      <c r="M596" s="24"/>
      <c r="N596" s="24"/>
      <c r="O596" s="24"/>
      <c r="P596" s="24"/>
      <c r="Q596" s="24"/>
      <c r="R596" s="24"/>
      <c r="S596" s="24"/>
      <c r="T596" s="24"/>
      <c r="U596" s="24"/>
      <c r="V596" s="24"/>
      <c r="W596" s="24"/>
      <c r="X596" s="24"/>
      <c r="Y596" s="24"/>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c r="BC596" s="24"/>
      <c r="BD596" s="24"/>
      <c r="BE596" s="24"/>
      <c r="BF596" s="24"/>
      <c r="BG596" s="24"/>
      <c r="BH596" s="24"/>
    </row>
    <row r="597" spans="1:60">
      <c r="A597" s="7"/>
      <c r="B597" s="8"/>
      <c r="C597" s="9"/>
      <c r="D597" s="25"/>
      <c r="E597" s="25"/>
      <c r="F597" s="25"/>
      <c r="G597" s="25"/>
      <c r="H597" s="53"/>
      <c r="I597" s="53"/>
      <c r="J597" s="53"/>
      <c r="K597" s="24"/>
      <c r="L597" s="7"/>
      <c r="M597" s="24"/>
      <c r="N597" s="24"/>
      <c r="O597" s="24"/>
      <c r="P597" s="24"/>
      <c r="Q597" s="24"/>
      <c r="R597" s="24"/>
      <c r="S597" s="24"/>
      <c r="T597" s="24"/>
      <c r="U597" s="24"/>
      <c r="V597" s="24"/>
      <c r="W597" s="24"/>
      <c r="X597" s="24"/>
      <c r="Y597" s="24"/>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c r="BC597" s="24"/>
      <c r="BD597" s="24"/>
      <c r="BE597" s="24"/>
      <c r="BF597" s="24"/>
      <c r="BG597" s="24"/>
      <c r="BH597" s="24"/>
    </row>
    <row r="598" spans="1:60">
      <c r="A598" s="7"/>
      <c r="B598" s="8"/>
      <c r="C598" s="9"/>
      <c r="D598" s="25"/>
      <c r="E598" s="25"/>
      <c r="F598" s="25"/>
      <c r="G598" s="25"/>
      <c r="H598" s="53"/>
      <c r="I598" s="53"/>
      <c r="J598" s="53"/>
      <c r="K598" s="24"/>
      <c r="L598" s="7"/>
      <c r="M598" s="24"/>
      <c r="N598" s="24"/>
      <c r="O598" s="24"/>
      <c r="P598" s="24"/>
      <c r="Q598" s="24"/>
      <c r="R598" s="24"/>
      <c r="S598" s="24"/>
      <c r="T598" s="24"/>
      <c r="U598" s="24"/>
      <c r="V598" s="24"/>
      <c r="W598" s="24"/>
      <c r="X598" s="24"/>
      <c r="Y598" s="24"/>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c r="BC598" s="24"/>
      <c r="BD598" s="24"/>
      <c r="BE598" s="24"/>
      <c r="BF598" s="24"/>
      <c r="BG598" s="24"/>
      <c r="BH598" s="24"/>
    </row>
    <row r="599" spans="1:60">
      <c r="A599" s="7"/>
      <c r="B599" s="8"/>
      <c r="C599" s="9"/>
      <c r="D599" s="25"/>
      <c r="E599" s="25"/>
      <c r="F599" s="25"/>
      <c r="G599" s="25"/>
      <c r="H599" s="53"/>
      <c r="I599" s="53"/>
      <c r="J599" s="53"/>
      <c r="K599" s="24"/>
      <c r="L599" s="7"/>
      <c r="M599" s="24"/>
      <c r="N599" s="24"/>
      <c r="O599" s="24"/>
      <c r="P599" s="24"/>
      <c r="Q599" s="24"/>
      <c r="R599" s="24"/>
      <c r="S599" s="24"/>
      <c r="T599" s="24"/>
      <c r="U599" s="24"/>
      <c r="V599" s="24"/>
      <c r="W599" s="24"/>
      <c r="X599" s="24"/>
      <c r="Y599" s="24"/>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c r="BC599" s="24"/>
      <c r="BD599" s="24"/>
      <c r="BE599" s="24"/>
      <c r="BF599" s="24"/>
      <c r="BG599" s="24"/>
      <c r="BH599" s="24"/>
    </row>
    <row r="600" spans="1:60">
      <c r="A600" s="7"/>
      <c r="B600" s="8"/>
      <c r="C600" s="9"/>
      <c r="D600" s="25"/>
      <c r="E600" s="25"/>
      <c r="F600" s="25"/>
      <c r="G600" s="25"/>
      <c r="H600" s="53"/>
      <c r="I600" s="53"/>
      <c r="J600" s="53"/>
      <c r="K600" s="24"/>
      <c r="L600" s="7"/>
      <c r="M600" s="24"/>
      <c r="N600" s="24"/>
      <c r="O600" s="24"/>
      <c r="P600" s="24"/>
      <c r="Q600" s="24"/>
      <c r="R600" s="24"/>
      <c r="S600" s="24"/>
      <c r="T600" s="24"/>
      <c r="U600" s="24"/>
      <c r="V600" s="24"/>
      <c r="W600" s="24"/>
      <c r="X600" s="24"/>
      <c r="Y600" s="24"/>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c r="BC600" s="24"/>
      <c r="BD600" s="24"/>
      <c r="BE600" s="24"/>
      <c r="BF600" s="24"/>
      <c r="BG600" s="24"/>
      <c r="BH600" s="24"/>
    </row>
    <row r="601" spans="1:60">
      <c r="A601" s="7"/>
      <c r="B601" s="8"/>
      <c r="C601" s="9"/>
      <c r="D601" s="25"/>
      <c r="E601" s="25"/>
      <c r="F601" s="25"/>
      <c r="G601" s="25"/>
      <c r="H601" s="53"/>
      <c r="I601" s="53"/>
      <c r="J601" s="53"/>
      <c r="K601" s="24"/>
      <c r="L601" s="7"/>
      <c r="M601" s="24"/>
      <c r="N601" s="24"/>
      <c r="O601" s="24"/>
      <c r="P601" s="24"/>
      <c r="Q601" s="24"/>
      <c r="R601" s="24"/>
      <c r="S601" s="24"/>
      <c r="T601" s="24"/>
      <c r="U601" s="24"/>
      <c r="V601" s="24"/>
      <c r="W601" s="24"/>
      <c r="X601" s="24"/>
      <c r="Y601" s="24"/>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c r="BC601" s="24"/>
      <c r="BD601" s="24"/>
      <c r="BE601" s="24"/>
      <c r="BF601" s="24"/>
      <c r="BG601" s="24"/>
      <c r="BH601" s="24"/>
    </row>
    <row r="602" spans="1:60">
      <c r="A602" s="7"/>
      <c r="B602" s="8"/>
      <c r="C602" s="9"/>
      <c r="D602" s="25"/>
      <c r="E602" s="25"/>
      <c r="F602" s="25"/>
      <c r="G602" s="25"/>
      <c r="H602" s="53"/>
      <c r="I602" s="53"/>
      <c r="J602" s="53"/>
      <c r="K602" s="24"/>
      <c r="L602" s="7"/>
      <c r="M602" s="24"/>
      <c r="N602" s="24"/>
      <c r="O602" s="24"/>
      <c r="P602" s="24"/>
      <c r="Q602" s="24"/>
      <c r="R602" s="24"/>
      <c r="S602" s="24"/>
      <c r="T602" s="24"/>
      <c r="U602" s="24"/>
      <c r="V602" s="24"/>
      <c r="W602" s="24"/>
      <c r="X602" s="24"/>
      <c r="Y602" s="24"/>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c r="BC602" s="24"/>
      <c r="BD602" s="24"/>
      <c r="BE602" s="24"/>
      <c r="BF602" s="24"/>
      <c r="BG602" s="24"/>
      <c r="BH602" s="24"/>
    </row>
    <row r="603" spans="1:60">
      <c r="A603" s="7"/>
      <c r="B603" s="8"/>
      <c r="C603" s="9"/>
      <c r="D603" s="25"/>
      <c r="E603" s="25"/>
      <c r="F603" s="25"/>
      <c r="G603" s="25"/>
      <c r="H603" s="53"/>
      <c r="I603" s="53"/>
      <c r="J603" s="53"/>
      <c r="K603" s="24"/>
      <c r="L603" s="7"/>
      <c r="M603" s="24"/>
      <c r="N603" s="24"/>
      <c r="O603" s="24"/>
      <c r="P603" s="24"/>
      <c r="Q603" s="24"/>
      <c r="R603" s="24"/>
      <c r="S603" s="24"/>
      <c r="T603" s="24"/>
      <c r="U603" s="24"/>
      <c r="V603" s="24"/>
      <c r="W603" s="24"/>
      <c r="X603" s="24"/>
      <c r="Y603" s="24"/>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c r="BC603" s="24"/>
      <c r="BD603" s="24"/>
      <c r="BE603" s="24"/>
      <c r="BF603" s="24"/>
      <c r="BG603" s="24"/>
      <c r="BH603" s="24"/>
    </row>
    <row r="604" spans="1:60">
      <c r="A604" s="7"/>
      <c r="B604" s="8"/>
      <c r="C604" s="9"/>
      <c r="D604" s="25"/>
      <c r="E604" s="25"/>
      <c r="F604" s="25"/>
      <c r="G604" s="25"/>
      <c r="H604" s="53"/>
      <c r="I604" s="53"/>
      <c r="J604" s="53"/>
      <c r="K604" s="24"/>
      <c r="L604" s="7"/>
      <c r="M604" s="24"/>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c r="BC604" s="24"/>
      <c r="BD604" s="24"/>
      <c r="BE604" s="24"/>
      <c r="BF604" s="24"/>
      <c r="BG604" s="24"/>
      <c r="BH604" s="24"/>
    </row>
    <row r="605" spans="1:60">
      <c r="A605" s="7"/>
      <c r="B605" s="8"/>
      <c r="C605" s="9"/>
      <c r="D605" s="25"/>
      <c r="E605" s="25"/>
      <c r="F605" s="25"/>
      <c r="G605" s="25"/>
      <c r="H605" s="53"/>
      <c r="I605" s="53"/>
      <c r="J605" s="53"/>
      <c r="K605" s="24"/>
      <c r="L605" s="7"/>
      <c r="M605" s="24"/>
      <c r="N605" s="24"/>
      <c r="O605" s="24"/>
      <c r="P605" s="24"/>
      <c r="Q605" s="24"/>
      <c r="R605" s="24"/>
      <c r="S605" s="24"/>
      <c r="T605" s="24"/>
      <c r="U605" s="24"/>
      <c r="V605" s="24"/>
      <c r="W605" s="24"/>
      <c r="X605" s="24"/>
      <c r="Y605" s="24"/>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c r="BC605" s="24"/>
      <c r="BD605" s="24"/>
      <c r="BE605" s="24"/>
      <c r="BF605" s="24"/>
      <c r="BG605" s="24"/>
      <c r="BH605" s="24"/>
    </row>
    <row r="606" spans="1:60">
      <c r="A606" s="7"/>
      <c r="B606" s="8"/>
      <c r="C606" s="9"/>
      <c r="D606" s="25"/>
      <c r="E606" s="25"/>
      <c r="F606" s="25"/>
      <c r="G606" s="25"/>
      <c r="H606" s="53"/>
      <c r="I606" s="53"/>
      <c r="J606" s="53"/>
      <c r="K606" s="24"/>
      <c r="L606" s="7"/>
      <c r="M606" s="24"/>
      <c r="N606" s="24"/>
      <c r="O606" s="24"/>
      <c r="P606" s="24"/>
      <c r="Q606" s="24"/>
      <c r="R606" s="24"/>
      <c r="S606" s="24"/>
      <c r="T606" s="24"/>
      <c r="U606" s="24"/>
      <c r="V606" s="24"/>
      <c r="W606" s="24"/>
      <c r="X606" s="24"/>
      <c r="Y606" s="24"/>
      <c r="Z606" s="24"/>
      <c r="AA606" s="24"/>
      <c r="AB606" s="24"/>
      <c r="AC606" s="24"/>
      <c r="AD606" s="24"/>
      <c r="AE606" s="24"/>
      <c r="AF606" s="24"/>
      <c r="AG606" s="24"/>
      <c r="AH606" s="24"/>
      <c r="AI606" s="24"/>
      <c r="AJ606" s="24"/>
      <c r="AK606" s="24"/>
      <c r="AL606" s="24"/>
      <c r="AM606" s="24"/>
      <c r="AN606" s="24"/>
      <c r="AO606" s="24"/>
      <c r="AP606" s="24"/>
      <c r="AQ606" s="24"/>
      <c r="AR606" s="24"/>
      <c r="AS606" s="24"/>
      <c r="AT606" s="24"/>
      <c r="AU606" s="24"/>
      <c r="AV606" s="24"/>
      <c r="AW606" s="24"/>
      <c r="AX606" s="24"/>
      <c r="AY606" s="24"/>
      <c r="AZ606" s="24"/>
      <c r="BA606" s="24"/>
      <c r="BB606" s="24"/>
      <c r="BC606" s="24"/>
      <c r="BD606" s="24"/>
      <c r="BE606" s="24"/>
      <c r="BF606" s="24"/>
      <c r="BG606" s="24"/>
      <c r="BH606" s="24"/>
    </row>
    <row r="607" spans="1:60">
      <c r="A607" s="7"/>
      <c r="B607" s="8"/>
      <c r="C607" s="9"/>
      <c r="D607" s="25"/>
      <c r="E607" s="25"/>
      <c r="F607" s="25"/>
      <c r="G607" s="25"/>
      <c r="H607" s="53"/>
      <c r="I607" s="53"/>
      <c r="J607" s="53"/>
      <c r="K607" s="24"/>
      <c r="L607" s="7"/>
      <c r="M607" s="24"/>
      <c r="N607" s="24"/>
      <c r="O607" s="24"/>
      <c r="P607" s="24"/>
      <c r="Q607" s="24"/>
      <c r="R607" s="24"/>
      <c r="S607" s="24"/>
      <c r="T607" s="24"/>
      <c r="U607" s="24"/>
      <c r="V607" s="24"/>
      <c r="W607" s="24"/>
      <c r="X607" s="24"/>
      <c r="Y607" s="24"/>
      <c r="Z607" s="24"/>
      <c r="AA607" s="24"/>
      <c r="AB607" s="24"/>
      <c r="AC607" s="24"/>
      <c r="AD607" s="24"/>
      <c r="AE607" s="24"/>
      <c r="AF607" s="24"/>
      <c r="AG607" s="24"/>
      <c r="AH607" s="24"/>
      <c r="AI607" s="24"/>
      <c r="AJ607" s="24"/>
      <c r="AK607" s="24"/>
      <c r="AL607" s="24"/>
      <c r="AM607" s="24"/>
      <c r="AN607" s="24"/>
      <c r="AO607" s="24"/>
      <c r="AP607" s="24"/>
      <c r="AQ607" s="24"/>
      <c r="AR607" s="24"/>
      <c r="AS607" s="24"/>
      <c r="AT607" s="24"/>
      <c r="AU607" s="24"/>
      <c r="AV607" s="24"/>
      <c r="AW607" s="24"/>
      <c r="AX607" s="24"/>
      <c r="AY607" s="24"/>
      <c r="AZ607" s="24"/>
      <c r="BA607" s="24"/>
      <c r="BB607" s="24"/>
      <c r="BC607" s="24"/>
      <c r="BD607" s="24"/>
      <c r="BE607" s="24"/>
      <c r="BF607" s="24"/>
      <c r="BG607" s="24"/>
      <c r="BH607" s="24"/>
    </row>
    <row r="608" spans="1:60">
      <c r="A608" s="7"/>
      <c r="B608" s="8"/>
      <c r="C608" s="9"/>
      <c r="D608" s="25"/>
      <c r="E608" s="25"/>
      <c r="F608" s="25"/>
      <c r="G608" s="25"/>
      <c r="H608" s="53"/>
      <c r="I608" s="53"/>
      <c r="J608" s="53"/>
      <c r="K608" s="24"/>
      <c r="L608" s="7"/>
      <c r="M608" s="24"/>
      <c r="N608" s="24"/>
      <c r="O608" s="24"/>
      <c r="P608" s="24"/>
      <c r="Q608" s="24"/>
      <c r="R608" s="24"/>
      <c r="S608" s="24"/>
      <c r="T608" s="24"/>
      <c r="U608" s="24"/>
      <c r="V608" s="24"/>
      <c r="W608" s="24"/>
      <c r="X608" s="24"/>
      <c r="Y608" s="24"/>
      <c r="Z608" s="24"/>
      <c r="AA608" s="24"/>
      <c r="AB608" s="24"/>
      <c r="AC608" s="24"/>
      <c r="AD608" s="24"/>
      <c r="AE608" s="24"/>
      <c r="AF608" s="24"/>
      <c r="AG608" s="24"/>
      <c r="AH608" s="24"/>
      <c r="AI608" s="24"/>
      <c r="AJ608" s="24"/>
      <c r="AK608" s="24"/>
      <c r="AL608" s="24"/>
      <c r="AM608" s="24"/>
      <c r="AN608" s="24"/>
      <c r="AO608" s="24"/>
      <c r="AP608" s="24"/>
      <c r="AQ608" s="24"/>
      <c r="AR608" s="24"/>
      <c r="AS608" s="24"/>
      <c r="AT608" s="24"/>
      <c r="AU608" s="24"/>
      <c r="AV608" s="24"/>
      <c r="AW608" s="24"/>
      <c r="AX608" s="24"/>
      <c r="AY608" s="24"/>
      <c r="AZ608" s="24"/>
      <c r="BA608" s="24"/>
      <c r="BB608" s="24"/>
      <c r="BC608" s="24"/>
      <c r="BD608" s="24"/>
      <c r="BE608" s="24"/>
      <c r="BF608" s="24"/>
      <c r="BG608" s="24"/>
      <c r="BH608" s="24"/>
    </row>
    <row r="609" spans="1:60">
      <c r="A609" s="7"/>
      <c r="B609" s="8"/>
      <c r="C609" s="9"/>
      <c r="D609" s="25"/>
      <c r="E609" s="25"/>
      <c r="F609" s="25"/>
      <c r="G609" s="25"/>
      <c r="H609" s="53"/>
      <c r="I609" s="53"/>
      <c r="J609" s="53"/>
      <c r="K609" s="24"/>
      <c r="L609" s="7"/>
      <c r="M609" s="24"/>
      <c r="N609" s="24"/>
      <c r="O609" s="24"/>
      <c r="P609" s="24"/>
      <c r="Q609" s="24"/>
      <c r="R609" s="24"/>
      <c r="S609" s="24"/>
      <c r="T609" s="24"/>
      <c r="U609" s="24"/>
      <c r="V609" s="24"/>
      <c r="W609" s="24"/>
      <c r="X609" s="24"/>
      <c r="Y609" s="24"/>
      <c r="Z609" s="24"/>
      <c r="AA609" s="24"/>
      <c r="AB609" s="24"/>
      <c r="AC609" s="24"/>
      <c r="AD609" s="24"/>
      <c r="AE609" s="24"/>
      <c r="AF609" s="24"/>
      <c r="AG609" s="24"/>
      <c r="AH609" s="24"/>
      <c r="AI609" s="24"/>
      <c r="AJ609" s="24"/>
      <c r="AK609" s="24"/>
      <c r="AL609" s="24"/>
      <c r="AM609" s="24"/>
      <c r="AN609" s="24"/>
      <c r="AO609" s="24"/>
      <c r="AP609" s="24"/>
      <c r="AQ609" s="24"/>
      <c r="AR609" s="24"/>
      <c r="AS609" s="24"/>
      <c r="AT609" s="24"/>
      <c r="AU609" s="24"/>
      <c r="AV609" s="24"/>
      <c r="AW609" s="24"/>
      <c r="AX609" s="24"/>
      <c r="AY609" s="24"/>
      <c r="AZ609" s="24"/>
      <c r="BA609" s="24"/>
      <c r="BB609" s="24"/>
      <c r="BC609" s="24"/>
      <c r="BD609" s="24"/>
      <c r="BE609" s="24"/>
      <c r="BF609" s="24"/>
      <c r="BG609" s="24"/>
      <c r="BH609" s="24"/>
    </row>
    <row r="610" spans="1:60">
      <c r="A610" s="7"/>
      <c r="B610" s="8"/>
      <c r="C610" s="9"/>
      <c r="D610" s="25"/>
      <c r="E610" s="25"/>
      <c r="F610" s="25"/>
      <c r="G610" s="25"/>
      <c r="H610" s="53"/>
      <c r="I610" s="53"/>
      <c r="J610" s="53"/>
      <c r="K610" s="24"/>
      <c r="L610" s="7"/>
      <c r="M610" s="24"/>
      <c r="N610" s="24"/>
      <c r="O610" s="24"/>
      <c r="P610" s="24"/>
      <c r="Q610" s="24"/>
      <c r="R610" s="24"/>
      <c r="S610" s="24"/>
      <c r="T610" s="24"/>
      <c r="U610" s="24"/>
      <c r="V610" s="24"/>
      <c r="W610" s="24"/>
      <c r="X610" s="24"/>
      <c r="Y610" s="24"/>
      <c r="Z610" s="24"/>
      <c r="AA610" s="24"/>
      <c r="AB610" s="24"/>
      <c r="AC610" s="24"/>
      <c r="AD610" s="24"/>
      <c r="AE610" s="24"/>
      <c r="AF610" s="24"/>
      <c r="AG610" s="24"/>
      <c r="AH610" s="24"/>
      <c r="AI610" s="24"/>
      <c r="AJ610" s="24"/>
      <c r="AK610" s="24"/>
      <c r="AL610" s="24"/>
      <c r="AM610" s="24"/>
      <c r="AN610" s="24"/>
      <c r="AO610" s="24"/>
      <c r="AP610" s="24"/>
      <c r="AQ610" s="24"/>
      <c r="AR610" s="24"/>
      <c r="AS610" s="24"/>
      <c r="AT610" s="24"/>
      <c r="AU610" s="24"/>
      <c r="AV610" s="24"/>
      <c r="AW610" s="24"/>
      <c r="AX610" s="24"/>
      <c r="AY610" s="24"/>
      <c r="AZ610" s="24"/>
      <c r="BA610" s="24"/>
      <c r="BB610" s="24"/>
      <c r="BC610" s="24"/>
      <c r="BD610" s="24"/>
      <c r="BE610" s="24"/>
      <c r="BF610" s="24"/>
      <c r="BG610" s="24"/>
      <c r="BH610" s="24"/>
    </row>
    <row r="611" spans="1:60">
      <c r="A611" s="7"/>
      <c r="B611" s="8"/>
      <c r="C611" s="9"/>
      <c r="D611" s="25"/>
      <c r="E611" s="25"/>
      <c r="F611" s="25"/>
      <c r="G611" s="25"/>
      <c r="H611" s="53"/>
      <c r="I611" s="53"/>
      <c r="J611" s="53"/>
      <c r="K611" s="24"/>
      <c r="L611" s="7"/>
      <c r="M611" s="24"/>
      <c r="N611" s="24"/>
      <c r="O611" s="24"/>
      <c r="P611" s="24"/>
      <c r="Q611" s="24"/>
      <c r="R611" s="24"/>
      <c r="S611" s="24"/>
      <c r="T611" s="24"/>
      <c r="U611" s="24"/>
      <c r="V611" s="24"/>
      <c r="W611" s="24"/>
      <c r="X611" s="24"/>
      <c r="Y611" s="24"/>
      <c r="Z611" s="24"/>
      <c r="AA611" s="24"/>
      <c r="AB611" s="24"/>
      <c r="AC611" s="24"/>
      <c r="AD611" s="24"/>
      <c r="AE611" s="24"/>
      <c r="AF611" s="24"/>
      <c r="AG611" s="24"/>
      <c r="AH611" s="24"/>
      <c r="AI611" s="24"/>
      <c r="AJ611" s="24"/>
      <c r="AK611" s="24"/>
      <c r="AL611" s="24"/>
      <c r="AM611" s="24"/>
      <c r="AN611" s="24"/>
      <c r="AO611" s="24"/>
      <c r="AP611" s="24"/>
      <c r="AQ611" s="24"/>
      <c r="AR611" s="24"/>
      <c r="AS611" s="24"/>
      <c r="AT611" s="24"/>
      <c r="AU611" s="24"/>
      <c r="AV611" s="24"/>
      <c r="AW611" s="24"/>
      <c r="AX611" s="24"/>
      <c r="AY611" s="24"/>
      <c r="AZ611" s="24"/>
      <c r="BA611" s="24"/>
      <c r="BB611" s="24"/>
      <c r="BC611" s="24"/>
      <c r="BD611" s="24"/>
      <c r="BE611" s="24"/>
      <c r="BF611" s="24"/>
      <c r="BG611" s="24"/>
      <c r="BH611" s="24"/>
    </row>
    <row r="612" spans="1:60">
      <c r="A612" s="7"/>
      <c r="B612" s="8"/>
      <c r="C612" s="9"/>
      <c r="D612" s="25"/>
      <c r="E612" s="25"/>
      <c r="F612" s="25"/>
      <c r="G612" s="25"/>
      <c r="H612" s="53"/>
      <c r="I612" s="53"/>
      <c r="J612" s="53"/>
      <c r="K612" s="24"/>
      <c r="L612" s="7"/>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24"/>
      <c r="BG612" s="24"/>
      <c r="BH612" s="24"/>
    </row>
    <row r="613" spans="1:60">
      <c r="A613" s="7"/>
      <c r="B613" s="8"/>
      <c r="C613" s="9"/>
      <c r="D613" s="25"/>
      <c r="E613" s="25"/>
      <c r="F613" s="25"/>
      <c r="G613" s="25"/>
      <c r="H613" s="53"/>
      <c r="I613" s="53"/>
      <c r="J613" s="53"/>
      <c r="K613" s="24"/>
      <c r="L613" s="7"/>
      <c r="M613" s="24"/>
      <c r="N613" s="24"/>
      <c r="O613" s="24"/>
      <c r="P613" s="24"/>
      <c r="Q613" s="24"/>
      <c r="R613" s="24"/>
      <c r="S613" s="24"/>
      <c r="T613" s="24"/>
      <c r="U613" s="24"/>
      <c r="V613" s="24"/>
      <c r="W613" s="24"/>
      <c r="X613" s="24"/>
      <c r="Y613" s="24"/>
      <c r="Z613" s="24"/>
      <c r="AA613" s="24"/>
      <c r="AB613" s="24"/>
      <c r="AC613" s="24"/>
      <c r="AD613" s="24"/>
      <c r="AE613" s="24"/>
      <c r="AF613" s="24"/>
      <c r="AG613" s="24"/>
      <c r="AH613" s="24"/>
      <c r="AI613" s="24"/>
      <c r="AJ613" s="24"/>
      <c r="AK613" s="24"/>
      <c r="AL613" s="24"/>
      <c r="AM613" s="24"/>
      <c r="AN613" s="24"/>
      <c r="AO613" s="24"/>
      <c r="AP613" s="24"/>
      <c r="AQ613" s="24"/>
      <c r="AR613" s="24"/>
      <c r="AS613" s="24"/>
      <c r="AT613" s="24"/>
      <c r="AU613" s="24"/>
      <c r="AV613" s="24"/>
      <c r="AW613" s="24"/>
      <c r="AX613" s="24"/>
      <c r="AY613" s="24"/>
      <c r="AZ613" s="24"/>
      <c r="BA613" s="24"/>
      <c r="BB613" s="24"/>
      <c r="BC613" s="24"/>
      <c r="BD613" s="24"/>
      <c r="BE613" s="24"/>
      <c r="BF613" s="24"/>
      <c r="BG613" s="24"/>
      <c r="BH613" s="24"/>
    </row>
    <row r="614" spans="1:60">
      <c r="A614" s="7"/>
      <c r="B614" s="8"/>
      <c r="C614" s="9"/>
      <c r="D614" s="25"/>
      <c r="E614" s="25"/>
      <c r="F614" s="25"/>
      <c r="G614" s="25"/>
      <c r="H614" s="53"/>
      <c r="I614" s="53"/>
      <c r="J614" s="53"/>
      <c r="K614" s="24"/>
      <c r="L614" s="7"/>
      <c r="M614" s="24"/>
      <c r="N614" s="24"/>
      <c r="O614" s="24"/>
      <c r="P614" s="24"/>
      <c r="Q614" s="24"/>
      <c r="R614" s="24"/>
      <c r="S614" s="24"/>
      <c r="T614" s="24"/>
      <c r="U614" s="24"/>
      <c r="V614" s="24"/>
      <c r="W614" s="24"/>
      <c r="X614" s="24"/>
      <c r="Y614" s="24"/>
      <c r="Z614" s="24"/>
      <c r="AA614" s="24"/>
      <c r="AB614" s="24"/>
      <c r="AC614" s="24"/>
      <c r="AD614" s="24"/>
      <c r="AE614" s="24"/>
      <c r="AF614" s="24"/>
      <c r="AG614" s="24"/>
      <c r="AH614" s="24"/>
      <c r="AI614" s="24"/>
      <c r="AJ614" s="24"/>
      <c r="AK614" s="24"/>
      <c r="AL614" s="24"/>
      <c r="AM614" s="24"/>
      <c r="AN614" s="24"/>
      <c r="AO614" s="24"/>
      <c r="AP614" s="24"/>
      <c r="AQ614" s="24"/>
      <c r="AR614" s="24"/>
      <c r="AS614" s="24"/>
      <c r="AT614" s="24"/>
      <c r="AU614" s="24"/>
      <c r="AV614" s="24"/>
      <c r="AW614" s="24"/>
      <c r="AX614" s="24"/>
      <c r="AY614" s="24"/>
      <c r="AZ614" s="24"/>
      <c r="BA614" s="24"/>
      <c r="BB614" s="24"/>
      <c r="BC614" s="24"/>
      <c r="BD614" s="24"/>
      <c r="BE614" s="24"/>
      <c r="BF614" s="24"/>
      <c r="BG614" s="24"/>
      <c r="BH614" s="24"/>
    </row>
    <row r="615" spans="1:60">
      <c r="A615" s="7"/>
      <c r="B615" s="8"/>
      <c r="C615" s="9"/>
      <c r="D615" s="25"/>
      <c r="E615" s="25"/>
      <c r="F615" s="25"/>
      <c r="G615" s="25"/>
      <c r="H615" s="53"/>
      <c r="I615" s="53"/>
      <c r="J615" s="53"/>
      <c r="K615" s="24"/>
      <c r="L615" s="7"/>
      <c r="M615" s="24"/>
      <c r="N615" s="24"/>
      <c r="O615" s="24"/>
      <c r="P615" s="24"/>
      <c r="Q615" s="24"/>
      <c r="R615" s="24"/>
      <c r="S615" s="24"/>
      <c r="T615" s="24"/>
      <c r="U615" s="24"/>
      <c r="V615" s="24"/>
      <c r="W615" s="24"/>
      <c r="X615" s="24"/>
      <c r="Y615" s="24"/>
      <c r="Z615" s="24"/>
      <c r="AA615" s="24"/>
      <c r="AB615" s="24"/>
      <c r="AC615" s="24"/>
      <c r="AD615" s="24"/>
      <c r="AE615" s="24"/>
      <c r="AF615" s="24"/>
      <c r="AG615" s="24"/>
      <c r="AH615" s="24"/>
      <c r="AI615" s="24"/>
      <c r="AJ615" s="24"/>
      <c r="AK615" s="24"/>
      <c r="AL615" s="24"/>
      <c r="AM615" s="24"/>
      <c r="AN615" s="24"/>
      <c r="AO615" s="24"/>
      <c r="AP615" s="24"/>
      <c r="AQ615" s="24"/>
      <c r="AR615" s="24"/>
      <c r="AS615" s="24"/>
      <c r="AT615" s="24"/>
      <c r="AU615" s="24"/>
      <c r="AV615" s="24"/>
      <c r="AW615" s="24"/>
      <c r="AX615" s="24"/>
      <c r="AY615" s="24"/>
      <c r="AZ615" s="24"/>
      <c r="BA615" s="24"/>
      <c r="BB615" s="24"/>
      <c r="BC615" s="24"/>
      <c r="BD615" s="24"/>
      <c r="BE615" s="24"/>
      <c r="BF615" s="24"/>
      <c r="BG615" s="24"/>
      <c r="BH615" s="24"/>
    </row>
    <row r="616" spans="1:60">
      <c r="A616" s="7"/>
      <c r="B616" s="8"/>
      <c r="C616" s="9"/>
      <c r="D616" s="25"/>
      <c r="E616" s="25"/>
      <c r="F616" s="25"/>
      <c r="G616" s="25"/>
      <c r="H616" s="53"/>
      <c r="I616" s="53"/>
      <c r="J616" s="53"/>
      <c r="K616" s="24"/>
      <c r="L616" s="7"/>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4"/>
      <c r="AK616" s="24"/>
      <c r="AL616" s="24"/>
      <c r="AM616" s="24"/>
      <c r="AN616" s="24"/>
      <c r="AO616" s="24"/>
      <c r="AP616" s="24"/>
      <c r="AQ616" s="24"/>
      <c r="AR616" s="24"/>
      <c r="AS616" s="24"/>
      <c r="AT616" s="24"/>
      <c r="AU616" s="24"/>
      <c r="AV616" s="24"/>
      <c r="AW616" s="24"/>
      <c r="AX616" s="24"/>
      <c r="AY616" s="24"/>
      <c r="AZ616" s="24"/>
      <c r="BA616" s="24"/>
      <c r="BB616" s="24"/>
      <c r="BC616" s="24"/>
      <c r="BD616" s="24"/>
      <c r="BE616" s="24"/>
      <c r="BF616" s="24"/>
      <c r="BG616" s="24"/>
      <c r="BH616" s="24"/>
    </row>
    <row r="617" spans="1:60">
      <c r="A617" s="7"/>
      <c r="B617" s="8"/>
      <c r="C617" s="9"/>
      <c r="D617" s="25"/>
      <c r="E617" s="25"/>
      <c r="F617" s="25"/>
      <c r="G617" s="25"/>
      <c r="H617" s="53"/>
      <c r="I617" s="53"/>
      <c r="J617" s="53"/>
      <c r="K617" s="24"/>
      <c r="L617" s="7"/>
      <c r="M617" s="24"/>
      <c r="N617" s="24"/>
      <c r="O617" s="24"/>
      <c r="P617" s="24"/>
      <c r="Q617" s="24"/>
      <c r="R617" s="24"/>
      <c r="S617" s="24"/>
      <c r="T617" s="24"/>
      <c r="U617" s="24"/>
      <c r="V617" s="24"/>
      <c r="W617" s="24"/>
      <c r="X617" s="24"/>
      <c r="Y617" s="24"/>
      <c r="Z617" s="24"/>
      <c r="AA617" s="24"/>
      <c r="AB617" s="24"/>
      <c r="AC617" s="24"/>
      <c r="AD617" s="24"/>
      <c r="AE617" s="24"/>
      <c r="AF617" s="24"/>
      <c r="AG617" s="24"/>
      <c r="AH617" s="24"/>
      <c r="AI617" s="24"/>
      <c r="AJ617" s="24"/>
      <c r="AK617" s="24"/>
      <c r="AL617" s="24"/>
      <c r="AM617" s="24"/>
      <c r="AN617" s="24"/>
      <c r="AO617" s="24"/>
      <c r="AP617" s="24"/>
      <c r="AQ617" s="24"/>
      <c r="AR617" s="24"/>
      <c r="AS617" s="24"/>
      <c r="AT617" s="24"/>
      <c r="AU617" s="24"/>
      <c r="AV617" s="24"/>
      <c r="AW617" s="24"/>
      <c r="AX617" s="24"/>
      <c r="AY617" s="24"/>
      <c r="AZ617" s="24"/>
      <c r="BA617" s="24"/>
      <c r="BB617" s="24"/>
      <c r="BC617" s="24"/>
      <c r="BD617" s="24"/>
      <c r="BE617" s="24"/>
      <c r="BF617" s="24"/>
      <c r="BG617" s="24"/>
      <c r="BH617" s="24"/>
    </row>
    <row r="618" spans="1:60">
      <c r="A618" s="7"/>
      <c r="B618" s="8"/>
      <c r="C618" s="9"/>
      <c r="D618" s="25"/>
      <c r="E618" s="25"/>
      <c r="F618" s="25"/>
      <c r="G618" s="25"/>
      <c r="H618" s="53"/>
      <c r="I618" s="53"/>
      <c r="J618" s="53"/>
      <c r="K618" s="24"/>
      <c r="L618" s="7"/>
      <c r="M618" s="24"/>
      <c r="N618" s="24"/>
      <c r="O618" s="24"/>
      <c r="P618" s="24"/>
      <c r="Q618" s="24"/>
      <c r="R618" s="24"/>
      <c r="S618" s="24"/>
      <c r="T618" s="24"/>
      <c r="U618" s="24"/>
      <c r="V618" s="24"/>
      <c r="W618" s="24"/>
      <c r="X618" s="24"/>
      <c r="Y618" s="24"/>
      <c r="Z618" s="24"/>
      <c r="AA618" s="24"/>
      <c r="AB618" s="24"/>
      <c r="AC618" s="24"/>
      <c r="AD618" s="24"/>
      <c r="AE618" s="24"/>
      <c r="AF618" s="24"/>
      <c r="AG618" s="24"/>
      <c r="AH618" s="24"/>
      <c r="AI618" s="24"/>
      <c r="AJ618" s="24"/>
      <c r="AK618" s="24"/>
      <c r="AL618" s="24"/>
      <c r="AM618" s="24"/>
      <c r="AN618" s="24"/>
      <c r="AO618" s="24"/>
      <c r="AP618" s="24"/>
      <c r="AQ618" s="24"/>
      <c r="AR618" s="24"/>
      <c r="AS618" s="24"/>
      <c r="AT618" s="24"/>
      <c r="AU618" s="24"/>
      <c r="AV618" s="24"/>
      <c r="AW618" s="24"/>
      <c r="AX618" s="24"/>
      <c r="AY618" s="24"/>
      <c r="AZ618" s="24"/>
      <c r="BA618" s="24"/>
      <c r="BB618" s="24"/>
      <c r="BC618" s="24"/>
      <c r="BD618" s="24"/>
      <c r="BE618" s="24"/>
      <c r="BF618" s="24"/>
      <c r="BG618" s="24"/>
      <c r="BH618" s="24"/>
    </row>
    <row r="619" spans="1:60">
      <c r="A619" s="7"/>
      <c r="B619" s="8"/>
      <c r="C619" s="9"/>
      <c r="D619" s="25"/>
      <c r="E619" s="25"/>
      <c r="F619" s="25"/>
      <c r="G619" s="25"/>
      <c r="H619" s="53"/>
      <c r="I619" s="53"/>
      <c r="J619" s="53"/>
      <c r="K619" s="24"/>
      <c r="L619" s="7"/>
      <c r="M619" s="24"/>
      <c r="N619" s="24"/>
      <c r="O619" s="24"/>
      <c r="P619" s="24"/>
      <c r="Q619" s="24"/>
      <c r="R619" s="24"/>
      <c r="S619" s="24"/>
      <c r="T619" s="24"/>
      <c r="U619" s="24"/>
      <c r="V619" s="24"/>
      <c r="W619" s="24"/>
      <c r="X619" s="24"/>
      <c r="Y619" s="24"/>
      <c r="Z619" s="24"/>
      <c r="AA619" s="24"/>
      <c r="AB619" s="24"/>
      <c r="AC619" s="24"/>
      <c r="AD619" s="24"/>
      <c r="AE619" s="24"/>
      <c r="AF619" s="24"/>
      <c r="AG619" s="24"/>
      <c r="AH619" s="24"/>
      <c r="AI619" s="24"/>
      <c r="AJ619" s="24"/>
      <c r="AK619" s="24"/>
      <c r="AL619" s="24"/>
      <c r="AM619" s="24"/>
      <c r="AN619" s="24"/>
      <c r="AO619" s="24"/>
      <c r="AP619" s="24"/>
      <c r="AQ619" s="24"/>
      <c r="AR619" s="24"/>
      <c r="AS619" s="24"/>
      <c r="AT619" s="24"/>
      <c r="AU619" s="24"/>
      <c r="AV619" s="24"/>
      <c r="AW619" s="24"/>
      <c r="AX619" s="24"/>
      <c r="AY619" s="24"/>
      <c r="AZ619" s="24"/>
      <c r="BA619" s="24"/>
      <c r="BB619" s="24"/>
      <c r="BC619" s="24"/>
      <c r="BD619" s="24"/>
      <c r="BE619" s="24"/>
      <c r="BF619" s="24"/>
      <c r="BG619" s="24"/>
      <c r="BH619" s="24"/>
    </row>
    <row r="620" spans="1:60">
      <c r="A620" s="7"/>
      <c r="B620" s="8"/>
      <c r="C620" s="9"/>
      <c r="D620" s="25"/>
      <c r="E620" s="25"/>
      <c r="F620" s="25"/>
      <c r="G620" s="25"/>
      <c r="H620" s="53"/>
      <c r="I620" s="53"/>
      <c r="J620" s="53"/>
      <c r="K620" s="24"/>
      <c r="L620" s="7"/>
      <c r="M620" s="24"/>
      <c r="N620" s="24"/>
      <c r="O620" s="24"/>
      <c r="P620" s="24"/>
      <c r="Q620" s="24"/>
      <c r="R620" s="24"/>
      <c r="S620" s="24"/>
      <c r="T620" s="24"/>
      <c r="U620" s="24"/>
      <c r="V620" s="24"/>
      <c r="W620" s="24"/>
      <c r="X620" s="24"/>
      <c r="Y620" s="24"/>
      <c r="Z620" s="24"/>
      <c r="AA620" s="24"/>
      <c r="AB620" s="24"/>
      <c r="AC620" s="24"/>
      <c r="AD620" s="24"/>
      <c r="AE620" s="24"/>
      <c r="AF620" s="24"/>
      <c r="AG620" s="24"/>
      <c r="AH620" s="24"/>
      <c r="AI620" s="24"/>
      <c r="AJ620" s="24"/>
      <c r="AK620" s="24"/>
      <c r="AL620" s="24"/>
      <c r="AM620" s="24"/>
      <c r="AN620" s="24"/>
      <c r="AO620" s="24"/>
      <c r="AP620" s="24"/>
      <c r="AQ620" s="24"/>
      <c r="AR620" s="24"/>
      <c r="AS620" s="24"/>
      <c r="AT620" s="24"/>
      <c r="AU620" s="24"/>
      <c r="AV620" s="24"/>
      <c r="AW620" s="24"/>
      <c r="AX620" s="24"/>
      <c r="AY620" s="24"/>
      <c r="AZ620" s="24"/>
      <c r="BA620" s="24"/>
      <c r="BB620" s="24"/>
      <c r="BC620" s="24"/>
      <c r="BD620" s="24"/>
      <c r="BE620" s="24"/>
      <c r="BF620" s="24"/>
      <c r="BG620" s="24"/>
      <c r="BH620" s="24"/>
    </row>
    <row r="621" spans="1:60">
      <c r="A621" s="7"/>
      <c r="B621" s="8"/>
      <c r="C621" s="9"/>
      <c r="D621" s="25"/>
      <c r="E621" s="25"/>
      <c r="F621" s="25"/>
      <c r="G621" s="25"/>
      <c r="H621" s="53"/>
      <c r="I621" s="53"/>
      <c r="J621" s="53"/>
      <c r="K621" s="24"/>
      <c r="L621" s="7"/>
      <c r="M621" s="24"/>
      <c r="N621" s="24"/>
      <c r="O621" s="24"/>
      <c r="P621" s="24"/>
      <c r="Q621" s="24"/>
      <c r="R621" s="24"/>
      <c r="S621" s="24"/>
      <c r="T621" s="24"/>
      <c r="U621" s="24"/>
      <c r="V621" s="24"/>
      <c r="W621" s="24"/>
      <c r="X621" s="24"/>
      <c r="Y621" s="24"/>
      <c r="Z621" s="24"/>
      <c r="AA621" s="24"/>
      <c r="AB621" s="24"/>
      <c r="AC621" s="24"/>
      <c r="AD621" s="24"/>
      <c r="AE621" s="24"/>
      <c r="AF621" s="24"/>
      <c r="AG621" s="24"/>
      <c r="AH621" s="24"/>
      <c r="AI621" s="24"/>
      <c r="AJ621" s="24"/>
      <c r="AK621" s="24"/>
      <c r="AL621" s="24"/>
      <c r="AM621" s="24"/>
      <c r="AN621" s="24"/>
      <c r="AO621" s="24"/>
      <c r="AP621" s="24"/>
      <c r="AQ621" s="24"/>
      <c r="AR621" s="24"/>
      <c r="AS621" s="24"/>
      <c r="AT621" s="24"/>
      <c r="AU621" s="24"/>
      <c r="AV621" s="24"/>
      <c r="AW621" s="24"/>
      <c r="AX621" s="24"/>
      <c r="AY621" s="24"/>
      <c r="AZ621" s="24"/>
      <c r="BA621" s="24"/>
      <c r="BB621" s="24"/>
      <c r="BC621" s="24"/>
      <c r="BD621" s="24"/>
      <c r="BE621" s="24"/>
      <c r="BF621" s="24"/>
      <c r="BG621" s="24"/>
      <c r="BH621" s="24"/>
    </row>
    <row r="622" spans="1:60">
      <c r="A622" s="7"/>
      <c r="B622" s="8"/>
      <c r="C622" s="9"/>
      <c r="D622" s="25"/>
      <c r="E622" s="25"/>
      <c r="F622" s="25"/>
      <c r="G622" s="25"/>
      <c r="H622" s="53"/>
      <c r="I622" s="53"/>
      <c r="J622" s="53"/>
      <c r="K622" s="24"/>
      <c r="L622" s="7"/>
      <c r="M622" s="24"/>
      <c r="N622" s="24"/>
      <c r="O622" s="24"/>
      <c r="P622" s="24"/>
      <c r="Q622" s="24"/>
      <c r="R622" s="24"/>
      <c r="S622" s="24"/>
      <c r="T622" s="24"/>
      <c r="U622" s="24"/>
      <c r="V622" s="24"/>
      <c r="W622" s="24"/>
      <c r="X622" s="24"/>
      <c r="Y622" s="24"/>
      <c r="Z622" s="24"/>
      <c r="AA622" s="24"/>
      <c r="AB622" s="24"/>
      <c r="AC622" s="24"/>
      <c r="AD622" s="24"/>
      <c r="AE622" s="24"/>
      <c r="AF622" s="24"/>
      <c r="AG622" s="24"/>
      <c r="AH622" s="24"/>
      <c r="AI622" s="24"/>
      <c r="AJ622" s="24"/>
      <c r="AK622" s="24"/>
      <c r="AL622" s="24"/>
      <c r="AM622" s="24"/>
      <c r="AN622" s="24"/>
      <c r="AO622" s="24"/>
      <c r="AP622" s="24"/>
      <c r="AQ622" s="24"/>
      <c r="AR622" s="24"/>
      <c r="AS622" s="24"/>
      <c r="AT622" s="24"/>
      <c r="AU622" s="24"/>
      <c r="AV622" s="24"/>
      <c r="AW622" s="24"/>
      <c r="AX622" s="24"/>
      <c r="AY622" s="24"/>
      <c r="AZ622" s="24"/>
      <c r="BA622" s="24"/>
      <c r="BB622" s="24"/>
      <c r="BC622" s="24"/>
      <c r="BD622" s="24"/>
      <c r="BE622" s="24"/>
      <c r="BF622" s="24"/>
      <c r="BG622" s="24"/>
      <c r="BH622" s="24"/>
    </row>
    <row r="623" spans="1:60">
      <c r="A623" s="7"/>
      <c r="B623" s="8"/>
      <c r="C623" s="9"/>
      <c r="D623" s="25"/>
      <c r="E623" s="25"/>
      <c r="F623" s="25"/>
      <c r="G623" s="25"/>
      <c r="H623" s="53"/>
      <c r="I623" s="53"/>
      <c r="J623" s="53"/>
      <c r="K623" s="24"/>
      <c r="L623" s="7"/>
      <c r="M623" s="24"/>
      <c r="N623" s="24"/>
      <c r="O623" s="24"/>
      <c r="P623" s="24"/>
      <c r="Q623" s="24"/>
      <c r="R623" s="24"/>
      <c r="S623" s="24"/>
      <c r="T623" s="24"/>
      <c r="U623" s="24"/>
      <c r="V623" s="24"/>
      <c r="W623" s="24"/>
      <c r="X623" s="24"/>
      <c r="Y623" s="24"/>
      <c r="Z623" s="24"/>
      <c r="AA623" s="24"/>
      <c r="AB623" s="24"/>
      <c r="AC623" s="24"/>
      <c r="AD623" s="24"/>
      <c r="AE623" s="24"/>
      <c r="AF623" s="24"/>
      <c r="AG623" s="24"/>
      <c r="AH623" s="24"/>
      <c r="AI623" s="24"/>
      <c r="AJ623" s="24"/>
      <c r="AK623" s="24"/>
      <c r="AL623" s="24"/>
      <c r="AM623" s="24"/>
      <c r="AN623" s="24"/>
      <c r="AO623" s="24"/>
      <c r="AP623" s="24"/>
      <c r="AQ623" s="24"/>
      <c r="AR623" s="24"/>
      <c r="AS623" s="24"/>
      <c r="AT623" s="24"/>
      <c r="AU623" s="24"/>
      <c r="AV623" s="24"/>
      <c r="AW623" s="24"/>
      <c r="AX623" s="24"/>
      <c r="AY623" s="24"/>
      <c r="AZ623" s="24"/>
      <c r="BA623" s="24"/>
      <c r="BB623" s="24"/>
      <c r="BC623" s="24"/>
      <c r="BD623" s="24"/>
      <c r="BE623" s="24"/>
      <c r="BF623" s="24"/>
      <c r="BG623" s="24"/>
      <c r="BH623" s="24"/>
    </row>
    <row r="624" spans="1:60">
      <c r="A624" s="7"/>
      <c r="B624" s="8"/>
      <c r="C624" s="9"/>
      <c r="D624" s="25"/>
      <c r="E624" s="25"/>
      <c r="F624" s="25"/>
      <c r="G624" s="25"/>
      <c r="H624" s="53"/>
      <c r="I624" s="53"/>
      <c r="J624" s="53"/>
      <c r="K624" s="24"/>
      <c r="L624" s="7"/>
      <c r="M624" s="24"/>
      <c r="N624" s="24"/>
      <c r="O624" s="24"/>
      <c r="P624" s="24"/>
      <c r="Q624" s="24"/>
      <c r="R624" s="24"/>
      <c r="S624" s="24"/>
      <c r="T624" s="24"/>
      <c r="U624" s="24"/>
      <c r="V624" s="24"/>
      <c r="W624" s="24"/>
      <c r="X624" s="24"/>
      <c r="Y624" s="24"/>
      <c r="Z624" s="24"/>
      <c r="AA624" s="24"/>
      <c r="AB624" s="24"/>
      <c r="AC624" s="24"/>
      <c r="AD624" s="24"/>
      <c r="AE624" s="24"/>
      <c r="AF624" s="24"/>
      <c r="AG624" s="24"/>
      <c r="AH624" s="24"/>
      <c r="AI624" s="24"/>
      <c r="AJ624" s="24"/>
      <c r="AK624" s="24"/>
      <c r="AL624" s="24"/>
      <c r="AM624" s="24"/>
      <c r="AN624" s="24"/>
      <c r="AO624" s="24"/>
      <c r="AP624" s="24"/>
      <c r="AQ624" s="24"/>
      <c r="AR624" s="24"/>
      <c r="AS624" s="24"/>
      <c r="AT624" s="24"/>
      <c r="AU624" s="24"/>
      <c r="AV624" s="24"/>
      <c r="AW624" s="24"/>
      <c r="AX624" s="24"/>
      <c r="AY624" s="24"/>
      <c r="AZ624" s="24"/>
      <c r="BA624" s="24"/>
      <c r="BB624" s="24"/>
      <c r="BC624" s="24"/>
      <c r="BD624" s="24"/>
      <c r="BE624" s="24"/>
      <c r="BF624" s="24"/>
      <c r="BG624" s="24"/>
      <c r="BH624" s="24"/>
    </row>
    <row r="625" spans="1:60">
      <c r="A625" s="7"/>
      <c r="B625" s="8"/>
      <c r="C625" s="9"/>
      <c r="D625" s="25"/>
      <c r="E625" s="25"/>
      <c r="F625" s="25"/>
      <c r="G625" s="25"/>
      <c r="H625" s="53"/>
      <c r="I625" s="53"/>
      <c r="J625" s="53"/>
      <c r="K625" s="24"/>
      <c r="L625" s="7"/>
      <c r="M625" s="24"/>
      <c r="N625" s="24"/>
      <c r="O625" s="24"/>
      <c r="P625" s="24"/>
      <c r="Q625" s="24"/>
      <c r="R625" s="24"/>
      <c r="S625" s="24"/>
      <c r="T625" s="24"/>
      <c r="U625" s="24"/>
      <c r="V625" s="24"/>
      <c r="W625" s="24"/>
      <c r="X625" s="24"/>
      <c r="Y625" s="24"/>
      <c r="Z625" s="24"/>
      <c r="AA625" s="24"/>
      <c r="AB625" s="24"/>
      <c r="AC625" s="24"/>
      <c r="AD625" s="24"/>
      <c r="AE625" s="24"/>
      <c r="AF625" s="24"/>
      <c r="AG625" s="24"/>
      <c r="AH625" s="24"/>
      <c r="AI625" s="24"/>
      <c r="AJ625" s="24"/>
      <c r="AK625" s="24"/>
      <c r="AL625" s="24"/>
      <c r="AM625" s="24"/>
      <c r="AN625" s="24"/>
      <c r="AO625" s="24"/>
      <c r="AP625" s="24"/>
      <c r="AQ625" s="24"/>
      <c r="AR625" s="24"/>
      <c r="AS625" s="24"/>
      <c r="AT625" s="24"/>
      <c r="AU625" s="24"/>
      <c r="AV625" s="24"/>
      <c r="AW625" s="24"/>
      <c r="AX625" s="24"/>
      <c r="AY625" s="24"/>
      <c r="AZ625" s="24"/>
      <c r="BA625" s="24"/>
      <c r="BB625" s="24"/>
      <c r="BC625" s="24"/>
      <c r="BD625" s="24"/>
      <c r="BE625" s="24"/>
      <c r="BF625" s="24"/>
      <c r="BG625" s="24"/>
      <c r="BH625" s="24"/>
    </row>
    <row r="626" spans="1:60">
      <c r="A626" s="7"/>
      <c r="B626" s="8"/>
      <c r="C626" s="9"/>
      <c r="D626" s="25"/>
      <c r="E626" s="25"/>
      <c r="F626" s="25"/>
      <c r="G626" s="25"/>
      <c r="H626" s="53"/>
      <c r="I626" s="53"/>
      <c r="J626" s="53"/>
      <c r="K626" s="24"/>
      <c r="L626" s="7"/>
      <c r="M626" s="24"/>
      <c r="N626" s="24"/>
      <c r="O626" s="24"/>
      <c r="P626" s="24"/>
      <c r="Q626" s="24"/>
      <c r="R626" s="24"/>
      <c r="S626" s="24"/>
      <c r="T626" s="24"/>
      <c r="U626" s="24"/>
      <c r="V626" s="24"/>
      <c r="W626" s="24"/>
      <c r="X626" s="24"/>
      <c r="Y626" s="24"/>
      <c r="Z626" s="24"/>
      <c r="AA626" s="24"/>
      <c r="AB626" s="24"/>
      <c r="AC626" s="24"/>
      <c r="AD626" s="24"/>
      <c r="AE626" s="24"/>
      <c r="AF626" s="24"/>
      <c r="AG626" s="24"/>
      <c r="AH626" s="24"/>
      <c r="AI626" s="24"/>
      <c r="AJ626" s="24"/>
      <c r="AK626" s="24"/>
      <c r="AL626" s="24"/>
      <c r="AM626" s="24"/>
      <c r="AN626" s="24"/>
      <c r="AO626" s="24"/>
      <c r="AP626" s="24"/>
      <c r="AQ626" s="24"/>
      <c r="AR626" s="24"/>
      <c r="AS626" s="24"/>
      <c r="AT626" s="24"/>
      <c r="AU626" s="24"/>
      <c r="AV626" s="24"/>
      <c r="AW626" s="24"/>
      <c r="AX626" s="24"/>
      <c r="AY626" s="24"/>
      <c r="AZ626" s="24"/>
      <c r="BA626" s="24"/>
      <c r="BB626" s="24"/>
      <c r="BC626" s="24"/>
      <c r="BD626" s="24"/>
      <c r="BE626" s="24"/>
      <c r="BF626" s="24"/>
      <c r="BG626" s="24"/>
      <c r="BH626" s="24"/>
    </row>
    <row r="627" spans="1:60">
      <c r="A627" s="7"/>
      <c r="B627" s="8"/>
      <c r="C627" s="9"/>
      <c r="D627" s="25"/>
      <c r="E627" s="25"/>
      <c r="F627" s="25"/>
      <c r="G627" s="25"/>
      <c r="H627" s="53"/>
      <c r="I627" s="53"/>
      <c r="J627" s="53"/>
      <c r="K627" s="24"/>
      <c r="L627" s="7"/>
      <c r="M627" s="24"/>
      <c r="N627" s="24"/>
      <c r="O627" s="24"/>
      <c r="P627" s="24"/>
      <c r="Q627" s="24"/>
      <c r="R627" s="24"/>
      <c r="S627" s="24"/>
      <c r="T627" s="24"/>
      <c r="U627" s="24"/>
      <c r="V627" s="24"/>
      <c r="W627" s="24"/>
      <c r="X627" s="24"/>
      <c r="Y627" s="24"/>
      <c r="Z627" s="24"/>
      <c r="AA627" s="24"/>
      <c r="AB627" s="24"/>
      <c r="AC627" s="24"/>
      <c r="AD627" s="24"/>
      <c r="AE627" s="24"/>
      <c r="AF627" s="24"/>
      <c r="AG627" s="24"/>
      <c r="AH627" s="24"/>
      <c r="AI627" s="24"/>
      <c r="AJ627" s="24"/>
      <c r="AK627" s="24"/>
      <c r="AL627" s="24"/>
      <c r="AM627" s="24"/>
      <c r="AN627" s="24"/>
      <c r="AO627" s="24"/>
      <c r="AP627" s="24"/>
      <c r="AQ627" s="24"/>
      <c r="AR627" s="24"/>
      <c r="AS627" s="24"/>
      <c r="AT627" s="24"/>
      <c r="AU627" s="24"/>
      <c r="AV627" s="24"/>
      <c r="AW627" s="24"/>
      <c r="AX627" s="24"/>
      <c r="AY627" s="24"/>
      <c r="AZ627" s="24"/>
      <c r="BA627" s="24"/>
      <c r="BB627" s="24"/>
      <c r="BC627" s="24"/>
      <c r="BD627" s="24"/>
      <c r="BE627" s="24"/>
      <c r="BF627" s="24"/>
      <c r="BG627" s="24"/>
      <c r="BH627" s="24"/>
    </row>
    <row r="628" spans="1:60">
      <c r="A628" s="7"/>
      <c r="B628" s="8"/>
      <c r="C628" s="9"/>
      <c r="D628" s="25"/>
      <c r="E628" s="25"/>
      <c r="F628" s="25"/>
      <c r="G628" s="25"/>
      <c r="H628" s="53"/>
      <c r="I628" s="53"/>
      <c r="J628" s="53"/>
      <c r="K628" s="24"/>
      <c r="L628" s="7"/>
      <c r="M628" s="24"/>
      <c r="N628" s="24"/>
      <c r="O628" s="24"/>
      <c r="P628" s="24"/>
      <c r="Q628" s="24"/>
      <c r="R628" s="24"/>
      <c r="S628" s="24"/>
      <c r="T628" s="24"/>
      <c r="U628" s="24"/>
      <c r="V628" s="24"/>
      <c r="W628" s="24"/>
      <c r="X628" s="24"/>
      <c r="Y628" s="24"/>
      <c r="Z628" s="24"/>
      <c r="AA628" s="24"/>
      <c r="AB628" s="24"/>
      <c r="AC628" s="24"/>
      <c r="AD628" s="24"/>
      <c r="AE628" s="24"/>
      <c r="AF628" s="24"/>
      <c r="AG628" s="24"/>
      <c r="AH628" s="24"/>
      <c r="AI628" s="24"/>
      <c r="AJ628" s="24"/>
      <c r="AK628" s="24"/>
      <c r="AL628" s="24"/>
      <c r="AM628" s="24"/>
      <c r="AN628" s="24"/>
      <c r="AO628" s="24"/>
      <c r="AP628" s="24"/>
      <c r="AQ628" s="24"/>
      <c r="AR628" s="24"/>
      <c r="AS628" s="24"/>
      <c r="AT628" s="24"/>
      <c r="AU628" s="24"/>
      <c r="AV628" s="24"/>
      <c r="AW628" s="24"/>
      <c r="AX628" s="24"/>
      <c r="AY628" s="24"/>
      <c r="AZ628" s="24"/>
      <c r="BA628" s="24"/>
      <c r="BB628" s="24"/>
      <c r="BC628" s="24"/>
      <c r="BD628" s="24"/>
      <c r="BE628" s="24"/>
      <c r="BF628" s="24"/>
      <c r="BG628" s="24"/>
      <c r="BH628" s="24"/>
    </row>
    <row r="629" spans="1:60">
      <c r="A629" s="7"/>
      <c r="B629" s="8"/>
      <c r="C629" s="9"/>
      <c r="D629" s="25"/>
      <c r="E629" s="25"/>
      <c r="F629" s="25"/>
      <c r="G629" s="25"/>
      <c r="H629" s="53"/>
      <c r="I629" s="53"/>
      <c r="J629" s="53"/>
      <c r="K629" s="24"/>
      <c r="L629" s="7"/>
      <c r="M629" s="24"/>
      <c r="N629" s="24"/>
      <c r="O629" s="24"/>
      <c r="P629" s="24"/>
      <c r="Q629" s="24"/>
      <c r="R629" s="24"/>
      <c r="S629" s="24"/>
      <c r="T629" s="24"/>
      <c r="U629" s="24"/>
      <c r="V629" s="24"/>
      <c r="W629" s="24"/>
      <c r="X629" s="24"/>
      <c r="Y629" s="24"/>
      <c r="Z629" s="24"/>
      <c r="AA629" s="24"/>
      <c r="AB629" s="24"/>
      <c r="AC629" s="24"/>
      <c r="AD629" s="24"/>
      <c r="AE629" s="24"/>
      <c r="AF629" s="24"/>
      <c r="AG629" s="24"/>
      <c r="AH629" s="24"/>
      <c r="AI629" s="24"/>
      <c r="AJ629" s="24"/>
      <c r="AK629" s="24"/>
      <c r="AL629" s="24"/>
      <c r="AM629" s="24"/>
      <c r="AN629" s="24"/>
      <c r="AO629" s="24"/>
      <c r="AP629" s="24"/>
      <c r="AQ629" s="24"/>
      <c r="AR629" s="24"/>
      <c r="AS629" s="24"/>
      <c r="AT629" s="24"/>
      <c r="AU629" s="24"/>
      <c r="AV629" s="24"/>
      <c r="AW629" s="24"/>
      <c r="AX629" s="24"/>
      <c r="AY629" s="24"/>
      <c r="AZ629" s="24"/>
      <c r="BA629" s="24"/>
      <c r="BB629" s="24"/>
      <c r="BC629" s="24"/>
      <c r="BD629" s="24"/>
      <c r="BE629" s="24"/>
      <c r="BF629" s="24"/>
      <c r="BG629" s="24"/>
      <c r="BH629" s="24"/>
    </row>
    <row r="630" spans="1:60">
      <c r="A630" s="7"/>
      <c r="B630" s="8"/>
      <c r="C630" s="9"/>
      <c r="D630" s="25"/>
      <c r="E630" s="25"/>
      <c r="F630" s="25"/>
      <c r="G630" s="25"/>
      <c r="H630" s="53"/>
      <c r="I630" s="53"/>
      <c r="J630" s="53"/>
      <c r="K630" s="24"/>
      <c r="L630" s="7"/>
      <c r="M630" s="24"/>
      <c r="N630" s="24"/>
      <c r="O630" s="24"/>
      <c r="P630" s="24"/>
      <c r="Q630" s="24"/>
      <c r="R630" s="24"/>
      <c r="S630" s="24"/>
      <c r="T630" s="24"/>
      <c r="U630" s="24"/>
      <c r="V630" s="24"/>
      <c r="W630" s="24"/>
      <c r="X630" s="24"/>
      <c r="Y630" s="24"/>
      <c r="Z630" s="24"/>
      <c r="AA630" s="24"/>
      <c r="AB630" s="24"/>
      <c r="AC630" s="24"/>
      <c r="AD630" s="24"/>
      <c r="AE630" s="24"/>
      <c r="AF630" s="24"/>
      <c r="AG630" s="24"/>
      <c r="AH630" s="24"/>
      <c r="AI630" s="24"/>
      <c r="AJ630" s="24"/>
      <c r="AK630" s="24"/>
      <c r="AL630" s="24"/>
      <c r="AM630" s="24"/>
      <c r="AN630" s="24"/>
      <c r="AO630" s="24"/>
      <c r="AP630" s="24"/>
      <c r="AQ630" s="24"/>
      <c r="AR630" s="24"/>
      <c r="AS630" s="24"/>
      <c r="AT630" s="24"/>
      <c r="AU630" s="24"/>
      <c r="AV630" s="24"/>
      <c r="AW630" s="24"/>
      <c r="AX630" s="24"/>
      <c r="AY630" s="24"/>
      <c r="AZ630" s="24"/>
      <c r="BA630" s="24"/>
      <c r="BB630" s="24"/>
      <c r="BC630" s="24"/>
      <c r="BD630" s="24"/>
      <c r="BE630" s="24"/>
      <c r="BF630" s="24"/>
      <c r="BG630" s="24"/>
      <c r="BH630" s="24"/>
    </row>
    <row r="631" spans="1:60">
      <c r="A631" s="7"/>
      <c r="B631" s="8"/>
      <c r="C631" s="9"/>
      <c r="D631" s="25"/>
      <c r="E631" s="25"/>
      <c r="F631" s="25"/>
      <c r="G631" s="25"/>
      <c r="H631" s="53"/>
      <c r="I631" s="53"/>
      <c r="J631" s="53"/>
      <c r="K631" s="24"/>
      <c r="L631" s="7"/>
      <c r="M631" s="24"/>
      <c r="N631" s="24"/>
      <c r="O631" s="24"/>
      <c r="P631" s="24"/>
      <c r="Q631" s="24"/>
      <c r="R631" s="24"/>
      <c r="S631" s="24"/>
      <c r="T631" s="24"/>
      <c r="U631" s="24"/>
      <c r="V631" s="24"/>
      <c r="W631" s="24"/>
      <c r="X631" s="24"/>
      <c r="Y631" s="24"/>
      <c r="Z631" s="24"/>
      <c r="AA631" s="24"/>
      <c r="AB631" s="24"/>
      <c r="AC631" s="24"/>
      <c r="AD631" s="24"/>
      <c r="AE631" s="24"/>
      <c r="AF631" s="24"/>
      <c r="AG631" s="24"/>
      <c r="AH631" s="24"/>
      <c r="AI631" s="24"/>
      <c r="AJ631" s="24"/>
      <c r="AK631" s="24"/>
      <c r="AL631" s="24"/>
      <c r="AM631" s="24"/>
      <c r="AN631" s="24"/>
      <c r="AO631" s="24"/>
      <c r="AP631" s="24"/>
      <c r="AQ631" s="24"/>
      <c r="AR631" s="24"/>
      <c r="AS631" s="24"/>
      <c r="AT631" s="24"/>
      <c r="AU631" s="24"/>
      <c r="AV631" s="24"/>
      <c r="AW631" s="24"/>
      <c r="AX631" s="24"/>
      <c r="AY631" s="24"/>
      <c r="AZ631" s="24"/>
      <c r="BA631" s="24"/>
      <c r="BB631" s="24"/>
      <c r="BC631" s="24"/>
      <c r="BD631" s="24"/>
      <c r="BE631" s="24"/>
      <c r="BF631" s="24"/>
      <c r="BG631" s="24"/>
      <c r="BH631" s="24"/>
    </row>
    <row r="632" spans="1:60">
      <c r="A632" s="7"/>
      <c r="B632" s="8"/>
      <c r="C632" s="9"/>
      <c r="D632" s="25"/>
      <c r="E632" s="25"/>
      <c r="F632" s="25"/>
      <c r="G632" s="25"/>
      <c r="H632" s="53"/>
      <c r="I632" s="53"/>
      <c r="J632" s="53"/>
      <c r="K632" s="24"/>
      <c r="L632" s="7"/>
      <c r="M632" s="24"/>
      <c r="N632" s="24"/>
      <c r="O632" s="24"/>
      <c r="P632" s="24"/>
      <c r="Q632" s="24"/>
      <c r="R632" s="24"/>
      <c r="S632" s="24"/>
      <c r="T632" s="24"/>
      <c r="U632" s="24"/>
      <c r="V632" s="24"/>
      <c r="W632" s="24"/>
      <c r="X632" s="24"/>
      <c r="Y632" s="24"/>
      <c r="Z632" s="24"/>
      <c r="AA632" s="24"/>
      <c r="AB632" s="24"/>
      <c r="AC632" s="24"/>
      <c r="AD632" s="24"/>
      <c r="AE632" s="24"/>
      <c r="AF632" s="24"/>
      <c r="AG632" s="24"/>
      <c r="AH632" s="24"/>
      <c r="AI632" s="24"/>
      <c r="AJ632" s="24"/>
      <c r="AK632" s="24"/>
      <c r="AL632" s="24"/>
      <c r="AM632" s="24"/>
      <c r="AN632" s="24"/>
      <c r="AO632" s="24"/>
      <c r="AP632" s="24"/>
      <c r="AQ632" s="24"/>
      <c r="AR632" s="24"/>
      <c r="AS632" s="24"/>
      <c r="AT632" s="24"/>
      <c r="AU632" s="24"/>
      <c r="AV632" s="24"/>
      <c r="AW632" s="24"/>
      <c r="AX632" s="24"/>
      <c r="AY632" s="24"/>
      <c r="AZ632" s="24"/>
      <c r="BA632" s="24"/>
      <c r="BB632" s="24"/>
      <c r="BC632" s="24"/>
      <c r="BD632" s="24"/>
      <c r="BE632" s="24"/>
      <c r="BF632" s="24"/>
      <c r="BG632" s="24"/>
      <c r="BH632" s="24"/>
    </row>
    <row r="633" spans="1:60">
      <c r="A633" s="7"/>
      <c r="B633" s="8"/>
      <c r="C633" s="9"/>
      <c r="D633" s="25"/>
      <c r="E633" s="25"/>
      <c r="F633" s="25"/>
      <c r="G633" s="25"/>
      <c r="H633" s="53"/>
      <c r="I633" s="53"/>
      <c r="J633" s="53"/>
      <c r="K633" s="24"/>
      <c r="L633" s="7"/>
      <c r="M633" s="24"/>
      <c r="N633" s="24"/>
      <c r="O633" s="24"/>
      <c r="P633" s="24"/>
      <c r="Q633" s="24"/>
      <c r="R633" s="24"/>
      <c r="S633" s="24"/>
      <c r="T633" s="24"/>
      <c r="U633" s="24"/>
      <c r="V633" s="24"/>
      <c r="W633" s="24"/>
      <c r="X633" s="24"/>
      <c r="Y633" s="24"/>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c r="BC633" s="24"/>
      <c r="BD633" s="24"/>
      <c r="BE633" s="24"/>
      <c r="BF633" s="24"/>
      <c r="BG633" s="24"/>
      <c r="BH633" s="24"/>
    </row>
    <row r="634" spans="1:60">
      <c r="A634" s="7"/>
      <c r="B634" s="8"/>
      <c r="C634" s="9"/>
      <c r="D634" s="25"/>
      <c r="E634" s="25"/>
      <c r="F634" s="25"/>
      <c r="G634" s="25"/>
      <c r="H634" s="53"/>
      <c r="I634" s="53"/>
      <c r="J634" s="53"/>
      <c r="K634" s="24"/>
      <c r="L634" s="7"/>
      <c r="M634" s="24"/>
      <c r="N634" s="24"/>
      <c r="O634" s="24"/>
      <c r="P634" s="24"/>
      <c r="Q634" s="24"/>
      <c r="R634" s="24"/>
      <c r="S634" s="24"/>
      <c r="T634" s="24"/>
      <c r="U634" s="24"/>
      <c r="V634" s="24"/>
      <c r="W634" s="24"/>
      <c r="X634" s="24"/>
      <c r="Y634" s="24"/>
      <c r="Z634" s="24"/>
      <c r="AA634" s="24"/>
      <c r="AB634" s="24"/>
      <c r="AC634" s="24"/>
      <c r="AD634" s="24"/>
      <c r="AE634" s="24"/>
      <c r="AF634" s="24"/>
      <c r="AG634" s="24"/>
      <c r="AH634" s="24"/>
      <c r="AI634" s="24"/>
      <c r="AJ634" s="24"/>
      <c r="AK634" s="24"/>
      <c r="AL634" s="24"/>
      <c r="AM634" s="24"/>
      <c r="AN634" s="24"/>
      <c r="AO634" s="24"/>
      <c r="AP634" s="24"/>
      <c r="AQ634" s="24"/>
      <c r="AR634" s="24"/>
      <c r="AS634" s="24"/>
      <c r="AT634" s="24"/>
      <c r="AU634" s="24"/>
      <c r="AV634" s="24"/>
      <c r="AW634" s="24"/>
      <c r="AX634" s="24"/>
      <c r="AY634" s="24"/>
      <c r="AZ634" s="24"/>
      <c r="BA634" s="24"/>
      <c r="BB634" s="24"/>
      <c r="BC634" s="24"/>
      <c r="BD634" s="24"/>
      <c r="BE634" s="24"/>
      <c r="BF634" s="24"/>
      <c r="BG634" s="24"/>
      <c r="BH634" s="24"/>
    </row>
    <row r="635" spans="1:60">
      <c r="A635" s="7"/>
      <c r="B635" s="8"/>
      <c r="C635" s="9"/>
      <c r="D635" s="25"/>
      <c r="E635" s="25"/>
      <c r="F635" s="25"/>
      <c r="G635" s="25"/>
      <c r="H635" s="53"/>
      <c r="I635" s="53"/>
      <c r="J635" s="53"/>
      <c r="K635" s="24"/>
      <c r="L635" s="7"/>
      <c r="M635" s="24"/>
      <c r="N635" s="24"/>
      <c r="O635" s="24"/>
      <c r="P635" s="24"/>
      <c r="Q635" s="24"/>
      <c r="R635" s="24"/>
      <c r="S635" s="24"/>
      <c r="T635" s="24"/>
      <c r="U635" s="24"/>
      <c r="V635" s="24"/>
      <c r="W635" s="24"/>
      <c r="X635" s="24"/>
      <c r="Y635" s="24"/>
      <c r="Z635" s="24"/>
      <c r="AA635" s="24"/>
      <c r="AB635" s="24"/>
      <c r="AC635" s="24"/>
      <c r="AD635" s="24"/>
      <c r="AE635" s="24"/>
      <c r="AF635" s="24"/>
      <c r="AG635" s="24"/>
      <c r="AH635" s="24"/>
      <c r="AI635" s="24"/>
      <c r="AJ635" s="24"/>
      <c r="AK635" s="24"/>
      <c r="AL635" s="24"/>
      <c r="AM635" s="24"/>
      <c r="AN635" s="24"/>
      <c r="AO635" s="24"/>
      <c r="AP635" s="24"/>
      <c r="AQ635" s="24"/>
      <c r="AR635" s="24"/>
      <c r="AS635" s="24"/>
      <c r="AT635" s="24"/>
      <c r="AU635" s="24"/>
      <c r="AV635" s="24"/>
      <c r="AW635" s="24"/>
      <c r="AX635" s="24"/>
      <c r="AY635" s="24"/>
      <c r="AZ635" s="24"/>
      <c r="BA635" s="24"/>
      <c r="BB635" s="24"/>
      <c r="BC635" s="24"/>
      <c r="BD635" s="24"/>
      <c r="BE635" s="24"/>
      <c r="BF635" s="24"/>
      <c r="BG635" s="24"/>
      <c r="BH635" s="24"/>
    </row>
    <row r="636" spans="1:60">
      <c r="A636" s="7"/>
      <c r="B636" s="8"/>
      <c r="C636" s="9"/>
      <c r="D636" s="25"/>
      <c r="E636" s="25"/>
      <c r="F636" s="25"/>
      <c r="G636" s="25"/>
      <c r="H636" s="53"/>
      <c r="I636" s="53"/>
      <c r="J636" s="53"/>
      <c r="K636" s="24"/>
      <c r="L636" s="7"/>
      <c r="M636" s="24"/>
      <c r="N636" s="24"/>
      <c r="O636" s="24"/>
      <c r="P636" s="24"/>
      <c r="Q636" s="24"/>
      <c r="R636" s="24"/>
      <c r="S636" s="24"/>
      <c r="T636" s="24"/>
      <c r="U636" s="24"/>
      <c r="V636" s="24"/>
      <c r="W636" s="24"/>
      <c r="X636" s="24"/>
      <c r="Y636" s="24"/>
      <c r="Z636" s="24"/>
      <c r="AA636" s="24"/>
      <c r="AB636" s="24"/>
      <c r="AC636" s="24"/>
      <c r="AD636" s="24"/>
      <c r="AE636" s="24"/>
      <c r="AF636" s="24"/>
      <c r="AG636" s="24"/>
      <c r="AH636" s="24"/>
      <c r="AI636" s="24"/>
      <c r="AJ636" s="24"/>
      <c r="AK636" s="24"/>
      <c r="AL636" s="24"/>
      <c r="AM636" s="24"/>
      <c r="AN636" s="24"/>
      <c r="AO636" s="24"/>
      <c r="AP636" s="24"/>
      <c r="AQ636" s="24"/>
      <c r="AR636" s="24"/>
      <c r="AS636" s="24"/>
      <c r="AT636" s="24"/>
      <c r="AU636" s="24"/>
      <c r="AV636" s="24"/>
      <c r="AW636" s="24"/>
      <c r="AX636" s="24"/>
      <c r="AY636" s="24"/>
      <c r="AZ636" s="24"/>
      <c r="BA636" s="24"/>
      <c r="BB636" s="24"/>
      <c r="BC636" s="24"/>
      <c r="BD636" s="24"/>
      <c r="BE636" s="24"/>
      <c r="BF636" s="24"/>
      <c r="BG636" s="24"/>
      <c r="BH636" s="24"/>
    </row>
    <row r="637" spans="1:60">
      <c r="A637" s="7"/>
      <c r="B637" s="8"/>
      <c r="C637" s="9"/>
      <c r="D637" s="25"/>
      <c r="E637" s="25"/>
      <c r="F637" s="25"/>
      <c r="G637" s="25"/>
      <c r="H637" s="53"/>
      <c r="I637" s="53"/>
      <c r="J637" s="53"/>
      <c r="K637" s="24"/>
      <c r="L637" s="7"/>
      <c r="M637" s="24"/>
      <c r="N637" s="24"/>
      <c r="O637" s="24"/>
      <c r="P637" s="24"/>
      <c r="Q637" s="24"/>
      <c r="R637" s="24"/>
      <c r="S637" s="24"/>
      <c r="T637" s="24"/>
      <c r="U637" s="24"/>
      <c r="V637" s="24"/>
      <c r="W637" s="24"/>
      <c r="X637" s="24"/>
      <c r="Y637" s="24"/>
      <c r="Z637" s="24"/>
      <c r="AA637" s="24"/>
      <c r="AB637" s="24"/>
      <c r="AC637" s="24"/>
      <c r="AD637" s="24"/>
      <c r="AE637" s="24"/>
      <c r="AF637" s="24"/>
      <c r="AG637" s="24"/>
      <c r="AH637" s="24"/>
      <c r="AI637" s="24"/>
      <c r="AJ637" s="24"/>
      <c r="AK637" s="24"/>
      <c r="AL637" s="24"/>
      <c r="AM637" s="24"/>
      <c r="AN637" s="24"/>
      <c r="AO637" s="24"/>
      <c r="AP637" s="24"/>
      <c r="AQ637" s="24"/>
      <c r="AR637" s="24"/>
      <c r="AS637" s="24"/>
      <c r="AT637" s="24"/>
      <c r="AU637" s="24"/>
      <c r="AV637" s="24"/>
      <c r="AW637" s="24"/>
      <c r="AX637" s="24"/>
      <c r="AY637" s="24"/>
      <c r="AZ637" s="24"/>
      <c r="BA637" s="24"/>
      <c r="BB637" s="24"/>
      <c r="BC637" s="24"/>
      <c r="BD637" s="24"/>
      <c r="BE637" s="24"/>
      <c r="BF637" s="24"/>
      <c r="BG637" s="24"/>
      <c r="BH637" s="24"/>
    </row>
    <row r="638" spans="1:60">
      <c r="A638" s="7"/>
      <c r="B638" s="8"/>
      <c r="C638" s="9"/>
      <c r="D638" s="25"/>
      <c r="E638" s="25"/>
      <c r="F638" s="25"/>
      <c r="G638" s="25"/>
      <c r="H638" s="53"/>
      <c r="I638" s="53"/>
      <c r="J638" s="53"/>
      <c r="K638" s="24"/>
      <c r="L638" s="7"/>
      <c r="M638" s="24"/>
      <c r="N638" s="24"/>
      <c r="O638" s="24"/>
      <c r="P638" s="24"/>
      <c r="Q638" s="24"/>
      <c r="R638" s="24"/>
      <c r="S638" s="24"/>
      <c r="T638" s="24"/>
      <c r="U638" s="24"/>
      <c r="V638" s="24"/>
      <c r="W638" s="24"/>
      <c r="X638" s="24"/>
      <c r="Y638" s="24"/>
      <c r="Z638" s="24"/>
      <c r="AA638" s="24"/>
      <c r="AB638" s="24"/>
      <c r="AC638" s="24"/>
      <c r="AD638" s="24"/>
      <c r="AE638" s="24"/>
      <c r="AF638" s="24"/>
      <c r="AG638" s="24"/>
      <c r="AH638" s="24"/>
      <c r="AI638" s="24"/>
      <c r="AJ638" s="24"/>
      <c r="AK638" s="24"/>
      <c r="AL638" s="24"/>
      <c r="AM638" s="24"/>
      <c r="AN638" s="24"/>
      <c r="AO638" s="24"/>
      <c r="AP638" s="24"/>
      <c r="AQ638" s="24"/>
      <c r="AR638" s="24"/>
      <c r="AS638" s="24"/>
      <c r="AT638" s="24"/>
      <c r="AU638" s="24"/>
      <c r="AV638" s="24"/>
      <c r="AW638" s="24"/>
      <c r="AX638" s="24"/>
      <c r="AY638" s="24"/>
      <c r="AZ638" s="24"/>
      <c r="BA638" s="24"/>
      <c r="BB638" s="24"/>
      <c r="BC638" s="24"/>
      <c r="BD638" s="24"/>
      <c r="BE638" s="24"/>
      <c r="BF638" s="24"/>
      <c r="BG638" s="24"/>
      <c r="BH638" s="24"/>
    </row>
    <row r="639" spans="1:60">
      <c r="A639" s="7"/>
      <c r="B639" s="8"/>
      <c r="C639" s="9"/>
      <c r="D639" s="25"/>
      <c r="E639" s="25"/>
      <c r="F639" s="25"/>
      <c r="G639" s="25"/>
      <c r="H639" s="53"/>
      <c r="I639" s="53"/>
      <c r="J639" s="53"/>
      <c r="K639" s="24"/>
      <c r="L639" s="7"/>
      <c r="M639" s="24"/>
      <c r="N639" s="24"/>
      <c r="O639" s="24"/>
      <c r="P639" s="24"/>
      <c r="Q639" s="24"/>
      <c r="R639" s="24"/>
      <c r="S639" s="24"/>
      <c r="T639" s="24"/>
      <c r="U639" s="24"/>
      <c r="V639" s="24"/>
      <c r="W639" s="24"/>
      <c r="X639" s="24"/>
      <c r="Y639" s="24"/>
      <c r="Z639" s="24"/>
      <c r="AA639" s="24"/>
      <c r="AB639" s="24"/>
      <c r="AC639" s="24"/>
      <c r="AD639" s="24"/>
      <c r="AE639" s="24"/>
      <c r="AF639" s="24"/>
      <c r="AG639" s="24"/>
      <c r="AH639" s="24"/>
      <c r="AI639" s="24"/>
      <c r="AJ639" s="24"/>
      <c r="AK639" s="24"/>
      <c r="AL639" s="24"/>
      <c r="AM639" s="24"/>
      <c r="AN639" s="24"/>
      <c r="AO639" s="24"/>
      <c r="AP639" s="24"/>
      <c r="AQ639" s="24"/>
      <c r="AR639" s="24"/>
      <c r="AS639" s="24"/>
      <c r="AT639" s="24"/>
      <c r="AU639" s="24"/>
      <c r="AV639" s="24"/>
      <c r="AW639" s="24"/>
      <c r="AX639" s="24"/>
      <c r="AY639" s="24"/>
      <c r="AZ639" s="24"/>
      <c r="BA639" s="24"/>
      <c r="BB639" s="24"/>
      <c r="BC639" s="24"/>
      <c r="BD639" s="24"/>
      <c r="BE639" s="24"/>
      <c r="BF639" s="24"/>
      <c r="BG639" s="24"/>
      <c r="BH639" s="24"/>
    </row>
    <row r="640" spans="1:60">
      <c r="A640" s="7"/>
      <c r="B640" s="8"/>
      <c r="C640" s="9"/>
      <c r="D640" s="25"/>
      <c r="E640" s="25"/>
      <c r="F640" s="25"/>
      <c r="G640" s="25"/>
      <c r="H640" s="53"/>
      <c r="I640" s="53"/>
      <c r="J640" s="53"/>
      <c r="K640" s="24"/>
      <c r="L640" s="7"/>
      <c r="M640" s="24"/>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4"/>
      <c r="AK640" s="24"/>
      <c r="AL640" s="24"/>
      <c r="AM640" s="24"/>
      <c r="AN640" s="24"/>
      <c r="AO640" s="24"/>
      <c r="AP640" s="24"/>
      <c r="AQ640" s="24"/>
      <c r="AR640" s="24"/>
      <c r="AS640" s="24"/>
      <c r="AT640" s="24"/>
      <c r="AU640" s="24"/>
      <c r="AV640" s="24"/>
      <c r="AW640" s="24"/>
      <c r="AX640" s="24"/>
      <c r="AY640" s="24"/>
      <c r="AZ640" s="24"/>
      <c r="BA640" s="24"/>
      <c r="BB640" s="24"/>
      <c r="BC640" s="24"/>
      <c r="BD640" s="24"/>
      <c r="BE640" s="24"/>
      <c r="BF640" s="24"/>
      <c r="BG640" s="24"/>
      <c r="BH640" s="24"/>
    </row>
    <row r="641" spans="1:60">
      <c r="A641" s="7"/>
      <c r="B641" s="8"/>
      <c r="C641" s="9"/>
      <c r="D641" s="25"/>
      <c r="E641" s="25"/>
      <c r="F641" s="25"/>
      <c r="G641" s="25"/>
      <c r="H641" s="53"/>
      <c r="I641" s="53"/>
      <c r="J641" s="53"/>
      <c r="K641" s="24"/>
      <c r="L641" s="7"/>
      <c r="M641" s="24"/>
      <c r="N641" s="24"/>
      <c r="O641" s="24"/>
      <c r="P641" s="24"/>
      <c r="Q641" s="24"/>
      <c r="R641" s="24"/>
      <c r="S641" s="24"/>
      <c r="T641" s="24"/>
      <c r="U641" s="24"/>
      <c r="V641" s="24"/>
      <c r="W641" s="24"/>
      <c r="X641" s="24"/>
      <c r="Y641" s="24"/>
      <c r="Z641" s="24"/>
      <c r="AA641" s="24"/>
      <c r="AB641" s="24"/>
      <c r="AC641" s="24"/>
      <c r="AD641" s="24"/>
      <c r="AE641" s="24"/>
      <c r="AF641" s="24"/>
      <c r="AG641" s="24"/>
      <c r="AH641" s="24"/>
      <c r="AI641" s="24"/>
      <c r="AJ641" s="24"/>
      <c r="AK641" s="24"/>
      <c r="AL641" s="24"/>
      <c r="AM641" s="24"/>
      <c r="AN641" s="24"/>
      <c r="AO641" s="24"/>
      <c r="AP641" s="24"/>
      <c r="AQ641" s="24"/>
      <c r="AR641" s="24"/>
      <c r="AS641" s="24"/>
      <c r="AT641" s="24"/>
      <c r="AU641" s="24"/>
      <c r="AV641" s="24"/>
      <c r="AW641" s="24"/>
      <c r="AX641" s="24"/>
      <c r="AY641" s="24"/>
      <c r="AZ641" s="24"/>
      <c r="BA641" s="24"/>
      <c r="BB641" s="24"/>
      <c r="BC641" s="24"/>
      <c r="BD641" s="24"/>
      <c r="BE641" s="24"/>
      <c r="BF641" s="24"/>
      <c r="BG641" s="24"/>
      <c r="BH641" s="24"/>
    </row>
    <row r="642" spans="1:60">
      <c r="A642" s="7"/>
      <c r="B642" s="8"/>
      <c r="C642" s="9"/>
      <c r="D642" s="25"/>
      <c r="E642" s="25"/>
      <c r="F642" s="25"/>
      <c r="G642" s="25"/>
      <c r="H642" s="53"/>
      <c r="I642" s="53"/>
      <c r="J642" s="53"/>
      <c r="K642" s="24"/>
      <c r="L642" s="7"/>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24"/>
      <c r="BG642" s="24"/>
      <c r="BH642" s="24"/>
    </row>
    <row r="643" spans="1:60">
      <c r="A643" s="7"/>
      <c r="B643" s="8"/>
      <c r="C643" s="9"/>
      <c r="D643" s="25"/>
      <c r="E643" s="25"/>
      <c r="F643" s="25"/>
      <c r="G643" s="25"/>
      <c r="H643" s="53"/>
      <c r="I643" s="53"/>
      <c r="J643" s="53"/>
      <c r="K643" s="24"/>
      <c r="L643" s="7"/>
      <c r="M643" s="24"/>
      <c r="N643" s="24"/>
      <c r="O643" s="24"/>
      <c r="P643" s="24"/>
      <c r="Q643" s="24"/>
      <c r="R643" s="24"/>
      <c r="S643" s="24"/>
      <c r="T643" s="24"/>
      <c r="U643" s="24"/>
      <c r="V643" s="24"/>
      <c r="W643" s="24"/>
      <c r="X643" s="24"/>
      <c r="Y643" s="24"/>
      <c r="Z643" s="24"/>
      <c r="AA643" s="24"/>
      <c r="AB643" s="24"/>
      <c r="AC643" s="24"/>
      <c r="AD643" s="24"/>
      <c r="AE643" s="24"/>
      <c r="AF643" s="24"/>
      <c r="AG643" s="24"/>
      <c r="AH643" s="24"/>
      <c r="AI643" s="24"/>
      <c r="AJ643" s="24"/>
      <c r="AK643" s="24"/>
      <c r="AL643" s="24"/>
      <c r="AM643" s="24"/>
      <c r="AN643" s="24"/>
      <c r="AO643" s="24"/>
      <c r="AP643" s="24"/>
      <c r="AQ643" s="24"/>
      <c r="AR643" s="24"/>
      <c r="AS643" s="24"/>
      <c r="AT643" s="24"/>
      <c r="AU643" s="24"/>
      <c r="AV643" s="24"/>
      <c r="AW643" s="24"/>
      <c r="AX643" s="24"/>
      <c r="AY643" s="24"/>
      <c r="AZ643" s="24"/>
      <c r="BA643" s="24"/>
      <c r="BB643" s="24"/>
      <c r="BC643" s="24"/>
      <c r="BD643" s="24"/>
      <c r="BE643" s="24"/>
      <c r="BF643" s="24"/>
      <c r="BG643" s="24"/>
      <c r="BH643" s="24"/>
    </row>
    <row r="644" spans="1:60">
      <c r="A644" s="7"/>
      <c r="B644" s="8"/>
      <c r="C644" s="9"/>
      <c r="D644" s="25"/>
      <c r="E644" s="25"/>
      <c r="F644" s="25"/>
      <c r="G644" s="25"/>
      <c r="H644" s="53"/>
      <c r="I644" s="53"/>
      <c r="J644" s="53"/>
      <c r="K644" s="24"/>
      <c r="L644" s="7"/>
      <c r="M644" s="24"/>
      <c r="N644" s="24"/>
      <c r="O644" s="24"/>
      <c r="P644" s="24"/>
      <c r="Q644" s="24"/>
      <c r="R644" s="24"/>
      <c r="S644" s="24"/>
      <c r="T644" s="24"/>
      <c r="U644" s="24"/>
      <c r="V644" s="24"/>
      <c r="W644" s="24"/>
      <c r="X644" s="24"/>
      <c r="Y644" s="24"/>
      <c r="Z644" s="24"/>
      <c r="AA644" s="24"/>
      <c r="AB644" s="24"/>
      <c r="AC644" s="24"/>
      <c r="AD644" s="24"/>
      <c r="AE644" s="24"/>
      <c r="AF644" s="24"/>
      <c r="AG644" s="24"/>
      <c r="AH644" s="24"/>
      <c r="AI644" s="24"/>
      <c r="AJ644" s="24"/>
      <c r="AK644" s="24"/>
      <c r="AL644" s="24"/>
      <c r="AM644" s="24"/>
      <c r="AN644" s="24"/>
      <c r="AO644" s="24"/>
      <c r="AP644" s="24"/>
      <c r="AQ644" s="24"/>
      <c r="AR644" s="24"/>
      <c r="AS644" s="24"/>
      <c r="AT644" s="24"/>
      <c r="AU644" s="24"/>
      <c r="AV644" s="24"/>
      <c r="AW644" s="24"/>
      <c r="AX644" s="24"/>
      <c r="AY644" s="24"/>
      <c r="AZ644" s="24"/>
      <c r="BA644" s="24"/>
      <c r="BB644" s="24"/>
      <c r="BC644" s="24"/>
      <c r="BD644" s="24"/>
      <c r="BE644" s="24"/>
      <c r="BF644" s="24"/>
      <c r="BG644" s="24"/>
      <c r="BH644" s="24"/>
    </row>
    <row r="645" spans="1:60">
      <c r="A645" s="7"/>
      <c r="B645" s="8"/>
      <c r="C645" s="9"/>
      <c r="D645" s="25"/>
      <c r="E645" s="25"/>
      <c r="F645" s="25"/>
      <c r="G645" s="25"/>
      <c r="H645" s="53"/>
      <c r="I645" s="53"/>
      <c r="J645" s="53"/>
      <c r="K645" s="24"/>
      <c r="L645" s="7"/>
      <c r="M645" s="24"/>
      <c r="N645" s="24"/>
      <c r="O645" s="24"/>
      <c r="P645" s="24"/>
      <c r="Q645" s="24"/>
      <c r="R645" s="24"/>
      <c r="S645" s="24"/>
      <c r="T645" s="24"/>
      <c r="U645" s="24"/>
      <c r="V645" s="24"/>
      <c r="W645" s="24"/>
      <c r="X645" s="24"/>
      <c r="Y645" s="24"/>
      <c r="Z645" s="24"/>
      <c r="AA645" s="24"/>
      <c r="AB645" s="24"/>
      <c r="AC645" s="24"/>
      <c r="AD645" s="24"/>
      <c r="AE645" s="24"/>
      <c r="AF645" s="24"/>
      <c r="AG645" s="24"/>
      <c r="AH645" s="24"/>
      <c r="AI645" s="24"/>
      <c r="AJ645" s="24"/>
      <c r="AK645" s="24"/>
      <c r="AL645" s="24"/>
      <c r="AM645" s="24"/>
      <c r="AN645" s="24"/>
      <c r="AO645" s="24"/>
      <c r="AP645" s="24"/>
      <c r="AQ645" s="24"/>
      <c r="AR645" s="24"/>
      <c r="AS645" s="24"/>
      <c r="AT645" s="24"/>
      <c r="AU645" s="24"/>
      <c r="AV645" s="24"/>
      <c r="AW645" s="24"/>
      <c r="AX645" s="24"/>
      <c r="AY645" s="24"/>
      <c r="AZ645" s="24"/>
      <c r="BA645" s="24"/>
      <c r="BB645" s="24"/>
      <c r="BC645" s="24"/>
      <c r="BD645" s="24"/>
      <c r="BE645" s="24"/>
      <c r="BF645" s="24"/>
      <c r="BG645" s="24"/>
      <c r="BH645" s="24"/>
    </row>
    <row r="646" spans="1:60">
      <c r="A646" s="7"/>
      <c r="B646" s="8"/>
      <c r="C646" s="9"/>
      <c r="D646" s="25"/>
      <c r="E646" s="25"/>
      <c r="F646" s="25"/>
      <c r="G646" s="25"/>
      <c r="H646" s="53"/>
      <c r="I646" s="53"/>
      <c r="J646" s="53"/>
      <c r="K646" s="24"/>
      <c r="L646" s="7"/>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4"/>
      <c r="AK646" s="24"/>
      <c r="AL646" s="24"/>
      <c r="AM646" s="24"/>
      <c r="AN646" s="24"/>
      <c r="AO646" s="24"/>
      <c r="AP646" s="24"/>
      <c r="AQ646" s="24"/>
      <c r="AR646" s="24"/>
      <c r="AS646" s="24"/>
      <c r="AT646" s="24"/>
      <c r="AU646" s="24"/>
      <c r="AV646" s="24"/>
      <c r="AW646" s="24"/>
      <c r="AX646" s="24"/>
      <c r="AY646" s="24"/>
      <c r="AZ646" s="24"/>
      <c r="BA646" s="24"/>
      <c r="BB646" s="24"/>
      <c r="BC646" s="24"/>
      <c r="BD646" s="24"/>
      <c r="BE646" s="24"/>
      <c r="BF646" s="24"/>
      <c r="BG646" s="24"/>
      <c r="BH646" s="24"/>
    </row>
    <row r="647" spans="1:60">
      <c r="A647" s="7"/>
      <c r="B647" s="8"/>
      <c r="C647" s="9"/>
      <c r="D647" s="25"/>
      <c r="E647" s="25"/>
      <c r="F647" s="25"/>
      <c r="G647" s="25"/>
      <c r="H647" s="53"/>
      <c r="I647" s="53"/>
      <c r="J647" s="53"/>
      <c r="K647" s="24"/>
      <c r="L647" s="7"/>
      <c r="M647" s="24"/>
      <c r="N647" s="24"/>
      <c r="O647" s="24"/>
      <c r="P647" s="24"/>
      <c r="Q647" s="24"/>
      <c r="R647" s="24"/>
      <c r="S647" s="24"/>
      <c r="T647" s="24"/>
      <c r="U647" s="24"/>
      <c r="V647" s="24"/>
      <c r="W647" s="24"/>
      <c r="X647" s="24"/>
      <c r="Y647" s="24"/>
      <c r="Z647" s="24"/>
      <c r="AA647" s="24"/>
      <c r="AB647" s="24"/>
      <c r="AC647" s="24"/>
      <c r="AD647" s="24"/>
      <c r="AE647" s="24"/>
      <c r="AF647" s="24"/>
      <c r="AG647" s="24"/>
      <c r="AH647" s="24"/>
      <c r="AI647" s="24"/>
      <c r="AJ647" s="24"/>
      <c r="AK647" s="24"/>
      <c r="AL647" s="24"/>
      <c r="AM647" s="24"/>
      <c r="AN647" s="24"/>
      <c r="AO647" s="24"/>
      <c r="AP647" s="24"/>
      <c r="AQ647" s="24"/>
      <c r="AR647" s="24"/>
      <c r="AS647" s="24"/>
      <c r="AT647" s="24"/>
      <c r="AU647" s="24"/>
      <c r="AV647" s="24"/>
      <c r="AW647" s="24"/>
      <c r="AX647" s="24"/>
      <c r="AY647" s="24"/>
      <c r="AZ647" s="24"/>
      <c r="BA647" s="24"/>
      <c r="BB647" s="24"/>
      <c r="BC647" s="24"/>
      <c r="BD647" s="24"/>
      <c r="BE647" s="24"/>
      <c r="BF647" s="24"/>
      <c r="BG647" s="24"/>
      <c r="BH647" s="24"/>
    </row>
    <row r="648" spans="1:60">
      <c r="A648" s="7"/>
      <c r="B648" s="8"/>
      <c r="C648" s="9"/>
      <c r="D648" s="25"/>
      <c r="E648" s="25"/>
      <c r="F648" s="25"/>
      <c r="G648" s="25"/>
      <c r="H648" s="53"/>
      <c r="I648" s="53"/>
      <c r="J648" s="53"/>
      <c r="K648" s="24"/>
      <c r="L648" s="7"/>
      <c r="M648" s="24"/>
      <c r="N648" s="24"/>
      <c r="O648" s="24"/>
      <c r="P648" s="24"/>
      <c r="Q648" s="24"/>
      <c r="R648" s="24"/>
      <c r="S648" s="24"/>
      <c r="T648" s="24"/>
      <c r="U648" s="24"/>
      <c r="V648" s="24"/>
      <c r="W648" s="24"/>
      <c r="X648" s="24"/>
      <c r="Y648" s="24"/>
      <c r="Z648" s="24"/>
      <c r="AA648" s="24"/>
      <c r="AB648" s="24"/>
      <c r="AC648" s="24"/>
      <c r="AD648" s="24"/>
      <c r="AE648" s="24"/>
      <c r="AF648" s="24"/>
      <c r="AG648" s="24"/>
      <c r="AH648" s="24"/>
      <c r="AI648" s="24"/>
      <c r="AJ648" s="24"/>
      <c r="AK648" s="24"/>
      <c r="AL648" s="24"/>
      <c r="AM648" s="24"/>
      <c r="AN648" s="24"/>
      <c r="AO648" s="24"/>
      <c r="AP648" s="24"/>
      <c r="AQ648" s="24"/>
      <c r="AR648" s="24"/>
      <c r="AS648" s="24"/>
      <c r="AT648" s="24"/>
      <c r="AU648" s="24"/>
      <c r="AV648" s="24"/>
      <c r="AW648" s="24"/>
      <c r="AX648" s="24"/>
      <c r="AY648" s="24"/>
      <c r="AZ648" s="24"/>
      <c r="BA648" s="24"/>
      <c r="BB648" s="24"/>
      <c r="BC648" s="24"/>
      <c r="BD648" s="24"/>
      <c r="BE648" s="24"/>
      <c r="BF648" s="24"/>
      <c r="BG648" s="24"/>
      <c r="BH648" s="24"/>
    </row>
    <row r="649" spans="1:60">
      <c r="A649" s="7"/>
      <c r="B649" s="8"/>
      <c r="C649" s="9"/>
      <c r="D649" s="25"/>
      <c r="E649" s="25"/>
      <c r="F649" s="25"/>
      <c r="G649" s="25"/>
      <c r="H649" s="53"/>
      <c r="I649" s="53"/>
      <c r="J649" s="53"/>
      <c r="K649" s="24"/>
      <c r="L649" s="7"/>
      <c r="M649" s="24"/>
      <c r="N649" s="24"/>
      <c r="O649" s="24"/>
      <c r="P649" s="24"/>
      <c r="Q649" s="24"/>
      <c r="R649" s="24"/>
      <c r="S649" s="24"/>
      <c r="T649" s="24"/>
      <c r="U649" s="24"/>
      <c r="V649" s="24"/>
      <c r="W649" s="24"/>
      <c r="X649" s="24"/>
      <c r="Y649" s="24"/>
      <c r="Z649" s="24"/>
      <c r="AA649" s="24"/>
      <c r="AB649" s="24"/>
      <c r="AC649" s="24"/>
      <c r="AD649" s="24"/>
      <c r="AE649" s="24"/>
      <c r="AF649" s="24"/>
      <c r="AG649" s="24"/>
      <c r="AH649" s="24"/>
      <c r="AI649" s="24"/>
      <c r="AJ649" s="24"/>
      <c r="AK649" s="24"/>
      <c r="AL649" s="24"/>
      <c r="AM649" s="24"/>
      <c r="AN649" s="24"/>
      <c r="AO649" s="24"/>
      <c r="AP649" s="24"/>
      <c r="AQ649" s="24"/>
      <c r="AR649" s="24"/>
      <c r="AS649" s="24"/>
      <c r="AT649" s="24"/>
      <c r="AU649" s="24"/>
      <c r="AV649" s="24"/>
      <c r="AW649" s="24"/>
      <c r="AX649" s="24"/>
      <c r="AY649" s="24"/>
      <c r="AZ649" s="24"/>
      <c r="BA649" s="24"/>
      <c r="BB649" s="24"/>
      <c r="BC649" s="24"/>
      <c r="BD649" s="24"/>
      <c r="BE649" s="24"/>
      <c r="BF649" s="24"/>
      <c r="BG649" s="24"/>
      <c r="BH649" s="24"/>
    </row>
    <row r="650" spans="1:60">
      <c r="A650" s="7"/>
      <c r="B650" s="8"/>
      <c r="C650" s="9"/>
      <c r="D650" s="25"/>
      <c r="E650" s="25"/>
      <c r="F650" s="25"/>
      <c r="G650" s="25"/>
      <c r="H650" s="53"/>
      <c r="I650" s="53"/>
      <c r="J650" s="53"/>
      <c r="K650" s="24"/>
      <c r="L650" s="7"/>
      <c r="M650" s="24"/>
      <c r="N650" s="24"/>
      <c r="O650" s="24"/>
      <c r="P650" s="24"/>
      <c r="Q650" s="24"/>
      <c r="R650" s="24"/>
      <c r="S650" s="24"/>
      <c r="T650" s="24"/>
      <c r="U650" s="24"/>
      <c r="V650" s="24"/>
      <c r="W650" s="24"/>
      <c r="X650" s="24"/>
      <c r="Y650" s="24"/>
      <c r="Z650" s="24"/>
      <c r="AA650" s="24"/>
      <c r="AB650" s="24"/>
      <c r="AC650" s="24"/>
      <c r="AD650" s="24"/>
      <c r="AE650" s="24"/>
      <c r="AF650" s="24"/>
      <c r="AG650" s="24"/>
      <c r="AH650" s="24"/>
      <c r="AI650" s="24"/>
      <c r="AJ650" s="24"/>
      <c r="AK650" s="24"/>
      <c r="AL650" s="24"/>
      <c r="AM650" s="24"/>
      <c r="AN650" s="24"/>
      <c r="AO650" s="24"/>
      <c r="AP650" s="24"/>
      <c r="AQ650" s="24"/>
      <c r="AR650" s="24"/>
      <c r="AS650" s="24"/>
      <c r="AT650" s="24"/>
      <c r="AU650" s="24"/>
      <c r="AV650" s="24"/>
      <c r="AW650" s="24"/>
      <c r="AX650" s="24"/>
      <c r="AY650" s="24"/>
      <c r="AZ650" s="24"/>
      <c r="BA650" s="24"/>
      <c r="BB650" s="24"/>
      <c r="BC650" s="24"/>
      <c r="BD650" s="24"/>
      <c r="BE650" s="24"/>
      <c r="BF650" s="24"/>
      <c r="BG650" s="24"/>
      <c r="BH650" s="24"/>
    </row>
    <row r="651" spans="1:60">
      <c r="A651" s="7"/>
      <c r="B651" s="8"/>
      <c r="C651" s="9"/>
      <c r="D651" s="25"/>
      <c r="E651" s="25"/>
      <c r="F651" s="25"/>
      <c r="G651" s="25"/>
      <c r="H651" s="53"/>
      <c r="I651" s="53"/>
      <c r="J651" s="53"/>
      <c r="K651" s="24"/>
      <c r="L651" s="7"/>
      <c r="M651" s="24"/>
      <c r="N651" s="24"/>
      <c r="O651" s="24"/>
      <c r="P651" s="24"/>
      <c r="Q651" s="24"/>
      <c r="R651" s="24"/>
      <c r="S651" s="24"/>
      <c r="T651" s="24"/>
      <c r="U651" s="24"/>
      <c r="V651" s="24"/>
      <c r="W651" s="24"/>
      <c r="X651" s="24"/>
      <c r="Y651" s="24"/>
      <c r="Z651" s="24"/>
      <c r="AA651" s="24"/>
      <c r="AB651" s="24"/>
      <c r="AC651" s="24"/>
      <c r="AD651" s="24"/>
      <c r="AE651" s="24"/>
      <c r="AF651" s="24"/>
      <c r="AG651" s="24"/>
      <c r="AH651" s="24"/>
      <c r="AI651" s="24"/>
      <c r="AJ651" s="24"/>
      <c r="AK651" s="24"/>
      <c r="AL651" s="24"/>
      <c r="AM651" s="24"/>
      <c r="AN651" s="24"/>
      <c r="AO651" s="24"/>
      <c r="AP651" s="24"/>
      <c r="AQ651" s="24"/>
      <c r="AR651" s="24"/>
      <c r="AS651" s="24"/>
      <c r="AT651" s="24"/>
      <c r="AU651" s="24"/>
      <c r="AV651" s="24"/>
      <c r="AW651" s="24"/>
      <c r="AX651" s="24"/>
      <c r="AY651" s="24"/>
      <c r="AZ651" s="24"/>
      <c r="BA651" s="24"/>
      <c r="BB651" s="24"/>
      <c r="BC651" s="24"/>
      <c r="BD651" s="24"/>
      <c r="BE651" s="24"/>
      <c r="BF651" s="24"/>
      <c r="BG651" s="24"/>
      <c r="BH651" s="24"/>
    </row>
    <row r="652" spans="1:60">
      <c r="A652" s="7"/>
      <c r="B652" s="8"/>
      <c r="C652" s="9"/>
      <c r="D652" s="25"/>
      <c r="E652" s="25"/>
      <c r="F652" s="25"/>
      <c r="G652" s="25"/>
      <c r="H652" s="53"/>
      <c r="I652" s="53"/>
      <c r="J652" s="53"/>
      <c r="K652" s="24"/>
      <c r="L652" s="7"/>
      <c r="M652" s="24"/>
      <c r="N652" s="24"/>
      <c r="O652" s="24"/>
      <c r="P652" s="24"/>
      <c r="Q652" s="24"/>
      <c r="R652" s="24"/>
      <c r="S652" s="24"/>
      <c r="T652" s="24"/>
      <c r="U652" s="24"/>
      <c r="V652" s="24"/>
      <c r="W652" s="24"/>
      <c r="X652" s="24"/>
      <c r="Y652" s="24"/>
      <c r="Z652" s="24"/>
      <c r="AA652" s="24"/>
      <c r="AB652" s="24"/>
      <c r="AC652" s="24"/>
      <c r="AD652" s="24"/>
      <c r="AE652" s="24"/>
      <c r="AF652" s="24"/>
      <c r="AG652" s="24"/>
      <c r="AH652" s="24"/>
      <c r="AI652" s="24"/>
      <c r="AJ652" s="24"/>
      <c r="AK652" s="24"/>
      <c r="AL652" s="24"/>
      <c r="AM652" s="24"/>
      <c r="AN652" s="24"/>
      <c r="AO652" s="24"/>
      <c r="AP652" s="24"/>
      <c r="AQ652" s="24"/>
      <c r="AR652" s="24"/>
      <c r="AS652" s="24"/>
      <c r="AT652" s="24"/>
      <c r="AU652" s="24"/>
      <c r="AV652" s="24"/>
      <c r="AW652" s="24"/>
      <c r="AX652" s="24"/>
      <c r="AY652" s="24"/>
      <c r="AZ652" s="24"/>
      <c r="BA652" s="24"/>
      <c r="BB652" s="24"/>
      <c r="BC652" s="24"/>
      <c r="BD652" s="24"/>
      <c r="BE652" s="24"/>
      <c r="BF652" s="24"/>
      <c r="BG652" s="24"/>
      <c r="BH652" s="24"/>
    </row>
    <row r="653" spans="1:60">
      <c r="A653" s="7"/>
      <c r="B653" s="8"/>
      <c r="C653" s="9"/>
      <c r="D653" s="25"/>
      <c r="E653" s="25"/>
      <c r="F653" s="25"/>
      <c r="G653" s="25"/>
      <c r="H653" s="53"/>
      <c r="I653" s="53"/>
      <c r="J653" s="53"/>
      <c r="K653" s="24"/>
      <c r="L653" s="7"/>
      <c r="M653" s="24"/>
      <c r="N653" s="24"/>
      <c r="O653" s="24"/>
      <c r="P653" s="24"/>
      <c r="Q653" s="24"/>
      <c r="R653" s="24"/>
      <c r="S653" s="24"/>
      <c r="T653" s="24"/>
      <c r="U653" s="24"/>
      <c r="V653" s="24"/>
      <c r="W653" s="24"/>
      <c r="X653" s="24"/>
      <c r="Y653" s="24"/>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c r="BC653" s="24"/>
      <c r="BD653" s="24"/>
      <c r="BE653" s="24"/>
      <c r="BF653" s="24"/>
      <c r="BG653" s="24"/>
      <c r="BH653" s="24"/>
    </row>
    <row r="654" spans="1:60">
      <c r="A654" s="7"/>
      <c r="B654" s="8"/>
      <c r="C654" s="9"/>
      <c r="D654" s="25"/>
      <c r="E654" s="25"/>
      <c r="F654" s="25"/>
      <c r="G654" s="25"/>
      <c r="H654" s="53"/>
      <c r="I654" s="53"/>
      <c r="J654" s="53"/>
      <c r="K654" s="24"/>
      <c r="L654" s="7"/>
      <c r="M654" s="24"/>
      <c r="N654" s="24"/>
      <c r="O654" s="24"/>
      <c r="P654" s="24"/>
      <c r="Q654" s="24"/>
      <c r="R654" s="24"/>
      <c r="S654" s="24"/>
      <c r="T654" s="24"/>
      <c r="U654" s="24"/>
      <c r="V654" s="24"/>
      <c r="W654" s="24"/>
      <c r="X654" s="24"/>
      <c r="Y654" s="24"/>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c r="BC654" s="24"/>
      <c r="BD654" s="24"/>
      <c r="BE654" s="24"/>
      <c r="BF654" s="24"/>
      <c r="BG654" s="24"/>
      <c r="BH654" s="24"/>
    </row>
    <row r="655" spans="1:60">
      <c r="A655" s="7"/>
      <c r="B655" s="8"/>
      <c r="C655" s="9"/>
      <c r="D655" s="25"/>
      <c r="E655" s="25"/>
      <c r="F655" s="25"/>
      <c r="G655" s="25"/>
      <c r="H655" s="53"/>
      <c r="I655" s="53"/>
      <c r="J655" s="53"/>
      <c r="K655" s="24"/>
      <c r="L655" s="7"/>
      <c r="M655" s="24"/>
      <c r="N655" s="24"/>
      <c r="O655" s="24"/>
      <c r="P655" s="24"/>
      <c r="Q655" s="24"/>
      <c r="R655" s="24"/>
      <c r="S655" s="24"/>
      <c r="T655" s="24"/>
      <c r="U655" s="24"/>
      <c r="V655" s="24"/>
      <c r="W655" s="24"/>
      <c r="X655" s="24"/>
      <c r="Y655" s="24"/>
      <c r="Z655" s="24"/>
      <c r="AA655" s="24"/>
      <c r="AB655" s="24"/>
      <c r="AC655" s="24"/>
      <c r="AD655" s="24"/>
      <c r="AE655" s="24"/>
      <c r="AF655" s="24"/>
      <c r="AG655" s="24"/>
      <c r="AH655" s="24"/>
      <c r="AI655" s="24"/>
      <c r="AJ655" s="24"/>
      <c r="AK655" s="24"/>
      <c r="AL655" s="24"/>
      <c r="AM655" s="24"/>
      <c r="AN655" s="24"/>
      <c r="AO655" s="24"/>
      <c r="AP655" s="24"/>
      <c r="AQ655" s="24"/>
      <c r="AR655" s="24"/>
      <c r="AS655" s="24"/>
      <c r="AT655" s="24"/>
      <c r="AU655" s="24"/>
      <c r="AV655" s="24"/>
      <c r="AW655" s="24"/>
      <c r="AX655" s="24"/>
      <c r="AY655" s="24"/>
      <c r="AZ655" s="24"/>
      <c r="BA655" s="24"/>
      <c r="BB655" s="24"/>
      <c r="BC655" s="24"/>
      <c r="BD655" s="24"/>
      <c r="BE655" s="24"/>
      <c r="BF655" s="24"/>
      <c r="BG655" s="24"/>
      <c r="BH655" s="24"/>
    </row>
    <row r="656" spans="1:60">
      <c r="A656" s="7"/>
      <c r="B656" s="8"/>
      <c r="C656" s="9"/>
      <c r="D656" s="25"/>
      <c r="E656" s="25"/>
      <c r="F656" s="25"/>
      <c r="G656" s="25"/>
      <c r="H656" s="53"/>
      <c r="I656" s="53"/>
      <c r="J656" s="53"/>
      <c r="K656" s="24"/>
      <c r="L656" s="7"/>
      <c r="M656" s="24"/>
      <c r="N656" s="24"/>
      <c r="O656" s="24"/>
      <c r="P656" s="24"/>
      <c r="Q656" s="24"/>
      <c r="R656" s="24"/>
      <c r="S656" s="24"/>
      <c r="T656" s="24"/>
      <c r="U656" s="24"/>
      <c r="V656" s="24"/>
      <c r="W656" s="24"/>
      <c r="X656" s="24"/>
      <c r="Y656" s="24"/>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c r="BC656" s="24"/>
      <c r="BD656" s="24"/>
      <c r="BE656" s="24"/>
      <c r="BF656" s="24"/>
      <c r="BG656" s="24"/>
      <c r="BH656" s="24"/>
    </row>
    <row r="657" spans="1:60">
      <c r="A657" s="7"/>
      <c r="B657" s="8"/>
      <c r="C657" s="9"/>
      <c r="D657" s="25"/>
      <c r="E657" s="25"/>
      <c r="F657" s="25"/>
      <c r="G657" s="25"/>
      <c r="H657" s="53"/>
      <c r="I657" s="53"/>
      <c r="J657" s="53"/>
      <c r="K657" s="24"/>
      <c r="L657" s="7"/>
      <c r="M657" s="24"/>
      <c r="N657" s="24"/>
      <c r="O657" s="24"/>
      <c r="P657" s="24"/>
      <c r="Q657" s="24"/>
      <c r="R657" s="24"/>
      <c r="S657" s="24"/>
      <c r="T657" s="24"/>
      <c r="U657" s="24"/>
      <c r="V657" s="24"/>
      <c r="W657" s="24"/>
      <c r="X657" s="24"/>
      <c r="Y657" s="24"/>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c r="BC657" s="24"/>
      <c r="BD657" s="24"/>
      <c r="BE657" s="24"/>
      <c r="BF657" s="24"/>
      <c r="BG657" s="24"/>
      <c r="BH657" s="24"/>
    </row>
    <row r="658" spans="1:60">
      <c r="A658" s="7"/>
      <c r="B658" s="8"/>
      <c r="C658" s="9"/>
      <c r="D658" s="25"/>
      <c r="E658" s="25"/>
      <c r="F658" s="25"/>
      <c r="G658" s="25"/>
      <c r="H658" s="53"/>
      <c r="I658" s="53"/>
      <c r="J658" s="53"/>
      <c r="K658" s="24"/>
      <c r="L658" s="7"/>
      <c r="M658" s="24"/>
      <c r="N658" s="24"/>
      <c r="O658" s="24"/>
      <c r="P658" s="24"/>
      <c r="Q658" s="24"/>
      <c r="R658" s="24"/>
      <c r="S658" s="24"/>
      <c r="T658" s="24"/>
      <c r="U658" s="24"/>
      <c r="V658" s="24"/>
      <c r="W658" s="24"/>
      <c r="X658" s="24"/>
      <c r="Y658" s="24"/>
      <c r="Z658" s="24"/>
      <c r="AA658" s="24"/>
      <c r="AB658" s="24"/>
      <c r="AC658" s="24"/>
      <c r="AD658" s="24"/>
      <c r="AE658" s="24"/>
      <c r="AF658" s="24"/>
      <c r="AG658" s="24"/>
      <c r="AH658" s="24"/>
      <c r="AI658" s="24"/>
      <c r="AJ658" s="24"/>
      <c r="AK658" s="24"/>
      <c r="AL658" s="24"/>
      <c r="AM658" s="24"/>
      <c r="AN658" s="24"/>
      <c r="AO658" s="24"/>
      <c r="AP658" s="24"/>
      <c r="AQ658" s="24"/>
      <c r="AR658" s="24"/>
      <c r="AS658" s="24"/>
      <c r="AT658" s="24"/>
      <c r="AU658" s="24"/>
      <c r="AV658" s="24"/>
      <c r="AW658" s="24"/>
      <c r="AX658" s="24"/>
      <c r="AY658" s="24"/>
      <c r="AZ658" s="24"/>
      <c r="BA658" s="24"/>
      <c r="BB658" s="24"/>
      <c r="BC658" s="24"/>
      <c r="BD658" s="24"/>
      <c r="BE658" s="24"/>
      <c r="BF658" s="24"/>
      <c r="BG658" s="24"/>
      <c r="BH658" s="24"/>
    </row>
    <row r="659" spans="1:60">
      <c r="A659" s="7"/>
      <c r="B659" s="8"/>
      <c r="C659" s="9"/>
      <c r="D659" s="25"/>
      <c r="E659" s="25"/>
      <c r="F659" s="25"/>
      <c r="G659" s="25"/>
      <c r="H659" s="53"/>
      <c r="I659" s="53"/>
      <c r="J659" s="53"/>
      <c r="K659" s="24"/>
      <c r="L659" s="7"/>
      <c r="M659" s="24"/>
      <c r="N659" s="24"/>
      <c r="O659" s="24"/>
      <c r="P659" s="24"/>
      <c r="Q659" s="24"/>
      <c r="R659" s="24"/>
      <c r="S659" s="24"/>
      <c r="T659" s="24"/>
      <c r="U659" s="24"/>
      <c r="V659" s="24"/>
      <c r="W659" s="24"/>
      <c r="X659" s="24"/>
      <c r="Y659" s="24"/>
      <c r="Z659" s="24"/>
      <c r="AA659" s="24"/>
      <c r="AB659" s="24"/>
      <c r="AC659" s="24"/>
      <c r="AD659" s="24"/>
      <c r="AE659" s="24"/>
      <c r="AF659" s="24"/>
      <c r="AG659" s="24"/>
      <c r="AH659" s="24"/>
      <c r="AI659" s="24"/>
      <c r="AJ659" s="24"/>
      <c r="AK659" s="24"/>
      <c r="AL659" s="24"/>
      <c r="AM659" s="24"/>
      <c r="AN659" s="24"/>
      <c r="AO659" s="24"/>
      <c r="AP659" s="24"/>
      <c r="AQ659" s="24"/>
      <c r="AR659" s="24"/>
      <c r="AS659" s="24"/>
      <c r="AT659" s="24"/>
      <c r="AU659" s="24"/>
      <c r="AV659" s="24"/>
      <c r="AW659" s="24"/>
      <c r="AX659" s="24"/>
      <c r="AY659" s="24"/>
      <c r="AZ659" s="24"/>
      <c r="BA659" s="24"/>
      <c r="BB659" s="24"/>
      <c r="BC659" s="24"/>
      <c r="BD659" s="24"/>
      <c r="BE659" s="24"/>
      <c r="BF659" s="24"/>
      <c r="BG659" s="24"/>
      <c r="BH659" s="24"/>
    </row>
    <row r="660" spans="1:60">
      <c r="A660" s="7"/>
      <c r="B660" s="8"/>
      <c r="C660" s="9"/>
      <c r="D660" s="25"/>
      <c r="E660" s="25"/>
      <c r="F660" s="25"/>
      <c r="G660" s="25"/>
      <c r="H660" s="53"/>
      <c r="I660" s="53"/>
      <c r="J660" s="53"/>
      <c r="K660" s="24"/>
      <c r="L660" s="7"/>
      <c r="M660" s="24"/>
      <c r="N660" s="24"/>
      <c r="O660" s="24"/>
      <c r="P660" s="24"/>
      <c r="Q660" s="24"/>
      <c r="R660" s="24"/>
      <c r="S660" s="24"/>
      <c r="T660" s="24"/>
      <c r="U660" s="24"/>
      <c r="V660" s="24"/>
      <c r="W660" s="24"/>
      <c r="X660" s="24"/>
      <c r="Y660" s="24"/>
      <c r="Z660" s="24"/>
      <c r="AA660" s="24"/>
      <c r="AB660" s="24"/>
      <c r="AC660" s="24"/>
      <c r="AD660" s="24"/>
      <c r="AE660" s="24"/>
      <c r="AF660" s="24"/>
      <c r="AG660" s="24"/>
      <c r="AH660" s="24"/>
      <c r="AI660" s="24"/>
      <c r="AJ660" s="24"/>
      <c r="AK660" s="24"/>
      <c r="AL660" s="24"/>
      <c r="AM660" s="24"/>
      <c r="AN660" s="24"/>
      <c r="AO660" s="24"/>
      <c r="AP660" s="24"/>
      <c r="AQ660" s="24"/>
      <c r="AR660" s="24"/>
      <c r="AS660" s="24"/>
      <c r="AT660" s="24"/>
      <c r="AU660" s="24"/>
      <c r="AV660" s="24"/>
      <c r="AW660" s="24"/>
      <c r="AX660" s="24"/>
      <c r="AY660" s="24"/>
      <c r="AZ660" s="24"/>
      <c r="BA660" s="24"/>
      <c r="BB660" s="24"/>
      <c r="BC660" s="24"/>
      <c r="BD660" s="24"/>
      <c r="BE660" s="24"/>
      <c r="BF660" s="24"/>
      <c r="BG660" s="24"/>
      <c r="BH660" s="24"/>
    </row>
    <row r="661" spans="1:60">
      <c r="A661" s="7"/>
      <c r="B661" s="8"/>
      <c r="C661" s="9"/>
      <c r="D661" s="25"/>
      <c r="E661" s="25"/>
      <c r="F661" s="25"/>
      <c r="G661" s="25"/>
      <c r="H661" s="53"/>
      <c r="I661" s="53"/>
      <c r="J661" s="53"/>
      <c r="K661" s="24"/>
      <c r="L661" s="7"/>
      <c r="M661" s="24"/>
      <c r="N661" s="24"/>
      <c r="O661" s="24"/>
      <c r="P661" s="24"/>
      <c r="Q661" s="24"/>
      <c r="R661" s="24"/>
      <c r="S661" s="24"/>
      <c r="T661" s="24"/>
      <c r="U661" s="24"/>
      <c r="V661" s="24"/>
      <c r="W661" s="24"/>
      <c r="X661" s="24"/>
      <c r="Y661" s="24"/>
      <c r="Z661" s="24"/>
      <c r="AA661" s="24"/>
      <c r="AB661" s="24"/>
      <c r="AC661" s="24"/>
      <c r="AD661" s="24"/>
      <c r="AE661" s="24"/>
      <c r="AF661" s="24"/>
      <c r="AG661" s="24"/>
      <c r="AH661" s="24"/>
      <c r="AI661" s="24"/>
      <c r="AJ661" s="24"/>
      <c r="AK661" s="24"/>
      <c r="AL661" s="24"/>
      <c r="AM661" s="24"/>
      <c r="AN661" s="24"/>
      <c r="AO661" s="24"/>
      <c r="AP661" s="24"/>
      <c r="AQ661" s="24"/>
      <c r="AR661" s="24"/>
      <c r="AS661" s="24"/>
      <c r="AT661" s="24"/>
      <c r="AU661" s="24"/>
      <c r="AV661" s="24"/>
      <c r="AW661" s="24"/>
      <c r="AX661" s="24"/>
      <c r="AY661" s="24"/>
      <c r="AZ661" s="24"/>
      <c r="BA661" s="24"/>
      <c r="BB661" s="24"/>
      <c r="BC661" s="24"/>
      <c r="BD661" s="24"/>
      <c r="BE661" s="24"/>
      <c r="BF661" s="24"/>
      <c r="BG661" s="24"/>
      <c r="BH661" s="24"/>
    </row>
    <row r="662" spans="1:60">
      <c r="A662" s="7"/>
      <c r="B662" s="8"/>
      <c r="C662" s="9"/>
      <c r="D662" s="25"/>
      <c r="E662" s="25"/>
      <c r="F662" s="25"/>
      <c r="G662" s="25"/>
      <c r="H662" s="53"/>
      <c r="I662" s="53"/>
      <c r="J662" s="53"/>
      <c r="K662" s="24"/>
      <c r="L662" s="7"/>
      <c r="M662" s="24"/>
      <c r="N662" s="24"/>
      <c r="O662" s="24"/>
      <c r="P662" s="24"/>
      <c r="Q662" s="24"/>
      <c r="R662" s="24"/>
      <c r="S662" s="24"/>
      <c r="T662" s="24"/>
      <c r="U662" s="24"/>
      <c r="V662" s="24"/>
      <c r="W662" s="24"/>
      <c r="X662" s="24"/>
      <c r="Y662" s="24"/>
      <c r="Z662" s="24"/>
      <c r="AA662" s="24"/>
      <c r="AB662" s="24"/>
      <c r="AC662" s="24"/>
      <c r="AD662" s="24"/>
      <c r="AE662" s="24"/>
      <c r="AF662" s="24"/>
      <c r="AG662" s="24"/>
      <c r="AH662" s="24"/>
      <c r="AI662" s="24"/>
      <c r="AJ662" s="24"/>
      <c r="AK662" s="24"/>
      <c r="AL662" s="24"/>
      <c r="AM662" s="24"/>
      <c r="AN662" s="24"/>
      <c r="AO662" s="24"/>
      <c r="AP662" s="24"/>
      <c r="AQ662" s="24"/>
      <c r="AR662" s="24"/>
      <c r="AS662" s="24"/>
      <c r="AT662" s="24"/>
      <c r="AU662" s="24"/>
      <c r="AV662" s="24"/>
      <c r="AW662" s="24"/>
      <c r="AX662" s="24"/>
      <c r="AY662" s="24"/>
      <c r="AZ662" s="24"/>
      <c r="BA662" s="24"/>
      <c r="BB662" s="24"/>
      <c r="BC662" s="24"/>
      <c r="BD662" s="24"/>
      <c r="BE662" s="24"/>
      <c r="BF662" s="24"/>
      <c r="BG662" s="24"/>
      <c r="BH662" s="24"/>
    </row>
    <row r="663" spans="1:60">
      <c r="A663" s="7"/>
      <c r="B663" s="8"/>
      <c r="C663" s="9"/>
      <c r="D663" s="25"/>
      <c r="E663" s="25"/>
      <c r="F663" s="25"/>
      <c r="G663" s="25"/>
      <c r="H663" s="53"/>
      <c r="I663" s="53"/>
      <c r="J663" s="53"/>
      <c r="K663" s="24"/>
      <c r="L663" s="7"/>
      <c r="M663" s="24"/>
      <c r="N663" s="24"/>
      <c r="O663" s="24"/>
      <c r="P663" s="24"/>
      <c r="Q663" s="24"/>
      <c r="R663" s="24"/>
      <c r="S663" s="24"/>
      <c r="T663" s="24"/>
      <c r="U663" s="24"/>
      <c r="V663" s="24"/>
      <c r="W663" s="24"/>
      <c r="X663" s="24"/>
      <c r="Y663" s="24"/>
      <c r="Z663" s="24"/>
      <c r="AA663" s="24"/>
      <c r="AB663" s="24"/>
      <c r="AC663" s="24"/>
      <c r="AD663" s="24"/>
      <c r="AE663" s="24"/>
      <c r="AF663" s="24"/>
      <c r="AG663" s="24"/>
      <c r="AH663" s="24"/>
      <c r="AI663" s="24"/>
      <c r="AJ663" s="24"/>
      <c r="AK663" s="24"/>
      <c r="AL663" s="24"/>
      <c r="AM663" s="24"/>
      <c r="AN663" s="24"/>
      <c r="AO663" s="24"/>
      <c r="AP663" s="24"/>
      <c r="AQ663" s="24"/>
      <c r="AR663" s="24"/>
      <c r="AS663" s="24"/>
      <c r="AT663" s="24"/>
      <c r="AU663" s="24"/>
      <c r="AV663" s="24"/>
      <c r="AW663" s="24"/>
      <c r="AX663" s="24"/>
      <c r="AY663" s="24"/>
      <c r="AZ663" s="24"/>
      <c r="BA663" s="24"/>
      <c r="BB663" s="24"/>
      <c r="BC663" s="24"/>
      <c r="BD663" s="24"/>
      <c r="BE663" s="24"/>
      <c r="BF663" s="24"/>
      <c r="BG663" s="24"/>
      <c r="BH663" s="24"/>
    </row>
    <row r="664" spans="1:60">
      <c r="A664" s="7"/>
      <c r="B664" s="8"/>
      <c r="C664" s="9"/>
      <c r="D664" s="25"/>
      <c r="E664" s="25"/>
      <c r="F664" s="25"/>
      <c r="G664" s="25"/>
      <c r="H664" s="53"/>
      <c r="I664" s="53"/>
      <c r="J664" s="53"/>
      <c r="K664" s="24"/>
      <c r="L664" s="7"/>
      <c r="M664" s="24"/>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4"/>
      <c r="AK664" s="24"/>
      <c r="AL664" s="24"/>
      <c r="AM664" s="24"/>
      <c r="AN664" s="24"/>
      <c r="AO664" s="24"/>
      <c r="AP664" s="24"/>
      <c r="AQ664" s="24"/>
      <c r="AR664" s="24"/>
      <c r="AS664" s="24"/>
      <c r="AT664" s="24"/>
      <c r="AU664" s="24"/>
      <c r="AV664" s="24"/>
      <c r="AW664" s="24"/>
      <c r="AX664" s="24"/>
      <c r="AY664" s="24"/>
      <c r="AZ664" s="24"/>
      <c r="BA664" s="24"/>
      <c r="BB664" s="24"/>
      <c r="BC664" s="24"/>
      <c r="BD664" s="24"/>
      <c r="BE664" s="24"/>
      <c r="BF664" s="24"/>
      <c r="BG664" s="24"/>
      <c r="BH664" s="24"/>
    </row>
    <row r="665" spans="1:60">
      <c r="A665" s="7"/>
      <c r="B665" s="8"/>
      <c r="C665" s="9"/>
      <c r="D665" s="25"/>
      <c r="E665" s="25"/>
      <c r="F665" s="25"/>
      <c r="G665" s="25"/>
      <c r="H665" s="53"/>
      <c r="I665" s="53"/>
      <c r="J665" s="53"/>
      <c r="K665" s="24"/>
      <c r="L665" s="7"/>
      <c r="M665" s="24"/>
      <c r="N665" s="24"/>
      <c r="O665" s="24"/>
      <c r="P665" s="24"/>
      <c r="Q665" s="24"/>
      <c r="R665" s="24"/>
      <c r="S665" s="24"/>
      <c r="T665" s="24"/>
      <c r="U665" s="24"/>
      <c r="V665" s="24"/>
      <c r="W665" s="24"/>
      <c r="X665" s="24"/>
      <c r="Y665" s="24"/>
      <c r="Z665" s="24"/>
      <c r="AA665" s="24"/>
      <c r="AB665" s="24"/>
      <c r="AC665" s="24"/>
      <c r="AD665" s="24"/>
      <c r="AE665" s="24"/>
      <c r="AF665" s="24"/>
      <c r="AG665" s="24"/>
      <c r="AH665" s="24"/>
      <c r="AI665" s="24"/>
      <c r="AJ665" s="24"/>
      <c r="AK665" s="24"/>
      <c r="AL665" s="24"/>
      <c r="AM665" s="24"/>
      <c r="AN665" s="24"/>
      <c r="AO665" s="24"/>
      <c r="AP665" s="24"/>
      <c r="AQ665" s="24"/>
      <c r="AR665" s="24"/>
      <c r="AS665" s="24"/>
      <c r="AT665" s="24"/>
      <c r="AU665" s="24"/>
      <c r="AV665" s="24"/>
      <c r="AW665" s="24"/>
      <c r="AX665" s="24"/>
      <c r="AY665" s="24"/>
      <c r="AZ665" s="24"/>
      <c r="BA665" s="24"/>
      <c r="BB665" s="24"/>
      <c r="BC665" s="24"/>
      <c r="BD665" s="24"/>
      <c r="BE665" s="24"/>
      <c r="BF665" s="24"/>
      <c r="BG665" s="24"/>
      <c r="BH665" s="24"/>
    </row>
    <row r="666" spans="1:60">
      <c r="A666" s="7"/>
      <c r="B666" s="8"/>
      <c r="C666" s="9"/>
      <c r="D666" s="25"/>
      <c r="E666" s="25"/>
      <c r="F666" s="25"/>
      <c r="G666" s="25"/>
      <c r="H666" s="53"/>
      <c r="I666" s="53"/>
      <c r="J666" s="53"/>
      <c r="K666" s="24"/>
      <c r="L666" s="7"/>
      <c r="M666" s="24"/>
      <c r="N666" s="24"/>
      <c r="O666" s="24"/>
      <c r="P666" s="24"/>
      <c r="Q666" s="24"/>
      <c r="R666" s="24"/>
      <c r="S666" s="24"/>
      <c r="T666" s="24"/>
      <c r="U666" s="24"/>
      <c r="V666" s="24"/>
      <c r="W666" s="24"/>
      <c r="X666" s="24"/>
      <c r="Y666" s="24"/>
      <c r="Z666" s="24"/>
      <c r="AA666" s="24"/>
      <c r="AB666" s="24"/>
      <c r="AC666" s="24"/>
      <c r="AD666" s="24"/>
      <c r="AE666" s="24"/>
      <c r="AF666" s="24"/>
      <c r="AG666" s="24"/>
      <c r="AH666" s="24"/>
      <c r="AI666" s="24"/>
      <c r="AJ666" s="24"/>
      <c r="AK666" s="24"/>
      <c r="AL666" s="24"/>
      <c r="AM666" s="24"/>
      <c r="AN666" s="24"/>
      <c r="AO666" s="24"/>
      <c r="AP666" s="24"/>
      <c r="AQ666" s="24"/>
      <c r="AR666" s="24"/>
      <c r="AS666" s="24"/>
      <c r="AT666" s="24"/>
      <c r="AU666" s="24"/>
      <c r="AV666" s="24"/>
      <c r="AW666" s="24"/>
      <c r="AX666" s="24"/>
      <c r="AY666" s="24"/>
      <c r="AZ666" s="24"/>
      <c r="BA666" s="24"/>
      <c r="BB666" s="24"/>
      <c r="BC666" s="24"/>
      <c r="BD666" s="24"/>
      <c r="BE666" s="24"/>
      <c r="BF666" s="24"/>
      <c r="BG666" s="24"/>
      <c r="BH666" s="24"/>
    </row>
    <row r="667" spans="1:60">
      <c r="A667" s="7"/>
      <c r="B667" s="8"/>
      <c r="C667" s="9"/>
      <c r="D667" s="25"/>
      <c r="E667" s="25"/>
      <c r="F667" s="25"/>
      <c r="G667" s="25"/>
      <c r="H667" s="53"/>
      <c r="I667" s="53"/>
      <c r="J667" s="53"/>
      <c r="K667" s="24"/>
      <c r="L667" s="7"/>
      <c r="M667" s="24"/>
      <c r="N667" s="24"/>
      <c r="O667" s="24"/>
      <c r="P667" s="24"/>
      <c r="Q667" s="24"/>
      <c r="R667" s="24"/>
      <c r="S667" s="24"/>
      <c r="T667" s="24"/>
      <c r="U667" s="24"/>
      <c r="V667" s="24"/>
      <c r="W667" s="24"/>
      <c r="X667" s="24"/>
      <c r="Y667" s="24"/>
      <c r="Z667" s="24"/>
      <c r="AA667" s="24"/>
      <c r="AB667" s="24"/>
      <c r="AC667" s="24"/>
      <c r="AD667" s="24"/>
      <c r="AE667" s="24"/>
      <c r="AF667" s="24"/>
      <c r="AG667" s="24"/>
      <c r="AH667" s="24"/>
      <c r="AI667" s="24"/>
      <c r="AJ667" s="24"/>
      <c r="AK667" s="24"/>
      <c r="AL667" s="24"/>
      <c r="AM667" s="24"/>
      <c r="AN667" s="24"/>
      <c r="AO667" s="24"/>
      <c r="AP667" s="24"/>
      <c r="AQ667" s="24"/>
      <c r="AR667" s="24"/>
      <c r="AS667" s="24"/>
      <c r="AT667" s="24"/>
      <c r="AU667" s="24"/>
      <c r="AV667" s="24"/>
      <c r="AW667" s="24"/>
      <c r="AX667" s="24"/>
      <c r="AY667" s="24"/>
      <c r="AZ667" s="24"/>
      <c r="BA667" s="24"/>
      <c r="BB667" s="24"/>
      <c r="BC667" s="24"/>
      <c r="BD667" s="24"/>
      <c r="BE667" s="24"/>
      <c r="BF667" s="24"/>
      <c r="BG667" s="24"/>
      <c r="BH667" s="24"/>
    </row>
    <row r="668" spans="1:60">
      <c r="A668" s="7"/>
      <c r="B668" s="8"/>
      <c r="C668" s="9"/>
      <c r="D668" s="25"/>
      <c r="E668" s="25"/>
      <c r="F668" s="25"/>
      <c r="G668" s="25"/>
      <c r="H668" s="53"/>
      <c r="I668" s="53"/>
      <c r="J668" s="53"/>
      <c r="K668" s="24"/>
      <c r="L668" s="7"/>
      <c r="M668" s="24"/>
      <c r="N668" s="24"/>
      <c r="O668" s="24"/>
      <c r="P668" s="24"/>
      <c r="Q668" s="24"/>
      <c r="R668" s="24"/>
      <c r="S668" s="24"/>
      <c r="T668" s="24"/>
      <c r="U668" s="24"/>
      <c r="V668" s="24"/>
      <c r="W668" s="24"/>
      <c r="X668" s="24"/>
      <c r="Y668" s="24"/>
      <c r="Z668" s="24"/>
      <c r="AA668" s="24"/>
      <c r="AB668" s="24"/>
      <c r="AC668" s="24"/>
      <c r="AD668" s="24"/>
      <c r="AE668" s="24"/>
      <c r="AF668" s="24"/>
      <c r="AG668" s="24"/>
      <c r="AH668" s="24"/>
      <c r="AI668" s="24"/>
      <c r="AJ668" s="24"/>
      <c r="AK668" s="24"/>
      <c r="AL668" s="24"/>
      <c r="AM668" s="24"/>
      <c r="AN668" s="24"/>
      <c r="AO668" s="24"/>
      <c r="AP668" s="24"/>
      <c r="AQ668" s="24"/>
      <c r="AR668" s="24"/>
      <c r="AS668" s="24"/>
      <c r="AT668" s="24"/>
      <c r="AU668" s="24"/>
      <c r="AV668" s="24"/>
      <c r="AW668" s="24"/>
      <c r="AX668" s="24"/>
      <c r="AY668" s="24"/>
      <c r="AZ668" s="24"/>
      <c r="BA668" s="24"/>
      <c r="BB668" s="24"/>
      <c r="BC668" s="24"/>
      <c r="BD668" s="24"/>
      <c r="BE668" s="24"/>
      <c r="BF668" s="24"/>
      <c r="BG668" s="24"/>
      <c r="BH668" s="24"/>
    </row>
    <row r="669" spans="1:60">
      <c r="A669" s="7"/>
      <c r="B669" s="8"/>
      <c r="C669" s="9"/>
      <c r="D669" s="25"/>
      <c r="E669" s="25"/>
      <c r="F669" s="25"/>
      <c r="G669" s="25"/>
      <c r="H669" s="53"/>
      <c r="I669" s="53"/>
      <c r="J669" s="53"/>
      <c r="K669" s="24"/>
      <c r="L669" s="7"/>
      <c r="M669" s="24"/>
      <c r="N669" s="24"/>
      <c r="O669" s="24"/>
      <c r="P669" s="24"/>
      <c r="Q669" s="24"/>
      <c r="R669" s="24"/>
      <c r="S669" s="24"/>
      <c r="T669" s="24"/>
      <c r="U669" s="24"/>
      <c r="V669" s="24"/>
      <c r="W669" s="24"/>
      <c r="X669" s="24"/>
      <c r="Y669" s="24"/>
      <c r="Z669" s="24"/>
      <c r="AA669" s="24"/>
      <c r="AB669" s="24"/>
      <c r="AC669" s="24"/>
      <c r="AD669" s="24"/>
      <c r="AE669" s="24"/>
      <c r="AF669" s="24"/>
      <c r="AG669" s="24"/>
      <c r="AH669" s="24"/>
      <c r="AI669" s="24"/>
      <c r="AJ669" s="24"/>
      <c r="AK669" s="24"/>
      <c r="AL669" s="24"/>
      <c r="AM669" s="24"/>
      <c r="AN669" s="24"/>
      <c r="AO669" s="24"/>
      <c r="AP669" s="24"/>
      <c r="AQ669" s="24"/>
      <c r="AR669" s="24"/>
      <c r="AS669" s="24"/>
      <c r="AT669" s="24"/>
      <c r="AU669" s="24"/>
      <c r="AV669" s="24"/>
      <c r="AW669" s="24"/>
      <c r="AX669" s="24"/>
      <c r="AY669" s="24"/>
      <c r="AZ669" s="24"/>
      <c r="BA669" s="24"/>
      <c r="BB669" s="24"/>
      <c r="BC669" s="24"/>
      <c r="BD669" s="24"/>
      <c r="BE669" s="24"/>
      <c r="BF669" s="24"/>
      <c r="BG669" s="24"/>
      <c r="BH669" s="24"/>
    </row>
    <row r="670" spans="1:60">
      <c r="A670" s="7"/>
      <c r="B670" s="8"/>
      <c r="C670" s="9"/>
      <c r="D670" s="25"/>
      <c r="E670" s="25"/>
      <c r="F670" s="25"/>
      <c r="G670" s="25"/>
      <c r="H670" s="53"/>
      <c r="I670" s="53"/>
      <c r="J670" s="53"/>
      <c r="K670" s="24"/>
      <c r="L670" s="7"/>
      <c r="M670" s="24"/>
      <c r="N670" s="24"/>
      <c r="O670" s="24"/>
      <c r="P670" s="24"/>
      <c r="Q670" s="24"/>
      <c r="R670" s="24"/>
      <c r="S670" s="24"/>
      <c r="T670" s="24"/>
      <c r="U670" s="24"/>
      <c r="V670" s="24"/>
      <c r="W670" s="24"/>
      <c r="X670" s="24"/>
      <c r="Y670" s="24"/>
      <c r="Z670" s="24"/>
      <c r="AA670" s="24"/>
      <c r="AB670" s="24"/>
      <c r="AC670" s="24"/>
      <c r="AD670" s="24"/>
      <c r="AE670" s="24"/>
      <c r="AF670" s="24"/>
      <c r="AG670" s="24"/>
      <c r="AH670" s="24"/>
      <c r="AI670" s="24"/>
      <c r="AJ670" s="24"/>
      <c r="AK670" s="24"/>
      <c r="AL670" s="24"/>
      <c r="AM670" s="24"/>
      <c r="AN670" s="24"/>
      <c r="AO670" s="24"/>
      <c r="AP670" s="24"/>
      <c r="AQ670" s="24"/>
      <c r="AR670" s="24"/>
      <c r="AS670" s="24"/>
      <c r="AT670" s="24"/>
      <c r="AU670" s="24"/>
      <c r="AV670" s="24"/>
      <c r="AW670" s="24"/>
      <c r="AX670" s="24"/>
      <c r="AY670" s="24"/>
      <c r="AZ670" s="24"/>
      <c r="BA670" s="24"/>
      <c r="BB670" s="24"/>
      <c r="BC670" s="24"/>
      <c r="BD670" s="24"/>
      <c r="BE670" s="24"/>
      <c r="BF670" s="24"/>
      <c r="BG670" s="24"/>
      <c r="BH670" s="24"/>
    </row>
    <row r="671" spans="1:60">
      <c r="A671" s="7"/>
      <c r="B671" s="8"/>
      <c r="C671" s="9"/>
      <c r="D671" s="25"/>
      <c r="E671" s="25"/>
      <c r="F671" s="25"/>
      <c r="G671" s="25"/>
      <c r="H671" s="53"/>
      <c r="I671" s="53"/>
      <c r="J671" s="53"/>
      <c r="K671" s="24"/>
      <c r="L671" s="7"/>
      <c r="M671" s="24"/>
      <c r="N671" s="24"/>
      <c r="O671" s="24"/>
      <c r="P671" s="24"/>
      <c r="Q671" s="24"/>
      <c r="R671" s="24"/>
      <c r="S671" s="24"/>
      <c r="T671" s="24"/>
      <c r="U671" s="24"/>
      <c r="V671" s="24"/>
      <c r="W671" s="24"/>
      <c r="X671" s="24"/>
      <c r="Y671" s="24"/>
      <c r="Z671" s="24"/>
      <c r="AA671" s="24"/>
      <c r="AB671" s="24"/>
      <c r="AC671" s="24"/>
      <c r="AD671" s="24"/>
      <c r="AE671" s="24"/>
      <c r="AF671" s="24"/>
      <c r="AG671" s="24"/>
      <c r="AH671" s="24"/>
      <c r="AI671" s="24"/>
      <c r="AJ671" s="24"/>
      <c r="AK671" s="24"/>
      <c r="AL671" s="24"/>
      <c r="AM671" s="24"/>
      <c r="AN671" s="24"/>
      <c r="AO671" s="24"/>
      <c r="AP671" s="24"/>
      <c r="AQ671" s="24"/>
      <c r="AR671" s="24"/>
      <c r="AS671" s="24"/>
      <c r="AT671" s="24"/>
      <c r="AU671" s="24"/>
      <c r="AV671" s="24"/>
      <c r="AW671" s="24"/>
      <c r="AX671" s="24"/>
      <c r="AY671" s="24"/>
      <c r="AZ671" s="24"/>
      <c r="BA671" s="24"/>
      <c r="BB671" s="24"/>
      <c r="BC671" s="24"/>
      <c r="BD671" s="24"/>
      <c r="BE671" s="24"/>
      <c r="BF671" s="24"/>
      <c r="BG671" s="24"/>
      <c r="BH671" s="24"/>
    </row>
    <row r="672" spans="1:60">
      <c r="A672" s="7"/>
      <c r="B672" s="8"/>
      <c r="C672" s="9"/>
      <c r="D672" s="25"/>
      <c r="E672" s="25"/>
      <c r="F672" s="25"/>
      <c r="G672" s="25"/>
      <c r="H672" s="53"/>
      <c r="I672" s="53"/>
      <c r="J672" s="53"/>
      <c r="K672" s="24"/>
      <c r="L672" s="7"/>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24"/>
      <c r="BG672" s="24"/>
      <c r="BH672" s="24"/>
    </row>
    <row r="673" spans="1:60">
      <c r="A673" s="7"/>
      <c r="B673" s="8"/>
      <c r="C673" s="9"/>
      <c r="D673" s="25"/>
      <c r="E673" s="25"/>
      <c r="F673" s="25"/>
      <c r="G673" s="25"/>
      <c r="H673" s="53"/>
      <c r="I673" s="53"/>
      <c r="J673" s="53"/>
      <c r="K673" s="24"/>
      <c r="L673" s="7"/>
      <c r="M673" s="24"/>
      <c r="N673" s="24"/>
      <c r="O673" s="24"/>
      <c r="P673" s="24"/>
      <c r="Q673" s="24"/>
      <c r="R673" s="24"/>
      <c r="S673" s="24"/>
      <c r="T673" s="24"/>
      <c r="U673" s="24"/>
      <c r="V673" s="24"/>
      <c r="W673" s="24"/>
      <c r="X673" s="24"/>
      <c r="Y673" s="24"/>
      <c r="Z673" s="24"/>
      <c r="AA673" s="24"/>
      <c r="AB673" s="24"/>
      <c r="AC673" s="24"/>
      <c r="AD673" s="24"/>
      <c r="AE673" s="24"/>
      <c r="AF673" s="24"/>
      <c r="AG673" s="24"/>
      <c r="AH673" s="24"/>
      <c r="AI673" s="24"/>
      <c r="AJ673" s="24"/>
      <c r="AK673" s="24"/>
      <c r="AL673" s="24"/>
      <c r="AM673" s="24"/>
      <c r="AN673" s="24"/>
      <c r="AO673" s="24"/>
      <c r="AP673" s="24"/>
      <c r="AQ673" s="24"/>
      <c r="AR673" s="24"/>
      <c r="AS673" s="24"/>
      <c r="AT673" s="24"/>
      <c r="AU673" s="24"/>
      <c r="AV673" s="24"/>
      <c r="AW673" s="24"/>
      <c r="AX673" s="24"/>
      <c r="AY673" s="24"/>
      <c r="AZ673" s="24"/>
      <c r="BA673" s="24"/>
      <c r="BB673" s="24"/>
      <c r="BC673" s="24"/>
      <c r="BD673" s="24"/>
      <c r="BE673" s="24"/>
      <c r="BF673" s="24"/>
      <c r="BG673" s="24"/>
      <c r="BH673" s="24"/>
    </row>
    <row r="674" spans="1:60">
      <c r="A674" s="7"/>
      <c r="B674" s="8"/>
      <c r="C674" s="9"/>
      <c r="D674" s="25"/>
      <c r="E674" s="25"/>
      <c r="F674" s="25"/>
      <c r="G674" s="25"/>
      <c r="H674" s="53"/>
      <c r="I674" s="53"/>
      <c r="J674" s="53"/>
      <c r="K674" s="24"/>
      <c r="L674" s="7"/>
      <c r="M674" s="24"/>
      <c r="N674" s="24"/>
      <c r="O674" s="24"/>
      <c r="P674" s="24"/>
      <c r="Q674" s="24"/>
      <c r="R674" s="24"/>
      <c r="S674" s="24"/>
      <c r="T674" s="24"/>
      <c r="U674" s="24"/>
      <c r="V674" s="24"/>
      <c r="W674" s="24"/>
      <c r="X674" s="24"/>
      <c r="Y674" s="24"/>
      <c r="Z674" s="24"/>
      <c r="AA674" s="24"/>
      <c r="AB674" s="24"/>
      <c r="AC674" s="24"/>
      <c r="AD674" s="24"/>
      <c r="AE674" s="24"/>
      <c r="AF674" s="24"/>
      <c r="AG674" s="24"/>
      <c r="AH674" s="24"/>
      <c r="AI674" s="24"/>
      <c r="AJ674" s="24"/>
      <c r="AK674" s="24"/>
      <c r="AL674" s="24"/>
      <c r="AM674" s="24"/>
      <c r="AN674" s="24"/>
      <c r="AO674" s="24"/>
      <c r="AP674" s="24"/>
      <c r="AQ674" s="24"/>
      <c r="AR674" s="24"/>
      <c r="AS674" s="24"/>
      <c r="AT674" s="24"/>
      <c r="AU674" s="24"/>
      <c r="AV674" s="24"/>
      <c r="AW674" s="24"/>
      <c r="AX674" s="24"/>
      <c r="AY674" s="24"/>
      <c r="AZ674" s="24"/>
      <c r="BA674" s="24"/>
      <c r="BB674" s="24"/>
      <c r="BC674" s="24"/>
      <c r="BD674" s="24"/>
      <c r="BE674" s="24"/>
      <c r="BF674" s="24"/>
      <c r="BG674" s="24"/>
      <c r="BH674" s="24"/>
    </row>
    <row r="675" spans="1:60">
      <c r="A675" s="7"/>
      <c r="B675" s="8"/>
      <c r="C675" s="9"/>
      <c r="D675" s="25"/>
      <c r="E675" s="25"/>
      <c r="F675" s="25"/>
      <c r="G675" s="25"/>
      <c r="H675" s="53"/>
      <c r="I675" s="53"/>
      <c r="J675" s="53"/>
      <c r="K675" s="24"/>
      <c r="L675" s="7"/>
      <c r="M675" s="24"/>
      <c r="N675" s="24"/>
      <c r="O675" s="24"/>
      <c r="P675" s="24"/>
      <c r="Q675" s="24"/>
      <c r="R675" s="24"/>
      <c r="S675" s="24"/>
      <c r="T675" s="24"/>
      <c r="U675" s="24"/>
      <c r="V675" s="24"/>
      <c r="W675" s="24"/>
      <c r="X675" s="24"/>
      <c r="Y675" s="24"/>
      <c r="Z675" s="24"/>
      <c r="AA675" s="24"/>
      <c r="AB675" s="24"/>
      <c r="AC675" s="24"/>
      <c r="AD675" s="24"/>
      <c r="AE675" s="24"/>
      <c r="AF675" s="24"/>
      <c r="AG675" s="24"/>
      <c r="AH675" s="24"/>
      <c r="AI675" s="24"/>
      <c r="AJ675" s="24"/>
      <c r="AK675" s="24"/>
      <c r="AL675" s="24"/>
      <c r="AM675" s="24"/>
      <c r="AN675" s="24"/>
      <c r="AO675" s="24"/>
      <c r="AP675" s="24"/>
      <c r="AQ675" s="24"/>
      <c r="AR675" s="24"/>
      <c r="AS675" s="24"/>
      <c r="AT675" s="24"/>
      <c r="AU675" s="24"/>
      <c r="AV675" s="24"/>
      <c r="AW675" s="24"/>
      <c r="AX675" s="24"/>
      <c r="AY675" s="24"/>
      <c r="AZ675" s="24"/>
      <c r="BA675" s="24"/>
      <c r="BB675" s="24"/>
      <c r="BC675" s="24"/>
      <c r="BD675" s="24"/>
      <c r="BE675" s="24"/>
      <c r="BF675" s="24"/>
      <c r="BG675" s="24"/>
      <c r="BH675" s="24"/>
    </row>
    <row r="676" spans="1:60">
      <c r="A676" s="7"/>
      <c r="B676" s="8"/>
      <c r="C676" s="9"/>
      <c r="D676" s="25"/>
      <c r="E676" s="25"/>
      <c r="F676" s="25"/>
      <c r="G676" s="25"/>
      <c r="H676" s="53"/>
      <c r="I676" s="53"/>
      <c r="J676" s="53"/>
      <c r="K676" s="24"/>
      <c r="L676" s="7"/>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4"/>
      <c r="AK676" s="24"/>
      <c r="AL676" s="24"/>
      <c r="AM676" s="24"/>
      <c r="AN676" s="24"/>
      <c r="AO676" s="24"/>
      <c r="AP676" s="24"/>
      <c r="AQ676" s="24"/>
      <c r="AR676" s="24"/>
      <c r="AS676" s="24"/>
      <c r="AT676" s="24"/>
      <c r="AU676" s="24"/>
      <c r="AV676" s="24"/>
      <c r="AW676" s="24"/>
      <c r="AX676" s="24"/>
      <c r="AY676" s="24"/>
      <c r="AZ676" s="24"/>
      <c r="BA676" s="24"/>
      <c r="BB676" s="24"/>
      <c r="BC676" s="24"/>
      <c r="BD676" s="24"/>
      <c r="BE676" s="24"/>
      <c r="BF676" s="24"/>
      <c r="BG676" s="24"/>
      <c r="BH676" s="24"/>
    </row>
    <row r="677" spans="1:60">
      <c r="A677" s="7"/>
      <c r="B677" s="8"/>
      <c r="C677" s="9"/>
      <c r="D677" s="25"/>
      <c r="E677" s="25"/>
      <c r="F677" s="25"/>
      <c r="G677" s="25"/>
      <c r="H677" s="53"/>
      <c r="I677" s="53"/>
      <c r="J677" s="53"/>
      <c r="K677" s="24"/>
      <c r="L677" s="7"/>
      <c r="M677" s="24"/>
      <c r="N677" s="24"/>
      <c r="O677" s="24"/>
      <c r="P677" s="24"/>
      <c r="Q677" s="24"/>
      <c r="R677" s="24"/>
      <c r="S677" s="24"/>
      <c r="T677" s="24"/>
      <c r="U677" s="24"/>
      <c r="V677" s="24"/>
      <c r="W677" s="24"/>
      <c r="X677" s="24"/>
      <c r="Y677" s="24"/>
      <c r="Z677" s="24"/>
      <c r="AA677" s="24"/>
      <c r="AB677" s="24"/>
      <c r="AC677" s="24"/>
      <c r="AD677" s="24"/>
      <c r="AE677" s="24"/>
      <c r="AF677" s="24"/>
      <c r="AG677" s="24"/>
      <c r="AH677" s="24"/>
      <c r="AI677" s="24"/>
      <c r="AJ677" s="24"/>
      <c r="AK677" s="24"/>
      <c r="AL677" s="24"/>
      <c r="AM677" s="24"/>
      <c r="AN677" s="24"/>
      <c r="AO677" s="24"/>
      <c r="AP677" s="24"/>
      <c r="AQ677" s="24"/>
      <c r="AR677" s="24"/>
      <c r="AS677" s="24"/>
      <c r="AT677" s="24"/>
      <c r="AU677" s="24"/>
      <c r="AV677" s="24"/>
      <c r="AW677" s="24"/>
      <c r="AX677" s="24"/>
      <c r="AY677" s="24"/>
      <c r="AZ677" s="24"/>
      <c r="BA677" s="24"/>
      <c r="BB677" s="24"/>
      <c r="BC677" s="24"/>
      <c r="BD677" s="24"/>
      <c r="BE677" s="24"/>
      <c r="BF677" s="24"/>
      <c r="BG677" s="24"/>
      <c r="BH677" s="24"/>
    </row>
    <row r="678" spans="1:60">
      <c r="A678" s="7"/>
      <c r="B678" s="8"/>
      <c r="C678" s="9"/>
      <c r="D678" s="25"/>
      <c r="E678" s="25"/>
      <c r="F678" s="25"/>
      <c r="G678" s="25"/>
      <c r="H678" s="53"/>
      <c r="I678" s="53"/>
      <c r="J678" s="53"/>
      <c r="K678" s="24"/>
      <c r="L678" s="7"/>
      <c r="M678" s="24"/>
      <c r="N678" s="24"/>
      <c r="O678" s="24"/>
      <c r="P678" s="24"/>
      <c r="Q678" s="24"/>
      <c r="R678" s="24"/>
      <c r="S678" s="24"/>
      <c r="T678" s="24"/>
      <c r="U678" s="24"/>
      <c r="V678" s="24"/>
      <c r="W678" s="24"/>
      <c r="X678" s="24"/>
      <c r="Y678" s="24"/>
      <c r="Z678" s="24"/>
      <c r="AA678" s="24"/>
      <c r="AB678" s="24"/>
      <c r="AC678" s="24"/>
      <c r="AD678" s="24"/>
      <c r="AE678" s="24"/>
      <c r="AF678" s="24"/>
      <c r="AG678" s="24"/>
      <c r="AH678" s="24"/>
      <c r="AI678" s="24"/>
      <c r="AJ678" s="24"/>
      <c r="AK678" s="24"/>
      <c r="AL678" s="24"/>
      <c r="AM678" s="24"/>
      <c r="AN678" s="24"/>
      <c r="AO678" s="24"/>
      <c r="AP678" s="24"/>
      <c r="AQ678" s="24"/>
      <c r="AR678" s="24"/>
      <c r="AS678" s="24"/>
      <c r="AT678" s="24"/>
      <c r="AU678" s="24"/>
      <c r="AV678" s="24"/>
      <c r="AW678" s="24"/>
      <c r="AX678" s="24"/>
      <c r="AY678" s="24"/>
      <c r="AZ678" s="24"/>
      <c r="BA678" s="24"/>
      <c r="BB678" s="24"/>
      <c r="BC678" s="24"/>
      <c r="BD678" s="24"/>
      <c r="BE678" s="24"/>
      <c r="BF678" s="24"/>
      <c r="BG678" s="24"/>
      <c r="BH678" s="24"/>
    </row>
    <row r="679" spans="1:60">
      <c r="A679" s="7"/>
      <c r="B679" s="8"/>
      <c r="C679" s="9"/>
      <c r="D679" s="25"/>
      <c r="E679" s="25"/>
      <c r="F679" s="25"/>
      <c r="G679" s="25"/>
      <c r="H679" s="53"/>
      <c r="I679" s="53"/>
      <c r="J679" s="53"/>
      <c r="K679" s="24"/>
      <c r="L679" s="7"/>
      <c r="M679" s="24"/>
      <c r="N679" s="24"/>
      <c r="O679" s="24"/>
      <c r="P679" s="24"/>
      <c r="Q679" s="24"/>
      <c r="R679" s="24"/>
      <c r="S679" s="24"/>
      <c r="T679" s="24"/>
      <c r="U679" s="24"/>
      <c r="V679" s="24"/>
      <c r="W679" s="24"/>
      <c r="X679" s="24"/>
      <c r="Y679" s="24"/>
      <c r="Z679" s="24"/>
      <c r="AA679" s="24"/>
      <c r="AB679" s="24"/>
      <c r="AC679" s="24"/>
      <c r="AD679" s="24"/>
      <c r="AE679" s="24"/>
      <c r="AF679" s="24"/>
      <c r="AG679" s="24"/>
      <c r="AH679" s="24"/>
      <c r="AI679" s="24"/>
      <c r="AJ679" s="24"/>
      <c r="AK679" s="24"/>
      <c r="AL679" s="24"/>
      <c r="AM679" s="24"/>
      <c r="AN679" s="24"/>
      <c r="AO679" s="24"/>
      <c r="AP679" s="24"/>
      <c r="AQ679" s="24"/>
      <c r="AR679" s="24"/>
      <c r="AS679" s="24"/>
      <c r="AT679" s="24"/>
      <c r="AU679" s="24"/>
      <c r="AV679" s="24"/>
      <c r="AW679" s="24"/>
      <c r="AX679" s="24"/>
      <c r="AY679" s="24"/>
      <c r="AZ679" s="24"/>
      <c r="BA679" s="24"/>
      <c r="BB679" s="24"/>
      <c r="BC679" s="24"/>
      <c r="BD679" s="24"/>
      <c r="BE679" s="24"/>
      <c r="BF679" s="24"/>
      <c r="BG679" s="24"/>
      <c r="BH679" s="24"/>
    </row>
    <row r="680" spans="1:60">
      <c r="A680" s="7"/>
      <c r="B680" s="8"/>
      <c r="C680" s="9"/>
      <c r="D680" s="25"/>
      <c r="E680" s="25"/>
      <c r="F680" s="25"/>
      <c r="G680" s="25"/>
      <c r="H680" s="53"/>
      <c r="I680" s="53"/>
      <c r="J680" s="53"/>
      <c r="K680" s="24"/>
      <c r="L680" s="7"/>
      <c r="M680" s="24"/>
      <c r="N680" s="24"/>
      <c r="O680" s="24"/>
      <c r="P680" s="24"/>
      <c r="Q680" s="24"/>
      <c r="R680" s="24"/>
      <c r="S680" s="24"/>
      <c r="T680" s="24"/>
      <c r="U680" s="24"/>
      <c r="V680" s="24"/>
      <c r="W680" s="24"/>
      <c r="X680" s="24"/>
      <c r="Y680" s="24"/>
      <c r="Z680" s="24"/>
      <c r="AA680" s="24"/>
      <c r="AB680" s="24"/>
      <c r="AC680" s="24"/>
      <c r="AD680" s="24"/>
      <c r="AE680" s="24"/>
      <c r="AF680" s="24"/>
      <c r="AG680" s="24"/>
      <c r="AH680" s="24"/>
      <c r="AI680" s="24"/>
      <c r="AJ680" s="24"/>
      <c r="AK680" s="24"/>
      <c r="AL680" s="24"/>
      <c r="AM680" s="24"/>
      <c r="AN680" s="24"/>
      <c r="AO680" s="24"/>
      <c r="AP680" s="24"/>
      <c r="AQ680" s="24"/>
      <c r="AR680" s="24"/>
      <c r="AS680" s="24"/>
      <c r="AT680" s="24"/>
      <c r="AU680" s="24"/>
      <c r="AV680" s="24"/>
      <c r="AW680" s="24"/>
      <c r="AX680" s="24"/>
      <c r="AY680" s="24"/>
      <c r="AZ680" s="24"/>
      <c r="BA680" s="24"/>
      <c r="BB680" s="24"/>
      <c r="BC680" s="24"/>
      <c r="BD680" s="24"/>
      <c r="BE680" s="24"/>
      <c r="BF680" s="24"/>
      <c r="BG680" s="24"/>
      <c r="BH680" s="24"/>
    </row>
    <row r="681" spans="1:60">
      <c r="A681" s="7"/>
      <c r="B681" s="8"/>
      <c r="C681" s="9"/>
      <c r="D681" s="25"/>
      <c r="E681" s="25"/>
      <c r="F681" s="25"/>
      <c r="G681" s="25"/>
      <c r="H681" s="53"/>
      <c r="I681" s="53"/>
      <c r="J681" s="53"/>
      <c r="K681" s="24"/>
      <c r="L681" s="7"/>
      <c r="M681" s="24"/>
      <c r="N681" s="24"/>
      <c r="O681" s="24"/>
      <c r="P681" s="24"/>
      <c r="Q681" s="24"/>
      <c r="R681" s="24"/>
      <c r="S681" s="24"/>
      <c r="T681" s="24"/>
      <c r="U681" s="24"/>
      <c r="V681" s="24"/>
      <c r="W681" s="24"/>
      <c r="X681" s="24"/>
      <c r="Y681" s="24"/>
      <c r="Z681" s="24"/>
      <c r="AA681" s="24"/>
      <c r="AB681" s="24"/>
      <c r="AC681" s="24"/>
      <c r="AD681" s="24"/>
      <c r="AE681" s="24"/>
      <c r="AF681" s="24"/>
      <c r="AG681" s="24"/>
      <c r="AH681" s="24"/>
      <c r="AI681" s="24"/>
      <c r="AJ681" s="24"/>
      <c r="AK681" s="24"/>
      <c r="AL681" s="24"/>
      <c r="AM681" s="24"/>
      <c r="AN681" s="24"/>
      <c r="AO681" s="24"/>
      <c r="AP681" s="24"/>
      <c r="AQ681" s="24"/>
      <c r="AR681" s="24"/>
      <c r="AS681" s="24"/>
      <c r="AT681" s="24"/>
      <c r="AU681" s="24"/>
      <c r="AV681" s="24"/>
      <c r="AW681" s="24"/>
      <c r="AX681" s="24"/>
      <c r="AY681" s="24"/>
      <c r="AZ681" s="24"/>
      <c r="BA681" s="24"/>
      <c r="BB681" s="24"/>
      <c r="BC681" s="24"/>
      <c r="BD681" s="24"/>
      <c r="BE681" s="24"/>
      <c r="BF681" s="24"/>
      <c r="BG681" s="24"/>
      <c r="BH681" s="24"/>
    </row>
    <row r="682" spans="1:60">
      <c r="A682" s="7"/>
      <c r="B682" s="8"/>
      <c r="C682" s="9"/>
      <c r="D682" s="25"/>
      <c r="E682" s="25"/>
      <c r="F682" s="25"/>
      <c r="G682" s="25"/>
      <c r="H682" s="53"/>
      <c r="I682" s="53"/>
      <c r="J682" s="53"/>
      <c r="K682" s="24"/>
      <c r="L682" s="7"/>
      <c r="M682" s="24"/>
      <c r="N682" s="24"/>
      <c r="O682" s="24"/>
      <c r="P682" s="24"/>
      <c r="Q682" s="24"/>
      <c r="R682" s="24"/>
      <c r="S682" s="24"/>
      <c r="T682" s="24"/>
      <c r="U682" s="24"/>
      <c r="V682" s="24"/>
      <c r="W682" s="24"/>
      <c r="X682" s="24"/>
      <c r="Y682" s="24"/>
      <c r="Z682" s="24"/>
      <c r="AA682" s="24"/>
      <c r="AB682" s="24"/>
      <c r="AC682" s="24"/>
      <c r="AD682" s="24"/>
      <c r="AE682" s="24"/>
      <c r="AF682" s="24"/>
      <c r="AG682" s="24"/>
      <c r="AH682" s="24"/>
      <c r="AI682" s="24"/>
      <c r="AJ682" s="24"/>
      <c r="AK682" s="24"/>
      <c r="AL682" s="24"/>
      <c r="AM682" s="24"/>
      <c r="AN682" s="24"/>
      <c r="AO682" s="24"/>
      <c r="AP682" s="24"/>
      <c r="AQ682" s="24"/>
      <c r="AR682" s="24"/>
      <c r="AS682" s="24"/>
      <c r="AT682" s="24"/>
      <c r="AU682" s="24"/>
      <c r="AV682" s="24"/>
      <c r="AW682" s="24"/>
      <c r="AX682" s="24"/>
      <c r="AY682" s="24"/>
      <c r="AZ682" s="24"/>
      <c r="BA682" s="24"/>
      <c r="BB682" s="24"/>
      <c r="BC682" s="24"/>
      <c r="BD682" s="24"/>
      <c r="BE682" s="24"/>
      <c r="BF682" s="24"/>
      <c r="BG682" s="24"/>
      <c r="BH682" s="24"/>
    </row>
    <row r="683" spans="1:60">
      <c r="A683" s="7"/>
      <c r="B683" s="8"/>
      <c r="C683" s="9"/>
      <c r="D683" s="25"/>
      <c r="E683" s="25"/>
      <c r="F683" s="25"/>
      <c r="G683" s="25"/>
      <c r="H683" s="53"/>
      <c r="I683" s="53"/>
      <c r="J683" s="53"/>
      <c r="K683" s="24"/>
      <c r="L683" s="7"/>
      <c r="M683" s="24"/>
      <c r="N683" s="24"/>
      <c r="O683" s="24"/>
      <c r="P683" s="24"/>
      <c r="Q683" s="24"/>
      <c r="R683" s="24"/>
      <c r="S683" s="24"/>
      <c r="T683" s="24"/>
      <c r="U683" s="24"/>
      <c r="V683" s="24"/>
      <c r="W683" s="24"/>
      <c r="X683" s="24"/>
      <c r="Y683" s="24"/>
      <c r="Z683" s="24"/>
      <c r="AA683" s="24"/>
      <c r="AB683" s="24"/>
      <c r="AC683" s="24"/>
      <c r="AD683" s="24"/>
      <c r="AE683" s="24"/>
      <c r="AF683" s="24"/>
      <c r="AG683" s="24"/>
      <c r="AH683" s="24"/>
      <c r="AI683" s="24"/>
      <c r="AJ683" s="24"/>
      <c r="AK683" s="24"/>
      <c r="AL683" s="24"/>
      <c r="AM683" s="24"/>
      <c r="AN683" s="24"/>
      <c r="AO683" s="24"/>
      <c r="AP683" s="24"/>
      <c r="AQ683" s="24"/>
      <c r="AR683" s="24"/>
      <c r="AS683" s="24"/>
      <c r="AT683" s="24"/>
      <c r="AU683" s="24"/>
      <c r="AV683" s="24"/>
      <c r="AW683" s="24"/>
      <c r="AX683" s="24"/>
      <c r="AY683" s="24"/>
      <c r="AZ683" s="24"/>
      <c r="BA683" s="24"/>
      <c r="BB683" s="24"/>
      <c r="BC683" s="24"/>
      <c r="BD683" s="24"/>
      <c r="BE683" s="24"/>
      <c r="BF683" s="24"/>
      <c r="BG683" s="24"/>
      <c r="BH683" s="24"/>
    </row>
    <row r="684" spans="1:60">
      <c r="A684" s="7"/>
      <c r="B684" s="8"/>
      <c r="C684" s="9"/>
      <c r="D684" s="25"/>
      <c r="E684" s="25"/>
      <c r="F684" s="25"/>
      <c r="G684" s="25"/>
      <c r="H684" s="53"/>
      <c r="I684" s="53"/>
      <c r="J684" s="53"/>
      <c r="K684" s="24"/>
      <c r="L684" s="7"/>
      <c r="M684" s="24"/>
      <c r="N684" s="24"/>
      <c r="O684" s="24"/>
      <c r="P684" s="24"/>
      <c r="Q684" s="24"/>
      <c r="R684" s="24"/>
      <c r="S684" s="24"/>
      <c r="T684" s="24"/>
      <c r="U684" s="24"/>
      <c r="V684" s="24"/>
      <c r="W684" s="24"/>
      <c r="X684" s="24"/>
      <c r="Y684" s="24"/>
      <c r="Z684" s="24"/>
      <c r="AA684" s="24"/>
      <c r="AB684" s="24"/>
      <c r="AC684" s="24"/>
      <c r="AD684" s="24"/>
      <c r="AE684" s="24"/>
      <c r="AF684" s="24"/>
      <c r="AG684" s="24"/>
      <c r="AH684" s="24"/>
      <c r="AI684" s="24"/>
      <c r="AJ684" s="24"/>
      <c r="AK684" s="24"/>
      <c r="AL684" s="24"/>
      <c r="AM684" s="24"/>
      <c r="AN684" s="24"/>
      <c r="AO684" s="24"/>
      <c r="AP684" s="24"/>
      <c r="AQ684" s="24"/>
      <c r="AR684" s="24"/>
      <c r="AS684" s="24"/>
      <c r="AT684" s="24"/>
      <c r="AU684" s="24"/>
      <c r="AV684" s="24"/>
      <c r="AW684" s="24"/>
      <c r="AX684" s="24"/>
      <c r="AY684" s="24"/>
      <c r="AZ684" s="24"/>
      <c r="BA684" s="24"/>
      <c r="BB684" s="24"/>
      <c r="BC684" s="24"/>
      <c r="BD684" s="24"/>
      <c r="BE684" s="24"/>
      <c r="BF684" s="24"/>
      <c r="BG684" s="24"/>
      <c r="BH684" s="24"/>
    </row>
    <row r="685" spans="1:60">
      <c r="A685" s="7"/>
      <c r="B685" s="8"/>
      <c r="C685" s="9"/>
      <c r="D685" s="25"/>
      <c r="E685" s="25"/>
      <c r="F685" s="25"/>
      <c r="G685" s="25"/>
      <c r="H685" s="53"/>
      <c r="I685" s="53"/>
      <c r="J685" s="53"/>
      <c r="K685" s="24"/>
      <c r="L685" s="7"/>
      <c r="M685" s="24"/>
      <c r="N685" s="24"/>
      <c r="O685" s="24"/>
      <c r="P685" s="24"/>
      <c r="Q685" s="24"/>
      <c r="R685" s="24"/>
      <c r="S685" s="24"/>
      <c r="T685" s="24"/>
      <c r="U685" s="24"/>
      <c r="V685" s="24"/>
      <c r="W685" s="24"/>
      <c r="X685" s="24"/>
      <c r="Y685" s="24"/>
      <c r="Z685" s="24"/>
      <c r="AA685" s="24"/>
      <c r="AB685" s="24"/>
      <c r="AC685" s="24"/>
      <c r="AD685" s="24"/>
      <c r="AE685" s="24"/>
      <c r="AF685" s="24"/>
      <c r="AG685" s="24"/>
      <c r="AH685" s="24"/>
      <c r="AI685" s="24"/>
      <c r="AJ685" s="24"/>
      <c r="AK685" s="24"/>
      <c r="AL685" s="24"/>
      <c r="AM685" s="24"/>
      <c r="AN685" s="24"/>
      <c r="AO685" s="24"/>
      <c r="AP685" s="24"/>
      <c r="AQ685" s="24"/>
      <c r="AR685" s="24"/>
      <c r="AS685" s="24"/>
      <c r="AT685" s="24"/>
      <c r="AU685" s="24"/>
      <c r="AV685" s="24"/>
      <c r="AW685" s="24"/>
      <c r="AX685" s="24"/>
      <c r="AY685" s="24"/>
      <c r="AZ685" s="24"/>
      <c r="BA685" s="24"/>
      <c r="BB685" s="24"/>
      <c r="BC685" s="24"/>
      <c r="BD685" s="24"/>
      <c r="BE685" s="24"/>
      <c r="BF685" s="24"/>
      <c r="BG685" s="24"/>
      <c r="BH685" s="24"/>
    </row>
    <row r="686" spans="1:60">
      <c r="A686" s="7"/>
      <c r="B686" s="8"/>
      <c r="C686" s="9"/>
      <c r="D686" s="25"/>
      <c r="E686" s="25"/>
      <c r="F686" s="25"/>
      <c r="G686" s="25"/>
      <c r="H686" s="53"/>
      <c r="I686" s="53"/>
      <c r="J686" s="53"/>
      <c r="K686" s="24"/>
      <c r="L686" s="7"/>
      <c r="M686" s="24"/>
      <c r="N686" s="24"/>
      <c r="O686" s="24"/>
      <c r="P686" s="24"/>
      <c r="Q686" s="24"/>
      <c r="R686" s="24"/>
      <c r="S686" s="24"/>
      <c r="T686" s="24"/>
      <c r="U686" s="24"/>
      <c r="V686" s="24"/>
      <c r="W686" s="24"/>
      <c r="X686" s="24"/>
      <c r="Y686" s="24"/>
      <c r="Z686" s="24"/>
      <c r="AA686" s="24"/>
      <c r="AB686" s="24"/>
      <c r="AC686" s="24"/>
      <c r="AD686" s="24"/>
      <c r="AE686" s="24"/>
      <c r="AF686" s="24"/>
      <c r="AG686" s="24"/>
      <c r="AH686" s="24"/>
      <c r="AI686" s="24"/>
      <c r="AJ686" s="24"/>
      <c r="AK686" s="24"/>
      <c r="AL686" s="24"/>
      <c r="AM686" s="24"/>
      <c r="AN686" s="24"/>
      <c r="AO686" s="24"/>
      <c r="AP686" s="24"/>
      <c r="AQ686" s="24"/>
      <c r="AR686" s="24"/>
      <c r="AS686" s="24"/>
      <c r="AT686" s="24"/>
      <c r="AU686" s="24"/>
      <c r="AV686" s="24"/>
      <c r="AW686" s="24"/>
      <c r="AX686" s="24"/>
      <c r="AY686" s="24"/>
      <c r="AZ686" s="24"/>
      <c r="BA686" s="24"/>
      <c r="BB686" s="24"/>
      <c r="BC686" s="24"/>
      <c r="BD686" s="24"/>
      <c r="BE686" s="24"/>
      <c r="BF686" s="24"/>
      <c r="BG686" s="24"/>
      <c r="BH686" s="24"/>
    </row>
    <row r="687" spans="1:60">
      <c r="A687" s="7"/>
      <c r="B687" s="8"/>
      <c r="C687" s="9"/>
      <c r="D687" s="25"/>
      <c r="E687" s="25"/>
      <c r="F687" s="25"/>
      <c r="G687" s="25"/>
      <c r="H687" s="53"/>
      <c r="I687" s="53"/>
      <c r="J687" s="53"/>
      <c r="K687" s="24"/>
      <c r="L687" s="7"/>
      <c r="M687" s="24"/>
      <c r="N687" s="24"/>
      <c r="O687" s="24"/>
      <c r="P687" s="24"/>
      <c r="Q687" s="24"/>
      <c r="R687" s="24"/>
      <c r="S687" s="24"/>
      <c r="T687" s="24"/>
      <c r="U687" s="24"/>
      <c r="V687" s="24"/>
      <c r="W687" s="24"/>
      <c r="X687" s="24"/>
      <c r="Y687" s="24"/>
      <c r="Z687" s="24"/>
      <c r="AA687" s="24"/>
      <c r="AB687" s="24"/>
      <c r="AC687" s="24"/>
      <c r="AD687" s="24"/>
      <c r="AE687" s="24"/>
      <c r="AF687" s="24"/>
      <c r="AG687" s="24"/>
      <c r="AH687" s="24"/>
      <c r="AI687" s="24"/>
      <c r="AJ687" s="24"/>
      <c r="AK687" s="24"/>
      <c r="AL687" s="24"/>
      <c r="AM687" s="24"/>
      <c r="AN687" s="24"/>
      <c r="AO687" s="24"/>
      <c r="AP687" s="24"/>
      <c r="AQ687" s="24"/>
      <c r="AR687" s="24"/>
      <c r="AS687" s="24"/>
      <c r="AT687" s="24"/>
      <c r="AU687" s="24"/>
      <c r="AV687" s="24"/>
      <c r="AW687" s="24"/>
      <c r="AX687" s="24"/>
      <c r="AY687" s="24"/>
      <c r="AZ687" s="24"/>
      <c r="BA687" s="24"/>
      <c r="BB687" s="24"/>
      <c r="BC687" s="24"/>
      <c r="BD687" s="24"/>
      <c r="BE687" s="24"/>
      <c r="BF687" s="24"/>
      <c r="BG687" s="24"/>
      <c r="BH687" s="24"/>
    </row>
    <row r="688" spans="1:60">
      <c r="A688" s="7"/>
      <c r="B688" s="8"/>
      <c r="C688" s="9"/>
      <c r="D688" s="25"/>
      <c r="E688" s="25"/>
      <c r="F688" s="25"/>
      <c r="G688" s="25"/>
      <c r="H688" s="53"/>
      <c r="I688" s="53"/>
      <c r="J688" s="53"/>
      <c r="K688" s="24"/>
      <c r="L688" s="7"/>
      <c r="M688" s="24"/>
      <c r="N688" s="24"/>
      <c r="O688" s="24"/>
      <c r="P688" s="24"/>
      <c r="Q688" s="24"/>
      <c r="R688" s="24"/>
      <c r="S688" s="24"/>
      <c r="T688" s="24"/>
      <c r="U688" s="24"/>
      <c r="V688" s="24"/>
      <c r="W688" s="24"/>
      <c r="X688" s="24"/>
      <c r="Y688" s="24"/>
      <c r="Z688" s="24"/>
      <c r="AA688" s="24"/>
      <c r="AB688" s="24"/>
      <c r="AC688" s="24"/>
      <c r="AD688" s="24"/>
      <c r="AE688" s="24"/>
      <c r="AF688" s="24"/>
      <c r="AG688" s="24"/>
      <c r="AH688" s="24"/>
      <c r="AI688" s="24"/>
      <c r="AJ688" s="24"/>
      <c r="AK688" s="24"/>
      <c r="AL688" s="24"/>
      <c r="AM688" s="24"/>
      <c r="AN688" s="24"/>
      <c r="AO688" s="24"/>
      <c r="AP688" s="24"/>
      <c r="AQ688" s="24"/>
      <c r="AR688" s="24"/>
      <c r="AS688" s="24"/>
      <c r="AT688" s="24"/>
      <c r="AU688" s="24"/>
      <c r="AV688" s="24"/>
      <c r="AW688" s="24"/>
      <c r="AX688" s="24"/>
      <c r="AY688" s="24"/>
      <c r="AZ688" s="24"/>
      <c r="BA688" s="24"/>
      <c r="BB688" s="24"/>
      <c r="BC688" s="24"/>
      <c r="BD688" s="24"/>
      <c r="BE688" s="24"/>
      <c r="BF688" s="24"/>
      <c r="BG688" s="24"/>
      <c r="BH688" s="24"/>
    </row>
    <row r="689" spans="1:60">
      <c r="A689" s="7"/>
      <c r="B689" s="8"/>
      <c r="C689" s="9"/>
      <c r="D689" s="25"/>
      <c r="E689" s="25"/>
      <c r="F689" s="25"/>
      <c r="G689" s="25"/>
      <c r="H689" s="53"/>
      <c r="I689" s="53"/>
      <c r="J689" s="53"/>
      <c r="K689" s="24"/>
      <c r="L689" s="7"/>
      <c r="M689" s="24"/>
      <c r="N689" s="24"/>
      <c r="O689" s="24"/>
      <c r="P689" s="24"/>
      <c r="Q689" s="24"/>
      <c r="R689" s="24"/>
      <c r="S689" s="24"/>
      <c r="T689" s="24"/>
      <c r="U689" s="24"/>
      <c r="V689" s="24"/>
      <c r="W689" s="24"/>
      <c r="X689" s="24"/>
      <c r="Y689" s="24"/>
      <c r="Z689" s="24"/>
      <c r="AA689" s="24"/>
      <c r="AB689" s="24"/>
      <c r="AC689" s="24"/>
      <c r="AD689" s="24"/>
      <c r="AE689" s="24"/>
      <c r="AF689" s="24"/>
      <c r="AG689" s="24"/>
      <c r="AH689" s="24"/>
      <c r="AI689" s="24"/>
      <c r="AJ689" s="24"/>
      <c r="AK689" s="24"/>
      <c r="AL689" s="24"/>
      <c r="AM689" s="24"/>
      <c r="AN689" s="24"/>
      <c r="AO689" s="24"/>
      <c r="AP689" s="24"/>
      <c r="AQ689" s="24"/>
      <c r="AR689" s="24"/>
      <c r="AS689" s="24"/>
      <c r="AT689" s="24"/>
      <c r="AU689" s="24"/>
      <c r="AV689" s="24"/>
      <c r="AW689" s="24"/>
      <c r="AX689" s="24"/>
      <c r="AY689" s="24"/>
      <c r="AZ689" s="24"/>
      <c r="BA689" s="24"/>
      <c r="BB689" s="24"/>
      <c r="BC689" s="24"/>
      <c r="BD689" s="24"/>
      <c r="BE689" s="24"/>
      <c r="BF689" s="24"/>
      <c r="BG689" s="24"/>
      <c r="BH689" s="24"/>
    </row>
    <row r="690" spans="1:60">
      <c r="A690" s="7"/>
      <c r="B690" s="8"/>
      <c r="C690" s="9"/>
      <c r="D690" s="25"/>
      <c r="E690" s="25"/>
      <c r="F690" s="25"/>
      <c r="G690" s="25"/>
      <c r="H690" s="53"/>
      <c r="I690" s="53"/>
      <c r="J690" s="53"/>
      <c r="K690" s="24"/>
      <c r="L690" s="7"/>
      <c r="M690" s="24"/>
      <c r="N690" s="24"/>
      <c r="O690" s="24"/>
      <c r="P690" s="24"/>
      <c r="Q690" s="24"/>
      <c r="R690" s="24"/>
      <c r="S690" s="24"/>
      <c r="T690" s="24"/>
      <c r="U690" s="24"/>
      <c r="V690" s="24"/>
      <c r="W690" s="24"/>
      <c r="X690" s="24"/>
      <c r="Y690" s="24"/>
      <c r="Z690" s="24"/>
      <c r="AA690" s="24"/>
      <c r="AB690" s="24"/>
      <c r="AC690" s="24"/>
      <c r="AD690" s="24"/>
      <c r="AE690" s="24"/>
      <c r="AF690" s="24"/>
      <c r="AG690" s="24"/>
      <c r="AH690" s="24"/>
      <c r="AI690" s="24"/>
      <c r="AJ690" s="24"/>
      <c r="AK690" s="24"/>
      <c r="AL690" s="24"/>
      <c r="AM690" s="24"/>
      <c r="AN690" s="24"/>
      <c r="AO690" s="24"/>
      <c r="AP690" s="24"/>
      <c r="AQ690" s="24"/>
      <c r="AR690" s="24"/>
      <c r="AS690" s="24"/>
      <c r="AT690" s="24"/>
      <c r="AU690" s="24"/>
      <c r="AV690" s="24"/>
      <c r="AW690" s="24"/>
      <c r="AX690" s="24"/>
      <c r="AY690" s="24"/>
      <c r="AZ690" s="24"/>
      <c r="BA690" s="24"/>
      <c r="BB690" s="24"/>
      <c r="BC690" s="24"/>
      <c r="BD690" s="24"/>
      <c r="BE690" s="24"/>
      <c r="BF690" s="24"/>
      <c r="BG690" s="24"/>
      <c r="BH690" s="24"/>
    </row>
    <row r="691" spans="1:60">
      <c r="A691" s="7"/>
      <c r="B691" s="8"/>
      <c r="C691" s="9"/>
      <c r="D691" s="25"/>
      <c r="E691" s="25"/>
      <c r="F691" s="25"/>
      <c r="G691" s="25"/>
      <c r="H691" s="53"/>
      <c r="I691" s="53"/>
      <c r="J691" s="53"/>
      <c r="K691" s="24"/>
      <c r="L691" s="7"/>
      <c r="M691" s="24"/>
      <c r="N691" s="24"/>
      <c r="O691" s="24"/>
      <c r="P691" s="24"/>
      <c r="Q691" s="24"/>
      <c r="R691" s="24"/>
      <c r="S691" s="24"/>
      <c r="T691" s="24"/>
      <c r="U691" s="24"/>
      <c r="V691" s="24"/>
      <c r="W691" s="24"/>
      <c r="X691" s="24"/>
      <c r="Y691" s="24"/>
      <c r="Z691" s="24"/>
      <c r="AA691" s="24"/>
      <c r="AB691" s="24"/>
      <c r="AC691" s="24"/>
      <c r="AD691" s="24"/>
      <c r="AE691" s="24"/>
      <c r="AF691" s="24"/>
      <c r="AG691" s="24"/>
      <c r="AH691" s="24"/>
      <c r="AI691" s="24"/>
      <c r="AJ691" s="24"/>
      <c r="AK691" s="24"/>
      <c r="AL691" s="24"/>
      <c r="AM691" s="24"/>
      <c r="AN691" s="24"/>
      <c r="AO691" s="24"/>
      <c r="AP691" s="24"/>
      <c r="AQ691" s="24"/>
      <c r="AR691" s="24"/>
      <c r="AS691" s="24"/>
      <c r="AT691" s="24"/>
      <c r="AU691" s="24"/>
      <c r="AV691" s="24"/>
      <c r="AW691" s="24"/>
      <c r="AX691" s="24"/>
      <c r="AY691" s="24"/>
      <c r="AZ691" s="24"/>
      <c r="BA691" s="24"/>
      <c r="BB691" s="24"/>
      <c r="BC691" s="24"/>
      <c r="BD691" s="24"/>
      <c r="BE691" s="24"/>
      <c r="BF691" s="24"/>
      <c r="BG691" s="24"/>
      <c r="BH691" s="24"/>
    </row>
    <row r="692" spans="1:60">
      <c r="A692" s="7"/>
      <c r="B692" s="8"/>
      <c r="C692" s="9"/>
      <c r="D692" s="25"/>
      <c r="E692" s="25"/>
      <c r="F692" s="25"/>
      <c r="G692" s="25"/>
      <c r="H692" s="53"/>
      <c r="I692" s="53"/>
      <c r="J692" s="53"/>
      <c r="K692" s="24"/>
      <c r="L692" s="7"/>
      <c r="M692" s="24"/>
      <c r="N692" s="24"/>
      <c r="O692" s="24"/>
      <c r="P692" s="24"/>
      <c r="Q692" s="24"/>
      <c r="R692" s="24"/>
      <c r="S692" s="24"/>
      <c r="T692" s="24"/>
      <c r="U692" s="24"/>
      <c r="V692" s="24"/>
      <c r="W692" s="24"/>
      <c r="X692" s="24"/>
      <c r="Y692" s="24"/>
      <c r="Z692" s="24"/>
      <c r="AA692" s="24"/>
      <c r="AB692" s="24"/>
      <c r="AC692" s="24"/>
      <c r="AD692" s="24"/>
      <c r="AE692" s="24"/>
      <c r="AF692" s="24"/>
      <c r="AG692" s="24"/>
      <c r="AH692" s="24"/>
      <c r="AI692" s="24"/>
      <c r="AJ692" s="24"/>
      <c r="AK692" s="24"/>
      <c r="AL692" s="24"/>
      <c r="AM692" s="24"/>
      <c r="AN692" s="24"/>
      <c r="AO692" s="24"/>
      <c r="AP692" s="24"/>
      <c r="AQ692" s="24"/>
      <c r="AR692" s="24"/>
      <c r="AS692" s="24"/>
      <c r="AT692" s="24"/>
      <c r="AU692" s="24"/>
      <c r="AV692" s="24"/>
      <c r="AW692" s="24"/>
      <c r="AX692" s="24"/>
      <c r="AY692" s="24"/>
      <c r="AZ692" s="24"/>
      <c r="BA692" s="24"/>
      <c r="BB692" s="24"/>
      <c r="BC692" s="24"/>
      <c r="BD692" s="24"/>
      <c r="BE692" s="24"/>
      <c r="BF692" s="24"/>
      <c r="BG692" s="24"/>
      <c r="BH692" s="24"/>
    </row>
    <row r="693" spans="1:60">
      <c r="A693" s="7"/>
      <c r="B693" s="8"/>
      <c r="C693" s="9"/>
      <c r="D693" s="25"/>
      <c r="E693" s="25"/>
      <c r="F693" s="25"/>
      <c r="G693" s="25"/>
      <c r="H693" s="53"/>
      <c r="I693" s="53"/>
      <c r="J693" s="53"/>
      <c r="K693" s="24"/>
      <c r="L693" s="7"/>
      <c r="M693" s="24"/>
      <c r="N693" s="24"/>
      <c r="O693" s="24"/>
      <c r="P693" s="24"/>
      <c r="Q693" s="24"/>
      <c r="R693" s="24"/>
      <c r="S693" s="24"/>
      <c r="T693" s="24"/>
      <c r="U693" s="24"/>
      <c r="V693" s="24"/>
      <c r="W693" s="24"/>
      <c r="X693" s="24"/>
      <c r="Y693" s="24"/>
      <c r="Z693" s="24"/>
      <c r="AA693" s="24"/>
      <c r="AB693" s="24"/>
      <c r="AC693" s="24"/>
      <c r="AD693" s="24"/>
      <c r="AE693" s="24"/>
      <c r="AF693" s="24"/>
      <c r="AG693" s="24"/>
      <c r="AH693" s="24"/>
      <c r="AI693" s="24"/>
      <c r="AJ693" s="24"/>
      <c r="AK693" s="24"/>
      <c r="AL693" s="24"/>
      <c r="AM693" s="24"/>
      <c r="AN693" s="24"/>
      <c r="AO693" s="24"/>
      <c r="AP693" s="24"/>
      <c r="AQ693" s="24"/>
      <c r="AR693" s="24"/>
      <c r="AS693" s="24"/>
      <c r="AT693" s="24"/>
      <c r="AU693" s="24"/>
      <c r="AV693" s="24"/>
      <c r="AW693" s="24"/>
      <c r="AX693" s="24"/>
      <c r="AY693" s="24"/>
      <c r="AZ693" s="24"/>
      <c r="BA693" s="24"/>
      <c r="BB693" s="24"/>
      <c r="BC693" s="24"/>
      <c r="BD693" s="24"/>
      <c r="BE693" s="24"/>
      <c r="BF693" s="24"/>
      <c r="BG693" s="24"/>
      <c r="BH693" s="24"/>
    </row>
    <row r="694" spans="1:60">
      <c r="A694" s="7"/>
      <c r="B694" s="8"/>
      <c r="C694" s="9"/>
      <c r="D694" s="25"/>
      <c r="E694" s="25"/>
      <c r="F694" s="25"/>
      <c r="G694" s="25"/>
      <c r="H694" s="53"/>
      <c r="I694" s="53"/>
      <c r="J694" s="53"/>
      <c r="K694" s="24"/>
      <c r="L694" s="7"/>
      <c r="M694" s="24"/>
      <c r="N694" s="24"/>
      <c r="O694" s="24"/>
      <c r="P694" s="24"/>
      <c r="Q694" s="24"/>
      <c r="R694" s="24"/>
      <c r="S694" s="24"/>
      <c r="T694" s="24"/>
      <c r="U694" s="24"/>
      <c r="V694" s="24"/>
      <c r="W694" s="24"/>
      <c r="X694" s="24"/>
      <c r="Y694" s="24"/>
      <c r="Z694" s="24"/>
      <c r="AA694" s="24"/>
      <c r="AB694" s="24"/>
      <c r="AC694" s="24"/>
      <c r="AD694" s="24"/>
      <c r="AE694" s="24"/>
      <c r="AF694" s="24"/>
      <c r="AG694" s="24"/>
      <c r="AH694" s="24"/>
      <c r="AI694" s="24"/>
      <c r="AJ694" s="24"/>
      <c r="AK694" s="24"/>
      <c r="AL694" s="24"/>
      <c r="AM694" s="24"/>
      <c r="AN694" s="24"/>
      <c r="AO694" s="24"/>
      <c r="AP694" s="24"/>
      <c r="AQ694" s="24"/>
      <c r="AR694" s="24"/>
      <c r="AS694" s="24"/>
      <c r="AT694" s="24"/>
      <c r="AU694" s="24"/>
      <c r="AV694" s="24"/>
      <c r="AW694" s="24"/>
      <c r="AX694" s="24"/>
      <c r="AY694" s="24"/>
      <c r="AZ694" s="24"/>
      <c r="BA694" s="24"/>
      <c r="BB694" s="24"/>
      <c r="BC694" s="24"/>
      <c r="BD694" s="24"/>
      <c r="BE694" s="24"/>
      <c r="BF694" s="24"/>
      <c r="BG694" s="24"/>
      <c r="BH694" s="24"/>
    </row>
    <row r="695" spans="1:60">
      <c r="A695" s="7"/>
      <c r="B695" s="8"/>
      <c r="C695" s="9"/>
      <c r="D695" s="25"/>
      <c r="E695" s="25"/>
      <c r="F695" s="25"/>
      <c r="G695" s="25"/>
      <c r="H695" s="53"/>
      <c r="I695" s="53"/>
      <c r="J695" s="53"/>
      <c r="K695" s="24"/>
      <c r="L695" s="7"/>
      <c r="M695" s="24"/>
      <c r="N695" s="24"/>
      <c r="O695" s="24"/>
      <c r="P695" s="24"/>
      <c r="Q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row>
    <row r="696" spans="1:60">
      <c r="A696" s="7"/>
      <c r="B696" s="8"/>
      <c r="C696" s="9"/>
      <c r="D696" s="25"/>
      <c r="E696" s="25"/>
      <c r="F696" s="25"/>
      <c r="G696" s="25"/>
      <c r="H696" s="53"/>
      <c r="I696" s="53"/>
      <c r="J696" s="53"/>
      <c r="K696" s="24"/>
      <c r="L696" s="7"/>
      <c r="M696" s="24"/>
      <c r="N696" s="24"/>
      <c r="O696" s="24"/>
      <c r="P696" s="24"/>
      <c r="Q696" s="24"/>
      <c r="R696" s="24"/>
      <c r="S696" s="24"/>
      <c r="T696" s="24"/>
      <c r="U696" s="24"/>
      <c r="V696" s="24"/>
      <c r="W696" s="24"/>
      <c r="X696" s="24"/>
      <c r="Y696" s="24"/>
      <c r="Z696" s="24"/>
      <c r="AA696" s="24"/>
      <c r="AB696" s="24"/>
      <c r="AC696" s="24"/>
      <c r="AD696" s="24"/>
      <c r="AE696" s="24"/>
      <c r="AF696" s="24"/>
      <c r="AG696" s="24"/>
      <c r="AH696" s="24"/>
      <c r="AI696" s="24"/>
      <c r="AJ696" s="24"/>
      <c r="AK696" s="24"/>
      <c r="AL696" s="24"/>
      <c r="AM696" s="24"/>
      <c r="AN696" s="24"/>
      <c r="AO696" s="24"/>
      <c r="AP696" s="24"/>
      <c r="AQ696" s="24"/>
      <c r="AR696" s="24"/>
      <c r="AS696" s="24"/>
      <c r="AT696" s="24"/>
      <c r="AU696" s="24"/>
      <c r="AV696" s="24"/>
      <c r="AW696" s="24"/>
      <c r="AX696" s="24"/>
      <c r="AY696" s="24"/>
      <c r="AZ696" s="24"/>
      <c r="BA696" s="24"/>
      <c r="BB696" s="24"/>
      <c r="BC696" s="24"/>
      <c r="BD696" s="24"/>
      <c r="BE696" s="24"/>
      <c r="BF696" s="24"/>
      <c r="BG696" s="24"/>
      <c r="BH696" s="24"/>
    </row>
    <row r="697" spans="1:60">
      <c r="A697" s="7"/>
      <c r="B697" s="8"/>
      <c r="C697" s="9"/>
      <c r="D697" s="25"/>
      <c r="E697" s="25"/>
      <c r="F697" s="25"/>
      <c r="G697" s="25"/>
      <c r="H697" s="53"/>
      <c r="I697" s="53"/>
      <c r="J697" s="53"/>
      <c r="K697" s="24"/>
      <c r="L697" s="7"/>
      <c r="M697" s="24"/>
      <c r="N697" s="24"/>
      <c r="O697" s="24"/>
      <c r="P697" s="24"/>
      <c r="Q697" s="24"/>
      <c r="R697" s="24"/>
      <c r="S697" s="24"/>
      <c r="T697" s="24"/>
      <c r="U697" s="24"/>
      <c r="V697" s="24"/>
      <c r="W697" s="24"/>
      <c r="X697" s="24"/>
      <c r="Y697" s="24"/>
      <c r="Z697" s="24"/>
      <c r="AA697" s="24"/>
      <c r="AB697" s="24"/>
      <c r="AC697" s="24"/>
      <c r="AD697" s="24"/>
      <c r="AE697" s="24"/>
      <c r="AF697" s="24"/>
      <c r="AG697" s="24"/>
      <c r="AH697" s="24"/>
      <c r="AI697" s="24"/>
      <c r="AJ697" s="24"/>
      <c r="AK697" s="24"/>
      <c r="AL697" s="24"/>
      <c r="AM697" s="24"/>
      <c r="AN697" s="24"/>
      <c r="AO697" s="24"/>
      <c r="AP697" s="24"/>
      <c r="AQ697" s="24"/>
      <c r="AR697" s="24"/>
      <c r="AS697" s="24"/>
      <c r="AT697" s="24"/>
      <c r="AU697" s="24"/>
      <c r="AV697" s="24"/>
      <c r="AW697" s="24"/>
      <c r="AX697" s="24"/>
      <c r="AY697" s="24"/>
      <c r="AZ697" s="24"/>
      <c r="BA697" s="24"/>
      <c r="BB697" s="24"/>
      <c r="BC697" s="24"/>
      <c r="BD697" s="24"/>
      <c r="BE697" s="24"/>
      <c r="BF697" s="24"/>
      <c r="BG697" s="24"/>
      <c r="BH697" s="24"/>
    </row>
    <row r="698" spans="1:60">
      <c r="A698" s="7"/>
      <c r="B698" s="8"/>
      <c r="C698" s="9"/>
      <c r="D698" s="25"/>
      <c r="E698" s="25"/>
      <c r="F698" s="25"/>
      <c r="G698" s="25"/>
      <c r="H698" s="53"/>
      <c r="I698" s="53"/>
      <c r="J698" s="53"/>
      <c r="K698" s="24"/>
      <c r="L698" s="7"/>
      <c r="M698" s="24"/>
      <c r="N698" s="24"/>
      <c r="O698" s="24"/>
      <c r="P698" s="24"/>
      <c r="Q698" s="24"/>
      <c r="R698" s="24"/>
      <c r="S698" s="24"/>
      <c r="T698" s="24"/>
      <c r="U698" s="24"/>
      <c r="V698" s="24"/>
      <c r="W698" s="24"/>
      <c r="X698" s="24"/>
      <c r="Y698" s="24"/>
      <c r="Z698" s="24"/>
      <c r="AA698" s="24"/>
      <c r="AB698" s="24"/>
      <c r="AC698" s="24"/>
      <c r="AD698" s="24"/>
      <c r="AE698" s="24"/>
      <c r="AF698" s="24"/>
      <c r="AG698" s="24"/>
      <c r="AH698" s="24"/>
      <c r="AI698" s="24"/>
      <c r="AJ698" s="24"/>
      <c r="AK698" s="24"/>
      <c r="AL698" s="24"/>
      <c r="AM698" s="24"/>
      <c r="AN698" s="24"/>
      <c r="AO698" s="24"/>
      <c r="AP698" s="24"/>
      <c r="AQ698" s="24"/>
      <c r="AR698" s="24"/>
      <c r="AS698" s="24"/>
      <c r="AT698" s="24"/>
      <c r="AU698" s="24"/>
      <c r="AV698" s="24"/>
      <c r="AW698" s="24"/>
      <c r="AX698" s="24"/>
      <c r="AY698" s="24"/>
      <c r="AZ698" s="24"/>
      <c r="BA698" s="24"/>
      <c r="BB698" s="24"/>
      <c r="BC698" s="24"/>
      <c r="BD698" s="24"/>
      <c r="BE698" s="24"/>
      <c r="BF698" s="24"/>
      <c r="BG698" s="24"/>
      <c r="BH698" s="24"/>
    </row>
    <row r="699" spans="1:60">
      <c r="A699" s="7"/>
      <c r="B699" s="8"/>
      <c r="C699" s="9"/>
      <c r="D699" s="25"/>
      <c r="E699" s="25"/>
      <c r="F699" s="25"/>
      <c r="G699" s="25"/>
      <c r="H699" s="53"/>
      <c r="I699" s="53"/>
      <c r="J699" s="53"/>
      <c r="K699" s="24"/>
      <c r="L699" s="7"/>
      <c r="M699" s="24"/>
      <c r="N699" s="24"/>
      <c r="O699" s="24"/>
      <c r="P699" s="24"/>
      <c r="Q699" s="24"/>
      <c r="R699" s="24"/>
      <c r="S699" s="24"/>
      <c r="T699" s="24"/>
      <c r="U699" s="24"/>
      <c r="V699" s="24"/>
      <c r="W699" s="24"/>
      <c r="X699" s="24"/>
      <c r="Y699" s="24"/>
      <c r="Z699" s="24"/>
      <c r="AA699" s="24"/>
      <c r="AB699" s="24"/>
      <c r="AC699" s="24"/>
      <c r="AD699" s="24"/>
      <c r="AE699" s="24"/>
      <c r="AF699" s="24"/>
      <c r="AG699" s="24"/>
      <c r="AH699" s="24"/>
      <c r="AI699" s="24"/>
      <c r="AJ699" s="24"/>
      <c r="AK699" s="24"/>
      <c r="AL699" s="24"/>
      <c r="AM699" s="24"/>
      <c r="AN699" s="24"/>
      <c r="AO699" s="24"/>
      <c r="AP699" s="24"/>
      <c r="AQ699" s="24"/>
      <c r="AR699" s="24"/>
      <c r="AS699" s="24"/>
      <c r="AT699" s="24"/>
      <c r="AU699" s="24"/>
      <c r="AV699" s="24"/>
      <c r="AW699" s="24"/>
      <c r="AX699" s="24"/>
      <c r="AY699" s="24"/>
      <c r="AZ699" s="24"/>
      <c r="BA699" s="24"/>
      <c r="BB699" s="24"/>
      <c r="BC699" s="24"/>
      <c r="BD699" s="24"/>
      <c r="BE699" s="24"/>
      <c r="BF699" s="24"/>
      <c r="BG699" s="24"/>
      <c r="BH699" s="24"/>
    </row>
    <row r="700" spans="1:60">
      <c r="A700" s="7"/>
      <c r="B700" s="8"/>
      <c r="C700" s="9"/>
      <c r="D700" s="25"/>
      <c r="E700" s="25"/>
      <c r="F700" s="25"/>
      <c r="G700" s="25"/>
      <c r="H700" s="53"/>
      <c r="I700" s="53"/>
      <c r="J700" s="53"/>
      <c r="K700" s="24"/>
      <c r="L700" s="7"/>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4"/>
      <c r="AK700" s="24"/>
      <c r="AL700" s="24"/>
      <c r="AM700" s="24"/>
      <c r="AN700" s="24"/>
      <c r="AO700" s="24"/>
      <c r="AP700" s="24"/>
      <c r="AQ700" s="24"/>
      <c r="AR700" s="24"/>
      <c r="AS700" s="24"/>
      <c r="AT700" s="24"/>
      <c r="AU700" s="24"/>
      <c r="AV700" s="24"/>
      <c r="AW700" s="24"/>
      <c r="AX700" s="24"/>
      <c r="AY700" s="24"/>
      <c r="AZ700" s="24"/>
      <c r="BA700" s="24"/>
      <c r="BB700" s="24"/>
      <c r="BC700" s="24"/>
      <c r="BD700" s="24"/>
      <c r="BE700" s="24"/>
      <c r="BF700" s="24"/>
      <c r="BG700" s="24"/>
      <c r="BH700" s="24"/>
    </row>
    <row r="701" spans="1:60">
      <c r="A701" s="7"/>
      <c r="B701" s="8"/>
      <c r="C701" s="9"/>
      <c r="D701" s="25"/>
      <c r="E701" s="25"/>
      <c r="F701" s="25"/>
      <c r="G701" s="25"/>
      <c r="H701" s="53"/>
      <c r="I701" s="53"/>
      <c r="J701" s="53"/>
      <c r="K701" s="24"/>
      <c r="L701" s="7"/>
      <c r="M701" s="24"/>
      <c r="N701" s="24"/>
      <c r="O701" s="24"/>
      <c r="P701" s="24"/>
      <c r="Q701" s="24"/>
      <c r="R701" s="24"/>
      <c r="S701" s="24"/>
      <c r="T701" s="24"/>
      <c r="U701" s="24"/>
      <c r="V701" s="24"/>
      <c r="W701" s="24"/>
      <c r="X701" s="24"/>
      <c r="Y701" s="24"/>
      <c r="Z701" s="24"/>
      <c r="AA701" s="24"/>
      <c r="AB701" s="24"/>
      <c r="AC701" s="24"/>
      <c r="AD701" s="24"/>
      <c r="AE701" s="24"/>
      <c r="AF701" s="24"/>
      <c r="AG701" s="24"/>
      <c r="AH701" s="24"/>
      <c r="AI701" s="24"/>
      <c r="AJ701" s="24"/>
      <c r="AK701" s="24"/>
      <c r="AL701" s="24"/>
      <c r="AM701" s="24"/>
      <c r="AN701" s="24"/>
      <c r="AO701" s="24"/>
      <c r="AP701" s="24"/>
      <c r="AQ701" s="24"/>
      <c r="AR701" s="24"/>
      <c r="AS701" s="24"/>
      <c r="AT701" s="24"/>
      <c r="AU701" s="24"/>
      <c r="AV701" s="24"/>
      <c r="AW701" s="24"/>
      <c r="AX701" s="24"/>
      <c r="AY701" s="24"/>
      <c r="AZ701" s="24"/>
      <c r="BA701" s="24"/>
      <c r="BB701" s="24"/>
      <c r="BC701" s="24"/>
      <c r="BD701" s="24"/>
      <c r="BE701" s="24"/>
      <c r="BF701" s="24"/>
      <c r="BG701" s="24"/>
      <c r="BH701" s="24"/>
    </row>
    <row r="702" spans="1:60">
      <c r="A702" s="7"/>
      <c r="B702" s="8"/>
      <c r="C702" s="9"/>
      <c r="D702" s="25"/>
      <c r="E702" s="25"/>
      <c r="F702" s="25"/>
      <c r="G702" s="25"/>
      <c r="H702" s="53"/>
      <c r="I702" s="53"/>
      <c r="J702" s="53"/>
      <c r="K702" s="24"/>
      <c r="L702" s="7"/>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24"/>
      <c r="BH702" s="24"/>
    </row>
    <row r="703" spans="1:60">
      <c r="A703" s="7"/>
      <c r="B703" s="8"/>
      <c r="C703" s="9"/>
      <c r="D703" s="25"/>
      <c r="E703" s="25"/>
      <c r="F703" s="25"/>
      <c r="G703" s="25"/>
      <c r="H703" s="53"/>
      <c r="I703" s="53"/>
      <c r="J703" s="53"/>
      <c r="K703" s="24"/>
      <c r="L703" s="7"/>
      <c r="M703" s="24"/>
      <c r="N703" s="24"/>
      <c r="O703" s="24"/>
      <c r="P703" s="24"/>
      <c r="Q703" s="24"/>
      <c r="R703" s="24"/>
      <c r="S703" s="24"/>
      <c r="T703" s="24"/>
      <c r="U703" s="24"/>
      <c r="V703" s="24"/>
      <c r="W703" s="24"/>
      <c r="X703" s="24"/>
      <c r="Y703" s="24"/>
      <c r="Z703" s="24"/>
      <c r="AA703" s="24"/>
      <c r="AB703" s="24"/>
      <c r="AC703" s="24"/>
      <c r="AD703" s="24"/>
      <c r="AE703" s="24"/>
      <c r="AF703" s="24"/>
      <c r="AG703" s="24"/>
      <c r="AH703" s="24"/>
      <c r="AI703" s="24"/>
      <c r="AJ703" s="24"/>
      <c r="AK703" s="24"/>
      <c r="AL703" s="24"/>
      <c r="AM703" s="24"/>
      <c r="AN703" s="24"/>
      <c r="AO703" s="24"/>
      <c r="AP703" s="24"/>
      <c r="AQ703" s="24"/>
      <c r="AR703" s="24"/>
      <c r="AS703" s="24"/>
      <c r="AT703" s="24"/>
      <c r="AU703" s="24"/>
      <c r="AV703" s="24"/>
      <c r="AW703" s="24"/>
      <c r="AX703" s="24"/>
      <c r="AY703" s="24"/>
      <c r="AZ703" s="24"/>
      <c r="BA703" s="24"/>
      <c r="BB703" s="24"/>
      <c r="BC703" s="24"/>
      <c r="BD703" s="24"/>
      <c r="BE703" s="24"/>
      <c r="BF703" s="24"/>
      <c r="BG703" s="24"/>
      <c r="BH703" s="24"/>
    </row>
    <row r="704" spans="1:60">
      <c r="A704" s="7"/>
      <c r="B704" s="8"/>
      <c r="C704" s="9"/>
      <c r="D704" s="25"/>
      <c r="E704" s="25"/>
      <c r="F704" s="25"/>
      <c r="G704" s="25"/>
      <c r="H704" s="53"/>
      <c r="I704" s="53"/>
      <c r="J704" s="53"/>
      <c r="K704" s="24"/>
      <c r="L704" s="7"/>
      <c r="M704" s="24"/>
      <c r="N704" s="24"/>
      <c r="O704" s="24"/>
      <c r="P704" s="24"/>
      <c r="Q704" s="24"/>
      <c r="R704" s="24"/>
      <c r="S704" s="24"/>
      <c r="T704" s="24"/>
      <c r="U704" s="24"/>
      <c r="V704" s="24"/>
      <c r="W704" s="24"/>
      <c r="X704" s="24"/>
      <c r="Y704" s="24"/>
      <c r="Z704" s="24"/>
      <c r="AA704" s="24"/>
      <c r="AB704" s="24"/>
      <c r="AC704" s="24"/>
      <c r="AD704" s="24"/>
      <c r="AE704" s="24"/>
      <c r="AF704" s="24"/>
      <c r="AG704" s="24"/>
      <c r="AH704" s="24"/>
      <c r="AI704" s="24"/>
      <c r="AJ704" s="24"/>
      <c r="AK704" s="24"/>
      <c r="AL704" s="24"/>
      <c r="AM704" s="24"/>
      <c r="AN704" s="24"/>
      <c r="AO704" s="24"/>
      <c r="AP704" s="24"/>
      <c r="AQ704" s="24"/>
      <c r="AR704" s="24"/>
      <c r="AS704" s="24"/>
      <c r="AT704" s="24"/>
      <c r="AU704" s="24"/>
      <c r="AV704" s="24"/>
      <c r="AW704" s="24"/>
      <c r="AX704" s="24"/>
      <c r="AY704" s="24"/>
      <c r="AZ704" s="24"/>
      <c r="BA704" s="24"/>
      <c r="BB704" s="24"/>
      <c r="BC704" s="24"/>
      <c r="BD704" s="24"/>
      <c r="BE704" s="24"/>
      <c r="BF704" s="24"/>
      <c r="BG704" s="24"/>
      <c r="BH704" s="24"/>
    </row>
    <row r="705" spans="1:60">
      <c r="A705" s="7"/>
      <c r="B705" s="8"/>
      <c r="C705" s="9"/>
      <c r="D705" s="25"/>
      <c r="E705" s="25"/>
      <c r="F705" s="25"/>
      <c r="G705" s="25"/>
      <c r="H705" s="53"/>
      <c r="I705" s="53"/>
      <c r="J705" s="53"/>
      <c r="K705" s="24"/>
      <c r="L705" s="7"/>
      <c r="M705" s="24"/>
      <c r="N705" s="24"/>
      <c r="O705" s="24"/>
      <c r="P705" s="24"/>
      <c r="Q705" s="24"/>
      <c r="R705" s="24"/>
      <c r="S705" s="24"/>
      <c r="T705" s="24"/>
      <c r="U705" s="24"/>
      <c r="V705" s="24"/>
      <c r="W705" s="24"/>
      <c r="X705" s="24"/>
      <c r="Y705" s="24"/>
      <c r="Z705" s="24"/>
      <c r="AA705" s="24"/>
      <c r="AB705" s="24"/>
      <c r="AC705" s="24"/>
      <c r="AD705" s="24"/>
      <c r="AE705" s="24"/>
      <c r="AF705" s="24"/>
      <c r="AG705" s="24"/>
      <c r="AH705" s="24"/>
      <c r="AI705" s="24"/>
      <c r="AJ705" s="24"/>
      <c r="AK705" s="24"/>
      <c r="AL705" s="24"/>
      <c r="AM705" s="24"/>
      <c r="AN705" s="24"/>
      <c r="AO705" s="24"/>
      <c r="AP705" s="24"/>
      <c r="AQ705" s="24"/>
      <c r="AR705" s="24"/>
      <c r="AS705" s="24"/>
      <c r="AT705" s="24"/>
      <c r="AU705" s="24"/>
      <c r="AV705" s="24"/>
      <c r="AW705" s="24"/>
      <c r="AX705" s="24"/>
      <c r="AY705" s="24"/>
      <c r="AZ705" s="24"/>
      <c r="BA705" s="24"/>
      <c r="BB705" s="24"/>
      <c r="BC705" s="24"/>
      <c r="BD705" s="24"/>
      <c r="BE705" s="24"/>
      <c r="BF705" s="24"/>
      <c r="BG705" s="24"/>
      <c r="BH705" s="24"/>
    </row>
    <row r="706" spans="1:60">
      <c r="A706" s="7"/>
      <c r="B706" s="8"/>
      <c r="C706" s="9"/>
      <c r="D706" s="25"/>
      <c r="E706" s="25"/>
      <c r="F706" s="25"/>
      <c r="G706" s="25"/>
      <c r="H706" s="53"/>
      <c r="I706" s="53"/>
      <c r="J706" s="53"/>
      <c r="K706" s="24"/>
      <c r="L706" s="7"/>
      <c r="M706" s="24"/>
      <c r="N706" s="24"/>
      <c r="O706" s="24"/>
      <c r="P706" s="24"/>
      <c r="Q706" s="24"/>
      <c r="R706" s="24"/>
      <c r="S706" s="24"/>
      <c r="T706" s="24"/>
      <c r="U706" s="24"/>
      <c r="V706" s="24"/>
      <c r="W706" s="24"/>
      <c r="X706" s="24"/>
      <c r="Y706" s="24"/>
      <c r="Z706" s="24"/>
      <c r="AA706" s="24"/>
      <c r="AB706" s="24"/>
      <c r="AC706" s="24"/>
      <c r="AD706" s="24"/>
      <c r="AE706" s="24"/>
      <c r="AF706" s="24"/>
      <c r="AG706" s="24"/>
      <c r="AH706" s="24"/>
      <c r="AI706" s="24"/>
      <c r="AJ706" s="24"/>
      <c r="AK706" s="24"/>
      <c r="AL706" s="24"/>
      <c r="AM706" s="24"/>
      <c r="AN706" s="24"/>
      <c r="AO706" s="24"/>
      <c r="AP706" s="24"/>
      <c r="AQ706" s="24"/>
      <c r="AR706" s="24"/>
      <c r="AS706" s="24"/>
      <c r="AT706" s="24"/>
      <c r="AU706" s="24"/>
      <c r="AV706" s="24"/>
      <c r="AW706" s="24"/>
      <c r="AX706" s="24"/>
      <c r="AY706" s="24"/>
      <c r="AZ706" s="24"/>
      <c r="BA706" s="24"/>
      <c r="BB706" s="24"/>
      <c r="BC706" s="24"/>
      <c r="BD706" s="24"/>
      <c r="BE706" s="24"/>
      <c r="BF706" s="24"/>
      <c r="BG706" s="24"/>
      <c r="BH706" s="24"/>
    </row>
    <row r="707" spans="1:60">
      <c r="A707" s="7"/>
      <c r="B707" s="8"/>
      <c r="C707" s="9"/>
      <c r="D707" s="25"/>
      <c r="E707" s="25"/>
      <c r="F707" s="25"/>
      <c r="G707" s="25"/>
      <c r="H707" s="53"/>
      <c r="I707" s="53"/>
      <c r="J707" s="53"/>
      <c r="K707" s="24"/>
      <c r="L707" s="7"/>
      <c r="M707" s="24"/>
      <c r="N707" s="24"/>
      <c r="O707" s="24"/>
      <c r="P707" s="24"/>
      <c r="Q707" s="24"/>
      <c r="R707" s="24"/>
      <c r="S707" s="24"/>
      <c r="T707" s="24"/>
      <c r="U707" s="24"/>
      <c r="V707" s="24"/>
      <c r="W707" s="24"/>
      <c r="X707" s="24"/>
      <c r="Y707" s="24"/>
      <c r="Z707" s="24"/>
      <c r="AA707" s="24"/>
      <c r="AB707" s="24"/>
      <c r="AC707" s="24"/>
      <c r="AD707" s="24"/>
      <c r="AE707" s="24"/>
      <c r="AF707" s="24"/>
      <c r="AG707" s="24"/>
      <c r="AH707" s="24"/>
      <c r="AI707" s="24"/>
      <c r="AJ707" s="24"/>
      <c r="AK707" s="24"/>
      <c r="AL707" s="24"/>
      <c r="AM707" s="24"/>
      <c r="AN707" s="24"/>
      <c r="AO707" s="24"/>
      <c r="AP707" s="24"/>
      <c r="AQ707" s="24"/>
      <c r="AR707" s="24"/>
      <c r="AS707" s="24"/>
      <c r="AT707" s="24"/>
      <c r="AU707" s="24"/>
      <c r="AV707" s="24"/>
      <c r="AW707" s="24"/>
      <c r="AX707" s="24"/>
      <c r="AY707" s="24"/>
      <c r="AZ707" s="24"/>
      <c r="BA707" s="24"/>
      <c r="BB707" s="24"/>
      <c r="BC707" s="24"/>
      <c r="BD707" s="24"/>
      <c r="BE707" s="24"/>
      <c r="BF707" s="24"/>
      <c r="BG707" s="24"/>
      <c r="BH707" s="24"/>
    </row>
    <row r="708" spans="1:60">
      <c r="A708" s="7"/>
      <c r="B708" s="8"/>
      <c r="C708" s="9"/>
      <c r="D708" s="25"/>
      <c r="E708" s="25"/>
      <c r="F708" s="25"/>
      <c r="G708" s="25"/>
      <c r="H708" s="53"/>
      <c r="I708" s="53"/>
      <c r="J708" s="53"/>
      <c r="K708" s="24"/>
      <c r="L708" s="7"/>
      <c r="M708" s="24"/>
      <c r="N708" s="24"/>
      <c r="O708" s="24"/>
      <c r="P708" s="24"/>
      <c r="Q708" s="24"/>
      <c r="R708" s="24"/>
      <c r="S708" s="24"/>
      <c r="T708" s="24"/>
      <c r="U708" s="24"/>
      <c r="V708" s="24"/>
      <c r="W708" s="24"/>
      <c r="X708" s="24"/>
      <c r="Y708" s="24"/>
      <c r="Z708" s="24"/>
      <c r="AA708" s="24"/>
      <c r="AB708" s="24"/>
      <c r="AC708" s="24"/>
      <c r="AD708" s="24"/>
      <c r="AE708" s="24"/>
      <c r="AF708" s="24"/>
      <c r="AG708" s="24"/>
      <c r="AH708" s="24"/>
      <c r="AI708" s="24"/>
      <c r="AJ708" s="24"/>
      <c r="AK708" s="24"/>
      <c r="AL708" s="24"/>
      <c r="AM708" s="24"/>
      <c r="AN708" s="24"/>
      <c r="AO708" s="24"/>
      <c r="AP708" s="24"/>
      <c r="AQ708" s="24"/>
      <c r="AR708" s="24"/>
      <c r="AS708" s="24"/>
      <c r="AT708" s="24"/>
      <c r="AU708" s="24"/>
      <c r="AV708" s="24"/>
      <c r="AW708" s="24"/>
      <c r="AX708" s="24"/>
      <c r="AY708" s="24"/>
      <c r="AZ708" s="24"/>
      <c r="BA708" s="24"/>
      <c r="BB708" s="24"/>
      <c r="BC708" s="24"/>
      <c r="BD708" s="24"/>
      <c r="BE708" s="24"/>
      <c r="BF708" s="24"/>
      <c r="BG708" s="24"/>
      <c r="BH708" s="24"/>
    </row>
    <row r="709" spans="1:60">
      <c r="A709" s="7"/>
      <c r="B709" s="8"/>
      <c r="C709" s="9"/>
      <c r="D709" s="25"/>
      <c r="E709" s="25"/>
      <c r="F709" s="25"/>
      <c r="G709" s="25"/>
      <c r="H709" s="53"/>
      <c r="I709" s="53"/>
      <c r="J709" s="53"/>
      <c r="K709" s="24"/>
      <c r="L709" s="7"/>
      <c r="M709" s="24"/>
      <c r="N709" s="24"/>
      <c r="O709" s="24"/>
      <c r="P709" s="24"/>
      <c r="Q709" s="24"/>
      <c r="R709" s="24"/>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row>
    <row r="710" spans="1:60">
      <c r="A710" s="7"/>
      <c r="B710" s="8"/>
      <c r="C710" s="9"/>
      <c r="D710" s="25"/>
      <c r="E710" s="25"/>
      <c r="F710" s="25"/>
      <c r="G710" s="25"/>
      <c r="H710" s="53"/>
      <c r="I710" s="53"/>
      <c r="J710" s="53"/>
      <c r="K710" s="24"/>
      <c r="L710" s="7"/>
      <c r="M710" s="24"/>
      <c r="N710" s="24"/>
      <c r="O710" s="24"/>
      <c r="P710" s="24"/>
      <c r="Q710" s="24"/>
      <c r="R710" s="24"/>
      <c r="S710" s="24"/>
      <c r="T710" s="24"/>
      <c r="U710" s="24"/>
      <c r="V710" s="24"/>
      <c r="W710" s="24"/>
      <c r="X710" s="24"/>
      <c r="Y710" s="24"/>
      <c r="Z710" s="24"/>
      <c r="AA710" s="24"/>
      <c r="AB710" s="24"/>
      <c r="AC710" s="24"/>
      <c r="AD710" s="24"/>
      <c r="AE710" s="24"/>
      <c r="AF710" s="24"/>
      <c r="AG710" s="24"/>
      <c r="AH710" s="24"/>
      <c r="AI710" s="24"/>
      <c r="AJ710" s="24"/>
      <c r="AK710" s="24"/>
      <c r="AL710" s="24"/>
      <c r="AM710" s="24"/>
      <c r="AN710" s="24"/>
      <c r="AO710" s="24"/>
      <c r="AP710" s="24"/>
      <c r="AQ710" s="24"/>
      <c r="AR710" s="24"/>
      <c r="AS710" s="24"/>
      <c r="AT710" s="24"/>
      <c r="AU710" s="24"/>
      <c r="AV710" s="24"/>
      <c r="AW710" s="24"/>
      <c r="AX710" s="24"/>
      <c r="AY710" s="24"/>
      <c r="AZ710" s="24"/>
      <c r="BA710" s="24"/>
      <c r="BB710" s="24"/>
      <c r="BC710" s="24"/>
      <c r="BD710" s="24"/>
      <c r="BE710" s="24"/>
      <c r="BF710" s="24"/>
      <c r="BG710" s="24"/>
      <c r="BH710" s="24"/>
    </row>
    <row r="711" spans="1:60">
      <c r="A711" s="7"/>
      <c r="B711" s="8"/>
      <c r="C711" s="9"/>
      <c r="D711" s="25"/>
      <c r="E711" s="25"/>
      <c r="F711" s="25"/>
      <c r="G711" s="25"/>
      <c r="H711" s="53"/>
      <c r="I711" s="53"/>
      <c r="J711" s="53"/>
      <c r="K711" s="24"/>
      <c r="L711" s="7"/>
      <c r="M711" s="24"/>
      <c r="N711" s="24"/>
      <c r="O711" s="24"/>
      <c r="P711" s="24"/>
      <c r="Q711" s="24"/>
      <c r="R711" s="24"/>
      <c r="S711" s="24"/>
      <c r="T711" s="24"/>
      <c r="U711" s="24"/>
      <c r="V711" s="24"/>
      <c r="W711" s="24"/>
      <c r="X711" s="24"/>
      <c r="Y711" s="24"/>
      <c r="Z711" s="24"/>
      <c r="AA711" s="24"/>
      <c r="AB711" s="24"/>
      <c r="AC711" s="24"/>
      <c r="AD711" s="24"/>
      <c r="AE711" s="24"/>
      <c r="AF711" s="24"/>
      <c r="AG711" s="24"/>
      <c r="AH711" s="24"/>
      <c r="AI711" s="24"/>
      <c r="AJ711" s="24"/>
      <c r="AK711" s="24"/>
      <c r="AL711" s="24"/>
      <c r="AM711" s="24"/>
      <c r="AN711" s="24"/>
      <c r="AO711" s="24"/>
      <c r="AP711" s="24"/>
      <c r="AQ711" s="24"/>
      <c r="AR711" s="24"/>
      <c r="AS711" s="24"/>
      <c r="AT711" s="24"/>
      <c r="AU711" s="24"/>
      <c r="AV711" s="24"/>
      <c r="AW711" s="24"/>
      <c r="AX711" s="24"/>
      <c r="AY711" s="24"/>
      <c r="AZ711" s="24"/>
      <c r="BA711" s="24"/>
      <c r="BB711" s="24"/>
      <c r="BC711" s="24"/>
      <c r="BD711" s="24"/>
      <c r="BE711" s="24"/>
      <c r="BF711" s="24"/>
      <c r="BG711" s="24"/>
      <c r="BH711" s="24"/>
    </row>
    <row r="712" spans="1:60">
      <c r="A712" s="7"/>
      <c r="B712" s="8"/>
      <c r="C712" s="9"/>
      <c r="D712" s="25"/>
      <c r="E712" s="25"/>
      <c r="F712" s="25"/>
      <c r="G712" s="25"/>
      <c r="H712" s="53"/>
      <c r="I712" s="53"/>
      <c r="J712" s="53"/>
      <c r="K712" s="24"/>
      <c r="L712" s="7"/>
      <c r="M712" s="24"/>
      <c r="N712" s="24"/>
      <c r="O712" s="24"/>
      <c r="P712" s="24"/>
      <c r="Q712" s="24"/>
      <c r="R712" s="24"/>
      <c r="S712" s="24"/>
      <c r="T712" s="24"/>
      <c r="U712" s="24"/>
      <c r="V712" s="24"/>
      <c r="W712" s="24"/>
      <c r="X712" s="24"/>
      <c r="Y712" s="24"/>
      <c r="Z712" s="24"/>
      <c r="AA712" s="24"/>
      <c r="AB712" s="24"/>
      <c r="AC712" s="24"/>
      <c r="AD712" s="24"/>
      <c r="AE712" s="24"/>
      <c r="AF712" s="24"/>
      <c r="AG712" s="24"/>
      <c r="AH712" s="24"/>
      <c r="AI712" s="24"/>
      <c r="AJ712" s="24"/>
      <c r="AK712" s="24"/>
      <c r="AL712" s="24"/>
      <c r="AM712" s="24"/>
      <c r="AN712" s="24"/>
      <c r="AO712" s="24"/>
      <c r="AP712" s="24"/>
      <c r="AQ712" s="24"/>
      <c r="AR712" s="24"/>
      <c r="AS712" s="24"/>
      <c r="AT712" s="24"/>
      <c r="AU712" s="24"/>
      <c r="AV712" s="24"/>
      <c r="AW712" s="24"/>
      <c r="AX712" s="24"/>
      <c r="AY712" s="24"/>
      <c r="AZ712" s="24"/>
      <c r="BA712" s="24"/>
      <c r="BB712" s="24"/>
      <c r="BC712" s="24"/>
      <c r="BD712" s="24"/>
      <c r="BE712" s="24"/>
      <c r="BF712" s="24"/>
      <c r="BG712" s="24"/>
      <c r="BH712" s="24"/>
    </row>
    <row r="713" spans="1:60">
      <c r="A713" s="7"/>
      <c r="B713" s="8"/>
      <c r="C713" s="9"/>
      <c r="D713" s="25"/>
      <c r="E713" s="25"/>
      <c r="F713" s="25"/>
      <c r="G713" s="25"/>
      <c r="H713" s="53"/>
      <c r="I713" s="53"/>
      <c r="J713" s="53"/>
      <c r="K713" s="24"/>
      <c r="L713" s="7"/>
      <c r="M713" s="24"/>
      <c r="N713" s="24"/>
      <c r="O713" s="24"/>
      <c r="P713" s="24"/>
      <c r="Q713" s="24"/>
      <c r="R713" s="24"/>
      <c r="S713" s="24"/>
      <c r="T713" s="24"/>
      <c r="U713" s="24"/>
      <c r="V713" s="24"/>
      <c r="W713" s="24"/>
      <c r="X713" s="24"/>
      <c r="Y713" s="24"/>
      <c r="Z713" s="24"/>
      <c r="AA713" s="24"/>
      <c r="AB713" s="24"/>
      <c r="AC713" s="24"/>
      <c r="AD713" s="24"/>
      <c r="AE713" s="24"/>
      <c r="AF713" s="24"/>
      <c r="AG713" s="24"/>
      <c r="AH713" s="24"/>
      <c r="AI713" s="24"/>
      <c r="AJ713" s="24"/>
      <c r="AK713" s="24"/>
      <c r="AL713" s="24"/>
      <c r="AM713" s="24"/>
      <c r="AN713" s="24"/>
      <c r="AO713" s="24"/>
      <c r="AP713" s="24"/>
      <c r="AQ713" s="24"/>
      <c r="AR713" s="24"/>
      <c r="AS713" s="24"/>
      <c r="AT713" s="24"/>
      <c r="AU713" s="24"/>
      <c r="AV713" s="24"/>
      <c r="AW713" s="24"/>
      <c r="AX713" s="24"/>
      <c r="AY713" s="24"/>
      <c r="AZ713" s="24"/>
      <c r="BA713" s="24"/>
      <c r="BB713" s="24"/>
      <c r="BC713" s="24"/>
      <c r="BD713" s="24"/>
      <c r="BE713" s="24"/>
      <c r="BF713" s="24"/>
      <c r="BG713" s="24"/>
      <c r="BH713" s="24"/>
    </row>
    <row r="714" spans="1:60">
      <c r="A714" s="7"/>
      <c r="B714" s="8"/>
      <c r="C714" s="9"/>
      <c r="D714" s="25"/>
      <c r="E714" s="25"/>
      <c r="F714" s="25"/>
      <c r="G714" s="25"/>
      <c r="H714" s="53"/>
      <c r="I714" s="53"/>
      <c r="J714" s="53"/>
      <c r="K714" s="24"/>
      <c r="L714" s="7"/>
      <c r="M714" s="24"/>
      <c r="N714" s="24"/>
      <c r="O714" s="24"/>
      <c r="P714" s="24"/>
      <c r="Q714" s="24"/>
      <c r="R714" s="24"/>
      <c r="S714" s="24"/>
      <c r="T714" s="24"/>
      <c r="U714" s="24"/>
      <c r="V714" s="24"/>
      <c r="W714" s="24"/>
      <c r="X714" s="24"/>
      <c r="Y714" s="24"/>
      <c r="Z714" s="24"/>
      <c r="AA714" s="24"/>
      <c r="AB714" s="24"/>
      <c r="AC714" s="24"/>
      <c r="AD714" s="24"/>
      <c r="AE714" s="24"/>
      <c r="AF714" s="24"/>
      <c r="AG714" s="24"/>
      <c r="AH714" s="24"/>
      <c r="AI714" s="24"/>
      <c r="AJ714" s="24"/>
      <c r="AK714" s="24"/>
      <c r="AL714" s="24"/>
      <c r="AM714" s="24"/>
      <c r="AN714" s="24"/>
      <c r="AO714" s="24"/>
      <c r="AP714" s="24"/>
      <c r="AQ714" s="24"/>
      <c r="AR714" s="24"/>
      <c r="AS714" s="24"/>
      <c r="AT714" s="24"/>
      <c r="AU714" s="24"/>
      <c r="AV714" s="24"/>
      <c r="AW714" s="24"/>
      <c r="AX714" s="24"/>
      <c r="AY714" s="24"/>
      <c r="AZ714" s="24"/>
      <c r="BA714" s="24"/>
      <c r="BB714" s="24"/>
      <c r="BC714" s="24"/>
      <c r="BD714" s="24"/>
      <c r="BE714" s="24"/>
      <c r="BF714" s="24"/>
      <c r="BG714" s="24"/>
      <c r="BH714" s="24"/>
    </row>
    <row r="715" spans="1:60">
      <c r="A715" s="7"/>
      <c r="B715" s="8"/>
      <c r="C715" s="9"/>
      <c r="D715" s="25"/>
      <c r="E715" s="25"/>
      <c r="F715" s="25"/>
      <c r="G715" s="25"/>
      <c r="H715" s="53"/>
      <c r="I715" s="53"/>
      <c r="J715" s="53"/>
      <c r="K715" s="24"/>
      <c r="L715" s="7"/>
      <c r="M715" s="24"/>
      <c r="N715" s="24"/>
      <c r="O715" s="24"/>
      <c r="P715" s="24"/>
      <c r="Q715" s="24"/>
      <c r="R715" s="24"/>
      <c r="S715" s="24"/>
      <c r="T715" s="24"/>
      <c r="U715" s="24"/>
      <c r="V715" s="24"/>
      <c r="W715" s="24"/>
      <c r="X715" s="24"/>
      <c r="Y715" s="24"/>
      <c r="Z715" s="24"/>
      <c r="AA715" s="24"/>
      <c r="AB715" s="24"/>
      <c r="AC715" s="24"/>
      <c r="AD715" s="24"/>
      <c r="AE715" s="24"/>
      <c r="AF715" s="24"/>
      <c r="AG715" s="24"/>
      <c r="AH715" s="24"/>
      <c r="AI715" s="24"/>
      <c r="AJ715" s="24"/>
      <c r="AK715" s="24"/>
      <c r="AL715" s="24"/>
      <c r="AM715" s="24"/>
      <c r="AN715" s="24"/>
      <c r="AO715" s="24"/>
      <c r="AP715" s="24"/>
      <c r="AQ715" s="24"/>
      <c r="AR715" s="24"/>
      <c r="AS715" s="24"/>
      <c r="AT715" s="24"/>
      <c r="AU715" s="24"/>
      <c r="AV715" s="24"/>
      <c r="AW715" s="24"/>
      <c r="AX715" s="24"/>
      <c r="AY715" s="24"/>
      <c r="AZ715" s="24"/>
      <c r="BA715" s="24"/>
      <c r="BB715" s="24"/>
      <c r="BC715" s="24"/>
      <c r="BD715" s="24"/>
      <c r="BE715" s="24"/>
      <c r="BF715" s="24"/>
      <c r="BG715" s="24"/>
      <c r="BH715" s="24"/>
    </row>
    <row r="716" spans="1:60">
      <c r="A716" s="7"/>
      <c r="B716" s="8"/>
      <c r="C716" s="9"/>
      <c r="D716" s="25"/>
      <c r="E716" s="25"/>
      <c r="F716" s="25"/>
      <c r="G716" s="25"/>
      <c r="H716" s="53"/>
      <c r="I716" s="53"/>
      <c r="J716" s="53"/>
      <c r="K716" s="24"/>
      <c r="L716" s="7"/>
      <c r="M716" s="24"/>
      <c r="N716" s="24"/>
      <c r="O716" s="24"/>
      <c r="P716" s="24"/>
      <c r="Q716" s="24"/>
      <c r="R716" s="24"/>
      <c r="S716" s="24"/>
      <c r="T716" s="24"/>
      <c r="U716" s="24"/>
      <c r="V716" s="24"/>
      <c r="W716" s="24"/>
      <c r="X716" s="24"/>
      <c r="Y716" s="24"/>
      <c r="Z716" s="24"/>
      <c r="AA716" s="24"/>
      <c r="AB716" s="24"/>
      <c r="AC716" s="24"/>
      <c r="AD716" s="24"/>
      <c r="AE716" s="24"/>
      <c r="AF716" s="24"/>
      <c r="AG716" s="24"/>
      <c r="AH716" s="24"/>
      <c r="AI716" s="24"/>
      <c r="AJ716" s="24"/>
      <c r="AK716" s="24"/>
      <c r="AL716" s="24"/>
      <c r="AM716" s="24"/>
      <c r="AN716" s="24"/>
      <c r="AO716" s="24"/>
      <c r="AP716" s="24"/>
      <c r="AQ716" s="24"/>
      <c r="AR716" s="24"/>
      <c r="AS716" s="24"/>
      <c r="AT716" s="24"/>
      <c r="AU716" s="24"/>
      <c r="AV716" s="24"/>
      <c r="AW716" s="24"/>
      <c r="AX716" s="24"/>
      <c r="AY716" s="24"/>
      <c r="AZ716" s="24"/>
      <c r="BA716" s="24"/>
      <c r="BB716" s="24"/>
      <c r="BC716" s="24"/>
      <c r="BD716" s="24"/>
      <c r="BE716" s="24"/>
      <c r="BF716" s="24"/>
      <c r="BG716" s="24"/>
      <c r="BH716" s="24"/>
    </row>
    <row r="717" spans="1:60">
      <c r="A717" s="7"/>
      <c r="B717" s="8"/>
      <c r="C717" s="9"/>
      <c r="D717" s="25"/>
      <c r="E717" s="25"/>
      <c r="F717" s="25"/>
      <c r="G717" s="25"/>
      <c r="H717" s="53"/>
      <c r="I717" s="53"/>
      <c r="J717" s="53"/>
      <c r="K717" s="24"/>
      <c r="L717" s="7"/>
      <c r="M717" s="24"/>
      <c r="N717" s="24"/>
      <c r="O717" s="24"/>
      <c r="P717" s="24"/>
      <c r="Q717" s="24"/>
      <c r="R717" s="24"/>
      <c r="S717" s="24"/>
      <c r="T717" s="24"/>
      <c r="U717" s="24"/>
      <c r="V717" s="24"/>
      <c r="W717" s="24"/>
      <c r="X717" s="24"/>
      <c r="Y717" s="24"/>
      <c r="Z717" s="24"/>
      <c r="AA717" s="24"/>
      <c r="AB717" s="24"/>
      <c r="AC717" s="24"/>
      <c r="AD717" s="24"/>
      <c r="AE717" s="24"/>
      <c r="AF717" s="24"/>
      <c r="AG717" s="24"/>
      <c r="AH717" s="24"/>
      <c r="AI717" s="24"/>
      <c r="AJ717" s="24"/>
      <c r="AK717" s="24"/>
      <c r="AL717" s="24"/>
      <c r="AM717" s="24"/>
      <c r="AN717" s="24"/>
      <c r="AO717" s="24"/>
      <c r="AP717" s="24"/>
      <c r="AQ717" s="24"/>
      <c r="AR717" s="24"/>
      <c r="AS717" s="24"/>
      <c r="AT717" s="24"/>
      <c r="AU717" s="24"/>
      <c r="AV717" s="24"/>
      <c r="AW717" s="24"/>
      <c r="AX717" s="24"/>
      <c r="AY717" s="24"/>
      <c r="AZ717" s="24"/>
      <c r="BA717" s="24"/>
      <c r="BB717" s="24"/>
      <c r="BC717" s="24"/>
      <c r="BD717" s="24"/>
      <c r="BE717" s="24"/>
      <c r="BF717" s="24"/>
      <c r="BG717" s="24"/>
      <c r="BH717" s="24"/>
    </row>
    <row r="718" spans="1:60">
      <c r="A718" s="7"/>
      <c r="B718" s="8"/>
      <c r="C718" s="9"/>
      <c r="D718" s="25"/>
      <c r="E718" s="25"/>
      <c r="F718" s="25"/>
      <c r="G718" s="25"/>
      <c r="H718" s="53"/>
      <c r="I718" s="53"/>
      <c r="J718" s="53"/>
      <c r="K718" s="24"/>
      <c r="L718" s="7"/>
      <c r="M718" s="24"/>
      <c r="N718" s="24"/>
      <c r="O718" s="24"/>
      <c r="P718" s="24"/>
      <c r="Q718" s="24"/>
      <c r="R718" s="24"/>
      <c r="S718" s="24"/>
      <c r="T718" s="24"/>
      <c r="U718" s="24"/>
      <c r="V718" s="24"/>
      <c r="W718" s="24"/>
      <c r="X718" s="24"/>
      <c r="Y718" s="24"/>
      <c r="Z718" s="24"/>
      <c r="AA718" s="24"/>
      <c r="AB718" s="24"/>
      <c r="AC718" s="24"/>
      <c r="AD718" s="24"/>
      <c r="AE718" s="24"/>
      <c r="AF718" s="24"/>
      <c r="AG718" s="24"/>
      <c r="AH718" s="24"/>
      <c r="AI718" s="24"/>
      <c r="AJ718" s="24"/>
      <c r="AK718" s="24"/>
      <c r="AL718" s="24"/>
      <c r="AM718" s="24"/>
      <c r="AN718" s="24"/>
      <c r="AO718" s="24"/>
      <c r="AP718" s="24"/>
      <c r="AQ718" s="24"/>
      <c r="AR718" s="24"/>
      <c r="AS718" s="24"/>
      <c r="AT718" s="24"/>
      <c r="AU718" s="24"/>
      <c r="AV718" s="24"/>
      <c r="AW718" s="24"/>
      <c r="AX718" s="24"/>
      <c r="AY718" s="24"/>
      <c r="AZ718" s="24"/>
      <c r="BA718" s="24"/>
      <c r="BB718" s="24"/>
      <c r="BC718" s="24"/>
      <c r="BD718" s="24"/>
      <c r="BE718" s="24"/>
      <c r="BF718" s="24"/>
      <c r="BG718" s="24"/>
      <c r="BH718" s="24"/>
    </row>
    <row r="719" spans="1:60">
      <c r="A719" s="7"/>
      <c r="B719" s="8"/>
      <c r="C719" s="9"/>
      <c r="D719" s="25"/>
      <c r="E719" s="25"/>
      <c r="F719" s="25"/>
      <c r="G719" s="25"/>
      <c r="H719" s="53"/>
      <c r="I719" s="53"/>
      <c r="J719" s="53"/>
      <c r="K719" s="24"/>
      <c r="L719" s="7"/>
      <c r="M719" s="24"/>
      <c r="N719" s="24"/>
      <c r="O719" s="24"/>
      <c r="P719" s="24"/>
      <c r="Q719" s="24"/>
      <c r="R719" s="24"/>
      <c r="S719" s="24"/>
      <c r="T719" s="24"/>
      <c r="U719" s="24"/>
      <c r="V719" s="24"/>
      <c r="W719" s="24"/>
      <c r="X719" s="24"/>
      <c r="Y719" s="24"/>
      <c r="Z719" s="24"/>
      <c r="AA719" s="24"/>
      <c r="AB719" s="24"/>
      <c r="AC719" s="24"/>
      <c r="AD719" s="24"/>
      <c r="AE719" s="24"/>
      <c r="AF719" s="24"/>
      <c r="AG719" s="24"/>
      <c r="AH719" s="24"/>
      <c r="AI719" s="24"/>
      <c r="AJ719" s="24"/>
      <c r="AK719" s="24"/>
      <c r="AL719" s="24"/>
      <c r="AM719" s="24"/>
      <c r="AN719" s="24"/>
      <c r="AO719" s="24"/>
      <c r="AP719" s="24"/>
      <c r="AQ719" s="24"/>
      <c r="AR719" s="24"/>
      <c r="AS719" s="24"/>
      <c r="AT719" s="24"/>
      <c r="AU719" s="24"/>
      <c r="AV719" s="24"/>
      <c r="AW719" s="24"/>
      <c r="AX719" s="24"/>
      <c r="AY719" s="24"/>
      <c r="AZ719" s="24"/>
      <c r="BA719" s="24"/>
      <c r="BB719" s="24"/>
      <c r="BC719" s="24"/>
      <c r="BD719" s="24"/>
      <c r="BE719" s="24"/>
      <c r="BF719" s="24"/>
      <c r="BG719" s="24"/>
      <c r="BH719" s="24"/>
    </row>
    <row r="720" spans="1:60">
      <c r="A720" s="7"/>
      <c r="B720" s="8"/>
      <c r="C720" s="9"/>
      <c r="D720" s="25"/>
      <c r="E720" s="25"/>
      <c r="F720" s="25"/>
      <c r="G720" s="25"/>
      <c r="H720" s="53"/>
      <c r="I720" s="53"/>
      <c r="J720" s="53"/>
      <c r="K720" s="24"/>
      <c r="L720" s="7"/>
      <c r="M720" s="24"/>
      <c r="N720" s="24"/>
      <c r="O720" s="24"/>
      <c r="P720" s="24"/>
      <c r="Q720" s="24"/>
      <c r="R720" s="24"/>
      <c r="S720" s="24"/>
      <c r="T720" s="24"/>
      <c r="U720" s="24"/>
      <c r="V720" s="24"/>
      <c r="W720" s="24"/>
      <c r="X720" s="24"/>
      <c r="Y720" s="24"/>
      <c r="Z720" s="24"/>
      <c r="AA720" s="24"/>
      <c r="AB720" s="24"/>
      <c r="AC720" s="24"/>
      <c r="AD720" s="24"/>
      <c r="AE720" s="24"/>
      <c r="AF720" s="24"/>
      <c r="AG720" s="24"/>
      <c r="AH720" s="24"/>
      <c r="AI720" s="24"/>
      <c r="AJ720" s="24"/>
      <c r="AK720" s="24"/>
      <c r="AL720" s="24"/>
      <c r="AM720" s="24"/>
      <c r="AN720" s="24"/>
      <c r="AO720" s="24"/>
      <c r="AP720" s="24"/>
      <c r="AQ720" s="24"/>
      <c r="AR720" s="24"/>
      <c r="AS720" s="24"/>
      <c r="AT720" s="24"/>
      <c r="AU720" s="24"/>
      <c r="AV720" s="24"/>
      <c r="AW720" s="24"/>
      <c r="AX720" s="24"/>
      <c r="AY720" s="24"/>
      <c r="AZ720" s="24"/>
      <c r="BA720" s="24"/>
      <c r="BB720" s="24"/>
      <c r="BC720" s="24"/>
      <c r="BD720" s="24"/>
      <c r="BE720" s="24"/>
      <c r="BF720" s="24"/>
      <c r="BG720" s="24"/>
      <c r="BH720" s="24"/>
    </row>
    <row r="721" spans="1:60">
      <c r="A721" s="7"/>
      <c r="B721" s="8"/>
      <c r="C721" s="9"/>
      <c r="D721" s="25"/>
      <c r="E721" s="25"/>
      <c r="F721" s="25"/>
      <c r="G721" s="25"/>
      <c r="H721" s="53"/>
      <c r="I721" s="53"/>
      <c r="J721" s="53"/>
      <c r="K721" s="24"/>
      <c r="L721" s="7"/>
      <c r="M721" s="24"/>
      <c r="N721" s="24"/>
      <c r="O721" s="24"/>
      <c r="P721" s="24"/>
      <c r="Q721" s="24"/>
      <c r="R721" s="24"/>
      <c r="S721" s="24"/>
      <c r="T721" s="24"/>
      <c r="U721" s="24"/>
      <c r="V721" s="24"/>
      <c r="W721" s="24"/>
      <c r="X721" s="24"/>
      <c r="Y721" s="24"/>
      <c r="Z721" s="24"/>
      <c r="AA721" s="24"/>
      <c r="AB721" s="24"/>
      <c r="AC721" s="24"/>
      <c r="AD721" s="24"/>
      <c r="AE721" s="24"/>
      <c r="AF721" s="24"/>
      <c r="AG721" s="24"/>
      <c r="AH721" s="24"/>
      <c r="AI721" s="24"/>
      <c r="AJ721" s="24"/>
      <c r="AK721" s="24"/>
      <c r="AL721" s="24"/>
      <c r="AM721" s="24"/>
      <c r="AN721" s="24"/>
      <c r="AO721" s="24"/>
      <c r="AP721" s="24"/>
      <c r="AQ721" s="24"/>
      <c r="AR721" s="24"/>
      <c r="AS721" s="24"/>
      <c r="AT721" s="24"/>
      <c r="AU721" s="24"/>
      <c r="AV721" s="24"/>
      <c r="AW721" s="24"/>
      <c r="AX721" s="24"/>
      <c r="AY721" s="24"/>
      <c r="AZ721" s="24"/>
      <c r="BA721" s="24"/>
      <c r="BB721" s="24"/>
      <c r="BC721" s="24"/>
      <c r="BD721" s="24"/>
      <c r="BE721" s="24"/>
      <c r="BF721" s="24"/>
      <c r="BG721" s="24"/>
      <c r="BH721" s="24"/>
    </row>
    <row r="722" spans="1:60">
      <c r="A722" s="7"/>
      <c r="B722" s="8"/>
      <c r="C722" s="9"/>
      <c r="D722" s="25"/>
      <c r="E722" s="25"/>
      <c r="F722" s="25"/>
      <c r="G722" s="25"/>
      <c r="H722" s="53"/>
      <c r="I722" s="53"/>
      <c r="J722" s="53"/>
      <c r="K722" s="24"/>
      <c r="L722" s="7"/>
      <c r="M722" s="24"/>
      <c r="N722" s="24"/>
      <c r="O722" s="24"/>
      <c r="P722" s="24"/>
      <c r="Q722" s="24"/>
      <c r="R722" s="24"/>
      <c r="S722" s="24"/>
      <c r="T722" s="24"/>
      <c r="U722" s="24"/>
      <c r="V722" s="24"/>
      <c r="W722" s="24"/>
      <c r="X722" s="24"/>
      <c r="Y722" s="24"/>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c r="BC722" s="24"/>
      <c r="BD722" s="24"/>
      <c r="BE722" s="24"/>
      <c r="BF722" s="24"/>
      <c r="BG722" s="24"/>
      <c r="BH722" s="24"/>
    </row>
    <row r="723" spans="1:60">
      <c r="A723" s="7"/>
      <c r="B723" s="8"/>
      <c r="C723" s="9"/>
      <c r="D723" s="25"/>
      <c r="E723" s="25"/>
      <c r="F723" s="25"/>
      <c r="G723" s="25"/>
      <c r="H723" s="53"/>
      <c r="I723" s="53"/>
      <c r="J723" s="53"/>
      <c r="K723" s="24"/>
      <c r="L723" s="7"/>
      <c r="M723" s="24"/>
      <c r="N723" s="24"/>
      <c r="O723" s="24"/>
      <c r="P723" s="24"/>
      <c r="Q723" s="24"/>
      <c r="R723" s="24"/>
      <c r="S723" s="24"/>
      <c r="T723" s="24"/>
      <c r="U723" s="24"/>
      <c r="V723" s="24"/>
      <c r="W723" s="24"/>
      <c r="X723" s="24"/>
      <c r="Y723" s="24"/>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c r="BC723" s="24"/>
      <c r="BD723" s="24"/>
      <c r="BE723" s="24"/>
      <c r="BF723" s="24"/>
      <c r="BG723" s="24"/>
      <c r="BH723" s="24"/>
    </row>
    <row r="724" spans="1:60">
      <c r="A724" s="7"/>
      <c r="B724" s="8"/>
      <c r="C724" s="9"/>
      <c r="D724" s="25"/>
      <c r="E724" s="25"/>
      <c r="F724" s="25"/>
      <c r="G724" s="25"/>
      <c r="H724" s="53"/>
      <c r="I724" s="53"/>
      <c r="J724" s="53"/>
      <c r="K724" s="24"/>
      <c r="L724" s="7"/>
      <c r="M724" s="24"/>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c r="BC724" s="24"/>
      <c r="BD724" s="24"/>
      <c r="BE724" s="24"/>
      <c r="BF724" s="24"/>
      <c r="BG724" s="24"/>
      <c r="BH724" s="24"/>
    </row>
    <row r="725" spans="1:60">
      <c r="A725" s="7"/>
      <c r="B725" s="8"/>
      <c r="C725" s="9"/>
      <c r="D725" s="25"/>
      <c r="E725" s="25"/>
      <c r="F725" s="25"/>
      <c r="G725" s="25"/>
      <c r="H725" s="53"/>
      <c r="I725" s="53"/>
      <c r="J725" s="53"/>
      <c r="K725" s="24"/>
      <c r="L725" s="7"/>
      <c r="M725" s="24"/>
      <c r="N725" s="24"/>
      <c r="O725" s="24"/>
      <c r="P725" s="24"/>
      <c r="Q725" s="24"/>
      <c r="R725" s="24"/>
      <c r="S725" s="24"/>
      <c r="T725" s="24"/>
      <c r="U725" s="24"/>
      <c r="V725" s="24"/>
      <c r="W725" s="24"/>
      <c r="X725" s="24"/>
      <c r="Y725" s="24"/>
      <c r="Z725" s="24"/>
      <c r="AA725" s="24"/>
      <c r="AB725" s="24"/>
      <c r="AC725" s="24"/>
      <c r="AD725" s="24"/>
      <c r="AE725" s="24"/>
      <c r="AF725" s="24"/>
      <c r="AG725" s="24"/>
      <c r="AH725" s="24"/>
      <c r="AI725" s="24"/>
      <c r="AJ725" s="24"/>
      <c r="AK725" s="24"/>
      <c r="AL725" s="24"/>
      <c r="AM725" s="24"/>
      <c r="AN725" s="24"/>
      <c r="AO725" s="24"/>
      <c r="AP725" s="24"/>
      <c r="AQ725" s="24"/>
      <c r="AR725" s="24"/>
      <c r="AS725" s="24"/>
      <c r="AT725" s="24"/>
      <c r="AU725" s="24"/>
      <c r="AV725" s="24"/>
      <c r="AW725" s="24"/>
      <c r="AX725" s="24"/>
      <c r="AY725" s="24"/>
      <c r="AZ725" s="24"/>
      <c r="BA725" s="24"/>
      <c r="BB725" s="24"/>
      <c r="BC725" s="24"/>
      <c r="BD725" s="24"/>
      <c r="BE725" s="24"/>
      <c r="BF725" s="24"/>
      <c r="BG725" s="24"/>
      <c r="BH725" s="24"/>
    </row>
    <row r="726" spans="1:60">
      <c r="A726" s="7"/>
      <c r="B726" s="8"/>
      <c r="C726" s="9"/>
      <c r="D726" s="25"/>
      <c r="E726" s="25"/>
      <c r="F726" s="25"/>
      <c r="G726" s="25"/>
      <c r="H726" s="53"/>
      <c r="I726" s="53"/>
      <c r="J726" s="53"/>
      <c r="K726" s="24"/>
      <c r="L726" s="7"/>
      <c r="M726" s="24"/>
      <c r="N726" s="24"/>
      <c r="O726" s="24"/>
      <c r="P726" s="24"/>
      <c r="Q726" s="24"/>
      <c r="R726" s="24"/>
      <c r="S726" s="24"/>
      <c r="T726" s="24"/>
      <c r="U726" s="24"/>
      <c r="V726" s="24"/>
      <c r="W726" s="24"/>
      <c r="X726" s="24"/>
      <c r="Y726" s="24"/>
      <c r="Z726" s="24"/>
      <c r="AA726" s="24"/>
      <c r="AB726" s="24"/>
      <c r="AC726" s="24"/>
      <c r="AD726" s="24"/>
      <c r="AE726" s="24"/>
      <c r="AF726" s="24"/>
      <c r="AG726" s="24"/>
      <c r="AH726" s="24"/>
      <c r="AI726" s="24"/>
      <c r="AJ726" s="24"/>
      <c r="AK726" s="24"/>
      <c r="AL726" s="24"/>
      <c r="AM726" s="24"/>
      <c r="AN726" s="24"/>
      <c r="AO726" s="24"/>
      <c r="AP726" s="24"/>
      <c r="AQ726" s="24"/>
      <c r="AR726" s="24"/>
      <c r="AS726" s="24"/>
      <c r="AT726" s="24"/>
      <c r="AU726" s="24"/>
      <c r="AV726" s="24"/>
      <c r="AW726" s="24"/>
      <c r="AX726" s="24"/>
      <c r="AY726" s="24"/>
      <c r="AZ726" s="24"/>
      <c r="BA726" s="24"/>
      <c r="BB726" s="24"/>
      <c r="BC726" s="24"/>
      <c r="BD726" s="24"/>
      <c r="BE726" s="24"/>
      <c r="BF726" s="24"/>
      <c r="BG726" s="24"/>
      <c r="BH726" s="24"/>
    </row>
    <row r="727" spans="1:60">
      <c r="A727" s="7"/>
      <c r="B727" s="8"/>
      <c r="C727" s="9"/>
      <c r="D727" s="25"/>
      <c r="E727" s="25"/>
      <c r="F727" s="25"/>
      <c r="G727" s="25"/>
      <c r="H727" s="53"/>
      <c r="I727" s="53"/>
      <c r="J727" s="53"/>
      <c r="K727" s="24"/>
      <c r="L727" s="7"/>
      <c r="M727" s="24"/>
      <c r="N727" s="24"/>
      <c r="O727" s="24"/>
      <c r="P727" s="24"/>
      <c r="Q727" s="24"/>
      <c r="R727" s="24"/>
      <c r="S727" s="24"/>
      <c r="T727" s="24"/>
      <c r="U727" s="24"/>
      <c r="V727" s="24"/>
      <c r="W727" s="24"/>
      <c r="X727" s="24"/>
      <c r="Y727" s="24"/>
      <c r="Z727" s="24"/>
      <c r="AA727" s="24"/>
      <c r="AB727" s="24"/>
      <c r="AC727" s="24"/>
      <c r="AD727" s="24"/>
      <c r="AE727" s="24"/>
      <c r="AF727" s="24"/>
      <c r="AG727" s="24"/>
      <c r="AH727" s="24"/>
      <c r="AI727" s="24"/>
      <c r="AJ727" s="24"/>
      <c r="AK727" s="24"/>
      <c r="AL727" s="24"/>
      <c r="AM727" s="24"/>
      <c r="AN727" s="24"/>
      <c r="AO727" s="24"/>
      <c r="AP727" s="24"/>
      <c r="AQ727" s="24"/>
      <c r="AR727" s="24"/>
      <c r="AS727" s="24"/>
      <c r="AT727" s="24"/>
      <c r="AU727" s="24"/>
      <c r="AV727" s="24"/>
      <c r="AW727" s="24"/>
      <c r="AX727" s="24"/>
      <c r="AY727" s="24"/>
      <c r="AZ727" s="24"/>
      <c r="BA727" s="24"/>
      <c r="BB727" s="24"/>
      <c r="BC727" s="24"/>
      <c r="BD727" s="24"/>
      <c r="BE727" s="24"/>
      <c r="BF727" s="24"/>
      <c r="BG727" s="24"/>
      <c r="BH727" s="24"/>
    </row>
    <row r="728" spans="1:60">
      <c r="A728" s="7"/>
      <c r="B728" s="8"/>
      <c r="C728" s="9"/>
      <c r="D728" s="25"/>
      <c r="E728" s="25"/>
      <c r="F728" s="25"/>
      <c r="G728" s="25"/>
      <c r="H728" s="53"/>
      <c r="I728" s="53"/>
      <c r="J728" s="53"/>
      <c r="K728" s="24"/>
      <c r="L728" s="7"/>
      <c r="M728" s="24"/>
      <c r="N728" s="24"/>
      <c r="O728" s="24"/>
      <c r="P728" s="24"/>
      <c r="Q728" s="24"/>
      <c r="R728" s="24"/>
      <c r="S728" s="24"/>
      <c r="T728" s="24"/>
      <c r="U728" s="24"/>
      <c r="V728" s="24"/>
      <c r="W728" s="24"/>
      <c r="X728" s="24"/>
      <c r="Y728" s="24"/>
      <c r="Z728" s="24"/>
      <c r="AA728" s="24"/>
      <c r="AB728" s="24"/>
      <c r="AC728" s="24"/>
      <c r="AD728" s="24"/>
      <c r="AE728" s="24"/>
      <c r="AF728" s="24"/>
      <c r="AG728" s="24"/>
      <c r="AH728" s="24"/>
      <c r="AI728" s="24"/>
      <c r="AJ728" s="24"/>
      <c r="AK728" s="24"/>
      <c r="AL728" s="24"/>
      <c r="AM728" s="24"/>
      <c r="AN728" s="24"/>
      <c r="AO728" s="24"/>
      <c r="AP728" s="24"/>
      <c r="AQ728" s="24"/>
      <c r="AR728" s="24"/>
      <c r="AS728" s="24"/>
      <c r="AT728" s="24"/>
      <c r="AU728" s="24"/>
      <c r="AV728" s="24"/>
      <c r="AW728" s="24"/>
      <c r="AX728" s="24"/>
      <c r="AY728" s="24"/>
      <c r="AZ728" s="24"/>
      <c r="BA728" s="24"/>
      <c r="BB728" s="24"/>
      <c r="BC728" s="24"/>
      <c r="BD728" s="24"/>
      <c r="BE728" s="24"/>
      <c r="BF728" s="24"/>
      <c r="BG728" s="24"/>
      <c r="BH728" s="24"/>
    </row>
    <row r="729" spans="1:60">
      <c r="A729" s="7"/>
      <c r="B729" s="8"/>
      <c r="C729" s="9"/>
      <c r="D729" s="25"/>
      <c r="E729" s="25"/>
      <c r="F729" s="25"/>
      <c r="G729" s="25"/>
      <c r="H729" s="53"/>
      <c r="I729" s="53"/>
      <c r="J729" s="53"/>
      <c r="K729" s="24"/>
      <c r="L729" s="7"/>
      <c r="M729" s="24"/>
      <c r="N729" s="24"/>
      <c r="O729" s="24"/>
      <c r="P729" s="24"/>
      <c r="Q729" s="24"/>
      <c r="R729" s="24"/>
      <c r="S729" s="24"/>
      <c r="T729" s="24"/>
      <c r="U729" s="24"/>
      <c r="V729" s="24"/>
      <c r="W729" s="24"/>
      <c r="X729" s="24"/>
      <c r="Y729" s="24"/>
      <c r="Z729" s="24"/>
      <c r="AA729" s="24"/>
      <c r="AB729" s="24"/>
      <c r="AC729" s="24"/>
      <c r="AD729" s="24"/>
      <c r="AE729" s="24"/>
      <c r="AF729" s="24"/>
      <c r="AG729" s="24"/>
      <c r="AH729" s="24"/>
      <c r="AI729" s="24"/>
      <c r="AJ729" s="24"/>
      <c r="AK729" s="24"/>
      <c r="AL729" s="24"/>
      <c r="AM729" s="24"/>
      <c r="AN729" s="24"/>
      <c r="AO729" s="24"/>
      <c r="AP729" s="24"/>
      <c r="AQ729" s="24"/>
      <c r="AR729" s="24"/>
      <c r="AS729" s="24"/>
      <c r="AT729" s="24"/>
      <c r="AU729" s="24"/>
      <c r="AV729" s="24"/>
      <c r="AW729" s="24"/>
      <c r="AX729" s="24"/>
      <c r="AY729" s="24"/>
      <c r="AZ729" s="24"/>
      <c r="BA729" s="24"/>
      <c r="BB729" s="24"/>
      <c r="BC729" s="24"/>
      <c r="BD729" s="24"/>
      <c r="BE729" s="24"/>
      <c r="BF729" s="24"/>
      <c r="BG729" s="24"/>
      <c r="BH729" s="24"/>
    </row>
    <row r="730" spans="1:60">
      <c r="A730" s="7"/>
      <c r="B730" s="8"/>
      <c r="C730" s="9"/>
      <c r="D730" s="25"/>
      <c r="E730" s="25"/>
      <c r="F730" s="25"/>
      <c r="G730" s="25"/>
      <c r="H730" s="53"/>
      <c r="I730" s="53"/>
      <c r="J730" s="53"/>
      <c r="K730" s="24"/>
      <c r="L730" s="7"/>
      <c r="M730" s="24"/>
      <c r="N730" s="24"/>
      <c r="O730" s="24"/>
      <c r="P730" s="24"/>
      <c r="Q730" s="24"/>
      <c r="R730" s="24"/>
      <c r="S730" s="24"/>
      <c r="T730" s="24"/>
      <c r="U730" s="24"/>
      <c r="V730" s="24"/>
      <c r="W730" s="24"/>
      <c r="X730" s="24"/>
      <c r="Y730" s="24"/>
      <c r="Z730" s="24"/>
      <c r="AA730" s="24"/>
      <c r="AB730" s="24"/>
      <c r="AC730" s="24"/>
      <c r="AD730" s="24"/>
      <c r="AE730" s="24"/>
      <c r="AF730" s="24"/>
      <c r="AG730" s="24"/>
      <c r="AH730" s="24"/>
      <c r="AI730" s="24"/>
      <c r="AJ730" s="24"/>
      <c r="AK730" s="24"/>
      <c r="AL730" s="24"/>
      <c r="AM730" s="24"/>
      <c r="AN730" s="24"/>
      <c r="AO730" s="24"/>
      <c r="AP730" s="24"/>
      <c r="AQ730" s="24"/>
      <c r="AR730" s="24"/>
      <c r="AS730" s="24"/>
      <c r="AT730" s="24"/>
      <c r="AU730" s="24"/>
      <c r="AV730" s="24"/>
      <c r="AW730" s="24"/>
      <c r="AX730" s="24"/>
      <c r="AY730" s="24"/>
      <c r="AZ730" s="24"/>
      <c r="BA730" s="24"/>
      <c r="BB730" s="24"/>
      <c r="BC730" s="24"/>
      <c r="BD730" s="24"/>
      <c r="BE730" s="24"/>
      <c r="BF730" s="24"/>
      <c r="BG730" s="24"/>
      <c r="BH730" s="24"/>
    </row>
    <row r="731" spans="1:60">
      <c r="A731" s="7"/>
      <c r="B731" s="8"/>
      <c r="C731" s="9"/>
      <c r="D731" s="25"/>
      <c r="E731" s="25"/>
      <c r="F731" s="25"/>
      <c r="G731" s="25"/>
      <c r="H731" s="53"/>
      <c r="I731" s="53"/>
      <c r="J731" s="53"/>
      <c r="K731" s="24"/>
      <c r="L731" s="7"/>
      <c r="M731" s="24"/>
      <c r="N731" s="24"/>
      <c r="O731" s="24"/>
      <c r="P731" s="24"/>
      <c r="Q731" s="24"/>
      <c r="R731" s="24"/>
      <c r="S731" s="24"/>
      <c r="T731" s="24"/>
      <c r="U731" s="24"/>
      <c r="V731" s="24"/>
      <c r="W731" s="24"/>
      <c r="X731" s="24"/>
      <c r="Y731" s="24"/>
      <c r="Z731" s="24"/>
      <c r="AA731" s="24"/>
      <c r="AB731" s="24"/>
      <c r="AC731" s="24"/>
      <c r="AD731" s="24"/>
      <c r="AE731" s="24"/>
      <c r="AF731" s="24"/>
      <c r="AG731" s="24"/>
      <c r="AH731" s="24"/>
      <c r="AI731" s="24"/>
      <c r="AJ731" s="24"/>
      <c r="AK731" s="24"/>
      <c r="AL731" s="24"/>
      <c r="AM731" s="24"/>
      <c r="AN731" s="24"/>
      <c r="AO731" s="24"/>
      <c r="AP731" s="24"/>
      <c r="AQ731" s="24"/>
      <c r="AR731" s="24"/>
      <c r="AS731" s="24"/>
      <c r="AT731" s="24"/>
      <c r="AU731" s="24"/>
      <c r="AV731" s="24"/>
      <c r="AW731" s="24"/>
      <c r="AX731" s="24"/>
      <c r="AY731" s="24"/>
      <c r="AZ731" s="24"/>
      <c r="BA731" s="24"/>
      <c r="BB731" s="24"/>
      <c r="BC731" s="24"/>
      <c r="BD731" s="24"/>
      <c r="BE731" s="24"/>
      <c r="BF731" s="24"/>
      <c r="BG731" s="24"/>
      <c r="BH731" s="24"/>
    </row>
    <row r="732" spans="1:60">
      <c r="A732" s="7"/>
      <c r="B732" s="8"/>
      <c r="C732" s="9"/>
      <c r="D732" s="25"/>
      <c r="E732" s="25"/>
      <c r="F732" s="25"/>
      <c r="G732" s="25"/>
      <c r="H732" s="53"/>
      <c r="I732" s="53"/>
      <c r="J732" s="53"/>
      <c r="K732" s="24"/>
      <c r="L732" s="7"/>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24"/>
      <c r="BH732" s="24"/>
    </row>
    <row r="733" spans="1:60">
      <c r="A733" s="7"/>
      <c r="B733" s="8"/>
      <c r="C733" s="9"/>
      <c r="D733" s="25"/>
      <c r="E733" s="25"/>
      <c r="F733" s="25"/>
      <c r="G733" s="25"/>
      <c r="H733" s="53"/>
      <c r="I733" s="53"/>
      <c r="J733" s="53"/>
      <c r="K733" s="24"/>
      <c r="L733" s="7"/>
      <c r="M733" s="24"/>
      <c r="N733" s="24"/>
      <c r="O733" s="24"/>
      <c r="P733" s="24"/>
      <c r="Q733" s="24"/>
      <c r="R733" s="24"/>
      <c r="S733" s="24"/>
      <c r="T733" s="24"/>
      <c r="U733" s="24"/>
      <c r="V733" s="24"/>
      <c r="W733" s="24"/>
      <c r="X733" s="24"/>
      <c r="Y733" s="24"/>
      <c r="Z733" s="24"/>
      <c r="AA733" s="24"/>
      <c r="AB733" s="24"/>
      <c r="AC733" s="24"/>
      <c r="AD733" s="24"/>
      <c r="AE733" s="24"/>
      <c r="AF733" s="24"/>
      <c r="AG733" s="24"/>
      <c r="AH733" s="24"/>
      <c r="AI733" s="24"/>
      <c r="AJ733" s="24"/>
      <c r="AK733" s="24"/>
      <c r="AL733" s="24"/>
      <c r="AM733" s="24"/>
      <c r="AN733" s="24"/>
      <c r="AO733" s="24"/>
      <c r="AP733" s="24"/>
      <c r="AQ733" s="24"/>
      <c r="AR733" s="24"/>
      <c r="AS733" s="24"/>
      <c r="AT733" s="24"/>
      <c r="AU733" s="24"/>
      <c r="AV733" s="24"/>
      <c r="AW733" s="24"/>
      <c r="AX733" s="24"/>
      <c r="AY733" s="24"/>
      <c r="AZ733" s="24"/>
      <c r="BA733" s="24"/>
      <c r="BB733" s="24"/>
      <c r="BC733" s="24"/>
      <c r="BD733" s="24"/>
      <c r="BE733" s="24"/>
      <c r="BF733" s="24"/>
      <c r="BG733" s="24"/>
      <c r="BH733" s="24"/>
    </row>
    <row r="734" spans="1:60">
      <c r="A734" s="7"/>
      <c r="B734" s="8"/>
      <c r="C734" s="9"/>
      <c r="D734" s="25"/>
      <c r="E734" s="25"/>
      <c r="F734" s="25"/>
      <c r="G734" s="25"/>
      <c r="H734" s="53"/>
      <c r="I734" s="53"/>
      <c r="J734" s="53"/>
      <c r="K734" s="24"/>
      <c r="L734" s="7"/>
      <c r="M734" s="24"/>
      <c r="N734" s="24"/>
      <c r="O734" s="24"/>
      <c r="P734" s="24"/>
      <c r="Q734" s="24"/>
      <c r="R734" s="24"/>
      <c r="S734" s="24"/>
      <c r="T734" s="24"/>
      <c r="U734" s="24"/>
      <c r="V734" s="24"/>
      <c r="W734" s="24"/>
      <c r="X734" s="24"/>
      <c r="Y734" s="24"/>
      <c r="Z734" s="24"/>
      <c r="AA734" s="24"/>
      <c r="AB734" s="24"/>
      <c r="AC734" s="24"/>
      <c r="AD734" s="24"/>
      <c r="AE734" s="24"/>
      <c r="AF734" s="24"/>
      <c r="AG734" s="24"/>
      <c r="AH734" s="24"/>
      <c r="AI734" s="24"/>
      <c r="AJ734" s="24"/>
      <c r="AK734" s="24"/>
      <c r="AL734" s="24"/>
      <c r="AM734" s="24"/>
      <c r="AN734" s="24"/>
      <c r="AO734" s="24"/>
      <c r="AP734" s="24"/>
      <c r="AQ734" s="24"/>
      <c r="AR734" s="24"/>
      <c r="AS734" s="24"/>
      <c r="AT734" s="24"/>
      <c r="AU734" s="24"/>
      <c r="AV734" s="24"/>
      <c r="AW734" s="24"/>
      <c r="AX734" s="24"/>
      <c r="AY734" s="24"/>
      <c r="AZ734" s="24"/>
      <c r="BA734" s="24"/>
      <c r="BB734" s="24"/>
      <c r="BC734" s="24"/>
      <c r="BD734" s="24"/>
      <c r="BE734" s="24"/>
      <c r="BF734" s="24"/>
      <c r="BG734" s="24"/>
      <c r="BH734" s="24"/>
    </row>
    <row r="735" spans="1:60">
      <c r="A735" s="7"/>
      <c r="B735" s="8"/>
      <c r="C735" s="9"/>
      <c r="D735" s="25"/>
      <c r="E735" s="25"/>
      <c r="F735" s="25"/>
      <c r="G735" s="25"/>
      <c r="H735" s="53"/>
      <c r="I735" s="53"/>
      <c r="J735" s="53"/>
      <c r="K735" s="24"/>
      <c r="L735" s="7"/>
      <c r="M735" s="24"/>
      <c r="N735" s="24"/>
      <c r="O735" s="24"/>
      <c r="P735" s="24"/>
      <c r="Q735" s="24"/>
      <c r="R735" s="24"/>
      <c r="S735" s="24"/>
      <c r="T735" s="24"/>
      <c r="U735" s="24"/>
      <c r="V735" s="24"/>
      <c r="W735" s="24"/>
      <c r="X735" s="24"/>
      <c r="Y735" s="24"/>
      <c r="Z735" s="24"/>
      <c r="AA735" s="24"/>
      <c r="AB735" s="24"/>
      <c r="AC735" s="24"/>
      <c r="AD735" s="24"/>
      <c r="AE735" s="24"/>
      <c r="AF735" s="24"/>
      <c r="AG735" s="24"/>
      <c r="AH735" s="24"/>
      <c r="AI735" s="24"/>
      <c r="AJ735" s="24"/>
      <c r="AK735" s="24"/>
      <c r="AL735" s="24"/>
      <c r="AM735" s="24"/>
      <c r="AN735" s="24"/>
      <c r="AO735" s="24"/>
      <c r="AP735" s="24"/>
      <c r="AQ735" s="24"/>
      <c r="AR735" s="24"/>
      <c r="AS735" s="24"/>
      <c r="AT735" s="24"/>
      <c r="AU735" s="24"/>
      <c r="AV735" s="24"/>
      <c r="AW735" s="24"/>
      <c r="AX735" s="24"/>
      <c r="AY735" s="24"/>
      <c r="AZ735" s="24"/>
      <c r="BA735" s="24"/>
      <c r="BB735" s="24"/>
      <c r="BC735" s="24"/>
      <c r="BD735" s="24"/>
      <c r="BE735" s="24"/>
      <c r="BF735" s="24"/>
      <c r="BG735" s="24"/>
      <c r="BH735" s="24"/>
    </row>
    <row r="736" spans="1:60">
      <c r="A736" s="7"/>
      <c r="B736" s="8"/>
      <c r="C736" s="9"/>
      <c r="D736" s="25"/>
      <c r="E736" s="25"/>
      <c r="F736" s="25"/>
      <c r="G736" s="25"/>
      <c r="H736" s="53"/>
      <c r="I736" s="53"/>
      <c r="J736" s="53"/>
      <c r="K736" s="24"/>
      <c r="L736" s="7"/>
      <c r="M736" s="24"/>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4"/>
      <c r="AK736" s="24"/>
      <c r="AL736" s="24"/>
      <c r="AM736" s="24"/>
      <c r="AN736" s="24"/>
      <c r="AO736" s="24"/>
      <c r="AP736" s="24"/>
      <c r="AQ736" s="24"/>
      <c r="AR736" s="24"/>
      <c r="AS736" s="24"/>
      <c r="AT736" s="24"/>
      <c r="AU736" s="24"/>
      <c r="AV736" s="24"/>
      <c r="AW736" s="24"/>
      <c r="AX736" s="24"/>
      <c r="AY736" s="24"/>
      <c r="AZ736" s="24"/>
      <c r="BA736" s="24"/>
      <c r="BB736" s="24"/>
      <c r="BC736" s="24"/>
      <c r="BD736" s="24"/>
      <c r="BE736" s="24"/>
      <c r="BF736" s="24"/>
      <c r="BG736" s="24"/>
      <c r="BH736" s="24"/>
    </row>
    <row r="737" spans="1:60">
      <c r="A737" s="7"/>
      <c r="B737" s="8"/>
      <c r="C737" s="9"/>
      <c r="D737" s="25"/>
      <c r="E737" s="25"/>
      <c r="F737" s="25"/>
      <c r="G737" s="25"/>
      <c r="H737" s="53"/>
      <c r="I737" s="53"/>
      <c r="J737" s="53"/>
      <c r="K737" s="24"/>
      <c r="L737" s="7"/>
      <c r="M737" s="24"/>
      <c r="N737" s="24"/>
      <c r="O737" s="24"/>
      <c r="P737" s="24"/>
      <c r="Q737" s="24"/>
      <c r="R737" s="24"/>
      <c r="S737" s="24"/>
      <c r="T737" s="24"/>
      <c r="U737" s="24"/>
      <c r="V737" s="24"/>
      <c r="W737" s="24"/>
      <c r="X737" s="24"/>
      <c r="Y737" s="24"/>
      <c r="Z737" s="24"/>
      <c r="AA737" s="24"/>
      <c r="AB737" s="24"/>
      <c r="AC737" s="24"/>
      <c r="AD737" s="24"/>
      <c r="AE737" s="24"/>
      <c r="AF737" s="24"/>
      <c r="AG737" s="24"/>
      <c r="AH737" s="24"/>
      <c r="AI737" s="24"/>
      <c r="AJ737" s="24"/>
      <c r="AK737" s="24"/>
      <c r="AL737" s="24"/>
      <c r="AM737" s="24"/>
      <c r="AN737" s="24"/>
      <c r="AO737" s="24"/>
      <c r="AP737" s="24"/>
      <c r="AQ737" s="24"/>
      <c r="AR737" s="24"/>
      <c r="AS737" s="24"/>
      <c r="AT737" s="24"/>
      <c r="AU737" s="24"/>
      <c r="AV737" s="24"/>
      <c r="AW737" s="24"/>
      <c r="AX737" s="24"/>
      <c r="AY737" s="24"/>
      <c r="AZ737" s="24"/>
      <c r="BA737" s="24"/>
      <c r="BB737" s="24"/>
      <c r="BC737" s="24"/>
      <c r="BD737" s="24"/>
      <c r="BE737" s="24"/>
      <c r="BF737" s="24"/>
      <c r="BG737" s="24"/>
      <c r="BH737" s="24"/>
    </row>
    <row r="738" spans="1:60">
      <c r="A738" s="7"/>
      <c r="B738" s="8"/>
      <c r="C738" s="9"/>
      <c r="D738" s="25"/>
      <c r="E738" s="25"/>
      <c r="F738" s="25"/>
      <c r="G738" s="25"/>
      <c r="H738" s="53"/>
      <c r="I738" s="53"/>
      <c r="J738" s="53"/>
      <c r="K738" s="24"/>
      <c r="L738" s="7"/>
      <c r="M738" s="24"/>
      <c r="N738" s="24"/>
      <c r="O738" s="24"/>
      <c r="P738" s="24"/>
      <c r="Q738" s="24"/>
      <c r="R738" s="24"/>
      <c r="S738" s="24"/>
      <c r="T738" s="24"/>
      <c r="U738" s="24"/>
      <c r="V738" s="24"/>
      <c r="W738" s="24"/>
      <c r="X738" s="24"/>
      <c r="Y738" s="24"/>
      <c r="Z738" s="24"/>
      <c r="AA738" s="24"/>
      <c r="AB738" s="24"/>
      <c r="AC738" s="24"/>
      <c r="AD738" s="24"/>
      <c r="AE738" s="24"/>
      <c r="AF738" s="24"/>
      <c r="AG738" s="24"/>
      <c r="AH738" s="24"/>
      <c r="AI738" s="24"/>
      <c r="AJ738" s="24"/>
      <c r="AK738" s="24"/>
      <c r="AL738" s="24"/>
      <c r="AM738" s="24"/>
      <c r="AN738" s="24"/>
      <c r="AO738" s="24"/>
      <c r="AP738" s="24"/>
      <c r="AQ738" s="24"/>
      <c r="AR738" s="24"/>
      <c r="AS738" s="24"/>
      <c r="AT738" s="24"/>
      <c r="AU738" s="24"/>
      <c r="AV738" s="24"/>
      <c r="AW738" s="24"/>
      <c r="AX738" s="24"/>
      <c r="AY738" s="24"/>
      <c r="AZ738" s="24"/>
      <c r="BA738" s="24"/>
      <c r="BB738" s="24"/>
      <c r="BC738" s="24"/>
      <c r="BD738" s="24"/>
      <c r="BE738" s="24"/>
      <c r="BF738" s="24"/>
      <c r="BG738" s="24"/>
      <c r="BH738" s="24"/>
    </row>
    <row r="739" spans="1:60">
      <c r="A739" s="7"/>
      <c r="B739" s="8"/>
      <c r="C739" s="9"/>
      <c r="D739" s="25"/>
      <c r="E739" s="25"/>
      <c r="F739" s="25"/>
      <c r="G739" s="25"/>
      <c r="H739" s="53"/>
      <c r="I739" s="53"/>
      <c r="J739" s="53"/>
      <c r="K739" s="24"/>
      <c r="L739" s="7"/>
      <c r="M739" s="24"/>
      <c r="N739" s="24"/>
      <c r="O739" s="24"/>
      <c r="P739" s="24"/>
      <c r="Q739" s="24"/>
      <c r="R739" s="24"/>
      <c r="S739" s="24"/>
      <c r="T739" s="24"/>
      <c r="U739" s="24"/>
      <c r="V739" s="24"/>
      <c r="W739" s="24"/>
      <c r="X739" s="24"/>
      <c r="Y739" s="24"/>
      <c r="Z739" s="24"/>
      <c r="AA739" s="24"/>
      <c r="AB739" s="24"/>
      <c r="AC739" s="24"/>
      <c r="AD739" s="24"/>
      <c r="AE739" s="24"/>
      <c r="AF739" s="24"/>
      <c r="AG739" s="24"/>
      <c r="AH739" s="24"/>
      <c r="AI739" s="24"/>
      <c r="AJ739" s="24"/>
      <c r="AK739" s="24"/>
      <c r="AL739" s="24"/>
      <c r="AM739" s="24"/>
      <c r="AN739" s="24"/>
      <c r="AO739" s="24"/>
      <c r="AP739" s="24"/>
      <c r="AQ739" s="24"/>
      <c r="AR739" s="24"/>
      <c r="AS739" s="24"/>
      <c r="AT739" s="24"/>
      <c r="AU739" s="24"/>
      <c r="AV739" s="24"/>
      <c r="AW739" s="24"/>
      <c r="AX739" s="24"/>
      <c r="AY739" s="24"/>
      <c r="AZ739" s="24"/>
      <c r="BA739" s="24"/>
      <c r="BB739" s="24"/>
      <c r="BC739" s="24"/>
      <c r="BD739" s="24"/>
      <c r="BE739" s="24"/>
      <c r="BF739" s="24"/>
      <c r="BG739" s="24"/>
      <c r="BH739" s="24"/>
    </row>
    <row r="740" spans="1:60">
      <c r="A740" s="7"/>
      <c r="B740" s="8"/>
      <c r="C740" s="9"/>
      <c r="D740" s="25"/>
      <c r="E740" s="25"/>
      <c r="F740" s="25"/>
      <c r="G740" s="25"/>
      <c r="H740" s="53"/>
      <c r="I740" s="53"/>
      <c r="J740" s="53"/>
      <c r="K740" s="24"/>
      <c r="L740" s="7"/>
      <c r="M740" s="24"/>
      <c r="N740" s="24"/>
      <c r="O740" s="24"/>
      <c r="P740" s="24"/>
      <c r="Q740" s="24"/>
      <c r="R740" s="24"/>
      <c r="S740" s="24"/>
      <c r="T740" s="24"/>
      <c r="U740" s="24"/>
      <c r="V740" s="24"/>
      <c r="W740" s="24"/>
      <c r="X740" s="24"/>
      <c r="Y740" s="24"/>
      <c r="Z740" s="24"/>
      <c r="AA740" s="24"/>
      <c r="AB740" s="24"/>
      <c r="AC740" s="24"/>
      <c r="AD740" s="24"/>
      <c r="AE740" s="24"/>
      <c r="AF740" s="24"/>
      <c r="AG740" s="24"/>
      <c r="AH740" s="24"/>
      <c r="AI740" s="24"/>
      <c r="AJ740" s="24"/>
      <c r="AK740" s="24"/>
      <c r="AL740" s="24"/>
      <c r="AM740" s="24"/>
      <c r="AN740" s="24"/>
      <c r="AO740" s="24"/>
      <c r="AP740" s="24"/>
      <c r="AQ740" s="24"/>
      <c r="AR740" s="24"/>
      <c r="AS740" s="24"/>
      <c r="AT740" s="24"/>
      <c r="AU740" s="24"/>
      <c r="AV740" s="24"/>
      <c r="AW740" s="24"/>
      <c r="AX740" s="24"/>
      <c r="AY740" s="24"/>
      <c r="AZ740" s="24"/>
      <c r="BA740" s="24"/>
      <c r="BB740" s="24"/>
      <c r="BC740" s="24"/>
      <c r="BD740" s="24"/>
      <c r="BE740" s="24"/>
      <c r="BF740" s="24"/>
      <c r="BG740" s="24"/>
      <c r="BH740" s="24"/>
    </row>
    <row r="741" spans="1:60">
      <c r="A741" s="7"/>
      <c r="B741" s="8"/>
      <c r="C741" s="9"/>
      <c r="D741" s="25"/>
      <c r="E741" s="25"/>
      <c r="F741" s="25"/>
      <c r="G741" s="25"/>
      <c r="H741" s="53"/>
      <c r="I741" s="53"/>
      <c r="J741" s="53"/>
      <c r="K741" s="24"/>
      <c r="L741" s="7"/>
      <c r="M741" s="24"/>
      <c r="N741" s="24"/>
      <c r="O741" s="24"/>
      <c r="P741" s="24"/>
      <c r="Q741" s="24"/>
      <c r="R741" s="24"/>
      <c r="S741" s="24"/>
      <c r="T741" s="24"/>
      <c r="U741" s="24"/>
      <c r="V741" s="24"/>
      <c r="W741" s="24"/>
      <c r="X741" s="24"/>
      <c r="Y741" s="24"/>
      <c r="Z741" s="24"/>
      <c r="AA741" s="24"/>
      <c r="AB741" s="24"/>
      <c r="AC741" s="24"/>
      <c r="AD741" s="24"/>
      <c r="AE741" s="24"/>
      <c r="AF741" s="24"/>
      <c r="AG741" s="24"/>
      <c r="AH741" s="24"/>
      <c r="AI741" s="24"/>
      <c r="AJ741" s="24"/>
      <c r="AK741" s="24"/>
      <c r="AL741" s="24"/>
      <c r="AM741" s="24"/>
      <c r="AN741" s="24"/>
      <c r="AO741" s="24"/>
      <c r="AP741" s="24"/>
      <c r="AQ741" s="24"/>
      <c r="AR741" s="24"/>
      <c r="AS741" s="24"/>
      <c r="AT741" s="24"/>
      <c r="AU741" s="24"/>
      <c r="AV741" s="24"/>
      <c r="AW741" s="24"/>
      <c r="AX741" s="24"/>
      <c r="AY741" s="24"/>
      <c r="AZ741" s="24"/>
      <c r="BA741" s="24"/>
      <c r="BB741" s="24"/>
      <c r="BC741" s="24"/>
      <c r="BD741" s="24"/>
      <c r="BE741" s="24"/>
      <c r="BF741" s="24"/>
      <c r="BG741" s="24"/>
      <c r="BH741" s="24"/>
    </row>
    <row r="742" spans="1:60">
      <c r="A742" s="7"/>
      <c r="B742" s="8"/>
      <c r="C742" s="9"/>
      <c r="D742" s="25"/>
      <c r="E742" s="25"/>
      <c r="F742" s="25"/>
      <c r="G742" s="25"/>
      <c r="H742" s="53"/>
      <c r="I742" s="53"/>
      <c r="J742" s="53"/>
      <c r="K742" s="24"/>
      <c r="L742" s="7"/>
      <c r="M742" s="24"/>
      <c r="N742" s="24"/>
      <c r="O742" s="24"/>
      <c r="P742" s="24"/>
      <c r="Q742" s="24"/>
      <c r="R742" s="24"/>
      <c r="S742" s="24"/>
      <c r="T742" s="24"/>
      <c r="U742" s="24"/>
      <c r="V742" s="24"/>
      <c r="W742" s="24"/>
      <c r="X742" s="24"/>
      <c r="Y742" s="24"/>
      <c r="Z742" s="24"/>
      <c r="AA742" s="24"/>
      <c r="AB742" s="24"/>
      <c r="AC742" s="24"/>
      <c r="AD742" s="24"/>
      <c r="AE742" s="24"/>
      <c r="AF742" s="24"/>
      <c r="AG742" s="24"/>
      <c r="AH742" s="24"/>
      <c r="AI742" s="24"/>
      <c r="AJ742" s="24"/>
      <c r="AK742" s="24"/>
      <c r="AL742" s="24"/>
      <c r="AM742" s="24"/>
      <c r="AN742" s="24"/>
      <c r="AO742" s="24"/>
      <c r="AP742" s="24"/>
      <c r="AQ742" s="24"/>
      <c r="AR742" s="24"/>
      <c r="AS742" s="24"/>
      <c r="AT742" s="24"/>
      <c r="AU742" s="24"/>
      <c r="AV742" s="24"/>
      <c r="AW742" s="24"/>
      <c r="AX742" s="24"/>
      <c r="AY742" s="24"/>
      <c r="AZ742" s="24"/>
      <c r="BA742" s="24"/>
      <c r="BB742" s="24"/>
      <c r="BC742" s="24"/>
      <c r="BD742" s="24"/>
      <c r="BE742" s="24"/>
      <c r="BF742" s="24"/>
      <c r="BG742" s="24"/>
      <c r="BH742" s="24"/>
    </row>
    <row r="743" spans="1:60">
      <c r="A743" s="7"/>
      <c r="B743" s="8"/>
      <c r="C743" s="9"/>
      <c r="D743" s="25"/>
      <c r="E743" s="25"/>
      <c r="F743" s="25"/>
      <c r="G743" s="25"/>
      <c r="H743" s="53"/>
      <c r="I743" s="53"/>
      <c r="J743" s="53"/>
      <c r="K743" s="24"/>
      <c r="L743" s="7"/>
      <c r="M743" s="24"/>
      <c r="N743" s="24"/>
      <c r="O743" s="24"/>
      <c r="P743" s="24"/>
      <c r="Q743" s="24"/>
      <c r="R743" s="24"/>
      <c r="S743" s="24"/>
      <c r="T743" s="24"/>
      <c r="U743" s="24"/>
      <c r="V743" s="24"/>
      <c r="W743" s="24"/>
      <c r="X743" s="24"/>
      <c r="Y743" s="24"/>
      <c r="Z743" s="24"/>
      <c r="AA743" s="24"/>
      <c r="AB743" s="24"/>
      <c r="AC743" s="24"/>
      <c r="AD743" s="24"/>
      <c r="AE743" s="24"/>
      <c r="AF743" s="24"/>
      <c r="AG743" s="24"/>
      <c r="AH743" s="24"/>
      <c r="AI743" s="24"/>
      <c r="AJ743" s="24"/>
      <c r="AK743" s="24"/>
      <c r="AL743" s="24"/>
      <c r="AM743" s="24"/>
      <c r="AN743" s="24"/>
      <c r="AO743" s="24"/>
      <c r="AP743" s="24"/>
      <c r="AQ743" s="24"/>
      <c r="AR743" s="24"/>
      <c r="AS743" s="24"/>
      <c r="AT743" s="24"/>
      <c r="AU743" s="24"/>
      <c r="AV743" s="24"/>
      <c r="AW743" s="24"/>
      <c r="AX743" s="24"/>
      <c r="AY743" s="24"/>
      <c r="AZ743" s="24"/>
      <c r="BA743" s="24"/>
      <c r="BB743" s="24"/>
      <c r="BC743" s="24"/>
      <c r="BD743" s="24"/>
      <c r="BE743" s="24"/>
      <c r="BF743" s="24"/>
      <c r="BG743" s="24"/>
      <c r="BH743" s="24"/>
    </row>
    <row r="744" spans="1:60">
      <c r="A744" s="7"/>
      <c r="B744" s="8"/>
      <c r="C744" s="9"/>
      <c r="D744" s="25"/>
      <c r="E744" s="25"/>
      <c r="F744" s="25"/>
      <c r="G744" s="25"/>
      <c r="H744" s="53"/>
      <c r="I744" s="53"/>
      <c r="J744" s="53"/>
      <c r="K744" s="24"/>
      <c r="L744" s="7"/>
      <c r="M744" s="24"/>
      <c r="N744" s="24"/>
      <c r="O744" s="24"/>
      <c r="P744" s="24"/>
      <c r="Q744" s="24"/>
      <c r="R744" s="24"/>
      <c r="S744" s="24"/>
      <c r="T744" s="24"/>
      <c r="U744" s="24"/>
      <c r="V744" s="24"/>
      <c r="W744" s="24"/>
      <c r="X744" s="24"/>
      <c r="Y744" s="24"/>
      <c r="Z744" s="24"/>
      <c r="AA744" s="24"/>
      <c r="AB744" s="24"/>
      <c r="AC744" s="24"/>
      <c r="AD744" s="24"/>
      <c r="AE744" s="24"/>
      <c r="AF744" s="24"/>
      <c r="AG744" s="24"/>
      <c r="AH744" s="24"/>
      <c r="AI744" s="24"/>
      <c r="AJ744" s="24"/>
      <c r="AK744" s="24"/>
      <c r="AL744" s="24"/>
      <c r="AM744" s="24"/>
      <c r="AN744" s="24"/>
      <c r="AO744" s="24"/>
      <c r="AP744" s="24"/>
      <c r="AQ744" s="24"/>
      <c r="AR744" s="24"/>
      <c r="AS744" s="24"/>
      <c r="AT744" s="24"/>
      <c r="AU744" s="24"/>
      <c r="AV744" s="24"/>
      <c r="AW744" s="24"/>
      <c r="AX744" s="24"/>
      <c r="AY744" s="24"/>
      <c r="AZ744" s="24"/>
      <c r="BA744" s="24"/>
      <c r="BB744" s="24"/>
      <c r="BC744" s="24"/>
      <c r="BD744" s="24"/>
      <c r="BE744" s="24"/>
      <c r="BF744" s="24"/>
      <c r="BG744" s="24"/>
      <c r="BH744" s="24"/>
    </row>
    <row r="745" spans="1:60">
      <c r="A745" s="7"/>
      <c r="B745" s="8"/>
      <c r="C745" s="9"/>
      <c r="D745" s="25"/>
      <c r="E745" s="25"/>
      <c r="F745" s="25"/>
      <c r="G745" s="25"/>
      <c r="H745" s="53"/>
      <c r="I745" s="53"/>
      <c r="J745" s="53"/>
      <c r="K745" s="24"/>
      <c r="L745" s="7"/>
      <c r="M745" s="24"/>
      <c r="N745" s="24"/>
      <c r="O745" s="24"/>
      <c r="P745" s="24"/>
      <c r="Q745" s="24"/>
      <c r="R745" s="24"/>
      <c r="S745" s="24"/>
      <c r="T745" s="24"/>
      <c r="U745" s="24"/>
      <c r="V745" s="24"/>
      <c r="W745" s="24"/>
      <c r="X745" s="24"/>
      <c r="Y745" s="24"/>
      <c r="Z745" s="24"/>
      <c r="AA745" s="24"/>
      <c r="AB745" s="24"/>
      <c r="AC745" s="24"/>
      <c r="AD745" s="24"/>
      <c r="AE745" s="24"/>
      <c r="AF745" s="24"/>
      <c r="AG745" s="24"/>
      <c r="AH745" s="24"/>
      <c r="AI745" s="24"/>
      <c r="AJ745" s="24"/>
      <c r="AK745" s="24"/>
      <c r="AL745" s="24"/>
      <c r="AM745" s="24"/>
      <c r="AN745" s="24"/>
      <c r="AO745" s="24"/>
      <c r="AP745" s="24"/>
      <c r="AQ745" s="24"/>
      <c r="AR745" s="24"/>
      <c r="AS745" s="24"/>
      <c r="AT745" s="24"/>
      <c r="AU745" s="24"/>
      <c r="AV745" s="24"/>
      <c r="AW745" s="24"/>
      <c r="AX745" s="24"/>
      <c r="AY745" s="24"/>
      <c r="AZ745" s="24"/>
      <c r="BA745" s="24"/>
      <c r="BB745" s="24"/>
      <c r="BC745" s="24"/>
      <c r="BD745" s="24"/>
      <c r="BE745" s="24"/>
      <c r="BF745" s="24"/>
      <c r="BG745" s="24"/>
      <c r="BH745" s="24"/>
    </row>
    <row r="746" spans="1:60">
      <c r="A746" s="7"/>
      <c r="B746" s="8"/>
      <c r="C746" s="9"/>
      <c r="D746" s="25"/>
      <c r="E746" s="25"/>
      <c r="F746" s="25"/>
      <c r="G746" s="25"/>
      <c r="H746" s="53"/>
      <c r="I746" s="53"/>
      <c r="J746" s="53"/>
      <c r="K746" s="24"/>
      <c r="L746" s="7"/>
      <c r="M746" s="24"/>
      <c r="N746" s="24"/>
      <c r="O746" s="24"/>
      <c r="P746" s="24"/>
      <c r="Q746" s="24"/>
      <c r="R746" s="24"/>
      <c r="S746" s="24"/>
      <c r="T746" s="24"/>
      <c r="U746" s="24"/>
      <c r="V746" s="24"/>
      <c r="W746" s="24"/>
      <c r="X746" s="24"/>
      <c r="Y746" s="24"/>
      <c r="Z746" s="24"/>
      <c r="AA746" s="24"/>
      <c r="AB746" s="24"/>
      <c r="AC746" s="24"/>
      <c r="AD746" s="24"/>
      <c r="AE746" s="24"/>
      <c r="AF746" s="24"/>
      <c r="AG746" s="24"/>
      <c r="AH746" s="24"/>
      <c r="AI746" s="24"/>
      <c r="AJ746" s="24"/>
      <c r="AK746" s="24"/>
      <c r="AL746" s="24"/>
      <c r="AM746" s="24"/>
      <c r="AN746" s="24"/>
      <c r="AO746" s="24"/>
      <c r="AP746" s="24"/>
      <c r="AQ746" s="24"/>
      <c r="AR746" s="24"/>
      <c r="AS746" s="24"/>
      <c r="AT746" s="24"/>
      <c r="AU746" s="24"/>
      <c r="AV746" s="24"/>
      <c r="AW746" s="24"/>
      <c r="AX746" s="24"/>
      <c r="AY746" s="24"/>
      <c r="AZ746" s="24"/>
      <c r="BA746" s="24"/>
      <c r="BB746" s="24"/>
      <c r="BC746" s="24"/>
      <c r="BD746" s="24"/>
      <c r="BE746" s="24"/>
      <c r="BF746" s="24"/>
      <c r="BG746" s="24"/>
      <c r="BH746" s="24"/>
    </row>
    <row r="747" spans="1:60">
      <c r="A747" s="7"/>
      <c r="B747" s="8"/>
      <c r="C747" s="9"/>
      <c r="D747" s="25"/>
      <c r="E747" s="25"/>
      <c r="F747" s="25"/>
      <c r="G747" s="25"/>
      <c r="H747" s="53"/>
      <c r="I747" s="53"/>
      <c r="J747" s="53"/>
      <c r="K747" s="24"/>
      <c r="L747" s="7"/>
      <c r="M747" s="24"/>
      <c r="N747" s="24"/>
      <c r="O747" s="24"/>
      <c r="P747" s="24"/>
      <c r="Q747" s="24"/>
      <c r="R747" s="24"/>
      <c r="S747" s="24"/>
      <c r="T747" s="24"/>
      <c r="U747" s="24"/>
      <c r="V747" s="24"/>
      <c r="W747" s="24"/>
      <c r="X747" s="24"/>
      <c r="Y747" s="24"/>
      <c r="Z747" s="24"/>
      <c r="AA747" s="24"/>
      <c r="AB747" s="24"/>
      <c r="AC747" s="24"/>
      <c r="AD747" s="24"/>
      <c r="AE747" s="24"/>
      <c r="AF747" s="24"/>
      <c r="AG747" s="24"/>
      <c r="AH747" s="24"/>
      <c r="AI747" s="24"/>
      <c r="AJ747" s="24"/>
      <c r="AK747" s="24"/>
      <c r="AL747" s="24"/>
      <c r="AM747" s="24"/>
      <c r="AN747" s="24"/>
      <c r="AO747" s="24"/>
      <c r="AP747" s="24"/>
      <c r="AQ747" s="24"/>
      <c r="AR747" s="24"/>
      <c r="AS747" s="24"/>
      <c r="AT747" s="24"/>
      <c r="AU747" s="24"/>
      <c r="AV747" s="24"/>
      <c r="AW747" s="24"/>
      <c r="AX747" s="24"/>
      <c r="AY747" s="24"/>
      <c r="AZ747" s="24"/>
      <c r="BA747" s="24"/>
      <c r="BB747" s="24"/>
      <c r="BC747" s="24"/>
      <c r="BD747" s="24"/>
      <c r="BE747" s="24"/>
      <c r="BF747" s="24"/>
      <c r="BG747" s="24"/>
      <c r="BH747" s="24"/>
    </row>
    <row r="748" spans="1:60">
      <c r="A748" s="7"/>
      <c r="B748" s="8"/>
      <c r="C748" s="9"/>
      <c r="D748" s="25"/>
      <c r="E748" s="25"/>
      <c r="F748" s="25"/>
      <c r="G748" s="25"/>
      <c r="H748" s="53"/>
      <c r="I748" s="53"/>
      <c r="J748" s="53"/>
      <c r="K748" s="24"/>
      <c r="L748" s="7"/>
      <c r="M748" s="24"/>
      <c r="N748" s="24"/>
      <c r="O748" s="24"/>
      <c r="P748" s="24"/>
      <c r="Q748" s="24"/>
      <c r="R748" s="24"/>
      <c r="S748" s="24"/>
      <c r="T748" s="24"/>
      <c r="U748" s="24"/>
      <c r="V748" s="24"/>
      <c r="W748" s="24"/>
      <c r="X748" s="24"/>
      <c r="Y748" s="24"/>
      <c r="Z748" s="24"/>
      <c r="AA748" s="24"/>
      <c r="AB748" s="24"/>
      <c r="AC748" s="24"/>
      <c r="AD748" s="24"/>
      <c r="AE748" s="24"/>
      <c r="AF748" s="24"/>
      <c r="AG748" s="24"/>
      <c r="AH748" s="24"/>
      <c r="AI748" s="24"/>
      <c r="AJ748" s="24"/>
      <c r="AK748" s="24"/>
      <c r="AL748" s="24"/>
      <c r="AM748" s="24"/>
      <c r="AN748" s="24"/>
      <c r="AO748" s="24"/>
      <c r="AP748" s="24"/>
      <c r="AQ748" s="24"/>
      <c r="AR748" s="24"/>
      <c r="AS748" s="24"/>
      <c r="AT748" s="24"/>
      <c r="AU748" s="24"/>
      <c r="AV748" s="24"/>
      <c r="AW748" s="24"/>
      <c r="AX748" s="24"/>
      <c r="AY748" s="24"/>
      <c r="AZ748" s="24"/>
      <c r="BA748" s="24"/>
      <c r="BB748" s="24"/>
      <c r="BC748" s="24"/>
      <c r="BD748" s="24"/>
      <c r="BE748" s="24"/>
      <c r="BF748" s="24"/>
      <c r="BG748" s="24"/>
      <c r="BH748" s="24"/>
    </row>
    <row r="749" spans="1:60">
      <c r="A749" s="7"/>
      <c r="B749" s="8"/>
      <c r="C749" s="9"/>
      <c r="D749" s="25"/>
      <c r="E749" s="25"/>
      <c r="F749" s="25"/>
      <c r="G749" s="25"/>
      <c r="H749" s="53"/>
      <c r="I749" s="53"/>
      <c r="J749" s="53"/>
      <c r="K749" s="24"/>
      <c r="L749" s="7"/>
      <c r="M749" s="24"/>
      <c r="N749" s="24"/>
      <c r="O749" s="24"/>
      <c r="P749" s="24"/>
      <c r="Q749" s="24"/>
      <c r="R749" s="24"/>
      <c r="S749" s="24"/>
      <c r="T749" s="24"/>
      <c r="U749" s="24"/>
      <c r="V749" s="24"/>
      <c r="W749" s="24"/>
      <c r="X749" s="24"/>
      <c r="Y749" s="24"/>
      <c r="Z749" s="24"/>
      <c r="AA749" s="24"/>
      <c r="AB749" s="24"/>
      <c r="AC749" s="24"/>
      <c r="AD749" s="24"/>
      <c r="AE749" s="24"/>
      <c r="AF749" s="24"/>
      <c r="AG749" s="24"/>
      <c r="AH749" s="24"/>
      <c r="AI749" s="24"/>
      <c r="AJ749" s="24"/>
      <c r="AK749" s="24"/>
      <c r="AL749" s="24"/>
      <c r="AM749" s="24"/>
      <c r="AN749" s="24"/>
      <c r="AO749" s="24"/>
      <c r="AP749" s="24"/>
      <c r="AQ749" s="24"/>
      <c r="AR749" s="24"/>
      <c r="AS749" s="24"/>
      <c r="AT749" s="24"/>
      <c r="AU749" s="24"/>
      <c r="AV749" s="24"/>
      <c r="AW749" s="24"/>
      <c r="AX749" s="24"/>
      <c r="AY749" s="24"/>
      <c r="AZ749" s="24"/>
      <c r="BA749" s="24"/>
      <c r="BB749" s="24"/>
      <c r="BC749" s="24"/>
      <c r="BD749" s="24"/>
      <c r="BE749" s="24"/>
      <c r="BF749" s="24"/>
      <c r="BG749" s="24"/>
      <c r="BH749" s="24"/>
    </row>
    <row r="750" spans="1:60">
      <c r="A750" s="7"/>
      <c r="B750" s="8"/>
      <c r="C750" s="9"/>
      <c r="D750" s="25"/>
      <c r="E750" s="25"/>
      <c r="F750" s="25"/>
      <c r="G750" s="25"/>
      <c r="H750" s="53"/>
      <c r="I750" s="53"/>
      <c r="J750" s="53"/>
      <c r="K750" s="24"/>
      <c r="L750" s="7"/>
      <c r="M750" s="24"/>
      <c r="N750" s="24"/>
      <c r="O750" s="24"/>
      <c r="P750" s="24"/>
      <c r="Q750" s="24"/>
      <c r="R750" s="24"/>
      <c r="S750" s="24"/>
      <c r="T750" s="24"/>
      <c r="U750" s="24"/>
      <c r="V750" s="24"/>
      <c r="W750" s="24"/>
      <c r="X750" s="24"/>
      <c r="Y750" s="24"/>
      <c r="Z750" s="24"/>
      <c r="AA750" s="24"/>
      <c r="AB750" s="24"/>
      <c r="AC750" s="24"/>
      <c r="AD750" s="24"/>
      <c r="AE750" s="24"/>
      <c r="AF750" s="24"/>
      <c r="AG750" s="24"/>
      <c r="AH750" s="24"/>
      <c r="AI750" s="24"/>
      <c r="AJ750" s="24"/>
      <c r="AK750" s="24"/>
      <c r="AL750" s="24"/>
      <c r="AM750" s="24"/>
      <c r="AN750" s="24"/>
      <c r="AO750" s="24"/>
      <c r="AP750" s="24"/>
      <c r="AQ750" s="24"/>
      <c r="AR750" s="24"/>
      <c r="AS750" s="24"/>
      <c r="AT750" s="24"/>
      <c r="AU750" s="24"/>
      <c r="AV750" s="24"/>
      <c r="AW750" s="24"/>
      <c r="AX750" s="24"/>
      <c r="AY750" s="24"/>
      <c r="AZ750" s="24"/>
      <c r="BA750" s="24"/>
      <c r="BB750" s="24"/>
      <c r="BC750" s="24"/>
      <c r="BD750" s="24"/>
      <c r="BE750" s="24"/>
      <c r="BF750" s="24"/>
      <c r="BG750" s="24"/>
      <c r="BH750" s="24"/>
    </row>
    <row r="751" spans="1:60">
      <c r="A751" s="7"/>
      <c r="B751" s="8"/>
      <c r="C751" s="9"/>
      <c r="D751" s="25"/>
      <c r="E751" s="25"/>
      <c r="F751" s="25"/>
      <c r="G751" s="25"/>
      <c r="H751" s="53"/>
      <c r="I751" s="53"/>
      <c r="J751" s="53"/>
      <c r="K751" s="24"/>
      <c r="L751" s="7"/>
      <c r="M751" s="24"/>
      <c r="N751" s="24"/>
      <c r="O751" s="24"/>
      <c r="P751" s="24"/>
      <c r="Q751" s="24"/>
      <c r="R751" s="24"/>
      <c r="S751" s="24"/>
      <c r="T751" s="24"/>
      <c r="U751" s="24"/>
      <c r="V751" s="24"/>
      <c r="W751" s="24"/>
      <c r="X751" s="24"/>
      <c r="Y751" s="24"/>
      <c r="Z751" s="24"/>
      <c r="AA751" s="24"/>
      <c r="AB751" s="24"/>
      <c r="AC751" s="24"/>
      <c r="AD751" s="24"/>
      <c r="AE751" s="24"/>
      <c r="AF751" s="24"/>
      <c r="AG751" s="24"/>
      <c r="AH751" s="24"/>
      <c r="AI751" s="24"/>
      <c r="AJ751" s="24"/>
      <c r="AK751" s="24"/>
      <c r="AL751" s="24"/>
      <c r="AM751" s="24"/>
      <c r="AN751" s="24"/>
      <c r="AO751" s="24"/>
      <c r="AP751" s="24"/>
      <c r="AQ751" s="24"/>
      <c r="AR751" s="24"/>
      <c r="AS751" s="24"/>
      <c r="AT751" s="24"/>
      <c r="AU751" s="24"/>
      <c r="AV751" s="24"/>
      <c r="AW751" s="24"/>
      <c r="AX751" s="24"/>
      <c r="AY751" s="24"/>
      <c r="AZ751" s="24"/>
      <c r="BA751" s="24"/>
      <c r="BB751" s="24"/>
      <c r="BC751" s="24"/>
      <c r="BD751" s="24"/>
      <c r="BE751" s="24"/>
      <c r="BF751" s="24"/>
      <c r="BG751" s="24"/>
      <c r="BH751" s="24"/>
    </row>
    <row r="752" spans="1:60">
      <c r="A752" s="7"/>
      <c r="B752" s="8"/>
      <c r="C752" s="9"/>
      <c r="D752" s="25"/>
      <c r="E752" s="25"/>
      <c r="F752" s="25"/>
      <c r="G752" s="25"/>
      <c r="H752" s="53"/>
      <c r="I752" s="53"/>
      <c r="J752" s="53"/>
      <c r="K752" s="24"/>
      <c r="L752" s="7"/>
      <c r="M752" s="24"/>
      <c r="N752" s="24"/>
      <c r="O752" s="24"/>
      <c r="P752" s="24"/>
      <c r="Q752" s="24"/>
      <c r="R752" s="24"/>
      <c r="S752" s="24"/>
      <c r="T752" s="24"/>
      <c r="U752" s="24"/>
      <c r="V752" s="24"/>
      <c r="W752" s="24"/>
      <c r="X752" s="24"/>
      <c r="Y752" s="24"/>
      <c r="Z752" s="24"/>
      <c r="AA752" s="24"/>
      <c r="AB752" s="24"/>
      <c r="AC752" s="24"/>
      <c r="AD752" s="24"/>
      <c r="AE752" s="24"/>
      <c r="AF752" s="24"/>
      <c r="AG752" s="24"/>
      <c r="AH752" s="24"/>
      <c r="AI752" s="24"/>
      <c r="AJ752" s="24"/>
      <c r="AK752" s="24"/>
      <c r="AL752" s="24"/>
      <c r="AM752" s="24"/>
      <c r="AN752" s="24"/>
      <c r="AO752" s="24"/>
      <c r="AP752" s="24"/>
      <c r="AQ752" s="24"/>
      <c r="AR752" s="24"/>
      <c r="AS752" s="24"/>
      <c r="AT752" s="24"/>
      <c r="AU752" s="24"/>
      <c r="AV752" s="24"/>
      <c r="AW752" s="24"/>
      <c r="AX752" s="24"/>
      <c r="AY752" s="24"/>
      <c r="AZ752" s="24"/>
      <c r="BA752" s="24"/>
      <c r="BB752" s="24"/>
      <c r="BC752" s="24"/>
      <c r="BD752" s="24"/>
      <c r="BE752" s="24"/>
      <c r="BF752" s="24"/>
      <c r="BG752" s="24"/>
      <c r="BH752" s="24"/>
    </row>
    <row r="753" spans="1:60">
      <c r="A753" s="7"/>
      <c r="B753" s="8"/>
      <c r="C753" s="9"/>
      <c r="D753" s="25"/>
      <c r="E753" s="25"/>
      <c r="F753" s="25"/>
      <c r="G753" s="25"/>
      <c r="H753" s="53"/>
      <c r="I753" s="53"/>
      <c r="J753" s="53"/>
      <c r="K753" s="24"/>
      <c r="L753" s="7"/>
      <c r="M753" s="24"/>
      <c r="N753" s="24"/>
      <c r="O753" s="24"/>
      <c r="P753" s="24"/>
      <c r="Q753" s="24"/>
      <c r="R753" s="24"/>
      <c r="S753" s="24"/>
      <c r="T753" s="24"/>
      <c r="U753" s="24"/>
      <c r="V753" s="24"/>
      <c r="W753" s="24"/>
      <c r="X753" s="24"/>
      <c r="Y753" s="24"/>
      <c r="Z753" s="24"/>
      <c r="AA753" s="24"/>
      <c r="AB753" s="24"/>
      <c r="AC753" s="24"/>
      <c r="AD753" s="24"/>
      <c r="AE753" s="24"/>
      <c r="AF753" s="24"/>
      <c r="AG753" s="24"/>
      <c r="AH753" s="24"/>
      <c r="AI753" s="24"/>
      <c r="AJ753" s="24"/>
      <c r="AK753" s="24"/>
      <c r="AL753" s="24"/>
      <c r="AM753" s="24"/>
      <c r="AN753" s="24"/>
      <c r="AO753" s="24"/>
      <c r="AP753" s="24"/>
      <c r="AQ753" s="24"/>
      <c r="AR753" s="24"/>
      <c r="AS753" s="24"/>
      <c r="AT753" s="24"/>
      <c r="AU753" s="24"/>
      <c r="AV753" s="24"/>
      <c r="AW753" s="24"/>
      <c r="AX753" s="24"/>
      <c r="AY753" s="24"/>
      <c r="AZ753" s="24"/>
      <c r="BA753" s="24"/>
      <c r="BB753" s="24"/>
      <c r="BC753" s="24"/>
      <c r="BD753" s="24"/>
      <c r="BE753" s="24"/>
      <c r="BF753" s="24"/>
      <c r="BG753" s="24"/>
      <c r="BH753" s="24"/>
    </row>
    <row r="754" spans="1:60">
      <c r="A754" s="7"/>
      <c r="B754" s="8"/>
      <c r="C754" s="9"/>
      <c r="D754" s="25"/>
      <c r="E754" s="25"/>
      <c r="F754" s="25"/>
      <c r="G754" s="25"/>
      <c r="H754" s="53"/>
      <c r="I754" s="53"/>
      <c r="J754" s="53"/>
      <c r="K754" s="24"/>
      <c r="L754" s="7"/>
      <c r="M754" s="24"/>
      <c r="N754" s="24"/>
      <c r="O754" s="24"/>
      <c r="P754" s="24"/>
      <c r="Q754" s="24"/>
      <c r="R754" s="24"/>
      <c r="S754" s="24"/>
      <c r="T754" s="24"/>
      <c r="U754" s="24"/>
      <c r="V754" s="24"/>
      <c r="W754" s="24"/>
      <c r="X754" s="24"/>
      <c r="Y754" s="24"/>
      <c r="Z754" s="24"/>
      <c r="AA754" s="24"/>
      <c r="AB754" s="24"/>
      <c r="AC754" s="24"/>
      <c r="AD754" s="24"/>
      <c r="AE754" s="24"/>
      <c r="AF754" s="24"/>
      <c r="AG754" s="24"/>
      <c r="AH754" s="24"/>
      <c r="AI754" s="24"/>
      <c r="AJ754" s="24"/>
      <c r="AK754" s="24"/>
      <c r="AL754" s="24"/>
      <c r="AM754" s="24"/>
      <c r="AN754" s="24"/>
      <c r="AO754" s="24"/>
      <c r="AP754" s="24"/>
      <c r="AQ754" s="24"/>
      <c r="AR754" s="24"/>
      <c r="AS754" s="24"/>
      <c r="AT754" s="24"/>
      <c r="AU754" s="24"/>
      <c r="AV754" s="24"/>
      <c r="AW754" s="24"/>
      <c r="AX754" s="24"/>
      <c r="AY754" s="24"/>
      <c r="AZ754" s="24"/>
      <c r="BA754" s="24"/>
      <c r="BB754" s="24"/>
      <c r="BC754" s="24"/>
      <c r="BD754" s="24"/>
      <c r="BE754" s="24"/>
      <c r="BF754" s="24"/>
      <c r="BG754" s="24"/>
      <c r="BH754" s="24"/>
    </row>
    <row r="755" spans="1:60">
      <c r="A755" s="7"/>
      <c r="B755" s="8"/>
      <c r="C755" s="9"/>
      <c r="D755" s="25"/>
      <c r="E755" s="25"/>
      <c r="F755" s="25"/>
      <c r="G755" s="25"/>
      <c r="H755" s="53"/>
      <c r="I755" s="53"/>
      <c r="J755" s="53"/>
      <c r="K755" s="24"/>
      <c r="L755" s="7"/>
      <c r="M755" s="24"/>
      <c r="N755" s="24"/>
      <c r="O755" s="24"/>
      <c r="P755" s="24"/>
      <c r="Q755" s="24"/>
      <c r="R755" s="24"/>
      <c r="S755" s="24"/>
      <c r="T755" s="24"/>
      <c r="U755" s="24"/>
      <c r="V755" s="24"/>
      <c r="W755" s="24"/>
      <c r="X755" s="24"/>
      <c r="Y755" s="24"/>
      <c r="Z755" s="24"/>
      <c r="AA755" s="24"/>
      <c r="AB755" s="24"/>
      <c r="AC755" s="24"/>
      <c r="AD755" s="24"/>
      <c r="AE755" s="24"/>
      <c r="AF755" s="24"/>
      <c r="AG755" s="24"/>
      <c r="AH755" s="24"/>
      <c r="AI755" s="24"/>
      <c r="AJ755" s="24"/>
      <c r="AK755" s="24"/>
      <c r="AL755" s="24"/>
      <c r="AM755" s="24"/>
      <c r="AN755" s="24"/>
      <c r="AO755" s="24"/>
      <c r="AP755" s="24"/>
      <c r="AQ755" s="24"/>
      <c r="AR755" s="24"/>
      <c r="AS755" s="24"/>
      <c r="AT755" s="24"/>
      <c r="AU755" s="24"/>
      <c r="AV755" s="24"/>
      <c r="AW755" s="24"/>
      <c r="AX755" s="24"/>
      <c r="AY755" s="24"/>
      <c r="AZ755" s="24"/>
      <c r="BA755" s="24"/>
      <c r="BB755" s="24"/>
      <c r="BC755" s="24"/>
      <c r="BD755" s="24"/>
      <c r="BE755" s="24"/>
      <c r="BF755" s="24"/>
      <c r="BG755" s="24"/>
      <c r="BH755" s="24"/>
    </row>
    <row r="756" spans="1:60">
      <c r="A756" s="7"/>
      <c r="B756" s="8"/>
      <c r="C756" s="9"/>
      <c r="D756" s="25"/>
      <c r="E756" s="25"/>
      <c r="F756" s="25"/>
      <c r="G756" s="25"/>
      <c r="H756" s="53"/>
      <c r="I756" s="53"/>
      <c r="J756" s="53"/>
      <c r="K756" s="24"/>
      <c r="L756" s="7"/>
      <c r="M756" s="24"/>
      <c r="N756" s="24"/>
      <c r="O756" s="24"/>
      <c r="P756" s="24"/>
      <c r="Q756" s="24"/>
      <c r="R756" s="24"/>
      <c r="S756" s="24"/>
      <c r="T756" s="24"/>
      <c r="U756" s="24"/>
      <c r="V756" s="24"/>
      <c r="W756" s="24"/>
      <c r="X756" s="24"/>
      <c r="Y756" s="24"/>
      <c r="Z756" s="24"/>
      <c r="AA756" s="24"/>
      <c r="AB756" s="24"/>
      <c r="AC756" s="24"/>
      <c r="AD756" s="24"/>
      <c r="AE756" s="24"/>
      <c r="AF756" s="24"/>
      <c r="AG756" s="24"/>
      <c r="AH756" s="24"/>
      <c r="AI756" s="24"/>
      <c r="AJ756" s="24"/>
      <c r="AK756" s="24"/>
      <c r="AL756" s="24"/>
      <c r="AM756" s="24"/>
      <c r="AN756" s="24"/>
      <c r="AO756" s="24"/>
      <c r="AP756" s="24"/>
      <c r="AQ756" s="24"/>
      <c r="AR756" s="24"/>
      <c r="AS756" s="24"/>
      <c r="AT756" s="24"/>
      <c r="AU756" s="24"/>
      <c r="AV756" s="24"/>
      <c r="AW756" s="24"/>
      <c r="AX756" s="24"/>
      <c r="AY756" s="24"/>
      <c r="AZ756" s="24"/>
      <c r="BA756" s="24"/>
      <c r="BB756" s="24"/>
      <c r="BC756" s="24"/>
      <c r="BD756" s="24"/>
      <c r="BE756" s="24"/>
      <c r="BF756" s="24"/>
      <c r="BG756" s="24"/>
      <c r="BH756" s="24"/>
    </row>
    <row r="757" spans="1:60">
      <c r="A757" s="7"/>
      <c r="B757" s="8"/>
      <c r="C757" s="9"/>
      <c r="D757" s="25"/>
      <c r="E757" s="25"/>
      <c r="F757" s="25"/>
      <c r="G757" s="25"/>
      <c r="H757" s="53"/>
      <c r="I757" s="53"/>
      <c r="J757" s="53"/>
      <c r="K757" s="24"/>
      <c r="L757" s="7"/>
      <c r="M757" s="24"/>
      <c r="N757" s="24"/>
      <c r="O757" s="24"/>
      <c r="P757" s="24"/>
      <c r="Q757" s="24"/>
      <c r="R757" s="24"/>
      <c r="S757" s="24"/>
      <c r="T757" s="24"/>
      <c r="U757" s="24"/>
      <c r="V757" s="24"/>
      <c r="W757" s="24"/>
      <c r="X757" s="24"/>
      <c r="Y757" s="24"/>
      <c r="Z757" s="24"/>
      <c r="AA757" s="24"/>
      <c r="AB757" s="24"/>
      <c r="AC757" s="24"/>
      <c r="AD757" s="24"/>
      <c r="AE757" s="24"/>
      <c r="AF757" s="24"/>
      <c r="AG757" s="24"/>
      <c r="AH757" s="24"/>
      <c r="AI757" s="24"/>
      <c r="AJ757" s="24"/>
      <c r="AK757" s="24"/>
      <c r="AL757" s="24"/>
      <c r="AM757" s="24"/>
      <c r="AN757" s="24"/>
      <c r="AO757" s="24"/>
      <c r="AP757" s="24"/>
      <c r="AQ757" s="24"/>
      <c r="AR757" s="24"/>
      <c r="AS757" s="24"/>
      <c r="AT757" s="24"/>
      <c r="AU757" s="24"/>
      <c r="AV757" s="24"/>
      <c r="AW757" s="24"/>
      <c r="AX757" s="24"/>
      <c r="AY757" s="24"/>
      <c r="AZ757" s="24"/>
      <c r="BA757" s="24"/>
      <c r="BB757" s="24"/>
      <c r="BC757" s="24"/>
      <c r="BD757" s="24"/>
      <c r="BE757" s="24"/>
      <c r="BF757" s="24"/>
      <c r="BG757" s="24"/>
      <c r="BH757" s="24"/>
    </row>
    <row r="758" spans="1:60">
      <c r="A758" s="7"/>
      <c r="B758" s="8"/>
      <c r="C758" s="9"/>
      <c r="D758" s="25"/>
      <c r="E758" s="25"/>
      <c r="F758" s="25"/>
      <c r="G758" s="25"/>
      <c r="H758" s="53"/>
      <c r="I758" s="53"/>
      <c r="J758" s="53"/>
      <c r="K758" s="24"/>
      <c r="L758" s="7"/>
      <c r="M758" s="24"/>
      <c r="N758" s="24"/>
      <c r="O758" s="24"/>
      <c r="P758" s="24"/>
      <c r="Q758" s="24"/>
      <c r="R758" s="24"/>
      <c r="S758" s="24"/>
      <c r="T758" s="24"/>
      <c r="U758" s="24"/>
      <c r="V758" s="24"/>
      <c r="W758" s="24"/>
      <c r="X758" s="24"/>
      <c r="Y758" s="24"/>
      <c r="Z758" s="24"/>
      <c r="AA758" s="24"/>
      <c r="AB758" s="24"/>
      <c r="AC758" s="24"/>
      <c r="AD758" s="24"/>
      <c r="AE758" s="24"/>
      <c r="AF758" s="24"/>
      <c r="AG758" s="24"/>
      <c r="AH758" s="24"/>
      <c r="AI758" s="24"/>
      <c r="AJ758" s="24"/>
      <c r="AK758" s="24"/>
      <c r="AL758" s="24"/>
      <c r="AM758" s="24"/>
      <c r="AN758" s="24"/>
      <c r="AO758" s="24"/>
      <c r="AP758" s="24"/>
      <c r="AQ758" s="24"/>
      <c r="AR758" s="24"/>
      <c r="AS758" s="24"/>
      <c r="AT758" s="24"/>
      <c r="AU758" s="24"/>
      <c r="AV758" s="24"/>
      <c r="AW758" s="24"/>
      <c r="AX758" s="24"/>
      <c r="AY758" s="24"/>
      <c r="AZ758" s="24"/>
      <c r="BA758" s="24"/>
      <c r="BB758" s="24"/>
      <c r="BC758" s="24"/>
      <c r="BD758" s="24"/>
      <c r="BE758" s="24"/>
      <c r="BF758" s="24"/>
      <c r="BG758" s="24"/>
      <c r="BH758" s="24"/>
    </row>
    <row r="759" spans="1:60">
      <c r="A759" s="7"/>
      <c r="B759" s="8"/>
      <c r="C759" s="9"/>
      <c r="D759" s="25"/>
      <c r="E759" s="25"/>
      <c r="F759" s="25"/>
      <c r="G759" s="25"/>
      <c r="H759" s="53"/>
      <c r="I759" s="53"/>
      <c r="J759" s="53"/>
      <c r="K759" s="24"/>
      <c r="L759" s="7"/>
      <c r="M759" s="24"/>
      <c r="N759" s="24"/>
      <c r="O759" s="24"/>
      <c r="P759" s="24"/>
      <c r="Q759" s="24"/>
      <c r="R759" s="24"/>
      <c r="S759" s="24"/>
      <c r="T759" s="24"/>
      <c r="U759" s="24"/>
      <c r="V759" s="24"/>
      <c r="W759" s="24"/>
      <c r="X759" s="24"/>
      <c r="Y759" s="24"/>
      <c r="Z759" s="24"/>
      <c r="AA759" s="24"/>
      <c r="AB759" s="24"/>
      <c r="AC759" s="24"/>
      <c r="AD759" s="24"/>
      <c r="AE759" s="24"/>
      <c r="AF759" s="24"/>
      <c r="AG759" s="24"/>
      <c r="AH759" s="24"/>
      <c r="AI759" s="24"/>
      <c r="AJ759" s="24"/>
      <c r="AK759" s="24"/>
      <c r="AL759" s="24"/>
      <c r="AM759" s="24"/>
      <c r="AN759" s="24"/>
      <c r="AO759" s="24"/>
      <c r="AP759" s="24"/>
      <c r="AQ759" s="24"/>
      <c r="AR759" s="24"/>
      <c r="AS759" s="24"/>
      <c r="AT759" s="24"/>
      <c r="AU759" s="24"/>
      <c r="AV759" s="24"/>
      <c r="AW759" s="24"/>
      <c r="AX759" s="24"/>
      <c r="AY759" s="24"/>
      <c r="AZ759" s="24"/>
      <c r="BA759" s="24"/>
      <c r="BB759" s="24"/>
      <c r="BC759" s="24"/>
      <c r="BD759" s="24"/>
      <c r="BE759" s="24"/>
      <c r="BF759" s="24"/>
      <c r="BG759" s="24"/>
      <c r="BH759" s="24"/>
    </row>
    <row r="760" spans="1:60">
      <c r="A760" s="7"/>
      <c r="B760" s="8"/>
      <c r="C760" s="9"/>
      <c r="D760" s="25"/>
      <c r="E760" s="25"/>
      <c r="F760" s="25"/>
      <c r="G760" s="25"/>
      <c r="H760" s="53"/>
      <c r="I760" s="53"/>
      <c r="J760" s="53"/>
      <c r="K760" s="24"/>
      <c r="L760" s="7"/>
      <c r="M760" s="24"/>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c r="BC760" s="24"/>
      <c r="BD760" s="24"/>
      <c r="BE760" s="24"/>
      <c r="BF760" s="24"/>
      <c r="BG760" s="24"/>
      <c r="BH760" s="24"/>
    </row>
    <row r="761" spans="1:60">
      <c r="A761" s="7"/>
      <c r="B761" s="8"/>
      <c r="C761" s="9"/>
      <c r="D761" s="25"/>
      <c r="E761" s="25"/>
      <c r="F761" s="25"/>
      <c r="G761" s="25"/>
      <c r="H761" s="53"/>
      <c r="I761" s="53"/>
      <c r="J761" s="53"/>
      <c r="K761" s="24"/>
      <c r="L761" s="7"/>
      <c r="M761" s="24"/>
      <c r="N761" s="24"/>
      <c r="O761" s="24"/>
      <c r="P761" s="24"/>
      <c r="Q761" s="24"/>
      <c r="R761" s="24"/>
      <c r="S761" s="24"/>
      <c r="T761" s="24"/>
      <c r="U761" s="24"/>
      <c r="V761" s="24"/>
      <c r="W761" s="24"/>
      <c r="X761" s="24"/>
      <c r="Y761" s="24"/>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c r="BC761" s="24"/>
      <c r="BD761" s="24"/>
      <c r="BE761" s="24"/>
      <c r="BF761" s="24"/>
      <c r="BG761" s="24"/>
      <c r="BH761" s="24"/>
    </row>
    <row r="762" spans="1:60">
      <c r="A762" s="7"/>
      <c r="B762" s="8"/>
      <c r="C762" s="9"/>
      <c r="D762" s="25"/>
      <c r="E762" s="25"/>
      <c r="F762" s="25"/>
      <c r="G762" s="25"/>
      <c r="H762" s="53"/>
      <c r="I762" s="53"/>
      <c r="J762" s="53"/>
      <c r="K762" s="24"/>
      <c r="L762" s="7"/>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24"/>
      <c r="BH762" s="24"/>
    </row>
    <row r="763" spans="1:60">
      <c r="A763" s="7"/>
      <c r="B763" s="8"/>
      <c r="C763" s="9"/>
      <c r="D763" s="25"/>
      <c r="E763" s="25"/>
      <c r="F763" s="25"/>
      <c r="G763" s="25"/>
      <c r="H763" s="53"/>
      <c r="I763" s="53"/>
      <c r="J763" s="53"/>
      <c r="K763" s="24"/>
      <c r="L763" s="7"/>
      <c r="M763" s="24"/>
      <c r="N763" s="24"/>
      <c r="O763" s="24"/>
      <c r="P763" s="24"/>
      <c r="Q763" s="24"/>
      <c r="R763" s="24"/>
      <c r="S763" s="24"/>
      <c r="T763" s="24"/>
      <c r="U763" s="24"/>
      <c r="V763" s="24"/>
      <c r="W763" s="24"/>
      <c r="X763" s="24"/>
      <c r="Y763" s="24"/>
      <c r="Z763" s="24"/>
      <c r="AA763" s="24"/>
      <c r="AB763" s="24"/>
      <c r="AC763" s="24"/>
      <c r="AD763" s="24"/>
      <c r="AE763" s="24"/>
      <c r="AF763" s="24"/>
      <c r="AG763" s="24"/>
      <c r="AH763" s="24"/>
      <c r="AI763" s="24"/>
      <c r="AJ763" s="24"/>
      <c r="AK763" s="24"/>
      <c r="AL763" s="24"/>
      <c r="AM763" s="24"/>
      <c r="AN763" s="24"/>
      <c r="AO763" s="24"/>
      <c r="AP763" s="24"/>
      <c r="AQ763" s="24"/>
      <c r="AR763" s="24"/>
      <c r="AS763" s="24"/>
      <c r="AT763" s="24"/>
      <c r="AU763" s="24"/>
      <c r="AV763" s="24"/>
      <c r="AW763" s="24"/>
      <c r="AX763" s="24"/>
      <c r="AY763" s="24"/>
      <c r="AZ763" s="24"/>
      <c r="BA763" s="24"/>
      <c r="BB763" s="24"/>
      <c r="BC763" s="24"/>
      <c r="BD763" s="24"/>
      <c r="BE763" s="24"/>
      <c r="BF763" s="24"/>
      <c r="BG763" s="24"/>
      <c r="BH763" s="24"/>
    </row>
    <row r="764" spans="1:60">
      <c r="A764" s="7"/>
      <c r="B764" s="8"/>
      <c r="C764" s="9"/>
      <c r="D764" s="25"/>
      <c r="E764" s="25"/>
      <c r="F764" s="25"/>
      <c r="G764" s="25"/>
      <c r="H764" s="53"/>
      <c r="I764" s="53"/>
      <c r="J764" s="53"/>
      <c r="K764" s="24"/>
      <c r="L764" s="7"/>
      <c r="M764" s="24"/>
      <c r="N764" s="24"/>
      <c r="O764" s="24"/>
      <c r="P764" s="24"/>
      <c r="Q764" s="24"/>
      <c r="R764" s="24"/>
      <c r="S764" s="24"/>
      <c r="T764" s="24"/>
      <c r="U764" s="24"/>
      <c r="V764" s="24"/>
      <c r="W764" s="24"/>
      <c r="X764" s="24"/>
      <c r="Y764" s="24"/>
      <c r="Z764" s="24"/>
      <c r="AA764" s="24"/>
      <c r="AB764" s="24"/>
      <c r="AC764" s="24"/>
      <c r="AD764" s="24"/>
      <c r="AE764" s="24"/>
      <c r="AF764" s="24"/>
      <c r="AG764" s="24"/>
      <c r="AH764" s="24"/>
      <c r="AI764" s="24"/>
      <c r="AJ764" s="24"/>
      <c r="AK764" s="24"/>
      <c r="AL764" s="24"/>
      <c r="AM764" s="24"/>
      <c r="AN764" s="24"/>
      <c r="AO764" s="24"/>
      <c r="AP764" s="24"/>
      <c r="AQ764" s="24"/>
      <c r="AR764" s="24"/>
      <c r="AS764" s="24"/>
      <c r="AT764" s="24"/>
      <c r="AU764" s="24"/>
      <c r="AV764" s="24"/>
      <c r="AW764" s="24"/>
      <c r="AX764" s="24"/>
      <c r="AY764" s="24"/>
      <c r="AZ764" s="24"/>
      <c r="BA764" s="24"/>
      <c r="BB764" s="24"/>
      <c r="BC764" s="24"/>
      <c r="BD764" s="24"/>
      <c r="BE764" s="24"/>
      <c r="BF764" s="24"/>
      <c r="BG764" s="24"/>
      <c r="BH764" s="24"/>
    </row>
    <row r="765" spans="1:60">
      <c r="A765" s="7"/>
      <c r="B765" s="8"/>
      <c r="C765" s="9"/>
      <c r="D765" s="25"/>
      <c r="E765" s="25"/>
      <c r="F765" s="25"/>
      <c r="G765" s="25"/>
      <c r="H765" s="53"/>
      <c r="I765" s="53"/>
      <c r="J765" s="53"/>
      <c r="K765" s="24"/>
      <c r="L765" s="7"/>
      <c r="M765" s="24"/>
      <c r="N765" s="24"/>
      <c r="O765" s="24"/>
      <c r="P765" s="24"/>
      <c r="Q765" s="24"/>
      <c r="R765" s="24"/>
      <c r="S765" s="24"/>
      <c r="T765" s="24"/>
      <c r="U765" s="24"/>
      <c r="V765" s="24"/>
      <c r="W765" s="24"/>
      <c r="X765" s="24"/>
      <c r="Y765" s="24"/>
      <c r="Z765" s="24"/>
      <c r="AA765" s="24"/>
      <c r="AB765" s="24"/>
      <c r="AC765" s="24"/>
      <c r="AD765" s="24"/>
      <c r="AE765" s="24"/>
      <c r="AF765" s="24"/>
      <c r="AG765" s="24"/>
      <c r="AH765" s="24"/>
      <c r="AI765" s="24"/>
      <c r="AJ765" s="24"/>
      <c r="AK765" s="24"/>
      <c r="AL765" s="24"/>
      <c r="AM765" s="24"/>
      <c r="AN765" s="24"/>
      <c r="AO765" s="24"/>
      <c r="AP765" s="24"/>
      <c r="AQ765" s="24"/>
      <c r="AR765" s="24"/>
      <c r="AS765" s="24"/>
      <c r="AT765" s="24"/>
      <c r="AU765" s="24"/>
      <c r="AV765" s="24"/>
      <c r="AW765" s="24"/>
      <c r="AX765" s="24"/>
      <c r="AY765" s="24"/>
      <c r="AZ765" s="24"/>
      <c r="BA765" s="24"/>
      <c r="BB765" s="24"/>
      <c r="BC765" s="24"/>
      <c r="BD765" s="24"/>
      <c r="BE765" s="24"/>
      <c r="BF765" s="24"/>
      <c r="BG765" s="24"/>
      <c r="BH765" s="24"/>
    </row>
    <row r="766" spans="1:60">
      <c r="A766" s="7"/>
      <c r="B766" s="8"/>
      <c r="C766" s="9"/>
      <c r="D766" s="25"/>
      <c r="E766" s="25"/>
      <c r="F766" s="25"/>
      <c r="G766" s="25"/>
      <c r="H766" s="53"/>
      <c r="I766" s="53"/>
      <c r="J766" s="53"/>
      <c r="K766" s="24"/>
      <c r="L766" s="7"/>
      <c r="M766" s="24"/>
      <c r="N766" s="24"/>
      <c r="O766" s="24"/>
      <c r="P766" s="24"/>
      <c r="Q766" s="24"/>
      <c r="R766" s="24"/>
      <c r="S766" s="24"/>
      <c r="T766" s="24"/>
      <c r="U766" s="24"/>
      <c r="V766" s="24"/>
      <c r="W766" s="24"/>
      <c r="X766" s="24"/>
      <c r="Y766" s="24"/>
      <c r="Z766" s="24"/>
      <c r="AA766" s="24"/>
      <c r="AB766" s="24"/>
      <c r="AC766" s="24"/>
      <c r="AD766" s="24"/>
      <c r="AE766" s="24"/>
      <c r="AF766" s="24"/>
      <c r="AG766" s="24"/>
      <c r="AH766" s="24"/>
      <c r="AI766" s="24"/>
      <c r="AJ766" s="24"/>
      <c r="AK766" s="24"/>
      <c r="AL766" s="24"/>
      <c r="AM766" s="24"/>
      <c r="AN766" s="24"/>
      <c r="AO766" s="24"/>
      <c r="AP766" s="24"/>
      <c r="AQ766" s="24"/>
      <c r="AR766" s="24"/>
      <c r="AS766" s="24"/>
      <c r="AT766" s="24"/>
      <c r="AU766" s="24"/>
      <c r="AV766" s="24"/>
      <c r="AW766" s="24"/>
      <c r="AX766" s="24"/>
      <c r="AY766" s="24"/>
      <c r="AZ766" s="24"/>
      <c r="BA766" s="24"/>
      <c r="BB766" s="24"/>
      <c r="BC766" s="24"/>
      <c r="BD766" s="24"/>
      <c r="BE766" s="24"/>
      <c r="BF766" s="24"/>
      <c r="BG766" s="24"/>
      <c r="BH766" s="24"/>
    </row>
    <row r="767" spans="1:60">
      <c r="A767" s="7"/>
      <c r="B767" s="8"/>
      <c r="C767" s="9"/>
      <c r="D767" s="25"/>
      <c r="E767" s="25"/>
      <c r="F767" s="25"/>
      <c r="G767" s="25"/>
      <c r="H767" s="53"/>
      <c r="I767" s="53"/>
      <c r="J767" s="53"/>
      <c r="K767" s="24"/>
      <c r="L767" s="7"/>
      <c r="M767" s="24"/>
      <c r="N767" s="24"/>
      <c r="O767" s="24"/>
      <c r="P767" s="24"/>
      <c r="Q767" s="24"/>
      <c r="R767" s="24"/>
      <c r="S767" s="24"/>
      <c r="T767" s="24"/>
      <c r="U767" s="24"/>
      <c r="V767" s="24"/>
      <c r="W767" s="24"/>
      <c r="X767" s="24"/>
      <c r="Y767" s="24"/>
      <c r="Z767" s="24"/>
      <c r="AA767" s="24"/>
      <c r="AB767" s="24"/>
      <c r="AC767" s="24"/>
      <c r="AD767" s="24"/>
      <c r="AE767" s="24"/>
      <c r="AF767" s="24"/>
      <c r="AG767" s="24"/>
      <c r="AH767" s="24"/>
      <c r="AI767" s="24"/>
      <c r="AJ767" s="24"/>
      <c r="AK767" s="24"/>
      <c r="AL767" s="24"/>
      <c r="AM767" s="24"/>
      <c r="AN767" s="24"/>
      <c r="AO767" s="24"/>
      <c r="AP767" s="24"/>
      <c r="AQ767" s="24"/>
      <c r="AR767" s="24"/>
      <c r="AS767" s="24"/>
      <c r="AT767" s="24"/>
      <c r="AU767" s="24"/>
      <c r="AV767" s="24"/>
      <c r="AW767" s="24"/>
      <c r="AX767" s="24"/>
      <c r="AY767" s="24"/>
      <c r="AZ767" s="24"/>
      <c r="BA767" s="24"/>
      <c r="BB767" s="24"/>
      <c r="BC767" s="24"/>
      <c r="BD767" s="24"/>
      <c r="BE767" s="24"/>
      <c r="BF767" s="24"/>
      <c r="BG767" s="24"/>
      <c r="BH767" s="24"/>
    </row>
    <row r="768" spans="1:60">
      <c r="A768" s="7"/>
      <c r="B768" s="8"/>
      <c r="C768" s="9"/>
      <c r="D768" s="25"/>
      <c r="E768" s="25"/>
      <c r="F768" s="25"/>
      <c r="G768" s="25"/>
      <c r="H768" s="53"/>
      <c r="I768" s="53"/>
      <c r="J768" s="53"/>
      <c r="K768" s="24"/>
      <c r="L768" s="7"/>
      <c r="M768" s="24"/>
      <c r="N768" s="24"/>
      <c r="O768" s="24"/>
      <c r="P768" s="24"/>
      <c r="Q768" s="24"/>
      <c r="R768" s="24"/>
      <c r="S768" s="24"/>
      <c r="T768" s="24"/>
      <c r="U768" s="24"/>
      <c r="V768" s="24"/>
      <c r="W768" s="24"/>
      <c r="X768" s="24"/>
      <c r="Y768" s="24"/>
      <c r="Z768" s="24"/>
      <c r="AA768" s="24"/>
      <c r="AB768" s="24"/>
      <c r="AC768" s="24"/>
      <c r="AD768" s="24"/>
      <c r="AE768" s="24"/>
      <c r="AF768" s="24"/>
      <c r="AG768" s="24"/>
      <c r="AH768" s="24"/>
      <c r="AI768" s="24"/>
      <c r="AJ768" s="24"/>
      <c r="AK768" s="24"/>
      <c r="AL768" s="24"/>
      <c r="AM768" s="24"/>
      <c r="AN768" s="24"/>
      <c r="AO768" s="24"/>
      <c r="AP768" s="24"/>
      <c r="AQ768" s="24"/>
      <c r="AR768" s="24"/>
      <c r="AS768" s="24"/>
      <c r="AT768" s="24"/>
      <c r="AU768" s="24"/>
      <c r="AV768" s="24"/>
      <c r="AW768" s="24"/>
      <c r="AX768" s="24"/>
      <c r="AY768" s="24"/>
      <c r="AZ768" s="24"/>
      <c r="BA768" s="24"/>
      <c r="BB768" s="24"/>
      <c r="BC768" s="24"/>
      <c r="BD768" s="24"/>
      <c r="BE768" s="24"/>
      <c r="BF768" s="24"/>
      <c r="BG768" s="24"/>
      <c r="BH768" s="24"/>
    </row>
    <row r="769" spans="1:60">
      <c r="A769" s="7"/>
      <c r="B769" s="8"/>
      <c r="C769" s="9"/>
      <c r="D769" s="25"/>
      <c r="E769" s="25"/>
      <c r="F769" s="25"/>
      <c r="G769" s="25"/>
      <c r="H769" s="53"/>
      <c r="I769" s="53"/>
      <c r="J769" s="53"/>
      <c r="K769" s="24"/>
      <c r="L769" s="7"/>
      <c r="M769" s="24"/>
      <c r="N769" s="24"/>
      <c r="O769" s="24"/>
      <c r="P769" s="24"/>
      <c r="Q769" s="24"/>
      <c r="R769" s="24"/>
      <c r="S769" s="24"/>
      <c r="T769" s="24"/>
      <c r="U769" s="24"/>
      <c r="V769" s="24"/>
      <c r="W769" s="24"/>
      <c r="X769" s="24"/>
      <c r="Y769" s="24"/>
      <c r="Z769" s="24"/>
      <c r="AA769" s="24"/>
      <c r="AB769" s="24"/>
      <c r="AC769" s="24"/>
      <c r="AD769" s="24"/>
      <c r="AE769" s="24"/>
      <c r="AF769" s="24"/>
      <c r="AG769" s="24"/>
      <c r="AH769" s="24"/>
      <c r="AI769" s="24"/>
      <c r="AJ769" s="24"/>
      <c r="AK769" s="24"/>
      <c r="AL769" s="24"/>
      <c r="AM769" s="24"/>
      <c r="AN769" s="24"/>
      <c r="AO769" s="24"/>
      <c r="AP769" s="24"/>
      <c r="AQ769" s="24"/>
      <c r="AR769" s="24"/>
      <c r="AS769" s="24"/>
      <c r="AT769" s="24"/>
      <c r="AU769" s="24"/>
      <c r="AV769" s="24"/>
      <c r="AW769" s="24"/>
      <c r="AX769" s="24"/>
      <c r="AY769" s="24"/>
      <c r="AZ769" s="24"/>
      <c r="BA769" s="24"/>
      <c r="BB769" s="24"/>
      <c r="BC769" s="24"/>
      <c r="BD769" s="24"/>
      <c r="BE769" s="24"/>
      <c r="BF769" s="24"/>
      <c r="BG769" s="24"/>
      <c r="BH769" s="24"/>
    </row>
    <row r="770" spans="1:60">
      <c r="A770" s="7"/>
      <c r="B770" s="8"/>
      <c r="C770" s="9"/>
      <c r="D770" s="25"/>
      <c r="E770" s="25"/>
      <c r="F770" s="25"/>
      <c r="G770" s="25"/>
      <c r="H770" s="53"/>
      <c r="I770" s="53"/>
      <c r="J770" s="53"/>
      <c r="K770" s="24"/>
      <c r="L770" s="7"/>
      <c r="M770" s="24"/>
      <c r="N770" s="24"/>
      <c r="O770" s="24"/>
      <c r="P770" s="24"/>
      <c r="Q770" s="24"/>
      <c r="R770" s="24"/>
      <c r="S770" s="24"/>
      <c r="T770" s="24"/>
      <c r="U770" s="24"/>
      <c r="V770" s="24"/>
      <c r="W770" s="24"/>
      <c r="X770" s="24"/>
      <c r="Y770" s="24"/>
      <c r="Z770" s="24"/>
      <c r="AA770" s="24"/>
      <c r="AB770" s="24"/>
      <c r="AC770" s="24"/>
      <c r="AD770" s="24"/>
      <c r="AE770" s="24"/>
      <c r="AF770" s="24"/>
      <c r="AG770" s="24"/>
      <c r="AH770" s="24"/>
      <c r="AI770" s="24"/>
      <c r="AJ770" s="24"/>
      <c r="AK770" s="24"/>
      <c r="AL770" s="24"/>
      <c r="AM770" s="24"/>
      <c r="AN770" s="24"/>
      <c r="AO770" s="24"/>
      <c r="AP770" s="24"/>
      <c r="AQ770" s="24"/>
      <c r="AR770" s="24"/>
      <c r="AS770" s="24"/>
      <c r="AT770" s="24"/>
      <c r="AU770" s="24"/>
      <c r="AV770" s="24"/>
      <c r="AW770" s="24"/>
      <c r="AX770" s="24"/>
      <c r="AY770" s="24"/>
      <c r="AZ770" s="24"/>
      <c r="BA770" s="24"/>
      <c r="BB770" s="24"/>
      <c r="BC770" s="24"/>
      <c r="BD770" s="24"/>
      <c r="BE770" s="24"/>
      <c r="BF770" s="24"/>
      <c r="BG770" s="24"/>
      <c r="BH770" s="24"/>
    </row>
    <row r="771" spans="1:60">
      <c r="A771" s="7"/>
      <c r="B771" s="8"/>
      <c r="C771" s="9"/>
      <c r="D771" s="25"/>
      <c r="E771" s="25"/>
      <c r="F771" s="25"/>
      <c r="G771" s="25"/>
      <c r="H771" s="53"/>
      <c r="I771" s="53"/>
      <c r="J771" s="53"/>
      <c r="K771" s="24"/>
      <c r="L771" s="7"/>
      <c r="M771" s="24"/>
      <c r="N771" s="24"/>
      <c r="O771" s="24"/>
      <c r="P771" s="24"/>
      <c r="Q771" s="24"/>
      <c r="R771" s="24"/>
      <c r="S771" s="24"/>
      <c r="T771" s="24"/>
      <c r="U771" s="24"/>
      <c r="V771" s="24"/>
      <c r="W771" s="24"/>
      <c r="X771" s="24"/>
      <c r="Y771" s="24"/>
      <c r="Z771" s="24"/>
      <c r="AA771" s="24"/>
      <c r="AB771" s="24"/>
      <c r="AC771" s="24"/>
      <c r="AD771" s="24"/>
      <c r="AE771" s="24"/>
      <c r="AF771" s="24"/>
      <c r="AG771" s="24"/>
      <c r="AH771" s="24"/>
      <c r="AI771" s="24"/>
      <c r="AJ771" s="24"/>
      <c r="AK771" s="24"/>
      <c r="AL771" s="24"/>
      <c r="AM771" s="24"/>
      <c r="AN771" s="24"/>
      <c r="AO771" s="24"/>
      <c r="AP771" s="24"/>
      <c r="AQ771" s="24"/>
      <c r="AR771" s="24"/>
      <c r="AS771" s="24"/>
      <c r="AT771" s="24"/>
      <c r="AU771" s="24"/>
      <c r="AV771" s="24"/>
      <c r="AW771" s="24"/>
      <c r="AX771" s="24"/>
      <c r="AY771" s="24"/>
      <c r="AZ771" s="24"/>
      <c r="BA771" s="24"/>
      <c r="BB771" s="24"/>
      <c r="BC771" s="24"/>
      <c r="BD771" s="24"/>
      <c r="BE771" s="24"/>
      <c r="BF771" s="24"/>
      <c r="BG771" s="24"/>
      <c r="BH771" s="24"/>
    </row>
    <row r="772" spans="1:60">
      <c r="A772" s="7"/>
      <c r="B772" s="8"/>
      <c r="C772" s="9"/>
      <c r="D772" s="25"/>
      <c r="E772" s="25"/>
      <c r="F772" s="25"/>
      <c r="G772" s="25"/>
      <c r="H772" s="53"/>
      <c r="I772" s="53"/>
      <c r="J772" s="53"/>
      <c r="K772" s="24"/>
      <c r="L772" s="7"/>
      <c r="M772" s="24"/>
      <c r="N772" s="24"/>
      <c r="O772" s="24"/>
      <c r="P772" s="24"/>
      <c r="Q772" s="24"/>
      <c r="R772" s="24"/>
      <c r="S772" s="24"/>
      <c r="T772" s="24"/>
      <c r="U772" s="24"/>
      <c r="V772" s="24"/>
      <c r="W772" s="24"/>
      <c r="X772" s="24"/>
      <c r="Y772" s="24"/>
      <c r="Z772" s="24"/>
      <c r="AA772" s="24"/>
      <c r="AB772" s="24"/>
      <c r="AC772" s="24"/>
      <c r="AD772" s="24"/>
      <c r="AE772" s="24"/>
      <c r="AF772" s="24"/>
      <c r="AG772" s="24"/>
      <c r="AH772" s="24"/>
      <c r="AI772" s="24"/>
      <c r="AJ772" s="24"/>
      <c r="AK772" s="24"/>
      <c r="AL772" s="24"/>
      <c r="AM772" s="24"/>
      <c r="AN772" s="24"/>
      <c r="AO772" s="24"/>
      <c r="AP772" s="24"/>
      <c r="AQ772" s="24"/>
      <c r="AR772" s="24"/>
      <c r="AS772" s="24"/>
      <c r="AT772" s="24"/>
      <c r="AU772" s="24"/>
      <c r="AV772" s="24"/>
      <c r="AW772" s="24"/>
      <c r="AX772" s="24"/>
      <c r="AY772" s="24"/>
      <c r="AZ772" s="24"/>
      <c r="BA772" s="24"/>
      <c r="BB772" s="24"/>
      <c r="BC772" s="24"/>
      <c r="BD772" s="24"/>
      <c r="BE772" s="24"/>
      <c r="BF772" s="24"/>
      <c r="BG772" s="24"/>
      <c r="BH772" s="24"/>
    </row>
    <row r="773" spans="1:60">
      <c r="A773" s="7"/>
      <c r="B773" s="8"/>
      <c r="C773" s="9"/>
      <c r="D773" s="25"/>
      <c r="E773" s="25"/>
      <c r="F773" s="25"/>
      <c r="G773" s="25"/>
      <c r="H773" s="53"/>
      <c r="I773" s="53"/>
      <c r="J773" s="53"/>
      <c r="K773" s="24"/>
      <c r="L773" s="7"/>
      <c r="M773" s="24"/>
      <c r="N773" s="24"/>
      <c r="O773" s="24"/>
      <c r="P773" s="24"/>
      <c r="Q773" s="24"/>
      <c r="R773" s="24"/>
      <c r="S773" s="24"/>
      <c r="T773" s="24"/>
      <c r="U773" s="24"/>
      <c r="V773" s="24"/>
      <c r="W773" s="24"/>
      <c r="X773" s="24"/>
      <c r="Y773" s="24"/>
      <c r="Z773" s="24"/>
      <c r="AA773" s="24"/>
      <c r="AB773" s="24"/>
      <c r="AC773" s="24"/>
      <c r="AD773" s="24"/>
      <c r="AE773" s="24"/>
      <c r="AF773" s="24"/>
      <c r="AG773" s="24"/>
      <c r="AH773" s="24"/>
      <c r="AI773" s="24"/>
      <c r="AJ773" s="24"/>
      <c r="AK773" s="24"/>
      <c r="AL773" s="24"/>
      <c r="AM773" s="24"/>
      <c r="AN773" s="24"/>
      <c r="AO773" s="24"/>
      <c r="AP773" s="24"/>
      <c r="AQ773" s="24"/>
      <c r="AR773" s="24"/>
      <c r="AS773" s="24"/>
      <c r="AT773" s="24"/>
      <c r="AU773" s="24"/>
      <c r="AV773" s="24"/>
      <c r="AW773" s="24"/>
      <c r="AX773" s="24"/>
      <c r="AY773" s="24"/>
      <c r="AZ773" s="24"/>
      <c r="BA773" s="24"/>
      <c r="BB773" s="24"/>
      <c r="BC773" s="24"/>
      <c r="BD773" s="24"/>
      <c r="BE773" s="24"/>
      <c r="BF773" s="24"/>
      <c r="BG773" s="24"/>
      <c r="BH773" s="24"/>
    </row>
    <row r="774" spans="1:60">
      <c r="A774" s="7"/>
      <c r="B774" s="8"/>
      <c r="C774" s="9"/>
      <c r="D774" s="25"/>
      <c r="E774" s="25"/>
      <c r="F774" s="25"/>
      <c r="G774" s="25"/>
      <c r="H774" s="53"/>
      <c r="I774" s="53"/>
      <c r="J774" s="53"/>
      <c r="K774" s="24"/>
      <c r="L774" s="7"/>
      <c r="M774" s="24"/>
      <c r="N774" s="24"/>
      <c r="O774" s="24"/>
      <c r="P774" s="24"/>
      <c r="Q774" s="24"/>
      <c r="R774" s="24"/>
      <c r="S774" s="24"/>
      <c r="T774" s="24"/>
      <c r="U774" s="24"/>
      <c r="V774" s="24"/>
      <c r="W774" s="24"/>
      <c r="X774" s="24"/>
      <c r="Y774" s="24"/>
      <c r="Z774" s="24"/>
      <c r="AA774" s="24"/>
      <c r="AB774" s="24"/>
      <c r="AC774" s="24"/>
      <c r="AD774" s="24"/>
      <c r="AE774" s="24"/>
      <c r="AF774" s="24"/>
      <c r="AG774" s="24"/>
      <c r="AH774" s="24"/>
      <c r="AI774" s="24"/>
      <c r="AJ774" s="24"/>
      <c r="AK774" s="24"/>
      <c r="AL774" s="24"/>
      <c r="AM774" s="24"/>
      <c r="AN774" s="24"/>
      <c r="AO774" s="24"/>
      <c r="AP774" s="24"/>
      <c r="AQ774" s="24"/>
      <c r="AR774" s="24"/>
      <c r="AS774" s="24"/>
      <c r="AT774" s="24"/>
      <c r="AU774" s="24"/>
      <c r="AV774" s="24"/>
      <c r="AW774" s="24"/>
      <c r="AX774" s="24"/>
      <c r="AY774" s="24"/>
      <c r="AZ774" s="24"/>
      <c r="BA774" s="24"/>
      <c r="BB774" s="24"/>
      <c r="BC774" s="24"/>
      <c r="BD774" s="24"/>
      <c r="BE774" s="24"/>
      <c r="BF774" s="24"/>
      <c r="BG774" s="24"/>
      <c r="BH774" s="24"/>
    </row>
    <row r="775" spans="1:60">
      <c r="A775" s="7"/>
      <c r="B775" s="8"/>
      <c r="C775" s="9"/>
      <c r="D775" s="25"/>
      <c r="E775" s="25"/>
      <c r="F775" s="25"/>
      <c r="G775" s="25"/>
      <c r="H775" s="53"/>
      <c r="I775" s="53"/>
      <c r="J775" s="53"/>
      <c r="K775" s="24"/>
      <c r="L775" s="7"/>
      <c r="M775" s="24"/>
      <c r="N775" s="24"/>
      <c r="O775" s="24"/>
      <c r="P775" s="24"/>
      <c r="Q775" s="24"/>
      <c r="R775" s="24"/>
      <c r="S775" s="24"/>
      <c r="T775" s="24"/>
      <c r="U775" s="24"/>
      <c r="V775" s="24"/>
      <c r="W775" s="24"/>
      <c r="X775" s="24"/>
      <c r="Y775" s="24"/>
      <c r="Z775" s="24"/>
      <c r="AA775" s="24"/>
      <c r="AB775" s="24"/>
      <c r="AC775" s="24"/>
      <c r="AD775" s="24"/>
      <c r="AE775" s="24"/>
      <c r="AF775" s="24"/>
      <c r="AG775" s="24"/>
      <c r="AH775" s="24"/>
      <c r="AI775" s="24"/>
      <c r="AJ775" s="24"/>
      <c r="AK775" s="24"/>
      <c r="AL775" s="24"/>
      <c r="AM775" s="24"/>
      <c r="AN775" s="24"/>
      <c r="AO775" s="24"/>
      <c r="AP775" s="24"/>
      <c r="AQ775" s="24"/>
      <c r="AR775" s="24"/>
      <c r="AS775" s="24"/>
      <c r="AT775" s="24"/>
      <c r="AU775" s="24"/>
      <c r="AV775" s="24"/>
      <c r="AW775" s="24"/>
      <c r="AX775" s="24"/>
      <c r="AY775" s="24"/>
      <c r="AZ775" s="24"/>
      <c r="BA775" s="24"/>
      <c r="BB775" s="24"/>
      <c r="BC775" s="24"/>
      <c r="BD775" s="24"/>
      <c r="BE775" s="24"/>
      <c r="BF775" s="24"/>
      <c r="BG775" s="24"/>
      <c r="BH775" s="24"/>
    </row>
    <row r="776" spans="1:60">
      <c r="A776" s="7"/>
      <c r="B776" s="8"/>
      <c r="C776" s="9"/>
      <c r="D776" s="25"/>
      <c r="E776" s="25"/>
      <c r="F776" s="25"/>
      <c r="G776" s="25"/>
      <c r="H776" s="53"/>
      <c r="I776" s="53"/>
      <c r="J776" s="53"/>
      <c r="K776" s="24"/>
      <c r="L776" s="7"/>
      <c r="M776" s="24"/>
      <c r="N776" s="24"/>
      <c r="O776" s="24"/>
      <c r="P776" s="24"/>
      <c r="Q776" s="24"/>
      <c r="R776" s="24"/>
      <c r="S776" s="24"/>
      <c r="T776" s="24"/>
      <c r="U776" s="24"/>
      <c r="V776" s="24"/>
      <c r="W776" s="24"/>
      <c r="X776" s="24"/>
      <c r="Y776" s="24"/>
      <c r="Z776" s="24"/>
      <c r="AA776" s="24"/>
      <c r="AB776" s="24"/>
      <c r="AC776" s="24"/>
      <c r="AD776" s="24"/>
      <c r="AE776" s="24"/>
      <c r="AF776" s="24"/>
      <c r="AG776" s="24"/>
      <c r="AH776" s="24"/>
      <c r="AI776" s="24"/>
      <c r="AJ776" s="24"/>
      <c r="AK776" s="24"/>
      <c r="AL776" s="24"/>
      <c r="AM776" s="24"/>
      <c r="AN776" s="24"/>
      <c r="AO776" s="24"/>
      <c r="AP776" s="24"/>
      <c r="AQ776" s="24"/>
      <c r="AR776" s="24"/>
      <c r="AS776" s="24"/>
      <c r="AT776" s="24"/>
      <c r="AU776" s="24"/>
      <c r="AV776" s="24"/>
      <c r="AW776" s="24"/>
      <c r="AX776" s="24"/>
      <c r="AY776" s="24"/>
      <c r="AZ776" s="24"/>
      <c r="BA776" s="24"/>
      <c r="BB776" s="24"/>
      <c r="BC776" s="24"/>
      <c r="BD776" s="24"/>
      <c r="BE776" s="24"/>
      <c r="BF776" s="24"/>
      <c r="BG776" s="24"/>
      <c r="BH776" s="24"/>
    </row>
    <row r="777" spans="1:60">
      <c r="A777" s="7"/>
      <c r="B777" s="8"/>
      <c r="C777" s="9"/>
      <c r="D777" s="25"/>
      <c r="E777" s="25"/>
      <c r="F777" s="25"/>
      <c r="G777" s="25"/>
      <c r="H777" s="53"/>
      <c r="I777" s="53"/>
      <c r="J777" s="53"/>
      <c r="K777" s="24"/>
      <c r="L777" s="7"/>
      <c r="M777" s="24"/>
      <c r="N777" s="24"/>
      <c r="O777" s="24"/>
      <c r="P777" s="24"/>
      <c r="Q777" s="24"/>
      <c r="R777" s="24"/>
      <c r="S777" s="24"/>
      <c r="T777" s="24"/>
      <c r="U777" s="24"/>
      <c r="V777" s="24"/>
      <c r="W777" s="24"/>
      <c r="X777" s="24"/>
      <c r="Y777" s="24"/>
      <c r="Z777" s="24"/>
      <c r="AA777" s="24"/>
      <c r="AB777" s="24"/>
      <c r="AC777" s="24"/>
      <c r="AD777" s="24"/>
      <c r="AE777" s="24"/>
      <c r="AF777" s="24"/>
      <c r="AG777" s="24"/>
      <c r="AH777" s="24"/>
      <c r="AI777" s="24"/>
      <c r="AJ777" s="24"/>
      <c r="AK777" s="24"/>
      <c r="AL777" s="24"/>
      <c r="AM777" s="24"/>
      <c r="AN777" s="24"/>
      <c r="AO777" s="24"/>
      <c r="AP777" s="24"/>
      <c r="AQ777" s="24"/>
      <c r="AR777" s="24"/>
      <c r="AS777" s="24"/>
      <c r="AT777" s="24"/>
      <c r="AU777" s="24"/>
      <c r="AV777" s="24"/>
      <c r="AW777" s="24"/>
      <c r="AX777" s="24"/>
      <c r="AY777" s="24"/>
      <c r="AZ777" s="24"/>
      <c r="BA777" s="24"/>
      <c r="BB777" s="24"/>
      <c r="BC777" s="24"/>
      <c r="BD777" s="24"/>
      <c r="BE777" s="24"/>
      <c r="BF777" s="24"/>
      <c r="BG777" s="24"/>
      <c r="BH777" s="24"/>
    </row>
    <row r="778" spans="1:60">
      <c r="A778" s="7"/>
      <c r="B778" s="8"/>
      <c r="C778" s="9"/>
      <c r="D778" s="25"/>
      <c r="E778" s="25"/>
      <c r="F778" s="25"/>
      <c r="G778" s="25"/>
      <c r="H778" s="53"/>
      <c r="I778" s="53"/>
      <c r="J778" s="53"/>
      <c r="K778" s="24"/>
      <c r="L778" s="7"/>
      <c r="M778" s="24"/>
      <c r="N778" s="24"/>
      <c r="O778" s="24"/>
      <c r="P778" s="24"/>
      <c r="Q778" s="24"/>
      <c r="R778" s="24"/>
      <c r="S778" s="24"/>
      <c r="T778" s="24"/>
      <c r="U778" s="24"/>
      <c r="V778" s="24"/>
      <c r="W778" s="24"/>
      <c r="X778" s="24"/>
      <c r="Y778" s="24"/>
      <c r="Z778" s="24"/>
      <c r="AA778" s="24"/>
      <c r="AB778" s="24"/>
      <c r="AC778" s="24"/>
      <c r="AD778" s="24"/>
      <c r="AE778" s="24"/>
      <c r="AF778" s="24"/>
      <c r="AG778" s="24"/>
      <c r="AH778" s="24"/>
      <c r="AI778" s="24"/>
      <c r="AJ778" s="24"/>
      <c r="AK778" s="24"/>
      <c r="AL778" s="24"/>
      <c r="AM778" s="24"/>
      <c r="AN778" s="24"/>
      <c r="AO778" s="24"/>
      <c r="AP778" s="24"/>
      <c r="AQ778" s="24"/>
      <c r="AR778" s="24"/>
      <c r="AS778" s="24"/>
      <c r="AT778" s="24"/>
      <c r="AU778" s="24"/>
      <c r="AV778" s="24"/>
      <c r="AW778" s="24"/>
      <c r="AX778" s="24"/>
      <c r="AY778" s="24"/>
      <c r="AZ778" s="24"/>
      <c r="BA778" s="24"/>
      <c r="BB778" s="24"/>
      <c r="BC778" s="24"/>
      <c r="BD778" s="24"/>
      <c r="BE778" s="24"/>
      <c r="BF778" s="24"/>
      <c r="BG778" s="24"/>
      <c r="BH778" s="24"/>
    </row>
    <row r="779" spans="1:60">
      <c r="A779" s="7"/>
      <c r="B779" s="8"/>
      <c r="C779" s="9"/>
      <c r="D779" s="25"/>
      <c r="E779" s="25"/>
      <c r="F779" s="25"/>
      <c r="G779" s="25"/>
      <c r="H779" s="53"/>
      <c r="I779" s="53"/>
      <c r="J779" s="53"/>
      <c r="K779" s="24"/>
      <c r="L779" s="7"/>
      <c r="M779" s="24"/>
      <c r="N779" s="24"/>
      <c r="O779" s="24"/>
      <c r="P779" s="24"/>
      <c r="Q779" s="24"/>
      <c r="R779" s="24"/>
      <c r="S779" s="24"/>
      <c r="T779" s="24"/>
      <c r="U779" s="24"/>
      <c r="V779" s="24"/>
      <c r="W779" s="24"/>
      <c r="X779" s="24"/>
      <c r="Y779" s="24"/>
      <c r="Z779" s="24"/>
      <c r="AA779" s="24"/>
      <c r="AB779" s="24"/>
      <c r="AC779" s="24"/>
      <c r="AD779" s="24"/>
      <c r="AE779" s="24"/>
      <c r="AF779" s="24"/>
      <c r="AG779" s="24"/>
      <c r="AH779" s="24"/>
      <c r="AI779" s="24"/>
      <c r="AJ779" s="24"/>
      <c r="AK779" s="24"/>
      <c r="AL779" s="24"/>
      <c r="AM779" s="24"/>
      <c r="AN779" s="24"/>
      <c r="AO779" s="24"/>
      <c r="AP779" s="24"/>
      <c r="AQ779" s="24"/>
      <c r="AR779" s="24"/>
      <c r="AS779" s="24"/>
      <c r="AT779" s="24"/>
      <c r="AU779" s="24"/>
      <c r="AV779" s="24"/>
      <c r="AW779" s="24"/>
      <c r="AX779" s="24"/>
      <c r="AY779" s="24"/>
      <c r="AZ779" s="24"/>
      <c r="BA779" s="24"/>
      <c r="BB779" s="24"/>
      <c r="BC779" s="24"/>
      <c r="BD779" s="24"/>
      <c r="BE779" s="24"/>
      <c r="BF779" s="24"/>
      <c r="BG779" s="24"/>
      <c r="BH779" s="24"/>
    </row>
    <row r="780" spans="1:60">
      <c r="A780" s="7"/>
      <c r="B780" s="8"/>
      <c r="C780" s="9"/>
      <c r="D780" s="25"/>
      <c r="E780" s="25"/>
      <c r="F780" s="25"/>
      <c r="G780" s="25"/>
      <c r="H780" s="53"/>
      <c r="I780" s="53"/>
      <c r="J780" s="53"/>
      <c r="K780" s="24"/>
      <c r="L780" s="7"/>
      <c r="M780" s="24"/>
      <c r="N780" s="24"/>
      <c r="O780" s="24"/>
      <c r="P780" s="24"/>
      <c r="Q780" s="24"/>
      <c r="R780" s="24"/>
      <c r="S780" s="24"/>
      <c r="T780" s="24"/>
      <c r="U780" s="24"/>
      <c r="V780" s="24"/>
      <c r="W780" s="24"/>
      <c r="X780" s="24"/>
      <c r="Y780" s="24"/>
      <c r="Z780" s="24"/>
      <c r="AA780" s="24"/>
      <c r="AB780" s="24"/>
      <c r="AC780" s="24"/>
      <c r="AD780" s="24"/>
      <c r="AE780" s="24"/>
      <c r="AF780" s="24"/>
      <c r="AG780" s="24"/>
      <c r="AH780" s="24"/>
      <c r="AI780" s="24"/>
      <c r="AJ780" s="24"/>
      <c r="AK780" s="24"/>
      <c r="AL780" s="24"/>
      <c r="AM780" s="24"/>
      <c r="AN780" s="24"/>
      <c r="AO780" s="24"/>
      <c r="AP780" s="24"/>
      <c r="AQ780" s="24"/>
      <c r="AR780" s="24"/>
      <c r="AS780" s="24"/>
      <c r="AT780" s="24"/>
      <c r="AU780" s="24"/>
      <c r="AV780" s="24"/>
      <c r="AW780" s="24"/>
      <c r="AX780" s="24"/>
      <c r="AY780" s="24"/>
      <c r="AZ780" s="24"/>
      <c r="BA780" s="24"/>
      <c r="BB780" s="24"/>
      <c r="BC780" s="24"/>
      <c r="BD780" s="24"/>
      <c r="BE780" s="24"/>
      <c r="BF780" s="24"/>
      <c r="BG780" s="24"/>
      <c r="BH780" s="24"/>
    </row>
    <row r="781" spans="1:60">
      <c r="A781" s="7"/>
      <c r="B781" s="8"/>
      <c r="C781" s="9"/>
      <c r="D781" s="25"/>
      <c r="E781" s="25"/>
      <c r="F781" s="25"/>
      <c r="G781" s="25"/>
      <c r="H781" s="53"/>
      <c r="I781" s="53"/>
      <c r="J781" s="53"/>
      <c r="K781" s="24"/>
      <c r="L781" s="7"/>
      <c r="M781" s="24"/>
      <c r="N781" s="24"/>
      <c r="O781" s="24"/>
      <c r="P781" s="24"/>
      <c r="Q781" s="24"/>
      <c r="R781" s="24"/>
      <c r="S781" s="24"/>
      <c r="T781" s="24"/>
      <c r="U781" s="24"/>
      <c r="V781" s="24"/>
      <c r="W781" s="24"/>
      <c r="X781" s="24"/>
      <c r="Y781" s="24"/>
      <c r="Z781" s="24"/>
      <c r="AA781" s="24"/>
      <c r="AB781" s="24"/>
      <c r="AC781" s="24"/>
      <c r="AD781" s="24"/>
      <c r="AE781" s="24"/>
      <c r="AF781" s="24"/>
      <c r="AG781" s="24"/>
      <c r="AH781" s="24"/>
      <c r="AI781" s="24"/>
      <c r="AJ781" s="24"/>
      <c r="AK781" s="24"/>
      <c r="AL781" s="24"/>
      <c r="AM781" s="24"/>
      <c r="AN781" s="24"/>
      <c r="AO781" s="24"/>
      <c r="AP781" s="24"/>
      <c r="AQ781" s="24"/>
      <c r="AR781" s="24"/>
      <c r="AS781" s="24"/>
      <c r="AT781" s="24"/>
      <c r="AU781" s="24"/>
      <c r="AV781" s="24"/>
      <c r="AW781" s="24"/>
      <c r="AX781" s="24"/>
      <c r="AY781" s="24"/>
      <c r="AZ781" s="24"/>
      <c r="BA781" s="24"/>
      <c r="BB781" s="24"/>
      <c r="BC781" s="24"/>
      <c r="BD781" s="24"/>
      <c r="BE781" s="24"/>
      <c r="BF781" s="24"/>
      <c r="BG781" s="24"/>
      <c r="BH781" s="24"/>
    </row>
    <row r="782" spans="1:60">
      <c r="A782" s="7"/>
      <c r="B782" s="8"/>
      <c r="C782" s="9"/>
      <c r="D782" s="25"/>
      <c r="E782" s="25"/>
      <c r="F782" s="25"/>
      <c r="G782" s="25"/>
      <c r="H782" s="53"/>
      <c r="I782" s="53"/>
      <c r="J782" s="53"/>
      <c r="K782" s="24"/>
      <c r="L782" s="7"/>
      <c r="M782" s="24"/>
      <c r="N782" s="24"/>
      <c r="O782" s="24"/>
      <c r="P782" s="24"/>
      <c r="Q782" s="24"/>
      <c r="R782" s="24"/>
      <c r="S782" s="24"/>
      <c r="T782" s="24"/>
      <c r="U782" s="24"/>
      <c r="V782" s="24"/>
      <c r="W782" s="24"/>
      <c r="X782" s="24"/>
      <c r="Y782" s="24"/>
      <c r="Z782" s="24"/>
      <c r="AA782" s="24"/>
      <c r="AB782" s="24"/>
      <c r="AC782" s="24"/>
      <c r="AD782" s="24"/>
      <c r="AE782" s="24"/>
      <c r="AF782" s="24"/>
      <c r="AG782" s="24"/>
      <c r="AH782" s="24"/>
      <c r="AI782" s="24"/>
      <c r="AJ782" s="24"/>
      <c r="AK782" s="24"/>
      <c r="AL782" s="24"/>
      <c r="AM782" s="24"/>
      <c r="AN782" s="24"/>
      <c r="AO782" s="24"/>
      <c r="AP782" s="24"/>
      <c r="AQ782" s="24"/>
      <c r="AR782" s="24"/>
      <c r="AS782" s="24"/>
      <c r="AT782" s="24"/>
      <c r="AU782" s="24"/>
      <c r="AV782" s="24"/>
      <c r="AW782" s="24"/>
      <c r="AX782" s="24"/>
      <c r="AY782" s="24"/>
      <c r="AZ782" s="24"/>
      <c r="BA782" s="24"/>
      <c r="BB782" s="24"/>
      <c r="BC782" s="24"/>
      <c r="BD782" s="24"/>
      <c r="BE782" s="24"/>
      <c r="BF782" s="24"/>
      <c r="BG782" s="24"/>
      <c r="BH782" s="24"/>
    </row>
    <row r="783" spans="1:60">
      <c r="A783" s="7"/>
      <c r="B783" s="8"/>
      <c r="C783" s="9"/>
      <c r="D783" s="25"/>
      <c r="E783" s="25"/>
      <c r="F783" s="25"/>
      <c r="G783" s="25"/>
      <c r="H783" s="53"/>
      <c r="I783" s="53"/>
      <c r="J783" s="53"/>
      <c r="K783" s="24"/>
      <c r="L783" s="7"/>
      <c r="M783" s="24"/>
      <c r="N783" s="24"/>
      <c r="O783" s="24"/>
      <c r="P783" s="24"/>
      <c r="Q783" s="24"/>
      <c r="R783" s="24"/>
      <c r="S783" s="24"/>
      <c r="T783" s="24"/>
      <c r="U783" s="24"/>
      <c r="V783" s="24"/>
      <c r="W783" s="24"/>
      <c r="X783" s="24"/>
      <c r="Y783" s="24"/>
      <c r="Z783" s="24"/>
      <c r="AA783" s="24"/>
      <c r="AB783" s="24"/>
      <c r="AC783" s="24"/>
      <c r="AD783" s="24"/>
      <c r="AE783" s="24"/>
      <c r="AF783" s="24"/>
      <c r="AG783" s="24"/>
      <c r="AH783" s="24"/>
      <c r="AI783" s="24"/>
      <c r="AJ783" s="24"/>
      <c r="AK783" s="24"/>
      <c r="AL783" s="24"/>
      <c r="AM783" s="24"/>
      <c r="AN783" s="24"/>
      <c r="AO783" s="24"/>
      <c r="AP783" s="24"/>
      <c r="AQ783" s="24"/>
      <c r="AR783" s="24"/>
      <c r="AS783" s="24"/>
      <c r="AT783" s="24"/>
      <c r="AU783" s="24"/>
      <c r="AV783" s="24"/>
      <c r="AW783" s="24"/>
      <c r="AX783" s="24"/>
      <c r="AY783" s="24"/>
      <c r="AZ783" s="24"/>
      <c r="BA783" s="24"/>
      <c r="BB783" s="24"/>
      <c r="BC783" s="24"/>
      <c r="BD783" s="24"/>
      <c r="BE783" s="24"/>
      <c r="BF783" s="24"/>
      <c r="BG783" s="24"/>
      <c r="BH783" s="24"/>
    </row>
    <row r="784" spans="1:60">
      <c r="A784" s="7"/>
      <c r="B784" s="8"/>
      <c r="C784" s="9"/>
      <c r="D784" s="25"/>
      <c r="E784" s="25"/>
      <c r="F784" s="25"/>
      <c r="G784" s="25"/>
      <c r="H784" s="53"/>
      <c r="I784" s="53"/>
      <c r="J784" s="53"/>
      <c r="K784" s="24"/>
      <c r="L784" s="7"/>
      <c r="M784" s="24"/>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4"/>
      <c r="AK784" s="24"/>
      <c r="AL784" s="24"/>
      <c r="AM784" s="24"/>
      <c r="AN784" s="24"/>
      <c r="AO784" s="24"/>
      <c r="AP784" s="24"/>
      <c r="AQ784" s="24"/>
      <c r="AR784" s="24"/>
      <c r="AS784" s="24"/>
      <c r="AT784" s="24"/>
      <c r="AU784" s="24"/>
      <c r="AV784" s="24"/>
      <c r="AW784" s="24"/>
      <c r="AX784" s="24"/>
      <c r="AY784" s="24"/>
      <c r="AZ784" s="24"/>
      <c r="BA784" s="24"/>
      <c r="BB784" s="24"/>
      <c r="BC784" s="24"/>
      <c r="BD784" s="24"/>
      <c r="BE784" s="24"/>
      <c r="BF784" s="24"/>
      <c r="BG784" s="24"/>
      <c r="BH784" s="24"/>
    </row>
    <row r="785" spans="1:60">
      <c r="A785" s="7"/>
      <c r="B785" s="8"/>
      <c r="C785" s="9"/>
      <c r="D785" s="25"/>
      <c r="E785" s="25"/>
      <c r="F785" s="25"/>
      <c r="G785" s="25"/>
      <c r="H785" s="53"/>
      <c r="I785" s="53"/>
      <c r="J785" s="53"/>
      <c r="K785" s="24"/>
      <c r="L785" s="7"/>
      <c r="M785" s="24"/>
      <c r="N785" s="24"/>
      <c r="O785" s="24"/>
      <c r="P785" s="24"/>
      <c r="Q785" s="24"/>
      <c r="R785" s="24"/>
      <c r="S785" s="24"/>
      <c r="T785" s="24"/>
      <c r="U785" s="24"/>
      <c r="V785" s="24"/>
      <c r="W785" s="24"/>
      <c r="X785" s="24"/>
      <c r="Y785" s="24"/>
      <c r="Z785" s="24"/>
      <c r="AA785" s="24"/>
      <c r="AB785" s="24"/>
      <c r="AC785" s="24"/>
      <c r="AD785" s="24"/>
      <c r="AE785" s="24"/>
      <c r="AF785" s="24"/>
      <c r="AG785" s="24"/>
      <c r="AH785" s="24"/>
      <c r="AI785" s="24"/>
      <c r="AJ785" s="24"/>
      <c r="AK785" s="24"/>
      <c r="AL785" s="24"/>
      <c r="AM785" s="24"/>
      <c r="AN785" s="24"/>
      <c r="AO785" s="24"/>
      <c r="AP785" s="24"/>
      <c r="AQ785" s="24"/>
      <c r="AR785" s="24"/>
      <c r="AS785" s="24"/>
      <c r="AT785" s="24"/>
      <c r="AU785" s="24"/>
      <c r="AV785" s="24"/>
      <c r="AW785" s="24"/>
      <c r="AX785" s="24"/>
      <c r="AY785" s="24"/>
      <c r="AZ785" s="24"/>
      <c r="BA785" s="24"/>
      <c r="BB785" s="24"/>
      <c r="BC785" s="24"/>
      <c r="BD785" s="24"/>
      <c r="BE785" s="24"/>
      <c r="BF785" s="24"/>
      <c r="BG785" s="24"/>
      <c r="BH785" s="24"/>
    </row>
    <row r="786" spans="1:60">
      <c r="A786" s="7"/>
      <c r="B786" s="8"/>
      <c r="C786" s="9"/>
      <c r="D786" s="25"/>
      <c r="E786" s="25"/>
      <c r="F786" s="25"/>
      <c r="G786" s="25"/>
      <c r="H786" s="53"/>
      <c r="I786" s="53"/>
      <c r="J786" s="53"/>
      <c r="K786" s="24"/>
      <c r="L786" s="7"/>
      <c r="M786" s="24"/>
      <c r="N786" s="24"/>
      <c r="O786" s="24"/>
      <c r="P786" s="24"/>
      <c r="Q786" s="24"/>
      <c r="R786" s="24"/>
      <c r="S786" s="24"/>
      <c r="T786" s="24"/>
      <c r="U786" s="24"/>
      <c r="V786" s="24"/>
      <c r="W786" s="24"/>
      <c r="X786" s="24"/>
      <c r="Y786" s="24"/>
      <c r="Z786" s="24"/>
      <c r="AA786" s="24"/>
      <c r="AB786" s="24"/>
      <c r="AC786" s="24"/>
      <c r="AD786" s="24"/>
      <c r="AE786" s="24"/>
      <c r="AF786" s="24"/>
      <c r="AG786" s="24"/>
      <c r="AH786" s="24"/>
      <c r="AI786" s="24"/>
      <c r="AJ786" s="24"/>
      <c r="AK786" s="24"/>
      <c r="AL786" s="24"/>
      <c r="AM786" s="24"/>
      <c r="AN786" s="24"/>
      <c r="AO786" s="24"/>
      <c r="AP786" s="24"/>
      <c r="AQ786" s="24"/>
      <c r="AR786" s="24"/>
      <c r="AS786" s="24"/>
      <c r="AT786" s="24"/>
      <c r="AU786" s="24"/>
      <c r="AV786" s="24"/>
      <c r="AW786" s="24"/>
      <c r="AX786" s="24"/>
      <c r="AY786" s="24"/>
      <c r="AZ786" s="24"/>
      <c r="BA786" s="24"/>
      <c r="BB786" s="24"/>
      <c r="BC786" s="24"/>
      <c r="BD786" s="24"/>
      <c r="BE786" s="24"/>
      <c r="BF786" s="24"/>
      <c r="BG786" s="24"/>
      <c r="BH786" s="24"/>
    </row>
    <row r="787" spans="1:60">
      <c r="A787" s="7"/>
      <c r="B787" s="8"/>
      <c r="C787" s="9"/>
      <c r="D787" s="25"/>
      <c r="E787" s="25"/>
      <c r="F787" s="25"/>
      <c r="G787" s="25"/>
      <c r="H787" s="53"/>
      <c r="I787" s="53"/>
      <c r="J787" s="53"/>
      <c r="K787" s="24"/>
      <c r="L787" s="7"/>
      <c r="M787" s="24"/>
      <c r="N787" s="24"/>
      <c r="O787" s="24"/>
      <c r="P787" s="24"/>
      <c r="Q787" s="24"/>
      <c r="R787" s="24"/>
      <c r="S787" s="24"/>
      <c r="T787" s="24"/>
      <c r="U787" s="24"/>
      <c r="V787" s="24"/>
      <c r="W787" s="24"/>
      <c r="X787" s="24"/>
      <c r="Y787" s="24"/>
      <c r="Z787" s="24"/>
      <c r="AA787" s="24"/>
      <c r="AB787" s="24"/>
      <c r="AC787" s="24"/>
      <c r="AD787" s="24"/>
      <c r="AE787" s="24"/>
      <c r="AF787" s="24"/>
      <c r="AG787" s="24"/>
      <c r="AH787" s="24"/>
      <c r="AI787" s="24"/>
      <c r="AJ787" s="24"/>
      <c r="AK787" s="24"/>
      <c r="AL787" s="24"/>
      <c r="AM787" s="24"/>
      <c r="AN787" s="24"/>
      <c r="AO787" s="24"/>
      <c r="AP787" s="24"/>
      <c r="AQ787" s="24"/>
      <c r="AR787" s="24"/>
      <c r="AS787" s="24"/>
      <c r="AT787" s="24"/>
      <c r="AU787" s="24"/>
      <c r="AV787" s="24"/>
      <c r="AW787" s="24"/>
      <c r="AX787" s="24"/>
      <c r="AY787" s="24"/>
      <c r="AZ787" s="24"/>
      <c r="BA787" s="24"/>
      <c r="BB787" s="24"/>
      <c r="BC787" s="24"/>
      <c r="BD787" s="24"/>
      <c r="BE787" s="24"/>
      <c r="BF787" s="24"/>
      <c r="BG787" s="24"/>
      <c r="BH787" s="24"/>
    </row>
    <row r="788" spans="1:60">
      <c r="A788" s="7"/>
      <c r="B788" s="8"/>
      <c r="C788" s="9"/>
      <c r="D788" s="25"/>
      <c r="E788" s="25"/>
      <c r="F788" s="25"/>
      <c r="G788" s="25"/>
      <c r="H788" s="53"/>
      <c r="I788" s="53"/>
      <c r="J788" s="53"/>
      <c r="K788" s="24"/>
      <c r="L788" s="7"/>
      <c r="M788" s="24"/>
      <c r="N788" s="24"/>
      <c r="O788" s="24"/>
      <c r="P788" s="24"/>
      <c r="Q788" s="24"/>
      <c r="R788" s="24"/>
      <c r="S788" s="24"/>
      <c r="T788" s="24"/>
      <c r="U788" s="24"/>
      <c r="V788" s="24"/>
      <c r="W788" s="24"/>
      <c r="X788" s="24"/>
      <c r="Y788" s="24"/>
      <c r="Z788" s="24"/>
      <c r="AA788" s="24"/>
      <c r="AB788" s="24"/>
      <c r="AC788" s="24"/>
      <c r="AD788" s="24"/>
      <c r="AE788" s="24"/>
      <c r="AF788" s="24"/>
      <c r="AG788" s="24"/>
      <c r="AH788" s="24"/>
      <c r="AI788" s="24"/>
      <c r="AJ788" s="24"/>
      <c r="AK788" s="24"/>
      <c r="AL788" s="24"/>
      <c r="AM788" s="24"/>
      <c r="AN788" s="24"/>
      <c r="AO788" s="24"/>
      <c r="AP788" s="24"/>
      <c r="AQ788" s="24"/>
      <c r="AR788" s="24"/>
      <c r="AS788" s="24"/>
      <c r="AT788" s="24"/>
      <c r="AU788" s="24"/>
      <c r="AV788" s="24"/>
      <c r="AW788" s="24"/>
      <c r="AX788" s="24"/>
      <c r="AY788" s="24"/>
      <c r="AZ788" s="24"/>
      <c r="BA788" s="24"/>
      <c r="BB788" s="24"/>
      <c r="BC788" s="24"/>
      <c r="BD788" s="24"/>
      <c r="BE788" s="24"/>
      <c r="BF788" s="24"/>
      <c r="BG788" s="24"/>
      <c r="BH788" s="24"/>
    </row>
    <row r="789" spans="1:60">
      <c r="A789" s="7"/>
      <c r="B789" s="8"/>
      <c r="C789" s="9"/>
      <c r="D789" s="25"/>
      <c r="E789" s="25"/>
      <c r="F789" s="25"/>
      <c r="G789" s="25"/>
      <c r="H789" s="53"/>
      <c r="I789" s="53"/>
      <c r="J789" s="53"/>
      <c r="K789" s="24"/>
      <c r="L789" s="7"/>
      <c r="M789" s="24"/>
      <c r="N789" s="24"/>
      <c r="O789" s="24"/>
      <c r="P789" s="24"/>
      <c r="Q789" s="24"/>
      <c r="R789" s="24"/>
      <c r="S789" s="24"/>
      <c r="T789" s="24"/>
      <c r="U789" s="24"/>
      <c r="V789" s="24"/>
      <c r="W789" s="24"/>
      <c r="X789" s="24"/>
      <c r="Y789" s="24"/>
      <c r="Z789" s="24"/>
      <c r="AA789" s="24"/>
      <c r="AB789" s="24"/>
      <c r="AC789" s="24"/>
      <c r="AD789" s="24"/>
      <c r="AE789" s="24"/>
      <c r="AF789" s="24"/>
      <c r="AG789" s="24"/>
      <c r="AH789" s="24"/>
      <c r="AI789" s="24"/>
      <c r="AJ789" s="24"/>
      <c r="AK789" s="24"/>
      <c r="AL789" s="24"/>
      <c r="AM789" s="24"/>
      <c r="AN789" s="24"/>
      <c r="AO789" s="24"/>
      <c r="AP789" s="24"/>
      <c r="AQ789" s="24"/>
      <c r="AR789" s="24"/>
      <c r="AS789" s="24"/>
      <c r="AT789" s="24"/>
      <c r="AU789" s="24"/>
      <c r="AV789" s="24"/>
      <c r="AW789" s="24"/>
      <c r="AX789" s="24"/>
      <c r="AY789" s="24"/>
      <c r="AZ789" s="24"/>
      <c r="BA789" s="24"/>
      <c r="BB789" s="24"/>
      <c r="BC789" s="24"/>
      <c r="BD789" s="24"/>
      <c r="BE789" s="24"/>
      <c r="BF789" s="24"/>
      <c r="BG789" s="24"/>
      <c r="BH789" s="24"/>
    </row>
    <row r="790" spans="1:60">
      <c r="A790" s="7"/>
      <c r="B790" s="8"/>
      <c r="C790" s="9"/>
      <c r="D790" s="25"/>
      <c r="E790" s="25"/>
      <c r="F790" s="25"/>
      <c r="G790" s="25"/>
      <c r="H790" s="53"/>
      <c r="I790" s="53"/>
      <c r="J790" s="53"/>
      <c r="K790" s="24"/>
      <c r="L790" s="7"/>
      <c r="M790" s="24"/>
      <c r="N790" s="24"/>
      <c r="O790" s="24"/>
      <c r="P790" s="24"/>
      <c r="Q790" s="24"/>
      <c r="R790" s="24"/>
      <c r="S790" s="24"/>
      <c r="T790" s="24"/>
      <c r="U790" s="24"/>
      <c r="V790" s="24"/>
      <c r="W790" s="24"/>
      <c r="X790" s="24"/>
      <c r="Y790" s="24"/>
      <c r="Z790" s="24"/>
      <c r="AA790" s="24"/>
      <c r="AB790" s="24"/>
      <c r="AC790" s="24"/>
      <c r="AD790" s="24"/>
      <c r="AE790" s="24"/>
      <c r="AF790" s="24"/>
      <c r="AG790" s="24"/>
      <c r="AH790" s="24"/>
      <c r="AI790" s="24"/>
      <c r="AJ790" s="24"/>
      <c r="AK790" s="24"/>
      <c r="AL790" s="24"/>
      <c r="AM790" s="24"/>
      <c r="AN790" s="24"/>
      <c r="AO790" s="24"/>
      <c r="AP790" s="24"/>
      <c r="AQ790" s="24"/>
      <c r="AR790" s="24"/>
      <c r="AS790" s="24"/>
      <c r="AT790" s="24"/>
      <c r="AU790" s="24"/>
      <c r="AV790" s="24"/>
      <c r="AW790" s="24"/>
      <c r="AX790" s="24"/>
      <c r="AY790" s="24"/>
      <c r="AZ790" s="24"/>
      <c r="BA790" s="24"/>
      <c r="BB790" s="24"/>
      <c r="BC790" s="24"/>
      <c r="BD790" s="24"/>
      <c r="BE790" s="24"/>
      <c r="BF790" s="24"/>
      <c r="BG790" s="24"/>
      <c r="BH790" s="24"/>
    </row>
    <row r="791" spans="1:60">
      <c r="A791" s="7"/>
      <c r="B791" s="8"/>
      <c r="C791" s="9"/>
      <c r="D791" s="25"/>
      <c r="E791" s="25"/>
      <c r="F791" s="25"/>
      <c r="G791" s="25"/>
      <c r="H791" s="53"/>
      <c r="I791" s="53"/>
      <c r="J791" s="53"/>
      <c r="K791" s="24"/>
      <c r="L791" s="7"/>
      <c r="M791" s="24"/>
      <c r="N791" s="24"/>
      <c r="O791" s="24"/>
      <c r="P791" s="24"/>
      <c r="Q791" s="24"/>
      <c r="R791" s="24"/>
      <c r="S791" s="24"/>
      <c r="T791" s="24"/>
      <c r="U791" s="24"/>
      <c r="V791" s="24"/>
      <c r="W791" s="24"/>
      <c r="X791" s="24"/>
      <c r="Y791" s="24"/>
      <c r="Z791" s="24"/>
      <c r="AA791" s="24"/>
      <c r="AB791" s="24"/>
      <c r="AC791" s="24"/>
      <c r="AD791" s="24"/>
      <c r="AE791" s="24"/>
      <c r="AF791" s="24"/>
      <c r="AG791" s="24"/>
      <c r="AH791" s="24"/>
      <c r="AI791" s="24"/>
      <c r="AJ791" s="24"/>
      <c r="AK791" s="24"/>
      <c r="AL791" s="24"/>
      <c r="AM791" s="24"/>
      <c r="AN791" s="24"/>
      <c r="AO791" s="24"/>
      <c r="AP791" s="24"/>
      <c r="AQ791" s="24"/>
      <c r="AR791" s="24"/>
      <c r="AS791" s="24"/>
      <c r="AT791" s="24"/>
      <c r="AU791" s="24"/>
      <c r="AV791" s="24"/>
      <c r="AW791" s="24"/>
      <c r="AX791" s="24"/>
      <c r="AY791" s="24"/>
      <c r="AZ791" s="24"/>
      <c r="BA791" s="24"/>
      <c r="BB791" s="24"/>
      <c r="BC791" s="24"/>
      <c r="BD791" s="24"/>
      <c r="BE791" s="24"/>
      <c r="BF791" s="24"/>
      <c r="BG791" s="24"/>
      <c r="BH791" s="24"/>
    </row>
    <row r="792" spans="1:60">
      <c r="A792" s="7"/>
      <c r="B792" s="8"/>
      <c r="C792" s="9"/>
      <c r="D792" s="25"/>
      <c r="E792" s="25"/>
      <c r="F792" s="25"/>
      <c r="G792" s="25"/>
      <c r="H792" s="53"/>
      <c r="I792" s="53"/>
      <c r="J792" s="53"/>
      <c r="K792" s="24"/>
      <c r="L792" s="7"/>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24"/>
      <c r="BH792" s="24"/>
    </row>
    <row r="793" spans="1:60">
      <c r="A793" s="7"/>
      <c r="B793" s="8"/>
      <c r="C793" s="9"/>
      <c r="D793" s="25"/>
      <c r="E793" s="25"/>
      <c r="F793" s="25"/>
      <c r="G793" s="25"/>
      <c r="H793" s="53"/>
      <c r="I793" s="53"/>
      <c r="J793" s="53"/>
      <c r="K793" s="24"/>
      <c r="L793" s="7"/>
      <c r="M793" s="24"/>
      <c r="N793" s="24"/>
      <c r="O793" s="24"/>
      <c r="P793" s="24"/>
      <c r="Q793" s="24"/>
      <c r="R793" s="24"/>
      <c r="S793" s="24"/>
      <c r="T793" s="24"/>
      <c r="U793" s="24"/>
      <c r="V793" s="24"/>
      <c r="W793" s="24"/>
      <c r="X793" s="24"/>
      <c r="Y793" s="24"/>
      <c r="Z793" s="24"/>
      <c r="AA793" s="24"/>
      <c r="AB793" s="24"/>
      <c r="AC793" s="24"/>
      <c r="AD793" s="24"/>
      <c r="AE793" s="24"/>
      <c r="AF793" s="24"/>
      <c r="AG793" s="24"/>
      <c r="AH793" s="24"/>
      <c r="AI793" s="24"/>
      <c r="AJ793" s="24"/>
      <c r="AK793" s="24"/>
      <c r="AL793" s="24"/>
      <c r="AM793" s="24"/>
      <c r="AN793" s="24"/>
      <c r="AO793" s="24"/>
      <c r="AP793" s="24"/>
      <c r="AQ793" s="24"/>
      <c r="AR793" s="24"/>
      <c r="AS793" s="24"/>
      <c r="AT793" s="24"/>
      <c r="AU793" s="24"/>
      <c r="AV793" s="24"/>
      <c r="AW793" s="24"/>
      <c r="AX793" s="24"/>
      <c r="AY793" s="24"/>
      <c r="AZ793" s="24"/>
      <c r="BA793" s="24"/>
      <c r="BB793" s="24"/>
      <c r="BC793" s="24"/>
      <c r="BD793" s="24"/>
      <c r="BE793" s="24"/>
      <c r="BF793" s="24"/>
      <c r="BG793" s="24"/>
      <c r="BH793" s="24"/>
    </row>
    <row r="794" spans="1:60">
      <c r="A794" s="7"/>
      <c r="B794" s="8"/>
      <c r="C794" s="9"/>
      <c r="D794" s="25"/>
      <c r="E794" s="25"/>
      <c r="F794" s="25"/>
      <c r="G794" s="25"/>
      <c r="H794" s="53"/>
      <c r="I794" s="53"/>
      <c r="J794" s="53"/>
      <c r="K794" s="24"/>
      <c r="L794" s="7"/>
      <c r="M794" s="24"/>
      <c r="N794" s="24"/>
      <c r="O794" s="24"/>
      <c r="P794" s="24"/>
      <c r="Q794" s="24"/>
      <c r="R794" s="24"/>
      <c r="S794" s="24"/>
      <c r="T794" s="24"/>
      <c r="U794" s="24"/>
      <c r="V794" s="24"/>
      <c r="W794" s="24"/>
      <c r="X794" s="24"/>
      <c r="Y794" s="24"/>
      <c r="Z794" s="24"/>
      <c r="AA794" s="24"/>
      <c r="AB794" s="24"/>
      <c r="AC794" s="24"/>
      <c r="AD794" s="24"/>
      <c r="AE794" s="24"/>
      <c r="AF794" s="24"/>
      <c r="AG794" s="24"/>
      <c r="AH794" s="24"/>
      <c r="AI794" s="24"/>
      <c r="AJ794" s="24"/>
      <c r="AK794" s="24"/>
      <c r="AL794" s="24"/>
      <c r="AM794" s="24"/>
      <c r="AN794" s="24"/>
      <c r="AO794" s="24"/>
      <c r="AP794" s="24"/>
      <c r="AQ794" s="24"/>
      <c r="AR794" s="24"/>
      <c r="AS794" s="24"/>
      <c r="AT794" s="24"/>
      <c r="AU794" s="24"/>
      <c r="AV794" s="24"/>
      <c r="AW794" s="24"/>
      <c r="AX794" s="24"/>
      <c r="AY794" s="24"/>
      <c r="AZ794" s="24"/>
      <c r="BA794" s="24"/>
      <c r="BB794" s="24"/>
      <c r="BC794" s="24"/>
      <c r="BD794" s="24"/>
      <c r="BE794" s="24"/>
      <c r="BF794" s="24"/>
      <c r="BG794" s="24"/>
      <c r="BH794" s="24"/>
    </row>
    <row r="795" spans="1:60">
      <c r="A795" s="7"/>
      <c r="B795" s="8"/>
      <c r="C795" s="9"/>
      <c r="D795" s="25"/>
      <c r="E795" s="25"/>
      <c r="F795" s="25"/>
      <c r="G795" s="25"/>
      <c r="H795" s="53"/>
      <c r="I795" s="53"/>
      <c r="J795" s="53"/>
      <c r="K795" s="24"/>
      <c r="L795" s="7"/>
      <c r="M795" s="24"/>
      <c r="N795" s="24"/>
      <c r="O795" s="24"/>
      <c r="P795" s="24"/>
      <c r="Q795" s="24"/>
      <c r="R795" s="24"/>
      <c r="S795" s="24"/>
      <c r="T795" s="24"/>
      <c r="U795" s="24"/>
      <c r="V795" s="24"/>
      <c r="W795" s="24"/>
      <c r="X795" s="24"/>
      <c r="Y795" s="24"/>
      <c r="Z795" s="24"/>
      <c r="AA795" s="24"/>
      <c r="AB795" s="24"/>
      <c r="AC795" s="24"/>
      <c r="AD795" s="24"/>
      <c r="AE795" s="24"/>
      <c r="AF795" s="24"/>
      <c r="AG795" s="24"/>
      <c r="AH795" s="24"/>
      <c r="AI795" s="24"/>
      <c r="AJ795" s="24"/>
      <c r="AK795" s="24"/>
      <c r="AL795" s="24"/>
      <c r="AM795" s="24"/>
      <c r="AN795" s="24"/>
      <c r="AO795" s="24"/>
      <c r="AP795" s="24"/>
      <c r="AQ795" s="24"/>
      <c r="AR795" s="24"/>
      <c r="AS795" s="24"/>
      <c r="AT795" s="24"/>
      <c r="AU795" s="24"/>
      <c r="AV795" s="24"/>
      <c r="AW795" s="24"/>
      <c r="AX795" s="24"/>
      <c r="AY795" s="24"/>
      <c r="AZ795" s="24"/>
      <c r="BA795" s="24"/>
      <c r="BB795" s="24"/>
      <c r="BC795" s="24"/>
      <c r="BD795" s="24"/>
      <c r="BE795" s="24"/>
      <c r="BF795" s="24"/>
      <c r="BG795" s="24"/>
      <c r="BH795" s="24"/>
    </row>
    <row r="796" spans="1:60">
      <c r="A796" s="7"/>
      <c r="B796" s="8"/>
      <c r="C796" s="9"/>
      <c r="D796" s="25"/>
      <c r="E796" s="25"/>
      <c r="F796" s="25"/>
      <c r="G796" s="25"/>
      <c r="H796" s="53"/>
      <c r="I796" s="53"/>
      <c r="J796" s="53"/>
      <c r="K796" s="24"/>
      <c r="L796" s="7"/>
      <c r="M796" s="24"/>
      <c r="N796" s="24"/>
      <c r="O796" s="24"/>
      <c r="P796" s="24"/>
      <c r="Q796" s="24"/>
      <c r="R796" s="24"/>
      <c r="S796" s="24"/>
      <c r="T796" s="24"/>
      <c r="U796" s="24"/>
      <c r="V796" s="24"/>
      <c r="W796" s="24"/>
      <c r="X796" s="24"/>
      <c r="Y796" s="24"/>
      <c r="Z796" s="24"/>
      <c r="AA796" s="24"/>
      <c r="AB796" s="24"/>
      <c r="AC796" s="24"/>
      <c r="AD796" s="24"/>
      <c r="AE796" s="24"/>
      <c r="AF796" s="24"/>
      <c r="AG796" s="24"/>
      <c r="AH796" s="24"/>
      <c r="AI796" s="24"/>
      <c r="AJ796" s="24"/>
      <c r="AK796" s="24"/>
      <c r="AL796" s="24"/>
      <c r="AM796" s="24"/>
      <c r="AN796" s="24"/>
      <c r="AO796" s="24"/>
      <c r="AP796" s="24"/>
      <c r="AQ796" s="24"/>
      <c r="AR796" s="24"/>
      <c r="AS796" s="24"/>
      <c r="AT796" s="24"/>
      <c r="AU796" s="24"/>
      <c r="AV796" s="24"/>
      <c r="AW796" s="24"/>
      <c r="AX796" s="24"/>
      <c r="AY796" s="24"/>
      <c r="AZ796" s="24"/>
      <c r="BA796" s="24"/>
      <c r="BB796" s="24"/>
      <c r="BC796" s="24"/>
      <c r="BD796" s="24"/>
      <c r="BE796" s="24"/>
      <c r="BF796" s="24"/>
      <c r="BG796" s="24"/>
      <c r="BH796" s="24"/>
    </row>
    <row r="797" spans="1:60">
      <c r="A797" s="7"/>
      <c r="B797" s="8"/>
      <c r="C797" s="9"/>
      <c r="D797" s="25"/>
      <c r="E797" s="25"/>
      <c r="F797" s="25"/>
      <c r="G797" s="25"/>
      <c r="H797" s="53"/>
      <c r="I797" s="53"/>
      <c r="J797" s="53"/>
      <c r="K797" s="24"/>
      <c r="L797" s="7"/>
      <c r="M797" s="24"/>
      <c r="N797" s="24"/>
      <c r="O797" s="24"/>
      <c r="P797" s="24"/>
      <c r="Q797" s="24"/>
      <c r="R797" s="24"/>
      <c r="S797" s="24"/>
      <c r="T797" s="24"/>
      <c r="U797" s="24"/>
      <c r="V797" s="24"/>
      <c r="W797" s="24"/>
      <c r="X797" s="24"/>
      <c r="Y797" s="24"/>
      <c r="Z797" s="24"/>
      <c r="AA797" s="24"/>
      <c r="AB797" s="24"/>
      <c r="AC797" s="24"/>
      <c r="AD797" s="24"/>
      <c r="AE797" s="24"/>
      <c r="AF797" s="24"/>
      <c r="AG797" s="24"/>
      <c r="AH797" s="24"/>
      <c r="AI797" s="24"/>
      <c r="AJ797" s="24"/>
      <c r="AK797" s="24"/>
      <c r="AL797" s="24"/>
      <c r="AM797" s="24"/>
      <c r="AN797" s="24"/>
      <c r="AO797" s="24"/>
      <c r="AP797" s="24"/>
      <c r="AQ797" s="24"/>
      <c r="AR797" s="24"/>
      <c r="AS797" s="24"/>
      <c r="AT797" s="24"/>
      <c r="AU797" s="24"/>
      <c r="AV797" s="24"/>
      <c r="AW797" s="24"/>
      <c r="AX797" s="24"/>
      <c r="AY797" s="24"/>
      <c r="AZ797" s="24"/>
      <c r="BA797" s="24"/>
      <c r="BB797" s="24"/>
      <c r="BC797" s="24"/>
      <c r="BD797" s="24"/>
      <c r="BE797" s="24"/>
      <c r="BF797" s="24"/>
      <c r="BG797" s="24"/>
      <c r="BH797" s="24"/>
    </row>
    <row r="798" spans="1:60">
      <c r="A798" s="7"/>
      <c r="B798" s="8"/>
      <c r="C798" s="9"/>
      <c r="D798" s="25"/>
      <c r="E798" s="25"/>
      <c r="F798" s="25"/>
      <c r="G798" s="25"/>
      <c r="H798" s="53"/>
      <c r="I798" s="53"/>
      <c r="J798" s="53"/>
      <c r="K798" s="24"/>
      <c r="L798" s="7"/>
      <c r="M798" s="24"/>
      <c r="N798" s="24"/>
      <c r="O798" s="24"/>
      <c r="P798" s="24"/>
      <c r="Q798" s="24"/>
      <c r="R798" s="24"/>
      <c r="S798" s="24"/>
      <c r="T798" s="24"/>
      <c r="U798" s="24"/>
      <c r="V798" s="24"/>
      <c r="W798" s="24"/>
      <c r="X798" s="24"/>
      <c r="Y798" s="24"/>
      <c r="Z798" s="24"/>
      <c r="AA798" s="24"/>
      <c r="AB798" s="24"/>
      <c r="AC798" s="24"/>
      <c r="AD798" s="24"/>
      <c r="AE798" s="24"/>
      <c r="AF798" s="24"/>
      <c r="AG798" s="24"/>
      <c r="AH798" s="24"/>
      <c r="AI798" s="24"/>
      <c r="AJ798" s="24"/>
      <c r="AK798" s="24"/>
      <c r="AL798" s="24"/>
      <c r="AM798" s="24"/>
      <c r="AN798" s="24"/>
      <c r="AO798" s="24"/>
      <c r="AP798" s="24"/>
      <c r="AQ798" s="24"/>
      <c r="AR798" s="24"/>
      <c r="AS798" s="24"/>
      <c r="AT798" s="24"/>
      <c r="AU798" s="24"/>
      <c r="AV798" s="24"/>
      <c r="AW798" s="24"/>
      <c r="AX798" s="24"/>
      <c r="AY798" s="24"/>
      <c r="AZ798" s="24"/>
      <c r="BA798" s="24"/>
      <c r="BB798" s="24"/>
      <c r="BC798" s="24"/>
      <c r="BD798" s="24"/>
      <c r="BE798" s="24"/>
      <c r="BF798" s="24"/>
      <c r="BG798" s="24"/>
      <c r="BH798" s="24"/>
    </row>
    <row r="799" spans="1:60">
      <c r="A799" s="7"/>
      <c r="B799" s="8"/>
      <c r="C799" s="9"/>
      <c r="D799" s="25"/>
      <c r="E799" s="25"/>
      <c r="F799" s="25"/>
      <c r="G799" s="25"/>
      <c r="H799" s="53"/>
      <c r="I799" s="53"/>
      <c r="J799" s="53"/>
      <c r="K799" s="24"/>
      <c r="L799" s="7"/>
      <c r="M799" s="24"/>
      <c r="N799" s="24"/>
      <c r="O799" s="24"/>
      <c r="P799" s="24"/>
      <c r="Q799" s="24"/>
      <c r="R799" s="24"/>
      <c r="S799" s="24"/>
      <c r="T799" s="24"/>
      <c r="U799" s="24"/>
      <c r="V799" s="24"/>
      <c r="W799" s="24"/>
      <c r="X799" s="24"/>
      <c r="Y799" s="24"/>
      <c r="Z799" s="24"/>
      <c r="AA799" s="24"/>
      <c r="AB799" s="24"/>
      <c r="AC799" s="24"/>
      <c r="AD799" s="24"/>
      <c r="AE799" s="24"/>
      <c r="AF799" s="24"/>
      <c r="AG799" s="24"/>
      <c r="AH799" s="24"/>
      <c r="AI799" s="24"/>
      <c r="AJ799" s="24"/>
      <c r="AK799" s="24"/>
      <c r="AL799" s="24"/>
      <c r="AM799" s="24"/>
      <c r="AN799" s="24"/>
      <c r="AO799" s="24"/>
      <c r="AP799" s="24"/>
      <c r="AQ799" s="24"/>
      <c r="AR799" s="24"/>
      <c r="AS799" s="24"/>
      <c r="AT799" s="24"/>
      <c r="AU799" s="24"/>
      <c r="AV799" s="24"/>
      <c r="AW799" s="24"/>
      <c r="AX799" s="24"/>
      <c r="AY799" s="24"/>
      <c r="AZ799" s="24"/>
      <c r="BA799" s="24"/>
      <c r="BB799" s="24"/>
      <c r="BC799" s="24"/>
      <c r="BD799" s="24"/>
      <c r="BE799" s="24"/>
      <c r="BF799" s="24"/>
      <c r="BG799" s="24"/>
      <c r="BH799" s="24"/>
    </row>
    <row r="800" spans="1:60">
      <c r="A800" s="7"/>
      <c r="B800" s="8"/>
      <c r="C800" s="9"/>
      <c r="D800" s="25"/>
      <c r="E800" s="25"/>
      <c r="F800" s="25"/>
      <c r="G800" s="25"/>
      <c r="H800" s="53"/>
      <c r="I800" s="53"/>
      <c r="J800" s="53"/>
      <c r="K800" s="24"/>
      <c r="L800" s="7"/>
      <c r="M800" s="24"/>
      <c r="N800" s="24"/>
      <c r="O800" s="24"/>
      <c r="P800" s="24"/>
      <c r="Q800" s="24"/>
      <c r="R800" s="24"/>
      <c r="S800" s="24"/>
      <c r="T800" s="24"/>
      <c r="U800" s="24"/>
      <c r="V800" s="24"/>
      <c r="W800" s="24"/>
      <c r="X800" s="24"/>
      <c r="Y800" s="24"/>
      <c r="Z800" s="24"/>
      <c r="AA800" s="24"/>
      <c r="AB800" s="24"/>
      <c r="AC800" s="24"/>
      <c r="AD800" s="24"/>
      <c r="AE800" s="24"/>
      <c r="AF800" s="24"/>
      <c r="AG800" s="24"/>
      <c r="AH800" s="24"/>
      <c r="AI800" s="24"/>
      <c r="AJ800" s="24"/>
      <c r="AK800" s="24"/>
      <c r="AL800" s="24"/>
      <c r="AM800" s="24"/>
      <c r="AN800" s="24"/>
      <c r="AO800" s="24"/>
      <c r="AP800" s="24"/>
      <c r="AQ800" s="24"/>
      <c r="AR800" s="24"/>
      <c r="AS800" s="24"/>
      <c r="AT800" s="24"/>
      <c r="AU800" s="24"/>
      <c r="AV800" s="24"/>
      <c r="AW800" s="24"/>
      <c r="AX800" s="24"/>
      <c r="AY800" s="24"/>
      <c r="AZ800" s="24"/>
      <c r="BA800" s="24"/>
      <c r="BB800" s="24"/>
      <c r="BC800" s="24"/>
      <c r="BD800" s="24"/>
      <c r="BE800" s="24"/>
      <c r="BF800" s="24"/>
      <c r="BG800" s="24"/>
      <c r="BH800" s="24"/>
    </row>
    <row r="801" spans="1:60">
      <c r="A801" s="7"/>
      <c r="B801" s="8"/>
      <c r="C801" s="9"/>
      <c r="D801" s="25"/>
      <c r="E801" s="25"/>
      <c r="F801" s="25"/>
      <c r="G801" s="25"/>
      <c r="H801" s="53"/>
      <c r="I801" s="53"/>
      <c r="J801" s="53"/>
      <c r="K801" s="24"/>
      <c r="L801" s="7"/>
      <c r="M801" s="24"/>
      <c r="N801" s="24"/>
      <c r="O801" s="24"/>
      <c r="P801" s="24"/>
      <c r="Q801" s="24"/>
      <c r="R801" s="24"/>
      <c r="S801" s="24"/>
      <c r="T801" s="24"/>
      <c r="U801" s="24"/>
      <c r="V801" s="24"/>
      <c r="W801" s="24"/>
      <c r="X801" s="24"/>
      <c r="Y801" s="24"/>
      <c r="Z801" s="24"/>
      <c r="AA801" s="24"/>
      <c r="AB801" s="24"/>
      <c r="AC801" s="24"/>
      <c r="AD801" s="24"/>
      <c r="AE801" s="24"/>
      <c r="AF801" s="24"/>
      <c r="AG801" s="24"/>
      <c r="AH801" s="24"/>
      <c r="AI801" s="24"/>
      <c r="AJ801" s="24"/>
      <c r="AK801" s="24"/>
      <c r="AL801" s="24"/>
      <c r="AM801" s="24"/>
      <c r="AN801" s="24"/>
      <c r="AO801" s="24"/>
      <c r="AP801" s="24"/>
      <c r="AQ801" s="24"/>
      <c r="AR801" s="24"/>
      <c r="AS801" s="24"/>
      <c r="AT801" s="24"/>
      <c r="AU801" s="24"/>
      <c r="AV801" s="24"/>
      <c r="AW801" s="24"/>
      <c r="AX801" s="24"/>
      <c r="AY801" s="24"/>
      <c r="AZ801" s="24"/>
      <c r="BA801" s="24"/>
      <c r="BB801" s="24"/>
      <c r="BC801" s="24"/>
      <c r="BD801" s="24"/>
      <c r="BE801" s="24"/>
      <c r="BF801" s="24"/>
      <c r="BG801" s="24"/>
      <c r="BH801" s="24"/>
    </row>
    <row r="802" spans="1:60">
      <c r="A802" s="7"/>
      <c r="B802" s="8"/>
      <c r="C802" s="9"/>
      <c r="D802" s="25"/>
      <c r="E802" s="25"/>
      <c r="F802" s="25"/>
      <c r="G802" s="25"/>
      <c r="H802" s="53"/>
      <c r="I802" s="53"/>
      <c r="J802" s="53"/>
      <c r="K802" s="24"/>
      <c r="L802" s="7"/>
      <c r="M802" s="24"/>
      <c r="N802" s="24"/>
      <c r="O802" s="24"/>
      <c r="P802" s="24"/>
      <c r="Q802" s="24"/>
      <c r="R802" s="24"/>
      <c r="S802" s="24"/>
      <c r="T802" s="24"/>
      <c r="U802" s="24"/>
      <c r="V802" s="24"/>
      <c r="W802" s="24"/>
      <c r="X802" s="24"/>
      <c r="Y802" s="24"/>
      <c r="Z802" s="24"/>
      <c r="AA802" s="24"/>
      <c r="AB802" s="24"/>
      <c r="AC802" s="24"/>
      <c r="AD802" s="24"/>
      <c r="AE802" s="24"/>
      <c r="AF802" s="24"/>
      <c r="AG802" s="24"/>
      <c r="AH802" s="24"/>
      <c r="AI802" s="24"/>
      <c r="AJ802" s="24"/>
      <c r="AK802" s="24"/>
      <c r="AL802" s="24"/>
      <c r="AM802" s="24"/>
      <c r="AN802" s="24"/>
      <c r="AO802" s="24"/>
      <c r="AP802" s="24"/>
      <c r="AQ802" s="24"/>
      <c r="AR802" s="24"/>
      <c r="AS802" s="24"/>
      <c r="AT802" s="24"/>
      <c r="AU802" s="24"/>
      <c r="AV802" s="24"/>
      <c r="AW802" s="24"/>
      <c r="AX802" s="24"/>
      <c r="AY802" s="24"/>
      <c r="AZ802" s="24"/>
      <c r="BA802" s="24"/>
      <c r="BB802" s="24"/>
      <c r="BC802" s="24"/>
      <c r="BD802" s="24"/>
      <c r="BE802" s="24"/>
      <c r="BF802" s="24"/>
      <c r="BG802" s="24"/>
      <c r="BH802" s="24"/>
    </row>
    <row r="803" spans="1:60">
      <c r="A803" s="7"/>
      <c r="B803" s="8"/>
      <c r="C803" s="9"/>
      <c r="D803" s="25"/>
      <c r="E803" s="25"/>
      <c r="F803" s="25"/>
      <c r="G803" s="25"/>
      <c r="H803" s="53"/>
      <c r="I803" s="53"/>
      <c r="J803" s="53"/>
      <c r="K803" s="24"/>
      <c r="L803" s="7"/>
      <c r="M803" s="24"/>
      <c r="N803" s="24"/>
      <c r="O803" s="24"/>
      <c r="P803" s="24"/>
      <c r="Q803" s="24"/>
      <c r="R803" s="24"/>
      <c r="S803" s="24"/>
      <c r="T803" s="24"/>
      <c r="U803" s="24"/>
      <c r="V803" s="24"/>
      <c r="W803" s="24"/>
      <c r="X803" s="24"/>
      <c r="Y803" s="24"/>
      <c r="Z803" s="24"/>
      <c r="AA803" s="24"/>
      <c r="AB803" s="24"/>
      <c r="AC803" s="24"/>
      <c r="AD803" s="24"/>
      <c r="AE803" s="24"/>
      <c r="AF803" s="24"/>
      <c r="AG803" s="24"/>
      <c r="AH803" s="24"/>
      <c r="AI803" s="24"/>
      <c r="AJ803" s="24"/>
      <c r="AK803" s="24"/>
      <c r="AL803" s="24"/>
      <c r="AM803" s="24"/>
      <c r="AN803" s="24"/>
      <c r="AO803" s="24"/>
      <c r="AP803" s="24"/>
      <c r="AQ803" s="24"/>
      <c r="AR803" s="24"/>
      <c r="AS803" s="24"/>
      <c r="AT803" s="24"/>
      <c r="AU803" s="24"/>
      <c r="AV803" s="24"/>
      <c r="AW803" s="24"/>
      <c r="AX803" s="24"/>
      <c r="AY803" s="24"/>
      <c r="AZ803" s="24"/>
      <c r="BA803" s="24"/>
      <c r="BB803" s="24"/>
      <c r="BC803" s="24"/>
      <c r="BD803" s="24"/>
      <c r="BE803" s="24"/>
      <c r="BF803" s="24"/>
      <c r="BG803" s="24"/>
      <c r="BH803" s="24"/>
    </row>
    <row r="804" spans="1:60">
      <c r="A804" s="7"/>
      <c r="B804" s="8"/>
      <c r="C804" s="9"/>
      <c r="D804" s="25"/>
      <c r="E804" s="25"/>
      <c r="F804" s="25"/>
      <c r="G804" s="25"/>
      <c r="H804" s="53"/>
      <c r="I804" s="53"/>
      <c r="J804" s="53"/>
      <c r="K804" s="24"/>
      <c r="L804" s="7"/>
      <c r="M804" s="24"/>
      <c r="N804" s="24"/>
      <c r="O804" s="24"/>
      <c r="P804" s="24"/>
      <c r="Q804" s="24"/>
      <c r="R804" s="24"/>
      <c r="S804" s="24"/>
      <c r="T804" s="24"/>
      <c r="U804" s="24"/>
      <c r="V804" s="24"/>
      <c r="W804" s="24"/>
      <c r="X804" s="24"/>
      <c r="Y804" s="24"/>
      <c r="Z804" s="24"/>
      <c r="AA804" s="24"/>
      <c r="AB804" s="24"/>
      <c r="AC804" s="24"/>
      <c r="AD804" s="24"/>
      <c r="AE804" s="24"/>
      <c r="AF804" s="24"/>
      <c r="AG804" s="24"/>
      <c r="AH804" s="24"/>
      <c r="AI804" s="24"/>
      <c r="AJ804" s="24"/>
      <c r="AK804" s="24"/>
      <c r="AL804" s="24"/>
      <c r="AM804" s="24"/>
      <c r="AN804" s="24"/>
      <c r="AO804" s="24"/>
      <c r="AP804" s="24"/>
      <c r="AQ804" s="24"/>
      <c r="AR804" s="24"/>
      <c r="AS804" s="24"/>
      <c r="AT804" s="24"/>
      <c r="AU804" s="24"/>
      <c r="AV804" s="24"/>
      <c r="AW804" s="24"/>
      <c r="AX804" s="24"/>
      <c r="AY804" s="24"/>
      <c r="AZ804" s="24"/>
      <c r="BA804" s="24"/>
      <c r="BB804" s="24"/>
      <c r="BC804" s="24"/>
      <c r="BD804" s="24"/>
      <c r="BE804" s="24"/>
      <c r="BF804" s="24"/>
      <c r="BG804" s="24"/>
      <c r="BH804" s="24"/>
    </row>
    <row r="805" spans="1:60">
      <c r="A805" s="7"/>
      <c r="B805" s="8"/>
      <c r="C805" s="9"/>
      <c r="D805" s="25"/>
      <c r="E805" s="25"/>
      <c r="F805" s="25"/>
      <c r="G805" s="25"/>
      <c r="H805" s="53"/>
      <c r="I805" s="53"/>
      <c r="J805" s="53"/>
      <c r="K805" s="24"/>
      <c r="L805" s="7"/>
      <c r="M805" s="24"/>
      <c r="N805" s="24"/>
      <c r="O805" s="24"/>
      <c r="P805" s="24"/>
      <c r="Q805" s="24"/>
      <c r="R805" s="24"/>
      <c r="S805" s="24"/>
      <c r="T805" s="24"/>
      <c r="U805" s="24"/>
      <c r="V805" s="24"/>
      <c r="W805" s="24"/>
      <c r="X805" s="24"/>
      <c r="Y805" s="24"/>
      <c r="Z805" s="24"/>
      <c r="AA805" s="24"/>
      <c r="AB805" s="24"/>
      <c r="AC805" s="24"/>
      <c r="AD805" s="24"/>
      <c r="AE805" s="24"/>
      <c r="AF805" s="24"/>
      <c r="AG805" s="24"/>
      <c r="AH805" s="24"/>
      <c r="AI805" s="24"/>
      <c r="AJ805" s="24"/>
      <c r="AK805" s="24"/>
      <c r="AL805" s="24"/>
      <c r="AM805" s="24"/>
      <c r="AN805" s="24"/>
      <c r="AO805" s="24"/>
      <c r="AP805" s="24"/>
      <c r="AQ805" s="24"/>
      <c r="AR805" s="24"/>
      <c r="AS805" s="24"/>
      <c r="AT805" s="24"/>
      <c r="AU805" s="24"/>
      <c r="AV805" s="24"/>
      <c r="AW805" s="24"/>
      <c r="AX805" s="24"/>
      <c r="AY805" s="24"/>
      <c r="AZ805" s="24"/>
      <c r="BA805" s="24"/>
      <c r="BB805" s="24"/>
      <c r="BC805" s="24"/>
      <c r="BD805" s="24"/>
      <c r="BE805" s="24"/>
      <c r="BF805" s="24"/>
      <c r="BG805" s="24"/>
      <c r="BH805" s="24"/>
    </row>
    <row r="806" spans="1:60">
      <c r="A806" s="7"/>
      <c r="B806" s="8"/>
      <c r="C806" s="9"/>
      <c r="D806" s="25"/>
      <c r="E806" s="25"/>
      <c r="F806" s="25"/>
      <c r="G806" s="25"/>
      <c r="H806" s="53"/>
      <c r="I806" s="53"/>
      <c r="J806" s="53"/>
      <c r="K806" s="24"/>
      <c r="L806" s="7"/>
      <c r="M806" s="24"/>
      <c r="N806" s="24"/>
      <c r="O806" s="24"/>
      <c r="P806" s="24"/>
      <c r="Q806" s="24"/>
      <c r="R806" s="24"/>
      <c r="S806" s="24"/>
      <c r="T806" s="24"/>
      <c r="U806" s="24"/>
      <c r="V806" s="24"/>
      <c r="W806" s="24"/>
      <c r="X806" s="24"/>
      <c r="Y806" s="24"/>
      <c r="Z806" s="24"/>
      <c r="AA806" s="24"/>
      <c r="AB806" s="24"/>
      <c r="AC806" s="24"/>
      <c r="AD806" s="24"/>
      <c r="AE806" s="24"/>
      <c r="AF806" s="24"/>
      <c r="AG806" s="24"/>
      <c r="AH806" s="24"/>
      <c r="AI806" s="24"/>
      <c r="AJ806" s="24"/>
      <c r="AK806" s="24"/>
      <c r="AL806" s="24"/>
      <c r="AM806" s="24"/>
      <c r="AN806" s="24"/>
      <c r="AO806" s="24"/>
      <c r="AP806" s="24"/>
      <c r="AQ806" s="24"/>
      <c r="AR806" s="24"/>
      <c r="AS806" s="24"/>
      <c r="AT806" s="24"/>
      <c r="AU806" s="24"/>
      <c r="AV806" s="24"/>
      <c r="AW806" s="24"/>
      <c r="AX806" s="24"/>
      <c r="AY806" s="24"/>
      <c r="AZ806" s="24"/>
      <c r="BA806" s="24"/>
      <c r="BB806" s="24"/>
      <c r="BC806" s="24"/>
      <c r="BD806" s="24"/>
      <c r="BE806" s="24"/>
      <c r="BF806" s="24"/>
      <c r="BG806" s="24"/>
      <c r="BH806" s="24"/>
    </row>
    <row r="807" spans="1:60">
      <c r="A807" s="7"/>
      <c r="B807" s="8"/>
      <c r="C807" s="9"/>
      <c r="D807" s="25"/>
      <c r="E807" s="25"/>
      <c r="F807" s="25"/>
      <c r="G807" s="25"/>
      <c r="H807" s="53"/>
      <c r="I807" s="53"/>
      <c r="J807" s="53"/>
      <c r="K807" s="24"/>
      <c r="L807" s="7"/>
      <c r="M807" s="24"/>
      <c r="N807" s="24"/>
      <c r="O807" s="24"/>
      <c r="P807" s="24"/>
      <c r="Q807" s="24"/>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4"/>
      <c r="BF807" s="24"/>
      <c r="BG807" s="24"/>
      <c r="BH807" s="24"/>
    </row>
    <row r="808" spans="1:60">
      <c r="A808" s="7"/>
      <c r="B808" s="8"/>
      <c r="C808" s="9"/>
      <c r="D808" s="25"/>
      <c r="E808" s="25"/>
      <c r="F808" s="25"/>
      <c r="G808" s="25"/>
      <c r="H808" s="53"/>
      <c r="I808" s="53"/>
      <c r="J808" s="53"/>
      <c r="K808" s="24"/>
      <c r="L808" s="7"/>
      <c r="M808" s="24"/>
      <c r="N808" s="24"/>
      <c r="O808" s="24"/>
      <c r="P808" s="24"/>
      <c r="Q808" s="24"/>
      <c r="R808" s="24"/>
      <c r="S808" s="24"/>
      <c r="T808" s="24"/>
      <c r="U808" s="24"/>
      <c r="V808" s="24"/>
      <c r="W808" s="24"/>
      <c r="X808" s="24"/>
      <c r="Y808" s="24"/>
      <c r="Z808" s="24"/>
      <c r="AA808" s="24"/>
      <c r="AB808" s="24"/>
      <c r="AC808" s="24"/>
      <c r="AD808" s="24"/>
      <c r="AE808" s="24"/>
      <c r="AF808" s="24"/>
      <c r="AG808" s="24"/>
      <c r="AH808" s="24"/>
      <c r="AI808" s="24"/>
      <c r="AJ808" s="24"/>
      <c r="AK808" s="24"/>
      <c r="AL808" s="24"/>
      <c r="AM808" s="24"/>
      <c r="AN808" s="24"/>
      <c r="AO808" s="24"/>
      <c r="AP808" s="24"/>
      <c r="AQ808" s="24"/>
      <c r="AR808" s="24"/>
      <c r="AS808" s="24"/>
      <c r="AT808" s="24"/>
      <c r="AU808" s="24"/>
      <c r="AV808" s="24"/>
      <c r="AW808" s="24"/>
      <c r="AX808" s="24"/>
      <c r="AY808" s="24"/>
      <c r="AZ808" s="24"/>
      <c r="BA808" s="24"/>
      <c r="BB808" s="24"/>
      <c r="BC808" s="24"/>
      <c r="BD808" s="24"/>
      <c r="BE808" s="24"/>
      <c r="BF808" s="24"/>
      <c r="BG808" s="24"/>
      <c r="BH808" s="24"/>
    </row>
    <row r="809" spans="1:60">
      <c r="A809" s="7"/>
      <c r="B809" s="8"/>
      <c r="C809" s="9"/>
      <c r="D809" s="25"/>
      <c r="E809" s="25"/>
      <c r="F809" s="25"/>
      <c r="G809" s="25"/>
      <c r="H809" s="53"/>
      <c r="I809" s="53"/>
      <c r="J809" s="53"/>
      <c r="K809" s="24"/>
      <c r="L809" s="7"/>
      <c r="M809" s="24"/>
      <c r="N809" s="24"/>
      <c r="O809" s="24"/>
      <c r="P809" s="24"/>
      <c r="Q809" s="24"/>
      <c r="R809" s="24"/>
      <c r="S809" s="24"/>
      <c r="T809" s="24"/>
      <c r="U809" s="24"/>
      <c r="V809" s="24"/>
      <c r="W809" s="24"/>
      <c r="X809" s="24"/>
      <c r="Y809" s="24"/>
      <c r="Z809" s="24"/>
      <c r="AA809" s="24"/>
      <c r="AB809" s="24"/>
      <c r="AC809" s="24"/>
      <c r="AD809" s="24"/>
      <c r="AE809" s="24"/>
      <c r="AF809" s="24"/>
      <c r="AG809" s="24"/>
      <c r="AH809" s="24"/>
      <c r="AI809" s="24"/>
      <c r="AJ809" s="24"/>
      <c r="AK809" s="24"/>
      <c r="AL809" s="24"/>
      <c r="AM809" s="24"/>
      <c r="AN809" s="24"/>
      <c r="AO809" s="24"/>
      <c r="AP809" s="24"/>
      <c r="AQ809" s="24"/>
      <c r="AR809" s="24"/>
      <c r="AS809" s="24"/>
      <c r="AT809" s="24"/>
      <c r="AU809" s="24"/>
      <c r="AV809" s="24"/>
      <c r="AW809" s="24"/>
      <c r="AX809" s="24"/>
      <c r="AY809" s="24"/>
      <c r="AZ809" s="24"/>
      <c r="BA809" s="24"/>
      <c r="BB809" s="24"/>
      <c r="BC809" s="24"/>
      <c r="BD809" s="24"/>
      <c r="BE809" s="24"/>
      <c r="BF809" s="24"/>
      <c r="BG809" s="24"/>
      <c r="BH809" s="24"/>
    </row>
    <row r="810" spans="1:60">
      <c r="A810" s="7"/>
      <c r="B810" s="8"/>
      <c r="C810" s="9"/>
      <c r="D810" s="25"/>
      <c r="E810" s="25"/>
      <c r="F810" s="25"/>
      <c r="G810" s="25"/>
      <c r="H810" s="53"/>
      <c r="I810" s="53"/>
      <c r="J810" s="53"/>
      <c r="K810" s="24"/>
      <c r="L810" s="7"/>
      <c r="M810" s="24"/>
      <c r="N810" s="24"/>
      <c r="O810" s="24"/>
      <c r="P810" s="24"/>
      <c r="Q810" s="24"/>
      <c r="R810" s="24"/>
      <c r="S810" s="24"/>
      <c r="T810" s="24"/>
      <c r="U810" s="24"/>
      <c r="V810" s="24"/>
      <c r="W810" s="24"/>
      <c r="X810" s="24"/>
      <c r="Y810" s="24"/>
      <c r="Z810" s="24"/>
      <c r="AA810" s="24"/>
      <c r="AB810" s="24"/>
      <c r="AC810" s="24"/>
      <c r="AD810" s="24"/>
      <c r="AE810" s="24"/>
      <c r="AF810" s="24"/>
      <c r="AG810" s="24"/>
      <c r="AH810" s="24"/>
      <c r="AI810" s="24"/>
      <c r="AJ810" s="24"/>
      <c r="AK810" s="24"/>
      <c r="AL810" s="24"/>
      <c r="AM810" s="24"/>
      <c r="AN810" s="24"/>
      <c r="AO810" s="24"/>
      <c r="AP810" s="24"/>
      <c r="AQ810" s="24"/>
      <c r="AR810" s="24"/>
      <c r="AS810" s="24"/>
      <c r="AT810" s="24"/>
      <c r="AU810" s="24"/>
      <c r="AV810" s="24"/>
      <c r="AW810" s="24"/>
      <c r="AX810" s="24"/>
      <c r="AY810" s="24"/>
      <c r="AZ810" s="24"/>
      <c r="BA810" s="24"/>
      <c r="BB810" s="24"/>
      <c r="BC810" s="24"/>
      <c r="BD810" s="24"/>
      <c r="BE810" s="24"/>
      <c r="BF810" s="24"/>
      <c r="BG810" s="24"/>
      <c r="BH810" s="24"/>
    </row>
    <row r="811" spans="1:60">
      <c r="A811" s="7"/>
      <c r="B811" s="8"/>
      <c r="C811" s="9"/>
      <c r="D811" s="25"/>
      <c r="E811" s="25"/>
      <c r="F811" s="25"/>
      <c r="G811" s="25"/>
      <c r="H811" s="53"/>
      <c r="I811" s="53"/>
      <c r="J811" s="53"/>
      <c r="K811" s="24"/>
      <c r="L811" s="7"/>
      <c r="M811" s="24"/>
      <c r="N811" s="24"/>
      <c r="O811" s="24"/>
      <c r="P811" s="24"/>
      <c r="Q811" s="24"/>
      <c r="R811" s="24"/>
      <c r="S811" s="24"/>
      <c r="T811" s="24"/>
      <c r="U811" s="24"/>
      <c r="V811" s="24"/>
      <c r="W811" s="24"/>
      <c r="X811" s="24"/>
      <c r="Y811" s="24"/>
      <c r="Z811" s="24"/>
      <c r="AA811" s="24"/>
      <c r="AB811" s="24"/>
      <c r="AC811" s="24"/>
      <c r="AD811" s="24"/>
      <c r="AE811" s="24"/>
      <c r="AF811" s="24"/>
      <c r="AG811" s="24"/>
      <c r="AH811" s="24"/>
      <c r="AI811" s="24"/>
      <c r="AJ811" s="24"/>
      <c r="AK811" s="24"/>
      <c r="AL811" s="24"/>
      <c r="AM811" s="24"/>
      <c r="AN811" s="24"/>
      <c r="AO811" s="24"/>
      <c r="AP811" s="24"/>
      <c r="AQ811" s="24"/>
      <c r="AR811" s="24"/>
      <c r="AS811" s="24"/>
      <c r="AT811" s="24"/>
      <c r="AU811" s="24"/>
      <c r="AV811" s="24"/>
      <c r="AW811" s="24"/>
      <c r="AX811" s="24"/>
      <c r="AY811" s="24"/>
      <c r="AZ811" s="24"/>
      <c r="BA811" s="24"/>
      <c r="BB811" s="24"/>
      <c r="BC811" s="24"/>
      <c r="BD811" s="24"/>
      <c r="BE811" s="24"/>
      <c r="BF811" s="24"/>
      <c r="BG811" s="24"/>
      <c r="BH811" s="24"/>
    </row>
    <row r="812" spans="1:60">
      <c r="A812" s="7"/>
      <c r="B812" s="8"/>
      <c r="C812" s="9"/>
      <c r="D812" s="25"/>
      <c r="E812" s="25"/>
      <c r="F812" s="25"/>
      <c r="G812" s="25"/>
      <c r="H812" s="53"/>
      <c r="I812" s="53"/>
      <c r="J812" s="53"/>
      <c r="K812" s="24"/>
      <c r="L812" s="7"/>
      <c r="M812" s="24"/>
      <c r="N812" s="24"/>
      <c r="O812" s="24"/>
      <c r="P812" s="24"/>
      <c r="Q812" s="24"/>
      <c r="R812" s="24"/>
      <c r="S812" s="24"/>
      <c r="T812" s="24"/>
      <c r="U812" s="24"/>
      <c r="V812" s="24"/>
      <c r="W812" s="24"/>
      <c r="X812" s="24"/>
      <c r="Y812" s="24"/>
      <c r="Z812" s="24"/>
      <c r="AA812" s="24"/>
      <c r="AB812" s="24"/>
      <c r="AC812" s="24"/>
      <c r="AD812" s="24"/>
      <c r="AE812" s="24"/>
      <c r="AF812" s="24"/>
      <c r="AG812" s="24"/>
      <c r="AH812" s="24"/>
      <c r="AI812" s="24"/>
      <c r="AJ812" s="24"/>
      <c r="AK812" s="24"/>
      <c r="AL812" s="24"/>
      <c r="AM812" s="24"/>
      <c r="AN812" s="24"/>
      <c r="AO812" s="24"/>
      <c r="AP812" s="24"/>
      <c r="AQ812" s="24"/>
      <c r="AR812" s="24"/>
      <c r="AS812" s="24"/>
      <c r="AT812" s="24"/>
      <c r="AU812" s="24"/>
      <c r="AV812" s="24"/>
      <c r="AW812" s="24"/>
      <c r="AX812" s="24"/>
      <c r="AY812" s="24"/>
      <c r="AZ812" s="24"/>
      <c r="BA812" s="24"/>
      <c r="BB812" s="24"/>
      <c r="BC812" s="24"/>
      <c r="BD812" s="24"/>
      <c r="BE812" s="24"/>
      <c r="BF812" s="24"/>
      <c r="BG812" s="24"/>
      <c r="BH812" s="24"/>
    </row>
    <row r="813" spans="1:60">
      <c r="A813" s="7"/>
      <c r="B813" s="8"/>
      <c r="C813" s="9"/>
      <c r="D813" s="25"/>
      <c r="E813" s="25"/>
      <c r="F813" s="25"/>
      <c r="G813" s="25"/>
      <c r="H813" s="53"/>
      <c r="I813" s="53"/>
      <c r="J813" s="53"/>
      <c r="K813" s="24"/>
      <c r="L813" s="7"/>
      <c r="M813" s="24"/>
      <c r="N813" s="24"/>
      <c r="O813" s="24"/>
      <c r="P813" s="24"/>
      <c r="Q813" s="24"/>
      <c r="R813" s="24"/>
      <c r="S813" s="24"/>
      <c r="T813" s="24"/>
      <c r="U813" s="24"/>
      <c r="V813" s="24"/>
      <c r="W813" s="24"/>
      <c r="X813" s="24"/>
      <c r="Y813" s="24"/>
      <c r="Z813" s="24"/>
      <c r="AA813" s="24"/>
      <c r="AB813" s="24"/>
      <c r="AC813" s="24"/>
      <c r="AD813" s="24"/>
      <c r="AE813" s="24"/>
      <c r="AF813" s="24"/>
      <c r="AG813" s="24"/>
      <c r="AH813" s="24"/>
      <c r="AI813" s="24"/>
      <c r="AJ813" s="24"/>
      <c r="AK813" s="24"/>
      <c r="AL813" s="24"/>
      <c r="AM813" s="24"/>
      <c r="AN813" s="24"/>
      <c r="AO813" s="24"/>
      <c r="AP813" s="24"/>
      <c r="AQ813" s="24"/>
      <c r="AR813" s="24"/>
      <c r="AS813" s="24"/>
      <c r="AT813" s="24"/>
      <c r="AU813" s="24"/>
      <c r="AV813" s="24"/>
      <c r="AW813" s="24"/>
      <c r="AX813" s="24"/>
      <c r="AY813" s="24"/>
      <c r="AZ813" s="24"/>
      <c r="BA813" s="24"/>
      <c r="BB813" s="24"/>
      <c r="BC813" s="24"/>
      <c r="BD813" s="24"/>
      <c r="BE813" s="24"/>
      <c r="BF813" s="24"/>
      <c r="BG813" s="24"/>
      <c r="BH813" s="24"/>
    </row>
    <row r="814" spans="1:60">
      <c r="A814" s="7"/>
      <c r="B814" s="8"/>
      <c r="C814" s="9"/>
      <c r="D814" s="25"/>
      <c r="E814" s="25"/>
      <c r="F814" s="25"/>
      <c r="G814" s="25"/>
      <c r="H814" s="53"/>
      <c r="I814" s="53"/>
      <c r="J814" s="53"/>
      <c r="K814" s="24"/>
      <c r="L814" s="7"/>
      <c r="M814" s="24"/>
      <c r="N814" s="24"/>
      <c r="O814" s="24"/>
      <c r="P814" s="24"/>
      <c r="Q814" s="24"/>
      <c r="R814" s="24"/>
      <c r="S814" s="24"/>
      <c r="T814" s="24"/>
      <c r="U814" s="24"/>
      <c r="V814" s="24"/>
      <c r="W814" s="24"/>
      <c r="X814" s="24"/>
      <c r="Y814" s="24"/>
      <c r="Z814" s="24"/>
      <c r="AA814" s="24"/>
      <c r="AB814" s="24"/>
      <c r="AC814" s="24"/>
      <c r="AD814" s="24"/>
      <c r="AE814" s="24"/>
      <c r="AF814" s="24"/>
      <c r="AG814" s="24"/>
      <c r="AH814" s="24"/>
      <c r="AI814" s="24"/>
      <c r="AJ814" s="24"/>
      <c r="AK814" s="24"/>
      <c r="AL814" s="24"/>
      <c r="AM814" s="24"/>
      <c r="AN814" s="24"/>
      <c r="AO814" s="24"/>
      <c r="AP814" s="24"/>
      <c r="AQ814" s="24"/>
      <c r="AR814" s="24"/>
      <c r="AS814" s="24"/>
      <c r="AT814" s="24"/>
      <c r="AU814" s="24"/>
      <c r="AV814" s="24"/>
      <c r="AW814" s="24"/>
      <c r="AX814" s="24"/>
      <c r="AY814" s="24"/>
      <c r="AZ814" s="24"/>
      <c r="BA814" s="24"/>
      <c r="BB814" s="24"/>
      <c r="BC814" s="24"/>
      <c r="BD814" s="24"/>
      <c r="BE814" s="24"/>
      <c r="BF814" s="24"/>
      <c r="BG814" s="24"/>
      <c r="BH814" s="24"/>
    </row>
    <row r="815" spans="1:60">
      <c r="A815" s="7"/>
      <c r="B815" s="8"/>
      <c r="C815" s="9"/>
      <c r="D815" s="25"/>
      <c r="E815" s="25"/>
      <c r="F815" s="25"/>
      <c r="G815" s="25"/>
      <c r="H815" s="53"/>
      <c r="I815" s="53"/>
      <c r="J815" s="53"/>
      <c r="K815" s="24"/>
      <c r="L815" s="7"/>
      <c r="M815" s="24"/>
      <c r="N815" s="24"/>
      <c r="O815" s="24"/>
      <c r="P815" s="24"/>
      <c r="Q815" s="24"/>
      <c r="R815" s="24"/>
      <c r="S815" s="24"/>
      <c r="T815" s="24"/>
      <c r="U815" s="24"/>
      <c r="V815" s="24"/>
      <c r="W815" s="24"/>
      <c r="X815" s="24"/>
      <c r="Y815" s="24"/>
      <c r="Z815" s="24"/>
      <c r="AA815" s="24"/>
      <c r="AB815" s="24"/>
      <c r="AC815" s="24"/>
      <c r="AD815" s="24"/>
      <c r="AE815" s="24"/>
      <c r="AF815" s="24"/>
      <c r="AG815" s="24"/>
      <c r="AH815" s="24"/>
      <c r="AI815" s="24"/>
      <c r="AJ815" s="24"/>
      <c r="AK815" s="24"/>
      <c r="AL815" s="24"/>
      <c r="AM815" s="24"/>
      <c r="AN815" s="24"/>
      <c r="AO815" s="24"/>
      <c r="AP815" s="24"/>
      <c r="AQ815" s="24"/>
      <c r="AR815" s="24"/>
      <c r="AS815" s="24"/>
      <c r="AT815" s="24"/>
      <c r="AU815" s="24"/>
      <c r="AV815" s="24"/>
      <c r="AW815" s="24"/>
      <c r="AX815" s="24"/>
      <c r="AY815" s="24"/>
      <c r="AZ815" s="24"/>
      <c r="BA815" s="24"/>
      <c r="BB815" s="24"/>
      <c r="BC815" s="24"/>
      <c r="BD815" s="24"/>
      <c r="BE815" s="24"/>
      <c r="BF815" s="24"/>
      <c r="BG815" s="24"/>
      <c r="BH815" s="24"/>
    </row>
    <row r="816" spans="1:60">
      <c r="A816" s="7"/>
      <c r="B816" s="8"/>
      <c r="C816" s="9"/>
      <c r="D816" s="25"/>
      <c r="E816" s="25"/>
      <c r="F816" s="25"/>
      <c r="G816" s="25"/>
      <c r="H816" s="53"/>
      <c r="I816" s="53"/>
      <c r="J816" s="53"/>
      <c r="K816" s="24"/>
      <c r="L816" s="7"/>
      <c r="M816" s="24"/>
      <c r="N816" s="24"/>
      <c r="O816" s="24"/>
      <c r="P816" s="24"/>
      <c r="Q816" s="24"/>
      <c r="R816" s="24"/>
      <c r="S816" s="24"/>
      <c r="T816" s="24"/>
      <c r="U816" s="24"/>
      <c r="V816" s="24"/>
      <c r="W816" s="24"/>
      <c r="X816" s="24"/>
      <c r="Y816" s="24"/>
      <c r="Z816" s="24"/>
      <c r="AA816" s="24"/>
      <c r="AB816" s="24"/>
      <c r="AC816" s="24"/>
      <c r="AD816" s="24"/>
      <c r="AE816" s="24"/>
      <c r="AF816" s="24"/>
      <c r="AG816" s="24"/>
      <c r="AH816" s="24"/>
      <c r="AI816" s="24"/>
      <c r="AJ816" s="24"/>
      <c r="AK816" s="24"/>
      <c r="AL816" s="24"/>
      <c r="AM816" s="24"/>
      <c r="AN816" s="24"/>
      <c r="AO816" s="24"/>
      <c r="AP816" s="24"/>
      <c r="AQ816" s="24"/>
      <c r="AR816" s="24"/>
      <c r="AS816" s="24"/>
      <c r="AT816" s="24"/>
      <c r="AU816" s="24"/>
      <c r="AV816" s="24"/>
      <c r="AW816" s="24"/>
      <c r="AX816" s="24"/>
      <c r="AY816" s="24"/>
      <c r="AZ816" s="24"/>
      <c r="BA816" s="24"/>
      <c r="BB816" s="24"/>
      <c r="BC816" s="24"/>
      <c r="BD816" s="24"/>
      <c r="BE816" s="24"/>
      <c r="BF816" s="24"/>
      <c r="BG816" s="24"/>
      <c r="BH816" s="24"/>
    </row>
    <row r="817" spans="1:60">
      <c r="A817" s="7"/>
      <c r="B817" s="8"/>
      <c r="C817" s="9"/>
      <c r="D817" s="25"/>
      <c r="E817" s="25"/>
      <c r="F817" s="25"/>
      <c r="G817" s="25"/>
      <c r="H817" s="53"/>
      <c r="I817" s="53"/>
      <c r="J817" s="53"/>
      <c r="K817" s="24"/>
      <c r="L817" s="7"/>
      <c r="M817" s="24"/>
      <c r="N817" s="24"/>
      <c r="O817" s="24"/>
      <c r="P817" s="24"/>
      <c r="Q817" s="24"/>
      <c r="R817" s="24"/>
      <c r="S817" s="24"/>
      <c r="T817" s="24"/>
      <c r="U817" s="24"/>
      <c r="V817" s="24"/>
      <c r="W817" s="24"/>
      <c r="X817" s="24"/>
      <c r="Y817" s="24"/>
      <c r="Z817" s="24"/>
      <c r="AA817" s="24"/>
      <c r="AB817" s="24"/>
      <c r="AC817" s="24"/>
      <c r="AD817" s="24"/>
      <c r="AE817" s="24"/>
      <c r="AF817" s="24"/>
      <c r="AG817" s="24"/>
      <c r="AH817" s="24"/>
      <c r="AI817" s="24"/>
      <c r="AJ817" s="24"/>
      <c r="AK817" s="24"/>
      <c r="AL817" s="24"/>
      <c r="AM817" s="24"/>
      <c r="AN817" s="24"/>
      <c r="AO817" s="24"/>
      <c r="AP817" s="24"/>
      <c r="AQ817" s="24"/>
      <c r="AR817" s="24"/>
      <c r="AS817" s="24"/>
      <c r="AT817" s="24"/>
      <c r="AU817" s="24"/>
      <c r="AV817" s="24"/>
      <c r="AW817" s="24"/>
      <c r="AX817" s="24"/>
      <c r="AY817" s="24"/>
      <c r="AZ817" s="24"/>
      <c r="BA817" s="24"/>
      <c r="BB817" s="24"/>
      <c r="BC817" s="24"/>
      <c r="BD817" s="24"/>
      <c r="BE817" s="24"/>
      <c r="BF817" s="24"/>
      <c r="BG817" s="24"/>
      <c r="BH817" s="24"/>
    </row>
    <row r="818" spans="1:60">
      <c r="A818" s="7"/>
      <c r="B818" s="8"/>
      <c r="C818" s="9"/>
      <c r="D818" s="25"/>
      <c r="E818" s="25"/>
      <c r="F818" s="25"/>
      <c r="G818" s="25"/>
      <c r="H818" s="53"/>
      <c r="I818" s="53"/>
      <c r="J818" s="53"/>
      <c r="K818" s="24"/>
      <c r="L818" s="7"/>
      <c r="M818" s="24"/>
      <c r="N818" s="24"/>
      <c r="O818" s="24"/>
      <c r="P818" s="24"/>
      <c r="Q818" s="24"/>
      <c r="R818" s="24"/>
      <c r="S818" s="24"/>
      <c r="T818" s="24"/>
      <c r="U818" s="24"/>
      <c r="V818" s="24"/>
      <c r="W818" s="24"/>
      <c r="X818" s="24"/>
      <c r="Y818" s="24"/>
      <c r="Z818" s="24"/>
      <c r="AA818" s="24"/>
      <c r="AB818" s="24"/>
      <c r="AC818" s="24"/>
      <c r="AD818" s="24"/>
      <c r="AE818" s="24"/>
      <c r="AF818" s="24"/>
      <c r="AG818" s="24"/>
      <c r="AH818" s="24"/>
      <c r="AI818" s="24"/>
      <c r="AJ818" s="24"/>
      <c r="AK818" s="24"/>
      <c r="AL818" s="24"/>
      <c r="AM818" s="24"/>
      <c r="AN818" s="24"/>
      <c r="AO818" s="24"/>
      <c r="AP818" s="24"/>
      <c r="AQ818" s="24"/>
      <c r="AR818" s="24"/>
      <c r="AS818" s="24"/>
      <c r="AT818" s="24"/>
      <c r="AU818" s="24"/>
      <c r="AV818" s="24"/>
      <c r="AW818" s="24"/>
      <c r="AX818" s="24"/>
      <c r="AY818" s="24"/>
      <c r="AZ818" s="24"/>
      <c r="BA818" s="24"/>
      <c r="BB818" s="24"/>
      <c r="BC818" s="24"/>
      <c r="BD818" s="24"/>
      <c r="BE818" s="24"/>
      <c r="BF818" s="24"/>
      <c r="BG818" s="24"/>
      <c r="BH818" s="24"/>
    </row>
    <row r="819" spans="1:60">
      <c r="A819" s="7"/>
      <c r="B819" s="8"/>
      <c r="C819" s="9"/>
      <c r="D819" s="25"/>
      <c r="E819" s="25"/>
      <c r="F819" s="25"/>
      <c r="G819" s="25"/>
      <c r="H819" s="53"/>
      <c r="I819" s="53"/>
      <c r="J819" s="53"/>
      <c r="K819" s="24"/>
      <c r="L819" s="7"/>
      <c r="M819" s="24"/>
      <c r="N819" s="24"/>
      <c r="O819" s="24"/>
      <c r="P819" s="24"/>
      <c r="Q819" s="24"/>
      <c r="R819" s="24"/>
      <c r="S819" s="24"/>
      <c r="T819" s="24"/>
      <c r="U819" s="24"/>
      <c r="V819" s="24"/>
      <c r="W819" s="24"/>
      <c r="X819" s="24"/>
      <c r="Y819" s="24"/>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c r="BC819" s="24"/>
      <c r="BD819" s="24"/>
      <c r="BE819" s="24"/>
      <c r="BF819" s="24"/>
      <c r="BG819" s="24"/>
      <c r="BH819" s="24"/>
    </row>
    <row r="820" spans="1:60">
      <c r="A820" s="7"/>
      <c r="B820" s="8"/>
      <c r="C820" s="9"/>
      <c r="D820" s="25"/>
      <c r="E820" s="25"/>
      <c r="F820" s="25"/>
      <c r="G820" s="25"/>
      <c r="H820" s="53"/>
      <c r="I820" s="53"/>
      <c r="J820" s="53"/>
      <c r="K820" s="24"/>
      <c r="L820" s="7"/>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c r="BC820" s="24"/>
      <c r="BD820" s="24"/>
      <c r="BE820" s="24"/>
      <c r="BF820" s="24"/>
      <c r="BG820" s="24"/>
      <c r="BH820" s="24"/>
    </row>
    <row r="821" spans="1:60">
      <c r="A821" s="7"/>
      <c r="B821" s="8"/>
      <c r="C821" s="9"/>
      <c r="D821" s="25"/>
      <c r="E821" s="25"/>
      <c r="F821" s="25"/>
      <c r="G821" s="25"/>
      <c r="H821" s="53"/>
      <c r="I821" s="53"/>
      <c r="J821" s="53"/>
      <c r="K821" s="24"/>
      <c r="L821" s="7"/>
      <c r="M821" s="24"/>
      <c r="N821" s="24"/>
      <c r="O821" s="24"/>
      <c r="P821" s="24"/>
      <c r="Q821" s="24"/>
      <c r="R821" s="24"/>
      <c r="S821" s="24"/>
      <c r="T821" s="24"/>
      <c r="U821" s="24"/>
      <c r="V821" s="24"/>
      <c r="W821" s="24"/>
      <c r="X821" s="24"/>
      <c r="Y821" s="24"/>
      <c r="Z821" s="24"/>
      <c r="AA821" s="24"/>
      <c r="AB821" s="24"/>
      <c r="AC821" s="24"/>
      <c r="AD821" s="24"/>
      <c r="AE821" s="24"/>
      <c r="AF821" s="24"/>
      <c r="AG821" s="24"/>
      <c r="AH821" s="24"/>
      <c r="AI821" s="24"/>
      <c r="AJ821" s="24"/>
      <c r="AK821" s="24"/>
      <c r="AL821" s="24"/>
      <c r="AM821" s="24"/>
      <c r="AN821" s="24"/>
      <c r="AO821" s="24"/>
      <c r="AP821" s="24"/>
      <c r="AQ821" s="24"/>
      <c r="AR821" s="24"/>
      <c r="AS821" s="24"/>
      <c r="AT821" s="24"/>
      <c r="AU821" s="24"/>
      <c r="AV821" s="24"/>
      <c r="AW821" s="24"/>
      <c r="AX821" s="24"/>
      <c r="AY821" s="24"/>
      <c r="AZ821" s="24"/>
      <c r="BA821" s="24"/>
      <c r="BB821" s="24"/>
      <c r="BC821" s="24"/>
      <c r="BD821" s="24"/>
      <c r="BE821" s="24"/>
      <c r="BF821" s="24"/>
      <c r="BG821" s="24"/>
      <c r="BH821" s="24"/>
    </row>
    <row r="822" spans="1:60">
      <c r="A822" s="7"/>
      <c r="B822" s="8"/>
      <c r="C822" s="9"/>
      <c r="D822" s="25"/>
      <c r="E822" s="25"/>
      <c r="F822" s="25"/>
      <c r="G822" s="25"/>
      <c r="H822" s="53"/>
      <c r="I822" s="53"/>
      <c r="J822" s="53"/>
      <c r="K822" s="24"/>
      <c r="L822" s="7"/>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24"/>
      <c r="BD822" s="24"/>
      <c r="BE822" s="24"/>
      <c r="BF822" s="24"/>
      <c r="BG822" s="24"/>
      <c r="BH822" s="24"/>
    </row>
    <row r="823" spans="1:60">
      <c r="A823" s="7"/>
      <c r="B823" s="8"/>
      <c r="C823" s="9"/>
      <c r="D823" s="25"/>
      <c r="E823" s="25"/>
      <c r="F823" s="25"/>
      <c r="G823" s="25"/>
      <c r="H823" s="53"/>
      <c r="I823" s="53"/>
      <c r="J823" s="53"/>
      <c r="K823" s="24"/>
      <c r="L823" s="7"/>
      <c r="M823" s="24"/>
      <c r="N823" s="24"/>
      <c r="O823" s="24"/>
      <c r="P823" s="24"/>
      <c r="Q823" s="24"/>
      <c r="R823" s="24"/>
      <c r="S823" s="24"/>
      <c r="T823" s="24"/>
      <c r="U823" s="24"/>
      <c r="V823" s="24"/>
      <c r="W823" s="24"/>
      <c r="X823" s="24"/>
      <c r="Y823" s="24"/>
      <c r="Z823" s="24"/>
      <c r="AA823" s="24"/>
      <c r="AB823" s="24"/>
      <c r="AC823" s="24"/>
      <c r="AD823" s="24"/>
      <c r="AE823" s="24"/>
      <c r="AF823" s="24"/>
      <c r="AG823" s="24"/>
      <c r="AH823" s="24"/>
      <c r="AI823" s="24"/>
      <c r="AJ823" s="24"/>
      <c r="AK823" s="24"/>
      <c r="AL823" s="24"/>
      <c r="AM823" s="24"/>
      <c r="AN823" s="24"/>
      <c r="AO823" s="24"/>
      <c r="AP823" s="24"/>
      <c r="AQ823" s="24"/>
      <c r="AR823" s="24"/>
      <c r="AS823" s="24"/>
      <c r="AT823" s="24"/>
      <c r="AU823" s="24"/>
      <c r="AV823" s="24"/>
      <c r="AW823" s="24"/>
      <c r="AX823" s="24"/>
      <c r="AY823" s="24"/>
      <c r="AZ823" s="24"/>
      <c r="BA823" s="24"/>
      <c r="BB823" s="24"/>
      <c r="BC823" s="24"/>
      <c r="BD823" s="24"/>
      <c r="BE823" s="24"/>
      <c r="BF823" s="24"/>
      <c r="BG823" s="24"/>
      <c r="BH823" s="24"/>
    </row>
    <row r="824" spans="1:60">
      <c r="A824" s="7"/>
      <c r="B824" s="8"/>
      <c r="C824" s="9"/>
      <c r="D824" s="25"/>
      <c r="E824" s="25"/>
      <c r="F824" s="25"/>
      <c r="G824" s="25"/>
      <c r="H824" s="53"/>
      <c r="I824" s="53"/>
      <c r="J824" s="53"/>
      <c r="K824" s="24"/>
      <c r="L824" s="7"/>
      <c r="M824" s="24"/>
      <c r="N824" s="24"/>
      <c r="O824" s="24"/>
      <c r="P824" s="24"/>
      <c r="Q824" s="24"/>
      <c r="R824" s="24"/>
      <c r="S824" s="24"/>
      <c r="T824" s="24"/>
      <c r="U824" s="24"/>
      <c r="V824" s="24"/>
      <c r="W824" s="24"/>
      <c r="X824" s="24"/>
      <c r="Y824" s="24"/>
      <c r="Z824" s="24"/>
      <c r="AA824" s="24"/>
      <c r="AB824" s="24"/>
      <c r="AC824" s="24"/>
      <c r="AD824" s="24"/>
      <c r="AE824" s="24"/>
      <c r="AF824" s="24"/>
      <c r="AG824" s="24"/>
      <c r="AH824" s="24"/>
      <c r="AI824" s="24"/>
      <c r="AJ824" s="24"/>
      <c r="AK824" s="24"/>
      <c r="AL824" s="24"/>
      <c r="AM824" s="24"/>
      <c r="AN824" s="24"/>
      <c r="AO824" s="24"/>
      <c r="AP824" s="24"/>
      <c r="AQ824" s="24"/>
      <c r="AR824" s="24"/>
      <c r="AS824" s="24"/>
      <c r="AT824" s="24"/>
      <c r="AU824" s="24"/>
      <c r="AV824" s="24"/>
      <c r="AW824" s="24"/>
      <c r="AX824" s="24"/>
      <c r="AY824" s="24"/>
      <c r="AZ824" s="24"/>
      <c r="BA824" s="24"/>
      <c r="BB824" s="24"/>
      <c r="BC824" s="24"/>
      <c r="BD824" s="24"/>
      <c r="BE824" s="24"/>
      <c r="BF824" s="24"/>
      <c r="BG824" s="24"/>
      <c r="BH824" s="24"/>
    </row>
    <row r="825" spans="1:60">
      <c r="A825" s="7"/>
      <c r="B825" s="8"/>
      <c r="C825" s="9"/>
      <c r="D825" s="25"/>
      <c r="E825" s="25"/>
      <c r="F825" s="25"/>
      <c r="G825" s="25"/>
      <c r="H825" s="53"/>
      <c r="I825" s="53"/>
      <c r="J825" s="53"/>
      <c r="K825" s="24"/>
      <c r="L825" s="7"/>
      <c r="M825" s="24"/>
      <c r="N825" s="24"/>
      <c r="O825" s="24"/>
      <c r="P825" s="24"/>
      <c r="Q825" s="24"/>
      <c r="R825" s="24"/>
      <c r="S825" s="24"/>
      <c r="T825" s="24"/>
      <c r="U825" s="24"/>
      <c r="V825" s="24"/>
      <c r="W825" s="24"/>
      <c r="X825" s="24"/>
      <c r="Y825" s="24"/>
      <c r="Z825" s="24"/>
      <c r="AA825" s="24"/>
      <c r="AB825" s="24"/>
      <c r="AC825" s="24"/>
      <c r="AD825" s="24"/>
      <c r="AE825" s="24"/>
      <c r="AF825" s="24"/>
      <c r="AG825" s="24"/>
      <c r="AH825" s="24"/>
      <c r="AI825" s="24"/>
      <c r="AJ825" s="24"/>
      <c r="AK825" s="24"/>
      <c r="AL825" s="24"/>
      <c r="AM825" s="24"/>
      <c r="AN825" s="24"/>
      <c r="AO825" s="24"/>
      <c r="AP825" s="24"/>
      <c r="AQ825" s="24"/>
      <c r="AR825" s="24"/>
      <c r="AS825" s="24"/>
      <c r="AT825" s="24"/>
      <c r="AU825" s="24"/>
      <c r="AV825" s="24"/>
      <c r="AW825" s="24"/>
      <c r="AX825" s="24"/>
      <c r="AY825" s="24"/>
      <c r="AZ825" s="24"/>
      <c r="BA825" s="24"/>
      <c r="BB825" s="24"/>
      <c r="BC825" s="24"/>
      <c r="BD825" s="24"/>
      <c r="BE825" s="24"/>
      <c r="BF825" s="24"/>
      <c r="BG825" s="24"/>
      <c r="BH825" s="24"/>
    </row>
    <row r="826" spans="1:60">
      <c r="A826" s="7"/>
      <c r="B826" s="8"/>
      <c r="C826" s="9"/>
      <c r="D826" s="25"/>
      <c r="E826" s="25"/>
      <c r="F826" s="25"/>
      <c r="G826" s="25"/>
      <c r="H826" s="53"/>
      <c r="I826" s="53"/>
      <c r="J826" s="53"/>
      <c r="K826" s="24"/>
      <c r="L826" s="7"/>
      <c r="M826" s="24"/>
      <c r="N826" s="24"/>
      <c r="O826" s="24"/>
      <c r="P826" s="24"/>
      <c r="Q826" s="24"/>
      <c r="R826" s="24"/>
      <c r="S826" s="24"/>
      <c r="T826" s="24"/>
      <c r="U826" s="24"/>
      <c r="V826" s="24"/>
      <c r="W826" s="24"/>
      <c r="X826" s="24"/>
      <c r="Y826" s="24"/>
      <c r="Z826" s="24"/>
      <c r="AA826" s="24"/>
      <c r="AB826" s="24"/>
      <c r="AC826" s="24"/>
      <c r="AD826" s="24"/>
      <c r="AE826" s="24"/>
      <c r="AF826" s="24"/>
      <c r="AG826" s="24"/>
      <c r="AH826" s="24"/>
      <c r="AI826" s="24"/>
      <c r="AJ826" s="24"/>
      <c r="AK826" s="24"/>
      <c r="AL826" s="24"/>
      <c r="AM826" s="24"/>
      <c r="AN826" s="24"/>
      <c r="AO826" s="24"/>
      <c r="AP826" s="24"/>
      <c r="AQ826" s="24"/>
      <c r="AR826" s="24"/>
      <c r="AS826" s="24"/>
      <c r="AT826" s="24"/>
      <c r="AU826" s="24"/>
      <c r="AV826" s="24"/>
      <c r="AW826" s="24"/>
      <c r="AX826" s="24"/>
      <c r="AY826" s="24"/>
      <c r="AZ826" s="24"/>
      <c r="BA826" s="24"/>
      <c r="BB826" s="24"/>
      <c r="BC826" s="24"/>
      <c r="BD826" s="24"/>
      <c r="BE826" s="24"/>
      <c r="BF826" s="24"/>
      <c r="BG826" s="24"/>
      <c r="BH826" s="24"/>
    </row>
    <row r="827" spans="1:60">
      <c r="A827" s="7"/>
      <c r="B827" s="8"/>
      <c r="C827" s="9"/>
      <c r="D827" s="25"/>
      <c r="E827" s="25"/>
      <c r="F827" s="25"/>
      <c r="G827" s="25"/>
      <c r="H827" s="53"/>
      <c r="I827" s="53"/>
      <c r="J827" s="53"/>
      <c r="K827" s="24"/>
      <c r="L827" s="7"/>
      <c r="M827" s="24"/>
      <c r="N827" s="24"/>
      <c r="O827" s="24"/>
      <c r="P827" s="24"/>
      <c r="Q827" s="24"/>
      <c r="R827" s="24"/>
      <c r="S827" s="24"/>
      <c r="T827" s="24"/>
      <c r="U827" s="24"/>
      <c r="V827" s="24"/>
      <c r="W827" s="24"/>
      <c r="X827" s="24"/>
      <c r="Y827" s="24"/>
      <c r="Z827" s="24"/>
      <c r="AA827" s="24"/>
      <c r="AB827" s="24"/>
      <c r="AC827" s="24"/>
      <c r="AD827" s="24"/>
      <c r="AE827" s="24"/>
      <c r="AF827" s="24"/>
      <c r="AG827" s="24"/>
      <c r="AH827" s="24"/>
      <c r="AI827" s="24"/>
      <c r="AJ827" s="24"/>
      <c r="AK827" s="24"/>
      <c r="AL827" s="24"/>
      <c r="AM827" s="24"/>
      <c r="AN827" s="24"/>
      <c r="AO827" s="24"/>
      <c r="AP827" s="24"/>
      <c r="AQ827" s="24"/>
      <c r="AR827" s="24"/>
      <c r="AS827" s="24"/>
      <c r="AT827" s="24"/>
      <c r="AU827" s="24"/>
      <c r="AV827" s="24"/>
      <c r="AW827" s="24"/>
      <c r="AX827" s="24"/>
      <c r="AY827" s="24"/>
      <c r="AZ827" s="24"/>
      <c r="BA827" s="24"/>
      <c r="BB827" s="24"/>
      <c r="BC827" s="24"/>
      <c r="BD827" s="24"/>
      <c r="BE827" s="24"/>
      <c r="BF827" s="24"/>
      <c r="BG827" s="24"/>
      <c r="BH827" s="24"/>
    </row>
    <row r="828" spans="1:60">
      <c r="A828" s="7"/>
      <c r="B828" s="8"/>
      <c r="C828" s="9"/>
      <c r="D828" s="25"/>
      <c r="E828" s="25"/>
      <c r="F828" s="25"/>
      <c r="G828" s="25"/>
      <c r="H828" s="53"/>
      <c r="I828" s="53"/>
      <c r="J828" s="53"/>
      <c r="K828" s="24"/>
      <c r="L828" s="7"/>
      <c r="M828" s="24"/>
      <c r="N828" s="24"/>
      <c r="O828" s="24"/>
      <c r="P828" s="24"/>
      <c r="Q828" s="24"/>
      <c r="R828" s="24"/>
      <c r="S828" s="24"/>
      <c r="T828" s="24"/>
      <c r="U828" s="24"/>
      <c r="V828" s="24"/>
      <c r="W828" s="24"/>
      <c r="X828" s="24"/>
      <c r="Y828" s="24"/>
      <c r="Z828" s="24"/>
      <c r="AA828" s="24"/>
      <c r="AB828" s="24"/>
      <c r="AC828" s="24"/>
      <c r="AD828" s="24"/>
      <c r="AE828" s="24"/>
      <c r="AF828" s="24"/>
      <c r="AG828" s="24"/>
      <c r="AH828" s="24"/>
      <c r="AI828" s="24"/>
      <c r="AJ828" s="24"/>
      <c r="AK828" s="24"/>
      <c r="AL828" s="24"/>
      <c r="AM828" s="24"/>
      <c r="AN828" s="24"/>
      <c r="AO828" s="24"/>
      <c r="AP828" s="24"/>
      <c r="AQ828" s="24"/>
      <c r="AR828" s="24"/>
      <c r="AS828" s="24"/>
      <c r="AT828" s="24"/>
      <c r="AU828" s="24"/>
      <c r="AV828" s="24"/>
      <c r="AW828" s="24"/>
      <c r="AX828" s="24"/>
      <c r="AY828" s="24"/>
      <c r="AZ828" s="24"/>
      <c r="BA828" s="24"/>
      <c r="BB828" s="24"/>
      <c r="BC828" s="24"/>
      <c r="BD828" s="24"/>
      <c r="BE828" s="24"/>
      <c r="BF828" s="24"/>
      <c r="BG828" s="24"/>
      <c r="BH828" s="24"/>
    </row>
    <row r="829" spans="1:60">
      <c r="A829" s="7"/>
      <c r="B829" s="8"/>
      <c r="C829" s="9"/>
      <c r="D829" s="25"/>
      <c r="E829" s="25"/>
      <c r="F829" s="25"/>
      <c r="G829" s="25"/>
      <c r="H829" s="53"/>
      <c r="I829" s="53"/>
      <c r="J829" s="53"/>
      <c r="K829" s="24"/>
      <c r="L829" s="7"/>
      <c r="M829" s="24"/>
      <c r="N829" s="24"/>
      <c r="O829" s="24"/>
      <c r="P829" s="24"/>
      <c r="Q829" s="24"/>
      <c r="R829" s="24"/>
      <c r="S829" s="24"/>
      <c r="T829" s="24"/>
      <c r="U829" s="24"/>
      <c r="V829" s="24"/>
      <c r="W829" s="24"/>
      <c r="X829" s="24"/>
      <c r="Y829" s="24"/>
      <c r="Z829" s="24"/>
      <c r="AA829" s="24"/>
      <c r="AB829" s="24"/>
      <c r="AC829" s="24"/>
      <c r="AD829" s="24"/>
      <c r="AE829" s="24"/>
      <c r="AF829" s="24"/>
      <c r="AG829" s="24"/>
      <c r="AH829" s="24"/>
      <c r="AI829" s="24"/>
      <c r="AJ829" s="24"/>
      <c r="AK829" s="24"/>
      <c r="AL829" s="24"/>
      <c r="AM829" s="24"/>
      <c r="AN829" s="24"/>
      <c r="AO829" s="24"/>
      <c r="AP829" s="24"/>
      <c r="AQ829" s="24"/>
      <c r="AR829" s="24"/>
      <c r="AS829" s="24"/>
      <c r="AT829" s="24"/>
      <c r="AU829" s="24"/>
      <c r="AV829" s="24"/>
      <c r="AW829" s="24"/>
      <c r="AX829" s="24"/>
      <c r="AY829" s="24"/>
      <c r="AZ829" s="24"/>
      <c r="BA829" s="24"/>
      <c r="BB829" s="24"/>
      <c r="BC829" s="24"/>
      <c r="BD829" s="24"/>
      <c r="BE829" s="24"/>
      <c r="BF829" s="24"/>
      <c r="BG829" s="24"/>
      <c r="BH829" s="24"/>
    </row>
    <row r="830" spans="1:60">
      <c r="A830" s="7"/>
      <c r="B830" s="8"/>
      <c r="C830" s="9"/>
      <c r="D830" s="25"/>
      <c r="E830" s="25"/>
      <c r="F830" s="25"/>
      <c r="G830" s="25"/>
      <c r="H830" s="53"/>
      <c r="I830" s="53"/>
      <c r="J830" s="53"/>
      <c r="K830" s="24"/>
      <c r="L830" s="7"/>
      <c r="M830" s="24"/>
      <c r="N830" s="24"/>
      <c r="O830" s="24"/>
      <c r="P830" s="24"/>
      <c r="Q830" s="24"/>
      <c r="R830" s="24"/>
      <c r="S830" s="24"/>
      <c r="T830" s="24"/>
      <c r="U830" s="24"/>
      <c r="V830" s="24"/>
      <c r="W830" s="24"/>
      <c r="X830" s="24"/>
      <c r="Y830" s="24"/>
      <c r="Z830" s="24"/>
      <c r="AA830" s="24"/>
      <c r="AB830" s="24"/>
      <c r="AC830" s="24"/>
      <c r="AD830" s="24"/>
      <c r="AE830" s="24"/>
      <c r="AF830" s="24"/>
      <c r="AG830" s="24"/>
      <c r="AH830" s="24"/>
      <c r="AI830" s="24"/>
      <c r="AJ830" s="24"/>
      <c r="AK830" s="24"/>
      <c r="AL830" s="24"/>
      <c r="AM830" s="24"/>
      <c r="AN830" s="24"/>
      <c r="AO830" s="24"/>
      <c r="AP830" s="24"/>
      <c r="AQ830" s="24"/>
      <c r="AR830" s="24"/>
      <c r="AS830" s="24"/>
      <c r="AT830" s="24"/>
      <c r="AU830" s="24"/>
      <c r="AV830" s="24"/>
      <c r="AW830" s="24"/>
      <c r="AX830" s="24"/>
      <c r="AY830" s="24"/>
      <c r="AZ830" s="24"/>
      <c r="BA830" s="24"/>
      <c r="BB830" s="24"/>
      <c r="BC830" s="24"/>
      <c r="BD830" s="24"/>
      <c r="BE830" s="24"/>
      <c r="BF830" s="24"/>
      <c r="BG830" s="24"/>
      <c r="BH830" s="24"/>
    </row>
    <row r="831" spans="1:60">
      <c r="A831" s="7"/>
      <c r="B831" s="8"/>
      <c r="C831" s="9"/>
      <c r="D831" s="25"/>
      <c r="E831" s="25"/>
      <c r="F831" s="25"/>
      <c r="G831" s="25"/>
      <c r="H831" s="53"/>
      <c r="I831" s="53"/>
      <c r="J831" s="53"/>
      <c r="K831" s="24"/>
      <c r="L831" s="7"/>
      <c r="M831" s="24"/>
      <c r="N831" s="24"/>
      <c r="O831" s="24"/>
      <c r="P831" s="24"/>
      <c r="Q831" s="24"/>
      <c r="R831" s="24"/>
      <c r="S831" s="24"/>
      <c r="T831" s="24"/>
      <c r="U831" s="24"/>
      <c r="V831" s="24"/>
      <c r="W831" s="24"/>
      <c r="X831" s="24"/>
      <c r="Y831" s="24"/>
      <c r="Z831" s="24"/>
      <c r="AA831" s="24"/>
      <c r="AB831" s="24"/>
      <c r="AC831" s="24"/>
      <c r="AD831" s="24"/>
      <c r="AE831" s="24"/>
      <c r="AF831" s="24"/>
      <c r="AG831" s="24"/>
      <c r="AH831" s="24"/>
      <c r="AI831" s="24"/>
      <c r="AJ831" s="24"/>
      <c r="AK831" s="24"/>
      <c r="AL831" s="24"/>
      <c r="AM831" s="24"/>
      <c r="AN831" s="24"/>
      <c r="AO831" s="24"/>
      <c r="AP831" s="24"/>
      <c r="AQ831" s="24"/>
      <c r="AR831" s="24"/>
      <c r="AS831" s="24"/>
      <c r="AT831" s="24"/>
      <c r="AU831" s="24"/>
      <c r="AV831" s="24"/>
      <c r="AW831" s="24"/>
      <c r="AX831" s="24"/>
      <c r="AY831" s="24"/>
      <c r="AZ831" s="24"/>
      <c r="BA831" s="24"/>
      <c r="BB831" s="24"/>
      <c r="BC831" s="24"/>
      <c r="BD831" s="24"/>
      <c r="BE831" s="24"/>
      <c r="BF831" s="24"/>
      <c r="BG831" s="24"/>
      <c r="BH831" s="24"/>
    </row>
    <row r="832" spans="1:60">
      <c r="A832" s="7"/>
      <c r="B832" s="8"/>
      <c r="C832" s="9"/>
      <c r="D832" s="25"/>
      <c r="E832" s="25"/>
      <c r="F832" s="25"/>
      <c r="G832" s="25"/>
      <c r="H832" s="53"/>
      <c r="I832" s="53"/>
      <c r="J832" s="53"/>
      <c r="K832" s="24"/>
      <c r="L832" s="7"/>
      <c r="M832" s="24"/>
      <c r="N832" s="24"/>
      <c r="O832" s="24"/>
      <c r="P832" s="24"/>
      <c r="Q832" s="24"/>
      <c r="R832" s="24"/>
      <c r="S832" s="24"/>
      <c r="T832" s="24"/>
      <c r="U832" s="24"/>
      <c r="V832" s="24"/>
      <c r="W832" s="24"/>
      <c r="X832" s="24"/>
      <c r="Y832" s="24"/>
      <c r="Z832" s="24"/>
      <c r="AA832" s="24"/>
      <c r="AB832" s="24"/>
      <c r="AC832" s="24"/>
      <c r="AD832" s="24"/>
      <c r="AE832" s="24"/>
      <c r="AF832" s="24"/>
      <c r="AG832" s="24"/>
      <c r="AH832" s="24"/>
      <c r="AI832" s="24"/>
      <c r="AJ832" s="24"/>
      <c r="AK832" s="24"/>
      <c r="AL832" s="24"/>
      <c r="AM832" s="24"/>
      <c r="AN832" s="24"/>
      <c r="AO832" s="24"/>
      <c r="AP832" s="24"/>
      <c r="AQ832" s="24"/>
      <c r="AR832" s="24"/>
      <c r="AS832" s="24"/>
      <c r="AT832" s="24"/>
      <c r="AU832" s="24"/>
      <c r="AV832" s="24"/>
      <c r="AW832" s="24"/>
      <c r="AX832" s="24"/>
      <c r="AY832" s="24"/>
      <c r="AZ832" s="24"/>
      <c r="BA832" s="24"/>
      <c r="BB832" s="24"/>
      <c r="BC832" s="24"/>
      <c r="BD832" s="24"/>
      <c r="BE832" s="24"/>
      <c r="BF832" s="24"/>
      <c r="BG832" s="24"/>
      <c r="BH832" s="24"/>
    </row>
    <row r="833" spans="1:60">
      <c r="A833" s="7"/>
      <c r="B833" s="8"/>
      <c r="C833" s="9"/>
      <c r="D833" s="25"/>
      <c r="E833" s="25"/>
      <c r="F833" s="25"/>
      <c r="G833" s="25"/>
      <c r="H833" s="53"/>
      <c r="I833" s="53"/>
      <c r="J833" s="53"/>
      <c r="K833" s="24"/>
      <c r="L833" s="7"/>
      <c r="M833" s="24"/>
      <c r="N833" s="24"/>
      <c r="O833" s="24"/>
      <c r="P833" s="24"/>
      <c r="Q833" s="24"/>
      <c r="R833" s="24"/>
      <c r="S833" s="24"/>
      <c r="T833" s="24"/>
      <c r="U833" s="24"/>
      <c r="V833" s="24"/>
      <c r="W833" s="24"/>
      <c r="X833" s="24"/>
      <c r="Y833" s="24"/>
      <c r="Z833" s="24"/>
      <c r="AA833" s="24"/>
      <c r="AB833" s="24"/>
      <c r="AC833" s="24"/>
      <c r="AD833" s="24"/>
      <c r="AE833" s="24"/>
      <c r="AF833" s="24"/>
      <c r="AG833" s="24"/>
      <c r="AH833" s="24"/>
      <c r="AI833" s="24"/>
      <c r="AJ833" s="24"/>
      <c r="AK833" s="24"/>
      <c r="AL833" s="24"/>
      <c r="AM833" s="24"/>
      <c r="AN833" s="24"/>
      <c r="AO833" s="24"/>
      <c r="AP833" s="24"/>
      <c r="AQ833" s="24"/>
      <c r="AR833" s="24"/>
      <c r="AS833" s="24"/>
      <c r="AT833" s="24"/>
      <c r="AU833" s="24"/>
      <c r="AV833" s="24"/>
      <c r="AW833" s="24"/>
      <c r="AX833" s="24"/>
      <c r="AY833" s="24"/>
      <c r="AZ833" s="24"/>
      <c r="BA833" s="24"/>
      <c r="BB833" s="24"/>
      <c r="BC833" s="24"/>
      <c r="BD833" s="24"/>
      <c r="BE833" s="24"/>
      <c r="BF833" s="24"/>
      <c r="BG833" s="24"/>
      <c r="BH833" s="24"/>
    </row>
    <row r="834" spans="1:60">
      <c r="A834" s="7"/>
      <c r="B834" s="8"/>
      <c r="C834" s="9"/>
      <c r="D834" s="25"/>
      <c r="E834" s="25"/>
      <c r="F834" s="25"/>
      <c r="G834" s="25"/>
      <c r="H834" s="53"/>
      <c r="I834" s="53"/>
      <c r="J834" s="53"/>
      <c r="K834" s="24"/>
      <c r="L834" s="7"/>
      <c r="M834" s="24"/>
      <c r="N834" s="24"/>
      <c r="O834" s="24"/>
      <c r="P834" s="24"/>
      <c r="Q834" s="24"/>
      <c r="R834" s="24"/>
      <c r="S834" s="24"/>
      <c r="T834" s="24"/>
      <c r="U834" s="24"/>
      <c r="V834" s="24"/>
      <c r="W834" s="24"/>
      <c r="X834" s="24"/>
      <c r="Y834" s="24"/>
      <c r="Z834" s="24"/>
      <c r="AA834" s="24"/>
      <c r="AB834" s="24"/>
      <c r="AC834" s="24"/>
      <c r="AD834" s="24"/>
      <c r="AE834" s="24"/>
      <c r="AF834" s="24"/>
      <c r="AG834" s="24"/>
      <c r="AH834" s="24"/>
      <c r="AI834" s="24"/>
      <c r="AJ834" s="24"/>
      <c r="AK834" s="24"/>
      <c r="AL834" s="24"/>
      <c r="AM834" s="24"/>
      <c r="AN834" s="24"/>
      <c r="AO834" s="24"/>
      <c r="AP834" s="24"/>
      <c r="AQ834" s="24"/>
      <c r="AR834" s="24"/>
      <c r="AS834" s="24"/>
      <c r="AT834" s="24"/>
      <c r="AU834" s="24"/>
      <c r="AV834" s="24"/>
      <c r="AW834" s="24"/>
      <c r="AX834" s="24"/>
      <c r="AY834" s="24"/>
      <c r="AZ834" s="24"/>
      <c r="BA834" s="24"/>
      <c r="BB834" s="24"/>
      <c r="BC834" s="24"/>
      <c r="BD834" s="24"/>
      <c r="BE834" s="24"/>
      <c r="BF834" s="24"/>
      <c r="BG834" s="24"/>
      <c r="BH834" s="24"/>
    </row>
    <row r="835" spans="1:60">
      <c r="A835" s="7"/>
      <c r="B835" s="8"/>
      <c r="C835" s="9"/>
      <c r="D835" s="25"/>
      <c r="E835" s="25"/>
      <c r="F835" s="25"/>
      <c r="G835" s="25"/>
      <c r="H835" s="53"/>
      <c r="I835" s="53"/>
      <c r="J835" s="53"/>
      <c r="K835" s="24"/>
      <c r="L835" s="7"/>
      <c r="M835" s="24"/>
      <c r="N835" s="24"/>
      <c r="O835" s="24"/>
      <c r="P835" s="24"/>
      <c r="Q835" s="24"/>
      <c r="R835" s="24"/>
      <c r="S835" s="24"/>
      <c r="T835" s="24"/>
      <c r="U835" s="24"/>
      <c r="V835" s="24"/>
      <c r="W835" s="24"/>
      <c r="X835" s="24"/>
      <c r="Y835" s="24"/>
      <c r="Z835" s="24"/>
      <c r="AA835" s="24"/>
      <c r="AB835" s="24"/>
      <c r="AC835" s="24"/>
      <c r="AD835" s="24"/>
      <c r="AE835" s="24"/>
      <c r="AF835" s="24"/>
      <c r="AG835" s="24"/>
      <c r="AH835" s="24"/>
      <c r="AI835" s="24"/>
      <c r="AJ835" s="24"/>
      <c r="AK835" s="24"/>
      <c r="AL835" s="24"/>
      <c r="AM835" s="24"/>
      <c r="AN835" s="24"/>
      <c r="AO835" s="24"/>
      <c r="AP835" s="24"/>
      <c r="AQ835" s="24"/>
      <c r="AR835" s="24"/>
      <c r="AS835" s="24"/>
      <c r="AT835" s="24"/>
      <c r="AU835" s="24"/>
      <c r="AV835" s="24"/>
      <c r="AW835" s="24"/>
      <c r="AX835" s="24"/>
      <c r="AY835" s="24"/>
      <c r="AZ835" s="24"/>
      <c r="BA835" s="24"/>
      <c r="BB835" s="24"/>
      <c r="BC835" s="24"/>
      <c r="BD835" s="24"/>
      <c r="BE835" s="24"/>
      <c r="BF835" s="24"/>
      <c r="BG835" s="24"/>
      <c r="BH835" s="24"/>
    </row>
    <row r="836" spans="1:60">
      <c r="A836" s="7"/>
      <c r="B836" s="8"/>
      <c r="C836" s="9"/>
      <c r="D836" s="25"/>
      <c r="E836" s="25"/>
      <c r="F836" s="25"/>
      <c r="G836" s="25"/>
      <c r="H836" s="53"/>
      <c r="I836" s="53"/>
      <c r="J836" s="53"/>
      <c r="K836" s="24"/>
      <c r="L836" s="7"/>
      <c r="M836" s="24"/>
      <c r="N836" s="24"/>
      <c r="O836" s="24"/>
      <c r="P836" s="24"/>
      <c r="Q836" s="24"/>
      <c r="R836" s="24"/>
      <c r="S836" s="24"/>
      <c r="T836" s="24"/>
      <c r="U836" s="24"/>
      <c r="V836" s="24"/>
      <c r="W836" s="24"/>
      <c r="X836" s="24"/>
      <c r="Y836" s="24"/>
      <c r="Z836" s="24"/>
      <c r="AA836" s="24"/>
      <c r="AB836" s="24"/>
      <c r="AC836" s="24"/>
      <c r="AD836" s="24"/>
      <c r="AE836" s="24"/>
      <c r="AF836" s="24"/>
      <c r="AG836" s="24"/>
      <c r="AH836" s="24"/>
      <c r="AI836" s="24"/>
      <c r="AJ836" s="24"/>
      <c r="AK836" s="24"/>
      <c r="AL836" s="24"/>
      <c r="AM836" s="24"/>
      <c r="AN836" s="24"/>
      <c r="AO836" s="24"/>
      <c r="AP836" s="24"/>
      <c r="AQ836" s="24"/>
      <c r="AR836" s="24"/>
      <c r="AS836" s="24"/>
      <c r="AT836" s="24"/>
      <c r="AU836" s="24"/>
      <c r="AV836" s="24"/>
      <c r="AW836" s="24"/>
      <c r="AX836" s="24"/>
      <c r="AY836" s="24"/>
      <c r="AZ836" s="24"/>
      <c r="BA836" s="24"/>
      <c r="BB836" s="24"/>
      <c r="BC836" s="24"/>
      <c r="BD836" s="24"/>
      <c r="BE836" s="24"/>
      <c r="BF836" s="24"/>
      <c r="BG836" s="24"/>
      <c r="BH836" s="24"/>
    </row>
    <row r="837" spans="1:60">
      <c r="A837" s="7"/>
      <c r="B837" s="8"/>
      <c r="C837" s="9"/>
      <c r="D837" s="25"/>
      <c r="E837" s="25"/>
      <c r="F837" s="25"/>
      <c r="G837" s="25"/>
      <c r="H837" s="53"/>
      <c r="I837" s="53"/>
      <c r="J837" s="53"/>
      <c r="K837" s="24"/>
      <c r="L837" s="7"/>
      <c r="M837" s="24"/>
      <c r="N837" s="24"/>
      <c r="O837" s="24"/>
      <c r="P837" s="24"/>
      <c r="Q837" s="24"/>
      <c r="R837" s="24"/>
      <c r="S837" s="24"/>
      <c r="T837" s="24"/>
      <c r="U837" s="24"/>
      <c r="V837" s="24"/>
      <c r="W837" s="24"/>
      <c r="X837" s="24"/>
      <c r="Y837" s="24"/>
      <c r="Z837" s="24"/>
      <c r="AA837" s="24"/>
      <c r="AB837" s="24"/>
      <c r="AC837" s="24"/>
      <c r="AD837" s="24"/>
      <c r="AE837" s="24"/>
      <c r="AF837" s="24"/>
      <c r="AG837" s="24"/>
      <c r="AH837" s="24"/>
      <c r="AI837" s="24"/>
      <c r="AJ837" s="24"/>
      <c r="AK837" s="24"/>
      <c r="AL837" s="24"/>
      <c r="AM837" s="24"/>
      <c r="AN837" s="24"/>
      <c r="AO837" s="24"/>
      <c r="AP837" s="24"/>
      <c r="AQ837" s="24"/>
      <c r="AR837" s="24"/>
      <c r="AS837" s="24"/>
      <c r="AT837" s="24"/>
      <c r="AU837" s="24"/>
      <c r="AV837" s="24"/>
      <c r="AW837" s="24"/>
      <c r="AX837" s="24"/>
      <c r="AY837" s="24"/>
      <c r="AZ837" s="24"/>
      <c r="BA837" s="24"/>
      <c r="BB837" s="24"/>
      <c r="BC837" s="24"/>
      <c r="BD837" s="24"/>
      <c r="BE837" s="24"/>
      <c r="BF837" s="24"/>
      <c r="BG837" s="24"/>
      <c r="BH837" s="24"/>
    </row>
    <row r="838" spans="1:60">
      <c r="A838" s="7"/>
      <c r="B838" s="8"/>
      <c r="C838" s="9"/>
      <c r="D838" s="25"/>
      <c r="E838" s="25"/>
      <c r="F838" s="25"/>
      <c r="G838" s="25"/>
      <c r="H838" s="53"/>
      <c r="I838" s="53"/>
      <c r="J838" s="53"/>
      <c r="K838" s="24"/>
      <c r="L838" s="7"/>
      <c r="M838" s="24"/>
      <c r="N838" s="24"/>
      <c r="O838" s="24"/>
      <c r="P838" s="24"/>
      <c r="Q838" s="24"/>
      <c r="R838" s="24"/>
      <c r="S838" s="24"/>
      <c r="T838" s="24"/>
      <c r="U838" s="24"/>
      <c r="V838" s="24"/>
      <c r="W838" s="24"/>
      <c r="X838" s="24"/>
      <c r="Y838" s="24"/>
      <c r="Z838" s="24"/>
      <c r="AA838" s="24"/>
      <c r="AB838" s="24"/>
      <c r="AC838" s="24"/>
      <c r="AD838" s="24"/>
      <c r="AE838" s="24"/>
      <c r="AF838" s="24"/>
      <c r="AG838" s="24"/>
      <c r="AH838" s="24"/>
      <c r="AI838" s="24"/>
      <c r="AJ838" s="24"/>
      <c r="AK838" s="24"/>
      <c r="AL838" s="24"/>
      <c r="AM838" s="24"/>
      <c r="AN838" s="24"/>
      <c r="AO838" s="24"/>
      <c r="AP838" s="24"/>
      <c r="AQ838" s="24"/>
      <c r="AR838" s="24"/>
      <c r="AS838" s="24"/>
      <c r="AT838" s="24"/>
      <c r="AU838" s="24"/>
      <c r="AV838" s="24"/>
      <c r="AW838" s="24"/>
      <c r="AX838" s="24"/>
      <c r="AY838" s="24"/>
      <c r="AZ838" s="24"/>
      <c r="BA838" s="24"/>
      <c r="BB838" s="24"/>
      <c r="BC838" s="24"/>
      <c r="BD838" s="24"/>
      <c r="BE838" s="24"/>
      <c r="BF838" s="24"/>
      <c r="BG838" s="24"/>
      <c r="BH838" s="24"/>
    </row>
    <row r="839" spans="1:60">
      <c r="A839" s="7"/>
      <c r="B839" s="8"/>
      <c r="C839" s="9"/>
      <c r="D839" s="25"/>
      <c r="E839" s="25"/>
      <c r="F839" s="25"/>
      <c r="G839" s="25"/>
      <c r="H839" s="53"/>
      <c r="I839" s="53"/>
      <c r="J839" s="53"/>
      <c r="K839" s="24"/>
      <c r="L839" s="7"/>
      <c r="M839" s="24"/>
      <c r="N839" s="24"/>
      <c r="O839" s="24"/>
      <c r="P839" s="24"/>
      <c r="Q839" s="24"/>
      <c r="R839" s="24"/>
      <c r="S839" s="24"/>
      <c r="T839" s="24"/>
      <c r="U839" s="24"/>
      <c r="V839" s="24"/>
      <c r="W839" s="24"/>
      <c r="X839" s="24"/>
      <c r="Y839" s="24"/>
      <c r="Z839" s="24"/>
      <c r="AA839" s="24"/>
      <c r="AB839" s="24"/>
      <c r="AC839" s="24"/>
      <c r="AD839" s="24"/>
      <c r="AE839" s="24"/>
      <c r="AF839" s="24"/>
      <c r="AG839" s="24"/>
      <c r="AH839" s="24"/>
      <c r="AI839" s="24"/>
      <c r="AJ839" s="24"/>
      <c r="AK839" s="24"/>
      <c r="AL839" s="24"/>
      <c r="AM839" s="24"/>
      <c r="AN839" s="24"/>
      <c r="AO839" s="24"/>
      <c r="AP839" s="24"/>
      <c r="AQ839" s="24"/>
      <c r="AR839" s="24"/>
      <c r="AS839" s="24"/>
      <c r="AT839" s="24"/>
      <c r="AU839" s="24"/>
      <c r="AV839" s="24"/>
      <c r="AW839" s="24"/>
      <c r="AX839" s="24"/>
      <c r="AY839" s="24"/>
      <c r="AZ839" s="24"/>
      <c r="BA839" s="24"/>
      <c r="BB839" s="24"/>
      <c r="BC839" s="24"/>
      <c r="BD839" s="24"/>
      <c r="BE839" s="24"/>
      <c r="BF839" s="24"/>
      <c r="BG839" s="24"/>
      <c r="BH839" s="24"/>
    </row>
    <row r="840" spans="1:60">
      <c r="A840" s="7"/>
      <c r="B840" s="8"/>
      <c r="C840" s="9"/>
      <c r="D840" s="25"/>
      <c r="E840" s="25"/>
      <c r="F840" s="25"/>
      <c r="G840" s="25"/>
      <c r="H840" s="53"/>
      <c r="I840" s="53"/>
      <c r="J840" s="53"/>
      <c r="K840" s="24"/>
      <c r="L840" s="7"/>
      <c r="M840" s="24"/>
      <c r="N840" s="24"/>
      <c r="O840" s="24"/>
      <c r="P840" s="24"/>
      <c r="Q840" s="24"/>
      <c r="R840" s="24"/>
      <c r="S840" s="24"/>
      <c r="T840" s="24"/>
      <c r="U840" s="24"/>
      <c r="V840" s="24"/>
      <c r="W840" s="24"/>
      <c r="X840" s="24"/>
      <c r="Y840" s="24"/>
      <c r="Z840" s="24"/>
      <c r="AA840" s="24"/>
      <c r="AB840" s="24"/>
      <c r="AC840" s="24"/>
      <c r="AD840" s="24"/>
      <c r="AE840" s="24"/>
      <c r="AF840" s="24"/>
      <c r="AG840" s="24"/>
      <c r="AH840" s="24"/>
      <c r="AI840" s="24"/>
      <c r="AJ840" s="24"/>
      <c r="AK840" s="24"/>
      <c r="AL840" s="24"/>
      <c r="AM840" s="24"/>
      <c r="AN840" s="24"/>
      <c r="AO840" s="24"/>
      <c r="AP840" s="24"/>
      <c r="AQ840" s="24"/>
      <c r="AR840" s="24"/>
      <c r="AS840" s="24"/>
      <c r="AT840" s="24"/>
      <c r="AU840" s="24"/>
      <c r="AV840" s="24"/>
      <c r="AW840" s="24"/>
      <c r="AX840" s="24"/>
      <c r="AY840" s="24"/>
      <c r="AZ840" s="24"/>
      <c r="BA840" s="24"/>
      <c r="BB840" s="24"/>
      <c r="BC840" s="24"/>
      <c r="BD840" s="24"/>
      <c r="BE840" s="24"/>
      <c r="BF840" s="24"/>
      <c r="BG840" s="24"/>
      <c r="BH840" s="24"/>
    </row>
    <row r="841" spans="1:60">
      <c r="A841" s="7"/>
      <c r="B841" s="8"/>
      <c r="C841" s="9"/>
      <c r="D841" s="25"/>
      <c r="E841" s="25"/>
      <c r="F841" s="25"/>
      <c r="G841" s="25"/>
      <c r="H841" s="53"/>
      <c r="I841" s="53"/>
      <c r="J841" s="53"/>
      <c r="K841" s="24"/>
      <c r="L841" s="7"/>
      <c r="M841" s="24"/>
      <c r="N841" s="24"/>
      <c r="O841" s="24"/>
      <c r="P841" s="24"/>
      <c r="Q841" s="24"/>
      <c r="R841" s="24"/>
      <c r="S841" s="24"/>
      <c r="T841" s="24"/>
      <c r="U841" s="24"/>
      <c r="V841" s="24"/>
      <c r="W841" s="24"/>
      <c r="X841" s="24"/>
      <c r="Y841" s="24"/>
      <c r="Z841" s="24"/>
      <c r="AA841" s="24"/>
      <c r="AB841" s="24"/>
      <c r="AC841" s="24"/>
      <c r="AD841" s="24"/>
      <c r="AE841" s="24"/>
      <c r="AF841" s="24"/>
      <c r="AG841" s="24"/>
      <c r="AH841" s="24"/>
      <c r="AI841" s="24"/>
      <c r="AJ841" s="24"/>
      <c r="AK841" s="24"/>
      <c r="AL841" s="24"/>
      <c r="AM841" s="24"/>
      <c r="AN841" s="24"/>
      <c r="AO841" s="24"/>
      <c r="AP841" s="24"/>
      <c r="AQ841" s="24"/>
      <c r="AR841" s="24"/>
      <c r="AS841" s="24"/>
      <c r="AT841" s="24"/>
      <c r="AU841" s="24"/>
      <c r="AV841" s="24"/>
      <c r="AW841" s="24"/>
      <c r="AX841" s="24"/>
      <c r="AY841" s="24"/>
      <c r="AZ841" s="24"/>
      <c r="BA841" s="24"/>
      <c r="BB841" s="24"/>
      <c r="BC841" s="24"/>
      <c r="BD841" s="24"/>
      <c r="BE841" s="24"/>
      <c r="BF841" s="24"/>
      <c r="BG841" s="24"/>
      <c r="BH841" s="24"/>
    </row>
    <row r="842" spans="1:60">
      <c r="A842" s="7"/>
      <c r="B842" s="8"/>
      <c r="C842" s="9"/>
      <c r="D842" s="25"/>
      <c r="E842" s="25"/>
      <c r="F842" s="25"/>
      <c r="G842" s="25"/>
      <c r="H842" s="53"/>
      <c r="I842" s="53"/>
      <c r="J842" s="53"/>
      <c r="K842" s="24"/>
      <c r="L842" s="7"/>
      <c r="M842" s="24"/>
      <c r="N842" s="24"/>
      <c r="O842" s="24"/>
      <c r="P842" s="24"/>
      <c r="Q842" s="24"/>
      <c r="R842" s="24"/>
      <c r="S842" s="24"/>
      <c r="T842" s="24"/>
      <c r="U842" s="24"/>
      <c r="V842" s="24"/>
      <c r="W842" s="24"/>
      <c r="X842" s="24"/>
      <c r="Y842" s="24"/>
      <c r="Z842" s="24"/>
      <c r="AA842" s="24"/>
      <c r="AB842" s="24"/>
      <c r="AC842" s="24"/>
      <c r="AD842" s="24"/>
      <c r="AE842" s="24"/>
      <c r="AF842" s="24"/>
      <c r="AG842" s="24"/>
      <c r="AH842" s="24"/>
      <c r="AI842" s="24"/>
      <c r="AJ842" s="24"/>
      <c r="AK842" s="24"/>
      <c r="AL842" s="24"/>
      <c r="AM842" s="24"/>
      <c r="AN842" s="24"/>
      <c r="AO842" s="24"/>
      <c r="AP842" s="24"/>
      <c r="AQ842" s="24"/>
      <c r="AR842" s="24"/>
      <c r="AS842" s="24"/>
      <c r="AT842" s="24"/>
      <c r="AU842" s="24"/>
      <c r="AV842" s="24"/>
      <c r="AW842" s="24"/>
      <c r="AX842" s="24"/>
      <c r="AY842" s="24"/>
      <c r="AZ842" s="24"/>
      <c r="BA842" s="24"/>
      <c r="BB842" s="24"/>
      <c r="BC842" s="24"/>
      <c r="BD842" s="24"/>
      <c r="BE842" s="24"/>
      <c r="BF842" s="24"/>
      <c r="BG842" s="24"/>
      <c r="BH842" s="24"/>
    </row>
    <row r="843" spans="1:60">
      <c r="A843" s="7"/>
      <c r="B843" s="8"/>
      <c r="C843" s="9"/>
      <c r="D843" s="25"/>
      <c r="E843" s="25"/>
      <c r="F843" s="25"/>
      <c r="G843" s="25"/>
      <c r="H843" s="53"/>
      <c r="I843" s="53"/>
      <c r="J843" s="53"/>
      <c r="K843" s="24"/>
      <c r="L843" s="7"/>
      <c r="M843" s="24"/>
      <c r="N843" s="24"/>
      <c r="O843" s="24"/>
      <c r="P843" s="24"/>
      <c r="Q843" s="24"/>
      <c r="R843" s="24"/>
      <c r="S843" s="24"/>
      <c r="T843" s="24"/>
      <c r="U843" s="24"/>
      <c r="V843" s="24"/>
      <c r="W843" s="24"/>
      <c r="X843" s="24"/>
      <c r="Y843" s="24"/>
      <c r="Z843" s="24"/>
      <c r="AA843" s="24"/>
      <c r="AB843" s="24"/>
      <c r="AC843" s="24"/>
      <c r="AD843" s="24"/>
      <c r="AE843" s="24"/>
      <c r="AF843" s="24"/>
      <c r="AG843" s="24"/>
      <c r="AH843" s="24"/>
      <c r="AI843" s="24"/>
      <c r="AJ843" s="24"/>
      <c r="AK843" s="24"/>
      <c r="AL843" s="24"/>
      <c r="AM843" s="24"/>
      <c r="AN843" s="24"/>
      <c r="AO843" s="24"/>
      <c r="AP843" s="24"/>
      <c r="AQ843" s="24"/>
      <c r="AR843" s="24"/>
      <c r="AS843" s="24"/>
      <c r="AT843" s="24"/>
      <c r="AU843" s="24"/>
      <c r="AV843" s="24"/>
      <c r="AW843" s="24"/>
      <c r="AX843" s="24"/>
      <c r="AY843" s="24"/>
      <c r="AZ843" s="24"/>
      <c r="BA843" s="24"/>
      <c r="BB843" s="24"/>
      <c r="BC843" s="24"/>
      <c r="BD843" s="24"/>
      <c r="BE843" s="24"/>
      <c r="BF843" s="24"/>
      <c r="BG843" s="24"/>
      <c r="BH843" s="24"/>
    </row>
    <row r="844" spans="1:60">
      <c r="A844" s="7"/>
      <c r="B844" s="8"/>
      <c r="C844" s="9"/>
      <c r="D844" s="25"/>
      <c r="E844" s="25"/>
      <c r="F844" s="25"/>
      <c r="G844" s="25"/>
      <c r="H844" s="53"/>
      <c r="I844" s="53"/>
      <c r="J844" s="53"/>
      <c r="K844" s="24"/>
      <c r="L844" s="7"/>
      <c r="M844" s="24"/>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4"/>
      <c r="AK844" s="24"/>
      <c r="AL844" s="24"/>
      <c r="AM844" s="24"/>
      <c r="AN844" s="24"/>
      <c r="AO844" s="24"/>
      <c r="AP844" s="24"/>
      <c r="AQ844" s="24"/>
      <c r="AR844" s="24"/>
      <c r="AS844" s="24"/>
      <c r="AT844" s="24"/>
      <c r="AU844" s="24"/>
      <c r="AV844" s="24"/>
      <c r="AW844" s="24"/>
      <c r="AX844" s="24"/>
      <c r="AY844" s="24"/>
      <c r="AZ844" s="24"/>
      <c r="BA844" s="24"/>
      <c r="BB844" s="24"/>
      <c r="BC844" s="24"/>
      <c r="BD844" s="24"/>
      <c r="BE844" s="24"/>
      <c r="BF844" s="24"/>
      <c r="BG844" s="24"/>
      <c r="BH844" s="24"/>
    </row>
    <row r="845" spans="1:60">
      <c r="A845" s="7"/>
      <c r="B845" s="8"/>
      <c r="C845" s="9"/>
      <c r="D845" s="25"/>
      <c r="E845" s="25"/>
      <c r="F845" s="25"/>
      <c r="G845" s="25"/>
      <c r="H845" s="53"/>
      <c r="I845" s="53"/>
      <c r="J845" s="53"/>
      <c r="K845" s="24"/>
      <c r="L845" s="7"/>
      <c r="M845" s="24"/>
      <c r="N845" s="24"/>
      <c r="O845" s="24"/>
      <c r="P845" s="24"/>
      <c r="Q845" s="24"/>
      <c r="R845" s="24"/>
      <c r="S845" s="24"/>
      <c r="T845" s="24"/>
      <c r="U845" s="24"/>
      <c r="V845" s="24"/>
      <c r="W845" s="24"/>
      <c r="X845" s="24"/>
      <c r="Y845" s="24"/>
      <c r="Z845" s="24"/>
      <c r="AA845" s="24"/>
      <c r="AB845" s="24"/>
      <c r="AC845" s="24"/>
      <c r="AD845" s="24"/>
      <c r="AE845" s="24"/>
      <c r="AF845" s="24"/>
      <c r="AG845" s="24"/>
      <c r="AH845" s="24"/>
      <c r="AI845" s="24"/>
      <c r="AJ845" s="24"/>
      <c r="AK845" s="24"/>
      <c r="AL845" s="24"/>
      <c r="AM845" s="24"/>
      <c r="AN845" s="24"/>
      <c r="AO845" s="24"/>
      <c r="AP845" s="24"/>
      <c r="AQ845" s="24"/>
      <c r="AR845" s="24"/>
      <c r="AS845" s="24"/>
      <c r="AT845" s="24"/>
      <c r="AU845" s="24"/>
      <c r="AV845" s="24"/>
      <c r="AW845" s="24"/>
      <c r="AX845" s="24"/>
      <c r="AY845" s="24"/>
      <c r="AZ845" s="24"/>
      <c r="BA845" s="24"/>
      <c r="BB845" s="24"/>
      <c r="BC845" s="24"/>
      <c r="BD845" s="24"/>
      <c r="BE845" s="24"/>
      <c r="BF845" s="24"/>
      <c r="BG845" s="24"/>
      <c r="BH845" s="24"/>
    </row>
    <row r="846" spans="1:60">
      <c r="A846" s="7"/>
      <c r="B846" s="8"/>
      <c r="C846" s="9"/>
      <c r="D846" s="25"/>
      <c r="E846" s="25"/>
      <c r="F846" s="25"/>
      <c r="G846" s="25"/>
      <c r="H846" s="53"/>
      <c r="I846" s="53"/>
      <c r="J846" s="53"/>
      <c r="K846" s="24"/>
      <c r="L846" s="7"/>
      <c r="M846" s="24"/>
      <c r="N846" s="24"/>
      <c r="O846" s="24"/>
      <c r="P846" s="24"/>
      <c r="Q846" s="24"/>
      <c r="R846" s="24"/>
      <c r="S846" s="24"/>
      <c r="T846" s="24"/>
      <c r="U846" s="24"/>
      <c r="V846" s="24"/>
      <c r="W846" s="24"/>
      <c r="X846" s="24"/>
      <c r="Y846" s="24"/>
      <c r="Z846" s="24"/>
      <c r="AA846" s="24"/>
      <c r="AB846" s="24"/>
      <c r="AC846" s="24"/>
      <c r="AD846" s="24"/>
      <c r="AE846" s="24"/>
      <c r="AF846" s="24"/>
      <c r="AG846" s="24"/>
      <c r="AH846" s="24"/>
      <c r="AI846" s="24"/>
      <c r="AJ846" s="24"/>
      <c r="AK846" s="24"/>
      <c r="AL846" s="24"/>
      <c r="AM846" s="24"/>
      <c r="AN846" s="24"/>
      <c r="AO846" s="24"/>
      <c r="AP846" s="24"/>
      <c r="AQ846" s="24"/>
      <c r="AR846" s="24"/>
      <c r="AS846" s="24"/>
      <c r="AT846" s="24"/>
      <c r="AU846" s="24"/>
      <c r="AV846" s="24"/>
      <c r="AW846" s="24"/>
      <c r="AX846" s="24"/>
      <c r="AY846" s="24"/>
      <c r="AZ846" s="24"/>
      <c r="BA846" s="24"/>
      <c r="BB846" s="24"/>
      <c r="BC846" s="24"/>
      <c r="BD846" s="24"/>
      <c r="BE846" s="24"/>
      <c r="BF846" s="24"/>
      <c r="BG846" s="24"/>
      <c r="BH846" s="24"/>
    </row>
    <row r="847" spans="1:60">
      <c r="A847" s="7"/>
      <c r="B847" s="8"/>
      <c r="C847" s="9"/>
      <c r="D847" s="25"/>
      <c r="E847" s="25"/>
      <c r="F847" s="25"/>
      <c r="G847" s="25"/>
      <c r="H847" s="53"/>
      <c r="I847" s="53"/>
      <c r="J847" s="53"/>
      <c r="K847" s="24"/>
      <c r="L847" s="7"/>
      <c r="M847" s="24"/>
      <c r="N847" s="24"/>
      <c r="O847" s="24"/>
      <c r="P847" s="24"/>
      <c r="Q847" s="24"/>
      <c r="R847" s="24"/>
      <c r="S847" s="24"/>
      <c r="T847" s="24"/>
      <c r="U847" s="24"/>
      <c r="V847" s="24"/>
      <c r="W847" s="24"/>
      <c r="X847" s="24"/>
      <c r="Y847" s="24"/>
      <c r="Z847" s="24"/>
      <c r="AA847" s="24"/>
      <c r="AB847" s="24"/>
      <c r="AC847" s="24"/>
      <c r="AD847" s="24"/>
      <c r="AE847" s="24"/>
      <c r="AF847" s="24"/>
      <c r="AG847" s="24"/>
      <c r="AH847" s="24"/>
      <c r="AI847" s="24"/>
      <c r="AJ847" s="24"/>
      <c r="AK847" s="24"/>
      <c r="AL847" s="24"/>
      <c r="AM847" s="24"/>
      <c r="AN847" s="24"/>
      <c r="AO847" s="24"/>
      <c r="AP847" s="24"/>
      <c r="AQ847" s="24"/>
      <c r="AR847" s="24"/>
      <c r="AS847" s="24"/>
      <c r="AT847" s="24"/>
      <c r="AU847" s="24"/>
      <c r="AV847" s="24"/>
      <c r="AW847" s="24"/>
      <c r="AX847" s="24"/>
      <c r="AY847" s="24"/>
      <c r="AZ847" s="24"/>
      <c r="BA847" s="24"/>
      <c r="BB847" s="24"/>
      <c r="BC847" s="24"/>
      <c r="BD847" s="24"/>
      <c r="BE847" s="24"/>
      <c r="BF847" s="24"/>
      <c r="BG847" s="24"/>
      <c r="BH847" s="24"/>
    </row>
    <row r="848" spans="1:60">
      <c r="A848" s="7"/>
      <c r="B848" s="8"/>
      <c r="C848" s="9"/>
      <c r="D848" s="25"/>
      <c r="E848" s="25"/>
      <c r="F848" s="25"/>
      <c r="G848" s="25"/>
      <c r="H848" s="53"/>
      <c r="I848" s="53"/>
      <c r="J848" s="53"/>
      <c r="K848" s="24"/>
      <c r="L848" s="7"/>
      <c r="M848" s="24"/>
      <c r="N848" s="24"/>
      <c r="O848" s="24"/>
      <c r="P848" s="24"/>
      <c r="Q848" s="24"/>
      <c r="R848" s="24"/>
      <c r="S848" s="24"/>
      <c r="T848" s="24"/>
      <c r="U848" s="24"/>
      <c r="V848" s="24"/>
      <c r="W848" s="24"/>
      <c r="X848" s="24"/>
      <c r="Y848" s="24"/>
      <c r="Z848" s="24"/>
      <c r="AA848" s="24"/>
      <c r="AB848" s="24"/>
      <c r="AC848" s="24"/>
      <c r="AD848" s="24"/>
      <c r="AE848" s="24"/>
      <c r="AF848" s="24"/>
      <c r="AG848" s="24"/>
      <c r="AH848" s="24"/>
      <c r="AI848" s="24"/>
      <c r="AJ848" s="24"/>
      <c r="AK848" s="24"/>
      <c r="AL848" s="24"/>
      <c r="AM848" s="24"/>
      <c r="AN848" s="24"/>
      <c r="AO848" s="24"/>
      <c r="AP848" s="24"/>
      <c r="AQ848" s="24"/>
      <c r="AR848" s="24"/>
      <c r="AS848" s="24"/>
      <c r="AT848" s="24"/>
      <c r="AU848" s="24"/>
      <c r="AV848" s="24"/>
      <c r="AW848" s="24"/>
      <c r="AX848" s="24"/>
      <c r="AY848" s="24"/>
      <c r="AZ848" s="24"/>
      <c r="BA848" s="24"/>
      <c r="BB848" s="24"/>
      <c r="BC848" s="24"/>
      <c r="BD848" s="24"/>
      <c r="BE848" s="24"/>
      <c r="BF848" s="24"/>
      <c r="BG848" s="24"/>
      <c r="BH848" s="24"/>
    </row>
    <row r="849" spans="1:60">
      <c r="A849" s="7"/>
      <c r="B849" s="8"/>
      <c r="C849" s="9"/>
      <c r="D849" s="25"/>
      <c r="E849" s="25"/>
      <c r="F849" s="25"/>
      <c r="G849" s="25"/>
      <c r="H849" s="53"/>
      <c r="I849" s="53"/>
      <c r="J849" s="53"/>
      <c r="K849" s="24"/>
      <c r="L849" s="7"/>
      <c r="M849" s="24"/>
      <c r="N849" s="24"/>
      <c r="O849" s="24"/>
      <c r="P849" s="24"/>
      <c r="Q849" s="24"/>
      <c r="R849" s="24"/>
      <c r="S849" s="24"/>
      <c r="T849" s="24"/>
      <c r="U849" s="24"/>
      <c r="V849" s="24"/>
      <c r="W849" s="24"/>
      <c r="X849" s="24"/>
      <c r="Y849" s="24"/>
      <c r="Z849" s="24"/>
      <c r="AA849" s="24"/>
      <c r="AB849" s="24"/>
      <c r="AC849" s="24"/>
      <c r="AD849" s="24"/>
      <c r="AE849" s="24"/>
      <c r="AF849" s="24"/>
      <c r="AG849" s="24"/>
      <c r="AH849" s="24"/>
      <c r="AI849" s="24"/>
      <c r="AJ849" s="24"/>
      <c r="AK849" s="24"/>
      <c r="AL849" s="24"/>
      <c r="AM849" s="24"/>
      <c r="AN849" s="24"/>
      <c r="AO849" s="24"/>
      <c r="AP849" s="24"/>
      <c r="AQ849" s="24"/>
      <c r="AR849" s="24"/>
      <c r="AS849" s="24"/>
      <c r="AT849" s="24"/>
      <c r="AU849" s="24"/>
      <c r="AV849" s="24"/>
      <c r="AW849" s="24"/>
      <c r="AX849" s="24"/>
      <c r="AY849" s="24"/>
      <c r="AZ849" s="24"/>
      <c r="BA849" s="24"/>
      <c r="BB849" s="24"/>
      <c r="BC849" s="24"/>
      <c r="BD849" s="24"/>
      <c r="BE849" s="24"/>
      <c r="BF849" s="24"/>
      <c r="BG849" s="24"/>
      <c r="BH849" s="24"/>
    </row>
    <row r="850" spans="1:60">
      <c r="A850" s="7"/>
      <c r="B850" s="8"/>
      <c r="C850" s="9"/>
      <c r="D850" s="25"/>
      <c r="E850" s="25"/>
      <c r="F850" s="25"/>
      <c r="G850" s="25"/>
      <c r="H850" s="53"/>
      <c r="I850" s="53"/>
      <c r="J850" s="53"/>
      <c r="K850" s="24"/>
      <c r="L850" s="7"/>
      <c r="M850" s="24"/>
      <c r="N850" s="24"/>
      <c r="O850" s="24"/>
      <c r="P850" s="24"/>
      <c r="Q850" s="24"/>
      <c r="R850" s="24"/>
      <c r="S850" s="24"/>
      <c r="T850" s="24"/>
      <c r="U850" s="24"/>
      <c r="V850" s="24"/>
      <c r="W850" s="24"/>
      <c r="X850" s="24"/>
      <c r="Y850" s="24"/>
      <c r="Z850" s="24"/>
      <c r="AA850" s="24"/>
      <c r="AB850" s="24"/>
      <c r="AC850" s="24"/>
      <c r="AD850" s="24"/>
      <c r="AE850" s="24"/>
      <c r="AF850" s="24"/>
      <c r="AG850" s="24"/>
      <c r="AH850" s="24"/>
      <c r="AI850" s="24"/>
      <c r="AJ850" s="24"/>
      <c r="AK850" s="24"/>
      <c r="AL850" s="24"/>
      <c r="AM850" s="24"/>
      <c r="AN850" s="24"/>
      <c r="AO850" s="24"/>
      <c r="AP850" s="24"/>
      <c r="AQ850" s="24"/>
      <c r="AR850" s="24"/>
      <c r="AS850" s="24"/>
      <c r="AT850" s="24"/>
      <c r="AU850" s="24"/>
      <c r="AV850" s="24"/>
      <c r="AW850" s="24"/>
      <c r="AX850" s="24"/>
      <c r="AY850" s="24"/>
      <c r="AZ850" s="24"/>
      <c r="BA850" s="24"/>
      <c r="BB850" s="24"/>
      <c r="BC850" s="24"/>
      <c r="BD850" s="24"/>
      <c r="BE850" s="24"/>
      <c r="BF850" s="24"/>
      <c r="BG850" s="24"/>
      <c r="BH850" s="24"/>
    </row>
    <row r="851" spans="1:60">
      <c r="A851" s="7"/>
      <c r="B851" s="8"/>
      <c r="C851" s="9"/>
      <c r="D851" s="25"/>
      <c r="E851" s="25"/>
      <c r="F851" s="25"/>
      <c r="G851" s="25"/>
      <c r="H851" s="53"/>
      <c r="I851" s="53"/>
      <c r="J851" s="53"/>
      <c r="K851" s="24"/>
      <c r="L851" s="7"/>
      <c r="M851" s="24"/>
      <c r="N851" s="24"/>
      <c r="O851" s="24"/>
      <c r="P851" s="24"/>
      <c r="Q851" s="24"/>
      <c r="R851" s="24"/>
      <c r="S851" s="24"/>
      <c r="T851" s="24"/>
      <c r="U851" s="24"/>
      <c r="V851" s="24"/>
      <c r="W851" s="24"/>
      <c r="X851" s="24"/>
      <c r="Y851" s="24"/>
      <c r="Z851" s="24"/>
      <c r="AA851" s="24"/>
      <c r="AB851" s="24"/>
      <c r="AC851" s="24"/>
      <c r="AD851" s="24"/>
      <c r="AE851" s="24"/>
      <c r="AF851" s="24"/>
      <c r="AG851" s="24"/>
      <c r="AH851" s="24"/>
      <c r="AI851" s="24"/>
      <c r="AJ851" s="24"/>
      <c r="AK851" s="24"/>
      <c r="AL851" s="24"/>
      <c r="AM851" s="24"/>
      <c r="AN851" s="24"/>
      <c r="AO851" s="24"/>
      <c r="AP851" s="24"/>
      <c r="AQ851" s="24"/>
      <c r="AR851" s="24"/>
      <c r="AS851" s="24"/>
      <c r="AT851" s="24"/>
      <c r="AU851" s="24"/>
      <c r="AV851" s="24"/>
      <c r="AW851" s="24"/>
      <c r="AX851" s="24"/>
      <c r="AY851" s="24"/>
      <c r="AZ851" s="24"/>
      <c r="BA851" s="24"/>
      <c r="BB851" s="24"/>
      <c r="BC851" s="24"/>
      <c r="BD851" s="24"/>
      <c r="BE851" s="24"/>
      <c r="BF851" s="24"/>
      <c r="BG851" s="24"/>
      <c r="BH851" s="24"/>
    </row>
    <row r="852" spans="1:60">
      <c r="A852" s="7"/>
      <c r="B852" s="8"/>
      <c r="C852" s="9"/>
      <c r="D852" s="25"/>
      <c r="E852" s="25"/>
      <c r="F852" s="25"/>
      <c r="G852" s="25"/>
      <c r="H852" s="53"/>
      <c r="I852" s="53"/>
      <c r="J852" s="53"/>
      <c r="K852" s="24"/>
      <c r="L852" s="7"/>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24"/>
      <c r="BD852" s="24"/>
      <c r="BE852" s="24"/>
      <c r="BF852" s="24"/>
      <c r="BG852" s="24"/>
      <c r="BH852" s="24"/>
    </row>
    <row r="853" spans="1:60">
      <c r="A853" s="7"/>
      <c r="B853" s="8"/>
      <c r="C853" s="9"/>
      <c r="D853" s="25"/>
      <c r="E853" s="25"/>
      <c r="F853" s="25"/>
      <c r="G853" s="25"/>
      <c r="H853" s="53"/>
      <c r="I853" s="53"/>
      <c r="J853" s="53"/>
      <c r="K853" s="24"/>
      <c r="L853" s="7"/>
      <c r="M853" s="24"/>
      <c r="N853" s="24"/>
      <c r="O853" s="24"/>
      <c r="P853" s="24"/>
      <c r="Q853" s="24"/>
      <c r="R853" s="24"/>
      <c r="S853" s="24"/>
      <c r="T853" s="24"/>
      <c r="U853" s="24"/>
      <c r="V853" s="24"/>
      <c r="W853" s="24"/>
      <c r="X853" s="24"/>
      <c r="Y853" s="24"/>
      <c r="Z853" s="24"/>
      <c r="AA853" s="24"/>
      <c r="AB853" s="24"/>
      <c r="AC853" s="24"/>
      <c r="AD853" s="24"/>
      <c r="AE853" s="24"/>
      <c r="AF853" s="24"/>
      <c r="AG853" s="24"/>
      <c r="AH853" s="24"/>
      <c r="AI853" s="24"/>
      <c r="AJ853" s="24"/>
      <c r="AK853" s="24"/>
      <c r="AL853" s="24"/>
      <c r="AM853" s="24"/>
      <c r="AN853" s="24"/>
      <c r="AO853" s="24"/>
      <c r="AP853" s="24"/>
      <c r="AQ853" s="24"/>
      <c r="AR853" s="24"/>
      <c r="AS853" s="24"/>
      <c r="AT853" s="24"/>
      <c r="AU853" s="24"/>
      <c r="AV853" s="24"/>
      <c r="AW853" s="24"/>
      <c r="AX853" s="24"/>
      <c r="AY853" s="24"/>
      <c r="AZ853" s="24"/>
      <c r="BA853" s="24"/>
      <c r="BB853" s="24"/>
      <c r="BC853" s="24"/>
      <c r="BD853" s="24"/>
      <c r="BE853" s="24"/>
      <c r="BF853" s="24"/>
      <c r="BG853" s="24"/>
      <c r="BH853" s="24"/>
    </row>
    <row r="854" spans="1:60">
      <c r="A854" s="7"/>
      <c r="B854" s="8"/>
      <c r="C854" s="9"/>
      <c r="D854" s="25"/>
      <c r="E854" s="25"/>
      <c r="F854" s="25"/>
      <c r="G854" s="25"/>
      <c r="H854" s="53"/>
      <c r="I854" s="53"/>
      <c r="J854" s="53"/>
      <c r="K854" s="24"/>
      <c r="L854" s="7"/>
      <c r="M854" s="24"/>
      <c r="N854" s="24"/>
      <c r="O854" s="24"/>
      <c r="P854" s="24"/>
      <c r="Q854" s="24"/>
      <c r="R854" s="24"/>
      <c r="S854" s="24"/>
      <c r="T854" s="24"/>
      <c r="U854" s="24"/>
      <c r="V854" s="24"/>
      <c r="W854" s="24"/>
      <c r="X854" s="24"/>
      <c r="Y854" s="24"/>
      <c r="Z854" s="24"/>
      <c r="AA854" s="24"/>
      <c r="AB854" s="24"/>
      <c r="AC854" s="24"/>
      <c r="AD854" s="24"/>
      <c r="AE854" s="24"/>
      <c r="AF854" s="24"/>
      <c r="AG854" s="24"/>
      <c r="AH854" s="24"/>
      <c r="AI854" s="24"/>
      <c r="AJ854" s="24"/>
      <c r="AK854" s="24"/>
      <c r="AL854" s="24"/>
      <c r="AM854" s="24"/>
      <c r="AN854" s="24"/>
      <c r="AO854" s="24"/>
      <c r="AP854" s="24"/>
      <c r="AQ854" s="24"/>
      <c r="AR854" s="24"/>
      <c r="AS854" s="24"/>
      <c r="AT854" s="24"/>
      <c r="AU854" s="24"/>
      <c r="AV854" s="24"/>
      <c r="AW854" s="24"/>
      <c r="AX854" s="24"/>
      <c r="AY854" s="24"/>
      <c r="AZ854" s="24"/>
      <c r="BA854" s="24"/>
      <c r="BB854" s="24"/>
      <c r="BC854" s="24"/>
      <c r="BD854" s="24"/>
      <c r="BE854" s="24"/>
      <c r="BF854" s="24"/>
      <c r="BG854" s="24"/>
      <c r="BH854" s="24"/>
    </row>
    <row r="855" spans="1:60">
      <c r="A855" s="7"/>
      <c r="B855" s="8"/>
      <c r="C855" s="9"/>
      <c r="D855" s="25"/>
      <c r="E855" s="25"/>
      <c r="F855" s="25"/>
      <c r="G855" s="25"/>
      <c r="H855" s="53"/>
      <c r="I855" s="53"/>
      <c r="J855" s="53"/>
      <c r="K855" s="24"/>
      <c r="L855" s="7"/>
      <c r="M855" s="24"/>
      <c r="N855" s="24"/>
      <c r="O855" s="24"/>
      <c r="P855" s="24"/>
      <c r="Q855" s="24"/>
      <c r="R855" s="24"/>
      <c r="S855" s="24"/>
      <c r="T855" s="24"/>
      <c r="U855" s="24"/>
      <c r="V855" s="24"/>
      <c r="W855" s="24"/>
      <c r="X855" s="24"/>
      <c r="Y855" s="24"/>
      <c r="Z855" s="24"/>
      <c r="AA855" s="24"/>
      <c r="AB855" s="24"/>
      <c r="AC855" s="24"/>
      <c r="AD855" s="24"/>
      <c r="AE855" s="24"/>
      <c r="AF855" s="24"/>
      <c r="AG855" s="24"/>
      <c r="AH855" s="24"/>
      <c r="AI855" s="24"/>
      <c r="AJ855" s="24"/>
      <c r="AK855" s="24"/>
      <c r="AL855" s="24"/>
      <c r="AM855" s="24"/>
      <c r="AN855" s="24"/>
      <c r="AO855" s="24"/>
      <c r="AP855" s="24"/>
      <c r="AQ855" s="24"/>
      <c r="AR855" s="24"/>
      <c r="AS855" s="24"/>
      <c r="AT855" s="24"/>
      <c r="AU855" s="24"/>
      <c r="AV855" s="24"/>
      <c r="AW855" s="24"/>
      <c r="AX855" s="24"/>
      <c r="AY855" s="24"/>
      <c r="AZ855" s="24"/>
      <c r="BA855" s="24"/>
      <c r="BB855" s="24"/>
      <c r="BC855" s="24"/>
      <c r="BD855" s="24"/>
      <c r="BE855" s="24"/>
      <c r="BF855" s="24"/>
      <c r="BG855" s="24"/>
      <c r="BH855" s="24"/>
    </row>
    <row r="856" spans="1:60">
      <c r="A856" s="7"/>
      <c r="B856" s="8"/>
      <c r="C856" s="9"/>
      <c r="D856" s="25"/>
      <c r="E856" s="25"/>
      <c r="F856" s="25"/>
      <c r="G856" s="25"/>
      <c r="H856" s="53"/>
      <c r="I856" s="53"/>
      <c r="J856" s="53"/>
      <c r="K856" s="24"/>
      <c r="L856" s="7"/>
      <c r="M856" s="24"/>
      <c r="N856" s="24"/>
      <c r="O856" s="24"/>
      <c r="P856" s="24"/>
      <c r="Q856" s="24"/>
      <c r="R856" s="24"/>
      <c r="S856" s="24"/>
      <c r="T856" s="24"/>
      <c r="U856" s="24"/>
      <c r="V856" s="24"/>
      <c r="W856" s="24"/>
      <c r="X856" s="24"/>
      <c r="Y856" s="24"/>
      <c r="Z856" s="24"/>
      <c r="AA856" s="24"/>
      <c r="AB856" s="24"/>
      <c r="AC856" s="24"/>
      <c r="AD856" s="24"/>
      <c r="AE856" s="24"/>
      <c r="AF856" s="24"/>
      <c r="AG856" s="24"/>
      <c r="AH856" s="24"/>
      <c r="AI856" s="24"/>
      <c r="AJ856" s="24"/>
      <c r="AK856" s="24"/>
      <c r="AL856" s="24"/>
      <c r="AM856" s="24"/>
      <c r="AN856" s="24"/>
      <c r="AO856" s="24"/>
      <c r="AP856" s="24"/>
      <c r="AQ856" s="24"/>
      <c r="AR856" s="24"/>
      <c r="AS856" s="24"/>
      <c r="AT856" s="24"/>
      <c r="AU856" s="24"/>
      <c r="AV856" s="24"/>
      <c r="AW856" s="24"/>
      <c r="AX856" s="24"/>
      <c r="AY856" s="24"/>
      <c r="AZ856" s="24"/>
      <c r="BA856" s="24"/>
      <c r="BB856" s="24"/>
      <c r="BC856" s="24"/>
      <c r="BD856" s="24"/>
      <c r="BE856" s="24"/>
      <c r="BF856" s="24"/>
      <c r="BG856" s="24"/>
      <c r="BH856" s="24"/>
    </row>
    <row r="857" spans="1:60">
      <c r="A857" s="7"/>
      <c r="B857" s="8"/>
      <c r="C857" s="9"/>
      <c r="D857" s="25"/>
      <c r="E857" s="25"/>
      <c r="F857" s="25"/>
      <c r="G857" s="25"/>
      <c r="H857" s="53"/>
      <c r="I857" s="53"/>
      <c r="J857" s="53"/>
      <c r="K857" s="24"/>
      <c r="L857" s="7"/>
      <c r="M857" s="24"/>
      <c r="N857" s="24"/>
      <c r="O857" s="24"/>
      <c r="P857" s="24"/>
      <c r="Q857" s="24"/>
      <c r="R857" s="24"/>
      <c r="S857" s="24"/>
      <c r="T857" s="24"/>
      <c r="U857" s="24"/>
      <c r="V857" s="24"/>
      <c r="W857" s="24"/>
      <c r="X857" s="24"/>
      <c r="Y857" s="24"/>
      <c r="Z857" s="24"/>
      <c r="AA857" s="24"/>
      <c r="AB857" s="24"/>
      <c r="AC857" s="24"/>
      <c r="AD857" s="24"/>
      <c r="AE857" s="24"/>
      <c r="AF857" s="24"/>
      <c r="AG857" s="24"/>
      <c r="AH857" s="24"/>
      <c r="AI857" s="24"/>
      <c r="AJ857" s="24"/>
      <c r="AK857" s="24"/>
      <c r="AL857" s="24"/>
      <c r="AM857" s="24"/>
      <c r="AN857" s="24"/>
      <c r="AO857" s="24"/>
      <c r="AP857" s="24"/>
      <c r="AQ857" s="24"/>
      <c r="AR857" s="24"/>
      <c r="AS857" s="24"/>
      <c r="AT857" s="24"/>
      <c r="AU857" s="24"/>
      <c r="AV857" s="24"/>
      <c r="AW857" s="24"/>
      <c r="AX857" s="24"/>
      <c r="AY857" s="24"/>
      <c r="AZ857" s="24"/>
      <c r="BA857" s="24"/>
      <c r="BB857" s="24"/>
      <c r="BC857" s="24"/>
      <c r="BD857" s="24"/>
      <c r="BE857" s="24"/>
      <c r="BF857" s="24"/>
      <c r="BG857" s="24"/>
      <c r="BH857" s="24"/>
    </row>
    <row r="858" spans="1:60">
      <c r="A858" s="7"/>
      <c r="B858" s="8"/>
      <c r="C858" s="9"/>
      <c r="D858" s="25"/>
      <c r="E858" s="25"/>
      <c r="F858" s="25"/>
      <c r="G858" s="25"/>
      <c r="H858" s="53"/>
      <c r="I858" s="53"/>
      <c r="J858" s="53"/>
      <c r="K858" s="24"/>
      <c r="L858" s="7"/>
      <c r="M858" s="24"/>
      <c r="N858" s="24"/>
      <c r="O858" s="24"/>
      <c r="P858" s="24"/>
      <c r="Q858" s="24"/>
      <c r="R858" s="24"/>
      <c r="S858" s="24"/>
      <c r="T858" s="24"/>
      <c r="U858" s="24"/>
      <c r="V858" s="24"/>
      <c r="W858" s="24"/>
      <c r="X858" s="24"/>
      <c r="Y858" s="24"/>
      <c r="Z858" s="24"/>
      <c r="AA858" s="24"/>
      <c r="AB858" s="24"/>
      <c r="AC858" s="24"/>
      <c r="AD858" s="24"/>
      <c r="AE858" s="24"/>
      <c r="AF858" s="24"/>
      <c r="AG858" s="24"/>
      <c r="AH858" s="24"/>
      <c r="AI858" s="24"/>
      <c r="AJ858" s="24"/>
      <c r="AK858" s="24"/>
      <c r="AL858" s="24"/>
      <c r="AM858" s="24"/>
      <c r="AN858" s="24"/>
      <c r="AO858" s="24"/>
      <c r="AP858" s="24"/>
      <c r="AQ858" s="24"/>
      <c r="AR858" s="24"/>
      <c r="AS858" s="24"/>
      <c r="AT858" s="24"/>
      <c r="AU858" s="24"/>
      <c r="AV858" s="24"/>
      <c r="AW858" s="24"/>
      <c r="AX858" s="24"/>
      <c r="AY858" s="24"/>
      <c r="AZ858" s="24"/>
      <c r="BA858" s="24"/>
      <c r="BB858" s="24"/>
      <c r="BC858" s="24"/>
      <c r="BD858" s="24"/>
      <c r="BE858" s="24"/>
      <c r="BF858" s="24"/>
      <c r="BG858" s="24"/>
      <c r="BH858" s="24"/>
    </row>
    <row r="859" spans="1:60">
      <c r="A859" s="7"/>
      <c r="B859" s="8"/>
      <c r="C859" s="9"/>
      <c r="D859" s="25"/>
      <c r="E859" s="25"/>
      <c r="F859" s="25"/>
      <c r="G859" s="25"/>
      <c r="H859" s="53"/>
      <c r="I859" s="53"/>
      <c r="J859" s="53"/>
      <c r="K859" s="24"/>
      <c r="L859" s="7"/>
      <c r="M859" s="24"/>
      <c r="N859" s="24"/>
      <c r="O859" s="24"/>
      <c r="P859" s="24"/>
      <c r="Q859" s="24"/>
      <c r="R859" s="24"/>
      <c r="S859" s="24"/>
      <c r="T859" s="24"/>
      <c r="U859" s="24"/>
      <c r="V859" s="24"/>
      <c r="W859" s="24"/>
      <c r="X859" s="24"/>
      <c r="Y859" s="24"/>
      <c r="Z859" s="24"/>
      <c r="AA859" s="24"/>
      <c r="AB859" s="24"/>
      <c r="AC859" s="24"/>
      <c r="AD859" s="24"/>
      <c r="AE859" s="24"/>
      <c r="AF859" s="24"/>
      <c r="AG859" s="24"/>
      <c r="AH859" s="24"/>
      <c r="AI859" s="24"/>
      <c r="AJ859" s="24"/>
      <c r="AK859" s="24"/>
      <c r="AL859" s="24"/>
      <c r="AM859" s="24"/>
      <c r="AN859" s="24"/>
      <c r="AO859" s="24"/>
      <c r="AP859" s="24"/>
      <c r="AQ859" s="24"/>
      <c r="AR859" s="24"/>
      <c r="AS859" s="24"/>
      <c r="AT859" s="24"/>
      <c r="AU859" s="24"/>
      <c r="AV859" s="24"/>
      <c r="AW859" s="24"/>
      <c r="AX859" s="24"/>
      <c r="AY859" s="24"/>
      <c r="AZ859" s="24"/>
      <c r="BA859" s="24"/>
      <c r="BB859" s="24"/>
      <c r="BC859" s="24"/>
      <c r="BD859" s="24"/>
      <c r="BE859" s="24"/>
      <c r="BF859" s="24"/>
      <c r="BG859" s="24"/>
      <c r="BH859" s="24"/>
    </row>
    <row r="860" spans="1:60">
      <c r="A860" s="7"/>
      <c r="B860" s="8"/>
      <c r="C860" s="9"/>
      <c r="D860" s="25"/>
      <c r="E860" s="25"/>
      <c r="F860" s="25"/>
      <c r="G860" s="25"/>
      <c r="H860" s="53"/>
      <c r="I860" s="53"/>
      <c r="J860" s="53"/>
      <c r="K860" s="24"/>
      <c r="L860" s="7"/>
      <c r="M860" s="24"/>
      <c r="N860" s="24"/>
      <c r="O860" s="24"/>
      <c r="P860" s="24"/>
      <c r="Q860" s="24"/>
      <c r="R860" s="24"/>
      <c r="S860" s="24"/>
      <c r="T860" s="24"/>
      <c r="U860" s="24"/>
      <c r="V860" s="24"/>
      <c r="W860" s="24"/>
      <c r="X860" s="24"/>
      <c r="Y860" s="24"/>
      <c r="Z860" s="24"/>
      <c r="AA860" s="24"/>
      <c r="AB860" s="24"/>
      <c r="AC860" s="24"/>
      <c r="AD860" s="24"/>
      <c r="AE860" s="24"/>
      <c r="AF860" s="24"/>
      <c r="AG860" s="24"/>
      <c r="AH860" s="24"/>
      <c r="AI860" s="24"/>
      <c r="AJ860" s="24"/>
      <c r="AK860" s="24"/>
      <c r="AL860" s="24"/>
      <c r="AM860" s="24"/>
      <c r="AN860" s="24"/>
      <c r="AO860" s="24"/>
      <c r="AP860" s="24"/>
      <c r="AQ860" s="24"/>
      <c r="AR860" s="24"/>
      <c r="AS860" s="24"/>
      <c r="AT860" s="24"/>
      <c r="AU860" s="24"/>
      <c r="AV860" s="24"/>
      <c r="AW860" s="24"/>
      <c r="AX860" s="24"/>
      <c r="AY860" s="24"/>
      <c r="AZ860" s="24"/>
      <c r="BA860" s="24"/>
      <c r="BB860" s="24"/>
      <c r="BC860" s="24"/>
      <c r="BD860" s="24"/>
      <c r="BE860" s="24"/>
      <c r="BF860" s="24"/>
      <c r="BG860" s="24"/>
      <c r="BH860" s="24"/>
    </row>
    <row r="861" spans="1:60">
      <c r="A861" s="7"/>
      <c r="B861" s="8"/>
      <c r="C861" s="9"/>
      <c r="D861" s="25"/>
      <c r="E861" s="25"/>
      <c r="F861" s="25"/>
      <c r="G861" s="25"/>
      <c r="H861" s="53"/>
      <c r="I861" s="53"/>
      <c r="J861" s="53"/>
      <c r="K861" s="24"/>
      <c r="L861" s="7"/>
      <c r="M861" s="24"/>
      <c r="N861" s="24"/>
      <c r="O861" s="24"/>
      <c r="P861" s="24"/>
      <c r="Q861" s="24"/>
      <c r="R861" s="24"/>
      <c r="S861" s="24"/>
      <c r="T861" s="24"/>
      <c r="U861" s="24"/>
      <c r="V861" s="24"/>
      <c r="W861" s="24"/>
      <c r="X861" s="24"/>
      <c r="Y861" s="24"/>
      <c r="Z861" s="24"/>
      <c r="AA861" s="24"/>
      <c r="AB861" s="24"/>
      <c r="AC861" s="24"/>
      <c r="AD861" s="24"/>
      <c r="AE861" s="24"/>
      <c r="AF861" s="24"/>
      <c r="AG861" s="24"/>
      <c r="AH861" s="24"/>
      <c r="AI861" s="24"/>
      <c r="AJ861" s="24"/>
      <c r="AK861" s="24"/>
      <c r="AL861" s="24"/>
      <c r="AM861" s="24"/>
      <c r="AN861" s="24"/>
      <c r="AO861" s="24"/>
      <c r="AP861" s="24"/>
      <c r="AQ861" s="24"/>
      <c r="AR861" s="24"/>
      <c r="AS861" s="24"/>
      <c r="AT861" s="24"/>
      <c r="AU861" s="24"/>
      <c r="AV861" s="24"/>
      <c r="AW861" s="24"/>
      <c r="AX861" s="24"/>
      <c r="AY861" s="24"/>
      <c r="AZ861" s="24"/>
      <c r="BA861" s="24"/>
      <c r="BB861" s="24"/>
      <c r="BC861" s="24"/>
      <c r="BD861" s="24"/>
      <c r="BE861" s="24"/>
      <c r="BF861" s="24"/>
      <c r="BG861" s="24"/>
      <c r="BH861" s="24"/>
    </row>
    <row r="862" spans="1:60">
      <c r="A862" s="7"/>
      <c r="B862" s="8"/>
      <c r="C862" s="9"/>
      <c r="D862" s="25"/>
      <c r="E862" s="25"/>
      <c r="F862" s="25"/>
      <c r="G862" s="25"/>
      <c r="H862" s="53"/>
      <c r="I862" s="53"/>
      <c r="J862" s="53"/>
      <c r="K862" s="24"/>
      <c r="L862" s="7"/>
      <c r="M862" s="24"/>
      <c r="N862" s="24"/>
      <c r="O862" s="24"/>
      <c r="P862" s="24"/>
      <c r="Q862" s="24"/>
      <c r="R862" s="24"/>
      <c r="S862" s="24"/>
      <c r="T862" s="24"/>
      <c r="U862" s="24"/>
      <c r="V862" s="24"/>
      <c r="W862" s="24"/>
      <c r="X862" s="24"/>
      <c r="Y862" s="24"/>
      <c r="Z862" s="24"/>
      <c r="AA862" s="24"/>
      <c r="AB862" s="24"/>
      <c r="AC862" s="24"/>
      <c r="AD862" s="24"/>
      <c r="AE862" s="24"/>
      <c r="AF862" s="24"/>
      <c r="AG862" s="24"/>
      <c r="AH862" s="24"/>
      <c r="AI862" s="24"/>
      <c r="AJ862" s="24"/>
      <c r="AK862" s="24"/>
      <c r="AL862" s="24"/>
      <c r="AM862" s="24"/>
      <c r="AN862" s="24"/>
      <c r="AO862" s="24"/>
      <c r="AP862" s="24"/>
      <c r="AQ862" s="24"/>
      <c r="AR862" s="24"/>
      <c r="AS862" s="24"/>
      <c r="AT862" s="24"/>
      <c r="AU862" s="24"/>
      <c r="AV862" s="24"/>
      <c r="AW862" s="24"/>
      <c r="AX862" s="24"/>
      <c r="AY862" s="24"/>
      <c r="AZ862" s="24"/>
      <c r="BA862" s="24"/>
      <c r="BB862" s="24"/>
      <c r="BC862" s="24"/>
      <c r="BD862" s="24"/>
      <c r="BE862" s="24"/>
      <c r="BF862" s="24"/>
      <c r="BG862" s="24"/>
      <c r="BH862" s="24"/>
    </row>
    <row r="863" spans="1:60">
      <c r="A863" s="7"/>
      <c r="B863" s="8"/>
      <c r="C863" s="9"/>
      <c r="D863" s="25"/>
      <c r="E863" s="25"/>
      <c r="F863" s="25"/>
      <c r="G863" s="25"/>
      <c r="H863" s="53"/>
      <c r="I863" s="53"/>
      <c r="J863" s="53"/>
      <c r="K863" s="24"/>
      <c r="L863" s="7"/>
      <c r="M863" s="24"/>
      <c r="N863" s="24"/>
      <c r="O863" s="24"/>
      <c r="P863" s="24"/>
      <c r="Q863" s="24"/>
      <c r="R863" s="24"/>
      <c r="S863" s="24"/>
      <c r="T863" s="24"/>
      <c r="U863" s="24"/>
      <c r="V863" s="24"/>
      <c r="W863" s="24"/>
      <c r="X863" s="24"/>
      <c r="Y863" s="24"/>
      <c r="Z863" s="24"/>
      <c r="AA863" s="24"/>
      <c r="AB863" s="24"/>
      <c r="AC863" s="24"/>
      <c r="AD863" s="24"/>
      <c r="AE863" s="24"/>
      <c r="AF863" s="24"/>
      <c r="AG863" s="24"/>
      <c r="AH863" s="24"/>
      <c r="AI863" s="24"/>
      <c r="AJ863" s="24"/>
      <c r="AK863" s="24"/>
      <c r="AL863" s="24"/>
      <c r="AM863" s="24"/>
      <c r="AN863" s="24"/>
      <c r="AO863" s="24"/>
      <c r="AP863" s="24"/>
      <c r="AQ863" s="24"/>
      <c r="AR863" s="24"/>
      <c r="AS863" s="24"/>
      <c r="AT863" s="24"/>
      <c r="AU863" s="24"/>
      <c r="AV863" s="24"/>
      <c r="AW863" s="24"/>
      <c r="AX863" s="24"/>
      <c r="AY863" s="24"/>
      <c r="AZ863" s="24"/>
      <c r="BA863" s="24"/>
      <c r="BB863" s="24"/>
      <c r="BC863" s="24"/>
      <c r="BD863" s="24"/>
      <c r="BE863" s="24"/>
      <c r="BF863" s="24"/>
      <c r="BG863" s="24"/>
      <c r="BH863" s="24"/>
    </row>
    <row r="864" spans="1:60">
      <c r="A864" s="7"/>
      <c r="B864" s="8"/>
      <c r="C864" s="9"/>
      <c r="D864" s="25"/>
      <c r="E864" s="25"/>
      <c r="F864" s="25"/>
      <c r="G864" s="25"/>
      <c r="H864" s="53"/>
      <c r="I864" s="53"/>
      <c r="J864" s="53"/>
      <c r="K864" s="24"/>
      <c r="L864" s="7"/>
      <c r="M864" s="24"/>
      <c r="N864" s="24"/>
      <c r="O864" s="24"/>
      <c r="P864" s="24"/>
      <c r="Q864" s="24"/>
      <c r="R864" s="24"/>
      <c r="S864" s="24"/>
      <c r="T864" s="24"/>
      <c r="U864" s="24"/>
      <c r="V864" s="24"/>
      <c r="W864" s="24"/>
      <c r="X864" s="24"/>
      <c r="Y864" s="24"/>
      <c r="Z864" s="24"/>
      <c r="AA864" s="24"/>
      <c r="AB864" s="24"/>
      <c r="AC864" s="24"/>
      <c r="AD864" s="24"/>
      <c r="AE864" s="24"/>
      <c r="AF864" s="24"/>
      <c r="AG864" s="24"/>
      <c r="AH864" s="24"/>
      <c r="AI864" s="24"/>
      <c r="AJ864" s="24"/>
      <c r="AK864" s="24"/>
      <c r="AL864" s="24"/>
      <c r="AM864" s="24"/>
      <c r="AN864" s="24"/>
      <c r="AO864" s="24"/>
      <c r="AP864" s="24"/>
      <c r="AQ864" s="24"/>
      <c r="AR864" s="24"/>
      <c r="AS864" s="24"/>
      <c r="AT864" s="24"/>
      <c r="AU864" s="24"/>
      <c r="AV864" s="24"/>
      <c r="AW864" s="24"/>
      <c r="AX864" s="24"/>
      <c r="AY864" s="24"/>
      <c r="AZ864" s="24"/>
      <c r="BA864" s="24"/>
      <c r="BB864" s="24"/>
      <c r="BC864" s="24"/>
      <c r="BD864" s="24"/>
      <c r="BE864" s="24"/>
      <c r="BF864" s="24"/>
      <c r="BG864" s="24"/>
      <c r="BH864" s="24"/>
    </row>
    <row r="865" spans="1:60">
      <c r="A865" s="7"/>
      <c r="B865" s="8"/>
      <c r="C865" s="9"/>
      <c r="D865" s="25"/>
      <c r="E865" s="25"/>
      <c r="F865" s="25"/>
      <c r="G865" s="25"/>
      <c r="H865" s="53"/>
      <c r="I865" s="53"/>
      <c r="J865" s="53"/>
      <c r="K865" s="24"/>
      <c r="L865" s="7"/>
      <c r="M865" s="24"/>
      <c r="N865" s="24"/>
      <c r="O865" s="24"/>
      <c r="P865" s="24"/>
      <c r="Q865" s="24"/>
      <c r="R865" s="24"/>
      <c r="S865" s="24"/>
      <c r="T865" s="24"/>
      <c r="U865" s="24"/>
      <c r="V865" s="24"/>
      <c r="W865" s="24"/>
      <c r="X865" s="24"/>
      <c r="Y865" s="24"/>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c r="BC865" s="24"/>
      <c r="BD865" s="24"/>
      <c r="BE865" s="24"/>
      <c r="BF865" s="24"/>
      <c r="BG865" s="24"/>
      <c r="BH865" s="24"/>
    </row>
    <row r="866" spans="1:60">
      <c r="A866" s="7"/>
      <c r="B866" s="8"/>
      <c r="C866" s="9"/>
      <c r="D866" s="25"/>
      <c r="E866" s="25"/>
      <c r="F866" s="25"/>
      <c r="G866" s="25"/>
      <c r="H866" s="53"/>
      <c r="I866" s="53"/>
      <c r="J866" s="53"/>
      <c r="K866" s="24"/>
      <c r="L866" s="7"/>
      <c r="M866" s="24"/>
      <c r="N866" s="24"/>
      <c r="O866" s="24"/>
      <c r="P866" s="24"/>
      <c r="Q866" s="24"/>
      <c r="R866" s="24"/>
      <c r="S866" s="24"/>
      <c r="T866" s="24"/>
      <c r="U866" s="24"/>
      <c r="V866" s="24"/>
      <c r="W866" s="24"/>
      <c r="X866" s="24"/>
      <c r="Y866" s="24"/>
      <c r="Z866" s="24"/>
      <c r="AA866" s="24"/>
      <c r="AB866" s="24"/>
      <c r="AC866" s="24"/>
      <c r="AD866" s="24"/>
      <c r="AE866" s="24"/>
      <c r="AF866" s="24"/>
      <c r="AG866" s="24"/>
      <c r="AH866" s="24"/>
      <c r="AI866" s="24"/>
      <c r="AJ866" s="24"/>
      <c r="AK866" s="24"/>
      <c r="AL866" s="24"/>
      <c r="AM866" s="24"/>
      <c r="AN866" s="24"/>
      <c r="AO866" s="24"/>
      <c r="AP866" s="24"/>
      <c r="AQ866" s="24"/>
      <c r="AR866" s="24"/>
      <c r="AS866" s="24"/>
      <c r="AT866" s="24"/>
      <c r="AU866" s="24"/>
      <c r="AV866" s="24"/>
      <c r="AW866" s="24"/>
      <c r="AX866" s="24"/>
      <c r="AY866" s="24"/>
      <c r="AZ866" s="24"/>
      <c r="BA866" s="24"/>
      <c r="BB866" s="24"/>
      <c r="BC866" s="24"/>
      <c r="BD866" s="24"/>
      <c r="BE866" s="24"/>
      <c r="BF866" s="24"/>
      <c r="BG866" s="24"/>
      <c r="BH866" s="24"/>
    </row>
    <row r="867" spans="1:60">
      <c r="A867" s="7"/>
      <c r="B867" s="8"/>
      <c r="C867" s="9"/>
      <c r="D867" s="25"/>
      <c r="E867" s="25"/>
      <c r="F867" s="25"/>
      <c r="G867" s="25"/>
      <c r="H867" s="53"/>
      <c r="I867" s="53"/>
      <c r="J867" s="53"/>
      <c r="K867" s="24"/>
      <c r="L867" s="7"/>
      <c r="M867" s="24"/>
      <c r="N867" s="24"/>
      <c r="O867" s="24"/>
      <c r="P867" s="24"/>
      <c r="Q867" s="24"/>
      <c r="R867" s="24"/>
      <c r="S867" s="24"/>
      <c r="T867" s="24"/>
      <c r="U867" s="24"/>
      <c r="V867" s="24"/>
      <c r="W867" s="24"/>
      <c r="X867" s="24"/>
      <c r="Y867" s="24"/>
      <c r="Z867" s="24"/>
      <c r="AA867" s="24"/>
      <c r="AB867" s="24"/>
      <c r="AC867" s="24"/>
      <c r="AD867" s="24"/>
      <c r="AE867" s="24"/>
      <c r="AF867" s="24"/>
      <c r="AG867" s="24"/>
      <c r="AH867" s="24"/>
      <c r="AI867" s="24"/>
      <c r="AJ867" s="24"/>
      <c r="AK867" s="24"/>
      <c r="AL867" s="24"/>
      <c r="AM867" s="24"/>
      <c r="AN867" s="24"/>
      <c r="AO867" s="24"/>
      <c r="AP867" s="24"/>
      <c r="AQ867" s="24"/>
      <c r="AR867" s="24"/>
      <c r="AS867" s="24"/>
      <c r="AT867" s="24"/>
      <c r="AU867" s="24"/>
      <c r="AV867" s="24"/>
      <c r="AW867" s="24"/>
      <c r="AX867" s="24"/>
      <c r="AY867" s="24"/>
      <c r="AZ867" s="24"/>
      <c r="BA867" s="24"/>
      <c r="BB867" s="24"/>
      <c r="BC867" s="24"/>
      <c r="BD867" s="24"/>
      <c r="BE867" s="24"/>
      <c r="BF867" s="24"/>
      <c r="BG867" s="24"/>
      <c r="BH867" s="24"/>
    </row>
    <row r="868" spans="1:60">
      <c r="A868" s="7"/>
      <c r="B868" s="8"/>
      <c r="C868" s="9"/>
      <c r="D868" s="25"/>
      <c r="E868" s="25"/>
      <c r="F868" s="25"/>
      <c r="G868" s="25"/>
      <c r="H868" s="53"/>
      <c r="I868" s="53"/>
      <c r="J868" s="53"/>
      <c r="K868" s="24"/>
      <c r="L868" s="7"/>
      <c r="M868" s="24"/>
      <c r="N868" s="24"/>
      <c r="O868" s="24"/>
      <c r="P868" s="24"/>
      <c r="Q868" s="24"/>
      <c r="R868" s="24"/>
      <c r="S868" s="24"/>
      <c r="T868" s="24"/>
      <c r="U868" s="24"/>
      <c r="V868" s="24"/>
      <c r="W868" s="24"/>
      <c r="X868" s="24"/>
      <c r="Y868" s="24"/>
      <c r="Z868" s="24"/>
      <c r="AA868" s="24"/>
      <c r="AB868" s="24"/>
      <c r="AC868" s="24"/>
      <c r="AD868" s="24"/>
      <c r="AE868" s="24"/>
      <c r="AF868" s="24"/>
      <c r="AG868" s="24"/>
      <c r="AH868" s="24"/>
      <c r="AI868" s="24"/>
      <c r="AJ868" s="24"/>
      <c r="AK868" s="24"/>
      <c r="AL868" s="24"/>
      <c r="AM868" s="24"/>
      <c r="AN868" s="24"/>
      <c r="AO868" s="24"/>
      <c r="AP868" s="24"/>
      <c r="AQ868" s="24"/>
      <c r="AR868" s="24"/>
      <c r="AS868" s="24"/>
      <c r="AT868" s="24"/>
      <c r="AU868" s="24"/>
      <c r="AV868" s="24"/>
      <c r="AW868" s="24"/>
      <c r="AX868" s="24"/>
      <c r="AY868" s="24"/>
      <c r="AZ868" s="24"/>
      <c r="BA868" s="24"/>
      <c r="BB868" s="24"/>
      <c r="BC868" s="24"/>
      <c r="BD868" s="24"/>
      <c r="BE868" s="24"/>
      <c r="BF868" s="24"/>
      <c r="BG868" s="24"/>
      <c r="BH868" s="24"/>
    </row>
    <row r="869" spans="1:60">
      <c r="A869" s="7"/>
      <c r="B869" s="8"/>
      <c r="C869" s="9"/>
      <c r="D869" s="25"/>
      <c r="E869" s="25"/>
      <c r="F869" s="25"/>
      <c r="G869" s="25"/>
      <c r="H869" s="53"/>
      <c r="I869" s="53"/>
      <c r="J869" s="53"/>
      <c r="K869" s="24"/>
      <c r="L869" s="7"/>
      <c r="M869" s="24"/>
      <c r="N869" s="24"/>
      <c r="O869" s="24"/>
      <c r="P869" s="24"/>
      <c r="Q869" s="24"/>
      <c r="R869" s="24"/>
      <c r="S869" s="24"/>
      <c r="T869" s="24"/>
      <c r="U869" s="24"/>
      <c r="V869" s="24"/>
      <c r="W869" s="24"/>
      <c r="X869" s="24"/>
      <c r="Y869" s="24"/>
      <c r="Z869" s="24"/>
      <c r="AA869" s="24"/>
      <c r="AB869" s="24"/>
      <c r="AC869" s="24"/>
      <c r="AD869" s="24"/>
      <c r="AE869" s="24"/>
      <c r="AF869" s="24"/>
      <c r="AG869" s="24"/>
      <c r="AH869" s="24"/>
      <c r="AI869" s="24"/>
      <c r="AJ869" s="24"/>
      <c r="AK869" s="24"/>
      <c r="AL869" s="24"/>
      <c r="AM869" s="24"/>
      <c r="AN869" s="24"/>
      <c r="AO869" s="24"/>
      <c r="AP869" s="24"/>
      <c r="AQ869" s="24"/>
      <c r="AR869" s="24"/>
      <c r="AS869" s="24"/>
      <c r="AT869" s="24"/>
      <c r="AU869" s="24"/>
      <c r="AV869" s="24"/>
      <c r="AW869" s="24"/>
      <c r="AX869" s="24"/>
      <c r="AY869" s="24"/>
      <c r="AZ869" s="24"/>
      <c r="BA869" s="24"/>
      <c r="BB869" s="24"/>
      <c r="BC869" s="24"/>
      <c r="BD869" s="24"/>
      <c r="BE869" s="24"/>
      <c r="BF869" s="24"/>
      <c r="BG869" s="24"/>
      <c r="BH869" s="24"/>
    </row>
    <row r="870" spans="1:60">
      <c r="A870" s="7"/>
      <c r="B870" s="8"/>
      <c r="C870" s="9"/>
      <c r="D870" s="25"/>
      <c r="E870" s="25"/>
      <c r="F870" s="25"/>
      <c r="G870" s="25"/>
      <c r="H870" s="53"/>
      <c r="I870" s="53"/>
      <c r="J870" s="53"/>
      <c r="K870" s="24"/>
      <c r="L870" s="7"/>
      <c r="M870" s="24"/>
      <c r="N870" s="24"/>
      <c r="O870" s="24"/>
      <c r="P870" s="24"/>
      <c r="Q870" s="24"/>
      <c r="R870" s="24"/>
      <c r="S870" s="24"/>
      <c r="T870" s="24"/>
      <c r="U870" s="24"/>
      <c r="V870" s="24"/>
      <c r="W870" s="24"/>
      <c r="X870" s="24"/>
      <c r="Y870" s="24"/>
      <c r="Z870" s="24"/>
      <c r="AA870" s="24"/>
      <c r="AB870" s="24"/>
      <c r="AC870" s="24"/>
      <c r="AD870" s="24"/>
      <c r="AE870" s="24"/>
      <c r="AF870" s="24"/>
      <c r="AG870" s="24"/>
      <c r="AH870" s="24"/>
      <c r="AI870" s="24"/>
      <c r="AJ870" s="24"/>
      <c r="AK870" s="24"/>
      <c r="AL870" s="24"/>
      <c r="AM870" s="24"/>
      <c r="AN870" s="24"/>
      <c r="AO870" s="24"/>
      <c r="AP870" s="24"/>
      <c r="AQ870" s="24"/>
      <c r="AR870" s="24"/>
      <c r="AS870" s="24"/>
      <c r="AT870" s="24"/>
      <c r="AU870" s="24"/>
      <c r="AV870" s="24"/>
      <c r="AW870" s="24"/>
      <c r="AX870" s="24"/>
      <c r="AY870" s="24"/>
      <c r="AZ870" s="24"/>
      <c r="BA870" s="24"/>
      <c r="BB870" s="24"/>
      <c r="BC870" s="24"/>
      <c r="BD870" s="24"/>
      <c r="BE870" s="24"/>
      <c r="BF870" s="24"/>
      <c r="BG870" s="24"/>
      <c r="BH870" s="24"/>
    </row>
    <row r="871" spans="1:60">
      <c r="A871" s="7"/>
      <c r="B871" s="8"/>
      <c r="C871" s="9"/>
      <c r="D871" s="25"/>
      <c r="E871" s="25"/>
      <c r="F871" s="25"/>
      <c r="G871" s="25"/>
      <c r="H871" s="53"/>
      <c r="I871" s="53"/>
      <c r="J871" s="53"/>
      <c r="K871" s="24"/>
      <c r="L871" s="7"/>
      <c r="M871" s="24"/>
      <c r="N871" s="24"/>
      <c r="O871" s="24"/>
      <c r="P871" s="24"/>
      <c r="Q871" s="24"/>
      <c r="R871" s="24"/>
      <c r="S871" s="24"/>
      <c r="T871" s="24"/>
      <c r="U871" s="24"/>
      <c r="V871" s="24"/>
      <c r="W871" s="24"/>
      <c r="X871" s="24"/>
      <c r="Y871" s="24"/>
      <c r="Z871" s="24"/>
      <c r="AA871" s="24"/>
      <c r="AB871" s="24"/>
      <c r="AC871" s="24"/>
      <c r="AD871" s="24"/>
      <c r="AE871" s="24"/>
      <c r="AF871" s="24"/>
      <c r="AG871" s="24"/>
      <c r="AH871" s="24"/>
      <c r="AI871" s="24"/>
      <c r="AJ871" s="24"/>
      <c r="AK871" s="24"/>
      <c r="AL871" s="24"/>
      <c r="AM871" s="24"/>
      <c r="AN871" s="24"/>
      <c r="AO871" s="24"/>
      <c r="AP871" s="24"/>
      <c r="AQ871" s="24"/>
      <c r="AR871" s="24"/>
      <c r="AS871" s="24"/>
      <c r="AT871" s="24"/>
      <c r="AU871" s="24"/>
      <c r="AV871" s="24"/>
      <c r="AW871" s="24"/>
      <c r="AX871" s="24"/>
      <c r="AY871" s="24"/>
      <c r="AZ871" s="24"/>
      <c r="BA871" s="24"/>
      <c r="BB871" s="24"/>
      <c r="BC871" s="24"/>
      <c r="BD871" s="24"/>
      <c r="BE871" s="24"/>
      <c r="BF871" s="24"/>
      <c r="BG871" s="24"/>
      <c r="BH871" s="24"/>
    </row>
    <row r="872" spans="1:60">
      <c r="A872" s="7"/>
      <c r="B872" s="8"/>
      <c r="C872" s="9"/>
      <c r="D872" s="25"/>
      <c r="E872" s="25"/>
      <c r="F872" s="25"/>
      <c r="G872" s="25"/>
      <c r="H872" s="53"/>
      <c r="I872" s="53"/>
      <c r="J872" s="53"/>
      <c r="K872" s="24"/>
      <c r="L872" s="7"/>
      <c r="M872" s="24"/>
      <c r="N872" s="24"/>
      <c r="O872" s="24"/>
      <c r="P872" s="24"/>
      <c r="Q872" s="24"/>
      <c r="R872" s="24"/>
      <c r="S872" s="24"/>
      <c r="T872" s="24"/>
      <c r="U872" s="24"/>
      <c r="V872" s="24"/>
      <c r="W872" s="24"/>
      <c r="X872" s="24"/>
      <c r="Y872" s="24"/>
      <c r="Z872" s="24"/>
      <c r="AA872" s="24"/>
      <c r="AB872" s="24"/>
      <c r="AC872" s="24"/>
      <c r="AD872" s="24"/>
      <c r="AE872" s="24"/>
      <c r="AF872" s="24"/>
      <c r="AG872" s="24"/>
      <c r="AH872" s="24"/>
      <c r="AI872" s="24"/>
      <c r="AJ872" s="24"/>
      <c r="AK872" s="24"/>
      <c r="AL872" s="24"/>
      <c r="AM872" s="24"/>
      <c r="AN872" s="24"/>
      <c r="AO872" s="24"/>
      <c r="AP872" s="24"/>
      <c r="AQ872" s="24"/>
      <c r="AR872" s="24"/>
      <c r="AS872" s="24"/>
      <c r="AT872" s="24"/>
      <c r="AU872" s="24"/>
      <c r="AV872" s="24"/>
      <c r="AW872" s="24"/>
      <c r="AX872" s="24"/>
      <c r="AY872" s="24"/>
      <c r="AZ872" s="24"/>
      <c r="BA872" s="24"/>
      <c r="BB872" s="24"/>
      <c r="BC872" s="24"/>
      <c r="BD872" s="24"/>
      <c r="BE872" s="24"/>
      <c r="BF872" s="24"/>
      <c r="BG872" s="24"/>
      <c r="BH872" s="24"/>
    </row>
    <row r="873" spans="1:60">
      <c r="A873" s="7"/>
      <c r="B873" s="8"/>
      <c r="C873" s="9"/>
      <c r="D873" s="25"/>
      <c r="E873" s="25"/>
      <c r="F873" s="25"/>
      <c r="G873" s="25"/>
      <c r="H873" s="53"/>
      <c r="I873" s="53"/>
      <c r="J873" s="53"/>
      <c r="K873" s="24"/>
      <c r="L873" s="7"/>
      <c r="M873" s="24"/>
      <c r="N873" s="24"/>
      <c r="O873" s="24"/>
      <c r="P873" s="24"/>
      <c r="Q873" s="24"/>
      <c r="R873" s="24"/>
      <c r="S873" s="24"/>
      <c r="T873" s="24"/>
      <c r="U873" s="24"/>
      <c r="V873" s="24"/>
      <c r="W873" s="24"/>
      <c r="X873" s="24"/>
      <c r="Y873" s="24"/>
      <c r="Z873" s="24"/>
      <c r="AA873" s="24"/>
      <c r="AB873" s="24"/>
      <c r="AC873" s="24"/>
      <c r="AD873" s="24"/>
      <c r="AE873" s="24"/>
      <c r="AF873" s="24"/>
      <c r="AG873" s="24"/>
      <c r="AH873" s="24"/>
      <c r="AI873" s="24"/>
      <c r="AJ873" s="24"/>
      <c r="AK873" s="24"/>
      <c r="AL873" s="24"/>
      <c r="AM873" s="24"/>
      <c r="AN873" s="24"/>
      <c r="AO873" s="24"/>
      <c r="AP873" s="24"/>
      <c r="AQ873" s="24"/>
      <c r="AR873" s="24"/>
      <c r="AS873" s="24"/>
      <c r="AT873" s="24"/>
      <c r="AU873" s="24"/>
      <c r="AV873" s="24"/>
      <c r="AW873" s="24"/>
      <c r="AX873" s="24"/>
      <c r="AY873" s="24"/>
      <c r="AZ873" s="24"/>
      <c r="BA873" s="24"/>
      <c r="BB873" s="24"/>
      <c r="BC873" s="24"/>
      <c r="BD873" s="24"/>
      <c r="BE873" s="24"/>
      <c r="BF873" s="24"/>
      <c r="BG873" s="24"/>
      <c r="BH873" s="24"/>
    </row>
    <row r="874" spans="1:60">
      <c r="A874" s="7"/>
      <c r="B874" s="8"/>
      <c r="C874" s="9"/>
      <c r="D874" s="25"/>
      <c r="E874" s="25"/>
      <c r="F874" s="25"/>
      <c r="G874" s="25"/>
      <c r="H874" s="53"/>
      <c r="I874" s="53"/>
      <c r="J874" s="53"/>
      <c r="K874" s="24"/>
      <c r="L874" s="7"/>
      <c r="M874" s="24"/>
      <c r="N874" s="24"/>
      <c r="O874" s="24"/>
      <c r="P874" s="24"/>
      <c r="Q874" s="24"/>
      <c r="R874" s="24"/>
      <c r="S874" s="24"/>
      <c r="T874" s="24"/>
      <c r="U874" s="24"/>
      <c r="V874" s="24"/>
      <c r="W874" s="24"/>
      <c r="X874" s="24"/>
      <c r="Y874" s="24"/>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c r="BC874" s="24"/>
      <c r="BD874" s="24"/>
      <c r="BE874" s="24"/>
      <c r="BF874" s="24"/>
      <c r="BG874" s="24"/>
      <c r="BH874" s="24"/>
    </row>
    <row r="875" spans="1:60">
      <c r="A875" s="7"/>
      <c r="B875" s="8"/>
      <c r="C875" s="9"/>
      <c r="D875" s="25"/>
      <c r="E875" s="25"/>
      <c r="F875" s="25"/>
      <c r="G875" s="25"/>
      <c r="H875" s="53"/>
      <c r="I875" s="53"/>
      <c r="J875" s="53"/>
      <c r="K875" s="24"/>
      <c r="L875" s="7"/>
      <c r="M875" s="24"/>
      <c r="N875" s="24"/>
      <c r="O875" s="24"/>
      <c r="P875" s="24"/>
      <c r="Q875" s="24"/>
      <c r="R875" s="24"/>
      <c r="S875" s="24"/>
      <c r="T875" s="24"/>
      <c r="U875" s="24"/>
      <c r="V875" s="24"/>
      <c r="W875" s="24"/>
      <c r="X875" s="24"/>
      <c r="Y875" s="24"/>
      <c r="Z875" s="24"/>
      <c r="AA875" s="24"/>
      <c r="AB875" s="24"/>
      <c r="AC875" s="24"/>
      <c r="AD875" s="24"/>
      <c r="AE875" s="24"/>
      <c r="AF875" s="24"/>
      <c r="AG875" s="24"/>
      <c r="AH875" s="24"/>
      <c r="AI875" s="24"/>
      <c r="AJ875" s="24"/>
      <c r="AK875" s="24"/>
      <c r="AL875" s="24"/>
      <c r="AM875" s="24"/>
      <c r="AN875" s="24"/>
      <c r="AO875" s="24"/>
      <c r="AP875" s="24"/>
      <c r="AQ875" s="24"/>
      <c r="AR875" s="24"/>
      <c r="AS875" s="24"/>
      <c r="AT875" s="24"/>
      <c r="AU875" s="24"/>
      <c r="AV875" s="24"/>
      <c r="AW875" s="24"/>
      <c r="AX875" s="24"/>
      <c r="AY875" s="24"/>
      <c r="AZ875" s="24"/>
      <c r="BA875" s="24"/>
      <c r="BB875" s="24"/>
      <c r="BC875" s="24"/>
      <c r="BD875" s="24"/>
      <c r="BE875" s="24"/>
      <c r="BF875" s="24"/>
      <c r="BG875" s="24"/>
      <c r="BH875" s="24"/>
    </row>
    <row r="876" spans="1:60">
      <c r="A876" s="7"/>
      <c r="B876" s="8"/>
      <c r="C876" s="9"/>
      <c r="D876" s="25"/>
      <c r="E876" s="25"/>
      <c r="F876" s="25"/>
      <c r="G876" s="25"/>
      <c r="H876" s="53"/>
      <c r="I876" s="53"/>
      <c r="J876" s="53"/>
      <c r="K876" s="24"/>
      <c r="L876" s="7"/>
      <c r="M876" s="24"/>
      <c r="N876" s="24"/>
      <c r="O876" s="24"/>
      <c r="P876" s="24"/>
      <c r="Q876" s="24"/>
      <c r="R876" s="24"/>
      <c r="S876" s="24"/>
      <c r="T876" s="24"/>
      <c r="U876" s="24"/>
      <c r="V876" s="24"/>
      <c r="W876" s="24"/>
      <c r="X876" s="24"/>
      <c r="Y876" s="24"/>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c r="BC876" s="24"/>
      <c r="BD876" s="24"/>
      <c r="BE876" s="24"/>
      <c r="BF876" s="24"/>
      <c r="BG876" s="24"/>
      <c r="BH876" s="24"/>
    </row>
    <row r="877" spans="1:60">
      <c r="A877" s="7"/>
      <c r="B877" s="8"/>
      <c r="C877" s="9"/>
      <c r="D877" s="25"/>
      <c r="E877" s="25"/>
      <c r="F877" s="25"/>
      <c r="G877" s="25"/>
      <c r="H877" s="53"/>
      <c r="I877" s="53"/>
      <c r="J877" s="53"/>
      <c r="K877" s="24"/>
      <c r="L877" s="7"/>
      <c r="M877" s="24"/>
      <c r="N877" s="24"/>
      <c r="O877" s="24"/>
      <c r="P877" s="24"/>
      <c r="Q877" s="24"/>
      <c r="R877" s="24"/>
      <c r="S877" s="24"/>
      <c r="T877" s="24"/>
      <c r="U877" s="24"/>
      <c r="V877" s="24"/>
      <c r="W877" s="24"/>
      <c r="X877" s="24"/>
      <c r="Y877" s="24"/>
      <c r="Z877" s="24"/>
      <c r="AA877" s="24"/>
      <c r="AB877" s="24"/>
      <c r="AC877" s="24"/>
      <c r="AD877" s="24"/>
      <c r="AE877" s="24"/>
      <c r="AF877" s="24"/>
      <c r="AG877" s="24"/>
      <c r="AH877" s="24"/>
      <c r="AI877" s="24"/>
      <c r="AJ877" s="24"/>
      <c r="AK877" s="24"/>
      <c r="AL877" s="24"/>
      <c r="AM877" s="24"/>
      <c r="AN877" s="24"/>
      <c r="AO877" s="24"/>
      <c r="AP877" s="24"/>
      <c r="AQ877" s="24"/>
      <c r="AR877" s="24"/>
      <c r="AS877" s="24"/>
      <c r="AT877" s="24"/>
      <c r="AU877" s="24"/>
      <c r="AV877" s="24"/>
      <c r="AW877" s="24"/>
      <c r="AX877" s="24"/>
      <c r="AY877" s="24"/>
      <c r="AZ877" s="24"/>
      <c r="BA877" s="24"/>
      <c r="BB877" s="24"/>
      <c r="BC877" s="24"/>
      <c r="BD877" s="24"/>
      <c r="BE877" s="24"/>
      <c r="BF877" s="24"/>
      <c r="BG877" s="24"/>
      <c r="BH877" s="24"/>
    </row>
    <row r="878" spans="1:60">
      <c r="A878" s="7"/>
      <c r="B878" s="8"/>
      <c r="C878" s="9"/>
      <c r="D878" s="25"/>
      <c r="E878" s="25"/>
      <c r="F878" s="25"/>
      <c r="G878" s="25"/>
      <c r="H878" s="53"/>
      <c r="I878" s="53"/>
      <c r="J878" s="53"/>
      <c r="K878" s="24"/>
      <c r="L878" s="7"/>
      <c r="M878" s="24"/>
      <c r="N878" s="24"/>
      <c r="O878" s="24"/>
      <c r="P878" s="24"/>
      <c r="Q878" s="24"/>
      <c r="R878" s="24"/>
      <c r="S878" s="24"/>
      <c r="T878" s="24"/>
      <c r="U878" s="24"/>
      <c r="V878" s="24"/>
      <c r="W878" s="24"/>
      <c r="X878" s="24"/>
      <c r="Y878" s="24"/>
      <c r="Z878" s="24"/>
      <c r="AA878" s="24"/>
      <c r="AB878" s="24"/>
      <c r="AC878" s="24"/>
      <c r="AD878" s="24"/>
      <c r="AE878" s="24"/>
      <c r="AF878" s="24"/>
      <c r="AG878" s="24"/>
      <c r="AH878" s="24"/>
      <c r="AI878" s="24"/>
      <c r="AJ878" s="24"/>
      <c r="AK878" s="24"/>
      <c r="AL878" s="24"/>
      <c r="AM878" s="24"/>
      <c r="AN878" s="24"/>
      <c r="AO878" s="24"/>
      <c r="AP878" s="24"/>
      <c r="AQ878" s="24"/>
      <c r="AR878" s="24"/>
      <c r="AS878" s="24"/>
      <c r="AT878" s="24"/>
      <c r="AU878" s="24"/>
      <c r="AV878" s="24"/>
      <c r="AW878" s="24"/>
      <c r="AX878" s="24"/>
      <c r="AY878" s="24"/>
      <c r="AZ878" s="24"/>
      <c r="BA878" s="24"/>
      <c r="BB878" s="24"/>
      <c r="BC878" s="24"/>
      <c r="BD878" s="24"/>
      <c r="BE878" s="24"/>
      <c r="BF878" s="24"/>
      <c r="BG878" s="24"/>
      <c r="BH878" s="24"/>
    </row>
    <row r="879" spans="1:60">
      <c r="A879" s="7"/>
      <c r="B879" s="8"/>
      <c r="C879" s="9"/>
      <c r="D879" s="25"/>
      <c r="E879" s="25"/>
      <c r="F879" s="25"/>
      <c r="G879" s="25"/>
      <c r="H879" s="53"/>
      <c r="I879" s="53"/>
      <c r="J879" s="53"/>
      <c r="K879" s="24"/>
      <c r="L879" s="7"/>
      <c r="M879" s="24"/>
      <c r="N879" s="24"/>
      <c r="O879" s="24"/>
      <c r="P879" s="24"/>
      <c r="Q879" s="24"/>
      <c r="R879" s="24"/>
      <c r="S879" s="24"/>
      <c r="T879" s="24"/>
      <c r="U879" s="24"/>
      <c r="V879" s="24"/>
      <c r="W879" s="24"/>
      <c r="X879" s="24"/>
      <c r="Y879" s="24"/>
      <c r="Z879" s="24"/>
      <c r="AA879" s="24"/>
      <c r="AB879" s="24"/>
      <c r="AC879" s="24"/>
      <c r="AD879" s="24"/>
      <c r="AE879" s="24"/>
      <c r="AF879" s="24"/>
      <c r="AG879" s="24"/>
      <c r="AH879" s="24"/>
      <c r="AI879" s="24"/>
      <c r="AJ879" s="24"/>
      <c r="AK879" s="24"/>
      <c r="AL879" s="24"/>
      <c r="AM879" s="24"/>
      <c r="AN879" s="24"/>
      <c r="AO879" s="24"/>
      <c r="AP879" s="24"/>
      <c r="AQ879" s="24"/>
      <c r="AR879" s="24"/>
      <c r="AS879" s="24"/>
      <c r="AT879" s="24"/>
      <c r="AU879" s="24"/>
      <c r="AV879" s="24"/>
      <c r="AW879" s="24"/>
      <c r="AX879" s="24"/>
      <c r="AY879" s="24"/>
      <c r="AZ879" s="24"/>
      <c r="BA879" s="24"/>
      <c r="BB879" s="24"/>
      <c r="BC879" s="24"/>
      <c r="BD879" s="24"/>
      <c r="BE879" s="24"/>
      <c r="BF879" s="24"/>
      <c r="BG879" s="24"/>
      <c r="BH879" s="24"/>
    </row>
    <row r="880" spans="1:60">
      <c r="A880" s="7"/>
      <c r="B880" s="8"/>
      <c r="C880" s="9"/>
      <c r="D880" s="25"/>
      <c r="E880" s="25"/>
      <c r="F880" s="25"/>
      <c r="G880" s="25"/>
      <c r="H880" s="53"/>
      <c r="I880" s="53"/>
      <c r="J880" s="53"/>
      <c r="K880" s="24"/>
      <c r="L880" s="7"/>
      <c r="M880" s="24"/>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4"/>
      <c r="AK880" s="24"/>
      <c r="AL880" s="24"/>
      <c r="AM880" s="24"/>
      <c r="AN880" s="24"/>
      <c r="AO880" s="24"/>
      <c r="AP880" s="24"/>
      <c r="AQ880" s="24"/>
      <c r="AR880" s="24"/>
      <c r="AS880" s="24"/>
      <c r="AT880" s="24"/>
      <c r="AU880" s="24"/>
      <c r="AV880" s="24"/>
      <c r="AW880" s="24"/>
      <c r="AX880" s="24"/>
      <c r="AY880" s="24"/>
      <c r="AZ880" s="24"/>
      <c r="BA880" s="24"/>
      <c r="BB880" s="24"/>
      <c r="BC880" s="24"/>
      <c r="BD880" s="24"/>
      <c r="BE880" s="24"/>
      <c r="BF880" s="24"/>
      <c r="BG880" s="24"/>
      <c r="BH880" s="24"/>
    </row>
    <row r="881" spans="1:60">
      <c r="A881" s="7"/>
      <c r="B881" s="8"/>
      <c r="C881" s="9"/>
      <c r="D881" s="25"/>
      <c r="E881" s="25"/>
      <c r="F881" s="25"/>
      <c r="G881" s="25"/>
      <c r="H881" s="53"/>
      <c r="I881" s="53"/>
      <c r="J881" s="53"/>
      <c r="K881" s="24"/>
      <c r="L881" s="7"/>
      <c r="M881" s="24"/>
      <c r="N881" s="24"/>
      <c r="O881" s="24"/>
      <c r="P881" s="24"/>
      <c r="Q881" s="24"/>
      <c r="R881" s="24"/>
      <c r="S881" s="24"/>
      <c r="T881" s="24"/>
      <c r="U881" s="24"/>
      <c r="V881" s="24"/>
      <c r="W881" s="24"/>
      <c r="X881" s="24"/>
      <c r="Y881" s="24"/>
      <c r="Z881" s="24"/>
      <c r="AA881" s="24"/>
      <c r="AB881" s="24"/>
      <c r="AC881" s="24"/>
      <c r="AD881" s="24"/>
      <c r="AE881" s="24"/>
      <c r="AF881" s="24"/>
      <c r="AG881" s="24"/>
      <c r="AH881" s="24"/>
      <c r="AI881" s="24"/>
      <c r="AJ881" s="24"/>
      <c r="AK881" s="24"/>
      <c r="AL881" s="24"/>
      <c r="AM881" s="24"/>
      <c r="AN881" s="24"/>
      <c r="AO881" s="24"/>
      <c r="AP881" s="24"/>
      <c r="AQ881" s="24"/>
      <c r="AR881" s="24"/>
      <c r="AS881" s="24"/>
      <c r="AT881" s="24"/>
      <c r="AU881" s="24"/>
      <c r="AV881" s="24"/>
      <c r="AW881" s="24"/>
      <c r="AX881" s="24"/>
      <c r="AY881" s="24"/>
      <c r="AZ881" s="24"/>
      <c r="BA881" s="24"/>
      <c r="BB881" s="24"/>
      <c r="BC881" s="24"/>
      <c r="BD881" s="24"/>
      <c r="BE881" s="24"/>
      <c r="BF881" s="24"/>
      <c r="BG881" s="24"/>
      <c r="BH881" s="24"/>
    </row>
    <row r="882" spans="1:60">
      <c r="A882" s="7"/>
      <c r="B882" s="8"/>
      <c r="C882" s="9"/>
      <c r="D882" s="25"/>
      <c r="E882" s="25"/>
      <c r="F882" s="25"/>
      <c r="G882" s="25"/>
      <c r="H882" s="53"/>
      <c r="I882" s="53"/>
      <c r="J882" s="53"/>
      <c r="K882" s="24"/>
      <c r="L882" s="7"/>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24"/>
      <c r="BD882" s="24"/>
      <c r="BE882" s="24"/>
      <c r="BF882" s="24"/>
      <c r="BG882" s="24"/>
      <c r="BH882" s="24"/>
    </row>
    <row r="883" spans="1:60">
      <c r="A883" s="7"/>
      <c r="B883" s="8"/>
      <c r="C883" s="9"/>
      <c r="D883" s="25"/>
      <c r="E883" s="25"/>
      <c r="F883" s="25"/>
      <c r="G883" s="25"/>
      <c r="H883" s="53"/>
      <c r="I883" s="53"/>
      <c r="J883" s="53"/>
      <c r="K883" s="24"/>
      <c r="L883" s="7"/>
      <c r="M883" s="24"/>
      <c r="N883" s="24"/>
      <c r="O883" s="24"/>
      <c r="P883" s="24"/>
      <c r="Q883" s="24"/>
      <c r="R883" s="24"/>
      <c r="S883" s="24"/>
      <c r="T883" s="24"/>
      <c r="U883" s="24"/>
      <c r="V883" s="24"/>
      <c r="W883" s="24"/>
      <c r="X883" s="24"/>
      <c r="Y883" s="24"/>
      <c r="Z883" s="24"/>
      <c r="AA883" s="24"/>
      <c r="AB883" s="24"/>
      <c r="AC883" s="24"/>
      <c r="AD883" s="24"/>
      <c r="AE883" s="24"/>
      <c r="AF883" s="24"/>
      <c r="AG883" s="24"/>
      <c r="AH883" s="24"/>
      <c r="AI883" s="24"/>
      <c r="AJ883" s="24"/>
      <c r="AK883" s="24"/>
      <c r="AL883" s="24"/>
      <c r="AM883" s="24"/>
      <c r="AN883" s="24"/>
      <c r="AO883" s="24"/>
      <c r="AP883" s="24"/>
      <c r="AQ883" s="24"/>
      <c r="AR883" s="24"/>
      <c r="AS883" s="24"/>
      <c r="AT883" s="24"/>
      <c r="AU883" s="24"/>
      <c r="AV883" s="24"/>
      <c r="AW883" s="24"/>
      <c r="AX883" s="24"/>
      <c r="AY883" s="24"/>
      <c r="AZ883" s="24"/>
      <c r="BA883" s="24"/>
      <c r="BB883" s="24"/>
      <c r="BC883" s="24"/>
      <c r="BD883" s="24"/>
      <c r="BE883" s="24"/>
      <c r="BF883" s="24"/>
      <c r="BG883" s="24"/>
      <c r="BH883" s="24"/>
    </row>
    <row r="884" spans="1:60">
      <c r="A884" s="7"/>
      <c r="B884" s="8"/>
      <c r="C884" s="9"/>
      <c r="D884" s="25"/>
      <c r="E884" s="25"/>
      <c r="F884" s="25"/>
      <c r="G884" s="25"/>
      <c r="H884" s="53"/>
      <c r="I884" s="53"/>
      <c r="J884" s="53"/>
      <c r="K884" s="24"/>
      <c r="L884" s="7"/>
      <c r="M884" s="24"/>
      <c r="N884" s="24"/>
      <c r="O884" s="24"/>
      <c r="P884" s="24"/>
      <c r="Q884" s="24"/>
      <c r="R884" s="24"/>
      <c r="S884" s="24"/>
      <c r="T884" s="24"/>
      <c r="U884" s="24"/>
      <c r="V884" s="24"/>
      <c r="W884" s="24"/>
      <c r="X884" s="24"/>
      <c r="Y884" s="24"/>
      <c r="Z884" s="24"/>
      <c r="AA884" s="24"/>
      <c r="AB884" s="24"/>
      <c r="AC884" s="24"/>
      <c r="AD884" s="24"/>
      <c r="AE884" s="24"/>
      <c r="AF884" s="24"/>
      <c r="AG884" s="24"/>
      <c r="AH884" s="24"/>
      <c r="AI884" s="24"/>
      <c r="AJ884" s="24"/>
      <c r="AK884" s="24"/>
      <c r="AL884" s="24"/>
      <c r="AM884" s="24"/>
      <c r="AN884" s="24"/>
      <c r="AO884" s="24"/>
      <c r="AP884" s="24"/>
      <c r="AQ884" s="24"/>
      <c r="AR884" s="24"/>
      <c r="AS884" s="24"/>
      <c r="AT884" s="24"/>
      <c r="AU884" s="24"/>
      <c r="AV884" s="24"/>
      <c r="AW884" s="24"/>
      <c r="AX884" s="24"/>
      <c r="AY884" s="24"/>
      <c r="AZ884" s="24"/>
      <c r="BA884" s="24"/>
      <c r="BB884" s="24"/>
      <c r="BC884" s="24"/>
      <c r="BD884" s="24"/>
      <c r="BE884" s="24"/>
      <c r="BF884" s="24"/>
      <c r="BG884" s="24"/>
      <c r="BH884" s="24"/>
    </row>
    <row r="885" spans="1:60">
      <c r="A885" s="7"/>
      <c r="B885" s="8"/>
      <c r="C885" s="9"/>
      <c r="D885" s="25"/>
      <c r="E885" s="25"/>
      <c r="F885" s="25"/>
      <c r="G885" s="25"/>
      <c r="H885" s="53"/>
      <c r="I885" s="53"/>
      <c r="J885" s="53"/>
      <c r="K885" s="24"/>
      <c r="L885" s="7"/>
      <c r="M885" s="24"/>
      <c r="N885" s="24"/>
      <c r="O885" s="24"/>
      <c r="P885" s="24"/>
      <c r="Q885" s="24"/>
      <c r="R885" s="24"/>
      <c r="S885" s="24"/>
      <c r="T885" s="24"/>
      <c r="U885" s="24"/>
      <c r="V885" s="24"/>
      <c r="W885" s="24"/>
      <c r="X885" s="24"/>
      <c r="Y885" s="24"/>
      <c r="Z885" s="24"/>
      <c r="AA885" s="24"/>
      <c r="AB885" s="24"/>
      <c r="AC885" s="24"/>
      <c r="AD885" s="24"/>
      <c r="AE885" s="24"/>
      <c r="AF885" s="24"/>
      <c r="AG885" s="24"/>
      <c r="AH885" s="24"/>
      <c r="AI885" s="24"/>
      <c r="AJ885" s="24"/>
      <c r="AK885" s="24"/>
      <c r="AL885" s="24"/>
      <c r="AM885" s="24"/>
      <c r="AN885" s="24"/>
      <c r="AO885" s="24"/>
      <c r="AP885" s="24"/>
      <c r="AQ885" s="24"/>
      <c r="AR885" s="24"/>
      <c r="AS885" s="24"/>
      <c r="AT885" s="24"/>
      <c r="AU885" s="24"/>
      <c r="AV885" s="24"/>
      <c r="AW885" s="24"/>
      <c r="AX885" s="24"/>
      <c r="AY885" s="24"/>
      <c r="AZ885" s="24"/>
      <c r="BA885" s="24"/>
      <c r="BB885" s="24"/>
      <c r="BC885" s="24"/>
      <c r="BD885" s="24"/>
      <c r="BE885" s="24"/>
      <c r="BF885" s="24"/>
      <c r="BG885" s="24"/>
      <c r="BH885" s="24"/>
    </row>
    <row r="886" spans="1:60">
      <c r="A886" s="7"/>
      <c r="B886" s="8"/>
      <c r="C886" s="9"/>
      <c r="D886" s="25"/>
      <c r="E886" s="25"/>
      <c r="F886" s="25"/>
      <c r="G886" s="25"/>
      <c r="H886" s="53"/>
      <c r="I886" s="53"/>
      <c r="J886" s="53"/>
      <c r="K886" s="24"/>
      <c r="L886" s="7"/>
      <c r="M886" s="24"/>
      <c r="N886" s="24"/>
      <c r="O886" s="24"/>
      <c r="P886" s="24"/>
      <c r="Q886" s="24"/>
      <c r="R886" s="24"/>
      <c r="S886" s="24"/>
      <c r="T886" s="24"/>
      <c r="U886" s="24"/>
      <c r="V886" s="24"/>
      <c r="W886" s="24"/>
      <c r="X886" s="24"/>
      <c r="Y886" s="24"/>
      <c r="Z886" s="24"/>
      <c r="AA886" s="24"/>
      <c r="AB886" s="24"/>
      <c r="AC886" s="24"/>
      <c r="AD886" s="24"/>
      <c r="AE886" s="24"/>
      <c r="AF886" s="24"/>
      <c r="AG886" s="24"/>
      <c r="AH886" s="24"/>
      <c r="AI886" s="24"/>
      <c r="AJ886" s="24"/>
      <c r="AK886" s="24"/>
      <c r="AL886" s="24"/>
      <c r="AM886" s="24"/>
      <c r="AN886" s="24"/>
      <c r="AO886" s="24"/>
      <c r="AP886" s="24"/>
      <c r="AQ886" s="24"/>
      <c r="AR886" s="24"/>
      <c r="AS886" s="24"/>
      <c r="AT886" s="24"/>
      <c r="AU886" s="24"/>
      <c r="AV886" s="24"/>
      <c r="AW886" s="24"/>
      <c r="AX886" s="24"/>
      <c r="AY886" s="24"/>
      <c r="AZ886" s="24"/>
      <c r="BA886" s="24"/>
      <c r="BB886" s="24"/>
      <c r="BC886" s="24"/>
      <c r="BD886" s="24"/>
      <c r="BE886" s="24"/>
      <c r="BF886" s="24"/>
      <c r="BG886" s="24"/>
      <c r="BH886" s="24"/>
    </row>
    <row r="887" spans="1:60">
      <c r="A887" s="7"/>
      <c r="B887" s="8"/>
      <c r="C887" s="9"/>
      <c r="D887" s="25"/>
      <c r="E887" s="25"/>
      <c r="F887" s="25"/>
      <c r="G887" s="25"/>
      <c r="H887" s="53"/>
      <c r="I887" s="53"/>
      <c r="J887" s="53"/>
      <c r="K887" s="24"/>
      <c r="L887" s="7"/>
      <c r="M887" s="24"/>
      <c r="N887" s="24"/>
      <c r="O887" s="24"/>
      <c r="P887" s="24"/>
      <c r="Q887" s="24"/>
      <c r="R887" s="24"/>
      <c r="S887" s="24"/>
      <c r="T887" s="24"/>
      <c r="U887" s="24"/>
      <c r="V887" s="24"/>
      <c r="W887" s="24"/>
      <c r="X887" s="24"/>
      <c r="Y887" s="24"/>
      <c r="Z887" s="24"/>
      <c r="AA887" s="24"/>
      <c r="AB887" s="24"/>
      <c r="AC887" s="24"/>
      <c r="AD887" s="24"/>
      <c r="AE887" s="24"/>
      <c r="AF887" s="24"/>
      <c r="AG887" s="24"/>
      <c r="AH887" s="24"/>
      <c r="AI887" s="24"/>
      <c r="AJ887" s="24"/>
      <c r="AK887" s="24"/>
      <c r="AL887" s="24"/>
      <c r="AM887" s="24"/>
      <c r="AN887" s="24"/>
      <c r="AO887" s="24"/>
      <c r="AP887" s="24"/>
      <c r="AQ887" s="24"/>
      <c r="AR887" s="24"/>
      <c r="AS887" s="24"/>
      <c r="AT887" s="24"/>
      <c r="AU887" s="24"/>
      <c r="AV887" s="24"/>
      <c r="AW887" s="24"/>
      <c r="AX887" s="24"/>
      <c r="AY887" s="24"/>
      <c r="AZ887" s="24"/>
      <c r="BA887" s="24"/>
      <c r="BB887" s="24"/>
      <c r="BC887" s="24"/>
      <c r="BD887" s="24"/>
      <c r="BE887" s="24"/>
      <c r="BF887" s="24"/>
      <c r="BG887" s="24"/>
      <c r="BH887" s="24"/>
    </row>
    <row r="888" spans="1:60">
      <c r="A888" s="7"/>
      <c r="B888" s="8"/>
      <c r="C888" s="9"/>
      <c r="D888" s="25"/>
      <c r="E888" s="25"/>
      <c r="F888" s="25"/>
      <c r="G888" s="25"/>
      <c r="H888" s="53"/>
      <c r="I888" s="53"/>
      <c r="J888" s="53"/>
      <c r="K888" s="24"/>
      <c r="L888" s="7"/>
      <c r="M888" s="24"/>
      <c r="N888" s="24"/>
      <c r="O888" s="24"/>
      <c r="P888" s="24"/>
      <c r="Q888" s="24"/>
      <c r="R888" s="24"/>
      <c r="S888" s="24"/>
      <c r="T888" s="24"/>
      <c r="U888" s="24"/>
      <c r="V888" s="24"/>
      <c r="W888" s="24"/>
      <c r="X888" s="24"/>
      <c r="Y888" s="24"/>
      <c r="Z888" s="24"/>
      <c r="AA888" s="24"/>
      <c r="AB888" s="24"/>
      <c r="AC888" s="24"/>
      <c r="AD888" s="24"/>
      <c r="AE888" s="24"/>
      <c r="AF888" s="24"/>
      <c r="AG888" s="24"/>
      <c r="AH888" s="24"/>
      <c r="AI888" s="24"/>
      <c r="AJ888" s="24"/>
      <c r="AK888" s="24"/>
      <c r="AL888" s="24"/>
      <c r="AM888" s="24"/>
      <c r="AN888" s="24"/>
      <c r="AO888" s="24"/>
      <c r="AP888" s="24"/>
      <c r="AQ888" s="24"/>
      <c r="AR888" s="24"/>
      <c r="AS888" s="24"/>
      <c r="AT888" s="24"/>
      <c r="AU888" s="24"/>
      <c r="AV888" s="24"/>
      <c r="AW888" s="24"/>
      <c r="AX888" s="24"/>
      <c r="AY888" s="24"/>
      <c r="AZ888" s="24"/>
      <c r="BA888" s="24"/>
      <c r="BB888" s="24"/>
      <c r="BC888" s="24"/>
      <c r="BD888" s="24"/>
      <c r="BE888" s="24"/>
      <c r="BF888" s="24"/>
      <c r="BG888" s="24"/>
      <c r="BH888" s="24"/>
    </row>
    <row r="889" spans="1:60">
      <c r="A889" s="7"/>
      <c r="B889" s="8"/>
      <c r="C889" s="9"/>
      <c r="D889" s="25"/>
      <c r="E889" s="25"/>
      <c r="F889" s="25"/>
      <c r="G889" s="25"/>
      <c r="H889" s="53"/>
      <c r="I889" s="53"/>
      <c r="J889" s="53"/>
      <c r="K889" s="24"/>
      <c r="L889" s="7"/>
      <c r="M889" s="24"/>
      <c r="N889" s="24"/>
      <c r="O889" s="24"/>
      <c r="P889" s="24"/>
      <c r="Q889" s="24"/>
      <c r="R889" s="24"/>
      <c r="S889" s="24"/>
      <c r="T889" s="24"/>
      <c r="U889" s="24"/>
      <c r="V889" s="24"/>
      <c r="W889" s="24"/>
      <c r="X889" s="24"/>
      <c r="Y889" s="24"/>
      <c r="Z889" s="24"/>
      <c r="AA889" s="24"/>
      <c r="AB889" s="24"/>
      <c r="AC889" s="24"/>
      <c r="AD889" s="24"/>
      <c r="AE889" s="24"/>
      <c r="AF889" s="24"/>
      <c r="AG889" s="24"/>
      <c r="AH889" s="24"/>
      <c r="AI889" s="24"/>
      <c r="AJ889" s="24"/>
      <c r="AK889" s="24"/>
      <c r="AL889" s="24"/>
      <c r="AM889" s="24"/>
      <c r="AN889" s="24"/>
      <c r="AO889" s="24"/>
      <c r="AP889" s="24"/>
      <c r="AQ889" s="24"/>
      <c r="AR889" s="24"/>
      <c r="AS889" s="24"/>
      <c r="AT889" s="24"/>
      <c r="AU889" s="24"/>
      <c r="AV889" s="24"/>
      <c r="AW889" s="24"/>
      <c r="AX889" s="24"/>
      <c r="AY889" s="24"/>
      <c r="AZ889" s="24"/>
      <c r="BA889" s="24"/>
      <c r="BB889" s="24"/>
      <c r="BC889" s="24"/>
      <c r="BD889" s="24"/>
      <c r="BE889" s="24"/>
      <c r="BF889" s="24"/>
      <c r="BG889" s="24"/>
      <c r="BH889" s="24"/>
    </row>
    <row r="890" spans="1:60">
      <c r="A890" s="7"/>
      <c r="B890" s="8"/>
      <c r="C890" s="9"/>
      <c r="D890" s="25"/>
      <c r="E890" s="25"/>
      <c r="F890" s="25"/>
      <c r="G890" s="25"/>
      <c r="H890" s="53"/>
      <c r="I890" s="53"/>
      <c r="J890" s="53"/>
      <c r="K890" s="24"/>
      <c r="L890" s="7"/>
      <c r="M890" s="24"/>
      <c r="N890" s="24"/>
      <c r="O890" s="24"/>
      <c r="P890" s="24"/>
      <c r="Q890" s="24"/>
      <c r="R890" s="24"/>
      <c r="S890" s="24"/>
      <c r="T890" s="24"/>
      <c r="U890" s="24"/>
      <c r="V890" s="24"/>
      <c r="W890" s="24"/>
      <c r="X890" s="24"/>
      <c r="Y890" s="24"/>
      <c r="Z890" s="24"/>
      <c r="AA890" s="24"/>
      <c r="AB890" s="24"/>
      <c r="AC890" s="24"/>
      <c r="AD890" s="24"/>
      <c r="AE890" s="24"/>
      <c r="AF890" s="24"/>
      <c r="AG890" s="24"/>
      <c r="AH890" s="24"/>
      <c r="AI890" s="24"/>
      <c r="AJ890" s="24"/>
      <c r="AK890" s="24"/>
      <c r="AL890" s="24"/>
      <c r="AM890" s="24"/>
      <c r="AN890" s="24"/>
      <c r="AO890" s="24"/>
      <c r="AP890" s="24"/>
      <c r="AQ890" s="24"/>
      <c r="AR890" s="24"/>
      <c r="AS890" s="24"/>
      <c r="AT890" s="24"/>
      <c r="AU890" s="24"/>
      <c r="AV890" s="24"/>
      <c r="AW890" s="24"/>
      <c r="AX890" s="24"/>
      <c r="AY890" s="24"/>
      <c r="AZ890" s="24"/>
      <c r="BA890" s="24"/>
      <c r="BB890" s="24"/>
      <c r="BC890" s="24"/>
      <c r="BD890" s="24"/>
      <c r="BE890" s="24"/>
      <c r="BF890" s="24"/>
      <c r="BG890" s="24"/>
      <c r="BH890" s="24"/>
    </row>
    <row r="891" spans="1:60">
      <c r="A891" s="7"/>
      <c r="B891" s="8"/>
      <c r="C891" s="9"/>
      <c r="D891" s="25"/>
      <c r="E891" s="25"/>
      <c r="F891" s="25"/>
      <c r="G891" s="25"/>
      <c r="H891" s="53"/>
      <c r="I891" s="53"/>
      <c r="J891" s="53"/>
      <c r="K891" s="24"/>
      <c r="L891" s="7"/>
      <c r="M891" s="24"/>
      <c r="N891" s="24"/>
      <c r="O891" s="24"/>
      <c r="P891" s="24"/>
      <c r="Q891" s="24"/>
      <c r="R891" s="24"/>
      <c r="S891" s="24"/>
      <c r="T891" s="24"/>
      <c r="U891" s="24"/>
      <c r="V891" s="24"/>
      <c r="W891" s="24"/>
      <c r="X891" s="24"/>
      <c r="Y891" s="24"/>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c r="BC891" s="24"/>
      <c r="BD891" s="24"/>
      <c r="BE891" s="24"/>
      <c r="BF891" s="24"/>
      <c r="BG891" s="24"/>
      <c r="BH891" s="24"/>
    </row>
    <row r="892" spans="1:60">
      <c r="A892" s="7"/>
      <c r="B892" s="8"/>
      <c r="C892" s="9"/>
      <c r="D892" s="25"/>
      <c r="E892" s="25"/>
      <c r="F892" s="25"/>
      <c r="G892" s="25"/>
      <c r="H892" s="53"/>
      <c r="I892" s="53"/>
      <c r="J892" s="53"/>
      <c r="K892" s="24"/>
      <c r="L892" s="7"/>
      <c r="M892" s="24"/>
      <c r="N892" s="24"/>
      <c r="O892" s="24"/>
      <c r="P892" s="24"/>
      <c r="Q892" s="24"/>
      <c r="R892" s="24"/>
      <c r="S892" s="24"/>
      <c r="T892" s="24"/>
      <c r="U892" s="24"/>
      <c r="V892" s="24"/>
      <c r="W892" s="24"/>
      <c r="X892" s="24"/>
      <c r="Y892" s="24"/>
      <c r="Z892" s="24"/>
      <c r="AA892" s="24"/>
      <c r="AB892" s="24"/>
      <c r="AC892" s="24"/>
      <c r="AD892" s="24"/>
      <c r="AE892" s="24"/>
      <c r="AF892" s="24"/>
      <c r="AG892" s="24"/>
      <c r="AH892" s="24"/>
      <c r="AI892" s="24"/>
      <c r="AJ892" s="24"/>
      <c r="AK892" s="24"/>
      <c r="AL892" s="24"/>
      <c r="AM892" s="24"/>
      <c r="AN892" s="24"/>
      <c r="AO892" s="24"/>
      <c r="AP892" s="24"/>
      <c r="AQ892" s="24"/>
      <c r="AR892" s="24"/>
      <c r="AS892" s="24"/>
      <c r="AT892" s="24"/>
      <c r="AU892" s="24"/>
      <c r="AV892" s="24"/>
      <c r="AW892" s="24"/>
      <c r="AX892" s="24"/>
      <c r="AY892" s="24"/>
      <c r="AZ892" s="24"/>
      <c r="BA892" s="24"/>
      <c r="BB892" s="24"/>
      <c r="BC892" s="24"/>
      <c r="BD892" s="24"/>
      <c r="BE892" s="24"/>
      <c r="BF892" s="24"/>
      <c r="BG892" s="24"/>
      <c r="BH892" s="24"/>
    </row>
    <row r="893" spans="1:60">
      <c r="A893" s="7"/>
      <c r="B893" s="8"/>
      <c r="C893" s="9"/>
      <c r="D893" s="25"/>
      <c r="E893" s="25"/>
      <c r="F893" s="25"/>
      <c r="G893" s="25"/>
      <c r="H893" s="53"/>
      <c r="I893" s="53"/>
      <c r="J893" s="53"/>
      <c r="K893" s="24"/>
      <c r="L893" s="7"/>
      <c r="M893" s="24"/>
      <c r="N893" s="24"/>
      <c r="O893" s="24"/>
      <c r="P893" s="24"/>
      <c r="Q893" s="24"/>
      <c r="R893" s="24"/>
      <c r="S893" s="24"/>
      <c r="T893" s="24"/>
      <c r="U893" s="24"/>
      <c r="V893" s="24"/>
      <c r="W893" s="24"/>
      <c r="X893" s="24"/>
      <c r="Y893" s="24"/>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c r="BC893" s="24"/>
      <c r="BD893" s="24"/>
      <c r="BE893" s="24"/>
      <c r="BF893" s="24"/>
      <c r="BG893" s="24"/>
      <c r="BH893" s="24"/>
    </row>
    <row r="894" spans="1:60">
      <c r="A894" s="7"/>
      <c r="B894" s="8"/>
      <c r="C894" s="9"/>
      <c r="D894" s="25"/>
      <c r="E894" s="25"/>
      <c r="F894" s="25"/>
      <c r="G894" s="25"/>
      <c r="H894" s="53"/>
      <c r="I894" s="53"/>
      <c r="J894" s="53"/>
      <c r="K894" s="24"/>
      <c r="L894" s="7"/>
      <c r="M894" s="24"/>
      <c r="N894" s="24"/>
      <c r="O894" s="24"/>
      <c r="P894" s="24"/>
      <c r="Q894" s="24"/>
      <c r="R894" s="24"/>
      <c r="S894" s="24"/>
      <c r="T894" s="24"/>
      <c r="U894" s="24"/>
      <c r="V894" s="24"/>
      <c r="W894" s="24"/>
      <c r="X894" s="24"/>
      <c r="Y894" s="24"/>
      <c r="Z894" s="24"/>
      <c r="AA894" s="24"/>
      <c r="AB894" s="24"/>
      <c r="AC894" s="24"/>
      <c r="AD894" s="24"/>
      <c r="AE894" s="24"/>
      <c r="AF894" s="24"/>
      <c r="AG894" s="24"/>
      <c r="AH894" s="24"/>
      <c r="AI894" s="24"/>
      <c r="AJ894" s="24"/>
      <c r="AK894" s="24"/>
      <c r="AL894" s="24"/>
      <c r="AM894" s="24"/>
      <c r="AN894" s="24"/>
      <c r="AO894" s="24"/>
      <c r="AP894" s="24"/>
      <c r="AQ894" s="24"/>
      <c r="AR894" s="24"/>
      <c r="AS894" s="24"/>
      <c r="AT894" s="24"/>
      <c r="AU894" s="24"/>
      <c r="AV894" s="24"/>
      <c r="AW894" s="24"/>
      <c r="AX894" s="24"/>
      <c r="AY894" s="24"/>
      <c r="AZ894" s="24"/>
      <c r="BA894" s="24"/>
      <c r="BB894" s="24"/>
      <c r="BC894" s="24"/>
      <c r="BD894" s="24"/>
      <c r="BE894" s="24"/>
      <c r="BF894" s="24"/>
      <c r="BG894" s="24"/>
      <c r="BH894" s="24"/>
    </row>
    <row r="895" spans="1:60">
      <c r="A895" s="7"/>
      <c r="B895" s="8"/>
      <c r="C895" s="9"/>
      <c r="D895" s="25"/>
      <c r="E895" s="25"/>
      <c r="F895" s="25"/>
      <c r="G895" s="25"/>
      <c r="H895" s="53"/>
      <c r="I895" s="53"/>
      <c r="J895" s="53"/>
      <c r="K895" s="24"/>
      <c r="L895" s="7"/>
      <c r="M895" s="24"/>
      <c r="N895" s="24"/>
      <c r="O895" s="24"/>
      <c r="P895" s="24"/>
      <c r="Q895" s="24"/>
      <c r="R895" s="24"/>
      <c r="S895" s="24"/>
      <c r="T895" s="24"/>
      <c r="U895" s="24"/>
      <c r="V895" s="24"/>
      <c r="W895" s="24"/>
      <c r="X895" s="24"/>
      <c r="Y895" s="24"/>
      <c r="Z895" s="24"/>
      <c r="AA895" s="24"/>
      <c r="AB895" s="24"/>
      <c r="AC895" s="24"/>
      <c r="AD895" s="24"/>
      <c r="AE895" s="24"/>
      <c r="AF895" s="24"/>
      <c r="AG895" s="24"/>
      <c r="AH895" s="24"/>
      <c r="AI895" s="24"/>
      <c r="AJ895" s="24"/>
      <c r="AK895" s="24"/>
      <c r="AL895" s="24"/>
      <c r="AM895" s="24"/>
      <c r="AN895" s="24"/>
      <c r="AO895" s="24"/>
      <c r="AP895" s="24"/>
      <c r="AQ895" s="24"/>
      <c r="AR895" s="24"/>
      <c r="AS895" s="24"/>
      <c r="AT895" s="24"/>
      <c r="AU895" s="24"/>
      <c r="AV895" s="24"/>
      <c r="AW895" s="24"/>
      <c r="AX895" s="24"/>
      <c r="AY895" s="24"/>
      <c r="AZ895" s="24"/>
      <c r="BA895" s="24"/>
      <c r="BB895" s="24"/>
      <c r="BC895" s="24"/>
      <c r="BD895" s="24"/>
      <c r="BE895" s="24"/>
      <c r="BF895" s="24"/>
      <c r="BG895" s="24"/>
      <c r="BH895" s="24"/>
    </row>
    <row r="896" spans="1:60">
      <c r="A896" s="7"/>
      <c r="B896" s="8"/>
      <c r="C896" s="9"/>
      <c r="D896" s="25"/>
      <c r="E896" s="25"/>
      <c r="F896" s="25"/>
      <c r="G896" s="25"/>
      <c r="H896" s="53"/>
      <c r="I896" s="53"/>
      <c r="J896" s="53"/>
      <c r="K896" s="24"/>
      <c r="L896" s="7"/>
      <c r="M896" s="24"/>
      <c r="N896" s="24"/>
      <c r="O896" s="24"/>
      <c r="P896" s="24"/>
      <c r="Q896" s="24"/>
      <c r="R896" s="24"/>
      <c r="S896" s="24"/>
      <c r="T896" s="24"/>
      <c r="U896" s="24"/>
      <c r="V896" s="24"/>
      <c r="W896" s="24"/>
      <c r="X896" s="24"/>
      <c r="Y896" s="24"/>
      <c r="Z896" s="24"/>
      <c r="AA896" s="24"/>
      <c r="AB896" s="24"/>
      <c r="AC896" s="24"/>
      <c r="AD896" s="24"/>
      <c r="AE896" s="24"/>
      <c r="AF896" s="24"/>
      <c r="AG896" s="24"/>
      <c r="AH896" s="24"/>
      <c r="AI896" s="24"/>
      <c r="AJ896" s="24"/>
      <c r="AK896" s="24"/>
      <c r="AL896" s="24"/>
      <c r="AM896" s="24"/>
      <c r="AN896" s="24"/>
      <c r="AO896" s="24"/>
      <c r="AP896" s="24"/>
      <c r="AQ896" s="24"/>
      <c r="AR896" s="24"/>
      <c r="AS896" s="24"/>
      <c r="AT896" s="24"/>
      <c r="AU896" s="24"/>
      <c r="AV896" s="24"/>
      <c r="AW896" s="24"/>
      <c r="AX896" s="24"/>
      <c r="AY896" s="24"/>
      <c r="AZ896" s="24"/>
      <c r="BA896" s="24"/>
      <c r="BB896" s="24"/>
      <c r="BC896" s="24"/>
      <c r="BD896" s="24"/>
      <c r="BE896" s="24"/>
      <c r="BF896" s="24"/>
      <c r="BG896" s="24"/>
      <c r="BH896" s="24"/>
    </row>
    <row r="897" spans="1:60">
      <c r="A897" s="7"/>
      <c r="B897" s="8"/>
      <c r="C897" s="9"/>
      <c r="D897" s="25"/>
      <c r="E897" s="25"/>
      <c r="F897" s="25"/>
      <c r="G897" s="25"/>
      <c r="H897" s="53"/>
      <c r="I897" s="53"/>
      <c r="J897" s="53"/>
      <c r="K897" s="24"/>
      <c r="L897" s="7"/>
      <c r="M897" s="24"/>
      <c r="N897" s="24"/>
      <c r="O897" s="24"/>
      <c r="P897" s="24"/>
      <c r="Q897" s="24"/>
      <c r="R897" s="24"/>
      <c r="S897" s="24"/>
      <c r="T897" s="24"/>
      <c r="U897" s="24"/>
      <c r="V897" s="24"/>
      <c r="W897" s="24"/>
      <c r="X897" s="24"/>
      <c r="Y897" s="24"/>
      <c r="Z897" s="24"/>
      <c r="AA897" s="24"/>
      <c r="AB897" s="24"/>
      <c r="AC897" s="24"/>
      <c r="AD897" s="24"/>
      <c r="AE897" s="24"/>
      <c r="AF897" s="24"/>
      <c r="AG897" s="24"/>
      <c r="AH897" s="24"/>
      <c r="AI897" s="24"/>
      <c r="AJ897" s="24"/>
      <c r="AK897" s="24"/>
      <c r="AL897" s="24"/>
      <c r="AM897" s="24"/>
      <c r="AN897" s="24"/>
      <c r="AO897" s="24"/>
      <c r="AP897" s="24"/>
      <c r="AQ897" s="24"/>
      <c r="AR897" s="24"/>
      <c r="AS897" s="24"/>
      <c r="AT897" s="24"/>
      <c r="AU897" s="24"/>
      <c r="AV897" s="24"/>
      <c r="AW897" s="24"/>
      <c r="AX897" s="24"/>
      <c r="AY897" s="24"/>
      <c r="AZ897" s="24"/>
      <c r="BA897" s="24"/>
      <c r="BB897" s="24"/>
      <c r="BC897" s="24"/>
      <c r="BD897" s="24"/>
      <c r="BE897" s="24"/>
      <c r="BF897" s="24"/>
      <c r="BG897" s="24"/>
      <c r="BH897" s="24"/>
    </row>
    <row r="898" spans="1:60">
      <c r="A898" s="7"/>
      <c r="B898" s="8"/>
      <c r="C898" s="9"/>
      <c r="D898" s="25"/>
      <c r="E898" s="25"/>
      <c r="F898" s="25"/>
      <c r="G898" s="25"/>
      <c r="H898" s="53"/>
      <c r="I898" s="53"/>
      <c r="J898" s="53"/>
      <c r="K898" s="24"/>
      <c r="L898" s="7"/>
      <c r="M898" s="24"/>
      <c r="N898" s="24"/>
      <c r="O898" s="24"/>
      <c r="P898" s="24"/>
      <c r="Q898" s="24"/>
      <c r="R898" s="24"/>
      <c r="S898" s="24"/>
      <c r="T898" s="24"/>
      <c r="U898" s="24"/>
      <c r="V898" s="24"/>
      <c r="W898" s="24"/>
      <c r="X898" s="24"/>
      <c r="Y898" s="24"/>
      <c r="Z898" s="24"/>
      <c r="AA898" s="24"/>
      <c r="AB898" s="24"/>
      <c r="AC898" s="24"/>
      <c r="AD898" s="24"/>
      <c r="AE898" s="24"/>
      <c r="AF898" s="24"/>
      <c r="AG898" s="24"/>
      <c r="AH898" s="24"/>
      <c r="AI898" s="24"/>
      <c r="AJ898" s="24"/>
      <c r="AK898" s="24"/>
      <c r="AL898" s="24"/>
      <c r="AM898" s="24"/>
      <c r="AN898" s="24"/>
      <c r="AO898" s="24"/>
      <c r="AP898" s="24"/>
      <c r="AQ898" s="24"/>
      <c r="AR898" s="24"/>
      <c r="AS898" s="24"/>
      <c r="AT898" s="24"/>
      <c r="AU898" s="24"/>
      <c r="AV898" s="24"/>
      <c r="AW898" s="24"/>
      <c r="AX898" s="24"/>
      <c r="AY898" s="24"/>
      <c r="AZ898" s="24"/>
      <c r="BA898" s="24"/>
      <c r="BB898" s="24"/>
      <c r="BC898" s="24"/>
      <c r="BD898" s="24"/>
      <c r="BE898" s="24"/>
      <c r="BF898" s="24"/>
      <c r="BG898" s="24"/>
      <c r="BH898" s="24"/>
    </row>
    <row r="899" spans="1:60">
      <c r="A899" s="7"/>
      <c r="B899" s="8"/>
      <c r="C899" s="9"/>
      <c r="D899" s="25"/>
      <c r="E899" s="25"/>
      <c r="F899" s="25"/>
      <c r="G899" s="25"/>
      <c r="H899" s="53"/>
      <c r="I899" s="53"/>
      <c r="J899" s="53"/>
      <c r="K899" s="24"/>
      <c r="L899" s="7"/>
      <c r="M899" s="24"/>
      <c r="N899" s="24"/>
      <c r="O899" s="24"/>
      <c r="P899" s="24"/>
      <c r="Q899" s="24"/>
      <c r="R899" s="24"/>
      <c r="S899" s="24"/>
      <c r="T899" s="24"/>
      <c r="U899" s="24"/>
      <c r="V899" s="24"/>
      <c r="W899" s="24"/>
      <c r="X899" s="24"/>
      <c r="Y899" s="24"/>
      <c r="Z899" s="24"/>
      <c r="AA899" s="24"/>
      <c r="AB899" s="24"/>
      <c r="AC899" s="24"/>
      <c r="AD899" s="24"/>
      <c r="AE899" s="24"/>
      <c r="AF899" s="24"/>
      <c r="AG899" s="24"/>
      <c r="AH899" s="24"/>
      <c r="AI899" s="24"/>
      <c r="AJ899" s="24"/>
      <c r="AK899" s="24"/>
      <c r="AL899" s="24"/>
      <c r="AM899" s="24"/>
      <c r="AN899" s="24"/>
      <c r="AO899" s="24"/>
      <c r="AP899" s="24"/>
      <c r="AQ899" s="24"/>
      <c r="AR899" s="24"/>
      <c r="AS899" s="24"/>
      <c r="AT899" s="24"/>
      <c r="AU899" s="24"/>
      <c r="AV899" s="24"/>
      <c r="AW899" s="24"/>
      <c r="AX899" s="24"/>
      <c r="AY899" s="24"/>
      <c r="AZ899" s="24"/>
      <c r="BA899" s="24"/>
      <c r="BB899" s="24"/>
      <c r="BC899" s="24"/>
      <c r="BD899" s="24"/>
      <c r="BE899" s="24"/>
      <c r="BF899" s="24"/>
      <c r="BG899" s="24"/>
      <c r="BH899" s="24"/>
    </row>
    <row r="900" spans="1:60">
      <c r="A900" s="7"/>
      <c r="B900" s="8"/>
      <c r="C900" s="9"/>
      <c r="D900" s="25"/>
      <c r="E900" s="25"/>
      <c r="F900" s="25"/>
      <c r="G900" s="25"/>
      <c r="H900" s="53"/>
      <c r="I900" s="53"/>
      <c r="J900" s="53"/>
      <c r="K900" s="24"/>
      <c r="L900" s="7"/>
      <c r="M900" s="24"/>
      <c r="N900" s="24"/>
      <c r="O900" s="24"/>
      <c r="P900" s="24"/>
      <c r="Q900" s="24"/>
      <c r="R900" s="24"/>
      <c r="S900" s="24"/>
      <c r="T900" s="24"/>
      <c r="U900" s="24"/>
      <c r="V900" s="24"/>
      <c r="W900" s="24"/>
      <c r="X900" s="24"/>
      <c r="Y900" s="24"/>
      <c r="Z900" s="24"/>
      <c r="AA900" s="24"/>
      <c r="AB900" s="24"/>
      <c r="AC900" s="24"/>
      <c r="AD900" s="24"/>
      <c r="AE900" s="24"/>
      <c r="AF900" s="24"/>
      <c r="AG900" s="24"/>
      <c r="AH900" s="24"/>
      <c r="AI900" s="24"/>
      <c r="AJ900" s="24"/>
      <c r="AK900" s="24"/>
      <c r="AL900" s="24"/>
      <c r="AM900" s="24"/>
      <c r="AN900" s="24"/>
      <c r="AO900" s="24"/>
      <c r="AP900" s="24"/>
      <c r="AQ900" s="24"/>
      <c r="AR900" s="24"/>
      <c r="AS900" s="24"/>
      <c r="AT900" s="24"/>
      <c r="AU900" s="24"/>
      <c r="AV900" s="24"/>
      <c r="AW900" s="24"/>
      <c r="AX900" s="24"/>
      <c r="AY900" s="24"/>
      <c r="AZ900" s="24"/>
      <c r="BA900" s="24"/>
      <c r="BB900" s="24"/>
      <c r="BC900" s="24"/>
      <c r="BD900" s="24"/>
      <c r="BE900" s="24"/>
      <c r="BF900" s="24"/>
      <c r="BG900" s="24"/>
      <c r="BH900" s="24"/>
    </row>
    <row r="901" spans="1:60">
      <c r="A901" s="7"/>
      <c r="B901" s="8"/>
      <c r="C901" s="9"/>
      <c r="D901" s="25"/>
      <c r="E901" s="25"/>
      <c r="F901" s="25"/>
      <c r="G901" s="25"/>
      <c r="H901" s="53"/>
      <c r="I901" s="53"/>
      <c r="J901" s="53"/>
      <c r="K901" s="24"/>
      <c r="L901" s="7"/>
      <c r="M901" s="24"/>
      <c r="N901" s="24"/>
      <c r="O901" s="24"/>
      <c r="P901" s="24"/>
      <c r="Q901" s="24"/>
      <c r="R901" s="24"/>
      <c r="S901" s="24"/>
      <c r="T901" s="24"/>
      <c r="U901" s="24"/>
      <c r="V901" s="24"/>
      <c r="W901" s="24"/>
      <c r="X901" s="24"/>
      <c r="Y901" s="24"/>
      <c r="Z901" s="24"/>
      <c r="AA901" s="24"/>
      <c r="AB901" s="24"/>
      <c r="AC901" s="24"/>
      <c r="AD901" s="24"/>
      <c r="AE901" s="24"/>
      <c r="AF901" s="24"/>
      <c r="AG901" s="24"/>
      <c r="AH901" s="24"/>
      <c r="AI901" s="24"/>
      <c r="AJ901" s="24"/>
      <c r="AK901" s="24"/>
      <c r="AL901" s="24"/>
      <c r="AM901" s="24"/>
      <c r="AN901" s="24"/>
      <c r="AO901" s="24"/>
      <c r="AP901" s="24"/>
      <c r="AQ901" s="24"/>
      <c r="AR901" s="24"/>
      <c r="AS901" s="24"/>
      <c r="AT901" s="24"/>
      <c r="AU901" s="24"/>
      <c r="AV901" s="24"/>
      <c r="AW901" s="24"/>
      <c r="AX901" s="24"/>
      <c r="AY901" s="24"/>
      <c r="AZ901" s="24"/>
      <c r="BA901" s="24"/>
      <c r="BB901" s="24"/>
      <c r="BC901" s="24"/>
      <c r="BD901" s="24"/>
      <c r="BE901" s="24"/>
      <c r="BF901" s="24"/>
      <c r="BG901" s="24"/>
      <c r="BH901" s="24"/>
    </row>
    <row r="902" spans="1:60">
      <c r="A902" s="7"/>
      <c r="B902" s="8"/>
      <c r="C902" s="9"/>
      <c r="D902" s="25"/>
      <c r="E902" s="25"/>
      <c r="F902" s="25"/>
      <c r="G902" s="25"/>
      <c r="H902" s="53"/>
      <c r="I902" s="53"/>
      <c r="J902" s="53"/>
      <c r="K902" s="24"/>
      <c r="L902" s="7"/>
      <c r="M902" s="24"/>
      <c r="N902" s="24"/>
      <c r="O902" s="24"/>
      <c r="P902" s="24"/>
      <c r="Q902" s="24"/>
      <c r="R902" s="24"/>
      <c r="S902" s="24"/>
      <c r="T902" s="24"/>
      <c r="U902" s="24"/>
      <c r="V902" s="24"/>
      <c r="W902" s="24"/>
      <c r="X902" s="24"/>
      <c r="Y902" s="24"/>
      <c r="Z902" s="24"/>
      <c r="AA902" s="24"/>
      <c r="AB902" s="24"/>
      <c r="AC902" s="24"/>
      <c r="AD902" s="24"/>
      <c r="AE902" s="24"/>
      <c r="AF902" s="24"/>
      <c r="AG902" s="24"/>
      <c r="AH902" s="24"/>
      <c r="AI902" s="24"/>
      <c r="AJ902" s="24"/>
      <c r="AK902" s="24"/>
      <c r="AL902" s="24"/>
      <c r="AM902" s="24"/>
      <c r="AN902" s="24"/>
      <c r="AO902" s="24"/>
      <c r="AP902" s="24"/>
      <c r="AQ902" s="24"/>
      <c r="AR902" s="24"/>
      <c r="AS902" s="24"/>
      <c r="AT902" s="24"/>
      <c r="AU902" s="24"/>
      <c r="AV902" s="24"/>
      <c r="AW902" s="24"/>
      <c r="AX902" s="24"/>
      <c r="AY902" s="24"/>
      <c r="AZ902" s="24"/>
      <c r="BA902" s="24"/>
      <c r="BB902" s="24"/>
      <c r="BC902" s="24"/>
      <c r="BD902" s="24"/>
      <c r="BE902" s="24"/>
      <c r="BF902" s="24"/>
      <c r="BG902" s="24"/>
      <c r="BH902" s="24"/>
    </row>
    <row r="903" spans="1:60">
      <c r="A903" s="7"/>
      <c r="B903" s="8"/>
      <c r="C903" s="9"/>
      <c r="D903" s="25"/>
      <c r="E903" s="25"/>
      <c r="F903" s="25"/>
      <c r="G903" s="25"/>
      <c r="H903" s="53"/>
      <c r="I903" s="53"/>
      <c r="J903" s="53"/>
      <c r="K903" s="24"/>
      <c r="L903" s="7"/>
      <c r="M903" s="24"/>
      <c r="N903" s="24"/>
      <c r="O903" s="24"/>
      <c r="P903" s="24"/>
      <c r="Q903" s="24"/>
      <c r="R903" s="24"/>
      <c r="S903" s="24"/>
      <c r="T903" s="24"/>
      <c r="U903" s="24"/>
      <c r="V903" s="24"/>
      <c r="W903" s="24"/>
      <c r="X903" s="24"/>
      <c r="Y903" s="24"/>
      <c r="Z903" s="24"/>
      <c r="AA903" s="24"/>
      <c r="AB903" s="24"/>
      <c r="AC903" s="24"/>
      <c r="AD903" s="24"/>
      <c r="AE903" s="24"/>
      <c r="AF903" s="24"/>
      <c r="AG903" s="24"/>
      <c r="AH903" s="24"/>
      <c r="AI903" s="24"/>
      <c r="AJ903" s="24"/>
      <c r="AK903" s="24"/>
      <c r="AL903" s="24"/>
      <c r="AM903" s="24"/>
      <c r="AN903" s="24"/>
      <c r="AO903" s="24"/>
      <c r="AP903" s="24"/>
      <c r="AQ903" s="24"/>
      <c r="AR903" s="24"/>
      <c r="AS903" s="24"/>
      <c r="AT903" s="24"/>
      <c r="AU903" s="24"/>
      <c r="AV903" s="24"/>
      <c r="AW903" s="24"/>
      <c r="AX903" s="24"/>
      <c r="AY903" s="24"/>
      <c r="AZ903" s="24"/>
      <c r="BA903" s="24"/>
      <c r="BB903" s="24"/>
      <c r="BC903" s="24"/>
      <c r="BD903" s="24"/>
      <c r="BE903" s="24"/>
      <c r="BF903" s="24"/>
      <c r="BG903" s="24"/>
      <c r="BH903" s="24"/>
    </row>
    <row r="904" spans="1:60">
      <c r="A904" s="7"/>
      <c r="B904" s="8"/>
      <c r="C904" s="9"/>
      <c r="D904" s="25"/>
      <c r="E904" s="25"/>
      <c r="F904" s="25"/>
      <c r="G904" s="25"/>
      <c r="H904" s="53"/>
      <c r="I904" s="53"/>
      <c r="J904" s="53"/>
      <c r="K904" s="24"/>
      <c r="L904" s="7"/>
      <c r="M904" s="24"/>
      <c r="N904" s="24"/>
      <c r="O904" s="24"/>
      <c r="P904" s="24"/>
      <c r="Q904" s="24"/>
      <c r="R904" s="24"/>
      <c r="S904" s="24"/>
      <c r="T904" s="24"/>
      <c r="U904" s="24"/>
      <c r="V904" s="24"/>
      <c r="W904" s="24"/>
      <c r="X904" s="24"/>
      <c r="Y904" s="24"/>
      <c r="Z904" s="24"/>
      <c r="AA904" s="24"/>
      <c r="AB904" s="24"/>
      <c r="AC904" s="24"/>
      <c r="AD904" s="24"/>
      <c r="AE904" s="24"/>
      <c r="AF904" s="24"/>
      <c r="AG904" s="24"/>
      <c r="AH904" s="24"/>
      <c r="AI904" s="24"/>
      <c r="AJ904" s="24"/>
      <c r="AK904" s="24"/>
      <c r="AL904" s="24"/>
      <c r="AM904" s="24"/>
      <c r="AN904" s="24"/>
      <c r="AO904" s="24"/>
      <c r="AP904" s="24"/>
      <c r="AQ904" s="24"/>
      <c r="AR904" s="24"/>
      <c r="AS904" s="24"/>
      <c r="AT904" s="24"/>
      <c r="AU904" s="24"/>
      <c r="AV904" s="24"/>
      <c r="AW904" s="24"/>
      <c r="AX904" s="24"/>
      <c r="AY904" s="24"/>
      <c r="AZ904" s="24"/>
      <c r="BA904" s="24"/>
      <c r="BB904" s="24"/>
      <c r="BC904" s="24"/>
      <c r="BD904" s="24"/>
      <c r="BE904" s="24"/>
      <c r="BF904" s="24"/>
      <c r="BG904" s="24"/>
      <c r="BH904" s="24"/>
    </row>
    <row r="905" spans="1:60">
      <c r="A905" s="7"/>
      <c r="B905" s="8"/>
      <c r="C905" s="9"/>
      <c r="D905" s="25"/>
      <c r="E905" s="25"/>
      <c r="F905" s="25"/>
      <c r="G905" s="25"/>
      <c r="H905" s="53"/>
      <c r="I905" s="53"/>
      <c r="J905" s="53"/>
      <c r="K905" s="24"/>
      <c r="L905" s="7"/>
      <c r="M905" s="24"/>
      <c r="N905" s="24"/>
      <c r="O905" s="24"/>
      <c r="P905" s="24"/>
      <c r="Q905" s="24"/>
      <c r="R905" s="24"/>
      <c r="S905" s="24"/>
      <c r="T905" s="24"/>
      <c r="U905" s="24"/>
      <c r="V905" s="24"/>
      <c r="W905" s="24"/>
      <c r="X905" s="24"/>
      <c r="Y905" s="24"/>
      <c r="Z905" s="24"/>
      <c r="AA905" s="24"/>
      <c r="AB905" s="24"/>
      <c r="AC905" s="24"/>
      <c r="AD905" s="24"/>
      <c r="AE905" s="24"/>
      <c r="AF905" s="24"/>
      <c r="AG905" s="24"/>
      <c r="AH905" s="24"/>
      <c r="AI905" s="24"/>
      <c r="AJ905" s="24"/>
      <c r="AK905" s="24"/>
      <c r="AL905" s="24"/>
      <c r="AM905" s="24"/>
      <c r="AN905" s="24"/>
      <c r="AO905" s="24"/>
      <c r="AP905" s="24"/>
      <c r="AQ905" s="24"/>
      <c r="AR905" s="24"/>
      <c r="AS905" s="24"/>
      <c r="AT905" s="24"/>
      <c r="AU905" s="24"/>
      <c r="AV905" s="24"/>
      <c r="AW905" s="24"/>
      <c r="AX905" s="24"/>
      <c r="AY905" s="24"/>
      <c r="AZ905" s="24"/>
      <c r="BA905" s="24"/>
      <c r="BB905" s="24"/>
      <c r="BC905" s="24"/>
      <c r="BD905" s="24"/>
      <c r="BE905" s="24"/>
      <c r="BF905" s="24"/>
      <c r="BG905" s="24"/>
      <c r="BH905" s="24"/>
    </row>
    <row r="906" spans="1:60">
      <c r="A906" s="7"/>
      <c r="B906" s="8"/>
      <c r="C906" s="9"/>
      <c r="D906" s="25"/>
      <c r="E906" s="25"/>
      <c r="F906" s="25"/>
      <c r="G906" s="25"/>
      <c r="H906" s="53"/>
      <c r="I906" s="53"/>
      <c r="J906" s="53"/>
      <c r="K906" s="24"/>
      <c r="L906" s="7"/>
      <c r="M906" s="24"/>
      <c r="N906" s="24"/>
      <c r="O906" s="24"/>
      <c r="P906" s="24"/>
      <c r="Q906" s="24"/>
      <c r="R906" s="24"/>
      <c r="S906" s="24"/>
      <c r="T906" s="24"/>
      <c r="U906" s="24"/>
      <c r="V906" s="24"/>
      <c r="W906" s="24"/>
      <c r="X906" s="24"/>
      <c r="Y906" s="24"/>
      <c r="Z906" s="24"/>
      <c r="AA906" s="24"/>
      <c r="AB906" s="24"/>
      <c r="AC906" s="24"/>
      <c r="AD906" s="24"/>
      <c r="AE906" s="24"/>
      <c r="AF906" s="24"/>
      <c r="AG906" s="24"/>
      <c r="AH906" s="24"/>
      <c r="AI906" s="24"/>
      <c r="AJ906" s="24"/>
      <c r="AK906" s="24"/>
      <c r="AL906" s="24"/>
      <c r="AM906" s="24"/>
      <c r="AN906" s="24"/>
      <c r="AO906" s="24"/>
      <c r="AP906" s="24"/>
      <c r="AQ906" s="24"/>
      <c r="AR906" s="24"/>
      <c r="AS906" s="24"/>
      <c r="AT906" s="24"/>
      <c r="AU906" s="24"/>
      <c r="AV906" s="24"/>
      <c r="AW906" s="24"/>
      <c r="AX906" s="24"/>
      <c r="AY906" s="24"/>
      <c r="AZ906" s="24"/>
      <c r="BA906" s="24"/>
      <c r="BB906" s="24"/>
      <c r="BC906" s="24"/>
      <c r="BD906" s="24"/>
      <c r="BE906" s="24"/>
      <c r="BF906" s="24"/>
      <c r="BG906" s="24"/>
      <c r="BH906" s="24"/>
    </row>
    <row r="907" spans="1:60">
      <c r="A907" s="7"/>
      <c r="B907" s="8"/>
      <c r="C907" s="9"/>
      <c r="D907" s="25"/>
      <c r="E907" s="25"/>
      <c r="F907" s="25"/>
      <c r="G907" s="25"/>
      <c r="H907" s="53"/>
      <c r="I907" s="53"/>
      <c r="J907" s="53"/>
      <c r="K907" s="24"/>
      <c r="L907" s="7"/>
      <c r="M907" s="24"/>
      <c r="N907" s="24"/>
      <c r="O907" s="24"/>
      <c r="P907" s="24"/>
      <c r="Q907" s="24"/>
      <c r="R907" s="24"/>
      <c r="S907" s="24"/>
      <c r="T907" s="24"/>
      <c r="U907" s="24"/>
      <c r="V907" s="24"/>
      <c r="W907" s="24"/>
      <c r="X907" s="24"/>
      <c r="Y907" s="24"/>
      <c r="Z907" s="24"/>
      <c r="AA907" s="24"/>
      <c r="AB907" s="24"/>
      <c r="AC907" s="24"/>
      <c r="AD907" s="24"/>
      <c r="AE907" s="24"/>
      <c r="AF907" s="24"/>
      <c r="AG907" s="24"/>
      <c r="AH907" s="24"/>
      <c r="AI907" s="24"/>
      <c r="AJ907" s="24"/>
      <c r="AK907" s="24"/>
      <c r="AL907" s="24"/>
      <c r="AM907" s="24"/>
      <c r="AN907" s="24"/>
      <c r="AO907" s="24"/>
      <c r="AP907" s="24"/>
      <c r="AQ907" s="24"/>
      <c r="AR907" s="24"/>
      <c r="AS907" s="24"/>
      <c r="AT907" s="24"/>
      <c r="AU907" s="24"/>
      <c r="AV907" s="24"/>
      <c r="AW907" s="24"/>
      <c r="AX907" s="24"/>
      <c r="AY907" s="24"/>
      <c r="AZ907" s="24"/>
      <c r="BA907" s="24"/>
      <c r="BB907" s="24"/>
      <c r="BC907" s="24"/>
      <c r="BD907" s="24"/>
      <c r="BE907" s="24"/>
      <c r="BF907" s="24"/>
      <c r="BG907" s="24"/>
      <c r="BH907" s="24"/>
    </row>
    <row r="908" spans="1:60">
      <c r="A908" s="7"/>
      <c r="B908" s="8"/>
      <c r="C908" s="9"/>
      <c r="D908" s="25"/>
      <c r="E908" s="25"/>
      <c r="F908" s="25"/>
      <c r="G908" s="25"/>
      <c r="H908" s="53"/>
      <c r="I908" s="53"/>
      <c r="J908" s="53"/>
      <c r="K908" s="24"/>
      <c r="L908" s="7"/>
      <c r="M908" s="24"/>
      <c r="N908" s="24"/>
      <c r="O908" s="24"/>
      <c r="P908" s="24"/>
      <c r="Q908" s="24"/>
      <c r="R908" s="24"/>
      <c r="S908" s="24"/>
      <c r="T908" s="24"/>
      <c r="U908" s="24"/>
      <c r="V908" s="24"/>
      <c r="W908" s="24"/>
      <c r="X908" s="24"/>
      <c r="Y908" s="24"/>
      <c r="Z908" s="24"/>
      <c r="AA908" s="24"/>
      <c r="AB908" s="24"/>
      <c r="AC908" s="24"/>
      <c r="AD908" s="24"/>
      <c r="AE908" s="24"/>
      <c r="AF908" s="24"/>
      <c r="AG908" s="24"/>
      <c r="AH908" s="24"/>
      <c r="AI908" s="24"/>
      <c r="AJ908" s="24"/>
      <c r="AK908" s="24"/>
      <c r="AL908" s="24"/>
      <c r="AM908" s="24"/>
      <c r="AN908" s="24"/>
      <c r="AO908" s="24"/>
      <c r="AP908" s="24"/>
      <c r="AQ908" s="24"/>
      <c r="AR908" s="24"/>
      <c r="AS908" s="24"/>
      <c r="AT908" s="24"/>
      <c r="AU908" s="24"/>
      <c r="AV908" s="24"/>
      <c r="AW908" s="24"/>
      <c r="AX908" s="24"/>
      <c r="AY908" s="24"/>
      <c r="AZ908" s="24"/>
      <c r="BA908" s="24"/>
      <c r="BB908" s="24"/>
      <c r="BC908" s="24"/>
      <c r="BD908" s="24"/>
      <c r="BE908" s="24"/>
      <c r="BF908" s="24"/>
      <c r="BG908" s="24"/>
      <c r="BH908" s="24"/>
    </row>
    <row r="909" spans="1:60">
      <c r="A909" s="7"/>
      <c r="B909" s="8"/>
      <c r="C909" s="9"/>
      <c r="D909" s="25"/>
      <c r="E909" s="25"/>
      <c r="F909" s="25"/>
      <c r="G909" s="25"/>
      <c r="H909" s="53"/>
      <c r="I909" s="53"/>
      <c r="J909" s="53"/>
      <c r="K909" s="24"/>
      <c r="L909" s="7"/>
      <c r="M909" s="24"/>
      <c r="N909" s="24"/>
      <c r="O909" s="24"/>
      <c r="P909" s="24"/>
      <c r="Q909" s="24"/>
      <c r="R909" s="24"/>
      <c r="S909" s="24"/>
      <c r="T909" s="24"/>
      <c r="U909" s="24"/>
      <c r="V909" s="24"/>
      <c r="W909" s="24"/>
      <c r="X909" s="24"/>
      <c r="Y909" s="24"/>
      <c r="Z909" s="24"/>
      <c r="AA909" s="24"/>
      <c r="AB909" s="24"/>
      <c r="AC909" s="24"/>
      <c r="AD909" s="24"/>
      <c r="AE909" s="24"/>
      <c r="AF909" s="24"/>
      <c r="AG909" s="24"/>
      <c r="AH909" s="24"/>
      <c r="AI909" s="24"/>
      <c r="AJ909" s="24"/>
      <c r="AK909" s="24"/>
      <c r="AL909" s="24"/>
      <c r="AM909" s="24"/>
      <c r="AN909" s="24"/>
      <c r="AO909" s="24"/>
      <c r="AP909" s="24"/>
      <c r="AQ909" s="24"/>
      <c r="AR909" s="24"/>
      <c r="AS909" s="24"/>
      <c r="AT909" s="24"/>
      <c r="AU909" s="24"/>
      <c r="AV909" s="24"/>
      <c r="AW909" s="24"/>
      <c r="AX909" s="24"/>
      <c r="AY909" s="24"/>
      <c r="AZ909" s="24"/>
      <c r="BA909" s="24"/>
      <c r="BB909" s="24"/>
      <c r="BC909" s="24"/>
      <c r="BD909" s="24"/>
      <c r="BE909" s="24"/>
      <c r="BF909" s="24"/>
      <c r="BG909" s="24"/>
      <c r="BH909" s="24"/>
    </row>
    <row r="910" spans="1:60">
      <c r="A910" s="7"/>
      <c r="B910" s="8"/>
      <c r="C910" s="9"/>
      <c r="D910" s="25"/>
      <c r="E910" s="25"/>
      <c r="F910" s="25"/>
      <c r="G910" s="25"/>
      <c r="H910" s="53"/>
      <c r="I910" s="53"/>
      <c r="J910" s="53"/>
      <c r="K910" s="24"/>
      <c r="L910" s="7"/>
      <c r="M910" s="24"/>
      <c r="N910" s="24"/>
      <c r="O910" s="24"/>
      <c r="P910" s="24"/>
      <c r="Q910" s="24"/>
      <c r="R910" s="24"/>
      <c r="S910" s="24"/>
      <c r="T910" s="24"/>
      <c r="U910" s="24"/>
      <c r="V910" s="24"/>
      <c r="W910" s="24"/>
      <c r="X910" s="24"/>
      <c r="Y910" s="24"/>
      <c r="Z910" s="24"/>
      <c r="AA910" s="24"/>
      <c r="AB910" s="24"/>
      <c r="AC910" s="24"/>
      <c r="AD910" s="24"/>
      <c r="AE910" s="24"/>
      <c r="AF910" s="24"/>
      <c r="AG910" s="24"/>
      <c r="AH910" s="24"/>
      <c r="AI910" s="24"/>
      <c r="AJ910" s="24"/>
      <c r="AK910" s="24"/>
      <c r="AL910" s="24"/>
      <c r="AM910" s="24"/>
      <c r="AN910" s="24"/>
      <c r="AO910" s="24"/>
      <c r="AP910" s="24"/>
      <c r="AQ910" s="24"/>
      <c r="AR910" s="24"/>
      <c r="AS910" s="24"/>
      <c r="AT910" s="24"/>
      <c r="AU910" s="24"/>
      <c r="AV910" s="24"/>
      <c r="AW910" s="24"/>
      <c r="AX910" s="24"/>
      <c r="AY910" s="24"/>
      <c r="AZ910" s="24"/>
      <c r="BA910" s="24"/>
      <c r="BB910" s="24"/>
      <c r="BC910" s="24"/>
      <c r="BD910" s="24"/>
      <c r="BE910" s="24"/>
      <c r="BF910" s="24"/>
      <c r="BG910" s="24"/>
      <c r="BH910" s="24"/>
    </row>
    <row r="911" spans="1:60">
      <c r="A911" s="7"/>
      <c r="B911" s="8"/>
      <c r="C911" s="9"/>
      <c r="D911" s="25"/>
      <c r="E911" s="25"/>
      <c r="F911" s="25"/>
      <c r="G911" s="25"/>
      <c r="H911" s="53"/>
      <c r="I911" s="53"/>
      <c r="J911" s="53"/>
      <c r="K911" s="24"/>
      <c r="L911" s="7"/>
      <c r="M911" s="24"/>
      <c r="N911" s="24"/>
      <c r="O911" s="24"/>
      <c r="P911" s="24"/>
      <c r="Q911" s="24"/>
      <c r="R911" s="24"/>
      <c r="S911" s="24"/>
      <c r="T911" s="24"/>
      <c r="U911" s="24"/>
      <c r="V911" s="24"/>
      <c r="W911" s="24"/>
      <c r="X911" s="24"/>
      <c r="Y911" s="24"/>
      <c r="Z911" s="24"/>
      <c r="AA911" s="24"/>
      <c r="AB911" s="24"/>
      <c r="AC911" s="24"/>
      <c r="AD911" s="24"/>
      <c r="AE911" s="24"/>
      <c r="AF911" s="24"/>
      <c r="AG911" s="24"/>
      <c r="AH911" s="24"/>
      <c r="AI911" s="24"/>
      <c r="AJ911" s="24"/>
      <c r="AK911" s="24"/>
      <c r="AL911" s="24"/>
      <c r="AM911" s="24"/>
      <c r="AN911" s="24"/>
      <c r="AO911" s="24"/>
      <c r="AP911" s="24"/>
      <c r="AQ911" s="24"/>
      <c r="AR911" s="24"/>
      <c r="AS911" s="24"/>
      <c r="AT911" s="24"/>
      <c r="AU911" s="24"/>
      <c r="AV911" s="24"/>
      <c r="AW911" s="24"/>
      <c r="AX911" s="24"/>
      <c r="AY911" s="24"/>
      <c r="AZ911" s="24"/>
      <c r="BA911" s="24"/>
      <c r="BB911" s="24"/>
      <c r="BC911" s="24"/>
      <c r="BD911" s="24"/>
      <c r="BE911" s="24"/>
      <c r="BF911" s="24"/>
      <c r="BG911" s="24"/>
      <c r="BH911" s="24"/>
    </row>
    <row r="912" spans="1:60">
      <c r="A912" s="7"/>
      <c r="B912" s="8"/>
      <c r="C912" s="9"/>
      <c r="D912" s="25"/>
      <c r="E912" s="25"/>
      <c r="F912" s="25"/>
      <c r="G912" s="25"/>
      <c r="H912" s="53"/>
      <c r="I912" s="53"/>
      <c r="J912" s="53"/>
      <c r="K912" s="24"/>
      <c r="L912" s="7"/>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24"/>
      <c r="BD912" s="24"/>
      <c r="BE912" s="24"/>
      <c r="BF912" s="24"/>
      <c r="BG912" s="24"/>
      <c r="BH912" s="24"/>
    </row>
    <row r="913" spans="1:60">
      <c r="A913" s="7"/>
      <c r="B913" s="8"/>
      <c r="C913" s="9"/>
      <c r="D913" s="25"/>
      <c r="E913" s="25"/>
      <c r="F913" s="25"/>
      <c r="G913" s="25"/>
      <c r="H913" s="53"/>
      <c r="I913" s="53"/>
      <c r="J913" s="53"/>
      <c r="K913" s="24"/>
      <c r="L913" s="7"/>
      <c r="M913" s="24"/>
      <c r="N913" s="24"/>
      <c r="O913" s="24"/>
      <c r="P913" s="24"/>
      <c r="Q913" s="24"/>
      <c r="R913" s="24"/>
      <c r="S913" s="24"/>
      <c r="T913" s="24"/>
      <c r="U913" s="24"/>
      <c r="V913" s="24"/>
      <c r="W913" s="24"/>
      <c r="X913" s="24"/>
      <c r="Y913" s="24"/>
      <c r="Z913" s="24"/>
      <c r="AA913" s="24"/>
      <c r="AB913" s="24"/>
      <c r="AC913" s="24"/>
      <c r="AD913" s="24"/>
      <c r="AE913" s="24"/>
      <c r="AF913" s="24"/>
      <c r="AG913" s="24"/>
      <c r="AH913" s="24"/>
      <c r="AI913" s="24"/>
      <c r="AJ913" s="24"/>
      <c r="AK913" s="24"/>
      <c r="AL913" s="24"/>
      <c r="AM913" s="24"/>
      <c r="AN913" s="24"/>
      <c r="AO913" s="24"/>
      <c r="AP913" s="24"/>
      <c r="AQ913" s="24"/>
      <c r="AR913" s="24"/>
      <c r="AS913" s="24"/>
      <c r="AT913" s="24"/>
      <c r="AU913" s="24"/>
      <c r="AV913" s="24"/>
      <c r="AW913" s="24"/>
      <c r="AX913" s="24"/>
      <c r="AY913" s="24"/>
      <c r="AZ913" s="24"/>
      <c r="BA913" s="24"/>
      <c r="BB913" s="24"/>
      <c r="BC913" s="24"/>
      <c r="BD913" s="24"/>
      <c r="BE913" s="24"/>
      <c r="BF913" s="24"/>
      <c r="BG913" s="24"/>
      <c r="BH913" s="24"/>
    </row>
    <row r="914" spans="1:60">
      <c r="A914" s="7"/>
      <c r="B914" s="8"/>
      <c r="C914" s="9"/>
      <c r="D914" s="25"/>
      <c r="E914" s="25"/>
      <c r="F914" s="25"/>
      <c r="G914" s="25"/>
      <c r="H914" s="53"/>
      <c r="I914" s="53"/>
      <c r="J914" s="53"/>
      <c r="K914" s="24"/>
      <c r="L914" s="7"/>
      <c r="M914" s="24"/>
      <c r="N914" s="24"/>
      <c r="O914" s="24"/>
      <c r="P914" s="24"/>
      <c r="Q914" s="24"/>
      <c r="R914" s="24"/>
      <c r="S914" s="24"/>
      <c r="T914" s="24"/>
      <c r="U914" s="24"/>
      <c r="V914" s="24"/>
      <c r="W914" s="24"/>
      <c r="X914" s="24"/>
      <c r="Y914" s="24"/>
      <c r="Z914" s="24"/>
      <c r="AA914" s="24"/>
      <c r="AB914" s="24"/>
      <c r="AC914" s="24"/>
      <c r="AD914" s="24"/>
      <c r="AE914" s="24"/>
      <c r="AF914" s="24"/>
      <c r="AG914" s="24"/>
      <c r="AH914" s="24"/>
      <c r="AI914" s="24"/>
      <c r="AJ914" s="24"/>
      <c r="AK914" s="24"/>
      <c r="AL914" s="24"/>
      <c r="AM914" s="24"/>
      <c r="AN914" s="24"/>
      <c r="AO914" s="24"/>
      <c r="AP914" s="24"/>
      <c r="AQ914" s="24"/>
      <c r="AR914" s="24"/>
      <c r="AS914" s="24"/>
      <c r="AT914" s="24"/>
      <c r="AU914" s="24"/>
      <c r="AV914" s="24"/>
      <c r="AW914" s="24"/>
      <c r="AX914" s="24"/>
      <c r="AY914" s="24"/>
      <c r="AZ914" s="24"/>
      <c r="BA914" s="24"/>
      <c r="BB914" s="24"/>
      <c r="BC914" s="24"/>
      <c r="BD914" s="24"/>
      <c r="BE914" s="24"/>
      <c r="BF914" s="24"/>
      <c r="BG914" s="24"/>
      <c r="BH914" s="24"/>
    </row>
    <row r="915" spans="1:60">
      <c r="A915" s="7"/>
      <c r="B915" s="8"/>
      <c r="C915" s="9"/>
      <c r="D915" s="25"/>
      <c r="E915" s="25"/>
      <c r="F915" s="25"/>
      <c r="G915" s="25"/>
      <c r="H915" s="53"/>
      <c r="I915" s="53"/>
      <c r="J915" s="53"/>
      <c r="K915" s="24"/>
      <c r="L915" s="7"/>
      <c r="M915" s="24"/>
      <c r="N915" s="24"/>
      <c r="O915" s="24"/>
      <c r="P915" s="24"/>
      <c r="Q915" s="24"/>
      <c r="R915" s="24"/>
      <c r="S915" s="24"/>
      <c r="T915" s="24"/>
      <c r="U915" s="24"/>
      <c r="V915" s="24"/>
      <c r="W915" s="24"/>
      <c r="X915" s="24"/>
      <c r="Y915" s="24"/>
      <c r="Z915" s="24"/>
      <c r="AA915" s="24"/>
      <c r="AB915" s="24"/>
      <c r="AC915" s="24"/>
      <c r="AD915" s="24"/>
      <c r="AE915" s="24"/>
      <c r="AF915" s="24"/>
      <c r="AG915" s="24"/>
      <c r="AH915" s="24"/>
      <c r="AI915" s="24"/>
      <c r="AJ915" s="24"/>
      <c r="AK915" s="24"/>
      <c r="AL915" s="24"/>
      <c r="AM915" s="24"/>
      <c r="AN915" s="24"/>
      <c r="AO915" s="24"/>
      <c r="AP915" s="24"/>
      <c r="AQ915" s="24"/>
      <c r="AR915" s="24"/>
      <c r="AS915" s="24"/>
      <c r="AT915" s="24"/>
      <c r="AU915" s="24"/>
      <c r="AV915" s="24"/>
      <c r="AW915" s="24"/>
      <c r="AX915" s="24"/>
      <c r="AY915" s="24"/>
      <c r="AZ915" s="24"/>
      <c r="BA915" s="24"/>
      <c r="BB915" s="24"/>
      <c r="BC915" s="24"/>
      <c r="BD915" s="24"/>
      <c r="BE915" s="24"/>
      <c r="BF915" s="24"/>
      <c r="BG915" s="24"/>
      <c r="BH915" s="24"/>
    </row>
    <row r="916" spans="1:60">
      <c r="A916" s="7"/>
      <c r="B916" s="8"/>
      <c r="C916" s="9"/>
      <c r="D916" s="25"/>
      <c r="E916" s="25"/>
      <c r="F916" s="25"/>
      <c r="G916" s="25"/>
      <c r="H916" s="53"/>
      <c r="I916" s="53"/>
      <c r="J916" s="53"/>
      <c r="K916" s="24"/>
      <c r="L916" s="7"/>
      <c r="M916" s="24"/>
      <c r="N916" s="24"/>
      <c r="O916" s="24"/>
      <c r="P916" s="24"/>
      <c r="Q916" s="24"/>
      <c r="R916" s="24"/>
      <c r="S916" s="24"/>
      <c r="T916" s="24"/>
      <c r="U916" s="24"/>
      <c r="V916" s="24"/>
      <c r="W916" s="24"/>
      <c r="X916" s="24"/>
      <c r="Y916" s="24"/>
      <c r="Z916" s="24"/>
      <c r="AA916" s="24"/>
      <c r="AB916" s="24"/>
      <c r="AC916" s="24"/>
      <c r="AD916" s="24"/>
      <c r="AE916" s="24"/>
      <c r="AF916" s="24"/>
      <c r="AG916" s="24"/>
      <c r="AH916" s="24"/>
      <c r="AI916" s="24"/>
      <c r="AJ916" s="24"/>
      <c r="AK916" s="24"/>
      <c r="AL916" s="24"/>
      <c r="AM916" s="24"/>
      <c r="AN916" s="24"/>
      <c r="AO916" s="24"/>
      <c r="AP916" s="24"/>
      <c r="AQ916" s="24"/>
      <c r="AR916" s="24"/>
      <c r="AS916" s="24"/>
      <c r="AT916" s="24"/>
      <c r="AU916" s="24"/>
      <c r="AV916" s="24"/>
      <c r="AW916" s="24"/>
      <c r="AX916" s="24"/>
      <c r="AY916" s="24"/>
      <c r="AZ916" s="24"/>
      <c r="BA916" s="24"/>
      <c r="BB916" s="24"/>
      <c r="BC916" s="24"/>
      <c r="BD916" s="24"/>
      <c r="BE916" s="24"/>
      <c r="BF916" s="24"/>
      <c r="BG916" s="24"/>
      <c r="BH916" s="24"/>
    </row>
    <row r="917" spans="1:60">
      <c r="A917" s="7"/>
      <c r="B917" s="8"/>
      <c r="C917" s="9"/>
      <c r="D917" s="25"/>
      <c r="E917" s="25"/>
      <c r="F917" s="25"/>
      <c r="G917" s="25"/>
      <c r="H917" s="53"/>
      <c r="I917" s="53"/>
      <c r="J917" s="53"/>
      <c r="K917" s="24"/>
      <c r="L917" s="7"/>
      <c r="M917" s="24"/>
      <c r="N917" s="24"/>
      <c r="O917" s="24"/>
      <c r="P917" s="24"/>
      <c r="Q917" s="24"/>
      <c r="R917" s="24"/>
      <c r="S917" s="24"/>
      <c r="T917" s="24"/>
      <c r="U917" s="24"/>
      <c r="V917" s="24"/>
      <c r="W917" s="24"/>
      <c r="X917" s="24"/>
      <c r="Y917" s="24"/>
      <c r="Z917" s="24"/>
      <c r="AA917" s="24"/>
      <c r="AB917" s="24"/>
      <c r="AC917" s="24"/>
      <c r="AD917" s="24"/>
      <c r="AE917" s="24"/>
      <c r="AF917" s="24"/>
      <c r="AG917" s="24"/>
      <c r="AH917" s="24"/>
      <c r="AI917" s="24"/>
      <c r="AJ917" s="24"/>
      <c r="AK917" s="24"/>
      <c r="AL917" s="24"/>
      <c r="AM917" s="24"/>
      <c r="AN917" s="24"/>
      <c r="AO917" s="24"/>
      <c r="AP917" s="24"/>
      <c r="AQ917" s="24"/>
      <c r="AR917" s="24"/>
      <c r="AS917" s="24"/>
      <c r="AT917" s="24"/>
      <c r="AU917" s="24"/>
      <c r="AV917" s="24"/>
      <c r="AW917" s="24"/>
      <c r="AX917" s="24"/>
      <c r="AY917" s="24"/>
      <c r="AZ917" s="24"/>
      <c r="BA917" s="24"/>
      <c r="BB917" s="24"/>
      <c r="BC917" s="24"/>
      <c r="BD917" s="24"/>
      <c r="BE917" s="24"/>
      <c r="BF917" s="24"/>
      <c r="BG917" s="24"/>
      <c r="BH917" s="24"/>
    </row>
    <row r="918" spans="1:60">
      <c r="A918" s="7"/>
      <c r="B918" s="8"/>
      <c r="C918" s="9"/>
      <c r="D918" s="25"/>
      <c r="E918" s="25"/>
      <c r="F918" s="25"/>
      <c r="G918" s="25"/>
      <c r="H918" s="53"/>
      <c r="I918" s="53"/>
      <c r="J918" s="53"/>
      <c r="K918" s="24"/>
      <c r="L918" s="7"/>
      <c r="M918" s="24"/>
      <c r="N918" s="24"/>
      <c r="O918" s="24"/>
      <c r="P918" s="24"/>
      <c r="Q918" s="24"/>
      <c r="R918" s="24"/>
      <c r="S918" s="24"/>
      <c r="T918" s="24"/>
      <c r="U918" s="24"/>
      <c r="V918" s="24"/>
      <c r="W918" s="24"/>
      <c r="X918" s="24"/>
      <c r="Y918" s="24"/>
      <c r="Z918" s="24"/>
      <c r="AA918" s="24"/>
      <c r="AB918" s="24"/>
      <c r="AC918" s="24"/>
      <c r="AD918" s="24"/>
      <c r="AE918" s="24"/>
      <c r="AF918" s="24"/>
      <c r="AG918" s="24"/>
      <c r="AH918" s="24"/>
      <c r="AI918" s="24"/>
      <c r="AJ918" s="24"/>
      <c r="AK918" s="24"/>
      <c r="AL918" s="24"/>
      <c r="AM918" s="24"/>
      <c r="AN918" s="24"/>
      <c r="AO918" s="24"/>
      <c r="AP918" s="24"/>
      <c r="AQ918" s="24"/>
      <c r="AR918" s="24"/>
      <c r="AS918" s="24"/>
      <c r="AT918" s="24"/>
      <c r="AU918" s="24"/>
      <c r="AV918" s="24"/>
      <c r="AW918" s="24"/>
      <c r="AX918" s="24"/>
      <c r="AY918" s="24"/>
      <c r="AZ918" s="24"/>
      <c r="BA918" s="24"/>
      <c r="BB918" s="24"/>
      <c r="BC918" s="24"/>
      <c r="BD918" s="24"/>
      <c r="BE918" s="24"/>
      <c r="BF918" s="24"/>
      <c r="BG918" s="24"/>
      <c r="BH918" s="24"/>
    </row>
    <row r="919" spans="1:60">
      <c r="A919" s="7"/>
      <c r="B919" s="8"/>
      <c r="C919" s="9"/>
      <c r="D919" s="25"/>
      <c r="E919" s="25"/>
      <c r="F919" s="25"/>
      <c r="G919" s="25"/>
      <c r="H919" s="53"/>
      <c r="I919" s="53"/>
      <c r="J919" s="53"/>
      <c r="K919" s="24"/>
      <c r="L919" s="7"/>
      <c r="M919" s="24"/>
      <c r="N919" s="24"/>
      <c r="O919" s="24"/>
      <c r="P919" s="24"/>
      <c r="Q919" s="24"/>
      <c r="R919" s="24"/>
      <c r="S919" s="24"/>
      <c r="T919" s="24"/>
      <c r="U919" s="24"/>
      <c r="V919" s="24"/>
      <c r="W919" s="24"/>
      <c r="X919" s="24"/>
      <c r="Y919" s="24"/>
      <c r="Z919" s="24"/>
      <c r="AA919" s="24"/>
      <c r="AB919" s="24"/>
      <c r="AC919" s="24"/>
      <c r="AD919" s="24"/>
      <c r="AE919" s="24"/>
      <c r="AF919" s="24"/>
      <c r="AG919" s="24"/>
      <c r="AH919" s="24"/>
      <c r="AI919" s="24"/>
      <c r="AJ919" s="24"/>
      <c r="AK919" s="24"/>
      <c r="AL919" s="24"/>
      <c r="AM919" s="24"/>
      <c r="AN919" s="24"/>
      <c r="AO919" s="24"/>
      <c r="AP919" s="24"/>
      <c r="AQ919" s="24"/>
      <c r="AR919" s="24"/>
      <c r="AS919" s="24"/>
      <c r="AT919" s="24"/>
      <c r="AU919" s="24"/>
      <c r="AV919" s="24"/>
      <c r="AW919" s="24"/>
      <c r="AX919" s="24"/>
      <c r="AY919" s="24"/>
      <c r="AZ919" s="24"/>
      <c r="BA919" s="24"/>
      <c r="BB919" s="24"/>
      <c r="BC919" s="24"/>
      <c r="BD919" s="24"/>
      <c r="BE919" s="24"/>
      <c r="BF919" s="24"/>
      <c r="BG919" s="24"/>
      <c r="BH919" s="24"/>
    </row>
    <row r="920" spans="1:60">
      <c r="A920" s="7"/>
      <c r="B920" s="8"/>
      <c r="C920" s="9"/>
      <c r="D920" s="25"/>
      <c r="E920" s="25"/>
      <c r="F920" s="25"/>
      <c r="G920" s="25"/>
      <c r="H920" s="53"/>
      <c r="I920" s="53"/>
      <c r="J920" s="53"/>
      <c r="K920" s="24"/>
      <c r="L920" s="7"/>
      <c r="M920" s="24"/>
      <c r="N920" s="24"/>
      <c r="O920" s="24"/>
      <c r="P920" s="24"/>
      <c r="Q920" s="24"/>
      <c r="R920" s="24"/>
      <c r="S920" s="24"/>
      <c r="T920" s="24"/>
      <c r="U920" s="24"/>
      <c r="V920" s="24"/>
      <c r="W920" s="24"/>
      <c r="X920" s="24"/>
      <c r="Y920" s="24"/>
      <c r="Z920" s="24"/>
      <c r="AA920" s="24"/>
      <c r="AB920" s="24"/>
      <c r="AC920" s="24"/>
      <c r="AD920" s="24"/>
      <c r="AE920" s="24"/>
      <c r="AF920" s="24"/>
      <c r="AG920" s="24"/>
      <c r="AH920" s="24"/>
      <c r="AI920" s="24"/>
      <c r="AJ920" s="24"/>
      <c r="AK920" s="24"/>
      <c r="AL920" s="24"/>
      <c r="AM920" s="24"/>
      <c r="AN920" s="24"/>
      <c r="AO920" s="24"/>
      <c r="AP920" s="24"/>
      <c r="AQ920" s="24"/>
      <c r="AR920" s="24"/>
      <c r="AS920" s="24"/>
      <c r="AT920" s="24"/>
      <c r="AU920" s="24"/>
      <c r="AV920" s="24"/>
      <c r="AW920" s="24"/>
      <c r="AX920" s="24"/>
      <c r="AY920" s="24"/>
      <c r="AZ920" s="24"/>
      <c r="BA920" s="24"/>
      <c r="BB920" s="24"/>
      <c r="BC920" s="24"/>
      <c r="BD920" s="24"/>
      <c r="BE920" s="24"/>
      <c r="BF920" s="24"/>
      <c r="BG920" s="24"/>
      <c r="BH920" s="24"/>
    </row>
    <row r="921" spans="1:60">
      <c r="A921" s="7"/>
      <c r="B921" s="8"/>
      <c r="C921" s="9"/>
      <c r="D921" s="25"/>
      <c r="E921" s="25"/>
      <c r="F921" s="25"/>
      <c r="G921" s="25"/>
      <c r="H921" s="53"/>
      <c r="I921" s="53"/>
      <c r="J921" s="53"/>
      <c r="K921" s="24"/>
      <c r="L921" s="7"/>
      <c r="M921" s="24"/>
      <c r="N921" s="24"/>
      <c r="O921" s="24"/>
      <c r="P921" s="24"/>
      <c r="Q921" s="24"/>
      <c r="R921" s="24"/>
      <c r="S921" s="24"/>
      <c r="T921" s="24"/>
      <c r="U921" s="24"/>
      <c r="V921" s="24"/>
      <c r="W921" s="24"/>
      <c r="X921" s="24"/>
      <c r="Y921" s="24"/>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c r="BC921" s="24"/>
      <c r="BD921" s="24"/>
      <c r="BE921" s="24"/>
      <c r="BF921" s="24"/>
      <c r="BG921" s="24"/>
      <c r="BH921" s="24"/>
    </row>
    <row r="922" spans="1:60">
      <c r="A922" s="7"/>
      <c r="B922" s="8"/>
      <c r="C922" s="9"/>
      <c r="D922" s="25"/>
      <c r="E922" s="25"/>
      <c r="F922" s="25"/>
      <c r="G922" s="25"/>
      <c r="H922" s="53"/>
      <c r="I922" s="53"/>
      <c r="J922" s="53"/>
      <c r="K922" s="24"/>
      <c r="L922" s="7"/>
      <c r="M922" s="24"/>
      <c r="N922" s="24"/>
      <c r="O922" s="24"/>
      <c r="P922" s="24"/>
      <c r="Q922" s="24"/>
      <c r="R922" s="24"/>
      <c r="S922" s="24"/>
      <c r="T922" s="24"/>
      <c r="U922" s="24"/>
      <c r="V922" s="24"/>
      <c r="W922" s="24"/>
      <c r="X922" s="24"/>
      <c r="Y922" s="24"/>
      <c r="Z922" s="24"/>
      <c r="AA922" s="24"/>
      <c r="AB922" s="24"/>
      <c r="AC922" s="24"/>
      <c r="AD922" s="24"/>
      <c r="AE922" s="24"/>
      <c r="AF922" s="24"/>
      <c r="AG922" s="24"/>
      <c r="AH922" s="24"/>
      <c r="AI922" s="24"/>
      <c r="AJ922" s="24"/>
      <c r="AK922" s="24"/>
      <c r="AL922" s="24"/>
      <c r="AM922" s="24"/>
      <c r="AN922" s="24"/>
      <c r="AO922" s="24"/>
      <c r="AP922" s="24"/>
      <c r="AQ922" s="24"/>
      <c r="AR922" s="24"/>
      <c r="AS922" s="24"/>
      <c r="AT922" s="24"/>
      <c r="AU922" s="24"/>
      <c r="AV922" s="24"/>
      <c r="AW922" s="24"/>
      <c r="AX922" s="24"/>
      <c r="AY922" s="24"/>
      <c r="AZ922" s="24"/>
      <c r="BA922" s="24"/>
      <c r="BB922" s="24"/>
      <c r="BC922" s="24"/>
      <c r="BD922" s="24"/>
      <c r="BE922" s="24"/>
      <c r="BF922" s="24"/>
      <c r="BG922" s="24"/>
      <c r="BH922" s="24"/>
    </row>
    <row r="923" spans="1:60">
      <c r="A923" s="7"/>
      <c r="B923" s="8"/>
      <c r="C923" s="9"/>
      <c r="D923" s="25"/>
      <c r="E923" s="25"/>
      <c r="F923" s="25"/>
      <c r="G923" s="25"/>
      <c r="H923" s="53"/>
      <c r="I923" s="53"/>
      <c r="J923" s="53"/>
      <c r="K923" s="24"/>
      <c r="L923" s="7"/>
      <c r="M923" s="24"/>
      <c r="N923" s="24"/>
      <c r="O923" s="24"/>
      <c r="P923" s="24"/>
      <c r="Q923" s="24"/>
      <c r="R923" s="24"/>
      <c r="S923" s="24"/>
      <c r="T923" s="24"/>
      <c r="U923" s="24"/>
      <c r="V923" s="24"/>
      <c r="W923" s="24"/>
      <c r="X923" s="24"/>
      <c r="Y923" s="24"/>
      <c r="Z923" s="24"/>
      <c r="AA923" s="24"/>
      <c r="AB923" s="24"/>
      <c r="AC923" s="24"/>
      <c r="AD923" s="24"/>
      <c r="AE923" s="24"/>
      <c r="AF923" s="24"/>
      <c r="AG923" s="24"/>
      <c r="AH923" s="24"/>
      <c r="AI923" s="24"/>
      <c r="AJ923" s="24"/>
      <c r="AK923" s="24"/>
      <c r="AL923" s="24"/>
      <c r="AM923" s="24"/>
      <c r="AN923" s="24"/>
      <c r="AO923" s="24"/>
      <c r="AP923" s="24"/>
      <c r="AQ923" s="24"/>
      <c r="AR923" s="24"/>
      <c r="AS923" s="24"/>
      <c r="AT923" s="24"/>
      <c r="AU923" s="24"/>
      <c r="AV923" s="24"/>
      <c r="AW923" s="24"/>
      <c r="AX923" s="24"/>
      <c r="AY923" s="24"/>
      <c r="AZ923" s="24"/>
      <c r="BA923" s="24"/>
      <c r="BB923" s="24"/>
      <c r="BC923" s="24"/>
      <c r="BD923" s="24"/>
      <c r="BE923" s="24"/>
      <c r="BF923" s="24"/>
      <c r="BG923" s="24"/>
      <c r="BH923" s="24"/>
    </row>
    <row r="924" spans="1:60">
      <c r="A924" s="7"/>
      <c r="B924" s="8"/>
      <c r="C924" s="9"/>
      <c r="D924" s="25"/>
      <c r="E924" s="25"/>
      <c r="F924" s="25"/>
      <c r="G924" s="25"/>
      <c r="H924" s="53"/>
      <c r="I924" s="53"/>
      <c r="J924" s="53"/>
      <c r="K924" s="24"/>
      <c r="L924" s="7"/>
      <c r="M924" s="24"/>
      <c r="N924" s="24"/>
      <c r="O924" s="24"/>
      <c r="P924" s="24"/>
      <c r="Q924" s="24"/>
      <c r="R924" s="24"/>
      <c r="S924" s="24"/>
      <c r="T924" s="24"/>
      <c r="U924" s="24"/>
      <c r="V924" s="24"/>
      <c r="W924" s="24"/>
      <c r="X924" s="24"/>
      <c r="Y924" s="24"/>
      <c r="Z924" s="24"/>
      <c r="AA924" s="24"/>
      <c r="AB924" s="24"/>
      <c r="AC924" s="24"/>
      <c r="AD924" s="24"/>
      <c r="AE924" s="24"/>
      <c r="AF924" s="24"/>
      <c r="AG924" s="24"/>
      <c r="AH924" s="24"/>
      <c r="AI924" s="24"/>
      <c r="AJ924" s="24"/>
      <c r="AK924" s="24"/>
      <c r="AL924" s="24"/>
      <c r="AM924" s="24"/>
      <c r="AN924" s="24"/>
      <c r="AO924" s="24"/>
      <c r="AP924" s="24"/>
      <c r="AQ924" s="24"/>
      <c r="AR924" s="24"/>
      <c r="AS924" s="24"/>
      <c r="AT924" s="24"/>
      <c r="AU924" s="24"/>
      <c r="AV924" s="24"/>
      <c r="AW924" s="24"/>
      <c r="AX924" s="24"/>
      <c r="AY924" s="24"/>
      <c r="AZ924" s="24"/>
      <c r="BA924" s="24"/>
      <c r="BB924" s="24"/>
      <c r="BC924" s="24"/>
      <c r="BD924" s="24"/>
      <c r="BE924" s="24"/>
      <c r="BF924" s="24"/>
      <c r="BG924" s="24"/>
      <c r="BH924" s="24"/>
    </row>
    <row r="925" spans="1:60">
      <c r="A925" s="7"/>
      <c r="B925" s="8"/>
      <c r="C925" s="9"/>
      <c r="D925" s="25"/>
      <c r="E925" s="25"/>
      <c r="F925" s="25"/>
      <c r="G925" s="25"/>
      <c r="H925" s="53"/>
      <c r="I925" s="53"/>
      <c r="J925" s="53"/>
      <c r="K925" s="24"/>
      <c r="L925" s="7"/>
      <c r="M925" s="24"/>
      <c r="N925" s="24"/>
      <c r="O925" s="24"/>
      <c r="P925" s="24"/>
      <c r="Q925" s="24"/>
      <c r="R925" s="24"/>
      <c r="S925" s="24"/>
      <c r="T925" s="24"/>
      <c r="U925" s="24"/>
      <c r="V925" s="24"/>
      <c r="W925" s="24"/>
      <c r="X925" s="24"/>
      <c r="Y925" s="24"/>
      <c r="Z925" s="24"/>
      <c r="AA925" s="24"/>
      <c r="AB925" s="24"/>
      <c r="AC925" s="24"/>
      <c r="AD925" s="24"/>
      <c r="AE925" s="24"/>
      <c r="AF925" s="24"/>
      <c r="AG925" s="24"/>
      <c r="AH925" s="24"/>
      <c r="AI925" s="24"/>
      <c r="AJ925" s="24"/>
      <c r="AK925" s="24"/>
      <c r="AL925" s="24"/>
      <c r="AM925" s="24"/>
      <c r="AN925" s="24"/>
      <c r="AO925" s="24"/>
      <c r="AP925" s="24"/>
      <c r="AQ925" s="24"/>
      <c r="AR925" s="24"/>
      <c r="AS925" s="24"/>
      <c r="AT925" s="24"/>
      <c r="AU925" s="24"/>
      <c r="AV925" s="24"/>
      <c r="AW925" s="24"/>
      <c r="AX925" s="24"/>
      <c r="AY925" s="24"/>
      <c r="AZ925" s="24"/>
      <c r="BA925" s="24"/>
      <c r="BB925" s="24"/>
      <c r="BC925" s="24"/>
      <c r="BD925" s="24"/>
      <c r="BE925" s="24"/>
      <c r="BF925" s="24"/>
      <c r="BG925" s="24"/>
      <c r="BH925" s="24"/>
    </row>
    <row r="926" spans="1:60">
      <c r="A926" s="7"/>
      <c r="B926" s="8"/>
      <c r="C926" s="9"/>
      <c r="D926" s="25"/>
      <c r="E926" s="25"/>
      <c r="F926" s="25"/>
      <c r="G926" s="25"/>
      <c r="H926" s="53"/>
      <c r="I926" s="53"/>
      <c r="J926" s="53"/>
      <c r="K926" s="24"/>
      <c r="L926" s="7"/>
      <c r="M926" s="24"/>
      <c r="N926" s="24"/>
      <c r="O926" s="24"/>
      <c r="P926" s="24"/>
      <c r="Q926" s="24"/>
      <c r="R926" s="24"/>
      <c r="S926" s="24"/>
      <c r="T926" s="24"/>
      <c r="U926" s="24"/>
      <c r="V926" s="24"/>
      <c r="W926" s="24"/>
      <c r="X926" s="24"/>
      <c r="Y926" s="24"/>
      <c r="Z926" s="24"/>
      <c r="AA926" s="24"/>
      <c r="AB926" s="24"/>
      <c r="AC926" s="24"/>
      <c r="AD926" s="24"/>
      <c r="AE926" s="24"/>
      <c r="AF926" s="24"/>
      <c r="AG926" s="24"/>
      <c r="AH926" s="24"/>
      <c r="AI926" s="24"/>
      <c r="AJ926" s="24"/>
      <c r="AK926" s="24"/>
      <c r="AL926" s="24"/>
      <c r="AM926" s="24"/>
      <c r="AN926" s="24"/>
      <c r="AO926" s="24"/>
      <c r="AP926" s="24"/>
      <c r="AQ926" s="24"/>
      <c r="AR926" s="24"/>
      <c r="AS926" s="24"/>
      <c r="AT926" s="24"/>
      <c r="AU926" s="24"/>
      <c r="AV926" s="24"/>
      <c r="AW926" s="24"/>
      <c r="AX926" s="24"/>
      <c r="AY926" s="24"/>
      <c r="AZ926" s="24"/>
      <c r="BA926" s="24"/>
      <c r="BB926" s="24"/>
      <c r="BC926" s="24"/>
      <c r="BD926" s="24"/>
      <c r="BE926" s="24"/>
      <c r="BF926" s="24"/>
      <c r="BG926" s="24"/>
      <c r="BH926" s="24"/>
    </row>
    <row r="927" spans="1:60">
      <c r="A927" s="7"/>
      <c r="B927" s="8"/>
      <c r="C927" s="9"/>
      <c r="D927" s="25"/>
      <c r="E927" s="25"/>
      <c r="F927" s="25"/>
      <c r="G927" s="25"/>
      <c r="H927" s="53"/>
      <c r="I927" s="53"/>
      <c r="J927" s="53"/>
      <c r="K927" s="24"/>
      <c r="L927" s="7"/>
      <c r="M927" s="24"/>
      <c r="N927" s="24"/>
      <c r="O927" s="24"/>
      <c r="P927" s="24"/>
      <c r="Q927" s="24"/>
      <c r="R927" s="24"/>
      <c r="S927" s="24"/>
      <c r="T927" s="24"/>
      <c r="U927" s="24"/>
      <c r="V927" s="24"/>
      <c r="W927" s="24"/>
      <c r="X927" s="24"/>
      <c r="Y927" s="24"/>
      <c r="Z927" s="24"/>
      <c r="AA927" s="24"/>
      <c r="AB927" s="24"/>
      <c r="AC927" s="24"/>
      <c r="AD927" s="24"/>
      <c r="AE927" s="24"/>
      <c r="AF927" s="24"/>
      <c r="AG927" s="24"/>
      <c r="AH927" s="24"/>
      <c r="AI927" s="24"/>
      <c r="AJ927" s="24"/>
      <c r="AK927" s="24"/>
      <c r="AL927" s="24"/>
      <c r="AM927" s="24"/>
      <c r="AN927" s="24"/>
      <c r="AO927" s="24"/>
      <c r="AP927" s="24"/>
      <c r="AQ927" s="24"/>
      <c r="AR927" s="24"/>
      <c r="AS927" s="24"/>
      <c r="AT927" s="24"/>
      <c r="AU927" s="24"/>
      <c r="AV927" s="24"/>
      <c r="AW927" s="24"/>
      <c r="AX927" s="24"/>
      <c r="AY927" s="24"/>
      <c r="AZ927" s="24"/>
      <c r="BA927" s="24"/>
      <c r="BB927" s="24"/>
      <c r="BC927" s="24"/>
      <c r="BD927" s="24"/>
      <c r="BE927" s="24"/>
      <c r="BF927" s="24"/>
      <c r="BG927" s="24"/>
      <c r="BH927" s="24"/>
    </row>
    <row r="928" spans="1:60">
      <c r="A928" s="7"/>
      <c r="B928" s="8"/>
      <c r="C928" s="9"/>
      <c r="D928" s="25"/>
      <c r="E928" s="25"/>
      <c r="F928" s="25"/>
      <c r="G928" s="25"/>
      <c r="H928" s="53"/>
      <c r="I928" s="53"/>
      <c r="J928" s="53"/>
      <c r="K928" s="24"/>
      <c r="L928" s="7"/>
      <c r="M928" s="24"/>
      <c r="N928" s="24"/>
      <c r="O928" s="24"/>
      <c r="P928" s="24"/>
      <c r="Q928" s="24"/>
      <c r="R928" s="24"/>
      <c r="S928" s="24"/>
      <c r="T928" s="24"/>
      <c r="U928" s="24"/>
      <c r="V928" s="24"/>
      <c r="W928" s="24"/>
      <c r="X928" s="24"/>
      <c r="Y928" s="24"/>
      <c r="Z928" s="24"/>
      <c r="AA928" s="24"/>
      <c r="AB928" s="24"/>
      <c r="AC928" s="24"/>
      <c r="AD928" s="24"/>
      <c r="AE928" s="24"/>
      <c r="AF928" s="24"/>
      <c r="AG928" s="24"/>
      <c r="AH928" s="24"/>
      <c r="AI928" s="24"/>
      <c r="AJ928" s="24"/>
      <c r="AK928" s="24"/>
      <c r="AL928" s="24"/>
      <c r="AM928" s="24"/>
      <c r="AN928" s="24"/>
      <c r="AO928" s="24"/>
      <c r="AP928" s="24"/>
      <c r="AQ928" s="24"/>
      <c r="AR928" s="24"/>
      <c r="AS928" s="24"/>
      <c r="AT928" s="24"/>
      <c r="AU928" s="24"/>
      <c r="AV928" s="24"/>
      <c r="AW928" s="24"/>
      <c r="AX928" s="24"/>
      <c r="AY928" s="24"/>
      <c r="AZ928" s="24"/>
      <c r="BA928" s="24"/>
      <c r="BB928" s="24"/>
      <c r="BC928" s="24"/>
      <c r="BD928" s="24"/>
      <c r="BE928" s="24"/>
      <c r="BF928" s="24"/>
      <c r="BG928" s="24"/>
      <c r="BH928" s="24"/>
    </row>
    <row r="929" spans="1:60">
      <c r="A929" s="7"/>
      <c r="B929" s="8"/>
      <c r="C929" s="9"/>
      <c r="D929" s="25"/>
      <c r="E929" s="25"/>
      <c r="F929" s="25"/>
      <c r="G929" s="25"/>
      <c r="H929" s="53"/>
      <c r="I929" s="53"/>
      <c r="J929" s="53"/>
      <c r="K929" s="24"/>
      <c r="L929" s="7"/>
      <c r="M929" s="24"/>
      <c r="N929" s="24"/>
      <c r="O929" s="24"/>
      <c r="P929" s="24"/>
      <c r="Q929" s="24"/>
      <c r="R929" s="24"/>
      <c r="S929" s="24"/>
      <c r="T929" s="24"/>
      <c r="U929" s="24"/>
      <c r="V929" s="24"/>
      <c r="W929" s="24"/>
      <c r="X929" s="24"/>
      <c r="Y929" s="24"/>
      <c r="Z929" s="24"/>
      <c r="AA929" s="24"/>
      <c r="AB929" s="24"/>
      <c r="AC929" s="24"/>
      <c r="AD929" s="24"/>
      <c r="AE929" s="24"/>
      <c r="AF929" s="24"/>
      <c r="AG929" s="24"/>
      <c r="AH929" s="24"/>
      <c r="AI929" s="24"/>
      <c r="AJ929" s="24"/>
      <c r="AK929" s="24"/>
      <c r="AL929" s="24"/>
      <c r="AM929" s="24"/>
      <c r="AN929" s="24"/>
      <c r="AO929" s="24"/>
      <c r="AP929" s="24"/>
      <c r="AQ929" s="24"/>
      <c r="AR929" s="24"/>
      <c r="AS929" s="24"/>
      <c r="AT929" s="24"/>
      <c r="AU929" s="24"/>
      <c r="AV929" s="24"/>
      <c r="AW929" s="24"/>
      <c r="AX929" s="24"/>
      <c r="AY929" s="24"/>
      <c r="AZ929" s="24"/>
      <c r="BA929" s="24"/>
      <c r="BB929" s="24"/>
      <c r="BC929" s="24"/>
      <c r="BD929" s="24"/>
      <c r="BE929" s="24"/>
      <c r="BF929" s="24"/>
      <c r="BG929" s="24"/>
      <c r="BH929" s="24"/>
    </row>
    <row r="930" spans="1:60">
      <c r="A930" s="7"/>
      <c r="B930" s="8"/>
      <c r="C930" s="9"/>
      <c r="D930" s="25"/>
      <c r="E930" s="25"/>
      <c r="F930" s="25"/>
      <c r="G930" s="25"/>
      <c r="H930" s="53"/>
      <c r="I930" s="53"/>
      <c r="J930" s="53"/>
      <c r="K930" s="24"/>
      <c r="L930" s="7"/>
      <c r="M930" s="24"/>
      <c r="N930" s="24"/>
      <c r="O930" s="24"/>
      <c r="P930" s="24"/>
      <c r="Q930" s="24"/>
      <c r="R930" s="24"/>
      <c r="S930" s="24"/>
      <c r="T930" s="24"/>
      <c r="U930" s="24"/>
      <c r="V930" s="24"/>
      <c r="W930" s="24"/>
      <c r="X930" s="24"/>
      <c r="Y930" s="24"/>
      <c r="Z930" s="24"/>
      <c r="AA930" s="24"/>
      <c r="AB930" s="24"/>
      <c r="AC930" s="24"/>
      <c r="AD930" s="24"/>
      <c r="AE930" s="24"/>
      <c r="AF930" s="24"/>
      <c r="AG930" s="24"/>
      <c r="AH930" s="24"/>
      <c r="AI930" s="24"/>
      <c r="AJ930" s="24"/>
      <c r="AK930" s="24"/>
      <c r="AL930" s="24"/>
      <c r="AM930" s="24"/>
      <c r="AN930" s="24"/>
      <c r="AO930" s="24"/>
      <c r="AP930" s="24"/>
      <c r="AQ930" s="24"/>
      <c r="AR930" s="24"/>
      <c r="AS930" s="24"/>
      <c r="AT930" s="24"/>
      <c r="AU930" s="24"/>
      <c r="AV930" s="24"/>
      <c r="AW930" s="24"/>
      <c r="AX930" s="24"/>
      <c r="AY930" s="24"/>
      <c r="AZ930" s="24"/>
      <c r="BA930" s="24"/>
      <c r="BB930" s="24"/>
      <c r="BC930" s="24"/>
      <c r="BD930" s="24"/>
      <c r="BE930" s="24"/>
      <c r="BF930" s="24"/>
      <c r="BG930" s="24"/>
      <c r="BH930" s="24"/>
    </row>
    <row r="931" spans="1:60">
      <c r="A931" s="7"/>
      <c r="B931" s="8"/>
      <c r="C931" s="9"/>
      <c r="D931" s="25"/>
      <c r="E931" s="25"/>
      <c r="F931" s="25"/>
      <c r="G931" s="25"/>
      <c r="H931" s="53"/>
      <c r="I931" s="53"/>
      <c r="J931" s="53"/>
      <c r="K931" s="24"/>
      <c r="L931" s="7"/>
      <c r="M931" s="24"/>
      <c r="N931" s="24"/>
      <c r="O931" s="24"/>
      <c r="P931" s="24"/>
      <c r="Q931" s="24"/>
      <c r="R931" s="24"/>
      <c r="S931" s="24"/>
      <c r="T931" s="24"/>
      <c r="U931" s="24"/>
      <c r="V931" s="24"/>
      <c r="W931" s="24"/>
      <c r="X931" s="24"/>
      <c r="Y931" s="24"/>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c r="BC931" s="24"/>
      <c r="BD931" s="24"/>
      <c r="BE931" s="24"/>
      <c r="BF931" s="24"/>
      <c r="BG931" s="24"/>
      <c r="BH931" s="24"/>
    </row>
    <row r="932" spans="1:60">
      <c r="A932" s="7"/>
      <c r="B932" s="8"/>
      <c r="C932" s="9"/>
      <c r="D932" s="25"/>
      <c r="E932" s="25"/>
      <c r="F932" s="25"/>
      <c r="G932" s="25"/>
      <c r="H932" s="53"/>
      <c r="I932" s="53"/>
      <c r="J932" s="53"/>
      <c r="K932" s="24"/>
      <c r="L932" s="7"/>
      <c r="M932" s="24"/>
      <c r="N932" s="24"/>
      <c r="O932" s="24"/>
      <c r="P932" s="24"/>
      <c r="Q932" s="24"/>
      <c r="R932" s="24"/>
      <c r="S932" s="24"/>
      <c r="T932" s="24"/>
      <c r="U932" s="24"/>
      <c r="V932" s="24"/>
      <c r="W932" s="24"/>
      <c r="X932" s="24"/>
      <c r="Y932" s="24"/>
      <c r="Z932" s="24"/>
      <c r="AA932" s="24"/>
      <c r="AB932" s="24"/>
      <c r="AC932" s="24"/>
      <c r="AD932" s="24"/>
      <c r="AE932" s="24"/>
      <c r="AF932" s="24"/>
      <c r="AG932" s="24"/>
      <c r="AH932" s="24"/>
      <c r="AI932" s="24"/>
      <c r="AJ932" s="24"/>
      <c r="AK932" s="24"/>
      <c r="AL932" s="24"/>
      <c r="AM932" s="24"/>
      <c r="AN932" s="24"/>
      <c r="AO932" s="24"/>
      <c r="AP932" s="24"/>
      <c r="AQ932" s="24"/>
      <c r="AR932" s="24"/>
      <c r="AS932" s="24"/>
      <c r="AT932" s="24"/>
      <c r="AU932" s="24"/>
      <c r="AV932" s="24"/>
      <c r="AW932" s="24"/>
      <c r="AX932" s="24"/>
      <c r="AY932" s="24"/>
      <c r="AZ932" s="24"/>
      <c r="BA932" s="24"/>
      <c r="BB932" s="24"/>
      <c r="BC932" s="24"/>
      <c r="BD932" s="24"/>
      <c r="BE932" s="24"/>
      <c r="BF932" s="24"/>
      <c r="BG932" s="24"/>
      <c r="BH932" s="24"/>
    </row>
    <row r="933" spans="1:60">
      <c r="A933" s="7"/>
      <c r="B933" s="8"/>
      <c r="C933" s="9"/>
      <c r="D933" s="25"/>
      <c r="E933" s="25"/>
      <c r="F933" s="25"/>
      <c r="G933" s="25"/>
      <c r="H933" s="53"/>
      <c r="I933" s="53"/>
      <c r="J933" s="53"/>
      <c r="K933" s="24"/>
      <c r="L933" s="7"/>
      <c r="M933" s="24"/>
      <c r="N933" s="24"/>
      <c r="O933" s="24"/>
      <c r="P933" s="24"/>
      <c r="Q933" s="24"/>
      <c r="R933" s="24"/>
      <c r="S933" s="24"/>
      <c r="T933" s="24"/>
      <c r="U933" s="24"/>
      <c r="V933" s="24"/>
      <c r="W933" s="24"/>
      <c r="X933" s="24"/>
      <c r="Y933" s="24"/>
      <c r="Z933" s="24"/>
      <c r="AA933" s="24"/>
      <c r="AB933" s="24"/>
      <c r="AC933" s="24"/>
      <c r="AD933" s="24"/>
      <c r="AE933" s="24"/>
      <c r="AF933" s="24"/>
      <c r="AG933" s="24"/>
      <c r="AH933" s="24"/>
      <c r="AI933" s="24"/>
      <c r="AJ933" s="24"/>
      <c r="AK933" s="24"/>
      <c r="AL933" s="24"/>
      <c r="AM933" s="24"/>
      <c r="AN933" s="24"/>
      <c r="AO933" s="24"/>
      <c r="AP933" s="24"/>
      <c r="AQ933" s="24"/>
      <c r="AR933" s="24"/>
      <c r="AS933" s="24"/>
      <c r="AT933" s="24"/>
      <c r="AU933" s="24"/>
      <c r="AV933" s="24"/>
      <c r="AW933" s="24"/>
      <c r="AX933" s="24"/>
      <c r="AY933" s="24"/>
      <c r="AZ933" s="24"/>
      <c r="BA933" s="24"/>
      <c r="BB933" s="24"/>
      <c r="BC933" s="24"/>
      <c r="BD933" s="24"/>
      <c r="BE933" s="24"/>
      <c r="BF933" s="24"/>
      <c r="BG933" s="24"/>
      <c r="BH933" s="24"/>
    </row>
    <row r="934" spans="1:60">
      <c r="A934" s="7"/>
      <c r="B934" s="8"/>
      <c r="C934" s="9"/>
      <c r="D934" s="25"/>
      <c r="E934" s="25"/>
      <c r="F934" s="25"/>
      <c r="G934" s="25"/>
      <c r="H934" s="53"/>
      <c r="I934" s="53"/>
      <c r="J934" s="53"/>
      <c r="K934" s="24"/>
      <c r="L934" s="7"/>
      <c r="M934" s="24"/>
      <c r="N934" s="24"/>
      <c r="O934" s="24"/>
      <c r="P934" s="24"/>
      <c r="Q934" s="24"/>
      <c r="R934" s="24"/>
      <c r="S934" s="24"/>
      <c r="T934" s="24"/>
      <c r="U934" s="24"/>
      <c r="V934" s="24"/>
      <c r="W934" s="24"/>
      <c r="X934" s="24"/>
      <c r="Y934" s="24"/>
      <c r="Z934" s="24"/>
      <c r="AA934" s="24"/>
      <c r="AB934" s="24"/>
      <c r="AC934" s="24"/>
      <c r="AD934" s="24"/>
      <c r="AE934" s="24"/>
      <c r="AF934" s="24"/>
      <c r="AG934" s="24"/>
      <c r="AH934" s="24"/>
      <c r="AI934" s="24"/>
      <c r="AJ934" s="24"/>
      <c r="AK934" s="24"/>
      <c r="AL934" s="24"/>
      <c r="AM934" s="24"/>
      <c r="AN934" s="24"/>
      <c r="AO934" s="24"/>
      <c r="AP934" s="24"/>
      <c r="AQ934" s="24"/>
      <c r="AR934" s="24"/>
      <c r="AS934" s="24"/>
      <c r="AT934" s="24"/>
      <c r="AU934" s="24"/>
      <c r="AV934" s="24"/>
      <c r="AW934" s="24"/>
      <c r="AX934" s="24"/>
      <c r="AY934" s="24"/>
      <c r="AZ934" s="24"/>
      <c r="BA934" s="24"/>
      <c r="BB934" s="24"/>
      <c r="BC934" s="24"/>
      <c r="BD934" s="24"/>
      <c r="BE934" s="24"/>
      <c r="BF934" s="24"/>
      <c r="BG934" s="24"/>
      <c r="BH934" s="24"/>
    </row>
    <row r="935" spans="1:60">
      <c r="A935" s="7"/>
      <c r="B935" s="8"/>
      <c r="C935" s="9"/>
      <c r="D935" s="25"/>
      <c r="E935" s="25"/>
      <c r="F935" s="25"/>
      <c r="G935" s="25"/>
      <c r="H935" s="53"/>
      <c r="I935" s="53"/>
      <c r="J935" s="53"/>
      <c r="K935" s="24"/>
      <c r="L935" s="7"/>
      <c r="M935" s="24"/>
      <c r="N935" s="24"/>
      <c r="O935" s="24"/>
      <c r="P935" s="24"/>
      <c r="Q935" s="24"/>
      <c r="R935" s="24"/>
      <c r="S935" s="24"/>
      <c r="T935" s="24"/>
      <c r="U935" s="24"/>
      <c r="V935" s="24"/>
      <c r="W935" s="24"/>
      <c r="X935" s="24"/>
      <c r="Y935" s="24"/>
      <c r="Z935" s="24"/>
      <c r="AA935" s="24"/>
      <c r="AB935" s="24"/>
      <c r="AC935" s="24"/>
      <c r="AD935" s="24"/>
      <c r="AE935" s="24"/>
      <c r="AF935" s="24"/>
      <c r="AG935" s="24"/>
      <c r="AH935" s="24"/>
      <c r="AI935" s="24"/>
      <c r="AJ935" s="24"/>
      <c r="AK935" s="24"/>
      <c r="AL935" s="24"/>
      <c r="AM935" s="24"/>
      <c r="AN935" s="24"/>
      <c r="AO935" s="24"/>
      <c r="AP935" s="24"/>
      <c r="AQ935" s="24"/>
      <c r="AR935" s="24"/>
      <c r="AS935" s="24"/>
      <c r="AT935" s="24"/>
      <c r="AU935" s="24"/>
      <c r="AV935" s="24"/>
      <c r="AW935" s="24"/>
      <c r="AX935" s="24"/>
      <c r="AY935" s="24"/>
      <c r="AZ935" s="24"/>
      <c r="BA935" s="24"/>
      <c r="BB935" s="24"/>
      <c r="BC935" s="24"/>
      <c r="BD935" s="24"/>
      <c r="BE935" s="24"/>
      <c r="BF935" s="24"/>
      <c r="BG935" s="24"/>
      <c r="BH935" s="24"/>
    </row>
    <row r="936" spans="1:60">
      <c r="A936" s="7"/>
      <c r="B936" s="8"/>
      <c r="C936" s="9"/>
      <c r="D936" s="25"/>
      <c r="E936" s="25"/>
      <c r="F936" s="25"/>
      <c r="G936" s="25"/>
      <c r="H936" s="53"/>
      <c r="I936" s="53"/>
      <c r="J936" s="53"/>
      <c r="K936" s="24"/>
      <c r="L936" s="7"/>
      <c r="M936" s="24"/>
      <c r="N936" s="24"/>
      <c r="O936" s="24"/>
      <c r="P936" s="24"/>
      <c r="Q936" s="24"/>
      <c r="R936" s="24"/>
      <c r="S936" s="24"/>
      <c r="T936" s="24"/>
      <c r="U936" s="24"/>
      <c r="V936" s="24"/>
      <c r="W936" s="24"/>
      <c r="X936" s="24"/>
      <c r="Y936" s="24"/>
      <c r="Z936" s="24"/>
      <c r="AA936" s="24"/>
      <c r="AB936" s="24"/>
      <c r="AC936" s="24"/>
      <c r="AD936" s="24"/>
      <c r="AE936" s="24"/>
      <c r="AF936" s="24"/>
      <c r="AG936" s="24"/>
      <c r="AH936" s="24"/>
      <c r="AI936" s="24"/>
      <c r="AJ936" s="24"/>
      <c r="AK936" s="24"/>
      <c r="AL936" s="24"/>
      <c r="AM936" s="24"/>
      <c r="AN936" s="24"/>
      <c r="AO936" s="24"/>
      <c r="AP936" s="24"/>
      <c r="AQ936" s="24"/>
      <c r="AR936" s="24"/>
      <c r="AS936" s="24"/>
      <c r="AT936" s="24"/>
      <c r="AU936" s="24"/>
      <c r="AV936" s="24"/>
      <c r="AW936" s="24"/>
      <c r="AX936" s="24"/>
      <c r="AY936" s="24"/>
      <c r="AZ936" s="24"/>
      <c r="BA936" s="24"/>
      <c r="BB936" s="24"/>
      <c r="BC936" s="24"/>
      <c r="BD936" s="24"/>
      <c r="BE936" s="24"/>
      <c r="BF936" s="24"/>
      <c r="BG936" s="24"/>
      <c r="BH936" s="24"/>
    </row>
    <row r="937" spans="1:60">
      <c r="A937" s="7"/>
      <c r="B937" s="8"/>
      <c r="C937" s="9"/>
      <c r="D937" s="25"/>
      <c r="E937" s="25"/>
      <c r="F937" s="25"/>
      <c r="G937" s="25"/>
      <c r="H937" s="53"/>
      <c r="I937" s="53"/>
      <c r="J937" s="53"/>
      <c r="K937" s="24"/>
      <c r="L937" s="7"/>
      <c r="M937" s="24"/>
      <c r="N937" s="24"/>
      <c r="O937" s="24"/>
      <c r="P937" s="24"/>
      <c r="Q937" s="24"/>
      <c r="R937" s="24"/>
      <c r="S937" s="24"/>
      <c r="T937" s="24"/>
      <c r="U937" s="24"/>
      <c r="V937" s="24"/>
      <c r="W937" s="24"/>
      <c r="X937" s="24"/>
      <c r="Y937" s="24"/>
      <c r="Z937" s="24"/>
      <c r="AA937" s="24"/>
      <c r="AB937" s="24"/>
      <c r="AC937" s="24"/>
      <c r="AD937" s="24"/>
      <c r="AE937" s="24"/>
      <c r="AF937" s="24"/>
      <c r="AG937" s="24"/>
      <c r="AH937" s="24"/>
      <c r="AI937" s="24"/>
      <c r="AJ937" s="24"/>
      <c r="AK937" s="24"/>
      <c r="AL937" s="24"/>
      <c r="AM937" s="24"/>
      <c r="AN937" s="24"/>
      <c r="AO937" s="24"/>
      <c r="AP937" s="24"/>
      <c r="AQ937" s="24"/>
      <c r="AR937" s="24"/>
      <c r="AS937" s="24"/>
      <c r="AT937" s="24"/>
      <c r="AU937" s="24"/>
      <c r="AV937" s="24"/>
      <c r="AW937" s="24"/>
      <c r="AX937" s="24"/>
      <c r="AY937" s="24"/>
      <c r="AZ937" s="24"/>
      <c r="BA937" s="24"/>
      <c r="BB937" s="24"/>
      <c r="BC937" s="24"/>
      <c r="BD937" s="24"/>
      <c r="BE937" s="24"/>
      <c r="BF937" s="24"/>
      <c r="BG937" s="24"/>
      <c r="BH937" s="24"/>
    </row>
    <row r="938" spans="1:60">
      <c r="A938" s="7"/>
      <c r="B938" s="8"/>
      <c r="C938" s="9"/>
      <c r="D938" s="25"/>
      <c r="E938" s="25"/>
      <c r="F938" s="25"/>
      <c r="G938" s="25"/>
      <c r="H938" s="53"/>
      <c r="I938" s="53"/>
      <c r="J938" s="53"/>
      <c r="K938" s="24"/>
      <c r="L938" s="7"/>
      <c r="M938" s="24"/>
      <c r="N938" s="24"/>
      <c r="O938" s="24"/>
      <c r="P938" s="24"/>
      <c r="Q938" s="24"/>
      <c r="R938" s="24"/>
      <c r="S938" s="24"/>
      <c r="T938" s="24"/>
      <c r="U938" s="24"/>
      <c r="V938" s="24"/>
      <c r="W938" s="24"/>
      <c r="X938" s="24"/>
      <c r="Y938" s="24"/>
      <c r="Z938" s="24"/>
      <c r="AA938" s="24"/>
      <c r="AB938" s="24"/>
      <c r="AC938" s="24"/>
      <c r="AD938" s="24"/>
      <c r="AE938" s="24"/>
      <c r="AF938" s="24"/>
      <c r="AG938" s="24"/>
      <c r="AH938" s="24"/>
      <c r="AI938" s="24"/>
      <c r="AJ938" s="24"/>
      <c r="AK938" s="24"/>
      <c r="AL938" s="24"/>
      <c r="AM938" s="24"/>
      <c r="AN938" s="24"/>
      <c r="AO938" s="24"/>
      <c r="AP938" s="24"/>
      <c r="AQ938" s="24"/>
      <c r="AR938" s="24"/>
      <c r="AS938" s="24"/>
      <c r="AT938" s="24"/>
      <c r="AU938" s="24"/>
      <c r="AV938" s="24"/>
      <c r="AW938" s="24"/>
      <c r="AX938" s="24"/>
      <c r="AY938" s="24"/>
      <c r="AZ938" s="24"/>
      <c r="BA938" s="24"/>
      <c r="BB938" s="24"/>
      <c r="BC938" s="24"/>
      <c r="BD938" s="24"/>
      <c r="BE938" s="24"/>
      <c r="BF938" s="24"/>
      <c r="BG938" s="24"/>
      <c r="BH938" s="24"/>
    </row>
    <row r="939" spans="1:60">
      <c r="A939" s="7"/>
      <c r="B939" s="8"/>
      <c r="C939" s="9"/>
      <c r="D939" s="25"/>
      <c r="E939" s="25"/>
      <c r="F939" s="25"/>
      <c r="G939" s="25"/>
      <c r="H939" s="53"/>
      <c r="I939" s="53"/>
      <c r="J939" s="53"/>
      <c r="K939" s="24"/>
      <c r="L939" s="7"/>
      <c r="M939" s="24"/>
      <c r="N939" s="24"/>
      <c r="O939" s="24"/>
      <c r="P939" s="24"/>
      <c r="Q939" s="24"/>
      <c r="R939" s="24"/>
      <c r="S939" s="24"/>
      <c r="T939" s="24"/>
      <c r="U939" s="24"/>
      <c r="V939" s="24"/>
      <c r="W939" s="24"/>
      <c r="X939" s="24"/>
      <c r="Y939" s="24"/>
      <c r="Z939" s="24"/>
      <c r="AA939" s="24"/>
      <c r="AB939" s="24"/>
      <c r="AC939" s="24"/>
      <c r="AD939" s="24"/>
      <c r="AE939" s="24"/>
      <c r="AF939" s="24"/>
      <c r="AG939" s="24"/>
      <c r="AH939" s="24"/>
      <c r="AI939" s="24"/>
      <c r="AJ939" s="24"/>
      <c r="AK939" s="24"/>
      <c r="AL939" s="24"/>
      <c r="AM939" s="24"/>
      <c r="AN939" s="24"/>
      <c r="AO939" s="24"/>
      <c r="AP939" s="24"/>
      <c r="AQ939" s="24"/>
      <c r="AR939" s="24"/>
      <c r="AS939" s="24"/>
      <c r="AT939" s="24"/>
      <c r="AU939" s="24"/>
      <c r="AV939" s="24"/>
      <c r="AW939" s="24"/>
      <c r="AX939" s="24"/>
      <c r="AY939" s="24"/>
      <c r="AZ939" s="24"/>
      <c r="BA939" s="24"/>
      <c r="BB939" s="24"/>
      <c r="BC939" s="24"/>
      <c r="BD939" s="24"/>
      <c r="BE939" s="24"/>
      <c r="BF939" s="24"/>
      <c r="BG939" s="24"/>
      <c r="BH939" s="24"/>
    </row>
    <row r="940" spans="1:60">
      <c r="A940" s="7"/>
      <c r="B940" s="8"/>
      <c r="C940" s="9"/>
      <c r="D940" s="25"/>
      <c r="E940" s="25"/>
      <c r="F940" s="25"/>
      <c r="G940" s="25"/>
      <c r="H940" s="53"/>
      <c r="I940" s="53"/>
      <c r="J940" s="53"/>
      <c r="K940" s="24"/>
      <c r="L940" s="7"/>
      <c r="M940" s="24"/>
      <c r="N940" s="24"/>
      <c r="O940" s="24"/>
      <c r="P940" s="24"/>
      <c r="Q940" s="24"/>
      <c r="R940" s="24"/>
      <c r="S940" s="24"/>
      <c r="T940" s="24"/>
      <c r="U940" s="24"/>
      <c r="V940" s="24"/>
      <c r="W940" s="24"/>
      <c r="X940" s="24"/>
      <c r="Y940" s="24"/>
      <c r="Z940" s="24"/>
      <c r="AA940" s="24"/>
      <c r="AB940" s="24"/>
      <c r="AC940" s="24"/>
      <c r="AD940" s="24"/>
      <c r="AE940" s="24"/>
      <c r="AF940" s="24"/>
      <c r="AG940" s="24"/>
      <c r="AH940" s="24"/>
      <c r="AI940" s="24"/>
      <c r="AJ940" s="24"/>
      <c r="AK940" s="24"/>
      <c r="AL940" s="24"/>
      <c r="AM940" s="24"/>
      <c r="AN940" s="24"/>
      <c r="AO940" s="24"/>
      <c r="AP940" s="24"/>
      <c r="AQ940" s="24"/>
      <c r="AR940" s="24"/>
      <c r="AS940" s="24"/>
      <c r="AT940" s="24"/>
      <c r="AU940" s="24"/>
      <c r="AV940" s="24"/>
      <c r="AW940" s="24"/>
      <c r="AX940" s="24"/>
      <c r="AY940" s="24"/>
      <c r="AZ940" s="24"/>
      <c r="BA940" s="24"/>
      <c r="BB940" s="24"/>
      <c r="BC940" s="24"/>
      <c r="BD940" s="24"/>
      <c r="BE940" s="24"/>
      <c r="BF940" s="24"/>
      <c r="BG940" s="24"/>
      <c r="BH940" s="24"/>
    </row>
    <row r="941" spans="1:60">
      <c r="A941" s="7"/>
      <c r="B941" s="8"/>
      <c r="C941" s="9"/>
      <c r="D941" s="25"/>
      <c r="E941" s="25"/>
      <c r="F941" s="25"/>
      <c r="G941" s="25"/>
      <c r="H941" s="53"/>
      <c r="I941" s="53"/>
      <c r="J941" s="53"/>
      <c r="K941" s="24"/>
      <c r="L941" s="7"/>
      <c r="M941" s="24"/>
      <c r="N941" s="24"/>
      <c r="O941" s="24"/>
      <c r="P941" s="24"/>
      <c r="Q941" s="24"/>
      <c r="R941" s="24"/>
      <c r="S941" s="24"/>
      <c r="T941" s="24"/>
      <c r="U941" s="24"/>
      <c r="V941" s="24"/>
      <c r="W941" s="24"/>
      <c r="X941" s="24"/>
      <c r="Y941" s="24"/>
      <c r="Z941" s="24"/>
      <c r="AA941" s="24"/>
      <c r="AB941" s="24"/>
      <c r="AC941" s="24"/>
      <c r="AD941" s="24"/>
      <c r="AE941" s="24"/>
      <c r="AF941" s="24"/>
      <c r="AG941" s="24"/>
      <c r="AH941" s="24"/>
      <c r="AI941" s="24"/>
      <c r="AJ941" s="24"/>
      <c r="AK941" s="24"/>
      <c r="AL941" s="24"/>
      <c r="AM941" s="24"/>
      <c r="AN941" s="24"/>
      <c r="AO941" s="24"/>
      <c r="AP941" s="24"/>
      <c r="AQ941" s="24"/>
      <c r="AR941" s="24"/>
      <c r="AS941" s="24"/>
      <c r="AT941" s="24"/>
      <c r="AU941" s="24"/>
      <c r="AV941" s="24"/>
      <c r="AW941" s="24"/>
      <c r="AX941" s="24"/>
      <c r="AY941" s="24"/>
      <c r="AZ941" s="24"/>
      <c r="BA941" s="24"/>
      <c r="BB941" s="24"/>
      <c r="BC941" s="24"/>
      <c r="BD941" s="24"/>
      <c r="BE941" s="24"/>
      <c r="BF941" s="24"/>
      <c r="BG941" s="24"/>
      <c r="BH941" s="24"/>
    </row>
    <row r="942" spans="1:60">
      <c r="A942" s="7"/>
      <c r="B942" s="8"/>
      <c r="C942" s="9"/>
      <c r="D942" s="25"/>
      <c r="E942" s="25"/>
      <c r="F942" s="25"/>
      <c r="G942" s="25"/>
      <c r="H942" s="53"/>
      <c r="I942" s="53"/>
      <c r="J942" s="53"/>
      <c r="K942" s="24"/>
      <c r="L942" s="7"/>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24"/>
      <c r="BE942" s="24"/>
      <c r="BF942" s="24"/>
      <c r="BG942" s="24"/>
      <c r="BH942" s="24"/>
    </row>
    <row r="943" spans="1:60">
      <c r="A943" s="7"/>
      <c r="B943" s="8"/>
      <c r="C943" s="9"/>
      <c r="D943" s="25"/>
      <c r="E943" s="25"/>
      <c r="F943" s="25"/>
      <c r="G943" s="25"/>
      <c r="H943" s="53"/>
      <c r="I943" s="53"/>
      <c r="J943" s="53"/>
      <c r="K943" s="24"/>
      <c r="L943" s="7"/>
      <c r="M943" s="24"/>
      <c r="N943" s="24"/>
      <c r="O943" s="24"/>
      <c r="P943" s="24"/>
      <c r="Q943" s="24"/>
      <c r="R943" s="24"/>
      <c r="S943" s="24"/>
      <c r="T943" s="24"/>
      <c r="U943" s="24"/>
      <c r="V943" s="24"/>
      <c r="W943" s="24"/>
      <c r="X943" s="24"/>
      <c r="Y943" s="24"/>
      <c r="Z943" s="24"/>
      <c r="AA943" s="24"/>
      <c r="AB943" s="24"/>
      <c r="AC943" s="24"/>
      <c r="AD943" s="24"/>
      <c r="AE943" s="24"/>
      <c r="AF943" s="24"/>
      <c r="AG943" s="24"/>
      <c r="AH943" s="24"/>
      <c r="AI943" s="24"/>
      <c r="AJ943" s="24"/>
      <c r="AK943" s="24"/>
      <c r="AL943" s="24"/>
      <c r="AM943" s="24"/>
      <c r="AN943" s="24"/>
      <c r="AO943" s="24"/>
      <c r="AP943" s="24"/>
      <c r="AQ943" s="24"/>
      <c r="AR943" s="24"/>
      <c r="AS943" s="24"/>
      <c r="AT943" s="24"/>
      <c r="AU943" s="24"/>
      <c r="AV943" s="24"/>
      <c r="AW943" s="24"/>
      <c r="AX943" s="24"/>
      <c r="AY943" s="24"/>
      <c r="AZ943" s="24"/>
      <c r="BA943" s="24"/>
      <c r="BB943" s="24"/>
      <c r="BC943" s="24"/>
      <c r="BD943" s="24"/>
      <c r="BE943" s="24"/>
      <c r="BF943" s="24"/>
      <c r="BG943" s="24"/>
      <c r="BH943" s="24"/>
    </row>
    <row r="944" spans="1:60">
      <c r="A944" s="7"/>
      <c r="B944" s="8"/>
      <c r="C944" s="9"/>
      <c r="D944" s="25"/>
      <c r="E944" s="25"/>
      <c r="F944" s="25"/>
      <c r="G944" s="25"/>
      <c r="H944" s="53"/>
      <c r="I944" s="53"/>
      <c r="J944" s="53"/>
      <c r="K944" s="24"/>
      <c r="L944" s="7"/>
      <c r="M944" s="24"/>
      <c r="N944" s="24"/>
      <c r="O944" s="24"/>
      <c r="P944" s="24"/>
      <c r="Q944" s="24"/>
      <c r="R944" s="24"/>
      <c r="S944" s="24"/>
      <c r="T944" s="24"/>
      <c r="U944" s="24"/>
      <c r="V944" s="24"/>
      <c r="W944" s="24"/>
      <c r="X944" s="24"/>
      <c r="Y944" s="24"/>
      <c r="Z944" s="24"/>
      <c r="AA944" s="24"/>
      <c r="AB944" s="24"/>
      <c r="AC944" s="24"/>
      <c r="AD944" s="24"/>
      <c r="AE944" s="24"/>
      <c r="AF944" s="24"/>
      <c r="AG944" s="24"/>
      <c r="AH944" s="24"/>
      <c r="AI944" s="24"/>
      <c r="AJ944" s="24"/>
      <c r="AK944" s="24"/>
      <c r="AL944" s="24"/>
      <c r="AM944" s="24"/>
      <c r="AN944" s="24"/>
      <c r="AO944" s="24"/>
      <c r="AP944" s="24"/>
      <c r="AQ944" s="24"/>
      <c r="AR944" s="24"/>
      <c r="AS944" s="24"/>
      <c r="AT944" s="24"/>
      <c r="AU944" s="24"/>
      <c r="AV944" s="24"/>
      <c r="AW944" s="24"/>
      <c r="AX944" s="24"/>
      <c r="AY944" s="24"/>
      <c r="AZ944" s="24"/>
      <c r="BA944" s="24"/>
      <c r="BB944" s="24"/>
      <c r="BC944" s="24"/>
      <c r="BD944" s="24"/>
      <c r="BE944" s="24"/>
      <c r="BF944" s="24"/>
      <c r="BG944" s="24"/>
      <c r="BH944" s="24"/>
    </row>
    <row r="945" spans="1:60">
      <c r="A945" s="7"/>
      <c r="B945" s="8"/>
      <c r="C945" s="9"/>
      <c r="D945" s="25"/>
      <c r="E945" s="25"/>
      <c r="F945" s="25"/>
      <c r="G945" s="25"/>
      <c r="H945" s="53"/>
      <c r="I945" s="53"/>
      <c r="J945" s="53"/>
      <c r="K945" s="24"/>
      <c r="L945" s="7"/>
      <c r="M945" s="24"/>
      <c r="N945" s="24"/>
      <c r="O945" s="24"/>
      <c r="P945" s="24"/>
      <c r="Q945" s="24"/>
      <c r="R945" s="24"/>
      <c r="S945" s="24"/>
      <c r="T945" s="24"/>
      <c r="U945" s="24"/>
      <c r="V945" s="24"/>
      <c r="W945" s="24"/>
      <c r="X945" s="24"/>
      <c r="Y945" s="24"/>
      <c r="Z945" s="24"/>
      <c r="AA945" s="24"/>
      <c r="AB945" s="24"/>
      <c r="AC945" s="24"/>
      <c r="AD945" s="24"/>
      <c r="AE945" s="24"/>
      <c r="AF945" s="24"/>
      <c r="AG945" s="24"/>
      <c r="AH945" s="24"/>
      <c r="AI945" s="24"/>
      <c r="AJ945" s="24"/>
      <c r="AK945" s="24"/>
      <c r="AL945" s="24"/>
      <c r="AM945" s="24"/>
      <c r="AN945" s="24"/>
      <c r="AO945" s="24"/>
      <c r="AP945" s="24"/>
      <c r="AQ945" s="24"/>
      <c r="AR945" s="24"/>
      <c r="AS945" s="24"/>
      <c r="AT945" s="24"/>
      <c r="AU945" s="24"/>
      <c r="AV945" s="24"/>
      <c r="AW945" s="24"/>
      <c r="AX945" s="24"/>
      <c r="AY945" s="24"/>
      <c r="AZ945" s="24"/>
      <c r="BA945" s="24"/>
      <c r="BB945" s="24"/>
      <c r="BC945" s="24"/>
      <c r="BD945" s="24"/>
      <c r="BE945" s="24"/>
      <c r="BF945" s="24"/>
      <c r="BG945" s="24"/>
      <c r="BH945" s="24"/>
    </row>
    <row r="946" spans="1:60">
      <c r="A946" s="7"/>
      <c r="B946" s="8"/>
      <c r="C946" s="9"/>
      <c r="D946" s="25"/>
      <c r="E946" s="25"/>
      <c r="F946" s="25"/>
      <c r="G946" s="25"/>
      <c r="H946" s="53"/>
      <c r="I946" s="53"/>
      <c r="J946" s="53"/>
      <c r="K946" s="24"/>
      <c r="L946" s="7"/>
      <c r="M946" s="24"/>
      <c r="N946" s="24"/>
      <c r="O946" s="24"/>
      <c r="P946" s="24"/>
      <c r="Q946" s="24"/>
      <c r="R946" s="24"/>
      <c r="S946" s="24"/>
      <c r="T946" s="24"/>
      <c r="U946" s="24"/>
      <c r="V946" s="24"/>
      <c r="W946" s="24"/>
      <c r="X946" s="24"/>
      <c r="Y946" s="24"/>
      <c r="Z946" s="24"/>
      <c r="AA946" s="24"/>
      <c r="AB946" s="24"/>
      <c r="AC946" s="24"/>
      <c r="AD946" s="24"/>
      <c r="AE946" s="24"/>
      <c r="AF946" s="24"/>
      <c r="AG946" s="24"/>
      <c r="AH946" s="24"/>
      <c r="AI946" s="24"/>
      <c r="AJ946" s="24"/>
      <c r="AK946" s="24"/>
      <c r="AL946" s="24"/>
      <c r="AM946" s="24"/>
      <c r="AN946" s="24"/>
      <c r="AO946" s="24"/>
      <c r="AP946" s="24"/>
      <c r="AQ946" s="24"/>
      <c r="AR946" s="24"/>
      <c r="AS946" s="24"/>
      <c r="AT946" s="24"/>
      <c r="AU946" s="24"/>
      <c r="AV946" s="24"/>
      <c r="AW946" s="24"/>
      <c r="AX946" s="24"/>
      <c r="AY946" s="24"/>
      <c r="AZ946" s="24"/>
      <c r="BA946" s="24"/>
      <c r="BB946" s="24"/>
      <c r="BC946" s="24"/>
      <c r="BD946" s="24"/>
      <c r="BE946" s="24"/>
      <c r="BF946" s="24"/>
      <c r="BG946" s="24"/>
      <c r="BH946" s="24"/>
    </row>
    <row r="947" spans="1:60">
      <c r="A947" s="7"/>
      <c r="B947" s="8"/>
      <c r="C947" s="9"/>
      <c r="D947" s="25"/>
      <c r="E947" s="25"/>
      <c r="F947" s="25"/>
      <c r="G947" s="25"/>
      <c r="H947" s="53"/>
      <c r="I947" s="53"/>
      <c r="J947" s="53"/>
      <c r="K947" s="24"/>
      <c r="L947" s="7"/>
      <c r="M947" s="24"/>
      <c r="N947" s="24"/>
      <c r="O947" s="24"/>
      <c r="P947" s="24"/>
      <c r="Q947" s="24"/>
      <c r="R947" s="24"/>
      <c r="S947" s="24"/>
      <c r="T947" s="24"/>
      <c r="U947" s="24"/>
      <c r="V947" s="24"/>
      <c r="W947" s="24"/>
      <c r="X947" s="24"/>
      <c r="Y947" s="24"/>
      <c r="Z947" s="24"/>
      <c r="AA947" s="24"/>
      <c r="AB947" s="24"/>
      <c r="AC947" s="24"/>
      <c r="AD947" s="24"/>
      <c r="AE947" s="24"/>
      <c r="AF947" s="24"/>
      <c r="AG947" s="24"/>
      <c r="AH947" s="24"/>
      <c r="AI947" s="24"/>
      <c r="AJ947" s="24"/>
      <c r="AK947" s="24"/>
      <c r="AL947" s="24"/>
      <c r="AM947" s="24"/>
      <c r="AN947" s="24"/>
      <c r="AO947" s="24"/>
      <c r="AP947" s="24"/>
      <c r="AQ947" s="24"/>
      <c r="AR947" s="24"/>
      <c r="AS947" s="24"/>
      <c r="AT947" s="24"/>
      <c r="AU947" s="24"/>
      <c r="AV947" s="24"/>
      <c r="AW947" s="24"/>
      <c r="AX947" s="24"/>
      <c r="AY947" s="24"/>
      <c r="AZ947" s="24"/>
      <c r="BA947" s="24"/>
      <c r="BB947" s="24"/>
      <c r="BC947" s="24"/>
      <c r="BD947" s="24"/>
      <c r="BE947" s="24"/>
      <c r="BF947" s="24"/>
      <c r="BG947" s="24"/>
      <c r="BH947" s="24"/>
    </row>
    <row r="948" spans="1:60">
      <c r="A948" s="7"/>
      <c r="B948" s="8"/>
      <c r="C948" s="9"/>
      <c r="D948" s="25"/>
      <c r="E948" s="25"/>
      <c r="F948" s="25"/>
      <c r="G948" s="25"/>
      <c r="H948" s="53"/>
      <c r="I948" s="53"/>
      <c r="J948" s="53"/>
      <c r="K948" s="24"/>
      <c r="L948" s="7"/>
      <c r="M948" s="24"/>
      <c r="N948" s="24"/>
      <c r="O948" s="24"/>
      <c r="P948" s="24"/>
      <c r="Q948" s="24"/>
      <c r="R948" s="24"/>
      <c r="S948" s="24"/>
      <c r="T948" s="24"/>
      <c r="U948" s="24"/>
      <c r="V948" s="24"/>
      <c r="W948" s="24"/>
      <c r="X948" s="24"/>
      <c r="Y948" s="24"/>
      <c r="Z948" s="24"/>
      <c r="AA948" s="24"/>
      <c r="AB948" s="24"/>
      <c r="AC948" s="24"/>
      <c r="AD948" s="24"/>
      <c r="AE948" s="24"/>
      <c r="AF948" s="24"/>
      <c r="AG948" s="24"/>
      <c r="AH948" s="24"/>
      <c r="AI948" s="24"/>
      <c r="AJ948" s="24"/>
      <c r="AK948" s="24"/>
      <c r="AL948" s="24"/>
      <c r="AM948" s="24"/>
      <c r="AN948" s="24"/>
      <c r="AO948" s="24"/>
      <c r="AP948" s="24"/>
      <c r="AQ948" s="24"/>
      <c r="AR948" s="24"/>
      <c r="AS948" s="24"/>
      <c r="AT948" s="24"/>
      <c r="AU948" s="24"/>
      <c r="AV948" s="24"/>
      <c r="AW948" s="24"/>
      <c r="AX948" s="24"/>
      <c r="AY948" s="24"/>
      <c r="AZ948" s="24"/>
      <c r="BA948" s="24"/>
      <c r="BB948" s="24"/>
      <c r="BC948" s="24"/>
      <c r="BD948" s="24"/>
      <c r="BE948" s="24"/>
      <c r="BF948" s="24"/>
      <c r="BG948" s="24"/>
      <c r="BH948" s="24"/>
    </row>
    <row r="949" spans="1:60">
      <c r="A949" s="7"/>
      <c r="B949" s="8"/>
      <c r="C949" s="9"/>
      <c r="D949" s="25"/>
      <c r="E949" s="25"/>
      <c r="F949" s="25"/>
      <c r="G949" s="25"/>
      <c r="H949" s="53"/>
      <c r="I949" s="53"/>
      <c r="J949" s="53"/>
      <c r="K949" s="24"/>
      <c r="L949" s="7"/>
      <c r="M949" s="24"/>
      <c r="N949" s="24"/>
      <c r="O949" s="24"/>
      <c r="P949" s="24"/>
      <c r="Q949" s="24"/>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row>
    <row r="950" spans="1:60">
      <c r="A950" s="7"/>
      <c r="B950" s="8"/>
      <c r="C950" s="9"/>
      <c r="D950" s="25"/>
      <c r="E950" s="25"/>
      <c r="F950" s="25"/>
      <c r="G950" s="25"/>
      <c r="H950" s="53"/>
      <c r="I950" s="53"/>
      <c r="J950" s="53"/>
      <c r="K950" s="24"/>
      <c r="L950" s="7"/>
      <c r="M950" s="24"/>
      <c r="N950" s="24"/>
      <c r="O950" s="24"/>
      <c r="P950" s="24"/>
      <c r="Q950" s="24"/>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row>
    <row r="951" spans="1:60">
      <c r="A951" s="7"/>
      <c r="B951" s="8"/>
      <c r="C951" s="9"/>
      <c r="D951" s="25"/>
      <c r="E951" s="25"/>
      <c r="F951" s="25"/>
      <c r="G951" s="25"/>
      <c r="H951" s="53"/>
      <c r="I951" s="53"/>
      <c r="J951" s="53"/>
      <c r="K951" s="24"/>
      <c r="L951" s="7"/>
      <c r="M951" s="24"/>
      <c r="N951" s="24"/>
      <c r="O951" s="24"/>
      <c r="P951" s="24"/>
      <c r="Q951" s="24"/>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row>
    <row r="952" spans="1:60">
      <c r="A952" s="7"/>
      <c r="B952" s="8"/>
      <c r="C952" s="9"/>
      <c r="D952" s="25"/>
      <c r="E952" s="25"/>
      <c r="F952" s="25"/>
      <c r="G952" s="25"/>
      <c r="H952" s="53"/>
      <c r="I952" s="53"/>
      <c r="J952" s="53"/>
      <c r="K952" s="24"/>
      <c r="L952" s="7"/>
      <c r="M952" s="24"/>
      <c r="N952" s="24"/>
      <c r="O952" s="24"/>
      <c r="P952" s="24"/>
      <c r="Q952" s="24"/>
      <c r="R952" s="24"/>
      <c r="S952" s="24"/>
      <c r="T952" s="24"/>
      <c r="U952" s="24"/>
      <c r="V952" s="24"/>
      <c r="W952" s="24"/>
      <c r="X952" s="24"/>
      <c r="Y952" s="24"/>
      <c r="Z952" s="24"/>
      <c r="AA952" s="24"/>
      <c r="AB952" s="24"/>
      <c r="AC952" s="24"/>
      <c r="AD952" s="24"/>
      <c r="AE952" s="24"/>
      <c r="AF952" s="24"/>
      <c r="AG952" s="24"/>
      <c r="AH952" s="24"/>
      <c r="AI952" s="24"/>
      <c r="AJ952" s="24"/>
      <c r="AK952" s="24"/>
      <c r="AL952" s="24"/>
      <c r="AM952" s="24"/>
      <c r="AN952" s="24"/>
      <c r="AO952" s="24"/>
      <c r="AP952" s="24"/>
      <c r="AQ952" s="24"/>
      <c r="AR952" s="24"/>
      <c r="AS952" s="24"/>
      <c r="AT952" s="24"/>
      <c r="AU952" s="24"/>
      <c r="AV952" s="24"/>
      <c r="AW952" s="24"/>
      <c r="AX952" s="24"/>
      <c r="AY952" s="24"/>
      <c r="AZ952" s="24"/>
      <c r="BA952" s="24"/>
      <c r="BB952" s="24"/>
      <c r="BC952" s="24"/>
      <c r="BD952" s="24"/>
      <c r="BE952" s="24"/>
      <c r="BF952" s="24"/>
      <c r="BG952" s="24"/>
      <c r="BH952" s="24"/>
    </row>
    <row r="953" spans="1:60">
      <c r="A953" s="7"/>
      <c r="B953" s="8"/>
      <c r="C953" s="9"/>
      <c r="D953" s="25"/>
      <c r="E953" s="25"/>
      <c r="F953" s="25"/>
      <c r="G953" s="25"/>
      <c r="H953" s="53"/>
      <c r="I953" s="53"/>
      <c r="J953" s="53"/>
      <c r="K953" s="24"/>
      <c r="L953" s="7"/>
      <c r="M953" s="24"/>
      <c r="N953" s="24"/>
      <c r="O953" s="24"/>
      <c r="P953" s="24"/>
      <c r="Q953" s="24"/>
      <c r="R953" s="24"/>
      <c r="S953" s="24"/>
      <c r="T953" s="24"/>
      <c r="U953" s="24"/>
      <c r="V953" s="24"/>
      <c r="W953" s="24"/>
      <c r="X953" s="24"/>
      <c r="Y953" s="24"/>
      <c r="Z953" s="24"/>
      <c r="AA953" s="24"/>
      <c r="AB953" s="24"/>
      <c r="AC953" s="24"/>
      <c r="AD953" s="24"/>
      <c r="AE953" s="24"/>
      <c r="AF953" s="24"/>
      <c r="AG953" s="24"/>
      <c r="AH953" s="24"/>
      <c r="AI953" s="24"/>
      <c r="AJ953" s="24"/>
      <c r="AK953" s="24"/>
      <c r="AL953" s="24"/>
      <c r="AM953" s="24"/>
      <c r="AN953" s="24"/>
      <c r="AO953" s="24"/>
      <c r="AP953" s="24"/>
      <c r="AQ953" s="24"/>
      <c r="AR953" s="24"/>
      <c r="AS953" s="24"/>
      <c r="AT953" s="24"/>
      <c r="AU953" s="24"/>
      <c r="AV953" s="24"/>
      <c r="AW953" s="24"/>
      <c r="AX953" s="24"/>
      <c r="AY953" s="24"/>
      <c r="AZ953" s="24"/>
      <c r="BA953" s="24"/>
      <c r="BB953" s="24"/>
      <c r="BC953" s="24"/>
      <c r="BD953" s="24"/>
      <c r="BE953" s="24"/>
      <c r="BF953" s="24"/>
      <c r="BG953" s="24"/>
      <c r="BH953" s="24"/>
    </row>
    <row r="954" spans="1:60">
      <c r="A954" s="7"/>
      <c r="B954" s="8"/>
      <c r="C954" s="9"/>
      <c r="D954" s="25"/>
      <c r="E954" s="25"/>
      <c r="F954" s="25"/>
      <c r="G954" s="25"/>
      <c r="H954" s="53"/>
      <c r="I954" s="53"/>
      <c r="J954" s="53"/>
      <c r="K954" s="24"/>
      <c r="L954" s="7"/>
      <c r="M954" s="24"/>
      <c r="N954" s="24"/>
      <c r="O954" s="24"/>
      <c r="P954" s="24"/>
      <c r="Q954" s="24"/>
      <c r="R954" s="24"/>
      <c r="S954" s="24"/>
      <c r="T954" s="24"/>
      <c r="U954" s="24"/>
      <c r="V954" s="24"/>
      <c r="W954" s="24"/>
      <c r="X954" s="24"/>
      <c r="Y954" s="24"/>
      <c r="Z954" s="24"/>
      <c r="AA954" s="24"/>
      <c r="AB954" s="24"/>
      <c r="AC954" s="24"/>
      <c r="AD954" s="24"/>
      <c r="AE954" s="24"/>
      <c r="AF954" s="24"/>
      <c r="AG954" s="24"/>
      <c r="AH954" s="24"/>
      <c r="AI954" s="24"/>
      <c r="AJ954" s="24"/>
      <c r="AK954" s="24"/>
      <c r="AL954" s="24"/>
      <c r="AM954" s="24"/>
      <c r="AN954" s="24"/>
      <c r="AO954" s="24"/>
      <c r="AP954" s="24"/>
      <c r="AQ954" s="24"/>
      <c r="AR954" s="24"/>
      <c r="AS954" s="24"/>
      <c r="AT954" s="24"/>
      <c r="AU954" s="24"/>
      <c r="AV954" s="24"/>
      <c r="AW954" s="24"/>
      <c r="AX954" s="24"/>
      <c r="AY954" s="24"/>
      <c r="AZ954" s="24"/>
      <c r="BA954" s="24"/>
      <c r="BB954" s="24"/>
      <c r="BC954" s="24"/>
      <c r="BD954" s="24"/>
      <c r="BE954" s="24"/>
      <c r="BF954" s="24"/>
      <c r="BG954" s="24"/>
      <c r="BH954" s="24"/>
    </row>
    <row r="955" spans="1:60">
      <c r="A955" s="7"/>
      <c r="B955" s="8"/>
      <c r="C955" s="9"/>
      <c r="D955" s="25"/>
      <c r="E955" s="25"/>
      <c r="F955" s="25"/>
      <c r="G955" s="25"/>
      <c r="H955" s="53"/>
      <c r="I955" s="53"/>
      <c r="J955" s="53"/>
      <c r="K955" s="24"/>
      <c r="L955" s="7"/>
      <c r="M955" s="24"/>
      <c r="N955" s="24"/>
      <c r="O955" s="24"/>
      <c r="P955" s="24"/>
      <c r="Q955" s="24"/>
      <c r="R955" s="24"/>
      <c r="S955" s="24"/>
      <c r="T955" s="24"/>
      <c r="U955" s="24"/>
      <c r="V955" s="24"/>
      <c r="W955" s="24"/>
      <c r="X955" s="24"/>
      <c r="Y955" s="24"/>
      <c r="Z955" s="24"/>
      <c r="AA955" s="24"/>
      <c r="AB955" s="24"/>
      <c r="AC955" s="24"/>
      <c r="AD955" s="24"/>
      <c r="AE955" s="24"/>
      <c r="AF955" s="24"/>
      <c r="AG955" s="24"/>
      <c r="AH955" s="24"/>
      <c r="AI955" s="24"/>
      <c r="AJ955" s="24"/>
      <c r="AK955" s="24"/>
      <c r="AL955" s="24"/>
      <c r="AM955" s="24"/>
      <c r="AN955" s="24"/>
      <c r="AO955" s="24"/>
      <c r="AP955" s="24"/>
      <c r="AQ955" s="24"/>
      <c r="AR955" s="24"/>
      <c r="AS955" s="24"/>
      <c r="AT955" s="24"/>
      <c r="AU955" s="24"/>
      <c r="AV955" s="24"/>
      <c r="AW955" s="24"/>
      <c r="AX955" s="24"/>
      <c r="AY955" s="24"/>
      <c r="AZ955" s="24"/>
      <c r="BA955" s="24"/>
      <c r="BB955" s="24"/>
      <c r="BC955" s="24"/>
      <c r="BD955" s="24"/>
      <c r="BE955" s="24"/>
      <c r="BF955" s="24"/>
      <c r="BG955" s="24"/>
      <c r="BH955" s="24"/>
    </row>
    <row r="956" spans="1:60">
      <c r="A956" s="7"/>
      <c r="B956" s="8"/>
      <c r="C956" s="9"/>
      <c r="D956" s="25"/>
      <c r="E956" s="25"/>
      <c r="F956" s="25"/>
      <c r="G956" s="25"/>
      <c r="H956" s="53"/>
      <c r="I956" s="53"/>
      <c r="J956" s="53"/>
      <c r="K956" s="24"/>
      <c r="L956" s="7"/>
      <c r="M956" s="24"/>
      <c r="N956" s="24"/>
      <c r="O956" s="24"/>
      <c r="P956" s="24"/>
      <c r="Q956" s="24"/>
      <c r="R956" s="24"/>
      <c r="S956" s="24"/>
      <c r="T956" s="24"/>
      <c r="U956" s="24"/>
      <c r="V956" s="24"/>
      <c r="W956" s="24"/>
      <c r="X956" s="24"/>
      <c r="Y956" s="24"/>
      <c r="Z956" s="24"/>
      <c r="AA956" s="24"/>
      <c r="AB956" s="24"/>
      <c r="AC956" s="24"/>
      <c r="AD956" s="24"/>
      <c r="AE956" s="24"/>
      <c r="AF956" s="24"/>
      <c r="AG956" s="24"/>
      <c r="AH956" s="24"/>
      <c r="AI956" s="24"/>
      <c r="AJ956" s="24"/>
      <c r="AK956" s="24"/>
      <c r="AL956" s="24"/>
      <c r="AM956" s="24"/>
      <c r="AN956" s="24"/>
      <c r="AO956" s="24"/>
      <c r="AP956" s="24"/>
      <c r="AQ956" s="24"/>
      <c r="AR956" s="24"/>
      <c r="AS956" s="24"/>
      <c r="AT956" s="24"/>
      <c r="AU956" s="24"/>
      <c r="AV956" s="24"/>
      <c r="AW956" s="24"/>
      <c r="AX956" s="24"/>
      <c r="AY956" s="24"/>
      <c r="AZ956" s="24"/>
      <c r="BA956" s="24"/>
      <c r="BB956" s="24"/>
      <c r="BC956" s="24"/>
      <c r="BD956" s="24"/>
      <c r="BE956" s="24"/>
      <c r="BF956" s="24"/>
      <c r="BG956" s="24"/>
      <c r="BH956" s="24"/>
    </row>
    <row r="957" spans="1:60">
      <c r="A957" s="7"/>
      <c r="B957" s="8"/>
      <c r="C957" s="9"/>
      <c r="D957" s="25"/>
      <c r="E957" s="25"/>
      <c r="F957" s="25"/>
      <c r="G957" s="25"/>
      <c r="H957" s="53"/>
      <c r="I957" s="53"/>
      <c r="J957" s="53"/>
      <c r="K957" s="24"/>
      <c r="L957" s="7"/>
      <c r="M957" s="24"/>
      <c r="N957" s="24"/>
      <c r="O957" s="24"/>
      <c r="P957" s="24"/>
      <c r="Q957" s="24"/>
      <c r="R957" s="24"/>
      <c r="S957" s="24"/>
      <c r="T957" s="24"/>
      <c r="U957" s="24"/>
      <c r="V957" s="24"/>
      <c r="W957" s="24"/>
      <c r="X957" s="24"/>
      <c r="Y957" s="24"/>
      <c r="Z957" s="24"/>
      <c r="AA957" s="24"/>
      <c r="AB957" s="24"/>
      <c r="AC957" s="24"/>
      <c r="AD957" s="24"/>
      <c r="AE957" s="24"/>
      <c r="AF957" s="24"/>
      <c r="AG957" s="24"/>
      <c r="AH957" s="24"/>
      <c r="AI957" s="24"/>
      <c r="AJ957" s="24"/>
      <c r="AK957" s="24"/>
      <c r="AL957" s="24"/>
      <c r="AM957" s="24"/>
      <c r="AN957" s="24"/>
      <c r="AO957" s="24"/>
      <c r="AP957" s="24"/>
      <c r="AQ957" s="24"/>
      <c r="AR957" s="24"/>
      <c r="AS957" s="24"/>
      <c r="AT957" s="24"/>
      <c r="AU957" s="24"/>
      <c r="AV957" s="24"/>
      <c r="AW957" s="24"/>
      <c r="AX957" s="24"/>
      <c r="AY957" s="24"/>
      <c r="AZ957" s="24"/>
      <c r="BA957" s="24"/>
      <c r="BB957" s="24"/>
      <c r="BC957" s="24"/>
      <c r="BD957" s="24"/>
      <c r="BE957" s="24"/>
      <c r="BF957" s="24"/>
      <c r="BG957" s="24"/>
      <c r="BH957" s="24"/>
    </row>
    <row r="958" spans="1:60">
      <c r="A958" s="7"/>
      <c r="B958" s="8"/>
      <c r="C958" s="9"/>
      <c r="D958" s="25"/>
      <c r="E958" s="25"/>
      <c r="F958" s="25"/>
      <c r="G958" s="25"/>
      <c r="H958" s="53"/>
      <c r="I958" s="53"/>
      <c r="J958" s="53"/>
      <c r="K958" s="24"/>
      <c r="L958" s="7"/>
      <c r="M958" s="24"/>
      <c r="N958" s="24"/>
      <c r="O958" s="24"/>
      <c r="P958" s="24"/>
      <c r="Q958" s="24"/>
      <c r="R958" s="24"/>
      <c r="S958" s="24"/>
      <c r="T958" s="24"/>
      <c r="U958" s="24"/>
      <c r="V958" s="24"/>
      <c r="W958" s="24"/>
      <c r="X958" s="24"/>
      <c r="Y958" s="24"/>
      <c r="Z958" s="24"/>
      <c r="AA958" s="24"/>
      <c r="AB958" s="24"/>
      <c r="AC958" s="24"/>
      <c r="AD958" s="24"/>
      <c r="AE958" s="24"/>
      <c r="AF958" s="24"/>
      <c r="AG958" s="24"/>
      <c r="AH958" s="24"/>
      <c r="AI958" s="24"/>
      <c r="AJ958" s="24"/>
      <c r="AK958" s="24"/>
      <c r="AL958" s="24"/>
      <c r="AM958" s="24"/>
      <c r="AN958" s="24"/>
      <c r="AO958" s="24"/>
      <c r="AP958" s="24"/>
      <c r="AQ958" s="24"/>
      <c r="AR958" s="24"/>
      <c r="AS958" s="24"/>
      <c r="AT958" s="24"/>
      <c r="AU958" s="24"/>
      <c r="AV958" s="24"/>
      <c r="AW958" s="24"/>
      <c r="AX958" s="24"/>
      <c r="AY958" s="24"/>
      <c r="AZ958" s="24"/>
      <c r="BA958" s="24"/>
      <c r="BB958" s="24"/>
      <c r="BC958" s="24"/>
      <c r="BD958" s="24"/>
      <c r="BE958" s="24"/>
      <c r="BF958" s="24"/>
      <c r="BG958" s="24"/>
      <c r="BH958" s="24"/>
    </row>
    <row r="959" spans="1:60">
      <c r="A959" s="7"/>
      <c r="B959" s="8"/>
      <c r="C959" s="9"/>
      <c r="D959" s="25"/>
      <c r="E959" s="25"/>
      <c r="F959" s="25"/>
      <c r="G959" s="25"/>
      <c r="H959" s="53"/>
      <c r="I959" s="53"/>
      <c r="J959" s="53"/>
      <c r="K959" s="24"/>
      <c r="L959" s="7"/>
      <c r="M959" s="24"/>
      <c r="N959" s="24"/>
      <c r="O959" s="24"/>
      <c r="P959" s="24"/>
      <c r="Q959" s="24"/>
      <c r="R959" s="24"/>
      <c r="S959" s="24"/>
      <c r="T959" s="24"/>
      <c r="U959" s="24"/>
      <c r="V959" s="24"/>
      <c r="W959" s="24"/>
      <c r="X959" s="24"/>
      <c r="Y959" s="24"/>
      <c r="Z959" s="24"/>
      <c r="AA959" s="24"/>
      <c r="AB959" s="24"/>
      <c r="AC959" s="24"/>
      <c r="AD959" s="24"/>
      <c r="AE959" s="24"/>
      <c r="AF959" s="24"/>
      <c r="AG959" s="24"/>
      <c r="AH959" s="24"/>
      <c r="AI959" s="24"/>
      <c r="AJ959" s="24"/>
      <c r="AK959" s="24"/>
      <c r="AL959" s="24"/>
      <c r="AM959" s="24"/>
      <c r="AN959" s="24"/>
      <c r="AO959" s="24"/>
      <c r="AP959" s="24"/>
      <c r="AQ959" s="24"/>
      <c r="AR959" s="24"/>
      <c r="AS959" s="24"/>
      <c r="AT959" s="24"/>
      <c r="AU959" s="24"/>
      <c r="AV959" s="24"/>
      <c r="AW959" s="24"/>
      <c r="AX959" s="24"/>
      <c r="AY959" s="24"/>
      <c r="AZ959" s="24"/>
      <c r="BA959" s="24"/>
      <c r="BB959" s="24"/>
      <c r="BC959" s="24"/>
      <c r="BD959" s="24"/>
      <c r="BE959" s="24"/>
      <c r="BF959" s="24"/>
      <c r="BG959" s="24"/>
      <c r="BH959" s="24"/>
    </row>
    <row r="960" spans="1:60">
      <c r="A960" s="7"/>
      <c r="B960" s="8"/>
      <c r="C960" s="9"/>
      <c r="D960" s="25"/>
      <c r="E960" s="25"/>
      <c r="F960" s="25"/>
      <c r="G960" s="25"/>
      <c r="H960" s="53"/>
      <c r="I960" s="53"/>
      <c r="J960" s="53"/>
      <c r="K960" s="24"/>
      <c r="L960" s="7"/>
      <c r="M960" s="24"/>
      <c r="N960" s="24"/>
      <c r="O960" s="24"/>
      <c r="P960" s="24"/>
      <c r="Q960" s="24"/>
      <c r="R960" s="24"/>
      <c r="S960" s="24"/>
      <c r="T960" s="24"/>
      <c r="U960" s="24"/>
      <c r="V960" s="24"/>
      <c r="W960" s="24"/>
      <c r="X960" s="24"/>
      <c r="Y960" s="24"/>
      <c r="Z960" s="24"/>
      <c r="AA960" s="24"/>
      <c r="AB960" s="24"/>
      <c r="AC960" s="24"/>
      <c r="AD960" s="24"/>
      <c r="AE960" s="24"/>
      <c r="AF960" s="24"/>
      <c r="AG960" s="24"/>
      <c r="AH960" s="24"/>
      <c r="AI960" s="24"/>
      <c r="AJ960" s="24"/>
      <c r="AK960" s="24"/>
      <c r="AL960" s="24"/>
      <c r="AM960" s="24"/>
      <c r="AN960" s="24"/>
      <c r="AO960" s="24"/>
      <c r="AP960" s="24"/>
      <c r="AQ960" s="24"/>
      <c r="AR960" s="24"/>
      <c r="AS960" s="24"/>
      <c r="AT960" s="24"/>
      <c r="AU960" s="24"/>
      <c r="AV960" s="24"/>
      <c r="AW960" s="24"/>
      <c r="AX960" s="24"/>
      <c r="AY960" s="24"/>
      <c r="AZ960" s="24"/>
      <c r="BA960" s="24"/>
      <c r="BB960" s="24"/>
      <c r="BC960" s="24"/>
      <c r="BD960" s="24"/>
      <c r="BE960" s="24"/>
      <c r="BF960" s="24"/>
      <c r="BG960" s="24"/>
      <c r="BH960" s="24"/>
    </row>
    <row r="961" spans="1:60">
      <c r="A961" s="7"/>
      <c r="B961" s="8"/>
      <c r="C961" s="9"/>
      <c r="D961" s="25"/>
      <c r="E961" s="25"/>
      <c r="F961" s="25"/>
      <c r="G961" s="25"/>
      <c r="H961" s="53"/>
      <c r="I961" s="53"/>
      <c r="J961" s="53"/>
      <c r="K961" s="24"/>
      <c r="L961" s="7"/>
      <c r="M961" s="24"/>
      <c r="N961" s="24"/>
      <c r="O961" s="24"/>
      <c r="P961" s="24"/>
      <c r="Q961" s="24"/>
      <c r="R961" s="24"/>
      <c r="S961" s="24"/>
      <c r="T961" s="24"/>
      <c r="U961" s="24"/>
      <c r="V961" s="24"/>
      <c r="W961" s="24"/>
      <c r="X961" s="24"/>
      <c r="Y961" s="24"/>
      <c r="Z961" s="24"/>
      <c r="AA961" s="24"/>
      <c r="AB961" s="24"/>
      <c r="AC961" s="24"/>
      <c r="AD961" s="24"/>
      <c r="AE961" s="24"/>
      <c r="AF961" s="24"/>
      <c r="AG961" s="24"/>
      <c r="AH961" s="24"/>
      <c r="AI961" s="24"/>
      <c r="AJ961" s="24"/>
      <c r="AK961" s="24"/>
      <c r="AL961" s="24"/>
      <c r="AM961" s="24"/>
      <c r="AN961" s="24"/>
      <c r="AO961" s="24"/>
      <c r="AP961" s="24"/>
      <c r="AQ961" s="24"/>
      <c r="AR961" s="24"/>
      <c r="AS961" s="24"/>
      <c r="AT961" s="24"/>
      <c r="AU961" s="24"/>
      <c r="AV961" s="24"/>
      <c r="AW961" s="24"/>
      <c r="AX961" s="24"/>
      <c r="AY961" s="24"/>
      <c r="AZ961" s="24"/>
      <c r="BA961" s="24"/>
      <c r="BB961" s="24"/>
      <c r="BC961" s="24"/>
      <c r="BD961" s="24"/>
      <c r="BE961" s="24"/>
      <c r="BF961" s="24"/>
      <c r="BG961" s="24"/>
      <c r="BH961" s="24"/>
    </row>
    <row r="962" spans="1:60">
      <c r="A962" s="7"/>
      <c r="B962" s="8"/>
      <c r="C962" s="9"/>
      <c r="D962" s="25"/>
      <c r="E962" s="25"/>
      <c r="F962" s="25"/>
      <c r="G962" s="25"/>
      <c r="H962" s="53"/>
      <c r="I962" s="53"/>
      <c r="J962" s="53"/>
      <c r="K962" s="24"/>
      <c r="L962" s="7"/>
      <c r="M962" s="24"/>
      <c r="N962" s="24"/>
      <c r="O962" s="24"/>
      <c r="P962" s="24"/>
      <c r="Q962" s="24"/>
      <c r="R962" s="24"/>
      <c r="S962" s="24"/>
      <c r="T962" s="24"/>
      <c r="U962" s="24"/>
      <c r="V962" s="24"/>
      <c r="W962" s="24"/>
      <c r="X962" s="24"/>
      <c r="Y962" s="24"/>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c r="BC962" s="24"/>
      <c r="BD962" s="24"/>
      <c r="BE962" s="24"/>
      <c r="BF962" s="24"/>
      <c r="BG962" s="24"/>
      <c r="BH962" s="24"/>
    </row>
    <row r="963" spans="1:60">
      <c r="A963" s="7"/>
      <c r="B963" s="8"/>
      <c r="C963" s="9"/>
      <c r="D963" s="25"/>
      <c r="E963" s="25"/>
      <c r="F963" s="25"/>
      <c r="G963" s="25"/>
      <c r="H963" s="53"/>
      <c r="I963" s="53"/>
      <c r="J963" s="53"/>
      <c r="K963" s="24"/>
      <c r="L963" s="7"/>
      <c r="M963" s="24"/>
      <c r="N963" s="24"/>
      <c r="O963" s="24"/>
      <c r="P963" s="24"/>
      <c r="Q963" s="24"/>
      <c r="R963" s="24"/>
      <c r="S963" s="24"/>
      <c r="T963" s="24"/>
      <c r="U963" s="24"/>
      <c r="V963" s="24"/>
      <c r="W963" s="24"/>
      <c r="X963" s="24"/>
      <c r="Y963" s="24"/>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c r="BC963" s="24"/>
      <c r="BD963" s="24"/>
      <c r="BE963" s="24"/>
      <c r="BF963" s="24"/>
      <c r="BG963" s="24"/>
      <c r="BH963" s="24"/>
    </row>
    <row r="964" spans="1:60">
      <c r="A964" s="7"/>
      <c r="B964" s="8"/>
      <c r="C964" s="9"/>
      <c r="D964" s="25"/>
      <c r="E964" s="25"/>
      <c r="F964" s="25"/>
      <c r="G964" s="25"/>
      <c r="H964" s="53"/>
      <c r="I964" s="53"/>
      <c r="J964" s="53"/>
      <c r="K964" s="24"/>
      <c r="L964" s="7"/>
      <c r="M964" s="24"/>
      <c r="N964" s="24"/>
      <c r="O964" s="24"/>
      <c r="P964" s="24"/>
      <c r="Q964" s="24"/>
      <c r="R964" s="24"/>
      <c r="S964" s="24"/>
      <c r="T964" s="24"/>
      <c r="U964" s="24"/>
      <c r="V964" s="24"/>
      <c r="W964" s="24"/>
      <c r="X964" s="24"/>
      <c r="Y964" s="24"/>
      <c r="Z964" s="24"/>
      <c r="AA964" s="24"/>
      <c r="AB964" s="24"/>
      <c r="AC964" s="24"/>
      <c r="AD964" s="24"/>
      <c r="AE964" s="24"/>
      <c r="AF964" s="24"/>
      <c r="AG964" s="24"/>
      <c r="AH964" s="24"/>
      <c r="AI964" s="24"/>
      <c r="AJ964" s="24"/>
      <c r="AK964" s="24"/>
      <c r="AL964" s="24"/>
      <c r="AM964" s="24"/>
      <c r="AN964" s="24"/>
      <c r="AO964" s="24"/>
      <c r="AP964" s="24"/>
      <c r="AQ964" s="24"/>
      <c r="AR964" s="24"/>
      <c r="AS964" s="24"/>
      <c r="AT964" s="24"/>
      <c r="AU964" s="24"/>
      <c r="AV964" s="24"/>
      <c r="AW964" s="24"/>
      <c r="AX964" s="24"/>
      <c r="AY964" s="24"/>
      <c r="AZ964" s="24"/>
      <c r="BA964" s="24"/>
      <c r="BB964" s="24"/>
      <c r="BC964" s="24"/>
      <c r="BD964" s="24"/>
      <c r="BE964" s="24"/>
      <c r="BF964" s="24"/>
      <c r="BG964" s="24"/>
      <c r="BH964" s="24"/>
    </row>
    <row r="965" spans="1:60">
      <c r="A965" s="7"/>
      <c r="B965" s="8"/>
      <c r="C965" s="9"/>
      <c r="D965" s="25"/>
      <c r="E965" s="25"/>
      <c r="F965" s="25"/>
      <c r="G965" s="25"/>
      <c r="H965" s="53"/>
      <c r="I965" s="53"/>
      <c r="J965" s="53"/>
      <c r="K965" s="24"/>
      <c r="L965" s="7"/>
      <c r="M965" s="24"/>
      <c r="N965" s="24"/>
      <c r="O965" s="24"/>
      <c r="P965" s="24"/>
      <c r="Q965" s="24"/>
      <c r="R965" s="24"/>
      <c r="S965" s="24"/>
      <c r="T965" s="24"/>
      <c r="U965" s="24"/>
      <c r="V965" s="24"/>
      <c r="W965" s="24"/>
      <c r="X965" s="24"/>
      <c r="Y965" s="24"/>
      <c r="Z965" s="24"/>
      <c r="AA965" s="24"/>
      <c r="AB965" s="24"/>
      <c r="AC965" s="24"/>
      <c r="AD965" s="24"/>
      <c r="AE965" s="24"/>
      <c r="AF965" s="24"/>
      <c r="AG965" s="24"/>
      <c r="AH965" s="24"/>
      <c r="AI965" s="24"/>
      <c r="AJ965" s="24"/>
      <c r="AK965" s="24"/>
      <c r="AL965" s="24"/>
      <c r="AM965" s="24"/>
      <c r="AN965" s="24"/>
      <c r="AO965" s="24"/>
      <c r="AP965" s="24"/>
      <c r="AQ965" s="24"/>
      <c r="AR965" s="24"/>
      <c r="AS965" s="24"/>
      <c r="AT965" s="24"/>
      <c r="AU965" s="24"/>
      <c r="AV965" s="24"/>
      <c r="AW965" s="24"/>
      <c r="AX965" s="24"/>
      <c r="AY965" s="24"/>
      <c r="AZ965" s="24"/>
      <c r="BA965" s="24"/>
      <c r="BB965" s="24"/>
      <c r="BC965" s="24"/>
      <c r="BD965" s="24"/>
      <c r="BE965" s="24"/>
      <c r="BF965" s="24"/>
      <c r="BG965" s="24"/>
      <c r="BH965" s="24"/>
    </row>
    <row r="966" spans="1:60">
      <c r="A966" s="7"/>
      <c r="B966" s="8"/>
      <c r="C966" s="9"/>
      <c r="D966" s="25"/>
      <c r="E966" s="25"/>
      <c r="F966" s="25"/>
      <c r="G966" s="25"/>
      <c r="H966" s="53"/>
      <c r="I966" s="53"/>
      <c r="J966" s="53"/>
      <c r="K966" s="24"/>
      <c r="L966" s="7"/>
      <c r="M966" s="24"/>
      <c r="N966" s="24"/>
      <c r="O966" s="24"/>
      <c r="P966" s="24"/>
      <c r="Q966" s="24"/>
      <c r="R966" s="24"/>
      <c r="S966" s="24"/>
      <c r="T966" s="24"/>
      <c r="U966" s="24"/>
      <c r="V966" s="24"/>
      <c r="W966" s="24"/>
      <c r="X966" s="24"/>
      <c r="Y966" s="24"/>
      <c r="Z966" s="24"/>
      <c r="AA966" s="24"/>
      <c r="AB966" s="24"/>
      <c r="AC966" s="24"/>
      <c r="AD966" s="24"/>
      <c r="AE966" s="24"/>
      <c r="AF966" s="24"/>
      <c r="AG966" s="24"/>
      <c r="AH966" s="24"/>
      <c r="AI966" s="24"/>
      <c r="AJ966" s="24"/>
      <c r="AK966" s="24"/>
      <c r="AL966" s="24"/>
      <c r="AM966" s="24"/>
      <c r="AN966" s="24"/>
      <c r="AO966" s="24"/>
      <c r="AP966" s="24"/>
      <c r="AQ966" s="24"/>
      <c r="AR966" s="24"/>
      <c r="AS966" s="24"/>
      <c r="AT966" s="24"/>
      <c r="AU966" s="24"/>
      <c r="AV966" s="24"/>
      <c r="AW966" s="24"/>
      <c r="AX966" s="24"/>
      <c r="AY966" s="24"/>
      <c r="AZ966" s="24"/>
      <c r="BA966" s="24"/>
      <c r="BB966" s="24"/>
      <c r="BC966" s="24"/>
      <c r="BD966" s="24"/>
      <c r="BE966" s="24"/>
      <c r="BF966" s="24"/>
      <c r="BG966" s="24"/>
      <c r="BH966" s="24"/>
    </row>
    <row r="967" spans="1:60">
      <c r="A967" s="7"/>
      <c r="B967" s="8"/>
      <c r="C967" s="9"/>
      <c r="D967" s="25"/>
      <c r="E967" s="25"/>
      <c r="F967" s="25"/>
      <c r="G967" s="25"/>
      <c r="H967" s="53"/>
      <c r="I967" s="53"/>
      <c r="J967" s="53"/>
      <c r="K967" s="24"/>
      <c r="L967" s="7"/>
      <c r="M967" s="24"/>
      <c r="N967" s="24"/>
      <c r="O967" s="24"/>
      <c r="P967" s="24"/>
      <c r="Q967" s="24"/>
      <c r="R967" s="24"/>
      <c r="S967" s="24"/>
      <c r="T967" s="24"/>
      <c r="U967" s="24"/>
      <c r="V967" s="24"/>
      <c r="W967" s="24"/>
      <c r="X967" s="24"/>
      <c r="Y967" s="24"/>
      <c r="Z967" s="24"/>
      <c r="AA967" s="24"/>
      <c r="AB967" s="24"/>
      <c r="AC967" s="24"/>
      <c r="AD967" s="24"/>
      <c r="AE967" s="24"/>
      <c r="AF967" s="24"/>
      <c r="AG967" s="24"/>
      <c r="AH967" s="24"/>
      <c r="AI967" s="24"/>
      <c r="AJ967" s="24"/>
      <c r="AK967" s="24"/>
      <c r="AL967" s="24"/>
      <c r="AM967" s="24"/>
      <c r="AN967" s="24"/>
      <c r="AO967" s="24"/>
      <c r="AP967" s="24"/>
      <c r="AQ967" s="24"/>
      <c r="AR967" s="24"/>
      <c r="AS967" s="24"/>
      <c r="AT967" s="24"/>
      <c r="AU967" s="24"/>
      <c r="AV967" s="24"/>
      <c r="AW967" s="24"/>
      <c r="AX967" s="24"/>
      <c r="AY967" s="24"/>
      <c r="AZ967" s="24"/>
      <c r="BA967" s="24"/>
      <c r="BB967" s="24"/>
      <c r="BC967" s="24"/>
      <c r="BD967" s="24"/>
      <c r="BE967" s="24"/>
      <c r="BF967" s="24"/>
      <c r="BG967" s="24"/>
      <c r="BH967" s="24"/>
    </row>
    <row r="968" spans="1:60">
      <c r="A968" s="7"/>
      <c r="B968" s="8"/>
      <c r="C968" s="9"/>
      <c r="D968" s="25"/>
      <c r="E968" s="25"/>
      <c r="F968" s="25"/>
      <c r="G968" s="25"/>
      <c r="H968" s="53"/>
      <c r="I968" s="53"/>
      <c r="J968" s="53"/>
      <c r="K968" s="24"/>
      <c r="L968" s="7"/>
      <c r="M968" s="24"/>
      <c r="N968" s="24"/>
      <c r="O968" s="24"/>
      <c r="P968" s="24"/>
      <c r="Q968" s="24"/>
      <c r="R968" s="24"/>
      <c r="S968" s="24"/>
      <c r="T968" s="24"/>
      <c r="U968" s="24"/>
      <c r="V968" s="24"/>
      <c r="W968" s="24"/>
      <c r="X968" s="24"/>
      <c r="Y968" s="24"/>
      <c r="Z968" s="24"/>
      <c r="AA968" s="24"/>
      <c r="AB968" s="24"/>
      <c r="AC968" s="24"/>
      <c r="AD968" s="24"/>
      <c r="AE968" s="24"/>
      <c r="AF968" s="24"/>
      <c r="AG968" s="24"/>
      <c r="AH968" s="24"/>
      <c r="AI968" s="24"/>
      <c r="AJ968" s="24"/>
      <c r="AK968" s="24"/>
      <c r="AL968" s="24"/>
      <c r="AM968" s="24"/>
      <c r="AN968" s="24"/>
      <c r="AO968" s="24"/>
      <c r="AP968" s="24"/>
      <c r="AQ968" s="24"/>
      <c r="AR968" s="24"/>
      <c r="AS968" s="24"/>
      <c r="AT968" s="24"/>
      <c r="AU968" s="24"/>
      <c r="AV968" s="24"/>
      <c r="AW968" s="24"/>
      <c r="AX968" s="24"/>
      <c r="AY968" s="24"/>
      <c r="AZ968" s="24"/>
      <c r="BA968" s="24"/>
      <c r="BB968" s="24"/>
      <c r="BC968" s="24"/>
      <c r="BD968" s="24"/>
      <c r="BE968" s="24"/>
      <c r="BF968" s="24"/>
      <c r="BG968" s="24"/>
      <c r="BH968" s="24"/>
    </row>
    <row r="969" spans="1:60">
      <c r="A969" s="7"/>
      <c r="B969" s="8"/>
      <c r="C969" s="9"/>
      <c r="D969" s="25"/>
      <c r="E969" s="25"/>
      <c r="F969" s="25"/>
      <c r="G969" s="25"/>
      <c r="H969" s="53"/>
      <c r="I969" s="53"/>
      <c r="J969" s="53"/>
      <c r="K969" s="24"/>
      <c r="L969" s="7"/>
      <c r="M969" s="24"/>
      <c r="N969" s="24"/>
      <c r="O969" s="24"/>
      <c r="P969" s="24"/>
      <c r="Q969" s="24"/>
      <c r="R969" s="24"/>
      <c r="S969" s="24"/>
      <c r="T969" s="24"/>
      <c r="U969" s="24"/>
      <c r="V969" s="24"/>
      <c r="W969" s="24"/>
      <c r="X969" s="24"/>
      <c r="Y969" s="24"/>
      <c r="Z969" s="24"/>
      <c r="AA969" s="24"/>
      <c r="AB969" s="24"/>
      <c r="AC969" s="24"/>
      <c r="AD969" s="24"/>
      <c r="AE969" s="24"/>
      <c r="AF969" s="24"/>
      <c r="AG969" s="24"/>
      <c r="AH969" s="24"/>
      <c r="AI969" s="24"/>
      <c r="AJ969" s="24"/>
      <c r="AK969" s="24"/>
      <c r="AL969" s="24"/>
      <c r="AM969" s="24"/>
      <c r="AN969" s="24"/>
      <c r="AO969" s="24"/>
      <c r="AP969" s="24"/>
      <c r="AQ969" s="24"/>
      <c r="AR969" s="24"/>
      <c r="AS969" s="24"/>
      <c r="AT969" s="24"/>
      <c r="AU969" s="24"/>
      <c r="AV969" s="24"/>
      <c r="AW969" s="24"/>
      <c r="AX969" s="24"/>
      <c r="AY969" s="24"/>
      <c r="AZ969" s="24"/>
      <c r="BA969" s="24"/>
      <c r="BB969" s="24"/>
      <c r="BC969" s="24"/>
      <c r="BD969" s="24"/>
      <c r="BE969" s="24"/>
      <c r="BF969" s="24"/>
      <c r="BG969" s="24"/>
      <c r="BH969" s="24"/>
    </row>
    <row r="970" spans="1:60">
      <c r="A970" s="7"/>
      <c r="B970" s="8"/>
      <c r="C970" s="9"/>
      <c r="D970" s="25"/>
      <c r="E970" s="25"/>
      <c r="F970" s="25"/>
      <c r="G970" s="25"/>
      <c r="H970" s="53"/>
      <c r="I970" s="53"/>
      <c r="J970" s="53"/>
      <c r="K970" s="24"/>
      <c r="L970" s="7"/>
      <c r="M970" s="24"/>
      <c r="N970" s="24"/>
      <c r="O970" s="24"/>
      <c r="P970" s="24"/>
      <c r="Q970" s="24"/>
      <c r="R970" s="24"/>
      <c r="S970" s="24"/>
      <c r="T970" s="24"/>
      <c r="U970" s="24"/>
      <c r="V970" s="24"/>
      <c r="W970" s="24"/>
      <c r="X970" s="24"/>
      <c r="Y970" s="24"/>
      <c r="Z970" s="24"/>
      <c r="AA970" s="24"/>
      <c r="AB970" s="24"/>
      <c r="AC970" s="24"/>
      <c r="AD970" s="24"/>
      <c r="AE970" s="24"/>
      <c r="AF970" s="24"/>
      <c r="AG970" s="24"/>
      <c r="AH970" s="24"/>
      <c r="AI970" s="24"/>
      <c r="AJ970" s="24"/>
      <c r="AK970" s="24"/>
      <c r="AL970" s="24"/>
      <c r="AM970" s="24"/>
      <c r="AN970" s="24"/>
      <c r="AO970" s="24"/>
      <c r="AP970" s="24"/>
      <c r="AQ970" s="24"/>
      <c r="AR970" s="24"/>
      <c r="AS970" s="24"/>
      <c r="AT970" s="24"/>
      <c r="AU970" s="24"/>
      <c r="AV970" s="24"/>
      <c r="AW970" s="24"/>
      <c r="AX970" s="24"/>
      <c r="AY970" s="24"/>
      <c r="AZ970" s="24"/>
      <c r="BA970" s="24"/>
      <c r="BB970" s="24"/>
      <c r="BC970" s="24"/>
      <c r="BD970" s="24"/>
      <c r="BE970" s="24"/>
      <c r="BF970" s="24"/>
      <c r="BG970" s="24"/>
      <c r="BH970" s="24"/>
    </row>
    <row r="971" spans="1:60">
      <c r="A971" s="7"/>
      <c r="B971" s="8"/>
      <c r="C971" s="9"/>
      <c r="D971" s="25"/>
      <c r="E971" s="25"/>
      <c r="F971" s="25"/>
      <c r="G971" s="25"/>
      <c r="H971" s="53"/>
      <c r="I971" s="53"/>
      <c r="J971" s="53"/>
      <c r="K971" s="24"/>
      <c r="L971" s="7"/>
      <c r="M971" s="24"/>
      <c r="N971" s="24"/>
      <c r="O971" s="24"/>
      <c r="P971" s="24"/>
      <c r="Q971" s="24"/>
      <c r="R971" s="24"/>
      <c r="S971" s="24"/>
      <c r="T971" s="24"/>
      <c r="U971" s="24"/>
      <c r="V971" s="24"/>
      <c r="W971" s="24"/>
      <c r="X971" s="24"/>
      <c r="Y971" s="24"/>
      <c r="Z971" s="24"/>
      <c r="AA971" s="24"/>
      <c r="AB971" s="24"/>
      <c r="AC971" s="24"/>
      <c r="AD971" s="24"/>
      <c r="AE971" s="24"/>
      <c r="AF971" s="24"/>
      <c r="AG971" s="24"/>
      <c r="AH971" s="24"/>
      <c r="AI971" s="24"/>
      <c r="AJ971" s="24"/>
      <c r="AK971" s="24"/>
      <c r="AL971" s="24"/>
      <c r="AM971" s="24"/>
      <c r="AN971" s="24"/>
      <c r="AO971" s="24"/>
      <c r="AP971" s="24"/>
      <c r="AQ971" s="24"/>
      <c r="AR971" s="24"/>
      <c r="AS971" s="24"/>
      <c r="AT971" s="24"/>
      <c r="AU971" s="24"/>
      <c r="AV971" s="24"/>
      <c r="AW971" s="24"/>
      <c r="AX971" s="24"/>
      <c r="AY971" s="24"/>
      <c r="AZ971" s="24"/>
      <c r="BA971" s="24"/>
      <c r="BB971" s="24"/>
      <c r="BC971" s="24"/>
      <c r="BD971" s="24"/>
      <c r="BE971" s="24"/>
      <c r="BF971" s="24"/>
      <c r="BG971" s="24"/>
      <c r="BH971" s="24"/>
    </row>
    <row r="972" spans="1:60">
      <c r="A972" s="7"/>
      <c r="B972" s="8"/>
      <c r="C972" s="9"/>
      <c r="D972" s="25"/>
      <c r="E972" s="25"/>
      <c r="F972" s="25"/>
      <c r="G972" s="25"/>
      <c r="H972" s="53"/>
      <c r="I972" s="53"/>
      <c r="J972" s="53"/>
      <c r="K972" s="24"/>
      <c r="L972" s="7"/>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24"/>
      <c r="BE972" s="24"/>
      <c r="BF972" s="24"/>
      <c r="BG972" s="24"/>
      <c r="BH972" s="24"/>
    </row>
    <row r="973" spans="1:60">
      <c r="A973" s="7"/>
      <c r="B973" s="8"/>
      <c r="C973" s="9"/>
      <c r="D973" s="25"/>
      <c r="E973" s="25"/>
      <c r="F973" s="25"/>
      <c r="G973" s="25"/>
      <c r="H973" s="53"/>
      <c r="I973" s="53"/>
      <c r="J973" s="53"/>
      <c r="K973" s="24"/>
      <c r="L973" s="7"/>
      <c r="M973" s="24"/>
      <c r="N973" s="24"/>
      <c r="O973" s="24"/>
      <c r="P973" s="24"/>
      <c r="Q973" s="24"/>
      <c r="R973" s="24"/>
      <c r="S973" s="24"/>
      <c r="T973" s="24"/>
      <c r="U973" s="24"/>
      <c r="V973" s="24"/>
      <c r="W973" s="24"/>
      <c r="X973" s="24"/>
      <c r="Y973" s="24"/>
      <c r="Z973" s="24"/>
      <c r="AA973" s="24"/>
      <c r="AB973" s="24"/>
      <c r="AC973" s="24"/>
      <c r="AD973" s="24"/>
      <c r="AE973" s="24"/>
      <c r="AF973" s="24"/>
      <c r="AG973" s="24"/>
      <c r="AH973" s="24"/>
      <c r="AI973" s="24"/>
      <c r="AJ973" s="24"/>
      <c r="AK973" s="24"/>
      <c r="AL973" s="24"/>
      <c r="AM973" s="24"/>
      <c r="AN973" s="24"/>
      <c r="AO973" s="24"/>
      <c r="AP973" s="24"/>
      <c r="AQ973" s="24"/>
      <c r="AR973" s="24"/>
      <c r="AS973" s="24"/>
      <c r="AT973" s="24"/>
      <c r="AU973" s="24"/>
      <c r="AV973" s="24"/>
      <c r="AW973" s="24"/>
      <c r="AX973" s="24"/>
      <c r="AY973" s="24"/>
      <c r="AZ973" s="24"/>
      <c r="BA973" s="24"/>
      <c r="BB973" s="24"/>
      <c r="BC973" s="24"/>
      <c r="BD973" s="24"/>
      <c r="BE973" s="24"/>
      <c r="BF973" s="24"/>
      <c r="BG973" s="24"/>
      <c r="BH973" s="24"/>
    </row>
    <row r="974" spans="1:60">
      <c r="A974" s="7"/>
      <c r="B974" s="8"/>
      <c r="C974" s="9"/>
      <c r="D974" s="25"/>
      <c r="E974" s="25"/>
      <c r="F974" s="25"/>
      <c r="G974" s="25"/>
      <c r="H974" s="53"/>
      <c r="I974" s="53"/>
      <c r="J974" s="53"/>
      <c r="K974" s="24"/>
      <c r="L974" s="7"/>
      <c r="M974" s="24"/>
      <c r="N974" s="24"/>
      <c r="O974" s="24"/>
      <c r="P974" s="24"/>
      <c r="Q974" s="24"/>
      <c r="R974" s="24"/>
      <c r="S974" s="24"/>
      <c r="T974" s="24"/>
      <c r="U974" s="24"/>
      <c r="V974" s="24"/>
      <c r="W974" s="24"/>
      <c r="X974" s="24"/>
      <c r="Y974" s="24"/>
      <c r="Z974" s="24"/>
      <c r="AA974" s="24"/>
      <c r="AB974" s="24"/>
      <c r="AC974" s="24"/>
      <c r="AD974" s="24"/>
      <c r="AE974" s="24"/>
      <c r="AF974" s="24"/>
      <c r="AG974" s="24"/>
      <c r="AH974" s="24"/>
      <c r="AI974" s="24"/>
      <c r="AJ974" s="24"/>
      <c r="AK974" s="24"/>
      <c r="AL974" s="24"/>
      <c r="AM974" s="24"/>
      <c r="AN974" s="24"/>
      <c r="AO974" s="24"/>
      <c r="AP974" s="24"/>
      <c r="AQ974" s="24"/>
      <c r="AR974" s="24"/>
      <c r="AS974" s="24"/>
      <c r="AT974" s="24"/>
      <c r="AU974" s="24"/>
      <c r="AV974" s="24"/>
      <c r="AW974" s="24"/>
      <c r="AX974" s="24"/>
      <c r="AY974" s="24"/>
      <c r="AZ974" s="24"/>
      <c r="BA974" s="24"/>
      <c r="BB974" s="24"/>
      <c r="BC974" s="24"/>
      <c r="BD974" s="24"/>
      <c r="BE974" s="24"/>
      <c r="BF974" s="24"/>
      <c r="BG974" s="24"/>
      <c r="BH974" s="24"/>
    </row>
    <row r="975" spans="1:60">
      <c r="A975" s="7"/>
      <c r="B975" s="8"/>
      <c r="C975" s="9"/>
      <c r="D975" s="25"/>
      <c r="E975" s="25"/>
      <c r="F975" s="25"/>
      <c r="G975" s="25"/>
      <c r="H975" s="53"/>
      <c r="I975" s="53"/>
      <c r="J975" s="53"/>
      <c r="K975" s="24"/>
      <c r="L975" s="7"/>
      <c r="M975" s="24"/>
      <c r="N975" s="24"/>
      <c r="O975" s="24"/>
      <c r="P975" s="24"/>
      <c r="Q975" s="24"/>
      <c r="R975" s="24"/>
      <c r="S975" s="24"/>
      <c r="T975" s="24"/>
      <c r="U975" s="24"/>
      <c r="V975" s="24"/>
      <c r="W975" s="24"/>
      <c r="X975" s="24"/>
      <c r="Y975" s="24"/>
      <c r="Z975" s="24"/>
      <c r="AA975" s="24"/>
      <c r="AB975" s="24"/>
      <c r="AC975" s="24"/>
      <c r="AD975" s="24"/>
      <c r="AE975" s="24"/>
      <c r="AF975" s="24"/>
      <c r="AG975" s="24"/>
      <c r="AH975" s="24"/>
      <c r="AI975" s="24"/>
      <c r="AJ975" s="24"/>
      <c r="AK975" s="24"/>
      <c r="AL975" s="24"/>
      <c r="AM975" s="24"/>
      <c r="AN975" s="24"/>
      <c r="AO975" s="24"/>
      <c r="AP975" s="24"/>
      <c r="AQ975" s="24"/>
      <c r="AR975" s="24"/>
      <c r="AS975" s="24"/>
      <c r="AT975" s="24"/>
      <c r="AU975" s="24"/>
      <c r="AV975" s="24"/>
      <c r="AW975" s="24"/>
      <c r="AX975" s="24"/>
      <c r="AY975" s="24"/>
      <c r="AZ975" s="24"/>
      <c r="BA975" s="24"/>
      <c r="BB975" s="24"/>
      <c r="BC975" s="24"/>
      <c r="BD975" s="24"/>
      <c r="BE975" s="24"/>
      <c r="BF975" s="24"/>
      <c r="BG975" s="24"/>
      <c r="BH975" s="24"/>
    </row>
    <row r="976" spans="1:60">
      <c r="A976" s="7"/>
      <c r="B976" s="8"/>
      <c r="C976" s="9"/>
      <c r="D976" s="25"/>
      <c r="E976" s="25"/>
      <c r="F976" s="25"/>
      <c r="G976" s="25"/>
      <c r="H976" s="53"/>
      <c r="I976" s="53"/>
      <c r="J976" s="53"/>
      <c r="K976" s="24"/>
      <c r="L976" s="7"/>
      <c r="M976" s="24"/>
      <c r="N976" s="24"/>
      <c r="O976" s="24"/>
      <c r="P976" s="24"/>
      <c r="Q976" s="24"/>
      <c r="R976" s="24"/>
      <c r="S976" s="24"/>
      <c r="T976" s="24"/>
      <c r="U976" s="24"/>
      <c r="V976" s="24"/>
      <c r="W976" s="24"/>
      <c r="X976" s="24"/>
      <c r="Y976" s="24"/>
      <c r="Z976" s="24"/>
      <c r="AA976" s="24"/>
      <c r="AB976" s="24"/>
      <c r="AC976" s="24"/>
      <c r="AD976" s="24"/>
      <c r="AE976" s="24"/>
      <c r="AF976" s="24"/>
      <c r="AG976" s="24"/>
      <c r="AH976" s="24"/>
      <c r="AI976" s="24"/>
      <c r="AJ976" s="24"/>
      <c r="AK976" s="24"/>
      <c r="AL976" s="24"/>
      <c r="AM976" s="24"/>
      <c r="AN976" s="24"/>
      <c r="AO976" s="24"/>
      <c r="AP976" s="24"/>
      <c r="AQ976" s="24"/>
      <c r="AR976" s="24"/>
      <c r="AS976" s="24"/>
      <c r="AT976" s="24"/>
      <c r="AU976" s="24"/>
      <c r="AV976" s="24"/>
      <c r="AW976" s="24"/>
      <c r="AX976" s="24"/>
      <c r="AY976" s="24"/>
      <c r="AZ976" s="24"/>
      <c r="BA976" s="24"/>
      <c r="BB976" s="24"/>
      <c r="BC976" s="24"/>
      <c r="BD976" s="24"/>
      <c r="BE976" s="24"/>
      <c r="BF976" s="24"/>
      <c r="BG976" s="24"/>
      <c r="BH976" s="24"/>
    </row>
    <row r="977" spans="1:60">
      <c r="A977" s="7"/>
      <c r="B977" s="8"/>
      <c r="C977" s="9"/>
      <c r="D977" s="25"/>
      <c r="E977" s="25"/>
      <c r="F977" s="25"/>
      <c r="G977" s="25"/>
      <c r="H977" s="53"/>
      <c r="I977" s="53"/>
      <c r="J977" s="53"/>
      <c r="K977" s="24"/>
      <c r="L977" s="7"/>
      <c r="M977" s="24"/>
      <c r="N977" s="24"/>
      <c r="O977" s="24"/>
      <c r="P977" s="24"/>
      <c r="Q977" s="24"/>
      <c r="R977" s="24"/>
      <c r="S977" s="24"/>
      <c r="T977" s="24"/>
      <c r="U977" s="24"/>
      <c r="V977" s="24"/>
      <c r="W977" s="24"/>
      <c r="X977" s="24"/>
      <c r="Y977" s="24"/>
      <c r="Z977" s="24"/>
      <c r="AA977" s="24"/>
      <c r="AB977" s="24"/>
      <c r="AC977" s="24"/>
      <c r="AD977" s="24"/>
      <c r="AE977" s="24"/>
      <c r="AF977" s="24"/>
      <c r="AG977" s="24"/>
      <c r="AH977" s="24"/>
      <c r="AI977" s="24"/>
      <c r="AJ977" s="24"/>
      <c r="AK977" s="24"/>
      <c r="AL977" s="24"/>
      <c r="AM977" s="24"/>
      <c r="AN977" s="24"/>
      <c r="AO977" s="24"/>
      <c r="AP977" s="24"/>
      <c r="AQ977" s="24"/>
      <c r="AR977" s="24"/>
      <c r="AS977" s="24"/>
      <c r="AT977" s="24"/>
      <c r="AU977" s="24"/>
      <c r="AV977" s="24"/>
      <c r="AW977" s="24"/>
      <c r="AX977" s="24"/>
      <c r="AY977" s="24"/>
      <c r="AZ977" s="24"/>
      <c r="BA977" s="24"/>
      <c r="BB977" s="24"/>
      <c r="BC977" s="24"/>
      <c r="BD977" s="24"/>
      <c r="BE977" s="24"/>
      <c r="BF977" s="24"/>
      <c r="BG977" s="24"/>
      <c r="BH977" s="24"/>
    </row>
    <row r="978" spans="1:60">
      <c r="A978" s="7"/>
      <c r="B978" s="8"/>
      <c r="C978" s="9"/>
      <c r="D978" s="25"/>
      <c r="E978" s="25"/>
      <c r="F978" s="25"/>
      <c r="G978" s="25"/>
      <c r="H978" s="53"/>
      <c r="I978" s="53"/>
      <c r="J978" s="53"/>
      <c r="K978" s="24"/>
      <c r="L978" s="7"/>
      <c r="M978" s="24"/>
      <c r="N978" s="24"/>
      <c r="O978" s="24"/>
      <c r="P978" s="24"/>
      <c r="Q978" s="24"/>
      <c r="R978" s="24"/>
      <c r="S978" s="24"/>
      <c r="T978" s="24"/>
      <c r="U978" s="24"/>
      <c r="V978" s="24"/>
      <c r="W978" s="24"/>
      <c r="X978" s="24"/>
      <c r="Y978" s="24"/>
      <c r="Z978" s="24"/>
      <c r="AA978" s="24"/>
      <c r="AB978" s="24"/>
      <c r="AC978" s="24"/>
      <c r="AD978" s="24"/>
      <c r="AE978" s="24"/>
      <c r="AF978" s="24"/>
      <c r="AG978" s="24"/>
      <c r="AH978" s="24"/>
      <c r="AI978" s="24"/>
      <c r="AJ978" s="24"/>
      <c r="AK978" s="24"/>
      <c r="AL978" s="24"/>
      <c r="AM978" s="24"/>
      <c r="AN978" s="24"/>
      <c r="AO978" s="24"/>
      <c r="AP978" s="24"/>
      <c r="AQ978" s="24"/>
      <c r="AR978" s="24"/>
      <c r="AS978" s="24"/>
      <c r="AT978" s="24"/>
      <c r="AU978" s="24"/>
      <c r="AV978" s="24"/>
      <c r="AW978" s="24"/>
      <c r="AX978" s="24"/>
      <c r="AY978" s="24"/>
      <c r="AZ978" s="24"/>
      <c r="BA978" s="24"/>
      <c r="BB978" s="24"/>
      <c r="BC978" s="24"/>
      <c r="BD978" s="24"/>
      <c r="BE978" s="24"/>
      <c r="BF978" s="24"/>
      <c r="BG978" s="24"/>
      <c r="BH978" s="24"/>
    </row>
    <row r="979" spans="1:60">
      <c r="A979" s="7"/>
      <c r="B979" s="8"/>
      <c r="C979" s="9"/>
      <c r="D979" s="25"/>
      <c r="E979" s="25"/>
      <c r="F979" s="25"/>
      <c r="G979" s="25"/>
      <c r="H979" s="53"/>
      <c r="I979" s="53"/>
      <c r="J979" s="53"/>
      <c r="K979" s="24"/>
      <c r="L979" s="7"/>
      <c r="M979" s="24"/>
      <c r="N979" s="24"/>
      <c r="O979" s="24"/>
      <c r="P979" s="24"/>
      <c r="Q979" s="24"/>
      <c r="R979" s="24"/>
      <c r="S979" s="24"/>
      <c r="T979" s="24"/>
      <c r="U979" s="24"/>
      <c r="V979" s="24"/>
      <c r="W979" s="24"/>
      <c r="X979" s="24"/>
      <c r="Y979" s="24"/>
      <c r="Z979" s="24"/>
      <c r="AA979" s="24"/>
      <c r="AB979" s="24"/>
      <c r="AC979" s="24"/>
      <c r="AD979" s="24"/>
      <c r="AE979" s="24"/>
      <c r="AF979" s="24"/>
      <c r="AG979" s="24"/>
      <c r="AH979" s="24"/>
      <c r="AI979" s="24"/>
      <c r="AJ979" s="24"/>
      <c r="AK979" s="24"/>
      <c r="AL979" s="24"/>
      <c r="AM979" s="24"/>
      <c r="AN979" s="24"/>
      <c r="AO979" s="24"/>
      <c r="AP979" s="24"/>
      <c r="AQ979" s="24"/>
      <c r="AR979" s="24"/>
      <c r="AS979" s="24"/>
      <c r="AT979" s="24"/>
      <c r="AU979" s="24"/>
      <c r="AV979" s="24"/>
      <c r="AW979" s="24"/>
      <c r="AX979" s="24"/>
      <c r="AY979" s="24"/>
      <c r="AZ979" s="24"/>
      <c r="BA979" s="24"/>
      <c r="BB979" s="24"/>
      <c r="BC979" s="24"/>
      <c r="BD979" s="24"/>
      <c r="BE979" s="24"/>
      <c r="BF979" s="24"/>
      <c r="BG979" s="24"/>
      <c r="BH979" s="24"/>
    </row>
    <row r="980" spans="1:60">
      <c r="A980" s="7"/>
      <c r="B980" s="8"/>
      <c r="C980" s="9"/>
      <c r="D980" s="25"/>
      <c r="E980" s="25"/>
      <c r="F980" s="25"/>
      <c r="G980" s="25"/>
      <c r="H980" s="53"/>
      <c r="I980" s="53"/>
      <c r="J980" s="53"/>
      <c r="K980" s="24"/>
      <c r="L980" s="7"/>
      <c r="M980" s="24"/>
      <c r="N980" s="24"/>
      <c r="O980" s="24"/>
      <c r="P980" s="24"/>
      <c r="Q980" s="24"/>
      <c r="R980" s="24"/>
      <c r="S980" s="24"/>
      <c r="T980" s="24"/>
      <c r="U980" s="24"/>
      <c r="V980" s="24"/>
      <c r="W980" s="24"/>
      <c r="X980" s="24"/>
      <c r="Y980" s="24"/>
      <c r="Z980" s="24"/>
      <c r="AA980" s="24"/>
      <c r="AB980" s="24"/>
      <c r="AC980" s="24"/>
      <c r="AD980" s="24"/>
      <c r="AE980" s="24"/>
      <c r="AF980" s="24"/>
      <c r="AG980" s="24"/>
      <c r="AH980" s="24"/>
      <c r="AI980" s="24"/>
      <c r="AJ980" s="24"/>
      <c r="AK980" s="24"/>
      <c r="AL980" s="24"/>
      <c r="AM980" s="24"/>
      <c r="AN980" s="24"/>
      <c r="AO980" s="24"/>
      <c r="AP980" s="24"/>
      <c r="AQ980" s="24"/>
      <c r="AR980" s="24"/>
      <c r="AS980" s="24"/>
      <c r="AT980" s="24"/>
      <c r="AU980" s="24"/>
      <c r="AV980" s="24"/>
      <c r="AW980" s="24"/>
      <c r="AX980" s="24"/>
      <c r="AY980" s="24"/>
      <c r="AZ980" s="24"/>
      <c r="BA980" s="24"/>
      <c r="BB980" s="24"/>
      <c r="BC980" s="24"/>
      <c r="BD980" s="24"/>
      <c r="BE980" s="24"/>
      <c r="BF980" s="24"/>
      <c r="BG980" s="24"/>
      <c r="BH980" s="24"/>
    </row>
    <row r="981" spans="1:60">
      <c r="A981" s="7"/>
      <c r="B981" s="8"/>
      <c r="C981" s="9"/>
      <c r="D981" s="25"/>
      <c r="E981" s="25"/>
      <c r="F981" s="25"/>
      <c r="G981" s="25"/>
      <c r="H981" s="53"/>
      <c r="I981" s="53"/>
      <c r="J981" s="53"/>
      <c r="K981" s="24"/>
      <c r="L981" s="7"/>
      <c r="M981" s="24"/>
      <c r="N981" s="24"/>
      <c r="O981" s="24"/>
      <c r="P981" s="24"/>
      <c r="Q981" s="24"/>
      <c r="R981" s="24"/>
      <c r="S981" s="24"/>
      <c r="T981" s="24"/>
      <c r="U981" s="24"/>
      <c r="V981" s="24"/>
      <c r="W981" s="24"/>
      <c r="X981" s="24"/>
      <c r="Y981" s="24"/>
      <c r="Z981" s="24"/>
      <c r="AA981" s="24"/>
      <c r="AB981" s="24"/>
      <c r="AC981" s="24"/>
      <c r="AD981" s="24"/>
      <c r="AE981" s="24"/>
      <c r="AF981" s="24"/>
      <c r="AG981" s="24"/>
      <c r="AH981" s="24"/>
      <c r="AI981" s="24"/>
      <c r="AJ981" s="24"/>
      <c r="AK981" s="24"/>
      <c r="AL981" s="24"/>
      <c r="AM981" s="24"/>
      <c r="AN981" s="24"/>
      <c r="AO981" s="24"/>
      <c r="AP981" s="24"/>
      <c r="AQ981" s="24"/>
      <c r="AR981" s="24"/>
      <c r="AS981" s="24"/>
      <c r="AT981" s="24"/>
      <c r="AU981" s="24"/>
      <c r="AV981" s="24"/>
      <c r="AW981" s="24"/>
      <c r="AX981" s="24"/>
      <c r="AY981" s="24"/>
      <c r="AZ981" s="24"/>
      <c r="BA981" s="24"/>
      <c r="BB981" s="24"/>
      <c r="BC981" s="24"/>
      <c r="BD981" s="24"/>
      <c r="BE981" s="24"/>
      <c r="BF981" s="24"/>
      <c r="BG981" s="24"/>
      <c r="BH981" s="24"/>
    </row>
    <row r="982" spans="1:60">
      <c r="A982" s="7"/>
      <c r="B982" s="8"/>
      <c r="C982" s="9"/>
      <c r="D982" s="25"/>
      <c r="E982" s="25"/>
      <c r="F982" s="25"/>
      <c r="G982" s="25"/>
      <c r="H982" s="53"/>
      <c r="I982" s="53"/>
      <c r="J982" s="53"/>
      <c r="K982" s="24"/>
      <c r="L982" s="7"/>
      <c r="M982" s="24"/>
      <c r="N982" s="24"/>
      <c r="O982" s="24"/>
      <c r="P982" s="24"/>
      <c r="Q982" s="24"/>
      <c r="R982" s="24"/>
      <c r="S982" s="24"/>
      <c r="T982" s="24"/>
      <c r="U982" s="24"/>
      <c r="V982" s="24"/>
      <c r="W982" s="24"/>
      <c r="X982" s="24"/>
      <c r="Y982" s="24"/>
      <c r="Z982" s="24"/>
      <c r="AA982" s="24"/>
      <c r="AB982" s="24"/>
      <c r="AC982" s="24"/>
      <c r="AD982" s="24"/>
      <c r="AE982" s="24"/>
      <c r="AF982" s="24"/>
      <c r="AG982" s="24"/>
      <c r="AH982" s="24"/>
      <c r="AI982" s="24"/>
      <c r="AJ982" s="24"/>
      <c r="AK982" s="24"/>
      <c r="AL982" s="24"/>
      <c r="AM982" s="24"/>
      <c r="AN982" s="24"/>
      <c r="AO982" s="24"/>
      <c r="AP982" s="24"/>
      <c r="AQ982" s="24"/>
      <c r="AR982" s="24"/>
      <c r="AS982" s="24"/>
      <c r="AT982" s="24"/>
      <c r="AU982" s="24"/>
      <c r="AV982" s="24"/>
      <c r="AW982" s="24"/>
      <c r="AX982" s="24"/>
      <c r="AY982" s="24"/>
      <c r="AZ982" s="24"/>
      <c r="BA982" s="24"/>
      <c r="BB982" s="24"/>
      <c r="BC982" s="24"/>
      <c r="BD982" s="24"/>
      <c r="BE982" s="24"/>
      <c r="BF982" s="24"/>
      <c r="BG982" s="24"/>
      <c r="BH982" s="24"/>
    </row>
    <row r="983" spans="1:60">
      <c r="A983" s="7"/>
      <c r="B983" s="8"/>
      <c r="C983" s="9"/>
      <c r="D983" s="25"/>
      <c r="E983" s="25"/>
      <c r="F983" s="25"/>
      <c r="G983" s="25"/>
      <c r="H983" s="53"/>
      <c r="I983" s="53"/>
      <c r="J983" s="53"/>
      <c r="K983" s="24"/>
      <c r="L983" s="7"/>
      <c r="M983" s="24"/>
      <c r="N983" s="24"/>
      <c r="O983" s="24"/>
      <c r="P983" s="24"/>
      <c r="Q983" s="24"/>
      <c r="R983" s="24"/>
      <c r="S983" s="24"/>
      <c r="T983" s="24"/>
      <c r="U983" s="24"/>
      <c r="V983" s="24"/>
      <c r="W983" s="24"/>
      <c r="X983" s="24"/>
      <c r="Y983" s="24"/>
      <c r="Z983" s="24"/>
      <c r="AA983" s="24"/>
      <c r="AB983" s="24"/>
      <c r="AC983" s="24"/>
      <c r="AD983" s="24"/>
      <c r="AE983" s="24"/>
      <c r="AF983" s="24"/>
      <c r="AG983" s="24"/>
      <c r="AH983" s="24"/>
      <c r="AI983" s="24"/>
      <c r="AJ983" s="24"/>
      <c r="AK983" s="24"/>
      <c r="AL983" s="24"/>
      <c r="AM983" s="24"/>
      <c r="AN983" s="24"/>
      <c r="AO983" s="24"/>
      <c r="AP983" s="24"/>
      <c r="AQ983" s="24"/>
      <c r="AR983" s="24"/>
      <c r="AS983" s="24"/>
      <c r="AT983" s="24"/>
      <c r="AU983" s="24"/>
      <c r="AV983" s="24"/>
      <c r="AW983" s="24"/>
      <c r="AX983" s="24"/>
      <c r="AY983" s="24"/>
      <c r="AZ983" s="24"/>
      <c r="BA983" s="24"/>
      <c r="BB983" s="24"/>
      <c r="BC983" s="24"/>
      <c r="BD983" s="24"/>
      <c r="BE983" s="24"/>
      <c r="BF983" s="24"/>
      <c r="BG983" s="24"/>
      <c r="BH983" s="24"/>
    </row>
    <row r="984" spans="1:60">
      <c r="A984" s="7"/>
      <c r="B984" s="8"/>
      <c r="C984" s="9"/>
      <c r="D984" s="25"/>
      <c r="E984" s="25"/>
      <c r="F984" s="25"/>
      <c r="G984" s="25"/>
      <c r="H984" s="53"/>
      <c r="I984" s="53"/>
      <c r="J984" s="53"/>
      <c r="K984" s="24"/>
      <c r="L984" s="7"/>
      <c r="M984" s="24"/>
      <c r="N984" s="24"/>
      <c r="O984" s="24"/>
      <c r="P984" s="24"/>
      <c r="Q984" s="24"/>
      <c r="R984" s="24"/>
      <c r="S984" s="24"/>
      <c r="T984" s="24"/>
      <c r="U984" s="24"/>
      <c r="V984" s="24"/>
      <c r="W984" s="24"/>
      <c r="X984" s="24"/>
      <c r="Y984" s="24"/>
      <c r="Z984" s="24"/>
      <c r="AA984" s="24"/>
      <c r="AB984" s="24"/>
      <c r="AC984" s="24"/>
      <c r="AD984" s="24"/>
      <c r="AE984" s="24"/>
      <c r="AF984" s="24"/>
      <c r="AG984" s="24"/>
      <c r="AH984" s="24"/>
      <c r="AI984" s="24"/>
      <c r="AJ984" s="24"/>
      <c r="AK984" s="24"/>
      <c r="AL984" s="24"/>
      <c r="AM984" s="24"/>
      <c r="AN984" s="24"/>
      <c r="AO984" s="24"/>
      <c r="AP984" s="24"/>
      <c r="AQ984" s="24"/>
      <c r="AR984" s="24"/>
      <c r="AS984" s="24"/>
      <c r="AT984" s="24"/>
      <c r="AU984" s="24"/>
      <c r="AV984" s="24"/>
      <c r="AW984" s="24"/>
      <c r="AX984" s="24"/>
      <c r="AY984" s="24"/>
      <c r="AZ984" s="24"/>
      <c r="BA984" s="24"/>
      <c r="BB984" s="24"/>
      <c r="BC984" s="24"/>
      <c r="BD984" s="24"/>
      <c r="BE984" s="24"/>
      <c r="BF984" s="24"/>
      <c r="BG984" s="24"/>
      <c r="BH984" s="24"/>
    </row>
    <row r="985" spans="1:60">
      <c r="A985" s="7"/>
      <c r="B985" s="8"/>
      <c r="C985" s="9"/>
      <c r="D985" s="25"/>
      <c r="E985" s="25"/>
      <c r="F985" s="25"/>
      <c r="G985" s="25"/>
      <c r="H985" s="53"/>
      <c r="I985" s="53"/>
      <c r="J985" s="53"/>
      <c r="K985" s="24"/>
      <c r="L985" s="7"/>
      <c r="M985" s="24"/>
      <c r="N985" s="24"/>
      <c r="O985" s="24"/>
      <c r="P985" s="24"/>
      <c r="Q985" s="24"/>
      <c r="R985" s="24"/>
      <c r="S985" s="24"/>
      <c r="T985" s="24"/>
      <c r="U985" s="24"/>
      <c r="V985" s="24"/>
      <c r="W985" s="24"/>
      <c r="X985" s="24"/>
      <c r="Y985" s="24"/>
      <c r="Z985" s="24"/>
      <c r="AA985" s="24"/>
      <c r="AB985" s="24"/>
      <c r="AC985" s="24"/>
      <c r="AD985" s="24"/>
      <c r="AE985" s="24"/>
      <c r="AF985" s="24"/>
      <c r="AG985" s="24"/>
      <c r="AH985" s="24"/>
      <c r="AI985" s="24"/>
      <c r="AJ985" s="24"/>
      <c r="AK985" s="24"/>
      <c r="AL985" s="24"/>
      <c r="AM985" s="24"/>
      <c r="AN985" s="24"/>
      <c r="AO985" s="24"/>
      <c r="AP985" s="24"/>
      <c r="AQ985" s="24"/>
      <c r="AR985" s="24"/>
      <c r="AS985" s="24"/>
      <c r="AT985" s="24"/>
      <c r="AU985" s="24"/>
      <c r="AV985" s="24"/>
      <c r="AW985" s="24"/>
      <c r="AX985" s="24"/>
      <c r="AY985" s="24"/>
      <c r="AZ985" s="24"/>
      <c r="BA985" s="24"/>
      <c r="BB985" s="24"/>
      <c r="BC985" s="24"/>
      <c r="BD985" s="24"/>
      <c r="BE985" s="24"/>
      <c r="BF985" s="24"/>
      <c r="BG985" s="24"/>
      <c r="BH985" s="24"/>
    </row>
    <row r="986" spans="1:60">
      <c r="A986" s="7"/>
      <c r="B986" s="8"/>
      <c r="C986" s="9"/>
      <c r="D986" s="25"/>
      <c r="E986" s="25"/>
      <c r="F986" s="25"/>
      <c r="G986" s="25"/>
      <c r="H986" s="53"/>
      <c r="I986" s="53"/>
      <c r="J986" s="53"/>
      <c r="K986" s="24"/>
      <c r="L986" s="7"/>
      <c r="M986" s="24"/>
      <c r="N986" s="24"/>
      <c r="O986" s="24"/>
      <c r="P986" s="24"/>
      <c r="Q986" s="24"/>
      <c r="R986" s="24"/>
      <c r="S986" s="24"/>
      <c r="T986" s="24"/>
      <c r="U986" s="24"/>
      <c r="V986" s="24"/>
      <c r="W986" s="24"/>
      <c r="X986" s="24"/>
      <c r="Y986" s="24"/>
      <c r="Z986" s="24"/>
      <c r="AA986" s="24"/>
      <c r="AB986" s="24"/>
      <c r="AC986" s="24"/>
      <c r="AD986" s="24"/>
      <c r="AE986" s="24"/>
      <c r="AF986" s="24"/>
      <c r="AG986" s="24"/>
      <c r="AH986" s="24"/>
      <c r="AI986" s="24"/>
      <c r="AJ986" s="24"/>
      <c r="AK986" s="24"/>
      <c r="AL986" s="24"/>
      <c r="AM986" s="24"/>
      <c r="AN986" s="24"/>
      <c r="AO986" s="24"/>
      <c r="AP986" s="24"/>
      <c r="AQ986" s="24"/>
      <c r="AR986" s="24"/>
      <c r="AS986" s="24"/>
      <c r="AT986" s="24"/>
      <c r="AU986" s="24"/>
      <c r="AV986" s="24"/>
      <c r="AW986" s="24"/>
      <c r="AX986" s="24"/>
      <c r="AY986" s="24"/>
      <c r="AZ986" s="24"/>
      <c r="BA986" s="24"/>
      <c r="BB986" s="24"/>
      <c r="BC986" s="24"/>
      <c r="BD986" s="24"/>
      <c r="BE986" s="24"/>
      <c r="BF986" s="24"/>
      <c r="BG986" s="24"/>
      <c r="BH986" s="24"/>
    </row>
    <row r="987" spans="1:60">
      <c r="A987" s="7"/>
      <c r="B987" s="8"/>
      <c r="C987" s="9"/>
      <c r="D987" s="25"/>
      <c r="E987" s="25"/>
      <c r="F987" s="25"/>
      <c r="G987" s="25"/>
      <c r="H987" s="53"/>
      <c r="I987" s="53"/>
      <c r="J987" s="53"/>
      <c r="K987" s="24"/>
      <c r="L987" s="7"/>
      <c r="M987" s="24"/>
      <c r="N987" s="24"/>
      <c r="O987" s="24"/>
      <c r="P987" s="24"/>
      <c r="Q987" s="24"/>
      <c r="R987" s="24"/>
      <c r="S987" s="24"/>
      <c r="T987" s="24"/>
      <c r="U987" s="24"/>
      <c r="V987" s="24"/>
      <c r="W987" s="24"/>
      <c r="X987" s="24"/>
      <c r="Y987" s="24"/>
      <c r="Z987" s="24"/>
      <c r="AA987" s="24"/>
      <c r="AB987" s="24"/>
      <c r="AC987" s="24"/>
      <c r="AD987" s="24"/>
      <c r="AE987" s="24"/>
      <c r="AF987" s="24"/>
      <c r="AG987" s="24"/>
      <c r="AH987" s="24"/>
      <c r="AI987" s="24"/>
      <c r="AJ987" s="24"/>
      <c r="AK987" s="24"/>
      <c r="AL987" s="24"/>
      <c r="AM987" s="24"/>
      <c r="AN987" s="24"/>
      <c r="AO987" s="24"/>
      <c r="AP987" s="24"/>
      <c r="AQ987" s="24"/>
      <c r="AR987" s="24"/>
      <c r="AS987" s="24"/>
      <c r="AT987" s="24"/>
      <c r="AU987" s="24"/>
      <c r="AV987" s="24"/>
      <c r="AW987" s="24"/>
      <c r="AX987" s="24"/>
      <c r="AY987" s="24"/>
      <c r="AZ987" s="24"/>
      <c r="BA987" s="24"/>
      <c r="BB987" s="24"/>
      <c r="BC987" s="24"/>
      <c r="BD987" s="24"/>
      <c r="BE987" s="24"/>
      <c r="BF987" s="24"/>
      <c r="BG987" s="24"/>
      <c r="BH987" s="24"/>
    </row>
    <row r="988" spans="1:60">
      <c r="A988" s="7"/>
      <c r="B988" s="8"/>
      <c r="C988" s="9"/>
      <c r="D988" s="25"/>
      <c r="E988" s="25"/>
      <c r="F988" s="25"/>
      <c r="G988" s="25"/>
      <c r="H988" s="53"/>
      <c r="I988" s="53"/>
      <c r="J988" s="53"/>
      <c r="K988" s="24"/>
      <c r="L988" s="7"/>
      <c r="M988" s="24"/>
      <c r="N988" s="24"/>
      <c r="O988" s="24"/>
      <c r="P988" s="24"/>
      <c r="Q988" s="24"/>
      <c r="R988" s="24"/>
      <c r="S988" s="24"/>
      <c r="T988" s="24"/>
      <c r="U988" s="24"/>
      <c r="V988" s="24"/>
      <c r="W988" s="24"/>
      <c r="X988" s="24"/>
      <c r="Y988" s="24"/>
      <c r="Z988" s="24"/>
      <c r="AA988" s="24"/>
      <c r="AB988" s="24"/>
      <c r="AC988" s="24"/>
      <c r="AD988" s="24"/>
      <c r="AE988" s="24"/>
      <c r="AF988" s="24"/>
      <c r="AG988" s="24"/>
      <c r="AH988" s="24"/>
      <c r="AI988" s="24"/>
      <c r="AJ988" s="24"/>
      <c r="AK988" s="24"/>
      <c r="AL988" s="24"/>
      <c r="AM988" s="24"/>
      <c r="AN988" s="24"/>
      <c r="AO988" s="24"/>
      <c r="AP988" s="24"/>
      <c r="AQ988" s="24"/>
      <c r="AR988" s="24"/>
      <c r="AS988" s="24"/>
      <c r="AT988" s="24"/>
      <c r="AU988" s="24"/>
      <c r="AV988" s="24"/>
      <c r="AW988" s="24"/>
      <c r="AX988" s="24"/>
      <c r="AY988" s="24"/>
      <c r="AZ988" s="24"/>
      <c r="BA988" s="24"/>
      <c r="BB988" s="24"/>
      <c r="BC988" s="24"/>
      <c r="BD988" s="24"/>
      <c r="BE988" s="24"/>
      <c r="BF988" s="24"/>
      <c r="BG988" s="24"/>
      <c r="BH988" s="24"/>
    </row>
    <row r="989" spans="1:60">
      <c r="A989" s="7"/>
      <c r="B989" s="8"/>
      <c r="C989" s="9"/>
      <c r="D989" s="25"/>
      <c r="E989" s="25"/>
      <c r="F989" s="25"/>
      <c r="G989" s="25"/>
      <c r="H989" s="53"/>
      <c r="I989" s="53"/>
      <c r="J989" s="53"/>
      <c r="K989" s="24"/>
      <c r="L989" s="7"/>
      <c r="M989" s="24"/>
      <c r="N989" s="24"/>
      <c r="O989" s="24"/>
      <c r="P989" s="24"/>
      <c r="Q989" s="24"/>
      <c r="R989" s="24"/>
      <c r="S989" s="24"/>
      <c r="T989" s="24"/>
      <c r="U989" s="24"/>
      <c r="V989" s="24"/>
      <c r="W989" s="24"/>
      <c r="X989" s="24"/>
      <c r="Y989" s="24"/>
      <c r="Z989" s="24"/>
      <c r="AA989" s="24"/>
      <c r="AB989" s="24"/>
      <c r="AC989" s="24"/>
      <c r="AD989" s="24"/>
      <c r="AE989" s="24"/>
      <c r="AF989" s="24"/>
      <c r="AG989" s="24"/>
      <c r="AH989" s="24"/>
      <c r="AI989" s="24"/>
      <c r="AJ989" s="24"/>
      <c r="AK989" s="24"/>
      <c r="AL989" s="24"/>
      <c r="AM989" s="24"/>
      <c r="AN989" s="24"/>
      <c r="AO989" s="24"/>
      <c r="AP989" s="24"/>
      <c r="AQ989" s="24"/>
      <c r="AR989" s="24"/>
      <c r="AS989" s="24"/>
      <c r="AT989" s="24"/>
      <c r="AU989" s="24"/>
      <c r="AV989" s="24"/>
      <c r="AW989" s="24"/>
      <c r="AX989" s="24"/>
      <c r="AY989" s="24"/>
      <c r="AZ989" s="24"/>
      <c r="BA989" s="24"/>
      <c r="BB989" s="24"/>
      <c r="BC989" s="24"/>
      <c r="BD989" s="24"/>
      <c r="BE989" s="24"/>
      <c r="BF989" s="24"/>
      <c r="BG989" s="24"/>
      <c r="BH989" s="24"/>
    </row>
    <row r="990" spans="1:60">
      <c r="A990" s="7"/>
      <c r="B990" s="8"/>
      <c r="C990" s="9"/>
      <c r="D990" s="25"/>
      <c r="E990" s="25"/>
      <c r="F990" s="25"/>
      <c r="G990" s="25"/>
      <c r="H990" s="53"/>
      <c r="I990" s="53"/>
      <c r="J990" s="53"/>
      <c r="K990" s="24"/>
      <c r="L990" s="7"/>
      <c r="M990" s="24"/>
      <c r="N990" s="24"/>
      <c r="O990" s="24"/>
      <c r="P990" s="24"/>
      <c r="Q990" s="24"/>
      <c r="R990" s="24"/>
      <c r="S990" s="24"/>
      <c r="T990" s="24"/>
      <c r="U990" s="24"/>
      <c r="V990" s="24"/>
      <c r="W990" s="24"/>
      <c r="X990" s="24"/>
      <c r="Y990" s="24"/>
      <c r="Z990" s="24"/>
      <c r="AA990" s="24"/>
      <c r="AB990" s="24"/>
      <c r="AC990" s="24"/>
      <c r="AD990" s="24"/>
      <c r="AE990" s="24"/>
      <c r="AF990" s="24"/>
      <c r="AG990" s="24"/>
      <c r="AH990" s="24"/>
      <c r="AI990" s="24"/>
      <c r="AJ990" s="24"/>
      <c r="AK990" s="24"/>
      <c r="AL990" s="24"/>
      <c r="AM990" s="24"/>
      <c r="AN990" s="24"/>
      <c r="AO990" s="24"/>
      <c r="AP990" s="24"/>
      <c r="AQ990" s="24"/>
      <c r="AR990" s="24"/>
      <c r="AS990" s="24"/>
      <c r="AT990" s="24"/>
      <c r="AU990" s="24"/>
      <c r="AV990" s="24"/>
      <c r="AW990" s="24"/>
      <c r="AX990" s="24"/>
      <c r="AY990" s="24"/>
      <c r="AZ990" s="24"/>
      <c r="BA990" s="24"/>
      <c r="BB990" s="24"/>
      <c r="BC990" s="24"/>
      <c r="BD990" s="24"/>
      <c r="BE990" s="24"/>
      <c r="BF990" s="24"/>
      <c r="BG990" s="24"/>
      <c r="BH990" s="24"/>
    </row>
    <row r="991" spans="1:60">
      <c r="A991" s="7"/>
      <c r="B991" s="8"/>
      <c r="C991" s="9"/>
      <c r="D991" s="25"/>
      <c r="E991" s="25"/>
      <c r="F991" s="25"/>
      <c r="G991" s="25"/>
      <c r="H991" s="53"/>
      <c r="I991" s="53"/>
      <c r="J991" s="53"/>
      <c r="K991" s="24"/>
      <c r="L991" s="7"/>
      <c r="M991" s="24"/>
      <c r="N991" s="24"/>
      <c r="O991" s="24"/>
      <c r="P991" s="24"/>
      <c r="Q991" s="24"/>
      <c r="R991" s="24"/>
      <c r="S991" s="24"/>
      <c r="T991" s="24"/>
      <c r="U991" s="24"/>
      <c r="V991" s="24"/>
      <c r="W991" s="24"/>
      <c r="X991" s="24"/>
      <c r="Y991" s="24"/>
      <c r="Z991" s="24"/>
      <c r="AA991" s="24"/>
      <c r="AB991" s="24"/>
      <c r="AC991" s="24"/>
      <c r="AD991" s="24"/>
      <c r="AE991" s="24"/>
      <c r="AF991" s="24"/>
      <c r="AG991" s="24"/>
      <c r="AH991" s="24"/>
      <c r="AI991" s="24"/>
      <c r="AJ991" s="24"/>
      <c r="AK991" s="24"/>
      <c r="AL991" s="24"/>
      <c r="AM991" s="24"/>
      <c r="AN991" s="24"/>
      <c r="AO991" s="24"/>
      <c r="AP991" s="24"/>
      <c r="AQ991" s="24"/>
      <c r="AR991" s="24"/>
      <c r="AS991" s="24"/>
      <c r="AT991" s="24"/>
      <c r="AU991" s="24"/>
      <c r="AV991" s="24"/>
      <c r="AW991" s="24"/>
      <c r="AX991" s="24"/>
      <c r="AY991" s="24"/>
      <c r="AZ991" s="24"/>
      <c r="BA991" s="24"/>
      <c r="BB991" s="24"/>
      <c r="BC991" s="24"/>
      <c r="BD991" s="24"/>
      <c r="BE991" s="24"/>
      <c r="BF991" s="24"/>
      <c r="BG991" s="24"/>
      <c r="BH991" s="24"/>
    </row>
    <row r="992" spans="1:60">
      <c r="A992" s="7"/>
      <c r="B992" s="8"/>
      <c r="C992" s="9"/>
      <c r="D992" s="25"/>
      <c r="E992" s="25"/>
      <c r="F992" s="25"/>
      <c r="G992" s="25"/>
      <c r="H992" s="53"/>
      <c r="I992" s="53"/>
      <c r="J992" s="53"/>
      <c r="K992" s="24"/>
      <c r="L992" s="7"/>
      <c r="M992" s="24"/>
      <c r="N992" s="24"/>
      <c r="O992" s="24"/>
      <c r="P992" s="24"/>
      <c r="Q992" s="24"/>
      <c r="R992" s="24"/>
      <c r="S992" s="24"/>
      <c r="T992" s="24"/>
      <c r="U992" s="24"/>
      <c r="V992" s="24"/>
      <c r="W992" s="24"/>
      <c r="X992" s="24"/>
      <c r="Y992" s="24"/>
      <c r="Z992" s="24"/>
      <c r="AA992" s="24"/>
      <c r="AB992" s="24"/>
      <c r="AC992" s="24"/>
      <c r="AD992" s="24"/>
      <c r="AE992" s="24"/>
      <c r="AF992" s="24"/>
      <c r="AG992" s="24"/>
      <c r="AH992" s="24"/>
      <c r="AI992" s="24"/>
      <c r="AJ992" s="24"/>
      <c r="AK992" s="24"/>
      <c r="AL992" s="24"/>
      <c r="AM992" s="24"/>
      <c r="AN992" s="24"/>
      <c r="AO992" s="24"/>
      <c r="AP992" s="24"/>
      <c r="AQ992" s="24"/>
      <c r="AR992" s="24"/>
      <c r="AS992" s="24"/>
      <c r="AT992" s="24"/>
      <c r="AU992" s="24"/>
      <c r="AV992" s="24"/>
      <c r="AW992" s="24"/>
      <c r="AX992" s="24"/>
      <c r="AY992" s="24"/>
      <c r="AZ992" s="24"/>
      <c r="BA992" s="24"/>
      <c r="BB992" s="24"/>
      <c r="BC992" s="24"/>
      <c r="BD992" s="24"/>
      <c r="BE992" s="24"/>
      <c r="BF992" s="24"/>
      <c r="BG992" s="24"/>
      <c r="BH992" s="24"/>
    </row>
    <row r="993" spans="1:60">
      <c r="A993" s="7"/>
      <c r="B993" s="8"/>
      <c r="C993" s="9"/>
      <c r="D993" s="25"/>
      <c r="E993" s="25"/>
      <c r="F993" s="25"/>
      <c r="G993" s="25"/>
      <c r="H993" s="53"/>
      <c r="I993" s="53"/>
      <c r="J993" s="53"/>
      <c r="K993" s="24"/>
      <c r="L993" s="7"/>
      <c r="M993" s="24"/>
      <c r="N993" s="24"/>
      <c r="O993" s="24"/>
      <c r="P993" s="24"/>
      <c r="Q993" s="24"/>
      <c r="R993" s="24"/>
      <c r="S993" s="24"/>
      <c r="T993" s="24"/>
      <c r="U993" s="24"/>
      <c r="V993" s="24"/>
      <c r="W993" s="24"/>
      <c r="X993" s="24"/>
      <c r="Y993" s="24"/>
      <c r="Z993" s="24"/>
      <c r="AA993" s="24"/>
      <c r="AB993" s="24"/>
      <c r="AC993" s="24"/>
      <c r="AD993" s="24"/>
      <c r="AE993" s="24"/>
      <c r="AF993" s="24"/>
      <c r="AG993" s="24"/>
      <c r="AH993" s="24"/>
      <c r="AI993" s="24"/>
      <c r="AJ993" s="24"/>
      <c r="AK993" s="24"/>
      <c r="AL993" s="24"/>
      <c r="AM993" s="24"/>
      <c r="AN993" s="24"/>
      <c r="AO993" s="24"/>
      <c r="AP993" s="24"/>
      <c r="AQ993" s="24"/>
      <c r="AR993" s="24"/>
      <c r="AS993" s="24"/>
      <c r="AT993" s="24"/>
      <c r="AU993" s="24"/>
      <c r="AV993" s="24"/>
      <c r="AW993" s="24"/>
      <c r="AX993" s="24"/>
      <c r="AY993" s="24"/>
      <c r="AZ993" s="24"/>
      <c r="BA993" s="24"/>
      <c r="BB993" s="24"/>
      <c r="BC993" s="24"/>
      <c r="BD993" s="24"/>
      <c r="BE993" s="24"/>
      <c r="BF993" s="24"/>
      <c r="BG993" s="24"/>
      <c r="BH993" s="24"/>
    </row>
    <row r="994" spans="1:60">
      <c r="A994" s="7"/>
      <c r="B994" s="8"/>
      <c r="C994" s="9"/>
      <c r="D994" s="25"/>
      <c r="E994" s="25"/>
      <c r="F994" s="25"/>
      <c r="G994" s="25"/>
      <c r="H994" s="53"/>
      <c r="I994" s="53"/>
      <c r="J994" s="53"/>
      <c r="K994" s="24"/>
      <c r="L994" s="7"/>
      <c r="M994" s="24"/>
      <c r="N994" s="24"/>
      <c r="O994" s="24"/>
      <c r="P994" s="24"/>
      <c r="Q994" s="24"/>
      <c r="R994" s="24"/>
      <c r="S994" s="24"/>
      <c r="T994" s="24"/>
      <c r="U994" s="24"/>
      <c r="V994" s="24"/>
      <c r="W994" s="24"/>
      <c r="X994" s="24"/>
      <c r="Y994" s="24"/>
      <c r="Z994" s="24"/>
      <c r="AA994" s="24"/>
      <c r="AB994" s="24"/>
      <c r="AC994" s="24"/>
      <c r="AD994" s="24"/>
      <c r="AE994" s="24"/>
      <c r="AF994" s="24"/>
      <c r="AG994" s="24"/>
      <c r="AH994" s="24"/>
      <c r="AI994" s="24"/>
      <c r="AJ994" s="24"/>
      <c r="AK994" s="24"/>
      <c r="AL994" s="24"/>
      <c r="AM994" s="24"/>
      <c r="AN994" s="24"/>
      <c r="AO994" s="24"/>
      <c r="AP994" s="24"/>
      <c r="AQ994" s="24"/>
      <c r="AR994" s="24"/>
      <c r="AS994" s="24"/>
      <c r="AT994" s="24"/>
      <c r="AU994" s="24"/>
      <c r="AV994" s="24"/>
      <c r="AW994" s="24"/>
      <c r="AX994" s="24"/>
      <c r="AY994" s="24"/>
      <c r="AZ994" s="24"/>
      <c r="BA994" s="24"/>
      <c r="BB994" s="24"/>
      <c r="BC994" s="24"/>
      <c r="BD994" s="24"/>
      <c r="BE994" s="24"/>
      <c r="BF994" s="24"/>
      <c r="BG994" s="24"/>
      <c r="BH994" s="24"/>
    </row>
    <row r="995" spans="1:60">
      <c r="A995" s="7"/>
      <c r="B995" s="8"/>
      <c r="C995" s="9"/>
      <c r="D995" s="25"/>
      <c r="E995" s="25"/>
      <c r="F995" s="25"/>
      <c r="G995" s="25"/>
      <c r="H995" s="53"/>
      <c r="I995" s="53"/>
      <c r="J995" s="53"/>
      <c r="K995" s="24"/>
      <c r="L995" s="7"/>
      <c r="M995" s="24"/>
      <c r="N995" s="24"/>
      <c r="O995" s="24"/>
      <c r="P995" s="24"/>
      <c r="Q995" s="24"/>
      <c r="R995" s="24"/>
      <c r="S995" s="24"/>
      <c r="T995" s="24"/>
      <c r="U995" s="24"/>
      <c r="V995" s="24"/>
      <c r="W995" s="24"/>
      <c r="X995" s="24"/>
      <c r="Y995" s="24"/>
      <c r="Z995" s="24"/>
      <c r="AA995" s="24"/>
      <c r="AB995" s="24"/>
      <c r="AC995" s="24"/>
      <c r="AD995" s="24"/>
      <c r="AE995" s="24"/>
      <c r="AF995" s="24"/>
      <c r="AG995" s="24"/>
      <c r="AH995" s="24"/>
      <c r="AI995" s="24"/>
      <c r="AJ995" s="24"/>
      <c r="AK995" s="24"/>
      <c r="AL995" s="24"/>
      <c r="AM995" s="24"/>
      <c r="AN995" s="24"/>
      <c r="AO995" s="24"/>
      <c r="AP995" s="24"/>
      <c r="AQ995" s="24"/>
      <c r="AR995" s="24"/>
      <c r="AS995" s="24"/>
      <c r="AT995" s="24"/>
      <c r="AU995" s="24"/>
      <c r="AV995" s="24"/>
      <c r="AW995" s="24"/>
      <c r="AX995" s="24"/>
      <c r="AY995" s="24"/>
      <c r="AZ995" s="24"/>
      <c r="BA995" s="24"/>
      <c r="BB995" s="24"/>
      <c r="BC995" s="24"/>
      <c r="BD995" s="24"/>
      <c r="BE995" s="24"/>
      <c r="BF995" s="24"/>
      <c r="BG995" s="24"/>
      <c r="BH995" s="24"/>
    </row>
    <row r="996" spans="1:60">
      <c r="A996" s="7"/>
      <c r="B996" s="8"/>
      <c r="C996" s="9"/>
      <c r="D996" s="25"/>
      <c r="E996" s="25"/>
      <c r="F996" s="25"/>
      <c r="G996" s="25"/>
      <c r="H996" s="53"/>
      <c r="I996" s="53"/>
      <c r="J996" s="53"/>
      <c r="K996" s="24"/>
      <c r="L996" s="7"/>
      <c r="M996" s="24"/>
      <c r="N996" s="24"/>
      <c r="O996" s="24"/>
      <c r="P996" s="24"/>
      <c r="Q996" s="24"/>
      <c r="R996" s="24"/>
      <c r="S996" s="24"/>
      <c r="T996" s="24"/>
      <c r="U996" s="24"/>
      <c r="V996" s="24"/>
      <c r="W996" s="24"/>
      <c r="X996" s="24"/>
      <c r="Y996" s="24"/>
      <c r="Z996" s="24"/>
      <c r="AA996" s="24"/>
      <c r="AB996" s="24"/>
      <c r="AC996" s="24"/>
      <c r="AD996" s="24"/>
      <c r="AE996" s="24"/>
      <c r="AF996" s="24"/>
      <c r="AG996" s="24"/>
      <c r="AH996" s="24"/>
      <c r="AI996" s="24"/>
      <c r="AJ996" s="24"/>
      <c r="AK996" s="24"/>
      <c r="AL996" s="24"/>
      <c r="AM996" s="24"/>
      <c r="AN996" s="24"/>
      <c r="AO996" s="24"/>
      <c r="AP996" s="24"/>
      <c r="AQ996" s="24"/>
      <c r="AR996" s="24"/>
      <c r="AS996" s="24"/>
      <c r="AT996" s="24"/>
      <c r="AU996" s="24"/>
      <c r="AV996" s="24"/>
      <c r="AW996" s="24"/>
      <c r="AX996" s="24"/>
      <c r="AY996" s="24"/>
      <c r="AZ996" s="24"/>
      <c r="BA996" s="24"/>
      <c r="BB996" s="24"/>
      <c r="BC996" s="24"/>
      <c r="BD996" s="24"/>
      <c r="BE996" s="24"/>
      <c r="BF996" s="24"/>
      <c r="BG996" s="24"/>
      <c r="BH996" s="24"/>
    </row>
    <row r="997" spans="1:60">
      <c r="A997" s="7"/>
      <c r="B997" s="8"/>
      <c r="C997" s="9"/>
      <c r="D997" s="25"/>
      <c r="E997" s="25"/>
      <c r="F997" s="25"/>
      <c r="G997" s="25"/>
      <c r="H997" s="53"/>
      <c r="I997" s="53"/>
      <c r="J997" s="53"/>
      <c r="K997" s="24"/>
      <c r="L997" s="7"/>
      <c r="M997" s="24"/>
      <c r="N997" s="24"/>
      <c r="O997" s="24"/>
      <c r="P997" s="24"/>
      <c r="Q997" s="24"/>
      <c r="R997" s="24"/>
      <c r="S997" s="24"/>
      <c r="T997" s="24"/>
      <c r="U997" s="24"/>
      <c r="V997" s="24"/>
      <c r="W997" s="24"/>
      <c r="X997" s="24"/>
      <c r="Y997" s="24"/>
      <c r="Z997" s="24"/>
      <c r="AA997" s="24"/>
      <c r="AB997" s="24"/>
      <c r="AC997" s="24"/>
      <c r="AD997" s="24"/>
      <c r="AE997" s="24"/>
      <c r="AF997" s="24"/>
      <c r="AG997" s="24"/>
      <c r="AH997" s="24"/>
      <c r="AI997" s="24"/>
      <c r="AJ997" s="24"/>
      <c r="AK997" s="24"/>
      <c r="AL997" s="24"/>
      <c r="AM997" s="24"/>
      <c r="AN997" s="24"/>
      <c r="AO997" s="24"/>
      <c r="AP997" s="24"/>
      <c r="AQ997" s="24"/>
      <c r="AR997" s="24"/>
      <c r="AS997" s="24"/>
      <c r="AT997" s="24"/>
      <c r="AU997" s="24"/>
      <c r="AV997" s="24"/>
      <c r="AW997" s="24"/>
      <c r="AX997" s="24"/>
      <c r="AY997" s="24"/>
      <c r="AZ997" s="24"/>
      <c r="BA997" s="24"/>
      <c r="BB997" s="24"/>
      <c r="BC997" s="24"/>
      <c r="BD997" s="24"/>
      <c r="BE997" s="24"/>
      <c r="BF997" s="24"/>
      <c r="BG997" s="24"/>
      <c r="BH997" s="24"/>
    </row>
    <row r="998" spans="1:60">
      <c r="A998" s="7"/>
      <c r="B998" s="8"/>
      <c r="C998" s="9"/>
      <c r="D998" s="25"/>
      <c r="E998" s="25"/>
      <c r="F998" s="25"/>
      <c r="G998" s="25"/>
      <c r="H998" s="53"/>
      <c r="I998" s="53"/>
      <c r="J998" s="53"/>
      <c r="K998" s="24"/>
      <c r="L998" s="7"/>
      <c r="M998" s="24"/>
      <c r="N998" s="24"/>
      <c r="O998" s="24"/>
      <c r="P998" s="24"/>
      <c r="Q998" s="24"/>
      <c r="R998" s="24"/>
      <c r="S998" s="24"/>
      <c r="T998" s="24"/>
      <c r="U998" s="24"/>
      <c r="V998" s="24"/>
      <c r="W998" s="24"/>
      <c r="X998" s="24"/>
      <c r="Y998" s="24"/>
      <c r="Z998" s="24"/>
      <c r="AA998" s="24"/>
      <c r="AB998" s="24"/>
      <c r="AC998" s="24"/>
      <c r="AD998" s="24"/>
      <c r="AE998" s="24"/>
      <c r="AF998" s="24"/>
      <c r="AG998" s="24"/>
      <c r="AH998" s="24"/>
      <c r="AI998" s="24"/>
      <c r="AJ998" s="24"/>
      <c r="AK998" s="24"/>
      <c r="AL998" s="24"/>
      <c r="AM998" s="24"/>
      <c r="AN998" s="24"/>
      <c r="AO998" s="24"/>
      <c r="AP998" s="24"/>
      <c r="AQ998" s="24"/>
      <c r="AR998" s="24"/>
      <c r="AS998" s="24"/>
      <c r="AT998" s="24"/>
      <c r="AU998" s="24"/>
      <c r="AV998" s="24"/>
      <c r="AW998" s="24"/>
      <c r="AX998" s="24"/>
      <c r="AY998" s="24"/>
      <c r="AZ998" s="24"/>
      <c r="BA998" s="24"/>
      <c r="BB998" s="24"/>
      <c r="BC998" s="24"/>
      <c r="BD998" s="24"/>
      <c r="BE998" s="24"/>
      <c r="BF998" s="24"/>
      <c r="BG998" s="24"/>
      <c r="BH998" s="24"/>
    </row>
    <row r="999" spans="1:60">
      <c r="A999" s="7"/>
      <c r="B999" s="8"/>
      <c r="C999" s="9"/>
      <c r="D999" s="25"/>
      <c r="E999" s="25"/>
      <c r="F999" s="25"/>
      <c r="G999" s="25"/>
      <c r="H999" s="53"/>
      <c r="I999" s="53"/>
      <c r="J999" s="53"/>
      <c r="K999" s="24"/>
      <c r="L999" s="7"/>
      <c r="M999" s="24"/>
      <c r="N999" s="24"/>
      <c r="O999" s="24"/>
      <c r="P999" s="24"/>
      <c r="Q999" s="24"/>
      <c r="R999" s="24"/>
      <c r="S999" s="24"/>
      <c r="T999" s="24"/>
      <c r="U999" s="24"/>
      <c r="V999" s="24"/>
      <c r="W999" s="24"/>
      <c r="X999" s="24"/>
      <c r="Y999" s="24"/>
      <c r="Z999" s="24"/>
      <c r="AA999" s="24"/>
      <c r="AB999" s="24"/>
      <c r="AC999" s="24"/>
      <c r="AD999" s="24"/>
      <c r="AE999" s="24"/>
      <c r="AF999" s="24"/>
      <c r="AG999" s="24"/>
      <c r="AH999" s="24"/>
      <c r="AI999" s="24"/>
      <c r="AJ999" s="24"/>
      <c r="AK999" s="24"/>
      <c r="AL999" s="24"/>
      <c r="AM999" s="24"/>
      <c r="AN999" s="24"/>
      <c r="AO999" s="24"/>
      <c r="AP999" s="24"/>
      <c r="AQ999" s="24"/>
      <c r="AR999" s="24"/>
      <c r="AS999" s="24"/>
      <c r="AT999" s="24"/>
      <c r="AU999" s="24"/>
      <c r="AV999" s="24"/>
      <c r="AW999" s="24"/>
      <c r="AX999" s="24"/>
      <c r="AY999" s="24"/>
      <c r="AZ999" s="24"/>
      <c r="BA999" s="24"/>
      <c r="BB999" s="24"/>
      <c r="BC999" s="24"/>
      <c r="BD999" s="24"/>
      <c r="BE999" s="24"/>
      <c r="BF999" s="24"/>
      <c r="BG999" s="24"/>
      <c r="BH999" s="24"/>
    </row>
    <row r="1000" spans="1:60">
      <c r="A1000" s="7"/>
      <c r="B1000" s="8"/>
      <c r="C1000" s="9"/>
      <c r="D1000" s="25"/>
      <c r="E1000" s="25"/>
      <c r="F1000" s="25"/>
      <c r="G1000" s="25"/>
      <c r="H1000" s="53"/>
      <c r="I1000" s="53"/>
      <c r="J1000" s="53"/>
      <c r="K1000" s="24"/>
      <c r="L1000" s="7"/>
      <c r="M1000" s="24"/>
      <c r="N1000" s="24"/>
      <c r="O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4"/>
      <c r="AK1000" s="24"/>
      <c r="AL1000" s="24"/>
      <c r="AM1000" s="24"/>
      <c r="AN1000" s="24"/>
      <c r="AO1000" s="24"/>
      <c r="AP1000" s="24"/>
      <c r="AQ1000" s="24"/>
      <c r="AR1000" s="24"/>
      <c r="AS1000" s="24"/>
      <c r="AT1000" s="24"/>
      <c r="AU1000" s="24"/>
      <c r="AV1000" s="24"/>
      <c r="AW1000" s="24"/>
      <c r="AX1000" s="24"/>
      <c r="AY1000" s="24"/>
      <c r="AZ1000" s="24"/>
      <c r="BA1000" s="24"/>
      <c r="BB1000" s="24"/>
      <c r="BC1000" s="24"/>
      <c r="BD1000" s="24"/>
      <c r="BE1000" s="24"/>
      <c r="BF1000" s="24"/>
      <c r="BG1000" s="24"/>
      <c r="BH1000" s="24"/>
    </row>
    <row r="1001" spans="1:60">
      <c r="A1001" s="7"/>
      <c r="B1001" s="8"/>
      <c r="C1001" s="9"/>
      <c r="D1001" s="25"/>
      <c r="E1001" s="25"/>
      <c r="F1001" s="25"/>
      <c r="G1001" s="25"/>
      <c r="H1001" s="53"/>
      <c r="I1001" s="53"/>
      <c r="J1001" s="53"/>
      <c r="K1001" s="24"/>
      <c r="L1001" s="7"/>
      <c r="M1001" s="24"/>
      <c r="N1001" s="24"/>
      <c r="O1001" s="24"/>
      <c r="P1001" s="24"/>
      <c r="Q1001" s="24"/>
      <c r="R1001" s="24"/>
      <c r="S1001" s="24"/>
      <c r="T1001" s="24"/>
      <c r="U1001" s="24"/>
      <c r="V1001" s="24"/>
      <c r="W1001" s="24"/>
      <c r="X1001" s="24"/>
      <c r="Y1001" s="24"/>
      <c r="Z1001" s="24"/>
      <c r="AA1001" s="24"/>
      <c r="AB1001" s="24"/>
      <c r="AC1001" s="24"/>
      <c r="AD1001" s="24"/>
      <c r="AE1001" s="24"/>
      <c r="AF1001" s="24"/>
      <c r="AG1001" s="24"/>
      <c r="AH1001" s="24"/>
      <c r="AI1001" s="24"/>
      <c r="AJ1001" s="24"/>
      <c r="AK1001" s="24"/>
      <c r="AL1001" s="24"/>
      <c r="AM1001" s="24"/>
      <c r="AN1001" s="24"/>
      <c r="AO1001" s="24"/>
      <c r="AP1001" s="24"/>
      <c r="AQ1001" s="24"/>
      <c r="AR1001" s="24"/>
      <c r="AS1001" s="24"/>
      <c r="AT1001" s="24"/>
      <c r="AU1001" s="24"/>
      <c r="AV1001" s="24"/>
      <c r="AW1001" s="24"/>
      <c r="AX1001" s="24"/>
      <c r="AY1001" s="24"/>
      <c r="AZ1001" s="24"/>
      <c r="BA1001" s="24"/>
      <c r="BB1001" s="24"/>
      <c r="BC1001" s="24"/>
      <c r="BD1001" s="24"/>
      <c r="BE1001" s="24"/>
      <c r="BF1001" s="24"/>
      <c r="BG1001" s="24"/>
      <c r="BH1001" s="24"/>
    </row>
    <row r="1002" spans="1:60">
      <c r="A1002" s="6" t="s">
        <v>1207</v>
      </c>
      <c r="B1002" s="6" t="s">
        <v>1207</v>
      </c>
      <c r="C1002" s="9"/>
      <c r="D1002" s="25"/>
      <c r="E1002" s="25"/>
      <c r="F1002" s="25"/>
      <c r="G1002" s="25"/>
      <c r="H1002" s="53"/>
      <c r="I1002" s="53"/>
      <c r="J1002" s="53"/>
      <c r="K1002" s="24"/>
      <c r="L1002" s="7"/>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24"/>
      <c r="BD1002" s="24"/>
      <c r="BE1002" s="24"/>
      <c r="BF1002" s="24"/>
      <c r="BG1002" s="24"/>
      <c r="BH1002" s="24"/>
    </row>
  </sheetData>
  <mergeCells count="2">
    <mergeCell ref="F22:F30"/>
    <mergeCell ref="J1:K2"/>
  </mergeCells>
  <phoneticPr fontId="3" type="noConversion"/>
  <pageMargins left="0.75" right="0.75" top="1" bottom="1" header="0.5" footer="0.5"/>
  <pageSetup orientation="landscape" horizontalDpi="1200" verticalDpi="1200"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N38"/>
  <sheetViews>
    <sheetView zoomScale="85" workbookViewId="0">
      <pane xSplit="1" ySplit="5" topLeftCell="B6" activePane="bottomRight" state="frozenSplit"/>
      <selection pane="topRight" activeCell="B1" sqref="B1"/>
      <selection pane="bottomLeft" activeCell="A6" sqref="A6"/>
      <selection pane="bottomRight" activeCell="B6" sqref="B6"/>
    </sheetView>
  </sheetViews>
  <sheetFormatPr defaultRowHeight="15.75"/>
  <cols>
    <col min="1" max="1" width="24.75" customWidth="1"/>
    <col min="2" max="2" width="1.625" customWidth="1"/>
    <col min="15" max="15" width="2.25" customWidth="1"/>
  </cols>
  <sheetData>
    <row r="1" spans="1:14">
      <c r="A1" s="2079" t="s">
        <v>629</v>
      </c>
      <c r="B1" s="2080"/>
      <c r="C1" s="2080"/>
      <c r="D1" s="2080"/>
      <c r="E1" s="2080"/>
      <c r="F1" s="2080"/>
      <c r="G1" s="2080"/>
      <c r="H1" s="2080"/>
      <c r="I1" s="2080"/>
      <c r="J1" s="2080"/>
      <c r="K1" s="2080"/>
      <c r="L1" s="2080"/>
      <c r="M1" s="2080"/>
      <c r="N1" s="2080"/>
    </row>
    <row r="2" spans="1:14">
      <c r="A2" s="2079" t="s">
        <v>463</v>
      </c>
      <c r="B2" s="2080"/>
      <c r="C2" s="2080"/>
      <c r="D2" s="2080"/>
      <c r="E2" s="2080"/>
      <c r="F2" s="2080"/>
      <c r="G2" s="2080"/>
      <c r="H2" s="2080"/>
      <c r="I2" s="2080"/>
      <c r="J2" s="2080"/>
      <c r="K2" s="2080"/>
      <c r="L2" s="2080"/>
      <c r="M2" s="2080"/>
      <c r="N2" s="2080"/>
    </row>
    <row r="3" spans="1:14">
      <c r="A3" s="2080" t="s">
        <v>1703</v>
      </c>
      <c r="B3" s="2080"/>
      <c r="C3" s="2080"/>
      <c r="D3" s="2080"/>
      <c r="E3" s="2080"/>
      <c r="F3" s="2080"/>
      <c r="G3" s="2080"/>
      <c r="H3" s="2080"/>
      <c r="I3" s="2080"/>
      <c r="J3" s="2080"/>
      <c r="K3" s="2080"/>
      <c r="L3" s="2080"/>
      <c r="M3" s="2080"/>
      <c r="N3" s="2080"/>
    </row>
    <row r="4" spans="1:14">
      <c r="A4" s="2080"/>
      <c r="B4" s="2080"/>
      <c r="C4" s="2080"/>
      <c r="D4" s="2080"/>
      <c r="E4" s="2080"/>
      <c r="F4" s="2080"/>
      <c r="G4" s="2080"/>
      <c r="H4" s="2080"/>
      <c r="I4" s="2080"/>
      <c r="J4" s="2080"/>
      <c r="K4" s="2080"/>
      <c r="L4" s="2080"/>
      <c r="M4" s="2080"/>
      <c r="N4" s="2080"/>
    </row>
    <row r="5" spans="1:14">
      <c r="A5" s="2081"/>
      <c r="B5" s="2082"/>
      <c r="C5" s="2082">
        <v>2004</v>
      </c>
      <c r="D5" s="2082">
        <v>2005</v>
      </c>
      <c r="E5" s="2082">
        <v>2006</v>
      </c>
      <c r="F5" s="2082">
        <v>2007</v>
      </c>
      <c r="G5" s="2082">
        <v>2008</v>
      </c>
      <c r="H5" s="2082">
        <v>2009</v>
      </c>
      <c r="I5" s="2082">
        <v>2010</v>
      </c>
      <c r="J5" s="2082">
        <v>2011</v>
      </c>
      <c r="K5" s="2082">
        <v>2012</v>
      </c>
      <c r="L5" s="2082">
        <v>2013</v>
      </c>
      <c r="M5" s="2082">
        <v>2014</v>
      </c>
      <c r="N5" s="2082">
        <v>2015</v>
      </c>
    </row>
    <row r="6" spans="1:14">
      <c r="A6" s="2083"/>
      <c r="B6" s="2084"/>
      <c r="C6" s="2084"/>
      <c r="D6" s="2084"/>
      <c r="E6" s="2084"/>
      <c r="F6" s="2084"/>
      <c r="G6" s="2084"/>
      <c r="H6" s="2084"/>
      <c r="I6" s="2084"/>
      <c r="J6" s="2084"/>
      <c r="K6" s="2084"/>
      <c r="L6" s="2084"/>
      <c r="M6" s="2083"/>
      <c r="N6" s="2083"/>
    </row>
    <row r="7" spans="1:14">
      <c r="A7" s="2085" t="s">
        <v>464</v>
      </c>
      <c r="B7" s="2084"/>
      <c r="C7" s="2084"/>
      <c r="D7" s="2084"/>
      <c r="E7" s="2084"/>
      <c r="F7" s="2084"/>
      <c r="G7" s="2084"/>
      <c r="H7" s="2084"/>
      <c r="I7" s="2084"/>
      <c r="J7" s="2084"/>
      <c r="K7" s="2084"/>
      <c r="L7" s="2084"/>
      <c r="M7" s="2083"/>
      <c r="N7" s="2083"/>
    </row>
    <row r="8" spans="1:14">
      <c r="A8" s="2086" t="s">
        <v>465</v>
      </c>
      <c r="B8" s="2084"/>
      <c r="C8" s="2087">
        <f>+BYD!H88</f>
        <v>122.09899999999999</v>
      </c>
      <c r="D8" s="2087">
        <f>+BYD!M88</f>
        <v>228.01</v>
      </c>
      <c r="E8" s="2087">
        <f>+BYD!R88</f>
        <v>192.06399999999996</v>
      </c>
      <c r="F8" s="2087">
        <f>+BYD!W88</f>
        <v>161.13099999999997</v>
      </c>
      <c r="G8" s="2087">
        <f>+BYD!AB88</f>
        <v>81.231780000000043</v>
      </c>
      <c r="H8" s="2087">
        <f>+BYD!AG88</f>
        <v>31.329535999999994</v>
      </c>
      <c r="I8" s="2087">
        <f>+BYD!AL88</f>
        <v>13.271000000000036</v>
      </c>
      <c r="J8" s="2087">
        <f>+BYD!AQ88</f>
        <v>-0.28599999999998538</v>
      </c>
      <c r="K8" s="2087">
        <f>+BYD!AV88</f>
        <v>-24.522999999999886</v>
      </c>
      <c r="L8" s="2087">
        <f>+BYD!BA88</f>
        <v>-33.535499999999935</v>
      </c>
      <c r="M8" s="2087">
        <f>+BYD!BF88</f>
        <v>1.3905000000000172</v>
      </c>
      <c r="N8" s="2087">
        <f>+BYD!BK88</f>
        <v>89.688000000000116</v>
      </c>
    </row>
    <row r="9" spans="1:14">
      <c r="A9" s="2086" t="s">
        <v>466</v>
      </c>
      <c r="B9" s="2084"/>
      <c r="C9" s="2088">
        <f>-BYD!H73</f>
        <v>102.02600000000001</v>
      </c>
      <c r="D9" s="2088">
        <f>-BYD!M73</f>
        <v>128.839</v>
      </c>
      <c r="E9" s="2088">
        <f>-BYD!R73</f>
        <v>160.471</v>
      </c>
      <c r="F9" s="2088">
        <f>-BYD!W73</f>
        <v>137.57300000000001</v>
      </c>
      <c r="G9" s="2088">
        <f>-BYD!AB73</f>
        <v>109.07599999999999</v>
      </c>
      <c r="H9" s="2088">
        <f>-BYD!AG73</f>
        <v>146.82400000000001</v>
      </c>
      <c r="I9" s="2088">
        <f>-BYD!AL73</f>
        <v>164.45299999999997</v>
      </c>
      <c r="J9" s="2088">
        <f>-BYD!AQ73</f>
        <v>250.733</v>
      </c>
      <c r="K9" s="2088">
        <f>-BYD!AV73</f>
        <v>288.83500000000004</v>
      </c>
      <c r="L9" s="2088">
        <f>-BYD!BA73</f>
        <v>260.8</v>
      </c>
      <c r="M9" s="2088">
        <f>-BYD!BF73</f>
        <v>228.00099999999998</v>
      </c>
      <c r="N9" s="2088">
        <f>-BYD!BK73</f>
        <v>222.732</v>
      </c>
    </row>
    <row r="10" spans="1:14">
      <c r="A10" s="2086" t="s">
        <v>467</v>
      </c>
      <c r="B10" s="2084"/>
      <c r="C10" s="2088">
        <f>BYD!H78</f>
        <v>-10.678999999999998</v>
      </c>
      <c r="D10" s="2088">
        <f>BYD!M78</f>
        <v>-83.4</v>
      </c>
      <c r="E10" s="2088">
        <f>BYD!R78</f>
        <v>-34.951000000000008</v>
      </c>
      <c r="F10" s="2088">
        <f>BYD!W78</f>
        <v>-42.709000000000003</v>
      </c>
      <c r="G10" s="2088">
        <f>BYD!AB78</f>
        <v>-379.67399999999998</v>
      </c>
      <c r="H10" s="2088">
        <f>BYD!AG78</f>
        <v>-30.37</v>
      </c>
      <c r="I10" s="2088">
        <f>BYD!AL78</f>
        <v>-1.4539999999999988</v>
      </c>
      <c r="J10" s="2088">
        <f>BYD!AQ78</f>
        <v>-12.529</v>
      </c>
      <c r="K10" s="2088">
        <f>BYD!AV78+1053.5</f>
        <v>-22.028999999999996</v>
      </c>
      <c r="L10" s="2088">
        <f>BYD!BA78</f>
        <v>-44.5</v>
      </c>
      <c r="M10" s="2088">
        <f>BYD!BF78</f>
        <v>-76.146999999999991</v>
      </c>
      <c r="N10" s="2088">
        <f>BYD!BK78</f>
        <v>-70.788000000000011</v>
      </c>
    </row>
    <row r="11" spans="1:14">
      <c r="A11" s="2086" t="s">
        <v>468</v>
      </c>
      <c r="B11" s="2084"/>
      <c r="C11" s="2088"/>
      <c r="D11" s="2088"/>
      <c r="E11" s="2088"/>
      <c r="F11" s="2088"/>
      <c r="G11" s="2088"/>
      <c r="H11" s="2088"/>
      <c r="I11" s="2088"/>
      <c r="J11" s="2088"/>
      <c r="K11" s="2088"/>
      <c r="L11" s="2088"/>
      <c r="M11" s="2088"/>
      <c r="N11" s="2088"/>
    </row>
    <row r="12" spans="1:14">
      <c r="A12" s="2086" t="s">
        <v>469</v>
      </c>
      <c r="B12" s="2089"/>
      <c r="C12" s="2088"/>
      <c r="D12" s="2088"/>
      <c r="E12" s="2088"/>
      <c r="F12" s="2088"/>
      <c r="G12" s="2088"/>
      <c r="H12" s="2088"/>
      <c r="I12" s="2088"/>
      <c r="J12" s="2088"/>
      <c r="K12" s="2088"/>
      <c r="L12" s="2088"/>
      <c r="M12" s="2088"/>
      <c r="N12" s="2088"/>
    </row>
    <row r="13" spans="1:14">
      <c r="A13" s="2090" t="s">
        <v>31</v>
      </c>
      <c r="B13" s="2091"/>
      <c r="C13" s="2092">
        <f t="shared" ref="C13:N13" si="0">SUM(C8:C12)</f>
        <v>213.446</v>
      </c>
      <c r="D13" s="2092">
        <f t="shared" si="0"/>
        <v>273.44899999999996</v>
      </c>
      <c r="E13" s="2092">
        <f t="shared" si="0"/>
        <v>317.58399999999995</v>
      </c>
      <c r="F13" s="2092">
        <f t="shared" si="0"/>
        <v>255.99499999999995</v>
      </c>
      <c r="G13" s="2092">
        <f t="shared" si="0"/>
        <v>-189.36621999999994</v>
      </c>
      <c r="H13" s="2092">
        <f t="shared" si="0"/>
        <v>147.783536</v>
      </c>
      <c r="I13" s="2092">
        <f t="shared" si="0"/>
        <v>176.27</v>
      </c>
      <c r="J13" s="2092">
        <f t="shared" si="0"/>
        <v>237.91800000000003</v>
      </c>
      <c r="K13" s="2092">
        <f t="shared" si="0"/>
        <v>242.28300000000013</v>
      </c>
      <c r="L13" s="2092">
        <f t="shared" si="0"/>
        <v>182.76450000000008</v>
      </c>
      <c r="M13" s="2092">
        <f t="shared" si="0"/>
        <v>153.24450000000002</v>
      </c>
      <c r="N13" s="2092">
        <f t="shared" si="0"/>
        <v>241.63200000000012</v>
      </c>
    </row>
    <row r="14" spans="1:14">
      <c r="A14" s="2093"/>
      <c r="B14" s="2094"/>
      <c r="C14" s="2083"/>
      <c r="D14" s="2083"/>
      <c r="E14" s="2083"/>
      <c r="F14" s="2083"/>
      <c r="G14" s="2083"/>
      <c r="H14" s="2083"/>
      <c r="I14" s="2083"/>
      <c r="J14" s="2083"/>
      <c r="K14" s="2083"/>
      <c r="L14" s="2083"/>
      <c r="M14" s="2083"/>
      <c r="N14" s="2083"/>
    </row>
    <row r="15" spans="1:14">
      <c r="A15" s="2085" t="s">
        <v>32</v>
      </c>
      <c r="B15" s="2095"/>
      <c r="C15" s="2083"/>
      <c r="D15" s="2083"/>
      <c r="E15" s="2083"/>
      <c r="F15" s="2083"/>
      <c r="G15" s="2083"/>
      <c r="H15" s="2083"/>
      <c r="I15" s="2083"/>
      <c r="J15" s="2083"/>
      <c r="K15" s="2083"/>
      <c r="L15" s="2083"/>
      <c r="M15" s="2083"/>
      <c r="N15" s="2083"/>
    </row>
    <row r="16" spans="1:14">
      <c r="A16" s="2086" t="s">
        <v>33</v>
      </c>
      <c r="B16" s="2095"/>
      <c r="C16" s="2087">
        <f>+BYD!H1114</f>
        <v>2310.0250000000001</v>
      </c>
      <c r="D16" s="2087">
        <f>+BYD!M1114</f>
        <v>2558.5239999999999</v>
      </c>
      <c r="E16" s="2087">
        <f>+BYD!R1114</f>
        <v>2138.5660000000003</v>
      </c>
      <c r="F16" s="2087">
        <f>+BYD!W1114</f>
        <v>2266.558</v>
      </c>
      <c r="G16" s="2087">
        <f>+BYD!AB1114</f>
        <v>2647.674</v>
      </c>
      <c r="H16" s="2087">
        <f>+BYD!AG1114</f>
        <v>2577.5630000000001</v>
      </c>
      <c r="I16" s="2087">
        <f>+BYD!AL1114</f>
        <v>3218.7550000000001</v>
      </c>
      <c r="J16" s="2087">
        <f>+BYD!AQ1114</f>
        <v>3390.4560000000001</v>
      </c>
      <c r="K16" s="2087">
        <f>+BYD!AV1114</f>
        <v>4827.8529999999992</v>
      </c>
      <c r="L16" s="2087">
        <f>+BYD!BA1114</f>
        <v>4352.9319999999998</v>
      </c>
      <c r="M16" s="2087">
        <f>+BYD!BF1114</f>
        <v>3431.6379999999999</v>
      </c>
      <c r="N16" s="2087">
        <f>+BYD!BK1114</f>
        <v>3239.799</v>
      </c>
    </row>
    <row r="17" spans="1:14">
      <c r="A17" s="2086" t="s">
        <v>34</v>
      </c>
      <c r="B17" s="2095"/>
      <c r="C17" s="2088">
        <f>+BYD!H1124</f>
        <v>943.76999999999987</v>
      </c>
      <c r="D17" s="2088">
        <f>+BYD!M1124</f>
        <v>1098.0040000000001</v>
      </c>
      <c r="E17" s="2088">
        <f>+BYD!R1124</f>
        <v>1109.952</v>
      </c>
      <c r="F17" s="2088">
        <f>+BYD!W1124</f>
        <v>1385.4059999999999</v>
      </c>
      <c r="G17" s="2088">
        <f>+BYD!AB1124</f>
        <v>1143.5219999999999</v>
      </c>
      <c r="H17" s="2088">
        <f>+BYD!AG1124</f>
        <v>1156.3689999999999</v>
      </c>
      <c r="I17" s="2088">
        <f>+BYD!AL1124</f>
        <v>1189.2049999999999</v>
      </c>
      <c r="J17" s="2088">
        <f>+BYD!AQ1124</f>
        <v>1202.0920000000001</v>
      </c>
      <c r="K17" s="2088">
        <f>+BYD!AV1124</f>
        <v>303.791</v>
      </c>
      <c r="L17" s="2088">
        <f>+BYD!BA1124</f>
        <v>469.98699999999997</v>
      </c>
      <c r="M17" s="2088">
        <f>+BYD!BF1124</f>
        <v>438.03699999999992</v>
      </c>
      <c r="N17" s="2088">
        <f>+BYD!BK1124</f>
        <v>507.96100000000007</v>
      </c>
    </row>
    <row r="18" spans="1:14">
      <c r="A18" s="2086" t="s">
        <v>35</v>
      </c>
      <c r="B18" s="2095"/>
      <c r="C18" s="2088"/>
      <c r="D18" s="2088"/>
      <c r="E18" s="2088"/>
      <c r="F18" s="2088"/>
      <c r="G18" s="2088"/>
      <c r="H18" s="2088"/>
      <c r="I18" s="2088"/>
      <c r="J18" s="2088"/>
      <c r="K18" s="2088"/>
      <c r="L18" s="2088"/>
      <c r="M18" s="2088"/>
      <c r="N18" s="2088"/>
    </row>
    <row r="19" spans="1:14">
      <c r="A19" s="2086" t="s">
        <v>36</v>
      </c>
      <c r="B19" s="2095"/>
      <c r="C19" s="2088">
        <f>+BYD!H1116</f>
        <v>348.61500000000001</v>
      </c>
      <c r="D19" s="2088">
        <f>+BYD!M1116</f>
        <v>334.346</v>
      </c>
      <c r="E19" s="2088">
        <f>+BYD!R1116</f>
        <v>326.34100000000001</v>
      </c>
      <c r="F19" s="2088">
        <f>+BYD!W1116</f>
        <v>456.12900000000002</v>
      </c>
      <c r="G19" s="2088">
        <f>+BYD!AB1116</f>
        <v>461.52399999999994</v>
      </c>
      <c r="H19" s="2088">
        <f>+BYD!AG1116</f>
        <v>431.31799999999998</v>
      </c>
      <c r="I19" s="2088">
        <f>+BYD!AL1116</f>
        <v>491.01399999999995</v>
      </c>
      <c r="J19" s="2088">
        <f>+BYD!AQ1116</f>
        <v>689.72900000000004</v>
      </c>
      <c r="K19" s="2088">
        <f>+BYD!AV1116</f>
        <v>286.649</v>
      </c>
      <c r="L19" s="2088">
        <f>+BYD!BA1116</f>
        <v>284.49900000000002</v>
      </c>
      <c r="M19" s="2088">
        <f>+BYD!BF1116</f>
        <v>252.00400000000002</v>
      </c>
      <c r="N19" s="2088">
        <f>+BYD!BK1116</f>
        <v>248.01900000000001</v>
      </c>
    </row>
    <row r="20" spans="1:14">
      <c r="A20" s="2086" t="s">
        <v>37</v>
      </c>
      <c r="B20" s="2095"/>
      <c r="C20" s="2088"/>
      <c r="D20" s="2088"/>
      <c r="E20" s="2088"/>
      <c r="F20" s="2088"/>
      <c r="G20" s="2088"/>
      <c r="H20" s="2088"/>
      <c r="I20" s="2088"/>
      <c r="J20" s="2088"/>
      <c r="K20" s="2088"/>
      <c r="L20" s="2088"/>
      <c r="M20" s="2088"/>
      <c r="N20" s="2088"/>
    </row>
    <row r="21" spans="1:14">
      <c r="A21" s="2096" t="s">
        <v>32</v>
      </c>
      <c r="B21" s="2096"/>
      <c r="C21" s="2092">
        <f t="shared" ref="C21:N21" si="1">SUM(C16:C20)</f>
        <v>3602.41</v>
      </c>
      <c r="D21" s="2092">
        <f t="shared" si="1"/>
        <v>3990.8740000000003</v>
      </c>
      <c r="E21" s="2092">
        <f t="shared" si="1"/>
        <v>3574.8589999999999</v>
      </c>
      <c r="F21" s="2092">
        <f t="shared" si="1"/>
        <v>4108.0929999999998</v>
      </c>
      <c r="G21" s="2092">
        <f t="shared" si="1"/>
        <v>4252.72</v>
      </c>
      <c r="H21" s="2092">
        <f t="shared" si="1"/>
        <v>4165.25</v>
      </c>
      <c r="I21" s="2092">
        <f t="shared" si="1"/>
        <v>4898.9740000000002</v>
      </c>
      <c r="J21" s="2092">
        <f t="shared" si="1"/>
        <v>5282.277000000001</v>
      </c>
      <c r="K21" s="2092">
        <f t="shared" si="1"/>
        <v>5418.2929999999997</v>
      </c>
      <c r="L21" s="2092">
        <f t="shared" si="1"/>
        <v>5107.4179999999997</v>
      </c>
      <c r="M21" s="2092">
        <f t="shared" si="1"/>
        <v>4121.6790000000001</v>
      </c>
      <c r="N21" s="2092">
        <f t="shared" si="1"/>
        <v>3995.7790000000005</v>
      </c>
    </row>
    <row r="22" spans="1:14">
      <c r="A22" s="2086"/>
      <c r="B22" s="2083"/>
      <c r="C22" s="2083"/>
      <c r="D22" s="2083"/>
      <c r="E22" s="2083"/>
      <c r="F22" s="2083"/>
      <c r="G22" s="2083"/>
      <c r="H22" s="2083"/>
      <c r="I22" s="2083"/>
      <c r="J22" s="2083"/>
      <c r="K22" s="2083"/>
      <c r="L22" s="2083"/>
      <c r="M22" s="2083"/>
      <c r="N22" s="2083"/>
    </row>
    <row r="23" spans="1:14">
      <c r="A23" s="2093" t="s">
        <v>38</v>
      </c>
      <c r="B23" s="2097"/>
      <c r="C23" s="2098">
        <f t="shared" ref="C23:N23" si="2">C13/AVERAGE(C21,B21)</f>
        <v>5.925089037616485E-2</v>
      </c>
      <c r="D23" s="2098">
        <f t="shared" si="2"/>
        <v>7.2023909549544032E-2</v>
      </c>
      <c r="E23" s="2098">
        <f t="shared" si="2"/>
        <v>8.3953266656383446E-2</v>
      </c>
      <c r="F23" s="2098">
        <f t="shared" si="2"/>
        <v>6.6639749929454192E-2</v>
      </c>
      <c r="G23" s="2098">
        <f t="shared" si="2"/>
        <v>-4.5298518218264167E-2</v>
      </c>
      <c r="H23" s="2098">
        <f t="shared" si="2"/>
        <v>3.5111442782523573E-2</v>
      </c>
      <c r="I23" s="2098">
        <f t="shared" si="2"/>
        <v>3.8893566619712841E-2</v>
      </c>
      <c r="J23" s="2098">
        <f t="shared" si="2"/>
        <v>4.6736496330362552E-2</v>
      </c>
      <c r="K23" s="2098">
        <f t="shared" si="2"/>
        <v>4.5284129723930623E-2</v>
      </c>
      <c r="L23" s="2098">
        <f t="shared" si="2"/>
        <v>3.4727250254163372E-2</v>
      </c>
      <c r="M23" s="2098">
        <f t="shared" si="2"/>
        <v>3.320899108547673E-2</v>
      </c>
      <c r="N23" s="2098">
        <f t="shared" si="2"/>
        <v>5.9533908275226088E-2</v>
      </c>
    </row>
    <row r="24" spans="1:14">
      <c r="A24" s="2093"/>
      <c r="B24" s="2099"/>
      <c r="C24" s="2099"/>
      <c r="D24" s="2099"/>
      <c r="E24" s="2099"/>
      <c r="F24" s="2099"/>
      <c r="G24" s="2099"/>
      <c r="H24" s="2099"/>
      <c r="I24" s="2099"/>
      <c r="J24" s="2099"/>
      <c r="K24" s="2099"/>
      <c r="L24" s="2099"/>
      <c r="M24" s="2099"/>
      <c r="N24" s="2099"/>
    </row>
    <row r="25" spans="1:14">
      <c r="A25" s="2083" t="s">
        <v>39</v>
      </c>
      <c r="B25" s="2099"/>
      <c r="C25" s="2097">
        <v>0</v>
      </c>
      <c r="D25" s="2097">
        <v>0</v>
      </c>
      <c r="E25" s="2097">
        <v>0</v>
      </c>
      <c r="F25" s="2097">
        <v>0</v>
      </c>
      <c r="G25" s="2097">
        <v>0</v>
      </c>
      <c r="H25" s="2097">
        <v>0</v>
      </c>
      <c r="I25" s="2097">
        <v>0</v>
      </c>
      <c r="J25" s="2097">
        <v>0</v>
      </c>
      <c r="K25" s="2097">
        <v>0</v>
      </c>
      <c r="L25" s="2097">
        <v>0</v>
      </c>
      <c r="M25" s="2097">
        <v>0</v>
      </c>
      <c r="N25" s="2097">
        <v>0</v>
      </c>
    </row>
    <row r="26" spans="1:14">
      <c r="A26" s="2100"/>
      <c r="B26" s="2083"/>
      <c r="C26" s="2083"/>
      <c r="D26" s="2083"/>
      <c r="E26" s="2083"/>
      <c r="F26" s="2083"/>
      <c r="G26" s="2083"/>
      <c r="H26" s="2083"/>
      <c r="I26" s="2083"/>
      <c r="J26" s="2083"/>
      <c r="K26" s="2083"/>
      <c r="L26" s="2083"/>
      <c r="M26" s="2083"/>
      <c r="N26" s="2083"/>
    </row>
    <row r="27" spans="1:14">
      <c r="A27" s="2093" t="s">
        <v>40</v>
      </c>
      <c r="B27" s="2083"/>
      <c r="C27" s="2098">
        <f t="shared" ref="C27:N27" si="3">C23-C25</f>
        <v>5.925089037616485E-2</v>
      </c>
      <c r="D27" s="2098">
        <f t="shared" si="3"/>
        <v>7.2023909549544032E-2</v>
      </c>
      <c r="E27" s="2098">
        <f t="shared" si="3"/>
        <v>8.3953266656383446E-2</v>
      </c>
      <c r="F27" s="2098">
        <f t="shared" si="3"/>
        <v>6.6639749929454192E-2</v>
      </c>
      <c r="G27" s="2098">
        <f t="shared" si="3"/>
        <v>-4.5298518218264167E-2</v>
      </c>
      <c r="H27" s="2098">
        <f t="shared" si="3"/>
        <v>3.5111442782523573E-2</v>
      </c>
      <c r="I27" s="2098">
        <f t="shared" si="3"/>
        <v>3.8893566619712841E-2</v>
      </c>
      <c r="J27" s="2098">
        <f t="shared" si="3"/>
        <v>4.6736496330362552E-2</v>
      </c>
      <c r="K27" s="2098">
        <f t="shared" si="3"/>
        <v>4.5284129723930623E-2</v>
      </c>
      <c r="L27" s="2098">
        <f t="shared" si="3"/>
        <v>3.4727250254163372E-2</v>
      </c>
      <c r="M27" s="2098">
        <f t="shared" si="3"/>
        <v>3.320899108547673E-2</v>
      </c>
      <c r="N27" s="2098">
        <f t="shared" si="3"/>
        <v>5.9533908275226088E-2</v>
      </c>
    </row>
    <row r="28" spans="1:14">
      <c r="A28" s="2083"/>
      <c r="B28" s="2083"/>
      <c r="C28" s="2083"/>
      <c r="D28" s="2083"/>
      <c r="E28" s="2083"/>
      <c r="F28" s="2083"/>
      <c r="G28" s="2083"/>
      <c r="H28" s="2083"/>
      <c r="I28" s="2083"/>
      <c r="J28" s="2083"/>
      <c r="K28" s="2083"/>
      <c r="L28" s="2083"/>
      <c r="M28" s="2083"/>
      <c r="N28" s="2083"/>
    </row>
    <row r="29" spans="1:14">
      <c r="A29" s="2085"/>
      <c r="B29" s="2083"/>
      <c r="C29" s="2083"/>
      <c r="D29" s="2083"/>
      <c r="E29" s="2083"/>
      <c r="F29" s="2083"/>
      <c r="G29" s="2083"/>
      <c r="H29" s="2083"/>
      <c r="I29" s="2083"/>
      <c r="J29" s="2083"/>
      <c r="K29" s="2083"/>
      <c r="L29" s="2083"/>
      <c r="M29" s="2083"/>
      <c r="N29" s="2083"/>
    </row>
    <row r="30" spans="1:14">
      <c r="A30" s="2085" t="s">
        <v>39</v>
      </c>
      <c r="B30" s="2083"/>
      <c r="C30" s="2083"/>
      <c r="D30" s="2083"/>
      <c r="E30" s="2083"/>
      <c r="F30" s="2083"/>
      <c r="G30" s="2083"/>
      <c r="H30" s="2083"/>
      <c r="I30" s="2083"/>
      <c r="J30" s="2083"/>
      <c r="K30" s="2083"/>
      <c r="L30" s="2083"/>
      <c r="M30" s="2083"/>
      <c r="N30" s="2083"/>
    </row>
    <row r="31" spans="1:14">
      <c r="A31" s="2083"/>
      <c r="B31" s="2083"/>
      <c r="C31" s="2083"/>
      <c r="D31" s="2083"/>
      <c r="E31" s="2083"/>
      <c r="F31" s="2083"/>
      <c r="G31" s="2083"/>
      <c r="H31" s="2101"/>
      <c r="I31" s="2101"/>
      <c r="J31" s="2101"/>
      <c r="K31" s="2101"/>
      <c r="L31" s="2101"/>
      <c r="M31" s="2083"/>
      <c r="N31" s="2083"/>
    </row>
    <row r="32" spans="1:14">
      <c r="A32" s="2083"/>
      <c r="B32" s="2083"/>
      <c r="C32" s="2083"/>
      <c r="D32" s="2083"/>
      <c r="E32" s="2083"/>
      <c r="F32" s="2083"/>
      <c r="G32" s="2083"/>
      <c r="H32" s="2083"/>
      <c r="I32" s="2083"/>
      <c r="J32" s="2083"/>
      <c r="K32" s="2083"/>
      <c r="L32" s="2083"/>
      <c r="M32" s="2083"/>
      <c r="N32" s="2083"/>
    </row>
    <row r="33" spans="1:14">
      <c r="A33" s="2083"/>
      <c r="B33" s="2083"/>
      <c r="C33" s="2083"/>
      <c r="D33" s="2083"/>
      <c r="E33" s="2083"/>
      <c r="F33" s="2083"/>
      <c r="G33" s="2083"/>
      <c r="H33" s="2083"/>
      <c r="I33" s="2083"/>
      <c r="J33" s="2083"/>
      <c r="K33" s="2083"/>
      <c r="L33" s="2083"/>
      <c r="M33" s="2083"/>
      <c r="N33" s="2083"/>
    </row>
    <row r="34" spans="1:14">
      <c r="A34" s="2083" t="s">
        <v>41</v>
      </c>
      <c r="B34" s="2102"/>
      <c r="C34" s="2103"/>
      <c r="D34" s="2103"/>
      <c r="E34" s="2103"/>
      <c r="F34" s="2103"/>
      <c r="G34" s="2103"/>
      <c r="H34" s="2088"/>
      <c r="I34" s="2088"/>
      <c r="J34" s="2088"/>
      <c r="K34" s="2088"/>
      <c r="L34" s="2088"/>
      <c r="M34" s="2088"/>
      <c r="N34" s="2088"/>
    </row>
    <row r="35" spans="1:14">
      <c r="A35" s="2083" t="s">
        <v>584</v>
      </c>
      <c r="B35" s="2099"/>
      <c r="C35" s="2103">
        <f>-BYD!H87</f>
        <v>-10.678999999999998</v>
      </c>
      <c r="D35" s="2103">
        <f>-BYD!M87</f>
        <v>-83.4</v>
      </c>
      <c r="E35" s="2103">
        <f>-BYD!R87</f>
        <v>-34.951000000000008</v>
      </c>
      <c r="F35" s="2103">
        <f>-BYD!W87</f>
        <v>-42.709000000000003</v>
      </c>
      <c r="G35" s="2103">
        <f>-BYD!AB87</f>
        <v>-304.23678000000001</v>
      </c>
      <c r="H35" s="2103">
        <f>-BYD!AG87</f>
        <v>-27.085535999999998</v>
      </c>
      <c r="I35" s="2103">
        <f>-BYD!AL87</f>
        <v>-2.9310000000000009</v>
      </c>
      <c r="J35" s="2103">
        <f>-BYD!AQ87</f>
        <v>-3.915</v>
      </c>
      <c r="K35" s="2103">
        <f>-BYD!AV87</f>
        <v>-883.65399999999988</v>
      </c>
      <c r="L35" s="2103">
        <f>-BYD!BA87</f>
        <v>-57.6</v>
      </c>
      <c r="M35" s="2103">
        <f>-BYD!BF87</f>
        <v>-54.287000000000006</v>
      </c>
      <c r="N35" s="2103">
        <f>-BYD!BK87</f>
        <v>-42.454000000000008</v>
      </c>
    </row>
    <row r="36" spans="1:14">
      <c r="A36" s="2083"/>
      <c r="B36" s="2104"/>
      <c r="C36" s="2104"/>
      <c r="D36" s="2104"/>
      <c r="E36" s="2104"/>
      <c r="F36" s="2104"/>
      <c r="G36" s="2104"/>
      <c r="H36" s="2083"/>
      <c r="I36" s="2083"/>
      <c r="J36" s="2083"/>
      <c r="K36" s="2083"/>
      <c r="L36" s="2083"/>
      <c r="M36" s="2083"/>
      <c r="N36" s="2083"/>
    </row>
    <row r="37" spans="1:14">
      <c r="A37" s="2083" t="s">
        <v>42</v>
      </c>
      <c r="B37" s="2101"/>
      <c r="C37" s="2101">
        <f>SUM(C34:C35)</f>
        <v>-10.678999999999998</v>
      </c>
      <c r="D37" s="2101">
        <f>C37+SUM(D34:D35)</f>
        <v>-94.079000000000008</v>
      </c>
      <c r="E37" s="2101">
        <f>D37+SUM(E34:E35)</f>
        <v>-129.03000000000003</v>
      </c>
      <c r="F37" s="2101">
        <f>E37+SUM(F34:F35)</f>
        <v>-171.73900000000003</v>
      </c>
      <c r="G37" s="2101">
        <f>F37+SUM(G34:G35)</f>
        <v>-475.97578000000004</v>
      </c>
      <c r="H37" s="2083"/>
      <c r="I37" s="2101"/>
      <c r="J37" s="2083"/>
      <c r="K37" s="2083"/>
      <c r="L37" s="2083"/>
      <c r="M37" s="2083"/>
      <c r="N37" s="2083"/>
    </row>
    <row r="38" spans="1:14">
      <c r="A38" s="2083" t="s">
        <v>43</v>
      </c>
      <c r="B38" s="2104"/>
      <c r="C38" s="2101"/>
      <c r="D38" s="2101">
        <f>D37-C37</f>
        <v>-83.4</v>
      </c>
      <c r="E38" s="2101">
        <f>E37-D37</f>
        <v>-34.951000000000022</v>
      </c>
      <c r="F38" s="2101">
        <f>F37-E37</f>
        <v>-42.709000000000003</v>
      </c>
      <c r="G38" s="2101">
        <f>G37-F37</f>
        <v>-304.23678000000001</v>
      </c>
      <c r="H38" s="2083"/>
      <c r="I38" s="2083"/>
      <c r="J38" s="2083"/>
      <c r="K38" s="2083"/>
      <c r="L38" s="2083"/>
      <c r="M38" s="2083"/>
      <c r="N38" s="2083"/>
    </row>
  </sheetData>
  <phoneticPr fontId="10" type="noConversion"/>
  <pageMargins left="0.75" right="0.75" top="1" bottom="1" header="0.5" footer="0.5"/>
  <pageSetup orientation="portrait" horizontalDpi="1200" verticalDpi="1200"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B296"/>
  <sheetViews>
    <sheetView zoomScale="85" workbookViewId="0">
      <pane xSplit="1" ySplit="4" topLeftCell="Z227" activePane="bottomRight" state="frozen"/>
      <selection pane="topRight" activeCell="B1" sqref="B1"/>
      <selection pane="bottomLeft" activeCell="A5" sqref="A5"/>
      <selection pane="bottomRight" activeCell="AK227" sqref="AK227"/>
    </sheetView>
  </sheetViews>
  <sheetFormatPr defaultRowHeight="15.75" outlineLevelRow="1" outlineLevelCol="1"/>
  <cols>
    <col min="1" max="1" width="22.875" customWidth="1"/>
    <col min="2" max="2" width="5.625" customWidth="1" outlineLevel="1"/>
    <col min="3" max="41" width="9" customWidth="1" outlineLevel="1"/>
  </cols>
  <sheetData>
    <row r="1" spans="1:80">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row>
    <row r="2" spans="1:80" ht="12" customHeight="1">
      <c r="A2" s="2"/>
      <c r="B2" s="2"/>
      <c r="C2" s="1046" t="s">
        <v>417</v>
      </c>
      <c r="D2" s="1047" t="s">
        <v>499</v>
      </c>
      <c r="E2" s="1047" t="s">
        <v>1563</v>
      </c>
      <c r="F2" s="1047" t="s">
        <v>1564</v>
      </c>
      <c r="G2" s="1048">
        <v>2004</v>
      </c>
      <c r="H2" s="1046" t="s">
        <v>1028</v>
      </c>
      <c r="I2" s="1049" t="s">
        <v>342</v>
      </c>
      <c r="J2" s="1049" t="s">
        <v>483</v>
      </c>
      <c r="K2" s="1049" t="s">
        <v>440</v>
      </c>
      <c r="L2" s="1050" t="s">
        <v>607</v>
      </c>
      <c r="M2" s="1049" t="s">
        <v>903</v>
      </c>
      <c r="N2" s="1049" t="s">
        <v>764</v>
      </c>
      <c r="O2" s="1049" t="s">
        <v>677</v>
      </c>
      <c r="P2" s="1049" t="s">
        <v>395</v>
      </c>
      <c r="Q2" s="1050" t="s">
        <v>1163</v>
      </c>
      <c r="R2" s="1049" t="s">
        <v>1322</v>
      </c>
      <c r="S2" s="1049" t="s">
        <v>1303</v>
      </c>
      <c r="T2" s="1049" t="s">
        <v>645</v>
      </c>
      <c r="U2" s="1049" t="s">
        <v>1126</v>
      </c>
      <c r="V2" s="1050" t="s">
        <v>1164</v>
      </c>
      <c r="W2" s="1049" t="s">
        <v>1595</v>
      </c>
      <c r="X2" s="1049" t="s">
        <v>530</v>
      </c>
      <c r="Y2" s="1049" t="s">
        <v>657</v>
      </c>
      <c r="Z2" s="1051" t="s">
        <v>1114</v>
      </c>
      <c r="AA2" s="1050" t="s">
        <v>1165</v>
      </c>
      <c r="AB2" s="1051" t="s">
        <v>1585</v>
      </c>
      <c r="AC2" s="1051" t="s">
        <v>1586</v>
      </c>
      <c r="AD2" s="1051" t="s">
        <v>1587</v>
      </c>
      <c r="AE2" s="1051" t="s">
        <v>1588</v>
      </c>
      <c r="AF2" s="1050" t="s">
        <v>1669</v>
      </c>
      <c r="AG2" s="1051" t="s">
        <v>1180</v>
      </c>
      <c r="AH2" s="1051" t="s">
        <v>1181</v>
      </c>
      <c r="AI2" s="1051" t="s">
        <v>1574</v>
      </c>
      <c r="AJ2" s="1051" t="s">
        <v>1575</v>
      </c>
      <c r="AK2" s="1052" t="s">
        <v>1670</v>
      </c>
      <c r="AL2" s="1051" t="s">
        <v>1576</v>
      </c>
      <c r="AM2" s="1051" t="s">
        <v>1577</v>
      </c>
      <c r="AN2" s="1051" t="s">
        <v>1578</v>
      </c>
      <c r="AO2" s="1051" t="s">
        <v>1579</v>
      </c>
      <c r="AP2" s="1052" t="s">
        <v>53</v>
      </c>
      <c r="AQ2" s="1051" t="s">
        <v>1647</v>
      </c>
      <c r="AR2" s="1051" t="s">
        <v>727</v>
      </c>
      <c r="AS2" s="1051" t="s">
        <v>23</v>
      </c>
      <c r="AT2" s="1051" t="s">
        <v>1660</v>
      </c>
      <c r="AU2" s="1052">
        <v>2012</v>
      </c>
      <c r="AV2" s="1680" t="s">
        <v>1481</v>
      </c>
      <c r="AW2" s="3160" t="s">
        <v>406</v>
      </c>
      <c r="AX2" s="3160" t="s">
        <v>1649</v>
      </c>
      <c r="AY2" s="3161" t="s">
        <v>631</v>
      </c>
      <c r="AZ2" s="1052">
        <v>2013</v>
      </c>
      <c r="BA2" s="3159" t="s">
        <v>1753</v>
      </c>
      <c r="BB2" s="3160" t="s">
        <v>942</v>
      </c>
      <c r="BC2" s="3160" t="s">
        <v>288</v>
      </c>
      <c r="BD2" s="3161" t="s">
        <v>1820</v>
      </c>
      <c r="BE2" s="1052">
        <v>2014</v>
      </c>
      <c r="BF2" s="3159" t="s">
        <v>1822</v>
      </c>
      <c r="BG2" s="3160" t="s">
        <v>1837</v>
      </c>
      <c r="BH2" s="3160" t="s">
        <v>1848</v>
      </c>
      <c r="BI2" s="3161" t="s">
        <v>1865</v>
      </c>
      <c r="BJ2" s="1052">
        <v>2015</v>
      </c>
      <c r="BK2" s="3159" t="s">
        <v>1830</v>
      </c>
      <c r="BL2" s="3160" t="s">
        <v>1831</v>
      </c>
      <c r="BM2" s="3160" t="s">
        <v>1832</v>
      </c>
      <c r="BN2" s="3161" t="s">
        <v>1833</v>
      </c>
      <c r="BO2" s="3162" t="s">
        <v>368</v>
      </c>
      <c r="BP2" s="3159" t="s">
        <v>1916</v>
      </c>
      <c r="BQ2" s="3160" t="s">
        <v>1917</v>
      </c>
      <c r="BR2" s="3160" t="s">
        <v>1918</v>
      </c>
      <c r="BS2" s="3161" t="s">
        <v>1919</v>
      </c>
      <c r="BT2" s="3162" t="s">
        <v>369</v>
      </c>
      <c r="BU2" s="1052" t="s">
        <v>1598</v>
      </c>
      <c r="BV2" s="1052" t="s">
        <v>1599</v>
      </c>
      <c r="BW2" s="1052" t="s">
        <v>1600</v>
      </c>
      <c r="BX2" s="3162" t="s">
        <v>1840</v>
      </c>
      <c r="BY2" s="3162" t="s">
        <v>1841</v>
      </c>
      <c r="BZ2" s="3162" t="s">
        <v>1842</v>
      </c>
      <c r="CA2" s="3162" t="s">
        <v>1843</v>
      </c>
      <c r="CB2" s="3162" t="s">
        <v>1844</v>
      </c>
    </row>
    <row r="3" spans="1:80" ht="12" customHeight="1">
      <c r="A3" s="2"/>
      <c r="B3" s="2"/>
      <c r="C3" s="1053">
        <v>38077</v>
      </c>
      <c r="D3" s="1054">
        <v>38168</v>
      </c>
      <c r="E3" s="1054">
        <v>38260</v>
      </c>
      <c r="F3" s="1053">
        <v>38352</v>
      </c>
      <c r="G3" s="1055">
        <v>38352</v>
      </c>
      <c r="H3" s="1053">
        <v>38442</v>
      </c>
      <c r="I3" s="1054">
        <v>38533</v>
      </c>
      <c r="J3" s="1054">
        <v>38625</v>
      </c>
      <c r="K3" s="1053">
        <v>38717</v>
      </c>
      <c r="L3" s="1055">
        <v>38717</v>
      </c>
      <c r="M3" s="1053">
        <v>38807</v>
      </c>
      <c r="N3" s="1054">
        <v>38898</v>
      </c>
      <c r="O3" s="1054">
        <v>38990</v>
      </c>
      <c r="P3" s="1053">
        <v>39082</v>
      </c>
      <c r="Q3" s="1055">
        <v>39082</v>
      </c>
      <c r="R3" s="1053">
        <v>39172</v>
      </c>
      <c r="S3" s="1054">
        <v>39263</v>
      </c>
      <c r="T3" s="1054">
        <v>39355</v>
      </c>
      <c r="U3" s="1053">
        <v>39447</v>
      </c>
      <c r="V3" s="1055">
        <v>39447</v>
      </c>
      <c r="W3" s="1053">
        <v>39538</v>
      </c>
      <c r="X3" s="1054">
        <v>39629</v>
      </c>
      <c r="Y3" s="1054">
        <v>39721</v>
      </c>
      <c r="Z3" s="1053">
        <v>39813</v>
      </c>
      <c r="AA3" s="1055">
        <v>39813</v>
      </c>
      <c r="AB3" s="1053">
        <v>39903</v>
      </c>
      <c r="AC3" s="1054">
        <v>39994</v>
      </c>
      <c r="AD3" s="1054">
        <v>40086</v>
      </c>
      <c r="AE3" s="1054">
        <v>40178</v>
      </c>
      <c r="AF3" s="1055">
        <v>40178</v>
      </c>
      <c r="AG3" s="1053">
        <v>40268</v>
      </c>
      <c r="AH3" s="1054">
        <v>40359</v>
      </c>
      <c r="AI3" s="1054">
        <v>40451</v>
      </c>
      <c r="AJ3" s="1054">
        <v>40543</v>
      </c>
      <c r="AK3" s="1056">
        <v>40543</v>
      </c>
      <c r="AL3" s="1053">
        <v>40633</v>
      </c>
      <c r="AM3" s="1054">
        <v>40724</v>
      </c>
      <c r="AN3" s="1054">
        <v>40816</v>
      </c>
      <c r="AO3" s="1054">
        <v>40908</v>
      </c>
      <c r="AP3" s="1056">
        <v>40908</v>
      </c>
      <c r="AQ3" s="1053">
        <v>40999</v>
      </c>
      <c r="AR3" s="1054">
        <v>41090</v>
      </c>
      <c r="AS3" s="1054">
        <v>41182</v>
      </c>
      <c r="AT3" s="1054">
        <v>41274</v>
      </c>
      <c r="AU3" s="1056">
        <v>41274</v>
      </c>
      <c r="AV3" s="1681">
        <v>41364</v>
      </c>
      <c r="AW3" s="1054">
        <v>41455</v>
      </c>
      <c r="AX3" s="1054">
        <v>41547</v>
      </c>
      <c r="AY3" s="1682">
        <v>41639</v>
      </c>
      <c r="AZ3" s="1056">
        <v>41639</v>
      </c>
      <c r="BA3" s="1681">
        <v>41729</v>
      </c>
      <c r="BB3" s="1054">
        <v>41820</v>
      </c>
      <c r="BC3" s="1054">
        <v>41912</v>
      </c>
      <c r="BD3" s="1682">
        <v>42004</v>
      </c>
      <c r="BE3" s="1056">
        <v>42004</v>
      </c>
      <c r="BF3" s="1681">
        <v>42094</v>
      </c>
      <c r="BG3" s="1054">
        <v>42185</v>
      </c>
      <c r="BH3" s="1054">
        <v>42277</v>
      </c>
      <c r="BI3" s="1682">
        <v>42369</v>
      </c>
      <c r="BJ3" s="1056">
        <v>42369</v>
      </c>
      <c r="BK3" s="1681">
        <v>42460</v>
      </c>
      <c r="BL3" s="1054">
        <v>42551</v>
      </c>
      <c r="BM3" s="1054">
        <v>42643</v>
      </c>
      <c r="BN3" s="1682">
        <v>42735</v>
      </c>
      <c r="BO3" s="1056">
        <v>42735</v>
      </c>
      <c r="BP3" s="1681">
        <v>42825</v>
      </c>
      <c r="BQ3" s="1054">
        <v>42916</v>
      </c>
      <c r="BR3" s="1054">
        <v>43008</v>
      </c>
      <c r="BS3" s="1682">
        <v>43100</v>
      </c>
      <c r="BT3" s="1056">
        <v>42735</v>
      </c>
      <c r="BU3" s="1056">
        <v>43465</v>
      </c>
      <c r="BV3" s="1056">
        <v>43830</v>
      </c>
      <c r="BW3" s="1056">
        <v>44196</v>
      </c>
      <c r="BX3" s="1056">
        <v>44561</v>
      </c>
      <c r="BY3" s="1056">
        <v>44926</v>
      </c>
      <c r="BZ3" s="1056">
        <v>45291</v>
      </c>
      <c r="CA3" s="1056">
        <v>45657</v>
      </c>
      <c r="CB3" s="1056">
        <v>46022</v>
      </c>
    </row>
    <row r="4" spans="1:80" ht="12.75" customHeight="1">
      <c r="A4" s="1057"/>
      <c r="B4" s="1057"/>
      <c r="C4" s="1058">
        <v>90</v>
      </c>
      <c r="D4" s="1059">
        <f>D$3-C$3</f>
        <v>91</v>
      </c>
      <c r="E4" s="1059">
        <f>E$3-D$3</f>
        <v>92</v>
      </c>
      <c r="F4" s="1059">
        <f>F$3-E$3</f>
        <v>92</v>
      </c>
      <c r="G4" s="1060">
        <f>SUM(C4:F4)</f>
        <v>365</v>
      </c>
      <c r="H4" s="1059">
        <f>H$3-G$3</f>
        <v>90</v>
      </c>
      <c r="I4" s="1059">
        <f>I$3-H$3</f>
        <v>91</v>
      </c>
      <c r="J4" s="1059">
        <f>J$3-I$3</f>
        <v>92</v>
      </c>
      <c r="K4" s="1059">
        <f>K$3-J$3</f>
        <v>92</v>
      </c>
      <c r="L4" s="1060">
        <f>SUM(H4:K4)</f>
        <v>365</v>
      </c>
      <c r="M4" s="1059">
        <f>M$3-L$3</f>
        <v>90</v>
      </c>
      <c r="N4" s="1059">
        <f>N$3-M$3</f>
        <v>91</v>
      </c>
      <c r="O4" s="1059">
        <f>O$3-N$3</f>
        <v>92</v>
      </c>
      <c r="P4" s="1059">
        <f>P$3-O$3</f>
        <v>92</v>
      </c>
      <c r="Q4" s="1060">
        <f>SUM(M4:P4)</f>
        <v>365</v>
      </c>
      <c r="R4" s="1059">
        <f>R$3-Q$3</f>
        <v>90</v>
      </c>
      <c r="S4" s="1059">
        <f>S$3-R$3</f>
        <v>91</v>
      </c>
      <c r="T4" s="1059">
        <f>T$3-S$3</f>
        <v>92</v>
      </c>
      <c r="U4" s="1059">
        <f>U$3-T$3</f>
        <v>92</v>
      </c>
      <c r="V4" s="1060">
        <f>SUM(R4:U4)</f>
        <v>365</v>
      </c>
      <c r="W4" s="1059">
        <f>W$3-V$3</f>
        <v>91</v>
      </c>
      <c r="X4" s="1059">
        <f>X$3-W$3</f>
        <v>91</v>
      </c>
      <c r="Y4" s="1059">
        <f>Y$3-X$3</f>
        <v>92</v>
      </c>
      <c r="Z4" s="1059">
        <f>Z$3-Y$3</f>
        <v>92</v>
      </c>
      <c r="AA4" s="1061">
        <v>365</v>
      </c>
      <c r="AB4" s="1059">
        <f>AB$3-AA$3</f>
        <v>90</v>
      </c>
      <c r="AC4" s="1059">
        <f>AC$3-AB$3</f>
        <v>91</v>
      </c>
      <c r="AD4" s="1059">
        <f>AD$3-AC$3</f>
        <v>92</v>
      </c>
      <c r="AE4" s="1059">
        <f>AE$3-AD$3</f>
        <v>92</v>
      </c>
      <c r="AF4" s="1060">
        <f>SUM(AB4:AE4)</f>
        <v>365</v>
      </c>
      <c r="AG4" s="1059">
        <f>AG$3-AF$3</f>
        <v>90</v>
      </c>
      <c r="AH4" s="1059">
        <f>AH$3-AG$3</f>
        <v>91</v>
      </c>
      <c r="AI4" s="1059">
        <f>AI$3-AH$3</f>
        <v>92</v>
      </c>
      <c r="AJ4" s="1059">
        <f>AJ$3-AI$3</f>
        <v>92</v>
      </c>
      <c r="AK4" s="1060">
        <f>AK$3-AF$3</f>
        <v>365</v>
      </c>
      <c r="AL4" s="1059">
        <f>AL$3-AK$3</f>
        <v>90</v>
      </c>
      <c r="AM4" s="1059">
        <f>AM$3-AL$3</f>
        <v>91</v>
      </c>
      <c r="AN4" s="1059">
        <f>AN$3-AM$3</f>
        <v>92</v>
      </c>
      <c r="AO4" s="1059">
        <f>AO$3-AN$3</f>
        <v>92</v>
      </c>
      <c r="AP4" s="1060">
        <f>AP$3-AK$3</f>
        <v>365</v>
      </c>
      <c r="AQ4" s="1059">
        <f>AQ$3-AP$3</f>
        <v>91</v>
      </c>
      <c r="AR4" s="1059">
        <f>AR$3-AQ$3</f>
        <v>91</v>
      </c>
      <c r="AS4" s="1059">
        <f>AS$3-AR$3</f>
        <v>92</v>
      </c>
      <c r="AT4" s="1059">
        <f>AT$3-AS$3</f>
        <v>92</v>
      </c>
      <c r="AU4" s="1060">
        <f>AU$3-AP$3</f>
        <v>366</v>
      </c>
      <c r="AV4" s="1683">
        <f>AV$3-AU$3</f>
        <v>90</v>
      </c>
      <c r="AW4" s="1059">
        <f>AW$3-AV$3</f>
        <v>91</v>
      </c>
      <c r="AX4" s="1059">
        <f>AX$3-AW$3</f>
        <v>92</v>
      </c>
      <c r="AY4" s="1684">
        <f>AY$3-AX$3</f>
        <v>92</v>
      </c>
      <c r="AZ4" s="1060">
        <f>AZ$3-AU$3</f>
        <v>365</v>
      </c>
      <c r="BA4" s="1683">
        <f>BA$3-AZ$3</f>
        <v>90</v>
      </c>
      <c r="BB4" s="1059">
        <f>BB$3-BA$3</f>
        <v>91</v>
      </c>
      <c r="BC4" s="1059">
        <f>BC$3-BB$3</f>
        <v>92</v>
      </c>
      <c r="BD4" s="1684">
        <f>BD$3-BC$3</f>
        <v>92</v>
      </c>
      <c r="BE4" s="1060">
        <f>BE$3-AZ$3</f>
        <v>365</v>
      </c>
      <c r="BF4" s="1683">
        <f>BF$3-BE$3</f>
        <v>90</v>
      </c>
      <c r="BG4" s="1059">
        <f>BG$3-BF$3</f>
        <v>91</v>
      </c>
      <c r="BH4" s="1059">
        <f>BH$3-BG$3</f>
        <v>92</v>
      </c>
      <c r="BI4" s="1684">
        <f>BI$3-BH$3</f>
        <v>92</v>
      </c>
      <c r="BJ4" s="1060">
        <f>BJ$3-BE$3</f>
        <v>365</v>
      </c>
      <c r="BK4" s="3167">
        <f>BK$3-BJ$3</f>
        <v>91</v>
      </c>
      <c r="BL4" s="1059">
        <f>BL$3-BK$3</f>
        <v>91</v>
      </c>
      <c r="BM4" s="1059">
        <f>BM$3-BL$3</f>
        <v>92</v>
      </c>
      <c r="BN4" s="1684">
        <f>BN$3-BM$3</f>
        <v>92</v>
      </c>
      <c r="BO4" s="1060">
        <f>BO$3-BJ$3</f>
        <v>366</v>
      </c>
      <c r="BP4" s="3167"/>
      <c r="BQ4" s="1059"/>
      <c r="BR4" s="1059"/>
      <c r="BS4" s="1684"/>
      <c r="BT4" s="1060">
        <f>BT$3-BO$3</f>
        <v>0</v>
      </c>
      <c r="BU4" s="1060">
        <f t="shared" ref="BU4:CB4" si="0">BU$3-BT$3</f>
        <v>730</v>
      </c>
      <c r="BV4" s="1060">
        <f t="shared" si="0"/>
        <v>365</v>
      </c>
      <c r="BW4" s="1060">
        <f t="shared" si="0"/>
        <v>366</v>
      </c>
      <c r="BX4" s="1060">
        <f t="shared" si="0"/>
        <v>365</v>
      </c>
      <c r="BY4" s="1060">
        <f t="shared" si="0"/>
        <v>365</v>
      </c>
      <c r="BZ4" s="1060">
        <f t="shared" si="0"/>
        <v>365</v>
      </c>
      <c r="CA4" s="1060">
        <f t="shared" si="0"/>
        <v>366</v>
      </c>
      <c r="CB4" s="1060">
        <f t="shared" si="0"/>
        <v>365</v>
      </c>
    </row>
    <row r="5" spans="1:80" ht="12" customHeight="1">
      <c r="A5" s="69" t="s">
        <v>1353</v>
      </c>
      <c r="B5" s="69"/>
      <c r="C5" s="61"/>
      <c r="D5" s="61"/>
      <c r="E5" s="61"/>
      <c r="F5" s="61"/>
      <c r="G5" s="112"/>
      <c r="H5" s="61"/>
      <c r="I5" s="61"/>
      <c r="J5" s="61"/>
      <c r="K5" s="61"/>
      <c r="L5" s="112"/>
      <c r="M5" s="61"/>
      <c r="N5" s="61"/>
      <c r="O5" s="61"/>
      <c r="P5" s="61"/>
      <c r="Q5" s="112"/>
      <c r="R5" s="61"/>
      <c r="S5" s="61"/>
      <c r="T5" s="61"/>
      <c r="U5" s="61"/>
      <c r="V5" s="112"/>
      <c r="W5" s="61"/>
      <c r="X5" s="61"/>
      <c r="Y5" s="61"/>
      <c r="Z5" s="61"/>
      <c r="AA5" s="112"/>
      <c r="AB5" s="61"/>
      <c r="AC5" s="61"/>
      <c r="AD5" s="61"/>
      <c r="AE5" s="61"/>
      <c r="AF5" s="112"/>
      <c r="AG5" s="61"/>
      <c r="AH5" s="61"/>
      <c r="AI5" s="61"/>
      <c r="AJ5" s="61"/>
      <c r="AK5" s="112"/>
      <c r="AL5" s="61"/>
      <c r="AM5" s="61"/>
      <c r="AN5" s="61"/>
      <c r="AO5" s="61"/>
      <c r="AP5" s="112"/>
      <c r="AQ5" s="61"/>
      <c r="AR5" s="61"/>
      <c r="AS5" s="61"/>
      <c r="AT5" s="61"/>
      <c r="AU5" s="1198"/>
      <c r="AV5" s="61"/>
      <c r="AW5" s="61"/>
      <c r="AX5" s="61"/>
      <c r="AY5" s="61"/>
      <c r="AZ5" s="1198"/>
      <c r="BA5" s="2"/>
      <c r="BB5" s="2"/>
      <c r="BC5" s="2"/>
      <c r="BD5" s="2"/>
      <c r="BE5" s="1198"/>
      <c r="BF5" s="59"/>
      <c r="BG5" s="61"/>
      <c r="BH5" s="61"/>
      <c r="BI5" s="60"/>
      <c r="BJ5" s="112"/>
      <c r="BK5" s="59"/>
      <c r="BL5" s="61"/>
      <c r="BM5" s="61"/>
      <c r="BN5" s="60"/>
      <c r="BO5" s="112"/>
      <c r="BP5" s="59"/>
      <c r="BQ5" s="61"/>
      <c r="BR5" s="61"/>
      <c r="BS5" s="60"/>
      <c r="BT5" s="112"/>
      <c r="BU5" s="112"/>
      <c r="BV5" s="112"/>
      <c r="BW5" s="112"/>
      <c r="BX5" s="112"/>
      <c r="BY5" s="112"/>
      <c r="BZ5" s="112"/>
      <c r="CA5" s="112"/>
      <c r="CB5" s="112"/>
    </row>
    <row r="6" spans="1:80" ht="12" customHeight="1">
      <c r="A6" s="1062" t="s">
        <v>1592</v>
      </c>
      <c r="B6" s="1062"/>
      <c r="C6" s="61"/>
      <c r="D6" s="61"/>
      <c r="E6" s="61"/>
      <c r="F6" s="61"/>
      <c r="G6" s="112"/>
      <c r="H6" s="61"/>
      <c r="I6" s="61"/>
      <c r="J6" s="61"/>
      <c r="K6" s="61"/>
      <c r="L6" s="112"/>
      <c r="M6" s="61"/>
      <c r="N6" s="61"/>
      <c r="O6" s="61"/>
      <c r="P6" s="61"/>
      <c r="Q6" s="112"/>
      <c r="R6" s="61"/>
      <c r="S6" s="61"/>
      <c r="T6" s="61"/>
      <c r="U6" s="61"/>
      <c r="V6" s="112"/>
      <c r="W6" s="61"/>
      <c r="X6" s="61"/>
      <c r="Y6" s="61"/>
      <c r="Z6" s="61"/>
      <c r="AA6" s="112"/>
      <c r="AB6" s="61"/>
      <c r="AC6" s="61"/>
      <c r="AD6" s="61"/>
      <c r="AE6" s="61"/>
      <c r="AF6" s="112"/>
      <c r="AG6" s="61"/>
      <c r="AH6" s="61"/>
      <c r="AI6" s="61"/>
      <c r="AJ6" s="61"/>
      <c r="AK6" s="112"/>
      <c r="AL6" s="61"/>
      <c r="AM6" s="61"/>
      <c r="AN6" s="61"/>
      <c r="AO6" s="61"/>
      <c r="AP6" s="112"/>
      <c r="AQ6" s="61"/>
      <c r="AR6" s="61"/>
      <c r="AS6" s="61"/>
      <c r="AT6" s="61"/>
      <c r="AU6" s="112"/>
      <c r="AV6" s="61"/>
      <c r="AW6" s="61"/>
      <c r="AX6" s="61"/>
      <c r="AY6" s="61"/>
      <c r="AZ6" s="112"/>
      <c r="BA6" s="2"/>
      <c r="BB6" s="2"/>
      <c r="BC6" s="2"/>
      <c r="BD6" s="2"/>
      <c r="BE6" s="112"/>
      <c r="BF6" s="59"/>
      <c r="BG6" s="61"/>
      <c r="BH6" s="61"/>
      <c r="BI6" s="60"/>
      <c r="BJ6" s="112"/>
      <c r="BK6" s="59"/>
      <c r="BL6" s="61"/>
      <c r="BM6" s="61"/>
      <c r="BN6" s="60"/>
      <c r="BO6" s="112"/>
      <c r="BP6" s="59"/>
      <c r="BQ6" s="61"/>
      <c r="BR6" s="61"/>
      <c r="BS6" s="60"/>
      <c r="BT6" s="112"/>
      <c r="BU6" s="112"/>
      <c r="BV6" s="112"/>
      <c r="BW6" s="112"/>
      <c r="BX6" s="112"/>
      <c r="BY6" s="112"/>
      <c r="BZ6" s="112"/>
      <c r="CA6" s="112"/>
      <c r="CB6" s="112"/>
    </row>
    <row r="7" spans="1:80" ht="12" customHeight="1">
      <c r="A7" s="1063">
        <v>1</v>
      </c>
      <c r="B7" s="1063"/>
      <c r="C7" s="1064">
        <v>25</v>
      </c>
      <c r="D7" s="1064">
        <v>25</v>
      </c>
      <c r="E7" s="1064">
        <v>25</v>
      </c>
      <c r="F7" s="1064">
        <v>25</v>
      </c>
      <c r="G7" s="1065">
        <v>25</v>
      </c>
      <c r="H7" s="1064">
        <v>25</v>
      </c>
      <c r="I7" s="1064">
        <v>25</v>
      </c>
      <c r="J7" s="1064">
        <v>25</v>
      </c>
      <c r="K7" s="1064">
        <v>25</v>
      </c>
      <c r="L7" s="1065">
        <v>25</v>
      </c>
      <c r="M7" s="1064">
        <v>25</v>
      </c>
      <c r="N7" s="1064">
        <v>25</v>
      </c>
      <c r="O7" s="1064">
        <v>25</v>
      </c>
      <c r="P7" s="1064">
        <v>25</v>
      </c>
      <c r="Q7" s="1065">
        <v>25</v>
      </c>
      <c r="R7" s="1064">
        <v>25</v>
      </c>
      <c r="S7" s="1064">
        <v>25</v>
      </c>
      <c r="T7" s="1064">
        <v>25</v>
      </c>
      <c r="U7" s="1064">
        <v>25</v>
      </c>
      <c r="V7" s="1065">
        <v>25</v>
      </c>
      <c r="W7" s="1064">
        <v>25</v>
      </c>
      <c r="X7" s="1064">
        <v>25</v>
      </c>
      <c r="Y7" s="1064">
        <v>25</v>
      </c>
      <c r="Z7" s="1064">
        <v>25</v>
      </c>
      <c r="AA7" s="1065">
        <v>25</v>
      </c>
      <c r="AB7" s="1064">
        <v>25</v>
      </c>
      <c r="AC7" s="1064">
        <v>25</v>
      </c>
      <c r="AD7" s="1064">
        <v>25</v>
      </c>
      <c r="AE7" s="1064">
        <v>25</v>
      </c>
      <c r="AF7" s="1065">
        <v>25</v>
      </c>
      <c r="AG7" s="1064">
        <v>25</v>
      </c>
      <c r="AH7" s="1064">
        <v>25</v>
      </c>
      <c r="AI7" s="1064">
        <v>25</v>
      </c>
      <c r="AJ7" s="1064">
        <v>25</v>
      </c>
      <c r="AK7" s="1065">
        <v>25</v>
      </c>
      <c r="AL7" s="1064">
        <v>25</v>
      </c>
      <c r="AM7" s="1064">
        <v>25</v>
      </c>
      <c r="AN7" s="1064">
        <v>25</v>
      </c>
      <c r="AO7" s="1064">
        <v>25</v>
      </c>
      <c r="AP7" s="1065">
        <v>25</v>
      </c>
      <c r="AQ7" s="1064">
        <v>25</v>
      </c>
      <c r="AR7" s="1064">
        <v>25</v>
      </c>
      <c r="AS7" s="1064">
        <v>25</v>
      </c>
      <c r="AT7" s="1064">
        <v>25</v>
      </c>
      <c r="AU7" s="1065">
        <v>25</v>
      </c>
      <c r="AV7" s="1064">
        <v>25</v>
      </c>
      <c r="AW7" s="1064">
        <v>25</v>
      </c>
      <c r="AX7" s="1064">
        <v>25</v>
      </c>
      <c r="AY7" s="1064">
        <v>25</v>
      </c>
      <c r="AZ7" s="1065">
        <v>25</v>
      </c>
      <c r="BA7" s="1064">
        <v>25</v>
      </c>
      <c r="BB7" s="1064">
        <v>25</v>
      </c>
      <c r="BC7" s="1064">
        <v>25</v>
      </c>
      <c r="BD7" s="1064">
        <v>25</v>
      </c>
      <c r="BE7" s="1065">
        <v>25</v>
      </c>
      <c r="BF7" s="2825">
        <v>25</v>
      </c>
      <c r="BG7" s="1101">
        <v>25</v>
      </c>
      <c r="BH7" s="1101">
        <v>25</v>
      </c>
      <c r="BI7" s="1124">
        <v>25</v>
      </c>
      <c r="BJ7" s="1065">
        <v>25</v>
      </c>
      <c r="BK7" s="2825">
        <v>25</v>
      </c>
      <c r="BL7" s="1101">
        <v>25</v>
      </c>
      <c r="BM7" s="1101">
        <v>25</v>
      </c>
      <c r="BN7" s="1124">
        <v>25</v>
      </c>
      <c r="BO7" s="1065">
        <v>25</v>
      </c>
      <c r="BP7" s="2825">
        <v>25</v>
      </c>
      <c r="BQ7" s="1101">
        <v>25</v>
      </c>
      <c r="BR7" s="1101">
        <v>25</v>
      </c>
      <c r="BS7" s="1124">
        <v>25</v>
      </c>
      <c r="BT7" s="1065">
        <v>25</v>
      </c>
      <c r="BU7" s="1065">
        <v>25</v>
      </c>
      <c r="BV7" s="1065">
        <v>25</v>
      </c>
      <c r="BW7" s="1065">
        <v>25</v>
      </c>
      <c r="BX7" s="1065">
        <v>25</v>
      </c>
      <c r="BY7" s="1065">
        <v>25</v>
      </c>
      <c r="BZ7" s="1065">
        <v>25</v>
      </c>
      <c r="CA7" s="1065">
        <v>25</v>
      </c>
      <c r="CB7" s="1065">
        <v>25</v>
      </c>
    </row>
    <row r="8" spans="1:80" ht="12" customHeight="1">
      <c r="A8" s="1063">
        <v>2</v>
      </c>
      <c r="B8" s="1063"/>
      <c r="C8" s="116">
        <v>50</v>
      </c>
      <c r="D8" s="116">
        <v>50</v>
      </c>
      <c r="E8" s="116">
        <v>50</v>
      </c>
      <c r="F8" s="116">
        <v>50</v>
      </c>
      <c r="G8" s="115">
        <v>50</v>
      </c>
      <c r="H8" s="116">
        <v>50</v>
      </c>
      <c r="I8" s="116">
        <v>50</v>
      </c>
      <c r="J8" s="116">
        <v>50</v>
      </c>
      <c r="K8" s="116">
        <v>50</v>
      </c>
      <c r="L8" s="115">
        <v>50</v>
      </c>
      <c r="M8" s="116">
        <v>50</v>
      </c>
      <c r="N8" s="116">
        <v>50</v>
      </c>
      <c r="O8" s="116">
        <v>50</v>
      </c>
      <c r="P8" s="116">
        <v>50</v>
      </c>
      <c r="Q8" s="115">
        <v>50</v>
      </c>
      <c r="R8" s="116">
        <v>50</v>
      </c>
      <c r="S8" s="116">
        <v>50</v>
      </c>
      <c r="T8" s="116">
        <v>50</v>
      </c>
      <c r="U8" s="116">
        <v>50</v>
      </c>
      <c r="V8" s="115">
        <v>50</v>
      </c>
      <c r="W8" s="116">
        <v>50</v>
      </c>
      <c r="X8" s="116">
        <v>50</v>
      </c>
      <c r="Y8" s="116">
        <v>50</v>
      </c>
      <c r="Z8" s="116">
        <v>50</v>
      </c>
      <c r="AA8" s="115">
        <v>50</v>
      </c>
      <c r="AB8" s="116">
        <v>50</v>
      </c>
      <c r="AC8" s="116">
        <v>50</v>
      </c>
      <c r="AD8" s="116">
        <v>50</v>
      </c>
      <c r="AE8" s="116">
        <v>50</v>
      </c>
      <c r="AF8" s="115">
        <v>50</v>
      </c>
      <c r="AG8" s="116">
        <v>50</v>
      </c>
      <c r="AH8" s="116">
        <v>50</v>
      </c>
      <c r="AI8" s="116">
        <v>50</v>
      </c>
      <c r="AJ8" s="116">
        <v>50</v>
      </c>
      <c r="AK8" s="115">
        <v>50</v>
      </c>
      <c r="AL8" s="116">
        <v>50</v>
      </c>
      <c r="AM8" s="116">
        <v>50</v>
      </c>
      <c r="AN8" s="116">
        <v>50</v>
      </c>
      <c r="AO8" s="116">
        <v>50</v>
      </c>
      <c r="AP8" s="115">
        <v>50</v>
      </c>
      <c r="AQ8" s="116">
        <v>50</v>
      </c>
      <c r="AR8" s="116">
        <v>50</v>
      </c>
      <c r="AS8" s="116">
        <v>50</v>
      </c>
      <c r="AT8" s="116">
        <v>50</v>
      </c>
      <c r="AU8" s="115">
        <v>50</v>
      </c>
      <c r="AV8" s="116">
        <v>50</v>
      </c>
      <c r="AW8" s="116">
        <v>50</v>
      </c>
      <c r="AX8" s="116">
        <v>50</v>
      </c>
      <c r="AY8" s="116">
        <v>50</v>
      </c>
      <c r="AZ8" s="115">
        <v>50</v>
      </c>
      <c r="BA8" s="116">
        <v>50</v>
      </c>
      <c r="BB8" s="116">
        <v>50</v>
      </c>
      <c r="BC8" s="116">
        <v>50</v>
      </c>
      <c r="BD8" s="116">
        <v>50</v>
      </c>
      <c r="BE8" s="115">
        <v>50</v>
      </c>
      <c r="BF8" s="1110">
        <v>50</v>
      </c>
      <c r="BG8" s="1105">
        <v>50</v>
      </c>
      <c r="BH8" s="1105">
        <v>50</v>
      </c>
      <c r="BI8" s="2383">
        <v>50</v>
      </c>
      <c r="BJ8" s="115">
        <v>50</v>
      </c>
      <c r="BK8" s="1110">
        <v>50</v>
      </c>
      <c r="BL8" s="1105">
        <v>50</v>
      </c>
      <c r="BM8" s="1105">
        <v>50</v>
      </c>
      <c r="BN8" s="2383">
        <v>50</v>
      </c>
      <c r="BO8" s="115">
        <v>50</v>
      </c>
      <c r="BP8" s="1110">
        <v>50</v>
      </c>
      <c r="BQ8" s="1105">
        <v>50</v>
      </c>
      <c r="BR8" s="1105">
        <v>50</v>
      </c>
      <c r="BS8" s="2383">
        <v>50</v>
      </c>
      <c r="BT8" s="115">
        <v>50</v>
      </c>
      <c r="BU8" s="115">
        <v>50</v>
      </c>
      <c r="BV8" s="115">
        <v>50</v>
      </c>
      <c r="BW8" s="115">
        <v>50</v>
      </c>
      <c r="BX8" s="115">
        <v>50</v>
      </c>
      <c r="BY8" s="115">
        <v>50</v>
      </c>
      <c r="BZ8" s="115">
        <v>50</v>
      </c>
      <c r="CA8" s="115">
        <v>50</v>
      </c>
      <c r="CB8" s="115">
        <v>50</v>
      </c>
    </row>
    <row r="9" spans="1:80" ht="12" customHeight="1">
      <c r="A9" s="1063">
        <v>3</v>
      </c>
      <c r="B9" s="1063"/>
      <c r="C9" s="116">
        <v>75</v>
      </c>
      <c r="D9" s="116">
        <v>75</v>
      </c>
      <c r="E9" s="116">
        <v>75</v>
      </c>
      <c r="F9" s="116">
        <v>75</v>
      </c>
      <c r="G9" s="115">
        <v>75</v>
      </c>
      <c r="H9" s="116">
        <v>75</v>
      </c>
      <c r="I9" s="116">
        <v>75</v>
      </c>
      <c r="J9" s="116">
        <v>75</v>
      </c>
      <c r="K9" s="116">
        <v>75</v>
      </c>
      <c r="L9" s="115">
        <v>75</v>
      </c>
      <c r="M9" s="116">
        <v>75</v>
      </c>
      <c r="N9" s="116">
        <v>75</v>
      </c>
      <c r="O9" s="116">
        <v>75</v>
      </c>
      <c r="P9" s="116">
        <v>75</v>
      </c>
      <c r="Q9" s="115">
        <v>75</v>
      </c>
      <c r="R9" s="116">
        <v>75</v>
      </c>
      <c r="S9" s="116">
        <v>75</v>
      </c>
      <c r="T9" s="116">
        <v>75</v>
      </c>
      <c r="U9" s="116">
        <v>75</v>
      </c>
      <c r="V9" s="115">
        <v>75</v>
      </c>
      <c r="W9" s="116">
        <v>75</v>
      </c>
      <c r="X9" s="116">
        <v>75</v>
      </c>
      <c r="Y9" s="116">
        <v>75</v>
      </c>
      <c r="Z9" s="116">
        <v>75</v>
      </c>
      <c r="AA9" s="115">
        <v>75</v>
      </c>
      <c r="AB9" s="116">
        <v>75</v>
      </c>
      <c r="AC9" s="116">
        <v>75</v>
      </c>
      <c r="AD9" s="116">
        <v>75</v>
      </c>
      <c r="AE9" s="116">
        <v>75</v>
      </c>
      <c r="AF9" s="115">
        <v>75</v>
      </c>
      <c r="AG9" s="116">
        <v>75</v>
      </c>
      <c r="AH9" s="116">
        <v>75</v>
      </c>
      <c r="AI9" s="116">
        <v>75</v>
      </c>
      <c r="AJ9" s="116">
        <v>75</v>
      </c>
      <c r="AK9" s="115">
        <v>75</v>
      </c>
      <c r="AL9" s="116">
        <v>75</v>
      </c>
      <c r="AM9" s="116">
        <v>75</v>
      </c>
      <c r="AN9" s="116">
        <v>75</v>
      </c>
      <c r="AO9" s="116">
        <v>75</v>
      </c>
      <c r="AP9" s="115">
        <v>75</v>
      </c>
      <c r="AQ9" s="116">
        <v>75</v>
      </c>
      <c r="AR9" s="116">
        <v>75</v>
      </c>
      <c r="AS9" s="116">
        <v>75</v>
      </c>
      <c r="AT9" s="116">
        <v>75</v>
      </c>
      <c r="AU9" s="115">
        <v>75</v>
      </c>
      <c r="AV9" s="116">
        <v>75</v>
      </c>
      <c r="AW9" s="116">
        <v>75</v>
      </c>
      <c r="AX9" s="116">
        <v>75</v>
      </c>
      <c r="AY9" s="116">
        <v>75</v>
      </c>
      <c r="AZ9" s="115">
        <v>75</v>
      </c>
      <c r="BA9" s="116">
        <v>75</v>
      </c>
      <c r="BB9" s="116">
        <v>75</v>
      </c>
      <c r="BC9" s="116">
        <v>75</v>
      </c>
      <c r="BD9" s="116">
        <v>75</v>
      </c>
      <c r="BE9" s="115">
        <v>75</v>
      </c>
      <c r="BF9" s="1110">
        <v>75</v>
      </c>
      <c r="BG9" s="1105">
        <v>75</v>
      </c>
      <c r="BH9" s="1105">
        <v>75</v>
      </c>
      <c r="BI9" s="2383">
        <v>75</v>
      </c>
      <c r="BJ9" s="115">
        <v>75</v>
      </c>
      <c r="BK9" s="1110">
        <v>75</v>
      </c>
      <c r="BL9" s="1105">
        <v>75</v>
      </c>
      <c r="BM9" s="1105">
        <v>75</v>
      </c>
      <c r="BN9" s="2383">
        <v>75</v>
      </c>
      <c r="BO9" s="115">
        <v>75</v>
      </c>
      <c r="BP9" s="1110">
        <v>75</v>
      </c>
      <c r="BQ9" s="1105">
        <v>75</v>
      </c>
      <c r="BR9" s="1105">
        <v>75</v>
      </c>
      <c r="BS9" s="2383">
        <v>75</v>
      </c>
      <c r="BT9" s="115">
        <v>75</v>
      </c>
      <c r="BU9" s="115">
        <v>75</v>
      </c>
      <c r="BV9" s="115">
        <v>75</v>
      </c>
      <c r="BW9" s="115">
        <v>75</v>
      </c>
      <c r="BX9" s="115">
        <v>75</v>
      </c>
      <c r="BY9" s="115">
        <v>75</v>
      </c>
      <c r="BZ9" s="115">
        <v>75</v>
      </c>
      <c r="CA9" s="115">
        <v>75</v>
      </c>
      <c r="CB9" s="115">
        <v>75</v>
      </c>
    </row>
    <row r="10" spans="1:80" ht="12" customHeight="1">
      <c r="A10" s="1063">
        <v>4</v>
      </c>
      <c r="B10" s="1063"/>
      <c r="C10" s="116">
        <v>150</v>
      </c>
      <c r="D10" s="116">
        <v>150</v>
      </c>
      <c r="E10" s="116">
        <v>150</v>
      </c>
      <c r="F10" s="116">
        <v>150</v>
      </c>
      <c r="G10" s="115">
        <v>150</v>
      </c>
      <c r="H10" s="116">
        <v>150</v>
      </c>
      <c r="I10" s="116">
        <v>150</v>
      </c>
      <c r="J10" s="116">
        <v>150</v>
      </c>
      <c r="K10" s="116">
        <v>150</v>
      </c>
      <c r="L10" s="115">
        <v>150</v>
      </c>
      <c r="M10" s="116">
        <v>150</v>
      </c>
      <c r="N10" s="116">
        <v>150</v>
      </c>
      <c r="O10" s="116">
        <v>150</v>
      </c>
      <c r="P10" s="116">
        <v>150</v>
      </c>
      <c r="Q10" s="115">
        <v>150</v>
      </c>
      <c r="R10" s="116">
        <v>150</v>
      </c>
      <c r="S10" s="116">
        <v>150</v>
      </c>
      <c r="T10" s="116">
        <v>150</v>
      </c>
      <c r="U10" s="116">
        <v>150</v>
      </c>
      <c r="V10" s="115">
        <v>150</v>
      </c>
      <c r="W10" s="116">
        <v>150</v>
      </c>
      <c r="X10" s="116">
        <v>150</v>
      </c>
      <c r="Y10" s="116">
        <v>150</v>
      </c>
      <c r="Z10" s="116">
        <v>150</v>
      </c>
      <c r="AA10" s="115">
        <v>150</v>
      </c>
      <c r="AB10" s="116">
        <v>150</v>
      </c>
      <c r="AC10" s="116">
        <v>150</v>
      </c>
      <c r="AD10" s="116">
        <v>150</v>
      </c>
      <c r="AE10" s="116">
        <v>150</v>
      </c>
      <c r="AF10" s="115">
        <v>150</v>
      </c>
      <c r="AG10" s="116">
        <v>150</v>
      </c>
      <c r="AH10" s="116">
        <v>150</v>
      </c>
      <c r="AI10" s="116">
        <v>150</v>
      </c>
      <c r="AJ10" s="116">
        <v>150</v>
      </c>
      <c r="AK10" s="115">
        <v>150</v>
      </c>
      <c r="AL10" s="116">
        <v>150</v>
      </c>
      <c r="AM10" s="116">
        <v>150</v>
      </c>
      <c r="AN10" s="116">
        <v>150</v>
      </c>
      <c r="AO10" s="116">
        <v>150</v>
      </c>
      <c r="AP10" s="115">
        <v>150</v>
      </c>
      <c r="AQ10" s="116">
        <v>150</v>
      </c>
      <c r="AR10" s="116">
        <v>150</v>
      </c>
      <c r="AS10" s="116">
        <v>150</v>
      </c>
      <c r="AT10" s="116">
        <v>150</v>
      </c>
      <c r="AU10" s="115">
        <v>150</v>
      </c>
      <c r="AV10" s="116">
        <v>150</v>
      </c>
      <c r="AW10" s="116">
        <v>150</v>
      </c>
      <c r="AX10" s="116">
        <v>150</v>
      </c>
      <c r="AY10" s="116">
        <v>150</v>
      </c>
      <c r="AZ10" s="115">
        <v>150</v>
      </c>
      <c r="BA10" s="116">
        <v>150</v>
      </c>
      <c r="BB10" s="116">
        <v>150</v>
      </c>
      <c r="BC10" s="116">
        <v>150</v>
      </c>
      <c r="BD10" s="116">
        <v>150</v>
      </c>
      <c r="BE10" s="115">
        <v>150</v>
      </c>
      <c r="BF10" s="1110">
        <v>150</v>
      </c>
      <c r="BG10" s="1105">
        <v>150</v>
      </c>
      <c r="BH10" s="1105">
        <v>150</v>
      </c>
      <c r="BI10" s="2383">
        <v>150</v>
      </c>
      <c r="BJ10" s="115">
        <v>150</v>
      </c>
      <c r="BK10" s="1110">
        <v>150</v>
      </c>
      <c r="BL10" s="1105">
        <v>150</v>
      </c>
      <c r="BM10" s="1105">
        <v>150</v>
      </c>
      <c r="BN10" s="2383">
        <v>150</v>
      </c>
      <c r="BO10" s="115">
        <v>150</v>
      </c>
      <c r="BP10" s="1110">
        <v>150</v>
      </c>
      <c r="BQ10" s="1105">
        <v>150</v>
      </c>
      <c r="BR10" s="1105">
        <v>150</v>
      </c>
      <c r="BS10" s="2383">
        <v>150</v>
      </c>
      <c r="BT10" s="115">
        <v>150</v>
      </c>
      <c r="BU10" s="115">
        <v>150</v>
      </c>
      <c r="BV10" s="115">
        <v>150</v>
      </c>
      <c r="BW10" s="115">
        <v>150</v>
      </c>
      <c r="BX10" s="115">
        <v>150</v>
      </c>
      <c r="BY10" s="115">
        <v>150</v>
      </c>
      <c r="BZ10" s="115">
        <v>150</v>
      </c>
      <c r="CA10" s="115">
        <v>150</v>
      </c>
      <c r="CB10" s="115">
        <v>150</v>
      </c>
    </row>
    <row r="11" spans="1:80" ht="12" customHeight="1">
      <c r="A11" s="1063">
        <v>5</v>
      </c>
      <c r="B11" s="1063"/>
      <c r="C11" s="116">
        <v>151</v>
      </c>
      <c r="D11" s="116">
        <v>151</v>
      </c>
      <c r="E11" s="116">
        <v>151</v>
      </c>
      <c r="F11" s="116">
        <v>151</v>
      </c>
      <c r="G11" s="115">
        <v>151</v>
      </c>
      <c r="H11" s="116">
        <v>151</v>
      </c>
      <c r="I11" s="116">
        <v>151</v>
      </c>
      <c r="J11" s="116">
        <v>151</v>
      </c>
      <c r="K11" s="116">
        <v>151</v>
      </c>
      <c r="L11" s="115">
        <v>151</v>
      </c>
      <c r="M11" s="116">
        <v>151</v>
      </c>
      <c r="N11" s="116">
        <v>151</v>
      </c>
      <c r="O11" s="116">
        <v>151</v>
      </c>
      <c r="P11" s="116">
        <v>151</v>
      </c>
      <c r="Q11" s="115">
        <v>151</v>
      </c>
      <c r="R11" s="116">
        <v>151</v>
      </c>
      <c r="S11" s="116">
        <v>151</v>
      </c>
      <c r="T11" s="116">
        <v>151</v>
      </c>
      <c r="U11" s="116">
        <v>151</v>
      </c>
      <c r="V11" s="115">
        <v>151</v>
      </c>
      <c r="W11" s="116">
        <v>151</v>
      </c>
      <c r="X11" s="116">
        <v>151</v>
      </c>
      <c r="Y11" s="116">
        <v>151</v>
      </c>
      <c r="Z11" s="116">
        <v>151</v>
      </c>
      <c r="AA11" s="115">
        <v>151</v>
      </c>
      <c r="AB11" s="116">
        <v>151</v>
      </c>
      <c r="AC11" s="116">
        <v>151</v>
      </c>
      <c r="AD11" s="116">
        <v>151</v>
      </c>
      <c r="AE11" s="116">
        <v>151</v>
      </c>
      <c r="AF11" s="115">
        <v>151</v>
      </c>
      <c r="AG11" s="116">
        <v>151</v>
      </c>
      <c r="AH11" s="116">
        <v>151</v>
      </c>
      <c r="AI11" s="116">
        <v>151</v>
      </c>
      <c r="AJ11" s="116">
        <v>151</v>
      </c>
      <c r="AK11" s="115">
        <v>151</v>
      </c>
      <c r="AL11" s="116">
        <v>151</v>
      </c>
      <c r="AM11" s="116">
        <v>151</v>
      </c>
      <c r="AN11" s="116">
        <v>151</v>
      </c>
      <c r="AO11" s="116">
        <v>151</v>
      </c>
      <c r="AP11" s="115">
        <v>151</v>
      </c>
      <c r="AQ11" s="116">
        <v>151</v>
      </c>
      <c r="AR11" s="116">
        <v>151</v>
      </c>
      <c r="AS11" s="116">
        <v>151</v>
      </c>
      <c r="AT11" s="116">
        <v>151</v>
      </c>
      <c r="AU11" s="115">
        <v>151</v>
      </c>
      <c r="AV11" s="116">
        <v>151</v>
      </c>
      <c r="AW11" s="116">
        <v>151</v>
      </c>
      <c r="AX11" s="116">
        <v>151</v>
      </c>
      <c r="AY11" s="116">
        <v>151</v>
      </c>
      <c r="AZ11" s="115">
        <v>151</v>
      </c>
      <c r="BA11" s="116">
        <v>151</v>
      </c>
      <c r="BB11" s="116">
        <v>151</v>
      </c>
      <c r="BC11" s="116">
        <v>151</v>
      </c>
      <c r="BD11" s="116">
        <v>151</v>
      </c>
      <c r="BE11" s="115">
        <v>151</v>
      </c>
      <c r="BF11" s="1110">
        <v>151</v>
      </c>
      <c r="BG11" s="1105">
        <v>151</v>
      </c>
      <c r="BH11" s="1105">
        <v>151</v>
      </c>
      <c r="BI11" s="2383">
        <v>151</v>
      </c>
      <c r="BJ11" s="115">
        <v>151</v>
      </c>
      <c r="BK11" s="1110">
        <v>151</v>
      </c>
      <c r="BL11" s="1105">
        <v>151</v>
      </c>
      <c r="BM11" s="1105">
        <v>151</v>
      </c>
      <c r="BN11" s="2383">
        <v>151</v>
      </c>
      <c r="BO11" s="115">
        <v>151</v>
      </c>
      <c r="BP11" s="1110">
        <v>151</v>
      </c>
      <c r="BQ11" s="1105">
        <v>151</v>
      </c>
      <c r="BR11" s="1105">
        <v>151</v>
      </c>
      <c r="BS11" s="2383">
        <v>151</v>
      </c>
      <c r="BT11" s="115">
        <v>151</v>
      </c>
      <c r="BU11" s="115">
        <v>151</v>
      </c>
      <c r="BV11" s="115">
        <v>151</v>
      </c>
      <c r="BW11" s="115">
        <v>151</v>
      </c>
      <c r="BX11" s="115">
        <v>151</v>
      </c>
      <c r="BY11" s="115">
        <v>151</v>
      </c>
      <c r="BZ11" s="115">
        <v>151</v>
      </c>
      <c r="CA11" s="115">
        <v>151</v>
      </c>
      <c r="CB11" s="115">
        <v>151</v>
      </c>
    </row>
    <row r="12" spans="1:80" ht="12" customHeight="1">
      <c r="A12" s="1062"/>
      <c r="B12" s="1062"/>
      <c r="C12" s="61"/>
      <c r="D12" s="61"/>
      <c r="E12" s="61"/>
      <c r="F12" s="61"/>
      <c r="G12" s="112"/>
      <c r="H12" s="61"/>
      <c r="I12" s="61"/>
      <c r="J12" s="61"/>
      <c r="K12" s="61"/>
      <c r="L12" s="112"/>
      <c r="M12" s="61"/>
      <c r="N12" s="61"/>
      <c r="O12" s="61"/>
      <c r="P12" s="61"/>
      <c r="Q12" s="112"/>
      <c r="R12" s="61"/>
      <c r="S12" s="61"/>
      <c r="T12" s="61"/>
      <c r="U12" s="61"/>
      <c r="V12" s="112"/>
      <c r="W12" s="61"/>
      <c r="X12" s="61"/>
      <c r="Y12" s="61"/>
      <c r="Z12" s="61"/>
      <c r="AA12" s="112"/>
      <c r="AB12" s="61"/>
      <c r="AC12" s="61"/>
      <c r="AD12" s="61"/>
      <c r="AE12" s="61"/>
      <c r="AF12" s="112"/>
      <c r="AG12" s="61"/>
      <c r="AH12" s="61"/>
      <c r="AI12" s="61"/>
      <c r="AJ12" s="61"/>
      <c r="AK12" s="112"/>
      <c r="AL12" s="61"/>
      <c r="AM12" s="61"/>
      <c r="AN12" s="61"/>
      <c r="AO12" s="61"/>
      <c r="AP12" s="112"/>
      <c r="AQ12" s="61"/>
      <c r="AR12" s="61"/>
      <c r="AS12" s="61"/>
      <c r="AT12" s="61"/>
      <c r="AU12" s="112"/>
      <c r="AV12" s="61"/>
      <c r="AW12" s="61"/>
      <c r="AX12" s="61"/>
      <c r="AY12" s="61"/>
      <c r="AZ12" s="112"/>
      <c r="BA12" s="61"/>
      <c r="BB12" s="61"/>
      <c r="BC12" s="61"/>
      <c r="BD12" s="61"/>
      <c r="BE12" s="112"/>
      <c r="BF12" s="59"/>
      <c r="BG12" s="61"/>
      <c r="BH12" s="61"/>
      <c r="BI12" s="60"/>
      <c r="BJ12" s="112"/>
      <c r="BK12" s="59"/>
      <c r="BL12" s="61"/>
      <c r="BM12" s="61"/>
      <c r="BN12" s="60"/>
      <c r="BO12" s="112"/>
      <c r="BP12" s="59"/>
      <c r="BQ12" s="61"/>
      <c r="BR12" s="61"/>
      <c r="BS12" s="60"/>
      <c r="BT12" s="112"/>
      <c r="BU12" s="112"/>
      <c r="BV12" s="112"/>
      <c r="BW12" s="112"/>
      <c r="BX12" s="112"/>
      <c r="BY12" s="112"/>
      <c r="BZ12" s="112"/>
      <c r="CA12" s="112"/>
      <c r="CB12" s="112"/>
    </row>
    <row r="13" spans="1:80" ht="12" customHeight="1">
      <c r="A13" s="1062" t="s">
        <v>1503</v>
      </c>
      <c r="B13" s="1062"/>
      <c r="C13" s="61"/>
      <c r="D13" s="61"/>
      <c r="E13" s="61"/>
      <c r="F13" s="61"/>
      <c r="G13" s="112"/>
      <c r="H13" s="61"/>
      <c r="I13" s="61"/>
      <c r="J13" s="61"/>
      <c r="K13" s="61"/>
      <c r="L13" s="112"/>
      <c r="M13" s="61"/>
      <c r="N13" s="61"/>
      <c r="O13" s="61"/>
      <c r="P13" s="61"/>
      <c r="Q13" s="112"/>
      <c r="R13" s="61"/>
      <c r="S13" s="61"/>
      <c r="T13" s="61"/>
      <c r="U13" s="61"/>
      <c r="V13" s="112"/>
      <c r="W13" s="61"/>
      <c r="X13" s="61"/>
      <c r="Y13" s="61"/>
      <c r="Z13" s="61"/>
      <c r="AA13" s="112"/>
      <c r="AB13" s="61"/>
      <c r="AC13" s="61"/>
      <c r="AD13" s="61"/>
      <c r="AE13" s="61"/>
      <c r="AF13" s="112"/>
      <c r="AG13" s="61"/>
      <c r="AH13" s="61"/>
      <c r="AI13" s="61"/>
      <c r="AJ13" s="61"/>
      <c r="AK13" s="112"/>
      <c r="AL13" s="61"/>
      <c r="AM13" s="61"/>
      <c r="AN13" s="61"/>
      <c r="AO13" s="61"/>
      <c r="AP13" s="112"/>
      <c r="AQ13" s="61"/>
      <c r="AR13" s="61"/>
      <c r="AS13" s="61"/>
      <c r="AT13" s="61"/>
      <c r="AU13" s="112"/>
      <c r="AV13" s="61"/>
      <c r="AW13" s="61"/>
      <c r="AX13" s="61"/>
      <c r="AY13" s="61"/>
      <c r="AZ13" s="112"/>
      <c r="BA13" s="61"/>
      <c r="BB13" s="61"/>
      <c r="BC13" s="61"/>
      <c r="BD13" s="61"/>
      <c r="BE13" s="112"/>
      <c r="BF13" s="59"/>
      <c r="BG13" s="61"/>
      <c r="BH13" s="61"/>
      <c r="BI13" s="60"/>
      <c r="BJ13" s="112"/>
      <c r="BK13" s="59"/>
      <c r="BL13" s="61"/>
      <c r="BM13" s="61"/>
      <c r="BN13" s="60"/>
      <c r="BO13" s="112"/>
      <c r="BP13" s="59"/>
      <c r="BQ13" s="61"/>
      <c r="BR13" s="61"/>
      <c r="BS13" s="60"/>
      <c r="BT13" s="112"/>
      <c r="BU13" s="112"/>
      <c r="BV13" s="112"/>
      <c r="BW13" s="112"/>
      <c r="BX13" s="112"/>
      <c r="BY13" s="112"/>
      <c r="BZ13" s="112"/>
      <c r="CA13" s="112"/>
      <c r="CB13" s="112"/>
    </row>
    <row r="14" spans="1:80" ht="12" customHeight="1">
      <c r="A14" s="1063">
        <v>1</v>
      </c>
      <c r="B14" s="1063"/>
      <c r="C14" s="1066">
        <v>0.15</v>
      </c>
      <c r="D14" s="1066">
        <v>0.15</v>
      </c>
      <c r="E14" s="1066">
        <v>0.15</v>
      </c>
      <c r="F14" s="1066">
        <v>0.15</v>
      </c>
      <c r="G14" s="1067">
        <v>0.15</v>
      </c>
      <c r="H14" s="1066">
        <v>0.15</v>
      </c>
      <c r="I14" s="1066">
        <v>0.15</v>
      </c>
      <c r="J14" s="1066">
        <v>0.15</v>
      </c>
      <c r="K14" s="1066">
        <v>0.15</v>
      </c>
      <c r="L14" s="1067">
        <v>0.15</v>
      </c>
      <c r="M14" s="1066">
        <v>0.15</v>
      </c>
      <c r="N14" s="1066">
        <v>0.15</v>
      </c>
      <c r="O14" s="1066">
        <v>0.15</v>
      </c>
      <c r="P14" s="1066">
        <v>0.15</v>
      </c>
      <c r="Q14" s="1067">
        <v>0.15</v>
      </c>
      <c r="R14" s="1066">
        <v>0.15</v>
      </c>
      <c r="S14" s="1066">
        <v>0.15</v>
      </c>
      <c r="T14" s="1066">
        <v>0.15</v>
      </c>
      <c r="U14" s="1066">
        <v>0.15</v>
      </c>
      <c r="V14" s="1067">
        <v>0.15</v>
      </c>
      <c r="W14" s="1066">
        <v>0.15</v>
      </c>
      <c r="X14" s="1066">
        <v>0.15</v>
      </c>
      <c r="Y14" s="1066">
        <v>0.15</v>
      </c>
      <c r="Z14" s="1066">
        <v>0.15</v>
      </c>
      <c r="AA14" s="1067">
        <v>0.15</v>
      </c>
      <c r="AB14" s="1066">
        <v>0.15</v>
      </c>
      <c r="AC14" s="1066">
        <v>0.15</v>
      </c>
      <c r="AD14" s="1066">
        <v>0.15</v>
      </c>
      <c r="AE14" s="1066">
        <v>0.15</v>
      </c>
      <c r="AF14" s="1067">
        <v>0.15</v>
      </c>
      <c r="AG14" s="1066">
        <v>0.15</v>
      </c>
      <c r="AH14" s="1066">
        <v>0.15</v>
      </c>
      <c r="AI14" s="1066">
        <v>0.15</v>
      </c>
      <c r="AJ14" s="1066">
        <v>0.15</v>
      </c>
      <c r="AK14" s="1067">
        <v>0.15</v>
      </c>
      <c r="AL14" s="1066">
        <v>0.15</v>
      </c>
      <c r="AM14" s="1066">
        <v>0.15</v>
      </c>
      <c r="AN14" s="1066">
        <v>0.15</v>
      </c>
      <c r="AO14" s="1066">
        <v>0.15</v>
      </c>
      <c r="AP14" s="1067">
        <v>0.15</v>
      </c>
      <c r="AQ14" s="1066">
        <v>0.15</v>
      </c>
      <c r="AR14" s="1066">
        <v>0.15</v>
      </c>
      <c r="AS14" s="1066">
        <v>0.15</v>
      </c>
      <c r="AT14" s="1066">
        <v>0.15</v>
      </c>
      <c r="AU14" s="1067">
        <v>0.15</v>
      </c>
      <c r="AV14" s="1066">
        <v>0.15</v>
      </c>
      <c r="AW14" s="1066">
        <v>0.15</v>
      </c>
      <c r="AX14" s="1066">
        <v>0.15</v>
      </c>
      <c r="AY14" s="1066">
        <v>0.15</v>
      </c>
      <c r="AZ14" s="1067">
        <v>0.15</v>
      </c>
      <c r="BA14" s="1066">
        <v>0.15</v>
      </c>
      <c r="BB14" s="1066">
        <v>0.15</v>
      </c>
      <c r="BC14" s="1066">
        <v>0.15</v>
      </c>
      <c r="BD14" s="1066">
        <v>0.15</v>
      </c>
      <c r="BE14" s="1067">
        <v>0.15</v>
      </c>
      <c r="BF14" s="2826">
        <v>0.15</v>
      </c>
      <c r="BG14" s="1111">
        <v>0.15</v>
      </c>
      <c r="BH14" s="1111">
        <v>0.15</v>
      </c>
      <c r="BI14" s="2827">
        <v>0.15</v>
      </c>
      <c r="BJ14" s="1067">
        <v>0.15</v>
      </c>
      <c r="BK14" s="2826">
        <v>0.15</v>
      </c>
      <c r="BL14" s="1111">
        <v>0.15</v>
      </c>
      <c r="BM14" s="1111">
        <v>0.15</v>
      </c>
      <c r="BN14" s="2827">
        <v>0.15</v>
      </c>
      <c r="BO14" s="1067">
        <v>0.15</v>
      </c>
      <c r="BP14" s="2826">
        <v>0.15</v>
      </c>
      <c r="BQ14" s="1111">
        <v>0.15</v>
      </c>
      <c r="BR14" s="1111">
        <v>0.15</v>
      </c>
      <c r="BS14" s="2827">
        <v>0.15</v>
      </c>
      <c r="BT14" s="1067">
        <v>0.15</v>
      </c>
      <c r="BU14" s="1067">
        <v>0.15</v>
      </c>
      <c r="BV14" s="1067">
        <v>0.15</v>
      </c>
      <c r="BW14" s="1067">
        <v>0.15</v>
      </c>
      <c r="BX14" s="1067">
        <v>0.15</v>
      </c>
      <c r="BY14" s="1067">
        <v>0.15</v>
      </c>
      <c r="BZ14" s="1067">
        <v>0.15</v>
      </c>
      <c r="CA14" s="1067">
        <v>0.15</v>
      </c>
      <c r="CB14" s="1067">
        <v>0.15</v>
      </c>
    </row>
    <row r="15" spans="1:80" ht="12" customHeight="1">
      <c r="A15" s="1063">
        <v>2</v>
      </c>
      <c r="B15" s="1063"/>
      <c r="C15" s="1066">
        <v>0.2</v>
      </c>
      <c r="D15" s="1066">
        <v>0.2</v>
      </c>
      <c r="E15" s="1066">
        <v>0.2</v>
      </c>
      <c r="F15" s="1066">
        <v>0.2</v>
      </c>
      <c r="G15" s="1067">
        <v>0.2</v>
      </c>
      <c r="H15" s="1066">
        <v>0.2</v>
      </c>
      <c r="I15" s="1066">
        <v>0.2</v>
      </c>
      <c r="J15" s="1066">
        <v>0.2</v>
      </c>
      <c r="K15" s="1066">
        <v>0.2</v>
      </c>
      <c r="L15" s="1067">
        <v>0.2</v>
      </c>
      <c r="M15" s="1066">
        <v>0.2</v>
      </c>
      <c r="N15" s="1066">
        <v>0.2</v>
      </c>
      <c r="O15" s="1066">
        <v>0.2</v>
      </c>
      <c r="P15" s="1066">
        <v>0.2</v>
      </c>
      <c r="Q15" s="1067">
        <v>0.2</v>
      </c>
      <c r="R15" s="1066">
        <v>0.2</v>
      </c>
      <c r="S15" s="1066">
        <v>0.2</v>
      </c>
      <c r="T15" s="1066">
        <v>0.2</v>
      </c>
      <c r="U15" s="1066">
        <v>0.2</v>
      </c>
      <c r="V15" s="1067">
        <v>0.2</v>
      </c>
      <c r="W15" s="1066">
        <v>0.2</v>
      </c>
      <c r="X15" s="1066">
        <v>0.2</v>
      </c>
      <c r="Y15" s="1066">
        <v>0.2</v>
      </c>
      <c r="Z15" s="1066">
        <v>0.2</v>
      </c>
      <c r="AA15" s="1067">
        <v>0.2</v>
      </c>
      <c r="AB15" s="1066">
        <v>0.2</v>
      </c>
      <c r="AC15" s="1066">
        <v>0.2</v>
      </c>
      <c r="AD15" s="1066">
        <v>0.2</v>
      </c>
      <c r="AE15" s="1066">
        <v>0.2</v>
      </c>
      <c r="AF15" s="1067">
        <v>0.2</v>
      </c>
      <c r="AG15" s="1066">
        <v>0.2</v>
      </c>
      <c r="AH15" s="1066">
        <v>0.2</v>
      </c>
      <c r="AI15" s="1066">
        <v>0.2</v>
      </c>
      <c r="AJ15" s="1066">
        <v>0.2</v>
      </c>
      <c r="AK15" s="1067">
        <v>0.2</v>
      </c>
      <c r="AL15" s="1066">
        <v>0.2</v>
      </c>
      <c r="AM15" s="1066">
        <v>0.2</v>
      </c>
      <c r="AN15" s="1066">
        <v>0.2</v>
      </c>
      <c r="AO15" s="1066">
        <v>0.2</v>
      </c>
      <c r="AP15" s="1067">
        <v>0.2</v>
      </c>
      <c r="AQ15" s="1066">
        <v>0.2</v>
      </c>
      <c r="AR15" s="1066">
        <v>0.2</v>
      </c>
      <c r="AS15" s="1066">
        <v>0.2</v>
      </c>
      <c r="AT15" s="1066">
        <v>0.2</v>
      </c>
      <c r="AU15" s="1067">
        <v>0.2</v>
      </c>
      <c r="AV15" s="1066">
        <v>0.2</v>
      </c>
      <c r="AW15" s="1066">
        <v>0.2</v>
      </c>
      <c r="AX15" s="1066">
        <v>0.2</v>
      </c>
      <c r="AY15" s="1066">
        <v>0.2</v>
      </c>
      <c r="AZ15" s="1067">
        <v>0.2</v>
      </c>
      <c r="BA15" s="1066">
        <v>0.2</v>
      </c>
      <c r="BB15" s="1066">
        <v>0.2</v>
      </c>
      <c r="BC15" s="1066">
        <v>0.2</v>
      </c>
      <c r="BD15" s="1066">
        <v>0.2</v>
      </c>
      <c r="BE15" s="1067">
        <v>0.2</v>
      </c>
      <c r="BF15" s="2826">
        <v>0.2</v>
      </c>
      <c r="BG15" s="1111">
        <v>0.2</v>
      </c>
      <c r="BH15" s="1111">
        <v>0.2</v>
      </c>
      <c r="BI15" s="2827">
        <v>0.2</v>
      </c>
      <c r="BJ15" s="1067">
        <v>0.2</v>
      </c>
      <c r="BK15" s="2826">
        <v>0.2</v>
      </c>
      <c r="BL15" s="1111">
        <v>0.2</v>
      </c>
      <c r="BM15" s="1111">
        <v>0.2</v>
      </c>
      <c r="BN15" s="2827">
        <v>0.2</v>
      </c>
      <c r="BO15" s="1067">
        <v>0.2</v>
      </c>
      <c r="BP15" s="2826">
        <v>0.2</v>
      </c>
      <c r="BQ15" s="1111">
        <v>0.2</v>
      </c>
      <c r="BR15" s="1111">
        <v>0.2</v>
      </c>
      <c r="BS15" s="2827">
        <v>0.2</v>
      </c>
      <c r="BT15" s="1067">
        <v>0.2</v>
      </c>
      <c r="BU15" s="1067">
        <v>0.2</v>
      </c>
      <c r="BV15" s="1067">
        <v>0.2</v>
      </c>
      <c r="BW15" s="1067">
        <v>0.2</v>
      </c>
      <c r="BX15" s="1067">
        <v>0.2</v>
      </c>
      <c r="BY15" s="1067">
        <v>0.2</v>
      </c>
      <c r="BZ15" s="1067">
        <v>0.2</v>
      </c>
      <c r="CA15" s="1067">
        <v>0.2</v>
      </c>
      <c r="CB15" s="1067">
        <v>0.2</v>
      </c>
    </row>
    <row r="16" spans="1:80" ht="12" customHeight="1">
      <c r="A16" s="1063">
        <v>3</v>
      </c>
      <c r="B16" s="1063"/>
      <c r="C16" s="1066">
        <v>0.25</v>
      </c>
      <c r="D16" s="1066">
        <v>0.25</v>
      </c>
      <c r="E16" s="1066">
        <v>0.25</v>
      </c>
      <c r="F16" s="1066">
        <v>0.25</v>
      </c>
      <c r="G16" s="1067">
        <v>0.25</v>
      </c>
      <c r="H16" s="1066">
        <v>0.25</v>
      </c>
      <c r="I16" s="1066">
        <v>0.25</v>
      </c>
      <c r="J16" s="1066">
        <v>0.25</v>
      </c>
      <c r="K16" s="1066">
        <v>0.25</v>
      </c>
      <c r="L16" s="1067">
        <v>0.25</v>
      </c>
      <c r="M16" s="1066">
        <v>0.25</v>
      </c>
      <c r="N16" s="1066">
        <v>0.25</v>
      </c>
      <c r="O16" s="1066">
        <v>0.25</v>
      </c>
      <c r="P16" s="1066">
        <v>0.25</v>
      </c>
      <c r="Q16" s="1067">
        <v>0.25</v>
      </c>
      <c r="R16" s="1066">
        <v>0.25</v>
      </c>
      <c r="S16" s="1066">
        <v>0.25</v>
      </c>
      <c r="T16" s="1066">
        <v>0.25</v>
      </c>
      <c r="U16" s="1066">
        <v>0.25</v>
      </c>
      <c r="V16" s="1067">
        <v>0.25</v>
      </c>
      <c r="W16" s="1066">
        <v>0.25</v>
      </c>
      <c r="X16" s="1066">
        <v>0.25</v>
      </c>
      <c r="Y16" s="1066">
        <v>0.25</v>
      </c>
      <c r="Z16" s="1066">
        <v>0.25</v>
      </c>
      <c r="AA16" s="1067">
        <v>0.25</v>
      </c>
      <c r="AB16" s="1066">
        <v>0.25</v>
      </c>
      <c r="AC16" s="1066">
        <v>0.25</v>
      </c>
      <c r="AD16" s="1066">
        <v>0.25</v>
      </c>
      <c r="AE16" s="1066">
        <v>0.25</v>
      </c>
      <c r="AF16" s="1067">
        <v>0.25</v>
      </c>
      <c r="AG16" s="1066">
        <v>0.25</v>
      </c>
      <c r="AH16" s="1066">
        <v>0.25</v>
      </c>
      <c r="AI16" s="1066">
        <v>0.25</v>
      </c>
      <c r="AJ16" s="1066">
        <v>0.25</v>
      </c>
      <c r="AK16" s="1067">
        <v>0.25</v>
      </c>
      <c r="AL16" s="1066">
        <v>0.25</v>
      </c>
      <c r="AM16" s="1066">
        <v>0.25</v>
      </c>
      <c r="AN16" s="1066">
        <v>0.25</v>
      </c>
      <c r="AO16" s="1066">
        <v>0.25</v>
      </c>
      <c r="AP16" s="1067">
        <v>0.25</v>
      </c>
      <c r="AQ16" s="1066">
        <v>0.25</v>
      </c>
      <c r="AR16" s="1066">
        <v>0.25</v>
      </c>
      <c r="AS16" s="1066">
        <v>0.25</v>
      </c>
      <c r="AT16" s="1066">
        <v>0.25</v>
      </c>
      <c r="AU16" s="1067">
        <v>0.25</v>
      </c>
      <c r="AV16" s="1066">
        <v>0.25</v>
      </c>
      <c r="AW16" s="1066">
        <v>0.25</v>
      </c>
      <c r="AX16" s="1066">
        <v>0.25</v>
      </c>
      <c r="AY16" s="1066">
        <v>0.25</v>
      </c>
      <c r="AZ16" s="1067">
        <v>0.25</v>
      </c>
      <c r="BA16" s="1066">
        <v>0.25</v>
      </c>
      <c r="BB16" s="1066">
        <v>0.25</v>
      </c>
      <c r="BC16" s="1066">
        <v>0.25</v>
      </c>
      <c r="BD16" s="1066">
        <v>0.25</v>
      </c>
      <c r="BE16" s="1067">
        <v>0.25</v>
      </c>
      <c r="BF16" s="2826">
        <v>0.25</v>
      </c>
      <c r="BG16" s="1111">
        <v>0.25</v>
      </c>
      <c r="BH16" s="1111">
        <v>0.25</v>
      </c>
      <c r="BI16" s="2827">
        <v>0.25</v>
      </c>
      <c r="BJ16" s="1067">
        <v>0.25</v>
      </c>
      <c r="BK16" s="2826">
        <v>0.25</v>
      </c>
      <c r="BL16" s="1111">
        <v>0.25</v>
      </c>
      <c r="BM16" s="1111">
        <v>0.25</v>
      </c>
      <c r="BN16" s="2827">
        <v>0.25</v>
      </c>
      <c r="BO16" s="1067">
        <v>0.25</v>
      </c>
      <c r="BP16" s="2826">
        <v>0.25</v>
      </c>
      <c r="BQ16" s="1111">
        <v>0.25</v>
      </c>
      <c r="BR16" s="1111">
        <v>0.25</v>
      </c>
      <c r="BS16" s="2827">
        <v>0.25</v>
      </c>
      <c r="BT16" s="1067">
        <v>0.25</v>
      </c>
      <c r="BU16" s="1067">
        <v>0.25</v>
      </c>
      <c r="BV16" s="1067">
        <v>0.25</v>
      </c>
      <c r="BW16" s="1067">
        <v>0.25</v>
      </c>
      <c r="BX16" s="1067">
        <v>0.25</v>
      </c>
      <c r="BY16" s="1067">
        <v>0.25</v>
      </c>
      <c r="BZ16" s="1067">
        <v>0.25</v>
      </c>
      <c r="CA16" s="1067">
        <v>0.25</v>
      </c>
      <c r="CB16" s="1067">
        <v>0.25</v>
      </c>
    </row>
    <row r="17" spans="1:80" ht="12" customHeight="1">
      <c r="A17" s="1063">
        <v>4</v>
      </c>
      <c r="B17" s="1063"/>
      <c r="C17" s="1066">
        <v>0.3</v>
      </c>
      <c r="D17" s="1066">
        <v>0.3</v>
      </c>
      <c r="E17" s="1066">
        <v>0.3</v>
      </c>
      <c r="F17" s="1066">
        <v>0.3</v>
      </c>
      <c r="G17" s="1067">
        <v>0.3</v>
      </c>
      <c r="H17" s="1066">
        <v>0.3</v>
      </c>
      <c r="I17" s="1066">
        <v>0.3</v>
      </c>
      <c r="J17" s="1066">
        <v>0.3</v>
      </c>
      <c r="K17" s="1066">
        <v>0.3</v>
      </c>
      <c r="L17" s="1067">
        <v>0.3</v>
      </c>
      <c r="M17" s="1066">
        <v>0.3</v>
      </c>
      <c r="N17" s="1066">
        <v>0.3</v>
      </c>
      <c r="O17" s="1066">
        <v>0.3</v>
      </c>
      <c r="P17" s="1066">
        <v>0.3</v>
      </c>
      <c r="Q17" s="1067">
        <v>0.3</v>
      </c>
      <c r="R17" s="1066">
        <v>0.3</v>
      </c>
      <c r="S17" s="1066">
        <v>0.3</v>
      </c>
      <c r="T17" s="1066">
        <v>0.3</v>
      </c>
      <c r="U17" s="1066">
        <v>0.3</v>
      </c>
      <c r="V17" s="1067">
        <v>0.3</v>
      </c>
      <c r="W17" s="1066">
        <v>0.3</v>
      </c>
      <c r="X17" s="1066">
        <v>0.3</v>
      </c>
      <c r="Y17" s="1066">
        <v>0.3</v>
      </c>
      <c r="Z17" s="1066">
        <v>0.3</v>
      </c>
      <c r="AA17" s="1067">
        <v>0.3</v>
      </c>
      <c r="AB17" s="1066">
        <v>0.3</v>
      </c>
      <c r="AC17" s="1066">
        <v>0.3</v>
      </c>
      <c r="AD17" s="1066">
        <v>0.3</v>
      </c>
      <c r="AE17" s="1066">
        <v>0.3</v>
      </c>
      <c r="AF17" s="1067">
        <v>0.3</v>
      </c>
      <c r="AG17" s="1066">
        <v>0.3</v>
      </c>
      <c r="AH17" s="1066">
        <v>0.3</v>
      </c>
      <c r="AI17" s="1066">
        <v>0.3</v>
      </c>
      <c r="AJ17" s="1066">
        <v>0.3</v>
      </c>
      <c r="AK17" s="1067">
        <v>0.3</v>
      </c>
      <c r="AL17" s="1066">
        <v>0.3</v>
      </c>
      <c r="AM17" s="1066">
        <v>0.3</v>
      </c>
      <c r="AN17" s="1066">
        <v>0.3</v>
      </c>
      <c r="AO17" s="1066">
        <v>0.3</v>
      </c>
      <c r="AP17" s="1067">
        <v>0.3</v>
      </c>
      <c r="AQ17" s="1066">
        <v>0.3</v>
      </c>
      <c r="AR17" s="1066">
        <v>0.3</v>
      </c>
      <c r="AS17" s="1066">
        <v>0.3</v>
      </c>
      <c r="AT17" s="1066">
        <v>0.3</v>
      </c>
      <c r="AU17" s="1067">
        <v>0.3</v>
      </c>
      <c r="AV17" s="1066">
        <v>0.3</v>
      </c>
      <c r="AW17" s="1066">
        <v>0.3</v>
      </c>
      <c r="AX17" s="1066">
        <v>0.3</v>
      </c>
      <c r="AY17" s="1066">
        <v>0.3</v>
      </c>
      <c r="AZ17" s="1067">
        <v>0.3</v>
      </c>
      <c r="BA17" s="1066">
        <v>0.3</v>
      </c>
      <c r="BB17" s="1066">
        <v>0.3</v>
      </c>
      <c r="BC17" s="1066">
        <v>0.3</v>
      </c>
      <c r="BD17" s="1066">
        <v>0.3</v>
      </c>
      <c r="BE17" s="1067">
        <v>0.3</v>
      </c>
      <c r="BF17" s="2826">
        <v>0.3</v>
      </c>
      <c r="BG17" s="1111">
        <v>0.3</v>
      </c>
      <c r="BH17" s="1111">
        <v>0.3</v>
      </c>
      <c r="BI17" s="2827">
        <v>0.3</v>
      </c>
      <c r="BJ17" s="1067">
        <v>0.3</v>
      </c>
      <c r="BK17" s="2826">
        <v>0.3</v>
      </c>
      <c r="BL17" s="1111">
        <v>0.3</v>
      </c>
      <c r="BM17" s="1111">
        <v>0.3</v>
      </c>
      <c r="BN17" s="2827">
        <v>0.3</v>
      </c>
      <c r="BO17" s="1067">
        <v>0.3</v>
      </c>
      <c r="BP17" s="2826">
        <v>0.3</v>
      </c>
      <c r="BQ17" s="1111">
        <v>0.3</v>
      </c>
      <c r="BR17" s="1111">
        <v>0.3</v>
      </c>
      <c r="BS17" s="2827">
        <v>0.3</v>
      </c>
      <c r="BT17" s="1067">
        <v>0.3</v>
      </c>
      <c r="BU17" s="1067">
        <v>0.3</v>
      </c>
      <c r="BV17" s="1067">
        <v>0.3</v>
      </c>
      <c r="BW17" s="1067">
        <v>0.3</v>
      </c>
      <c r="BX17" s="1067">
        <v>0.3</v>
      </c>
      <c r="BY17" s="1067">
        <v>0.3</v>
      </c>
      <c r="BZ17" s="1067">
        <v>0.3</v>
      </c>
      <c r="CA17" s="1067">
        <v>0.3</v>
      </c>
      <c r="CB17" s="1067">
        <v>0.3</v>
      </c>
    </row>
    <row r="18" spans="1:80" ht="12" customHeight="1">
      <c r="A18" s="1063">
        <v>5</v>
      </c>
      <c r="B18" s="1063"/>
      <c r="C18" s="1066">
        <v>0.35</v>
      </c>
      <c r="D18" s="1066">
        <v>0.35</v>
      </c>
      <c r="E18" s="1066">
        <v>0.35</v>
      </c>
      <c r="F18" s="1066">
        <v>0.35</v>
      </c>
      <c r="G18" s="1067">
        <v>0.35</v>
      </c>
      <c r="H18" s="1066">
        <v>0.35</v>
      </c>
      <c r="I18" s="1066">
        <v>0.35</v>
      </c>
      <c r="J18" s="1066">
        <v>0.35</v>
      </c>
      <c r="K18" s="1066">
        <v>0.35</v>
      </c>
      <c r="L18" s="1067">
        <v>0.35</v>
      </c>
      <c r="M18" s="1066">
        <v>0.35</v>
      </c>
      <c r="N18" s="1066">
        <v>0.35</v>
      </c>
      <c r="O18" s="1066">
        <v>0.35</v>
      </c>
      <c r="P18" s="1066">
        <v>0.35</v>
      </c>
      <c r="Q18" s="1067">
        <v>0.35</v>
      </c>
      <c r="R18" s="1066">
        <v>0.35</v>
      </c>
      <c r="S18" s="1066">
        <v>0.35</v>
      </c>
      <c r="T18" s="1066">
        <v>0.35</v>
      </c>
      <c r="U18" s="1066">
        <v>0.35</v>
      </c>
      <c r="V18" s="1067">
        <v>0.35</v>
      </c>
      <c r="W18" s="1066">
        <v>0.35</v>
      </c>
      <c r="X18" s="1066">
        <v>0.35</v>
      </c>
      <c r="Y18" s="1066">
        <v>0.35</v>
      </c>
      <c r="Z18" s="1066">
        <v>0.35</v>
      </c>
      <c r="AA18" s="1067">
        <v>0.35</v>
      </c>
      <c r="AB18" s="1066">
        <v>0.35</v>
      </c>
      <c r="AC18" s="1066">
        <v>0.35</v>
      </c>
      <c r="AD18" s="1066">
        <v>0.35</v>
      </c>
      <c r="AE18" s="1066">
        <v>0.35</v>
      </c>
      <c r="AF18" s="1067">
        <v>0.35</v>
      </c>
      <c r="AG18" s="1066">
        <v>0.35</v>
      </c>
      <c r="AH18" s="1066">
        <v>0.35</v>
      </c>
      <c r="AI18" s="1066">
        <v>0.35</v>
      </c>
      <c r="AJ18" s="1066">
        <v>0.35</v>
      </c>
      <c r="AK18" s="1067">
        <v>0.35</v>
      </c>
      <c r="AL18" s="1066">
        <v>0.35</v>
      </c>
      <c r="AM18" s="1066">
        <v>0.35</v>
      </c>
      <c r="AN18" s="1066">
        <v>0.35</v>
      </c>
      <c r="AO18" s="1066">
        <v>0.35</v>
      </c>
      <c r="AP18" s="1067">
        <v>0.35</v>
      </c>
      <c r="AQ18" s="1066">
        <v>0.35</v>
      </c>
      <c r="AR18" s="1066">
        <v>0.35</v>
      </c>
      <c r="AS18" s="1066">
        <v>0.35</v>
      </c>
      <c r="AT18" s="1066">
        <v>0.35</v>
      </c>
      <c r="AU18" s="1067">
        <v>0.35</v>
      </c>
      <c r="AV18" s="1066">
        <v>0.35</v>
      </c>
      <c r="AW18" s="1066">
        <v>0.35</v>
      </c>
      <c r="AX18" s="1066">
        <v>0.35</v>
      </c>
      <c r="AY18" s="1066">
        <v>0.35</v>
      </c>
      <c r="AZ18" s="1067">
        <v>0.35</v>
      </c>
      <c r="BA18" s="1066">
        <v>0.35</v>
      </c>
      <c r="BB18" s="1066">
        <v>0.35</v>
      </c>
      <c r="BC18" s="1066">
        <v>0.35</v>
      </c>
      <c r="BD18" s="1066">
        <v>0.35</v>
      </c>
      <c r="BE18" s="1067">
        <v>0.35</v>
      </c>
      <c r="BF18" s="2826">
        <v>0.35</v>
      </c>
      <c r="BG18" s="1111">
        <v>0.35</v>
      </c>
      <c r="BH18" s="1111">
        <v>0.35</v>
      </c>
      <c r="BI18" s="2827">
        <v>0.35</v>
      </c>
      <c r="BJ18" s="1067">
        <v>0.35</v>
      </c>
      <c r="BK18" s="2826">
        <v>0.35</v>
      </c>
      <c r="BL18" s="1111">
        <v>0.35</v>
      </c>
      <c r="BM18" s="1111">
        <v>0.35</v>
      </c>
      <c r="BN18" s="2827">
        <v>0.35</v>
      </c>
      <c r="BO18" s="1067">
        <v>0.35</v>
      </c>
      <c r="BP18" s="2826">
        <v>0.35</v>
      </c>
      <c r="BQ18" s="1111">
        <v>0.35</v>
      </c>
      <c r="BR18" s="1111">
        <v>0.35</v>
      </c>
      <c r="BS18" s="2827">
        <v>0.35</v>
      </c>
      <c r="BT18" s="1067">
        <v>0.35</v>
      </c>
      <c r="BU18" s="1067">
        <v>0.35</v>
      </c>
      <c r="BV18" s="1067">
        <v>0.35</v>
      </c>
      <c r="BW18" s="1067">
        <v>0.35</v>
      </c>
      <c r="BX18" s="1067">
        <v>0.35</v>
      </c>
      <c r="BY18" s="1067">
        <v>0.35</v>
      </c>
      <c r="BZ18" s="1067">
        <v>0.35</v>
      </c>
      <c r="CA18" s="1067">
        <v>0.35</v>
      </c>
      <c r="CB18" s="1067">
        <v>0.35</v>
      </c>
    </row>
    <row r="19" spans="1:80" ht="12" customHeight="1">
      <c r="A19" s="2"/>
      <c r="B19" s="2"/>
      <c r="C19" s="2"/>
      <c r="D19" s="2"/>
      <c r="E19" s="2"/>
      <c r="F19" s="2"/>
      <c r="G19" s="112"/>
      <c r="H19" s="2"/>
      <c r="I19" s="2"/>
      <c r="J19" s="2"/>
      <c r="K19" s="2"/>
      <c r="L19" s="112"/>
      <c r="M19" s="2"/>
      <c r="N19" s="2"/>
      <c r="O19" s="2"/>
      <c r="P19" s="2"/>
      <c r="Q19" s="112"/>
      <c r="R19" s="2"/>
      <c r="S19" s="2"/>
      <c r="T19" s="2"/>
      <c r="U19" s="2"/>
      <c r="V19" s="112"/>
      <c r="W19" s="2"/>
      <c r="X19" s="2"/>
      <c r="Y19" s="2"/>
      <c r="Z19" s="2"/>
      <c r="AA19" s="112"/>
      <c r="AB19" s="2"/>
      <c r="AC19" s="2"/>
      <c r="AD19" s="2"/>
      <c r="AE19" s="2"/>
      <c r="AF19" s="112"/>
      <c r="AG19" s="2"/>
      <c r="AH19" s="2"/>
      <c r="AI19" s="2"/>
      <c r="AJ19" s="2"/>
      <c r="AK19" s="112"/>
      <c r="AL19" s="2"/>
      <c r="AM19" s="2"/>
      <c r="AN19" s="2"/>
      <c r="AO19" s="2"/>
      <c r="AP19" s="112"/>
      <c r="AQ19" s="2"/>
      <c r="AR19" s="2"/>
      <c r="AS19" s="2"/>
      <c r="AT19" s="2"/>
      <c r="AU19" s="112"/>
      <c r="AV19" s="2"/>
      <c r="AW19" s="2"/>
      <c r="AX19" s="2"/>
      <c r="AY19" s="2"/>
      <c r="AZ19" s="112"/>
      <c r="BA19" s="2"/>
      <c r="BB19" s="2"/>
      <c r="BC19" s="2"/>
      <c r="BD19" s="2"/>
      <c r="BE19" s="112"/>
      <c r="BF19" s="59"/>
      <c r="BG19" s="61"/>
      <c r="BH19" s="61"/>
      <c r="BI19" s="60"/>
      <c r="BJ19" s="112"/>
      <c r="BK19" s="59"/>
      <c r="BL19" s="61"/>
      <c r="BM19" s="61"/>
      <c r="BN19" s="60"/>
      <c r="BO19" s="112"/>
      <c r="BP19" s="59"/>
      <c r="BQ19" s="61"/>
      <c r="BR19" s="61"/>
      <c r="BS19" s="60"/>
      <c r="BT19" s="112"/>
      <c r="BU19" s="112"/>
      <c r="BV19" s="112"/>
      <c r="BW19" s="112"/>
      <c r="BX19" s="112"/>
      <c r="BY19" s="112"/>
      <c r="BZ19" s="112"/>
      <c r="CA19" s="112"/>
      <c r="CB19" s="112"/>
    </row>
    <row r="20" spans="1:80" ht="12" customHeight="1">
      <c r="A20" s="2" t="s">
        <v>1345</v>
      </c>
      <c r="B20" s="2"/>
      <c r="C20" s="1068">
        <v>3</v>
      </c>
      <c r="D20" s="1068">
        <v>3</v>
      </c>
      <c r="E20" s="1068">
        <v>3</v>
      </c>
      <c r="F20" s="1068">
        <v>3</v>
      </c>
      <c r="G20" s="1069">
        <v>3</v>
      </c>
      <c r="H20" s="1068">
        <v>3</v>
      </c>
      <c r="I20" s="1068">
        <v>3</v>
      </c>
      <c r="J20" s="1068">
        <v>3</v>
      </c>
      <c r="K20" s="1068">
        <v>3</v>
      </c>
      <c r="L20" s="1069">
        <v>3</v>
      </c>
      <c r="M20" s="1068">
        <v>3</v>
      </c>
      <c r="N20" s="1068">
        <v>3</v>
      </c>
      <c r="O20" s="1068">
        <v>3</v>
      </c>
      <c r="P20" s="1068">
        <v>3</v>
      </c>
      <c r="Q20" s="1069">
        <v>3</v>
      </c>
      <c r="R20" s="1068">
        <v>3</v>
      </c>
      <c r="S20" s="1068">
        <v>3</v>
      </c>
      <c r="T20" s="1068">
        <v>3</v>
      </c>
      <c r="U20" s="1068">
        <v>3</v>
      </c>
      <c r="V20" s="1069">
        <v>3</v>
      </c>
      <c r="W20" s="1068">
        <v>3</v>
      </c>
      <c r="X20" s="1068">
        <v>3</v>
      </c>
      <c r="Y20" s="1068">
        <v>3</v>
      </c>
      <c r="Z20" s="1068">
        <v>3</v>
      </c>
      <c r="AA20" s="1069">
        <v>3</v>
      </c>
      <c r="AB20" s="1068">
        <v>3</v>
      </c>
      <c r="AC20" s="1068">
        <v>3</v>
      </c>
      <c r="AD20" s="1068">
        <v>3</v>
      </c>
      <c r="AE20" s="1068">
        <v>3</v>
      </c>
      <c r="AF20" s="1069">
        <v>3</v>
      </c>
      <c r="AG20" s="1068">
        <v>3</v>
      </c>
      <c r="AH20" s="1068">
        <v>3</v>
      </c>
      <c r="AI20" s="1068">
        <v>3</v>
      </c>
      <c r="AJ20" s="1068">
        <v>3</v>
      </c>
      <c r="AK20" s="1069">
        <v>3</v>
      </c>
      <c r="AL20" s="1068">
        <v>3</v>
      </c>
      <c r="AM20" s="1068">
        <v>3</v>
      </c>
      <c r="AN20" s="1068">
        <v>3</v>
      </c>
      <c r="AO20" s="1068">
        <v>3</v>
      </c>
      <c r="AP20" s="1069">
        <v>3</v>
      </c>
      <c r="AQ20" s="1068">
        <v>3</v>
      </c>
      <c r="AR20" s="1068">
        <v>3</v>
      </c>
      <c r="AS20" s="1068">
        <v>3</v>
      </c>
      <c r="AT20" s="1068">
        <v>3</v>
      </c>
      <c r="AU20" s="1069">
        <v>3</v>
      </c>
      <c r="AV20" s="1068">
        <v>3</v>
      </c>
      <c r="AW20" s="1068">
        <v>3</v>
      </c>
      <c r="AX20" s="1068">
        <v>3</v>
      </c>
      <c r="AY20" s="1068">
        <v>3</v>
      </c>
      <c r="AZ20" s="1069">
        <v>3</v>
      </c>
      <c r="BA20" s="1068">
        <v>3</v>
      </c>
      <c r="BB20" s="1068">
        <v>3</v>
      </c>
      <c r="BC20" s="1068">
        <v>3</v>
      </c>
      <c r="BD20" s="1068">
        <v>3</v>
      </c>
      <c r="BE20" s="1069">
        <v>3</v>
      </c>
      <c r="BF20" s="2828">
        <v>3</v>
      </c>
      <c r="BG20" s="1070">
        <v>3</v>
      </c>
      <c r="BH20" s="1070">
        <v>3</v>
      </c>
      <c r="BI20" s="2829">
        <v>3</v>
      </c>
      <c r="BJ20" s="1069">
        <v>3</v>
      </c>
      <c r="BK20" s="2828">
        <v>3</v>
      </c>
      <c r="BL20" s="1070">
        <v>3</v>
      </c>
      <c r="BM20" s="1070">
        <v>3</v>
      </c>
      <c r="BN20" s="2829">
        <v>3</v>
      </c>
      <c r="BO20" s="1069">
        <v>3</v>
      </c>
      <c r="BP20" s="2828">
        <v>3</v>
      </c>
      <c r="BQ20" s="1070">
        <v>3</v>
      </c>
      <c r="BR20" s="1070">
        <v>3</v>
      </c>
      <c r="BS20" s="2829">
        <v>3</v>
      </c>
      <c r="BT20" s="1069">
        <v>3</v>
      </c>
      <c r="BU20" s="1069">
        <v>3</v>
      </c>
      <c r="BV20" s="1069">
        <v>3</v>
      </c>
      <c r="BW20" s="1069">
        <v>3</v>
      </c>
      <c r="BX20" s="1069">
        <v>3</v>
      </c>
      <c r="BY20" s="1069">
        <v>3</v>
      </c>
      <c r="BZ20" s="1069">
        <v>3</v>
      </c>
      <c r="CA20" s="1069">
        <v>3</v>
      </c>
      <c r="CB20" s="1069">
        <v>3</v>
      </c>
    </row>
    <row r="21" spans="1:80" ht="12" customHeight="1">
      <c r="A21" s="2"/>
      <c r="B21" s="2"/>
      <c r="C21" s="1070"/>
      <c r="D21" s="1070"/>
      <c r="E21" s="1070"/>
      <c r="F21" s="1070"/>
      <c r="G21" s="1069"/>
      <c r="H21" s="1070"/>
      <c r="I21" s="1070"/>
      <c r="J21" s="1070"/>
      <c r="K21" s="1070"/>
      <c r="L21" s="1069"/>
      <c r="M21" s="1070"/>
      <c r="N21" s="1070"/>
      <c r="O21" s="1070"/>
      <c r="P21" s="1070"/>
      <c r="Q21" s="1069"/>
      <c r="R21" s="1070"/>
      <c r="S21" s="1070"/>
      <c r="T21" s="1070"/>
      <c r="U21" s="1070"/>
      <c r="V21" s="1069"/>
      <c r="W21" s="1070"/>
      <c r="X21" s="1070"/>
      <c r="Y21" s="1070"/>
      <c r="Z21" s="1070"/>
      <c r="AA21" s="1069"/>
      <c r="AB21" s="1070"/>
      <c r="AC21" s="1070"/>
      <c r="AD21" s="1070"/>
      <c r="AE21" s="1070"/>
      <c r="AF21" s="1069"/>
      <c r="AG21" s="1070"/>
      <c r="AH21" s="1070"/>
      <c r="AI21" s="1070"/>
      <c r="AJ21" s="1070"/>
      <c r="AK21" s="1069"/>
      <c r="AL21" s="1070"/>
      <c r="AM21" s="1070"/>
      <c r="AN21" s="1070"/>
      <c r="AO21" s="1070"/>
      <c r="AP21" s="1069"/>
      <c r="AQ21" s="1070"/>
      <c r="AR21" s="1070"/>
      <c r="AS21" s="1070"/>
      <c r="AT21" s="1070"/>
      <c r="AU21" s="1069"/>
      <c r="AV21" s="1070"/>
      <c r="AW21" s="1070"/>
      <c r="AX21" s="1070"/>
      <c r="AY21" s="1070"/>
      <c r="AZ21" s="1069"/>
      <c r="BA21" s="1070"/>
      <c r="BB21" s="1070"/>
      <c r="BC21" s="1070"/>
      <c r="BD21" s="1070"/>
      <c r="BE21" s="1069"/>
      <c r="BF21" s="2828"/>
      <c r="BG21" s="1070"/>
      <c r="BH21" s="1070"/>
      <c r="BI21" s="2829"/>
      <c r="BJ21" s="1069"/>
      <c r="BK21" s="2828"/>
      <c r="BL21" s="1070"/>
      <c r="BM21" s="1070"/>
      <c r="BN21" s="2829"/>
      <c r="BO21" s="1069"/>
      <c r="BP21" s="2828"/>
      <c r="BQ21" s="1070"/>
      <c r="BR21" s="1070"/>
      <c r="BS21" s="2829"/>
      <c r="BT21" s="1069"/>
      <c r="BU21" s="1069"/>
      <c r="BV21" s="1069"/>
      <c r="BW21" s="1069"/>
      <c r="BX21" s="1069"/>
      <c r="BY21" s="1069"/>
      <c r="BZ21" s="1069"/>
      <c r="CA21" s="1069"/>
      <c r="CB21" s="1069"/>
    </row>
    <row r="22" spans="1:80" ht="12" customHeight="1">
      <c r="A22" s="2"/>
      <c r="B22" s="2"/>
      <c r="C22" s="1070"/>
      <c r="D22" s="1070"/>
      <c r="E22" s="1070"/>
      <c r="F22" s="1070"/>
      <c r="G22" s="1069"/>
      <c r="H22" s="1070"/>
      <c r="I22" s="1070"/>
      <c r="J22" s="1070"/>
      <c r="K22" s="1070"/>
      <c r="L22" s="1069"/>
      <c r="M22" s="1070"/>
      <c r="N22" s="1070"/>
      <c r="O22" s="1070"/>
      <c r="P22" s="1070"/>
      <c r="Q22" s="1069"/>
      <c r="R22" s="1070"/>
      <c r="S22" s="1070"/>
      <c r="T22" s="1070"/>
      <c r="U22" s="1070"/>
      <c r="V22" s="1069"/>
      <c r="W22" s="1070"/>
      <c r="X22" s="1070"/>
      <c r="Y22" s="1070"/>
      <c r="Z22" s="1070"/>
      <c r="AA22" s="1069"/>
      <c r="AB22" s="1070"/>
      <c r="AC22" s="1070"/>
      <c r="AD22" s="1070"/>
      <c r="AE22" s="1070"/>
      <c r="AF22" s="1069"/>
      <c r="AG22" s="1070"/>
      <c r="AH22" s="1070"/>
      <c r="AI22" s="1070"/>
      <c r="AJ22" s="1070"/>
      <c r="AK22" s="1069"/>
      <c r="AL22" s="1070"/>
      <c r="AM22" s="1070"/>
      <c r="AN22" s="1070"/>
      <c r="AO22" s="1070"/>
      <c r="AP22" s="1069"/>
      <c r="AQ22" s="1070"/>
      <c r="AR22" s="1070"/>
      <c r="AS22" s="1070"/>
      <c r="AT22" s="1070"/>
      <c r="AU22" s="1069"/>
      <c r="AV22" s="1070"/>
      <c r="AW22" s="1070"/>
      <c r="AX22" s="1070"/>
      <c r="AY22" s="1070"/>
      <c r="AZ22" s="1069"/>
      <c r="BA22" s="1070"/>
      <c r="BB22" s="1070"/>
      <c r="BC22" s="1070"/>
      <c r="BD22" s="1070"/>
      <c r="BE22" s="1069"/>
      <c r="BF22" s="2828"/>
      <c r="BG22" s="1070"/>
      <c r="BH22" s="1070"/>
      <c r="BI22" s="2829"/>
      <c r="BJ22" s="1069"/>
      <c r="BK22" s="2828"/>
      <c r="BL22" s="1070"/>
      <c r="BM22" s="1070"/>
      <c r="BN22" s="2829"/>
      <c r="BO22" s="1069"/>
      <c r="BP22" s="2828"/>
      <c r="BQ22" s="1070"/>
      <c r="BR22" s="1070"/>
      <c r="BS22" s="2829"/>
      <c r="BT22" s="1069"/>
      <c r="BU22" s="1069"/>
      <c r="BV22" s="1069"/>
      <c r="BW22" s="1069"/>
      <c r="BX22" s="1069"/>
      <c r="BY22" s="1069"/>
      <c r="BZ22" s="1069"/>
      <c r="CA22" s="1069"/>
      <c r="CB22" s="1069"/>
    </row>
    <row r="23" spans="1:80" ht="12" customHeight="1">
      <c r="A23" s="1071" t="s">
        <v>1190</v>
      </c>
      <c r="B23" s="1071"/>
      <c r="C23" s="1070"/>
      <c r="D23" s="1070"/>
      <c r="E23" s="1070"/>
      <c r="F23" s="1070"/>
      <c r="G23" s="1069"/>
      <c r="H23" s="1070"/>
      <c r="I23" s="1070"/>
      <c r="J23" s="1070"/>
      <c r="K23" s="1070"/>
      <c r="L23" s="1069"/>
      <c r="M23" s="1070"/>
      <c r="N23" s="1070"/>
      <c r="O23" s="1070"/>
      <c r="P23" s="1070"/>
      <c r="Q23" s="1069"/>
      <c r="R23" s="1070"/>
      <c r="S23" s="1070"/>
      <c r="T23" s="1070"/>
      <c r="U23" s="1070"/>
      <c r="V23" s="1069"/>
      <c r="W23" s="1070"/>
      <c r="X23" s="1070"/>
      <c r="Y23" s="1070"/>
      <c r="Z23" s="1070"/>
      <c r="AA23" s="1069"/>
      <c r="AB23" s="1070"/>
      <c r="AC23" s="1070"/>
      <c r="AD23" s="1070"/>
      <c r="AE23" s="1070"/>
      <c r="AF23" s="1069"/>
      <c r="AG23" s="1070"/>
      <c r="AH23" s="1070"/>
      <c r="AI23" s="1070"/>
      <c r="AJ23" s="1070"/>
      <c r="AK23" s="1069"/>
      <c r="AL23" s="1070"/>
      <c r="AM23" s="1070"/>
      <c r="AN23" s="1070"/>
      <c r="AO23" s="1070"/>
      <c r="AP23" s="1069"/>
      <c r="AQ23" s="1070"/>
      <c r="AR23" s="1070"/>
      <c r="AS23" s="1070"/>
      <c r="AT23" s="1070"/>
      <c r="AU23" s="1069"/>
      <c r="AV23" s="1070"/>
      <c r="AW23" s="1070"/>
      <c r="AX23" s="1070"/>
      <c r="AY23" s="1070"/>
      <c r="AZ23" s="1069"/>
      <c r="BA23" s="1070"/>
      <c r="BB23" s="1070"/>
      <c r="BC23" s="1070"/>
      <c r="BD23" s="1070"/>
      <c r="BE23" s="1069"/>
      <c r="BF23" s="2828"/>
      <c r="BG23" s="1070"/>
      <c r="BH23" s="1070"/>
      <c r="BI23" s="2829"/>
      <c r="BJ23" s="1069"/>
      <c r="BK23" s="2828"/>
      <c r="BL23" s="1070"/>
      <c r="BM23" s="1070"/>
      <c r="BN23" s="2829"/>
      <c r="BO23" s="1069"/>
      <c r="BP23" s="2828"/>
      <c r="BQ23" s="1070"/>
      <c r="BR23" s="1070"/>
      <c r="BS23" s="2829"/>
      <c r="BT23" s="1069"/>
      <c r="BU23" s="1069"/>
      <c r="BV23" s="1069"/>
      <c r="BW23" s="1069"/>
      <c r="BX23" s="1069"/>
      <c r="BY23" s="1069"/>
      <c r="BZ23" s="1069"/>
      <c r="CA23" s="1069"/>
      <c r="CB23" s="1069"/>
    </row>
    <row r="24" spans="1:80" ht="12" customHeight="1">
      <c r="A24" s="1062" t="s">
        <v>526</v>
      </c>
      <c r="B24" s="1062"/>
      <c r="C24" s="1072">
        <f>BYD!D433</f>
        <v>54.816000000000003</v>
      </c>
      <c r="D24" s="1072">
        <f>BYD!E433</f>
        <v>57.973999999999997</v>
      </c>
      <c r="E24" s="1072">
        <f>BYD!F433</f>
        <v>62.498474999999999</v>
      </c>
      <c r="F24" s="1072">
        <f>BYD!G433</f>
        <v>56.845999999999997</v>
      </c>
      <c r="G24" s="1073">
        <f>BYD!H433</f>
        <v>232.13447500000001</v>
      </c>
      <c r="H24" s="1072">
        <f>BYD!I433</f>
        <v>57.705307000000005</v>
      </c>
      <c r="I24" s="1072">
        <f>BYD!J433</f>
        <v>59.143371000000002</v>
      </c>
      <c r="J24" s="1072">
        <f>BYD!K433</f>
        <v>62.426977999999998</v>
      </c>
      <c r="K24" s="1072">
        <f>BYD!L433</f>
        <v>56.035558000000009</v>
      </c>
      <c r="L24" s="1073">
        <f>BYD!M433</f>
        <v>235.31121400000001</v>
      </c>
      <c r="M24" s="1072">
        <f>BYD!N433</f>
        <v>73.473472000000001</v>
      </c>
      <c r="N24" s="1072">
        <f>BYD!O433</f>
        <v>72.301164999999997</v>
      </c>
      <c r="O24" s="1072">
        <f>BYD!P433</f>
        <v>73.716367000000005</v>
      </c>
      <c r="P24" s="1072">
        <f>BYD!Q433</f>
        <v>69.689437999999996</v>
      </c>
      <c r="Q24" s="1073">
        <f>BYD!R433</f>
        <v>289.18044199999997</v>
      </c>
      <c r="R24" s="1072">
        <f>BYD!S433</f>
        <v>69.401630999999995</v>
      </c>
      <c r="S24" s="1072">
        <f>BYD!T433</f>
        <v>73.367698000000004</v>
      </c>
      <c r="T24" s="1072">
        <f>BYD!U433</f>
        <v>66.433080999999987</v>
      </c>
      <c r="U24" s="1072">
        <f>BYD!V433</f>
        <v>47.450358000000001</v>
      </c>
      <c r="V24" s="1073">
        <f>BYD!W433</f>
        <v>256.65276799999998</v>
      </c>
      <c r="W24" s="1072">
        <f>BYD!X433</f>
        <v>46.793619999999997</v>
      </c>
      <c r="X24" s="1072">
        <f>BYD!Y433</f>
        <v>48.062973</v>
      </c>
      <c r="Y24" s="1072">
        <f>BYD!Z433</f>
        <v>46.975391000000002</v>
      </c>
      <c r="Z24" s="1072">
        <f>BYD!AA433</f>
        <v>40.110660000000003</v>
      </c>
      <c r="AA24" s="1073">
        <f>BYD!AB433</f>
        <v>181.942644</v>
      </c>
      <c r="AB24" s="1072">
        <f>BYD!AC433</f>
        <v>48.477908999999997</v>
      </c>
      <c r="AC24" s="1072">
        <f>BYD!AD433</f>
        <v>50.6</v>
      </c>
      <c r="AD24" s="1072">
        <f>BYD!AE433</f>
        <v>46.5</v>
      </c>
      <c r="AE24" s="1072">
        <f>BYD!AF433</f>
        <v>42.1</v>
      </c>
      <c r="AF24" s="1073">
        <f>BYD!AG433</f>
        <v>187.677909</v>
      </c>
      <c r="AG24" s="402">
        <f>BYD!AH433</f>
        <v>43.1</v>
      </c>
      <c r="AH24" s="402">
        <f>BYD!AI433</f>
        <v>45.4</v>
      </c>
      <c r="AI24" s="402">
        <f>BYD!AJ433</f>
        <v>48.034393000000001</v>
      </c>
      <c r="AJ24" s="402">
        <f>BYD!AK433</f>
        <v>41.515867</v>
      </c>
      <c r="AK24" s="1073">
        <f>BYD!AL433</f>
        <v>178.05025999999998</v>
      </c>
      <c r="AL24" s="402">
        <f>BYD!AM433</f>
        <v>41.370007999999999</v>
      </c>
      <c r="AM24" s="402">
        <f>BYD!AN433</f>
        <v>43.953480999999996</v>
      </c>
      <c r="AN24" s="402">
        <f>BYD!AO433</f>
        <v>45.255792999999997</v>
      </c>
      <c r="AO24" s="402">
        <f>BYD!AP433</f>
        <v>42.215907000000001</v>
      </c>
      <c r="AP24" s="1073">
        <f>BYD!AQ433</f>
        <v>172.79518899999999</v>
      </c>
      <c r="AQ24" s="402">
        <f>BYD!AR433</f>
        <v>43.499965000000003</v>
      </c>
      <c r="AR24" s="402">
        <f>BYD!AS433</f>
        <v>44.150787999999999</v>
      </c>
      <c r="AS24" s="402">
        <f>BYD!AT433</f>
        <v>45.942748999999999</v>
      </c>
      <c r="AT24" s="402">
        <f>BYD!AU433</f>
        <v>41.409345999999999</v>
      </c>
      <c r="AU24" s="1073">
        <f>BYD!AV433</f>
        <v>175.002848</v>
      </c>
      <c r="AV24" s="402">
        <f>BYD!AW433</f>
        <v>39.872250000000001</v>
      </c>
      <c r="AW24" s="402">
        <f>BYD!AX433</f>
        <v>41.413056000000005</v>
      </c>
      <c r="AX24" s="402">
        <f>BYD!AY433</f>
        <v>40.667186000000001</v>
      </c>
      <c r="AY24" s="402">
        <f>BYD!AZ433</f>
        <v>37.757172999999995</v>
      </c>
      <c r="AZ24" s="1073">
        <f>BYD!BA433</f>
        <v>159.709665</v>
      </c>
      <c r="BA24" s="402">
        <f>BYD!BB433</f>
        <v>36.214482000000004</v>
      </c>
      <c r="BB24" s="402">
        <f>BYD!BC433</f>
        <v>40.035719999999998</v>
      </c>
      <c r="BC24" s="402">
        <f>BYD!BD433</f>
        <v>40.855370999999998</v>
      </c>
      <c r="BD24" s="402">
        <f>BYD!BE433</f>
        <v>38.884070000000001</v>
      </c>
      <c r="BE24" s="1073">
        <f>BYD!BF433</f>
        <v>155.989643</v>
      </c>
      <c r="BF24" s="2830">
        <f>BYD!BG433</f>
        <v>37.609932000000001</v>
      </c>
      <c r="BG24" s="402">
        <f>BYD!BH433</f>
        <v>40.151024</v>
      </c>
      <c r="BH24" s="402">
        <f>BYD!BI433</f>
        <v>41.628427000000002</v>
      </c>
      <c r="BI24" s="1121">
        <f>BYD!BJ433</f>
        <v>40.208072999999999</v>
      </c>
      <c r="BJ24" s="1073">
        <f>BYD!BK433</f>
        <v>159.59745599999999</v>
      </c>
      <c r="BK24" s="2830">
        <f>BYD!BL433</f>
        <v>40.122971</v>
      </c>
      <c r="BL24" s="402">
        <f>BYD!BM433</f>
        <v>40.098022</v>
      </c>
      <c r="BM24" s="402">
        <f>BYD!BN433</f>
        <v>41.5</v>
      </c>
      <c r="BN24" s="1121">
        <f>BYD!BO433</f>
        <v>37.832386999999997</v>
      </c>
      <c r="BO24" s="1073">
        <f>BYD!BP433</f>
        <v>159.55338</v>
      </c>
      <c r="BP24" s="2830">
        <f>BYD!BQ433</f>
        <v>40.027408999999999</v>
      </c>
      <c r="BQ24" s="402">
        <f>BYD!BR433</f>
        <v>40.156139000000003</v>
      </c>
      <c r="BR24" s="402">
        <f>BYD!BS433</f>
        <v>40.877817</v>
      </c>
      <c r="BS24" s="1121">
        <f>BYD!BT433</f>
        <v>37.321172000000004</v>
      </c>
      <c r="BT24" s="1073">
        <f>BYD!BU433</f>
        <v>158.38253700000001</v>
      </c>
      <c r="BU24" s="1073">
        <f>BYD!BZ433</f>
        <v>139.18513101000002</v>
      </c>
      <c r="BV24" s="1073">
        <f>BYD!CA433</f>
        <v>136.40142838980003</v>
      </c>
      <c r="BW24" s="1073">
        <f>BYD!CB433</f>
        <v>136.40142838980003</v>
      </c>
      <c r="BX24" s="1073">
        <f>BYD!CC433</f>
        <v>129.58135697031003</v>
      </c>
      <c r="BY24" s="1073">
        <f>BYD!CD433</f>
        <v>123.10228912179451</v>
      </c>
      <c r="BZ24" s="1073">
        <f>BYD!CE433</f>
        <v>125.56433490423041</v>
      </c>
      <c r="CA24" s="1073">
        <f>BYD!CF433</f>
        <v>128.07562160231501</v>
      </c>
      <c r="CB24" s="1073">
        <f>BYD!CG433</f>
        <v>130.63713403436131</v>
      </c>
    </row>
    <row r="25" spans="1:80" ht="12" customHeight="1">
      <c r="A25" s="2" t="s">
        <v>1350</v>
      </c>
      <c r="B25" s="2"/>
      <c r="C25" s="722">
        <v>654.00599999999997</v>
      </c>
      <c r="D25" s="722">
        <v>699.92200000000003</v>
      </c>
      <c r="E25" s="722">
        <v>768.01</v>
      </c>
      <c r="F25" s="722">
        <v>674.78499999999997</v>
      </c>
      <c r="G25" s="702">
        <f>SUM(C25:F25)</f>
        <v>2796.723</v>
      </c>
      <c r="H25" s="722">
        <v>684.62900000000002</v>
      </c>
      <c r="I25" s="722">
        <v>705.56700000000001</v>
      </c>
      <c r="J25" s="722">
        <v>721.08799999999997</v>
      </c>
      <c r="K25" s="722">
        <v>632.29499999999996</v>
      </c>
      <c r="L25" s="702">
        <f>SUM(H25:K25)</f>
        <v>2743.5789999999997</v>
      </c>
      <c r="M25" s="722">
        <v>885.904</v>
      </c>
      <c r="N25" s="722">
        <v>876.721</v>
      </c>
      <c r="O25" s="722">
        <v>889.08600000000001</v>
      </c>
      <c r="P25" s="722">
        <v>805.678</v>
      </c>
      <c r="Q25" s="702">
        <f>SUM(M25:P25)</f>
        <v>3457.3890000000001</v>
      </c>
      <c r="R25" s="722">
        <v>771.875</v>
      </c>
      <c r="S25" s="722">
        <v>818.00699999999995</v>
      </c>
      <c r="T25" s="722">
        <v>787.55700000000002</v>
      </c>
      <c r="U25" s="722">
        <v>550.81700000000001</v>
      </c>
      <c r="V25" s="702">
        <f>SUM(R25:U25)</f>
        <v>2928.2560000000003</v>
      </c>
      <c r="W25" s="1074">
        <v>529.93399999999997</v>
      </c>
      <c r="X25" s="1074">
        <v>568.90499999999997</v>
      </c>
      <c r="Y25" s="1074">
        <v>583.61300000000006</v>
      </c>
      <c r="Z25" s="1075">
        <f>U25*(1+Z26)</f>
        <v>468.19445000000002</v>
      </c>
      <c r="AA25" s="702">
        <f>SUM(W25:Z25)</f>
        <v>2150.6464500000002</v>
      </c>
      <c r="AB25" s="1075">
        <f>W25*(1+AB26)</f>
        <v>556.4307</v>
      </c>
      <c r="AC25" s="1075">
        <f>X25*(1+AC26)</f>
        <v>597.35024999999996</v>
      </c>
      <c r="AD25" s="1075">
        <f>Y25*(1+AD26)</f>
        <v>612.79365000000007</v>
      </c>
      <c r="AE25" s="1075">
        <f>Z25*(1+AE26)</f>
        <v>491.60417250000006</v>
      </c>
      <c r="AF25" s="702">
        <f>SUM(AB25:AE25)</f>
        <v>2258.1787724999999</v>
      </c>
      <c r="AG25" s="703">
        <f t="shared" ref="AG25:AP25" si="1">AB25*(1+AG26)</f>
        <v>561.43857629999991</v>
      </c>
      <c r="AH25" s="703">
        <f t="shared" si="1"/>
        <v>602.72640224999986</v>
      </c>
      <c r="AI25" s="703">
        <f t="shared" si="1"/>
        <v>618.30879285000003</v>
      </c>
      <c r="AJ25" s="703">
        <f t="shared" si="1"/>
        <v>496.02861005250003</v>
      </c>
      <c r="AK25" s="1076">
        <f t="shared" si="1"/>
        <v>2278.5023814524998</v>
      </c>
      <c r="AL25" s="703">
        <f t="shared" si="1"/>
        <v>566.49152348669986</v>
      </c>
      <c r="AM25" s="703">
        <f t="shared" si="1"/>
        <v>608.15093987024977</v>
      </c>
      <c r="AN25" s="703">
        <f t="shared" si="1"/>
        <v>623.87357198564996</v>
      </c>
      <c r="AO25" s="703">
        <f t="shared" si="1"/>
        <v>500.49286754297248</v>
      </c>
      <c r="AP25" s="1077">
        <f t="shared" si="1"/>
        <v>2299.0089028855718</v>
      </c>
      <c r="AQ25" s="703">
        <f t="shared" ref="AQ25:BE25" si="2">AL25*(1+AQ26)</f>
        <v>571.58994719808015</v>
      </c>
      <c r="AR25" s="703">
        <f t="shared" si="2"/>
        <v>613.62429832908197</v>
      </c>
      <c r="AS25" s="703">
        <f t="shared" si="2"/>
        <v>629.48843413352074</v>
      </c>
      <c r="AT25" s="703">
        <f t="shared" si="2"/>
        <v>504.99730335085917</v>
      </c>
      <c r="AU25" s="1077">
        <f t="shared" si="2"/>
        <v>2319.6999830115419</v>
      </c>
      <c r="AV25" s="703">
        <f t="shared" si="2"/>
        <v>576.73425672286282</v>
      </c>
      <c r="AW25" s="703">
        <f t="shared" si="2"/>
        <v>619.14691701404365</v>
      </c>
      <c r="AX25" s="703">
        <f t="shared" si="2"/>
        <v>635.15383004072237</v>
      </c>
      <c r="AY25" s="703">
        <f t="shared" si="2"/>
        <v>509.54227908101683</v>
      </c>
      <c r="AZ25" s="1077">
        <f t="shared" si="2"/>
        <v>2340.5772828586455</v>
      </c>
      <c r="BA25" s="703">
        <f t="shared" si="2"/>
        <v>581.92486503336852</v>
      </c>
      <c r="BB25" s="703">
        <f t="shared" si="2"/>
        <v>624.71923926717</v>
      </c>
      <c r="BC25" s="703">
        <f t="shared" si="2"/>
        <v>640.87021451108876</v>
      </c>
      <c r="BD25" s="703">
        <f t="shared" si="2"/>
        <v>514.12815959274587</v>
      </c>
      <c r="BE25" s="1077">
        <f t="shared" si="2"/>
        <v>2361.6424784043729</v>
      </c>
      <c r="BF25" s="2817">
        <f t="shared" ref="BF25:BO25" si="3">BA25*(1+BF26)</f>
        <v>587.16218881866882</v>
      </c>
      <c r="BG25" s="703">
        <f t="shared" si="3"/>
        <v>630.34171242057448</v>
      </c>
      <c r="BH25" s="703">
        <f t="shared" si="3"/>
        <v>646.63804644168852</v>
      </c>
      <c r="BI25" s="1872">
        <f t="shared" si="3"/>
        <v>518.75531302908053</v>
      </c>
      <c r="BJ25" s="1077">
        <f t="shared" si="3"/>
        <v>2382.8972607100122</v>
      </c>
      <c r="BK25" s="2817">
        <f t="shared" si="3"/>
        <v>592.4466485180368</v>
      </c>
      <c r="BL25" s="703">
        <f t="shared" si="3"/>
        <v>636.01478783235962</v>
      </c>
      <c r="BM25" s="703">
        <f t="shared" si="3"/>
        <v>652.45778885966365</v>
      </c>
      <c r="BN25" s="1872">
        <f t="shared" si="3"/>
        <v>523.42411084634216</v>
      </c>
      <c r="BO25" s="1077">
        <f t="shared" si="3"/>
        <v>2404.3433360564022</v>
      </c>
      <c r="BP25" s="2817">
        <f>BK25*(1+BP26)</f>
        <v>597.77866835469911</v>
      </c>
      <c r="BQ25" s="703">
        <f>BL25*(1+BQ26)</f>
        <v>641.73892092285075</v>
      </c>
      <c r="BR25" s="703">
        <f>BM25*(1+BR26)</f>
        <v>658.32990895940054</v>
      </c>
      <c r="BS25" s="1872">
        <f>BN25*(1+BS26)</f>
        <v>528.13492784395919</v>
      </c>
      <c r="BT25" s="1077">
        <f>BO25*(1+BT26)</f>
        <v>2425.9824260809096</v>
      </c>
      <c r="BU25" s="1077">
        <f t="shared" ref="BU25:CB25" si="4">BT25*(1+BU26)</f>
        <v>2447.8162679156376</v>
      </c>
      <c r="BV25" s="1077">
        <f t="shared" si="4"/>
        <v>2469.8466143268779</v>
      </c>
      <c r="BW25" s="1077">
        <f t="shared" si="4"/>
        <v>2492.0752338558195</v>
      </c>
      <c r="BX25" s="1077">
        <f t="shared" si="4"/>
        <v>2514.5039109605218</v>
      </c>
      <c r="BY25" s="1077">
        <f t="shared" si="4"/>
        <v>2537.1344461591661</v>
      </c>
      <c r="BZ25" s="1077">
        <f t="shared" si="4"/>
        <v>2559.9686561745984</v>
      </c>
      <c r="CA25" s="1077">
        <f t="shared" si="4"/>
        <v>2583.0083740801697</v>
      </c>
      <c r="CB25" s="1077">
        <f t="shared" si="4"/>
        <v>2606.2554494468909</v>
      </c>
    </row>
    <row r="26" spans="1:80" ht="12" customHeight="1">
      <c r="A26" s="1078" t="s">
        <v>525</v>
      </c>
      <c r="B26" s="1078"/>
      <c r="C26" s="592"/>
      <c r="D26" s="592"/>
      <c r="E26" s="592"/>
      <c r="F26" s="592"/>
      <c r="G26" s="594"/>
      <c r="H26" s="592">
        <f t="shared" ref="H26:N26" si="5">H25/C25-1</f>
        <v>4.6823729445907292E-2</v>
      </c>
      <c r="I26" s="592">
        <f t="shared" si="5"/>
        <v>8.0651844062624711E-3</v>
      </c>
      <c r="J26" s="592">
        <f t="shared" si="5"/>
        <v>-6.1095558651580117E-2</v>
      </c>
      <c r="K26" s="592">
        <f t="shared" si="5"/>
        <v>-6.2968204687418927E-2</v>
      </c>
      <c r="L26" s="594">
        <f>L25/G25-1</f>
        <v>-1.9002239406619936E-2</v>
      </c>
      <c r="M26" s="592">
        <f t="shared" si="5"/>
        <v>0.29399134421708695</v>
      </c>
      <c r="N26" s="592">
        <f t="shared" si="5"/>
        <v>0.24257653773489962</v>
      </c>
      <c r="O26" s="592">
        <f t="shared" ref="O26:W26" si="6">O25/J25-1</f>
        <v>0.23297849915682978</v>
      </c>
      <c r="P26" s="592">
        <f t="shared" si="6"/>
        <v>0.27421219525696072</v>
      </c>
      <c r="Q26" s="594">
        <f t="shared" si="6"/>
        <v>0.26017475713292759</v>
      </c>
      <c r="R26" s="592">
        <f t="shared" si="6"/>
        <v>-0.12871484946450185</v>
      </c>
      <c r="S26" s="592">
        <f t="shared" si="6"/>
        <v>-6.6969993874904432E-2</v>
      </c>
      <c r="T26" s="592">
        <f t="shared" si="6"/>
        <v>-0.11419480230258938</v>
      </c>
      <c r="U26" s="592">
        <f t="shared" si="6"/>
        <v>-0.31633109008809968</v>
      </c>
      <c r="V26" s="594">
        <f t="shared" si="6"/>
        <v>-0.15304410351279529</v>
      </c>
      <c r="W26" s="592">
        <f t="shared" si="6"/>
        <v>-0.3134458299595142</v>
      </c>
      <c r="X26" s="592">
        <f>X25/S25-1</f>
        <v>-0.30452306642852689</v>
      </c>
      <c r="Y26" s="592">
        <f>Y25/T25-1</f>
        <v>-0.25895776432689943</v>
      </c>
      <c r="Z26" s="1079">
        <v>-0.15</v>
      </c>
      <c r="AA26" s="594">
        <f>AA25/V25-1</f>
        <v>-0.26555381428399705</v>
      </c>
      <c r="AB26" s="1079">
        <v>0.05</v>
      </c>
      <c r="AC26" s="1079">
        <v>0.05</v>
      </c>
      <c r="AD26" s="1079">
        <v>0.05</v>
      </c>
      <c r="AE26" s="1079">
        <v>0.05</v>
      </c>
      <c r="AF26" s="594">
        <f>AF25/AA25-1</f>
        <v>4.9999999999999822E-2</v>
      </c>
      <c r="AG26" s="303">
        <v>8.9999999999999993E-3</v>
      </c>
      <c r="AH26" s="303">
        <v>8.9999999999999993E-3</v>
      </c>
      <c r="AI26" s="303">
        <v>8.9999999999999993E-3</v>
      </c>
      <c r="AJ26" s="303">
        <v>8.9999999999999993E-3</v>
      </c>
      <c r="AK26" s="569">
        <v>8.9999999999999993E-3</v>
      </c>
      <c r="AL26" s="303">
        <v>8.9999999999999993E-3</v>
      </c>
      <c r="AM26" s="303">
        <v>8.9999999999999993E-3</v>
      </c>
      <c r="AN26" s="303">
        <v>8.9999999999999993E-3</v>
      </c>
      <c r="AO26" s="303">
        <v>8.9999999999999993E-3</v>
      </c>
      <c r="AP26" s="1080">
        <v>8.9999999999999993E-3</v>
      </c>
      <c r="AQ26" s="303">
        <v>8.9999999999999993E-3</v>
      </c>
      <c r="AR26" s="303">
        <v>8.9999999999999993E-3</v>
      </c>
      <c r="AS26" s="303">
        <v>8.9999999999999993E-3</v>
      </c>
      <c r="AT26" s="303">
        <v>8.9999999999999993E-3</v>
      </c>
      <c r="AU26" s="1080">
        <v>8.9999999999999993E-3</v>
      </c>
      <c r="AV26" s="303">
        <v>8.9999999999999993E-3</v>
      </c>
      <c r="AW26" s="303">
        <v>8.9999999999999993E-3</v>
      </c>
      <c r="AX26" s="303">
        <v>8.9999999999999993E-3</v>
      </c>
      <c r="AY26" s="303">
        <v>8.9999999999999993E-3</v>
      </c>
      <c r="AZ26" s="1080">
        <v>8.9999999999999993E-3</v>
      </c>
      <c r="BA26" s="303">
        <v>8.9999999999999993E-3</v>
      </c>
      <c r="BB26" s="303">
        <v>8.9999999999999993E-3</v>
      </c>
      <c r="BC26" s="303">
        <v>8.9999999999999993E-3</v>
      </c>
      <c r="BD26" s="303">
        <v>8.9999999999999993E-3</v>
      </c>
      <c r="BE26" s="1080">
        <v>8.9999999999999993E-3</v>
      </c>
      <c r="BF26" s="2831">
        <v>8.9999999999999993E-3</v>
      </c>
      <c r="BG26" s="1079">
        <v>8.9999999999999993E-3</v>
      </c>
      <c r="BH26" s="1079">
        <v>8.9999999999999993E-3</v>
      </c>
      <c r="BI26" s="2832">
        <v>8.9999999999999993E-3</v>
      </c>
      <c r="BJ26" s="1080">
        <v>8.9999999999999993E-3</v>
      </c>
      <c r="BK26" s="2831">
        <v>8.9999999999999993E-3</v>
      </c>
      <c r="BL26" s="1079">
        <v>8.9999999999999993E-3</v>
      </c>
      <c r="BM26" s="1079">
        <v>8.9999999999999993E-3</v>
      </c>
      <c r="BN26" s="2832">
        <v>8.9999999999999993E-3</v>
      </c>
      <c r="BO26" s="1080">
        <v>8.9999999999999993E-3</v>
      </c>
      <c r="BP26" s="2831">
        <v>8.9999999999999993E-3</v>
      </c>
      <c r="BQ26" s="1079">
        <v>8.9999999999999993E-3</v>
      </c>
      <c r="BR26" s="1079">
        <v>8.9999999999999993E-3</v>
      </c>
      <c r="BS26" s="2832">
        <v>8.9999999999999993E-3</v>
      </c>
      <c r="BT26" s="1080">
        <v>8.9999999999999993E-3</v>
      </c>
      <c r="BU26" s="1080">
        <v>8.9999999999999993E-3</v>
      </c>
      <c r="BV26" s="1080">
        <v>8.9999999999999993E-3</v>
      </c>
      <c r="BW26" s="1080">
        <v>8.9999999999999993E-3</v>
      </c>
      <c r="BX26" s="1080">
        <v>8.9999999999999993E-3</v>
      </c>
      <c r="BY26" s="1080">
        <v>8.9999999999999993E-3</v>
      </c>
      <c r="BZ26" s="1080">
        <v>8.9999999999999993E-3</v>
      </c>
      <c r="CA26" s="1080">
        <v>8.9999999999999993E-3</v>
      </c>
      <c r="CB26" s="1080">
        <v>8.9999999999999993E-3</v>
      </c>
    </row>
    <row r="27" spans="1:80" ht="12" customHeight="1">
      <c r="A27" s="2"/>
      <c r="B27" s="2"/>
      <c r="C27" s="292"/>
      <c r="D27" s="292"/>
      <c r="E27" s="292"/>
      <c r="F27" s="292"/>
      <c r="G27" s="1081"/>
      <c r="H27" s="292"/>
      <c r="I27" s="292"/>
      <c r="J27" s="292"/>
      <c r="K27" s="292"/>
      <c r="L27" s="1081"/>
      <c r="M27" s="292"/>
      <c r="N27" s="292"/>
      <c r="O27" s="292"/>
      <c r="P27" s="292"/>
      <c r="Q27" s="1081"/>
      <c r="R27" s="292"/>
      <c r="S27" s="292"/>
      <c r="T27" s="292"/>
      <c r="U27" s="292"/>
      <c r="V27" s="1081"/>
      <c r="W27" s="292"/>
      <c r="X27" s="292"/>
      <c r="Y27" s="292"/>
      <c r="Z27" s="292"/>
      <c r="AA27" s="1081"/>
      <c r="AB27" s="292"/>
      <c r="AC27" s="292"/>
      <c r="AD27" s="292"/>
      <c r="AE27" s="292"/>
      <c r="AF27" s="1081"/>
      <c r="AG27" s="292"/>
      <c r="AH27" s="292"/>
      <c r="AI27" s="292"/>
      <c r="AJ27" s="292"/>
      <c r="AK27" s="1081"/>
      <c r="AL27" s="292"/>
      <c r="AM27" s="292"/>
      <c r="AN27" s="292"/>
      <c r="AO27" s="292"/>
      <c r="AP27" s="1081"/>
      <c r="AQ27" s="292"/>
      <c r="AR27" s="292"/>
      <c r="AS27" s="292"/>
      <c r="AT27" s="292"/>
      <c r="AU27" s="1081"/>
      <c r="AV27" s="292"/>
      <c r="AW27" s="292"/>
      <c r="AX27" s="292"/>
      <c r="AY27" s="292"/>
      <c r="AZ27" s="1081"/>
      <c r="BA27" s="292"/>
      <c r="BB27" s="292"/>
      <c r="BC27" s="292"/>
      <c r="BD27" s="292"/>
      <c r="BE27" s="1081"/>
      <c r="BF27" s="2833"/>
      <c r="BG27" s="292"/>
      <c r="BH27" s="292"/>
      <c r="BI27" s="1112"/>
      <c r="BJ27" s="1081"/>
      <c r="BK27" s="2833"/>
      <c r="BL27" s="292"/>
      <c r="BM27" s="292"/>
      <c r="BN27" s="1112"/>
      <c r="BO27" s="1081"/>
      <c r="BP27" s="2833"/>
      <c r="BQ27" s="292"/>
      <c r="BR27" s="292"/>
      <c r="BS27" s="1112"/>
      <c r="BT27" s="1081"/>
      <c r="BU27" s="1081"/>
      <c r="BV27" s="1081"/>
      <c r="BW27" s="1081"/>
      <c r="BX27" s="1081"/>
      <c r="BY27" s="1081"/>
      <c r="BZ27" s="1081"/>
      <c r="CA27" s="1081"/>
      <c r="CB27" s="1081"/>
    </row>
    <row r="28" spans="1:80" ht="12" customHeight="1">
      <c r="A28" s="2" t="s">
        <v>1346</v>
      </c>
      <c r="B28" s="2"/>
      <c r="C28" s="61"/>
      <c r="D28" s="61"/>
      <c r="E28" s="61"/>
      <c r="F28" s="61"/>
      <c r="G28" s="146"/>
      <c r="H28" s="61"/>
      <c r="I28" s="61"/>
      <c r="J28" s="61"/>
      <c r="K28" s="61"/>
      <c r="L28" s="112"/>
      <c r="M28" s="61"/>
      <c r="N28" s="61"/>
      <c r="O28" s="61"/>
      <c r="P28" s="61"/>
      <c r="Q28" s="112"/>
      <c r="R28" s="61"/>
      <c r="S28" s="61"/>
      <c r="T28" s="61"/>
      <c r="U28" s="61"/>
      <c r="V28" s="112"/>
      <c r="W28" s="61"/>
      <c r="X28" s="61"/>
      <c r="Y28" s="61"/>
      <c r="Z28" s="61"/>
      <c r="AA28" s="112"/>
      <c r="AB28" s="61"/>
      <c r="AC28" s="61"/>
      <c r="AD28" s="61"/>
      <c r="AE28" s="61"/>
      <c r="AF28" s="112"/>
      <c r="AG28" s="61"/>
      <c r="AH28" s="61"/>
      <c r="AI28" s="61"/>
      <c r="AJ28" s="61"/>
      <c r="AK28" s="112"/>
      <c r="AL28" s="61"/>
      <c r="AM28" s="61"/>
      <c r="AN28" s="61"/>
      <c r="AO28" s="61"/>
      <c r="AP28" s="112"/>
      <c r="AQ28" s="61"/>
      <c r="AR28" s="61"/>
      <c r="AS28" s="61"/>
      <c r="AT28" s="61"/>
      <c r="AU28" s="112"/>
      <c r="AV28" s="61"/>
      <c r="AW28" s="61"/>
      <c r="AX28" s="61"/>
      <c r="AY28" s="61"/>
      <c r="AZ28" s="112"/>
      <c r="BA28" s="61"/>
      <c r="BB28" s="61"/>
      <c r="BC28" s="61"/>
      <c r="BD28" s="61"/>
      <c r="BE28" s="112"/>
      <c r="BF28" s="59"/>
      <c r="BG28" s="61"/>
      <c r="BH28" s="61"/>
      <c r="BI28" s="60"/>
      <c r="BJ28" s="112"/>
      <c r="BK28" s="59"/>
      <c r="BL28" s="61"/>
      <c r="BM28" s="61"/>
      <c r="BN28" s="60"/>
      <c r="BO28" s="112"/>
      <c r="BP28" s="59"/>
      <c r="BQ28" s="61"/>
      <c r="BR28" s="61"/>
      <c r="BS28" s="60"/>
      <c r="BT28" s="112"/>
      <c r="BU28" s="112"/>
      <c r="BV28" s="112"/>
      <c r="BW28" s="112"/>
      <c r="BX28" s="112"/>
      <c r="BY28" s="112"/>
      <c r="BZ28" s="112"/>
      <c r="CA28" s="112"/>
      <c r="CB28" s="112"/>
    </row>
    <row r="29" spans="1:80" ht="12" customHeight="1">
      <c r="A29" s="176" t="s">
        <v>1347</v>
      </c>
      <c r="B29" s="176"/>
      <c r="C29" s="402">
        <f t="shared" ref="C29:F33" si="7">$G29/4</f>
        <v>0.9375</v>
      </c>
      <c r="D29" s="402">
        <f t="shared" si="7"/>
        <v>0.9375</v>
      </c>
      <c r="E29" s="402">
        <f t="shared" si="7"/>
        <v>0.9375</v>
      </c>
      <c r="F29" s="402">
        <f t="shared" si="7"/>
        <v>0.9375</v>
      </c>
      <c r="G29" s="1073">
        <f>IF(G24&gt;0, MIN(G7,G24)*G14,0)</f>
        <v>3.75</v>
      </c>
      <c r="H29" s="402">
        <f t="shared" ref="H29:J33" si="8">$L29/4</f>
        <v>0.9375</v>
      </c>
      <c r="I29" s="402">
        <f t="shared" si="8"/>
        <v>0.9375</v>
      </c>
      <c r="J29" s="402">
        <f t="shared" si="8"/>
        <v>0.9375</v>
      </c>
      <c r="K29" s="402">
        <f>$L29/4</f>
        <v>0.9375</v>
      </c>
      <c r="L29" s="1073">
        <f>IF(L24&gt;0, MIN(L7,L24)*L14,0)</f>
        <v>3.75</v>
      </c>
      <c r="M29" s="402">
        <f>$Q29/4</f>
        <v>0.9375</v>
      </c>
      <c r="N29" s="402">
        <f t="shared" ref="N29:P33" si="9">$Q29/4</f>
        <v>0.9375</v>
      </c>
      <c r="O29" s="402">
        <f t="shared" si="9"/>
        <v>0.9375</v>
      </c>
      <c r="P29" s="402">
        <f t="shared" si="9"/>
        <v>0.9375</v>
      </c>
      <c r="Q29" s="1073">
        <f>IF(Q24&gt;0, MIN(Q7,Q24)*Q14,0)</f>
        <v>3.75</v>
      </c>
      <c r="R29" s="402">
        <f t="shared" ref="R29:U33" si="10">$V29/4</f>
        <v>0.9375</v>
      </c>
      <c r="S29" s="402">
        <f t="shared" si="10"/>
        <v>0.9375</v>
      </c>
      <c r="T29" s="402">
        <f t="shared" si="10"/>
        <v>0.9375</v>
      </c>
      <c r="U29" s="402">
        <f t="shared" si="10"/>
        <v>0.9375</v>
      </c>
      <c r="V29" s="1073">
        <f>IF(V24&gt;0, MIN(V7,V24)*V14,0)</f>
        <v>3.75</v>
      </c>
      <c r="W29" s="402">
        <f t="shared" ref="W29:Z33" si="11">$AA29/4</f>
        <v>0.9375</v>
      </c>
      <c r="X29" s="402">
        <f t="shared" si="11"/>
        <v>0.9375</v>
      </c>
      <c r="Y29" s="402">
        <f t="shared" si="11"/>
        <v>0.9375</v>
      </c>
      <c r="Z29" s="402">
        <f t="shared" si="11"/>
        <v>0.9375</v>
      </c>
      <c r="AA29" s="1073">
        <f>IF(AA24&gt;0, MIN(AA7,AA24)*AA14,0)</f>
        <v>3.75</v>
      </c>
      <c r="AB29" s="402">
        <f>$AF29/4</f>
        <v>0.9375</v>
      </c>
      <c r="AC29" s="402">
        <f t="shared" ref="AC29:AE33" si="12">$AF29/4</f>
        <v>0.9375</v>
      </c>
      <c r="AD29" s="402">
        <f t="shared" si="12"/>
        <v>0.9375</v>
      </c>
      <c r="AE29" s="402">
        <f t="shared" si="12"/>
        <v>0.9375</v>
      </c>
      <c r="AF29" s="1073">
        <f>IF(AF24&gt;0, MIN(AF7,AF24)*AF14,0)</f>
        <v>3.75</v>
      </c>
      <c r="AG29" s="402">
        <f>$AK29/4</f>
        <v>0.9375</v>
      </c>
      <c r="AH29" s="402">
        <f t="shared" ref="AH29:AJ33" si="13">$AK29/4</f>
        <v>0.9375</v>
      </c>
      <c r="AI29" s="402">
        <f t="shared" si="13"/>
        <v>0.9375</v>
      </c>
      <c r="AJ29" s="402">
        <f t="shared" si="13"/>
        <v>0.9375</v>
      </c>
      <c r="AK29" s="1073">
        <f>IF(AK24&gt;0, MIN(AK7,AK24)*AK14,0)</f>
        <v>3.75</v>
      </c>
      <c r="AL29" s="402">
        <f t="shared" ref="AL29:AO33" si="14">$AP29/4</f>
        <v>0.9375</v>
      </c>
      <c r="AM29" s="402">
        <f t="shared" si="14"/>
        <v>0.9375</v>
      </c>
      <c r="AN29" s="402">
        <f t="shared" si="14"/>
        <v>0.9375</v>
      </c>
      <c r="AO29" s="402">
        <f t="shared" si="14"/>
        <v>0.9375</v>
      </c>
      <c r="AP29" s="1073">
        <f>IF(AP24&gt;0, MIN(AP7,AP24)*AP14,0)</f>
        <v>3.75</v>
      </c>
      <c r="AQ29" s="402">
        <f t="shared" ref="AQ29:AT33" si="15">$AU29/4</f>
        <v>0.9375</v>
      </c>
      <c r="AR29" s="402">
        <f t="shared" si="15"/>
        <v>0.9375</v>
      </c>
      <c r="AS29" s="402">
        <f t="shared" si="15"/>
        <v>0.9375</v>
      </c>
      <c r="AT29" s="402">
        <f t="shared" si="15"/>
        <v>0.9375</v>
      </c>
      <c r="AU29" s="1073">
        <f>IF(AU24&gt;0, MIN(AU7,AU24)*AU14,0)</f>
        <v>3.75</v>
      </c>
      <c r="AV29" s="402">
        <f>$AZ29/4</f>
        <v>0.9375</v>
      </c>
      <c r="AW29" s="402">
        <f t="shared" ref="AW29:AY33" si="16">$AZ29/4</f>
        <v>0.9375</v>
      </c>
      <c r="AX29" s="402">
        <f t="shared" si="16"/>
        <v>0.9375</v>
      </c>
      <c r="AY29" s="402">
        <f t="shared" si="16"/>
        <v>0.9375</v>
      </c>
      <c r="AZ29" s="1073">
        <f>IF(AZ24&gt;0, MIN(AZ7,AZ24)*AZ14,0)</f>
        <v>3.75</v>
      </c>
      <c r="BA29" s="402">
        <f>$BE29/4</f>
        <v>0.9375</v>
      </c>
      <c r="BB29" s="402">
        <f t="shared" ref="BB29:BD33" si="17">$BE29/4</f>
        <v>0.9375</v>
      </c>
      <c r="BC29" s="402">
        <f t="shared" si="17"/>
        <v>0.9375</v>
      </c>
      <c r="BD29" s="402">
        <f t="shared" si="17"/>
        <v>0.9375</v>
      </c>
      <c r="BE29" s="1073">
        <f>IF(BE24&gt;0, MIN(BE7,BE24)*BE14,0)</f>
        <v>3.75</v>
      </c>
      <c r="BF29" s="2830">
        <f t="shared" ref="BF29:BI33" si="18">$BJ29/4</f>
        <v>0.9375</v>
      </c>
      <c r="BG29" s="402">
        <f t="shared" si="18"/>
        <v>0.9375</v>
      </c>
      <c r="BH29" s="402">
        <f t="shared" si="18"/>
        <v>0.9375</v>
      </c>
      <c r="BI29" s="1121">
        <f t="shared" si="18"/>
        <v>0.9375</v>
      </c>
      <c r="BJ29" s="1073">
        <f>IF(BJ24&gt;0, MIN(BJ7,BJ24)*BJ14,0)</f>
        <v>3.75</v>
      </c>
      <c r="BK29" s="2877">
        <f>$BO29/4</f>
        <v>0.9375</v>
      </c>
      <c r="BL29" s="402">
        <f t="shared" ref="BL29:BN33" si="19">$BO29/4</f>
        <v>0.9375</v>
      </c>
      <c r="BM29" s="402">
        <f t="shared" si="19"/>
        <v>0.9375</v>
      </c>
      <c r="BN29" s="1121">
        <f t="shared" si="19"/>
        <v>0.9375</v>
      </c>
      <c r="BO29" s="1073">
        <f t="shared" ref="BO29:CB29" si="20">IF(BO24&gt;0, MIN(BO7,BO24)*BO14,0)</f>
        <v>3.75</v>
      </c>
      <c r="BP29" s="2877">
        <f>$BO29/4</f>
        <v>0.9375</v>
      </c>
      <c r="BQ29" s="402">
        <f t="shared" ref="BQ29:BS33" si="21">$BO29/4</f>
        <v>0.9375</v>
      </c>
      <c r="BR29" s="402">
        <f t="shared" si="21"/>
        <v>0.9375</v>
      </c>
      <c r="BS29" s="1121">
        <f t="shared" si="21"/>
        <v>0.9375</v>
      </c>
      <c r="BT29" s="1073">
        <f>IF(BT24&gt;0, MIN(BT7,BT24)*BT14,0)</f>
        <v>3.75</v>
      </c>
      <c r="BU29" s="1073">
        <f t="shared" si="20"/>
        <v>3.75</v>
      </c>
      <c r="BV29" s="1073">
        <f t="shared" si="20"/>
        <v>3.75</v>
      </c>
      <c r="BW29" s="1073">
        <f t="shared" si="20"/>
        <v>3.75</v>
      </c>
      <c r="BX29" s="1073">
        <f t="shared" si="20"/>
        <v>3.75</v>
      </c>
      <c r="BY29" s="1073">
        <f t="shared" si="20"/>
        <v>3.75</v>
      </c>
      <c r="BZ29" s="1073">
        <f t="shared" si="20"/>
        <v>3.75</v>
      </c>
      <c r="CA29" s="1073">
        <f t="shared" si="20"/>
        <v>3.75</v>
      </c>
      <c r="CB29" s="1073">
        <f t="shared" si="20"/>
        <v>3.75</v>
      </c>
    </row>
    <row r="30" spans="1:80" ht="12" customHeight="1">
      <c r="A30" s="176" t="s">
        <v>1348</v>
      </c>
      <c r="B30" s="176"/>
      <c r="C30" s="96">
        <f t="shared" si="7"/>
        <v>1.25</v>
      </c>
      <c r="D30" s="96">
        <f t="shared" si="7"/>
        <v>1.25</v>
      </c>
      <c r="E30" s="96">
        <f t="shared" si="7"/>
        <v>1.25</v>
      </c>
      <c r="F30" s="96">
        <f t="shared" si="7"/>
        <v>1.25</v>
      </c>
      <c r="G30" s="146">
        <f>IF(G24&gt;G7,MIN(G8-G7,G24-G7)*G15,0)</f>
        <v>5</v>
      </c>
      <c r="H30" s="96">
        <f t="shared" si="8"/>
        <v>1.25</v>
      </c>
      <c r="I30" s="96">
        <f t="shared" si="8"/>
        <v>1.25</v>
      </c>
      <c r="J30" s="96">
        <f t="shared" si="8"/>
        <v>1.25</v>
      </c>
      <c r="K30" s="96">
        <f>$L30/4</f>
        <v>1.25</v>
      </c>
      <c r="L30" s="146">
        <f>IF(L24&gt;L7,MIN(L8-L7,L24-L7)*L15,0)</f>
        <v>5</v>
      </c>
      <c r="M30" s="96">
        <f>$Q30/4</f>
        <v>1.25</v>
      </c>
      <c r="N30" s="96">
        <f t="shared" si="9"/>
        <v>1.25</v>
      </c>
      <c r="O30" s="96">
        <f t="shared" si="9"/>
        <v>1.25</v>
      </c>
      <c r="P30" s="96">
        <f t="shared" si="9"/>
        <v>1.25</v>
      </c>
      <c r="Q30" s="146">
        <f>IF(Q24&gt;Q7,MIN(Q8-Q7,Q24-Q7)*Q15,0)</f>
        <v>5</v>
      </c>
      <c r="R30" s="96">
        <f t="shared" si="10"/>
        <v>1.25</v>
      </c>
      <c r="S30" s="96">
        <f t="shared" si="10"/>
        <v>1.25</v>
      </c>
      <c r="T30" s="96">
        <f t="shared" si="10"/>
        <v>1.25</v>
      </c>
      <c r="U30" s="96">
        <f t="shared" si="10"/>
        <v>1.25</v>
      </c>
      <c r="V30" s="146">
        <f>IF(V24&gt;V7,MIN(V8-V7,V24-V7)*V15,0)</f>
        <v>5</v>
      </c>
      <c r="W30" s="96">
        <f t="shared" si="11"/>
        <v>1.25</v>
      </c>
      <c r="X30" s="96">
        <f t="shared" si="11"/>
        <v>1.25</v>
      </c>
      <c r="Y30" s="96">
        <f t="shared" si="11"/>
        <v>1.25</v>
      </c>
      <c r="Z30" s="96">
        <f t="shared" si="11"/>
        <v>1.25</v>
      </c>
      <c r="AA30" s="146">
        <f>IF(AA24&gt;AA7,MIN(AA8-AA7,AA24-AA7)*AA15,0)</f>
        <v>5</v>
      </c>
      <c r="AB30" s="96">
        <f>$AF30/4</f>
        <v>1.25</v>
      </c>
      <c r="AC30" s="96">
        <f t="shared" si="12"/>
        <v>1.25</v>
      </c>
      <c r="AD30" s="96">
        <f t="shared" si="12"/>
        <v>1.25</v>
      </c>
      <c r="AE30" s="96">
        <f t="shared" si="12"/>
        <v>1.25</v>
      </c>
      <c r="AF30" s="146">
        <f>IF(AF24&gt;AF7,MIN(AF8-AF7,AF24-AF7)*AF15,0)</f>
        <v>5</v>
      </c>
      <c r="AG30" s="402">
        <f>$AK30/4</f>
        <v>1.25</v>
      </c>
      <c r="AH30" s="402">
        <f t="shared" si="13"/>
        <v>1.25</v>
      </c>
      <c r="AI30" s="402">
        <f t="shared" si="13"/>
        <v>1.25</v>
      </c>
      <c r="AJ30" s="402">
        <f t="shared" si="13"/>
        <v>1.25</v>
      </c>
      <c r="AK30" s="146">
        <f>IF(AK24&gt;AK7,MIN(AK8-AK7,AK24-AK7)*AK15,0)</f>
        <v>5</v>
      </c>
      <c r="AL30" s="96">
        <f t="shared" si="14"/>
        <v>1.25</v>
      </c>
      <c r="AM30" s="96">
        <f t="shared" si="14"/>
        <v>1.25</v>
      </c>
      <c r="AN30" s="96">
        <f t="shared" si="14"/>
        <v>1.25</v>
      </c>
      <c r="AO30" s="96">
        <f t="shared" si="14"/>
        <v>1.25</v>
      </c>
      <c r="AP30" s="146">
        <f>IF(AP24&gt;AP7,MIN(AP8-AP7,AP24-AP7)*AP15,0)</f>
        <v>5</v>
      </c>
      <c r="AQ30" s="96">
        <f t="shared" si="15"/>
        <v>1.25</v>
      </c>
      <c r="AR30" s="96">
        <f t="shared" si="15"/>
        <v>1.25</v>
      </c>
      <c r="AS30" s="96">
        <f t="shared" si="15"/>
        <v>1.25</v>
      </c>
      <c r="AT30" s="96">
        <f t="shared" si="15"/>
        <v>1.25</v>
      </c>
      <c r="AU30" s="146">
        <f>IF(AU24&gt;AU7,MIN(AU8-AU7,AU24-AU7)*AU15,0)</f>
        <v>5</v>
      </c>
      <c r="AV30" s="96">
        <f>$AZ30/4</f>
        <v>1.25</v>
      </c>
      <c r="AW30" s="96">
        <f t="shared" si="16"/>
        <v>1.25</v>
      </c>
      <c r="AX30" s="96">
        <f t="shared" si="16"/>
        <v>1.25</v>
      </c>
      <c r="AY30" s="96">
        <f t="shared" si="16"/>
        <v>1.25</v>
      </c>
      <c r="AZ30" s="146">
        <f>IF(AZ24&gt;AZ7,MIN(AZ8-AZ7,AZ24-AZ7)*AZ15,0)</f>
        <v>5</v>
      </c>
      <c r="BA30" s="96">
        <f>$BE30/4</f>
        <v>1.25</v>
      </c>
      <c r="BB30" s="96">
        <f t="shared" si="17"/>
        <v>1.25</v>
      </c>
      <c r="BC30" s="96">
        <f t="shared" si="17"/>
        <v>1.25</v>
      </c>
      <c r="BD30" s="96">
        <f t="shared" si="17"/>
        <v>1.25</v>
      </c>
      <c r="BE30" s="146">
        <f>IF(BE24&gt;BE7,MIN(BE8-BE7,BE24-BE7)*BE15,0)</f>
        <v>5</v>
      </c>
      <c r="BF30" s="1115">
        <f t="shared" si="18"/>
        <v>1.25</v>
      </c>
      <c r="BG30" s="96">
        <f t="shared" si="18"/>
        <v>1.25</v>
      </c>
      <c r="BH30" s="96">
        <f t="shared" si="18"/>
        <v>1.25</v>
      </c>
      <c r="BI30" s="97">
        <f t="shared" si="18"/>
        <v>1.25</v>
      </c>
      <c r="BJ30" s="146">
        <f>IF(BJ24&gt;BJ7,MIN(BJ8-BJ7,BJ24-BJ7)*BJ15,0)</f>
        <v>5</v>
      </c>
      <c r="BK30" s="936">
        <f>$BO30/4</f>
        <v>1.25</v>
      </c>
      <c r="BL30" s="96">
        <f t="shared" si="19"/>
        <v>1.25</v>
      </c>
      <c r="BM30" s="96">
        <f t="shared" si="19"/>
        <v>1.25</v>
      </c>
      <c r="BN30" s="97">
        <f t="shared" si="19"/>
        <v>1.25</v>
      </c>
      <c r="BO30" s="146">
        <f t="shared" ref="BO30:CB30" si="22">IF(BO24&gt;BO7,MIN(BO8-BO7,BO24-BO7)*BO15,0)</f>
        <v>5</v>
      </c>
      <c r="BP30" s="936">
        <f>$BO30/4</f>
        <v>1.25</v>
      </c>
      <c r="BQ30" s="96">
        <f t="shared" si="21"/>
        <v>1.25</v>
      </c>
      <c r="BR30" s="96">
        <f t="shared" si="21"/>
        <v>1.25</v>
      </c>
      <c r="BS30" s="97">
        <f t="shared" si="21"/>
        <v>1.25</v>
      </c>
      <c r="BT30" s="146">
        <f>IF(BT24&gt;BT7,MIN(BT8-BT7,BT24-BT7)*BT15,0)</f>
        <v>5</v>
      </c>
      <c r="BU30" s="146">
        <f t="shared" si="22"/>
        <v>5</v>
      </c>
      <c r="BV30" s="146">
        <f t="shared" si="22"/>
        <v>5</v>
      </c>
      <c r="BW30" s="146">
        <f t="shared" si="22"/>
        <v>5</v>
      </c>
      <c r="BX30" s="146">
        <f t="shared" si="22"/>
        <v>5</v>
      </c>
      <c r="BY30" s="146">
        <f t="shared" si="22"/>
        <v>5</v>
      </c>
      <c r="BZ30" s="146">
        <f t="shared" si="22"/>
        <v>5</v>
      </c>
      <c r="CA30" s="146">
        <f t="shared" si="22"/>
        <v>5</v>
      </c>
      <c r="CB30" s="146">
        <f t="shared" si="22"/>
        <v>5</v>
      </c>
    </row>
    <row r="31" spans="1:80" ht="12" customHeight="1">
      <c r="A31" s="176" t="s">
        <v>1349</v>
      </c>
      <c r="B31" s="176"/>
      <c r="C31" s="96">
        <f t="shared" si="7"/>
        <v>1.5625</v>
      </c>
      <c r="D31" s="96">
        <f t="shared" si="7"/>
        <v>1.5625</v>
      </c>
      <c r="E31" s="96">
        <f t="shared" si="7"/>
        <v>1.5625</v>
      </c>
      <c r="F31" s="96">
        <f t="shared" si="7"/>
        <v>1.5625</v>
      </c>
      <c r="G31" s="146">
        <f>IF(G24&gt;G8,MIN(G9-G8,G24-G8)*G16,0)</f>
        <v>6.25</v>
      </c>
      <c r="H31" s="96">
        <f t="shared" si="8"/>
        <v>1.5625</v>
      </c>
      <c r="I31" s="96">
        <f t="shared" si="8"/>
        <v>1.5625</v>
      </c>
      <c r="J31" s="96">
        <f t="shared" si="8"/>
        <v>1.5625</v>
      </c>
      <c r="K31" s="96">
        <f>$L31/4</f>
        <v>1.5625</v>
      </c>
      <c r="L31" s="146">
        <f>IF(L24&gt;L8,MIN(L9-L8,L24-L8)*L16,0)</f>
        <v>6.25</v>
      </c>
      <c r="M31" s="96">
        <f>$Q31/4</f>
        <v>1.5625</v>
      </c>
      <c r="N31" s="96">
        <f t="shared" si="9"/>
        <v>1.5625</v>
      </c>
      <c r="O31" s="96">
        <f t="shared" si="9"/>
        <v>1.5625</v>
      </c>
      <c r="P31" s="96">
        <f t="shared" si="9"/>
        <v>1.5625</v>
      </c>
      <c r="Q31" s="146">
        <f>IF(Q24&gt;Q8,MIN(Q9-Q8,Q24-Q8)*Q16,0)</f>
        <v>6.25</v>
      </c>
      <c r="R31" s="96">
        <f t="shared" si="10"/>
        <v>1.5625</v>
      </c>
      <c r="S31" s="96">
        <f t="shared" si="10"/>
        <v>1.5625</v>
      </c>
      <c r="T31" s="96">
        <f t="shared" si="10"/>
        <v>1.5625</v>
      </c>
      <c r="U31" s="96">
        <f t="shared" si="10"/>
        <v>1.5625</v>
      </c>
      <c r="V31" s="146">
        <f>IF(V24&gt;V8,MIN(V9-V8,V24-V8)*V16,0)</f>
        <v>6.25</v>
      </c>
      <c r="W31" s="96">
        <f t="shared" si="11"/>
        <v>1.5625</v>
      </c>
      <c r="X31" s="96">
        <f t="shared" si="11"/>
        <v>1.5625</v>
      </c>
      <c r="Y31" s="96">
        <f t="shared" si="11"/>
        <v>1.5625</v>
      </c>
      <c r="Z31" s="96">
        <f t="shared" si="11"/>
        <v>1.5625</v>
      </c>
      <c r="AA31" s="146">
        <f>IF(AA24&gt;AA8,MIN(AA9-AA8,AA24-AA8)*AA16,0)</f>
        <v>6.25</v>
      </c>
      <c r="AB31" s="96">
        <f>$AF31/4</f>
        <v>1.5625</v>
      </c>
      <c r="AC31" s="96">
        <f t="shared" si="12"/>
        <v>1.5625</v>
      </c>
      <c r="AD31" s="96">
        <f t="shared" si="12"/>
        <v>1.5625</v>
      </c>
      <c r="AE31" s="96">
        <f t="shared" si="12"/>
        <v>1.5625</v>
      </c>
      <c r="AF31" s="146">
        <f>IF(AF24&gt;AF8,MIN(AF9-AF8,AF24-AF8)*AF16,0)</f>
        <v>6.25</v>
      </c>
      <c r="AG31" s="402">
        <f>$AK31/4</f>
        <v>1.5625</v>
      </c>
      <c r="AH31" s="402">
        <f t="shared" si="13"/>
        <v>1.5625</v>
      </c>
      <c r="AI31" s="402">
        <f t="shared" si="13"/>
        <v>1.5625</v>
      </c>
      <c r="AJ31" s="402">
        <f t="shared" si="13"/>
        <v>1.5625</v>
      </c>
      <c r="AK31" s="146">
        <f>IF(AK24&gt;AK8,MIN(AK9-AK8,AK24-AK8)*AK16,0)</f>
        <v>6.25</v>
      </c>
      <c r="AL31" s="96">
        <f t="shared" si="14"/>
        <v>1.5625</v>
      </c>
      <c r="AM31" s="96">
        <f t="shared" si="14"/>
        <v>1.5625</v>
      </c>
      <c r="AN31" s="96">
        <f t="shared" si="14"/>
        <v>1.5625</v>
      </c>
      <c r="AO31" s="96">
        <f t="shared" si="14"/>
        <v>1.5625</v>
      </c>
      <c r="AP31" s="146">
        <f>IF(AP24&gt;AP8,MIN(AP9-AP8,AP24-AP8)*AP16,0)</f>
        <v>6.25</v>
      </c>
      <c r="AQ31" s="96">
        <f t="shared" si="15"/>
        <v>1.5625</v>
      </c>
      <c r="AR31" s="96">
        <f t="shared" si="15"/>
        <v>1.5625</v>
      </c>
      <c r="AS31" s="96">
        <f t="shared" si="15"/>
        <v>1.5625</v>
      </c>
      <c r="AT31" s="96">
        <f t="shared" si="15"/>
        <v>1.5625</v>
      </c>
      <c r="AU31" s="146">
        <f>IF(AU24&gt;AU8,MIN(AU9-AU8,AU24-AU8)*AU16,0)</f>
        <v>6.25</v>
      </c>
      <c r="AV31" s="96">
        <f>$AZ31/4</f>
        <v>1.5625</v>
      </c>
      <c r="AW31" s="96">
        <f t="shared" si="16"/>
        <v>1.5625</v>
      </c>
      <c r="AX31" s="96">
        <f t="shared" si="16"/>
        <v>1.5625</v>
      </c>
      <c r="AY31" s="96">
        <f t="shared" si="16"/>
        <v>1.5625</v>
      </c>
      <c r="AZ31" s="146">
        <f>IF(AZ24&gt;AZ8,MIN(AZ9-AZ8,AZ24-AZ8)*AZ16,0)</f>
        <v>6.25</v>
      </c>
      <c r="BA31" s="96">
        <f>$BE31/4</f>
        <v>1.5625</v>
      </c>
      <c r="BB31" s="96">
        <f t="shared" si="17"/>
        <v>1.5625</v>
      </c>
      <c r="BC31" s="96">
        <f t="shared" si="17"/>
        <v>1.5625</v>
      </c>
      <c r="BD31" s="96">
        <f t="shared" si="17"/>
        <v>1.5625</v>
      </c>
      <c r="BE31" s="146">
        <f>IF(BE24&gt;BE8,MIN(BE9-BE8,BE24-BE8)*BE16,0)</f>
        <v>6.25</v>
      </c>
      <c r="BF31" s="1115">
        <f t="shared" si="18"/>
        <v>1.5625</v>
      </c>
      <c r="BG31" s="96">
        <f t="shared" si="18"/>
        <v>1.5625</v>
      </c>
      <c r="BH31" s="96">
        <f t="shared" si="18"/>
        <v>1.5625</v>
      </c>
      <c r="BI31" s="97">
        <f t="shared" si="18"/>
        <v>1.5625</v>
      </c>
      <c r="BJ31" s="146">
        <f>IF(BJ24&gt;BJ8,MIN(BJ9-BJ8,BJ24-BJ8)*BJ16,0)</f>
        <v>6.25</v>
      </c>
      <c r="BK31" s="936">
        <f>$BO31/4</f>
        <v>1.5625</v>
      </c>
      <c r="BL31" s="96">
        <f t="shared" si="19"/>
        <v>1.5625</v>
      </c>
      <c r="BM31" s="96">
        <f t="shared" si="19"/>
        <v>1.5625</v>
      </c>
      <c r="BN31" s="97">
        <f t="shared" si="19"/>
        <v>1.5625</v>
      </c>
      <c r="BO31" s="146">
        <f t="shared" ref="BO31:CB31" si="23">IF(BO24&gt;BO8,MIN(BO9-BO8,BO24-BO8)*BO16,0)</f>
        <v>6.25</v>
      </c>
      <c r="BP31" s="936">
        <f>$BO31/4</f>
        <v>1.5625</v>
      </c>
      <c r="BQ31" s="96">
        <f t="shared" si="21"/>
        <v>1.5625</v>
      </c>
      <c r="BR31" s="96">
        <f t="shared" si="21"/>
        <v>1.5625</v>
      </c>
      <c r="BS31" s="97">
        <f t="shared" si="21"/>
        <v>1.5625</v>
      </c>
      <c r="BT31" s="146">
        <f>IF(BT24&gt;BT8,MIN(BT9-BT8,BT24-BT8)*BT16,0)</f>
        <v>6.25</v>
      </c>
      <c r="BU31" s="146">
        <f t="shared" si="23"/>
        <v>6.25</v>
      </c>
      <c r="BV31" s="146">
        <f t="shared" si="23"/>
        <v>6.25</v>
      </c>
      <c r="BW31" s="146">
        <f t="shared" si="23"/>
        <v>6.25</v>
      </c>
      <c r="BX31" s="146">
        <f t="shared" si="23"/>
        <v>6.25</v>
      </c>
      <c r="BY31" s="146">
        <f t="shared" si="23"/>
        <v>6.25</v>
      </c>
      <c r="BZ31" s="146">
        <f t="shared" si="23"/>
        <v>6.25</v>
      </c>
      <c r="CA31" s="146">
        <f t="shared" si="23"/>
        <v>6.25</v>
      </c>
      <c r="CB31" s="146">
        <f t="shared" si="23"/>
        <v>6.25</v>
      </c>
    </row>
    <row r="32" spans="1:80" ht="12" customHeight="1">
      <c r="A32" s="176" t="s">
        <v>1356</v>
      </c>
      <c r="B32" s="176"/>
      <c r="C32" s="96">
        <f t="shared" si="7"/>
        <v>5.625</v>
      </c>
      <c r="D32" s="96">
        <f t="shared" si="7"/>
        <v>5.625</v>
      </c>
      <c r="E32" s="96">
        <f t="shared" si="7"/>
        <v>5.625</v>
      </c>
      <c r="F32" s="96">
        <f t="shared" si="7"/>
        <v>5.625</v>
      </c>
      <c r="G32" s="146">
        <f>IF(G24&gt;G9,MIN(G10-G9,G24-G9)*G17,0)</f>
        <v>22.5</v>
      </c>
      <c r="H32" s="96">
        <f t="shared" si="8"/>
        <v>5.625</v>
      </c>
      <c r="I32" s="96">
        <f t="shared" si="8"/>
        <v>5.625</v>
      </c>
      <c r="J32" s="96">
        <f t="shared" si="8"/>
        <v>5.625</v>
      </c>
      <c r="K32" s="96">
        <f>$L32/4</f>
        <v>5.625</v>
      </c>
      <c r="L32" s="146">
        <f>IF(L24&gt;L9,MIN(L10-L9,L24-L9)*L17,0)</f>
        <v>22.5</v>
      </c>
      <c r="M32" s="96">
        <f>$Q32/4</f>
        <v>5.625</v>
      </c>
      <c r="N32" s="96">
        <f t="shared" si="9"/>
        <v>5.625</v>
      </c>
      <c r="O32" s="96">
        <f t="shared" si="9"/>
        <v>5.625</v>
      </c>
      <c r="P32" s="96">
        <f t="shared" si="9"/>
        <v>5.625</v>
      </c>
      <c r="Q32" s="146">
        <f>IF(Q24&gt;Q9,MIN(Q10-Q9,Q24-Q9)*Q17,0)</f>
        <v>22.5</v>
      </c>
      <c r="R32" s="96">
        <f t="shared" si="10"/>
        <v>5.625</v>
      </c>
      <c r="S32" s="96">
        <f t="shared" si="10"/>
        <v>5.625</v>
      </c>
      <c r="T32" s="96">
        <f t="shared" si="10"/>
        <v>5.625</v>
      </c>
      <c r="U32" s="96">
        <f t="shared" si="10"/>
        <v>5.625</v>
      </c>
      <c r="V32" s="146">
        <f>IF(V24&gt;V9,MIN(V10-V9,V24-V9)*V17,0)</f>
        <v>22.5</v>
      </c>
      <c r="W32" s="96">
        <f t="shared" si="11"/>
        <v>5.625</v>
      </c>
      <c r="X32" s="96">
        <f t="shared" si="11"/>
        <v>5.625</v>
      </c>
      <c r="Y32" s="96">
        <f t="shared" si="11"/>
        <v>5.625</v>
      </c>
      <c r="Z32" s="96">
        <f t="shared" si="11"/>
        <v>5.625</v>
      </c>
      <c r="AA32" s="146">
        <f>IF(AA24&gt;AA9,MIN(AA10-AA9,AA24-AA9)*AA17,0)</f>
        <v>22.5</v>
      </c>
      <c r="AB32" s="96">
        <f>$AF32/4</f>
        <v>5.625</v>
      </c>
      <c r="AC32" s="96">
        <f t="shared" si="12"/>
        <v>5.625</v>
      </c>
      <c r="AD32" s="96">
        <f t="shared" si="12"/>
        <v>5.625</v>
      </c>
      <c r="AE32" s="96">
        <f t="shared" si="12"/>
        <v>5.625</v>
      </c>
      <c r="AF32" s="146">
        <f>IF(AF24&gt;AF9,MIN(AF10-AF9,AF24-AF9)*AF17,0)</f>
        <v>22.5</v>
      </c>
      <c r="AG32" s="402">
        <f>$AK32/4</f>
        <v>5.625</v>
      </c>
      <c r="AH32" s="402">
        <f t="shared" si="13"/>
        <v>5.625</v>
      </c>
      <c r="AI32" s="402">
        <f t="shared" si="13"/>
        <v>5.625</v>
      </c>
      <c r="AJ32" s="402">
        <f t="shared" si="13"/>
        <v>5.625</v>
      </c>
      <c r="AK32" s="146">
        <f>IF(AK24&gt;AK9,MIN(AK10-AK9,AK24-AK9)*AK17,0)</f>
        <v>22.5</v>
      </c>
      <c r="AL32" s="96">
        <f t="shared" si="14"/>
        <v>5.625</v>
      </c>
      <c r="AM32" s="96">
        <f t="shared" si="14"/>
        <v>5.625</v>
      </c>
      <c r="AN32" s="96">
        <f t="shared" si="14"/>
        <v>5.625</v>
      </c>
      <c r="AO32" s="96">
        <f t="shared" si="14"/>
        <v>5.625</v>
      </c>
      <c r="AP32" s="146">
        <f>IF(AP24&gt;AP9,MIN(AP10-AP9,AP24-AP9)*AP17,0)</f>
        <v>22.5</v>
      </c>
      <c r="AQ32" s="96">
        <f t="shared" si="15"/>
        <v>5.625</v>
      </c>
      <c r="AR32" s="96">
        <f t="shared" si="15"/>
        <v>5.625</v>
      </c>
      <c r="AS32" s="96">
        <f t="shared" si="15"/>
        <v>5.625</v>
      </c>
      <c r="AT32" s="96">
        <f t="shared" si="15"/>
        <v>5.625</v>
      </c>
      <c r="AU32" s="146">
        <f>IF(AU24&gt;AU9,MIN(AU10-AU9,AU24-AU9)*AU17,0)</f>
        <v>22.5</v>
      </c>
      <c r="AV32" s="96">
        <f>$AZ32/4</f>
        <v>5.625</v>
      </c>
      <c r="AW32" s="96">
        <f t="shared" si="16"/>
        <v>5.625</v>
      </c>
      <c r="AX32" s="96">
        <f t="shared" si="16"/>
        <v>5.625</v>
      </c>
      <c r="AY32" s="96">
        <f t="shared" si="16"/>
        <v>5.625</v>
      </c>
      <c r="AZ32" s="146">
        <f>IF(AZ24&gt;AZ9,MIN(AZ10-AZ9,AZ24-AZ9)*AZ17,0)</f>
        <v>22.5</v>
      </c>
      <c r="BA32" s="96">
        <f>$BE32/4</f>
        <v>5.625</v>
      </c>
      <c r="BB32" s="96">
        <f t="shared" si="17"/>
        <v>5.625</v>
      </c>
      <c r="BC32" s="96">
        <f t="shared" si="17"/>
        <v>5.625</v>
      </c>
      <c r="BD32" s="96">
        <f t="shared" si="17"/>
        <v>5.625</v>
      </c>
      <c r="BE32" s="146">
        <f>IF(BE24&gt;BE9,MIN(BE10-BE9,BE24-BE9)*BE17,0)</f>
        <v>22.5</v>
      </c>
      <c r="BF32" s="1115">
        <f t="shared" si="18"/>
        <v>5.625</v>
      </c>
      <c r="BG32" s="96">
        <f t="shared" si="18"/>
        <v>5.625</v>
      </c>
      <c r="BH32" s="96">
        <f t="shared" si="18"/>
        <v>5.625</v>
      </c>
      <c r="BI32" s="97">
        <f t="shared" si="18"/>
        <v>5.625</v>
      </c>
      <c r="BJ32" s="146">
        <f>IF(BJ24&gt;BJ9,MIN(BJ10-BJ9,BJ24-BJ9)*BJ17,0)</f>
        <v>22.5</v>
      </c>
      <c r="BK32" s="936">
        <f>$BO32/4</f>
        <v>5.625</v>
      </c>
      <c r="BL32" s="96">
        <f t="shared" si="19"/>
        <v>5.625</v>
      </c>
      <c r="BM32" s="96">
        <f t="shared" si="19"/>
        <v>5.625</v>
      </c>
      <c r="BN32" s="97">
        <f t="shared" si="19"/>
        <v>5.625</v>
      </c>
      <c r="BO32" s="146">
        <f t="shared" ref="BO32:CB32" si="24">IF(BO24&gt;BO9,MIN(BO10-BO9,BO24-BO9)*BO17,0)</f>
        <v>22.5</v>
      </c>
      <c r="BP32" s="936">
        <f>$BO32/4</f>
        <v>5.625</v>
      </c>
      <c r="BQ32" s="96">
        <f t="shared" si="21"/>
        <v>5.625</v>
      </c>
      <c r="BR32" s="96">
        <f t="shared" si="21"/>
        <v>5.625</v>
      </c>
      <c r="BS32" s="97">
        <f t="shared" si="21"/>
        <v>5.625</v>
      </c>
      <c r="BT32" s="146">
        <f>IF(BT24&gt;BT9,MIN(BT10-BT9,BT24-BT9)*BT17,0)</f>
        <v>22.5</v>
      </c>
      <c r="BU32" s="146">
        <f t="shared" si="24"/>
        <v>19.255539303000006</v>
      </c>
      <c r="BV32" s="146">
        <f t="shared" si="24"/>
        <v>18.42042851694001</v>
      </c>
      <c r="BW32" s="146">
        <f t="shared" si="24"/>
        <v>18.42042851694001</v>
      </c>
      <c r="BX32" s="146">
        <f t="shared" si="24"/>
        <v>16.374407091093008</v>
      </c>
      <c r="BY32" s="146">
        <f t="shared" si="24"/>
        <v>14.430686736538354</v>
      </c>
      <c r="BZ32" s="146">
        <f t="shared" si="24"/>
        <v>15.169300471269121</v>
      </c>
      <c r="CA32" s="146">
        <f t="shared" si="24"/>
        <v>15.922686480694502</v>
      </c>
      <c r="CB32" s="146">
        <f t="shared" si="24"/>
        <v>16.691140210308394</v>
      </c>
    </row>
    <row r="33" spans="1:80" ht="12" customHeight="1">
      <c r="A33" s="176" t="s">
        <v>1357</v>
      </c>
      <c r="B33" s="176"/>
      <c r="C33" s="96">
        <f t="shared" si="7"/>
        <v>7.1867665624999999</v>
      </c>
      <c r="D33" s="96">
        <f t="shared" si="7"/>
        <v>7.1867665624999999</v>
      </c>
      <c r="E33" s="96">
        <f t="shared" si="7"/>
        <v>7.1867665624999999</v>
      </c>
      <c r="F33" s="96">
        <f t="shared" si="7"/>
        <v>7.1867665624999999</v>
      </c>
      <c r="G33" s="146">
        <f>IF(G24&gt;G10,(G24-G10)*G18,0)</f>
        <v>28.74706625</v>
      </c>
      <c r="H33" s="96">
        <f t="shared" si="8"/>
        <v>7.4647312250000004</v>
      </c>
      <c r="I33" s="96">
        <f t="shared" si="8"/>
        <v>7.4647312250000004</v>
      </c>
      <c r="J33" s="96">
        <f t="shared" si="8"/>
        <v>7.4647312250000004</v>
      </c>
      <c r="K33" s="96">
        <f>$L33/4</f>
        <v>7.4647312250000004</v>
      </c>
      <c r="L33" s="146">
        <f>IF(L24&gt;L10,(L24-L10)*L18,0)</f>
        <v>29.858924900000002</v>
      </c>
      <c r="M33" s="96">
        <f>$Q33/4</f>
        <v>12.178288674999997</v>
      </c>
      <c r="N33" s="96">
        <f t="shared" si="9"/>
        <v>12.178288674999997</v>
      </c>
      <c r="O33" s="96">
        <f t="shared" si="9"/>
        <v>12.178288674999997</v>
      </c>
      <c r="P33" s="96">
        <f t="shared" si="9"/>
        <v>12.178288674999997</v>
      </c>
      <c r="Q33" s="146">
        <f>IF(Q24&gt;Q10,(Q24-Q10)*Q18,0)</f>
        <v>48.71315469999999</v>
      </c>
      <c r="R33" s="96">
        <f t="shared" si="10"/>
        <v>9.3321171999999972</v>
      </c>
      <c r="S33" s="96">
        <f t="shared" si="10"/>
        <v>9.3321171999999972</v>
      </c>
      <c r="T33" s="96">
        <f t="shared" si="10"/>
        <v>9.3321171999999972</v>
      </c>
      <c r="U33" s="96">
        <f t="shared" si="10"/>
        <v>9.3321171999999972</v>
      </c>
      <c r="V33" s="146">
        <f>IF(V24&gt;V10,(V24-V10)*V18,0)</f>
        <v>37.328468799999989</v>
      </c>
      <c r="W33" s="96">
        <f t="shared" si="11"/>
        <v>2.79498135</v>
      </c>
      <c r="X33" s="96">
        <f t="shared" si="11"/>
        <v>2.79498135</v>
      </c>
      <c r="Y33" s="96">
        <f t="shared" si="11"/>
        <v>2.79498135</v>
      </c>
      <c r="Z33" s="96">
        <f t="shared" si="11"/>
        <v>2.79498135</v>
      </c>
      <c r="AA33" s="146">
        <f>IF(AA24&gt;AA10,(AA24-AA10)*AA18,0)</f>
        <v>11.1799254</v>
      </c>
      <c r="AB33" s="96">
        <f>$AF33/4</f>
        <v>3.2968170374999999</v>
      </c>
      <c r="AC33" s="96">
        <f t="shared" si="12"/>
        <v>3.2968170374999999</v>
      </c>
      <c r="AD33" s="96">
        <f t="shared" si="12"/>
        <v>3.2968170374999999</v>
      </c>
      <c r="AE33" s="96">
        <f t="shared" si="12"/>
        <v>3.2968170374999999</v>
      </c>
      <c r="AF33" s="146">
        <f>IF(AF24&gt;AF10,(AF24-AF10)*AF18,0)</f>
        <v>13.18726815</v>
      </c>
      <c r="AG33" s="402">
        <f>$AK33/4</f>
        <v>2.4543977499999983</v>
      </c>
      <c r="AH33" s="402">
        <f t="shared" si="13"/>
        <v>2.4543977499999983</v>
      </c>
      <c r="AI33" s="402">
        <f t="shared" si="13"/>
        <v>2.4543977499999983</v>
      </c>
      <c r="AJ33" s="402">
        <f t="shared" si="13"/>
        <v>2.4543977499999983</v>
      </c>
      <c r="AK33" s="146">
        <f>IF(AK24&gt;AK10,(AK24-AK10)*AK18,0)</f>
        <v>9.8175909999999931</v>
      </c>
      <c r="AL33" s="96">
        <f t="shared" si="14"/>
        <v>1.9945790374999992</v>
      </c>
      <c r="AM33" s="96">
        <f t="shared" si="14"/>
        <v>1.9945790374999992</v>
      </c>
      <c r="AN33" s="96">
        <f t="shared" si="14"/>
        <v>1.9945790374999992</v>
      </c>
      <c r="AO33" s="96">
        <f t="shared" si="14"/>
        <v>1.9945790374999992</v>
      </c>
      <c r="AP33" s="146">
        <f>IF(AP24&gt;AP10,(AP24-AP10)*AP18,0)</f>
        <v>7.9783161499999968</v>
      </c>
      <c r="AQ33" s="96">
        <f t="shared" si="15"/>
        <v>2.1877491999999998</v>
      </c>
      <c r="AR33" s="96">
        <f t="shared" si="15"/>
        <v>2.1877491999999998</v>
      </c>
      <c r="AS33" s="96">
        <f t="shared" si="15"/>
        <v>2.1877491999999998</v>
      </c>
      <c r="AT33" s="96">
        <f t="shared" si="15"/>
        <v>2.1877491999999998</v>
      </c>
      <c r="AU33" s="146">
        <f>IF(AU24&gt;AU10,(AU24-AU10)*AU18,0)</f>
        <v>8.7509967999999994</v>
      </c>
      <c r="AV33" s="96">
        <f>$AZ33/4</f>
        <v>0.84959568750000003</v>
      </c>
      <c r="AW33" s="96">
        <f t="shared" si="16"/>
        <v>0.84959568750000003</v>
      </c>
      <c r="AX33" s="96">
        <f t="shared" si="16"/>
        <v>0.84959568750000003</v>
      </c>
      <c r="AY33" s="96">
        <f t="shared" si="16"/>
        <v>0.84959568750000003</v>
      </c>
      <c r="AZ33" s="146">
        <f>IF(AZ24&gt;AZ10,(AZ24-AZ10)*AZ18,0)</f>
        <v>3.3983827500000001</v>
      </c>
      <c r="BA33" s="96">
        <f>$BE33/4</f>
        <v>0.52409376250000006</v>
      </c>
      <c r="BB33" s="96">
        <f t="shared" si="17"/>
        <v>0.52409376250000006</v>
      </c>
      <c r="BC33" s="96">
        <f t="shared" si="17"/>
        <v>0.52409376250000006</v>
      </c>
      <c r="BD33" s="96">
        <f t="shared" si="17"/>
        <v>0.52409376250000006</v>
      </c>
      <c r="BE33" s="146">
        <f>IF(BE24&gt;BE10,(BE24-BE10)*BE18,0)</f>
        <v>2.0963750500000002</v>
      </c>
      <c r="BF33" s="1115">
        <f t="shared" si="18"/>
        <v>0.83977739999999945</v>
      </c>
      <c r="BG33" s="96">
        <f t="shared" si="18"/>
        <v>0.83977739999999945</v>
      </c>
      <c r="BH33" s="96">
        <f t="shared" si="18"/>
        <v>0.83977739999999945</v>
      </c>
      <c r="BI33" s="97">
        <f t="shared" si="18"/>
        <v>0.83977739999999945</v>
      </c>
      <c r="BJ33" s="146">
        <f>IF(BJ24&gt;BJ10,(BJ24-BJ10)*BJ18,0)</f>
        <v>3.3591095999999978</v>
      </c>
      <c r="BK33" s="936">
        <f>$BO33/4</f>
        <v>0.83592075000000032</v>
      </c>
      <c r="BL33" s="96">
        <f t="shared" si="19"/>
        <v>0.83592075000000032</v>
      </c>
      <c r="BM33" s="96">
        <f t="shared" si="19"/>
        <v>0.83592075000000032</v>
      </c>
      <c r="BN33" s="97">
        <f t="shared" si="19"/>
        <v>0.83592075000000032</v>
      </c>
      <c r="BO33" s="146">
        <f t="shared" ref="BO33:CB33" si="25">IF(BO24&gt;BO10,(BO24-BO10)*BO18,0)</f>
        <v>3.3436830000000013</v>
      </c>
      <c r="BP33" s="936">
        <f>$BO33/4</f>
        <v>0.83592075000000032</v>
      </c>
      <c r="BQ33" s="96">
        <f t="shared" si="21"/>
        <v>0.83592075000000032</v>
      </c>
      <c r="BR33" s="96">
        <f t="shared" si="21"/>
        <v>0.83592075000000032</v>
      </c>
      <c r="BS33" s="97">
        <f t="shared" si="21"/>
        <v>0.83592075000000032</v>
      </c>
      <c r="BT33" s="146">
        <f>IF(BT24&gt;BT10,(BT24-BT10)*BT18,0)</f>
        <v>2.9338879500000044</v>
      </c>
      <c r="BU33" s="146">
        <f t="shared" si="25"/>
        <v>0</v>
      </c>
      <c r="BV33" s="146">
        <f t="shared" si="25"/>
        <v>0</v>
      </c>
      <c r="BW33" s="146">
        <f t="shared" si="25"/>
        <v>0</v>
      </c>
      <c r="BX33" s="146">
        <f t="shared" si="25"/>
        <v>0</v>
      </c>
      <c r="BY33" s="146">
        <f t="shared" si="25"/>
        <v>0</v>
      </c>
      <c r="BZ33" s="146">
        <f t="shared" si="25"/>
        <v>0</v>
      </c>
      <c r="CA33" s="146">
        <f t="shared" si="25"/>
        <v>0</v>
      </c>
      <c r="CB33" s="146">
        <f t="shared" si="25"/>
        <v>0</v>
      </c>
    </row>
    <row r="34" spans="1:80" ht="5.25" customHeight="1">
      <c r="A34" s="176"/>
      <c r="B34" s="176"/>
      <c r="C34" s="564" t="s">
        <v>1226</v>
      </c>
      <c r="D34" s="564" t="s">
        <v>1226</v>
      </c>
      <c r="E34" s="564" t="s">
        <v>1226</v>
      </c>
      <c r="F34" s="564" t="s">
        <v>1226</v>
      </c>
      <c r="G34" s="736" t="s">
        <v>1226</v>
      </c>
      <c r="H34" s="564" t="s">
        <v>1226</v>
      </c>
      <c r="I34" s="564" t="s">
        <v>1226</v>
      </c>
      <c r="J34" s="564" t="s">
        <v>1226</v>
      </c>
      <c r="K34" s="564" t="s">
        <v>1226</v>
      </c>
      <c r="L34" s="736" t="s">
        <v>1226</v>
      </c>
      <c r="M34" s="564" t="s">
        <v>1226</v>
      </c>
      <c r="N34" s="564" t="s">
        <v>1226</v>
      </c>
      <c r="O34" s="564" t="s">
        <v>1226</v>
      </c>
      <c r="P34" s="564" t="s">
        <v>1226</v>
      </c>
      <c r="Q34" s="736" t="s">
        <v>1226</v>
      </c>
      <c r="R34" s="564" t="s">
        <v>1226</v>
      </c>
      <c r="S34" s="564" t="s">
        <v>1226</v>
      </c>
      <c r="T34" s="564" t="s">
        <v>1226</v>
      </c>
      <c r="U34" s="564" t="s">
        <v>1226</v>
      </c>
      <c r="V34" s="736" t="s">
        <v>1226</v>
      </c>
      <c r="W34" s="564" t="s">
        <v>1226</v>
      </c>
      <c r="X34" s="564" t="s">
        <v>1226</v>
      </c>
      <c r="Y34" s="564" t="s">
        <v>1226</v>
      </c>
      <c r="Z34" s="564" t="s">
        <v>1226</v>
      </c>
      <c r="AA34" s="736" t="s">
        <v>1226</v>
      </c>
      <c r="AB34" s="564" t="s">
        <v>1226</v>
      </c>
      <c r="AC34" s="564" t="s">
        <v>1226</v>
      </c>
      <c r="AD34" s="564" t="s">
        <v>1226</v>
      </c>
      <c r="AE34" s="564" t="s">
        <v>1226</v>
      </c>
      <c r="AF34" s="736" t="s">
        <v>1226</v>
      </c>
      <c r="AG34" s="564" t="s">
        <v>1226</v>
      </c>
      <c r="AH34" s="564" t="s">
        <v>1226</v>
      </c>
      <c r="AI34" s="564" t="s">
        <v>1226</v>
      </c>
      <c r="AJ34" s="564" t="s">
        <v>1226</v>
      </c>
      <c r="AK34" s="736" t="s">
        <v>1226</v>
      </c>
      <c r="AL34" s="564" t="s">
        <v>1226</v>
      </c>
      <c r="AM34" s="564" t="s">
        <v>1226</v>
      </c>
      <c r="AN34" s="564" t="s">
        <v>1226</v>
      </c>
      <c r="AO34" s="564" t="s">
        <v>1226</v>
      </c>
      <c r="AP34" s="736" t="s">
        <v>1226</v>
      </c>
      <c r="AQ34" s="564" t="s">
        <v>1226</v>
      </c>
      <c r="AR34" s="564" t="s">
        <v>1226</v>
      </c>
      <c r="AS34" s="564" t="s">
        <v>1226</v>
      </c>
      <c r="AT34" s="564" t="s">
        <v>1226</v>
      </c>
      <c r="AU34" s="736" t="s">
        <v>1226</v>
      </c>
      <c r="AV34" s="564" t="s">
        <v>1226</v>
      </c>
      <c r="AW34" s="564" t="s">
        <v>1226</v>
      </c>
      <c r="AX34" s="564" t="s">
        <v>1226</v>
      </c>
      <c r="AY34" s="564" t="s">
        <v>1226</v>
      </c>
      <c r="AZ34" s="736" t="s">
        <v>1226</v>
      </c>
      <c r="BA34" s="564" t="s">
        <v>1226</v>
      </c>
      <c r="BB34" s="564" t="s">
        <v>1226</v>
      </c>
      <c r="BC34" s="564" t="s">
        <v>1226</v>
      </c>
      <c r="BD34" s="564" t="s">
        <v>1226</v>
      </c>
      <c r="BE34" s="736" t="s">
        <v>1226</v>
      </c>
      <c r="BF34" s="734" t="s">
        <v>1226</v>
      </c>
      <c r="BG34" s="564" t="s">
        <v>1226</v>
      </c>
      <c r="BH34" s="564" t="s">
        <v>1226</v>
      </c>
      <c r="BI34" s="1789" t="s">
        <v>1226</v>
      </c>
      <c r="BJ34" s="736" t="s">
        <v>1226</v>
      </c>
      <c r="BK34" s="734" t="s">
        <v>1226</v>
      </c>
      <c r="BL34" s="564" t="s">
        <v>1226</v>
      </c>
      <c r="BM34" s="564" t="s">
        <v>1226</v>
      </c>
      <c r="BN34" s="1789" t="s">
        <v>1226</v>
      </c>
      <c r="BO34" s="736" t="s">
        <v>1226</v>
      </c>
      <c r="BP34" s="734" t="s">
        <v>1226</v>
      </c>
      <c r="BQ34" s="564" t="s">
        <v>1226</v>
      </c>
      <c r="BR34" s="564" t="s">
        <v>1226</v>
      </c>
      <c r="BS34" s="1789" t="s">
        <v>1226</v>
      </c>
      <c r="BT34" s="736" t="s">
        <v>1226</v>
      </c>
      <c r="BU34" s="736" t="s">
        <v>1226</v>
      </c>
      <c r="BV34" s="736" t="s">
        <v>1226</v>
      </c>
      <c r="BW34" s="736" t="s">
        <v>1226</v>
      </c>
      <c r="BX34" s="736" t="s">
        <v>1226</v>
      </c>
      <c r="BY34" s="736" t="s">
        <v>1226</v>
      </c>
      <c r="BZ34" s="736" t="s">
        <v>1226</v>
      </c>
      <c r="CA34" s="736" t="s">
        <v>1226</v>
      </c>
      <c r="CB34" s="736" t="s">
        <v>1226</v>
      </c>
    </row>
    <row r="35" spans="1:80" ht="12" customHeight="1">
      <c r="A35" s="176" t="s">
        <v>1318</v>
      </c>
      <c r="B35" s="176"/>
      <c r="C35" s="98">
        <f>SUM(C29:C34)</f>
        <v>16.561766562500001</v>
      </c>
      <c r="D35" s="98">
        <f>SUM(D29:D34)</f>
        <v>16.561766562500001</v>
      </c>
      <c r="E35" s="98">
        <f>SUM(E29:E34)</f>
        <v>16.561766562500001</v>
      </c>
      <c r="F35" s="98">
        <f>SUM(F29:F34)</f>
        <v>16.561766562500001</v>
      </c>
      <c r="G35" s="146">
        <f>SUM(C35:F35)</f>
        <v>66.247066250000003</v>
      </c>
      <c r="H35" s="98">
        <f>SUM(H29:H34)</f>
        <v>16.839731225000001</v>
      </c>
      <c r="I35" s="98">
        <f>SUM(I29:I34)</f>
        <v>16.839731225000001</v>
      </c>
      <c r="J35" s="98">
        <f>SUM(J29:J34)</f>
        <v>16.839731225000001</v>
      </c>
      <c r="K35" s="98">
        <f>SUM(K29:K34)</f>
        <v>16.839731225000001</v>
      </c>
      <c r="L35" s="146">
        <f>SUM(H35:K35)</f>
        <v>67.358924900000005</v>
      </c>
      <c r="M35" s="98">
        <f>SUM(M29:M34)</f>
        <v>21.553288674999997</v>
      </c>
      <c r="N35" s="98">
        <f>SUM(N29:N34)</f>
        <v>21.553288674999997</v>
      </c>
      <c r="O35" s="98">
        <f>SUM(O29:O34)</f>
        <v>21.553288674999997</v>
      </c>
      <c r="P35" s="98">
        <f>SUM(P29:P34)</f>
        <v>21.553288674999997</v>
      </c>
      <c r="Q35" s="146">
        <f>SUM(M35:P35)</f>
        <v>86.21315469999999</v>
      </c>
      <c r="R35" s="98">
        <f>SUM(R29:R34)</f>
        <v>18.707117199999999</v>
      </c>
      <c r="S35" s="98">
        <f>SUM(S29:S34)</f>
        <v>18.707117199999999</v>
      </c>
      <c r="T35" s="98">
        <f>SUM(T29:T34)</f>
        <v>18.707117199999999</v>
      </c>
      <c r="U35" s="98">
        <f>SUM(U29:U34)</f>
        <v>18.707117199999999</v>
      </c>
      <c r="V35" s="146">
        <f>SUM(R35:U35)</f>
        <v>74.828468799999996</v>
      </c>
      <c r="W35" s="98">
        <f>SUM(W29:W34)</f>
        <v>12.16998135</v>
      </c>
      <c r="X35" s="98">
        <f>SUM(X29:X34)</f>
        <v>12.16998135</v>
      </c>
      <c r="Y35" s="98">
        <f>SUM(Y29:Y34)</f>
        <v>12.16998135</v>
      </c>
      <c r="Z35" s="98">
        <f>SUM(Z29:Z34)</f>
        <v>12.16998135</v>
      </c>
      <c r="AA35" s="146">
        <f>SUM(W35:Z35)</f>
        <v>48.679925400000002</v>
      </c>
      <c r="AB35" s="98">
        <f>SUM(AB29:AB34)</f>
        <v>12.6718170375</v>
      </c>
      <c r="AC35" s="98">
        <f>SUM(AC29:AC34)</f>
        <v>12.6718170375</v>
      </c>
      <c r="AD35" s="98">
        <f>SUM(AD29:AD34)</f>
        <v>12.6718170375</v>
      </c>
      <c r="AE35" s="98">
        <f>SUM(AE29:AE34)</f>
        <v>12.6718170375</v>
      </c>
      <c r="AF35" s="146">
        <f>SUM(AB35:AE35)</f>
        <v>50.687268150000001</v>
      </c>
      <c r="AG35" s="96">
        <f>SUM(AG29:AG34)</f>
        <v>11.829397749999998</v>
      </c>
      <c r="AH35" s="96">
        <f>SUM(AH29:AH34)</f>
        <v>11.829397749999998</v>
      </c>
      <c r="AI35" s="96">
        <f>SUM(AI29:AI34)</f>
        <v>11.829397749999998</v>
      </c>
      <c r="AJ35" s="96">
        <f>SUM(AJ29:AJ34)</f>
        <v>11.829397749999998</v>
      </c>
      <c r="AK35" s="146">
        <f>SUM(AG35:AJ35)</f>
        <v>47.317590999999993</v>
      </c>
      <c r="AL35" s="96">
        <f>SUM(AL29:AL34)</f>
        <v>11.369579037499999</v>
      </c>
      <c r="AM35" s="96">
        <f>SUM(AM29:AM34)</f>
        <v>11.369579037499999</v>
      </c>
      <c r="AN35" s="96">
        <f>SUM(AN29:AN34)</f>
        <v>11.369579037499999</v>
      </c>
      <c r="AO35" s="96">
        <f>SUM(AO29:AO34)</f>
        <v>11.369579037499999</v>
      </c>
      <c r="AP35" s="146">
        <f>SUM(AL35:AO35)</f>
        <v>45.478316149999998</v>
      </c>
      <c r="AQ35" s="96">
        <f t="shared" ref="AQ35:BW35" si="26">SUM(AQ29:AQ34)</f>
        <v>11.562749199999999</v>
      </c>
      <c r="AR35" s="96">
        <f t="shared" si="26"/>
        <v>11.562749199999999</v>
      </c>
      <c r="AS35" s="96">
        <f t="shared" si="26"/>
        <v>11.562749199999999</v>
      </c>
      <c r="AT35" s="96">
        <f t="shared" si="26"/>
        <v>11.562749199999999</v>
      </c>
      <c r="AU35" s="146">
        <f t="shared" si="26"/>
        <v>46.250996799999996</v>
      </c>
      <c r="AV35" s="96">
        <f t="shared" si="26"/>
        <v>10.224595687500001</v>
      </c>
      <c r="AW35" s="96">
        <f t="shared" si="26"/>
        <v>10.224595687500001</v>
      </c>
      <c r="AX35" s="96">
        <f t="shared" si="26"/>
        <v>10.224595687500001</v>
      </c>
      <c r="AY35" s="96">
        <f t="shared" si="26"/>
        <v>10.224595687500001</v>
      </c>
      <c r="AZ35" s="146">
        <f t="shared" si="26"/>
        <v>40.898382750000003</v>
      </c>
      <c r="BA35" s="96">
        <f t="shared" si="26"/>
        <v>9.8990937624999997</v>
      </c>
      <c r="BB35" s="96">
        <f t="shared" si="26"/>
        <v>9.8990937624999997</v>
      </c>
      <c r="BC35" s="96">
        <f t="shared" si="26"/>
        <v>9.8990937624999997</v>
      </c>
      <c r="BD35" s="96">
        <f t="shared" si="26"/>
        <v>9.8990937624999997</v>
      </c>
      <c r="BE35" s="146">
        <f t="shared" si="26"/>
        <v>39.596375049999999</v>
      </c>
      <c r="BF35" s="1115">
        <f t="shared" si="26"/>
        <v>10.214777399999999</v>
      </c>
      <c r="BG35" s="96">
        <f t="shared" si="26"/>
        <v>10.214777399999999</v>
      </c>
      <c r="BH35" s="96">
        <f t="shared" si="26"/>
        <v>10.214777399999999</v>
      </c>
      <c r="BI35" s="97">
        <f t="shared" si="26"/>
        <v>10.214777399999999</v>
      </c>
      <c r="BJ35" s="146">
        <f t="shared" si="26"/>
        <v>40.859109599999996</v>
      </c>
      <c r="BK35" s="1115">
        <f t="shared" ref="BK35:BT35" si="27">SUM(BK29:BK34)</f>
        <v>10.21092075</v>
      </c>
      <c r="BL35" s="96">
        <f t="shared" si="27"/>
        <v>10.21092075</v>
      </c>
      <c r="BM35" s="96">
        <f t="shared" si="27"/>
        <v>10.21092075</v>
      </c>
      <c r="BN35" s="97">
        <f t="shared" si="27"/>
        <v>10.21092075</v>
      </c>
      <c r="BO35" s="146">
        <f t="shared" si="27"/>
        <v>40.843682999999999</v>
      </c>
      <c r="BP35" s="1115">
        <f t="shared" si="27"/>
        <v>10.21092075</v>
      </c>
      <c r="BQ35" s="96">
        <f t="shared" si="27"/>
        <v>10.21092075</v>
      </c>
      <c r="BR35" s="96">
        <f t="shared" si="27"/>
        <v>10.21092075</v>
      </c>
      <c r="BS35" s="97">
        <f t="shared" si="27"/>
        <v>10.21092075</v>
      </c>
      <c r="BT35" s="146">
        <f t="shared" si="27"/>
        <v>40.433887950000006</v>
      </c>
      <c r="BU35" s="146">
        <f t="shared" si="26"/>
        <v>34.255539303000006</v>
      </c>
      <c r="BV35" s="146">
        <f t="shared" si="26"/>
        <v>33.420428516940007</v>
      </c>
      <c r="BW35" s="146">
        <f t="shared" si="26"/>
        <v>33.420428516940007</v>
      </c>
      <c r="BX35" s="146">
        <f>SUM(BX29:BX34)</f>
        <v>31.374407091093008</v>
      </c>
      <c r="BY35" s="146">
        <f>SUM(BY29:BY34)</f>
        <v>29.430686736538355</v>
      </c>
      <c r="BZ35" s="146">
        <f>SUM(BZ29:BZ34)</f>
        <v>30.169300471269121</v>
      </c>
      <c r="CA35" s="146">
        <f>SUM(CA29:CA34)</f>
        <v>30.922686480694502</v>
      </c>
      <c r="CB35" s="146">
        <f>SUM(CB29:CB34)</f>
        <v>31.691140210308394</v>
      </c>
    </row>
    <row r="36" spans="1:80" ht="12" customHeight="1">
      <c r="A36" s="176"/>
      <c r="B36" s="176"/>
      <c r="C36" s="98"/>
      <c r="D36" s="98"/>
      <c r="E36" s="98"/>
      <c r="F36" s="98"/>
      <c r="G36" s="146"/>
      <c r="H36" s="98"/>
      <c r="I36" s="98"/>
      <c r="J36" s="98"/>
      <c r="K36" s="98"/>
      <c r="L36" s="146"/>
      <c r="M36" s="98"/>
      <c r="N36" s="98"/>
      <c r="O36" s="98"/>
      <c r="P36" s="98"/>
      <c r="Q36" s="146"/>
      <c r="R36" s="98"/>
      <c r="S36" s="98"/>
      <c r="T36" s="98"/>
      <c r="U36" s="98"/>
      <c r="V36" s="146"/>
      <c r="W36" s="98"/>
      <c r="X36" s="98"/>
      <c r="Y36" s="98"/>
      <c r="Z36" s="98"/>
      <c r="AA36" s="146"/>
      <c r="AB36" s="98"/>
      <c r="AC36" s="98"/>
      <c r="AD36" s="98"/>
      <c r="AE36" s="98"/>
      <c r="AF36" s="146"/>
      <c r="AG36" s="96"/>
      <c r="AH36" s="96"/>
      <c r="AI36" s="96"/>
      <c r="AJ36" s="96"/>
      <c r="AK36" s="146"/>
      <c r="AL36" s="96"/>
      <c r="AM36" s="96"/>
      <c r="AN36" s="96"/>
      <c r="AO36" s="96"/>
      <c r="AP36" s="146"/>
      <c r="AQ36" s="96"/>
      <c r="AR36" s="96"/>
      <c r="AS36" s="96"/>
      <c r="AT36" s="96"/>
      <c r="AU36" s="146"/>
      <c r="AV36" s="96"/>
      <c r="AW36" s="96"/>
      <c r="AX36" s="96"/>
      <c r="AY36" s="96"/>
      <c r="AZ36" s="146"/>
      <c r="BA36" s="96"/>
      <c r="BB36" s="96"/>
      <c r="BC36" s="96"/>
      <c r="BD36" s="96"/>
      <c r="BE36" s="146"/>
      <c r="BF36" s="1115"/>
      <c r="BG36" s="96"/>
      <c r="BH36" s="96"/>
      <c r="BI36" s="97"/>
      <c r="BJ36" s="146"/>
      <c r="BK36" s="1115"/>
      <c r="BL36" s="96"/>
      <c r="BM36" s="96"/>
      <c r="BN36" s="97"/>
      <c r="BO36" s="146"/>
      <c r="BP36" s="1115"/>
      <c r="BQ36" s="96"/>
      <c r="BR36" s="96"/>
      <c r="BS36" s="97"/>
      <c r="BT36" s="146"/>
      <c r="BU36" s="146"/>
      <c r="BV36" s="146"/>
      <c r="BW36" s="146"/>
      <c r="BX36" s="146"/>
      <c r="BY36" s="146"/>
      <c r="BZ36" s="146"/>
      <c r="CA36" s="146"/>
      <c r="CB36" s="146"/>
    </row>
    <row r="37" spans="1:80" ht="12" customHeight="1">
      <c r="A37" s="2" t="s">
        <v>1351</v>
      </c>
      <c r="B37" s="2"/>
      <c r="C37" s="98">
        <f t="shared" ref="C37:L37" si="28">(C25*C20)/1000</f>
        <v>1.962018</v>
      </c>
      <c r="D37" s="98">
        <f t="shared" si="28"/>
        <v>2.0997660000000002</v>
      </c>
      <c r="E37" s="98">
        <f t="shared" si="28"/>
        <v>2.3040299999999996</v>
      </c>
      <c r="F37" s="98">
        <f t="shared" si="28"/>
        <v>2.0243549999999999</v>
      </c>
      <c r="G37" s="146">
        <f t="shared" si="28"/>
        <v>8.3901690000000002</v>
      </c>
      <c r="H37" s="98">
        <f t="shared" si="28"/>
        <v>2.053887</v>
      </c>
      <c r="I37" s="98">
        <f t="shared" si="28"/>
        <v>2.1167009999999999</v>
      </c>
      <c r="J37" s="98">
        <f t="shared" si="28"/>
        <v>2.1632640000000003</v>
      </c>
      <c r="K37" s="98">
        <f t="shared" si="28"/>
        <v>1.8968849999999997</v>
      </c>
      <c r="L37" s="146">
        <f t="shared" si="28"/>
        <v>8.2307369999999995</v>
      </c>
      <c r="M37" s="98">
        <f t="shared" ref="M37:V37" si="29">(M25*M20)/1000</f>
        <v>2.6577120000000001</v>
      </c>
      <c r="N37" s="98">
        <f t="shared" si="29"/>
        <v>2.630163</v>
      </c>
      <c r="O37" s="98">
        <f t="shared" si="29"/>
        <v>2.6672579999999999</v>
      </c>
      <c r="P37" s="98">
        <f t="shared" si="29"/>
        <v>2.4170340000000001</v>
      </c>
      <c r="Q37" s="146">
        <f t="shared" si="29"/>
        <v>10.372167000000001</v>
      </c>
      <c r="R37" s="98">
        <f t="shared" si="29"/>
        <v>2.3156249999999998</v>
      </c>
      <c r="S37" s="98">
        <f t="shared" si="29"/>
        <v>2.4540209999999996</v>
      </c>
      <c r="T37" s="98">
        <f t="shared" si="29"/>
        <v>2.3626710000000002</v>
      </c>
      <c r="U37" s="98">
        <f t="shared" si="29"/>
        <v>1.6524510000000001</v>
      </c>
      <c r="V37" s="146">
        <f t="shared" si="29"/>
        <v>8.7847679999999997</v>
      </c>
      <c r="W37" s="98">
        <f t="shared" ref="W37:AP37" si="30">(W25*W20)/1000</f>
        <v>1.5898019999999999</v>
      </c>
      <c r="X37" s="98">
        <f t="shared" si="30"/>
        <v>1.706715</v>
      </c>
      <c r="Y37" s="98">
        <f t="shared" si="30"/>
        <v>1.7508390000000003</v>
      </c>
      <c r="Z37" s="98">
        <f t="shared" si="30"/>
        <v>1.40458335</v>
      </c>
      <c r="AA37" s="146">
        <f t="shared" si="30"/>
        <v>6.4519393500000009</v>
      </c>
      <c r="AB37" s="98">
        <f t="shared" si="30"/>
        <v>1.6692921000000001</v>
      </c>
      <c r="AC37" s="98">
        <f t="shared" si="30"/>
        <v>1.7920507499999998</v>
      </c>
      <c r="AD37" s="98">
        <f t="shared" si="30"/>
        <v>1.8383809500000001</v>
      </c>
      <c r="AE37" s="98">
        <f t="shared" si="30"/>
        <v>1.4748125175000002</v>
      </c>
      <c r="AF37" s="146">
        <f t="shared" si="30"/>
        <v>6.7745363175</v>
      </c>
      <c r="AG37" s="98">
        <f t="shared" si="30"/>
        <v>1.6843157288999997</v>
      </c>
      <c r="AH37" s="98">
        <f t="shared" si="30"/>
        <v>1.8081792067499995</v>
      </c>
      <c r="AI37" s="98">
        <f t="shared" si="30"/>
        <v>1.8549263785500003</v>
      </c>
      <c r="AJ37" s="98">
        <f t="shared" si="30"/>
        <v>1.4880858301575002</v>
      </c>
      <c r="AK37" s="146">
        <f t="shared" si="30"/>
        <v>6.8355071443575</v>
      </c>
      <c r="AL37" s="98">
        <f t="shared" si="30"/>
        <v>1.6994745704600995</v>
      </c>
      <c r="AM37" s="98">
        <f t="shared" si="30"/>
        <v>1.8244528196107495</v>
      </c>
      <c r="AN37" s="98">
        <f t="shared" si="30"/>
        <v>1.8716207159569498</v>
      </c>
      <c r="AO37" s="98">
        <f t="shared" si="30"/>
        <v>1.5014786026289175</v>
      </c>
      <c r="AP37" s="146">
        <f t="shared" si="30"/>
        <v>6.8970267086567159</v>
      </c>
      <c r="AQ37" s="98">
        <f t="shared" ref="AQ37:BW37" si="31">(AQ25*AQ20)/1000</f>
        <v>1.7147698415942405</v>
      </c>
      <c r="AR37" s="98">
        <f t="shared" si="31"/>
        <v>1.8408728949872459</v>
      </c>
      <c r="AS37" s="98">
        <f t="shared" si="31"/>
        <v>1.8884653024005622</v>
      </c>
      <c r="AT37" s="98">
        <f t="shared" si="31"/>
        <v>1.5149919100525777</v>
      </c>
      <c r="AU37" s="146">
        <f t="shared" si="31"/>
        <v>6.9590999490346261</v>
      </c>
      <c r="AV37" s="98">
        <f t="shared" si="31"/>
        <v>1.7302027701685883</v>
      </c>
      <c r="AW37" s="98">
        <f t="shared" si="31"/>
        <v>1.8574407510421311</v>
      </c>
      <c r="AX37" s="98">
        <f t="shared" si="31"/>
        <v>1.9054614901221671</v>
      </c>
      <c r="AY37" s="98">
        <f t="shared" si="31"/>
        <v>1.5286268372430505</v>
      </c>
      <c r="AZ37" s="146">
        <f t="shared" si="31"/>
        <v>7.0217318485759366</v>
      </c>
      <c r="BA37" s="98">
        <f t="shared" si="31"/>
        <v>1.7457745951001056</v>
      </c>
      <c r="BB37" s="98">
        <f t="shared" si="31"/>
        <v>1.8741577178015101</v>
      </c>
      <c r="BC37" s="98">
        <f t="shared" si="31"/>
        <v>1.9226106435332664</v>
      </c>
      <c r="BD37" s="98">
        <f t="shared" si="31"/>
        <v>1.5423844787782377</v>
      </c>
      <c r="BE37" s="146">
        <f t="shared" si="31"/>
        <v>7.0849274352131184</v>
      </c>
      <c r="BF37" s="1115">
        <f t="shared" ref="BF37:BO37" si="32">(BF25*BF20)/1000</f>
        <v>1.7614865664560067</v>
      </c>
      <c r="BG37" s="96">
        <f t="shared" si="32"/>
        <v>1.8910251372617235</v>
      </c>
      <c r="BH37" s="96">
        <f t="shared" si="32"/>
        <v>1.9399141393250656</v>
      </c>
      <c r="BI37" s="97">
        <f t="shared" si="32"/>
        <v>1.5562659390872415</v>
      </c>
      <c r="BJ37" s="146">
        <f t="shared" si="32"/>
        <v>7.1486917821300366</v>
      </c>
      <c r="BK37" s="1115">
        <f t="shared" si="32"/>
        <v>1.7773399455541103</v>
      </c>
      <c r="BL37" s="96">
        <f t="shared" si="32"/>
        <v>1.908044363497079</v>
      </c>
      <c r="BM37" s="96">
        <f t="shared" si="32"/>
        <v>1.957373366578991</v>
      </c>
      <c r="BN37" s="97">
        <f t="shared" si="32"/>
        <v>1.5702723325390266</v>
      </c>
      <c r="BO37" s="146">
        <f t="shared" si="32"/>
        <v>7.2130300081692065</v>
      </c>
      <c r="BP37" s="1115">
        <f>(BP25*BP20)/1000</f>
        <v>1.7933360050640972</v>
      </c>
      <c r="BQ37" s="96">
        <f>(BQ25*BQ20)/1000</f>
        <v>1.9252167627685521</v>
      </c>
      <c r="BR37" s="96">
        <f>(BR25*BR20)/1000</f>
        <v>1.9749897268782015</v>
      </c>
      <c r="BS37" s="97">
        <f>(BS25*BS20)/1000</f>
        <v>1.5844047835318775</v>
      </c>
      <c r="BT37" s="146">
        <f>(BT25*BT20)/1000</f>
        <v>7.2779472782427295</v>
      </c>
      <c r="BU37" s="146">
        <f t="shared" si="31"/>
        <v>7.343448803746913</v>
      </c>
      <c r="BV37" s="146">
        <f t="shared" si="31"/>
        <v>7.4095398429806334</v>
      </c>
      <c r="BW37" s="146">
        <f t="shared" si="31"/>
        <v>7.4762257015674587</v>
      </c>
      <c r="BX37" s="146">
        <f>(BX25*BX20)/1000</f>
        <v>7.5435117328815648</v>
      </c>
      <c r="BY37" s="146">
        <f>(BY25*BY20)/1000</f>
        <v>7.6114033384774986</v>
      </c>
      <c r="BZ37" s="146">
        <f>(BZ25*BZ20)/1000</f>
        <v>7.6799059685237951</v>
      </c>
      <c r="CA37" s="146">
        <f>(CA25*CA20)/1000</f>
        <v>7.7490251222405098</v>
      </c>
      <c r="CB37" s="146">
        <f>(CB25*CB20)/1000</f>
        <v>7.818766348340672</v>
      </c>
    </row>
    <row r="38" spans="1:80" ht="5.25" customHeight="1">
      <c r="A38" s="2"/>
      <c r="B38" s="2"/>
      <c r="C38" s="564" t="s">
        <v>1226</v>
      </c>
      <c r="D38" s="564" t="s">
        <v>1226</v>
      </c>
      <c r="E38" s="564" t="s">
        <v>1226</v>
      </c>
      <c r="F38" s="564" t="s">
        <v>1226</v>
      </c>
      <c r="G38" s="736" t="s">
        <v>1226</v>
      </c>
      <c r="H38" s="564" t="s">
        <v>1226</v>
      </c>
      <c r="I38" s="564" t="s">
        <v>1226</v>
      </c>
      <c r="J38" s="564" t="s">
        <v>1226</v>
      </c>
      <c r="K38" s="564" t="s">
        <v>1226</v>
      </c>
      <c r="L38" s="736" t="s">
        <v>1226</v>
      </c>
      <c r="M38" s="564" t="s">
        <v>1226</v>
      </c>
      <c r="N38" s="564" t="s">
        <v>1226</v>
      </c>
      <c r="O38" s="564" t="s">
        <v>1226</v>
      </c>
      <c r="P38" s="564" t="s">
        <v>1226</v>
      </c>
      <c r="Q38" s="736" t="s">
        <v>1226</v>
      </c>
      <c r="R38" s="564" t="s">
        <v>1226</v>
      </c>
      <c r="S38" s="564" t="s">
        <v>1226</v>
      </c>
      <c r="T38" s="564" t="s">
        <v>1226</v>
      </c>
      <c r="U38" s="564" t="s">
        <v>1226</v>
      </c>
      <c r="V38" s="736" t="s">
        <v>1226</v>
      </c>
      <c r="W38" s="564" t="s">
        <v>1226</v>
      </c>
      <c r="X38" s="564" t="s">
        <v>1226</v>
      </c>
      <c r="Y38" s="564" t="s">
        <v>1226</v>
      </c>
      <c r="Z38" s="564" t="s">
        <v>1226</v>
      </c>
      <c r="AA38" s="736" t="s">
        <v>1226</v>
      </c>
      <c r="AB38" s="564" t="s">
        <v>1226</v>
      </c>
      <c r="AC38" s="564" t="s">
        <v>1226</v>
      </c>
      <c r="AD38" s="564" t="s">
        <v>1226</v>
      </c>
      <c r="AE38" s="564" t="s">
        <v>1226</v>
      </c>
      <c r="AF38" s="736" t="s">
        <v>1226</v>
      </c>
      <c r="AG38" s="564" t="s">
        <v>1226</v>
      </c>
      <c r="AH38" s="564" t="s">
        <v>1226</v>
      </c>
      <c r="AI38" s="564" t="s">
        <v>1226</v>
      </c>
      <c r="AJ38" s="564" t="s">
        <v>1226</v>
      </c>
      <c r="AK38" s="736" t="s">
        <v>1226</v>
      </c>
      <c r="AL38" s="564" t="s">
        <v>1226</v>
      </c>
      <c r="AM38" s="564" t="s">
        <v>1226</v>
      </c>
      <c r="AN38" s="564" t="s">
        <v>1226</v>
      </c>
      <c r="AO38" s="564" t="s">
        <v>1226</v>
      </c>
      <c r="AP38" s="736" t="s">
        <v>1226</v>
      </c>
      <c r="AQ38" s="564" t="s">
        <v>1226</v>
      </c>
      <c r="AR38" s="564" t="s">
        <v>1226</v>
      </c>
      <c r="AS38" s="564" t="s">
        <v>1226</v>
      </c>
      <c r="AT38" s="564" t="s">
        <v>1226</v>
      </c>
      <c r="AU38" s="736" t="s">
        <v>1226</v>
      </c>
      <c r="AV38" s="564" t="s">
        <v>1226</v>
      </c>
      <c r="AW38" s="564" t="s">
        <v>1226</v>
      </c>
      <c r="AX38" s="564" t="s">
        <v>1226</v>
      </c>
      <c r="AY38" s="564" t="s">
        <v>1226</v>
      </c>
      <c r="AZ38" s="736" t="s">
        <v>1226</v>
      </c>
      <c r="BA38" s="564" t="s">
        <v>1226</v>
      </c>
      <c r="BB38" s="564" t="s">
        <v>1226</v>
      </c>
      <c r="BC38" s="564" t="s">
        <v>1226</v>
      </c>
      <c r="BD38" s="564" t="s">
        <v>1226</v>
      </c>
      <c r="BE38" s="736" t="s">
        <v>1226</v>
      </c>
      <c r="BF38" s="734" t="s">
        <v>1226</v>
      </c>
      <c r="BG38" s="564" t="s">
        <v>1226</v>
      </c>
      <c r="BH38" s="564" t="s">
        <v>1226</v>
      </c>
      <c r="BI38" s="1789" t="s">
        <v>1226</v>
      </c>
      <c r="BJ38" s="736" t="s">
        <v>1226</v>
      </c>
      <c r="BK38" s="734" t="s">
        <v>1226</v>
      </c>
      <c r="BL38" s="564" t="s">
        <v>1226</v>
      </c>
      <c r="BM38" s="564" t="s">
        <v>1226</v>
      </c>
      <c r="BN38" s="1789" t="s">
        <v>1226</v>
      </c>
      <c r="BO38" s="736" t="s">
        <v>1226</v>
      </c>
      <c r="BP38" s="734" t="s">
        <v>1226</v>
      </c>
      <c r="BQ38" s="564" t="s">
        <v>1226</v>
      </c>
      <c r="BR38" s="564" t="s">
        <v>1226</v>
      </c>
      <c r="BS38" s="1789" t="s">
        <v>1226</v>
      </c>
      <c r="BT38" s="736" t="s">
        <v>1226</v>
      </c>
      <c r="BU38" s="736" t="s">
        <v>1226</v>
      </c>
      <c r="BV38" s="736" t="s">
        <v>1226</v>
      </c>
      <c r="BW38" s="736" t="s">
        <v>1226</v>
      </c>
      <c r="BX38" s="736" t="s">
        <v>1226</v>
      </c>
      <c r="BY38" s="736" t="s">
        <v>1226</v>
      </c>
      <c r="BZ38" s="736" t="s">
        <v>1226</v>
      </c>
      <c r="CA38" s="736" t="s">
        <v>1226</v>
      </c>
      <c r="CB38" s="736" t="s">
        <v>1226</v>
      </c>
    </row>
    <row r="39" spans="1:80" ht="12" customHeight="1">
      <c r="A39" s="2" t="s">
        <v>1352</v>
      </c>
      <c r="B39" s="2"/>
      <c r="C39" s="1072">
        <f>C35+C37</f>
        <v>18.523784562500001</v>
      </c>
      <c r="D39" s="1072">
        <f>D35+D37</f>
        <v>18.6615325625</v>
      </c>
      <c r="E39" s="1072">
        <f>E35+E37</f>
        <v>18.865796562500002</v>
      </c>
      <c r="F39" s="1072">
        <f>F35+F37</f>
        <v>18.586121562500001</v>
      </c>
      <c r="G39" s="1073">
        <f>G35+G37</f>
        <v>74.637235250000003</v>
      </c>
      <c r="H39" s="1072">
        <f t="shared" ref="H39:Q39" si="33">H35+H37</f>
        <v>18.893618225000001</v>
      </c>
      <c r="I39" s="1072">
        <f t="shared" si="33"/>
        <v>18.956432225</v>
      </c>
      <c r="J39" s="1072">
        <f t="shared" si="33"/>
        <v>19.002995225000003</v>
      </c>
      <c r="K39" s="1072">
        <f t="shared" si="33"/>
        <v>18.736616225000002</v>
      </c>
      <c r="L39" s="1073">
        <f t="shared" si="33"/>
        <v>75.58966190000001</v>
      </c>
      <c r="M39" s="1072">
        <f t="shared" si="33"/>
        <v>24.211000674999998</v>
      </c>
      <c r="N39" s="1072">
        <f t="shared" si="33"/>
        <v>24.183451674999997</v>
      </c>
      <c r="O39" s="1072">
        <f t="shared" si="33"/>
        <v>24.220546674999998</v>
      </c>
      <c r="P39" s="1072">
        <f t="shared" si="33"/>
        <v>23.970322674999998</v>
      </c>
      <c r="Q39" s="1073">
        <f t="shared" si="33"/>
        <v>96.585321699999994</v>
      </c>
      <c r="R39" s="1072">
        <f t="shared" ref="R39:AF39" si="34">R35+R37</f>
        <v>21.0227422</v>
      </c>
      <c r="S39" s="1072">
        <f t="shared" si="34"/>
        <v>21.1611382</v>
      </c>
      <c r="T39" s="1072">
        <f t="shared" si="34"/>
        <v>21.069788199999998</v>
      </c>
      <c r="U39" s="1072">
        <f t="shared" si="34"/>
        <v>20.359568199999998</v>
      </c>
      <c r="V39" s="1073">
        <f t="shared" si="34"/>
        <v>83.613236799999996</v>
      </c>
      <c r="W39" s="1072">
        <f t="shared" si="34"/>
        <v>13.759783350000001</v>
      </c>
      <c r="X39" s="1072">
        <f t="shared" si="34"/>
        <v>13.87669635</v>
      </c>
      <c r="Y39" s="1072">
        <f t="shared" si="34"/>
        <v>13.920820350000001</v>
      </c>
      <c r="Z39" s="1072">
        <f t="shared" si="34"/>
        <v>13.5745647</v>
      </c>
      <c r="AA39" s="1073">
        <f t="shared" si="34"/>
        <v>55.131864750000005</v>
      </c>
      <c r="AB39" s="1072">
        <f t="shared" si="34"/>
        <v>14.3411091375</v>
      </c>
      <c r="AC39" s="1072">
        <f t="shared" si="34"/>
        <v>14.4638677875</v>
      </c>
      <c r="AD39" s="1072">
        <f t="shared" si="34"/>
        <v>14.5101979875</v>
      </c>
      <c r="AE39" s="1072">
        <f t="shared" si="34"/>
        <v>14.146629555000001</v>
      </c>
      <c r="AF39" s="1073">
        <f t="shared" si="34"/>
        <v>57.461804467500002</v>
      </c>
      <c r="AG39" s="1072">
        <f t="shared" ref="AG39:AP39" si="35">AG35+AG37</f>
        <v>13.513713478899998</v>
      </c>
      <c r="AH39" s="1072">
        <f t="shared" si="35"/>
        <v>13.637576956749998</v>
      </c>
      <c r="AI39" s="1072">
        <f t="shared" si="35"/>
        <v>13.684324128549999</v>
      </c>
      <c r="AJ39" s="1072">
        <f t="shared" si="35"/>
        <v>13.317483580157498</v>
      </c>
      <c r="AK39" s="1073">
        <f t="shared" si="35"/>
        <v>54.153098144357493</v>
      </c>
      <c r="AL39" s="1072">
        <f t="shared" si="35"/>
        <v>13.069053607960099</v>
      </c>
      <c r="AM39" s="1072">
        <f t="shared" si="35"/>
        <v>13.194031857110749</v>
      </c>
      <c r="AN39" s="1072">
        <f t="shared" si="35"/>
        <v>13.24119975345695</v>
      </c>
      <c r="AO39" s="1072">
        <f t="shared" si="35"/>
        <v>12.871057640128917</v>
      </c>
      <c r="AP39" s="1073">
        <f t="shared" si="35"/>
        <v>52.375342858656715</v>
      </c>
      <c r="AQ39" s="1072">
        <f t="shared" ref="AQ39:BW39" si="36">AQ35+AQ37</f>
        <v>13.277519041594239</v>
      </c>
      <c r="AR39" s="1072">
        <f t="shared" si="36"/>
        <v>13.403622094987245</v>
      </c>
      <c r="AS39" s="1072">
        <f t="shared" si="36"/>
        <v>13.45121450240056</v>
      </c>
      <c r="AT39" s="1072">
        <f t="shared" si="36"/>
        <v>13.077741110052576</v>
      </c>
      <c r="AU39" s="1073">
        <f t="shared" si="36"/>
        <v>53.210096749034619</v>
      </c>
      <c r="AV39" s="1072">
        <f t="shared" si="36"/>
        <v>11.95479845766859</v>
      </c>
      <c r="AW39" s="1072">
        <f t="shared" si="36"/>
        <v>12.082036438542133</v>
      </c>
      <c r="AX39" s="1072">
        <f t="shared" si="36"/>
        <v>12.130057177622168</v>
      </c>
      <c r="AY39" s="1072">
        <f t="shared" si="36"/>
        <v>11.753222524743052</v>
      </c>
      <c r="AZ39" s="1073">
        <f t="shared" si="36"/>
        <v>47.920114598575942</v>
      </c>
      <c r="BA39" s="1072">
        <f t="shared" si="36"/>
        <v>11.644868357600105</v>
      </c>
      <c r="BB39" s="1072">
        <f t="shared" si="36"/>
        <v>11.773251480301511</v>
      </c>
      <c r="BC39" s="1072">
        <f t="shared" si="36"/>
        <v>11.821704406033266</v>
      </c>
      <c r="BD39" s="1072">
        <f t="shared" si="36"/>
        <v>11.441478241278237</v>
      </c>
      <c r="BE39" s="1073">
        <f t="shared" si="36"/>
        <v>46.681302485213116</v>
      </c>
      <c r="BF39" s="2830">
        <f t="shared" ref="BF39:BO39" si="37">BF35+BF37</f>
        <v>11.976263966456006</v>
      </c>
      <c r="BG39" s="402">
        <f t="shared" si="37"/>
        <v>12.105802537261722</v>
      </c>
      <c r="BH39" s="402">
        <f t="shared" si="37"/>
        <v>12.154691539325064</v>
      </c>
      <c r="BI39" s="1121">
        <f t="shared" si="37"/>
        <v>11.771043339087241</v>
      </c>
      <c r="BJ39" s="1073">
        <f t="shared" si="37"/>
        <v>48.007801382130033</v>
      </c>
      <c r="BK39" s="2830">
        <f t="shared" si="37"/>
        <v>11.988260695554111</v>
      </c>
      <c r="BL39" s="402">
        <f t="shared" si="37"/>
        <v>12.118965113497079</v>
      </c>
      <c r="BM39" s="402">
        <f t="shared" si="37"/>
        <v>12.168294116578991</v>
      </c>
      <c r="BN39" s="1121">
        <f t="shared" si="37"/>
        <v>11.781193082539026</v>
      </c>
      <c r="BO39" s="1073">
        <f t="shared" si="37"/>
        <v>48.056713008169204</v>
      </c>
      <c r="BP39" s="2830">
        <f>BP35+BP37</f>
        <v>12.004256755064096</v>
      </c>
      <c r="BQ39" s="402">
        <f>BQ35+BQ37</f>
        <v>12.136137512768553</v>
      </c>
      <c r="BR39" s="402">
        <f>BR35+BR37</f>
        <v>12.185910476878201</v>
      </c>
      <c r="BS39" s="1121">
        <f>BS35+BS37</f>
        <v>11.795325533531877</v>
      </c>
      <c r="BT39" s="1073">
        <f>BT35+BT37</f>
        <v>47.711835228242734</v>
      </c>
      <c r="BU39" s="1073">
        <f t="shared" si="36"/>
        <v>41.598988106746916</v>
      </c>
      <c r="BV39" s="1073">
        <f t="shared" si="36"/>
        <v>40.829968359920642</v>
      </c>
      <c r="BW39" s="1073">
        <f t="shared" si="36"/>
        <v>40.896654218507464</v>
      </c>
      <c r="BX39" s="1073">
        <f>BX35+BX37</f>
        <v>38.917918823974574</v>
      </c>
      <c r="BY39" s="1073">
        <f>BY35+BY37</f>
        <v>37.042090075015857</v>
      </c>
      <c r="BZ39" s="1073">
        <f>BZ35+BZ37</f>
        <v>37.849206439792916</v>
      </c>
      <c r="CA39" s="1073">
        <f>CA35+CA37</f>
        <v>38.671711602935012</v>
      </c>
      <c r="CB39" s="1073">
        <f>CB35+CB37</f>
        <v>39.509906558649064</v>
      </c>
    </row>
    <row r="40" spans="1:80" ht="12" customHeight="1">
      <c r="A40" s="2"/>
      <c r="B40" s="2"/>
      <c r="C40" s="402"/>
      <c r="D40" s="402"/>
      <c r="E40" s="402"/>
      <c r="F40" s="402"/>
      <c r="G40" s="1073"/>
      <c r="H40" s="402"/>
      <c r="I40" s="402"/>
      <c r="J40" s="402"/>
      <c r="K40" s="402"/>
      <c r="L40" s="1073"/>
      <c r="M40" s="402"/>
      <c r="N40" s="402"/>
      <c r="O40" s="402"/>
      <c r="P40" s="402"/>
      <c r="Q40" s="1073"/>
      <c r="R40" s="402"/>
      <c r="S40" s="402"/>
      <c r="T40" s="402"/>
      <c r="U40" s="402"/>
      <c r="V40" s="1073"/>
      <c r="W40" s="402"/>
      <c r="X40" s="402"/>
      <c r="Y40" s="402"/>
      <c r="Z40" s="402"/>
      <c r="AA40" s="1073"/>
      <c r="AB40" s="402"/>
      <c r="AC40" s="402"/>
      <c r="AD40" s="402"/>
      <c r="AE40" s="402"/>
      <c r="AF40" s="1073"/>
      <c r="AG40" s="402"/>
      <c r="AH40" s="402"/>
      <c r="AI40" s="402"/>
      <c r="AJ40" s="402"/>
      <c r="AK40" s="1073"/>
      <c r="AL40" s="402"/>
      <c r="AM40" s="402"/>
      <c r="AN40" s="402"/>
      <c r="AO40" s="402"/>
      <c r="AP40" s="1073"/>
      <c r="AQ40" s="402"/>
      <c r="AR40" s="402"/>
      <c r="AS40" s="402"/>
      <c r="AT40" s="402"/>
      <c r="AU40" s="1073"/>
      <c r="AV40" s="402"/>
      <c r="AW40" s="402"/>
      <c r="AX40" s="402"/>
      <c r="AY40" s="402"/>
      <c r="AZ40" s="1073"/>
      <c r="BA40" s="402"/>
      <c r="BB40" s="402"/>
      <c r="BC40" s="402"/>
      <c r="BD40" s="402"/>
      <c r="BE40" s="1073"/>
      <c r="BF40" s="2830"/>
      <c r="BG40" s="402"/>
      <c r="BH40" s="402"/>
      <c r="BI40" s="1121"/>
      <c r="BJ40" s="1073"/>
      <c r="BK40" s="2830"/>
      <c r="BL40" s="402"/>
      <c r="BM40" s="402"/>
      <c r="BN40" s="1121"/>
      <c r="BO40" s="1073"/>
      <c r="BP40" s="2830"/>
      <c r="BQ40" s="402"/>
      <c r="BR40" s="402"/>
      <c r="BS40" s="1121"/>
      <c r="BT40" s="1073"/>
      <c r="BU40" s="1073"/>
      <c r="BV40" s="1073"/>
      <c r="BW40" s="1073"/>
      <c r="BX40" s="1073"/>
      <c r="BY40" s="1073"/>
      <c r="BZ40" s="1073"/>
      <c r="CA40" s="1073"/>
      <c r="CB40" s="1073"/>
    </row>
    <row r="41" spans="1:80" ht="12" customHeight="1">
      <c r="A41" s="2" t="s">
        <v>633</v>
      </c>
      <c r="B41" s="2"/>
      <c r="C41" s="1083">
        <v>19.376839</v>
      </c>
      <c r="D41" s="1083">
        <v>22.464131000000002</v>
      </c>
      <c r="E41" s="1083">
        <v>14.203665999999998</v>
      </c>
      <c r="F41" s="1083">
        <v>18.491839000000002</v>
      </c>
      <c r="G41" s="1073">
        <f>SUM(C41:F41)</f>
        <v>74.536474999999996</v>
      </c>
      <c r="H41" s="1083">
        <v>20.700395999999998</v>
      </c>
      <c r="I41" s="1083"/>
      <c r="J41" s="1083"/>
      <c r="K41" s="402"/>
      <c r="L41" s="1073"/>
      <c r="M41" s="1083"/>
      <c r="N41" s="1083"/>
      <c r="O41" s="1083"/>
      <c r="P41" s="402"/>
      <c r="Q41" s="1073"/>
      <c r="R41" s="1083"/>
      <c r="S41" s="1083"/>
      <c r="T41" s="1083"/>
      <c r="U41" s="402"/>
      <c r="V41" s="1073"/>
      <c r="W41" s="1083"/>
      <c r="X41" s="1083"/>
      <c r="Y41" s="1083"/>
      <c r="Z41" s="402"/>
      <c r="AA41" s="1073"/>
      <c r="AB41" s="1083"/>
      <c r="AC41" s="1083"/>
      <c r="AD41" s="1083"/>
      <c r="AE41" s="402"/>
      <c r="AF41" s="1073"/>
      <c r="AG41" s="402"/>
      <c r="AH41" s="402"/>
      <c r="AI41" s="402"/>
      <c r="AJ41" s="402"/>
      <c r="AK41" s="1084"/>
      <c r="AL41" s="1085"/>
      <c r="AM41" s="1085"/>
      <c r="AN41" s="1085"/>
      <c r="AO41" s="1085"/>
      <c r="AP41" s="1084"/>
      <c r="AQ41" s="1085"/>
      <c r="AR41" s="1085"/>
      <c r="AS41" s="1085"/>
      <c r="AT41" s="1085"/>
      <c r="AU41" s="1084"/>
      <c r="AV41" s="1085"/>
      <c r="AW41" s="1085"/>
      <c r="AX41" s="1085"/>
      <c r="AY41" s="1085"/>
      <c r="AZ41" s="1084"/>
      <c r="BA41" s="1085"/>
      <c r="BB41" s="1085"/>
      <c r="BC41" s="1085"/>
      <c r="BD41" s="1085"/>
      <c r="BE41" s="1084"/>
      <c r="BF41" s="2834"/>
      <c r="BG41" s="1085"/>
      <c r="BH41" s="1085"/>
      <c r="BI41" s="2835"/>
      <c r="BJ41" s="1084"/>
      <c r="BK41" s="2834"/>
      <c r="BL41" s="1085"/>
      <c r="BM41" s="1085"/>
      <c r="BN41" s="2835"/>
      <c r="BO41" s="1084"/>
      <c r="BP41" s="2834"/>
      <c r="BQ41" s="1085"/>
      <c r="BR41" s="1085"/>
      <c r="BS41" s="2835"/>
      <c r="BT41" s="1084"/>
      <c r="BU41" s="1084"/>
      <c r="BV41" s="1084"/>
      <c r="BW41" s="1084"/>
      <c r="BX41" s="1084"/>
      <c r="BY41" s="1084"/>
      <c r="BZ41" s="1084"/>
      <c r="CA41" s="1084"/>
      <c r="CB41" s="1084"/>
    </row>
    <row r="42" spans="1:80" ht="12" customHeight="1">
      <c r="A42" s="2"/>
      <c r="B42" s="2"/>
      <c r="C42" s="402"/>
      <c r="D42" s="402"/>
      <c r="E42" s="402"/>
      <c r="F42" s="402"/>
      <c r="G42" s="1073"/>
      <c r="H42" s="58"/>
      <c r="I42" s="402"/>
      <c r="J42" s="402"/>
      <c r="K42" s="402"/>
      <c r="L42" s="1073"/>
      <c r="M42" s="402"/>
      <c r="N42" s="402"/>
      <c r="O42" s="402"/>
      <c r="P42" s="402"/>
      <c r="Q42" s="1073"/>
      <c r="R42" s="402"/>
      <c r="S42" s="402"/>
      <c r="T42" s="402"/>
      <c r="U42" s="402"/>
      <c r="V42" s="1073"/>
      <c r="W42" s="402"/>
      <c r="X42" s="402"/>
      <c r="Y42" s="402"/>
      <c r="Z42" s="402"/>
      <c r="AA42" s="1073"/>
      <c r="AB42" s="402"/>
      <c r="AC42" s="402"/>
      <c r="AD42" s="402"/>
      <c r="AE42" s="402"/>
      <c r="AF42" s="1073"/>
      <c r="AG42" s="402"/>
      <c r="AH42" s="402"/>
      <c r="AI42" s="402"/>
      <c r="AJ42" s="402"/>
      <c r="AK42" s="1073"/>
      <c r="AL42" s="402"/>
      <c r="AM42" s="402"/>
      <c r="AN42" s="402"/>
      <c r="AO42" s="402"/>
      <c r="AP42" s="1073"/>
      <c r="AQ42" s="402"/>
      <c r="AR42" s="402"/>
      <c r="AS42" s="402"/>
      <c r="AT42" s="402"/>
      <c r="AU42" s="1073"/>
      <c r="AV42" s="402"/>
      <c r="AW42" s="402"/>
      <c r="AX42" s="402"/>
      <c r="AY42" s="402"/>
      <c r="AZ42" s="1073"/>
      <c r="BA42" s="402"/>
      <c r="BB42" s="402"/>
      <c r="BC42" s="402"/>
      <c r="BD42" s="402"/>
      <c r="BE42" s="1073"/>
      <c r="BF42" s="2830"/>
      <c r="BG42" s="402"/>
      <c r="BH42" s="402"/>
      <c r="BI42" s="1121"/>
      <c r="BJ42" s="1073"/>
      <c r="BK42" s="2830"/>
      <c r="BL42" s="402"/>
      <c r="BM42" s="402"/>
      <c r="BN42" s="1121"/>
      <c r="BO42" s="1073"/>
      <c r="BP42" s="2830"/>
      <c r="BQ42" s="402"/>
      <c r="BR42" s="402"/>
      <c r="BS42" s="1121"/>
      <c r="BT42" s="1073"/>
      <c r="BU42" s="1073"/>
      <c r="BV42" s="1073"/>
      <c r="BW42" s="1073"/>
      <c r="BX42" s="1073"/>
      <c r="BY42" s="1073"/>
      <c r="BZ42" s="1073"/>
      <c r="CA42" s="1073"/>
      <c r="CB42" s="1073"/>
    </row>
    <row r="43" spans="1:80" ht="12" customHeight="1">
      <c r="A43" s="2"/>
      <c r="B43" s="2"/>
      <c r="C43" s="402"/>
      <c r="D43" s="402"/>
      <c r="E43" s="402"/>
      <c r="F43" s="402"/>
      <c r="G43" s="1073"/>
      <c r="H43" s="402"/>
      <c r="I43" s="402"/>
      <c r="J43" s="402"/>
      <c r="K43" s="402"/>
      <c r="L43" s="1073"/>
      <c r="M43" s="402"/>
      <c r="N43" s="402"/>
      <c r="O43" s="402"/>
      <c r="P43" s="402"/>
      <c r="Q43" s="1073"/>
      <c r="R43" s="402"/>
      <c r="S43" s="402"/>
      <c r="T43" s="402"/>
      <c r="U43" s="402"/>
      <c r="V43" s="1073"/>
      <c r="W43" s="402"/>
      <c r="X43" s="402"/>
      <c r="Y43" s="402"/>
      <c r="Z43" s="402"/>
      <c r="AA43" s="1073"/>
      <c r="AB43" s="402"/>
      <c r="AC43" s="402"/>
      <c r="AD43" s="402"/>
      <c r="AE43" s="402"/>
      <c r="AF43" s="1073"/>
      <c r="AG43" s="402"/>
      <c r="AH43" s="402"/>
      <c r="AI43" s="402"/>
      <c r="AJ43" s="402"/>
      <c r="AK43" s="1073"/>
      <c r="AL43" s="402"/>
      <c r="AM43" s="402"/>
      <c r="AN43" s="402"/>
      <c r="AO43" s="402"/>
      <c r="AP43" s="1073"/>
      <c r="AQ43" s="402"/>
      <c r="AR43" s="402"/>
      <c r="AS43" s="402"/>
      <c r="AT43" s="402"/>
      <c r="AU43" s="1073"/>
      <c r="AV43" s="402"/>
      <c r="AW43" s="402"/>
      <c r="AX43" s="402"/>
      <c r="AY43" s="402"/>
      <c r="AZ43" s="1073"/>
      <c r="BA43" s="402"/>
      <c r="BB43" s="402"/>
      <c r="BC43" s="402"/>
      <c r="BD43" s="402"/>
      <c r="BE43" s="1073"/>
      <c r="BF43" s="2830"/>
      <c r="BG43" s="402"/>
      <c r="BH43" s="402"/>
      <c r="BI43" s="1121"/>
      <c r="BJ43" s="1073"/>
      <c r="BK43" s="2830"/>
      <c r="BL43" s="402"/>
      <c r="BM43" s="402"/>
      <c r="BN43" s="1121"/>
      <c r="BO43" s="1073"/>
      <c r="BP43" s="2830"/>
      <c r="BQ43" s="402"/>
      <c r="BR43" s="402"/>
      <c r="BS43" s="1121"/>
      <c r="BT43" s="1073"/>
      <c r="BU43" s="1073"/>
      <c r="BV43" s="1073"/>
      <c r="BW43" s="1073"/>
      <c r="BX43" s="1073"/>
      <c r="BY43" s="1073"/>
      <c r="BZ43" s="1073"/>
      <c r="CA43" s="1073"/>
      <c r="CB43" s="1073"/>
    </row>
    <row r="44" spans="1:80" ht="12" customHeight="1">
      <c r="A44" s="69" t="s">
        <v>720</v>
      </c>
      <c r="B44" s="69"/>
      <c r="C44" s="1070"/>
      <c r="D44" s="1070"/>
      <c r="E44" s="1070"/>
      <c r="F44" s="1070"/>
      <c r="G44" s="1069"/>
      <c r="H44" s="1070"/>
      <c r="I44" s="1070"/>
      <c r="J44" s="1070"/>
      <c r="K44" s="1070"/>
      <c r="L44" s="1069"/>
      <c r="M44" s="1070"/>
      <c r="N44" s="1070"/>
      <c r="O44" s="1070"/>
      <c r="P44" s="1070"/>
      <c r="Q44" s="1069"/>
      <c r="R44" s="1070"/>
      <c r="S44" s="1070"/>
      <c r="T44" s="1070"/>
      <c r="U44" s="1070"/>
      <c r="V44" s="1069"/>
      <c r="W44" s="1070"/>
      <c r="X44" s="1070"/>
      <c r="Y44" s="1070"/>
      <c r="Z44" s="1070"/>
      <c r="AA44" s="1069"/>
      <c r="AB44" s="1070"/>
      <c r="AC44" s="1070"/>
      <c r="AD44" s="1070"/>
      <c r="AE44" s="1070"/>
      <c r="AF44" s="1069"/>
      <c r="AG44" s="1070"/>
      <c r="AH44" s="1070"/>
      <c r="AI44" s="1070"/>
      <c r="AJ44" s="1070"/>
      <c r="AK44" s="1069"/>
      <c r="AL44" s="1070"/>
      <c r="AM44" s="1070"/>
      <c r="AN44" s="1070"/>
      <c r="AO44" s="1070"/>
      <c r="AP44" s="1069"/>
      <c r="AQ44" s="1070"/>
      <c r="AR44" s="1070"/>
      <c r="AS44" s="1070"/>
      <c r="AT44" s="1070"/>
      <c r="AU44" s="1069"/>
      <c r="AV44" s="1070"/>
      <c r="AW44" s="1070"/>
      <c r="AX44" s="1070"/>
      <c r="AY44" s="1070"/>
      <c r="AZ44" s="1069"/>
      <c r="BA44" s="1070"/>
      <c r="BB44" s="1070"/>
      <c r="BC44" s="1070"/>
      <c r="BD44" s="1070"/>
      <c r="BE44" s="1069"/>
      <c r="BF44" s="2828"/>
      <c r="BG44" s="1070"/>
      <c r="BH44" s="1070"/>
      <c r="BI44" s="2829"/>
      <c r="BJ44" s="1069"/>
      <c r="BK44" s="2828"/>
      <c r="BL44" s="1070"/>
      <c r="BM44" s="1070"/>
      <c r="BN44" s="2829"/>
      <c r="BO44" s="1069"/>
      <c r="BP44" s="2828"/>
      <c r="BQ44" s="1070"/>
      <c r="BR44" s="1070"/>
      <c r="BS44" s="2829"/>
      <c r="BT44" s="1069"/>
      <c r="BU44" s="1069"/>
      <c r="BV44" s="1069"/>
      <c r="BW44" s="1069"/>
      <c r="BX44" s="1069"/>
      <c r="BY44" s="1069"/>
      <c r="BZ44" s="1069"/>
      <c r="CA44" s="1069"/>
      <c r="CB44" s="1069"/>
    </row>
    <row r="45" spans="1:80" ht="12" customHeight="1">
      <c r="A45" s="2" t="s">
        <v>1355</v>
      </c>
      <c r="B45" s="2"/>
      <c r="C45" s="1066">
        <v>0.215</v>
      </c>
      <c r="D45" s="1066">
        <v>0.215</v>
      </c>
      <c r="E45" s="1066">
        <v>0.215</v>
      </c>
      <c r="F45" s="1066">
        <v>0.215</v>
      </c>
      <c r="G45" s="1067">
        <v>0.215</v>
      </c>
      <c r="H45" s="1066">
        <v>0.215</v>
      </c>
      <c r="I45" s="1066">
        <v>0.215</v>
      </c>
      <c r="J45" s="1066">
        <v>0.215</v>
      </c>
      <c r="K45" s="1066">
        <v>0.215</v>
      </c>
      <c r="L45" s="1067">
        <v>0.215</v>
      </c>
      <c r="M45" s="1066">
        <v>0.215</v>
      </c>
      <c r="N45" s="1066">
        <v>0.215</v>
      </c>
      <c r="O45" s="1066">
        <v>0.215</v>
      </c>
      <c r="P45" s="1066">
        <v>0.215</v>
      </c>
      <c r="Q45" s="1067">
        <v>0.215</v>
      </c>
      <c r="R45" s="1066">
        <v>0.215</v>
      </c>
      <c r="S45" s="1066">
        <v>0.215</v>
      </c>
      <c r="T45" s="1066">
        <v>0.215</v>
      </c>
      <c r="U45" s="1066">
        <v>0.215</v>
      </c>
      <c r="V45" s="1067">
        <v>0.215</v>
      </c>
      <c r="W45" s="1066">
        <v>0.215</v>
      </c>
      <c r="X45" s="1066">
        <v>0.215</v>
      </c>
      <c r="Y45" s="1066">
        <v>0.215</v>
      </c>
      <c r="Z45" s="1066">
        <v>0.215</v>
      </c>
      <c r="AA45" s="1067">
        <v>0.215</v>
      </c>
      <c r="AB45" s="1066">
        <v>0.215</v>
      </c>
      <c r="AC45" s="1066">
        <v>0.215</v>
      </c>
      <c r="AD45" s="1066">
        <v>0.215</v>
      </c>
      <c r="AE45" s="1066">
        <v>0.215</v>
      </c>
      <c r="AF45" s="1067">
        <v>0.215</v>
      </c>
      <c r="AG45" s="1066">
        <v>0.215</v>
      </c>
      <c r="AH45" s="1066">
        <v>0.215</v>
      </c>
      <c r="AI45" s="1066">
        <v>0.215</v>
      </c>
      <c r="AJ45" s="1066">
        <v>0.215</v>
      </c>
      <c r="AK45" s="1067">
        <v>0.215</v>
      </c>
      <c r="AL45" s="1066">
        <v>0.215</v>
      </c>
      <c r="AM45" s="1066">
        <v>0.215</v>
      </c>
      <c r="AN45" s="1066">
        <v>0.215</v>
      </c>
      <c r="AO45" s="1066">
        <v>0.215</v>
      </c>
      <c r="AP45" s="1067">
        <v>0.215</v>
      </c>
      <c r="AQ45" s="1066">
        <v>0.215</v>
      </c>
      <c r="AR45" s="1066">
        <v>0.215</v>
      </c>
      <c r="AS45" s="1066">
        <v>0.215</v>
      </c>
      <c r="AT45" s="1066">
        <v>0.215</v>
      </c>
      <c r="AU45" s="1067">
        <v>0.215</v>
      </c>
      <c r="AV45" s="1066">
        <v>0.215</v>
      </c>
      <c r="AW45" s="1066">
        <v>0.215</v>
      </c>
      <c r="AX45" s="1066">
        <v>0.215</v>
      </c>
      <c r="AY45" s="1066">
        <v>0.215</v>
      </c>
      <c r="AZ45" s="1067">
        <v>0.215</v>
      </c>
      <c r="BA45" s="1066">
        <v>0.215</v>
      </c>
      <c r="BB45" s="1066">
        <v>0.215</v>
      </c>
      <c r="BC45" s="1066">
        <v>0.215</v>
      </c>
      <c r="BD45" s="1066">
        <v>0.215</v>
      </c>
      <c r="BE45" s="1067">
        <v>0.215</v>
      </c>
      <c r="BF45" s="2826">
        <v>0.215</v>
      </c>
      <c r="BG45" s="1111">
        <v>0.215</v>
      </c>
      <c r="BH45" s="1111">
        <v>0.215</v>
      </c>
      <c r="BI45" s="2827">
        <v>0.215</v>
      </c>
      <c r="BJ45" s="1067">
        <v>0.215</v>
      </c>
      <c r="BK45" s="2826">
        <v>0.215</v>
      </c>
      <c r="BL45" s="1111">
        <v>0.215</v>
      </c>
      <c r="BM45" s="1111">
        <v>0.215</v>
      </c>
      <c r="BN45" s="2827">
        <v>0.215</v>
      </c>
      <c r="BO45" s="1067">
        <v>0.215</v>
      </c>
      <c r="BP45" s="2826">
        <v>0.215</v>
      </c>
      <c r="BQ45" s="1111">
        <v>0.215</v>
      </c>
      <c r="BR45" s="1111">
        <v>0.215</v>
      </c>
      <c r="BS45" s="2827">
        <v>0.215</v>
      </c>
      <c r="BT45" s="1067">
        <v>0.215</v>
      </c>
      <c r="BU45" s="1067">
        <v>0.215</v>
      </c>
      <c r="BV45" s="1067">
        <v>0.215</v>
      </c>
      <c r="BW45" s="1067">
        <v>0.215</v>
      </c>
      <c r="BX45" s="1067">
        <v>0.215</v>
      </c>
      <c r="BY45" s="1067">
        <v>0.215</v>
      </c>
      <c r="BZ45" s="1067">
        <v>0.215</v>
      </c>
      <c r="CA45" s="1067">
        <v>0.215</v>
      </c>
      <c r="CB45" s="1067">
        <v>0.215</v>
      </c>
    </row>
    <row r="46" spans="1:80" ht="12" customHeight="1">
      <c r="A46" s="2" t="s">
        <v>1354</v>
      </c>
      <c r="B46" s="2"/>
      <c r="C46" s="1068">
        <v>0</v>
      </c>
      <c r="D46" s="1068">
        <v>0</v>
      </c>
      <c r="E46" s="1068">
        <v>0</v>
      </c>
      <c r="F46" s="1068">
        <v>0</v>
      </c>
      <c r="G46" s="1069">
        <v>0</v>
      </c>
      <c r="H46" s="1068">
        <v>0</v>
      </c>
      <c r="I46" s="1068">
        <v>0</v>
      </c>
      <c r="J46" s="1068">
        <v>0</v>
      </c>
      <c r="K46" s="1068">
        <v>0</v>
      </c>
      <c r="L46" s="1069">
        <v>0</v>
      </c>
      <c r="M46" s="1068">
        <v>0</v>
      </c>
      <c r="N46" s="1068">
        <v>0</v>
      </c>
      <c r="O46" s="1068">
        <v>0</v>
      </c>
      <c r="P46" s="1068">
        <v>0</v>
      </c>
      <c r="Q46" s="1069">
        <v>0</v>
      </c>
      <c r="R46" s="1068">
        <v>0</v>
      </c>
      <c r="S46" s="1068">
        <v>0</v>
      </c>
      <c r="T46" s="1068">
        <v>0</v>
      </c>
      <c r="U46" s="1068">
        <v>0</v>
      </c>
      <c r="V46" s="1069">
        <v>0</v>
      </c>
      <c r="W46" s="1068">
        <v>0</v>
      </c>
      <c r="X46" s="1068">
        <v>0</v>
      </c>
      <c r="Y46" s="1068">
        <v>0</v>
      </c>
      <c r="Z46" s="1068">
        <v>0</v>
      </c>
      <c r="AA46" s="1069">
        <v>0</v>
      </c>
      <c r="AB46" s="1068">
        <v>0</v>
      </c>
      <c r="AC46" s="1068">
        <v>0</v>
      </c>
      <c r="AD46" s="1068">
        <v>0</v>
      </c>
      <c r="AE46" s="1068">
        <v>0</v>
      </c>
      <c r="AF46" s="1069">
        <v>0</v>
      </c>
      <c r="AG46" s="1068">
        <v>0</v>
      </c>
      <c r="AH46" s="1068">
        <v>0</v>
      </c>
      <c r="AI46" s="1068">
        <v>0</v>
      </c>
      <c r="AJ46" s="1068">
        <v>0</v>
      </c>
      <c r="AK46" s="1069">
        <v>0</v>
      </c>
      <c r="AL46" s="1068">
        <v>0</v>
      </c>
      <c r="AM46" s="1068">
        <v>0</v>
      </c>
      <c r="AN46" s="1068">
        <v>0</v>
      </c>
      <c r="AO46" s="1068">
        <v>0</v>
      </c>
      <c r="AP46" s="1069">
        <v>0</v>
      </c>
      <c r="AQ46" s="1068">
        <v>0</v>
      </c>
      <c r="AR46" s="1068">
        <v>0</v>
      </c>
      <c r="AS46" s="1068">
        <v>0</v>
      </c>
      <c r="AT46" s="1068">
        <v>0</v>
      </c>
      <c r="AU46" s="1069">
        <v>0</v>
      </c>
      <c r="AV46" s="1068">
        <v>0</v>
      </c>
      <c r="AW46" s="1068">
        <v>0</v>
      </c>
      <c r="AX46" s="1068">
        <v>0</v>
      </c>
      <c r="AY46" s="1068">
        <v>0</v>
      </c>
      <c r="AZ46" s="1069">
        <v>0</v>
      </c>
      <c r="BA46" s="1068">
        <v>0</v>
      </c>
      <c r="BB46" s="1068">
        <v>0</v>
      </c>
      <c r="BC46" s="1068">
        <v>0</v>
      </c>
      <c r="BD46" s="1068">
        <v>0</v>
      </c>
      <c r="BE46" s="1069">
        <v>0</v>
      </c>
      <c r="BF46" s="2828">
        <v>0</v>
      </c>
      <c r="BG46" s="1070">
        <v>0</v>
      </c>
      <c r="BH46" s="1070">
        <v>0</v>
      </c>
      <c r="BI46" s="2829">
        <v>0</v>
      </c>
      <c r="BJ46" s="1069">
        <v>0</v>
      </c>
      <c r="BK46" s="2828">
        <v>0</v>
      </c>
      <c r="BL46" s="1070">
        <v>0</v>
      </c>
      <c r="BM46" s="1070">
        <v>0</v>
      </c>
      <c r="BN46" s="2829">
        <v>0</v>
      </c>
      <c r="BO46" s="1069">
        <v>0</v>
      </c>
      <c r="BP46" s="2828">
        <v>0</v>
      </c>
      <c r="BQ46" s="1070">
        <v>0</v>
      </c>
      <c r="BR46" s="1070">
        <v>0</v>
      </c>
      <c r="BS46" s="2829">
        <v>0</v>
      </c>
      <c r="BT46" s="1069">
        <v>0</v>
      </c>
      <c r="BU46" s="1069">
        <v>0</v>
      </c>
      <c r="BV46" s="1069">
        <v>0</v>
      </c>
      <c r="BW46" s="1069">
        <v>0</v>
      </c>
      <c r="BX46" s="1069">
        <v>0</v>
      </c>
      <c r="BY46" s="1069">
        <v>0</v>
      </c>
      <c r="BZ46" s="1069">
        <v>0</v>
      </c>
      <c r="CA46" s="1069">
        <v>0</v>
      </c>
      <c r="CB46" s="1069">
        <v>0</v>
      </c>
    </row>
    <row r="47" spans="1:80" ht="12" customHeight="1">
      <c r="A47" s="2"/>
      <c r="B47" s="2"/>
      <c r="C47" s="1070"/>
      <c r="D47" s="1070"/>
      <c r="E47" s="1070"/>
      <c r="F47" s="1070"/>
      <c r="G47" s="1069"/>
      <c r="H47" s="1070"/>
      <c r="I47" s="1070"/>
      <c r="J47" s="1070"/>
      <c r="K47" s="1070"/>
      <c r="L47" s="1069"/>
      <c r="M47" s="1070"/>
      <c r="N47" s="1070"/>
      <c r="O47" s="1070"/>
      <c r="P47" s="1070"/>
      <c r="Q47" s="1069"/>
      <c r="R47" s="1070"/>
      <c r="S47" s="1070"/>
      <c r="T47" s="1070"/>
      <c r="U47" s="1070"/>
      <c r="V47" s="1069"/>
      <c r="W47" s="1070"/>
      <c r="X47" s="1070"/>
      <c r="Y47" s="1070"/>
      <c r="Z47" s="1070"/>
      <c r="AA47" s="1069"/>
      <c r="AB47" s="1070"/>
      <c r="AC47" s="1070"/>
      <c r="AD47" s="1070"/>
      <c r="AE47" s="1070"/>
      <c r="AF47" s="1069"/>
      <c r="AG47" s="1070"/>
      <c r="AH47" s="1070"/>
      <c r="AI47" s="1070"/>
      <c r="AJ47" s="1070"/>
      <c r="AK47" s="1069"/>
      <c r="AL47" s="1070"/>
      <c r="AM47" s="1070"/>
      <c r="AN47" s="1070"/>
      <c r="AO47" s="1070"/>
      <c r="AP47" s="1069"/>
      <c r="AQ47" s="1070"/>
      <c r="AR47" s="1070"/>
      <c r="AS47" s="1070"/>
      <c r="AT47" s="1070"/>
      <c r="AU47" s="1069"/>
      <c r="AV47" s="1070"/>
      <c r="AW47" s="1070"/>
      <c r="AX47" s="1070"/>
      <c r="AY47" s="1070"/>
      <c r="AZ47" s="1069"/>
      <c r="BA47" s="1070"/>
      <c r="BB47" s="1070"/>
      <c r="BC47" s="1070"/>
      <c r="BD47" s="1070"/>
      <c r="BE47" s="1069"/>
      <c r="BF47" s="2828"/>
      <c r="BG47" s="1070"/>
      <c r="BH47" s="1070"/>
      <c r="BI47" s="2829"/>
      <c r="BJ47" s="1069"/>
      <c r="BK47" s="2828"/>
      <c r="BL47" s="1070"/>
      <c r="BM47" s="1070"/>
      <c r="BN47" s="2829"/>
      <c r="BO47" s="1069"/>
      <c r="BP47" s="2828"/>
      <c r="BQ47" s="1070"/>
      <c r="BR47" s="1070"/>
      <c r="BS47" s="2829"/>
      <c r="BT47" s="1069"/>
      <c r="BU47" s="1069"/>
      <c r="BV47" s="1069"/>
      <c r="BW47" s="1069"/>
      <c r="BX47" s="1069"/>
      <c r="BY47" s="1069"/>
      <c r="BZ47" s="1069"/>
      <c r="CA47" s="1069"/>
      <c r="CB47" s="1069"/>
    </row>
    <row r="48" spans="1:80" ht="12" customHeight="1">
      <c r="A48" s="2"/>
      <c r="B48" s="2"/>
      <c r="C48" s="1070"/>
      <c r="D48" s="1070"/>
      <c r="E48" s="1070"/>
      <c r="F48" s="1070"/>
      <c r="G48" s="1069"/>
      <c r="H48" s="1070"/>
      <c r="I48" s="1070"/>
      <c r="J48" s="1070"/>
      <c r="K48" s="1070"/>
      <c r="L48" s="1069"/>
      <c r="M48" s="1070"/>
      <c r="N48" s="1070"/>
      <c r="O48" s="1070"/>
      <c r="P48" s="1070"/>
      <c r="Q48" s="1069"/>
      <c r="R48" s="1070"/>
      <c r="S48" s="1070"/>
      <c r="T48" s="1070"/>
      <c r="U48" s="1070"/>
      <c r="V48" s="1069"/>
      <c r="W48" s="1070"/>
      <c r="X48" s="1070"/>
      <c r="Y48" s="1070"/>
      <c r="Z48" s="1070"/>
      <c r="AA48" s="1069"/>
      <c r="AB48" s="1070"/>
      <c r="AC48" s="1070"/>
      <c r="AD48" s="1070"/>
      <c r="AE48" s="1070"/>
      <c r="AF48" s="1069"/>
      <c r="AG48" s="1070"/>
      <c r="AH48" s="1070"/>
      <c r="AI48" s="1070"/>
      <c r="AJ48" s="1070"/>
      <c r="AK48" s="1069"/>
      <c r="AL48" s="1070"/>
      <c r="AM48" s="1070"/>
      <c r="AN48" s="1070"/>
      <c r="AO48" s="1070"/>
      <c r="AP48" s="1069"/>
      <c r="AQ48" s="1070"/>
      <c r="AR48" s="1070"/>
      <c r="AS48" s="1070"/>
      <c r="AT48" s="1070"/>
      <c r="AU48" s="1069"/>
      <c r="AV48" s="1070"/>
      <c r="AW48" s="1070"/>
      <c r="AX48" s="1070"/>
      <c r="AY48" s="1070"/>
      <c r="AZ48" s="1069"/>
      <c r="BA48" s="1070"/>
      <c r="BB48" s="1070"/>
      <c r="BC48" s="1070"/>
      <c r="BD48" s="1070"/>
      <c r="BE48" s="1069"/>
      <c r="BF48" s="2828"/>
      <c r="BG48" s="1070"/>
      <c r="BH48" s="1070"/>
      <c r="BI48" s="2829"/>
      <c r="BJ48" s="1069"/>
      <c r="BK48" s="2828"/>
      <c r="BL48" s="1070"/>
      <c r="BM48" s="1070"/>
      <c r="BN48" s="2829"/>
      <c r="BO48" s="1069"/>
      <c r="BP48" s="2828"/>
      <c r="BQ48" s="1070"/>
      <c r="BR48" s="1070"/>
      <c r="BS48" s="2829"/>
      <c r="BT48" s="1069"/>
      <c r="BU48" s="1069"/>
      <c r="BV48" s="1069"/>
      <c r="BW48" s="1069"/>
      <c r="BX48" s="1069"/>
      <c r="BY48" s="1069"/>
      <c r="BZ48" s="1069"/>
      <c r="CA48" s="1069"/>
      <c r="CB48" s="1069"/>
    </row>
    <row r="49" spans="1:80" ht="12" customHeight="1">
      <c r="A49" s="1086" t="s">
        <v>19</v>
      </c>
      <c r="B49" s="1086"/>
      <c r="C49" s="61"/>
      <c r="D49" s="61"/>
      <c r="E49" s="61"/>
      <c r="F49" s="61"/>
      <c r="G49" s="112"/>
      <c r="H49" s="61"/>
      <c r="I49" s="61"/>
      <c r="J49" s="61"/>
      <c r="K49" s="61"/>
      <c r="L49" s="112"/>
      <c r="M49" s="61"/>
      <c r="N49" s="61"/>
      <c r="O49" s="61"/>
      <c r="P49" s="61"/>
      <c r="Q49" s="112"/>
      <c r="R49" s="61"/>
      <c r="S49" s="61"/>
      <c r="T49" s="61"/>
      <c r="U49" s="61"/>
      <c r="V49" s="112"/>
      <c r="W49" s="61"/>
      <c r="X49" s="61"/>
      <c r="Y49" s="61"/>
      <c r="Z49" s="61"/>
      <c r="AA49" s="112"/>
      <c r="AB49" s="61"/>
      <c r="AC49" s="61"/>
      <c r="AD49" s="61"/>
      <c r="AE49" s="61"/>
      <c r="AF49" s="112"/>
      <c r="AG49" s="61"/>
      <c r="AH49" s="61"/>
      <c r="AI49" s="61"/>
      <c r="AJ49" s="61"/>
      <c r="AK49" s="112"/>
      <c r="AL49" s="61"/>
      <c r="AM49" s="61"/>
      <c r="AN49" s="61"/>
      <c r="AO49" s="61"/>
      <c r="AP49" s="112"/>
      <c r="AQ49" s="61"/>
      <c r="AR49" s="61"/>
      <c r="AS49" s="61"/>
      <c r="AT49" s="61"/>
      <c r="AU49" s="112"/>
      <c r="AV49" s="61"/>
      <c r="AW49" s="61"/>
      <c r="AX49" s="61"/>
      <c r="AY49" s="61"/>
      <c r="AZ49" s="112"/>
      <c r="BA49" s="61"/>
      <c r="BB49" s="61"/>
      <c r="BC49" s="61"/>
      <c r="BD49" s="61"/>
      <c r="BE49" s="112"/>
      <c r="BF49" s="59"/>
      <c r="BG49" s="61"/>
      <c r="BH49" s="61"/>
      <c r="BI49" s="60"/>
      <c r="BJ49" s="112"/>
      <c r="BK49" s="59"/>
      <c r="BL49" s="61"/>
      <c r="BM49" s="61"/>
      <c r="BN49" s="60"/>
      <c r="BO49" s="112"/>
      <c r="BP49" s="59"/>
      <c r="BQ49" s="61"/>
      <c r="BR49" s="61"/>
      <c r="BS49" s="60"/>
      <c r="BT49" s="112"/>
      <c r="BU49" s="112"/>
      <c r="BV49" s="112"/>
      <c r="BW49" s="112"/>
      <c r="BX49" s="112"/>
      <c r="BY49" s="112"/>
      <c r="BZ49" s="112"/>
      <c r="CA49" s="112"/>
      <c r="CB49" s="112"/>
    </row>
    <row r="50" spans="1:80">
      <c r="A50" s="2" t="s">
        <v>526</v>
      </c>
      <c r="B50" s="2"/>
      <c r="C50" s="1072">
        <f>BYD!D432</f>
        <v>27.385999999999999</v>
      </c>
      <c r="D50" s="1072">
        <f>BYD!E432</f>
        <v>27.803999999999998</v>
      </c>
      <c r="E50" s="1072">
        <f>BYD!F432</f>
        <v>27.897469579999999</v>
      </c>
      <c r="F50" s="1072">
        <f>BYD!G432</f>
        <v>27.072820419999999</v>
      </c>
      <c r="G50" s="1073">
        <f>BYD!H432</f>
        <v>110.16029</v>
      </c>
      <c r="H50" s="1072">
        <f>BYD!I432</f>
        <v>29.308095620000003</v>
      </c>
      <c r="I50" s="1072">
        <f>BYD!J432</f>
        <v>28.930445999999996</v>
      </c>
      <c r="J50" s="1072">
        <f>BYD!K432</f>
        <v>18.066410999999999</v>
      </c>
      <c r="K50" s="1072">
        <f>BYD!L432</f>
        <v>41.668453999999997</v>
      </c>
      <c r="L50" s="1073">
        <f>BYD!M432</f>
        <v>117.97340661999999</v>
      </c>
      <c r="M50" s="1072">
        <f>BYD!N432</f>
        <v>45.390019000000002</v>
      </c>
      <c r="N50" s="1072">
        <f>BYD!O432</f>
        <v>37.553963000000003</v>
      </c>
      <c r="O50" s="1072">
        <f>BYD!P432</f>
        <v>33.052810999999998</v>
      </c>
      <c r="P50" s="1072">
        <f>BYD!Q432</f>
        <v>28.775728999999998</v>
      </c>
      <c r="Q50" s="1073">
        <f>BYD!R432</f>
        <v>144.77252199999998</v>
      </c>
      <c r="R50" s="1072">
        <f>BYD!S432</f>
        <v>29.824144</v>
      </c>
      <c r="S50" s="1072">
        <f>BYD!T432</f>
        <v>29.067242</v>
      </c>
      <c r="T50" s="1072">
        <f>BYD!U432</f>
        <v>29.169512000000001</v>
      </c>
      <c r="U50" s="1072">
        <f>BYD!V432</f>
        <v>28.026335</v>
      </c>
      <c r="V50" s="1073">
        <f>BYD!W432</f>
        <v>116.087233</v>
      </c>
      <c r="W50" s="1072">
        <f>BYD!X432</f>
        <v>30.455272000000001</v>
      </c>
      <c r="X50" s="1072">
        <f>BYD!Y432</f>
        <v>28.50589969</v>
      </c>
      <c r="Y50" s="1072">
        <f>BYD!Z432</f>
        <v>25.27806812</v>
      </c>
      <c r="Z50" s="1072">
        <f>BYD!AA432</f>
        <v>27.455343959999997</v>
      </c>
      <c r="AA50" s="1073">
        <f>BYD!AB432</f>
        <v>111.69458376999999</v>
      </c>
      <c r="AB50" s="1072">
        <f>BYD!AC432</f>
        <v>27.892943520000003</v>
      </c>
      <c r="AC50" s="1072">
        <f>BYD!AD432</f>
        <v>25.9</v>
      </c>
      <c r="AD50" s="1072">
        <f>BYD!AE432</f>
        <v>25.8</v>
      </c>
      <c r="AE50" s="1072">
        <f>BYD!AF432</f>
        <v>22.9</v>
      </c>
      <c r="AF50" s="1073">
        <f>BYD!AG432</f>
        <v>102.49294352000001</v>
      </c>
      <c r="AG50" s="402">
        <f>BYD!AH432</f>
        <v>25.3</v>
      </c>
      <c r="AH50" s="402">
        <f>BYD!AI432</f>
        <v>24.9</v>
      </c>
      <c r="AI50" s="402">
        <f>BYD!AJ432</f>
        <v>26.647183350000002</v>
      </c>
      <c r="AJ50" s="402">
        <f>BYD!AK432</f>
        <v>25.970711040000001</v>
      </c>
      <c r="AK50" s="1073">
        <f>BYD!AL432</f>
        <v>102.81789439000001</v>
      </c>
      <c r="AL50" s="402">
        <f>BYD!AM432</f>
        <v>27.136040880000003</v>
      </c>
      <c r="AM50" s="402">
        <f>BYD!AN432</f>
        <v>28.289331900000001</v>
      </c>
      <c r="AN50" s="402">
        <f>BYD!AO432</f>
        <v>27.40054241</v>
      </c>
      <c r="AO50" s="402">
        <f>BYD!AP432</f>
        <v>25.382259060000003</v>
      </c>
      <c r="AP50" s="1073">
        <f>BYD!AQ432</f>
        <v>108.20817425000001</v>
      </c>
      <c r="AQ50" s="402">
        <f>BYD!AR432</f>
        <v>28.526371949999998</v>
      </c>
      <c r="AR50" s="402">
        <f>BYD!AS432</f>
        <v>27.774500909999997</v>
      </c>
      <c r="AS50" s="402">
        <f>BYD!AT432</f>
        <v>26.043157139999998</v>
      </c>
      <c r="AT50" s="402">
        <f>BYD!AU432</f>
        <v>25.93</v>
      </c>
      <c r="AU50" s="1073">
        <f>BYD!AV432</f>
        <v>108.27403000000001</v>
      </c>
      <c r="AV50" s="402">
        <f>BYD!AW432</f>
        <v>26.677896490000002</v>
      </c>
      <c r="AW50" s="402">
        <f>BYD!AX432</f>
        <v>27.071491640000001</v>
      </c>
      <c r="AX50" s="402">
        <f>BYD!AY432</f>
        <v>24.859141180000002</v>
      </c>
      <c r="AY50" s="402">
        <f>BYD!AZ432</f>
        <v>22.407</v>
      </c>
      <c r="AZ50" s="1073">
        <f>BYD!BA432</f>
        <v>101.01552930999999</v>
      </c>
      <c r="BA50" s="402">
        <f>BYD!BB432</f>
        <v>25.196292870000001</v>
      </c>
      <c r="BB50" s="402">
        <f>BYD!BC432</f>
        <v>25.195750120000003</v>
      </c>
      <c r="BC50" s="402">
        <f>BYD!BD432</f>
        <v>23.874771799999998</v>
      </c>
      <c r="BD50" s="402">
        <f>BYD!BE432</f>
        <v>24.232991400000003</v>
      </c>
      <c r="BE50" s="1073">
        <f>BYD!BF432</f>
        <v>98.499806190000015</v>
      </c>
      <c r="BF50" s="2830">
        <f>BYD!BG432</f>
        <v>26.128076630000002</v>
      </c>
      <c r="BG50" s="402">
        <f>BYD!BH432</f>
        <v>27.255032670000002</v>
      </c>
      <c r="BH50" s="402">
        <f>BYD!BI432</f>
        <v>25.915358059999999</v>
      </c>
      <c r="BI50" s="1121">
        <f>BYD!BJ432</f>
        <v>25.613036490000002</v>
      </c>
      <c r="BJ50" s="1073">
        <f>BYD!BK432</f>
        <v>104.91150385</v>
      </c>
      <c r="BK50" s="2830">
        <f>BYD!BL432</f>
        <v>26.549259110000001</v>
      </c>
      <c r="BL50" s="402">
        <f>BYD!BM432</f>
        <v>27.569673399999999</v>
      </c>
      <c r="BM50" s="402">
        <f>BYD!BN432</f>
        <v>27.2</v>
      </c>
      <c r="BN50" s="1121">
        <f>BYD!BO432</f>
        <v>25.338174500000001</v>
      </c>
      <c r="BO50" s="1073">
        <f>BYD!BP432</f>
        <v>106.65710701</v>
      </c>
      <c r="BP50" s="2830">
        <f>BYD!BQ432</f>
        <v>27.233300729999996</v>
      </c>
      <c r="BQ50" s="402">
        <f>BYD!BR432</f>
        <v>28.013917469999999</v>
      </c>
      <c r="BR50" s="402">
        <f>BYD!BS432</f>
        <v>27.315345300000001</v>
      </c>
      <c r="BS50" s="1121">
        <f>BYD!BT432</f>
        <v>25.45939766</v>
      </c>
      <c r="BT50" s="1073">
        <f>BYD!BU432</f>
        <v>108.02196115999999</v>
      </c>
      <c r="BU50" s="1073">
        <f>BYD!BZ432</f>
        <v>111.49865449500001</v>
      </c>
      <c r="BV50" s="1073">
        <f>BYD!CA432</f>
        <v>112.61364103995001</v>
      </c>
      <c r="BW50" s="1073">
        <f>BYD!CB432</f>
        <v>112.61364103995001</v>
      </c>
      <c r="BX50" s="1073">
        <f>BYD!CC432</f>
        <v>106.9829589879525</v>
      </c>
      <c r="BY50" s="1073">
        <f>BYD!CD432</f>
        <v>101.63381103855487</v>
      </c>
      <c r="BZ50" s="1073">
        <f>BYD!CE432</f>
        <v>103.66648725932596</v>
      </c>
      <c r="CA50" s="1073">
        <f>BYD!CF432</f>
        <v>105.73981700451249</v>
      </c>
      <c r="CB50" s="1073">
        <f>BYD!CG432</f>
        <v>107.85461334460274</v>
      </c>
    </row>
    <row r="51" spans="1:80">
      <c r="A51" s="2" t="s">
        <v>1350</v>
      </c>
      <c r="B51" s="2"/>
      <c r="C51" s="722">
        <v>411.67399999999998</v>
      </c>
      <c r="D51" s="722">
        <v>397.10700000000003</v>
      </c>
      <c r="E51" s="722">
        <v>409.45600000000002</v>
      </c>
      <c r="F51" s="722">
        <v>371.73599999999999</v>
      </c>
      <c r="G51" s="702">
        <f>SUM(C51:F51)</f>
        <v>1589.973</v>
      </c>
      <c r="H51" s="722">
        <v>379.24200000000002</v>
      </c>
      <c r="I51" s="722">
        <v>384.06900000000002</v>
      </c>
      <c r="J51" s="722">
        <v>252.048</v>
      </c>
      <c r="K51" s="722">
        <v>320.87700000000001</v>
      </c>
      <c r="L51" s="702">
        <f>SUM(H51:K51)</f>
        <v>1336.2360000000001</v>
      </c>
      <c r="M51" s="722">
        <v>361.34500000000003</v>
      </c>
      <c r="N51" s="722">
        <v>321.28399999999999</v>
      </c>
      <c r="O51" s="96"/>
      <c r="P51" s="96"/>
      <c r="Q51" s="146"/>
      <c r="R51" s="96"/>
      <c r="S51" s="96"/>
      <c r="T51" s="96"/>
      <c r="U51" s="96"/>
      <c r="V51" s="146"/>
      <c r="W51" s="96"/>
      <c r="X51" s="96"/>
      <c r="Y51" s="96"/>
      <c r="Z51" s="96"/>
      <c r="AA51" s="146"/>
      <c r="AB51" s="96"/>
      <c r="AC51" s="96"/>
      <c r="AD51" s="96"/>
      <c r="AE51" s="96"/>
      <c r="AF51" s="146"/>
      <c r="AG51" s="96"/>
      <c r="AH51" s="96"/>
      <c r="AI51" s="96"/>
      <c r="AJ51" s="96"/>
      <c r="AK51" s="146"/>
      <c r="AL51" s="96"/>
      <c r="AM51" s="96"/>
      <c r="AN51" s="96"/>
      <c r="AO51" s="96"/>
      <c r="AP51" s="146"/>
      <c r="AQ51" s="96"/>
      <c r="AR51" s="96"/>
      <c r="AS51" s="96"/>
      <c r="AT51" s="96"/>
      <c r="AU51" s="146"/>
      <c r="AV51" s="96"/>
      <c r="AW51" s="96"/>
      <c r="AX51" s="96"/>
      <c r="AY51" s="96"/>
      <c r="AZ51" s="146"/>
      <c r="BA51" s="96"/>
      <c r="BB51" s="96"/>
      <c r="BC51" s="96"/>
      <c r="BD51" s="96"/>
      <c r="BE51" s="146"/>
      <c r="BF51" s="1115"/>
      <c r="BG51" s="96"/>
      <c r="BH51" s="96"/>
      <c r="BI51" s="97"/>
      <c r="BJ51" s="146"/>
      <c r="BK51" s="1115"/>
      <c r="BL51" s="96"/>
      <c r="BM51" s="96"/>
      <c r="BN51" s="97"/>
      <c r="BO51" s="146"/>
      <c r="BP51" s="1115"/>
      <c r="BQ51" s="96"/>
      <c r="BR51" s="96"/>
      <c r="BS51" s="97"/>
      <c r="BT51" s="146"/>
      <c r="BU51" s="146"/>
      <c r="BV51" s="146"/>
      <c r="BW51" s="146"/>
      <c r="BX51" s="146"/>
      <c r="BY51" s="146"/>
      <c r="BZ51" s="146"/>
      <c r="CA51" s="146"/>
      <c r="CB51" s="146"/>
    </row>
    <row r="52" spans="1:80" ht="12" customHeight="1">
      <c r="A52" s="1078" t="s">
        <v>525</v>
      </c>
      <c r="B52" s="1078"/>
      <c r="C52" s="592"/>
      <c r="D52" s="592"/>
      <c r="E52" s="592"/>
      <c r="F52" s="592"/>
      <c r="G52" s="594"/>
      <c r="H52" s="592">
        <f t="shared" ref="H52:N52" si="38">H51/C51-1</f>
        <v>-7.8780782852451159E-2</v>
      </c>
      <c r="I52" s="592">
        <f t="shared" si="38"/>
        <v>-3.2832460772537431E-2</v>
      </c>
      <c r="J52" s="592">
        <f t="shared" si="38"/>
        <v>-0.38443202688445155</v>
      </c>
      <c r="K52" s="592">
        <f t="shared" si="38"/>
        <v>-0.13681483633546387</v>
      </c>
      <c r="L52" s="594">
        <f t="shared" si="38"/>
        <v>-0.15958572881426281</v>
      </c>
      <c r="M52" s="592">
        <f t="shared" si="38"/>
        <v>-4.7191503050822425E-2</v>
      </c>
      <c r="N52" s="592">
        <f t="shared" si="38"/>
        <v>-0.16347323007063841</v>
      </c>
      <c r="O52" s="1079"/>
      <c r="P52" s="1079"/>
      <c r="Q52" s="594"/>
      <c r="R52" s="1079"/>
      <c r="S52" s="1079"/>
      <c r="T52" s="1079"/>
      <c r="U52" s="1079"/>
      <c r="V52" s="594"/>
      <c r="W52" s="1079"/>
      <c r="X52" s="1079"/>
      <c r="Y52" s="1079"/>
      <c r="Z52" s="1079"/>
      <c r="AA52" s="594"/>
      <c r="AB52" s="1079"/>
      <c r="AC52" s="1079"/>
      <c r="AD52" s="1079"/>
      <c r="AE52" s="1079"/>
      <c r="AF52" s="594"/>
      <c r="AG52" s="310"/>
      <c r="AH52" s="310"/>
      <c r="AI52" s="310"/>
      <c r="AJ52" s="310"/>
      <c r="AK52" s="569"/>
      <c r="AL52" s="570"/>
      <c r="AM52" s="570"/>
      <c r="AN52" s="570"/>
      <c r="AO52" s="570"/>
      <c r="AP52" s="1080"/>
      <c r="AQ52" s="1079"/>
      <c r="AR52" s="1079"/>
      <c r="AS52" s="1079"/>
      <c r="AT52" s="1079"/>
      <c r="AU52" s="1080"/>
      <c r="AV52" s="1079"/>
      <c r="AW52" s="1079"/>
      <c r="AX52" s="1079"/>
      <c r="AY52" s="1079"/>
      <c r="AZ52" s="1080"/>
      <c r="BA52" s="1079"/>
      <c r="BB52" s="1079"/>
      <c r="BC52" s="1079"/>
      <c r="BD52" s="1079"/>
      <c r="BE52" s="1080"/>
      <c r="BF52" s="2831"/>
      <c r="BG52" s="1079"/>
      <c r="BH52" s="1079"/>
      <c r="BI52" s="2832"/>
      <c r="BJ52" s="1080"/>
      <c r="BK52" s="2831"/>
      <c r="BL52" s="1079"/>
      <c r="BM52" s="1079"/>
      <c r="BN52" s="2832"/>
      <c r="BO52" s="1080"/>
      <c r="BP52" s="2831"/>
      <c r="BQ52" s="1079"/>
      <c r="BR52" s="1079"/>
      <c r="BS52" s="2832"/>
      <c r="BT52" s="1080"/>
      <c r="BU52" s="1080"/>
      <c r="BV52" s="1080"/>
      <c r="BW52" s="1080"/>
      <c r="BX52" s="1080"/>
      <c r="BY52" s="1080"/>
      <c r="BZ52" s="1080"/>
      <c r="CA52" s="1080"/>
      <c r="CB52" s="1080"/>
    </row>
    <row r="53" spans="1:80">
      <c r="A53" s="2"/>
      <c r="B53" s="2"/>
      <c r="C53" s="96"/>
      <c r="D53" s="96"/>
      <c r="E53" s="96"/>
      <c r="F53" s="96"/>
      <c r="G53" s="146"/>
      <c r="H53" s="96"/>
      <c r="I53" s="96"/>
      <c r="J53" s="96"/>
      <c r="K53" s="96"/>
      <c r="L53" s="146"/>
      <c r="M53" s="96"/>
      <c r="N53" s="96"/>
      <c r="O53" s="96"/>
      <c r="P53" s="96"/>
      <c r="Q53" s="146"/>
      <c r="R53" s="96"/>
      <c r="S53" s="96"/>
      <c r="T53" s="96"/>
      <c r="U53" s="96"/>
      <c r="V53" s="146"/>
      <c r="W53" s="96"/>
      <c r="X53" s="96"/>
      <c r="Y53" s="96"/>
      <c r="Z53" s="96"/>
      <c r="AA53" s="146"/>
      <c r="AB53" s="96"/>
      <c r="AC53" s="96"/>
      <c r="AD53" s="96"/>
      <c r="AE53" s="96"/>
      <c r="AF53" s="146"/>
      <c r="AG53" s="96"/>
      <c r="AH53" s="96"/>
      <c r="AI53" s="96"/>
      <c r="AJ53" s="96"/>
      <c r="AK53" s="146"/>
      <c r="AL53" s="96"/>
      <c r="AM53" s="96"/>
      <c r="AN53" s="96"/>
      <c r="AO53" s="96"/>
      <c r="AP53" s="146"/>
      <c r="AQ53" s="96"/>
      <c r="AR53" s="96"/>
      <c r="AS53" s="96"/>
      <c r="AT53" s="96"/>
      <c r="AU53" s="146"/>
      <c r="AV53" s="96"/>
      <c r="AW53" s="96"/>
      <c r="AX53" s="96"/>
      <c r="AY53" s="96"/>
      <c r="AZ53" s="146"/>
      <c r="BA53" s="96"/>
      <c r="BB53" s="96"/>
      <c r="BC53" s="96"/>
      <c r="BD53" s="96"/>
      <c r="BE53" s="146"/>
      <c r="BF53" s="1115"/>
      <c r="BG53" s="96"/>
      <c r="BH53" s="96"/>
      <c r="BI53" s="97"/>
      <c r="BJ53" s="146"/>
      <c r="BK53" s="1115"/>
      <c r="BL53" s="96"/>
      <c r="BM53" s="96"/>
      <c r="BN53" s="97"/>
      <c r="BO53" s="146"/>
      <c r="BP53" s="1115"/>
      <c r="BQ53" s="96"/>
      <c r="BR53" s="96"/>
      <c r="BS53" s="97"/>
      <c r="BT53" s="146"/>
      <c r="BU53" s="146"/>
      <c r="BV53" s="146"/>
      <c r="BW53" s="146"/>
      <c r="BX53" s="146"/>
      <c r="BY53" s="146"/>
      <c r="BZ53" s="146"/>
      <c r="CA53" s="146"/>
      <c r="CB53" s="146"/>
    </row>
    <row r="54" spans="1:80">
      <c r="A54" s="2" t="s">
        <v>1346</v>
      </c>
      <c r="B54" s="2"/>
      <c r="C54" s="1072">
        <f t="shared" ref="C54:L54" si="39">C50*C45</f>
        <v>5.8879899999999994</v>
      </c>
      <c r="D54" s="1072">
        <f t="shared" si="39"/>
        <v>5.9778599999999997</v>
      </c>
      <c r="E54" s="1072">
        <f t="shared" si="39"/>
        <v>5.9979559596999996</v>
      </c>
      <c r="F54" s="1072">
        <f t="shared" si="39"/>
        <v>5.8206563902999999</v>
      </c>
      <c r="G54" s="1073">
        <f t="shared" si="39"/>
        <v>23.68446235</v>
      </c>
      <c r="H54" s="1072">
        <f t="shared" si="39"/>
        <v>6.3012405583000008</v>
      </c>
      <c r="I54" s="1072">
        <f t="shared" si="39"/>
        <v>6.2200458899999989</v>
      </c>
      <c r="J54" s="1072">
        <f t="shared" si="39"/>
        <v>3.8842783649999997</v>
      </c>
      <c r="K54" s="1072">
        <f t="shared" si="39"/>
        <v>8.958717609999999</v>
      </c>
      <c r="L54" s="1073">
        <f t="shared" si="39"/>
        <v>25.364282423299997</v>
      </c>
      <c r="M54" s="1072">
        <f t="shared" ref="M54:V54" si="40">M50*M45</f>
        <v>9.7588540850000012</v>
      </c>
      <c r="N54" s="1072">
        <f t="shared" si="40"/>
        <v>8.0741020450000001</v>
      </c>
      <c r="O54" s="1072">
        <f t="shared" si="40"/>
        <v>7.1063543649999996</v>
      </c>
      <c r="P54" s="1072">
        <f t="shared" si="40"/>
        <v>6.1867817349999994</v>
      </c>
      <c r="Q54" s="1073">
        <f t="shared" si="40"/>
        <v>31.126092229999994</v>
      </c>
      <c r="R54" s="1072">
        <f>R50*R45</f>
        <v>6.4121909600000002</v>
      </c>
      <c r="S54" s="1072">
        <f t="shared" si="40"/>
        <v>6.2494570300000003</v>
      </c>
      <c r="T54" s="1072">
        <f t="shared" si="40"/>
        <v>6.2714450800000003</v>
      </c>
      <c r="U54" s="1072">
        <f t="shared" si="40"/>
        <v>6.0256620249999999</v>
      </c>
      <c r="V54" s="1073">
        <f t="shared" si="40"/>
        <v>24.958755095000001</v>
      </c>
      <c r="W54" s="1072">
        <f t="shared" ref="W54:AP54" si="41">W50*W45</f>
        <v>6.5478834800000003</v>
      </c>
      <c r="X54" s="1072">
        <f t="shared" si="41"/>
        <v>6.1287684333499994</v>
      </c>
      <c r="Y54" s="1072">
        <f t="shared" si="41"/>
        <v>5.4347846457999998</v>
      </c>
      <c r="Z54" s="1072">
        <f t="shared" si="41"/>
        <v>5.9028989513999992</v>
      </c>
      <c r="AA54" s="1073">
        <f t="shared" si="41"/>
        <v>24.014335510549998</v>
      </c>
      <c r="AB54" s="1072">
        <f t="shared" si="41"/>
        <v>5.9969828568000008</v>
      </c>
      <c r="AC54" s="1072">
        <f t="shared" si="41"/>
        <v>5.5684999999999993</v>
      </c>
      <c r="AD54" s="1072">
        <f t="shared" si="41"/>
        <v>5.5469999999999997</v>
      </c>
      <c r="AE54" s="1072">
        <f t="shared" si="41"/>
        <v>4.9234999999999998</v>
      </c>
      <c r="AF54" s="1073">
        <f t="shared" si="41"/>
        <v>22.0359828568</v>
      </c>
      <c r="AG54" s="1072">
        <f t="shared" si="41"/>
        <v>5.4394999999999998</v>
      </c>
      <c r="AH54" s="1072">
        <f t="shared" si="41"/>
        <v>5.3534999999999995</v>
      </c>
      <c r="AI54" s="1072">
        <f t="shared" si="41"/>
        <v>5.7291444202500008</v>
      </c>
      <c r="AJ54" s="1072">
        <f t="shared" si="41"/>
        <v>5.5837028736000001</v>
      </c>
      <c r="AK54" s="1073">
        <f t="shared" si="41"/>
        <v>22.105847293850001</v>
      </c>
      <c r="AL54" s="1072">
        <f t="shared" si="41"/>
        <v>5.8342487892000001</v>
      </c>
      <c r="AM54" s="1072">
        <f t="shared" si="41"/>
        <v>6.0822063584999997</v>
      </c>
      <c r="AN54" s="1072">
        <f t="shared" si="41"/>
        <v>5.8911166181499999</v>
      </c>
      <c r="AO54" s="1072">
        <f t="shared" si="41"/>
        <v>5.4571856979000009</v>
      </c>
      <c r="AP54" s="1073">
        <f t="shared" si="41"/>
        <v>23.264757463750001</v>
      </c>
      <c r="AQ54" s="1072">
        <f t="shared" ref="AQ54:BW54" si="42">AQ50*AQ45</f>
        <v>6.133169969249999</v>
      </c>
      <c r="AR54" s="1072">
        <f t="shared" si="42"/>
        <v>5.9715176956499993</v>
      </c>
      <c r="AS54" s="1072">
        <f t="shared" si="42"/>
        <v>5.5992787850999992</v>
      </c>
      <c r="AT54" s="1072">
        <f t="shared" si="42"/>
        <v>5.5749500000000003</v>
      </c>
      <c r="AU54" s="1073">
        <f t="shared" si="42"/>
        <v>23.278916450000001</v>
      </c>
      <c r="AV54" s="1072">
        <f t="shared" si="42"/>
        <v>5.7357477453500003</v>
      </c>
      <c r="AW54" s="1072">
        <f t="shared" si="42"/>
        <v>5.8203707026</v>
      </c>
      <c r="AX54" s="1072">
        <f t="shared" si="42"/>
        <v>5.3447153537000007</v>
      </c>
      <c r="AY54" s="1072">
        <f t="shared" si="42"/>
        <v>4.8175049999999997</v>
      </c>
      <c r="AZ54" s="1073">
        <f t="shared" si="42"/>
        <v>21.718338801649999</v>
      </c>
      <c r="BA54" s="1072">
        <f t="shared" si="42"/>
        <v>5.4172029670499997</v>
      </c>
      <c r="BB54" s="1072">
        <f t="shared" si="42"/>
        <v>5.4170862758000009</v>
      </c>
      <c r="BC54" s="1072">
        <f t="shared" si="42"/>
        <v>5.1330759369999992</v>
      </c>
      <c r="BD54" s="1072">
        <f t="shared" si="42"/>
        <v>5.2100931510000006</v>
      </c>
      <c r="BE54" s="1073">
        <f t="shared" si="42"/>
        <v>21.177458330850001</v>
      </c>
      <c r="BF54" s="2830">
        <f t="shared" ref="BF54:BO54" si="43">BF50*BF45</f>
        <v>5.6175364754500006</v>
      </c>
      <c r="BG54" s="402">
        <f t="shared" si="43"/>
        <v>5.8598320240500001</v>
      </c>
      <c r="BH54" s="402">
        <f t="shared" si="43"/>
        <v>5.5718019828999994</v>
      </c>
      <c r="BI54" s="1121">
        <f t="shared" si="43"/>
        <v>5.5068028453500002</v>
      </c>
      <c r="BJ54" s="1073">
        <f t="shared" si="43"/>
        <v>22.555973327749999</v>
      </c>
      <c r="BK54" s="2830">
        <f t="shared" si="43"/>
        <v>5.7080907086500003</v>
      </c>
      <c r="BL54" s="402">
        <f t="shared" si="43"/>
        <v>5.9274797809999997</v>
      </c>
      <c r="BM54" s="402">
        <f t="shared" si="43"/>
        <v>5.8479999999999999</v>
      </c>
      <c r="BN54" s="1121">
        <f t="shared" si="43"/>
        <v>5.4477075175000005</v>
      </c>
      <c r="BO54" s="1073">
        <f t="shared" si="43"/>
        <v>22.931278007150002</v>
      </c>
      <c r="BP54" s="2830">
        <f>BP50*BP45</f>
        <v>5.8551596569499988</v>
      </c>
      <c r="BQ54" s="402">
        <f>BQ50*BQ45</f>
        <v>6.0229922560499993</v>
      </c>
      <c r="BR54" s="402">
        <f>BR50*BR45</f>
        <v>5.8727992394999999</v>
      </c>
      <c r="BS54" s="1121">
        <f>BS50*BS45</f>
        <v>5.4737704969000003</v>
      </c>
      <c r="BT54" s="1073">
        <f>BT50*BT45</f>
        <v>23.224721649399996</v>
      </c>
      <c r="BU54" s="1073">
        <f t="shared" si="42"/>
        <v>23.972210716425003</v>
      </c>
      <c r="BV54" s="1073">
        <f t="shared" si="42"/>
        <v>24.211932823589251</v>
      </c>
      <c r="BW54" s="1073">
        <f t="shared" si="42"/>
        <v>24.211932823589251</v>
      </c>
      <c r="BX54" s="1073">
        <f>BX50*BX45</f>
        <v>23.001336182409787</v>
      </c>
      <c r="BY54" s="1073">
        <f>BY50*BY45</f>
        <v>21.851269373289295</v>
      </c>
      <c r="BZ54" s="1073">
        <f>BZ50*BZ45</f>
        <v>22.288294760755083</v>
      </c>
      <c r="CA54" s="1073">
        <f>CA50*CA45</f>
        <v>22.734060655970186</v>
      </c>
      <c r="CB54" s="1073">
        <f>CB50*CB45</f>
        <v>23.18874186908959</v>
      </c>
    </row>
    <row r="55" spans="1:80">
      <c r="A55" s="2" t="s">
        <v>721</v>
      </c>
      <c r="B55" s="2"/>
      <c r="C55" s="98">
        <f t="shared" ref="C55:Q55" si="44">(C51*C$46)/1000</f>
        <v>0</v>
      </c>
      <c r="D55" s="98">
        <f t="shared" si="44"/>
        <v>0</v>
      </c>
      <c r="E55" s="98">
        <f t="shared" si="44"/>
        <v>0</v>
      </c>
      <c r="F55" s="98">
        <f t="shared" si="44"/>
        <v>0</v>
      </c>
      <c r="G55" s="146">
        <f t="shared" si="44"/>
        <v>0</v>
      </c>
      <c r="H55" s="98">
        <f t="shared" si="44"/>
        <v>0</v>
      </c>
      <c r="I55" s="98">
        <f t="shared" si="44"/>
        <v>0</v>
      </c>
      <c r="J55" s="98">
        <f t="shared" si="44"/>
        <v>0</v>
      </c>
      <c r="K55" s="98">
        <f t="shared" si="44"/>
        <v>0</v>
      </c>
      <c r="L55" s="146">
        <f t="shared" si="44"/>
        <v>0</v>
      </c>
      <c r="M55" s="98">
        <f t="shared" si="44"/>
        <v>0</v>
      </c>
      <c r="N55" s="98">
        <f t="shared" si="44"/>
        <v>0</v>
      </c>
      <c r="O55" s="98">
        <f t="shared" si="44"/>
        <v>0</v>
      </c>
      <c r="P55" s="98">
        <f t="shared" si="44"/>
        <v>0</v>
      </c>
      <c r="Q55" s="146">
        <f t="shared" si="44"/>
        <v>0</v>
      </c>
      <c r="R55" s="98">
        <f t="shared" ref="R55:AB55" si="45">(R51*R$46)/1000</f>
        <v>0</v>
      </c>
      <c r="S55" s="98">
        <f t="shared" si="45"/>
        <v>0</v>
      </c>
      <c r="T55" s="98">
        <f t="shared" si="45"/>
        <v>0</v>
      </c>
      <c r="U55" s="98">
        <f t="shared" si="45"/>
        <v>0</v>
      </c>
      <c r="V55" s="146">
        <f t="shared" si="45"/>
        <v>0</v>
      </c>
      <c r="W55" s="98">
        <f t="shared" si="45"/>
        <v>0</v>
      </c>
      <c r="X55" s="98">
        <f t="shared" si="45"/>
        <v>0</v>
      </c>
      <c r="Y55" s="98">
        <f t="shared" si="45"/>
        <v>0</v>
      </c>
      <c r="Z55" s="98">
        <f t="shared" si="45"/>
        <v>0</v>
      </c>
      <c r="AA55" s="146">
        <f t="shared" si="45"/>
        <v>0</v>
      </c>
      <c r="AB55" s="98">
        <f t="shared" si="45"/>
        <v>0</v>
      </c>
      <c r="AC55" s="98">
        <f t="shared" ref="AC55:AP55" si="46">(AC51*AC$46)/1000</f>
        <v>0</v>
      </c>
      <c r="AD55" s="98">
        <f t="shared" si="46"/>
        <v>0</v>
      </c>
      <c r="AE55" s="98">
        <f t="shared" si="46"/>
        <v>0</v>
      </c>
      <c r="AF55" s="146">
        <f t="shared" si="46"/>
        <v>0</v>
      </c>
      <c r="AG55" s="98">
        <f t="shared" si="46"/>
        <v>0</v>
      </c>
      <c r="AH55" s="98">
        <f t="shared" si="46"/>
        <v>0</v>
      </c>
      <c r="AI55" s="98">
        <f t="shared" si="46"/>
        <v>0</v>
      </c>
      <c r="AJ55" s="98">
        <f t="shared" si="46"/>
        <v>0</v>
      </c>
      <c r="AK55" s="146">
        <f t="shared" si="46"/>
        <v>0</v>
      </c>
      <c r="AL55" s="98">
        <f t="shared" si="46"/>
        <v>0</v>
      </c>
      <c r="AM55" s="98">
        <f t="shared" si="46"/>
        <v>0</v>
      </c>
      <c r="AN55" s="98">
        <f t="shared" si="46"/>
        <v>0</v>
      </c>
      <c r="AO55" s="98">
        <f t="shared" si="46"/>
        <v>0</v>
      </c>
      <c r="AP55" s="146">
        <f t="shared" si="46"/>
        <v>0</v>
      </c>
      <c r="AQ55" s="98">
        <f t="shared" ref="AQ55:BW55" si="47">(AQ51*AQ$46)/1000</f>
        <v>0</v>
      </c>
      <c r="AR55" s="98">
        <f t="shared" si="47"/>
        <v>0</v>
      </c>
      <c r="AS55" s="98">
        <f t="shared" si="47"/>
        <v>0</v>
      </c>
      <c r="AT55" s="98">
        <f t="shared" si="47"/>
        <v>0</v>
      </c>
      <c r="AU55" s="146">
        <f t="shared" si="47"/>
        <v>0</v>
      </c>
      <c r="AV55" s="98">
        <f t="shared" si="47"/>
        <v>0</v>
      </c>
      <c r="AW55" s="98">
        <f t="shared" si="47"/>
        <v>0</v>
      </c>
      <c r="AX55" s="98">
        <f t="shared" si="47"/>
        <v>0</v>
      </c>
      <c r="AY55" s="98">
        <f t="shared" si="47"/>
        <v>0</v>
      </c>
      <c r="AZ55" s="146">
        <f t="shared" si="47"/>
        <v>0</v>
      </c>
      <c r="BA55" s="98">
        <f t="shared" si="47"/>
        <v>0</v>
      </c>
      <c r="BB55" s="98">
        <f t="shared" si="47"/>
        <v>0</v>
      </c>
      <c r="BC55" s="98">
        <f t="shared" si="47"/>
        <v>0</v>
      </c>
      <c r="BD55" s="98">
        <f t="shared" si="47"/>
        <v>0</v>
      </c>
      <c r="BE55" s="146">
        <f t="shared" si="47"/>
        <v>0</v>
      </c>
      <c r="BF55" s="1115">
        <f t="shared" ref="BF55:BO55" si="48">(BF51*BF$46)/1000</f>
        <v>0</v>
      </c>
      <c r="BG55" s="96">
        <f t="shared" si="48"/>
        <v>0</v>
      </c>
      <c r="BH55" s="96">
        <f t="shared" si="48"/>
        <v>0</v>
      </c>
      <c r="BI55" s="97">
        <f t="shared" si="48"/>
        <v>0</v>
      </c>
      <c r="BJ55" s="146">
        <f t="shared" si="48"/>
        <v>0</v>
      </c>
      <c r="BK55" s="1115">
        <f t="shared" si="48"/>
        <v>0</v>
      </c>
      <c r="BL55" s="96">
        <f t="shared" si="48"/>
        <v>0</v>
      </c>
      <c r="BM55" s="96">
        <f t="shared" si="48"/>
        <v>0</v>
      </c>
      <c r="BN55" s="97">
        <f t="shared" si="48"/>
        <v>0</v>
      </c>
      <c r="BO55" s="146">
        <f t="shared" si="48"/>
        <v>0</v>
      </c>
      <c r="BP55" s="1115">
        <f>(BP51*BP$46)/1000</f>
        <v>0</v>
      </c>
      <c r="BQ55" s="96">
        <f>(BQ51*BQ$46)/1000</f>
        <v>0</v>
      </c>
      <c r="BR55" s="96">
        <f>(BR51*BR$46)/1000</f>
        <v>0</v>
      </c>
      <c r="BS55" s="97">
        <f>(BS51*BS$46)/1000</f>
        <v>0</v>
      </c>
      <c r="BT55" s="146">
        <f>(BT51*BT$46)/1000</f>
        <v>0</v>
      </c>
      <c r="BU55" s="146">
        <f t="shared" si="47"/>
        <v>0</v>
      </c>
      <c r="BV55" s="146">
        <f t="shared" si="47"/>
        <v>0</v>
      </c>
      <c r="BW55" s="146">
        <f t="shared" si="47"/>
        <v>0</v>
      </c>
      <c r="BX55" s="146">
        <f>(BX51*BX$46)/1000</f>
        <v>0</v>
      </c>
      <c r="BY55" s="146">
        <f>(BY51*BY$46)/1000</f>
        <v>0</v>
      </c>
      <c r="BZ55" s="146">
        <f>(BZ51*BZ$46)/1000</f>
        <v>0</v>
      </c>
      <c r="CA55" s="146">
        <f>(CA51*CA$46)/1000</f>
        <v>0</v>
      </c>
      <c r="CB55" s="146">
        <f>(CB51*CB$46)/1000</f>
        <v>0</v>
      </c>
    </row>
    <row r="56" spans="1:80" ht="5.25" customHeight="1">
      <c r="A56" s="2"/>
      <c r="B56" s="2"/>
      <c r="C56" s="564" t="s">
        <v>1226</v>
      </c>
      <c r="D56" s="564" t="s">
        <v>1226</v>
      </c>
      <c r="E56" s="564" t="s">
        <v>1226</v>
      </c>
      <c r="F56" s="564" t="s">
        <v>1226</v>
      </c>
      <c r="G56" s="736" t="s">
        <v>1226</v>
      </c>
      <c r="H56" s="564" t="s">
        <v>1226</v>
      </c>
      <c r="I56" s="564" t="s">
        <v>1226</v>
      </c>
      <c r="J56" s="564" t="s">
        <v>1226</v>
      </c>
      <c r="K56" s="564" t="s">
        <v>1226</v>
      </c>
      <c r="L56" s="736" t="s">
        <v>1226</v>
      </c>
      <c r="M56" s="564" t="s">
        <v>1226</v>
      </c>
      <c r="N56" s="564" t="s">
        <v>1226</v>
      </c>
      <c r="O56" s="564" t="s">
        <v>1226</v>
      </c>
      <c r="P56" s="564" t="s">
        <v>1226</v>
      </c>
      <c r="Q56" s="736" t="s">
        <v>1226</v>
      </c>
      <c r="R56" s="564" t="s">
        <v>1226</v>
      </c>
      <c r="S56" s="564" t="s">
        <v>1226</v>
      </c>
      <c r="T56" s="564" t="s">
        <v>1226</v>
      </c>
      <c r="U56" s="564" t="s">
        <v>1226</v>
      </c>
      <c r="V56" s="736" t="s">
        <v>1226</v>
      </c>
      <c r="W56" s="564" t="s">
        <v>1226</v>
      </c>
      <c r="X56" s="564" t="s">
        <v>1226</v>
      </c>
      <c r="Y56" s="564" t="s">
        <v>1226</v>
      </c>
      <c r="Z56" s="564" t="s">
        <v>1226</v>
      </c>
      <c r="AA56" s="736" t="s">
        <v>1226</v>
      </c>
      <c r="AB56" s="564" t="s">
        <v>1226</v>
      </c>
      <c r="AC56" s="564" t="s">
        <v>1226</v>
      </c>
      <c r="AD56" s="564" t="s">
        <v>1226</v>
      </c>
      <c r="AE56" s="564" t="s">
        <v>1226</v>
      </c>
      <c r="AF56" s="736" t="s">
        <v>1226</v>
      </c>
      <c r="AG56" s="564" t="s">
        <v>1226</v>
      </c>
      <c r="AH56" s="564" t="s">
        <v>1226</v>
      </c>
      <c r="AI56" s="564" t="s">
        <v>1226</v>
      </c>
      <c r="AJ56" s="564" t="s">
        <v>1226</v>
      </c>
      <c r="AK56" s="736" t="s">
        <v>1226</v>
      </c>
      <c r="AL56" s="564" t="s">
        <v>1226</v>
      </c>
      <c r="AM56" s="564" t="s">
        <v>1226</v>
      </c>
      <c r="AN56" s="564" t="s">
        <v>1226</v>
      </c>
      <c r="AO56" s="564" t="s">
        <v>1226</v>
      </c>
      <c r="AP56" s="736" t="s">
        <v>1226</v>
      </c>
      <c r="AQ56" s="564" t="s">
        <v>1226</v>
      </c>
      <c r="AR56" s="564" t="s">
        <v>1226</v>
      </c>
      <c r="AS56" s="564" t="s">
        <v>1226</v>
      </c>
      <c r="AT56" s="564" t="s">
        <v>1226</v>
      </c>
      <c r="AU56" s="736" t="s">
        <v>1226</v>
      </c>
      <c r="AV56" s="564" t="s">
        <v>1226</v>
      </c>
      <c r="AW56" s="564" t="s">
        <v>1226</v>
      </c>
      <c r="AX56" s="564" t="s">
        <v>1226</v>
      </c>
      <c r="AY56" s="564" t="s">
        <v>1226</v>
      </c>
      <c r="AZ56" s="736" t="s">
        <v>1226</v>
      </c>
      <c r="BA56" s="564" t="s">
        <v>1226</v>
      </c>
      <c r="BB56" s="564" t="s">
        <v>1226</v>
      </c>
      <c r="BC56" s="564" t="s">
        <v>1226</v>
      </c>
      <c r="BD56" s="564" t="s">
        <v>1226</v>
      </c>
      <c r="BE56" s="736" t="s">
        <v>1226</v>
      </c>
      <c r="BF56" s="734" t="s">
        <v>1226</v>
      </c>
      <c r="BG56" s="564" t="s">
        <v>1226</v>
      </c>
      <c r="BH56" s="564" t="s">
        <v>1226</v>
      </c>
      <c r="BI56" s="1789" t="s">
        <v>1226</v>
      </c>
      <c r="BJ56" s="736" t="s">
        <v>1226</v>
      </c>
      <c r="BK56" s="734" t="s">
        <v>1226</v>
      </c>
      <c r="BL56" s="564" t="s">
        <v>1226</v>
      </c>
      <c r="BM56" s="564" t="s">
        <v>1226</v>
      </c>
      <c r="BN56" s="1789" t="s">
        <v>1226</v>
      </c>
      <c r="BO56" s="736" t="s">
        <v>1226</v>
      </c>
      <c r="BP56" s="734" t="s">
        <v>1226</v>
      </c>
      <c r="BQ56" s="564" t="s">
        <v>1226</v>
      </c>
      <c r="BR56" s="564" t="s">
        <v>1226</v>
      </c>
      <c r="BS56" s="1789" t="s">
        <v>1226</v>
      </c>
      <c r="BT56" s="736" t="s">
        <v>1226</v>
      </c>
      <c r="BU56" s="736" t="s">
        <v>1226</v>
      </c>
      <c r="BV56" s="736" t="s">
        <v>1226</v>
      </c>
      <c r="BW56" s="736" t="s">
        <v>1226</v>
      </c>
      <c r="BX56" s="736" t="s">
        <v>1226</v>
      </c>
      <c r="BY56" s="736" t="s">
        <v>1226</v>
      </c>
      <c r="BZ56" s="736" t="s">
        <v>1226</v>
      </c>
      <c r="CA56" s="736" t="s">
        <v>1226</v>
      </c>
      <c r="CB56" s="736" t="s">
        <v>1226</v>
      </c>
    </row>
    <row r="57" spans="1:80">
      <c r="A57" s="1062" t="s">
        <v>71</v>
      </c>
      <c r="B57" s="1062"/>
      <c r="C57" s="1072">
        <f t="shared" ref="C57:L57" si="49">C54+C55</f>
        <v>5.8879899999999994</v>
      </c>
      <c r="D57" s="1072">
        <f t="shared" si="49"/>
        <v>5.9778599999999997</v>
      </c>
      <c r="E57" s="1072">
        <f t="shared" si="49"/>
        <v>5.9979559596999996</v>
      </c>
      <c r="F57" s="1072">
        <f t="shared" si="49"/>
        <v>5.8206563902999999</v>
      </c>
      <c r="G57" s="1073">
        <f t="shared" si="49"/>
        <v>23.68446235</v>
      </c>
      <c r="H57" s="1072">
        <f t="shared" si="49"/>
        <v>6.3012405583000008</v>
      </c>
      <c r="I57" s="1072">
        <f t="shared" si="49"/>
        <v>6.2200458899999989</v>
      </c>
      <c r="J57" s="1072">
        <f t="shared" si="49"/>
        <v>3.8842783649999997</v>
      </c>
      <c r="K57" s="1072">
        <f t="shared" si="49"/>
        <v>8.958717609999999</v>
      </c>
      <c r="L57" s="1073">
        <f t="shared" si="49"/>
        <v>25.364282423299997</v>
      </c>
      <c r="M57" s="1072">
        <f t="shared" ref="M57:AB57" si="50">M54+M55</f>
        <v>9.7588540850000012</v>
      </c>
      <c r="N57" s="1072">
        <f t="shared" si="50"/>
        <v>8.0741020450000001</v>
      </c>
      <c r="O57" s="1072">
        <f t="shared" si="50"/>
        <v>7.1063543649999996</v>
      </c>
      <c r="P57" s="1072">
        <f t="shared" si="50"/>
        <v>6.1867817349999994</v>
      </c>
      <c r="Q57" s="1073">
        <f t="shared" si="50"/>
        <v>31.126092229999994</v>
      </c>
      <c r="R57" s="1072">
        <f t="shared" si="50"/>
        <v>6.4121909600000002</v>
      </c>
      <c r="S57" s="1072">
        <f t="shared" si="50"/>
        <v>6.2494570300000003</v>
      </c>
      <c r="T57" s="1072">
        <f t="shared" si="50"/>
        <v>6.2714450800000003</v>
      </c>
      <c r="U57" s="1072">
        <f t="shared" si="50"/>
        <v>6.0256620249999999</v>
      </c>
      <c r="V57" s="1073">
        <f t="shared" si="50"/>
        <v>24.958755095000001</v>
      </c>
      <c r="W57" s="1072">
        <f t="shared" si="50"/>
        <v>6.5478834800000003</v>
      </c>
      <c r="X57" s="1072">
        <f t="shared" si="50"/>
        <v>6.1287684333499994</v>
      </c>
      <c r="Y57" s="1072">
        <f t="shared" si="50"/>
        <v>5.4347846457999998</v>
      </c>
      <c r="Z57" s="1072">
        <f t="shared" si="50"/>
        <v>5.9028989513999992</v>
      </c>
      <c r="AA57" s="1073">
        <f t="shared" si="50"/>
        <v>24.014335510549998</v>
      </c>
      <c r="AB57" s="1072">
        <f t="shared" si="50"/>
        <v>5.9969828568000008</v>
      </c>
      <c r="AC57" s="1072">
        <f t="shared" ref="AC57:AP57" si="51">AC54+AC55</f>
        <v>5.5684999999999993</v>
      </c>
      <c r="AD57" s="1072">
        <f t="shared" si="51"/>
        <v>5.5469999999999997</v>
      </c>
      <c r="AE57" s="1072">
        <f t="shared" si="51"/>
        <v>4.9234999999999998</v>
      </c>
      <c r="AF57" s="1073">
        <f t="shared" si="51"/>
        <v>22.0359828568</v>
      </c>
      <c r="AG57" s="1072">
        <f t="shared" si="51"/>
        <v>5.4394999999999998</v>
      </c>
      <c r="AH57" s="1072">
        <f t="shared" si="51"/>
        <v>5.3534999999999995</v>
      </c>
      <c r="AI57" s="1072">
        <f t="shared" si="51"/>
        <v>5.7291444202500008</v>
      </c>
      <c r="AJ57" s="1072">
        <f t="shared" si="51"/>
        <v>5.5837028736000001</v>
      </c>
      <c r="AK57" s="1073">
        <f t="shared" si="51"/>
        <v>22.105847293850001</v>
      </c>
      <c r="AL57" s="1072">
        <f t="shared" si="51"/>
        <v>5.8342487892000001</v>
      </c>
      <c r="AM57" s="1072">
        <f t="shared" si="51"/>
        <v>6.0822063584999997</v>
      </c>
      <c r="AN57" s="1072">
        <f t="shared" si="51"/>
        <v>5.8911166181499999</v>
      </c>
      <c r="AO57" s="1072">
        <f t="shared" si="51"/>
        <v>5.4571856979000009</v>
      </c>
      <c r="AP57" s="1073">
        <f t="shared" si="51"/>
        <v>23.264757463750001</v>
      </c>
      <c r="AQ57" s="1072">
        <f t="shared" ref="AQ57:BW57" si="52">AQ54+AQ55</f>
        <v>6.133169969249999</v>
      </c>
      <c r="AR57" s="1072">
        <f t="shared" si="52"/>
        <v>5.9715176956499993</v>
      </c>
      <c r="AS57" s="1072">
        <f t="shared" si="52"/>
        <v>5.5992787850999992</v>
      </c>
      <c r="AT57" s="1072">
        <f t="shared" si="52"/>
        <v>5.5749500000000003</v>
      </c>
      <c r="AU57" s="1073">
        <f t="shared" si="52"/>
        <v>23.278916450000001</v>
      </c>
      <c r="AV57" s="1072">
        <f t="shared" si="52"/>
        <v>5.7357477453500003</v>
      </c>
      <c r="AW57" s="1072">
        <f t="shared" si="52"/>
        <v>5.8203707026</v>
      </c>
      <c r="AX57" s="1072">
        <f t="shared" si="52"/>
        <v>5.3447153537000007</v>
      </c>
      <c r="AY57" s="1072">
        <f t="shared" si="52"/>
        <v>4.8175049999999997</v>
      </c>
      <c r="AZ57" s="1073">
        <f t="shared" si="52"/>
        <v>21.718338801649999</v>
      </c>
      <c r="BA57" s="1072">
        <f t="shared" si="52"/>
        <v>5.4172029670499997</v>
      </c>
      <c r="BB57" s="1072">
        <f t="shared" si="52"/>
        <v>5.4170862758000009</v>
      </c>
      <c r="BC57" s="1072">
        <f t="shared" si="52"/>
        <v>5.1330759369999992</v>
      </c>
      <c r="BD57" s="1072">
        <f t="shared" si="52"/>
        <v>5.2100931510000006</v>
      </c>
      <c r="BE57" s="1073">
        <f t="shared" si="52"/>
        <v>21.177458330850001</v>
      </c>
      <c r="BF57" s="2830">
        <f t="shared" ref="BF57:BO57" si="53">BF54+BF55</f>
        <v>5.6175364754500006</v>
      </c>
      <c r="BG57" s="402">
        <f t="shared" si="53"/>
        <v>5.8598320240500001</v>
      </c>
      <c r="BH57" s="402">
        <f t="shared" si="53"/>
        <v>5.5718019828999994</v>
      </c>
      <c r="BI57" s="1121">
        <f t="shared" si="53"/>
        <v>5.5068028453500002</v>
      </c>
      <c r="BJ57" s="1073">
        <f t="shared" si="53"/>
        <v>22.555973327749999</v>
      </c>
      <c r="BK57" s="2830">
        <f t="shared" si="53"/>
        <v>5.7080907086500003</v>
      </c>
      <c r="BL57" s="402">
        <f t="shared" si="53"/>
        <v>5.9274797809999997</v>
      </c>
      <c r="BM57" s="402">
        <f t="shared" si="53"/>
        <v>5.8479999999999999</v>
      </c>
      <c r="BN57" s="1121">
        <f t="shared" si="53"/>
        <v>5.4477075175000005</v>
      </c>
      <c r="BO57" s="1073">
        <f t="shared" si="53"/>
        <v>22.931278007150002</v>
      </c>
      <c r="BP57" s="2830">
        <f>BP54+BP55</f>
        <v>5.8551596569499988</v>
      </c>
      <c r="BQ57" s="402">
        <f>BQ54+BQ55</f>
        <v>6.0229922560499993</v>
      </c>
      <c r="BR57" s="402">
        <f>BR54+BR55</f>
        <v>5.8727992394999999</v>
      </c>
      <c r="BS57" s="1121">
        <f>BS54+BS55</f>
        <v>5.4737704969000003</v>
      </c>
      <c r="BT57" s="1073">
        <f>BT54+BT55</f>
        <v>23.224721649399996</v>
      </c>
      <c r="BU57" s="1073">
        <f t="shared" si="52"/>
        <v>23.972210716425003</v>
      </c>
      <c r="BV57" s="1073">
        <f t="shared" si="52"/>
        <v>24.211932823589251</v>
      </c>
      <c r="BW57" s="1073">
        <f t="shared" si="52"/>
        <v>24.211932823589251</v>
      </c>
      <c r="BX57" s="1073">
        <f>BX54+BX55</f>
        <v>23.001336182409787</v>
      </c>
      <c r="BY57" s="1073">
        <f>BY54+BY55</f>
        <v>21.851269373289295</v>
      </c>
      <c r="BZ57" s="1073">
        <f>BZ54+BZ55</f>
        <v>22.288294760755083</v>
      </c>
      <c r="CA57" s="1073">
        <f>CA54+CA55</f>
        <v>22.734060655970186</v>
      </c>
      <c r="CB57" s="1073">
        <f>CB54+CB55</f>
        <v>23.18874186908959</v>
      </c>
    </row>
    <row r="58" spans="1:80">
      <c r="A58" s="1062"/>
      <c r="B58" s="1062"/>
      <c r="C58" s="1072"/>
      <c r="D58" s="1072"/>
      <c r="E58" s="1072"/>
      <c r="F58" s="1072"/>
      <c r="G58" s="1073"/>
      <c r="H58" s="1072"/>
      <c r="I58" s="1072"/>
      <c r="J58" s="1072"/>
      <c r="K58" s="1072"/>
      <c r="L58" s="1073"/>
      <c r="M58" s="1072"/>
      <c r="N58" s="1072"/>
      <c r="O58" s="1072"/>
      <c r="P58" s="1072"/>
      <c r="Q58" s="1073"/>
      <c r="R58" s="1072"/>
      <c r="S58" s="1072"/>
      <c r="T58" s="1072"/>
      <c r="U58" s="1072"/>
      <c r="V58" s="1073"/>
      <c r="W58" s="1072"/>
      <c r="X58" s="1072"/>
      <c r="Y58" s="1072"/>
      <c r="Z58" s="1072"/>
      <c r="AA58" s="1073"/>
      <c r="AB58" s="1072"/>
      <c r="AC58" s="1072"/>
      <c r="AD58" s="1072"/>
      <c r="AE58" s="1072"/>
      <c r="AF58" s="1073"/>
      <c r="AG58" s="1072"/>
      <c r="AH58" s="1072"/>
      <c r="AI58" s="1072"/>
      <c r="AJ58" s="1072"/>
      <c r="AK58" s="1073"/>
      <c r="AL58" s="1072"/>
      <c r="AM58" s="1072"/>
      <c r="AN58" s="1072"/>
      <c r="AO58" s="1072"/>
      <c r="AP58" s="1073"/>
      <c r="AQ58" s="402"/>
      <c r="AR58" s="402"/>
      <c r="AS58" s="402"/>
      <c r="AT58" s="402"/>
      <c r="AU58" s="1073"/>
      <c r="AV58" s="402"/>
      <c r="AW58" s="402"/>
      <c r="AX58" s="402"/>
      <c r="AY58" s="402"/>
      <c r="AZ58" s="1073"/>
      <c r="BA58" s="402"/>
      <c r="BB58" s="402"/>
      <c r="BC58" s="402"/>
      <c r="BD58" s="402"/>
      <c r="BE58" s="1073"/>
      <c r="BF58" s="2830"/>
      <c r="BG58" s="402"/>
      <c r="BH58" s="402"/>
      <c r="BI58" s="1121"/>
      <c r="BJ58" s="1073"/>
      <c r="BK58" s="2830"/>
      <c r="BL58" s="402"/>
      <c r="BM58" s="402"/>
      <c r="BN58" s="1121"/>
      <c r="BO58" s="1073"/>
      <c r="BP58" s="2830"/>
      <c r="BQ58" s="402"/>
      <c r="BR58" s="402"/>
      <c r="BS58" s="1121"/>
      <c r="BT58" s="1073"/>
      <c r="BU58" s="1073"/>
      <c r="BV58" s="1073"/>
      <c r="BW58" s="1073"/>
      <c r="BX58" s="1073"/>
      <c r="BY58" s="1073"/>
      <c r="BZ58" s="1073"/>
      <c r="CA58" s="1073"/>
      <c r="CB58" s="1073"/>
    </row>
    <row r="59" spans="1:80">
      <c r="A59" s="1062" t="s">
        <v>633</v>
      </c>
      <c r="B59" s="1062"/>
      <c r="C59" s="1083"/>
      <c r="D59" s="1083"/>
      <c r="E59" s="1083">
        <v>5.9979560000000003</v>
      </c>
      <c r="F59" s="1083">
        <v>5.8206563902999999</v>
      </c>
      <c r="G59" s="1073">
        <f>SUM(C59:F59)</f>
        <v>11.8186123903</v>
      </c>
      <c r="H59" s="1083">
        <v>6.3012405583</v>
      </c>
      <c r="I59" s="1072"/>
      <c r="J59" s="1072"/>
      <c r="K59" s="1072"/>
      <c r="L59" s="1073"/>
      <c r="M59" s="1072"/>
      <c r="N59" s="1072"/>
      <c r="O59" s="1072"/>
      <c r="P59" s="1072"/>
      <c r="Q59" s="1073"/>
      <c r="R59" s="1072"/>
      <c r="S59" s="1072"/>
      <c r="T59" s="1072"/>
      <c r="U59" s="1072"/>
      <c r="V59" s="1073"/>
      <c r="W59" s="1072"/>
      <c r="X59" s="1072"/>
      <c r="Y59" s="1072"/>
      <c r="Z59" s="1072"/>
      <c r="AA59" s="1073"/>
      <c r="AB59" s="1072"/>
      <c r="AC59" s="1072"/>
      <c r="AD59" s="1072"/>
      <c r="AE59" s="1072"/>
      <c r="AF59" s="1073"/>
      <c r="AG59" s="1072"/>
      <c r="AH59" s="1072"/>
      <c r="AI59" s="1072"/>
      <c r="AJ59" s="1072"/>
      <c r="AK59" s="1073"/>
      <c r="AL59" s="1072"/>
      <c r="AM59" s="1072"/>
      <c r="AN59" s="1072"/>
      <c r="AO59" s="1072"/>
      <c r="AP59" s="1073"/>
      <c r="AQ59" s="402"/>
      <c r="AR59" s="402"/>
      <c r="AS59" s="402"/>
      <c r="AT59" s="402"/>
      <c r="AU59" s="1073"/>
      <c r="AV59" s="402"/>
      <c r="AW59" s="402"/>
      <c r="AX59" s="402"/>
      <c r="AY59" s="402"/>
      <c r="AZ59" s="1073"/>
      <c r="BA59" s="402"/>
      <c r="BB59" s="402"/>
      <c r="BC59" s="402"/>
      <c r="BD59" s="402"/>
      <c r="BE59" s="1073"/>
      <c r="BF59" s="2830"/>
      <c r="BG59" s="402"/>
      <c r="BH59" s="402"/>
      <c r="BI59" s="1121"/>
      <c r="BJ59" s="1073"/>
      <c r="BK59" s="2830"/>
      <c r="BL59" s="402"/>
      <c r="BM59" s="402"/>
      <c r="BN59" s="1121"/>
      <c r="BO59" s="1073"/>
      <c r="BP59" s="2830"/>
      <c r="BQ59" s="402"/>
      <c r="BR59" s="402"/>
      <c r="BS59" s="1121"/>
      <c r="BT59" s="1073"/>
      <c r="BU59" s="1073"/>
      <c r="BV59" s="1073"/>
      <c r="BW59" s="1073"/>
      <c r="BX59" s="1073"/>
      <c r="BY59" s="1073"/>
      <c r="BZ59" s="1073"/>
      <c r="CA59" s="1073"/>
      <c r="CB59" s="1073"/>
    </row>
    <row r="60" spans="1:80">
      <c r="A60" s="1062"/>
      <c r="B60" s="1062"/>
      <c r="C60" s="1072"/>
      <c r="D60" s="1072"/>
      <c r="E60" s="1072"/>
      <c r="F60" s="1072"/>
      <c r="G60" s="1073"/>
      <c r="H60" s="1072"/>
      <c r="I60" s="1072"/>
      <c r="J60" s="1072"/>
      <c r="K60" s="1072"/>
      <c r="L60" s="1073"/>
      <c r="M60" s="1072"/>
      <c r="N60" s="1072"/>
      <c r="O60" s="1072"/>
      <c r="P60" s="1072"/>
      <c r="Q60" s="1073"/>
      <c r="R60" s="1072"/>
      <c r="S60" s="1072"/>
      <c r="T60" s="1072"/>
      <c r="U60" s="1072"/>
      <c r="V60" s="1073"/>
      <c r="W60" s="1072"/>
      <c r="X60" s="1072"/>
      <c r="Y60" s="1072"/>
      <c r="Z60" s="1072"/>
      <c r="AA60" s="1073"/>
      <c r="AB60" s="1072"/>
      <c r="AC60" s="1072"/>
      <c r="AD60" s="1072"/>
      <c r="AE60" s="1072"/>
      <c r="AF60" s="1073"/>
      <c r="AG60" s="1072"/>
      <c r="AH60" s="1072"/>
      <c r="AI60" s="1072"/>
      <c r="AJ60" s="1072"/>
      <c r="AK60" s="1073"/>
      <c r="AL60" s="1072"/>
      <c r="AM60" s="1072"/>
      <c r="AN60" s="1072"/>
      <c r="AO60" s="1072"/>
      <c r="AP60" s="1073"/>
      <c r="AQ60" s="402"/>
      <c r="AR60" s="402"/>
      <c r="AS60" s="402"/>
      <c r="AT60" s="402"/>
      <c r="AU60" s="1073"/>
      <c r="AV60" s="402"/>
      <c r="AW60" s="402"/>
      <c r="AX60" s="402"/>
      <c r="AY60" s="402"/>
      <c r="AZ60" s="1073"/>
      <c r="BA60" s="402"/>
      <c r="BB60" s="402"/>
      <c r="BC60" s="402"/>
      <c r="BD60" s="402"/>
      <c r="BE60" s="1073"/>
      <c r="BF60" s="2830"/>
      <c r="BG60" s="402"/>
      <c r="BH60" s="402"/>
      <c r="BI60" s="1121"/>
      <c r="BJ60" s="1073"/>
      <c r="BK60" s="2830"/>
      <c r="BL60" s="402"/>
      <c r="BM60" s="402"/>
      <c r="BN60" s="1121"/>
      <c r="BO60" s="1073"/>
      <c r="BP60" s="2830"/>
      <c r="BQ60" s="402"/>
      <c r="BR60" s="402"/>
      <c r="BS60" s="1121"/>
      <c r="BT60" s="1073"/>
      <c r="BU60" s="1073"/>
      <c r="BV60" s="1073"/>
      <c r="BW60" s="1073"/>
      <c r="BX60" s="1073"/>
      <c r="BY60" s="1073"/>
      <c r="BZ60" s="1073"/>
      <c r="CA60" s="1073"/>
      <c r="CB60" s="1073"/>
    </row>
    <row r="61" spans="1:80">
      <c r="A61" s="1062"/>
      <c r="B61" s="1062"/>
      <c r="C61" s="1072"/>
      <c r="D61" s="1072"/>
      <c r="E61" s="1072"/>
      <c r="F61" s="1072"/>
      <c r="G61" s="1073"/>
      <c r="H61" s="1072"/>
      <c r="I61" s="1072"/>
      <c r="J61" s="1072"/>
      <c r="K61" s="1072"/>
      <c r="L61" s="1073"/>
      <c r="M61" s="1072"/>
      <c r="N61" s="1072"/>
      <c r="O61" s="1072"/>
      <c r="P61" s="1072"/>
      <c r="Q61" s="1073"/>
      <c r="R61" s="1072"/>
      <c r="S61" s="1072"/>
      <c r="T61" s="1072"/>
      <c r="U61" s="1072"/>
      <c r="V61" s="1073"/>
      <c r="W61" s="1072"/>
      <c r="X61" s="1072"/>
      <c r="Y61" s="1072"/>
      <c r="Z61" s="1072"/>
      <c r="AA61" s="1073"/>
      <c r="AB61" s="1072"/>
      <c r="AC61" s="1072"/>
      <c r="AD61" s="1072"/>
      <c r="AE61" s="1072"/>
      <c r="AF61" s="1073"/>
      <c r="AG61" s="1072"/>
      <c r="AH61" s="1072"/>
      <c r="AI61" s="1072"/>
      <c r="AJ61" s="1072"/>
      <c r="AK61" s="1073"/>
      <c r="AL61" s="1072"/>
      <c r="AM61" s="1072"/>
      <c r="AN61" s="1072"/>
      <c r="AO61" s="1072"/>
      <c r="AP61" s="1073"/>
      <c r="AQ61" s="402"/>
      <c r="AR61" s="402"/>
      <c r="AS61" s="402"/>
      <c r="AT61" s="402"/>
      <c r="AU61" s="1073"/>
      <c r="AV61" s="402"/>
      <c r="AW61" s="402"/>
      <c r="AX61" s="402"/>
      <c r="AY61" s="402"/>
      <c r="AZ61" s="1073"/>
      <c r="BA61" s="402"/>
      <c r="BB61" s="402"/>
      <c r="BC61" s="402"/>
      <c r="BD61" s="402"/>
      <c r="BE61" s="1073"/>
      <c r="BF61" s="2830"/>
      <c r="BG61" s="402"/>
      <c r="BH61" s="402"/>
      <c r="BI61" s="1121"/>
      <c r="BJ61" s="1073"/>
      <c r="BK61" s="2830"/>
      <c r="BL61" s="402"/>
      <c r="BM61" s="402"/>
      <c r="BN61" s="1121"/>
      <c r="BO61" s="1073"/>
      <c r="BP61" s="2830"/>
      <c r="BQ61" s="402"/>
      <c r="BR61" s="402"/>
      <c r="BS61" s="1121"/>
      <c r="BT61" s="1073"/>
      <c r="BU61" s="1073"/>
      <c r="BV61" s="1073"/>
      <c r="BW61" s="1073"/>
      <c r="BX61" s="1073"/>
      <c r="BY61" s="1073"/>
      <c r="BZ61" s="1073"/>
      <c r="CA61" s="1073"/>
      <c r="CB61" s="1073"/>
    </row>
    <row r="62" spans="1:80">
      <c r="A62" s="1071" t="s">
        <v>185</v>
      </c>
      <c r="B62" s="1071"/>
      <c r="C62" s="1072"/>
      <c r="D62" s="1072"/>
      <c r="E62" s="1072"/>
      <c r="F62" s="1072"/>
      <c r="G62" s="1073"/>
      <c r="H62" s="1072"/>
      <c r="I62" s="1072"/>
      <c r="J62" s="1072"/>
      <c r="K62" s="1072"/>
      <c r="L62" s="1073"/>
      <c r="M62" s="1072"/>
      <c r="N62" s="1072"/>
      <c r="O62" s="1072"/>
      <c r="P62" s="1072"/>
      <c r="Q62" s="1073"/>
      <c r="R62" s="1072"/>
      <c r="S62" s="1072"/>
      <c r="T62" s="1072"/>
      <c r="U62" s="1072"/>
      <c r="V62" s="1073"/>
      <c r="W62" s="1072"/>
      <c r="X62" s="1072"/>
      <c r="Y62" s="1072"/>
      <c r="Z62" s="1072"/>
      <c r="AA62" s="1073"/>
      <c r="AB62" s="1072"/>
      <c r="AC62" s="1072"/>
      <c r="AD62" s="1072"/>
      <c r="AE62" s="1072"/>
      <c r="AF62" s="1073"/>
      <c r="AG62" s="1072"/>
      <c r="AH62" s="1072"/>
      <c r="AI62" s="1072"/>
      <c r="AJ62" s="1072"/>
      <c r="AK62" s="1073"/>
      <c r="AL62" s="1072"/>
      <c r="AM62" s="1072"/>
      <c r="AN62" s="1072"/>
      <c r="AO62" s="1072"/>
      <c r="AP62" s="1073"/>
      <c r="AQ62" s="402"/>
      <c r="AR62" s="402"/>
      <c r="AS62" s="402"/>
      <c r="AT62" s="402"/>
      <c r="AU62" s="1073"/>
      <c r="AV62" s="402"/>
      <c r="AW62" s="402"/>
      <c r="AX62" s="402"/>
      <c r="AY62" s="402"/>
      <c r="AZ62" s="1073"/>
      <c r="BA62" s="402"/>
      <c r="BB62" s="402"/>
      <c r="BC62" s="402"/>
      <c r="BD62" s="402"/>
      <c r="BE62" s="1073"/>
      <c r="BF62" s="2830"/>
      <c r="BG62" s="402"/>
      <c r="BH62" s="402"/>
      <c r="BI62" s="1121"/>
      <c r="BJ62" s="1073"/>
      <c r="BK62" s="2830"/>
      <c r="BL62" s="402"/>
      <c r="BM62" s="402"/>
      <c r="BN62" s="1121"/>
      <c r="BO62" s="1073"/>
      <c r="BP62" s="2830"/>
      <c r="BQ62" s="402"/>
      <c r="BR62" s="402"/>
      <c r="BS62" s="1121"/>
      <c r="BT62" s="1073"/>
      <c r="BU62" s="1073"/>
      <c r="BV62" s="1073"/>
      <c r="BW62" s="1073"/>
      <c r="BX62" s="1073"/>
      <c r="BY62" s="1073"/>
      <c r="BZ62" s="1073"/>
      <c r="CA62" s="1073"/>
      <c r="CB62" s="1073"/>
    </row>
    <row r="63" spans="1:80">
      <c r="A63" s="1062" t="s">
        <v>526</v>
      </c>
      <c r="B63" s="1062"/>
      <c r="C63" s="1072">
        <f>BYD!D435</f>
        <v>0</v>
      </c>
      <c r="D63" s="1072">
        <f>BYD!E435</f>
        <v>17.100999999999999</v>
      </c>
      <c r="E63" s="1072">
        <f>BYD!F435</f>
        <v>37.933573889999998</v>
      </c>
      <c r="F63" s="1072">
        <f>BYD!G435</f>
        <v>35.003834409999996</v>
      </c>
      <c r="G63" s="1073">
        <f>BYD!H435</f>
        <v>90.038408299999986</v>
      </c>
      <c r="H63" s="1072">
        <f>BYD!I435</f>
        <v>37.258998800000001</v>
      </c>
      <c r="I63" s="1072">
        <f>BYD!J435</f>
        <v>33.669291000000001</v>
      </c>
      <c r="J63" s="1072">
        <f>BYD!K435</f>
        <v>33.871703999999994</v>
      </c>
      <c r="K63" s="1072">
        <f>BYD!L435</f>
        <v>33.062744000000002</v>
      </c>
      <c r="L63" s="1073">
        <f>BYD!M435</f>
        <v>137.86273779999999</v>
      </c>
      <c r="M63" s="1072">
        <f>BYD!N435</f>
        <v>34.105418</v>
      </c>
      <c r="N63" s="1072">
        <f>BYD!O435</f>
        <v>30.823723000000001</v>
      </c>
      <c r="O63" s="1072">
        <f>BYD!P435</f>
        <v>32.585189</v>
      </c>
      <c r="P63" s="1072">
        <f>BYD!Q435</f>
        <v>30.966056999999999</v>
      </c>
      <c r="Q63" s="1073">
        <f>BYD!R435</f>
        <v>128.48038700000001</v>
      </c>
      <c r="R63" s="1072">
        <f>BYD!S435</f>
        <v>33.869742000000002</v>
      </c>
      <c r="S63" s="1072">
        <f>BYD!T435</f>
        <v>31.574054000000004</v>
      </c>
      <c r="T63" s="1072">
        <f>BYD!U435</f>
        <v>33.372370000000004</v>
      </c>
      <c r="U63" s="1072">
        <f>BYD!V435</f>
        <v>31.150075999999999</v>
      </c>
      <c r="V63" s="1073">
        <f>BYD!W435</f>
        <v>129.96624200000002</v>
      </c>
      <c r="W63" s="1072">
        <f>BYD!X435</f>
        <v>32.589187000000003</v>
      </c>
      <c r="X63" s="1072">
        <f>BYD!Y435</f>
        <v>32.652798959999998</v>
      </c>
      <c r="Y63" s="1072">
        <f>BYD!Z435</f>
        <v>31.764060369999999</v>
      </c>
      <c r="Z63" s="1072">
        <f>BYD!AA435</f>
        <v>31.020967820000003</v>
      </c>
      <c r="AA63" s="1073">
        <f>BYD!AB435</f>
        <v>128.02701414999999</v>
      </c>
      <c r="AB63" s="1072">
        <f>BYD!AC435</f>
        <v>33.769019230000005</v>
      </c>
      <c r="AC63" s="1072">
        <f>BYD!AD435</f>
        <v>31.6</v>
      </c>
      <c r="AD63" s="1072">
        <f>BYD!AE435</f>
        <v>31.3</v>
      </c>
      <c r="AE63" s="1072">
        <f>BYD!AF435</f>
        <v>29.2</v>
      </c>
      <c r="AF63" s="1073">
        <f>BYD!AG435</f>
        <v>125.86901923000001</v>
      </c>
      <c r="AG63" s="1072">
        <f>BYD!AH435</f>
        <v>31.5</v>
      </c>
      <c r="AH63" s="1072">
        <f>BYD!AI435</f>
        <v>30.3</v>
      </c>
      <c r="AI63" s="1072">
        <f>BYD!AJ435</f>
        <v>32.470272539999996</v>
      </c>
      <c r="AJ63" s="1072">
        <f>BYD!AK435</f>
        <v>29.123105530000004</v>
      </c>
      <c r="AK63" s="1073">
        <f>BYD!AL435</f>
        <v>123.39337807</v>
      </c>
      <c r="AL63" s="1072">
        <f>BYD!AM435</f>
        <v>29.805414740000003</v>
      </c>
      <c r="AM63" s="1072">
        <f>BYD!AN435</f>
        <v>28.801183290000001</v>
      </c>
      <c r="AN63" s="1072">
        <f>BYD!AO435</f>
        <v>29.496703419999996</v>
      </c>
      <c r="AO63" s="1072">
        <f>BYD!AP435</f>
        <v>27.09824717</v>
      </c>
      <c r="AP63" s="1073">
        <f>BYD!AQ435</f>
        <v>115.20154862000001</v>
      </c>
      <c r="AQ63" s="1072">
        <f>BYD!AR435</f>
        <v>30.861009670000001</v>
      </c>
      <c r="AR63" s="1072">
        <f>BYD!AS435</f>
        <v>27.232349910000003</v>
      </c>
      <c r="AS63" s="1072">
        <f>BYD!AT435</f>
        <v>27.919491370000003</v>
      </c>
      <c r="AT63" s="1072">
        <f>BYD!AU435</f>
        <v>25.268442040000004</v>
      </c>
      <c r="AU63" s="1073">
        <f>BYD!AV435</f>
        <v>111.28129299</v>
      </c>
      <c r="AV63" s="1072">
        <f>BYD!AW435</f>
        <v>28.02013839</v>
      </c>
      <c r="AW63" s="1072">
        <f>BYD!AX435</f>
        <v>25.305114619999998</v>
      </c>
      <c r="AX63" s="1072">
        <f>BYD!AY435</f>
        <v>22.82261282</v>
      </c>
      <c r="AY63" s="1072">
        <f>BYD!AZ435</f>
        <v>22.536999999999999</v>
      </c>
      <c r="AZ63" s="1073">
        <f>BYD!BA435</f>
        <v>98.684865830000007</v>
      </c>
      <c r="BA63" s="1072">
        <f>BYD!BB435</f>
        <v>25.15329118</v>
      </c>
      <c r="BB63" s="1072">
        <f>BYD!BC435</f>
        <v>21.967114859999999</v>
      </c>
      <c r="BC63" s="1072">
        <f>BYD!BD435</f>
        <v>23.311717760000001</v>
      </c>
      <c r="BD63" s="1072">
        <f>BYD!BE435</f>
        <v>22.07923138</v>
      </c>
      <c r="BE63" s="1073">
        <f>BYD!BF435</f>
        <v>92.511355179999995</v>
      </c>
      <c r="BF63" s="2830">
        <f>BYD!BG435</f>
        <v>22.92652039</v>
      </c>
      <c r="BG63" s="402">
        <f>BYD!BH435</f>
        <v>21.227804630000001</v>
      </c>
      <c r="BH63" s="402">
        <f>BYD!BI435</f>
        <v>21.097340760000002</v>
      </c>
      <c r="BI63" s="1121">
        <f>BYD!BJ435</f>
        <v>19.693797940000003</v>
      </c>
      <c r="BJ63" s="1073">
        <f>BYD!BK435</f>
        <v>84.945463719999992</v>
      </c>
      <c r="BK63" s="2830">
        <f>BYD!BL435</f>
        <v>21.022513970000002</v>
      </c>
      <c r="BL63" s="402">
        <f>BYD!BM435</f>
        <v>19.870245619999999</v>
      </c>
      <c r="BM63" s="402">
        <f>BYD!BN435</f>
        <v>19.3</v>
      </c>
      <c r="BN63" s="1121">
        <f>BYD!BO435</f>
        <v>18.090935790000003</v>
      </c>
      <c r="BO63" s="1073">
        <f>BYD!BP435</f>
        <v>78.283695379999997</v>
      </c>
      <c r="BP63" s="2830">
        <f>BYD!BQ435</f>
        <v>19.910138709999998</v>
      </c>
      <c r="BQ63" s="402">
        <f>BYD!BR435</f>
        <v>19.459831739999998</v>
      </c>
      <c r="BR63" s="402">
        <f>BYD!BS435</f>
        <v>19.304785280000001</v>
      </c>
      <c r="BS63" s="1121">
        <f>BYD!BT435</f>
        <v>17.667794600000001</v>
      </c>
      <c r="BT63" s="1073">
        <f>BYD!BU435</f>
        <v>76.342550329999995</v>
      </c>
      <c r="BU63" s="1073">
        <f>BYD!BZ435</f>
        <v>74.981820665399994</v>
      </c>
      <c r="BV63" s="1073">
        <f>BYD!CA435</f>
        <v>75.731638872053992</v>
      </c>
      <c r="BW63" s="1073">
        <f>BYD!CB435</f>
        <v>75.731638872053992</v>
      </c>
      <c r="BX63" s="1073">
        <f>BYD!CC435</f>
        <v>71.945056928451294</v>
      </c>
      <c r="BY63" s="1073">
        <f>BYD!CD435</f>
        <v>68.34780408202873</v>
      </c>
      <c r="BZ63" s="1073">
        <f>BYD!CE435</f>
        <v>69.714760163669311</v>
      </c>
      <c r="CA63" s="1073">
        <f>BYD!CF435</f>
        <v>71.109055366942698</v>
      </c>
      <c r="CB63" s="1073">
        <f>BYD!CG435</f>
        <v>72.531236474281556</v>
      </c>
    </row>
    <row r="64" spans="1:80">
      <c r="A64" s="1062" t="s">
        <v>1350</v>
      </c>
      <c r="B64" s="1062"/>
      <c r="C64" s="1087">
        <v>848.78399999999999</v>
      </c>
      <c r="D64" s="1087">
        <v>837.32600000000002</v>
      </c>
      <c r="E64" s="1087">
        <v>854.64499999999998</v>
      </c>
      <c r="F64" s="1087">
        <v>778.11599999999999</v>
      </c>
      <c r="G64" s="702">
        <f>SUM(C64:F64)</f>
        <v>3318.8710000000001</v>
      </c>
      <c r="H64" s="1087">
        <v>718.30100000000004</v>
      </c>
      <c r="I64" s="1087">
        <v>708.73</v>
      </c>
      <c r="J64" s="1087">
        <v>600.90099999999995</v>
      </c>
      <c r="K64" s="1087">
        <v>498.142</v>
      </c>
      <c r="L64" s="702">
        <f>SUM(H64:K64)</f>
        <v>2526.0739999999996</v>
      </c>
      <c r="M64" s="1087">
        <v>509.14800000000002</v>
      </c>
      <c r="N64" s="1087">
        <v>482.94099999999997</v>
      </c>
      <c r="O64" s="1072"/>
      <c r="P64" s="1072"/>
      <c r="Q64" s="1073"/>
      <c r="R64" s="1072"/>
      <c r="S64" s="1072"/>
      <c r="T64" s="1072"/>
      <c r="U64" s="1072"/>
      <c r="V64" s="1073"/>
      <c r="W64" s="1072"/>
      <c r="X64" s="1072"/>
      <c r="Y64" s="1072"/>
      <c r="Z64" s="1072"/>
      <c r="AA64" s="1073"/>
      <c r="AB64" s="1072"/>
      <c r="AC64" s="1072"/>
      <c r="AD64" s="1072"/>
      <c r="AE64" s="1072"/>
      <c r="AF64" s="1073"/>
      <c r="AG64" s="1072"/>
      <c r="AH64" s="1072"/>
      <c r="AI64" s="1072"/>
      <c r="AJ64" s="1072"/>
      <c r="AK64" s="1073"/>
      <c r="AL64" s="1072"/>
      <c r="AM64" s="1072"/>
      <c r="AN64" s="1072"/>
      <c r="AO64" s="1072"/>
      <c r="AP64" s="1073"/>
      <c r="AQ64" s="1072"/>
      <c r="AR64" s="1072"/>
      <c r="AS64" s="1072"/>
      <c r="AT64" s="1072"/>
      <c r="AU64" s="1073"/>
      <c r="AV64" s="1072"/>
      <c r="AW64" s="1072"/>
      <c r="AX64" s="1072"/>
      <c r="AY64" s="1072"/>
      <c r="AZ64" s="1073"/>
      <c r="BA64" s="1072"/>
      <c r="BB64" s="1072"/>
      <c r="BC64" s="1072"/>
      <c r="BD64" s="1072"/>
      <c r="BE64" s="1073"/>
      <c r="BF64" s="2830"/>
      <c r="BG64" s="402"/>
      <c r="BH64" s="402"/>
      <c r="BI64" s="1121"/>
      <c r="BJ64" s="1073"/>
      <c r="BK64" s="2830"/>
      <c r="BL64" s="402"/>
      <c r="BM64" s="402"/>
      <c r="BN64" s="1121"/>
      <c r="BO64" s="1073"/>
      <c r="BP64" s="2830"/>
      <c r="BQ64" s="402"/>
      <c r="BR64" s="402"/>
      <c r="BS64" s="1121"/>
      <c r="BT64" s="1073"/>
      <c r="BU64" s="1073"/>
      <c r="BV64" s="1073"/>
      <c r="BW64" s="1073"/>
      <c r="BX64" s="1073"/>
      <c r="BY64" s="1073"/>
      <c r="BZ64" s="1073"/>
      <c r="CA64" s="1073"/>
      <c r="CB64" s="1073"/>
    </row>
    <row r="65" spans="1:80" ht="12" customHeight="1">
      <c r="A65" s="1078" t="s">
        <v>525</v>
      </c>
      <c r="B65" s="1078"/>
      <c r="C65" s="592"/>
      <c r="D65" s="592"/>
      <c r="E65" s="592"/>
      <c r="F65" s="592"/>
      <c r="G65" s="594"/>
      <c r="H65" s="592">
        <f t="shared" ref="H65:N65" si="54">H64/C64-1</f>
        <v>-0.15372933514298093</v>
      </c>
      <c r="I65" s="592">
        <f t="shared" si="54"/>
        <v>-0.15357937051996473</v>
      </c>
      <c r="J65" s="592">
        <f t="shared" si="54"/>
        <v>-0.29689988240731535</v>
      </c>
      <c r="K65" s="592">
        <f t="shared" si="54"/>
        <v>-0.35981010543415115</v>
      </c>
      <c r="L65" s="594">
        <f t="shared" si="54"/>
        <v>-0.23887550917164313</v>
      </c>
      <c r="M65" s="592">
        <f t="shared" si="54"/>
        <v>-0.29117737550135669</v>
      </c>
      <c r="N65" s="592">
        <f t="shared" si="54"/>
        <v>-0.31858253495689481</v>
      </c>
      <c r="O65" s="1079"/>
      <c r="P65" s="1079"/>
      <c r="Q65" s="594"/>
      <c r="R65" s="1079"/>
      <c r="S65" s="1079"/>
      <c r="T65" s="1079"/>
      <c r="U65" s="1079"/>
      <c r="V65" s="594"/>
      <c r="W65" s="1079"/>
      <c r="X65" s="1079"/>
      <c r="Y65" s="1079"/>
      <c r="Z65" s="1079"/>
      <c r="AA65" s="594"/>
      <c r="AB65" s="1079"/>
      <c r="AC65" s="1079"/>
      <c r="AD65" s="1079"/>
      <c r="AE65" s="1079"/>
      <c r="AF65" s="594"/>
      <c r="AG65" s="1079"/>
      <c r="AH65" s="1079"/>
      <c r="AI65" s="1079"/>
      <c r="AJ65" s="1079"/>
      <c r="AK65" s="594"/>
      <c r="AL65" s="1079"/>
      <c r="AM65" s="1079"/>
      <c r="AN65" s="1079"/>
      <c r="AO65" s="1079"/>
      <c r="AP65" s="594"/>
      <c r="AQ65" s="1079"/>
      <c r="AR65" s="1079"/>
      <c r="AS65" s="1079"/>
      <c r="AT65" s="1079"/>
      <c r="AU65" s="1080"/>
      <c r="AV65" s="1079"/>
      <c r="AW65" s="1079"/>
      <c r="AX65" s="1079"/>
      <c r="AY65" s="1079"/>
      <c r="AZ65" s="1080"/>
      <c r="BA65" s="1079"/>
      <c r="BB65" s="1079"/>
      <c r="BC65" s="1079"/>
      <c r="BD65" s="1079"/>
      <c r="BE65" s="1080"/>
      <c r="BF65" s="2831"/>
      <c r="BG65" s="1079"/>
      <c r="BH65" s="1079"/>
      <c r="BI65" s="2832"/>
      <c r="BJ65" s="1080"/>
      <c r="BK65" s="2831"/>
      <c r="BL65" s="1079"/>
      <c r="BM65" s="1079"/>
      <c r="BN65" s="2832"/>
      <c r="BO65" s="1080"/>
      <c r="BP65" s="2831"/>
      <c r="BQ65" s="1079"/>
      <c r="BR65" s="1079"/>
      <c r="BS65" s="2832"/>
      <c r="BT65" s="1080"/>
      <c r="BU65" s="1080"/>
      <c r="BV65" s="1080"/>
      <c r="BW65" s="1080"/>
      <c r="BX65" s="1080"/>
      <c r="BY65" s="1080"/>
      <c r="BZ65" s="1080"/>
      <c r="CA65" s="1080"/>
      <c r="CB65" s="1080"/>
    </row>
    <row r="66" spans="1:80">
      <c r="A66" s="1062"/>
      <c r="B66" s="1062"/>
      <c r="C66" s="1072"/>
      <c r="D66" s="1072"/>
      <c r="E66" s="1072"/>
      <c r="F66" s="1072"/>
      <c r="G66" s="1073"/>
      <c r="H66" s="1072"/>
      <c r="I66" s="1072"/>
      <c r="J66" s="1072"/>
      <c r="K66" s="1072"/>
      <c r="L66" s="1073"/>
      <c r="M66" s="1072"/>
      <c r="N66" s="1072"/>
      <c r="O66" s="1072"/>
      <c r="P66" s="1072"/>
      <c r="Q66" s="1073"/>
      <c r="R66" s="1072"/>
      <c r="S66" s="1072"/>
      <c r="T66" s="1072"/>
      <c r="U66" s="1072"/>
      <c r="V66" s="1073"/>
      <c r="W66" s="1072"/>
      <c r="X66" s="1072"/>
      <c r="Y66" s="1072"/>
      <c r="Z66" s="1072"/>
      <c r="AA66" s="1073"/>
      <c r="AB66" s="1072"/>
      <c r="AC66" s="1072"/>
      <c r="AD66" s="1072"/>
      <c r="AE66" s="1072"/>
      <c r="AF66" s="1073"/>
      <c r="AG66" s="1072"/>
      <c r="AH66" s="1072"/>
      <c r="AI66" s="1072"/>
      <c r="AJ66" s="1072"/>
      <c r="AK66" s="1073"/>
      <c r="AL66" s="1072"/>
      <c r="AM66" s="1072"/>
      <c r="AN66" s="1072"/>
      <c r="AO66" s="1072"/>
      <c r="AP66" s="1073"/>
      <c r="AQ66" s="1072"/>
      <c r="AR66" s="1072"/>
      <c r="AS66" s="1072"/>
      <c r="AT66" s="1072"/>
      <c r="AU66" s="1073"/>
      <c r="AV66" s="1072"/>
      <c r="AW66" s="1072"/>
      <c r="AX66" s="1072"/>
      <c r="AY66" s="1072"/>
      <c r="AZ66" s="1073"/>
      <c r="BA66" s="1072"/>
      <c r="BB66" s="1072"/>
      <c r="BC66" s="1072"/>
      <c r="BD66" s="1072"/>
      <c r="BE66" s="1073"/>
      <c r="BF66" s="2830"/>
      <c r="BG66" s="402"/>
      <c r="BH66" s="402"/>
      <c r="BI66" s="1121"/>
      <c r="BJ66" s="1073"/>
      <c r="BK66" s="2830"/>
      <c r="BL66" s="402"/>
      <c r="BM66" s="402"/>
      <c r="BN66" s="1121"/>
      <c r="BO66" s="1073"/>
      <c r="BP66" s="2830"/>
      <c r="BQ66" s="402"/>
      <c r="BR66" s="402"/>
      <c r="BS66" s="1121"/>
      <c r="BT66" s="1073"/>
      <c r="BU66" s="1073"/>
      <c r="BV66" s="1073"/>
      <c r="BW66" s="1073"/>
      <c r="BX66" s="1073"/>
      <c r="BY66" s="1073"/>
      <c r="BZ66" s="1073"/>
      <c r="CA66" s="1073"/>
      <c r="CB66" s="1073"/>
    </row>
    <row r="67" spans="1:80">
      <c r="A67" s="1062" t="s">
        <v>1346</v>
      </c>
      <c r="B67" s="1062"/>
      <c r="C67" s="1072">
        <f t="shared" ref="C67:L67" si="55">C63*C$45</f>
        <v>0</v>
      </c>
      <c r="D67" s="1072">
        <f t="shared" si="55"/>
        <v>3.6767149999999997</v>
      </c>
      <c r="E67" s="1072">
        <f t="shared" si="55"/>
        <v>8.1557183863499993</v>
      </c>
      <c r="F67" s="1072">
        <f t="shared" si="55"/>
        <v>7.5258243981499993</v>
      </c>
      <c r="G67" s="1073">
        <f t="shared" si="55"/>
        <v>19.358257784499997</v>
      </c>
      <c r="H67" s="1072">
        <f t="shared" si="55"/>
        <v>8.0106847420000005</v>
      </c>
      <c r="I67" s="1072">
        <f t="shared" si="55"/>
        <v>7.2388975650000003</v>
      </c>
      <c r="J67" s="1072">
        <f t="shared" si="55"/>
        <v>7.2824163599999983</v>
      </c>
      <c r="K67" s="1072">
        <f t="shared" si="55"/>
        <v>7.10848996</v>
      </c>
      <c r="L67" s="1073">
        <f t="shared" si="55"/>
        <v>29.640488626999996</v>
      </c>
      <c r="M67" s="1072">
        <f t="shared" ref="M67:V67" si="56">M63*M$45</f>
        <v>7.3326648700000003</v>
      </c>
      <c r="N67" s="1072">
        <f t="shared" si="56"/>
        <v>6.627100445</v>
      </c>
      <c r="O67" s="1072">
        <f t="shared" si="56"/>
        <v>7.0058156350000003</v>
      </c>
      <c r="P67" s="1072">
        <f t="shared" si="56"/>
        <v>6.6577022549999993</v>
      </c>
      <c r="Q67" s="1073">
        <f t="shared" si="56"/>
        <v>27.623283205</v>
      </c>
      <c r="R67" s="1072">
        <f t="shared" si="56"/>
        <v>7.2819945300000004</v>
      </c>
      <c r="S67" s="1072">
        <f t="shared" si="56"/>
        <v>6.7884216100000003</v>
      </c>
      <c r="T67" s="1072">
        <f t="shared" si="56"/>
        <v>7.1750595500000003</v>
      </c>
      <c r="U67" s="1072">
        <f t="shared" si="56"/>
        <v>6.6972663399999997</v>
      </c>
      <c r="V67" s="1073">
        <f t="shared" si="56"/>
        <v>27.942742030000005</v>
      </c>
      <c r="W67" s="1072">
        <f t="shared" ref="W67:AF67" si="57">W63*W$45</f>
        <v>7.0066752050000005</v>
      </c>
      <c r="X67" s="1072">
        <f t="shared" si="57"/>
        <v>7.0203517763999992</v>
      </c>
      <c r="Y67" s="1072">
        <f t="shared" si="57"/>
        <v>6.8292729795499998</v>
      </c>
      <c r="Z67" s="1072">
        <f t="shared" si="57"/>
        <v>6.6695080813000001</v>
      </c>
      <c r="AA67" s="1073">
        <f t="shared" si="57"/>
        <v>27.525808042249995</v>
      </c>
      <c r="AB67" s="1072">
        <f t="shared" si="57"/>
        <v>7.2603391344500006</v>
      </c>
      <c r="AC67" s="1072">
        <f t="shared" si="57"/>
        <v>6.7940000000000005</v>
      </c>
      <c r="AD67" s="1072">
        <f t="shared" si="57"/>
        <v>6.7294999999999998</v>
      </c>
      <c r="AE67" s="1072">
        <f t="shared" si="57"/>
        <v>6.2779999999999996</v>
      </c>
      <c r="AF67" s="1073">
        <f t="shared" si="57"/>
        <v>27.06183913445</v>
      </c>
      <c r="AG67" s="1072">
        <f t="shared" ref="AG67:AP67" si="58">AG63*AG$45</f>
        <v>6.7725</v>
      </c>
      <c r="AH67" s="1072">
        <f t="shared" si="58"/>
        <v>6.5145</v>
      </c>
      <c r="AI67" s="1072">
        <f t="shared" si="58"/>
        <v>6.9811085960999995</v>
      </c>
      <c r="AJ67" s="1072">
        <f t="shared" si="58"/>
        <v>6.2614676889500007</v>
      </c>
      <c r="AK67" s="1073">
        <f t="shared" si="58"/>
        <v>26.529576285049998</v>
      </c>
      <c r="AL67" s="1072">
        <f t="shared" si="58"/>
        <v>6.4081641691000009</v>
      </c>
      <c r="AM67" s="1072">
        <f t="shared" si="58"/>
        <v>6.1922544073500001</v>
      </c>
      <c r="AN67" s="1072">
        <f t="shared" si="58"/>
        <v>6.3417912352999988</v>
      </c>
      <c r="AO67" s="1072">
        <f t="shared" si="58"/>
        <v>5.8261231415500001</v>
      </c>
      <c r="AP67" s="1073">
        <f t="shared" si="58"/>
        <v>24.768332953300003</v>
      </c>
      <c r="AQ67" s="1072">
        <f t="shared" ref="AQ67:BW67" si="59">AQ63*AQ$45</f>
        <v>6.6351170790500005</v>
      </c>
      <c r="AR67" s="1072">
        <f t="shared" si="59"/>
        <v>5.8549552306500008</v>
      </c>
      <c r="AS67" s="1072">
        <f t="shared" si="59"/>
        <v>6.0026906445500003</v>
      </c>
      <c r="AT67" s="1072">
        <f t="shared" si="59"/>
        <v>5.4327150386000005</v>
      </c>
      <c r="AU67" s="1073">
        <f t="shared" si="59"/>
        <v>23.925477992849999</v>
      </c>
      <c r="AV67" s="1072">
        <f t="shared" si="59"/>
        <v>6.02432975385</v>
      </c>
      <c r="AW67" s="1072">
        <f t="shared" si="59"/>
        <v>5.4405996432999997</v>
      </c>
      <c r="AX67" s="1072">
        <f t="shared" si="59"/>
        <v>4.9068617562999997</v>
      </c>
      <c r="AY67" s="1072">
        <f t="shared" si="59"/>
        <v>4.8454549999999994</v>
      </c>
      <c r="AZ67" s="1073">
        <f t="shared" si="59"/>
        <v>21.217246153450002</v>
      </c>
      <c r="BA67" s="1072">
        <f t="shared" si="59"/>
        <v>5.4079576036999999</v>
      </c>
      <c r="BB67" s="1072">
        <f t="shared" si="59"/>
        <v>4.7229296948999995</v>
      </c>
      <c r="BC67" s="1072">
        <f t="shared" si="59"/>
        <v>5.0120193184000001</v>
      </c>
      <c r="BD67" s="1072">
        <f t="shared" si="59"/>
        <v>4.7470347466999998</v>
      </c>
      <c r="BE67" s="1073">
        <f t="shared" si="59"/>
        <v>19.8899413637</v>
      </c>
      <c r="BF67" s="2830">
        <f t="shared" ref="BF67:BO67" si="60">BF63*BF$45</f>
        <v>4.9292018838500002</v>
      </c>
      <c r="BG67" s="402">
        <f t="shared" si="60"/>
        <v>4.5639779954500002</v>
      </c>
      <c r="BH67" s="402">
        <f t="shared" si="60"/>
        <v>4.5359282634000007</v>
      </c>
      <c r="BI67" s="1121">
        <f t="shared" si="60"/>
        <v>4.2341665571000009</v>
      </c>
      <c r="BJ67" s="1073">
        <f t="shared" si="60"/>
        <v>18.263274699799997</v>
      </c>
      <c r="BK67" s="2830">
        <f t="shared" si="60"/>
        <v>4.5198405035500002</v>
      </c>
      <c r="BL67" s="402">
        <f t="shared" si="60"/>
        <v>4.2721028082999997</v>
      </c>
      <c r="BM67" s="402">
        <f t="shared" si="60"/>
        <v>4.1494999999999997</v>
      </c>
      <c r="BN67" s="1121">
        <f t="shared" si="60"/>
        <v>3.8895511948500006</v>
      </c>
      <c r="BO67" s="1073">
        <f t="shared" si="60"/>
        <v>16.830994506699998</v>
      </c>
      <c r="BP67" s="2830">
        <f>BP63*BP$45</f>
        <v>4.2806798226499998</v>
      </c>
      <c r="BQ67" s="402">
        <f>BQ63*BQ$45</f>
        <v>4.1838638240999995</v>
      </c>
      <c r="BR67" s="402">
        <f>BR63*BR$45</f>
        <v>4.1505288352000003</v>
      </c>
      <c r="BS67" s="1121">
        <f>BS63*BS$45</f>
        <v>3.7985758390000002</v>
      </c>
      <c r="BT67" s="1073">
        <f>BT63*BT$45</f>
        <v>16.413648320949999</v>
      </c>
      <c r="BU67" s="1073">
        <f t="shared" si="59"/>
        <v>16.121091443060998</v>
      </c>
      <c r="BV67" s="1073">
        <f t="shared" si="59"/>
        <v>16.282302357491609</v>
      </c>
      <c r="BW67" s="1073">
        <f t="shared" si="59"/>
        <v>16.282302357491609</v>
      </c>
      <c r="BX67" s="1073">
        <f>BX63*BX$45</f>
        <v>15.468187239617029</v>
      </c>
      <c r="BY67" s="1073">
        <f>BY63*BY$45</f>
        <v>14.694777877636177</v>
      </c>
      <c r="BZ67" s="1073">
        <f>BZ63*BZ$45</f>
        <v>14.988673435188902</v>
      </c>
      <c r="CA67" s="1073">
        <f>CA63*CA$45</f>
        <v>15.28844690389268</v>
      </c>
      <c r="CB67" s="1073">
        <f>CB63*CB$45</f>
        <v>15.594215841970534</v>
      </c>
    </row>
    <row r="68" spans="1:80">
      <c r="A68" s="1062" t="s">
        <v>721</v>
      </c>
      <c r="B68" s="1062"/>
      <c r="C68" s="98">
        <f t="shared" ref="C68:Q68" si="61">(C64*C$46)/1000</f>
        <v>0</v>
      </c>
      <c r="D68" s="98">
        <f t="shared" si="61"/>
        <v>0</v>
      </c>
      <c r="E68" s="98">
        <f t="shared" si="61"/>
        <v>0</v>
      </c>
      <c r="F68" s="98">
        <f t="shared" si="61"/>
        <v>0</v>
      </c>
      <c r="G68" s="146">
        <f t="shared" si="61"/>
        <v>0</v>
      </c>
      <c r="H68" s="98">
        <f t="shared" si="61"/>
        <v>0</v>
      </c>
      <c r="I68" s="98">
        <f t="shared" si="61"/>
        <v>0</v>
      </c>
      <c r="J68" s="98">
        <f t="shared" si="61"/>
        <v>0</v>
      </c>
      <c r="K68" s="98">
        <f t="shared" si="61"/>
        <v>0</v>
      </c>
      <c r="L68" s="146">
        <f t="shared" si="61"/>
        <v>0</v>
      </c>
      <c r="M68" s="98">
        <f t="shared" si="61"/>
        <v>0</v>
      </c>
      <c r="N68" s="98">
        <f t="shared" si="61"/>
        <v>0</v>
      </c>
      <c r="O68" s="98">
        <f t="shared" si="61"/>
        <v>0</v>
      </c>
      <c r="P68" s="98">
        <f t="shared" si="61"/>
        <v>0</v>
      </c>
      <c r="Q68" s="146">
        <f t="shared" si="61"/>
        <v>0</v>
      </c>
      <c r="R68" s="98">
        <f t="shared" ref="R68:AB68" si="62">(R64*R$46)/1000</f>
        <v>0</v>
      </c>
      <c r="S68" s="98">
        <f t="shared" si="62"/>
        <v>0</v>
      </c>
      <c r="T68" s="98">
        <f t="shared" si="62"/>
        <v>0</v>
      </c>
      <c r="U68" s="98">
        <f t="shared" si="62"/>
        <v>0</v>
      </c>
      <c r="V68" s="146">
        <f t="shared" si="62"/>
        <v>0</v>
      </c>
      <c r="W68" s="98">
        <f t="shared" si="62"/>
        <v>0</v>
      </c>
      <c r="X68" s="98">
        <f t="shared" si="62"/>
        <v>0</v>
      </c>
      <c r="Y68" s="98">
        <f t="shared" si="62"/>
        <v>0</v>
      </c>
      <c r="Z68" s="98">
        <f t="shared" si="62"/>
        <v>0</v>
      </c>
      <c r="AA68" s="146">
        <f t="shared" si="62"/>
        <v>0</v>
      </c>
      <c r="AB68" s="98">
        <f t="shared" si="62"/>
        <v>0</v>
      </c>
      <c r="AC68" s="98">
        <f t="shared" ref="AC68:AP68" si="63">(AC64*AC$46)/1000</f>
        <v>0</v>
      </c>
      <c r="AD68" s="98">
        <f t="shared" si="63"/>
        <v>0</v>
      </c>
      <c r="AE68" s="98">
        <f t="shared" si="63"/>
        <v>0</v>
      </c>
      <c r="AF68" s="146">
        <f t="shared" si="63"/>
        <v>0</v>
      </c>
      <c r="AG68" s="98">
        <f t="shared" si="63"/>
        <v>0</v>
      </c>
      <c r="AH68" s="98">
        <f t="shared" si="63"/>
        <v>0</v>
      </c>
      <c r="AI68" s="98">
        <f t="shared" si="63"/>
        <v>0</v>
      </c>
      <c r="AJ68" s="98">
        <f t="shared" si="63"/>
        <v>0</v>
      </c>
      <c r="AK68" s="146">
        <f t="shared" si="63"/>
        <v>0</v>
      </c>
      <c r="AL68" s="98">
        <f t="shared" si="63"/>
        <v>0</v>
      </c>
      <c r="AM68" s="98">
        <f t="shared" si="63"/>
        <v>0</v>
      </c>
      <c r="AN68" s="98">
        <f t="shared" si="63"/>
        <v>0</v>
      </c>
      <c r="AO68" s="98">
        <f t="shared" si="63"/>
        <v>0</v>
      </c>
      <c r="AP68" s="146">
        <f t="shared" si="63"/>
        <v>0</v>
      </c>
      <c r="AQ68" s="98">
        <f t="shared" ref="AQ68:BW68" si="64">(AQ64*AQ$46)/1000</f>
        <v>0</v>
      </c>
      <c r="AR68" s="98">
        <f t="shared" si="64"/>
        <v>0</v>
      </c>
      <c r="AS68" s="98">
        <f t="shared" si="64"/>
        <v>0</v>
      </c>
      <c r="AT68" s="98">
        <f t="shared" si="64"/>
        <v>0</v>
      </c>
      <c r="AU68" s="146">
        <f t="shared" si="64"/>
        <v>0</v>
      </c>
      <c r="AV68" s="98">
        <f t="shared" si="64"/>
        <v>0</v>
      </c>
      <c r="AW68" s="98">
        <f t="shared" si="64"/>
        <v>0</v>
      </c>
      <c r="AX68" s="98">
        <f t="shared" si="64"/>
        <v>0</v>
      </c>
      <c r="AY68" s="98">
        <f t="shared" si="64"/>
        <v>0</v>
      </c>
      <c r="AZ68" s="146">
        <f t="shared" si="64"/>
        <v>0</v>
      </c>
      <c r="BA68" s="98">
        <f t="shared" si="64"/>
        <v>0</v>
      </c>
      <c r="BB68" s="98">
        <f t="shared" si="64"/>
        <v>0</v>
      </c>
      <c r="BC68" s="98">
        <f t="shared" si="64"/>
        <v>0</v>
      </c>
      <c r="BD68" s="98">
        <f t="shared" si="64"/>
        <v>0</v>
      </c>
      <c r="BE68" s="146">
        <f t="shared" si="64"/>
        <v>0</v>
      </c>
      <c r="BF68" s="1115">
        <f t="shared" ref="BF68:BO68" si="65">(BF64*BF$46)/1000</f>
        <v>0</v>
      </c>
      <c r="BG68" s="96">
        <f t="shared" si="65"/>
        <v>0</v>
      </c>
      <c r="BH68" s="96">
        <f t="shared" si="65"/>
        <v>0</v>
      </c>
      <c r="BI68" s="97">
        <f t="shared" si="65"/>
        <v>0</v>
      </c>
      <c r="BJ68" s="146">
        <f t="shared" si="65"/>
        <v>0</v>
      </c>
      <c r="BK68" s="1115">
        <f t="shared" si="65"/>
        <v>0</v>
      </c>
      <c r="BL68" s="96">
        <f t="shared" si="65"/>
        <v>0</v>
      </c>
      <c r="BM68" s="96">
        <f t="shared" si="65"/>
        <v>0</v>
      </c>
      <c r="BN68" s="97">
        <f t="shared" si="65"/>
        <v>0</v>
      </c>
      <c r="BO68" s="146">
        <f t="shared" si="65"/>
        <v>0</v>
      </c>
      <c r="BP68" s="1115">
        <f>(BP64*BP$46)/1000</f>
        <v>0</v>
      </c>
      <c r="BQ68" s="96">
        <f>(BQ64*BQ$46)/1000</f>
        <v>0</v>
      </c>
      <c r="BR68" s="96">
        <f>(BR64*BR$46)/1000</f>
        <v>0</v>
      </c>
      <c r="BS68" s="97">
        <f>(BS64*BS$46)/1000</f>
        <v>0</v>
      </c>
      <c r="BT68" s="146">
        <f>(BT64*BT$46)/1000</f>
        <v>0</v>
      </c>
      <c r="BU68" s="146">
        <f t="shared" si="64"/>
        <v>0</v>
      </c>
      <c r="BV68" s="146">
        <f t="shared" si="64"/>
        <v>0</v>
      </c>
      <c r="BW68" s="146">
        <f t="shared" si="64"/>
        <v>0</v>
      </c>
      <c r="BX68" s="146">
        <f>(BX64*BX$46)/1000</f>
        <v>0</v>
      </c>
      <c r="BY68" s="146">
        <f>(BY64*BY$46)/1000</f>
        <v>0</v>
      </c>
      <c r="BZ68" s="146">
        <f>(BZ64*BZ$46)/1000</f>
        <v>0</v>
      </c>
      <c r="CA68" s="146">
        <f>(CA64*CA$46)/1000</f>
        <v>0</v>
      </c>
      <c r="CB68" s="146">
        <f>(CB64*CB$46)/1000</f>
        <v>0</v>
      </c>
    </row>
    <row r="69" spans="1:80" ht="5.25" customHeight="1">
      <c r="A69" s="1062"/>
      <c r="B69" s="1062"/>
      <c r="C69" s="564" t="s">
        <v>1226</v>
      </c>
      <c r="D69" s="564" t="s">
        <v>1226</v>
      </c>
      <c r="E69" s="564" t="s">
        <v>1226</v>
      </c>
      <c r="F69" s="564" t="s">
        <v>1226</v>
      </c>
      <c r="G69" s="736" t="s">
        <v>1226</v>
      </c>
      <c r="H69" s="564" t="s">
        <v>1226</v>
      </c>
      <c r="I69" s="564" t="s">
        <v>1226</v>
      </c>
      <c r="J69" s="564" t="s">
        <v>1226</v>
      </c>
      <c r="K69" s="564" t="s">
        <v>1226</v>
      </c>
      <c r="L69" s="736" t="s">
        <v>1226</v>
      </c>
      <c r="M69" s="564" t="s">
        <v>1226</v>
      </c>
      <c r="N69" s="564" t="s">
        <v>1226</v>
      </c>
      <c r="O69" s="564" t="s">
        <v>1226</v>
      </c>
      <c r="P69" s="564" t="s">
        <v>1226</v>
      </c>
      <c r="Q69" s="736" t="s">
        <v>1226</v>
      </c>
      <c r="R69" s="564" t="s">
        <v>1226</v>
      </c>
      <c r="S69" s="564" t="s">
        <v>1226</v>
      </c>
      <c r="T69" s="564" t="s">
        <v>1226</v>
      </c>
      <c r="U69" s="564" t="s">
        <v>1226</v>
      </c>
      <c r="V69" s="736" t="s">
        <v>1226</v>
      </c>
      <c r="W69" s="564" t="s">
        <v>1226</v>
      </c>
      <c r="X69" s="564" t="s">
        <v>1226</v>
      </c>
      <c r="Y69" s="564" t="s">
        <v>1226</v>
      </c>
      <c r="Z69" s="564" t="s">
        <v>1226</v>
      </c>
      <c r="AA69" s="736" t="s">
        <v>1226</v>
      </c>
      <c r="AB69" s="564" t="s">
        <v>1226</v>
      </c>
      <c r="AC69" s="564" t="s">
        <v>1226</v>
      </c>
      <c r="AD69" s="564" t="s">
        <v>1226</v>
      </c>
      <c r="AE69" s="564" t="s">
        <v>1226</v>
      </c>
      <c r="AF69" s="736" t="s">
        <v>1226</v>
      </c>
      <c r="AG69" s="564" t="s">
        <v>1226</v>
      </c>
      <c r="AH69" s="564" t="s">
        <v>1226</v>
      </c>
      <c r="AI69" s="564" t="s">
        <v>1226</v>
      </c>
      <c r="AJ69" s="564" t="s">
        <v>1226</v>
      </c>
      <c r="AK69" s="736" t="s">
        <v>1226</v>
      </c>
      <c r="AL69" s="564" t="s">
        <v>1226</v>
      </c>
      <c r="AM69" s="564" t="s">
        <v>1226</v>
      </c>
      <c r="AN69" s="564" t="s">
        <v>1226</v>
      </c>
      <c r="AO69" s="564" t="s">
        <v>1226</v>
      </c>
      <c r="AP69" s="736" t="s">
        <v>1226</v>
      </c>
      <c r="AQ69" s="564" t="s">
        <v>1226</v>
      </c>
      <c r="AR69" s="564" t="s">
        <v>1226</v>
      </c>
      <c r="AS69" s="564" t="s">
        <v>1226</v>
      </c>
      <c r="AT69" s="564" t="s">
        <v>1226</v>
      </c>
      <c r="AU69" s="736" t="s">
        <v>1226</v>
      </c>
      <c r="AV69" s="564" t="s">
        <v>1226</v>
      </c>
      <c r="AW69" s="564" t="s">
        <v>1226</v>
      </c>
      <c r="AX69" s="564" t="s">
        <v>1226</v>
      </c>
      <c r="AY69" s="564" t="s">
        <v>1226</v>
      </c>
      <c r="AZ69" s="736" t="s">
        <v>1226</v>
      </c>
      <c r="BA69" s="564" t="s">
        <v>1226</v>
      </c>
      <c r="BB69" s="564" t="s">
        <v>1226</v>
      </c>
      <c r="BC69" s="564" t="s">
        <v>1226</v>
      </c>
      <c r="BD69" s="564" t="s">
        <v>1226</v>
      </c>
      <c r="BE69" s="736" t="s">
        <v>1226</v>
      </c>
      <c r="BF69" s="734" t="s">
        <v>1226</v>
      </c>
      <c r="BG69" s="564" t="s">
        <v>1226</v>
      </c>
      <c r="BH69" s="564" t="s">
        <v>1226</v>
      </c>
      <c r="BI69" s="1789" t="s">
        <v>1226</v>
      </c>
      <c r="BJ69" s="736" t="s">
        <v>1226</v>
      </c>
      <c r="BK69" s="734" t="s">
        <v>1226</v>
      </c>
      <c r="BL69" s="564" t="s">
        <v>1226</v>
      </c>
      <c r="BM69" s="564" t="s">
        <v>1226</v>
      </c>
      <c r="BN69" s="1789" t="s">
        <v>1226</v>
      </c>
      <c r="BO69" s="736" t="s">
        <v>1226</v>
      </c>
      <c r="BP69" s="734" t="s">
        <v>1226</v>
      </c>
      <c r="BQ69" s="564" t="s">
        <v>1226</v>
      </c>
      <c r="BR69" s="564" t="s">
        <v>1226</v>
      </c>
      <c r="BS69" s="1789" t="s">
        <v>1226</v>
      </c>
      <c r="BT69" s="736" t="s">
        <v>1226</v>
      </c>
      <c r="BU69" s="736" t="s">
        <v>1226</v>
      </c>
      <c r="BV69" s="736" t="s">
        <v>1226</v>
      </c>
      <c r="BW69" s="736" t="s">
        <v>1226</v>
      </c>
      <c r="BX69" s="736" t="s">
        <v>1226</v>
      </c>
      <c r="BY69" s="736" t="s">
        <v>1226</v>
      </c>
      <c r="BZ69" s="736" t="s">
        <v>1226</v>
      </c>
      <c r="CA69" s="736" t="s">
        <v>1226</v>
      </c>
      <c r="CB69" s="736" t="s">
        <v>1226</v>
      </c>
    </row>
    <row r="70" spans="1:80">
      <c r="A70" s="1062" t="s">
        <v>71</v>
      </c>
      <c r="B70" s="1062"/>
      <c r="C70" s="1072">
        <f t="shared" ref="C70:Q70" si="66">+C67+C68</f>
        <v>0</v>
      </c>
      <c r="D70" s="1072">
        <f t="shared" si="66"/>
        <v>3.6767149999999997</v>
      </c>
      <c r="E70" s="1072">
        <f t="shared" si="66"/>
        <v>8.1557183863499993</v>
      </c>
      <c r="F70" s="1072">
        <f t="shared" si="66"/>
        <v>7.5258243981499993</v>
      </c>
      <c r="G70" s="1073">
        <f t="shared" si="66"/>
        <v>19.358257784499997</v>
      </c>
      <c r="H70" s="1072">
        <f t="shared" si="66"/>
        <v>8.0106847420000005</v>
      </c>
      <c r="I70" s="1072">
        <f t="shared" si="66"/>
        <v>7.2388975650000003</v>
      </c>
      <c r="J70" s="1072">
        <f t="shared" si="66"/>
        <v>7.2824163599999983</v>
      </c>
      <c r="K70" s="1072">
        <f t="shared" si="66"/>
        <v>7.10848996</v>
      </c>
      <c r="L70" s="1073">
        <f t="shared" si="66"/>
        <v>29.640488626999996</v>
      </c>
      <c r="M70" s="1072">
        <f t="shared" si="66"/>
        <v>7.3326648700000003</v>
      </c>
      <c r="N70" s="1072">
        <f t="shared" si="66"/>
        <v>6.627100445</v>
      </c>
      <c r="O70" s="1072">
        <f t="shared" si="66"/>
        <v>7.0058156350000003</v>
      </c>
      <c r="P70" s="1072">
        <f t="shared" si="66"/>
        <v>6.6577022549999993</v>
      </c>
      <c r="Q70" s="1073">
        <f t="shared" si="66"/>
        <v>27.623283205</v>
      </c>
      <c r="R70" s="1072">
        <f t="shared" ref="R70:AB70" si="67">+R67+R68</f>
        <v>7.2819945300000004</v>
      </c>
      <c r="S70" s="1072">
        <f t="shared" si="67"/>
        <v>6.7884216100000003</v>
      </c>
      <c r="T70" s="1072">
        <f t="shared" si="67"/>
        <v>7.1750595500000003</v>
      </c>
      <c r="U70" s="1072">
        <f t="shared" si="67"/>
        <v>6.6972663399999997</v>
      </c>
      <c r="V70" s="1073">
        <f t="shared" si="67"/>
        <v>27.942742030000005</v>
      </c>
      <c r="W70" s="1072">
        <f t="shared" si="67"/>
        <v>7.0066752050000005</v>
      </c>
      <c r="X70" s="1072">
        <f t="shared" si="67"/>
        <v>7.0203517763999992</v>
      </c>
      <c r="Y70" s="1072">
        <f t="shared" si="67"/>
        <v>6.8292729795499998</v>
      </c>
      <c r="Z70" s="1072">
        <f t="shared" si="67"/>
        <v>6.6695080813000001</v>
      </c>
      <c r="AA70" s="1073">
        <f t="shared" si="67"/>
        <v>27.525808042249995</v>
      </c>
      <c r="AB70" s="1072">
        <f t="shared" si="67"/>
        <v>7.2603391344500006</v>
      </c>
      <c r="AC70" s="1072">
        <f t="shared" ref="AC70:AP70" si="68">+AC67+AC68</f>
        <v>6.7940000000000005</v>
      </c>
      <c r="AD70" s="1072">
        <f t="shared" si="68"/>
        <v>6.7294999999999998</v>
      </c>
      <c r="AE70" s="1072">
        <f t="shared" si="68"/>
        <v>6.2779999999999996</v>
      </c>
      <c r="AF70" s="1073">
        <f t="shared" si="68"/>
        <v>27.06183913445</v>
      </c>
      <c r="AG70" s="1072">
        <f t="shared" si="68"/>
        <v>6.7725</v>
      </c>
      <c r="AH70" s="1072">
        <f t="shared" si="68"/>
        <v>6.5145</v>
      </c>
      <c r="AI70" s="1072">
        <f t="shared" si="68"/>
        <v>6.9811085960999995</v>
      </c>
      <c r="AJ70" s="1072">
        <f t="shared" si="68"/>
        <v>6.2614676889500007</v>
      </c>
      <c r="AK70" s="1073">
        <f t="shared" si="68"/>
        <v>26.529576285049998</v>
      </c>
      <c r="AL70" s="1072">
        <f t="shared" si="68"/>
        <v>6.4081641691000009</v>
      </c>
      <c r="AM70" s="1072">
        <f t="shared" si="68"/>
        <v>6.1922544073500001</v>
      </c>
      <c r="AN70" s="1072">
        <f t="shared" si="68"/>
        <v>6.3417912352999988</v>
      </c>
      <c r="AO70" s="1072">
        <f t="shared" si="68"/>
        <v>5.8261231415500001</v>
      </c>
      <c r="AP70" s="1073">
        <f t="shared" si="68"/>
        <v>24.768332953300003</v>
      </c>
      <c r="AQ70" s="1072">
        <f t="shared" ref="AQ70:BW70" si="69">+AQ67+AQ68</f>
        <v>6.6351170790500005</v>
      </c>
      <c r="AR70" s="1072">
        <f t="shared" si="69"/>
        <v>5.8549552306500008</v>
      </c>
      <c r="AS70" s="1072">
        <f t="shared" si="69"/>
        <v>6.0026906445500003</v>
      </c>
      <c r="AT70" s="1072">
        <f t="shared" si="69"/>
        <v>5.4327150386000005</v>
      </c>
      <c r="AU70" s="1073">
        <f t="shared" si="69"/>
        <v>23.925477992849999</v>
      </c>
      <c r="AV70" s="1072">
        <f t="shared" si="69"/>
        <v>6.02432975385</v>
      </c>
      <c r="AW70" s="1072">
        <f t="shared" si="69"/>
        <v>5.4405996432999997</v>
      </c>
      <c r="AX70" s="1072">
        <f t="shared" si="69"/>
        <v>4.9068617562999997</v>
      </c>
      <c r="AY70" s="1072">
        <f t="shared" si="69"/>
        <v>4.8454549999999994</v>
      </c>
      <c r="AZ70" s="1073">
        <f t="shared" si="69"/>
        <v>21.217246153450002</v>
      </c>
      <c r="BA70" s="1072">
        <f t="shared" si="69"/>
        <v>5.4079576036999999</v>
      </c>
      <c r="BB70" s="1072">
        <f t="shared" si="69"/>
        <v>4.7229296948999995</v>
      </c>
      <c r="BC70" s="1072">
        <f t="shared" si="69"/>
        <v>5.0120193184000001</v>
      </c>
      <c r="BD70" s="1072">
        <f t="shared" si="69"/>
        <v>4.7470347466999998</v>
      </c>
      <c r="BE70" s="1073">
        <f t="shared" si="69"/>
        <v>19.8899413637</v>
      </c>
      <c r="BF70" s="2830">
        <f t="shared" ref="BF70:BO70" si="70">+BF67+BF68</f>
        <v>4.9292018838500002</v>
      </c>
      <c r="BG70" s="402">
        <f t="shared" si="70"/>
        <v>4.5639779954500002</v>
      </c>
      <c r="BH70" s="402">
        <f t="shared" si="70"/>
        <v>4.5359282634000007</v>
      </c>
      <c r="BI70" s="1121">
        <f t="shared" si="70"/>
        <v>4.2341665571000009</v>
      </c>
      <c r="BJ70" s="1073">
        <f t="shared" si="70"/>
        <v>18.263274699799997</v>
      </c>
      <c r="BK70" s="2830">
        <f t="shared" si="70"/>
        <v>4.5198405035500002</v>
      </c>
      <c r="BL70" s="402">
        <f t="shared" si="70"/>
        <v>4.2721028082999997</v>
      </c>
      <c r="BM70" s="402">
        <f t="shared" si="70"/>
        <v>4.1494999999999997</v>
      </c>
      <c r="BN70" s="1121">
        <f t="shared" si="70"/>
        <v>3.8895511948500006</v>
      </c>
      <c r="BO70" s="1073">
        <f t="shared" si="70"/>
        <v>16.830994506699998</v>
      </c>
      <c r="BP70" s="2830">
        <f>+BP67+BP68</f>
        <v>4.2806798226499998</v>
      </c>
      <c r="BQ70" s="402">
        <f>+BQ67+BQ68</f>
        <v>4.1838638240999995</v>
      </c>
      <c r="BR70" s="402">
        <f>+BR67+BR68</f>
        <v>4.1505288352000003</v>
      </c>
      <c r="BS70" s="1121">
        <f>+BS67+BS68</f>
        <v>3.7985758390000002</v>
      </c>
      <c r="BT70" s="1073">
        <f>+BT67+BT68</f>
        <v>16.413648320949999</v>
      </c>
      <c r="BU70" s="1073">
        <f t="shared" si="69"/>
        <v>16.121091443060998</v>
      </c>
      <c r="BV70" s="1073">
        <f t="shared" si="69"/>
        <v>16.282302357491609</v>
      </c>
      <c r="BW70" s="1073">
        <f t="shared" si="69"/>
        <v>16.282302357491609</v>
      </c>
      <c r="BX70" s="1073">
        <f>+BX67+BX68</f>
        <v>15.468187239617029</v>
      </c>
      <c r="BY70" s="1073">
        <f>+BY67+BY68</f>
        <v>14.694777877636177</v>
      </c>
      <c r="BZ70" s="1073">
        <f>+BZ67+BZ68</f>
        <v>14.988673435188902</v>
      </c>
      <c r="CA70" s="1073">
        <f>+CA67+CA68</f>
        <v>15.28844690389268</v>
      </c>
      <c r="CB70" s="1073">
        <f>+CB67+CB68</f>
        <v>15.594215841970534</v>
      </c>
    </row>
    <row r="71" spans="1:80">
      <c r="A71" s="2"/>
      <c r="B71" s="2"/>
      <c r="C71" s="1072"/>
      <c r="D71" s="1072"/>
      <c r="E71" s="1072"/>
      <c r="F71" s="1072"/>
      <c r="G71" s="1073"/>
      <c r="H71" s="1072"/>
      <c r="I71" s="1072"/>
      <c r="J71" s="1072"/>
      <c r="K71" s="1072"/>
      <c r="L71" s="1073"/>
      <c r="M71" s="1072"/>
      <c r="N71" s="1072"/>
      <c r="O71" s="1072"/>
      <c r="P71" s="1072"/>
      <c r="Q71" s="1073"/>
      <c r="R71" s="1072"/>
      <c r="S71" s="1072"/>
      <c r="T71" s="1072"/>
      <c r="U71" s="1072"/>
      <c r="V71" s="1073"/>
      <c r="W71" s="1072"/>
      <c r="X71" s="1072"/>
      <c r="Y71" s="1072"/>
      <c r="Z71" s="1072"/>
      <c r="AA71" s="1073"/>
      <c r="AB71" s="1072"/>
      <c r="AC71" s="1072"/>
      <c r="AD71" s="1072"/>
      <c r="AE71" s="1072"/>
      <c r="AF71" s="1073"/>
      <c r="AG71" s="1072"/>
      <c r="AH71" s="1072"/>
      <c r="AI71" s="1072"/>
      <c r="AJ71" s="1072"/>
      <c r="AK71" s="1073"/>
      <c r="AL71" s="1072"/>
      <c r="AM71" s="1072"/>
      <c r="AN71" s="1072"/>
      <c r="AO71" s="1072"/>
      <c r="AP71" s="1073"/>
      <c r="AQ71" s="402"/>
      <c r="AR71" s="402"/>
      <c r="AS71" s="402"/>
      <c r="AT71" s="402"/>
      <c r="AU71" s="1073"/>
      <c r="AV71" s="402"/>
      <c r="AW71" s="402"/>
      <c r="AX71" s="402"/>
      <c r="AY71" s="402"/>
      <c r="AZ71" s="1073"/>
      <c r="BA71" s="402"/>
      <c r="BB71" s="402"/>
      <c r="BC71" s="402"/>
      <c r="BD71" s="402"/>
      <c r="BE71" s="1073"/>
      <c r="BF71" s="2830"/>
      <c r="BG71" s="402"/>
      <c r="BH71" s="402"/>
      <c r="BI71" s="1121"/>
      <c r="BJ71" s="1073"/>
      <c r="BK71" s="2830"/>
      <c r="BL71" s="402"/>
      <c r="BM71" s="402"/>
      <c r="BN71" s="1121"/>
      <c r="BO71" s="1073"/>
      <c r="BP71" s="2830"/>
      <c r="BQ71" s="402"/>
      <c r="BR71" s="402"/>
      <c r="BS71" s="1121"/>
      <c r="BT71" s="1073"/>
      <c r="BU71" s="1073"/>
      <c r="BV71" s="1073"/>
      <c r="BW71" s="1073"/>
      <c r="BX71" s="1073"/>
      <c r="BY71" s="1073"/>
      <c r="BZ71" s="1073"/>
      <c r="CA71" s="1073"/>
      <c r="CB71" s="1073"/>
    </row>
    <row r="72" spans="1:80">
      <c r="A72" s="2" t="s">
        <v>633</v>
      </c>
      <c r="B72" s="2"/>
      <c r="C72" s="1083"/>
      <c r="D72" s="1083">
        <f>3.860231</f>
        <v>3.8602310000000002</v>
      </c>
      <c r="E72" s="1083">
        <v>8.1557180000000002</v>
      </c>
      <c r="F72" s="1083">
        <v>7.5258243981500001</v>
      </c>
      <c r="G72" s="1073">
        <f>SUM(C72:F72)</f>
        <v>19.541773398149999</v>
      </c>
      <c r="H72" s="1083">
        <v>8.0106847420000005</v>
      </c>
      <c r="I72" s="1072"/>
      <c r="J72" s="1072"/>
      <c r="K72" s="1072"/>
      <c r="L72" s="1073"/>
      <c r="M72" s="1072"/>
      <c r="N72" s="1072"/>
      <c r="O72" s="1072"/>
      <c r="P72" s="1072"/>
      <c r="Q72" s="1073"/>
      <c r="R72" s="1072"/>
      <c r="S72" s="1072"/>
      <c r="T72" s="1072"/>
      <c r="U72" s="1072"/>
      <c r="V72" s="1073"/>
      <c r="W72" s="1072"/>
      <c r="X72" s="1072"/>
      <c r="Y72" s="1072"/>
      <c r="Z72" s="1072"/>
      <c r="AA72" s="1073"/>
      <c r="AB72" s="1072"/>
      <c r="AC72" s="1072"/>
      <c r="AD72" s="1072"/>
      <c r="AE72" s="1072"/>
      <c r="AF72" s="1073"/>
      <c r="AG72" s="1072"/>
      <c r="AH72" s="1072"/>
      <c r="AI72" s="1072"/>
      <c r="AJ72" s="1072"/>
      <c r="AK72" s="1073"/>
      <c r="AL72" s="1072"/>
      <c r="AM72" s="1072"/>
      <c r="AN72" s="1072"/>
      <c r="AO72" s="1072"/>
      <c r="AP72" s="1073"/>
      <c r="AQ72" s="402"/>
      <c r="AR72" s="402"/>
      <c r="AS72" s="402"/>
      <c r="AT72" s="402"/>
      <c r="AU72" s="1073"/>
      <c r="AV72" s="402"/>
      <c r="AW72" s="402"/>
      <c r="AX72" s="402"/>
      <c r="AY72" s="402"/>
      <c r="AZ72" s="1073"/>
      <c r="BA72" s="402"/>
      <c r="BB72" s="402"/>
      <c r="BC72" s="402"/>
      <c r="BD72" s="402"/>
      <c r="BE72" s="1073"/>
      <c r="BF72" s="2830"/>
      <c r="BG72" s="402"/>
      <c r="BH72" s="402"/>
      <c r="BI72" s="1121"/>
      <c r="BJ72" s="1073"/>
      <c r="BK72" s="2830"/>
      <c r="BL72" s="402"/>
      <c r="BM72" s="402"/>
      <c r="BN72" s="1121"/>
      <c r="BO72" s="1073"/>
      <c r="BP72" s="2830"/>
      <c r="BQ72" s="402"/>
      <c r="BR72" s="402"/>
      <c r="BS72" s="1121"/>
      <c r="BT72" s="1073"/>
      <c r="BU72" s="1073"/>
      <c r="BV72" s="1073"/>
      <c r="BW72" s="1073"/>
      <c r="BX72" s="1073"/>
      <c r="BY72" s="1073"/>
      <c r="BZ72" s="1073"/>
      <c r="CA72" s="1073"/>
      <c r="CB72" s="1073"/>
    </row>
    <row r="73" spans="1:80">
      <c r="A73" s="2"/>
      <c r="B73" s="2"/>
      <c r="C73" s="1083"/>
      <c r="D73" s="1083"/>
      <c r="E73" s="1083"/>
      <c r="F73" s="1083"/>
      <c r="G73" s="1073"/>
      <c r="H73" s="1083"/>
      <c r="I73" s="1072"/>
      <c r="J73" s="1072"/>
      <c r="K73" s="1072"/>
      <c r="L73" s="1073"/>
      <c r="M73" s="1072"/>
      <c r="N73" s="1072"/>
      <c r="O73" s="1072"/>
      <c r="P73" s="1072"/>
      <c r="Q73" s="1073"/>
      <c r="R73" s="1072"/>
      <c r="S73" s="1072"/>
      <c r="T73" s="1072"/>
      <c r="U73" s="1072"/>
      <c r="V73" s="1073"/>
      <c r="W73" s="1072"/>
      <c r="X73" s="1072"/>
      <c r="Y73" s="1072"/>
      <c r="Z73" s="1072"/>
      <c r="AA73" s="1073"/>
      <c r="AB73" s="1072"/>
      <c r="AC73" s="1072"/>
      <c r="AD73" s="1072"/>
      <c r="AE73" s="1072"/>
      <c r="AF73" s="1073"/>
      <c r="AG73" s="1072"/>
      <c r="AH73" s="1072"/>
      <c r="AI73" s="1072"/>
      <c r="AJ73" s="1072"/>
      <c r="AK73" s="1073"/>
      <c r="AL73" s="1072"/>
      <c r="AM73" s="1072"/>
      <c r="AN73" s="1072"/>
      <c r="AO73" s="1072"/>
      <c r="AP73" s="1073"/>
      <c r="AQ73" s="402"/>
      <c r="AR73" s="402"/>
      <c r="AS73" s="402"/>
      <c r="AT73" s="402"/>
      <c r="AU73" s="1073"/>
      <c r="AV73" s="402"/>
      <c r="AW73" s="402"/>
      <c r="AX73" s="402"/>
      <c r="AY73" s="402"/>
      <c r="AZ73" s="1073"/>
      <c r="BA73" s="402"/>
      <c r="BB73" s="402"/>
      <c r="BC73" s="402"/>
      <c r="BD73" s="402"/>
      <c r="BE73" s="1073"/>
      <c r="BF73" s="2830"/>
      <c r="BG73" s="402"/>
      <c r="BH73" s="402"/>
      <c r="BI73" s="1121"/>
      <c r="BJ73" s="1073"/>
      <c r="BK73" s="2830"/>
      <c r="BL73" s="402"/>
      <c r="BM73" s="402"/>
      <c r="BN73" s="1121"/>
      <c r="BO73" s="1073"/>
      <c r="BP73" s="2830"/>
      <c r="BQ73" s="402"/>
      <c r="BR73" s="402"/>
      <c r="BS73" s="1121"/>
      <c r="BT73" s="1073"/>
      <c r="BU73" s="1073"/>
      <c r="BV73" s="1073"/>
      <c r="BW73" s="1073"/>
      <c r="BX73" s="1073"/>
      <c r="BY73" s="1073"/>
      <c r="BZ73" s="1073"/>
      <c r="CA73" s="1073"/>
      <c r="CB73" s="1073"/>
    </row>
    <row r="74" spans="1:80" ht="12" customHeight="1">
      <c r="A74" s="2"/>
      <c r="B74" s="2"/>
      <c r="C74" s="402"/>
      <c r="D74" s="402"/>
      <c r="E74" s="402"/>
      <c r="F74" s="402"/>
      <c r="G74" s="1073"/>
      <c r="H74" s="402"/>
      <c r="I74" s="402"/>
      <c r="J74" s="402"/>
      <c r="K74" s="402"/>
      <c r="L74" s="1073"/>
      <c r="M74" s="402"/>
      <c r="N74" s="402"/>
      <c r="O74" s="402"/>
      <c r="P74" s="402"/>
      <c r="Q74" s="1073"/>
      <c r="R74" s="402"/>
      <c r="S74" s="402"/>
      <c r="T74" s="402"/>
      <c r="U74" s="402"/>
      <c r="V74" s="1073"/>
      <c r="W74" s="402"/>
      <c r="X74" s="402"/>
      <c r="Y74" s="402"/>
      <c r="Z74" s="402"/>
      <c r="AA74" s="1073"/>
      <c r="AB74" s="402"/>
      <c r="AC74" s="402"/>
      <c r="AD74" s="402"/>
      <c r="AE74" s="402"/>
      <c r="AF74" s="1073"/>
      <c r="AG74" s="402"/>
      <c r="AH74" s="402"/>
      <c r="AI74" s="402"/>
      <c r="AJ74" s="402"/>
      <c r="AK74" s="1073"/>
      <c r="AL74" s="402"/>
      <c r="AM74" s="402"/>
      <c r="AN74" s="402"/>
      <c r="AO74" s="402"/>
      <c r="AP74" s="1073"/>
      <c r="AQ74" s="402"/>
      <c r="AR74" s="402"/>
      <c r="AS74" s="402"/>
      <c r="AT74" s="402"/>
      <c r="AU74" s="1073"/>
      <c r="AV74" s="402"/>
      <c r="AW74" s="402"/>
      <c r="AX74" s="402"/>
      <c r="AY74" s="402"/>
      <c r="AZ74" s="1073"/>
      <c r="BA74" s="402"/>
      <c r="BB74" s="402"/>
      <c r="BC74" s="402"/>
      <c r="BD74" s="402"/>
      <c r="BE74" s="1073"/>
      <c r="BF74" s="2830"/>
      <c r="BG74" s="402"/>
      <c r="BH74" s="402"/>
      <c r="BI74" s="1121"/>
      <c r="BJ74" s="1073"/>
      <c r="BK74" s="2830"/>
      <c r="BL74" s="402"/>
      <c r="BM74" s="402"/>
      <c r="BN74" s="1121"/>
      <c r="BO74" s="1073"/>
      <c r="BP74" s="2830"/>
      <c r="BQ74" s="402"/>
      <c r="BR74" s="402"/>
      <c r="BS74" s="1121"/>
      <c r="BT74" s="1073"/>
      <c r="BU74" s="1073"/>
      <c r="BV74" s="1073"/>
      <c r="BW74" s="1073"/>
      <c r="BX74" s="1073"/>
      <c r="BY74" s="1073"/>
      <c r="BZ74" s="1073"/>
      <c r="CA74" s="1073"/>
      <c r="CB74" s="1073"/>
    </row>
    <row r="75" spans="1:80" ht="12" customHeight="1">
      <c r="A75" s="69" t="s">
        <v>524</v>
      </c>
      <c r="B75" s="69"/>
      <c r="C75" s="61"/>
      <c r="D75" s="61"/>
      <c r="E75" s="61"/>
      <c r="F75" s="61"/>
      <c r="G75" s="112"/>
      <c r="H75" s="61"/>
      <c r="I75" s="61"/>
      <c r="J75" s="61"/>
      <c r="K75" s="61"/>
      <c r="L75" s="112"/>
      <c r="M75" s="61"/>
      <c r="N75" s="61"/>
      <c r="O75" s="61"/>
      <c r="P75" s="61"/>
      <c r="Q75" s="112"/>
      <c r="R75" s="61"/>
      <c r="S75" s="61"/>
      <c r="T75" s="61"/>
      <c r="U75" s="61"/>
      <c r="V75" s="112"/>
      <c r="W75" s="61"/>
      <c r="X75" s="61"/>
      <c r="Y75" s="61"/>
      <c r="Z75" s="61"/>
      <c r="AA75" s="112"/>
      <c r="AB75" s="61"/>
      <c r="AC75" s="61"/>
      <c r="AD75" s="61"/>
      <c r="AE75" s="61"/>
      <c r="AF75" s="112"/>
      <c r="AG75" s="61"/>
      <c r="AH75" s="61"/>
      <c r="AI75" s="61"/>
      <c r="AJ75" s="61"/>
      <c r="AK75" s="112"/>
      <c r="AL75" s="61"/>
      <c r="AM75" s="61"/>
      <c r="AN75" s="61"/>
      <c r="AO75" s="61"/>
      <c r="AP75" s="112"/>
      <c r="AQ75" s="61"/>
      <c r="AR75" s="61"/>
      <c r="AS75" s="61"/>
      <c r="AT75" s="61"/>
      <c r="AU75" s="112"/>
      <c r="AV75" s="61"/>
      <c r="AW75" s="61"/>
      <c r="AX75" s="61"/>
      <c r="AY75" s="61"/>
      <c r="AZ75" s="112"/>
      <c r="BA75" s="61"/>
      <c r="BB75" s="61"/>
      <c r="BC75" s="61"/>
      <c r="BD75" s="61"/>
      <c r="BE75" s="112"/>
      <c r="BF75" s="59"/>
      <c r="BG75" s="61"/>
      <c r="BH75" s="61"/>
      <c r="BI75" s="60"/>
      <c r="BJ75" s="112"/>
      <c r="BK75" s="59"/>
      <c r="BL75" s="61"/>
      <c r="BM75" s="61"/>
      <c r="BN75" s="60"/>
      <c r="BO75" s="112"/>
      <c r="BP75" s="59"/>
      <c r="BQ75" s="61"/>
      <c r="BR75" s="61"/>
      <c r="BS75" s="60"/>
      <c r="BT75" s="112"/>
      <c r="BU75" s="112"/>
      <c r="BV75" s="112"/>
      <c r="BW75" s="112"/>
      <c r="BX75" s="112"/>
      <c r="BY75" s="112"/>
      <c r="BZ75" s="112"/>
      <c r="CA75" s="112"/>
      <c r="CB75" s="112"/>
    </row>
    <row r="76" spans="1:80" ht="12" customHeight="1">
      <c r="A76" s="2" t="s">
        <v>1193</v>
      </c>
      <c r="B76" s="2"/>
      <c r="C76" s="1088">
        <f t="shared" ref="C76:BX76" si="71">1-(1-0.18)*(1-0.185)</f>
        <v>0.33169999999999999</v>
      </c>
      <c r="D76" s="1088">
        <f t="shared" si="71"/>
        <v>0.33169999999999999</v>
      </c>
      <c r="E76" s="1088">
        <f t="shared" si="71"/>
        <v>0.33169999999999999</v>
      </c>
      <c r="F76" s="1088">
        <f t="shared" si="71"/>
        <v>0.33169999999999999</v>
      </c>
      <c r="G76" s="1089">
        <f t="shared" si="71"/>
        <v>0.33169999999999999</v>
      </c>
      <c r="H76" s="1088">
        <f t="shared" si="71"/>
        <v>0.33169999999999999</v>
      </c>
      <c r="I76" s="1088">
        <f t="shared" si="71"/>
        <v>0.33169999999999999</v>
      </c>
      <c r="J76" s="1088">
        <f t="shared" si="71"/>
        <v>0.33169999999999999</v>
      </c>
      <c r="K76" s="1088">
        <f t="shared" si="71"/>
        <v>0.33169999999999999</v>
      </c>
      <c r="L76" s="1089">
        <f t="shared" si="71"/>
        <v>0.33169999999999999</v>
      </c>
      <c r="M76" s="1088">
        <f t="shared" si="71"/>
        <v>0.33169999999999999</v>
      </c>
      <c r="N76" s="1088">
        <f t="shared" si="71"/>
        <v>0.33169999999999999</v>
      </c>
      <c r="O76" s="1088">
        <f t="shared" si="71"/>
        <v>0.33169999999999999</v>
      </c>
      <c r="P76" s="1088">
        <f t="shared" si="71"/>
        <v>0.33169999999999999</v>
      </c>
      <c r="Q76" s="1089">
        <f t="shared" si="71"/>
        <v>0.33169999999999999</v>
      </c>
      <c r="R76" s="1088">
        <f t="shared" si="71"/>
        <v>0.33169999999999999</v>
      </c>
      <c r="S76" s="1088">
        <f t="shared" si="71"/>
        <v>0.33169999999999999</v>
      </c>
      <c r="T76" s="1088">
        <f t="shared" si="71"/>
        <v>0.33169999999999999</v>
      </c>
      <c r="U76" s="1088">
        <f t="shared" si="71"/>
        <v>0.33169999999999999</v>
      </c>
      <c r="V76" s="1089">
        <f t="shared" si="71"/>
        <v>0.33169999999999999</v>
      </c>
      <c r="W76" s="1088">
        <f t="shared" si="71"/>
        <v>0.33169999999999999</v>
      </c>
      <c r="X76" s="1088">
        <f t="shared" si="71"/>
        <v>0.33169999999999999</v>
      </c>
      <c r="Y76" s="1088">
        <f t="shared" si="71"/>
        <v>0.33169999999999999</v>
      </c>
      <c r="Z76" s="1088">
        <f t="shared" si="71"/>
        <v>0.33169999999999999</v>
      </c>
      <c r="AA76" s="1089">
        <f t="shared" si="71"/>
        <v>0.33169999999999999</v>
      </c>
      <c r="AB76" s="1088">
        <f t="shared" si="71"/>
        <v>0.33169999999999999</v>
      </c>
      <c r="AC76" s="1088">
        <f t="shared" si="71"/>
        <v>0.33169999999999999</v>
      </c>
      <c r="AD76" s="1088">
        <f t="shared" si="71"/>
        <v>0.33169999999999999</v>
      </c>
      <c r="AE76" s="1088">
        <f t="shared" si="71"/>
        <v>0.33169999999999999</v>
      </c>
      <c r="AF76" s="1089">
        <f t="shared" si="71"/>
        <v>0.33169999999999999</v>
      </c>
      <c r="AG76" s="1088">
        <f t="shared" si="71"/>
        <v>0.33169999999999999</v>
      </c>
      <c r="AH76" s="1088">
        <f t="shared" si="71"/>
        <v>0.33169999999999999</v>
      </c>
      <c r="AI76" s="1088">
        <f t="shared" si="71"/>
        <v>0.33169999999999999</v>
      </c>
      <c r="AJ76" s="1088">
        <f t="shared" si="71"/>
        <v>0.33169999999999999</v>
      </c>
      <c r="AK76" s="1089">
        <f t="shared" si="71"/>
        <v>0.33169999999999999</v>
      </c>
      <c r="AL76" s="1088">
        <f t="shared" si="71"/>
        <v>0.33169999999999999</v>
      </c>
      <c r="AM76" s="1088">
        <f t="shared" si="71"/>
        <v>0.33169999999999999</v>
      </c>
      <c r="AN76" s="1088">
        <f t="shared" si="71"/>
        <v>0.33169999999999999</v>
      </c>
      <c r="AO76" s="1088">
        <f t="shared" si="71"/>
        <v>0.33169999999999999</v>
      </c>
      <c r="AP76" s="1089">
        <f t="shared" si="71"/>
        <v>0.33169999999999999</v>
      </c>
      <c r="AQ76" s="1088">
        <f t="shared" si="71"/>
        <v>0.33169999999999999</v>
      </c>
      <c r="AR76" s="1088">
        <f t="shared" si="71"/>
        <v>0.33169999999999999</v>
      </c>
      <c r="AS76" s="1088">
        <f t="shared" si="71"/>
        <v>0.33169999999999999</v>
      </c>
      <c r="AT76" s="1088">
        <f t="shared" si="71"/>
        <v>0.33169999999999999</v>
      </c>
      <c r="AU76" s="1089">
        <f t="shared" si="71"/>
        <v>0.33169999999999999</v>
      </c>
      <c r="AV76" s="1088">
        <f t="shared" si="71"/>
        <v>0.33169999999999999</v>
      </c>
      <c r="AW76" s="1088">
        <f t="shared" si="71"/>
        <v>0.33169999999999999</v>
      </c>
      <c r="AX76" s="1088">
        <f t="shared" si="71"/>
        <v>0.33169999999999999</v>
      </c>
      <c r="AY76" s="1088">
        <f t="shared" si="71"/>
        <v>0.33169999999999999</v>
      </c>
      <c r="AZ76" s="1089">
        <f t="shared" si="71"/>
        <v>0.33169999999999999</v>
      </c>
      <c r="BA76" s="1088">
        <f t="shared" si="71"/>
        <v>0.33169999999999999</v>
      </c>
      <c r="BB76" s="1088">
        <f t="shared" si="71"/>
        <v>0.33169999999999999</v>
      </c>
      <c r="BC76" s="1088">
        <f t="shared" si="71"/>
        <v>0.33169999999999999</v>
      </c>
      <c r="BD76" s="1088">
        <f t="shared" si="71"/>
        <v>0.33169999999999999</v>
      </c>
      <c r="BE76" s="1089">
        <f t="shared" si="71"/>
        <v>0.33169999999999999</v>
      </c>
      <c r="BF76" s="2836">
        <f t="shared" si="71"/>
        <v>0.33169999999999999</v>
      </c>
      <c r="BG76" s="2837">
        <f t="shared" si="71"/>
        <v>0.33169999999999999</v>
      </c>
      <c r="BH76" s="2837">
        <f t="shared" si="71"/>
        <v>0.33169999999999999</v>
      </c>
      <c r="BI76" s="2838">
        <f t="shared" si="71"/>
        <v>0.33169999999999999</v>
      </c>
      <c r="BJ76" s="1089">
        <f t="shared" si="71"/>
        <v>0.33169999999999999</v>
      </c>
      <c r="BK76" s="2836">
        <f t="shared" si="71"/>
        <v>0.33169999999999999</v>
      </c>
      <c r="BL76" s="2837">
        <f t="shared" si="71"/>
        <v>0.33169999999999999</v>
      </c>
      <c r="BM76" s="2837">
        <f t="shared" si="71"/>
        <v>0.33169999999999999</v>
      </c>
      <c r="BN76" s="2838">
        <f t="shared" si="71"/>
        <v>0.33169999999999999</v>
      </c>
      <c r="BO76" s="1089">
        <f t="shared" si="71"/>
        <v>0.33169999999999999</v>
      </c>
      <c r="BP76" s="2836">
        <f t="shared" si="71"/>
        <v>0.33169999999999999</v>
      </c>
      <c r="BQ76" s="2837">
        <f t="shared" si="71"/>
        <v>0.33169999999999999</v>
      </c>
      <c r="BR76" s="2837">
        <f t="shared" si="71"/>
        <v>0.33169999999999999</v>
      </c>
      <c r="BS76" s="2838">
        <f t="shared" si="71"/>
        <v>0.33169999999999999</v>
      </c>
      <c r="BT76" s="1089">
        <f t="shared" si="71"/>
        <v>0.33169999999999999</v>
      </c>
      <c r="BU76" s="1089">
        <f t="shared" si="71"/>
        <v>0.33169999999999999</v>
      </c>
      <c r="BV76" s="1089">
        <f t="shared" si="71"/>
        <v>0.33169999999999999</v>
      </c>
      <c r="BW76" s="1089">
        <f t="shared" si="71"/>
        <v>0.33169999999999999</v>
      </c>
      <c r="BX76" s="1089">
        <f t="shared" si="71"/>
        <v>0.33169999999999999</v>
      </c>
      <c r="BY76" s="1089">
        <f>1-(1-0.18)*(1-0.185)</f>
        <v>0.33169999999999999</v>
      </c>
      <c r="BZ76" s="1089">
        <f>1-(1-0.18)*(1-0.185)</f>
        <v>0.33169999999999999</v>
      </c>
      <c r="CA76" s="1089">
        <f>1-(1-0.18)*(1-0.185)</f>
        <v>0.33169999999999999</v>
      </c>
      <c r="CB76" s="1089">
        <f>1-(1-0.18)*(1-0.185)</f>
        <v>0.33169999999999999</v>
      </c>
    </row>
    <row r="77" spans="1:80" ht="12" customHeight="1">
      <c r="A77" s="2" t="s">
        <v>1354</v>
      </c>
      <c r="B77" s="2"/>
      <c r="C77" s="1068"/>
      <c r="D77" s="1068"/>
      <c r="E77" s="1068"/>
      <c r="F77" s="1068"/>
      <c r="G77" s="1069"/>
      <c r="H77" s="1068"/>
      <c r="I77" s="1068"/>
      <c r="J77" s="1068"/>
      <c r="K77" s="1068"/>
      <c r="L77" s="1069"/>
      <c r="M77" s="1068"/>
      <c r="N77" s="1068"/>
      <c r="O77" s="1068"/>
      <c r="P77" s="1068"/>
      <c r="Q77" s="1069"/>
      <c r="R77" s="1068"/>
      <c r="S77" s="1068"/>
      <c r="T77" s="1068"/>
      <c r="U77" s="1068"/>
      <c r="V77" s="1069"/>
      <c r="W77" s="1068"/>
      <c r="X77" s="1068"/>
      <c r="Y77" s="1068"/>
      <c r="Z77" s="1068"/>
      <c r="AA77" s="1069"/>
      <c r="AB77" s="1068"/>
      <c r="AC77" s="1068"/>
      <c r="AD77" s="1068"/>
      <c r="AE77" s="1068"/>
      <c r="AF77" s="1069"/>
      <c r="AG77" s="1068"/>
      <c r="AH77" s="1068"/>
      <c r="AI77" s="1068"/>
      <c r="AJ77" s="1068"/>
      <c r="AK77" s="1069"/>
      <c r="AL77" s="1068"/>
      <c r="AM77" s="1068"/>
      <c r="AN77" s="1068"/>
      <c r="AO77" s="1068"/>
      <c r="AP77" s="1069"/>
      <c r="AQ77" s="1070"/>
      <c r="AR77" s="1070"/>
      <c r="AS77" s="1070"/>
      <c r="AT77" s="1070"/>
      <c r="AU77" s="1069"/>
      <c r="AV77" s="1070"/>
      <c r="AW77" s="1070"/>
      <c r="AX77" s="1070"/>
      <c r="AY77" s="1070"/>
      <c r="AZ77" s="1069"/>
      <c r="BA77" s="1070"/>
      <c r="BB77" s="1070"/>
      <c r="BC77" s="1070"/>
      <c r="BD77" s="1070"/>
      <c r="BE77" s="1069"/>
      <c r="BF77" s="2828"/>
      <c r="BG77" s="1070"/>
      <c r="BH77" s="1070"/>
      <c r="BI77" s="2829"/>
      <c r="BJ77" s="1069"/>
      <c r="BK77" s="2828"/>
      <c r="BL77" s="1070"/>
      <c r="BM77" s="1070"/>
      <c r="BN77" s="2829"/>
      <c r="BO77" s="1069"/>
      <c r="BP77" s="2828"/>
      <c r="BQ77" s="1070"/>
      <c r="BR77" s="1070"/>
      <c r="BS77" s="2829"/>
      <c r="BT77" s="1069"/>
      <c r="BU77" s="1069"/>
      <c r="BV77" s="1069"/>
      <c r="BW77" s="1069"/>
      <c r="BX77" s="1069"/>
      <c r="BY77" s="1069"/>
      <c r="BZ77" s="1069"/>
      <c r="CA77" s="1069"/>
      <c r="CB77" s="1069"/>
    </row>
    <row r="78" spans="1:80" ht="12" customHeight="1">
      <c r="A78" s="1"/>
      <c r="B78" s="1"/>
      <c r="C78" s="61"/>
      <c r="D78" s="61"/>
      <c r="E78" s="61"/>
      <c r="F78" s="61"/>
      <c r="G78" s="112"/>
      <c r="H78" s="61"/>
      <c r="I78" s="61"/>
      <c r="J78" s="61"/>
      <c r="K78" s="61"/>
      <c r="L78" s="112"/>
      <c r="M78" s="61"/>
      <c r="N78" s="61"/>
      <c r="O78" s="61"/>
      <c r="P78" s="61"/>
      <c r="Q78" s="112"/>
      <c r="R78" s="61"/>
      <c r="S78" s="61"/>
      <c r="T78" s="61"/>
      <c r="U78" s="61"/>
      <c r="V78" s="112"/>
      <c r="W78" s="61"/>
      <c r="X78" s="61"/>
      <c r="Y78" s="61"/>
      <c r="Z78" s="61"/>
      <c r="AA78" s="112"/>
      <c r="AB78" s="61"/>
      <c r="AC78" s="61"/>
      <c r="AD78" s="61"/>
      <c r="AE78" s="61"/>
      <c r="AF78" s="112"/>
      <c r="AG78" s="61"/>
      <c r="AH78" s="61"/>
      <c r="AI78" s="61"/>
      <c r="AJ78" s="61"/>
      <c r="AK78" s="112"/>
      <c r="AL78" s="61"/>
      <c r="AM78" s="61"/>
      <c r="AN78" s="61"/>
      <c r="AO78" s="61"/>
      <c r="AP78" s="112"/>
      <c r="AQ78" s="61"/>
      <c r="AR78" s="61"/>
      <c r="AS78" s="61"/>
      <c r="AT78" s="61"/>
      <c r="AU78" s="112"/>
      <c r="AV78" s="61"/>
      <c r="AW78" s="61"/>
      <c r="AX78" s="61"/>
      <c r="AY78" s="61"/>
      <c r="AZ78" s="112"/>
      <c r="BA78" s="61"/>
      <c r="BB78" s="61"/>
      <c r="BC78" s="61"/>
      <c r="BD78" s="61"/>
      <c r="BE78" s="112"/>
      <c r="BF78" s="59"/>
      <c r="BG78" s="61"/>
      <c r="BH78" s="61"/>
      <c r="BI78" s="60"/>
      <c r="BJ78" s="112"/>
      <c r="BK78" s="59"/>
      <c r="BL78" s="61"/>
      <c r="BM78" s="61"/>
      <c r="BN78" s="60"/>
      <c r="BO78" s="112"/>
      <c r="BP78" s="59"/>
      <c r="BQ78" s="61"/>
      <c r="BR78" s="61"/>
      <c r="BS78" s="60"/>
      <c r="BT78" s="112"/>
      <c r="BU78" s="112"/>
      <c r="BV78" s="112"/>
      <c r="BW78" s="112"/>
      <c r="BX78" s="112"/>
      <c r="BY78" s="112"/>
      <c r="BZ78" s="112"/>
      <c r="CA78" s="112"/>
      <c r="CB78" s="112"/>
    </row>
    <row r="79" spans="1:80">
      <c r="A79" s="1" t="s">
        <v>20</v>
      </c>
      <c r="B79" s="1"/>
      <c r="C79" s="61"/>
      <c r="D79" s="61"/>
      <c r="E79" s="61"/>
      <c r="F79" s="61"/>
      <c r="G79" s="112"/>
      <c r="H79" s="61"/>
      <c r="I79" s="61"/>
      <c r="J79" s="61"/>
      <c r="K79" s="61"/>
      <c r="L79" s="112"/>
      <c r="M79" s="61"/>
      <c r="N79" s="61"/>
      <c r="O79" s="61"/>
      <c r="P79" s="61"/>
      <c r="Q79" s="112"/>
      <c r="R79" s="61"/>
      <c r="S79" s="61"/>
      <c r="T79" s="61"/>
      <c r="U79" s="61"/>
      <c r="V79" s="112"/>
      <c r="W79" s="61"/>
      <c r="X79" s="61"/>
      <c r="Y79" s="61"/>
      <c r="Z79" s="61"/>
      <c r="AA79" s="112"/>
      <c r="AB79" s="61"/>
      <c r="AC79" s="61"/>
      <c r="AD79" s="61"/>
      <c r="AE79" s="61"/>
      <c r="AF79" s="112"/>
      <c r="AG79" s="61"/>
      <c r="AH79" s="61"/>
      <c r="AI79" s="61"/>
      <c r="AJ79" s="61"/>
      <c r="AK79" s="112"/>
      <c r="AL79" s="61"/>
      <c r="AM79" s="61"/>
      <c r="AN79" s="61"/>
      <c r="AO79" s="61"/>
      <c r="AP79" s="112"/>
      <c r="AQ79" s="61"/>
      <c r="AR79" s="61"/>
      <c r="AS79" s="61"/>
      <c r="AT79" s="61"/>
      <c r="AU79" s="112"/>
      <c r="AV79" s="61"/>
      <c r="AW79" s="61"/>
      <c r="AX79" s="61"/>
      <c r="AY79" s="61"/>
      <c r="AZ79" s="112"/>
      <c r="BA79" s="61"/>
      <c r="BB79" s="61"/>
      <c r="BC79" s="61"/>
      <c r="BD79" s="61"/>
      <c r="BE79" s="112"/>
      <c r="BF79" s="59"/>
      <c r="BG79" s="61"/>
      <c r="BH79" s="61"/>
      <c r="BI79" s="60"/>
      <c r="BJ79" s="112"/>
      <c r="BK79" s="59"/>
      <c r="BL79" s="61"/>
      <c r="BM79" s="61"/>
      <c r="BN79" s="60"/>
      <c r="BO79" s="112"/>
      <c r="BP79" s="59"/>
      <c r="BQ79" s="61"/>
      <c r="BR79" s="61"/>
      <c r="BS79" s="60"/>
      <c r="BT79" s="112"/>
      <c r="BU79" s="112"/>
      <c r="BV79" s="112"/>
      <c r="BW79" s="112"/>
      <c r="BX79" s="112"/>
      <c r="BY79" s="112"/>
      <c r="BZ79" s="112"/>
      <c r="CA79" s="112"/>
      <c r="CB79" s="112"/>
    </row>
    <row r="80" spans="1:80" ht="12" customHeight="1">
      <c r="A80" s="2" t="s">
        <v>1313</v>
      </c>
      <c r="B80" s="2"/>
      <c r="C80" s="1072">
        <f>BYD!D434</f>
        <v>37.420999999999999</v>
      </c>
      <c r="D80" s="1072">
        <f>BYD!E434</f>
        <v>32.869999999999997</v>
      </c>
      <c r="E80" s="1072">
        <f>BYD!F434</f>
        <v>31.446240630000002</v>
      </c>
      <c r="F80" s="1072">
        <f>BYD!G434</f>
        <v>30.981612559999995</v>
      </c>
      <c r="G80" s="1073">
        <f>BYD!H434</f>
        <v>132.71885319</v>
      </c>
      <c r="H80" s="1072">
        <f>BYD!I434</f>
        <v>36.247037169999999</v>
      </c>
      <c r="I80" s="1072">
        <f>BYD!J434</f>
        <v>39.68890373</v>
      </c>
      <c r="J80" s="1072">
        <f>BYD!K434</f>
        <v>32.010376000000001</v>
      </c>
      <c r="K80" s="1072">
        <f>BYD!L434</f>
        <v>22.137934000000001</v>
      </c>
      <c r="L80" s="1073">
        <f>BYD!M434</f>
        <v>130.0842509</v>
      </c>
      <c r="M80" s="1072">
        <f>BYD!N434</f>
        <v>44.663722999999997</v>
      </c>
      <c r="N80" s="1072">
        <f>BYD!O434</f>
        <v>43.016658999999997</v>
      </c>
      <c r="O80" s="1072">
        <f>BYD!P434</f>
        <v>42.212479000000002</v>
      </c>
      <c r="P80" s="1072">
        <f>BYD!Q434</f>
        <v>38.126406000000003</v>
      </c>
      <c r="Q80" s="1073">
        <f>BYD!R434</f>
        <v>168.01926699999999</v>
      </c>
      <c r="R80" s="1072">
        <f>BYD!S434</f>
        <v>41.040953999999999</v>
      </c>
      <c r="S80" s="1072">
        <f>BYD!T434</f>
        <v>40.171269000000002</v>
      </c>
      <c r="T80" s="1072">
        <f>BYD!U434</f>
        <v>41.308738000000005</v>
      </c>
      <c r="U80" s="1072">
        <f>BYD!V434</f>
        <v>40.107286000000002</v>
      </c>
      <c r="V80" s="1073">
        <f>BYD!W434</f>
        <v>162.62824699999999</v>
      </c>
      <c r="W80" s="1072">
        <f>BYD!X434</f>
        <v>43.345816999999997</v>
      </c>
      <c r="X80" s="1072">
        <f>BYD!Y434</f>
        <v>42.140731900000006</v>
      </c>
      <c r="Y80" s="1072">
        <f>BYD!Z434</f>
        <v>37.195450700000002</v>
      </c>
      <c r="Z80" s="1072">
        <f>BYD!AA434</f>
        <v>46.476631310000002</v>
      </c>
      <c r="AA80" s="1073">
        <f>BYD!AB434</f>
        <v>169.15863091</v>
      </c>
      <c r="AB80" s="1072">
        <f>BYD!AC434</f>
        <v>48.556330959999997</v>
      </c>
      <c r="AC80" s="1072">
        <f>BYD!AD434</f>
        <v>47.2</v>
      </c>
      <c r="AD80" s="1072">
        <f>BYD!AE434</f>
        <v>44.8</v>
      </c>
      <c r="AE80" s="1072">
        <f>BYD!AF434</f>
        <v>39.5</v>
      </c>
      <c r="AF80" s="1073">
        <f>BYD!AG434</f>
        <v>180.05633096</v>
      </c>
      <c r="AG80" s="1072">
        <f>BYD!AH434</f>
        <v>44</v>
      </c>
      <c r="AH80" s="1072">
        <f>BYD!AI434</f>
        <v>43.3</v>
      </c>
      <c r="AI80" s="1072">
        <f>BYD!AJ434</f>
        <v>43.399548109999998</v>
      </c>
      <c r="AJ80" s="1072">
        <f>BYD!AK434</f>
        <v>39.992963070000002</v>
      </c>
      <c r="AK80" s="1073">
        <f>BYD!AL434</f>
        <v>170.69251118</v>
      </c>
      <c r="AL80" s="1072">
        <f>BYD!AM434</f>
        <v>43.674731080000001</v>
      </c>
      <c r="AM80" s="1072">
        <f>BYD!AN434</f>
        <v>45.284692470000003</v>
      </c>
      <c r="AN80" s="1072">
        <f>BYD!AO434</f>
        <v>46.427865499999996</v>
      </c>
      <c r="AO80" s="1072">
        <f>BYD!AP434</f>
        <v>42.178654680000001</v>
      </c>
      <c r="AP80" s="1073">
        <f>BYD!AQ434</f>
        <v>177.56594372999999</v>
      </c>
      <c r="AQ80" s="1072">
        <f>BYD!AR434</f>
        <v>45.639952470000004</v>
      </c>
      <c r="AR80" s="1072">
        <f>BYD!AS434</f>
        <v>47.563537089999997</v>
      </c>
      <c r="AS80" s="1072">
        <f>BYD!AT434</f>
        <v>46.587450459999999</v>
      </c>
      <c r="AT80" s="1072">
        <f>BYD!AU434</f>
        <v>43.974781659999998</v>
      </c>
      <c r="AU80" s="1073">
        <f>BYD!AV434</f>
        <v>183.76572167999998</v>
      </c>
      <c r="AV80" s="1072">
        <f>BYD!AW434</f>
        <v>50.041197740000001</v>
      </c>
      <c r="AW80" s="1072">
        <f>BYD!AX434</f>
        <v>48.024290110000003</v>
      </c>
      <c r="AX80" s="1072">
        <f>BYD!AY434</f>
        <v>47.555656240000005</v>
      </c>
      <c r="AY80" s="1072">
        <f>BYD!AZ434</f>
        <v>43.808726920000005</v>
      </c>
      <c r="AZ80" s="1073">
        <f>BYD!BA434</f>
        <v>189.42987101000003</v>
      </c>
      <c r="BA80" s="1072">
        <f>BYD!BB434</f>
        <v>48.796850320000004</v>
      </c>
      <c r="BB80" s="1072">
        <f>BYD!BC434</f>
        <v>48.069354099999998</v>
      </c>
      <c r="BC80" s="1072">
        <f>BYD!BD434</f>
        <v>48.837237160000001</v>
      </c>
      <c r="BD80" s="1072">
        <f>BYD!BE434</f>
        <v>45.220256970000001</v>
      </c>
      <c r="BE80" s="1073">
        <f>BYD!BF434</f>
        <v>190.92369855000001</v>
      </c>
      <c r="BF80" s="2830">
        <f>BYD!BG434</f>
        <v>48.624113399999999</v>
      </c>
      <c r="BG80" s="402">
        <f>BYD!BH434</f>
        <v>47.692614740000003</v>
      </c>
      <c r="BH80" s="402">
        <f>BYD!BI434</f>
        <v>46.573450049999998</v>
      </c>
      <c r="BI80" s="1121">
        <f>BYD!BJ434</f>
        <v>42.942894039999999</v>
      </c>
      <c r="BJ80" s="1073">
        <f>BYD!BK434</f>
        <v>185.83307223</v>
      </c>
      <c r="BK80" s="2830">
        <f>BYD!BL434</f>
        <v>44.818318589999997</v>
      </c>
      <c r="BL80" s="402">
        <f>BYD!BM434</f>
        <v>45.134694159999995</v>
      </c>
      <c r="BM80" s="402">
        <f>BYD!BN434</f>
        <v>43.7</v>
      </c>
      <c r="BN80" s="1121">
        <f>BYD!BO434</f>
        <v>42.087092200000001</v>
      </c>
      <c r="BO80" s="1073">
        <f>BYD!BP434</f>
        <v>175.74010495000002</v>
      </c>
      <c r="BP80" s="2830">
        <f>BYD!BQ434</f>
        <v>46.546853560000002</v>
      </c>
      <c r="BQ80" s="402">
        <f>BYD!BR434</f>
        <v>44.519507859999997</v>
      </c>
      <c r="BR80" s="402">
        <f>BYD!BS434</f>
        <v>41.64441309</v>
      </c>
      <c r="BS80" s="1121">
        <f>BYD!BT434</f>
        <v>46.023463789999994</v>
      </c>
      <c r="BT80" s="1073">
        <f>BYD!BU434</f>
        <v>178.73423829999999</v>
      </c>
      <c r="BU80" s="1073">
        <f>BYD!BZ434</f>
        <v>178.62247810219998</v>
      </c>
      <c r="BV80" s="1073">
        <f>BYD!CA434</f>
        <v>180.40870288322199</v>
      </c>
      <c r="BW80" s="1073">
        <f>BYD!CB434</f>
        <v>180.40870288322199</v>
      </c>
      <c r="BX80" s="1073">
        <f>BYD!CC434</f>
        <v>171.38826773906089</v>
      </c>
      <c r="BY80" s="1073">
        <f>BYD!CD434</f>
        <v>162.81885435210785</v>
      </c>
      <c r="BZ80" s="1073">
        <f>BYD!CE434</f>
        <v>166.07523143915</v>
      </c>
      <c r="CA80" s="1073">
        <f>BYD!CF434</f>
        <v>169.39673606793301</v>
      </c>
      <c r="CB80" s="1073">
        <f>BYD!CG434</f>
        <v>172.78467078929168</v>
      </c>
    </row>
    <row r="81" spans="1:80" ht="12" customHeight="1">
      <c r="A81" s="2" t="s">
        <v>1315</v>
      </c>
      <c r="B81" s="2"/>
      <c r="C81" s="1074">
        <v>381.74200000000002</v>
      </c>
      <c r="D81" s="1074">
        <v>437.67099999999999</v>
      </c>
      <c r="E81" s="1074">
        <v>412.47800000000001</v>
      </c>
      <c r="F81" s="1074">
        <v>401.88900000000001</v>
      </c>
      <c r="G81" s="702">
        <f>SUM(C81:F81)</f>
        <v>1633.7800000000002</v>
      </c>
      <c r="H81" s="1074">
        <v>502.78</v>
      </c>
      <c r="I81" s="1074">
        <v>556.27</v>
      </c>
      <c r="J81" s="1074">
        <v>442.99400000000003</v>
      </c>
      <c r="K81" s="1074">
        <v>224.64400000000001</v>
      </c>
      <c r="L81" s="702">
        <f>SUM(H81:K81)</f>
        <v>1726.6879999999999</v>
      </c>
      <c r="M81" s="1074">
        <v>505.02499999999998</v>
      </c>
      <c r="N81" s="1074">
        <v>475.04</v>
      </c>
      <c r="O81" s="1090"/>
      <c r="P81" s="1090"/>
      <c r="Q81" s="1091"/>
      <c r="R81" s="1090"/>
      <c r="S81" s="1090"/>
      <c r="T81" s="1090"/>
      <c r="U81" s="1090"/>
      <c r="V81" s="1091"/>
      <c r="W81" s="1090"/>
      <c r="X81" s="1090"/>
      <c r="Y81" s="1090"/>
      <c r="Z81" s="1090"/>
      <c r="AA81" s="1091"/>
      <c r="AB81" s="1090"/>
      <c r="AC81" s="1090"/>
      <c r="AD81" s="1090"/>
      <c r="AE81" s="1090"/>
      <c r="AF81" s="1091"/>
      <c r="AG81" s="1090"/>
      <c r="AH81" s="1090"/>
      <c r="AI81" s="1090"/>
      <c r="AJ81" s="1090"/>
      <c r="AK81" s="1091"/>
      <c r="AL81" s="1090"/>
      <c r="AM81" s="1090"/>
      <c r="AN81" s="1090"/>
      <c r="AO81" s="1090"/>
      <c r="AP81" s="1091"/>
      <c r="AQ81" s="1090"/>
      <c r="AR81" s="1090"/>
      <c r="AS81" s="1090"/>
      <c r="AT81" s="1090"/>
      <c r="AU81" s="1091"/>
      <c r="AV81" s="1090"/>
      <c r="AW81" s="1090"/>
      <c r="AX81" s="1090"/>
      <c r="AY81" s="1090"/>
      <c r="AZ81" s="1091"/>
      <c r="BA81" s="1090"/>
      <c r="BB81" s="1090"/>
      <c r="BC81" s="1090"/>
      <c r="BD81" s="1090"/>
      <c r="BE81" s="1091"/>
      <c r="BF81" s="2839"/>
      <c r="BG81" s="2840"/>
      <c r="BH81" s="2840"/>
      <c r="BI81" s="2841"/>
      <c r="BJ81" s="1091"/>
      <c r="BK81" s="2839"/>
      <c r="BL81" s="2840"/>
      <c r="BM81" s="2840"/>
      <c r="BN81" s="2841"/>
      <c r="BO81" s="1091"/>
      <c r="BP81" s="2839"/>
      <c r="BQ81" s="2840"/>
      <c r="BR81" s="2840"/>
      <c r="BS81" s="2841"/>
      <c r="BT81" s="1091"/>
      <c r="BU81" s="1091"/>
      <c r="BV81" s="1091"/>
      <c r="BW81" s="1091"/>
      <c r="BX81" s="1091"/>
      <c r="BY81" s="1091"/>
      <c r="BZ81" s="1091"/>
      <c r="CA81" s="1091"/>
      <c r="CB81" s="1091"/>
    </row>
    <row r="82" spans="1:80" ht="12" customHeight="1">
      <c r="A82" s="1078" t="s">
        <v>525</v>
      </c>
      <c r="B82" s="1078"/>
      <c r="C82" s="592"/>
      <c r="D82" s="592"/>
      <c r="E82" s="592"/>
      <c r="F82" s="592"/>
      <c r="G82" s="594"/>
      <c r="H82" s="592">
        <f t="shared" ref="H82:N82" si="72">H81/C81-1</f>
        <v>0.31706754823938677</v>
      </c>
      <c r="I82" s="592">
        <f t="shared" si="72"/>
        <v>0.27097751507410806</v>
      </c>
      <c r="J82" s="592">
        <f t="shared" si="72"/>
        <v>7.3982127531650121E-2</v>
      </c>
      <c r="K82" s="592">
        <f t="shared" si="72"/>
        <v>-0.44102973706670245</v>
      </c>
      <c r="L82" s="594">
        <f t="shared" si="72"/>
        <v>5.6866897623914836E-2</v>
      </c>
      <c r="M82" s="592">
        <f t="shared" si="72"/>
        <v>4.465173634591757E-3</v>
      </c>
      <c r="N82" s="592">
        <f t="shared" si="72"/>
        <v>-0.14602621029356244</v>
      </c>
      <c r="O82" s="1079"/>
      <c r="P82" s="1079"/>
      <c r="Q82" s="594"/>
      <c r="R82" s="1079"/>
      <c r="S82" s="1079"/>
      <c r="T82" s="1079"/>
      <c r="U82" s="1079"/>
      <c r="V82" s="594"/>
      <c r="W82" s="1079"/>
      <c r="X82" s="1079"/>
      <c r="Y82" s="1079"/>
      <c r="Z82" s="1079"/>
      <c r="AA82" s="594"/>
      <c r="AB82" s="1079"/>
      <c r="AC82" s="1079"/>
      <c r="AD82" s="1079"/>
      <c r="AE82" s="1079"/>
      <c r="AF82" s="594"/>
      <c r="AG82" s="1079"/>
      <c r="AH82" s="1079"/>
      <c r="AI82" s="1079"/>
      <c r="AJ82" s="1079"/>
      <c r="AK82" s="594"/>
      <c r="AL82" s="1079"/>
      <c r="AM82" s="1079"/>
      <c r="AN82" s="1079"/>
      <c r="AO82" s="1079"/>
      <c r="AP82" s="594"/>
      <c r="AQ82" s="1079"/>
      <c r="AR82" s="1079"/>
      <c r="AS82" s="1079"/>
      <c r="AT82" s="1079"/>
      <c r="AU82" s="1080"/>
      <c r="AV82" s="1079"/>
      <c r="AW82" s="1079"/>
      <c r="AX82" s="1079"/>
      <c r="AY82" s="1079"/>
      <c r="AZ82" s="1080"/>
      <c r="BA82" s="1079"/>
      <c r="BB82" s="1079"/>
      <c r="BC82" s="1079"/>
      <c r="BD82" s="1079"/>
      <c r="BE82" s="1080"/>
      <c r="BF82" s="2831"/>
      <c r="BG82" s="1079"/>
      <c r="BH82" s="1079"/>
      <c r="BI82" s="2832"/>
      <c r="BJ82" s="1080"/>
      <c r="BK82" s="2831"/>
      <c r="BL82" s="1079"/>
      <c r="BM82" s="1079"/>
      <c r="BN82" s="2832"/>
      <c r="BO82" s="1080"/>
      <c r="BP82" s="2831"/>
      <c r="BQ82" s="1079"/>
      <c r="BR82" s="1079"/>
      <c r="BS82" s="2832"/>
      <c r="BT82" s="1080"/>
      <c r="BU82" s="1080"/>
      <c r="BV82" s="1080"/>
      <c r="BW82" s="1080"/>
      <c r="BX82" s="1080"/>
      <c r="BY82" s="1080"/>
      <c r="BZ82" s="1080"/>
      <c r="CA82" s="1080"/>
      <c r="CB82" s="1080"/>
    </row>
    <row r="83" spans="1:80" ht="12" customHeight="1">
      <c r="A83" s="2"/>
      <c r="B83" s="2"/>
      <c r="C83" s="402"/>
      <c r="D83" s="402"/>
      <c r="E83" s="402"/>
      <c r="F83" s="402"/>
      <c r="G83" s="1073"/>
      <c r="H83" s="402"/>
      <c r="I83" s="402"/>
      <c r="J83" s="402"/>
      <c r="K83" s="402"/>
      <c r="L83" s="1073"/>
      <c r="M83" s="402"/>
      <c r="N83" s="402"/>
      <c r="O83" s="402"/>
      <c r="P83" s="402"/>
      <c r="Q83" s="1073"/>
      <c r="R83" s="402"/>
      <c r="S83" s="402"/>
      <c r="T83" s="402"/>
      <c r="U83" s="402"/>
      <c r="V83" s="1073"/>
      <c r="W83" s="402"/>
      <c r="X83" s="402"/>
      <c r="Y83" s="402"/>
      <c r="Z83" s="402"/>
      <c r="AA83" s="1073"/>
      <c r="AB83" s="402"/>
      <c r="AC83" s="402"/>
      <c r="AD83" s="402"/>
      <c r="AE83" s="402"/>
      <c r="AF83" s="1073"/>
      <c r="AG83" s="402"/>
      <c r="AH83" s="402"/>
      <c r="AI83" s="402"/>
      <c r="AJ83" s="402"/>
      <c r="AK83" s="1073"/>
      <c r="AL83" s="402"/>
      <c r="AM83" s="402"/>
      <c r="AN83" s="402"/>
      <c r="AO83" s="402"/>
      <c r="AP83" s="1073"/>
      <c r="AQ83" s="402"/>
      <c r="AR83" s="402"/>
      <c r="AS83" s="402"/>
      <c r="AT83" s="402"/>
      <c r="AU83" s="1073"/>
      <c r="AV83" s="402"/>
      <c r="AW83" s="402"/>
      <c r="AX83" s="402"/>
      <c r="AY83" s="402"/>
      <c r="AZ83" s="1073"/>
      <c r="BA83" s="402"/>
      <c r="BB83" s="402"/>
      <c r="BC83" s="402"/>
      <c r="BD83" s="402"/>
      <c r="BE83" s="1073"/>
      <c r="BF83" s="2830"/>
      <c r="BG83" s="402"/>
      <c r="BH83" s="402"/>
      <c r="BI83" s="1121"/>
      <c r="BJ83" s="1073"/>
      <c r="BK83" s="2830"/>
      <c r="BL83" s="402"/>
      <c r="BM83" s="402"/>
      <c r="BN83" s="1121"/>
      <c r="BO83" s="1073"/>
      <c r="BP83" s="2830"/>
      <c r="BQ83" s="402"/>
      <c r="BR83" s="402"/>
      <c r="BS83" s="1121"/>
      <c r="BT83" s="1073"/>
      <c r="BU83" s="1073"/>
      <c r="BV83" s="1073"/>
      <c r="BW83" s="1073"/>
      <c r="BX83" s="1073"/>
      <c r="BY83" s="1073"/>
      <c r="BZ83" s="1073"/>
      <c r="CA83" s="1073"/>
      <c r="CB83" s="1073"/>
    </row>
    <row r="84" spans="1:80" ht="12" customHeight="1">
      <c r="A84" s="2" t="s">
        <v>1314</v>
      </c>
      <c r="B84" s="2"/>
      <c r="C84" s="1072">
        <f>C80*C76</f>
        <v>12.412545699999999</v>
      </c>
      <c r="D84" s="1072">
        <f>D80*D76</f>
        <v>10.902978999999998</v>
      </c>
      <c r="E84" s="1072">
        <f>E80*E76</f>
        <v>10.430718016971001</v>
      </c>
      <c r="F84" s="1072">
        <f>F80*F76</f>
        <v>10.276600886151998</v>
      </c>
      <c r="G84" s="1073">
        <f>G80*G76</f>
        <v>44.022843603123</v>
      </c>
      <c r="H84" s="1072">
        <f t="shared" ref="H84:Q84" si="73">H80*H76</f>
        <v>12.023142229289</v>
      </c>
      <c r="I84" s="1072">
        <f t="shared" si="73"/>
        <v>13.164809367241</v>
      </c>
      <c r="J84" s="1072">
        <f t="shared" si="73"/>
        <v>10.617841719199999</v>
      </c>
      <c r="K84" s="1072">
        <f t="shared" si="73"/>
        <v>7.3431527078000007</v>
      </c>
      <c r="L84" s="1073">
        <f t="shared" si="73"/>
        <v>43.148946023530002</v>
      </c>
      <c r="M84" s="1072">
        <f t="shared" si="73"/>
        <v>14.814956919099998</v>
      </c>
      <c r="N84" s="1072">
        <f t="shared" si="73"/>
        <v>14.268625790299998</v>
      </c>
      <c r="O84" s="1072">
        <f t="shared" si="73"/>
        <v>14.001879284300001</v>
      </c>
      <c r="P84" s="1072">
        <f t="shared" si="73"/>
        <v>12.646528870200001</v>
      </c>
      <c r="Q84" s="1073">
        <f t="shared" si="73"/>
        <v>55.731990863899995</v>
      </c>
      <c r="R84" s="1072">
        <f t="shared" ref="R84:AF84" si="74">R80*R76</f>
        <v>13.613284441799999</v>
      </c>
      <c r="S84" s="1072">
        <f t="shared" si="74"/>
        <v>13.3248099273</v>
      </c>
      <c r="T84" s="1072">
        <f t="shared" si="74"/>
        <v>13.702108394600002</v>
      </c>
      <c r="U84" s="1072">
        <f t="shared" si="74"/>
        <v>13.3035867662</v>
      </c>
      <c r="V84" s="1073">
        <f t="shared" si="74"/>
        <v>53.943789529899995</v>
      </c>
      <c r="W84" s="1072">
        <f t="shared" si="74"/>
        <v>14.377807498899999</v>
      </c>
      <c r="X84" s="1072">
        <f t="shared" si="74"/>
        <v>13.978080771230001</v>
      </c>
      <c r="Y84" s="1072">
        <f t="shared" si="74"/>
        <v>12.33773099719</v>
      </c>
      <c r="Z84" s="1072">
        <f t="shared" si="74"/>
        <v>15.416298605527</v>
      </c>
      <c r="AA84" s="1073">
        <f t="shared" si="74"/>
        <v>56.109917872846999</v>
      </c>
      <c r="AB84" s="1072">
        <f t="shared" si="74"/>
        <v>16.106134979431999</v>
      </c>
      <c r="AC84" s="1072">
        <f t="shared" si="74"/>
        <v>15.65624</v>
      </c>
      <c r="AD84" s="1072">
        <f t="shared" si="74"/>
        <v>14.860159999999999</v>
      </c>
      <c r="AE84" s="1072">
        <f t="shared" si="74"/>
        <v>13.10215</v>
      </c>
      <c r="AF84" s="1073">
        <f t="shared" si="74"/>
        <v>59.724684979431998</v>
      </c>
      <c r="AG84" s="1072">
        <f t="shared" ref="AG84:AP84" si="75">AG80*AG76</f>
        <v>14.594799999999999</v>
      </c>
      <c r="AH84" s="1072">
        <f t="shared" si="75"/>
        <v>14.362609999999998</v>
      </c>
      <c r="AI84" s="1072">
        <f t="shared" si="75"/>
        <v>14.395630108086999</v>
      </c>
      <c r="AJ84" s="1072">
        <f t="shared" si="75"/>
        <v>13.265665850319001</v>
      </c>
      <c r="AK84" s="1073">
        <f t="shared" si="75"/>
        <v>56.618705958405997</v>
      </c>
      <c r="AL84" s="1072">
        <f t="shared" si="75"/>
        <v>14.486908299235999</v>
      </c>
      <c r="AM84" s="1072">
        <f t="shared" si="75"/>
        <v>15.020932492299</v>
      </c>
      <c r="AN84" s="1072">
        <f t="shared" si="75"/>
        <v>15.400122986349999</v>
      </c>
      <c r="AO84" s="1072">
        <f t="shared" si="75"/>
        <v>13.990659757356001</v>
      </c>
      <c r="AP84" s="1073">
        <f t="shared" si="75"/>
        <v>58.898623535240993</v>
      </c>
      <c r="AQ84" s="1072">
        <f t="shared" ref="AQ84:BW84" si="76">AQ80*AQ76</f>
        <v>15.138772234299001</v>
      </c>
      <c r="AR84" s="1072">
        <f t="shared" si="76"/>
        <v>15.776825252753</v>
      </c>
      <c r="AS84" s="1072">
        <f t="shared" si="76"/>
        <v>15.453057317581999</v>
      </c>
      <c r="AT84" s="1072">
        <f t="shared" si="76"/>
        <v>14.586435076621999</v>
      </c>
      <c r="AU84" s="1073">
        <f t="shared" si="76"/>
        <v>60.955089881255994</v>
      </c>
      <c r="AV84" s="1072">
        <f t="shared" si="76"/>
        <v>16.598665290357999</v>
      </c>
      <c r="AW84" s="1072">
        <f t="shared" si="76"/>
        <v>15.929657029487</v>
      </c>
      <c r="AX84" s="1072">
        <f t="shared" si="76"/>
        <v>15.774211174808002</v>
      </c>
      <c r="AY84" s="1072">
        <f t="shared" si="76"/>
        <v>14.531354719364002</v>
      </c>
      <c r="AZ84" s="1073">
        <f t="shared" si="76"/>
        <v>62.833888214017009</v>
      </c>
      <c r="BA84" s="1072">
        <f t="shared" si="76"/>
        <v>16.185915251143999</v>
      </c>
      <c r="BB84" s="1072">
        <f t="shared" si="76"/>
        <v>15.944604754969999</v>
      </c>
      <c r="BC84" s="1072">
        <f t="shared" si="76"/>
        <v>16.199311565972</v>
      </c>
      <c r="BD84" s="1072">
        <f t="shared" si="76"/>
        <v>14.999559236949001</v>
      </c>
      <c r="BE84" s="1073">
        <f t="shared" si="76"/>
        <v>63.329390809035004</v>
      </c>
      <c r="BF84" s="2830">
        <f t="shared" ref="BF84:BO84" si="77">BF80*BF76</f>
        <v>16.12861841478</v>
      </c>
      <c r="BG84" s="402">
        <f t="shared" si="77"/>
        <v>15.819640309258</v>
      </c>
      <c r="BH84" s="402">
        <f t="shared" si="77"/>
        <v>15.448413381584999</v>
      </c>
      <c r="BI84" s="1121">
        <f t="shared" si="77"/>
        <v>14.244157953067999</v>
      </c>
      <c r="BJ84" s="1073">
        <f t="shared" si="77"/>
        <v>61.640830058691002</v>
      </c>
      <c r="BK84" s="2830">
        <f t="shared" si="77"/>
        <v>14.866236276302999</v>
      </c>
      <c r="BL84" s="402">
        <f t="shared" si="77"/>
        <v>14.971178052871998</v>
      </c>
      <c r="BM84" s="402">
        <f t="shared" si="77"/>
        <v>14.495290000000001</v>
      </c>
      <c r="BN84" s="1121">
        <f t="shared" si="77"/>
        <v>13.960288482739999</v>
      </c>
      <c r="BO84" s="1073">
        <f t="shared" si="77"/>
        <v>58.292992811915006</v>
      </c>
      <c r="BP84" s="2830">
        <f>BP80*BP76</f>
        <v>15.439591325852</v>
      </c>
      <c r="BQ84" s="402">
        <f>BQ80*BQ76</f>
        <v>14.767120757161999</v>
      </c>
      <c r="BR84" s="402">
        <f>BR80*BR76</f>
        <v>13.813451821953</v>
      </c>
      <c r="BS84" s="1121">
        <f>BS80*BS76</f>
        <v>15.265982939142997</v>
      </c>
      <c r="BT84" s="1073">
        <f>BT80*BT76</f>
        <v>59.286146844109993</v>
      </c>
      <c r="BU84" s="1073">
        <f t="shared" si="76"/>
        <v>59.249075986499733</v>
      </c>
      <c r="BV84" s="1073">
        <f t="shared" si="76"/>
        <v>59.841566746364734</v>
      </c>
      <c r="BW84" s="1073">
        <f t="shared" si="76"/>
        <v>59.841566746364734</v>
      </c>
      <c r="BX84" s="1073">
        <f>BX80*BX76</f>
        <v>56.849488409046501</v>
      </c>
      <c r="BY84" s="1073">
        <f>BY80*BY76</f>
        <v>54.007013988594174</v>
      </c>
      <c r="BZ84" s="1073">
        <f>BZ80*BZ76</f>
        <v>55.087154268366056</v>
      </c>
      <c r="CA84" s="1073">
        <f>CA80*CA76</f>
        <v>56.188897353733374</v>
      </c>
      <c r="CB84" s="1073">
        <f>CB80*CB76</f>
        <v>57.312675300808053</v>
      </c>
    </row>
    <row r="85" spans="1:80" ht="12" customHeight="1">
      <c r="A85" s="1092" t="s">
        <v>1354</v>
      </c>
      <c r="B85" s="1092"/>
      <c r="C85" s="1093">
        <f t="shared" ref="C85:Q85" si="78">(C77*C81)/1000</f>
        <v>0</v>
      </c>
      <c r="D85" s="1093">
        <f t="shared" si="78"/>
        <v>0</v>
      </c>
      <c r="E85" s="1093">
        <f t="shared" si="78"/>
        <v>0</v>
      </c>
      <c r="F85" s="1093">
        <f t="shared" si="78"/>
        <v>0</v>
      </c>
      <c r="G85" s="1094">
        <f t="shared" si="78"/>
        <v>0</v>
      </c>
      <c r="H85" s="1093">
        <f t="shared" si="78"/>
        <v>0</v>
      </c>
      <c r="I85" s="1093">
        <f t="shared" si="78"/>
        <v>0</v>
      </c>
      <c r="J85" s="1093">
        <f t="shared" si="78"/>
        <v>0</v>
      </c>
      <c r="K85" s="1093">
        <f t="shared" si="78"/>
        <v>0</v>
      </c>
      <c r="L85" s="1094">
        <f t="shared" si="78"/>
        <v>0</v>
      </c>
      <c r="M85" s="1093">
        <f t="shared" si="78"/>
        <v>0</v>
      </c>
      <c r="N85" s="1093">
        <f t="shared" si="78"/>
        <v>0</v>
      </c>
      <c r="O85" s="1093">
        <f t="shared" si="78"/>
        <v>0</v>
      </c>
      <c r="P85" s="1093">
        <f t="shared" si="78"/>
        <v>0</v>
      </c>
      <c r="Q85" s="1094">
        <f t="shared" si="78"/>
        <v>0</v>
      </c>
      <c r="R85" s="1093">
        <f t="shared" ref="R85:AB85" si="79">(R77*R81)/1000</f>
        <v>0</v>
      </c>
      <c r="S85" s="1093">
        <f t="shared" si="79"/>
        <v>0</v>
      </c>
      <c r="T85" s="1093">
        <f t="shared" si="79"/>
        <v>0</v>
      </c>
      <c r="U85" s="1093">
        <f t="shared" si="79"/>
        <v>0</v>
      </c>
      <c r="V85" s="1094">
        <f t="shared" si="79"/>
        <v>0</v>
      </c>
      <c r="W85" s="1093">
        <f t="shared" si="79"/>
        <v>0</v>
      </c>
      <c r="X85" s="1093">
        <f t="shared" si="79"/>
        <v>0</v>
      </c>
      <c r="Y85" s="1093">
        <f t="shared" si="79"/>
        <v>0</v>
      </c>
      <c r="Z85" s="1093">
        <f t="shared" si="79"/>
        <v>0</v>
      </c>
      <c r="AA85" s="1094">
        <f t="shared" si="79"/>
        <v>0</v>
      </c>
      <c r="AB85" s="1093">
        <f t="shared" si="79"/>
        <v>0</v>
      </c>
      <c r="AC85" s="1093">
        <f t="shared" ref="AC85:AP85" si="80">(AC77*AC81)/1000</f>
        <v>0</v>
      </c>
      <c r="AD85" s="1093">
        <f t="shared" si="80"/>
        <v>0</v>
      </c>
      <c r="AE85" s="1093">
        <f t="shared" si="80"/>
        <v>0</v>
      </c>
      <c r="AF85" s="1094">
        <f t="shared" si="80"/>
        <v>0</v>
      </c>
      <c r="AG85" s="1093">
        <f t="shared" si="80"/>
        <v>0</v>
      </c>
      <c r="AH85" s="1093">
        <f t="shared" si="80"/>
        <v>0</v>
      </c>
      <c r="AI85" s="1093">
        <f t="shared" si="80"/>
        <v>0</v>
      </c>
      <c r="AJ85" s="1093">
        <f t="shared" si="80"/>
        <v>0</v>
      </c>
      <c r="AK85" s="1094">
        <f t="shared" si="80"/>
        <v>0</v>
      </c>
      <c r="AL85" s="1093">
        <f t="shared" si="80"/>
        <v>0</v>
      </c>
      <c r="AM85" s="1093">
        <f t="shared" si="80"/>
        <v>0</v>
      </c>
      <c r="AN85" s="1093">
        <f t="shared" si="80"/>
        <v>0</v>
      </c>
      <c r="AO85" s="1093">
        <f t="shared" si="80"/>
        <v>0</v>
      </c>
      <c r="AP85" s="1094">
        <f t="shared" si="80"/>
        <v>0</v>
      </c>
      <c r="AQ85" s="1093">
        <f t="shared" ref="AQ85:BW85" si="81">(AQ77*AQ81)/1000</f>
        <v>0</v>
      </c>
      <c r="AR85" s="1093">
        <f t="shared" si="81"/>
        <v>0</v>
      </c>
      <c r="AS85" s="1093">
        <f t="shared" si="81"/>
        <v>0</v>
      </c>
      <c r="AT85" s="1093">
        <f t="shared" si="81"/>
        <v>0</v>
      </c>
      <c r="AU85" s="1094">
        <f t="shared" si="81"/>
        <v>0</v>
      </c>
      <c r="AV85" s="1093">
        <f t="shared" si="81"/>
        <v>0</v>
      </c>
      <c r="AW85" s="1093">
        <f t="shared" si="81"/>
        <v>0</v>
      </c>
      <c r="AX85" s="1093">
        <f t="shared" si="81"/>
        <v>0</v>
      </c>
      <c r="AY85" s="1093">
        <f t="shared" si="81"/>
        <v>0</v>
      </c>
      <c r="AZ85" s="1094">
        <f t="shared" si="81"/>
        <v>0</v>
      </c>
      <c r="BA85" s="1093">
        <f t="shared" si="81"/>
        <v>0</v>
      </c>
      <c r="BB85" s="1093">
        <f t="shared" si="81"/>
        <v>0</v>
      </c>
      <c r="BC85" s="1093">
        <f t="shared" si="81"/>
        <v>0</v>
      </c>
      <c r="BD85" s="1093">
        <f t="shared" si="81"/>
        <v>0</v>
      </c>
      <c r="BE85" s="1094">
        <f t="shared" si="81"/>
        <v>0</v>
      </c>
      <c r="BF85" s="2842">
        <f t="shared" ref="BF85:BO85" si="82">(BF77*BF81)/1000</f>
        <v>0</v>
      </c>
      <c r="BG85" s="2843">
        <f t="shared" si="82"/>
        <v>0</v>
      </c>
      <c r="BH85" s="2843">
        <f t="shared" si="82"/>
        <v>0</v>
      </c>
      <c r="BI85" s="2844">
        <f t="shared" si="82"/>
        <v>0</v>
      </c>
      <c r="BJ85" s="1094">
        <f t="shared" si="82"/>
        <v>0</v>
      </c>
      <c r="BK85" s="2842">
        <f t="shared" si="82"/>
        <v>0</v>
      </c>
      <c r="BL85" s="2843">
        <f t="shared" si="82"/>
        <v>0</v>
      </c>
      <c r="BM85" s="2843">
        <f t="shared" si="82"/>
        <v>0</v>
      </c>
      <c r="BN85" s="2844">
        <f t="shared" si="82"/>
        <v>0</v>
      </c>
      <c r="BO85" s="1094">
        <f t="shared" si="82"/>
        <v>0</v>
      </c>
      <c r="BP85" s="2842">
        <f>(BP77*BP81)/1000</f>
        <v>0</v>
      </c>
      <c r="BQ85" s="2843">
        <f>(BQ77*BQ81)/1000</f>
        <v>0</v>
      </c>
      <c r="BR85" s="2843">
        <f>(BR77*BR81)/1000</f>
        <v>0</v>
      </c>
      <c r="BS85" s="2844">
        <f>(BS77*BS81)/1000</f>
        <v>0</v>
      </c>
      <c r="BT85" s="1094">
        <f>(BT77*BT81)/1000</f>
        <v>0</v>
      </c>
      <c r="BU85" s="1094">
        <f t="shared" si="81"/>
        <v>0</v>
      </c>
      <c r="BV85" s="1094">
        <f t="shared" si="81"/>
        <v>0</v>
      </c>
      <c r="BW85" s="1094">
        <f t="shared" si="81"/>
        <v>0</v>
      </c>
      <c r="BX85" s="1094">
        <f>(BX77*BX81)/1000</f>
        <v>0</v>
      </c>
      <c r="BY85" s="1094">
        <f>(BY77*BY81)/1000</f>
        <v>0</v>
      </c>
      <c r="BZ85" s="1094">
        <f>(BZ77*BZ81)/1000</f>
        <v>0</v>
      </c>
      <c r="CA85" s="1094">
        <f>(CA77*CA81)/1000</f>
        <v>0</v>
      </c>
      <c r="CB85" s="1094">
        <f>(CB77*CB81)/1000</f>
        <v>0</v>
      </c>
    </row>
    <row r="86" spans="1:80" ht="5.25" customHeight="1">
      <c r="A86" s="1062"/>
      <c r="B86" s="1062"/>
      <c r="C86" s="564" t="s">
        <v>1226</v>
      </c>
      <c r="D86" s="564" t="s">
        <v>1226</v>
      </c>
      <c r="E86" s="564" t="s">
        <v>1226</v>
      </c>
      <c r="F86" s="564" t="s">
        <v>1226</v>
      </c>
      <c r="G86" s="736" t="s">
        <v>1226</v>
      </c>
      <c r="H86" s="564" t="s">
        <v>1226</v>
      </c>
      <c r="I86" s="564" t="s">
        <v>1226</v>
      </c>
      <c r="J86" s="564" t="s">
        <v>1226</v>
      </c>
      <c r="K86" s="564" t="s">
        <v>1226</v>
      </c>
      <c r="L86" s="736" t="s">
        <v>1226</v>
      </c>
      <c r="M86" s="564" t="s">
        <v>1226</v>
      </c>
      <c r="N86" s="564" t="s">
        <v>1226</v>
      </c>
      <c r="O86" s="564" t="s">
        <v>1226</v>
      </c>
      <c r="P86" s="564" t="s">
        <v>1226</v>
      </c>
      <c r="Q86" s="736" t="s">
        <v>1226</v>
      </c>
      <c r="R86" s="564" t="s">
        <v>1226</v>
      </c>
      <c r="S86" s="564" t="s">
        <v>1226</v>
      </c>
      <c r="T86" s="564" t="s">
        <v>1226</v>
      </c>
      <c r="U86" s="564" t="s">
        <v>1226</v>
      </c>
      <c r="V86" s="736" t="s">
        <v>1226</v>
      </c>
      <c r="W86" s="564" t="s">
        <v>1226</v>
      </c>
      <c r="X86" s="564" t="s">
        <v>1226</v>
      </c>
      <c r="Y86" s="564" t="s">
        <v>1226</v>
      </c>
      <c r="Z86" s="564" t="s">
        <v>1226</v>
      </c>
      <c r="AA86" s="736" t="s">
        <v>1226</v>
      </c>
      <c r="AB86" s="564" t="s">
        <v>1226</v>
      </c>
      <c r="AC86" s="564" t="s">
        <v>1226</v>
      </c>
      <c r="AD86" s="564" t="s">
        <v>1226</v>
      </c>
      <c r="AE86" s="564" t="s">
        <v>1226</v>
      </c>
      <c r="AF86" s="736" t="s">
        <v>1226</v>
      </c>
      <c r="AG86" s="564" t="s">
        <v>1226</v>
      </c>
      <c r="AH86" s="564" t="s">
        <v>1226</v>
      </c>
      <c r="AI86" s="564" t="s">
        <v>1226</v>
      </c>
      <c r="AJ86" s="564" t="s">
        <v>1226</v>
      </c>
      <c r="AK86" s="736" t="s">
        <v>1226</v>
      </c>
      <c r="AL86" s="564" t="s">
        <v>1226</v>
      </c>
      <c r="AM86" s="564" t="s">
        <v>1226</v>
      </c>
      <c r="AN86" s="564" t="s">
        <v>1226</v>
      </c>
      <c r="AO86" s="564" t="s">
        <v>1226</v>
      </c>
      <c r="AP86" s="736" t="s">
        <v>1226</v>
      </c>
      <c r="AQ86" s="564" t="s">
        <v>1226</v>
      </c>
      <c r="AR86" s="564" t="s">
        <v>1226</v>
      </c>
      <c r="AS86" s="564" t="s">
        <v>1226</v>
      </c>
      <c r="AT86" s="564" t="s">
        <v>1226</v>
      </c>
      <c r="AU86" s="736" t="s">
        <v>1226</v>
      </c>
      <c r="AV86" s="564" t="s">
        <v>1226</v>
      </c>
      <c r="AW86" s="564" t="s">
        <v>1226</v>
      </c>
      <c r="AX86" s="564" t="s">
        <v>1226</v>
      </c>
      <c r="AY86" s="564" t="s">
        <v>1226</v>
      </c>
      <c r="AZ86" s="736" t="s">
        <v>1226</v>
      </c>
      <c r="BA86" s="564" t="s">
        <v>1226</v>
      </c>
      <c r="BB86" s="564" t="s">
        <v>1226</v>
      </c>
      <c r="BC86" s="564" t="s">
        <v>1226</v>
      </c>
      <c r="BD86" s="564" t="s">
        <v>1226</v>
      </c>
      <c r="BE86" s="736" t="s">
        <v>1226</v>
      </c>
      <c r="BF86" s="734" t="s">
        <v>1226</v>
      </c>
      <c r="BG86" s="564" t="s">
        <v>1226</v>
      </c>
      <c r="BH86" s="564" t="s">
        <v>1226</v>
      </c>
      <c r="BI86" s="1789" t="s">
        <v>1226</v>
      </c>
      <c r="BJ86" s="736" t="s">
        <v>1226</v>
      </c>
      <c r="BK86" s="734" t="s">
        <v>1226</v>
      </c>
      <c r="BL86" s="564" t="s">
        <v>1226</v>
      </c>
      <c r="BM86" s="564" t="s">
        <v>1226</v>
      </c>
      <c r="BN86" s="1789" t="s">
        <v>1226</v>
      </c>
      <c r="BO86" s="736" t="s">
        <v>1226</v>
      </c>
      <c r="BP86" s="734" t="s">
        <v>1226</v>
      </c>
      <c r="BQ86" s="564" t="s">
        <v>1226</v>
      </c>
      <c r="BR86" s="564" t="s">
        <v>1226</v>
      </c>
      <c r="BS86" s="1789" t="s">
        <v>1226</v>
      </c>
      <c r="BT86" s="736" t="s">
        <v>1226</v>
      </c>
      <c r="BU86" s="736" t="s">
        <v>1226</v>
      </c>
      <c r="BV86" s="736" t="s">
        <v>1226</v>
      </c>
      <c r="BW86" s="736" t="s">
        <v>1226</v>
      </c>
      <c r="BX86" s="736" t="s">
        <v>1226</v>
      </c>
      <c r="BY86" s="736" t="s">
        <v>1226</v>
      </c>
      <c r="BZ86" s="736" t="s">
        <v>1226</v>
      </c>
      <c r="CA86" s="736" t="s">
        <v>1226</v>
      </c>
      <c r="CB86" s="736" t="s">
        <v>1226</v>
      </c>
    </row>
    <row r="87" spans="1:80" ht="12" customHeight="1">
      <c r="A87" s="2" t="s">
        <v>1352</v>
      </c>
      <c r="B87" s="2"/>
      <c r="C87" s="1072">
        <f t="shared" ref="C87:Q87" si="83">SUM(C84:C86)</f>
        <v>12.412545699999999</v>
      </c>
      <c r="D87" s="1072">
        <f t="shared" si="83"/>
        <v>10.902978999999998</v>
      </c>
      <c r="E87" s="1072">
        <f t="shared" si="83"/>
        <v>10.430718016971001</v>
      </c>
      <c r="F87" s="1072">
        <f t="shared" si="83"/>
        <v>10.276600886151998</v>
      </c>
      <c r="G87" s="1073">
        <f t="shared" si="83"/>
        <v>44.022843603123</v>
      </c>
      <c r="H87" s="1072">
        <f t="shared" si="83"/>
        <v>12.023142229289</v>
      </c>
      <c r="I87" s="1072">
        <f t="shared" si="83"/>
        <v>13.164809367241</v>
      </c>
      <c r="J87" s="1072">
        <f t="shared" si="83"/>
        <v>10.617841719199999</v>
      </c>
      <c r="K87" s="1072">
        <f t="shared" si="83"/>
        <v>7.3431527078000007</v>
      </c>
      <c r="L87" s="1073">
        <f t="shared" si="83"/>
        <v>43.148946023530002</v>
      </c>
      <c r="M87" s="1072">
        <f t="shared" si="83"/>
        <v>14.814956919099998</v>
      </c>
      <c r="N87" s="1072">
        <f t="shared" si="83"/>
        <v>14.268625790299998</v>
      </c>
      <c r="O87" s="1072">
        <f t="shared" si="83"/>
        <v>14.001879284300001</v>
      </c>
      <c r="P87" s="1072">
        <f t="shared" si="83"/>
        <v>12.646528870200001</v>
      </c>
      <c r="Q87" s="1073">
        <f t="shared" si="83"/>
        <v>55.731990863899995</v>
      </c>
      <c r="R87" s="1072">
        <f t="shared" ref="R87:AA87" si="84">SUM(R84:R86)</f>
        <v>13.613284441799999</v>
      </c>
      <c r="S87" s="1072">
        <f t="shared" si="84"/>
        <v>13.3248099273</v>
      </c>
      <c r="T87" s="1072">
        <f t="shared" si="84"/>
        <v>13.702108394600002</v>
      </c>
      <c r="U87" s="1072">
        <f t="shared" si="84"/>
        <v>13.3035867662</v>
      </c>
      <c r="V87" s="1073">
        <f t="shared" si="84"/>
        <v>53.943789529899995</v>
      </c>
      <c r="W87" s="1072">
        <f t="shared" si="84"/>
        <v>14.377807498899999</v>
      </c>
      <c r="X87" s="1072">
        <f t="shared" si="84"/>
        <v>13.978080771230001</v>
      </c>
      <c r="Y87" s="1072">
        <f t="shared" si="84"/>
        <v>12.33773099719</v>
      </c>
      <c r="Z87" s="1072">
        <f t="shared" si="84"/>
        <v>15.416298605527</v>
      </c>
      <c r="AA87" s="1073">
        <f t="shared" si="84"/>
        <v>56.109917872846999</v>
      </c>
      <c r="AB87" s="1072">
        <f t="shared" ref="AB87:AP87" si="85">SUM(AB84:AB86)</f>
        <v>16.106134979431999</v>
      </c>
      <c r="AC87" s="1072">
        <f t="shared" si="85"/>
        <v>15.65624</v>
      </c>
      <c r="AD87" s="1072">
        <f t="shared" si="85"/>
        <v>14.860159999999999</v>
      </c>
      <c r="AE87" s="1072">
        <f t="shared" si="85"/>
        <v>13.10215</v>
      </c>
      <c r="AF87" s="1073">
        <f t="shared" si="85"/>
        <v>59.724684979431998</v>
      </c>
      <c r="AG87" s="1072">
        <f t="shared" si="85"/>
        <v>14.594799999999999</v>
      </c>
      <c r="AH87" s="1072">
        <f t="shared" si="85"/>
        <v>14.362609999999998</v>
      </c>
      <c r="AI87" s="1072">
        <f t="shared" si="85"/>
        <v>14.395630108086999</v>
      </c>
      <c r="AJ87" s="1072">
        <f t="shared" si="85"/>
        <v>13.265665850319001</v>
      </c>
      <c r="AK87" s="1073">
        <f t="shared" si="85"/>
        <v>56.618705958405997</v>
      </c>
      <c r="AL87" s="1072">
        <f t="shared" si="85"/>
        <v>14.486908299235999</v>
      </c>
      <c r="AM87" s="1072">
        <f t="shared" si="85"/>
        <v>15.020932492299</v>
      </c>
      <c r="AN87" s="1072">
        <f t="shared" si="85"/>
        <v>15.400122986349999</v>
      </c>
      <c r="AO87" s="1072">
        <f t="shared" si="85"/>
        <v>13.990659757356001</v>
      </c>
      <c r="AP87" s="1073">
        <f t="shared" si="85"/>
        <v>58.898623535240993</v>
      </c>
      <c r="AQ87" s="1072">
        <f t="shared" ref="AQ87:BW87" si="86">SUM(AQ84:AQ86)</f>
        <v>15.138772234299001</v>
      </c>
      <c r="AR87" s="1072">
        <f t="shared" si="86"/>
        <v>15.776825252753</v>
      </c>
      <c r="AS87" s="1072">
        <f t="shared" si="86"/>
        <v>15.453057317581999</v>
      </c>
      <c r="AT87" s="1072">
        <f t="shared" si="86"/>
        <v>14.586435076621999</v>
      </c>
      <c r="AU87" s="1073">
        <f t="shared" si="86"/>
        <v>60.955089881255994</v>
      </c>
      <c r="AV87" s="1072">
        <f t="shared" si="86"/>
        <v>16.598665290357999</v>
      </c>
      <c r="AW87" s="1072">
        <f t="shared" si="86"/>
        <v>15.929657029487</v>
      </c>
      <c r="AX87" s="1072">
        <f t="shared" si="86"/>
        <v>15.774211174808002</v>
      </c>
      <c r="AY87" s="1072">
        <f t="shared" si="86"/>
        <v>14.531354719364002</v>
      </c>
      <c r="AZ87" s="1073">
        <f t="shared" si="86"/>
        <v>62.833888214017009</v>
      </c>
      <c r="BA87" s="1072">
        <f t="shared" si="86"/>
        <v>16.185915251143999</v>
      </c>
      <c r="BB87" s="1072">
        <f t="shared" si="86"/>
        <v>15.944604754969999</v>
      </c>
      <c r="BC87" s="1072">
        <f t="shared" si="86"/>
        <v>16.199311565972</v>
      </c>
      <c r="BD87" s="1072">
        <f t="shared" si="86"/>
        <v>14.999559236949001</v>
      </c>
      <c r="BE87" s="1073">
        <f t="shared" si="86"/>
        <v>63.329390809035004</v>
      </c>
      <c r="BF87" s="2830">
        <f t="shared" ref="BF87:BO87" si="87">SUM(BF84:BF86)</f>
        <v>16.12861841478</v>
      </c>
      <c r="BG87" s="402">
        <f t="shared" si="87"/>
        <v>15.819640309258</v>
      </c>
      <c r="BH87" s="402">
        <f t="shared" si="87"/>
        <v>15.448413381584999</v>
      </c>
      <c r="BI87" s="1121">
        <f t="shared" si="87"/>
        <v>14.244157953067999</v>
      </c>
      <c r="BJ87" s="1073">
        <f t="shared" si="87"/>
        <v>61.640830058691002</v>
      </c>
      <c r="BK87" s="2830">
        <f t="shared" si="87"/>
        <v>14.866236276302999</v>
      </c>
      <c r="BL87" s="402">
        <f t="shared" si="87"/>
        <v>14.971178052871998</v>
      </c>
      <c r="BM87" s="402">
        <f t="shared" si="87"/>
        <v>14.495290000000001</v>
      </c>
      <c r="BN87" s="1121">
        <f t="shared" si="87"/>
        <v>13.960288482739999</v>
      </c>
      <c r="BO87" s="1073">
        <f t="shared" si="87"/>
        <v>58.292992811915006</v>
      </c>
      <c r="BP87" s="2830">
        <f>SUM(BP84:BP86)</f>
        <v>15.439591325852</v>
      </c>
      <c r="BQ87" s="402">
        <f>SUM(BQ84:BQ86)</f>
        <v>14.767120757161999</v>
      </c>
      <c r="BR87" s="402">
        <f>SUM(BR84:BR86)</f>
        <v>13.813451821953</v>
      </c>
      <c r="BS87" s="1121">
        <f>SUM(BS84:BS86)</f>
        <v>15.265982939142997</v>
      </c>
      <c r="BT87" s="1073">
        <f>SUM(BT84:BT86)</f>
        <v>59.286146844109993</v>
      </c>
      <c r="BU87" s="1073">
        <f t="shared" si="86"/>
        <v>59.249075986499733</v>
      </c>
      <c r="BV87" s="1073">
        <f t="shared" si="86"/>
        <v>59.841566746364734</v>
      </c>
      <c r="BW87" s="1073">
        <f t="shared" si="86"/>
        <v>59.841566746364734</v>
      </c>
      <c r="BX87" s="1073">
        <f>SUM(BX84:BX86)</f>
        <v>56.849488409046501</v>
      </c>
      <c r="BY87" s="1073">
        <f>SUM(BY84:BY86)</f>
        <v>54.007013988594174</v>
      </c>
      <c r="BZ87" s="1073">
        <f>SUM(BZ84:BZ86)</f>
        <v>55.087154268366056</v>
      </c>
      <c r="CA87" s="1073">
        <f>SUM(CA84:CA86)</f>
        <v>56.188897353733374</v>
      </c>
      <c r="CB87" s="1073">
        <f>SUM(CB84:CB86)</f>
        <v>57.312675300808053</v>
      </c>
    </row>
    <row r="88" spans="1:80" ht="12" customHeight="1">
      <c r="A88" s="2"/>
      <c r="B88" s="2"/>
      <c r="C88" s="402"/>
      <c r="D88" s="402"/>
      <c r="E88" s="402"/>
      <c r="F88" s="402"/>
      <c r="G88" s="1073"/>
      <c r="H88" s="402"/>
      <c r="I88" s="402"/>
      <c r="J88" s="402"/>
      <c r="K88" s="402"/>
      <c r="L88" s="1073"/>
      <c r="M88" s="402"/>
      <c r="N88" s="402"/>
      <c r="O88" s="402"/>
      <c r="P88" s="402"/>
      <c r="Q88" s="1073"/>
      <c r="R88" s="402"/>
      <c r="S88" s="402"/>
      <c r="T88" s="402"/>
      <c r="U88" s="402"/>
      <c r="V88" s="1073"/>
      <c r="W88" s="402"/>
      <c r="X88" s="402"/>
      <c r="Y88" s="402"/>
      <c r="Z88" s="402"/>
      <c r="AA88" s="1073"/>
      <c r="AB88" s="402"/>
      <c r="AC88" s="402"/>
      <c r="AD88" s="402"/>
      <c r="AE88" s="402"/>
      <c r="AF88" s="1073"/>
      <c r="AG88" s="402"/>
      <c r="AH88" s="402"/>
      <c r="AI88" s="402"/>
      <c r="AJ88" s="402"/>
      <c r="AK88" s="1073"/>
      <c r="AL88" s="402"/>
      <c r="AM88" s="402"/>
      <c r="AN88" s="402"/>
      <c r="AO88" s="402"/>
      <c r="AP88" s="1073"/>
      <c r="AQ88" s="402"/>
      <c r="AR88" s="402"/>
      <c r="AS88" s="402"/>
      <c r="AT88" s="402"/>
      <c r="AU88" s="1073"/>
      <c r="AV88" s="402"/>
      <c r="AW88" s="402"/>
      <c r="AX88" s="402"/>
      <c r="AY88" s="402"/>
      <c r="AZ88" s="1073"/>
      <c r="BA88" s="402"/>
      <c r="BB88" s="402"/>
      <c r="BC88" s="402"/>
      <c r="BD88" s="402"/>
      <c r="BE88" s="1073"/>
      <c r="BF88" s="2830"/>
      <c r="BG88" s="402"/>
      <c r="BH88" s="402"/>
      <c r="BI88" s="1121"/>
      <c r="BJ88" s="1073"/>
      <c r="BK88" s="2830"/>
      <c r="BL88" s="402"/>
      <c r="BM88" s="402"/>
      <c r="BN88" s="1121"/>
      <c r="BO88" s="1073"/>
      <c r="BP88" s="2830"/>
      <c r="BQ88" s="402"/>
      <c r="BR88" s="402"/>
      <c r="BS88" s="1121"/>
      <c r="BT88" s="1073"/>
      <c r="BU88" s="1073"/>
      <c r="BV88" s="1073"/>
      <c r="BW88" s="1073"/>
      <c r="BX88" s="1073"/>
      <c r="BY88" s="1073"/>
      <c r="BZ88" s="1073"/>
      <c r="CA88" s="1073"/>
      <c r="CB88" s="1073"/>
    </row>
    <row r="89" spans="1:80">
      <c r="A89" s="2" t="s">
        <v>633</v>
      </c>
      <c r="B89" s="2"/>
      <c r="C89" s="1083">
        <v>6.1583320000000006</v>
      </c>
      <c r="D89" s="1083">
        <v>5.7139680000000004</v>
      </c>
      <c r="E89" s="1083">
        <v>5.0676736586689994</v>
      </c>
      <c r="F89" s="1083">
        <v>4.6999106253520004</v>
      </c>
      <c r="G89" s="1073">
        <f>SUM(C89:F89)</f>
        <v>21.639884284021001</v>
      </c>
      <c r="H89" s="1083">
        <v>5.4986755386889996</v>
      </c>
      <c r="I89" s="1072"/>
      <c r="J89" s="1072"/>
      <c r="K89" s="1072"/>
      <c r="L89" s="1073"/>
      <c r="M89" s="1072"/>
      <c r="N89" s="1072"/>
      <c r="O89" s="1072"/>
      <c r="P89" s="1072"/>
      <c r="Q89" s="1073"/>
      <c r="R89" s="1072"/>
      <c r="S89" s="1072"/>
      <c r="T89" s="1072"/>
      <c r="U89" s="1072"/>
      <c r="V89" s="1073"/>
      <c r="W89" s="1072"/>
      <c r="X89" s="1072"/>
      <c r="Y89" s="1072"/>
      <c r="Z89" s="1072"/>
      <c r="AA89" s="1073"/>
      <c r="AB89" s="1072"/>
      <c r="AC89" s="1072"/>
      <c r="AD89" s="1072"/>
      <c r="AE89" s="1072"/>
      <c r="AF89" s="1073"/>
      <c r="AG89" s="1072"/>
      <c r="AH89" s="1072"/>
      <c r="AI89" s="1072"/>
      <c r="AJ89" s="1072"/>
      <c r="AK89" s="1073"/>
      <c r="AL89" s="1072"/>
      <c r="AM89" s="1072"/>
      <c r="AN89" s="1072"/>
      <c r="AO89" s="1072"/>
      <c r="AP89" s="1073"/>
      <c r="AQ89" s="402"/>
      <c r="AR89" s="402"/>
      <c r="AS89" s="402"/>
      <c r="AT89" s="402"/>
      <c r="AU89" s="1073"/>
      <c r="AV89" s="402"/>
      <c r="AW89" s="402"/>
      <c r="AX89" s="402"/>
      <c r="AY89" s="402"/>
      <c r="AZ89" s="1073"/>
      <c r="BA89" s="402"/>
      <c r="BB89" s="402"/>
      <c r="BC89" s="402"/>
      <c r="BD89" s="402"/>
      <c r="BE89" s="1073"/>
      <c r="BF89" s="2830"/>
      <c r="BG89" s="402"/>
      <c r="BH89" s="402"/>
      <c r="BI89" s="1121"/>
      <c r="BJ89" s="1073"/>
      <c r="BK89" s="2830"/>
      <c r="BL89" s="402"/>
      <c r="BM89" s="402"/>
      <c r="BN89" s="1121"/>
      <c r="BO89" s="1073"/>
      <c r="BP89" s="2830"/>
      <c r="BQ89" s="402"/>
      <c r="BR89" s="402"/>
      <c r="BS89" s="1121"/>
      <c r="BT89" s="1073"/>
      <c r="BU89" s="1073"/>
      <c r="BV89" s="1073"/>
      <c r="BW89" s="1073"/>
      <c r="BX89" s="1073"/>
      <c r="BY89" s="1073"/>
      <c r="BZ89" s="1073"/>
      <c r="CA89" s="1073"/>
      <c r="CB89" s="1073"/>
    </row>
    <row r="90" spans="1:80" ht="12" customHeight="1">
      <c r="A90" s="2"/>
      <c r="B90" s="2"/>
      <c r="C90" s="402"/>
      <c r="D90" s="402"/>
      <c r="E90" s="402"/>
      <c r="F90" s="402"/>
      <c r="G90" s="1073"/>
      <c r="H90" s="402"/>
      <c r="I90" s="402"/>
      <c r="J90" s="402"/>
      <c r="K90" s="402"/>
      <c r="L90" s="1073"/>
      <c r="M90" s="402"/>
      <c r="N90" s="402"/>
      <c r="O90" s="402"/>
      <c r="P90" s="402"/>
      <c r="Q90" s="1073"/>
      <c r="R90" s="402"/>
      <c r="S90" s="402"/>
      <c r="T90" s="402"/>
      <c r="U90" s="402"/>
      <c r="V90" s="1073"/>
      <c r="W90" s="402"/>
      <c r="X90" s="402"/>
      <c r="Y90" s="402"/>
      <c r="Z90" s="402"/>
      <c r="AA90" s="1073"/>
      <c r="AB90" s="402"/>
      <c r="AC90" s="402"/>
      <c r="AD90" s="402"/>
      <c r="AE90" s="402"/>
      <c r="AF90" s="1073"/>
      <c r="AG90" s="402"/>
      <c r="AH90" s="402"/>
      <c r="AI90" s="402"/>
      <c r="AJ90" s="402"/>
      <c r="AK90" s="1073"/>
      <c r="AL90" s="402"/>
      <c r="AM90" s="402"/>
      <c r="AN90" s="402"/>
      <c r="AO90" s="402"/>
      <c r="AP90" s="1073"/>
      <c r="AQ90" s="402"/>
      <c r="AR90" s="402"/>
      <c r="AS90" s="402"/>
      <c r="AT90" s="402"/>
      <c r="AU90" s="1073"/>
      <c r="AV90" s="402"/>
      <c r="AW90" s="402"/>
      <c r="AX90" s="402"/>
      <c r="AY90" s="402"/>
      <c r="AZ90" s="1073"/>
      <c r="BA90" s="402"/>
      <c r="BB90" s="402"/>
      <c r="BC90" s="402"/>
      <c r="BD90" s="402"/>
      <c r="BE90" s="1073"/>
      <c r="BF90" s="2830"/>
      <c r="BG90" s="402"/>
      <c r="BH90" s="402"/>
      <c r="BI90" s="1121"/>
      <c r="BJ90" s="1073"/>
      <c r="BK90" s="2830"/>
      <c r="BL90" s="402"/>
      <c r="BM90" s="402"/>
      <c r="BN90" s="1121"/>
      <c r="BO90" s="1073"/>
      <c r="BP90" s="2830"/>
      <c r="BQ90" s="402"/>
      <c r="BR90" s="402"/>
      <c r="BS90" s="1121"/>
      <c r="BT90" s="1073"/>
      <c r="BU90" s="1073"/>
      <c r="BV90" s="1073"/>
      <c r="BW90" s="1073"/>
      <c r="BX90" s="1073"/>
      <c r="BY90" s="1073"/>
      <c r="BZ90" s="1073"/>
      <c r="CA90" s="1073"/>
      <c r="CB90" s="1073"/>
    </row>
    <row r="91" spans="1:80" ht="12" customHeight="1">
      <c r="A91" s="69" t="s">
        <v>482</v>
      </c>
      <c r="B91" s="69"/>
      <c r="C91" s="1070"/>
      <c r="D91" s="1070"/>
      <c r="E91" s="1070"/>
      <c r="F91" s="1070"/>
      <c r="G91" s="1069"/>
      <c r="H91" s="1070"/>
      <c r="I91" s="1070"/>
      <c r="J91" s="1070"/>
      <c r="K91" s="1070"/>
      <c r="L91" s="1069"/>
      <c r="M91" s="1070"/>
      <c r="N91" s="1070"/>
      <c r="O91" s="1070"/>
      <c r="P91" s="1070"/>
      <c r="Q91" s="1069"/>
      <c r="R91" s="1070"/>
      <c r="S91" s="1070"/>
      <c r="T91" s="1070"/>
      <c r="U91" s="1070"/>
      <c r="V91" s="1069"/>
      <c r="W91" s="1070"/>
      <c r="X91" s="1070"/>
      <c r="Y91" s="1070"/>
      <c r="Z91" s="1070"/>
      <c r="AA91" s="1069"/>
      <c r="AB91" s="1070"/>
      <c r="AC91" s="1070"/>
      <c r="AD91" s="1070"/>
      <c r="AE91" s="1070"/>
      <c r="AF91" s="1069"/>
      <c r="AG91" s="1070"/>
      <c r="AH91" s="1070"/>
      <c r="AI91" s="1070"/>
      <c r="AJ91" s="1070"/>
      <c r="AK91" s="1069"/>
      <c r="AL91" s="1070"/>
      <c r="AM91" s="1070"/>
      <c r="AN91" s="1070"/>
      <c r="AO91" s="1070"/>
      <c r="AP91" s="1069"/>
      <c r="AQ91" s="1070"/>
      <c r="AR91" s="1070"/>
      <c r="AS91" s="1070"/>
      <c r="AT91" s="1070"/>
      <c r="AU91" s="1069"/>
      <c r="AV91" s="1070"/>
      <c r="AW91" s="1070"/>
      <c r="AX91" s="1070"/>
      <c r="AY91" s="1070"/>
      <c r="AZ91" s="1069"/>
      <c r="BA91" s="1070"/>
      <c r="BB91" s="1070"/>
      <c r="BC91" s="1070"/>
      <c r="BD91" s="1070"/>
      <c r="BE91" s="1069"/>
      <c r="BF91" s="2828"/>
      <c r="BG91" s="1070"/>
      <c r="BH91" s="1070"/>
      <c r="BI91" s="2829"/>
      <c r="BJ91" s="1069"/>
      <c r="BK91" s="2828"/>
      <c r="BL91" s="1070"/>
      <c r="BM91" s="1070"/>
      <c r="BN91" s="2829"/>
      <c r="BO91" s="1069"/>
      <c r="BP91" s="2828"/>
      <c r="BQ91" s="1070"/>
      <c r="BR91" s="1070"/>
      <c r="BS91" s="2829"/>
      <c r="BT91" s="1069"/>
      <c r="BU91" s="1069"/>
      <c r="BV91" s="1069"/>
      <c r="BW91" s="1069"/>
      <c r="BX91" s="1069"/>
      <c r="BY91" s="1069"/>
      <c r="BZ91" s="1069"/>
      <c r="CA91" s="1069"/>
      <c r="CB91" s="1069"/>
    </row>
    <row r="92" spans="1:80" ht="12" customHeight="1">
      <c r="A92" s="2"/>
      <c r="B92" s="2"/>
      <c r="C92" s="1070"/>
      <c r="D92" s="1070"/>
      <c r="E92" s="1070"/>
      <c r="F92" s="1070"/>
      <c r="G92" s="1069"/>
      <c r="H92" s="1070"/>
      <c r="I92" s="1070"/>
      <c r="J92" s="1070"/>
      <c r="K92" s="1070"/>
      <c r="L92" s="1069"/>
      <c r="M92" s="1070"/>
      <c r="N92" s="1070"/>
      <c r="O92" s="1070"/>
      <c r="P92" s="1070"/>
      <c r="Q92" s="1069"/>
      <c r="R92" s="1070"/>
      <c r="S92" s="1070"/>
      <c r="T92" s="1070"/>
      <c r="U92" s="1070"/>
      <c r="V92" s="1069"/>
      <c r="W92" s="1070"/>
      <c r="X92" s="1070"/>
      <c r="Y92" s="1070"/>
      <c r="Z92" s="1070"/>
      <c r="AA92" s="1069"/>
      <c r="AB92" s="1070"/>
      <c r="AC92" s="1070"/>
      <c r="AD92" s="1070"/>
      <c r="AE92" s="1070"/>
      <c r="AF92" s="1069"/>
      <c r="AG92" s="1070"/>
      <c r="AH92" s="1070"/>
      <c r="AI92" s="1070"/>
      <c r="AJ92" s="1070"/>
      <c r="AK92" s="1069"/>
      <c r="AL92" s="1070"/>
      <c r="AM92" s="1070"/>
      <c r="AN92" s="1070"/>
      <c r="AO92" s="1070"/>
      <c r="AP92" s="1069"/>
      <c r="AQ92" s="1070"/>
      <c r="AR92" s="1070"/>
      <c r="AS92" s="1070"/>
      <c r="AT92" s="1070"/>
      <c r="AU92" s="1069"/>
      <c r="AV92" s="1070"/>
      <c r="AW92" s="1070"/>
      <c r="AX92" s="1070"/>
      <c r="AY92" s="1070"/>
      <c r="AZ92" s="1069"/>
      <c r="BA92" s="1070"/>
      <c r="BB92" s="1070"/>
      <c r="BC92" s="1070"/>
      <c r="BD92" s="1070"/>
      <c r="BE92" s="1069"/>
      <c r="BF92" s="2828"/>
      <c r="BG92" s="1070"/>
      <c r="BH92" s="1070"/>
      <c r="BI92" s="2829"/>
      <c r="BJ92" s="1069"/>
      <c r="BK92" s="2828"/>
      <c r="BL92" s="1070"/>
      <c r="BM92" s="1070"/>
      <c r="BN92" s="2829"/>
      <c r="BO92" s="1069"/>
      <c r="BP92" s="2828"/>
      <c r="BQ92" s="1070"/>
      <c r="BR92" s="1070"/>
      <c r="BS92" s="2829"/>
      <c r="BT92" s="1069"/>
      <c r="BU92" s="1069"/>
      <c r="BV92" s="1069"/>
      <c r="BW92" s="1069"/>
      <c r="BX92" s="1069"/>
      <c r="BY92" s="1069"/>
      <c r="BZ92" s="1069"/>
      <c r="CA92" s="1069"/>
      <c r="CB92" s="1069"/>
    </row>
    <row r="93" spans="1:80" ht="12" customHeight="1">
      <c r="A93" s="2" t="s">
        <v>1355</v>
      </c>
      <c r="B93" s="2"/>
      <c r="C93" s="1066">
        <v>0.12</v>
      </c>
      <c r="D93" s="1066">
        <v>0.12</v>
      </c>
      <c r="E93" s="1066">
        <v>0.12</v>
      </c>
      <c r="F93" s="1066">
        <v>0.12</v>
      </c>
      <c r="G93" s="1067">
        <v>0.12</v>
      </c>
      <c r="H93" s="1066">
        <v>0.12</v>
      </c>
      <c r="I93" s="1066">
        <v>0.12</v>
      </c>
      <c r="J93" s="1066">
        <v>0.12</v>
      </c>
      <c r="K93" s="1066">
        <v>0.12</v>
      </c>
      <c r="L93" s="1067">
        <v>0.12</v>
      </c>
      <c r="M93" s="1066">
        <v>0.12</v>
      </c>
      <c r="N93" s="1066">
        <v>0.12</v>
      </c>
      <c r="O93" s="1066">
        <v>0.12</v>
      </c>
      <c r="P93" s="1066">
        <v>0.12</v>
      </c>
      <c r="Q93" s="1067">
        <v>0.12</v>
      </c>
      <c r="R93" s="1066">
        <v>0.12</v>
      </c>
      <c r="S93" s="1066">
        <v>0.12</v>
      </c>
      <c r="T93" s="1066">
        <v>0.12</v>
      </c>
      <c r="U93" s="1066">
        <v>0.12</v>
      </c>
      <c r="V93" s="1067">
        <v>0.12</v>
      </c>
      <c r="W93" s="1066">
        <v>0.12</v>
      </c>
      <c r="X93" s="1066">
        <v>0.12</v>
      </c>
      <c r="Y93" s="1066">
        <v>0.12</v>
      </c>
      <c r="Z93" s="1066">
        <v>0.12</v>
      </c>
      <c r="AA93" s="1067">
        <v>0.12</v>
      </c>
      <c r="AB93" s="1066">
        <v>0.12</v>
      </c>
      <c r="AC93" s="1066">
        <v>0.12</v>
      </c>
      <c r="AD93" s="1066">
        <v>0.12</v>
      </c>
      <c r="AE93" s="1066">
        <v>0.12</v>
      </c>
      <c r="AF93" s="1067">
        <v>0.12</v>
      </c>
      <c r="AG93" s="1066">
        <v>0.12</v>
      </c>
      <c r="AH93" s="1066">
        <v>0.12</v>
      </c>
      <c r="AI93" s="1066">
        <v>0.12</v>
      </c>
      <c r="AJ93" s="1066">
        <v>0.12</v>
      </c>
      <c r="AK93" s="1067">
        <v>0.12</v>
      </c>
      <c r="AL93" s="1066">
        <v>0.12</v>
      </c>
      <c r="AM93" s="1066">
        <v>0.12</v>
      </c>
      <c r="AN93" s="1066">
        <v>0.12</v>
      </c>
      <c r="AO93" s="1066">
        <v>0.12</v>
      </c>
      <c r="AP93" s="1067">
        <v>0.12</v>
      </c>
      <c r="AQ93" s="1066">
        <v>0.12</v>
      </c>
      <c r="AR93" s="1066">
        <v>0.12</v>
      </c>
      <c r="AS93" s="1066">
        <v>0.12</v>
      </c>
      <c r="AT93" s="1066">
        <v>0.12</v>
      </c>
      <c r="AU93" s="1067">
        <v>0.12</v>
      </c>
      <c r="AV93" s="1066">
        <v>0.12</v>
      </c>
      <c r="AW93" s="1066">
        <v>0.12</v>
      </c>
      <c r="AX93" s="1066">
        <v>0.12</v>
      </c>
      <c r="AY93" s="1066">
        <v>0.12</v>
      </c>
      <c r="AZ93" s="1067">
        <v>0.12</v>
      </c>
      <c r="BA93" s="1066">
        <v>0.12</v>
      </c>
      <c r="BB93" s="1066">
        <v>0.12</v>
      </c>
      <c r="BC93" s="1066">
        <v>0.12</v>
      </c>
      <c r="BD93" s="1066">
        <v>0.12</v>
      </c>
      <c r="BE93" s="1067">
        <v>0.12</v>
      </c>
      <c r="BF93" s="2826">
        <v>0.12</v>
      </c>
      <c r="BG93" s="1111">
        <v>0.12</v>
      </c>
      <c r="BH93" s="1111">
        <v>0.12</v>
      </c>
      <c r="BI93" s="2827">
        <v>0.12</v>
      </c>
      <c r="BJ93" s="1067">
        <v>0.12</v>
      </c>
      <c r="BK93" s="2826">
        <v>0.12</v>
      </c>
      <c r="BL93" s="1111">
        <v>0.12</v>
      </c>
      <c r="BM93" s="1111">
        <v>0.12</v>
      </c>
      <c r="BN93" s="2827">
        <v>0.12</v>
      </c>
      <c r="BO93" s="1067">
        <v>0.12</v>
      </c>
      <c r="BP93" s="2826">
        <v>0.12</v>
      </c>
      <c r="BQ93" s="1111">
        <v>0.12</v>
      </c>
      <c r="BR93" s="1111">
        <v>0.12</v>
      </c>
      <c r="BS93" s="2827">
        <v>0.12</v>
      </c>
      <c r="BT93" s="1067">
        <v>0.12</v>
      </c>
      <c r="BU93" s="1067">
        <v>0.12</v>
      </c>
      <c r="BV93" s="1067">
        <v>0.12</v>
      </c>
      <c r="BW93" s="1067">
        <v>0.12</v>
      </c>
      <c r="BX93" s="1067">
        <v>0.12</v>
      </c>
      <c r="BY93" s="1067">
        <v>0.12</v>
      </c>
      <c r="BZ93" s="1067">
        <v>0.12</v>
      </c>
      <c r="CA93" s="1067">
        <v>0.12</v>
      </c>
      <c r="CB93" s="1067">
        <v>0.12</v>
      </c>
    </row>
    <row r="94" spans="1:80" ht="12" customHeight="1">
      <c r="A94" s="1062"/>
      <c r="B94" s="1062"/>
      <c r="C94" s="1070"/>
      <c r="D94" s="1070"/>
      <c r="E94" s="1070"/>
      <c r="F94" s="1070"/>
      <c r="G94" s="1069"/>
      <c r="H94" s="1070"/>
      <c r="I94" s="1070"/>
      <c r="J94" s="1070"/>
      <c r="K94" s="1070"/>
      <c r="L94" s="1069"/>
      <c r="M94" s="1070"/>
      <c r="N94" s="1070"/>
      <c r="O94" s="1070"/>
      <c r="P94" s="1070"/>
      <c r="Q94" s="1069"/>
      <c r="R94" s="1070"/>
      <c r="S94" s="1070"/>
      <c r="T94" s="1070"/>
      <c r="U94" s="1070"/>
      <c r="V94" s="1069"/>
      <c r="W94" s="1070"/>
      <c r="X94" s="1070"/>
      <c r="Y94" s="1070"/>
      <c r="Z94" s="1070"/>
      <c r="AA94" s="1069"/>
      <c r="AB94" s="1070"/>
      <c r="AC94" s="1070"/>
      <c r="AD94" s="1070"/>
      <c r="AE94" s="1070"/>
      <c r="AF94" s="1069"/>
      <c r="AG94" s="1070"/>
      <c r="AH94" s="1070"/>
      <c r="AI94" s="1070"/>
      <c r="AJ94" s="1070"/>
      <c r="AK94" s="1069"/>
      <c r="AL94" s="1070"/>
      <c r="AM94" s="1070"/>
      <c r="AN94" s="1070"/>
      <c r="AO94" s="1070"/>
      <c r="AP94" s="1069"/>
      <c r="AQ94" s="1070"/>
      <c r="AR94" s="1070"/>
      <c r="AS94" s="1070"/>
      <c r="AT94" s="1070"/>
      <c r="AU94" s="1069"/>
      <c r="AV94" s="1070"/>
      <c r="AW94" s="1070"/>
      <c r="AX94" s="1070"/>
      <c r="AY94" s="1070"/>
      <c r="AZ94" s="1069"/>
      <c r="BA94" s="1070"/>
      <c r="BB94" s="1070"/>
      <c r="BC94" s="1070"/>
      <c r="BD94" s="1070"/>
      <c r="BE94" s="1069"/>
      <c r="BF94" s="2828"/>
      <c r="BG94" s="1070"/>
      <c r="BH94" s="1070"/>
      <c r="BI94" s="2829"/>
      <c r="BJ94" s="1069"/>
      <c r="BK94" s="2828"/>
      <c r="BL94" s="1070"/>
      <c r="BM94" s="1070"/>
      <c r="BN94" s="2829"/>
      <c r="BO94" s="1069"/>
      <c r="BP94" s="2828"/>
      <c r="BQ94" s="1070"/>
      <c r="BR94" s="1070"/>
      <c r="BS94" s="2829"/>
      <c r="BT94" s="1069"/>
      <c r="BU94" s="1069"/>
      <c r="BV94" s="1069"/>
      <c r="BW94" s="1069"/>
      <c r="BX94" s="1069"/>
      <c r="BY94" s="1069"/>
      <c r="BZ94" s="1069"/>
      <c r="CA94" s="1069"/>
      <c r="CB94" s="1069"/>
    </row>
    <row r="95" spans="1:80" ht="12" customHeight="1">
      <c r="A95" s="1" t="s">
        <v>592</v>
      </c>
      <c r="B95" s="1"/>
      <c r="C95" s="1070"/>
      <c r="D95" s="1070"/>
      <c r="E95" s="1070"/>
      <c r="F95" s="1070"/>
      <c r="G95" s="1069"/>
      <c r="H95" s="1070"/>
      <c r="I95" s="1070"/>
      <c r="J95" s="1095"/>
      <c r="K95" s="1095"/>
      <c r="L95" s="1096"/>
      <c r="M95" s="1095"/>
      <c r="N95" s="1095"/>
      <c r="O95" s="1095"/>
      <c r="P95" s="1095"/>
      <c r="Q95" s="1096"/>
      <c r="R95" s="1095"/>
      <c r="S95" s="1095"/>
      <c r="T95" s="1095"/>
      <c r="U95" s="1095"/>
      <c r="V95" s="1096"/>
      <c r="W95" s="1095"/>
      <c r="X95" s="1095"/>
      <c r="Y95" s="1095"/>
      <c r="Z95" s="1095"/>
      <c r="AA95" s="1096"/>
      <c r="AB95" s="1095"/>
      <c r="AC95" s="1095"/>
      <c r="AD95" s="1095"/>
      <c r="AE95" s="1095"/>
      <c r="AF95" s="1096"/>
      <c r="AG95" s="1095"/>
      <c r="AH95" s="1095"/>
      <c r="AI95" s="1095"/>
      <c r="AJ95" s="1095"/>
      <c r="AK95" s="1096"/>
      <c r="AL95" s="1095"/>
      <c r="AM95" s="1095"/>
      <c r="AN95" s="1095"/>
      <c r="AO95" s="1095"/>
      <c r="AP95" s="1096"/>
      <c r="AQ95" s="1095"/>
      <c r="AR95" s="1095"/>
      <c r="AS95" s="1095"/>
      <c r="AT95" s="1095"/>
      <c r="AU95" s="1069"/>
      <c r="AV95" s="1095"/>
      <c r="AW95" s="1095"/>
      <c r="AX95" s="1095"/>
      <c r="AY95" s="1095"/>
      <c r="AZ95" s="1069"/>
      <c r="BA95" s="1095"/>
      <c r="BB95" s="1095"/>
      <c r="BC95" s="1095"/>
      <c r="BD95" s="1095"/>
      <c r="BE95" s="1069"/>
      <c r="BF95" s="2828"/>
      <c r="BG95" s="1070"/>
      <c r="BH95" s="1070"/>
      <c r="BI95" s="2829"/>
      <c r="BJ95" s="1069"/>
      <c r="BK95" s="2828"/>
      <c r="BL95" s="1070"/>
      <c r="BM95" s="1070"/>
      <c r="BN95" s="2829"/>
      <c r="BO95" s="1069"/>
      <c r="BP95" s="2828"/>
      <c r="BQ95" s="1070"/>
      <c r="BR95" s="1070"/>
      <c r="BS95" s="2829"/>
      <c r="BT95" s="1069"/>
      <c r="BU95" s="1069"/>
      <c r="BV95" s="1069"/>
      <c r="BW95" s="1069"/>
      <c r="BX95" s="1069"/>
      <c r="BY95" s="1069"/>
      <c r="BZ95" s="1069"/>
      <c r="CA95" s="1069"/>
      <c r="CB95" s="1069"/>
    </row>
    <row r="96" spans="1:80" ht="12" customHeight="1">
      <c r="A96" s="2" t="s">
        <v>526</v>
      </c>
      <c r="B96" s="2"/>
      <c r="C96" s="1072">
        <f>BYD!D430</f>
        <v>28.874037919999999</v>
      </c>
      <c r="D96" s="1072">
        <f>BYD!E430</f>
        <v>26.128211199999999</v>
      </c>
      <c r="E96" s="1097">
        <f>BYD!F430-5</f>
        <v>22.507506880000001</v>
      </c>
      <c r="F96" s="1097">
        <f>BYD!G430-5</f>
        <v>18.378301239999999</v>
      </c>
      <c r="G96" s="1098">
        <f>SUM(C96:F96)</f>
        <v>95.888057240000009</v>
      </c>
      <c r="H96" s="1097">
        <f>BYD!I430-9</f>
        <v>20.456009099999999</v>
      </c>
      <c r="I96" s="1097">
        <f>BYD!J430-9</f>
        <v>17.784110990000002</v>
      </c>
      <c r="J96" s="1097">
        <f>BYD!K430*0.75</f>
        <v>20.634363750000002</v>
      </c>
      <c r="K96" s="1097">
        <f>BYD!L430*0.75</f>
        <v>20.074722000000001</v>
      </c>
      <c r="L96" s="1098">
        <f>SUM(H96:K96)</f>
        <v>78.949205840000019</v>
      </c>
      <c r="M96" s="1097">
        <f>BYD!N430*0.75</f>
        <v>23.426280000000002</v>
      </c>
      <c r="N96" s="1097">
        <f>BYD!O430*0.75</f>
        <v>22.170848700000001</v>
      </c>
      <c r="O96" s="1097">
        <f>BYD!P430*0.75</f>
        <v>23.039519520000002</v>
      </c>
      <c r="P96" s="1097">
        <f>BYD!Q430*0.75</f>
        <v>21.021905700000005</v>
      </c>
      <c r="Q96" s="1098">
        <f>BYD!R430*0.75</f>
        <v>89.658553920000003</v>
      </c>
      <c r="R96" s="1097">
        <f>BYD!S430*0.75</f>
        <v>22.344979949999999</v>
      </c>
      <c r="S96" s="1097">
        <f>BYD!T430*0.75</f>
        <v>21.825862694999998</v>
      </c>
      <c r="T96" s="1097">
        <f>BYD!U430*0.75</f>
        <v>22.396352580000002</v>
      </c>
      <c r="U96" s="1097">
        <f>BYD!V430*0.75</f>
        <v>20.1147144</v>
      </c>
      <c r="V96" s="1098">
        <f>BYD!W430*0.75</f>
        <v>86.681909625000003</v>
      </c>
      <c r="W96" s="1097">
        <f>BYD!X430*0.75</f>
        <v>21.718740225000001</v>
      </c>
      <c r="X96" s="1097">
        <f>BYD!Y430*0.75</f>
        <v>19.889647050000001</v>
      </c>
      <c r="Y96" s="1097">
        <f>BYD!Z430*0.75</f>
        <v>20.528534999999998</v>
      </c>
      <c r="Z96" s="1097">
        <f>BYD!AA430*0.75</f>
        <v>18.046792679999999</v>
      </c>
      <c r="AA96" s="1098">
        <f>BYD!AB430*0.75</f>
        <v>80.183714954999999</v>
      </c>
      <c r="AB96" s="1097">
        <f>BYD!AC430*0.75</f>
        <v>19.696194900000002</v>
      </c>
      <c r="AC96" s="1097">
        <f>BYD!AD430*0.75</f>
        <v>19.03547919</v>
      </c>
      <c r="AD96" s="1097">
        <f>BYD!AE430*0.75</f>
        <v>19.302934919999998</v>
      </c>
      <c r="AE96" s="1097">
        <f>BYD!AF430*0.75</f>
        <v>16.865335349999999</v>
      </c>
      <c r="AF96" s="1098">
        <f>BYD!AG430*0.75</f>
        <v>74.899944360000006</v>
      </c>
      <c r="AG96" s="1097">
        <f>BYD!AH430*0.75</f>
        <v>18.014418827422251</v>
      </c>
      <c r="AH96" s="1097">
        <f>BYD!AI430*0.75</f>
        <v>17.956603123371707</v>
      </c>
      <c r="AI96" s="1097">
        <f>BYD!AJ430*0.75</f>
        <v>18.433848963812075</v>
      </c>
      <c r="AJ96" s="1097">
        <f>BYD!AK430*0.75</f>
        <v>16.38433842799413</v>
      </c>
      <c r="AK96" s="1098">
        <f>BYD!AL430*0.75</f>
        <v>70.789209342600159</v>
      </c>
      <c r="AL96" s="1097">
        <f>BYD!AM430*0.75</f>
        <v>18.014418827422251</v>
      </c>
      <c r="AM96" s="1097">
        <f>BYD!AN430*0.75</f>
        <v>13.46745234252878</v>
      </c>
      <c r="AN96" s="1097">
        <f>BYD!AO430*0.75</f>
        <v>18.065171984535834</v>
      </c>
      <c r="AO96" s="1097">
        <f>BYD!AP430*0.75</f>
        <v>16.056651659434248</v>
      </c>
      <c r="AP96" s="1098">
        <f>BYD!AQ430*0.75</f>
        <v>65.603694813921109</v>
      </c>
      <c r="AQ96" s="1097">
        <f>BYD!AR430*0.75</f>
        <v>18.014418827422251</v>
      </c>
      <c r="AR96" s="1097">
        <f>BYD!AS430*0.75</f>
        <v>17.507688045287413</v>
      </c>
      <c r="AS96" s="1097">
        <f>BYD!AT430*0.75</f>
        <v>17.523216824999757</v>
      </c>
      <c r="AT96" s="1097">
        <f>BYD!AU430*0.75</f>
        <v>15.735518626245563</v>
      </c>
      <c r="AU96" s="1098">
        <f>BYD!AV430*0.75</f>
        <v>68.780842323954971</v>
      </c>
      <c r="AV96" s="1097">
        <f>BYD!AW430*0.75</f>
        <v>17.113697886051138</v>
      </c>
      <c r="AW96" s="1097">
        <f>BYD!AX430*0.75</f>
        <v>16.982457403928791</v>
      </c>
      <c r="AX96" s="1097">
        <f>BYD!AY430*0.75</f>
        <v>16.997520320249766</v>
      </c>
      <c r="AY96" s="1097">
        <f>BYD!AZ430*0.75</f>
        <v>15.263453067458194</v>
      </c>
      <c r="AZ96" s="1098">
        <f>BYD!BA430*0.75</f>
        <v>66.357128677687896</v>
      </c>
      <c r="BA96" s="1097">
        <f>BYD!BB430*0.75</f>
        <v>15.915739034027558</v>
      </c>
      <c r="BB96" s="1097">
        <f>BYD!BC430*0.75</f>
        <v>15.793685385653774</v>
      </c>
      <c r="BC96" s="1097">
        <f>BYD!BD430*0.75</f>
        <v>16.147644304237279</v>
      </c>
      <c r="BD96" s="1097">
        <f>BYD!BE430*0.75</f>
        <v>14.958184006109033</v>
      </c>
      <c r="BE96" s="1098">
        <f>BYD!BF430*0.75</f>
        <v>62.815252730027638</v>
      </c>
      <c r="BF96" s="2845">
        <f>BYD!BG430*0.75</f>
        <v>15.756581643687284</v>
      </c>
      <c r="BG96" s="1133">
        <f>BYD!BH430*0.75</f>
        <v>15.793685385653774</v>
      </c>
      <c r="BH96" s="1133">
        <f>BYD!BI430*0.75</f>
        <v>15.986167861194904</v>
      </c>
      <c r="BI96" s="1134">
        <f>BYD!BJ430*0.75</f>
        <v>15.257347686231213</v>
      </c>
      <c r="BJ96" s="1098">
        <f>BYD!BK430*0.75</f>
        <v>62.793782576767178</v>
      </c>
      <c r="BK96" s="2845">
        <f>BYD!BL430*0.75</f>
        <v>15.914147460124155</v>
      </c>
      <c r="BL96" s="1133">
        <f>BYD!BM430*0.75</f>
        <v>15.793685385653774</v>
      </c>
      <c r="BM96" s="1133">
        <f>BYD!BN430*0.75</f>
        <v>15.826306182582957</v>
      </c>
      <c r="BN96" s="1134">
        <f>BYD!BO430*0.75</f>
        <v>14.799627255644275</v>
      </c>
      <c r="BO96" s="1098">
        <f>BYD!BP430*0.75</f>
        <v>62.333766284005165</v>
      </c>
      <c r="BP96" s="2845">
        <f>BYD!BQ430*0.75</f>
        <v>15.118440087117946</v>
      </c>
      <c r="BQ96" s="1133">
        <f>BYD!BR430*0.75</f>
        <v>15.004001116371086</v>
      </c>
      <c r="BR96" s="1133">
        <f>BYD!BS430*0.75</f>
        <v>15.034990873453808</v>
      </c>
      <c r="BS96" s="1134">
        <f>BYD!BT430*0.75</f>
        <v>15.021621664478939</v>
      </c>
      <c r="BT96" s="1098">
        <f>BYD!BU430*0.75</f>
        <v>60.179053741421768</v>
      </c>
      <c r="BU96" s="1098">
        <f>BYD!BZ430*0.75</f>
        <v>61.081739547543094</v>
      </c>
      <c r="BV96" s="1098">
        <f>BYD!CA430*0.75</f>
        <v>61.692556943018531</v>
      </c>
      <c r="BW96" s="1098">
        <f>BYD!CB430*0.75</f>
        <v>61.692556943018531</v>
      </c>
      <c r="BX96" s="1098">
        <f>BYD!CC430*0.75</f>
        <v>58.607929095867604</v>
      </c>
      <c r="BY96" s="1098">
        <f>BYD!CD430*0.75</f>
        <v>55.677532641074222</v>
      </c>
      <c r="BZ96" s="1098">
        <f>BYD!CE430*0.75</f>
        <v>56.79108329389571</v>
      </c>
      <c r="CA96" s="1098">
        <f>BYD!CF430*0.75</f>
        <v>57.926904959773623</v>
      </c>
      <c r="CB96" s="1098">
        <f>BYD!CG430*0.75</f>
        <v>59.085443058969098</v>
      </c>
    </row>
    <row r="97" spans="1:80" ht="12" customHeight="1">
      <c r="A97" s="2"/>
      <c r="B97" s="2"/>
      <c r="C97" s="402"/>
      <c r="D97" s="402"/>
      <c r="E97" s="402"/>
      <c r="F97" s="1099"/>
      <c r="G97" s="1100"/>
      <c r="H97" s="1099"/>
      <c r="I97" s="1099"/>
      <c r="J97" s="1099"/>
      <c r="K97" s="1099"/>
      <c r="L97" s="1100"/>
      <c r="M97" s="1099"/>
      <c r="N97" s="1099"/>
      <c r="O97" s="1099"/>
      <c r="P97" s="1099"/>
      <c r="Q97" s="1100"/>
      <c r="R97" s="1099"/>
      <c r="S97" s="1099"/>
      <c r="T97" s="1099"/>
      <c r="U97" s="1099"/>
      <c r="V97" s="1100"/>
      <c r="W97" s="1099"/>
      <c r="X97" s="1099"/>
      <c r="Y97" s="1099"/>
      <c r="Z97" s="1099"/>
      <c r="AA97" s="1100"/>
      <c r="AB97" s="1099"/>
      <c r="AC97" s="1099"/>
      <c r="AD97" s="1099"/>
      <c r="AE97" s="1099"/>
      <c r="AF97" s="1100"/>
      <c r="AG97" s="1099"/>
      <c r="AH97" s="1099"/>
      <c r="AI97" s="1099"/>
      <c r="AJ97" s="1099"/>
      <c r="AK97" s="1100"/>
      <c r="AL97" s="1099"/>
      <c r="AM97" s="1099"/>
      <c r="AN97" s="1099"/>
      <c r="AO97" s="1099"/>
      <c r="AP97" s="1100"/>
      <c r="AQ97" s="1099"/>
      <c r="AR97" s="1099"/>
      <c r="AS97" s="1099"/>
      <c r="AT97" s="1099"/>
      <c r="AU97" s="1100"/>
      <c r="AV97" s="1099"/>
      <c r="AW97" s="1099"/>
      <c r="AX97" s="1099"/>
      <c r="AY97" s="1099"/>
      <c r="AZ97" s="1100"/>
      <c r="BA97" s="1099"/>
      <c r="BB97" s="1099"/>
      <c r="BC97" s="1099"/>
      <c r="BD97" s="1099"/>
      <c r="BE97" s="1100"/>
      <c r="BF97" s="2846"/>
      <c r="BG97" s="1099"/>
      <c r="BH97" s="1099"/>
      <c r="BI97" s="2847"/>
      <c r="BJ97" s="1100"/>
      <c r="BK97" s="2846"/>
      <c r="BL97" s="1099"/>
      <c r="BM97" s="1099"/>
      <c r="BN97" s="2847"/>
      <c r="BO97" s="1100"/>
      <c r="BP97" s="2846"/>
      <c r="BQ97" s="1099"/>
      <c r="BR97" s="1099"/>
      <c r="BS97" s="2847"/>
      <c r="BT97" s="1100"/>
      <c r="BU97" s="1100"/>
      <c r="BV97" s="1100"/>
      <c r="BW97" s="1100"/>
      <c r="BX97" s="1100"/>
      <c r="BY97" s="1100"/>
      <c r="BZ97" s="1100"/>
      <c r="CA97" s="1100"/>
      <c r="CB97" s="1100"/>
    </row>
    <row r="98" spans="1:80" ht="12" customHeight="1">
      <c r="A98" s="2" t="s">
        <v>1346</v>
      </c>
      <c r="B98" s="2"/>
      <c r="C98" s="1082">
        <f>C96*C93</f>
        <v>3.4648845503999999</v>
      </c>
      <c r="D98" s="1082">
        <f>D96*D93</f>
        <v>3.1353853439999999</v>
      </c>
      <c r="E98" s="1082">
        <f>E96*E93</f>
        <v>2.7009008256000002</v>
      </c>
      <c r="F98" s="1082">
        <f>F96*F93</f>
        <v>2.2053961487999998</v>
      </c>
      <c r="G98" s="1081">
        <f>G96*G93</f>
        <v>11.5065668688</v>
      </c>
      <c r="H98" s="1082">
        <f t="shared" ref="H98:Q98" si="88">H96*H93</f>
        <v>2.4547210919999998</v>
      </c>
      <c r="I98" s="1082">
        <f t="shared" si="88"/>
        <v>2.1340933188000002</v>
      </c>
      <c r="J98" s="1082">
        <f t="shared" si="88"/>
        <v>2.4761236500000003</v>
      </c>
      <c r="K98" s="1082">
        <f t="shared" si="88"/>
        <v>2.40896664</v>
      </c>
      <c r="L98" s="1081">
        <f t="shared" si="88"/>
        <v>9.4739047008000021</v>
      </c>
      <c r="M98" s="1082">
        <f t="shared" si="88"/>
        <v>2.8111535999999999</v>
      </c>
      <c r="N98" s="1082">
        <f t="shared" si="88"/>
        <v>2.6605018440000001</v>
      </c>
      <c r="O98" s="1082">
        <f t="shared" si="88"/>
        <v>2.7647423424000004</v>
      </c>
      <c r="P98" s="1082">
        <f t="shared" si="88"/>
        <v>2.5226286840000003</v>
      </c>
      <c r="Q98" s="1081">
        <f t="shared" si="88"/>
        <v>10.7590264704</v>
      </c>
      <c r="R98" s="1082">
        <f t="shared" ref="R98:AB98" si="89">R96*R93</f>
        <v>2.6813975939999999</v>
      </c>
      <c r="S98" s="1082">
        <f t="shared" si="89"/>
        <v>2.6191035233999997</v>
      </c>
      <c r="T98" s="1082">
        <f t="shared" si="89"/>
        <v>2.6875623096000001</v>
      </c>
      <c r="U98" s="1082">
        <f t="shared" si="89"/>
        <v>2.413765728</v>
      </c>
      <c r="V98" s="1081">
        <f t="shared" si="89"/>
        <v>10.401829155</v>
      </c>
      <c r="W98" s="1082">
        <f t="shared" si="89"/>
        <v>2.6062488269999999</v>
      </c>
      <c r="X98" s="1082">
        <f t="shared" si="89"/>
        <v>2.386757646</v>
      </c>
      <c r="Y98" s="1082">
        <f t="shared" si="89"/>
        <v>2.4634241999999995</v>
      </c>
      <c r="Z98" s="1082">
        <f t="shared" si="89"/>
        <v>2.1656151215999997</v>
      </c>
      <c r="AA98" s="1081">
        <f t="shared" si="89"/>
        <v>9.6220457946</v>
      </c>
      <c r="AB98" s="1082">
        <f t="shared" si="89"/>
        <v>2.3635433880000001</v>
      </c>
      <c r="AC98" s="1082">
        <f t="shared" ref="AC98:AP98" si="90">AC96*AC93</f>
        <v>2.2842575028000001</v>
      </c>
      <c r="AD98" s="1082">
        <f t="shared" si="90"/>
        <v>2.3163521903999995</v>
      </c>
      <c r="AE98" s="1082">
        <f t="shared" si="90"/>
        <v>2.0238402419999999</v>
      </c>
      <c r="AF98" s="1081">
        <f t="shared" si="90"/>
        <v>8.9879933231999996</v>
      </c>
      <c r="AG98" s="1082">
        <f t="shared" si="90"/>
        <v>2.1617302592906702</v>
      </c>
      <c r="AH98" s="1082">
        <f t="shared" si="90"/>
        <v>2.1547923748046047</v>
      </c>
      <c r="AI98" s="1082">
        <f t="shared" si="90"/>
        <v>2.2120618756574491</v>
      </c>
      <c r="AJ98" s="1082">
        <f t="shared" si="90"/>
        <v>1.9661206113592955</v>
      </c>
      <c r="AK98" s="1081">
        <f t="shared" si="90"/>
        <v>8.4947051211120197</v>
      </c>
      <c r="AL98" s="1082">
        <f t="shared" si="90"/>
        <v>2.1617302592906702</v>
      </c>
      <c r="AM98" s="1082">
        <f t="shared" si="90"/>
        <v>1.6160942811034535</v>
      </c>
      <c r="AN98" s="1082">
        <f t="shared" si="90"/>
        <v>2.1678206381442999</v>
      </c>
      <c r="AO98" s="1082">
        <f t="shared" si="90"/>
        <v>1.9267981991321097</v>
      </c>
      <c r="AP98" s="1081">
        <f t="shared" si="90"/>
        <v>7.8724433776705327</v>
      </c>
      <c r="AQ98" s="1082">
        <f t="shared" ref="AQ98:BW98" si="91">AQ96*AQ93</f>
        <v>2.1617302592906702</v>
      </c>
      <c r="AR98" s="1082">
        <f t="shared" si="91"/>
        <v>2.1009225654344896</v>
      </c>
      <c r="AS98" s="1082">
        <f t="shared" si="91"/>
        <v>2.102786018999971</v>
      </c>
      <c r="AT98" s="1082">
        <f t="shared" si="91"/>
        <v>1.8882622351494676</v>
      </c>
      <c r="AU98" s="1081">
        <f t="shared" si="91"/>
        <v>8.253701078874597</v>
      </c>
      <c r="AV98" s="1082">
        <f t="shared" si="91"/>
        <v>2.0536437463261366</v>
      </c>
      <c r="AW98" s="1082">
        <f t="shared" si="91"/>
        <v>2.0378948884714547</v>
      </c>
      <c r="AX98" s="1082">
        <f t="shared" si="91"/>
        <v>2.039702438429972</v>
      </c>
      <c r="AY98" s="1082">
        <f t="shared" si="91"/>
        <v>1.8316143680949832</v>
      </c>
      <c r="AZ98" s="1081">
        <f t="shared" si="91"/>
        <v>7.9628554413225476</v>
      </c>
      <c r="BA98" s="1082">
        <f t="shared" si="91"/>
        <v>1.9098886840833069</v>
      </c>
      <c r="BB98" s="1082">
        <f t="shared" si="91"/>
        <v>1.8952422462784528</v>
      </c>
      <c r="BC98" s="1082">
        <f t="shared" si="91"/>
        <v>1.9377173165084733</v>
      </c>
      <c r="BD98" s="1082">
        <f t="shared" si="91"/>
        <v>1.7949820807330839</v>
      </c>
      <c r="BE98" s="1081">
        <f t="shared" si="91"/>
        <v>7.5378303276033165</v>
      </c>
      <c r="BF98" s="2833">
        <f t="shared" ref="BF98:BO98" si="92">BF96*BF93</f>
        <v>1.8907897972424739</v>
      </c>
      <c r="BG98" s="292">
        <f t="shared" si="92"/>
        <v>1.8952422462784528</v>
      </c>
      <c r="BH98" s="292">
        <f t="shared" si="92"/>
        <v>1.9183401433433884</v>
      </c>
      <c r="BI98" s="1112">
        <f t="shared" si="92"/>
        <v>1.8308817223477456</v>
      </c>
      <c r="BJ98" s="1081">
        <f t="shared" si="92"/>
        <v>7.5352539092120612</v>
      </c>
      <c r="BK98" s="2833">
        <f t="shared" si="92"/>
        <v>1.9096976952148985</v>
      </c>
      <c r="BL98" s="292">
        <f t="shared" si="92"/>
        <v>1.8952422462784528</v>
      </c>
      <c r="BM98" s="292">
        <f t="shared" si="92"/>
        <v>1.8991567419099549</v>
      </c>
      <c r="BN98" s="1112">
        <f t="shared" si="92"/>
        <v>1.775955270677313</v>
      </c>
      <c r="BO98" s="1081">
        <f t="shared" si="92"/>
        <v>7.4800519540806194</v>
      </c>
      <c r="BP98" s="2833">
        <f>BP96*BP93</f>
        <v>1.8142128104541535</v>
      </c>
      <c r="BQ98" s="292">
        <f>BQ96*BQ93</f>
        <v>1.8004801339645302</v>
      </c>
      <c r="BR98" s="292">
        <f>BR96*BR93</f>
        <v>1.8041989048144569</v>
      </c>
      <c r="BS98" s="1112">
        <f>BS96*BS93</f>
        <v>1.8025945997374726</v>
      </c>
      <c r="BT98" s="1081">
        <f>BT96*BT93</f>
        <v>7.2214864489706123</v>
      </c>
      <c r="BU98" s="1081">
        <f t="shared" si="91"/>
        <v>7.3298087457051713</v>
      </c>
      <c r="BV98" s="1081">
        <f t="shared" si="91"/>
        <v>7.403106833162223</v>
      </c>
      <c r="BW98" s="1081">
        <f t="shared" si="91"/>
        <v>7.403106833162223</v>
      </c>
      <c r="BX98" s="1081">
        <f>BX96*BX93</f>
        <v>7.0329514915041118</v>
      </c>
      <c r="BY98" s="1081">
        <f>BY96*BY93</f>
        <v>6.6813039169289068</v>
      </c>
      <c r="BZ98" s="1081">
        <f>BZ96*BZ93</f>
        <v>6.8149299952674847</v>
      </c>
      <c r="CA98" s="1081">
        <f>CA96*CA93</f>
        <v>6.9512285951728341</v>
      </c>
      <c r="CB98" s="1081">
        <f>CB96*CB93</f>
        <v>7.0902531670762912</v>
      </c>
    </row>
    <row r="99" spans="1:80" ht="5.25" customHeight="1">
      <c r="A99" s="2"/>
      <c r="B99" s="2"/>
      <c r="C99" s="564" t="s">
        <v>1226</v>
      </c>
      <c r="D99" s="564" t="s">
        <v>1226</v>
      </c>
      <c r="E99" s="564" t="s">
        <v>1226</v>
      </c>
      <c r="F99" s="564" t="s">
        <v>1226</v>
      </c>
      <c r="G99" s="736" t="s">
        <v>1226</v>
      </c>
      <c r="H99" s="564" t="s">
        <v>1226</v>
      </c>
      <c r="I99" s="564" t="s">
        <v>1226</v>
      </c>
      <c r="J99" s="564" t="s">
        <v>1226</v>
      </c>
      <c r="K99" s="564" t="s">
        <v>1226</v>
      </c>
      <c r="L99" s="736" t="s">
        <v>1226</v>
      </c>
      <c r="M99" s="564" t="s">
        <v>1226</v>
      </c>
      <c r="N99" s="564" t="s">
        <v>1226</v>
      </c>
      <c r="O99" s="564" t="s">
        <v>1226</v>
      </c>
      <c r="P99" s="564" t="s">
        <v>1226</v>
      </c>
      <c r="Q99" s="736" t="s">
        <v>1226</v>
      </c>
      <c r="R99" s="564" t="s">
        <v>1226</v>
      </c>
      <c r="S99" s="564" t="s">
        <v>1226</v>
      </c>
      <c r="T99" s="564" t="s">
        <v>1226</v>
      </c>
      <c r="U99" s="564" t="s">
        <v>1226</v>
      </c>
      <c r="V99" s="736" t="s">
        <v>1226</v>
      </c>
      <c r="W99" s="564" t="s">
        <v>1226</v>
      </c>
      <c r="X99" s="564" t="s">
        <v>1226</v>
      </c>
      <c r="Y99" s="564" t="s">
        <v>1226</v>
      </c>
      <c r="Z99" s="564" t="s">
        <v>1226</v>
      </c>
      <c r="AA99" s="736" t="s">
        <v>1226</v>
      </c>
      <c r="AB99" s="564" t="s">
        <v>1226</v>
      </c>
      <c r="AC99" s="564" t="s">
        <v>1226</v>
      </c>
      <c r="AD99" s="564" t="s">
        <v>1226</v>
      </c>
      <c r="AE99" s="564" t="s">
        <v>1226</v>
      </c>
      <c r="AF99" s="736" t="s">
        <v>1226</v>
      </c>
      <c r="AG99" s="564" t="s">
        <v>1226</v>
      </c>
      <c r="AH99" s="564" t="s">
        <v>1226</v>
      </c>
      <c r="AI99" s="564" t="s">
        <v>1226</v>
      </c>
      <c r="AJ99" s="564" t="s">
        <v>1226</v>
      </c>
      <c r="AK99" s="736" t="s">
        <v>1226</v>
      </c>
      <c r="AL99" s="564" t="s">
        <v>1226</v>
      </c>
      <c r="AM99" s="564" t="s">
        <v>1226</v>
      </c>
      <c r="AN99" s="564" t="s">
        <v>1226</v>
      </c>
      <c r="AO99" s="564" t="s">
        <v>1226</v>
      </c>
      <c r="AP99" s="736" t="s">
        <v>1226</v>
      </c>
      <c r="AQ99" s="564" t="s">
        <v>1226</v>
      </c>
      <c r="AR99" s="564" t="s">
        <v>1226</v>
      </c>
      <c r="AS99" s="564" t="s">
        <v>1226</v>
      </c>
      <c r="AT99" s="564" t="s">
        <v>1226</v>
      </c>
      <c r="AU99" s="736" t="s">
        <v>1226</v>
      </c>
      <c r="AV99" s="564" t="s">
        <v>1226</v>
      </c>
      <c r="AW99" s="564" t="s">
        <v>1226</v>
      </c>
      <c r="AX99" s="564" t="s">
        <v>1226</v>
      </c>
      <c r="AY99" s="564" t="s">
        <v>1226</v>
      </c>
      <c r="AZ99" s="736" t="s">
        <v>1226</v>
      </c>
      <c r="BA99" s="564" t="s">
        <v>1226</v>
      </c>
      <c r="BB99" s="564" t="s">
        <v>1226</v>
      </c>
      <c r="BC99" s="564" t="s">
        <v>1226</v>
      </c>
      <c r="BD99" s="564" t="s">
        <v>1226</v>
      </c>
      <c r="BE99" s="736" t="s">
        <v>1226</v>
      </c>
      <c r="BF99" s="734" t="s">
        <v>1226</v>
      </c>
      <c r="BG99" s="564" t="s">
        <v>1226</v>
      </c>
      <c r="BH99" s="564" t="s">
        <v>1226</v>
      </c>
      <c r="BI99" s="1789" t="s">
        <v>1226</v>
      </c>
      <c r="BJ99" s="736" t="s">
        <v>1226</v>
      </c>
      <c r="BK99" s="734" t="s">
        <v>1226</v>
      </c>
      <c r="BL99" s="564" t="s">
        <v>1226</v>
      </c>
      <c r="BM99" s="564" t="s">
        <v>1226</v>
      </c>
      <c r="BN99" s="1789" t="s">
        <v>1226</v>
      </c>
      <c r="BO99" s="736" t="s">
        <v>1226</v>
      </c>
      <c r="BP99" s="734" t="s">
        <v>1226</v>
      </c>
      <c r="BQ99" s="564" t="s">
        <v>1226</v>
      </c>
      <c r="BR99" s="564" t="s">
        <v>1226</v>
      </c>
      <c r="BS99" s="1789" t="s">
        <v>1226</v>
      </c>
      <c r="BT99" s="736" t="s">
        <v>1226</v>
      </c>
      <c r="BU99" s="736" t="s">
        <v>1226</v>
      </c>
      <c r="BV99" s="736" t="s">
        <v>1226</v>
      </c>
      <c r="BW99" s="736" t="s">
        <v>1226</v>
      </c>
      <c r="BX99" s="736" t="s">
        <v>1226</v>
      </c>
      <c r="BY99" s="736" t="s">
        <v>1226</v>
      </c>
      <c r="BZ99" s="736" t="s">
        <v>1226</v>
      </c>
      <c r="CA99" s="736" t="s">
        <v>1226</v>
      </c>
      <c r="CB99" s="736" t="s">
        <v>1226</v>
      </c>
    </row>
    <row r="100" spans="1:80" ht="12" customHeight="1">
      <c r="A100" s="2" t="s">
        <v>1352</v>
      </c>
      <c r="B100" s="2"/>
      <c r="C100" s="1072">
        <f t="shared" ref="C100:Q100" si="93">SUM(C98:C99)</f>
        <v>3.4648845503999999</v>
      </c>
      <c r="D100" s="1072">
        <f t="shared" si="93"/>
        <v>3.1353853439999999</v>
      </c>
      <c r="E100" s="1072">
        <f t="shared" si="93"/>
        <v>2.7009008256000002</v>
      </c>
      <c r="F100" s="1072">
        <f t="shared" si="93"/>
        <v>2.2053961487999998</v>
      </c>
      <c r="G100" s="1073">
        <f t="shared" si="93"/>
        <v>11.5065668688</v>
      </c>
      <c r="H100" s="1072">
        <f t="shared" si="93"/>
        <v>2.4547210919999998</v>
      </c>
      <c r="I100" s="1072">
        <f t="shared" si="93"/>
        <v>2.1340933188000002</v>
      </c>
      <c r="J100" s="1072">
        <f t="shared" si="93"/>
        <v>2.4761236500000003</v>
      </c>
      <c r="K100" s="1072">
        <f t="shared" si="93"/>
        <v>2.40896664</v>
      </c>
      <c r="L100" s="1073">
        <f t="shared" si="93"/>
        <v>9.4739047008000021</v>
      </c>
      <c r="M100" s="1072">
        <f t="shared" si="93"/>
        <v>2.8111535999999999</v>
      </c>
      <c r="N100" s="1072">
        <f t="shared" si="93"/>
        <v>2.6605018440000001</v>
      </c>
      <c r="O100" s="1072">
        <f t="shared" si="93"/>
        <v>2.7647423424000004</v>
      </c>
      <c r="P100" s="1072">
        <f t="shared" si="93"/>
        <v>2.5226286840000003</v>
      </c>
      <c r="Q100" s="1073">
        <f t="shared" si="93"/>
        <v>10.7590264704</v>
      </c>
      <c r="R100" s="1072">
        <f t="shared" ref="R100:AA100" si="94">SUM(R98:R99)</f>
        <v>2.6813975939999999</v>
      </c>
      <c r="S100" s="1072">
        <f t="shared" si="94"/>
        <v>2.6191035233999997</v>
      </c>
      <c r="T100" s="1072">
        <f t="shared" si="94"/>
        <v>2.6875623096000001</v>
      </c>
      <c r="U100" s="1072">
        <f t="shared" si="94"/>
        <v>2.413765728</v>
      </c>
      <c r="V100" s="1073">
        <f t="shared" si="94"/>
        <v>10.401829155</v>
      </c>
      <c r="W100" s="1072">
        <f t="shared" si="94"/>
        <v>2.6062488269999999</v>
      </c>
      <c r="X100" s="1072">
        <f t="shared" si="94"/>
        <v>2.386757646</v>
      </c>
      <c r="Y100" s="1072">
        <f t="shared" si="94"/>
        <v>2.4634241999999995</v>
      </c>
      <c r="Z100" s="1072">
        <f t="shared" si="94"/>
        <v>2.1656151215999997</v>
      </c>
      <c r="AA100" s="1073">
        <f t="shared" si="94"/>
        <v>9.6220457946</v>
      </c>
      <c r="AB100" s="1072">
        <f t="shared" ref="AB100:AP100" si="95">SUM(AB98:AB99)</f>
        <v>2.3635433880000001</v>
      </c>
      <c r="AC100" s="1072">
        <f t="shared" si="95"/>
        <v>2.2842575028000001</v>
      </c>
      <c r="AD100" s="1072">
        <f t="shared" si="95"/>
        <v>2.3163521903999995</v>
      </c>
      <c r="AE100" s="1072">
        <f t="shared" si="95"/>
        <v>2.0238402419999999</v>
      </c>
      <c r="AF100" s="1073">
        <f t="shared" si="95"/>
        <v>8.9879933231999996</v>
      </c>
      <c r="AG100" s="1072">
        <f t="shared" si="95"/>
        <v>2.1617302592906702</v>
      </c>
      <c r="AH100" s="1072">
        <f t="shared" si="95"/>
        <v>2.1547923748046047</v>
      </c>
      <c r="AI100" s="1072">
        <f t="shared" si="95"/>
        <v>2.2120618756574491</v>
      </c>
      <c r="AJ100" s="1072">
        <f t="shared" si="95"/>
        <v>1.9661206113592955</v>
      </c>
      <c r="AK100" s="1073">
        <f t="shared" si="95"/>
        <v>8.4947051211120197</v>
      </c>
      <c r="AL100" s="1072">
        <f t="shared" si="95"/>
        <v>2.1617302592906702</v>
      </c>
      <c r="AM100" s="1072">
        <f t="shared" si="95"/>
        <v>1.6160942811034535</v>
      </c>
      <c r="AN100" s="1072">
        <f t="shared" si="95"/>
        <v>2.1678206381442999</v>
      </c>
      <c r="AO100" s="1072">
        <f t="shared" si="95"/>
        <v>1.9267981991321097</v>
      </c>
      <c r="AP100" s="1073">
        <f t="shared" si="95"/>
        <v>7.8724433776705327</v>
      </c>
      <c r="AQ100" s="1072">
        <f t="shared" ref="AQ100:BW100" si="96">SUM(AQ98:AQ99)</f>
        <v>2.1617302592906702</v>
      </c>
      <c r="AR100" s="1072">
        <f t="shared" si="96"/>
        <v>2.1009225654344896</v>
      </c>
      <c r="AS100" s="1072">
        <f t="shared" si="96"/>
        <v>2.102786018999971</v>
      </c>
      <c r="AT100" s="1072">
        <f t="shared" si="96"/>
        <v>1.8882622351494676</v>
      </c>
      <c r="AU100" s="1073">
        <f t="shared" si="96"/>
        <v>8.253701078874597</v>
      </c>
      <c r="AV100" s="1072">
        <f t="shared" si="96"/>
        <v>2.0536437463261366</v>
      </c>
      <c r="AW100" s="1072">
        <f t="shared" si="96"/>
        <v>2.0378948884714547</v>
      </c>
      <c r="AX100" s="1072">
        <f t="shared" si="96"/>
        <v>2.039702438429972</v>
      </c>
      <c r="AY100" s="1072">
        <f t="shared" si="96"/>
        <v>1.8316143680949832</v>
      </c>
      <c r="AZ100" s="1073">
        <f t="shared" si="96"/>
        <v>7.9628554413225476</v>
      </c>
      <c r="BA100" s="1072">
        <f t="shared" si="96"/>
        <v>1.9098886840833069</v>
      </c>
      <c r="BB100" s="1072">
        <f t="shared" si="96"/>
        <v>1.8952422462784528</v>
      </c>
      <c r="BC100" s="1072">
        <f t="shared" si="96"/>
        <v>1.9377173165084733</v>
      </c>
      <c r="BD100" s="1072">
        <f t="shared" si="96"/>
        <v>1.7949820807330839</v>
      </c>
      <c r="BE100" s="1073">
        <f t="shared" si="96"/>
        <v>7.5378303276033165</v>
      </c>
      <c r="BF100" s="2830">
        <f t="shared" ref="BF100:BO100" si="97">SUM(BF98:BF99)</f>
        <v>1.8907897972424739</v>
      </c>
      <c r="BG100" s="402">
        <f t="shared" si="97"/>
        <v>1.8952422462784528</v>
      </c>
      <c r="BH100" s="402">
        <f t="shared" si="97"/>
        <v>1.9183401433433884</v>
      </c>
      <c r="BI100" s="1121">
        <f t="shared" si="97"/>
        <v>1.8308817223477456</v>
      </c>
      <c r="BJ100" s="1073">
        <f t="shared" si="97"/>
        <v>7.5352539092120612</v>
      </c>
      <c r="BK100" s="2830">
        <f t="shared" si="97"/>
        <v>1.9096976952148985</v>
      </c>
      <c r="BL100" s="402">
        <f t="shared" si="97"/>
        <v>1.8952422462784528</v>
      </c>
      <c r="BM100" s="402">
        <f t="shared" si="97"/>
        <v>1.8991567419099549</v>
      </c>
      <c r="BN100" s="1121">
        <f t="shared" si="97"/>
        <v>1.775955270677313</v>
      </c>
      <c r="BO100" s="1073">
        <f t="shared" si="97"/>
        <v>7.4800519540806194</v>
      </c>
      <c r="BP100" s="2830">
        <f>SUM(BP98:BP99)</f>
        <v>1.8142128104541535</v>
      </c>
      <c r="BQ100" s="402">
        <f>SUM(BQ98:BQ99)</f>
        <v>1.8004801339645302</v>
      </c>
      <c r="BR100" s="402">
        <f>SUM(BR98:BR99)</f>
        <v>1.8041989048144569</v>
      </c>
      <c r="BS100" s="1121">
        <f>SUM(BS98:BS99)</f>
        <v>1.8025945997374726</v>
      </c>
      <c r="BT100" s="1073">
        <f>SUM(BT98:BT99)</f>
        <v>7.2214864489706123</v>
      </c>
      <c r="BU100" s="1073">
        <f t="shared" si="96"/>
        <v>7.3298087457051713</v>
      </c>
      <c r="BV100" s="1073">
        <f t="shared" si="96"/>
        <v>7.403106833162223</v>
      </c>
      <c r="BW100" s="1073">
        <f t="shared" si="96"/>
        <v>7.403106833162223</v>
      </c>
      <c r="BX100" s="1073">
        <f>SUM(BX98:BX99)</f>
        <v>7.0329514915041118</v>
      </c>
      <c r="BY100" s="1073">
        <f>SUM(BY98:BY99)</f>
        <v>6.6813039169289068</v>
      </c>
      <c r="BZ100" s="1073">
        <f>SUM(BZ98:BZ99)</f>
        <v>6.8149299952674847</v>
      </c>
      <c r="CA100" s="1073">
        <f>SUM(CA98:CA99)</f>
        <v>6.9512285951728341</v>
      </c>
      <c r="CB100" s="1073">
        <f>SUM(CB98:CB99)</f>
        <v>7.0902531670762912</v>
      </c>
    </row>
    <row r="101" spans="1:80">
      <c r="A101" s="2"/>
      <c r="B101" s="2"/>
      <c r="C101" s="61"/>
      <c r="D101" s="61"/>
      <c r="E101" s="61"/>
      <c r="F101" s="61"/>
      <c r="G101" s="112"/>
      <c r="H101" s="61"/>
      <c r="I101" s="61"/>
      <c r="J101" s="61"/>
      <c r="K101" s="61"/>
      <c r="L101" s="112"/>
      <c r="M101" s="61"/>
      <c r="N101" s="61"/>
      <c r="O101" s="61"/>
      <c r="P101" s="61"/>
      <c r="Q101" s="112"/>
      <c r="R101" s="61"/>
      <c r="S101" s="61"/>
      <c r="T101" s="61"/>
      <c r="U101" s="61"/>
      <c r="V101" s="112"/>
      <c r="W101" s="61"/>
      <c r="X101" s="61"/>
      <c r="Y101" s="61"/>
      <c r="Z101" s="61"/>
      <c r="AA101" s="112"/>
      <c r="AB101" s="61"/>
      <c r="AC101" s="61"/>
      <c r="AD101" s="61"/>
      <c r="AE101" s="61"/>
      <c r="AF101" s="112"/>
      <c r="AG101" s="61"/>
      <c r="AH101" s="61"/>
      <c r="AI101" s="61"/>
      <c r="AJ101" s="61"/>
      <c r="AK101" s="112"/>
      <c r="AL101" s="61"/>
      <c r="AM101" s="61"/>
      <c r="AN101" s="61"/>
      <c r="AO101" s="61"/>
      <c r="AP101" s="112"/>
      <c r="AQ101" s="61"/>
      <c r="AR101" s="61"/>
      <c r="AS101" s="61"/>
      <c r="AT101" s="61"/>
      <c r="AU101" s="112"/>
      <c r="AV101" s="61"/>
      <c r="AW101" s="61"/>
      <c r="AX101" s="61"/>
      <c r="AY101" s="61"/>
      <c r="AZ101" s="112"/>
      <c r="BA101" s="61"/>
      <c r="BB101" s="61"/>
      <c r="BC101" s="61"/>
      <c r="BD101" s="61"/>
      <c r="BE101" s="112"/>
      <c r="BF101" s="59"/>
      <c r="BG101" s="61"/>
      <c r="BH101" s="61"/>
      <c r="BI101" s="60"/>
      <c r="BJ101" s="112"/>
      <c r="BK101" s="59"/>
      <c r="BL101" s="61"/>
      <c r="BM101" s="61"/>
      <c r="BN101" s="60"/>
      <c r="BO101" s="112"/>
      <c r="BP101" s="59"/>
      <c r="BQ101" s="61"/>
      <c r="BR101" s="61"/>
      <c r="BS101" s="60"/>
      <c r="BT101" s="112"/>
      <c r="BU101" s="112"/>
      <c r="BV101" s="112"/>
      <c r="BW101" s="112"/>
      <c r="BX101" s="112"/>
      <c r="BY101" s="112"/>
      <c r="BZ101" s="112"/>
      <c r="CA101" s="112"/>
      <c r="CB101" s="112"/>
    </row>
    <row r="102" spans="1:80">
      <c r="A102" s="2"/>
      <c r="B102" s="2"/>
      <c r="C102" s="61"/>
      <c r="D102" s="61"/>
      <c r="E102" s="61"/>
      <c r="F102" s="61"/>
      <c r="G102" s="112"/>
      <c r="H102" s="61"/>
      <c r="I102" s="61"/>
      <c r="J102" s="61"/>
      <c r="K102" s="61"/>
      <c r="L102" s="112"/>
      <c r="M102" s="61"/>
      <c r="N102" s="61"/>
      <c r="O102" s="61"/>
      <c r="P102" s="61"/>
      <c r="Q102" s="112"/>
      <c r="R102" s="61"/>
      <c r="S102" s="61"/>
      <c r="T102" s="61"/>
      <c r="U102" s="61"/>
      <c r="V102" s="112"/>
      <c r="W102" s="61"/>
      <c r="X102" s="61"/>
      <c r="Y102" s="61"/>
      <c r="Z102" s="61"/>
      <c r="AA102" s="112"/>
      <c r="AB102" s="61"/>
      <c r="AC102" s="61"/>
      <c r="AD102" s="61"/>
      <c r="AE102" s="61"/>
      <c r="AF102" s="112"/>
      <c r="AG102" s="61"/>
      <c r="AH102" s="61"/>
      <c r="AI102" s="61"/>
      <c r="AJ102" s="61"/>
      <c r="AK102" s="112"/>
      <c r="AL102" s="61"/>
      <c r="AM102" s="61"/>
      <c r="AN102" s="61"/>
      <c r="AO102" s="61"/>
      <c r="AP102" s="112"/>
      <c r="AQ102" s="61"/>
      <c r="AR102" s="61"/>
      <c r="AS102" s="61"/>
      <c r="AT102" s="61"/>
      <c r="AU102" s="112"/>
      <c r="AV102" s="61"/>
      <c r="AW102" s="61"/>
      <c r="AX102" s="61"/>
      <c r="AY102" s="61"/>
      <c r="AZ102" s="112"/>
      <c r="BA102" s="61"/>
      <c r="BB102" s="61"/>
      <c r="BC102" s="61"/>
      <c r="BD102" s="61"/>
      <c r="BE102" s="112"/>
      <c r="BF102" s="59"/>
      <c r="BG102" s="61"/>
      <c r="BH102" s="61"/>
      <c r="BI102" s="60"/>
      <c r="BJ102" s="112"/>
      <c r="BK102" s="59"/>
      <c r="BL102" s="61"/>
      <c r="BM102" s="61"/>
      <c r="BN102" s="60"/>
      <c r="BO102" s="112"/>
      <c r="BP102" s="59"/>
      <c r="BQ102" s="61"/>
      <c r="BR102" s="61"/>
      <c r="BS102" s="60"/>
      <c r="BT102" s="112"/>
      <c r="BU102" s="112"/>
      <c r="BV102" s="112"/>
      <c r="BW102" s="112"/>
      <c r="BX102" s="112"/>
      <c r="BY102" s="112"/>
      <c r="BZ102" s="112"/>
      <c r="CA102" s="112"/>
      <c r="CB102" s="112"/>
    </row>
    <row r="103" spans="1:80">
      <c r="A103" s="69" t="s">
        <v>715</v>
      </c>
      <c r="B103" s="69"/>
      <c r="C103" s="61"/>
      <c r="D103" s="61"/>
      <c r="E103" s="61"/>
      <c r="F103" s="61"/>
      <c r="G103" s="112"/>
      <c r="H103" s="61"/>
      <c r="I103" s="61"/>
      <c r="J103" s="61"/>
      <c r="K103" s="61"/>
      <c r="L103" s="112"/>
      <c r="M103" s="61"/>
      <c r="N103" s="61"/>
      <c r="O103" s="61"/>
      <c r="P103" s="61"/>
      <c r="Q103" s="112"/>
      <c r="R103" s="61"/>
      <c r="S103" s="61"/>
      <c r="T103" s="61"/>
      <c r="U103" s="61"/>
      <c r="V103" s="112"/>
      <c r="W103" s="61"/>
      <c r="X103" s="61"/>
      <c r="Y103" s="61"/>
      <c r="Z103" s="61"/>
      <c r="AA103" s="112"/>
      <c r="AB103" s="61"/>
      <c r="AC103" s="61"/>
      <c r="AD103" s="61"/>
      <c r="AE103" s="61"/>
      <c r="AF103" s="112"/>
      <c r="AG103" s="61"/>
      <c r="AH103" s="61"/>
      <c r="AI103" s="61"/>
      <c r="AJ103" s="61"/>
      <c r="AK103" s="112"/>
      <c r="AL103" s="61"/>
      <c r="AM103" s="61"/>
      <c r="AN103" s="61"/>
      <c r="AO103" s="61"/>
      <c r="AP103" s="112"/>
      <c r="AQ103" s="61"/>
      <c r="AR103" s="61"/>
      <c r="AS103" s="61"/>
      <c r="AT103" s="61"/>
      <c r="AU103" s="112"/>
      <c r="AV103" s="61"/>
      <c r="AW103" s="61"/>
      <c r="AX103" s="61"/>
      <c r="AY103" s="61"/>
      <c r="AZ103" s="112"/>
      <c r="BA103" s="61"/>
      <c r="BB103" s="61"/>
      <c r="BC103" s="61"/>
      <c r="BD103" s="61"/>
      <c r="BE103" s="112"/>
      <c r="BF103" s="59"/>
      <c r="BG103" s="61"/>
      <c r="BH103" s="61"/>
      <c r="BI103" s="60"/>
      <c r="BJ103" s="112"/>
      <c r="BK103" s="59"/>
      <c r="BL103" s="61"/>
      <c r="BM103" s="61"/>
      <c r="BN103" s="60"/>
      <c r="BO103" s="112"/>
      <c r="BP103" s="59"/>
      <c r="BQ103" s="61"/>
      <c r="BR103" s="61"/>
      <c r="BS103" s="60"/>
      <c r="BT103" s="112"/>
      <c r="BU103" s="112"/>
      <c r="BV103" s="112"/>
      <c r="BW103" s="112"/>
      <c r="BX103" s="112"/>
      <c r="BY103" s="112"/>
      <c r="BZ103" s="112"/>
      <c r="CA103" s="112"/>
      <c r="CB103" s="112"/>
    </row>
    <row r="104" spans="1:80">
      <c r="A104" s="2" t="s">
        <v>1592</v>
      </c>
      <c r="B104" s="2"/>
      <c r="C104" s="59"/>
      <c r="D104" s="61"/>
      <c r="E104" s="61"/>
      <c r="F104" s="61"/>
      <c r="G104" s="112"/>
      <c r="H104" s="59"/>
      <c r="I104" s="61"/>
      <c r="J104" s="61"/>
      <c r="K104" s="61"/>
      <c r="L104" s="112"/>
      <c r="M104" s="59"/>
      <c r="N104" s="61"/>
      <c r="O104" s="61"/>
      <c r="P104" s="61"/>
      <c r="Q104" s="112"/>
      <c r="R104" s="59"/>
      <c r="S104" s="61"/>
      <c r="T104" s="61"/>
      <c r="U104" s="61"/>
      <c r="V104" s="112"/>
      <c r="W104" s="59"/>
      <c r="X104" s="61"/>
      <c r="Y104" s="61"/>
      <c r="Z104" s="61"/>
      <c r="AA104" s="112"/>
      <c r="AB104" s="61"/>
      <c r="AC104" s="61"/>
      <c r="AD104" s="61"/>
      <c r="AE104" s="61"/>
      <c r="AF104" s="112"/>
      <c r="AG104" s="61"/>
      <c r="AH104" s="61"/>
      <c r="AI104" s="61"/>
      <c r="AJ104" s="61"/>
      <c r="AK104" s="112"/>
      <c r="AL104" s="61"/>
      <c r="AM104" s="61"/>
      <c r="AN104" s="61"/>
      <c r="AO104" s="61"/>
      <c r="AP104" s="112"/>
      <c r="AQ104" s="61"/>
      <c r="AR104" s="61"/>
      <c r="AS104" s="61"/>
      <c r="AT104" s="61"/>
      <c r="AU104" s="112"/>
      <c r="AV104" s="61"/>
      <c r="AW104" s="61"/>
      <c r="AX104" s="61"/>
      <c r="AY104" s="61"/>
      <c r="AZ104" s="112"/>
      <c r="BA104" s="61"/>
      <c r="BB104" s="61"/>
      <c r="BC104" s="61"/>
      <c r="BD104" s="61"/>
      <c r="BE104" s="112"/>
      <c r="BF104" s="59"/>
      <c r="BG104" s="61"/>
      <c r="BH104" s="61"/>
      <c r="BI104" s="60"/>
      <c r="BJ104" s="112"/>
      <c r="BK104" s="59"/>
      <c r="BL104" s="61"/>
      <c r="BM104" s="61"/>
      <c r="BN104" s="60"/>
      <c r="BO104" s="112"/>
      <c r="BP104" s="59"/>
      <c r="BQ104" s="61"/>
      <c r="BR104" s="61"/>
      <c r="BS104" s="60"/>
      <c r="BT104" s="112"/>
      <c r="BU104" s="112"/>
      <c r="BV104" s="112"/>
      <c r="BW104" s="112"/>
      <c r="BX104" s="112"/>
      <c r="BY104" s="112"/>
      <c r="BZ104" s="112"/>
      <c r="CA104" s="112"/>
      <c r="CB104" s="112"/>
    </row>
    <row r="105" spans="1:80">
      <c r="A105" s="176">
        <v>1</v>
      </c>
      <c r="B105" s="176"/>
      <c r="C105" s="1064">
        <v>25</v>
      </c>
      <c r="D105" s="1101">
        <v>25</v>
      </c>
      <c r="E105" s="1101">
        <v>25</v>
      </c>
      <c r="F105" s="1064">
        <v>25</v>
      </c>
      <c r="G105" s="1065">
        <v>25</v>
      </c>
      <c r="H105" s="1064">
        <v>25</v>
      </c>
      <c r="I105" s="1101">
        <v>25</v>
      </c>
      <c r="J105" s="1101">
        <v>25</v>
      </c>
      <c r="K105" s="1101">
        <v>25</v>
      </c>
      <c r="L105" s="1065">
        <v>25</v>
      </c>
      <c r="M105" s="1101">
        <v>25</v>
      </c>
      <c r="N105" s="1101">
        <v>25</v>
      </c>
      <c r="O105" s="1101">
        <v>25</v>
      </c>
      <c r="P105" s="1101">
        <v>25</v>
      </c>
      <c r="Q105" s="1065">
        <v>25</v>
      </c>
      <c r="R105" s="1101">
        <v>25</v>
      </c>
      <c r="S105" s="1101">
        <v>25</v>
      </c>
      <c r="T105" s="1101">
        <v>25</v>
      </c>
      <c r="U105" s="1101">
        <v>25</v>
      </c>
      <c r="V105" s="1065">
        <v>25</v>
      </c>
      <c r="W105" s="1101">
        <v>25</v>
      </c>
      <c r="X105" s="1101">
        <v>25</v>
      </c>
      <c r="Y105" s="1101">
        <v>25</v>
      </c>
      <c r="Z105" s="1101">
        <v>25</v>
      </c>
      <c r="AA105" s="1065">
        <v>25</v>
      </c>
      <c r="AB105" s="1101">
        <v>25</v>
      </c>
      <c r="AC105" s="1101">
        <v>25</v>
      </c>
      <c r="AD105" s="1101">
        <v>25</v>
      </c>
      <c r="AE105" s="1101">
        <v>25</v>
      </c>
      <c r="AF105" s="1065">
        <v>25</v>
      </c>
      <c r="AG105" s="1101">
        <v>25</v>
      </c>
      <c r="AH105" s="1101">
        <v>25</v>
      </c>
      <c r="AI105" s="1101">
        <v>25</v>
      </c>
      <c r="AJ105" s="1101">
        <v>25</v>
      </c>
      <c r="AK105" s="1065">
        <v>25</v>
      </c>
      <c r="AL105" s="1101">
        <v>25</v>
      </c>
      <c r="AM105" s="1101">
        <v>25</v>
      </c>
      <c r="AN105" s="1101">
        <v>25</v>
      </c>
      <c r="AO105" s="1101">
        <v>25</v>
      </c>
      <c r="AP105" s="1065">
        <v>25</v>
      </c>
      <c r="AQ105" s="1101">
        <v>25</v>
      </c>
      <c r="AR105" s="1101">
        <v>25</v>
      </c>
      <c r="AS105" s="1101">
        <v>25</v>
      </c>
      <c r="AT105" s="1101">
        <v>25</v>
      </c>
      <c r="AU105" s="1065">
        <v>25</v>
      </c>
      <c r="AV105" s="1101">
        <v>25</v>
      </c>
      <c r="AW105" s="1101">
        <v>25</v>
      </c>
      <c r="AX105" s="1101">
        <v>25</v>
      </c>
      <c r="AY105" s="1101">
        <v>25</v>
      </c>
      <c r="AZ105" s="1065">
        <v>25</v>
      </c>
      <c r="BA105" s="1101">
        <v>25</v>
      </c>
      <c r="BB105" s="1101">
        <v>25</v>
      </c>
      <c r="BC105" s="1101">
        <v>25</v>
      </c>
      <c r="BD105" s="1101">
        <v>25</v>
      </c>
      <c r="BE105" s="1065">
        <v>25</v>
      </c>
      <c r="BF105" s="2825">
        <v>25</v>
      </c>
      <c r="BG105" s="1101">
        <v>25</v>
      </c>
      <c r="BH105" s="1101">
        <v>25</v>
      </c>
      <c r="BI105" s="1124">
        <v>25</v>
      </c>
      <c r="BJ105" s="1065">
        <v>25</v>
      </c>
      <c r="BK105" s="2825">
        <v>25</v>
      </c>
      <c r="BL105" s="1101">
        <v>25</v>
      </c>
      <c r="BM105" s="1101">
        <v>25</v>
      </c>
      <c r="BN105" s="1124">
        <v>25</v>
      </c>
      <c r="BO105" s="1065">
        <v>25</v>
      </c>
      <c r="BP105" s="2825">
        <v>25</v>
      </c>
      <c r="BQ105" s="1101">
        <v>25</v>
      </c>
      <c r="BR105" s="1101">
        <v>25</v>
      </c>
      <c r="BS105" s="1124">
        <v>25</v>
      </c>
      <c r="BT105" s="1065">
        <v>25</v>
      </c>
      <c r="BU105" s="1065">
        <v>25</v>
      </c>
      <c r="BV105" s="1065">
        <v>25</v>
      </c>
      <c r="BW105" s="1065">
        <v>25</v>
      </c>
      <c r="BX105" s="1065">
        <v>25</v>
      </c>
      <c r="BY105" s="1065">
        <v>25</v>
      </c>
      <c r="BZ105" s="1065">
        <v>25</v>
      </c>
      <c r="CA105" s="1065">
        <v>25</v>
      </c>
      <c r="CB105" s="1065">
        <v>25</v>
      </c>
    </row>
    <row r="106" spans="1:80">
      <c r="A106" s="176">
        <v>2</v>
      </c>
      <c r="B106" s="176"/>
      <c r="C106" s="1102">
        <v>37.5</v>
      </c>
      <c r="D106" s="1103">
        <v>37.5</v>
      </c>
      <c r="E106" s="1103">
        <v>37.5</v>
      </c>
      <c r="F106" s="1102">
        <v>37.5</v>
      </c>
      <c r="G106" s="1104">
        <v>37.5</v>
      </c>
      <c r="H106" s="1102">
        <v>37.5</v>
      </c>
      <c r="I106" s="1103">
        <v>37.5</v>
      </c>
      <c r="J106" s="1105">
        <v>50</v>
      </c>
      <c r="K106" s="1105">
        <v>50</v>
      </c>
      <c r="L106" s="115">
        <v>50</v>
      </c>
      <c r="M106" s="1105">
        <v>50</v>
      </c>
      <c r="N106" s="1105">
        <v>50</v>
      </c>
      <c r="O106" s="1105">
        <v>50</v>
      </c>
      <c r="P106" s="1105">
        <v>50</v>
      </c>
      <c r="Q106" s="115">
        <v>50</v>
      </c>
      <c r="R106" s="1105">
        <v>50</v>
      </c>
      <c r="S106" s="1105">
        <v>50</v>
      </c>
      <c r="T106" s="1105">
        <v>50</v>
      </c>
      <c r="U106" s="1105">
        <v>50</v>
      </c>
      <c r="V106" s="115">
        <v>50</v>
      </c>
      <c r="W106" s="1105">
        <v>50</v>
      </c>
      <c r="X106" s="1105">
        <v>50</v>
      </c>
      <c r="Y106" s="1105">
        <v>50</v>
      </c>
      <c r="Z106" s="1105">
        <v>50</v>
      </c>
      <c r="AA106" s="115">
        <v>50</v>
      </c>
      <c r="AB106" s="1105">
        <v>50</v>
      </c>
      <c r="AC106" s="1105">
        <v>50</v>
      </c>
      <c r="AD106" s="1105">
        <v>50</v>
      </c>
      <c r="AE106" s="1105">
        <v>50</v>
      </c>
      <c r="AF106" s="115">
        <v>50</v>
      </c>
      <c r="AG106" s="1105">
        <v>50</v>
      </c>
      <c r="AH106" s="1105">
        <v>50</v>
      </c>
      <c r="AI106" s="1105">
        <v>50</v>
      </c>
      <c r="AJ106" s="1105">
        <v>50</v>
      </c>
      <c r="AK106" s="115">
        <v>50</v>
      </c>
      <c r="AL106" s="1105">
        <v>50</v>
      </c>
      <c r="AM106" s="1105">
        <v>50</v>
      </c>
      <c r="AN106" s="1105">
        <v>50</v>
      </c>
      <c r="AO106" s="1105">
        <v>50</v>
      </c>
      <c r="AP106" s="115">
        <v>50</v>
      </c>
      <c r="AQ106" s="1105">
        <v>50</v>
      </c>
      <c r="AR106" s="1105">
        <v>50</v>
      </c>
      <c r="AS106" s="1105">
        <v>50</v>
      </c>
      <c r="AT106" s="1105">
        <v>50</v>
      </c>
      <c r="AU106" s="115">
        <v>50</v>
      </c>
      <c r="AV106" s="1105">
        <v>50</v>
      </c>
      <c r="AW106" s="1105">
        <v>50</v>
      </c>
      <c r="AX106" s="1105">
        <v>50</v>
      </c>
      <c r="AY106" s="1105">
        <v>50</v>
      </c>
      <c r="AZ106" s="115">
        <v>50</v>
      </c>
      <c r="BA106" s="1105">
        <v>50</v>
      </c>
      <c r="BB106" s="1105">
        <v>50</v>
      </c>
      <c r="BC106" s="1105">
        <v>50</v>
      </c>
      <c r="BD106" s="1105">
        <v>50</v>
      </c>
      <c r="BE106" s="115">
        <v>50</v>
      </c>
      <c r="BF106" s="1110">
        <v>50</v>
      </c>
      <c r="BG106" s="1105">
        <v>50</v>
      </c>
      <c r="BH106" s="1105">
        <v>50</v>
      </c>
      <c r="BI106" s="2383">
        <v>50</v>
      </c>
      <c r="BJ106" s="115">
        <v>50</v>
      </c>
      <c r="BK106" s="1110">
        <v>50</v>
      </c>
      <c r="BL106" s="1105">
        <v>50</v>
      </c>
      <c r="BM106" s="1105">
        <v>50</v>
      </c>
      <c r="BN106" s="2383">
        <v>50</v>
      </c>
      <c r="BO106" s="115">
        <v>50</v>
      </c>
      <c r="BP106" s="1110">
        <v>50</v>
      </c>
      <c r="BQ106" s="1105">
        <v>50</v>
      </c>
      <c r="BR106" s="1105">
        <v>50</v>
      </c>
      <c r="BS106" s="2383">
        <v>50</v>
      </c>
      <c r="BT106" s="115">
        <v>50</v>
      </c>
      <c r="BU106" s="115">
        <v>50</v>
      </c>
      <c r="BV106" s="115">
        <v>50</v>
      </c>
      <c r="BW106" s="115">
        <v>50</v>
      </c>
      <c r="BX106" s="115">
        <v>50</v>
      </c>
      <c r="BY106" s="115">
        <v>50</v>
      </c>
      <c r="BZ106" s="115">
        <v>50</v>
      </c>
      <c r="CA106" s="115">
        <v>50</v>
      </c>
      <c r="CB106" s="115">
        <v>50</v>
      </c>
    </row>
    <row r="107" spans="1:80">
      <c r="A107" s="176">
        <v>3</v>
      </c>
      <c r="B107" s="176"/>
      <c r="C107" s="116">
        <v>50</v>
      </c>
      <c r="D107" s="1105">
        <v>50</v>
      </c>
      <c r="E107" s="1105">
        <v>50</v>
      </c>
      <c r="F107" s="116">
        <v>50</v>
      </c>
      <c r="G107" s="115">
        <v>50</v>
      </c>
      <c r="H107" s="116">
        <v>50</v>
      </c>
      <c r="I107" s="1105">
        <v>50</v>
      </c>
      <c r="J107" s="1105">
        <v>75</v>
      </c>
      <c r="K107" s="1105">
        <v>75</v>
      </c>
      <c r="L107" s="115">
        <v>75</v>
      </c>
      <c r="M107" s="1105">
        <v>75</v>
      </c>
      <c r="N107" s="1105">
        <v>75</v>
      </c>
      <c r="O107" s="1105">
        <v>75</v>
      </c>
      <c r="P107" s="1105">
        <v>75</v>
      </c>
      <c r="Q107" s="115">
        <v>75</v>
      </c>
      <c r="R107" s="1105">
        <v>75</v>
      </c>
      <c r="S107" s="1105">
        <v>75</v>
      </c>
      <c r="T107" s="1105">
        <v>75</v>
      </c>
      <c r="U107" s="1105">
        <v>75</v>
      </c>
      <c r="V107" s="115">
        <v>75</v>
      </c>
      <c r="W107" s="1105">
        <v>75</v>
      </c>
      <c r="X107" s="1105">
        <v>75</v>
      </c>
      <c r="Y107" s="1105">
        <v>75</v>
      </c>
      <c r="Z107" s="1105">
        <v>75</v>
      </c>
      <c r="AA107" s="115">
        <v>75</v>
      </c>
      <c r="AB107" s="1105">
        <v>75</v>
      </c>
      <c r="AC107" s="1105">
        <v>75</v>
      </c>
      <c r="AD107" s="1105">
        <v>75</v>
      </c>
      <c r="AE107" s="1105">
        <v>75</v>
      </c>
      <c r="AF107" s="115">
        <v>75</v>
      </c>
      <c r="AG107" s="1105">
        <v>75</v>
      </c>
      <c r="AH107" s="1105">
        <v>75</v>
      </c>
      <c r="AI107" s="1105">
        <v>75</v>
      </c>
      <c r="AJ107" s="1105">
        <v>75</v>
      </c>
      <c r="AK107" s="115">
        <v>75</v>
      </c>
      <c r="AL107" s="1105">
        <v>75</v>
      </c>
      <c r="AM107" s="1105">
        <v>75</v>
      </c>
      <c r="AN107" s="1105">
        <v>75</v>
      </c>
      <c r="AO107" s="1105">
        <v>75</v>
      </c>
      <c r="AP107" s="115">
        <v>75</v>
      </c>
      <c r="AQ107" s="1105">
        <v>75</v>
      </c>
      <c r="AR107" s="1105">
        <v>75</v>
      </c>
      <c r="AS107" s="1105">
        <v>75</v>
      </c>
      <c r="AT107" s="1105">
        <v>75</v>
      </c>
      <c r="AU107" s="115">
        <v>75</v>
      </c>
      <c r="AV107" s="1105">
        <v>75</v>
      </c>
      <c r="AW107" s="1105">
        <v>75</v>
      </c>
      <c r="AX107" s="1105">
        <v>75</v>
      </c>
      <c r="AY107" s="1105">
        <v>75</v>
      </c>
      <c r="AZ107" s="115">
        <v>75</v>
      </c>
      <c r="BA107" s="1105">
        <v>75</v>
      </c>
      <c r="BB107" s="1105">
        <v>75</v>
      </c>
      <c r="BC107" s="1105">
        <v>75</v>
      </c>
      <c r="BD107" s="1105">
        <v>75</v>
      </c>
      <c r="BE107" s="115">
        <v>75</v>
      </c>
      <c r="BF107" s="1110">
        <v>75</v>
      </c>
      <c r="BG107" s="1105">
        <v>75</v>
      </c>
      <c r="BH107" s="1105">
        <v>75</v>
      </c>
      <c r="BI107" s="2383">
        <v>75</v>
      </c>
      <c r="BJ107" s="115">
        <v>75</v>
      </c>
      <c r="BK107" s="1110">
        <v>75</v>
      </c>
      <c r="BL107" s="1105">
        <v>75</v>
      </c>
      <c r="BM107" s="1105">
        <v>75</v>
      </c>
      <c r="BN107" s="2383">
        <v>75</v>
      </c>
      <c r="BO107" s="115">
        <v>75</v>
      </c>
      <c r="BP107" s="1110">
        <v>75</v>
      </c>
      <c r="BQ107" s="1105">
        <v>75</v>
      </c>
      <c r="BR107" s="1105">
        <v>75</v>
      </c>
      <c r="BS107" s="2383">
        <v>75</v>
      </c>
      <c r="BT107" s="115">
        <v>75</v>
      </c>
      <c r="BU107" s="115">
        <v>75</v>
      </c>
      <c r="BV107" s="115">
        <v>75</v>
      </c>
      <c r="BW107" s="115">
        <v>75</v>
      </c>
      <c r="BX107" s="115">
        <v>75</v>
      </c>
      <c r="BY107" s="115">
        <v>75</v>
      </c>
      <c r="BZ107" s="115">
        <v>75</v>
      </c>
      <c r="CA107" s="115">
        <v>75</v>
      </c>
      <c r="CB107" s="115">
        <v>75</v>
      </c>
    </row>
    <row r="108" spans="1:80">
      <c r="A108" s="176">
        <v>4</v>
      </c>
      <c r="B108" s="176"/>
      <c r="C108" s="116">
        <v>75</v>
      </c>
      <c r="D108" s="1105">
        <v>75</v>
      </c>
      <c r="E108" s="1105">
        <v>75</v>
      </c>
      <c r="F108" s="116">
        <v>75</v>
      </c>
      <c r="G108" s="115">
        <v>75</v>
      </c>
      <c r="H108" s="116">
        <v>75</v>
      </c>
      <c r="I108" s="1105">
        <v>75</v>
      </c>
      <c r="J108" s="1105">
        <v>100</v>
      </c>
      <c r="K108" s="1105">
        <v>100</v>
      </c>
      <c r="L108" s="115">
        <v>100</v>
      </c>
      <c r="M108" s="1105">
        <v>100</v>
      </c>
      <c r="N108" s="1105">
        <v>100</v>
      </c>
      <c r="O108" s="1105">
        <v>100</v>
      </c>
      <c r="P108" s="1105">
        <v>100</v>
      </c>
      <c r="Q108" s="115">
        <v>100</v>
      </c>
      <c r="R108" s="1105">
        <v>100</v>
      </c>
      <c r="S108" s="1105">
        <v>100</v>
      </c>
      <c r="T108" s="1105">
        <v>100</v>
      </c>
      <c r="U108" s="1105">
        <v>100</v>
      </c>
      <c r="V108" s="115">
        <v>100</v>
      </c>
      <c r="W108" s="1105">
        <v>100</v>
      </c>
      <c r="X108" s="1105">
        <v>100</v>
      </c>
      <c r="Y108" s="1105">
        <v>100</v>
      </c>
      <c r="Z108" s="1105">
        <v>100</v>
      </c>
      <c r="AA108" s="115">
        <v>100</v>
      </c>
      <c r="AB108" s="1105">
        <v>100</v>
      </c>
      <c r="AC108" s="1105">
        <v>100</v>
      </c>
      <c r="AD108" s="1105">
        <v>100</v>
      </c>
      <c r="AE108" s="1105">
        <v>100</v>
      </c>
      <c r="AF108" s="115">
        <v>100</v>
      </c>
      <c r="AG108" s="1105">
        <v>100</v>
      </c>
      <c r="AH108" s="1105">
        <v>100</v>
      </c>
      <c r="AI108" s="1105">
        <v>100</v>
      </c>
      <c r="AJ108" s="1105">
        <v>100</v>
      </c>
      <c r="AK108" s="115">
        <v>100</v>
      </c>
      <c r="AL108" s="1105">
        <v>100</v>
      </c>
      <c r="AM108" s="1105">
        <v>100</v>
      </c>
      <c r="AN108" s="1105">
        <v>100</v>
      </c>
      <c r="AO108" s="1105">
        <v>100</v>
      </c>
      <c r="AP108" s="115">
        <v>100</v>
      </c>
      <c r="AQ108" s="1105">
        <v>100</v>
      </c>
      <c r="AR108" s="1105">
        <v>100</v>
      </c>
      <c r="AS108" s="1105">
        <v>100</v>
      </c>
      <c r="AT108" s="1105">
        <v>100</v>
      </c>
      <c r="AU108" s="115">
        <v>100</v>
      </c>
      <c r="AV108" s="1105">
        <v>100</v>
      </c>
      <c r="AW108" s="1105">
        <v>100</v>
      </c>
      <c r="AX108" s="1105">
        <v>100</v>
      </c>
      <c r="AY108" s="1105">
        <v>100</v>
      </c>
      <c r="AZ108" s="115">
        <v>100</v>
      </c>
      <c r="BA108" s="1105">
        <v>100</v>
      </c>
      <c r="BB108" s="1105">
        <v>100</v>
      </c>
      <c r="BC108" s="1105">
        <v>100</v>
      </c>
      <c r="BD108" s="1105">
        <v>100</v>
      </c>
      <c r="BE108" s="115">
        <v>100</v>
      </c>
      <c r="BF108" s="1110">
        <v>100</v>
      </c>
      <c r="BG108" s="1105">
        <v>100</v>
      </c>
      <c r="BH108" s="1105">
        <v>100</v>
      </c>
      <c r="BI108" s="2383">
        <v>100</v>
      </c>
      <c r="BJ108" s="115">
        <v>100</v>
      </c>
      <c r="BK108" s="1110">
        <v>100</v>
      </c>
      <c r="BL108" s="1105">
        <v>100</v>
      </c>
      <c r="BM108" s="1105">
        <v>100</v>
      </c>
      <c r="BN108" s="2383">
        <v>100</v>
      </c>
      <c r="BO108" s="115">
        <v>100</v>
      </c>
      <c r="BP108" s="1110">
        <v>100</v>
      </c>
      <c r="BQ108" s="1105">
        <v>100</v>
      </c>
      <c r="BR108" s="1105">
        <v>100</v>
      </c>
      <c r="BS108" s="2383">
        <v>100</v>
      </c>
      <c r="BT108" s="115">
        <v>100</v>
      </c>
      <c r="BU108" s="115">
        <v>100</v>
      </c>
      <c r="BV108" s="115">
        <v>100</v>
      </c>
      <c r="BW108" s="115">
        <v>100</v>
      </c>
      <c r="BX108" s="115">
        <v>100</v>
      </c>
      <c r="BY108" s="115">
        <v>100</v>
      </c>
      <c r="BZ108" s="115">
        <v>100</v>
      </c>
      <c r="CA108" s="115">
        <v>100</v>
      </c>
      <c r="CB108" s="115">
        <v>100</v>
      </c>
    </row>
    <row r="109" spans="1:80">
      <c r="A109" s="176">
        <v>5</v>
      </c>
      <c r="B109" s="176"/>
      <c r="C109" s="116">
        <v>100</v>
      </c>
      <c r="D109" s="1105">
        <v>100</v>
      </c>
      <c r="E109" s="1105">
        <v>100</v>
      </c>
      <c r="F109" s="116">
        <v>100</v>
      </c>
      <c r="G109" s="115">
        <v>100</v>
      </c>
      <c r="H109" s="116">
        <v>100</v>
      </c>
      <c r="I109" s="1105">
        <v>100</v>
      </c>
      <c r="J109" s="1105">
        <v>150</v>
      </c>
      <c r="K109" s="1105">
        <v>150</v>
      </c>
      <c r="L109" s="115">
        <v>150</v>
      </c>
      <c r="M109" s="1105">
        <v>150</v>
      </c>
      <c r="N109" s="1105">
        <v>150</v>
      </c>
      <c r="O109" s="1105">
        <v>150</v>
      </c>
      <c r="P109" s="1105">
        <v>150</v>
      </c>
      <c r="Q109" s="115">
        <v>150</v>
      </c>
      <c r="R109" s="1105">
        <v>150</v>
      </c>
      <c r="S109" s="1105">
        <v>150</v>
      </c>
      <c r="T109" s="1105">
        <v>150</v>
      </c>
      <c r="U109" s="1105">
        <v>150</v>
      </c>
      <c r="V109" s="115">
        <v>150</v>
      </c>
      <c r="W109" s="1105">
        <v>150</v>
      </c>
      <c r="X109" s="1105">
        <v>150</v>
      </c>
      <c r="Y109" s="1105">
        <v>150</v>
      </c>
      <c r="Z109" s="1105">
        <v>150</v>
      </c>
      <c r="AA109" s="115">
        <v>150</v>
      </c>
      <c r="AB109" s="1105">
        <v>150</v>
      </c>
      <c r="AC109" s="1105">
        <v>150</v>
      </c>
      <c r="AD109" s="1105">
        <v>150</v>
      </c>
      <c r="AE109" s="1105">
        <v>150</v>
      </c>
      <c r="AF109" s="115">
        <v>150</v>
      </c>
      <c r="AG109" s="1105">
        <v>150</v>
      </c>
      <c r="AH109" s="1105">
        <v>150</v>
      </c>
      <c r="AI109" s="1105">
        <v>150</v>
      </c>
      <c r="AJ109" s="1105">
        <v>150</v>
      </c>
      <c r="AK109" s="115">
        <v>150</v>
      </c>
      <c r="AL109" s="1105">
        <v>150</v>
      </c>
      <c r="AM109" s="1105">
        <v>150</v>
      </c>
      <c r="AN109" s="1105">
        <v>150</v>
      </c>
      <c r="AO109" s="1105">
        <v>150</v>
      </c>
      <c r="AP109" s="115">
        <v>150</v>
      </c>
      <c r="AQ109" s="1105">
        <v>150</v>
      </c>
      <c r="AR109" s="1105">
        <v>150</v>
      </c>
      <c r="AS109" s="1105">
        <v>150</v>
      </c>
      <c r="AT109" s="1105">
        <v>150</v>
      </c>
      <c r="AU109" s="115">
        <v>150</v>
      </c>
      <c r="AV109" s="1105">
        <v>150</v>
      </c>
      <c r="AW109" s="1105">
        <v>150</v>
      </c>
      <c r="AX109" s="1105">
        <v>150</v>
      </c>
      <c r="AY109" s="1105">
        <v>150</v>
      </c>
      <c r="AZ109" s="115">
        <v>150</v>
      </c>
      <c r="BA109" s="1105">
        <v>150</v>
      </c>
      <c r="BB109" s="1105">
        <v>150</v>
      </c>
      <c r="BC109" s="1105">
        <v>150</v>
      </c>
      <c r="BD109" s="1105">
        <v>150</v>
      </c>
      <c r="BE109" s="115">
        <v>150</v>
      </c>
      <c r="BF109" s="1110">
        <v>150</v>
      </c>
      <c r="BG109" s="1105">
        <v>150</v>
      </c>
      <c r="BH109" s="1105">
        <v>150</v>
      </c>
      <c r="BI109" s="2383">
        <v>150</v>
      </c>
      <c r="BJ109" s="115">
        <v>150</v>
      </c>
      <c r="BK109" s="1110">
        <v>150</v>
      </c>
      <c r="BL109" s="1105">
        <v>150</v>
      </c>
      <c r="BM109" s="1105">
        <v>150</v>
      </c>
      <c r="BN109" s="2383">
        <v>150</v>
      </c>
      <c r="BO109" s="115">
        <v>150</v>
      </c>
      <c r="BP109" s="1110">
        <v>150</v>
      </c>
      <c r="BQ109" s="1105">
        <v>150</v>
      </c>
      <c r="BR109" s="1105">
        <v>150</v>
      </c>
      <c r="BS109" s="2383">
        <v>150</v>
      </c>
      <c r="BT109" s="115">
        <v>150</v>
      </c>
      <c r="BU109" s="115">
        <v>150</v>
      </c>
      <c r="BV109" s="115">
        <v>150</v>
      </c>
      <c r="BW109" s="115">
        <v>150</v>
      </c>
      <c r="BX109" s="115">
        <v>150</v>
      </c>
      <c r="BY109" s="115">
        <v>150</v>
      </c>
      <c r="BZ109" s="115">
        <v>150</v>
      </c>
      <c r="CA109" s="115">
        <v>150</v>
      </c>
      <c r="CB109" s="115">
        <v>150</v>
      </c>
    </row>
    <row r="110" spans="1:80">
      <c r="A110" s="176">
        <v>6</v>
      </c>
      <c r="B110" s="176"/>
      <c r="C110" s="116">
        <v>250</v>
      </c>
      <c r="D110" s="1105">
        <v>250</v>
      </c>
      <c r="E110" s="1105">
        <v>250</v>
      </c>
      <c r="F110" s="116">
        <v>250</v>
      </c>
      <c r="G110" s="115">
        <v>250</v>
      </c>
      <c r="H110" s="116">
        <v>250</v>
      </c>
      <c r="I110" s="1105">
        <v>250</v>
      </c>
      <c r="J110" s="1105">
        <v>200</v>
      </c>
      <c r="K110" s="1105">
        <v>200</v>
      </c>
      <c r="L110" s="115">
        <v>200</v>
      </c>
      <c r="M110" s="1105">
        <v>200</v>
      </c>
      <c r="N110" s="1105">
        <v>200</v>
      </c>
      <c r="O110" s="1105">
        <v>200</v>
      </c>
      <c r="P110" s="1105">
        <v>200</v>
      </c>
      <c r="Q110" s="115">
        <v>200</v>
      </c>
      <c r="R110" s="1105">
        <v>200</v>
      </c>
      <c r="S110" s="1105">
        <v>200</v>
      </c>
      <c r="T110" s="1105">
        <v>200</v>
      </c>
      <c r="U110" s="1105">
        <v>200</v>
      </c>
      <c r="V110" s="115">
        <v>200</v>
      </c>
      <c r="W110" s="1105">
        <v>200</v>
      </c>
      <c r="X110" s="1105">
        <v>200</v>
      </c>
      <c r="Y110" s="1105">
        <v>200</v>
      </c>
      <c r="Z110" s="1105">
        <v>200</v>
      </c>
      <c r="AA110" s="115">
        <v>200</v>
      </c>
      <c r="AB110" s="1105">
        <v>200</v>
      </c>
      <c r="AC110" s="1105">
        <v>200</v>
      </c>
      <c r="AD110" s="1105">
        <v>200</v>
      </c>
      <c r="AE110" s="1105">
        <v>200</v>
      </c>
      <c r="AF110" s="115">
        <v>200</v>
      </c>
      <c r="AG110" s="1105">
        <v>200</v>
      </c>
      <c r="AH110" s="1105">
        <v>200</v>
      </c>
      <c r="AI110" s="1105">
        <v>200</v>
      </c>
      <c r="AJ110" s="1105">
        <v>200</v>
      </c>
      <c r="AK110" s="115">
        <v>200</v>
      </c>
      <c r="AL110" s="1105">
        <v>200</v>
      </c>
      <c r="AM110" s="1105">
        <v>200</v>
      </c>
      <c r="AN110" s="1105">
        <v>200</v>
      </c>
      <c r="AO110" s="1105">
        <v>200</v>
      </c>
      <c r="AP110" s="115">
        <v>200</v>
      </c>
      <c r="AQ110" s="1105">
        <v>200</v>
      </c>
      <c r="AR110" s="1105">
        <v>200</v>
      </c>
      <c r="AS110" s="1105">
        <v>200</v>
      </c>
      <c r="AT110" s="1105">
        <v>200</v>
      </c>
      <c r="AU110" s="115">
        <v>200</v>
      </c>
      <c r="AV110" s="1105">
        <v>200</v>
      </c>
      <c r="AW110" s="1105">
        <v>200</v>
      </c>
      <c r="AX110" s="1105">
        <v>200</v>
      </c>
      <c r="AY110" s="1105">
        <v>200</v>
      </c>
      <c r="AZ110" s="115">
        <v>200</v>
      </c>
      <c r="BA110" s="1105">
        <v>200</v>
      </c>
      <c r="BB110" s="1105">
        <v>200</v>
      </c>
      <c r="BC110" s="1105">
        <v>200</v>
      </c>
      <c r="BD110" s="1105">
        <v>200</v>
      </c>
      <c r="BE110" s="115">
        <v>200</v>
      </c>
      <c r="BF110" s="1110">
        <v>200</v>
      </c>
      <c r="BG110" s="1105">
        <v>200</v>
      </c>
      <c r="BH110" s="1105">
        <v>200</v>
      </c>
      <c r="BI110" s="2383">
        <v>200</v>
      </c>
      <c r="BJ110" s="115">
        <v>200</v>
      </c>
      <c r="BK110" s="1110">
        <v>200</v>
      </c>
      <c r="BL110" s="1105">
        <v>200</v>
      </c>
      <c r="BM110" s="1105">
        <v>200</v>
      </c>
      <c r="BN110" s="2383">
        <v>200</v>
      </c>
      <c r="BO110" s="115">
        <v>200</v>
      </c>
      <c r="BP110" s="1110">
        <v>200</v>
      </c>
      <c r="BQ110" s="1105">
        <v>200</v>
      </c>
      <c r="BR110" s="1105">
        <v>200</v>
      </c>
      <c r="BS110" s="2383">
        <v>200</v>
      </c>
      <c r="BT110" s="115">
        <v>200</v>
      </c>
      <c r="BU110" s="115">
        <v>200</v>
      </c>
      <c r="BV110" s="115">
        <v>200</v>
      </c>
      <c r="BW110" s="115">
        <v>200</v>
      </c>
      <c r="BX110" s="115">
        <v>200</v>
      </c>
      <c r="BY110" s="115">
        <v>200</v>
      </c>
      <c r="BZ110" s="115">
        <v>200</v>
      </c>
      <c r="CA110" s="115">
        <v>200</v>
      </c>
      <c r="CB110" s="115">
        <v>200</v>
      </c>
    </row>
    <row r="111" spans="1:80">
      <c r="A111" s="1106">
        <v>7</v>
      </c>
      <c r="B111" s="1106"/>
      <c r="C111" s="1107" t="s">
        <v>52</v>
      </c>
      <c r="D111" s="1108" t="s">
        <v>52</v>
      </c>
      <c r="E111" s="1108" t="s">
        <v>52</v>
      </c>
      <c r="F111" s="1107" t="s">
        <v>52</v>
      </c>
      <c r="G111" s="1109" t="s">
        <v>52</v>
      </c>
      <c r="H111" s="1107" t="s">
        <v>52</v>
      </c>
      <c r="I111" s="1108" t="s">
        <v>52</v>
      </c>
      <c r="J111" s="1108" t="s">
        <v>634</v>
      </c>
      <c r="K111" s="1108" t="s">
        <v>634</v>
      </c>
      <c r="L111" s="1109" t="s">
        <v>634</v>
      </c>
      <c r="M111" s="1108" t="s">
        <v>634</v>
      </c>
      <c r="N111" s="1108" t="s">
        <v>634</v>
      </c>
      <c r="O111" s="1108" t="s">
        <v>634</v>
      </c>
      <c r="P111" s="1108" t="s">
        <v>634</v>
      </c>
      <c r="Q111" s="1109" t="s">
        <v>634</v>
      </c>
      <c r="R111" s="1108" t="s">
        <v>634</v>
      </c>
      <c r="S111" s="1108" t="s">
        <v>634</v>
      </c>
      <c r="T111" s="1108" t="s">
        <v>634</v>
      </c>
      <c r="U111" s="1108" t="s">
        <v>634</v>
      </c>
      <c r="V111" s="1109" t="s">
        <v>634</v>
      </c>
      <c r="W111" s="1108" t="s">
        <v>634</v>
      </c>
      <c r="X111" s="1108" t="s">
        <v>634</v>
      </c>
      <c r="Y111" s="1108" t="s">
        <v>634</v>
      </c>
      <c r="Z111" s="1108" t="s">
        <v>634</v>
      </c>
      <c r="AA111" s="1109" t="s">
        <v>634</v>
      </c>
      <c r="AB111" s="1108" t="s">
        <v>634</v>
      </c>
      <c r="AC111" s="1108" t="s">
        <v>634</v>
      </c>
      <c r="AD111" s="1108" t="s">
        <v>634</v>
      </c>
      <c r="AE111" s="1108" t="s">
        <v>634</v>
      </c>
      <c r="AF111" s="1109" t="s">
        <v>634</v>
      </c>
      <c r="AG111" s="1108" t="s">
        <v>634</v>
      </c>
      <c r="AH111" s="1108" t="s">
        <v>634</v>
      </c>
      <c r="AI111" s="1108" t="s">
        <v>634</v>
      </c>
      <c r="AJ111" s="1108" t="s">
        <v>634</v>
      </c>
      <c r="AK111" s="1109" t="s">
        <v>634</v>
      </c>
      <c r="AL111" s="1108" t="s">
        <v>634</v>
      </c>
      <c r="AM111" s="1108" t="s">
        <v>634</v>
      </c>
      <c r="AN111" s="1108" t="s">
        <v>634</v>
      </c>
      <c r="AO111" s="1108" t="s">
        <v>634</v>
      </c>
      <c r="AP111" s="1109" t="s">
        <v>634</v>
      </c>
      <c r="AQ111" s="1108" t="s">
        <v>634</v>
      </c>
      <c r="AR111" s="1108" t="s">
        <v>634</v>
      </c>
      <c r="AS111" s="1108" t="s">
        <v>634</v>
      </c>
      <c r="AT111" s="1108" t="s">
        <v>634</v>
      </c>
      <c r="AU111" s="1109" t="s">
        <v>634</v>
      </c>
      <c r="AV111" s="1108" t="s">
        <v>634</v>
      </c>
      <c r="AW111" s="1108" t="s">
        <v>634</v>
      </c>
      <c r="AX111" s="1108" t="s">
        <v>634</v>
      </c>
      <c r="AY111" s="1108" t="s">
        <v>634</v>
      </c>
      <c r="AZ111" s="1109" t="s">
        <v>634</v>
      </c>
      <c r="BA111" s="1108" t="s">
        <v>634</v>
      </c>
      <c r="BB111" s="1108" t="s">
        <v>634</v>
      </c>
      <c r="BC111" s="1108" t="s">
        <v>634</v>
      </c>
      <c r="BD111" s="1108" t="s">
        <v>634</v>
      </c>
      <c r="BE111" s="1109" t="s">
        <v>634</v>
      </c>
      <c r="BF111" s="2848" t="s">
        <v>634</v>
      </c>
      <c r="BG111" s="1108" t="s">
        <v>634</v>
      </c>
      <c r="BH111" s="1108" t="s">
        <v>634</v>
      </c>
      <c r="BI111" s="2849" t="s">
        <v>634</v>
      </c>
      <c r="BJ111" s="1109" t="s">
        <v>634</v>
      </c>
      <c r="BK111" s="2848" t="s">
        <v>634</v>
      </c>
      <c r="BL111" s="1108" t="s">
        <v>634</v>
      </c>
      <c r="BM111" s="1108" t="s">
        <v>634</v>
      </c>
      <c r="BN111" s="2849" t="s">
        <v>634</v>
      </c>
      <c r="BO111" s="1109" t="s">
        <v>634</v>
      </c>
      <c r="BP111" s="2848" t="s">
        <v>634</v>
      </c>
      <c r="BQ111" s="1108" t="s">
        <v>634</v>
      </c>
      <c r="BR111" s="1108" t="s">
        <v>634</v>
      </c>
      <c r="BS111" s="2849" t="s">
        <v>634</v>
      </c>
      <c r="BT111" s="1109" t="s">
        <v>634</v>
      </c>
      <c r="BU111" s="1109" t="s">
        <v>634</v>
      </c>
      <c r="BV111" s="1109" t="s">
        <v>634</v>
      </c>
      <c r="BW111" s="1109" t="s">
        <v>634</v>
      </c>
      <c r="BX111" s="1109" t="s">
        <v>634</v>
      </c>
      <c r="BY111" s="1109" t="s">
        <v>634</v>
      </c>
      <c r="BZ111" s="1109" t="s">
        <v>634</v>
      </c>
      <c r="CA111" s="1109" t="s">
        <v>634</v>
      </c>
      <c r="CB111" s="1109" t="s">
        <v>634</v>
      </c>
    </row>
    <row r="112" spans="1:80">
      <c r="A112" s="2" t="s">
        <v>1503</v>
      </c>
      <c r="B112" s="2"/>
      <c r="C112" s="59"/>
      <c r="D112" s="61"/>
      <c r="E112" s="61"/>
      <c r="F112" s="61"/>
      <c r="G112" s="112"/>
      <c r="H112" s="59"/>
      <c r="I112" s="61"/>
      <c r="J112" s="1105"/>
      <c r="K112" s="1105"/>
      <c r="L112" s="115"/>
      <c r="M112" s="1110"/>
      <c r="N112" s="1105"/>
      <c r="O112" s="1105"/>
      <c r="P112" s="1105"/>
      <c r="Q112" s="115"/>
      <c r="R112" s="1110"/>
      <c r="S112" s="1105"/>
      <c r="T112" s="1105"/>
      <c r="U112" s="1105"/>
      <c r="V112" s="115"/>
      <c r="W112" s="1110"/>
      <c r="X112" s="1105"/>
      <c r="Y112" s="1105"/>
      <c r="Z112" s="1105"/>
      <c r="AA112" s="115"/>
      <c r="AB112" s="1105"/>
      <c r="AC112" s="1105"/>
      <c r="AD112" s="1105"/>
      <c r="AE112" s="1105"/>
      <c r="AF112" s="115"/>
      <c r="AG112" s="1105"/>
      <c r="AH112" s="1105"/>
      <c r="AI112" s="1105"/>
      <c r="AJ112" s="1105"/>
      <c r="AK112" s="115"/>
      <c r="AL112" s="1105"/>
      <c r="AM112" s="1105"/>
      <c r="AN112" s="1105"/>
      <c r="AO112" s="1105"/>
      <c r="AP112" s="115"/>
      <c r="AQ112" s="1105"/>
      <c r="AR112" s="1105"/>
      <c r="AS112" s="1105"/>
      <c r="AT112" s="1105"/>
      <c r="AU112" s="115"/>
      <c r="AV112" s="1105"/>
      <c r="AW112" s="1105"/>
      <c r="AX112" s="1105"/>
      <c r="AY112" s="1105"/>
      <c r="AZ112" s="115"/>
      <c r="BA112" s="1105"/>
      <c r="BB112" s="1105"/>
      <c r="BC112" s="1105"/>
      <c r="BD112" s="1105"/>
      <c r="BE112" s="115"/>
      <c r="BF112" s="1110"/>
      <c r="BG112" s="1105"/>
      <c r="BH112" s="1105"/>
      <c r="BI112" s="2383"/>
      <c r="BJ112" s="115"/>
      <c r="BK112" s="1110"/>
      <c r="BL112" s="1105"/>
      <c r="BM112" s="1105"/>
      <c r="BN112" s="2383"/>
      <c r="BO112" s="115"/>
      <c r="BP112" s="1110"/>
      <c r="BQ112" s="1105"/>
      <c r="BR112" s="1105"/>
      <c r="BS112" s="2383"/>
      <c r="BT112" s="115"/>
      <c r="BU112" s="115"/>
      <c r="BV112" s="115"/>
      <c r="BW112" s="115"/>
      <c r="BX112" s="115"/>
      <c r="BY112" s="115"/>
      <c r="BZ112" s="115"/>
      <c r="CA112" s="115"/>
      <c r="CB112" s="115"/>
    </row>
    <row r="113" spans="1:80">
      <c r="A113" s="176">
        <v>1</v>
      </c>
      <c r="B113" s="176"/>
      <c r="C113" s="1066">
        <v>0.15</v>
      </c>
      <c r="D113" s="1066">
        <v>0.15</v>
      </c>
      <c r="E113" s="1066">
        <v>0.15</v>
      </c>
      <c r="F113" s="1066">
        <v>0.15</v>
      </c>
      <c r="G113" s="1067">
        <v>0.15</v>
      </c>
      <c r="H113" s="1066">
        <v>0.15</v>
      </c>
      <c r="I113" s="1066">
        <v>0.15</v>
      </c>
      <c r="J113" s="1111">
        <v>0.15</v>
      </c>
      <c r="K113" s="1111">
        <v>0.15</v>
      </c>
      <c r="L113" s="1067">
        <v>0.15</v>
      </c>
      <c r="M113" s="1111">
        <v>0.15</v>
      </c>
      <c r="N113" s="1111">
        <v>0.15</v>
      </c>
      <c r="O113" s="1111">
        <v>0.15</v>
      </c>
      <c r="P113" s="1111">
        <v>0.15</v>
      </c>
      <c r="Q113" s="1067">
        <v>0.15</v>
      </c>
      <c r="R113" s="1111">
        <v>0.15</v>
      </c>
      <c r="S113" s="1111">
        <v>0.15</v>
      </c>
      <c r="T113" s="1111">
        <v>0.15</v>
      </c>
      <c r="U113" s="1111">
        <v>0.15</v>
      </c>
      <c r="V113" s="1067">
        <v>0.15</v>
      </c>
      <c r="W113" s="1111">
        <v>0.15</v>
      </c>
      <c r="X113" s="1111">
        <v>0.15</v>
      </c>
      <c r="Y113" s="1111">
        <v>0.15</v>
      </c>
      <c r="Z113" s="1111">
        <v>0.15</v>
      </c>
      <c r="AA113" s="1067">
        <v>0.15</v>
      </c>
      <c r="AB113" s="1111">
        <v>0.15</v>
      </c>
      <c r="AC113" s="1111">
        <v>0.15</v>
      </c>
      <c r="AD113" s="1111">
        <v>0.15</v>
      </c>
      <c r="AE113" s="1111">
        <v>0.15</v>
      </c>
      <c r="AF113" s="1067">
        <v>0.15</v>
      </c>
      <c r="AG113" s="1111">
        <v>0.15</v>
      </c>
      <c r="AH113" s="1111">
        <v>0.15</v>
      </c>
      <c r="AI113" s="1111">
        <v>0.15</v>
      </c>
      <c r="AJ113" s="1111">
        <v>0.15</v>
      </c>
      <c r="AK113" s="1067">
        <v>0.15</v>
      </c>
      <c r="AL113" s="1111">
        <v>0.15</v>
      </c>
      <c r="AM113" s="1111">
        <v>0.15</v>
      </c>
      <c r="AN113" s="1111">
        <v>0.15</v>
      </c>
      <c r="AO113" s="1111">
        <v>0.15</v>
      </c>
      <c r="AP113" s="1067">
        <v>0.15</v>
      </c>
      <c r="AQ113" s="1111">
        <v>0.15</v>
      </c>
      <c r="AR113" s="1111">
        <v>0.15</v>
      </c>
      <c r="AS113" s="1111">
        <v>0.15</v>
      </c>
      <c r="AT113" s="1111">
        <v>0.15</v>
      </c>
      <c r="AU113" s="1067">
        <v>0.15</v>
      </c>
      <c r="AV113" s="1111">
        <v>0.15</v>
      </c>
      <c r="AW113" s="1111">
        <v>0.15</v>
      </c>
      <c r="AX113" s="1111">
        <v>0.15</v>
      </c>
      <c r="AY113" s="1111">
        <v>0.15</v>
      </c>
      <c r="AZ113" s="1067">
        <v>0.15</v>
      </c>
      <c r="BA113" s="1111">
        <v>0.15</v>
      </c>
      <c r="BB113" s="1111">
        <v>0.15</v>
      </c>
      <c r="BC113" s="1111">
        <v>0.15</v>
      </c>
      <c r="BD113" s="1111">
        <v>0.15</v>
      </c>
      <c r="BE113" s="1067">
        <v>0.15</v>
      </c>
      <c r="BF113" s="2826">
        <v>0.15</v>
      </c>
      <c r="BG113" s="1111">
        <v>0.15</v>
      </c>
      <c r="BH113" s="1111">
        <v>0.15</v>
      </c>
      <c r="BI113" s="2827">
        <v>0.15</v>
      </c>
      <c r="BJ113" s="1067">
        <v>0.15</v>
      </c>
      <c r="BK113" s="2826">
        <v>0.15</v>
      </c>
      <c r="BL113" s="1111">
        <v>0.15</v>
      </c>
      <c r="BM113" s="1111">
        <v>0.15</v>
      </c>
      <c r="BN113" s="2827">
        <v>0.15</v>
      </c>
      <c r="BO113" s="1067">
        <v>0.15</v>
      </c>
      <c r="BP113" s="2826">
        <v>0.15</v>
      </c>
      <c r="BQ113" s="1111">
        <v>0.15</v>
      </c>
      <c r="BR113" s="1111">
        <v>0.15</v>
      </c>
      <c r="BS113" s="2827">
        <v>0.15</v>
      </c>
      <c r="BT113" s="1067">
        <v>0.15</v>
      </c>
      <c r="BU113" s="1067">
        <v>0.15</v>
      </c>
      <c r="BV113" s="1067">
        <v>0.15</v>
      </c>
      <c r="BW113" s="1067">
        <v>0.15</v>
      </c>
      <c r="BX113" s="1067">
        <v>0.15</v>
      </c>
      <c r="BY113" s="1067">
        <v>0.15</v>
      </c>
      <c r="BZ113" s="1067">
        <v>0.15</v>
      </c>
      <c r="CA113" s="1067">
        <v>0.15</v>
      </c>
      <c r="CB113" s="1067">
        <v>0.15</v>
      </c>
    </row>
    <row r="114" spans="1:80">
      <c r="A114" s="176">
        <v>2</v>
      </c>
      <c r="B114" s="176"/>
      <c r="C114" s="1066">
        <v>0.27500000000000002</v>
      </c>
      <c r="D114" s="1066">
        <v>0.27500000000000002</v>
      </c>
      <c r="E114" s="1066">
        <v>0.27500000000000002</v>
      </c>
      <c r="F114" s="1066">
        <v>0.27500000000000002</v>
      </c>
      <c r="G114" s="1067">
        <v>0.27500000000000002</v>
      </c>
      <c r="H114" s="1066">
        <v>0.27500000000000002</v>
      </c>
      <c r="I114" s="1066">
        <v>0.27500000000000002</v>
      </c>
      <c r="J114" s="1111">
        <v>0.22500000000000001</v>
      </c>
      <c r="K114" s="1111">
        <v>0.22500000000000001</v>
      </c>
      <c r="L114" s="1067">
        <v>0.22500000000000001</v>
      </c>
      <c r="M114" s="1111">
        <v>0.22500000000000001</v>
      </c>
      <c r="N114" s="1111">
        <v>0.22500000000000001</v>
      </c>
      <c r="O114" s="1111">
        <v>0.22500000000000001</v>
      </c>
      <c r="P114" s="1111">
        <v>0.22500000000000001</v>
      </c>
      <c r="Q114" s="1067">
        <v>0.22500000000000001</v>
      </c>
      <c r="R114" s="1111">
        <v>0.22500000000000001</v>
      </c>
      <c r="S114" s="1111">
        <v>0.22500000000000001</v>
      </c>
      <c r="T114" s="1111">
        <v>0.22500000000000001</v>
      </c>
      <c r="U114" s="1111">
        <v>0.22500000000000001</v>
      </c>
      <c r="V114" s="1067">
        <v>0.22500000000000001</v>
      </c>
      <c r="W114" s="1111">
        <v>0.22500000000000001</v>
      </c>
      <c r="X114" s="1111">
        <v>0.22500000000000001</v>
      </c>
      <c r="Y114" s="1111">
        <v>0.22500000000000001</v>
      </c>
      <c r="Z114" s="1111">
        <v>0.22500000000000001</v>
      </c>
      <c r="AA114" s="1067">
        <v>0.22500000000000001</v>
      </c>
      <c r="AB114" s="1111">
        <v>0.22500000000000001</v>
      </c>
      <c r="AC114" s="1111">
        <v>0.22500000000000001</v>
      </c>
      <c r="AD114" s="1111">
        <v>0.22500000000000001</v>
      </c>
      <c r="AE114" s="1111">
        <v>0.22500000000000001</v>
      </c>
      <c r="AF114" s="1067">
        <v>0.22500000000000001</v>
      </c>
      <c r="AG114" s="1111">
        <v>0.22500000000000001</v>
      </c>
      <c r="AH114" s="1111">
        <v>0.22500000000000001</v>
      </c>
      <c r="AI114" s="1111">
        <v>0.22500000000000001</v>
      </c>
      <c r="AJ114" s="1111">
        <v>0.22500000000000001</v>
      </c>
      <c r="AK114" s="1067">
        <v>0.22500000000000001</v>
      </c>
      <c r="AL114" s="1111">
        <v>0.22500000000000001</v>
      </c>
      <c r="AM114" s="1111">
        <v>0.22500000000000001</v>
      </c>
      <c r="AN114" s="1111">
        <v>0.22500000000000001</v>
      </c>
      <c r="AO114" s="1111">
        <v>0.22500000000000001</v>
      </c>
      <c r="AP114" s="1067">
        <v>0.22500000000000001</v>
      </c>
      <c r="AQ114" s="1111">
        <v>0.22500000000000001</v>
      </c>
      <c r="AR114" s="1111">
        <v>0.22500000000000001</v>
      </c>
      <c r="AS114" s="1111">
        <v>0.22500000000000001</v>
      </c>
      <c r="AT114" s="1111">
        <v>0.22500000000000001</v>
      </c>
      <c r="AU114" s="1067">
        <v>0.22500000000000001</v>
      </c>
      <c r="AV114" s="1111">
        <v>0.22500000000000001</v>
      </c>
      <c r="AW114" s="1111">
        <v>0.22500000000000001</v>
      </c>
      <c r="AX114" s="1111">
        <v>0.22500000000000001</v>
      </c>
      <c r="AY114" s="1111">
        <v>0.22500000000000001</v>
      </c>
      <c r="AZ114" s="1067">
        <v>0.22500000000000001</v>
      </c>
      <c r="BA114" s="1111">
        <v>0.22500000000000001</v>
      </c>
      <c r="BB114" s="1111">
        <v>0.22500000000000001</v>
      </c>
      <c r="BC114" s="1111">
        <v>0.22500000000000001</v>
      </c>
      <c r="BD114" s="1111">
        <v>0.22500000000000001</v>
      </c>
      <c r="BE114" s="1067">
        <v>0.22500000000000001</v>
      </c>
      <c r="BF114" s="2826">
        <v>0.22500000000000001</v>
      </c>
      <c r="BG114" s="1111">
        <v>0.22500000000000001</v>
      </c>
      <c r="BH114" s="1111">
        <v>0.22500000000000001</v>
      </c>
      <c r="BI114" s="2827">
        <v>0.22500000000000001</v>
      </c>
      <c r="BJ114" s="1067">
        <v>0.22500000000000001</v>
      </c>
      <c r="BK114" s="2826">
        <v>0.22500000000000001</v>
      </c>
      <c r="BL114" s="1111">
        <v>0.22500000000000001</v>
      </c>
      <c r="BM114" s="1111">
        <v>0.22500000000000001</v>
      </c>
      <c r="BN114" s="2827">
        <v>0.22500000000000001</v>
      </c>
      <c r="BO114" s="1067">
        <v>0.22500000000000001</v>
      </c>
      <c r="BP114" s="2826">
        <v>0.22500000000000001</v>
      </c>
      <c r="BQ114" s="1111">
        <v>0.22500000000000001</v>
      </c>
      <c r="BR114" s="1111">
        <v>0.22500000000000001</v>
      </c>
      <c r="BS114" s="2827">
        <v>0.22500000000000001</v>
      </c>
      <c r="BT114" s="1067">
        <v>0.22500000000000001</v>
      </c>
      <c r="BU114" s="1067">
        <v>0.22500000000000001</v>
      </c>
      <c r="BV114" s="1067">
        <v>0.22500000000000001</v>
      </c>
      <c r="BW114" s="1067">
        <v>0.22500000000000001</v>
      </c>
      <c r="BX114" s="1067">
        <v>0.22500000000000001</v>
      </c>
      <c r="BY114" s="1067">
        <v>0.22500000000000001</v>
      </c>
      <c r="BZ114" s="1067">
        <v>0.22500000000000001</v>
      </c>
      <c r="CA114" s="1067">
        <v>0.22500000000000001</v>
      </c>
      <c r="CB114" s="1067">
        <v>0.22500000000000001</v>
      </c>
    </row>
    <row r="115" spans="1:80">
      <c r="A115" s="176">
        <v>3</v>
      </c>
      <c r="B115" s="176"/>
      <c r="C115" s="1066">
        <v>0.32500000000000001</v>
      </c>
      <c r="D115" s="1066">
        <v>0.32500000000000001</v>
      </c>
      <c r="E115" s="1066">
        <v>0.32500000000000001</v>
      </c>
      <c r="F115" s="1066">
        <v>0.32500000000000001</v>
      </c>
      <c r="G115" s="1067">
        <v>0.32500000000000001</v>
      </c>
      <c r="H115" s="1066">
        <v>0.32500000000000001</v>
      </c>
      <c r="I115" s="1066">
        <v>0.32500000000000001</v>
      </c>
      <c r="J115" s="1111">
        <v>0.27500000000000002</v>
      </c>
      <c r="K115" s="1111">
        <v>0.27500000000000002</v>
      </c>
      <c r="L115" s="1067">
        <v>0.27500000000000002</v>
      </c>
      <c r="M115" s="1111">
        <v>0.27500000000000002</v>
      </c>
      <c r="N115" s="1111">
        <v>0.27500000000000002</v>
      </c>
      <c r="O115" s="1111">
        <v>0.27500000000000002</v>
      </c>
      <c r="P115" s="1111">
        <v>0.27500000000000002</v>
      </c>
      <c r="Q115" s="1067">
        <v>0.27500000000000002</v>
      </c>
      <c r="R115" s="1111">
        <v>0.27500000000000002</v>
      </c>
      <c r="S115" s="1111">
        <v>0.27500000000000002</v>
      </c>
      <c r="T115" s="1111">
        <v>0.27500000000000002</v>
      </c>
      <c r="U115" s="1111">
        <v>0.27500000000000002</v>
      </c>
      <c r="V115" s="1067">
        <v>0.27500000000000002</v>
      </c>
      <c r="W115" s="1111">
        <v>0.27500000000000002</v>
      </c>
      <c r="X115" s="1111">
        <v>0.27500000000000002</v>
      </c>
      <c r="Y115" s="1111">
        <v>0.27500000000000002</v>
      </c>
      <c r="Z115" s="1111">
        <v>0.27500000000000002</v>
      </c>
      <c r="AA115" s="1067">
        <v>0.27500000000000002</v>
      </c>
      <c r="AB115" s="1111">
        <v>0.27500000000000002</v>
      </c>
      <c r="AC115" s="1111">
        <v>0.27500000000000002</v>
      </c>
      <c r="AD115" s="1111">
        <v>0.27500000000000002</v>
      </c>
      <c r="AE115" s="1111">
        <v>0.27500000000000002</v>
      </c>
      <c r="AF115" s="1067">
        <v>0.27500000000000002</v>
      </c>
      <c r="AG115" s="1111">
        <v>0.27500000000000002</v>
      </c>
      <c r="AH115" s="1111">
        <v>0.27500000000000002</v>
      </c>
      <c r="AI115" s="1111">
        <v>0.27500000000000002</v>
      </c>
      <c r="AJ115" s="1111">
        <v>0.27500000000000002</v>
      </c>
      <c r="AK115" s="1067">
        <v>0.27500000000000002</v>
      </c>
      <c r="AL115" s="1111">
        <v>0.27500000000000002</v>
      </c>
      <c r="AM115" s="1111">
        <v>0.27500000000000002</v>
      </c>
      <c r="AN115" s="1111">
        <v>0.27500000000000002</v>
      </c>
      <c r="AO115" s="1111">
        <v>0.27500000000000002</v>
      </c>
      <c r="AP115" s="1067">
        <v>0.27500000000000002</v>
      </c>
      <c r="AQ115" s="1111">
        <v>0.27500000000000002</v>
      </c>
      <c r="AR115" s="1111">
        <v>0.27500000000000002</v>
      </c>
      <c r="AS115" s="1111">
        <v>0.27500000000000002</v>
      </c>
      <c r="AT115" s="1111">
        <v>0.27500000000000002</v>
      </c>
      <c r="AU115" s="1067">
        <v>0.27500000000000002</v>
      </c>
      <c r="AV115" s="1111">
        <v>0.27500000000000002</v>
      </c>
      <c r="AW115" s="1111">
        <v>0.27500000000000002</v>
      </c>
      <c r="AX115" s="1111">
        <v>0.27500000000000002</v>
      </c>
      <c r="AY115" s="1111">
        <v>0.27500000000000002</v>
      </c>
      <c r="AZ115" s="1067">
        <v>0.27500000000000002</v>
      </c>
      <c r="BA115" s="1111">
        <v>0.27500000000000002</v>
      </c>
      <c r="BB115" s="1111">
        <v>0.27500000000000002</v>
      </c>
      <c r="BC115" s="1111">
        <v>0.27500000000000002</v>
      </c>
      <c r="BD115" s="1111">
        <v>0.27500000000000002</v>
      </c>
      <c r="BE115" s="1067">
        <v>0.27500000000000002</v>
      </c>
      <c r="BF115" s="2826">
        <v>0.27500000000000002</v>
      </c>
      <c r="BG115" s="1111">
        <v>0.27500000000000002</v>
      </c>
      <c r="BH115" s="1111">
        <v>0.27500000000000002</v>
      </c>
      <c r="BI115" s="2827">
        <v>0.27500000000000002</v>
      </c>
      <c r="BJ115" s="1067">
        <v>0.27500000000000002</v>
      </c>
      <c r="BK115" s="2826">
        <v>0.27500000000000002</v>
      </c>
      <c r="BL115" s="1111">
        <v>0.27500000000000002</v>
      </c>
      <c r="BM115" s="1111">
        <v>0.27500000000000002</v>
      </c>
      <c r="BN115" s="2827">
        <v>0.27500000000000002</v>
      </c>
      <c r="BO115" s="1067">
        <v>0.27500000000000002</v>
      </c>
      <c r="BP115" s="2826">
        <v>0.27500000000000002</v>
      </c>
      <c r="BQ115" s="1111">
        <v>0.27500000000000002</v>
      </c>
      <c r="BR115" s="1111">
        <v>0.27500000000000002</v>
      </c>
      <c r="BS115" s="2827">
        <v>0.27500000000000002</v>
      </c>
      <c r="BT115" s="1067">
        <v>0.27500000000000002</v>
      </c>
      <c r="BU115" s="1067">
        <v>0.27500000000000002</v>
      </c>
      <c r="BV115" s="1067">
        <v>0.27500000000000002</v>
      </c>
      <c r="BW115" s="1067">
        <v>0.27500000000000002</v>
      </c>
      <c r="BX115" s="1067">
        <v>0.27500000000000002</v>
      </c>
      <c r="BY115" s="1067">
        <v>0.27500000000000002</v>
      </c>
      <c r="BZ115" s="1067">
        <v>0.27500000000000002</v>
      </c>
      <c r="CA115" s="1067">
        <v>0.27500000000000002</v>
      </c>
      <c r="CB115" s="1067">
        <v>0.27500000000000002</v>
      </c>
    </row>
    <row r="116" spans="1:80">
      <c r="A116" s="176">
        <v>4</v>
      </c>
      <c r="B116" s="176"/>
      <c r="C116" s="1066">
        <v>0.375</v>
      </c>
      <c r="D116" s="1066">
        <v>0.375</v>
      </c>
      <c r="E116" s="1066">
        <v>0.375</v>
      </c>
      <c r="F116" s="1066">
        <v>0.375</v>
      </c>
      <c r="G116" s="1067">
        <v>0.375</v>
      </c>
      <c r="H116" s="1066">
        <v>0.375</v>
      </c>
      <c r="I116" s="1066">
        <v>0.375</v>
      </c>
      <c r="J116" s="1111">
        <v>0.32500000000000001</v>
      </c>
      <c r="K116" s="1111">
        <v>0.32500000000000001</v>
      </c>
      <c r="L116" s="1067">
        <v>0.32500000000000001</v>
      </c>
      <c r="M116" s="1111">
        <v>0.32500000000000001</v>
      </c>
      <c r="N116" s="1111">
        <v>0.32500000000000001</v>
      </c>
      <c r="O116" s="1111">
        <v>0.32500000000000001</v>
      </c>
      <c r="P116" s="1111">
        <v>0.32500000000000001</v>
      </c>
      <c r="Q116" s="1067">
        <v>0.32500000000000001</v>
      </c>
      <c r="R116" s="1111">
        <v>0.32500000000000001</v>
      </c>
      <c r="S116" s="1111">
        <v>0.32500000000000001</v>
      </c>
      <c r="T116" s="1111">
        <v>0.32500000000000001</v>
      </c>
      <c r="U116" s="1111">
        <v>0.32500000000000001</v>
      </c>
      <c r="V116" s="1067">
        <v>0.32500000000000001</v>
      </c>
      <c r="W116" s="1111">
        <v>0.32500000000000001</v>
      </c>
      <c r="X116" s="1111">
        <v>0.32500000000000001</v>
      </c>
      <c r="Y116" s="1111">
        <v>0.32500000000000001</v>
      </c>
      <c r="Z116" s="1111">
        <v>0.32500000000000001</v>
      </c>
      <c r="AA116" s="1067">
        <v>0.32500000000000001</v>
      </c>
      <c r="AB116" s="1111">
        <v>0.32500000000000001</v>
      </c>
      <c r="AC116" s="1111">
        <v>0.32500000000000001</v>
      </c>
      <c r="AD116" s="1111">
        <v>0.32500000000000001</v>
      </c>
      <c r="AE116" s="1111">
        <v>0.32500000000000001</v>
      </c>
      <c r="AF116" s="1067">
        <v>0.32500000000000001</v>
      </c>
      <c r="AG116" s="1111">
        <v>0.32500000000000001</v>
      </c>
      <c r="AH116" s="1111">
        <v>0.32500000000000001</v>
      </c>
      <c r="AI116" s="1111">
        <v>0.32500000000000001</v>
      </c>
      <c r="AJ116" s="1111">
        <v>0.32500000000000001</v>
      </c>
      <c r="AK116" s="1067">
        <v>0.32500000000000001</v>
      </c>
      <c r="AL116" s="1111">
        <v>0.32500000000000001</v>
      </c>
      <c r="AM116" s="1111">
        <v>0.32500000000000001</v>
      </c>
      <c r="AN116" s="1111">
        <v>0.32500000000000001</v>
      </c>
      <c r="AO116" s="1111">
        <v>0.32500000000000001</v>
      </c>
      <c r="AP116" s="1067">
        <v>0.32500000000000001</v>
      </c>
      <c r="AQ116" s="1111">
        <v>0.32500000000000001</v>
      </c>
      <c r="AR116" s="1111">
        <v>0.32500000000000001</v>
      </c>
      <c r="AS116" s="1111">
        <v>0.32500000000000001</v>
      </c>
      <c r="AT116" s="1111">
        <v>0.32500000000000001</v>
      </c>
      <c r="AU116" s="1067">
        <v>0.32500000000000001</v>
      </c>
      <c r="AV116" s="1111">
        <v>0.32500000000000001</v>
      </c>
      <c r="AW116" s="1111">
        <v>0.32500000000000001</v>
      </c>
      <c r="AX116" s="1111">
        <v>0.32500000000000001</v>
      </c>
      <c r="AY116" s="1111">
        <v>0.32500000000000001</v>
      </c>
      <c r="AZ116" s="1067">
        <v>0.32500000000000001</v>
      </c>
      <c r="BA116" s="1111">
        <v>0.32500000000000001</v>
      </c>
      <c r="BB116" s="1111">
        <v>0.32500000000000001</v>
      </c>
      <c r="BC116" s="1111">
        <v>0.32500000000000001</v>
      </c>
      <c r="BD116" s="1111">
        <v>0.32500000000000001</v>
      </c>
      <c r="BE116" s="1067">
        <v>0.32500000000000001</v>
      </c>
      <c r="BF116" s="2826">
        <v>0.32500000000000001</v>
      </c>
      <c r="BG116" s="1111">
        <v>0.32500000000000001</v>
      </c>
      <c r="BH116" s="1111">
        <v>0.32500000000000001</v>
      </c>
      <c r="BI116" s="2827">
        <v>0.32500000000000001</v>
      </c>
      <c r="BJ116" s="1067">
        <v>0.32500000000000001</v>
      </c>
      <c r="BK116" s="2826">
        <v>0.32500000000000001</v>
      </c>
      <c r="BL116" s="1111">
        <v>0.32500000000000001</v>
      </c>
      <c r="BM116" s="1111">
        <v>0.32500000000000001</v>
      </c>
      <c r="BN116" s="2827">
        <v>0.32500000000000001</v>
      </c>
      <c r="BO116" s="1067">
        <v>0.32500000000000001</v>
      </c>
      <c r="BP116" s="2826">
        <v>0.32500000000000001</v>
      </c>
      <c r="BQ116" s="1111">
        <v>0.32500000000000001</v>
      </c>
      <c r="BR116" s="1111">
        <v>0.32500000000000001</v>
      </c>
      <c r="BS116" s="2827">
        <v>0.32500000000000001</v>
      </c>
      <c r="BT116" s="1067">
        <v>0.32500000000000001</v>
      </c>
      <c r="BU116" s="1067">
        <v>0.32500000000000001</v>
      </c>
      <c r="BV116" s="1067">
        <v>0.32500000000000001</v>
      </c>
      <c r="BW116" s="1067">
        <v>0.32500000000000001</v>
      </c>
      <c r="BX116" s="1067">
        <v>0.32500000000000001</v>
      </c>
      <c r="BY116" s="1067">
        <v>0.32500000000000001</v>
      </c>
      <c r="BZ116" s="1067">
        <v>0.32500000000000001</v>
      </c>
      <c r="CA116" s="1067">
        <v>0.32500000000000001</v>
      </c>
      <c r="CB116" s="1067">
        <v>0.32500000000000001</v>
      </c>
    </row>
    <row r="117" spans="1:80">
      <c r="A117" s="176">
        <v>5</v>
      </c>
      <c r="B117" s="176"/>
      <c r="C117" s="1066">
        <v>0.45</v>
      </c>
      <c r="D117" s="1066">
        <v>0.45</v>
      </c>
      <c r="E117" s="1066">
        <v>0.45</v>
      </c>
      <c r="F117" s="1066">
        <v>0.45</v>
      </c>
      <c r="G117" s="1067">
        <v>0.45</v>
      </c>
      <c r="H117" s="1066">
        <v>0.45</v>
      </c>
      <c r="I117" s="1066">
        <v>0.45</v>
      </c>
      <c r="J117" s="1111">
        <v>0.375</v>
      </c>
      <c r="K117" s="1111">
        <v>0.375</v>
      </c>
      <c r="L117" s="1067">
        <v>0.375</v>
      </c>
      <c r="M117" s="1111">
        <v>0.375</v>
      </c>
      <c r="N117" s="1111">
        <v>0.375</v>
      </c>
      <c r="O117" s="1111">
        <v>0.375</v>
      </c>
      <c r="P117" s="1111">
        <v>0.375</v>
      </c>
      <c r="Q117" s="1067">
        <v>0.375</v>
      </c>
      <c r="R117" s="1111">
        <v>0.375</v>
      </c>
      <c r="S117" s="1111">
        <v>0.375</v>
      </c>
      <c r="T117" s="1111">
        <v>0.375</v>
      </c>
      <c r="U117" s="1111">
        <v>0.375</v>
      </c>
      <c r="V117" s="1067">
        <v>0.375</v>
      </c>
      <c r="W117" s="1111">
        <v>0.375</v>
      </c>
      <c r="X117" s="1111">
        <v>0.375</v>
      </c>
      <c r="Y117" s="1111">
        <v>0.375</v>
      </c>
      <c r="Z117" s="1111">
        <v>0.375</v>
      </c>
      <c r="AA117" s="1067">
        <v>0.375</v>
      </c>
      <c r="AB117" s="1111">
        <v>0.375</v>
      </c>
      <c r="AC117" s="1111">
        <v>0.375</v>
      </c>
      <c r="AD117" s="1111">
        <v>0.375</v>
      </c>
      <c r="AE117" s="1111">
        <v>0.375</v>
      </c>
      <c r="AF117" s="1067">
        <v>0.375</v>
      </c>
      <c r="AG117" s="1111">
        <v>0.375</v>
      </c>
      <c r="AH117" s="1111">
        <v>0.375</v>
      </c>
      <c r="AI117" s="1111">
        <v>0.375</v>
      </c>
      <c r="AJ117" s="1111">
        <v>0.375</v>
      </c>
      <c r="AK117" s="1067">
        <v>0.375</v>
      </c>
      <c r="AL117" s="1111">
        <v>0.375</v>
      </c>
      <c r="AM117" s="1111">
        <v>0.375</v>
      </c>
      <c r="AN117" s="1111">
        <v>0.375</v>
      </c>
      <c r="AO117" s="1111">
        <v>0.375</v>
      </c>
      <c r="AP117" s="1067">
        <v>0.375</v>
      </c>
      <c r="AQ117" s="1111">
        <v>0.375</v>
      </c>
      <c r="AR117" s="1111">
        <v>0.375</v>
      </c>
      <c r="AS117" s="1111">
        <v>0.375</v>
      </c>
      <c r="AT117" s="1111">
        <v>0.375</v>
      </c>
      <c r="AU117" s="1067">
        <v>0.375</v>
      </c>
      <c r="AV117" s="1111">
        <v>0.375</v>
      </c>
      <c r="AW117" s="1111">
        <v>0.375</v>
      </c>
      <c r="AX117" s="1111">
        <v>0.375</v>
      </c>
      <c r="AY117" s="1111">
        <v>0.375</v>
      </c>
      <c r="AZ117" s="1067">
        <v>0.375</v>
      </c>
      <c r="BA117" s="1111">
        <v>0.375</v>
      </c>
      <c r="BB117" s="1111">
        <v>0.375</v>
      </c>
      <c r="BC117" s="1111">
        <v>0.375</v>
      </c>
      <c r="BD117" s="1111">
        <v>0.375</v>
      </c>
      <c r="BE117" s="1067">
        <v>0.375</v>
      </c>
      <c r="BF117" s="2826">
        <v>0.375</v>
      </c>
      <c r="BG117" s="1111">
        <v>0.375</v>
      </c>
      <c r="BH117" s="1111">
        <v>0.375</v>
      </c>
      <c r="BI117" s="2827">
        <v>0.375</v>
      </c>
      <c r="BJ117" s="1067">
        <v>0.375</v>
      </c>
      <c r="BK117" s="2826">
        <v>0.375</v>
      </c>
      <c r="BL117" s="1111">
        <v>0.375</v>
      </c>
      <c r="BM117" s="1111">
        <v>0.375</v>
      </c>
      <c r="BN117" s="2827">
        <v>0.375</v>
      </c>
      <c r="BO117" s="1067">
        <v>0.375</v>
      </c>
      <c r="BP117" s="2826">
        <v>0.375</v>
      </c>
      <c r="BQ117" s="1111">
        <v>0.375</v>
      </c>
      <c r="BR117" s="1111">
        <v>0.375</v>
      </c>
      <c r="BS117" s="2827">
        <v>0.375</v>
      </c>
      <c r="BT117" s="1067">
        <v>0.375</v>
      </c>
      <c r="BU117" s="1067">
        <v>0.375</v>
      </c>
      <c r="BV117" s="1067">
        <v>0.375</v>
      </c>
      <c r="BW117" s="1067">
        <v>0.375</v>
      </c>
      <c r="BX117" s="1067">
        <v>0.375</v>
      </c>
      <c r="BY117" s="1067">
        <v>0.375</v>
      </c>
      <c r="BZ117" s="1067">
        <v>0.375</v>
      </c>
      <c r="CA117" s="1067">
        <v>0.375</v>
      </c>
      <c r="CB117" s="1067">
        <v>0.375</v>
      </c>
    </row>
    <row r="118" spans="1:80">
      <c r="A118" s="176">
        <v>6</v>
      </c>
      <c r="B118" s="176"/>
      <c r="C118" s="1066">
        <v>0.5</v>
      </c>
      <c r="D118" s="1066">
        <v>0.5</v>
      </c>
      <c r="E118" s="1066">
        <v>0.5</v>
      </c>
      <c r="F118" s="1066">
        <v>0.5</v>
      </c>
      <c r="G118" s="1067">
        <v>0.5</v>
      </c>
      <c r="H118" s="1066">
        <v>0.5</v>
      </c>
      <c r="I118" s="1066">
        <v>0.5</v>
      </c>
      <c r="J118" s="1111">
        <v>0.45</v>
      </c>
      <c r="K118" s="1111">
        <v>0.45</v>
      </c>
      <c r="L118" s="1067">
        <v>0.45</v>
      </c>
      <c r="M118" s="1111">
        <v>0.45</v>
      </c>
      <c r="N118" s="1111">
        <v>0.45</v>
      </c>
      <c r="O118" s="1111">
        <v>0.45</v>
      </c>
      <c r="P118" s="1111">
        <v>0.45</v>
      </c>
      <c r="Q118" s="1067">
        <v>0.45</v>
      </c>
      <c r="R118" s="1111">
        <v>0.45</v>
      </c>
      <c r="S118" s="1111">
        <v>0.45</v>
      </c>
      <c r="T118" s="1111">
        <v>0.45</v>
      </c>
      <c r="U118" s="1111">
        <v>0.45</v>
      </c>
      <c r="V118" s="1067">
        <v>0.45</v>
      </c>
      <c r="W118" s="1111">
        <v>0.45</v>
      </c>
      <c r="X118" s="1111">
        <v>0.45</v>
      </c>
      <c r="Y118" s="1111">
        <v>0.45</v>
      </c>
      <c r="Z118" s="1111">
        <v>0.45</v>
      </c>
      <c r="AA118" s="1067">
        <v>0.45</v>
      </c>
      <c r="AB118" s="1111">
        <v>0.45</v>
      </c>
      <c r="AC118" s="1111">
        <v>0.45</v>
      </c>
      <c r="AD118" s="1111">
        <v>0.45</v>
      </c>
      <c r="AE118" s="1111">
        <v>0.45</v>
      </c>
      <c r="AF118" s="1067">
        <v>0.45</v>
      </c>
      <c r="AG118" s="1111">
        <v>0.45</v>
      </c>
      <c r="AH118" s="1111">
        <v>0.45</v>
      </c>
      <c r="AI118" s="1111">
        <v>0.45</v>
      </c>
      <c r="AJ118" s="1111">
        <v>0.45</v>
      </c>
      <c r="AK118" s="1067">
        <v>0.45</v>
      </c>
      <c r="AL118" s="1111">
        <v>0.45</v>
      </c>
      <c r="AM118" s="1111">
        <v>0.45</v>
      </c>
      <c r="AN118" s="1111">
        <v>0.45</v>
      </c>
      <c r="AO118" s="1111">
        <v>0.45</v>
      </c>
      <c r="AP118" s="1067">
        <v>0.45</v>
      </c>
      <c r="AQ118" s="1111">
        <v>0.45</v>
      </c>
      <c r="AR118" s="1111">
        <v>0.45</v>
      </c>
      <c r="AS118" s="1111">
        <v>0.45</v>
      </c>
      <c r="AT118" s="1111">
        <v>0.45</v>
      </c>
      <c r="AU118" s="1067">
        <v>0.45</v>
      </c>
      <c r="AV118" s="1111">
        <v>0.45</v>
      </c>
      <c r="AW118" s="1111">
        <v>0.45</v>
      </c>
      <c r="AX118" s="1111">
        <v>0.45</v>
      </c>
      <c r="AY118" s="1111">
        <v>0.45</v>
      </c>
      <c r="AZ118" s="1067">
        <v>0.45</v>
      </c>
      <c r="BA118" s="1111">
        <v>0.45</v>
      </c>
      <c r="BB118" s="1111">
        <v>0.45</v>
      </c>
      <c r="BC118" s="1111">
        <v>0.45</v>
      </c>
      <c r="BD118" s="1111">
        <v>0.45</v>
      </c>
      <c r="BE118" s="1067">
        <v>0.45</v>
      </c>
      <c r="BF118" s="2826">
        <v>0.45</v>
      </c>
      <c r="BG118" s="1111">
        <v>0.45</v>
      </c>
      <c r="BH118" s="1111">
        <v>0.45</v>
      </c>
      <c r="BI118" s="2827">
        <v>0.45</v>
      </c>
      <c r="BJ118" s="1067">
        <v>0.45</v>
      </c>
      <c r="BK118" s="2826">
        <v>0.45</v>
      </c>
      <c r="BL118" s="1111">
        <v>0.45</v>
      </c>
      <c r="BM118" s="1111">
        <v>0.45</v>
      </c>
      <c r="BN118" s="2827">
        <v>0.45</v>
      </c>
      <c r="BO118" s="1067">
        <v>0.45</v>
      </c>
      <c r="BP118" s="2826">
        <v>0.45</v>
      </c>
      <c r="BQ118" s="1111">
        <v>0.45</v>
      </c>
      <c r="BR118" s="1111">
        <v>0.45</v>
      </c>
      <c r="BS118" s="2827">
        <v>0.45</v>
      </c>
      <c r="BT118" s="1067">
        <v>0.45</v>
      </c>
      <c r="BU118" s="1067">
        <v>0.45</v>
      </c>
      <c r="BV118" s="1067">
        <v>0.45</v>
      </c>
      <c r="BW118" s="1067">
        <v>0.45</v>
      </c>
      <c r="BX118" s="1067">
        <v>0.45</v>
      </c>
      <c r="BY118" s="1067">
        <v>0.45</v>
      </c>
      <c r="BZ118" s="1067">
        <v>0.45</v>
      </c>
      <c r="CA118" s="1067">
        <v>0.45</v>
      </c>
      <c r="CB118" s="1067">
        <v>0.45</v>
      </c>
    </row>
    <row r="119" spans="1:80" ht="12" customHeight="1">
      <c r="A119" s="176">
        <v>7</v>
      </c>
      <c r="B119" s="176"/>
      <c r="C119" s="1066">
        <v>0.7</v>
      </c>
      <c r="D119" s="1066">
        <v>0.7</v>
      </c>
      <c r="E119" s="1066">
        <v>0.7</v>
      </c>
      <c r="F119" s="1066">
        <v>0.7</v>
      </c>
      <c r="G119" s="1067">
        <v>0.7</v>
      </c>
      <c r="H119" s="1066">
        <v>0.7</v>
      </c>
      <c r="I119" s="1066">
        <v>0.7</v>
      </c>
      <c r="J119" s="1111">
        <v>0.5</v>
      </c>
      <c r="K119" s="1111">
        <v>0.5</v>
      </c>
      <c r="L119" s="1067">
        <v>0.5</v>
      </c>
      <c r="M119" s="1111">
        <v>0.5</v>
      </c>
      <c r="N119" s="1111">
        <v>0.5</v>
      </c>
      <c r="O119" s="1111">
        <v>0.5</v>
      </c>
      <c r="P119" s="1111">
        <v>0.5</v>
      </c>
      <c r="Q119" s="1067">
        <v>0.5</v>
      </c>
      <c r="R119" s="1111">
        <v>0.5</v>
      </c>
      <c r="S119" s="1111">
        <v>0.5</v>
      </c>
      <c r="T119" s="1111">
        <v>0.5</v>
      </c>
      <c r="U119" s="1111">
        <v>0.5</v>
      </c>
      <c r="V119" s="1067">
        <v>0.5</v>
      </c>
      <c r="W119" s="1111">
        <v>0.5</v>
      </c>
      <c r="X119" s="1111">
        <v>0.5</v>
      </c>
      <c r="Y119" s="1111">
        <v>0.5</v>
      </c>
      <c r="Z119" s="1111">
        <v>0.5</v>
      </c>
      <c r="AA119" s="1067">
        <v>0.5</v>
      </c>
      <c r="AB119" s="1111">
        <v>0.5</v>
      </c>
      <c r="AC119" s="1111">
        <v>0.5</v>
      </c>
      <c r="AD119" s="1111">
        <v>0.5</v>
      </c>
      <c r="AE119" s="1111">
        <v>0.5</v>
      </c>
      <c r="AF119" s="1067">
        <v>0.5</v>
      </c>
      <c r="AG119" s="1111">
        <v>0.5</v>
      </c>
      <c r="AH119" s="1111">
        <v>0.5</v>
      </c>
      <c r="AI119" s="1111">
        <v>0.5</v>
      </c>
      <c r="AJ119" s="1111">
        <v>0.5</v>
      </c>
      <c r="AK119" s="1067">
        <v>0.5</v>
      </c>
      <c r="AL119" s="1111">
        <v>0.5</v>
      </c>
      <c r="AM119" s="1111">
        <v>0.5</v>
      </c>
      <c r="AN119" s="1111">
        <v>0.5</v>
      </c>
      <c r="AO119" s="1111">
        <v>0.5</v>
      </c>
      <c r="AP119" s="1067">
        <v>0.5</v>
      </c>
      <c r="AQ119" s="1111">
        <v>0.5</v>
      </c>
      <c r="AR119" s="1111">
        <v>0.5</v>
      </c>
      <c r="AS119" s="1111">
        <v>0.5</v>
      </c>
      <c r="AT119" s="1111">
        <v>0.5</v>
      </c>
      <c r="AU119" s="1067">
        <v>0.5</v>
      </c>
      <c r="AV119" s="1111">
        <v>0.5</v>
      </c>
      <c r="AW119" s="1111">
        <v>0.5</v>
      </c>
      <c r="AX119" s="1111">
        <v>0.5</v>
      </c>
      <c r="AY119" s="1111">
        <v>0.5</v>
      </c>
      <c r="AZ119" s="1067">
        <v>0.5</v>
      </c>
      <c r="BA119" s="1111">
        <v>0.5</v>
      </c>
      <c r="BB119" s="1111">
        <v>0.5</v>
      </c>
      <c r="BC119" s="1111">
        <v>0.5</v>
      </c>
      <c r="BD119" s="1111">
        <v>0.5</v>
      </c>
      <c r="BE119" s="1067">
        <v>0.5</v>
      </c>
      <c r="BF119" s="2826">
        <v>0.5</v>
      </c>
      <c r="BG119" s="1111">
        <v>0.5</v>
      </c>
      <c r="BH119" s="1111">
        <v>0.5</v>
      </c>
      <c r="BI119" s="2827">
        <v>0.5</v>
      </c>
      <c r="BJ119" s="1067">
        <v>0.5</v>
      </c>
      <c r="BK119" s="2826">
        <v>0.5</v>
      </c>
      <c r="BL119" s="1111">
        <v>0.5</v>
      </c>
      <c r="BM119" s="1111">
        <v>0.5</v>
      </c>
      <c r="BN119" s="2827">
        <v>0.5</v>
      </c>
      <c r="BO119" s="1067">
        <v>0.5</v>
      </c>
      <c r="BP119" s="2826">
        <v>0.5</v>
      </c>
      <c r="BQ119" s="1111">
        <v>0.5</v>
      </c>
      <c r="BR119" s="1111">
        <v>0.5</v>
      </c>
      <c r="BS119" s="2827">
        <v>0.5</v>
      </c>
      <c r="BT119" s="1067">
        <v>0.5</v>
      </c>
      <c r="BU119" s="1067">
        <v>0.5</v>
      </c>
      <c r="BV119" s="1067">
        <v>0.5</v>
      </c>
      <c r="BW119" s="1067">
        <v>0.5</v>
      </c>
      <c r="BX119" s="1067">
        <v>0.5</v>
      </c>
      <c r="BY119" s="1067">
        <v>0.5</v>
      </c>
      <c r="BZ119" s="1067">
        <v>0.5</v>
      </c>
      <c r="CA119" s="1067">
        <v>0.5</v>
      </c>
      <c r="CB119" s="1067">
        <v>0.5</v>
      </c>
    </row>
    <row r="120" spans="1:80" ht="12" customHeight="1">
      <c r="A120" s="176"/>
      <c r="B120" s="176"/>
      <c r="C120" s="1111"/>
      <c r="D120" s="1111"/>
      <c r="E120" s="1111"/>
      <c r="F120" s="1111"/>
      <c r="G120" s="1067"/>
      <c r="H120" s="1111"/>
      <c r="I120" s="1111"/>
      <c r="J120" s="1111"/>
      <c r="K120" s="1111"/>
      <c r="L120" s="1067"/>
      <c r="M120" s="1111"/>
      <c r="N120" s="1111"/>
      <c r="O120" s="1111"/>
      <c r="P120" s="1111"/>
      <c r="Q120" s="1067"/>
      <c r="R120" s="1111"/>
      <c r="S120" s="1111"/>
      <c r="T120" s="1111"/>
      <c r="U120" s="1111"/>
      <c r="V120" s="1067"/>
      <c r="W120" s="1111"/>
      <c r="X120" s="1111"/>
      <c r="Y120" s="1111"/>
      <c r="Z120" s="1111"/>
      <c r="AA120" s="1067"/>
      <c r="AB120" s="1111"/>
      <c r="AC120" s="1111"/>
      <c r="AD120" s="1111"/>
      <c r="AE120" s="1111"/>
      <c r="AF120" s="1067"/>
      <c r="AG120" s="1111"/>
      <c r="AH120" s="1111"/>
      <c r="AI120" s="1111"/>
      <c r="AJ120" s="1111"/>
      <c r="AK120" s="1067"/>
      <c r="AL120" s="1111"/>
      <c r="AM120" s="1111"/>
      <c r="AN120" s="1111"/>
      <c r="AO120" s="1111"/>
      <c r="AP120" s="1067"/>
      <c r="AQ120" s="1111"/>
      <c r="AR120" s="1111"/>
      <c r="AS120" s="1111"/>
      <c r="AT120" s="1111"/>
      <c r="AU120" s="1067"/>
      <c r="AV120" s="1111"/>
      <c r="AW120" s="1111"/>
      <c r="AX120" s="1111"/>
      <c r="AY120" s="1111"/>
      <c r="AZ120" s="1067"/>
      <c r="BA120" s="1111"/>
      <c r="BB120" s="1111"/>
      <c r="BC120" s="1111"/>
      <c r="BD120" s="1111"/>
      <c r="BE120" s="1067"/>
      <c r="BF120" s="2826"/>
      <c r="BG120" s="1111"/>
      <c r="BH120" s="1111"/>
      <c r="BI120" s="2827"/>
      <c r="BJ120" s="1067"/>
      <c r="BK120" s="2826"/>
      <c r="BL120" s="1111"/>
      <c r="BM120" s="1111"/>
      <c r="BN120" s="2827"/>
      <c r="BO120" s="1067"/>
      <c r="BP120" s="2826"/>
      <c r="BQ120" s="1111"/>
      <c r="BR120" s="1111"/>
      <c r="BS120" s="2827"/>
      <c r="BT120" s="1067"/>
      <c r="BU120" s="1067"/>
      <c r="BV120" s="1067"/>
      <c r="BW120" s="1067"/>
      <c r="BX120" s="1067"/>
      <c r="BY120" s="1067"/>
      <c r="BZ120" s="1067"/>
      <c r="CA120" s="1067"/>
      <c r="CB120" s="1067"/>
    </row>
    <row r="121" spans="1:80" ht="12" customHeight="1">
      <c r="A121" s="176" t="s">
        <v>1354</v>
      </c>
      <c r="B121" s="176"/>
      <c r="C121" s="1068">
        <v>4</v>
      </c>
      <c r="D121" s="1068">
        <v>4</v>
      </c>
      <c r="E121" s="1068">
        <v>4</v>
      </c>
      <c r="F121" s="1068">
        <v>4</v>
      </c>
      <c r="G121" s="1069">
        <v>4</v>
      </c>
      <c r="H121" s="1068">
        <v>4</v>
      </c>
      <c r="I121" s="1068">
        <v>4</v>
      </c>
      <c r="J121" s="1068">
        <v>3</v>
      </c>
      <c r="K121" s="1068">
        <v>3</v>
      </c>
      <c r="L121" s="1069"/>
      <c r="M121" s="1068">
        <v>3</v>
      </c>
      <c r="N121" s="1068">
        <v>3</v>
      </c>
      <c r="O121" s="1068">
        <v>3</v>
      </c>
      <c r="P121" s="1068">
        <v>3</v>
      </c>
      <c r="Q121" s="1069">
        <v>3</v>
      </c>
      <c r="R121" s="1068">
        <v>3</v>
      </c>
      <c r="S121" s="1068">
        <v>3</v>
      </c>
      <c r="T121" s="1068">
        <v>3</v>
      </c>
      <c r="U121" s="1068">
        <v>3</v>
      </c>
      <c r="V121" s="1069">
        <v>3</v>
      </c>
      <c r="W121" s="1068">
        <v>3</v>
      </c>
      <c r="X121" s="1068">
        <v>3</v>
      </c>
      <c r="Y121" s="1068">
        <v>3</v>
      </c>
      <c r="Z121" s="1068">
        <v>3</v>
      </c>
      <c r="AA121" s="1069">
        <v>3</v>
      </c>
      <c r="AB121" s="1068">
        <v>3</v>
      </c>
      <c r="AC121" s="1068">
        <v>3</v>
      </c>
      <c r="AD121" s="1068">
        <v>3</v>
      </c>
      <c r="AE121" s="1068">
        <v>3</v>
      </c>
      <c r="AF121" s="1069">
        <v>3</v>
      </c>
      <c r="AG121" s="1068">
        <v>3</v>
      </c>
      <c r="AH121" s="1068">
        <v>3</v>
      </c>
      <c r="AI121" s="1068">
        <v>3</v>
      </c>
      <c r="AJ121" s="1068">
        <v>3</v>
      </c>
      <c r="AK121" s="1069">
        <v>3</v>
      </c>
      <c r="AL121" s="1068">
        <v>3</v>
      </c>
      <c r="AM121" s="1068">
        <v>3</v>
      </c>
      <c r="AN121" s="1068">
        <v>3</v>
      </c>
      <c r="AO121" s="1068">
        <v>3</v>
      </c>
      <c r="AP121" s="1069">
        <v>3</v>
      </c>
      <c r="AQ121" s="1068">
        <v>3</v>
      </c>
      <c r="AR121" s="1068">
        <v>3</v>
      </c>
      <c r="AS121" s="1068">
        <v>3</v>
      </c>
      <c r="AT121" s="1068">
        <v>3</v>
      </c>
      <c r="AU121" s="1069">
        <v>3</v>
      </c>
      <c r="AV121" s="1068">
        <v>3</v>
      </c>
      <c r="AW121" s="1068">
        <v>3</v>
      </c>
      <c r="AX121" s="1068">
        <v>3</v>
      </c>
      <c r="AY121" s="1068">
        <v>3</v>
      </c>
      <c r="AZ121" s="1069">
        <v>3</v>
      </c>
      <c r="BA121" s="1068">
        <v>3</v>
      </c>
      <c r="BB121" s="1068">
        <v>3</v>
      </c>
      <c r="BC121" s="1068">
        <v>3</v>
      </c>
      <c r="BD121" s="1068">
        <v>3</v>
      </c>
      <c r="BE121" s="1069">
        <v>3</v>
      </c>
      <c r="BF121" s="2828">
        <v>3</v>
      </c>
      <c r="BG121" s="1070">
        <v>3</v>
      </c>
      <c r="BH121" s="1070">
        <v>3</v>
      </c>
      <c r="BI121" s="2829">
        <v>3</v>
      </c>
      <c r="BJ121" s="1069">
        <v>3</v>
      </c>
      <c r="BK121" s="2828">
        <v>3</v>
      </c>
      <c r="BL121" s="1070">
        <v>3</v>
      </c>
      <c r="BM121" s="1070">
        <v>3</v>
      </c>
      <c r="BN121" s="2829">
        <v>3</v>
      </c>
      <c r="BO121" s="1069">
        <v>3</v>
      </c>
      <c r="BP121" s="2828">
        <v>3</v>
      </c>
      <c r="BQ121" s="1070">
        <v>3</v>
      </c>
      <c r="BR121" s="1070">
        <v>3</v>
      </c>
      <c r="BS121" s="2829">
        <v>3</v>
      </c>
      <c r="BT121" s="1069">
        <v>3</v>
      </c>
      <c r="BU121" s="1069">
        <v>3</v>
      </c>
      <c r="BV121" s="1069">
        <v>3</v>
      </c>
      <c r="BW121" s="1069">
        <v>3</v>
      </c>
      <c r="BX121" s="1069">
        <v>3</v>
      </c>
      <c r="BY121" s="1069">
        <v>3</v>
      </c>
      <c r="BZ121" s="1069">
        <v>3</v>
      </c>
      <c r="CA121" s="1069">
        <v>3</v>
      </c>
      <c r="CB121" s="1069">
        <v>3</v>
      </c>
    </row>
    <row r="122" spans="1:80" ht="12" customHeight="1">
      <c r="A122" s="2"/>
      <c r="B122" s="2"/>
      <c r="C122" s="292"/>
      <c r="D122" s="292"/>
      <c r="E122" s="292"/>
      <c r="F122" s="292"/>
      <c r="G122" s="1081"/>
      <c r="H122" s="292"/>
      <c r="I122" s="292"/>
      <c r="J122" s="292"/>
      <c r="K122" s="292"/>
      <c r="L122" s="1081"/>
      <c r="M122" s="292"/>
      <c r="N122" s="292"/>
      <c r="O122" s="292"/>
      <c r="P122" s="292"/>
      <c r="Q122" s="1081"/>
      <c r="R122" s="292"/>
      <c r="S122" s="292"/>
      <c r="T122" s="292"/>
      <c r="U122" s="292"/>
      <c r="V122" s="1081"/>
      <c r="W122" s="292"/>
      <c r="X122" s="292"/>
      <c r="Y122" s="292"/>
      <c r="Z122" s="292"/>
      <c r="AA122" s="1081"/>
      <c r="AB122" s="292"/>
      <c r="AC122" s="292"/>
      <c r="AD122" s="292"/>
      <c r="AE122" s="292"/>
      <c r="AF122" s="1081"/>
      <c r="AG122" s="292"/>
      <c r="AH122" s="292"/>
      <c r="AI122" s="292"/>
      <c r="AJ122" s="292"/>
      <c r="AK122" s="1081"/>
      <c r="AL122" s="292"/>
      <c r="AM122" s="292"/>
      <c r="AN122" s="292"/>
      <c r="AO122" s="1112"/>
      <c r="AP122" s="1112"/>
      <c r="AQ122" s="292"/>
      <c r="AR122" s="292"/>
      <c r="AS122" s="292"/>
      <c r="AT122" s="292"/>
      <c r="AU122" s="1081"/>
      <c r="AV122" s="292"/>
      <c r="AW122" s="292"/>
      <c r="AX122" s="292"/>
      <c r="AY122" s="292"/>
      <c r="AZ122" s="1081"/>
      <c r="BA122" s="292"/>
      <c r="BB122" s="292"/>
      <c r="BC122" s="292"/>
      <c r="BD122" s="292"/>
      <c r="BE122" s="1081"/>
      <c r="BF122" s="2833"/>
      <c r="BG122" s="292"/>
      <c r="BH122" s="292"/>
      <c r="BI122" s="1112"/>
      <c r="BJ122" s="1081"/>
      <c r="BK122" s="2833"/>
      <c r="BL122" s="292"/>
      <c r="BM122" s="292"/>
      <c r="BN122" s="1112"/>
      <c r="BO122" s="1081"/>
      <c r="BP122" s="2833"/>
      <c r="BQ122" s="292"/>
      <c r="BR122" s="292"/>
      <c r="BS122" s="1112"/>
      <c r="BT122" s="1081"/>
      <c r="BU122" s="1081"/>
      <c r="BV122" s="1081"/>
      <c r="BW122" s="1081"/>
      <c r="BX122" s="1081"/>
      <c r="BY122" s="1081"/>
      <c r="BZ122" s="1081"/>
      <c r="CA122" s="1081"/>
      <c r="CB122" s="1081"/>
    </row>
    <row r="123" spans="1:80" ht="12" customHeight="1">
      <c r="A123" s="1" t="s">
        <v>1316</v>
      </c>
      <c r="B123" s="1"/>
      <c r="C123" s="292"/>
      <c r="D123" s="292"/>
      <c r="E123" s="292"/>
      <c r="F123" s="292"/>
      <c r="G123" s="1081"/>
      <c r="H123" s="292"/>
      <c r="I123" s="292"/>
      <c r="J123" s="292"/>
      <c r="K123" s="292"/>
      <c r="L123" s="1081"/>
      <c r="M123" s="292"/>
      <c r="N123" s="292"/>
      <c r="O123" s="292"/>
      <c r="P123" s="292"/>
      <c r="Q123" s="1081"/>
      <c r="R123" s="292"/>
      <c r="S123" s="292"/>
      <c r="T123" s="292"/>
      <c r="U123" s="292"/>
      <c r="V123" s="1081"/>
      <c r="W123" s="292"/>
      <c r="X123" s="292"/>
      <c r="Y123" s="292"/>
      <c r="Z123" s="292"/>
      <c r="AA123" s="1081"/>
      <c r="AB123" s="292"/>
      <c r="AC123" s="292"/>
      <c r="AD123" s="292"/>
      <c r="AE123" s="292"/>
      <c r="AF123" s="1081"/>
      <c r="AG123" s="292"/>
      <c r="AH123" s="292"/>
      <c r="AI123" s="292"/>
      <c r="AJ123" s="292"/>
      <c r="AK123" s="1081"/>
      <c r="AL123" s="292"/>
      <c r="AM123" s="292"/>
      <c r="AN123" s="292"/>
      <c r="AO123" s="1112"/>
      <c r="AP123" s="1112"/>
      <c r="AQ123" s="292"/>
      <c r="AR123" s="292"/>
      <c r="AS123" s="292"/>
      <c r="AT123" s="292"/>
      <c r="AU123" s="1081"/>
      <c r="AV123" s="292"/>
      <c r="AW123" s="292"/>
      <c r="AX123" s="292"/>
      <c r="AY123" s="292"/>
      <c r="AZ123" s="1081"/>
      <c r="BA123" s="292"/>
      <c r="BB123" s="292"/>
      <c r="BC123" s="292"/>
      <c r="BD123" s="292"/>
      <c r="BE123" s="1081"/>
      <c r="BF123" s="2833"/>
      <c r="BG123" s="292"/>
      <c r="BH123" s="292"/>
      <c r="BI123" s="1112"/>
      <c r="BJ123" s="1081"/>
      <c r="BK123" s="2833"/>
      <c r="BL123" s="292"/>
      <c r="BM123" s="292"/>
      <c r="BN123" s="1112"/>
      <c r="BO123" s="1081"/>
      <c r="BP123" s="2833"/>
      <c r="BQ123" s="292"/>
      <c r="BR123" s="292"/>
      <c r="BS123" s="1112"/>
      <c r="BT123" s="1081"/>
      <c r="BU123" s="1081"/>
      <c r="BV123" s="1081"/>
      <c r="BW123" s="1081"/>
      <c r="BX123" s="1081"/>
      <c r="BY123" s="1081"/>
      <c r="BZ123" s="1081"/>
      <c r="CA123" s="1081"/>
      <c r="CB123" s="1081"/>
    </row>
    <row r="124" spans="1:80" ht="12" customHeight="1">
      <c r="A124" s="2" t="s">
        <v>1317</v>
      </c>
      <c r="B124" s="2"/>
      <c r="C124" s="1072">
        <f>BYD!D431</f>
        <v>33.914999999999999</v>
      </c>
      <c r="D124" s="1072">
        <f>BYD!E431</f>
        <v>32.475999999999999</v>
      </c>
      <c r="E124" s="1072">
        <f>BYD!F431</f>
        <v>33.766000000000005</v>
      </c>
      <c r="F124" s="1072">
        <f>BYD!G431</f>
        <v>31.893999999999998</v>
      </c>
      <c r="G124" s="1073">
        <f>BYD!H431</f>
        <v>132.05099999999999</v>
      </c>
      <c r="H124" s="1072">
        <f>BYD!I431</f>
        <v>33.913000000000004</v>
      </c>
      <c r="I124" s="1072">
        <f>BYD!J431</f>
        <v>32.766000000000005</v>
      </c>
      <c r="J124" s="1072">
        <f>BYD!K431</f>
        <v>33.733999999999995</v>
      </c>
      <c r="K124" s="1072">
        <f>BYD!L431</f>
        <v>32.308999999999997</v>
      </c>
      <c r="L124" s="1073">
        <f>BYD!M431</f>
        <v>132.72199999999998</v>
      </c>
      <c r="M124" s="1072">
        <f>BYD!N431</f>
        <v>35.328000000000003</v>
      </c>
      <c r="N124" s="1072">
        <f>BYD!O431</f>
        <v>32.372</v>
      </c>
      <c r="O124" s="1072">
        <f>BYD!P431</f>
        <v>32.256</v>
      </c>
      <c r="P124" s="1072">
        <f>BYD!Q431</f>
        <v>30.622999999999998</v>
      </c>
      <c r="Q124" s="1073">
        <f>BYD!R431</f>
        <v>130.57900000000001</v>
      </c>
      <c r="R124" s="1072">
        <f>BYD!S431</f>
        <v>32.514000000000003</v>
      </c>
      <c r="S124" s="1072">
        <f>BYD!T431</f>
        <v>34.938000000000002</v>
      </c>
      <c r="T124" s="1072">
        <f>BYD!U431</f>
        <v>34.278000000000006</v>
      </c>
      <c r="U124" s="1072">
        <f>BYD!V431</f>
        <v>31.036000000000001</v>
      </c>
      <c r="V124" s="1073">
        <f>BYD!W431</f>
        <v>132.76600000000002</v>
      </c>
      <c r="W124" s="1072">
        <f>BYD!X431</f>
        <v>30.305</v>
      </c>
      <c r="X124" s="1072">
        <f>BYD!Y431</f>
        <v>29.515000000000001</v>
      </c>
      <c r="Y124" s="1072">
        <f>BYD!Z431</f>
        <v>29.797000000000004</v>
      </c>
      <c r="Z124" s="1072">
        <f>BYD!AA431</f>
        <v>27.143000000000001</v>
      </c>
      <c r="AA124" s="1073">
        <f>BYD!AB431</f>
        <v>116.76</v>
      </c>
      <c r="AB124" s="1072">
        <f>BYD!AC431</f>
        <v>28.94</v>
      </c>
      <c r="AC124" s="1072">
        <f>BYD!AD431</f>
        <v>30.4</v>
      </c>
      <c r="AD124" s="1072">
        <f>BYD!AE431</f>
        <v>29.1</v>
      </c>
      <c r="AE124" s="1072">
        <f>BYD!AF431</f>
        <v>26.6</v>
      </c>
      <c r="AF124" s="1073">
        <f>BYD!AG431</f>
        <v>115.03999999999999</v>
      </c>
      <c r="AG124" s="1072">
        <f>BYD!AH431</f>
        <v>29.488</v>
      </c>
      <c r="AH124" s="1072">
        <f>BYD!AI431</f>
        <v>29.3</v>
      </c>
      <c r="AI124" s="1072">
        <f>BYD!AJ431</f>
        <v>29.155999999999999</v>
      </c>
      <c r="AJ124" s="1072">
        <f>BYD!AK431</f>
        <v>27.368000000000002</v>
      </c>
      <c r="AK124" s="1073">
        <f>BYD!AL431</f>
        <v>115.31199999999998</v>
      </c>
      <c r="AL124" s="1072">
        <f>BYD!AM431</f>
        <v>29.33</v>
      </c>
      <c r="AM124" s="1072">
        <f>BYD!AN431</f>
        <v>29.566000000000003</v>
      </c>
      <c r="AN124" s="1072">
        <f>BYD!AO431</f>
        <v>29.509</v>
      </c>
      <c r="AO124" s="1072">
        <f>BYD!AP431</f>
        <v>27.073999999999998</v>
      </c>
      <c r="AP124" s="1073">
        <f>BYD!AQ431</f>
        <v>115.479</v>
      </c>
      <c r="AQ124" s="1072">
        <f>BYD!AR431</f>
        <v>30.023000000000003</v>
      </c>
      <c r="AR124" s="1072">
        <f>BYD!AS431</f>
        <v>29.531000000000002</v>
      </c>
      <c r="AS124" s="1072">
        <f>BYD!AT431</f>
        <v>29.282</v>
      </c>
      <c r="AT124" s="1072">
        <f>BYD!AU431</f>
        <v>27.507183999999999</v>
      </c>
      <c r="AU124" s="1073">
        <f>BYD!AV431</f>
        <v>116.34318399999999</v>
      </c>
      <c r="AV124" s="1072">
        <f>BYD!AW431</f>
        <v>27.963186</v>
      </c>
      <c r="AW124" s="1072">
        <f>BYD!AX431</f>
        <v>27.320395000000001</v>
      </c>
      <c r="AX124" s="1072">
        <f>BYD!AY431</f>
        <v>27.722608000000001</v>
      </c>
      <c r="AY124" s="1072">
        <f>BYD!AZ431</f>
        <v>24.425797000000003</v>
      </c>
      <c r="AZ124" s="1073">
        <f>BYD!BA431</f>
        <v>107.43198600000001</v>
      </c>
      <c r="BA124" s="1072">
        <f>BYD!BB431</f>
        <v>23.940221000000001</v>
      </c>
      <c r="BB124" s="1072">
        <f>BYD!BC431</f>
        <v>24.079622000000001</v>
      </c>
      <c r="BC124" s="1072">
        <f>BYD!BD431</f>
        <v>23.662437000000001</v>
      </c>
      <c r="BD124" s="1072">
        <f>BYD!BE431</f>
        <v>22.257713000000003</v>
      </c>
      <c r="BE124" s="1073">
        <f>BYD!BF431</f>
        <v>93.939993000000015</v>
      </c>
      <c r="BF124" s="2830">
        <f>BYD!BG431</f>
        <v>23.899724999999997</v>
      </c>
      <c r="BG124" s="402">
        <f>BYD!BH431</f>
        <v>23.305405999999998</v>
      </c>
      <c r="BH124" s="402">
        <f>BYD!BI431</f>
        <v>22.390464999999999</v>
      </c>
      <c r="BI124" s="1121">
        <f>BYD!BJ431</f>
        <v>20.397407999999999</v>
      </c>
      <c r="BJ124" s="1073">
        <f>BYD!BK431</f>
        <v>89.993003999999999</v>
      </c>
      <c r="BK124" s="2830">
        <f>BYD!BL431</f>
        <v>22.183458000000002</v>
      </c>
      <c r="BL124" s="402">
        <f>BYD!BM431</f>
        <v>20.961190999999999</v>
      </c>
      <c r="BM124" s="402">
        <f>BYD!BN431</f>
        <v>20.6</v>
      </c>
      <c r="BN124" s="1121">
        <f>BYD!BO431</f>
        <v>18.703845000000001</v>
      </c>
      <c r="BO124" s="1073">
        <f>BYD!BP431</f>
        <v>82.448494000000011</v>
      </c>
      <c r="BP124" s="2830">
        <f>BYD!BQ431</f>
        <v>19.949541</v>
      </c>
      <c r="BQ124" s="402">
        <f>BYD!BR431</f>
        <v>19.680392000000001</v>
      </c>
      <c r="BR124" s="402">
        <f>BYD!BS431</f>
        <v>20.394666000000001</v>
      </c>
      <c r="BS124" s="1121">
        <f>BYD!BT431</f>
        <v>18.814981</v>
      </c>
      <c r="BT124" s="1073">
        <f>BYD!BU431</f>
        <v>78.839579999999998</v>
      </c>
      <c r="BU124" s="1073">
        <f>BYD!BZ431</f>
        <v>77.851688789999997</v>
      </c>
      <c r="BV124" s="1073">
        <f>BYD!CA431</f>
        <v>77.0731719021</v>
      </c>
      <c r="BW124" s="1073">
        <f>BYD!CB431</f>
        <v>77.0731719021</v>
      </c>
      <c r="BX124" s="1073">
        <f>BYD!CC431</f>
        <v>73.219513306994997</v>
      </c>
      <c r="BY124" s="1073">
        <f>BYD!CD431</f>
        <v>69.558537641645245</v>
      </c>
      <c r="BZ124" s="1073">
        <f>BYD!CE431</f>
        <v>70.949708394478151</v>
      </c>
      <c r="CA124" s="1073">
        <f>BYD!CF431</f>
        <v>72.368702562367716</v>
      </c>
      <c r="CB124" s="1073">
        <f>BYD!CG431</f>
        <v>73.816076613615067</v>
      </c>
    </row>
    <row r="125" spans="1:80" ht="12" customHeight="1">
      <c r="A125" s="2" t="s">
        <v>1315</v>
      </c>
      <c r="B125" s="2"/>
      <c r="C125" s="722">
        <v>416.93700000000001</v>
      </c>
      <c r="D125" s="722">
        <v>396.64</v>
      </c>
      <c r="E125" s="722">
        <v>448.51400000000001</v>
      </c>
      <c r="F125" s="722">
        <v>376.31399999999996</v>
      </c>
      <c r="G125" s="702">
        <f>SUM(C125:F125)</f>
        <v>1638.4049999999997</v>
      </c>
      <c r="H125" s="722">
        <v>397.03399999999999</v>
      </c>
      <c r="I125" s="722">
        <v>378.73699999999997</v>
      </c>
      <c r="J125" s="722">
        <v>380.75800000000004</v>
      </c>
      <c r="K125" s="722">
        <v>344.791</v>
      </c>
      <c r="L125" s="702">
        <f>SUM(H125:K125)</f>
        <v>1501.32</v>
      </c>
      <c r="M125" s="722">
        <v>365.02300000000002</v>
      </c>
      <c r="N125" s="722">
        <v>342.08300000000003</v>
      </c>
      <c r="O125" s="722">
        <v>348.08899999999994</v>
      </c>
      <c r="P125" s="722">
        <v>314.98399999999998</v>
      </c>
      <c r="Q125" s="702">
        <f>SUM(M125:P125)</f>
        <v>1370.1789999999999</v>
      </c>
      <c r="R125" s="722">
        <v>321.64400000000001</v>
      </c>
      <c r="S125" s="722">
        <v>357.70599999999996</v>
      </c>
      <c r="T125" s="722">
        <v>366.88299999999998</v>
      </c>
      <c r="U125" s="722">
        <v>326.64299999999997</v>
      </c>
      <c r="V125" s="702">
        <f>SUM(R125:U125)</f>
        <v>1372.876</v>
      </c>
      <c r="W125" s="722">
        <v>336.37</v>
      </c>
      <c r="X125" s="1074">
        <v>340.73500000000001</v>
      </c>
      <c r="Y125" s="1074">
        <v>360.06600000000003</v>
      </c>
      <c r="Z125" s="1075">
        <f>U125*(1+Z126)</f>
        <v>316.84370999999999</v>
      </c>
      <c r="AA125" s="702">
        <f>SUM(W125:Z125)</f>
        <v>1354.0147099999999</v>
      </c>
      <c r="AB125" s="1075">
        <f>W125*(1+AB126)</f>
        <v>339.39732999999995</v>
      </c>
      <c r="AC125" s="1075">
        <f>X125*(1+AC126)</f>
        <v>343.80161499999997</v>
      </c>
      <c r="AD125" s="1075">
        <f>Y125*(1+AD126)</f>
        <v>363.30659400000002</v>
      </c>
      <c r="AE125" s="1075">
        <f>Z125*(1+AE126)</f>
        <v>319.69530338999994</v>
      </c>
      <c r="AF125" s="702">
        <f>SUM(AB125:AE125)</f>
        <v>1366.2008423899997</v>
      </c>
      <c r="AG125" s="1075">
        <f>AB125*(1+AG126)</f>
        <v>342.45190596999993</v>
      </c>
      <c r="AH125" s="1075">
        <f>AC125*(1+AH126)</f>
        <v>346.89582953499996</v>
      </c>
      <c r="AI125" s="1075">
        <f>AD125*(1+AI126)</f>
        <v>366.57635334599996</v>
      </c>
      <c r="AJ125" s="1075">
        <f>AE125*(1+AJ126)</f>
        <v>322.57256112050987</v>
      </c>
      <c r="AK125" s="702">
        <f>SUM(AG125:AJ125)</f>
        <v>1378.4966499715097</v>
      </c>
      <c r="AL125" s="1075">
        <f>AG125*(1+AL126)</f>
        <v>345.53397312372988</v>
      </c>
      <c r="AM125" s="1075">
        <f>AH125*(1+AM126)</f>
        <v>350.01789200081492</v>
      </c>
      <c r="AN125" s="1075">
        <f>AI125*(1+AN126)</f>
        <v>369.87554052611392</v>
      </c>
      <c r="AO125" s="1075">
        <f>AJ125*(1+AO126)</f>
        <v>325.47571417059442</v>
      </c>
      <c r="AP125" s="702">
        <f>SUM(AL125:AO125)</f>
        <v>1390.9031198212533</v>
      </c>
      <c r="AQ125" s="1075">
        <f t="shared" ref="AQ125:BE125" si="98">AL125*(1+AQ126)</f>
        <v>348.64377888184339</v>
      </c>
      <c r="AR125" s="1075">
        <f t="shared" si="98"/>
        <v>353.16805302882221</v>
      </c>
      <c r="AS125" s="1075">
        <f t="shared" si="98"/>
        <v>373.2044203908489</v>
      </c>
      <c r="AT125" s="1075">
        <f t="shared" si="98"/>
        <v>328.40499559812974</v>
      </c>
      <c r="AU125" s="1077">
        <f t="shared" si="98"/>
        <v>1403.4212478996444</v>
      </c>
      <c r="AV125" s="1075">
        <f t="shared" si="98"/>
        <v>351.78157289177994</v>
      </c>
      <c r="AW125" s="1075">
        <f t="shared" si="98"/>
        <v>356.34656550608156</v>
      </c>
      <c r="AX125" s="1075">
        <f t="shared" si="98"/>
        <v>376.56326017436652</v>
      </c>
      <c r="AY125" s="1075">
        <f t="shared" si="98"/>
        <v>331.3606405585129</v>
      </c>
      <c r="AZ125" s="1077">
        <f t="shared" si="98"/>
        <v>1416.0520391307412</v>
      </c>
      <c r="BA125" s="1075">
        <f t="shared" si="98"/>
        <v>354.94760704780595</v>
      </c>
      <c r="BB125" s="1075">
        <f t="shared" si="98"/>
        <v>359.55368459563624</v>
      </c>
      <c r="BC125" s="1075">
        <f t="shared" si="98"/>
        <v>379.95232951593579</v>
      </c>
      <c r="BD125" s="1075">
        <f t="shared" si="98"/>
        <v>334.34288632353946</v>
      </c>
      <c r="BE125" s="1077">
        <f t="shared" si="98"/>
        <v>1428.7965074829176</v>
      </c>
      <c r="BF125" s="2850">
        <f t="shared" ref="BF125:BO125" si="99">BA125*(1+BF126)</f>
        <v>358.14213551123618</v>
      </c>
      <c r="BG125" s="1075">
        <f t="shared" si="99"/>
        <v>362.78966775699695</v>
      </c>
      <c r="BH125" s="1075">
        <f t="shared" si="99"/>
        <v>383.37190048157919</v>
      </c>
      <c r="BI125" s="2851">
        <f t="shared" si="99"/>
        <v>337.35197230045128</v>
      </c>
      <c r="BJ125" s="1077">
        <f t="shared" si="99"/>
        <v>1441.6556760502638</v>
      </c>
      <c r="BK125" s="2850">
        <f t="shared" si="99"/>
        <v>361.36541473083724</v>
      </c>
      <c r="BL125" s="1075">
        <f t="shared" si="99"/>
        <v>366.05477476680989</v>
      </c>
      <c r="BM125" s="1075">
        <f t="shared" si="99"/>
        <v>386.82224758591337</v>
      </c>
      <c r="BN125" s="2851">
        <f t="shared" si="99"/>
        <v>340.38814005115529</v>
      </c>
      <c r="BO125" s="1077">
        <f t="shared" si="99"/>
        <v>1454.6305771347161</v>
      </c>
      <c r="BP125" s="2850">
        <f>BK125*(1+BP126)</f>
        <v>364.61770346341473</v>
      </c>
      <c r="BQ125" s="1075">
        <f>BL125*(1+BQ126)</f>
        <v>369.34926773971114</v>
      </c>
      <c r="BR125" s="1075">
        <f>BM125*(1+BR126)</f>
        <v>390.30364781418655</v>
      </c>
      <c r="BS125" s="2851">
        <f>BN125*(1+BS126)</f>
        <v>343.45163331161564</v>
      </c>
      <c r="BT125" s="1077">
        <f>BO125*(1+BT126)</f>
        <v>1467.7222523289283</v>
      </c>
      <c r="BU125" s="1077">
        <f t="shared" ref="BU125:CB125" si="100">BT125*(1+BU126)</f>
        <v>1480.9317525998886</v>
      </c>
      <c r="BV125" s="1077">
        <f t="shared" si="100"/>
        <v>1494.2601383732874</v>
      </c>
      <c r="BW125" s="1077">
        <f t="shared" si="100"/>
        <v>1507.7084796186468</v>
      </c>
      <c r="BX125" s="1077">
        <f t="shared" si="100"/>
        <v>1521.2778559352146</v>
      </c>
      <c r="BY125" s="1077">
        <f t="shared" si="100"/>
        <v>1534.9693566386313</v>
      </c>
      <c r="BZ125" s="1077">
        <f t="shared" si="100"/>
        <v>1548.7840808483788</v>
      </c>
      <c r="CA125" s="1077">
        <f t="shared" si="100"/>
        <v>1562.7231375760141</v>
      </c>
      <c r="CB125" s="1077">
        <f t="shared" si="100"/>
        <v>1576.787645814198</v>
      </c>
    </row>
    <row r="126" spans="1:80" ht="12" customHeight="1">
      <c r="A126" s="1078" t="s">
        <v>525</v>
      </c>
      <c r="B126" s="1078"/>
      <c r="C126" s="592"/>
      <c r="D126" s="592"/>
      <c r="E126" s="592"/>
      <c r="F126" s="592"/>
      <c r="G126" s="594"/>
      <c r="H126" s="592">
        <f t="shared" ref="H126:N126" si="101">H125/C125-1</f>
        <v>-4.7736228734796882E-2</v>
      </c>
      <c r="I126" s="592">
        <f t="shared" si="101"/>
        <v>-4.5136647841871769E-2</v>
      </c>
      <c r="J126" s="592">
        <f t="shared" si="101"/>
        <v>-0.15106774816393687</v>
      </c>
      <c r="K126" s="592">
        <f t="shared" si="101"/>
        <v>-8.3767810923856101E-2</v>
      </c>
      <c r="L126" s="594">
        <f>L125/G125-1</f>
        <v>-8.3669788605381323E-2</v>
      </c>
      <c r="M126" s="592">
        <f t="shared" si="101"/>
        <v>-8.0625336872912512E-2</v>
      </c>
      <c r="N126" s="592">
        <f t="shared" si="101"/>
        <v>-9.677955943042249E-2</v>
      </c>
      <c r="O126" s="592">
        <f t="shared" ref="O126:W126" si="102">O125/J125-1</f>
        <v>-8.5799904401220983E-2</v>
      </c>
      <c r="P126" s="592">
        <f t="shared" si="102"/>
        <v>-8.6449472289009899E-2</v>
      </c>
      <c r="Q126" s="594">
        <f t="shared" si="102"/>
        <v>-8.7350464924200066E-2</v>
      </c>
      <c r="R126" s="592">
        <f t="shared" si="102"/>
        <v>-0.11883908685206146</v>
      </c>
      <c r="S126" s="592">
        <f t="shared" si="102"/>
        <v>4.5670202845508046E-2</v>
      </c>
      <c r="T126" s="592">
        <f t="shared" si="102"/>
        <v>5.3991938843227061E-2</v>
      </c>
      <c r="U126" s="592">
        <f t="shared" si="102"/>
        <v>3.7014578518273833E-2</v>
      </c>
      <c r="V126" s="594">
        <f t="shared" si="102"/>
        <v>1.9683559593308697E-3</v>
      </c>
      <c r="W126" s="592">
        <f t="shared" si="102"/>
        <v>4.5783537078260439E-2</v>
      </c>
      <c r="X126" s="592">
        <f>X125/S125-1</f>
        <v>-4.7443990316069495E-2</v>
      </c>
      <c r="Y126" s="592">
        <f>Y125/T125-1</f>
        <v>-1.8580855477086544E-2</v>
      </c>
      <c r="Z126" s="1079">
        <v>-0.03</v>
      </c>
      <c r="AA126" s="594">
        <f>AA125/V125-1</f>
        <v>-1.3738524091032267E-2</v>
      </c>
      <c r="AB126" s="1079">
        <v>8.9999999999999993E-3</v>
      </c>
      <c r="AC126" s="1079">
        <v>8.9999999999999993E-3</v>
      </c>
      <c r="AD126" s="1079">
        <v>8.9999999999999993E-3</v>
      </c>
      <c r="AE126" s="1079">
        <v>8.9999999999999993E-3</v>
      </c>
      <c r="AF126" s="594">
        <f>AF125/AA125-1</f>
        <v>8.999999999999897E-3</v>
      </c>
      <c r="AG126" s="1079">
        <v>8.9999999999999993E-3</v>
      </c>
      <c r="AH126" s="1079">
        <v>8.9999999999999993E-3</v>
      </c>
      <c r="AI126" s="1079">
        <v>8.9999999999999993E-3</v>
      </c>
      <c r="AJ126" s="1079">
        <v>8.9999999999999993E-3</v>
      </c>
      <c r="AK126" s="594">
        <f>AK125/AF125-1</f>
        <v>8.999999999999897E-3</v>
      </c>
      <c r="AL126" s="1079">
        <v>8.9999999999999993E-3</v>
      </c>
      <c r="AM126" s="1079">
        <v>8.9999999999999993E-3</v>
      </c>
      <c r="AN126" s="1079">
        <v>8.9999999999999993E-3</v>
      </c>
      <c r="AO126" s="1079">
        <v>8.9999999999999993E-3</v>
      </c>
      <c r="AP126" s="594">
        <f>AP125/AK125-1</f>
        <v>9.000000000000119E-3</v>
      </c>
      <c r="AQ126" s="1079">
        <v>8.9999999999999993E-3</v>
      </c>
      <c r="AR126" s="1079">
        <v>8.9999999999999993E-3</v>
      </c>
      <c r="AS126" s="1079">
        <v>8.9999999999999993E-3</v>
      </c>
      <c r="AT126" s="1079">
        <v>8.9999999999999993E-3</v>
      </c>
      <c r="AU126" s="1080">
        <v>8.9999999999999993E-3</v>
      </c>
      <c r="AV126" s="1079">
        <v>8.9999999999999993E-3</v>
      </c>
      <c r="AW126" s="1079">
        <v>8.9999999999999993E-3</v>
      </c>
      <c r="AX126" s="1079">
        <v>8.9999999999999993E-3</v>
      </c>
      <c r="AY126" s="1079">
        <v>8.9999999999999993E-3</v>
      </c>
      <c r="AZ126" s="1080">
        <v>8.9999999999999993E-3</v>
      </c>
      <c r="BA126" s="1079">
        <v>8.9999999999999993E-3</v>
      </c>
      <c r="BB126" s="1079">
        <v>8.9999999999999993E-3</v>
      </c>
      <c r="BC126" s="1079">
        <v>8.9999999999999993E-3</v>
      </c>
      <c r="BD126" s="1079">
        <v>8.9999999999999993E-3</v>
      </c>
      <c r="BE126" s="1080">
        <v>8.9999999999999993E-3</v>
      </c>
      <c r="BF126" s="2831">
        <v>8.9999999999999993E-3</v>
      </c>
      <c r="BG126" s="1079">
        <v>8.9999999999999993E-3</v>
      </c>
      <c r="BH126" s="1079">
        <v>8.9999999999999993E-3</v>
      </c>
      <c r="BI126" s="2832">
        <v>8.9999999999999993E-3</v>
      </c>
      <c r="BJ126" s="1080">
        <v>8.9999999999999993E-3</v>
      </c>
      <c r="BK126" s="2831">
        <v>8.9999999999999993E-3</v>
      </c>
      <c r="BL126" s="1079">
        <v>8.9999999999999993E-3</v>
      </c>
      <c r="BM126" s="1079">
        <v>8.9999999999999993E-3</v>
      </c>
      <c r="BN126" s="2832">
        <v>8.9999999999999993E-3</v>
      </c>
      <c r="BO126" s="1080">
        <v>8.9999999999999993E-3</v>
      </c>
      <c r="BP126" s="2831">
        <v>8.9999999999999993E-3</v>
      </c>
      <c r="BQ126" s="1079">
        <v>8.9999999999999993E-3</v>
      </c>
      <c r="BR126" s="1079">
        <v>8.9999999999999993E-3</v>
      </c>
      <c r="BS126" s="2832">
        <v>8.9999999999999993E-3</v>
      </c>
      <c r="BT126" s="1080">
        <v>8.9999999999999993E-3</v>
      </c>
      <c r="BU126" s="1080">
        <v>8.9999999999999993E-3</v>
      </c>
      <c r="BV126" s="1080">
        <v>8.9999999999999993E-3</v>
      </c>
      <c r="BW126" s="1080">
        <v>8.9999999999999993E-3</v>
      </c>
      <c r="BX126" s="1080">
        <v>8.9999999999999993E-3</v>
      </c>
      <c r="BY126" s="1080">
        <v>8.9999999999999993E-3</v>
      </c>
      <c r="BZ126" s="1080">
        <v>8.9999999999999993E-3</v>
      </c>
      <c r="CA126" s="1080">
        <v>8.9999999999999993E-3</v>
      </c>
      <c r="CB126" s="1080">
        <v>8.9999999999999993E-3</v>
      </c>
    </row>
    <row r="127" spans="1:80" ht="12" customHeight="1">
      <c r="A127" s="2"/>
      <c r="B127" s="2"/>
      <c r="C127" s="1070"/>
      <c r="D127" s="1070"/>
      <c r="E127" s="1070"/>
      <c r="F127" s="1070"/>
      <c r="G127" s="1069"/>
      <c r="H127" s="1070"/>
      <c r="I127" s="1070"/>
      <c r="J127" s="1070"/>
      <c r="K127" s="1070"/>
      <c r="L127" s="1069"/>
      <c r="M127" s="1070"/>
      <c r="N127" s="1070"/>
      <c r="O127" s="1070"/>
      <c r="P127" s="1070"/>
      <c r="Q127" s="1069"/>
      <c r="R127" s="1070"/>
      <c r="S127" s="1070"/>
      <c r="T127" s="1070"/>
      <c r="U127" s="1070"/>
      <c r="V127" s="1069"/>
      <c r="W127" s="1070"/>
      <c r="X127" s="1070"/>
      <c r="Y127" s="1070"/>
      <c r="Z127" s="1070"/>
      <c r="AA127" s="1069"/>
      <c r="AB127" s="1070"/>
      <c r="AC127" s="1070"/>
      <c r="AD127" s="1070"/>
      <c r="AE127" s="1070"/>
      <c r="AF127" s="1069"/>
      <c r="AG127" s="1070"/>
      <c r="AH127" s="1070"/>
      <c r="AI127" s="1070"/>
      <c r="AJ127" s="1070"/>
      <c r="AK127" s="1069"/>
      <c r="AL127" s="1070"/>
      <c r="AM127" s="1070"/>
      <c r="AN127" s="1070"/>
      <c r="AO127" s="1070"/>
      <c r="AP127" s="1069"/>
      <c r="AQ127" s="1070"/>
      <c r="AR127" s="1070"/>
      <c r="AS127" s="1070"/>
      <c r="AT127" s="1070"/>
      <c r="AU127" s="1069"/>
      <c r="AV127" s="1070"/>
      <c r="AW127" s="1070"/>
      <c r="AX127" s="1070"/>
      <c r="AY127" s="1070"/>
      <c r="AZ127" s="1069"/>
      <c r="BA127" s="1070"/>
      <c r="BB127" s="1070"/>
      <c r="BC127" s="1070"/>
      <c r="BD127" s="1070"/>
      <c r="BE127" s="1069"/>
      <c r="BF127" s="2828"/>
      <c r="BG127" s="1070"/>
      <c r="BH127" s="1070"/>
      <c r="BI127" s="2829"/>
      <c r="BJ127" s="1069"/>
      <c r="BK127" s="2828"/>
      <c r="BL127" s="1070"/>
      <c r="BM127" s="1070"/>
      <c r="BN127" s="2829"/>
      <c r="BO127" s="1069"/>
      <c r="BP127" s="2828"/>
      <c r="BQ127" s="1070"/>
      <c r="BR127" s="1070"/>
      <c r="BS127" s="2829"/>
      <c r="BT127" s="1069"/>
      <c r="BU127" s="1069"/>
      <c r="BV127" s="1069"/>
      <c r="BW127" s="1069"/>
      <c r="BX127" s="1069"/>
      <c r="BY127" s="1069"/>
      <c r="BZ127" s="1069"/>
      <c r="CA127" s="1069"/>
      <c r="CB127" s="1069"/>
    </row>
    <row r="128" spans="1:80">
      <c r="A128" s="2" t="s">
        <v>1314</v>
      </c>
      <c r="B128" s="2"/>
      <c r="C128" s="61"/>
      <c r="D128" s="61"/>
      <c r="E128" s="61"/>
      <c r="F128" s="61"/>
      <c r="G128" s="112"/>
      <c r="H128" s="61"/>
      <c r="I128" s="61"/>
      <c r="J128" s="61"/>
      <c r="K128" s="61"/>
      <c r="L128" s="112"/>
      <c r="M128" s="61"/>
      <c r="N128" s="61"/>
      <c r="O128" s="61"/>
      <c r="P128" s="61"/>
      <c r="Q128" s="112"/>
      <c r="R128" s="61"/>
      <c r="S128" s="61"/>
      <c r="T128" s="61"/>
      <c r="U128" s="61"/>
      <c r="V128" s="112"/>
      <c r="W128" s="61"/>
      <c r="X128" s="61"/>
      <c r="Y128" s="61"/>
      <c r="Z128" s="61"/>
      <c r="AA128" s="112"/>
      <c r="AB128" s="61"/>
      <c r="AC128" s="61"/>
      <c r="AD128" s="61"/>
      <c r="AE128" s="61"/>
      <c r="AF128" s="112"/>
      <c r="AG128" s="61"/>
      <c r="AH128" s="61"/>
      <c r="AI128" s="61"/>
      <c r="AJ128" s="61"/>
      <c r="AK128" s="112"/>
      <c r="AL128" s="61"/>
      <c r="AM128" s="61"/>
      <c r="AN128" s="61"/>
      <c r="AO128" s="61"/>
      <c r="AP128" s="112"/>
      <c r="AQ128" s="61"/>
      <c r="AR128" s="61"/>
      <c r="AS128" s="61"/>
      <c r="AT128" s="61"/>
      <c r="AU128" s="112"/>
      <c r="AV128" s="61"/>
      <c r="AW128" s="61"/>
      <c r="AX128" s="61"/>
      <c r="AY128" s="61"/>
      <c r="AZ128" s="112"/>
      <c r="BA128" s="61"/>
      <c r="BB128" s="61"/>
      <c r="BC128" s="61"/>
      <c r="BD128" s="61"/>
      <c r="BE128" s="112"/>
      <c r="BF128" s="59"/>
      <c r="BG128" s="61"/>
      <c r="BH128" s="61"/>
      <c r="BI128" s="60"/>
      <c r="BJ128" s="112"/>
      <c r="BK128" s="59"/>
      <c r="BL128" s="61"/>
      <c r="BM128" s="61"/>
      <c r="BN128" s="60"/>
      <c r="BO128" s="112"/>
      <c r="BP128" s="59"/>
      <c r="BQ128" s="61"/>
      <c r="BR128" s="61"/>
      <c r="BS128" s="60"/>
      <c r="BT128" s="112"/>
      <c r="BU128" s="112"/>
      <c r="BV128" s="112"/>
      <c r="BW128" s="112"/>
      <c r="BX128" s="112"/>
      <c r="BY128" s="112"/>
      <c r="BZ128" s="112"/>
      <c r="CA128" s="112"/>
      <c r="CB128" s="112"/>
    </row>
    <row r="129" spans="1:80">
      <c r="A129" s="186" t="s">
        <v>1347</v>
      </c>
      <c r="B129" s="186"/>
      <c r="C129" s="402">
        <f t="shared" ref="C129:F135" si="103">$G129/4</f>
        <v>0.9375</v>
      </c>
      <c r="D129" s="402">
        <f t="shared" si="103"/>
        <v>0.9375</v>
      </c>
      <c r="E129" s="402">
        <f t="shared" si="103"/>
        <v>0.9375</v>
      </c>
      <c r="F129" s="402">
        <f t="shared" si="103"/>
        <v>0.9375</v>
      </c>
      <c r="G129" s="1113">
        <f>IF(G124&gt;0,MIN(G105,G124)*G113,0)</f>
        <v>3.75</v>
      </c>
      <c r="H129" s="885">
        <f>IF(H124*4&gt;0, MIN(H105,H124*4)*H113,0)/4</f>
        <v>0.9375</v>
      </c>
      <c r="I129" s="885">
        <f>IF(I124*4&gt;0, MIN(I105,I124*4)*I113,0)/4</f>
        <v>0.9375</v>
      </c>
      <c r="J129" s="402">
        <f>$L129/4</f>
        <v>0.9375</v>
      </c>
      <c r="K129" s="402">
        <f>$L129/4</f>
        <v>0.9375</v>
      </c>
      <c r="L129" s="1113">
        <f>IF(L124&gt;0,MIN(L105,L124)*L113,0)</f>
        <v>3.75</v>
      </c>
      <c r="M129" s="402">
        <f t="shared" ref="M129:M135" si="104">$Q129/4</f>
        <v>0.9375</v>
      </c>
      <c r="N129" s="402">
        <f t="shared" ref="N129:P135" si="105">$Q129/4</f>
        <v>0.9375</v>
      </c>
      <c r="O129" s="402">
        <f t="shared" si="105"/>
        <v>0.9375</v>
      </c>
      <c r="P129" s="402">
        <f t="shared" si="105"/>
        <v>0.9375</v>
      </c>
      <c r="Q129" s="1113">
        <f>IF(Q124&gt;0,MIN(Q105,Q124)*Q113,0)</f>
        <v>3.75</v>
      </c>
      <c r="R129" s="402">
        <f t="shared" ref="R129:U135" si="106">$V129/4</f>
        <v>0.9375</v>
      </c>
      <c r="S129" s="402">
        <f t="shared" si="106"/>
        <v>0.9375</v>
      </c>
      <c r="T129" s="402">
        <f t="shared" si="106"/>
        <v>0.9375</v>
      </c>
      <c r="U129" s="402">
        <f t="shared" si="106"/>
        <v>0.9375</v>
      </c>
      <c r="V129" s="1113">
        <f>IF(V124&gt;0,MIN(V105,V124)*V113,0)</f>
        <v>3.75</v>
      </c>
      <c r="W129" s="402">
        <f t="shared" ref="W129:W135" si="107">$AA129/4</f>
        <v>0.9375</v>
      </c>
      <c r="X129" s="402">
        <f t="shared" ref="X129:Z135" si="108">$AA129/4</f>
        <v>0.9375</v>
      </c>
      <c r="Y129" s="402">
        <f t="shared" si="108"/>
        <v>0.9375</v>
      </c>
      <c r="Z129" s="402">
        <f t="shared" si="108"/>
        <v>0.9375</v>
      </c>
      <c r="AA129" s="1113">
        <f>IF(AA124&gt;0,MIN(AA105,AA124)*AA113,0)</f>
        <v>3.75</v>
      </c>
      <c r="AB129" s="402">
        <f t="shared" ref="AB129:AB135" si="109">$AF129/4</f>
        <v>0.9375</v>
      </c>
      <c r="AC129" s="402">
        <f t="shared" ref="AC129:AE135" si="110">$AF129/4</f>
        <v>0.9375</v>
      </c>
      <c r="AD129" s="402">
        <f t="shared" si="110"/>
        <v>0.9375</v>
      </c>
      <c r="AE129" s="402">
        <f t="shared" si="110"/>
        <v>0.9375</v>
      </c>
      <c r="AF129" s="1113">
        <f>IF(AF124&gt;0,MIN(AF105,AF124)*AF113,0)</f>
        <v>3.75</v>
      </c>
      <c r="AG129" s="402">
        <f>$AF129/4</f>
        <v>0.9375</v>
      </c>
      <c r="AH129" s="402">
        <f>$AF129/4</f>
        <v>0.9375</v>
      </c>
      <c r="AI129" s="402">
        <f>$AF129/4</f>
        <v>0.9375</v>
      </c>
      <c r="AJ129" s="402">
        <f>$AF129/4</f>
        <v>0.9375</v>
      </c>
      <c r="AK129" s="1113">
        <f>IF(AK124&gt;0,MIN(AK105,AK124)*AK113,0)</f>
        <v>3.75</v>
      </c>
      <c r="AL129" s="402">
        <f>$AF129/4</f>
        <v>0.9375</v>
      </c>
      <c r="AM129" s="402">
        <f>$AF129/4</f>
        <v>0.9375</v>
      </c>
      <c r="AN129" s="402">
        <f>$AF129/4</f>
        <v>0.9375</v>
      </c>
      <c r="AO129" s="402">
        <f>$AF129/4</f>
        <v>0.9375</v>
      </c>
      <c r="AP129" s="1113">
        <f>IF(AP124&gt;0,MIN(AP105,AP124)*AP113,0)</f>
        <v>3.75</v>
      </c>
      <c r="AQ129" s="402">
        <f t="shared" ref="AQ129:AT135" si="111">$AU129/4</f>
        <v>0.9375</v>
      </c>
      <c r="AR129" s="402">
        <f t="shared" si="111"/>
        <v>0.9375</v>
      </c>
      <c r="AS129" s="402">
        <f t="shared" si="111"/>
        <v>0.9375</v>
      </c>
      <c r="AT129" s="402">
        <f t="shared" si="111"/>
        <v>0.9375</v>
      </c>
      <c r="AU129" s="1113">
        <f>IF(AU124&gt;0,MIN(AU105,AU124)*AU113,0)</f>
        <v>3.75</v>
      </c>
      <c r="AV129" s="402">
        <f>$AZ129/4</f>
        <v>0.9375</v>
      </c>
      <c r="AW129" s="402">
        <f t="shared" ref="AW129:AY135" si="112">$AZ129/4</f>
        <v>0.9375</v>
      </c>
      <c r="AX129" s="402">
        <f t="shared" si="112"/>
        <v>0.9375</v>
      </c>
      <c r="AY129" s="402">
        <f t="shared" si="112"/>
        <v>0.9375</v>
      </c>
      <c r="AZ129" s="1113">
        <f>IF(AZ124&gt;0,MIN(AZ105,AZ124)*AZ113,0)</f>
        <v>3.75</v>
      </c>
      <c r="BA129" s="402">
        <f>$BE129/4</f>
        <v>0.9375</v>
      </c>
      <c r="BB129" s="402">
        <f t="shared" ref="BB129:BD135" si="113">$BE129/4</f>
        <v>0.9375</v>
      </c>
      <c r="BC129" s="402">
        <f t="shared" si="113"/>
        <v>0.9375</v>
      </c>
      <c r="BD129" s="402">
        <f t="shared" si="113"/>
        <v>0.9375</v>
      </c>
      <c r="BE129" s="1113">
        <f>IF(BE124&gt;0,MIN(BE105,BE124)*BE113,0)</f>
        <v>3.75</v>
      </c>
      <c r="BF129" s="2830">
        <f t="shared" ref="BF129:BF135" si="114">$BJ129/4</f>
        <v>0.9375</v>
      </c>
      <c r="BG129" s="402">
        <f t="shared" ref="BG129:BI130" si="115">$BJ129/4</f>
        <v>0.9375</v>
      </c>
      <c r="BH129" s="402">
        <f t="shared" si="115"/>
        <v>0.9375</v>
      </c>
      <c r="BI129" s="1121">
        <f t="shared" si="115"/>
        <v>0.9375</v>
      </c>
      <c r="BJ129" s="1113">
        <f>IF(BJ124&gt;0,MIN(BJ105,BJ124)*BJ113,0)</f>
        <v>3.75</v>
      </c>
      <c r="BK129" s="2877">
        <f t="shared" ref="BK129:BK135" si="116">$BO129/4</f>
        <v>0.9375</v>
      </c>
      <c r="BL129" s="402">
        <f t="shared" ref="BL129:BN135" si="117">$BO129/4</f>
        <v>0.9375</v>
      </c>
      <c r="BM129" s="402">
        <f t="shared" si="117"/>
        <v>0.9375</v>
      </c>
      <c r="BN129" s="1121">
        <f t="shared" si="117"/>
        <v>0.9375</v>
      </c>
      <c r="BO129" s="1113">
        <f t="shared" ref="BO129:CB129" si="118">IF(BO124&gt;0,MIN(BO105,BO124)*BO113,0)</f>
        <v>3.75</v>
      </c>
      <c r="BP129" s="2877">
        <f t="shared" ref="BP129:BS135" si="119">$BO129/4</f>
        <v>0.9375</v>
      </c>
      <c r="BQ129" s="402">
        <f t="shared" si="119"/>
        <v>0.9375</v>
      </c>
      <c r="BR129" s="402">
        <f t="shared" si="119"/>
        <v>0.9375</v>
      </c>
      <c r="BS129" s="1121">
        <f t="shared" si="119"/>
        <v>0.9375</v>
      </c>
      <c r="BT129" s="1113">
        <f>IF(BT124&gt;0,MIN(BT105,BT124)*BT113,0)</f>
        <v>3.75</v>
      </c>
      <c r="BU129" s="1113">
        <f t="shared" si="118"/>
        <v>3.75</v>
      </c>
      <c r="BV129" s="1113">
        <f t="shared" si="118"/>
        <v>3.75</v>
      </c>
      <c r="BW129" s="1113">
        <f t="shared" si="118"/>
        <v>3.75</v>
      </c>
      <c r="BX129" s="1113">
        <f t="shared" si="118"/>
        <v>3.75</v>
      </c>
      <c r="BY129" s="1113">
        <f t="shared" si="118"/>
        <v>3.75</v>
      </c>
      <c r="BZ129" s="1113">
        <f t="shared" si="118"/>
        <v>3.75</v>
      </c>
      <c r="CA129" s="1113">
        <f t="shared" si="118"/>
        <v>3.75</v>
      </c>
      <c r="CB129" s="1113">
        <f t="shared" si="118"/>
        <v>3.75</v>
      </c>
    </row>
    <row r="130" spans="1:80">
      <c r="A130" s="1114"/>
      <c r="B130" s="1114"/>
      <c r="C130" s="1115">
        <f t="shared" si="103"/>
        <v>0.85937500000000011</v>
      </c>
      <c r="D130" s="96">
        <f t="shared" si="103"/>
        <v>0.85937500000000011</v>
      </c>
      <c r="E130" s="96">
        <f t="shared" si="103"/>
        <v>0.85937500000000011</v>
      </c>
      <c r="F130" s="96">
        <f t="shared" si="103"/>
        <v>0.85937500000000011</v>
      </c>
      <c r="G130" s="935">
        <f>IF(G124&gt;G105, MIN(G106-G105,G124-G105)*G114,0)</f>
        <v>3.4375000000000004</v>
      </c>
      <c r="H130" s="379">
        <f>IF(H124*4&gt;H105,MIN(H106-H105,H124*4-H105)*H114,0)/4</f>
        <v>0.85937500000000011</v>
      </c>
      <c r="I130" s="379">
        <f>IF(I124*4&gt;I105,MIN(I106-I105,I124*4-I105)*I114,0)/4</f>
        <v>0.85937500000000011</v>
      </c>
      <c r="J130" s="96">
        <f t="shared" ref="J130:J135" si="120">$L130/4</f>
        <v>1.40625</v>
      </c>
      <c r="K130" s="96">
        <f t="shared" ref="K130:K135" si="121">$L130/4</f>
        <v>1.40625</v>
      </c>
      <c r="L130" s="935">
        <f>IF(L124&gt;L105, MIN(L106-L105,L124-L105)*L114,0)</f>
        <v>5.625</v>
      </c>
      <c r="M130" s="96">
        <f t="shared" si="104"/>
        <v>1.40625</v>
      </c>
      <c r="N130" s="96">
        <f t="shared" si="105"/>
        <v>1.40625</v>
      </c>
      <c r="O130" s="96">
        <f t="shared" si="105"/>
        <v>1.40625</v>
      </c>
      <c r="P130" s="96">
        <f t="shared" si="105"/>
        <v>1.40625</v>
      </c>
      <c r="Q130" s="935">
        <f>IF(Q124&gt;Q105, MIN(Q106-Q105,Q124-Q105)*Q114,0)</f>
        <v>5.625</v>
      </c>
      <c r="R130" s="96">
        <f t="shared" si="106"/>
        <v>1.40625</v>
      </c>
      <c r="S130" s="96">
        <f t="shared" si="106"/>
        <v>1.40625</v>
      </c>
      <c r="T130" s="96">
        <f t="shared" si="106"/>
        <v>1.40625</v>
      </c>
      <c r="U130" s="96">
        <f t="shared" si="106"/>
        <v>1.40625</v>
      </c>
      <c r="V130" s="935">
        <f>IF(V124&gt;V105, MIN(V106-V105,V124-V105)*V114,0)</f>
        <v>5.625</v>
      </c>
      <c r="W130" s="96">
        <f t="shared" si="107"/>
        <v>1.40625</v>
      </c>
      <c r="X130" s="96">
        <f t="shared" si="108"/>
        <v>1.40625</v>
      </c>
      <c r="Y130" s="96">
        <f t="shared" si="108"/>
        <v>1.40625</v>
      </c>
      <c r="Z130" s="96">
        <f t="shared" si="108"/>
        <v>1.40625</v>
      </c>
      <c r="AA130" s="935">
        <f>IF(AA124&gt;AA105, MIN(AA106-AA105,AA124-AA105)*AA114,0)</f>
        <v>5.625</v>
      </c>
      <c r="AB130" s="96">
        <f t="shared" si="109"/>
        <v>1.40625</v>
      </c>
      <c r="AC130" s="96">
        <f t="shared" si="110"/>
        <v>1.40625</v>
      </c>
      <c r="AD130" s="96">
        <f t="shared" si="110"/>
        <v>1.40625</v>
      </c>
      <c r="AE130" s="96">
        <f t="shared" si="110"/>
        <v>1.40625</v>
      </c>
      <c r="AF130" s="935">
        <f>IF(AF124&gt;AF105, MIN(AF106-AF105,AF124-AF105)*AF114,0)</f>
        <v>5.625</v>
      </c>
      <c r="AG130" s="96">
        <f t="shared" ref="AG130:AG135" si="122">$AK130/4</f>
        <v>1.40625</v>
      </c>
      <c r="AH130" s="96">
        <f t="shared" ref="AH130:AJ135" si="123">$AK130/4</f>
        <v>1.40625</v>
      </c>
      <c r="AI130" s="96">
        <f t="shared" si="123"/>
        <v>1.40625</v>
      </c>
      <c r="AJ130" s="96">
        <f t="shared" si="123"/>
        <v>1.40625</v>
      </c>
      <c r="AK130" s="935">
        <f>IF(AK124&gt;AK105, MIN(AK106-AK105,AK124-AK105)*AK114,0)</f>
        <v>5.625</v>
      </c>
      <c r="AL130" s="96">
        <f t="shared" ref="AL130:AL135" si="124">$AP130/4</f>
        <v>1.40625</v>
      </c>
      <c r="AM130" s="96">
        <f t="shared" ref="AM130:AO135" si="125">$AP130/4</f>
        <v>1.40625</v>
      </c>
      <c r="AN130" s="96">
        <f t="shared" si="125"/>
        <v>1.40625</v>
      </c>
      <c r="AO130" s="96">
        <f t="shared" si="125"/>
        <v>1.40625</v>
      </c>
      <c r="AP130" s="935">
        <f>IF(AP124&gt;AP105, MIN(AP106-AP105,AP124-AP105)*AP114,0)</f>
        <v>5.625</v>
      </c>
      <c r="AQ130" s="96">
        <f t="shared" si="111"/>
        <v>1.40625</v>
      </c>
      <c r="AR130" s="96">
        <f t="shared" si="111"/>
        <v>1.40625</v>
      </c>
      <c r="AS130" s="96">
        <f t="shared" si="111"/>
        <v>1.40625</v>
      </c>
      <c r="AT130" s="96">
        <f t="shared" si="111"/>
        <v>1.40625</v>
      </c>
      <c r="AU130" s="935">
        <f>IF(AU124&gt;AU105, MIN(AU106-AU105,AU124-AU105)*AU114,0)</f>
        <v>5.625</v>
      </c>
      <c r="AV130" s="96">
        <f t="shared" ref="AV130:AV135" si="126">$AZ130/4</f>
        <v>1.40625</v>
      </c>
      <c r="AW130" s="96">
        <f t="shared" si="112"/>
        <v>1.40625</v>
      </c>
      <c r="AX130" s="96">
        <f t="shared" si="112"/>
        <v>1.40625</v>
      </c>
      <c r="AY130" s="96">
        <f t="shared" si="112"/>
        <v>1.40625</v>
      </c>
      <c r="AZ130" s="935">
        <f>IF(AZ124&gt;AZ105, MIN(AZ106-AZ105,AZ124-AZ105)*AZ114,0)</f>
        <v>5.625</v>
      </c>
      <c r="BA130" s="96">
        <f t="shared" ref="BA130:BA135" si="127">$BE130/4</f>
        <v>1.40625</v>
      </c>
      <c r="BB130" s="96">
        <f t="shared" si="113"/>
        <v>1.40625</v>
      </c>
      <c r="BC130" s="96">
        <f t="shared" si="113"/>
        <v>1.40625</v>
      </c>
      <c r="BD130" s="96">
        <f t="shared" si="113"/>
        <v>1.40625</v>
      </c>
      <c r="BE130" s="935">
        <f>IF(BE124&gt;BE105, MIN(BE106-BE105,BE124-BE105)*BE114,0)</f>
        <v>5.625</v>
      </c>
      <c r="BF130" s="1115">
        <f t="shared" si="114"/>
        <v>1.40625</v>
      </c>
      <c r="BG130" s="96">
        <f t="shared" si="115"/>
        <v>1.40625</v>
      </c>
      <c r="BH130" s="96">
        <f t="shared" si="115"/>
        <v>1.40625</v>
      </c>
      <c r="BI130" s="97">
        <f t="shared" si="115"/>
        <v>1.40625</v>
      </c>
      <c r="BJ130" s="935">
        <f>IF(BJ124&gt;BJ105, MIN(BJ106-BJ105,BJ124-BJ105)*BJ114,0)</f>
        <v>5.625</v>
      </c>
      <c r="BK130" s="936">
        <f t="shared" si="116"/>
        <v>1.40625</v>
      </c>
      <c r="BL130" s="96">
        <f t="shared" si="117"/>
        <v>1.40625</v>
      </c>
      <c r="BM130" s="96">
        <f t="shared" si="117"/>
        <v>1.40625</v>
      </c>
      <c r="BN130" s="97">
        <f t="shared" si="117"/>
        <v>1.40625</v>
      </c>
      <c r="BO130" s="935">
        <f t="shared" ref="BO130:CB130" si="128">IF(BO124&gt;BO105, MIN(BO106-BO105,BO124-BO105)*BO114,0)</f>
        <v>5.625</v>
      </c>
      <c r="BP130" s="936">
        <f t="shared" si="119"/>
        <v>1.40625</v>
      </c>
      <c r="BQ130" s="96">
        <f t="shared" si="119"/>
        <v>1.40625</v>
      </c>
      <c r="BR130" s="96">
        <f t="shared" si="119"/>
        <v>1.40625</v>
      </c>
      <c r="BS130" s="97">
        <f t="shared" si="119"/>
        <v>1.40625</v>
      </c>
      <c r="BT130" s="935">
        <f>IF(BT124&gt;BT105, MIN(BT106-BT105,BT124-BT105)*BT114,0)</f>
        <v>5.625</v>
      </c>
      <c r="BU130" s="935">
        <f t="shared" si="128"/>
        <v>5.625</v>
      </c>
      <c r="BV130" s="935">
        <f t="shared" si="128"/>
        <v>5.625</v>
      </c>
      <c r="BW130" s="935">
        <f t="shared" si="128"/>
        <v>5.625</v>
      </c>
      <c r="BX130" s="935">
        <f t="shared" si="128"/>
        <v>5.625</v>
      </c>
      <c r="BY130" s="935">
        <f t="shared" si="128"/>
        <v>5.625</v>
      </c>
      <c r="BZ130" s="935">
        <f t="shared" si="128"/>
        <v>5.625</v>
      </c>
      <c r="CA130" s="935">
        <f t="shared" si="128"/>
        <v>5.625</v>
      </c>
      <c r="CB130" s="935">
        <f t="shared" si="128"/>
        <v>5.625</v>
      </c>
    </row>
    <row r="131" spans="1:80">
      <c r="A131" s="1114"/>
      <c r="B131" s="1114"/>
      <c r="C131" s="1115">
        <f t="shared" si="103"/>
        <v>1.015625</v>
      </c>
      <c r="D131" s="96">
        <f t="shared" si="103"/>
        <v>1.015625</v>
      </c>
      <c r="E131" s="96">
        <f t="shared" si="103"/>
        <v>1.015625</v>
      </c>
      <c r="F131" s="96">
        <f t="shared" si="103"/>
        <v>1.015625</v>
      </c>
      <c r="G131" s="935">
        <f>IF(G124&gt;G106, MIN(G107-G106,G124-G106)*G115,0)</f>
        <v>4.0625</v>
      </c>
      <c r="H131" s="379">
        <f>IF(H124*4&gt;H106,MIN(H107-H106,H124*4-H106)*H115,0)/4</f>
        <v>1.015625</v>
      </c>
      <c r="I131" s="379">
        <f>IF(I124*4&gt;I106,MIN(I107-I106,I124*4-I106)*I115,0)/4</f>
        <v>1.015625</v>
      </c>
      <c r="J131" s="96">
        <f t="shared" si="120"/>
        <v>1.7187500000000002</v>
      </c>
      <c r="K131" s="96">
        <f t="shared" si="121"/>
        <v>1.7187500000000002</v>
      </c>
      <c r="L131" s="935">
        <f>IF(L124&gt;L106, MIN(L107-L106,L124-L106)*L115,0)</f>
        <v>6.8750000000000009</v>
      </c>
      <c r="M131" s="96">
        <f t="shared" si="104"/>
        <v>1.7187500000000002</v>
      </c>
      <c r="N131" s="96">
        <f t="shared" si="105"/>
        <v>1.7187500000000002</v>
      </c>
      <c r="O131" s="96">
        <f t="shared" si="105"/>
        <v>1.7187500000000002</v>
      </c>
      <c r="P131" s="96">
        <f t="shared" si="105"/>
        <v>1.7187500000000002</v>
      </c>
      <c r="Q131" s="935">
        <f>IF(Q124&gt;Q106, MIN(Q107-Q106,Q124-Q106)*Q115,0)</f>
        <v>6.8750000000000009</v>
      </c>
      <c r="R131" s="96">
        <f t="shared" si="106"/>
        <v>1.7187500000000002</v>
      </c>
      <c r="S131" s="96">
        <f t="shared" si="106"/>
        <v>1.7187500000000002</v>
      </c>
      <c r="T131" s="96">
        <f t="shared" si="106"/>
        <v>1.7187500000000002</v>
      </c>
      <c r="U131" s="96">
        <f t="shared" si="106"/>
        <v>1.7187500000000002</v>
      </c>
      <c r="V131" s="935">
        <f>IF(V124&gt;V106, MIN(V107-V106,V124-V106)*V115,0)</f>
        <v>6.8750000000000009</v>
      </c>
      <c r="W131" s="96">
        <f t="shared" si="107"/>
        <v>1.7187500000000002</v>
      </c>
      <c r="X131" s="96">
        <f t="shared" si="108"/>
        <v>1.7187500000000002</v>
      </c>
      <c r="Y131" s="96">
        <f t="shared" si="108"/>
        <v>1.7187500000000002</v>
      </c>
      <c r="Z131" s="96">
        <f t="shared" si="108"/>
        <v>1.7187500000000002</v>
      </c>
      <c r="AA131" s="935">
        <f>IF(AA124&gt;AA106, MIN(AA107-AA106,AA124-AA106)*AA115,0)</f>
        <v>6.8750000000000009</v>
      </c>
      <c r="AB131" s="96">
        <f t="shared" si="109"/>
        <v>1.7187500000000002</v>
      </c>
      <c r="AC131" s="96">
        <f t="shared" si="110"/>
        <v>1.7187500000000002</v>
      </c>
      <c r="AD131" s="96">
        <f t="shared" si="110"/>
        <v>1.7187500000000002</v>
      </c>
      <c r="AE131" s="96">
        <f t="shared" si="110"/>
        <v>1.7187500000000002</v>
      </c>
      <c r="AF131" s="935">
        <f>IF(AF124&gt;AF106, MIN(AF107-AF106,AF124-AF106)*AF115,0)</f>
        <v>6.8750000000000009</v>
      </c>
      <c r="AG131" s="96">
        <f t="shared" si="122"/>
        <v>1.7187500000000002</v>
      </c>
      <c r="AH131" s="96">
        <f t="shared" si="123"/>
        <v>1.7187500000000002</v>
      </c>
      <c r="AI131" s="96">
        <f t="shared" si="123"/>
        <v>1.7187500000000002</v>
      </c>
      <c r="AJ131" s="96">
        <f t="shared" si="123"/>
        <v>1.7187500000000002</v>
      </c>
      <c r="AK131" s="935">
        <f>IF(AK124&gt;AK106, MIN(AK107-AK106,AK124-AK106)*AK115,0)</f>
        <v>6.8750000000000009</v>
      </c>
      <c r="AL131" s="96">
        <f t="shared" si="124"/>
        <v>1.7187500000000002</v>
      </c>
      <c r="AM131" s="96">
        <f t="shared" si="125"/>
        <v>1.7187500000000002</v>
      </c>
      <c r="AN131" s="96">
        <f t="shared" si="125"/>
        <v>1.7187500000000002</v>
      </c>
      <c r="AO131" s="96">
        <f t="shared" si="125"/>
        <v>1.7187500000000002</v>
      </c>
      <c r="AP131" s="935">
        <f>IF(AP124&gt;AP106, MIN(AP107-AP106,AP124-AP106)*AP115,0)</f>
        <v>6.8750000000000009</v>
      </c>
      <c r="AQ131" s="96">
        <f t="shared" si="111"/>
        <v>1.7187500000000002</v>
      </c>
      <c r="AR131" s="96">
        <f t="shared" si="111"/>
        <v>1.7187500000000002</v>
      </c>
      <c r="AS131" s="96">
        <f t="shared" si="111"/>
        <v>1.7187500000000002</v>
      </c>
      <c r="AT131" s="96">
        <f t="shared" si="111"/>
        <v>1.7187500000000002</v>
      </c>
      <c r="AU131" s="935">
        <f>IF(AU124&gt;AU106, MIN(AU107-AU106,AU124-AU106)*AU115,0)</f>
        <v>6.8750000000000009</v>
      </c>
      <c r="AV131" s="96">
        <f t="shared" si="126"/>
        <v>1.7187500000000002</v>
      </c>
      <c r="AW131" s="96">
        <f t="shared" si="112"/>
        <v>1.7187500000000002</v>
      </c>
      <c r="AX131" s="96">
        <f t="shared" si="112"/>
        <v>1.7187500000000002</v>
      </c>
      <c r="AY131" s="96">
        <f t="shared" si="112"/>
        <v>1.7187500000000002</v>
      </c>
      <c r="AZ131" s="935">
        <f>IF(AZ124&gt;AZ106, MIN(AZ107-AZ106,AZ124-AZ106)*AZ115,0)</f>
        <v>6.8750000000000009</v>
      </c>
      <c r="BA131" s="96">
        <f t="shared" si="127"/>
        <v>1.7187500000000002</v>
      </c>
      <c r="BB131" s="96">
        <f t="shared" si="113"/>
        <v>1.7187500000000002</v>
      </c>
      <c r="BC131" s="96">
        <f t="shared" si="113"/>
        <v>1.7187500000000002</v>
      </c>
      <c r="BD131" s="96">
        <f t="shared" si="113"/>
        <v>1.7187500000000002</v>
      </c>
      <c r="BE131" s="935">
        <f>IF(BE124&gt;BE106, MIN(BE107-BE106,BE124-BE106)*BE115,0)</f>
        <v>6.8750000000000009</v>
      </c>
      <c r="BF131" s="1115">
        <f t="shared" si="114"/>
        <v>1.7187500000000002</v>
      </c>
      <c r="BG131" s="96">
        <f t="shared" ref="BG131:BI135" si="129">$BJ131/4</f>
        <v>1.7187500000000002</v>
      </c>
      <c r="BH131" s="96">
        <f t="shared" si="129"/>
        <v>1.7187500000000002</v>
      </c>
      <c r="BI131" s="97">
        <f t="shared" si="129"/>
        <v>1.7187500000000002</v>
      </c>
      <c r="BJ131" s="935">
        <f>IF(BJ124&gt;BJ106, MIN(BJ107-BJ106,BJ124-BJ106)*BJ115,0)</f>
        <v>6.8750000000000009</v>
      </c>
      <c r="BK131" s="936">
        <f t="shared" si="116"/>
        <v>1.7187500000000002</v>
      </c>
      <c r="BL131" s="96">
        <f t="shared" si="117"/>
        <v>1.7187500000000002</v>
      </c>
      <c r="BM131" s="96">
        <f t="shared" si="117"/>
        <v>1.7187500000000002</v>
      </c>
      <c r="BN131" s="97">
        <f t="shared" si="117"/>
        <v>1.7187500000000002</v>
      </c>
      <c r="BO131" s="935">
        <f t="shared" ref="BO131:CB131" si="130">IF(BO124&gt;BO106, MIN(BO107-BO106,BO124-BO106)*BO115,0)</f>
        <v>6.8750000000000009</v>
      </c>
      <c r="BP131" s="936">
        <f t="shared" si="119"/>
        <v>1.7187500000000002</v>
      </c>
      <c r="BQ131" s="96">
        <f t="shared" si="119"/>
        <v>1.7187500000000002</v>
      </c>
      <c r="BR131" s="96">
        <f t="shared" si="119"/>
        <v>1.7187500000000002</v>
      </c>
      <c r="BS131" s="97">
        <f t="shared" si="119"/>
        <v>1.7187500000000002</v>
      </c>
      <c r="BT131" s="935">
        <f>IF(BT124&gt;BT106, MIN(BT107-BT106,BT124-BT106)*BT115,0)</f>
        <v>6.8750000000000009</v>
      </c>
      <c r="BU131" s="935">
        <f t="shared" si="130"/>
        <v>6.8750000000000009</v>
      </c>
      <c r="BV131" s="935">
        <f t="shared" si="130"/>
        <v>6.8750000000000009</v>
      </c>
      <c r="BW131" s="935">
        <f t="shared" si="130"/>
        <v>6.8750000000000009</v>
      </c>
      <c r="BX131" s="935">
        <f t="shared" si="130"/>
        <v>6.3853661594236248</v>
      </c>
      <c r="BY131" s="935">
        <f t="shared" si="130"/>
        <v>5.3785978514524428</v>
      </c>
      <c r="BZ131" s="935">
        <f t="shared" si="130"/>
        <v>5.7611698084814922</v>
      </c>
      <c r="CA131" s="935">
        <f t="shared" si="130"/>
        <v>6.1513932046511224</v>
      </c>
      <c r="CB131" s="935">
        <f t="shared" si="130"/>
        <v>6.5494210687441443</v>
      </c>
    </row>
    <row r="132" spans="1:80">
      <c r="A132" s="1114"/>
      <c r="B132" s="1114"/>
      <c r="C132" s="1115">
        <f t="shared" si="103"/>
        <v>2.34375</v>
      </c>
      <c r="D132" s="96">
        <f t="shared" si="103"/>
        <v>2.34375</v>
      </c>
      <c r="E132" s="96">
        <f t="shared" si="103"/>
        <v>2.34375</v>
      </c>
      <c r="F132" s="96">
        <f t="shared" si="103"/>
        <v>2.34375</v>
      </c>
      <c r="G132" s="935">
        <f>IF(G124&gt;G107, MIN(G108-G107,G124-G107)*G116,0)</f>
        <v>9.375</v>
      </c>
      <c r="H132" s="379">
        <f>IF(H124*4&gt;H107, MIN(H108-H107,H124*4-H107)*H116,0)/4</f>
        <v>2.34375</v>
      </c>
      <c r="I132" s="379">
        <f>IF(I124*4&gt;I107, MIN(I108-I107,I124*4-I107)*I116,0)/4</f>
        <v>2.34375</v>
      </c>
      <c r="J132" s="96">
        <f t="shared" si="120"/>
        <v>2.03125</v>
      </c>
      <c r="K132" s="96">
        <f t="shared" si="121"/>
        <v>2.03125</v>
      </c>
      <c r="L132" s="935">
        <f>IF(L124&gt;L107, MIN(L108-L107,L124-L107)*L116,0)</f>
        <v>8.125</v>
      </c>
      <c r="M132" s="96">
        <f t="shared" si="104"/>
        <v>2.03125</v>
      </c>
      <c r="N132" s="96">
        <f t="shared" si="105"/>
        <v>2.03125</v>
      </c>
      <c r="O132" s="96">
        <f t="shared" si="105"/>
        <v>2.03125</v>
      </c>
      <c r="P132" s="96">
        <f t="shared" si="105"/>
        <v>2.03125</v>
      </c>
      <c r="Q132" s="935">
        <f>IF(Q124&gt;Q107, MIN(Q108-Q107,Q124-Q107)*Q116,0)</f>
        <v>8.125</v>
      </c>
      <c r="R132" s="96">
        <f t="shared" si="106"/>
        <v>2.03125</v>
      </c>
      <c r="S132" s="96">
        <f t="shared" si="106"/>
        <v>2.03125</v>
      </c>
      <c r="T132" s="96">
        <f t="shared" si="106"/>
        <v>2.03125</v>
      </c>
      <c r="U132" s="96">
        <f t="shared" si="106"/>
        <v>2.03125</v>
      </c>
      <c r="V132" s="935">
        <f>IF(V124&gt;V107, MIN(V108-V107,V124-V107)*V116,0)</f>
        <v>8.125</v>
      </c>
      <c r="W132" s="96">
        <f t="shared" si="107"/>
        <v>2.03125</v>
      </c>
      <c r="X132" s="96">
        <f t="shared" si="108"/>
        <v>2.03125</v>
      </c>
      <c r="Y132" s="96">
        <f t="shared" si="108"/>
        <v>2.03125</v>
      </c>
      <c r="Z132" s="96">
        <f t="shared" si="108"/>
        <v>2.03125</v>
      </c>
      <c r="AA132" s="935">
        <f>IF(AA124&gt;AA107, MIN(AA108-AA107,AA124-AA107)*AA116,0)</f>
        <v>8.125</v>
      </c>
      <c r="AB132" s="96">
        <f t="shared" si="109"/>
        <v>2.03125</v>
      </c>
      <c r="AC132" s="96">
        <f t="shared" si="110"/>
        <v>2.03125</v>
      </c>
      <c r="AD132" s="96">
        <f t="shared" si="110"/>
        <v>2.03125</v>
      </c>
      <c r="AE132" s="96">
        <f t="shared" si="110"/>
        <v>2.03125</v>
      </c>
      <c r="AF132" s="935">
        <f>IF(AF124&gt;AF107, MIN(AF108-AF107,AF124-AF107)*AF116,0)</f>
        <v>8.125</v>
      </c>
      <c r="AG132" s="96">
        <f t="shared" si="122"/>
        <v>2.03125</v>
      </c>
      <c r="AH132" s="96">
        <f t="shared" si="123"/>
        <v>2.03125</v>
      </c>
      <c r="AI132" s="96">
        <f t="shared" si="123"/>
        <v>2.03125</v>
      </c>
      <c r="AJ132" s="96">
        <f t="shared" si="123"/>
        <v>2.03125</v>
      </c>
      <c r="AK132" s="935">
        <f>IF(AK124&gt;AK107, MIN(AK108-AK107,AK124-AK107)*AK116,0)</f>
        <v>8.125</v>
      </c>
      <c r="AL132" s="96">
        <f t="shared" si="124"/>
        <v>2.03125</v>
      </c>
      <c r="AM132" s="96">
        <f t="shared" si="125"/>
        <v>2.03125</v>
      </c>
      <c r="AN132" s="96">
        <f t="shared" si="125"/>
        <v>2.03125</v>
      </c>
      <c r="AO132" s="96">
        <f t="shared" si="125"/>
        <v>2.03125</v>
      </c>
      <c r="AP132" s="935">
        <f>IF(AP124&gt;AP107, MIN(AP108-AP107,AP124-AP107)*AP116,0)</f>
        <v>8.125</v>
      </c>
      <c r="AQ132" s="96">
        <f t="shared" si="111"/>
        <v>2.03125</v>
      </c>
      <c r="AR132" s="96">
        <f t="shared" si="111"/>
        <v>2.03125</v>
      </c>
      <c r="AS132" s="96">
        <f t="shared" si="111"/>
        <v>2.03125</v>
      </c>
      <c r="AT132" s="96">
        <f t="shared" si="111"/>
        <v>2.03125</v>
      </c>
      <c r="AU132" s="935">
        <f>IF(AU124&gt;AU107, MIN(AU108-AU107,AU124-AU107)*AU116,0)</f>
        <v>8.125</v>
      </c>
      <c r="AV132" s="96">
        <f t="shared" si="126"/>
        <v>2.03125</v>
      </c>
      <c r="AW132" s="96">
        <f t="shared" si="112"/>
        <v>2.03125</v>
      </c>
      <c r="AX132" s="96">
        <f t="shared" si="112"/>
        <v>2.03125</v>
      </c>
      <c r="AY132" s="96">
        <f t="shared" si="112"/>
        <v>2.03125</v>
      </c>
      <c r="AZ132" s="935">
        <f>IF(AZ124&gt;AZ107, MIN(AZ108-AZ107,AZ124-AZ107)*AZ116,0)</f>
        <v>8.125</v>
      </c>
      <c r="BA132" s="96">
        <f t="shared" si="127"/>
        <v>1.5388744312500013</v>
      </c>
      <c r="BB132" s="96">
        <f t="shared" si="113"/>
        <v>1.5388744312500013</v>
      </c>
      <c r="BC132" s="96">
        <f t="shared" si="113"/>
        <v>1.5388744312500013</v>
      </c>
      <c r="BD132" s="96">
        <f t="shared" si="113"/>
        <v>1.5388744312500013</v>
      </c>
      <c r="BE132" s="935">
        <f>IF(BE124&gt;BE107, MIN(BE108-BE107,BE124-BE107)*BE116,0)</f>
        <v>6.1554977250000054</v>
      </c>
      <c r="BF132" s="1115">
        <f t="shared" si="114"/>
        <v>1.218181575</v>
      </c>
      <c r="BG132" s="96">
        <f t="shared" si="129"/>
        <v>1.218181575</v>
      </c>
      <c r="BH132" s="96">
        <f t="shared" si="129"/>
        <v>1.218181575</v>
      </c>
      <c r="BI132" s="97">
        <f t="shared" si="129"/>
        <v>1.218181575</v>
      </c>
      <c r="BJ132" s="935">
        <f>IF(BJ124&gt;BJ107, MIN(BJ108-BJ107,BJ124-BJ107)*BJ116,0)</f>
        <v>4.8727263000000001</v>
      </c>
      <c r="BK132" s="936">
        <f t="shared" si="116"/>
        <v>0.60519013750000095</v>
      </c>
      <c r="BL132" s="96">
        <f t="shared" si="117"/>
        <v>0.60519013750000095</v>
      </c>
      <c r="BM132" s="96">
        <f t="shared" si="117"/>
        <v>0.60519013750000095</v>
      </c>
      <c r="BN132" s="97">
        <f t="shared" si="117"/>
        <v>0.60519013750000095</v>
      </c>
      <c r="BO132" s="935">
        <f t="shared" ref="BO132:CB132" si="131">IF(BO124&gt;BO107, MIN(BO108-BO107,BO124-BO107)*BO116,0)</f>
        <v>2.4207605500000038</v>
      </c>
      <c r="BP132" s="936">
        <f t="shared" si="119"/>
        <v>0.60519013750000095</v>
      </c>
      <c r="BQ132" s="96">
        <f t="shared" si="119"/>
        <v>0.60519013750000095</v>
      </c>
      <c r="BR132" s="96">
        <f t="shared" si="119"/>
        <v>0.60519013750000095</v>
      </c>
      <c r="BS132" s="97">
        <f t="shared" si="119"/>
        <v>0.60519013750000095</v>
      </c>
      <c r="BT132" s="935">
        <f>IF(BT124&gt;BT107, MIN(BT108-BT107,BT124-BT107)*BT116,0)</f>
        <v>1.2478634999999993</v>
      </c>
      <c r="BU132" s="935">
        <f t="shared" si="131"/>
        <v>0.92679885674999907</v>
      </c>
      <c r="BV132" s="935">
        <f t="shared" si="131"/>
        <v>0.67378086818250016</v>
      </c>
      <c r="BW132" s="935">
        <f t="shared" si="131"/>
        <v>0.67378086818250016</v>
      </c>
      <c r="BX132" s="935">
        <f t="shared" si="131"/>
        <v>0</v>
      </c>
      <c r="BY132" s="935">
        <f t="shared" si="131"/>
        <v>0</v>
      </c>
      <c r="BZ132" s="935">
        <f t="shared" si="131"/>
        <v>0</v>
      </c>
      <c r="CA132" s="935">
        <f t="shared" si="131"/>
        <v>0</v>
      </c>
      <c r="CB132" s="935">
        <f t="shared" si="131"/>
        <v>0</v>
      </c>
    </row>
    <row r="133" spans="1:80">
      <c r="A133" s="1114"/>
      <c r="B133" s="1114"/>
      <c r="C133" s="1115">
        <f t="shared" si="103"/>
        <v>2.8125</v>
      </c>
      <c r="D133" s="96">
        <f t="shared" si="103"/>
        <v>2.8125</v>
      </c>
      <c r="E133" s="96">
        <f t="shared" si="103"/>
        <v>2.8125</v>
      </c>
      <c r="F133" s="96">
        <f t="shared" si="103"/>
        <v>2.8125</v>
      </c>
      <c r="G133" s="935">
        <f>IF(G124&gt;G108, MIN(G109-G108,G124-G108)*G117,0)</f>
        <v>11.25</v>
      </c>
      <c r="H133" s="379">
        <f>IF(H124*4&gt;H108,MIN(H109-H108,H124*4-H108)*H117,0)/4</f>
        <v>2.8125</v>
      </c>
      <c r="I133" s="379">
        <f>IF(I124*4&gt;I108,MIN(I109-I108,I124*4-I108)*I117,0)/4</f>
        <v>2.8125</v>
      </c>
      <c r="J133" s="96">
        <f t="shared" si="120"/>
        <v>3.0676874999999981</v>
      </c>
      <c r="K133" s="96">
        <f t="shared" si="121"/>
        <v>3.0676874999999981</v>
      </c>
      <c r="L133" s="935">
        <f>IF(L124&gt;L108, MIN(L109-L108,L124-L108)*L117,0)</f>
        <v>12.270749999999992</v>
      </c>
      <c r="M133" s="96">
        <f t="shared" si="104"/>
        <v>2.8667812500000007</v>
      </c>
      <c r="N133" s="96">
        <f t="shared" si="105"/>
        <v>2.8667812500000007</v>
      </c>
      <c r="O133" s="96">
        <f t="shared" si="105"/>
        <v>2.8667812500000007</v>
      </c>
      <c r="P133" s="96">
        <f t="shared" si="105"/>
        <v>2.8667812500000007</v>
      </c>
      <c r="Q133" s="935">
        <f>IF(Q124&gt;Q108, MIN(Q109-Q108,Q124-Q108)*Q117,0)</f>
        <v>11.467125000000003</v>
      </c>
      <c r="R133" s="96">
        <f t="shared" si="106"/>
        <v>3.0718125000000018</v>
      </c>
      <c r="S133" s="96">
        <f t="shared" si="106"/>
        <v>3.0718125000000018</v>
      </c>
      <c r="T133" s="96">
        <f t="shared" si="106"/>
        <v>3.0718125000000018</v>
      </c>
      <c r="U133" s="96">
        <f t="shared" si="106"/>
        <v>3.0718125000000018</v>
      </c>
      <c r="V133" s="935">
        <f>IF(V124&gt;V108, MIN(V109-V108,V124-V108)*V117,0)</f>
        <v>12.287250000000007</v>
      </c>
      <c r="W133" s="96">
        <f t="shared" si="107"/>
        <v>1.5712500000000005</v>
      </c>
      <c r="X133" s="96">
        <f t="shared" si="108"/>
        <v>1.5712500000000005</v>
      </c>
      <c r="Y133" s="96">
        <f t="shared" si="108"/>
        <v>1.5712500000000005</v>
      </c>
      <c r="Z133" s="96">
        <f t="shared" si="108"/>
        <v>1.5712500000000005</v>
      </c>
      <c r="AA133" s="935">
        <f>IF(AA124&gt;AA108, MIN(AA109-AA108,AA124-AA108)*AA117,0)</f>
        <v>6.2850000000000019</v>
      </c>
      <c r="AB133" s="96">
        <f t="shared" si="109"/>
        <v>1.4099999999999993</v>
      </c>
      <c r="AC133" s="96">
        <f t="shared" si="110"/>
        <v>1.4099999999999993</v>
      </c>
      <c r="AD133" s="96">
        <f t="shared" si="110"/>
        <v>1.4099999999999993</v>
      </c>
      <c r="AE133" s="96">
        <f t="shared" si="110"/>
        <v>1.4099999999999993</v>
      </c>
      <c r="AF133" s="935">
        <f>IF(AF124&gt;AF108, MIN(AF109-AF108,AF124-AF108)*AF117,0)</f>
        <v>5.639999999999997</v>
      </c>
      <c r="AG133" s="96">
        <f t="shared" si="122"/>
        <v>1.4354999999999984</v>
      </c>
      <c r="AH133" s="96">
        <f t="shared" si="123"/>
        <v>1.4354999999999984</v>
      </c>
      <c r="AI133" s="96">
        <f t="shared" si="123"/>
        <v>1.4354999999999984</v>
      </c>
      <c r="AJ133" s="96">
        <f t="shared" si="123"/>
        <v>1.4354999999999984</v>
      </c>
      <c r="AK133" s="935">
        <f>IF(AK124&gt;AK108, MIN(AK109-AK108,AK124-AK108)*AK117,0)</f>
        <v>5.7419999999999938</v>
      </c>
      <c r="AL133" s="96">
        <f t="shared" si="124"/>
        <v>1.4511562499999999</v>
      </c>
      <c r="AM133" s="96">
        <f t="shared" si="125"/>
        <v>1.4511562499999999</v>
      </c>
      <c r="AN133" s="96">
        <f t="shared" si="125"/>
        <v>1.4511562499999999</v>
      </c>
      <c r="AO133" s="96">
        <f t="shared" si="125"/>
        <v>1.4511562499999999</v>
      </c>
      <c r="AP133" s="935">
        <f>IF(AP124&gt;AP108, MIN(AP109-AP108,AP124-AP108)*AP117,0)</f>
        <v>5.8046249999999997</v>
      </c>
      <c r="AQ133" s="96">
        <f t="shared" si="111"/>
        <v>1.5321734999999994</v>
      </c>
      <c r="AR133" s="96">
        <f t="shared" si="111"/>
        <v>1.5321734999999994</v>
      </c>
      <c r="AS133" s="96">
        <f t="shared" si="111"/>
        <v>1.5321734999999994</v>
      </c>
      <c r="AT133" s="96">
        <f t="shared" si="111"/>
        <v>1.5321734999999994</v>
      </c>
      <c r="AU133" s="935">
        <f>IF(AU124&gt;AU108, MIN(AU109-AU108,AU124-AU108)*AU117,0)</f>
        <v>6.1286939999999976</v>
      </c>
      <c r="AV133" s="96">
        <f t="shared" si="126"/>
        <v>0.69674868750000085</v>
      </c>
      <c r="AW133" s="96">
        <f t="shared" si="112"/>
        <v>0.69674868750000085</v>
      </c>
      <c r="AX133" s="96">
        <f t="shared" si="112"/>
        <v>0.69674868750000085</v>
      </c>
      <c r="AY133" s="96">
        <f t="shared" si="112"/>
        <v>0.69674868750000085</v>
      </c>
      <c r="AZ133" s="935">
        <f>IF(AZ124&gt;AZ108, MIN(AZ109-AZ108,AZ124-AZ108)*AZ117,0)</f>
        <v>2.7869947500000034</v>
      </c>
      <c r="BA133" s="96">
        <f t="shared" si="127"/>
        <v>0</v>
      </c>
      <c r="BB133" s="96">
        <f t="shared" si="113"/>
        <v>0</v>
      </c>
      <c r="BC133" s="96">
        <f t="shared" si="113"/>
        <v>0</v>
      </c>
      <c r="BD133" s="96">
        <f t="shared" si="113"/>
        <v>0</v>
      </c>
      <c r="BE133" s="935">
        <f>IF(BE124&gt;BE108, MIN(BE109-BE108,BE124-BE108)*BE117,0)</f>
        <v>0</v>
      </c>
      <c r="BF133" s="1115">
        <f t="shared" si="114"/>
        <v>0</v>
      </c>
      <c r="BG133" s="96">
        <f t="shared" si="129"/>
        <v>0</v>
      </c>
      <c r="BH133" s="96">
        <f t="shared" si="129"/>
        <v>0</v>
      </c>
      <c r="BI133" s="97">
        <f t="shared" si="129"/>
        <v>0</v>
      </c>
      <c r="BJ133" s="935">
        <f>IF(BJ124&gt;BJ108, MIN(BJ109-BJ108,BJ124-BJ108)*BJ117,0)</f>
        <v>0</v>
      </c>
      <c r="BK133" s="936">
        <f t="shared" si="116"/>
        <v>0</v>
      </c>
      <c r="BL133" s="96">
        <f t="shared" si="117"/>
        <v>0</v>
      </c>
      <c r="BM133" s="96">
        <f t="shared" si="117"/>
        <v>0</v>
      </c>
      <c r="BN133" s="97">
        <f t="shared" si="117"/>
        <v>0</v>
      </c>
      <c r="BO133" s="935">
        <f t="shared" ref="BO133:CB133" si="132">IF(BO124&gt;BO108, MIN(BO109-BO108,BO124-BO108)*BO117,0)</f>
        <v>0</v>
      </c>
      <c r="BP133" s="936">
        <f t="shared" si="119"/>
        <v>0</v>
      </c>
      <c r="BQ133" s="96">
        <f t="shared" si="119"/>
        <v>0</v>
      </c>
      <c r="BR133" s="96">
        <f t="shared" si="119"/>
        <v>0</v>
      </c>
      <c r="BS133" s="97">
        <f t="shared" si="119"/>
        <v>0</v>
      </c>
      <c r="BT133" s="935">
        <f>IF(BT124&gt;BT108, MIN(BT109-BT108,BT124-BT108)*BT117,0)</f>
        <v>0</v>
      </c>
      <c r="BU133" s="935">
        <f t="shared" si="132"/>
        <v>0</v>
      </c>
      <c r="BV133" s="935">
        <f t="shared" si="132"/>
        <v>0</v>
      </c>
      <c r="BW133" s="935">
        <f t="shared" si="132"/>
        <v>0</v>
      </c>
      <c r="BX133" s="935">
        <f t="shared" si="132"/>
        <v>0</v>
      </c>
      <c r="BY133" s="935">
        <f t="shared" si="132"/>
        <v>0</v>
      </c>
      <c r="BZ133" s="935">
        <f t="shared" si="132"/>
        <v>0</v>
      </c>
      <c r="CA133" s="935">
        <f t="shared" si="132"/>
        <v>0</v>
      </c>
      <c r="CB133" s="935">
        <f t="shared" si="132"/>
        <v>0</v>
      </c>
    </row>
    <row r="134" spans="1:80">
      <c r="A134" s="1116"/>
      <c r="B134" s="1116"/>
      <c r="C134" s="1115">
        <f t="shared" si="103"/>
        <v>4.0063749999999985</v>
      </c>
      <c r="D134" s="96">
        <f t="shared" si="103"/>
        <v>4.0063749999999985</v>
      </c>
      <c r="E134" s="96">
        <f t="shared" si="103"/>
        <v>4.0063749999999985</v>
      </c>
      <c r="F134" s="96">
        <f t="shared" si="103"/>
        <v>4.0063749999999985</v>
      </c>
      <c r="G134" s="935">
        <f>IF(G124&gt;G109, MIN(G110-G109,G124-G109)*G118,0)</f>
        <v>16.025499999999994</v>
      </c>
      <c r="H134" s="1117">
        <f>IF(H124*4&gt;H109,MIN(H110-H109, H124*4-H109)*H118,0)/4</f>
        <v>4.4565000000000019</v>
      </c>
      <c r="I134" s="1117">
        <f>IF(I124*4&gt;I109,MIN(I110-I109, I124*4-I109)*I118,0)/4</f>
        <v>3.8830000000000027</v>
      </c>
      <c r="J134" s="96">
        <f t="shared" si="120"/>
        <v>0</v>
      </c>
      <c r="K134" s="96">
        <f t="shared" si="121"/>
        <v>0</v>
      </c>
      <c r="L134" s="935">
        <f>IF(L124&gt;L109, MIN(L110-L109,L124-L109)*L118,0)</f>
        <v>0</v>
      </c>
      <c r="M134" s="96">
        <f t="shared" si="104"/>
        <v>0</v>
      </c>
      <c r="N134" s="96">
        <f t="shared" si="105"/>
        <v>0</v>
      </c>
      <c r="O134" s="96">
        <f t="shared" si="105"/>
        <v>0</v>
      </c>
      <c r="P134" s="96">
        <f t="shared" si="105"/>
        <v>0</v>
      </c>
      <c r="Q134" s="935">
        <f>IF(Q124&gt;Q109, MIN(Q110-Q109,Q124-Q109)*Q118,0)</f>
        <v>0</v>
      </c>
      <c r="R134" s="96">
        <f t="shared" si="106"/>
        <v>0</v>
      </c>
      <c r="S134" s="96">
        <f t="shared" si="106"/>
        <v>0</v>
      </c>
      <c r="T134" s="96">
        <f t="shared" si="106"/>
        <v>0</v>
      </c>
      <c r="U134" s="96">
        <f t="shared" si="106"/>
        <v>0</v>
      </c>
      <c r="V134" s="935">
        <f>IF(V124&gt;V109, MIN(V110-V109,V124-V109)*V118,0)</f>
        <v>0</v>
      </c>
      <c r="W134" s="96">
        <f t="shared" si="107"/>
        <v>0</v>
      </c>
      <c r="X134" s="96">
        <f t="shared" si="108"/>
        <v>0</v>
      </c>
      <c r="Y134" s="96">
        <f t="shared" si="108"/>
        <v>0</v>
      </c>
      <c r="Z134" s="96">
        <f t="shared" si="108"/>
        <v>0</v>
      </c>
      <c r="AA134" s="935">
        <f>IF(AA124&gt;AA109, MIN(AA110-AA109,AA124-AA109)*AA118,0)</f>
        <v>0</v>
      </c>
      <c r="AB134" s="96">
        <f t="shared" si="109"/>
        <v>0</v>
      </c>
      <c r="AC134" s="96">
        <f t="shared" si="110"/>
        <v>0</v>
      </c>
      <c r="AD134" s="96">
        <f t="shared" si="110"/>
        <v>0</v>
      </c>
      <c r="AE134" s="96">
        <f t="shared" si="110"/>
        <v>0</v>
      </c>
      <c r="AF134" s="935">
        <f>IF(AF124&gt;AF109, MIN(AF110-AF109,AF124-AF109)*AF118,0)</f>
        <v>0</v>
      </c>
      <c r="AG134" s="96">
        <f t="shared" si="122"/>
        <v>0</v>
      </c>
      <c r="AH134" s="96">
        <f t="shared" si="123"/>
        <v>0</v>
      </c>
      <c r="AI134" s="96">
        <f t="shared" si="123"/>
        <v>0</v>
      </c>
      <c r="AJ134" s="96">
        <f t="shared" si="123"/>
        <v>0</v>
      </c>
      <c r="AK134" s="935">
        <f>IF(AK124&gt;AK109, MIN(AK110-AK109,AK124-AK109)*AK118,0)</f>
        <v>0</v>
      </c>
      <c r="AL134" s="96">
        <f t="shared" si="124"/>
        <v>0</v>
      </c>
      <c r="AM134" s="96">
        <f t="shared" si="125"/>
        <v>0</v>
      </c>
      <c r="AN134" s="96">
        <f t="shared" si="125"/>
        <v>0</v>
      </c>
      <c r="AO134" s="96">
        <f t="shared" si="125"/>
        <v>0</v>
      </c>
      <c r="AP134" s="935">
        <f>IF(AP124&gt;AP109, MIN(AP110-AP109,AP124-AP109)*AP118,0)</f>
        <v>0</v>
      </c>
      <c r="AQ134" s="96">
        <f t="shared" si="111"/>
        <v>0</v>
      </c>
      <c r="AR134" s="96">
        <f t="shared" si="111"/>
        <v>0</v>
      </c>
      <c r="AS134" s="96">
        <f t="shared" si="111"/>
        <v>0</v>
      </c>
      <c r="AT134" s="96">
        <f t="shared" si="111"/>
        <v>0</v>
      </c>
      <c r="AU134" s="935">
        <f>IF(AU124&gt;AU109, MIN(AU110-AU109,AU124-AU109)*AU118,0)</f>
        <v>0</v>
      </c>
      <c r="AV134" s="96">
        <f t="shared" si="126"/>
        <v>0</v>
      </c>
      <c r="AW134" s="96">
        <f t="shared" si="112"/>
        <v>0</v>
      </c>
      <c r="AX134" s="96">
        <f t="shared" si="112"/>
        <v>0</v>
      </c>
      <c r="AY134" s="96">
        <f t="shared" si="112"/>
        <v>0</v>
      </c>
      <c r="AZ134" s="935">
        <f>IF(AZ124&gt;AZ109, MIN(AZ110-AZ109,AZ124-AZ109)*AZ118,0)</f>
        <v>0</v>
      </c>
      <c r="BA134" s="96">
        <f t="shared" si="127"/>
        <v>0</v>
      </c>
      <c r="BB134" s="96">
        <f t="shared" si="113"/>
        <v>0</v>
      </c>
      <c r="BC134" s="96">
        <f t="shared" si="113"/>
        <v>0</v>
      </c>
      <c r="BD134" s="96">
        <f t="shared" si="113"/>
        <v>0</v>
      </c>
      <c r="BE134" s="935">
        <f>IF(BE124&gt;BE109, MIN(BE110-BE109,BE124-BE109)*BE118,0)</f>
        <v>0</v>
      </c>
      <c r="BF134" s="1115">
        <f t="shared" si="114"/>
        <v>0</v>
      </c>
      <c r="BG134" s="96">
        <f t="shared" si="129"/>
        <v>0</v>
      </c>
      <c r="BH134" s="96">
        <f t="shared" si="129"/>
        <v>0</v>
      </c>
      <c r="BI134" s="97">
        <f t="shared" si="129"/>
        <v>0</v>
      </c>
      <c r="BJ134" s="935">
        <f>IF(BJ124&gt;BJ109, MIN(BJ110-BJ109,BJ124-BJ109)*BJ118,0)</f>
        <v>0</v>
      </c>
      <c r="BK134" s="936">
        <f t="shared" si="116"/>
        <v>0</v>
      </c>
      <c r="BL134" s="96">
        <f t="shared" si="117"/>
        <v>0</v>
      </c>
      <c r="BM134" s="96">
        <f t="shared" si="117"/>
        <v>0</v>
      </c>
      <c r="BN134" s="97">
        <f t="shared" si="117"/>
        <v>0</v>
      </c>
      <c r="BO134" s="935">
        <f t="shared" ref="BO134:CB134" si="133">IF(BO124&gt;BO109, MIN(BO110-BO109,BO124-BO109)*BO118,0)</f>
        <v>0</v>
      </c>
      <c r="BP134" s="936">
        <f t="shared" si="119"/>
        <v>0</v>
      </c>
      <c r="BQ134" s="96">
        <f t="shared" si="119"/>
        <v>0</v>
      </c>
      <c r="BR134" s="96">
        <f t="shared" si="119"/>
        <v>0</v>
      </c>
      <c r="BS134" s="97">
        <f t="shared" si="119"/>
        <v>0</v>
      </c>
      <c r="BT134" s="935">
        <f>IF(BT124&gt;BT109, MIN(BT110-BT109,BT124-BT109)*BT118,0)</f>
        <v>0</v>
      </c>
      <c r="BU134" s="935">
        <f t="shared" si="133"/>
        <v>0</v>
      </c>
      <c r="BV134" s="935">
        <f t="shared" si="133"/>
        <v>0</v>
      </c>
      <c r="BW134" s="935">
        <f t="shared" si="133"/>
        <v>0</v>
      </c>
      <c r="BX134" s="935">
        <f t="shared" si="133"/>
        <v>0</v>
      </c>
      <c r="BY134" s="935">
        <f t="shared" si="133"/>
        <v>0</v>
      </c>
      <c r="BZ134" s="935">
        <f t="shared" si="133"/>
        <v>0</v>
      </c>
      <c r="CA134" s="935">
        <f t="shared" si="133"/>
        <v>0</v>
      </c>
      <c r="CB134" s="935">
        <f t="shared" si="133"/>
        <v>0</v>
      </c>
    </row>
    <row r="135" spans="1:80">
      <c r="A135" s="1116"/>
      <c r="B135" s="1116"/>
      <c r="C135" s="1115">
        <f t="shared" si="103"/>
        <v>0</v>
      </c>
      <c r="D135" s="96">
        <f t="shared" si="103"/>
        <v>0</v>
      </c>
      <c r="E135" s="96">
        <f t="shared" si="103"/>
        <v>0</v>
      </c>
      <c r="F135" s="96">
        <f t="shared" si="103"/>
        <v>0</v>
      </c>
      <c r="G135" s="146">
        <f>IF(G124&gt;G110, (G124-G110)*G119,0)</f>
        <v>0</v>
      </c>
      <c r="H135" s="1117">
        <f>IF(H124*4&gt;H110,(H124*4-H110)*H119,0)/4</f>
        <v>0</v>
      </c>
      <c r="I135" s="1117">
        <f>IF(I124*4&gt;I110,(I124*4-I110)*I119,0)/4</f>
        <v>0</v>
      </c>
      <c r="J135" s="96">
        <f t="shared" si="120"/>
        <v>0</v>
      </c>
      <c r="K135" s="96">
        <f t="shared" si="121"/>
        <v>0</v>
      </c>
      <c r="L135" s="146">
        <f>IF(L124&gt;L110, (L124-L110)*L119,0)</f>
        <v>0</v>
      </c>
      <c r="M135" s="96">
        <f t="shared" si="104"/>
        <v>0</v>
      </c>
      <c r="N135" s="96">
        <f t="shared" si="105"/>
        <v>0</v>
      </c>
      <c r="O135" s="96">
        <f t="shared" si="105"/>
        <v>0</v>
      </c>
      <c r="P135" s="96">
        <f t="shared" si="105"/>
        <v>0</v>
      </c>
      <c r="Q135" s="146">
        <f>IF(Q124&gt;Q110, (Q124-Q110)*Q119,0)</f>
        <v>0</v>
      </c>
      <c r="R135" s="96">
        <f t="shared" si="106"/>
        <v>0</v>
      </c>
      <c r="S135" s="96">
        <f t="shared" si="106"/>
        <v>0</v>
      </c>
      <c r="T135" s="96">
        <f t="shared" si="106"/>
        <v>0</v>
      </c>
      <c r="U135" s="96">
        <f t="shared" si="106"/>
        <v>0</v>
      </c>
      <c r="V135" s="146">
        <f>IF(V124&gt;V110, (V124-V110)*V119,0)</f>
        <v>0</v>
      </c>
      <c r="W135" s="96">
        <f t="shared" si="107"/>
        <v>0</v>
      </c>
      <c r="X135" s="96">
        <f t="shared" si="108"/>
        <v>0</v>
      </c>
      <c r="Y135" s="96">
        <f t="shared" si="108"/>
        <v>0</v>
      </c>
      <c r="Z135" s="96">
        <f t="shared" si="108"/>
        <v>0</v>
      </c>
      <c r="AA135" s="146">
        <f>IF(AA124&gt;AA110, (AA124-AA110)*AA119,0)</f>
        <v>0</v>
      </c>
      <c r="AB135" s="96">
        <f t="shared" si="109"/>
        <v>0</v>
      </c>
      <c r="AC135" s="96">
        <f t="shared" si="110"/>
        <v>0</v>
      </c>
      <c r="AD135" s="96">
        <f t="shared" si="110"/>
        <v>0</v>
      </c>
      <c r="AE135" s="96">
        <f t="shared" si="110"/>
        <v>0</v>
      </c>
      <c r="AF135" s="146">
        <f>IF(AF124&gt;AF110, (AF124-AF110)*AF119,0)</f>
        <v>0</v>
      </c>
      <c r="AG135" s="96">
        <f t="shared" si="122"/>
        <v>0</v>
      </c>
      <c r="AH135" s="96">
        <f t="shared" si="123"/>
        <v>0</v>
      </c>
      <c r="AI135" s="96">
        <f t="shared" si="123"/>
        <v>0</v>
      </c>
      <c r="AJ135" s="96">
        <f t="shared" si="123"/>
        <v>0</v>
      </c>
      <c r="AK135" s="146">
        <f>IF(AK124&gt;AK110, (AK124-AK110)*AK119,0)</f>
        <v>0</v>
      </c>
      <c r="AL135" s="96">
        <f t="shared" si="124"/>
        <v>0</v>
      </c>
      <c r="AM135" s="96">
        <f t="shared" si="125"/>
        <v>0</v>
      </c>
      <c r="AN135" s="96">
        <f t="shared" si="125"/>
        <v>0</v>
      </c>
      <c r="AO135" s="96">
        <f t="shared" si="125"/>
        <v>0</v>
      </c>
      <c r="AP135" s="146">
        <f>IF(AP124&gt;AP110, (AP124-AP110)*AP119,0)</f>
        <v>0</v>
      </c>
      <c r="AQ135" s="96">
        <f t="shared" si="111"/>
        <v>0</v>
      </c>
      <c r="AR135" s="96">
        <f t="shared" si="111"/>
        <v>0</v>
      </c>
      <c r="AS135" s="96">
        <f t="shared" si="111"/>
        <v>0</v>
      </c>
      <c r="AT135" s="96">
        <f t="shared" si="111"/>
        <v>0</v>
      </c>
      <c r="AU135" s="146">
        <f>IF(AU124&gt;AU110, (AU124-AU110)*AU119,0)</f>
        <v>0</v>
      </c>
      <c r="AV135" s="96">
        <f t="shared" si="126"/>
        <v>0</v>
      </c>
      <c r="AW135" s="96">
        <f t="shared" si="112"/>
        <v>0</v>
      </c>
      <c r="AX135" s="96">
        <f t="shared" si="112"/>
        <v>0</v>
      </c>
      <c r="AY135" s="96">
        <f t="shared" si="112"/>
        <v>0</v>
      </c>
      <c r="AZ135" s="146">
        <f>IF(AZ124&gt;AZ110, (AZ124-AZ110)*AZ119,0)</f>
        <v>0</v>
      </c>
      <c r="BA135" s="96">
        <f t="shared" si="127"/>
        <v>0</v>
      </c>
      <c r="BB135" s="96">
        <f t="shared" si="113"/>
        <v>0</v>
      </c>
      <c r="BC135" s="96">
        <f t="shared" si="113"/>
        <v>0</v>
      </c>
      <c r="BD135" s="96">
        <f t="shared" si="113"/>
        <v>0</v>
      </c>
      <c r="BE135" s="146">
        <f>IF(BE124&gt;BE110, (BE124-BE110)*BE119,0)</f>
        <v>0</v>
      </c>
      <c r="BF135" s="1115">
        <f t="shared" si="114"/>
        <v>0</v>
      </c>
      <c r="BG135" s="96">
        <f t="shared" si="129"/>
        <v>0</v>
      </c>
      <c r="BH135" s="96">
        <f t="shared" si="129"/>
        <v>0</v>
      </c>
      <c r="BI135" s="97">
        <f t="shared" si="129"/>
        <v>0</v>
      </c>
      <c r="BJ135" s="146">
        <f>IF(BJ124&gt;BJ110, (BJ124-BJ110)*BJ119,0)</f>
        <v>0</v>
      </c>
      <c r="BK135" s="936">
        <f t="shared" si="116"/>
        <v>0</v>
      </c>
      <c r="BL135" s="96">
        <f t="shared" si="117"/>
        <v>0</v>
      </c>
      <c r="BM135" s="96">
        <f t="shared" si="117"/>
        <v>0</v>
      </c>
      <c r="BN135" s="97">
        <f t="shared" si="117"/>
        <v>0</v>
      </c>
      <c r="BO135" s="146">
        <f t="shared" ref="BO135:CB135" si="134">IF(BO124&gt;BO110, (BO124-BO110)*BO119,0)</f>
        <v>0</v>
      </c>
      <c r="BP135" s="936">
        <f t="shared" si="119"/>
        <v>0</v>
      </c>
      <c r="BQ135" s="96">
        <f t="shared" si="119"/>
        <v>0</v>
      </c>
      <c r="BR135" s="96">
        <f t="shared" si="119"/>
        <v>0</v>
      </c>
      <c r="BS135" s="97">
        <f t="shared" si="119"/>
        <v>0</v>
      </c>
      <c r="BT135" s="146">
        <f>IF(BT124&gt;BT110, (BT124-BT110)*BT119,0)</f>
        <v>0</v>
      </c>
      <c r="BU135" s="146">
        <f t="shared" si="134"/>
        <v>0</v>
      </c>
      <c r="BV135" s="146">
        <f t="shared" si="134"/>
        <v>0</v>
      </c>
      <c r="BW135" s="146">
        <f t="shared" si="134"/>
        <v>0</v>
      </c>
      <c r="BX135" s="146">
        <f t="shared" si="134"/>
        <v>0</v>
      </c>
      <c r="BY135" s="146">
        <f t="shared" si="134"/>
        <v>0</v>
      </c>
      <c r="BZ135" s="146">
        <f t="shared" si="134"/>
        <v>0</v>
      </c>
      <c r="CA135" s="146">
        <f t="shared" si="134"/>
        <v>0</v>
      </c>
      <c r="CB135" s="146">
        <f t="shared" si="134"/>
        <v>0</v>
      </c>
    </row>
    <row r="136" spans="1:80" ht="5.25" customHeight="1">
      <c r="A136" s="186"/>
      <c r="B136" s="186"/>
      <c r="C136" s="564" t="s">
        <v>1226</v>
      </c>
      <c r="D136" s="564" t="s">
        <v>1226</v>
      </c>
      <c r="E136" s="564" t="s">
        <v>1226</v>
      </c>
      <c r="F136" s="564" t="s">
        <v>1226</v>
      </c>
      <c r="G136" s="736" t="s">
        <v>1226</v>
      </c>
      <c r="H136" s="564" t="s">
        <v>1226</v>
      </c>
      <c r="I136" s="564" t="s">
        <v>1226</v>
      </c>
      <c r="J136" s="564" t="s">
        <v>1226</v>
      </c>
      <c r="K136" s="564" t="s">
        <v>1226</v>
      </c>
      <c r="L136" s="736" t="s">
        <v>1226</v>
      </c>
      <c r="M136" s="564" t="s">
        <v>1226</v>
      </c>
      <c r="N136" s="564" t="s">
        <v>1226</v>
      </c>
      <c r="O136" s="564" t="s">
        <v>1226</v>
      </c>
      <c r="P136" s="564" t="s">
        <v>1226</v>
      </c>
      <c r="Q136" s="736" t="s">
        <v>1226</v>
      </c>
      <c r="R136" s="564" t="s">
        <v>1226</v>
      </c>
      <c r="S136" s="564" t="s">
        <v>1226</v>
      </c>
      <c r="T136" s="564" t="s">
        <v>1226</v>
      </c>
      <c r="U136" s="564" t="s">
        <v>1226</v>
      </c>
      <c r="V136" s="736" t="s">
        <v>1226</v>
      </c>
      <c r="W136" s="564" t="s">
        <v>1226</v>
      </c>
      <c r="X136" s="564" t="s">
        <v>1226</v>
      </c>
      <c r="Y136" s="564" t="s">
        <v>1226</v>
      </c>
      <c r="Z136" s="564" t="s">
        <v>1226</v>
      </c>
      <c r="AA136" s="736" t="s">
        <v>1226</v>
      </c>
      <c r="AB136" s="564" t="s">
        <v>1226</v>
      </c>
      <c r="AC136" s="564" t="s">
        <v>1226</v>
      </c>
      <c r="AD136" s="564" t="s">
        <v>1226</v>
      </c>
      <c r="AE136" s="564" t="s">
        <v>1226</v>
      </c>
      <c r="AF136" s="736" t="s">
        <v>1226</v>
      </c>
      <c r="AG136" s="564" t="s">
        <v>1226</v>
      </c>
      <c r="AH136" s="564" t="s">
        <v>1226</v>
      </c>
      <c r="AI136" s="564" t="s">
        <v>1226</v>
      </c>
      <c r="AJ136" s="564" t="s">
        <v>1226</v>
      </c>
      <c r="AK136" s="736" t="s">
        <v>1226</v>
      </c>
      <c r="AL136" s="564" t="s">
        <v>1226</v>
      </c>
      <c r="AM136" s="564" t="s">
        <v>1226</v>
      </c>
      <c r="AN136" s="564" t="s">
        <v>1226</v>
      </c>
      <c r="AO136" s="564" t="s">
        <v>1226</v>
      </c>
      <c r="AP136" s="736" t="s">
        <v>1226</v>
      </c>
      <c r="AQ136" s="564" t="s">
        <v>1226</v>
      </c>
      <c r="AR136" s="564" t="s">
        <v>1226</v>
      </c>
      <c r="AS136" s="564" t="s">
        <v>1226</v>
      </c>
      <c r="AT136" s="564" t="s">
        <v>1226</v>
      </c>
      <c r="AU136" s="736" t="s">
        <v>1226</v>
      </c>
      <c r="AV136" s="564" t="s">
        <v>1226</v>
      </c>
      <c r="AW136" s="564" t="s">
        <v>1226</v>
      </c>
      <c r="AX136" s="564" t="s">
        <v>1226</v>
      </c>
      <c r="AY136" s="564" t="s">
        <v>1226</v>
      </c>
      <c r="AZ136" s="736" t="s">
        <v>1226</v>
      </c>
      <c r="BA136" s="564" t="s">
        <v>1226</v>
      </c>
      <c r="BB136" s="564" t="s">
        <v>1226</v>
      </c>
      <c r="BC136" s="564" t="s">
        <v>1226</v>
      </c>
      <c r="BD136" s="564" t="s">
        <v>1226</v>
      </c>
      <c r="BE136" s="736" t="s">
        <v>1226</v>
      </c>
      <c r="BF136" s="734" t="s">
        <v>1226</v>
      </c>
      <c r="BG136" s="564" t="s">
        <v>1226</v>
      </c>
      <c r="BH136" s="564" t="s">
        <v>1226</v>
      </c>
      <c r="BI136" s="1789" t="s">
        <v>1226</v>
      </c>
      <c r="BJ136" s="736" t="s">
        <v>1226</v>
      </c>
      <c r="BK136" s="734" t="s">
        <v>1226</v>
      </c>
      <c r="BL136" s="564" t="s">
        <v>1226</v>
      </c>
      <c r="BM136" s="564" t="s">
        <v>1226</v>
      </c>
      <c r="BN136" s="1789" t="s">
        <v>1226</v>
      </c>
      <c r="BO136" s="736" t="s">
        <v>1226</v>
      </c>
      <c r="BP136" s="734" t="s">
        <v>1226</v>
      </c>
      <c r="BQ136" s="564" t="s">
        <v>1226</v>
      </c>
      <c r="BR136" s="564" t="s">
        <v>1226</v>
      </c>
      <c r="BS136" s="1789" t="s">
        <v>1226</v>
      </c>
      <c r="BT136" s="736" t="s">
        <v>1226</v>
      </c>
      <c r="BU136" s="736" t="s">
        <v>1226</v>
      </c>
      <c r="BV136" s="736" t="s">
        <v>1226</v>
      </c>
      <c r="BW136" s="736" t="s">
        <v>1226</v>
      </c>
      <c r="BX136" s="736" t="s">
        <v>1226</v>
      </c>
      <c r="BY136" s="736" t="s">
        <v>1226</v>
      </c>
      <c r="BZ136" s="736" t="s">
        <v>1226</v>
      </c>
      <c r="CA136" s="736" t="s">
        <v>1226</v>
      </c>
      <c r="CB136" s="736" t="s">
        <v>1226</v>
      </c>
    </row>
    <row r="137" spans="1:80">
      <c r="A137" s="186" t="s">
        <v>1318</v>
      </c>
      <c r="B137" s="186"/>
      <c r="C137" s="1072">
        <f t="shared" ref="C137:I137" si="135">SUM(C129:C136)</f>
        <v>11.975124999999998</v>
      </c>
      <c r="D137" s="1072">
        <f t="shared" si="135"/>
        <v>11.975124999999998</v>
      </c>
      <c r="E137" s="1072">
        <f t="shared" si="135"/>
        <v>11.975124999999998</v>
      </c>
      <c r="F137" s="1072">
        <f t="shared" si="135"/>
        <v>11.975124999999998</v>
      </c>
      <c r="G137" s="1073">
        <f t="shared" si="135"/>
        <v>47.900499999999994</v>
      </c>
      <c r="H137" s="402">
        <f t="shared" si="135"/>
        <v>12.425250000000002</v>
      </c>
      <c r="I137" s="402">
        <f t="shared" si="135"/>
        <v>11.851750000000003</v>
      </c>
      <c r="J137" s="1097">
        <f>MAX(SUM(J129:J136),43/4)</f>
        <v>10.75</v>
      </c>
      <c r="K137" s="1097">
        <f>MAX(SUM(K129:K136),43/4)</f>
        <v>10.75</v>
      </c>
      <c r="L137" s="1098">
        <f>MAX(SUM(L129:L136),43)</f>
        <v>43</v>
      </c>
      <c r="M137" s="1097">
        <f>MAX(SUM(M129:M136),43/4)</f>
        <v>10.75</v>
      </c>
      <c r="N137" s="1097">
        <f>MAX(SUM(N129:N136),43/4)</f>
        <v>10.75</v>
      </c>
      <c r="O137" s="1097">
        <f>MAX(SUM(O129:O136),43/4)</f>
        <v>10.75</v>
      </c>
      <c r="P137" s="1097">
        <f>MAX(SUM(P129:P136),43/4)</f>
        <v>10.75</v>
      </c>
      <c r="Q137" s="1098">
        <f>MAX(SUM(Q129:Q136),43)</f>
        <v>43</v>
      </c>
      <c r="R137" s="1097">
        <f>MAX(SUM(R129:R136),43/4)</f>
        <v>10.75</v>
      </c>
      <c r="S137" s="1097">
        <f>MAX(SUM(S129:S136),43/4)</f>
        <v>10.75</v>
      </c>
      <c r="T137" s="402">
        <f>SUM(T129:T136)</f>
        <v>9.1655625000000018</v>
      </c>
      <c r="U137" s="402">
        <f>SUM(U129:U136)</f>
        <v>9.1655625000000018</v>
      </c>
      <c r="V137" s="1084">
        <f>+SUM(R137:U137)</f>
        <v>39.831125</v>
      </c>
      <c r="W137" s="402">
        <f>SUM(W129:W136)</f>
        <v>7.6650000000000009</v>
      </c>
      <c r="X137" s="402">
        <f>SUM(X129:X136)</f>
        <v>7.6650000000000009</v>
      </c>
      <c r="Y137" s="402">
        <f>SUM(Y129:Y136)</f>
        <v>7.6650000000000009</v>
      </c>
      <c r="Z137" s="402">
        <f>SUM(Z129:Z136)</f>
        <v>7.6650000000000009</v>
      </c>
      <c r="AA137" s="1073">
        <f>+SUM(W137:Z137)</f>
        <v>30.660000000000004</v>
      </c>
      <c r="AB137" s="402">
        <f>SUM(AB129:AB136)</f>
        <v>7.5037499999999993</v>
      </c>
      <c r="AC137" s="402">
        <f>SUM(AC129:AC136)</f>
        <v>7.5037499999999993</v>
      </c>
      <c r="AD137" s="402">
        <f>SUM(AD129:AD136)</f>
        <v>7.5037499999999993</v>
      </c>
      <c r="AE137" s="402">
        <f>SUM(AE129:AE136)</f>
        <v>7.5037499999999993</v>
      </c>
      <c r="AF137" s="1073">
        <f>+SUM(AB137:AE137)</f>
        <v>30.014999999999997</v>
      </c>
      <c r="AG137" s="402">
        <f>SUM(AG129:AG136)</f>
        <v>7.5292499999999984</v>
      </c>
      <c r="AH137" s="402">
        <f>SUM(AH129:AH136)</f>
        <v>7.5292499999999984</v>
      </c>
      <c r="AI137" s="402">
        <f>SUM(AI129:AI136)</f>
        <v>7.5292499999999984</v>
      </c>
      <c r="AJ137" s="402">
        <f>SUM(AJ129:AJ136)</f>
        <v>7.5292499999999984</v>
      </c>
      <c r="AK137" s="1073">
        <f>+SUM(AG137:AJ137)</f>
        <v>30.116999999999994</v>
      </c>
      <c r="AL137" s="402">
        <f>SUM(AL129:AL136)</f>
        <v>7.5449062500000004</v>
      </c>
      <c r="AM137" s="402">
        <f>SUM(AM129:AM136)</f>
        <v>7.5449062500000004</v>
      </c>
      <c r="AN137" s="402">
        <f>SUM(AN129:AN136)</f>
        <v>7.5449062500000004</v>
      </c>
      <c r="AO137" s="402">
        <f>SUM(AO129:AO136)</f>
        <v>7.5449062500000004</v>
      </c>
      <c r="AP137" s="1073">
        <f>+SUM(AL137:AO137)</f>
        <v>30.179625000000001</v>
      </c>
      <c r="AQ137" s="402">
        <f t="shared" ref="AQ137:BW137" si="136">SUM(AQ129:AQ136)</f>
        <v>7.625923499999999</v>
      </c>
      <c r="AR137" s="402">
        <f t="shared" si="136"/>
        <v>7.625923499999999</v>
      </c>
      <c r="AS137" s="402">
        <f t="shared" si="136"/>
        <v>7.625923499999999</v>
      </c>
      <c r="AT137" s="402">
        <f t="shared" si="136"/>
        <v>7.625923499999999</v>
      </c>
      <c r="AU137" s="1073">
        <f t="shared" si="136"/>
        <v>30.503693999999996</v>
      </c>
      <c r="AV137" s="402">
        <f t="shared" si="136"/>
        <v>6.7904986875000013</v>
      </c>
      <c r="AW137" s="402">
        <f t="shared" si="136"/>
        <v>6.7904986875000013</v>
      </c>
      <c r="AX137" s="402">
        <f t="shared" si="136"/>
        <v>6.7904986875000013</v>
      </c>
      <c r="AY137" s="402">
        <f t="shared" si="136"/>
        <v>6.7904986875000013</v>
      </c>
      <c r="AZ137" s="1073">
        <f t="shared" si="136"/>
        <v>27.161994750000005</v>
      </c>
      <c r="BA137" s="402">
        <f t="shared" si="136"/>
        <v>5.6013744312500009</v>
      </c>
      <c r="BB137" s="402">
        <f t="shared" si="136"/>
        <v>5.6013744312500009</v>
      </c>
      <c r="BC137" s="402">
        <f t="shared" si="136"/>
        <v>5.6013744312500009</v>
      </c>
      <c r="BD137" s="402">
        <f t="shared" si="136"/>
        <v>5.6013744312500009</v>
      </c>
      <c r="BE137" s="1073">
        <f t="shared" si="136"/>
        <v>22.405497725000004</v>
      </c>
      <c r="BF137" s="2830">
        <f t="shared" si="136"/>
        <v>5.280681575</v>
      </c>
      <c r="BG137" s="402">
        <f>SUM(BG129:BG136)</f>
        <v>5.280681575</v>
      </c>
      <c r="BH137" s="402">
        <f>SUM(BH129:BH136)</f>
        <v>5.280681575</v>
      </c>
      <c r="BI137" s="1121">
        <f>SUM(BI129:BI136)</f>
        <v>5.280681575</v>
      </c>
      <c r="BJ137" s="1073">
        <f t="shared" si="136"/>
        <v>21.1227263</v>
      </c>
      <c r="BK137" s="2830">
        <f t="shared" ref="BK137:BT137" si="137">SUM(BK129:BK136)</f>
        <v>4.6676901375000011</v>
      </c>
      <c r="BL137" s="402">
        <f t="shared" si="137"/>
        <v>4.6676901375000011</v>
      </c>
      <c r="BM137" s="402">
        <f t="shared" si="137"/>
        <v>4.6676901375000011</v>
      </c>
      <c r="BN137" s="1121">
        <f t="shared" si="137"/>
        <v>4.6676901375000011</v>
      </c>
      <c r="BO137" s="1073">
        <f t="shared" si="137"/>
        <v>18.670760550000004</v>
      </c>
      <c r="BP137" s="2830">
        <f t="shared" si="137"/>
        <v>4.6676901375000011</v>
      </c>
      <c r="BQ137" s="402">
        <f t="shared" si="137"/>
        <v>4.6676901375000011</v>
      </c>
      <c r="BR137" s="402">
        <f t="shared" si="137"/>
        <v>4.6676901375000011</v>
      </c>
      <c r="BS137" s="1121">
        <f t="shared" si="137"/>
        <v>4.6676901375000011</v>
      </c>
      <c r="BT137" s="1073">
        <f t="shared" si="137"/>
        <v>17.497863500000001</v>
      </c>
      <c r="BU137" s="1073">
        <f t="shared" si="136"/>
        <v>17.176798856750001</v>
      </c>
      <c r="BV137" s="1073">
        <f t="shared" si="136"/>
        <v>16.923780868182501</v>
      </c>
      <c r="BW137" s="1073">
        <f t="shared" si="136"/>
        <v>16.923780868182501</v>
      </c>
      <c r="BX137" s="1073">
        <f>SUM(BX129:BX136)</f>
        <v>15.760366159423626</v>
      </c>
      <c r="BY137" s="1073">
        <f>SUM(BY129:BY136)</f>
        <v>14.753597851452444</v>
      </c>
      <c r="BZ137" s="1073">
        <f>SUM(BZ129:BZ136)</f>
        <v>15.136169808481492</v>
      </c>
      <c r="CA137" s="1073">
        <f>SUM(CA129:CA136)</f>
        <v>15.526393204651121</v>
      </c>
      <c r="CB137" s="1073">
        <f>SUM(CB129:CB136)</f>
        <v>15.924421068744145</v>
      </c>
    </row>
    <row r="138" spans="1:80">
      <c r="A138" s="2"/>
      <c r="B138" s="2"/>
      <c r="C138" s="61"/>
      <c r="D138" s="61"/>
      <c r="E138" s="61"/>
      <c r="F138" s="61"/>
      <c r="G138" s="112"/>
      <c r="H138" s="61"/>
      <c r="I138" s="61"/>
      <c r="J138" s="61"/>
      <c r="K138" s="61"/>
      <c r="L138" s="112"/>
      <c r="M138" s="61"/>
      <c r="N138" s="61"/>
      <c r="O138" s="61"/>
      <c r="P138" s="61"/>
      <c r="Q138" s="112"/>
      <c r="R138" s="61"/>
      <c r="S138" s="61"/>
      <c r="T138" s="61"/>
      <c r="U138" s="61"/>
      <c r="V138" s="112"/>
      <c r="W138" s="61"/>
      <c r="X138" s="61"/>
      <c r="Y138" s="61"/>
      <c r="Z138" s="61"/>
      <c r="AA138" s="112"/>
      <c r="AB138" s="61"/>
      <c r="AC138" s="61"/>
      <c r="AD138" s="61"/>
      <c r="AE138" s="61"/>
      <c r="AF138" s="112"/>
      <c r="AG138" s="61"/>
      <c r="AH138" s="61"/>
      <c r="AI138" s="61"/>
      <c r="AJ138" s="61"/>
      <c r="AK138" s="112"/>
      <c r="AL138" s="61"/>
      <c r="AM138" s="61"/>
      <c r="AN138" s="61"/>
      <c r="AO138" s="61"/>
      <c r="AP138" s="112"/>
      <c r="AQ138" s="61"/>
      <c r="AR138" s="61"/>
      <c r="AS138" s="61"/>
      <c r="AT138" s="61"/>
      <c r="AU138" s="112"/>
      <c r="AV138" s="61"/>
      <c r="AW138" s="61"/>
      <c r="AX138" s="61"/>
      <c r="AY138" s="61"/>
      <c r="AZ138" s="112"/>
      <c r="BA138" s="61"/>
      <c r="BB138" s="61"/>
      <c r="BC138" s="61"/>
      <c r="BD138" s="61"/>
      <c r="BE138" s="112"/>
      <c r="BF138" s="59"/>
      <c r="BG138" s="61"/>
      <c r="BH138" s="61"/>
      <c r="BI138" s="60"/>
      <c r="BJ138" s="112"/>
      <c r="BK138" s="59"/>
      <c r="BL138" s="61"/>
      <c r="BM138" s="61"/>
      <c r="BN138" s="60"/>
      <c r="BO138" s="112"/>
      <c r="BP138" s="59"/>
      <c r="BQ138" s="61"/>
      <c r="BR138" s="61"/>
      <c r="BS138" s="60"/>
      <c r="BT138" s="112"/>
      <c r="BU138" s="112"/>
      <c r="BV138" s="112"/>
      <c r="BW138" s="112"/>
      <c r="BX138" s="112"/>
      <c r="BY138" s="112"/>
      <c r="BZ138" s="112"/>
      <c r="CA138" s="112"/>
      <c r="CB138" s="112"/>
    </row>
    <row r="139" spans="1:80">
      <c r="A139" s="2" t="s">
        <v>374</v>
      </c>
      <c r="B139" s="2"/>
      <c r="C139" s="61"/>
      <c r="D139" s="61"/>
      <c r="E139" s="61"/>
      <c r="F139" s="61"/>
      <c r="G139" s="112"/>
      <c r="H139" s="61"/>
      <c r="I139" s="61"/>
      <c r="J139" s="61"/>
      <c r="K139" s="61"/>
      <c r="L139" s="112"/>
      <c r="M139" s="61"/>
      <c r="N139" s="61"/>
      <c r="O139" s="61"/>
      <c r="P139" s="61"/>
      <c r="Q139" s="112"/>
      <c r="R139" s="61"/>
      <c r="S139" s="61"/>
      <c r="T139" s="61"/>
      <c r="U139" s="61"/>
      <c r="V139" s="112"/>
      <c r="W139" s="61"/>
      <c r="X139" s="61"/>
      <c r="Y139" s="61"/>
      <c r="Z139" s="61"/>
      <c r="AA139" s="112"/>
      <c r="AB139" s="61"/>
      <c r="AC139" s="61"/>
      <c r="AD139" s="61"/>
      <c r="AE139" s="61"/>
      <c r="AF139" s="112"/>
      <c r="AG139" s="61"/>
      <c r="AH139" s="61"/>
      <c r="AI139" s="61"/>
      <c r="AJ139" s="61"/>
      <c r="AK139" s="112"/>
      <c r="AL139" s="61"/>
      <c r="AM139" s="61"/>
      <c r="AN139" s="61"/>
      <c r="AO139" s="61"/>
      <c r="AP139" s="112"/>
      <c r="AQ139" s="61"/>
      <c r="AR139" s="61"/>
      <c r="AS139" s="61"/>
      <c r="AT139" s="61"/>
      <c r="AU139" s="112"/>
      <c r="AV139" s="61"/>
      <c r="AW139" s="61"/>
      <c r="AX139" s="61"/>
      <c r="AY139" s="61"/>
      <c r="AZ139" s="112"/>
      <c r="BA139" s="61"/>
      <c r="BB139" s="61"/>
      <c r="BC139" s="61"/>
      <c r="BD139" s="61"/>
      <c r="BE139" s="112"/>
      <c r="BF139" s="59"/>
      <c r="BG139" s="61"/>
      <c r="BH139" s="61"/>
      <c r="BI139" s="60"/>
      <c r="BJ139" s="112"/>
      <c r="BK139" s="59"/>
      <c r="BL139" s="61"/>
      <c r="BM139" s="61"/>
      <c r="BN139" s="60"/>
      <c r="BO139" s="112"/>
      <c r="BP139" s="59"/>
      <c r="BQ139" s="61"/>
      <c r="BR139" s="61"/>
      <c r="BS139" s="60"/>
      <c r="BT139" s="112"/>
      <c r="BU139" s="112"/>
      <c r="BV139" s="112"/>
      <c r="BW139" s="112"/>
      <c r="BX139" s="112"/>
      <c r="BY139" s="112"/>
      <c r="BZ139" s="112"/>
      <c r="CA139" s="112"/>
      <c r="CB139" s="112"/>
    </row>
    <row r="140" spans="1:80">
      <c r="A140" s="2" t="s">
        <v>373</v>
      </c>
      <c r="B140" s="2"/>
      <c r="C140" s="61"/>
      <c r="D140" s="61"/>
      <c r="E140" s="61"/>
      <c r="F140" s="61"/>
      <c r="G140" s="112"/>
      <c r="H140" s="61"/>
      <c r="I140" s="61"/>
      <c r="J140" s="61"/>
      <c r="K140" s="61"/>
      <c r="L140" s="112"/>
      <c r="M140" s="61"/>
      <c r="N140" s="61"/>
      <c r="O140" s="61"/>
      <c r="P140" s="61"/>
      <c r="Q140" s="112"/>
      <c r="R140" s="61"/>
      <c r="S140" s="61"/>
      <c r="T140" s="61"/>
      <c r="U140" s="61"/>
      <c r="V140" s="112"/>
      <c r="W140" s="61"/>
      <c r="X140" s="61"/>
      <c r="Y140" s="61"/>
      <c r="Z140" s="61"/>
      <c r="AA140" s="112"/>
      <c r="AB140" s="61"/>
      <c r="AC140" s="61"/>
      <c r="AD140" s="61"/>
      <c r="AE140" s="61"/>
      <c r="AF140" s="112"/>
      <c r="AG140" s="61"/>
      <c r="AH140" s="61"/>
      <c r="AI140" s="61"/>
      <c r="AJ140" s="61"/>
      <c r="AK140" s="112"/>
      <c r="AL140" s="61"/>
      <c r="AM140" s="61"/>
      <c r="AN140" s="61"/>
      <c r="AO140" s="61"/>
      <c r="AP140" s="112"/>
      <c r="AQ140" s="61"/>
      <c r="AR140" s="61"/>
      <c r="AS140" s="61"/>
      <c r="AT140" s="61"/>
      <c r="AU140" s="112"/>
      <c r="AV140" s="61"/>
      <c r="AW140" s="61"/>
      <c r="AX140" s="61"/>
      <c r="AY140" s="61"/>
      <c r="AZ140" s="112"/>
      <c r="BA140" s="61"/>
      <c r="BB140" s="61"/>
      <c r="BC140" s="61"/>
      <c r="BD140" s="61"/>
      <c r="BE140" s="112"/>
      <c r="BF140" s="59"/>
      <c r="BG140" s="61"/>
      <c r="BH140" s="61"/>
      <c r="BI140" s="60"/>
      <c r="BJ140" s="112"/>
      <c r="BK140" s="59"/>
      <c r="BL140" s="61"/>
      <c r="BM140" s="61"/>
      <c r="BN140" s="60"/>
      <c r="BO140" s="112"/>
      <c r="BP140" s="59"/>
      <c r="BQ140" s="61"/>
      <c r="BR140" s="61"/>
      <c r="BS140" s="60"/>
      <c r="BT140" s="112"/>
      <c r="BU140" s="112"/>
      <c r="BV140" s="112"/>
      <c r="BW140" s="112"/>
      <c r="BX140" s="112"/>
      <c r="BY140" s="112"/>
      <c r="BZ140" s="112"/>
      <c r="CA140" s="112"/>
      <c r="CB140" s="112"/>
    </row>
    <row r="141" spans="1:80">
      <c r="A141" s="2"/>
      <c r="B141" s="2"/>
      <c r="C141" s="61"/>
      <c r="D141" s="61"/>
      <c r="E141" s="61"/>
      <c r="F141" s="61"/>
      <c r="G141" s="112"/>
      <c r="H141" s="61"/>
      <c r="I141" s="61"/>
      <c r="J141" s="61"/>
      <c r="K141" s="61"/>
      <c r="L141" s="112"/>
      <c r="M141" s="61"/>
      <c r="N141" s="61"/>
      <c r="O141" s="61"/>
      <c r="P141" s="61"/>
      <c r="Q141" s="112"/>
      <c r="R141" s="61"/>
      <c r="S141" s="61"/>
      <c r="T141" s="61"/>
      <c r="U141" s="61"/>
      <c r="V141" s="112"/>
      <c r="W141" s="61"/>
      <c r="X141" s="61"/>
      <c r="Y141" s="61"/>
      <c r="Z141" s="61"/>
      <c r="AA141" s="112"/>
      <c r="AB141" s="61"/>
      <c r="AC141" s="61"/>
      <c r="AD141" s="61"/>
      <c r="AE141" s="61"/>
      <c r="AF141" s="112"/>
      <c r="AG141" s="61"/>
      <c r="AH141" s="61"/>
      <c r="AI141" s="61"/>
      <c r="AJ141" s="61"/>
      <c r="AK141" s="112"/>
      <c r="AL141" s="61"/>
      <c r="AM141" s="61"/>
      <c r="AN141" s="61"/>
      <c r="AO141" s="61"/>
      <c r="AP141" s="112"/>
      <c r="AQ141" s="61"/>
      <c r="AR141" s="61"/>
      <c r="AS141" s="61"/>
      <c r="AT141" s="61"/>
      <c r="AU141" s="112"/>
      <c r="AV141" s="61"/>
      <c r="AW141" s="61"/>
      <c r="AX141" s="61"/>
      <c r="AY141" s="61"/>
      <c r="AZ141" s="112"/>
      <c r="BA141" s="61"/>
      <c r="BB141" s="61"/>
      <c r="BC141" s="61"/>
      <c r="BD141" s="61"/>
      <c r="BE141" s="112"/>
      <c r="BF141" s="59"/>
      <c r="BG141" s="61"/>
      <c r="BH141" s="61"/>
      <c r="BI141" s="60"/>
      <c r="BJ141" s="112"/>
      <c r="BK141" s="59"/>
      <c r="BL141" s="61"/>
      <c r="BM141" s="61"/>
      <c r="BN141" s="60"/>
      <c r="BO141" s="112"/>
      <c r="BP141" s="59"/>
      <c r="BQ141" s="61"/>
      <c r="BR141" s="61"/>
      <c r="BS141" s="60"/>
      <c r="BT141" s="112"/>
      <c r="BU141" s="112"/>
      <c r="BV141" s="112"/>
      <c r="BW141" s="112"/>
      <c r="BX141" s="112"/>
      <c r="BY141" s="112"/>
      <c r="BZ141" s="112"/>
      <c r="CA141" s="112"/>
      <c r="CB141" s="112"/>
    </row>
    <row r="142" spans="1:80">
      <c r="A142" s="2" t="s">
        <v>1354</v>
      </c>
      <c r="B142" s="2"/>
      <c r="C142" s="1118">
        <f t="shared" ref="C142:K142" si="138">(C125*C121)/1000</f>
        <v>1.667748</v>
      </c>
      <c r="D142" s="1118">
        <f t="shared" si="138"/>
        <v>1.58656</v>
      </c>
      <c r="E142" s="1118">
        <f t="shared" si="138"/>
        <v>1.7940560000000001</v>
      </c>
      <c r="F142" s="1118">
        <f t="shared" si="138"/>
        <v>1.5052559999999999</v>
      </c>
      <c r="G142" s="1119">
        <f>SUM(C142:F142)</f>
        <v>6.5536200000000004</v>
      </c>
      <c r="H142" s="1118">
        <f t="shared" si="138"/>
        <v>1.588136</v>
      </c>
      <c r="I142" s="1118">
        <f t="shared" si="138"/>
        <v>1.514948</v>
      </c>
      <c r="J142" s="1118">
        <f t="shared" si="138"/>
        <v>1.142274</v>
      </c>
      <c r="K142" s="1118">
        <f t="shared" si="138"/>
        <v>1.034373</v>
      </c>
      <c r="L142" s="1119">
        <f>SUM(H142:K142)</f>
        <v>5.279731</v>
      </c>
      <c r="M142" s="1118">
        <f>(M125*M121)/1000</f>
        <v>1.0950690000000001</v>
      </c>
      <c r="N142" s="1118">
        <f>(N125*N121)/1000</f>
        <v>1.026249</v>
      </c>
      <c r="O142" s="1118">
        <f>(O125*O121)/1000</f>
        <v>1.0442669999999998</v>
      </c>
      <c r="P142" s="1118">
        <f>(P125*P121)/1000</f>
        <v>0.94495200000000001</v>
      </c>
      <c r="Q142" s="1119">
        <f>SUM(M142:P142)</f>
        <v>4.1105369999999999</v>
      </c>
      <c r="R142" s="1118">
        <f>(R125*R121)/1000</f>
        <v>0.96493200000000001</v>
      </c>
      <c r="S142" s="1118">
        <f>(S125*S121)/1000</f>
        <v>1.073118</v>
      </c>
      <c r="T142" s="1118">
        <f>(T125*T121)/1000</f>
        <v>1.100649</v>
      </c>
      <c r="U142" s="1118">
        <f>(U125*U121)/1000</f>
        <v>0.97992899999999983</v>
      </c>
      <c r="V142" s="1119">
        <f>SUM(R142:U142)</f>
        <v>4.1186279999999993</v>
      </c>
      <c r="W142" s="1118">
        <f>(W125*W121)/1000</f>
        <v>1.00911</v>
      </c>
      <c r="X142" s="1118">
        <f>(X125*X121)/1000</f>
        <v>1.022205</v>
      </c>
      <c r="Y142" s="1118">
        <f>(Y125*Y121)/1000</f>
        <v>1.080198</v>
      </c>
      <c r="Z142" s="1118">
        <f>(Z125*Z121)/1000</f>
        <v>0.95053113</v>
      </c>
      <c r="AA142" s="1119">
        <f>SUM(W142:Z142)</f>
        <v>4.0620441300000003</v>
      </c>
      <c r="AB142" s="1118">
        <f>(AB125*AB121)/1000</f>
        <v>1.0181919899999998</v>
      </c>
      <c r="AC142" s="1118">
        <f>(AC125*AC121)/1000</f>
        <v>1.031404845</v>
      </c>
      <c r="AD142" s="1118">
        <f>(AD125*AD121)/1000</f>
        <v>1.0899197819999999</v>
      </c>
      <c r="AE142" s="1118">
        <f>(AE125*AE121)/1000</f>
        <v>0.95908591016999978</v>
      </c>
      <c r="AF142" s="1119">
        <f>SUM(AB142:AE142)</f>
        <v>4.0986025271699997</v>
      </c>
      <c r="AG142" s="1118">
        <f>(AG125*AG121)/1000</f>
        <v>1.0273557179099999</v>
      </c>
      <c r="AH142" s="1118">
        <f>(AH125*AH121)/1000</f>
        <v>1.0406874886049999</v>
      </c>
      <c r="AI142" s="1118">
        <f>(AI125*AI121)/1000</f>
        <v>1.0997290600379999</v>
      </c>
      <c r="AJ142" s="1118">
        <f>(AJ125*AJ121)/1000</f>
        <v>0.96771768336152963</v>
      </c>
      <c r="AK142" s="1119">
        <f>SUM(AG142:AJ142)</f>
        <v>4.1354899499145299</v>
      </c>
      <c r="AL142" s="1118">
        <f>(AL125*AL121)/1000</f>
        <v>1.0366019193711895</v>
      </c>
      <c r="AM142" s="1118">
        <f>(AM125*AM121)/1000</f>
        <v>1.0500536760024448</v>
      </c>
      <c r="AN142" s="1118">
        <f>(AN125*AN121)/1000</f>
        <v>1.1096266215783417</v>
      </c>
      <c r="AO142" s="1118">
        <f>(AO125*AO121)/1000</f>
        <v>0.9764271425117832</v>
      </c>
      <c r="AP142" s="1119">
        <f>SUM(AL142:AO142)</f>
        <v>4.1727093594637594</v>
      </c>
      <c r="AQ142" s="1118">
        <f t="shared" ref="AQ142:BW142" si="139">(AQ125*AQ121)/1000</f>
        <v>1.0459313366455301</v>
      </c>
      <c r="AR142" s="1118">
        <f t="shared" si="139"/>
        <v>1.0595041590864667</v>
      </c>
      <c r="AS142" s="1118">
        <f t="shared" si="139"/>
        <v>1.1196132611725467</v>
      </c>
      <c r="AT142" s="1118">
        <f t="shared" si="139"/>
        <v>0.98521498679438924</v>
      </c>
      <c r="AU142" s="1119">
        <f t="shared" si="139"/>
        <v>4.2102637436989339</v>
      </c>
      <c r="AV142" s="1118">
        <f t="shared" si="139"/>
        <v>1.05534471867534</v>
      </c>
      <c r="AW142" s="1118">
        <f t="shared" si="139"/>
        <v>1.0690396965182447</v>
      </c>
      <c r="AX142" s="1118">
        <f t="shared" si="139"/>
        <v>1.1296897805230997</v>
      </c>
      <c r="AY142" s="1118">
        <f t="shared" si="139"/>
        <v>0.99408192167553877</v>
      </c>
      <c r="AZ142" s="1119">
        <f t="shared" si="139"/>
        <v>4.2481561173922238</v>
      </c>
      <c r="BA142" s="1118">
        <f t="shared" si="139"/>
        <v>1.064842821143418</v>
      </c>
      <c r="BB142" s="1118">
        <f t="shared" si="139"/>
        <v>1.0786610537869088</v>
      </c>
      <c r="BC142" s="1118">
        <f t="shared" si="139"/>
        <v>1.1398569885478074</v>
      </c>
      <c r="BD142" s="1118">
        <f t="shared" si="139"/>
        <v>1.0030286589706183</v>
      </c>
      <c r="BE142" s="1119">
        <f t="shared" si="139"/>
        <v>4.2863895224487534</v>
      </c>
      <c r="BF142" s="2852">
        <f t="shared" ref="BF142:BO142" si="140">(BF125*BF121)/1000</f>
        <v>1.0744264065337086</v>
      </c>
      <c r="BG142" s="2853">
        <f t="shared" si="140"/>
        <v>1.0883690032709907</v>
      </c>
      <c r="BH142" s="2853">
        <f t="shared" si="140"/>
        <v>1.1501157014447376</v>
      </c>
      <c r="BI142" s="2854">
        <f t="shared" si="140"/>
        <v>1.0120559169013539</v>
      </c>
      <c r="BJ142" s="1119">
        <f t="shared" si="140"/>
        <v>4.3249670281507919</v>
      </c>
      <c r="BK142" s="2852">
        <f t="shared" si="140"/>
        <v>1.0840962441925117</v>
      </c>
      <c r="BL142" s="2853">
        <f t="shared" si="140"/>
        <v>1.0981643243004295</v>
      </c>
      <c r="BM142" s="2853">
        <f t="shared" si="140"/>
        <v>1.1604667427577402</v>
      </c>
      <c r="BN142" s="2854">
        <f t="shared" si="140"/>
        <v>1.021164420153466</v>
      </c>
      <c r="BO142" s="1119">
        <f t="shared" si="140"/>
        <v>4.3638917314041485</v>
      </c>
      <c r="BP142" s="2852">
        <f>(BP125*BP121)/1000</f>
        <v>1.0938531103902442</v>
      </c>
      <c r="BQ142" s="2853">
        <f>(BQ125*BQ121)/1000</f>
        <v>1.1080478032191334</v>
      </c>
      <c r="BR142" s="2853">
        <f>(BR125*BR121)/1000</f>
        <v>1.1709109434425595</v>
      </c>
      <c r="BS142" s="2854">
        <f>(BS125*BS121)/1000</f>
        <v>1.0303548999348469</v>
      </c>
      <c r="BT142" s="1119">
        <f>(BT125*BT121)/1000</f>
        <v>4.4031667569867849</v>
      </c>
      <c r="BU142" s="1119">
        <f t="shared" si="139"/>
        <v>4.4427952577996654</v>
      </c>
      <c r="BV142" s="1119">
        <f t="shared" si="139"/>
        <v>4.4827804151198629</v>
      </c>
      <c r="BW142" s="1119">
        <f t="shared" si="139"/>
        <v>4.5231254388559412</v>
      </c>
      <c r="BX142" s="1119">
        <f>(BX125*BX121)/1000</f>
        <v>4.5638335678056441</v>
      </c>
      <c r="BY142" s="1119">
        <f>(BY125*BY121)/1000</f>
        <v>4.6049080699158944</v>
      </c>
      <c r="BZ142" s="1119">
        <f>(BZ125*BZ121)/1000</f>
        <v>4.6463522425451362</v>
      </c>
      <c r="CA142" s="1119">
        <f>(CA125*CA121)/1000</f>
        <v>4.6881694127280422</v>
      </c>
      <c r="CB142" s="1119">
        <f>(CB125*CB121)/1000</f>
        <v>4.7303629374425933</v>
      </c>
    </row>
    <row r="143" spans="1:80" ht="5.25" customHeight="1">
      <c r="A143" s="2"/>
      <c r="B143" s="2"/>
      <c r="C143" s="564" t="s">
        <v>1226</v>
      </c>
      <c r="D143" s="564" t="s">
        <v>1226</v>
      </c>
      <c r="E143" s="564" t="s">
        <v>1226</v>
      </c>
      <c r="F143" s="564" t="s">
        <v>1226</v>
      </c>
      <c r="G143" s="736" t="s">
        <v>1226</v>
      </c>
      <c r="H143" s="564" t="s">
        <v>1226</v>
      </c>
      <c r="I143" s="564" t="s">
        <v>1226</v>
      </c>
      <c r="J143" s="564" t="s">
        <v>1226</v>
      </c>
      <c r="K143" s="564" t="s">
        <v>1226</v>
      </c>
      <c r="L143" s="736" t="s">
        <v>1226</v>
      </c>
      <c r="M143" s="564" t="s">
        <v>1226</v>
      </c>
      <c r="N143" s="564" t="s">
        <v>1226</v>
      </c>
      <c r="O143" s="564" t="s">
        <v>1226</v>
      </c>
      <c r="P143" s="564" t="s">
        <v>1226</v>
      </c>
      <c r="Q143" s="736" t="s">
        <v>1226</v>
      </c>
      <c r="R143" s="564" t="s">
        <v>1226</v>
      </c>
      <c r="S143" s="564" t="s">
        <v>1226</v>
      </c>
      <c r="T143" s="564" t="s">
        <v>1226</v>
      </c>
      <c r="U143" s="564" t="s">
        <v>1226</v>
      </c>
      <c r="V143" s="736" t="s">
        <v>1226</v>
      </c>
      <c r="W143" s="564" t="s">
        <v>1226</v>
      </c>
      <c r="X143" s="564" t="s">
        <v>1226</v>
      </c>
      <c r="Y143" s="564" t="s">
        <v>1226</v>
      </c>
      <c r="Z143" s="564" t="s">
        <v>1226</v>
      </c>
      <c r="AA143" s="736" t="s">
        <v>1226</v>
      </c>
      <c r="AB143" s="564" t="s">
        <v>1226</v>
      </c>
      <c r="AC143" s="564" t="s">
        <v>1226</v>
      </c>
      <c r="AD143" s="564" t="s">
        <v>1226</v>
      </c>
      <c r="AE143" s="564" t="s">
        <v>1226</v>
      </c>
      <c r="AF143" s="736" t="s">
        <v>1226</v>
      </c>
      <c r="AG143" s="564" t="s">
        <v>1226</v>
      </c>
      <c r="AH143" s="564" t="s">
        <v>1226</v>
      </c>
      <c r="AI143" s="564" t="s">
        <v>1226</v>
      </c>
      <c r="AJ143" s="564" t="s">
        <v>1226</v>
      </c>
      <c r="AK143" s="736" t="s">
        <v>1226</v>
      </c>
      <c r="AL143" s="564" t="s">
        <v>1226</v>
      </c>
      <c r="AM143" s="564" t="s">
        <v>1226</v>
      </c>
      <c r="AN143" s="564" t="s">
        <v>1226</v>
      </c>
      <c r="AO143" s="564" t="s">
        <v>1226</v>
      </c>
      <c r="AP143" s="736" t="s">
        <v>1226</v>
      </c>
      <c r="AQ143" s="564" t="s">
        <v>1226</v>
      </c>
      <c r="AR143" s="564" t="s">
        <v>1226</v>
      </c>
      <c r="AS143" s="564" t="s">
        <v>1226</v>
      </c>
      <c r="AT143" s="564" t="s">
        <v>1226</v>
      </c>
      <c r="AU143" s="736" t="s">
        <v>1226</v>
      </c>
      <c r="AV143" s="564" t="s">
        <v>1226</v>
      </c>
      <c r="AW143" s="564" t="s">
        <v>1226</v>
      </c>
      <c r="AX143" s="564" t="s">
        <v>1226</v>
      </c>
      <c r="AY143" s="564" t="s">
        <v>1226</v>
      </c>
      <c r="AZ143" s="736" t="s">
        <v>1226</v>
      </c>
      <c r="BA143" s="564" t="s">
        <v>1226</v>
      </c>
      <c r="BB143" s="564" t="s">
        <v>1226</v>
      </c>
      <c r="BC143" s="564" t="s">
        <v>1226</v>
      </c>
      <c r="BD143" s="564" t="s">
        <v>1226</v>
      </c>
      <c r="BE143" s="736" t="s">
        <v>1226</v>
      </c>
      <c r="BF143" s="734" t="s">
        <v>1226</v>
      </c>
      <c r="BG143" s="564" t="s">
        <v>1226</v>
      </c>
      <c r="BH143" s="564" t="s">
        <v>1226</v>
      </c>
      <c r="BI143" s="1789" t="s">
        <v>1226</v>
      </c>
      <c r="BJ143" s="736" t="s">
        <v>1226</v>
      </c>
      <c r="BK143" s="734" t="s">
        <v>1226</v>
      </c>
      <c r="BL143" s="564" t="s">
        <v>1226</v>
      </c>
      <c r="BM143" s="564" t="s">
        <v>1226</v>
      </c>
      <c r="BN143" s="1789" t="s">
        <v>1226</v>
      </c>
      <c r="BO143" s="736" t="s">
        <v>1226</v>
      </c>
      <c r="BP143" s="734" t="s">
        <v>1226</v>
      </c>
      <c r="BQ143" s="564" t="s">
        <v>1226</v>
      </c>
      <c r="BR143" s="564" t="s">
        <v>1226</v>
      </c>
      <c r="BS143" s="1789" t="s">
        <v>1226</v>
      </c>
      <c r="BT143" s="736" t="s">
        <v>1226</v>
      </c>
      <c r="BU143" s="736" t="s">
        <v>1226</v>
      </c>
      <c r="BV143" s="736" t="s">
        <v>1226</v>
      </c>
      <c r="BW143" s="736" t="s">
        <v>1226</v>
      </c>
      <c r="BX143" s="736" t="s">
        <v>1226</v>
      </c>
      <c r="BY143" s="736" t="s">
        <v>1226</v>
      </c>
      <c r="BZ143" s="736" t="s">
        <v>1226</v>
      </c>
      <c r="CA143" s="736" t="s">
        <v>1226</v>
      </c>
      <c r="CB143" s="736" t="s">
        <v>1226</v>
      </c>
    </row>
    <row r="144" spans="1:80">
      <c r="A144" s="2" t="s">
        <v>1319</v>
      </c>
      <c r="B144" s="2"/>
      <c r="C144" s="1072">
        <f t="shared" ref="C144:BE144" si="141">C142+C137</f>
        <v>13.642872999999998</v>
      </c>
      <c r="D144" s="1072">
        <f t="shared" si="141"/>
        <v>13.561684999999999</v>
      </c>
      <c r="E144" s="1072">
        <f t="shared" si="141"/>
        <v>13.769180999999998</v>
      </c>
      <c r="F144" s="1072">
        <f t="shared" si="141"/>
        <v>13.480380999999998</v>
      </c>
      <c r="G144" s="1073">
        <f t="shared" si="141"/>
        <v>54.454119999999996</v>
      </c>
      <c r="H144" s="1072">
        <f t="shared" si="141"/>
        <v>14.013386000000002</v>
      </c>
      <c r="I144" s="1072">
        <f t="shared" si="141"/>
        <v>13.366698000000003</v>
      </c>
      <c r="J144" s="1072">
        <f t="shared" si="141"/>
        <v>11.892274</v>
      </c>
      <c r="K144" s="1072">
        <f t="shared" si="141"/>
        <v>11.784373</v>
      </c>
      <c r="L144" s="1073">
        <f t="shared" si="141"/>
        <v>48.279730999999998</v>
      </c>
      <c r="M144" s="1072">
        <f t="shared" si="141"/>
        <v>11.845069000000001</v>
      </c>
      <c r="N144" s="1072">
        <f t="shared" si="141"/>
        <v>11.776249</v>
      </c>
      <c r="O144" s="1072">
        <f t="shared" si="141"/>
        <v>11.794267</v>
      </c>
      <c r="P144" s="1072">
        <f t="shared" si="141"/>
        <v>11.694952000000001</v>
      </c>
      <c r="Q144" s="1073">
        <f t="shared" si="141"/>
        <v>47.110537000000001</v>
      </c>
      <c r="R144" s="1072">
        <f t="shared" si="141"/>
        <v>11.714931999999999</v>
      </c>
      <c r="S144" s="1072">
        <f t="shared" si="141"/>
        <v>11.823118000000001</v>
      </c>
      <c r="T144" s="1072">
        <f t="shared" si="141"/>
        <v>10.266211500000002</v>
      </c>
      <c r="U144" s="1072">
        <f t="shared" si="141"/>
        <v>10.145491500000002</v>
      </c>
      <c r="V144" s="1073">
        <f t="shared" si="141"/>
        <v>43.949753000000001</v>
      </c>
      <c r="W144" s="1072">
        <f t="shared" si="141"/>
        <v>8.6741100000000007</v>
      </c>
      <c r="X144" s="1072">
        <f t="shared" si="141"/>
        <v>8.6872050000000005</v>
      </c>
      <c r="Y144" s="1072">
        <f t="shared" si="141"/>
        <v>8.7451980000000002</v>
      </c>
      <c r="Z144" s="1072">
        <f t="shared" si="141"/>
        <v>8.6155311300000008</v>
      </c>
      <c r="AA144" s="1073">
        <f t="shared" si="141"/>
        <v>34.72204413</v>
      </c>
      <c r="AB144" s="1072">
        <f t="shared" si="141"/>
        <v>8.5219419899999984</v>
      </c>
      <c r="AC144" s="1072">
        <f t="shared" ref="AC144:AP144" si="142">AC142+AC137</f>
        <v>8.5351548449999992</v>
      </c>
      <c r="AD144" s="1072">
        <f t="shared" si="142"/>
        <v>8.5936697819999992</v>
      </c>
      <c r="AE144" s="1072">
        <f t="shared" si="142"/>
        <v>8.4628359101699999</v>
      </c>
      <c r="AF144" s="1073">
        <f t="shared" si="142"/>
        <v>34.113602527169995</v>
      </c>
      <c r="AG144" s="1072">
        <f t="shared" si="142"/>
        <v>8.5566057179099992</v>
      </c>
      <c r="AH144" s="1072">
        <f t="shared" si="142"/>
        <v>8.5699374886049977</v>
      </c>
      <c r="AI144" s="1072">
        <f t="shared" si="142"/>
        <v>8.6289790600379987</v>
      </c>
      <c r="AJ144" s="1072">
        <f t="shared" si="142"/>
        <v>8.4969676833615289</v>
      </c>
      <c r="AK144" s="1073">
        <f t="shared" si="142"/>
        <v>34.252489949914526</v>
      </c>
      <c r="AL144" s="1072">
        <f t="shared" si="142"/>
        <v>8.5815081693711903</v>
      </c>
      <c r="AM144" s="1072">
        <f t="shared" si="142"/>
        <v>8.5949599260024456</v>
      </c>
      <c r="AN144" s="1072">
        <f t="shared" si="142"/>
        <v>8.6545328715783416</v>
      </c>
      <c r="AO144" s="1072">
        <f t="shared" si="142"/>
        <v>8.5213333925117833</v>
      </c>
      <c r="AP144" s="1073">
        <f t="shared" si="142"/>
        <v>34.352334359463761</v>
      </c>
      <c r="AQ144" s="1072">
        <f>AQ142+AQ137</f>
        <v>8.6718548366455295</v>
      </c>
      <c r="AR144" s="1072">
        <f>AR142+AR137</f>
        <v>8.6854276590864661</v>
      </c>
      <c r="AS144" s="1072">
        <f>AS142+AS137</f>
        <v>8.745536761172545</v>
      </c>
      <c r="AT144" s="1072">
        <f>AT142+AT137</f>
        <v>8.6111384867943883</v>
      </c>
      <c r="AU144" s="1073">
        <f t="shared" si="141"/>
        <v>34.713957743698927</v>
      </c>
      <c r="AV144" s="1072">
        <f t="shared" si="141"/>
        <v>7.8458434061753408</v>
      </c>
      <c r="AW144" s="1072">
        <f t="shared" si="141"/>
        <v>7.8595383840182462</v>
      </c>
      <c r="AX144" s="1072">
        <f t="shared" si="141"/>
        <v>7.9201884680231007</v>
      </c>
      <c r="AY144" s="1072">
        <f t="shared" si="141"/>
        <v>7.7845806091755403</v>
      </c>
      <c r="AZ144" s="1073">
        <f t="shared" si="141"/>
        <v>31.410150867392229</v>
      </c>
      <c r="BA144" s="1072">
        <f>BA142+BA137</f>
        <v>6.6662172523934187</v>
      </c>
      <c r="BB144" s="1072">
        <f>BB142+BB137</f>
        <v>6.6800354850369095</v>
      </c>
      <c r="BC144" s="1072">
        <f>BC142+BC137</f>
        <v>6.741231419797808</v>
      </c>
      <c r="BD144" s="1072">
        <f>BD142+BD137</f>
        <v>6.604403090220619</v>
      </c>
      <c r="BE144" s="1073">
        <f t="shared" si="141"/>
        <v>26.691887247448758</v>
      </c>
      <c r="BF144" s="2830">
        <f t="shared" ref="BF144:CB144" si="143">BF142+BF137</f>
        <v>6.3551079815337088</v>
      </c>
      <c r="BG144" s="402">
        <f t="shared" si="143"/>
        <v>6.3690505782709907</v>
      </c>
      <c r="BH144" s="402">
        <f t="shared" si="143"/>
        <v>6.4307972764447374</v>
      </c>
      <c r="BI144" s="1121">
        <f t="shared" si="143"/>
        <v>6.2927374919013541</v>
      </c>
      <c r="BJ144" s="1073">
        <f t="shared" si="143"/>
        <v>25.447693328150791</v>
      </c>
      <c r="BK144" s="2830">
        <f t="shared" si="143"/>
        <v>5.7517863816925132</v>
      </c>
      <c r="BL144" s="402">
        <f t="shared" si="143"/>
        <v>5.7658544618004308</v>
      </c>
      <c r="BM144" s="402">
        <f t="shared" si="143"/>
        <v>5.8281568802577413</v>
      </c>
      <c r="BN144" s="1121">
        <f t="shared" si="143"/>
        <v>5.6888545576534675</v>
      </c>
      <c r="BO144" s="1073">
        <f t="shared" si="143"/>
        <v>23.034652281404153</v>
      </c>
      <c r="BP144" s="2830">
        <f t="shared" si="143"/>
        <v>5.7615432478902449</v>
      </c>
      <c r="BQ144" s="402">
        <f t="shared" si="143"/>
        <v>5.775737940719134</v>
      </c>
      <c r="BR144" s="402">
        <f t="shared" si="143"/>
        <v>5.8386010809425608</v>
      </c>
      <c r="BS144" s="1121">
        <f t="shared" si="143"/>
        <v>5.6980450374348477</v>
      </c>
      <c r="BT144" s="1073">
        <f t="shared" si="143"/>
        <v>21.901030256986786</v>
      </c>
      <c r="BU144" s="1073">
        <f t="shared" si="143"/>
        <v>21.619594114549667</v>
      </c>
      <c r="BV144" s="1073">
        <f t="shared" si="143"/>
        <v>21.406561283302363</v>
      </c>
      <c r="BW144" s="1073">
        <f t="shared" si="143"/>
        <v>21.446906307038443</v>
      </c>
      <c r="BX144" s="1073">
        <f t="shared" si="143"/>
        <v>20.324199727229271</v>
      </c>
      <c r="BY144" s="1073">
        <f t="shared" si="143"/>
        <v>19.358505921368337</v>
      </c>
      <c r="BZ144" s="1073">
        <f t="shared" si="143"/>
        <v>19.782522051026628</v>
      </c>
      <c r="CA144" s="1073">
        <f t="shared" si="143"/>
        <v>20.214562617379165</v>
      </c>
      <c r="CB144" s="1073">
        <f t="shared" si="143"/>
        <v>20.654784006186738</v>
      </c>
    </row>
    <row r="145" spans="1:80">
      <c r="A145" s="2"/>
      <c r="B145" s="2"/>
      <c r="C145" s="61"/>
      <c r="D145" s="61"/>
      <c r="E145" s="61"/>
      <c r="F145" s="61"/>
      <c r="G145" s="112"/>
      <c r="H145" s="61"/>
      <c r="I145" s="61"/>
      <c r="J145" s="1120">
        <f>43/4</f>
        <v>10.75</v>
      </c>
      <c r="K145" s="61"/>
      <c r="L145" s="112"/>
      <c r="M145" s="61"/>
      <c r="N145" s="61"/>
      <c r="O145" s="61"/>
      <c r="P145" s="61"/>
      <c r="Q145" s="112"/>
      <c r="R145" s="61"/>
      <c r="S145" s="61"/>
      <c r="T145" s="61"/>
      <c r="U145" s="61"/>
      <c r="V145" s="112"/>
      <c r="W145" s="61"/>
      <c r="X145" s="61"/>
      <c r="Y145" s="61"/>
      <c r="Z145" s="61"/>
      <c r="AA145" s="112"/>
      <c r="AB145" s="61"/>
      <c r="AC145" s="61"/>
      <c r="AD145" s="61"/>
      <c r="AE145" s="61"/>
      <c r="AF145" s="112"/>
      <c r="AG145" s="61"/>
      <c r="AH145" s="61"/>
      <c r="AI145" s="61"/>
      <c r="AJ145" s="61"/>
      <c r="AK145" s="112"/>
      <c r="AL145" s="61"/>
      <c r="AM145" s="61"/>
      <c r="AN145" s="61"/>
      <c r="AO145" s="60"/>
      <c r="AP145" s="60"/>
      <c r="AQ145" s="61"/>
      <c r="AR145" s="61"/>
      <c r="AS145" s="61"/>
      <c r="AT145" s="61"/>
      <c r="AU145" s="112"/>
      <c r="AV145" s="61"/>
      <c r="AW145" s="61"/>
      <c r="AX145" s="61"/>
      <c r="AY145" s="61"/>
      <c r="AZ145" s="112"/>
      <c r="BA145" s="61"/>
      <c r="BB145" s="61"/>
      <c r="BC145" s="61"/>
      <c r="BD145" s="61"/>
      <c r="BE145" s="112"/>
      <c r="BF145" s="59"/>
      <c r="BG145" s="61"/>
      <c r="BH145" s="61"/>
      <c r="BI145" s="60"/>
      <c r="BJ145" s="112"/>
      <c r="BK145" s="59"/>
      <c r="BL145" s="61"/>
      <c r="BM145" s="61"/>
      <c r="BN145" s="60"/>
      <c r="BO145" s="112"/>
      <c r="BP145" s="59"/>
      <c r="BQ145" s="61"/>
      <c r="BR145" s="61"/>
      <c r="BS145" s="60"/>
      <c r="BT145" s="112"/>
      <c r="BU145" s="112"/>
      <c r="BV145" s="112"/>
      <c r="BW145" s="112"/>
      <c r="BX145" s="112"/>
      <c r="BY145" s="112"/>
      <c r="BZ145" s="112"/>
      <c r="CA145" s="112"/>
      <c r="CB145" s="112"/>
    </row>
    <row r="146" spans="1:80">
      <c r="A146" s="2" t="s">
        <v>633</v>
      </c>
      <c r="B146" s="2"/>
      <c r="C146" s="1083">
        <v>7.9364790000000003</v>
      </c>
      <c r="D146" s="1083">
        <v>12.927999999999999</v>
      </c>
      <c r="E146" s="1083">
        <v>16.265000000000001</v>
      </c>
      <c r="F146" s="1083">
        <v>17.462</v>
      </c>
      <c r="G146" s="1073">
        <f>SUM(C146:F146)</f>
        <v>54.591479000000007</v>
      </c>
      <c r="H146" s="1083">
        <v>7.7813910000000002</v>
      </c>
      <c r="I146" s="61"/>
      <c r="J146" s="61"/>
      <c r="K146" s="61"/>
      <c r="L146" s="112"/>
      <c r="M146" s="61"/>
      <c r="N146" s="61"/>
      <c r="O146" s="61"/>
      <c r="P146" s="61"/>
      <c r="Q146" s="112"/>
      <c r="R146" s="61"/>
      <c r="S146" s="61"/>
      <c r="T146" s="61"/>
      <c r="U146" s="61"/>
      <c r="V146" s="112"/>
      <c r="W146" s="61"/>
      <c r="X146" s="61"/>
      <c r="Y146" s="61"/>
      <c r="Z146" s="61"/>
      <c r="AA146" s="112"/>
      <c r="AB146" s="61"/>
      <c r="AC146" s="61"/>
      <c r="AD146" s="61"/>
      <c r="AE146" s="61"/>
      <c r="AF146" s="112"/>
      <c r="AG146" s="61"/>
      <c r="AH146" s="61"/>
      <c r="AI146" s="61"/>
      <c r="AJ146" s="61"/>
      <c r="AK146" s="112"/>
      <c r="AL146" s="61"/>
      <c r="AM146" s="61"/>
      <c r="AN146" s="61"/>
      <c r="AO146" s="60"/>
      <c r="AP146" s="60"/>
      <c r="AQ146" s="61"/>
      <c r="AR146" s="61"/>
      <c r="AS146" s="61"/>
      <c r="AT146" s="61"/>
      <c r="AU146" s="112"/>
      <c r="AV146" s="61"/>
      <c r="AW146" s="61"/>
      <c r="AX146" s="61"/>
      <c r="AY146" s="61"/>
      <c r="AZ146" s="112"/>
      <c r="BA146" s="61"/>
      <c r="BB146" s="61"/>
      <c r="BC146" s="61"/>
      <c r="BD146" s="61"/>
      <c r="BE146" s="112"/>
      <c r="BF146" s="59"/>
      <c r="BG146" s="61"/>
      <c r="BH146" s="61"/>
      <c r="BI146" s="60"/>
      <c r="BJ146" s="112"/>
      <c r="BK146" s="59"/>
      <c r="BL146" s="61"/>
      <c r="BM146" s="61"/>
      <c r="BN146" s="60"/>
      <c r="BO146" s="112"/>
      <c r="BP146" s="59"/>
      <c r="BQ146" s="61"/>
      <c r="BR146" s="61"/>
      <c r="BS146" s="60"/>
      <c r="BT146" s="112"/>
      <c r="BU146" s="112"/>
      <c r="BV146" s="112"/>
      <c r="BW146" s="112"/>
      <c r="BX146" s="112"/>
      <c r="BY146" s="112"/>
      <c r="BZ146" s="112"/>
      <c r="CA146" s="112"/>
      <c r="CB146" s="112"/>
    </row>
    <row r="147" spans="1:80">
      <c r="A147" s="2"/>
      <c r="B147" s="2"/>
      <c r="C147" s="1083"/>
      <c r="D147" s="1083"/>
      <c r="E147" s="1083"/>
      <c r="F147" s="1083"/>
      <c r="G147" s="1073"/>
      <c r="H147" s="1083"/>
      <c r="I147" s="61"/>
      <c r="J147" s="61"/>
      <c r="K147" s="61"/>
      <c r="L147" s="112"/>
      <c r="M147" s="61"/>
      <c r="N147" s="61"/>
      <c r="O147" s="61"/>
      <c r="P147" s="61"/>
      <c r="Q147" s="112"/>
      <c r="R147" s="61"/>
      <c r="S147" s="61"/>
      <c r="T147" s="61"/>
      <c r="U147" s="61"/>
      <c r="V147" s="112"/>
      <c r="W147" s="61"/>
      <c r="X147" s="61"/>
      <c r="Y147" s="61"/>
      <c r="Z147" s="61"/>
      <c r="AA147" s="112"/>
      <c r="AB147" s="61"/>
      <c r="AC147" s="61"/>
      <c r="AD147" s="61"/>
      <c r="AE147" s="61"/>
      <c r="AF147" s="112"/>
      <c r="AG147" s="61"/>
      <c r="AH147" s="61"/>
      <c r="AI147" s="61"/>
      <c r="AJ147" s="61"/>
      <c r="AK147" s="112"/>
      <c r="AL147" s="61"/>
      <c r="AM147" s="61"/>
      <c r="AN147" s="61"/>
      <c r="AO147" s="60"/>
      <c r="AP147" s="60"/>
      <c r="AQ147" s="61"/>
      <c r="AR147" s="61"/>
      <c r="AS147" s="61"/>
      <c r="AT147" s="61"/>
      <c r="AU147" s="112"/>
      <c r="AV147" s="61"/>
      <c r="AW147" s="61"/>
      <c r="AX147" s="61"/>
      <c r="AY147" s="61"/>
      <c r="AZ147" s="112"/>
      <c r="BA147" s="61"/>
      <c r="BB147" s="61"/>
      <c r="BC147" s="61"/>
      <c r="BD147" s="61"/>
      <c r="BE147" s="112"/>
      <c r="BF147" s="59"/>
      <c r="BG147" s="61"/>
      <c r="BH147" s="61"/>
      <c r="BI147" s="60"/>
      <c r="BJ147" s="112"/>
      <c r="BK147" s="59"/>
      <c r="BL147" s="61"/>
      <c r="BM147" s="61"/>
      <c r="BN147" s="60"/>
      <c r="BO147" s="112"/>
      <c r="BP147" s="59"/>
      <c r="BQ147" s="61"/>
      <c r="BR147" s="61"/>
      <c r="BS147" s="60"/>
      <c r="BT147" s="112"/>
      <c r="BU147" s="112"/>
      <c r="BV147" s="112"/>
      <c r="BW147" s="112"/>
      <c r="BX147" s="112"/>
      <c r="BY147" s="112"/>
      <c r="BZ147" s="112"/>
      <c r="CA147" s="112"/>
      <c r="CB147" s="112"/>
    </row>
    <row r="148" spans="1:80">
      <c r="A148" s="69" t="s">
        <v>1151</v>
      </c>
      <c r="B148" s="2"/>
      <c r="C148" s="1083"/>
      <c r="D148" s="1083"/>
      <c r="E148" s="1083"/>
      <c r="F148" s="1083"/>
      <c r="G148" s="1073"/>
      <c r="H148" s="1083"/>
      <c r="I148" s="61"/>
      <c r="J148" s="61"/>
      <c r="K148" s="61"/>
      <c r="L148" s="112"/>
      <c r="M148" s="61"/>
      <c r="N148" s="61"/>
      <c r="O148" s="61"/>
      <c r="P148" s="61"/>
      <c r="Q148" s="112"/>
      <c r="R148" s="61"/>
      <c r="S148" s="61"/>
      <c r="T148" s="61"/>
      <c r="U148" s="61"/>
      <c r="V148" s="112"/>
      <c r="W148" s="61"/>
      <c r="X148" s="61"/>
      <c r="Y148" s="61"/>
      <c r="Z148" s="61"/>
      <c r="AA148" s="112"/>
      <c r="AB148" s="61"/>
      <c r="AC148" s="61"/>
      <c r="AD148" s="61"/>
      <c r="AE148" s="61"/>
      <c r="AF148" s="112"/>
      <c r="AG148" s="61"/>
      <c r="AH148" s="61"/>
      <c r="AI148" s="61"/>
      <c r="AJ148" s="61"/>
      <c r="AK148" s="112"/>
      <c r="AL148" s="61"/>
      <c r="AM148" s="61"/>
      <c r="AN148" s="61"/>
      <c r="AO148" s="60"/>
      <c r="AP148" s="60"/>
      <c r="AQ148" s="61"/>
      <c r="AR148" s="61"/>
      <c r="AS148" s="61"/>
      <c r="AT148" s="61"/>
      <c r="AU148" s="112"/>
      <c r="AV148" s="61"/>
      <c r="AW148" s="61"/>
      <c r="AX148" s="61"/>
      <c r="AY148" s="61"/>
      <c r="AZ148" s="112"/>
      <c r="BA148" s="61"/>
      <c r="BB148" s="61"/>
      <c r="BC148" s="61"/>
      <c r="BD148" s="61"/>
      <c r="BE148" s="112"/>
      <c r="BF148" s="59"/>
      <c r="BG148" s="61"/>
      <c r="BH148" s="61"/>
      <c r="BI148" s="60"/>
      <c r="BJ148" s="112"/>
      <c r="BK148" s="59"/>
      <c r="BL148" s="61"/>
      <c r="BM148" s="61"/>
      <c r="BN148" s="60"/>
      <c r="BO148" s="112"/>
      <c r="BP148" s="59"/>
      <c r="BQ148" s="61"/>
      <c r="BR148" s="61"/>
      <c r="BS148" s="60"/>
      <c r="BT148" s="112"/>
      <c r="BU148" s="112"/>
      <c r="BV148" s="112"/>
      <c r="BW148" s="112"/>
      <c r="BX148" s="112"/>
      <c r="BY148" s="112"/>
      <c r="BZ148" s="112"/>
      <c r="CA148" s="112"/>
      <c r="CB148" s="112"/>
    </row>
    <row r="149" spans="1:80">
      <c r="A149" s="1952" t="s">
        <v>1592</v>
      </c>
      <c r="B149" s="2"/>
      <c r="C149" s="1083"/>
      <c r="D149" s="1083"/>
      <c r="E149" s="1083"/>
      <c r="F149" s="1083"/>
      <c r="G149" s="1073"/>
      <c r="H149" s="1083"/>
      <c r="I149" s="61"/>
      <c r="J149" s="61"/>
      <c r="K149" s="61"/>
      <c r="L149" s="112"/>
      <c r="M149" s="61"/>
      <c r="N149" s="61"/>
      <c r="O149" s="61"/>
      <c r="P149" s="61"/>
      <c r="Q149" s="112"/>
      <c r="R149" s="61"/>
      <c r="S149" s="61"/>
      <c r="T149" s="61"/>
      <c r="U149" s="61"/>
      <c r="V149" s="112"/>
      <c r="W149" s="61"/>
      <c r="X149" s="61"/>
      <c r="Y149" s="61"/>
      <c r="Z149" s="61"/>
      <c r="AA149" s="112"/>
      <c r="AB149" s="61"/>
      <c r="AC149" s="61"/>
      <c r="AD149" s="61"/>
      <c r="AE149" s="61"/>
      <c r="AF149" s="112"/>
      <c r="AG149" s="61"/>
      <c r="AH149" s="61"/>
      <c r="AI149" s="61"/>
      <c r="AJ149" s="61"/>
      <c r="AK149" s="112"/>
      <c r="AL149" s="61"/>
      <c r="AM149" s="61"/>
      <c r="AN149" s="61"/>
      <c r="AO149" s="60"/>
      <c r="AP149" s="60"/>
      <c r="AQ149" s="61"/>
      <c r="AR149" s="61"/>
      <c r="AS149" s="61"/>
      <c r="AT149" s="61"/>
      <c r="AU149" s="112"/>
      <c r="AV149" s="61"/>
      <c r="AW149" s="61"/>
      <c r="AX149" s="61"/>
      <c r="AY149" s="61"/>
      <c r="AZ149" s="112"/>
      <c r="BA149" s="61"/>
      <c r="BB149" s="61"/>
      <c r="BC149" s="61"/>
      <c r="BD149" s="61"/>
      <c r="BE149" s="112"/>
      <c r="BF149" s="59"/>
      <c r="BG149" s="61"/>
      <c r="BH149" s="61"/>
      <c r="BI149" s="60"/>
      <c r="BJ149" s="112"/>
      <c r="BK149" s="59"/>
      <c r="BL149" s="61"/>
      <c r="BM149" s="61"/>
      <c r="BN149" s="60"/>
      <c r="BO149" s="112"/>
      <c r="BP149" s="59"/>
      <c r="BQ149" s="61"/>
      <c r="BR149" s="61"/>
      <c r="BS149" s="60"/>
      <c r="BT149" s="112"/>
      <c r="BU149" s="112"/>
      <c r="BV149" s="112"/>
      <c r="BW149" s="112"/>
      <c r="BX149" s="112"/>
      <c r="BY149" s="112"/>
      <c r="BZ149" s="112"/>
      <c r="CA149" s="112"/>
      <c r="CB149" s="112"/>
    </row>
    <row r="150" spans="1:80">
      <c r="A150" s="1952">
        <v>1</v>
      </c>
      <c r="B150" s="2"/>
      <c r="C150" s="1083"/>
      <c r="D150" s="1083"/>
      <c r="E150" s="1083"/>
      <c r="F150" s="1083"/>
      <c r="G150" s="1073"/>
      <c r="H150" s="1083"/>
      <c r="I150" s="61"/>
      <c r="J150" s="61"/>
      <c r="K150" s="61"/>
      <c r="L150" s="112"/>
      <c r="M150" s="61"/>
      <c r="N150" s="61"/>
      <c r="O150" s="61"/>
      <c r="P150" s="61"/>
      <c r="Q150" s="112"/>
      <c r="R150" s="61"/>
      <c r="S150" s="61"/>
      <c r="T150" s="61"/>
      <c r="U150" s="61"/>
      <c r="V150" s="112"/>
      <c r="W150" s="61"/>
      <c r="X150" s="61"/>
      <c r="Y150" s="61"/>
      <c r="Z150" s="61"/>
      <c r="AA150" s="112"/>
      <c r="AB150" s="61"/>
      <c r="AC150" s="61"/>
      <c r="AD150" s="61"/>
      <c r="AE150" s="61"/>
      <c r="AF150" s="112"/>
      <c r="AG150" s="61"/>
      <c r="AH150" s="61"/>
      <c r="AI150" s="61"/>
      <c r="AJ150" s="61"/>
      <c r="AK150" s="112"/>
      <c r="AL150" s="1954">
        <v>1</v>
      </c>
      <c r="AM150" s="1955">
        <v>1</v>
      </c>
      <c r="AN150" s="1955">
        <v>1</v>
      </c>
      <c r="AO150" s="1954">
        <v>1</v>
      </c>
      <c r="AP150" s="1956">
        <v>1</v>
      </c>
      <c r="AQ150" s="1954">
        <v>1</v>
      </c>
      <c r="AR150" s="1955">
        <v>1</v>
      </c>
      <c r="AS150" s="1955">
        <v>1</v>
      </c>
      <c r="AT150" s="1954">
        <v>1</v>
      </c>
      <c r="AU150" s="1956">
        <v>1</v>
      </c>
      <c r="AV150" s="1954">
        <v>1</v>
      </c>
      <c r="AW150" s="1955">
        <v>1</v>
      </c>
      <c r="AX150" s="1955">
        <v>1</v>
      </c>
      <c r="AY150" s="1954">
        <v>1</v>
      </c>
      <c r="AZ150" s="1956">
        <v>1</v>
      </c>
      <c r="BA150" s="1954">
        <v>1</v>
      </c>
      <c r="BB150" s="1955">
        <v>1</v>
      </c>
      <c r="BC150" s="1955">
        <v>1</v>
      </c>
      <c r="BD150" s="1954">
        <v>1</v>
      </c>
      <c r="BE150" s="1956">
        <v>1</v>
      </c>
      <c r="BF150" s="2855">
        <v>1</v>
      </c>
      <c r="BG150" s="1955">
        <v>1</v>
      </c>
      <c r="BH150" s="1955">
        <v>1</v>
      </c>
      <c r="BI150" s="2856">
        <v>1</v>
      </c>
      <c r="BJ150" s="1956">
        <v>1</v>
      </c>
      <c r="BK150" s="2855">
        <v>1</v>
      </c>
      <c r="BL150" s="1955">
        <v>1</v>
      </c>
      <c r="BM150" s="1955">
        <v>1</v>
      </c>
      <c r="BN150" s="2856">
        <v>1</v>
      </c>
      <c r="BO150" s="1956">
        <v>1</v>
      </c>
      <c r="BP150" s="2855">
        <v>1</v>
      </c>
      <c r="BQ150" s="1955">
        <v>1</v>
      </c>
      <c r="BR150" s="1955">
        <v>1</v>
      </c>
      <c r="BS150" s="2856">
        <v>1</v>
      </c>
      <c r="BT150" s="1956">
        <v>1</v>
      </c>
      <c r="BU150" s="1956">
        <v>1</v>
      </c>
      <c r="BV150" s="1956">
        <v>1</v>
      </c>
      <c r="BW150" s="1956">
        <v>1</v>
      </c>
      <c r="BX150" s="1956">
        <v>1</v>
      </c>
      <c r="BY150" s="1956">
        <v>1</v>
      </c>
      <c r="BZ150" s="1956">
        <v>1</v>
      </c>
      <c r="CA150" s="1956">
        <v>1</v>
      </c>
      <c r="CB150" s="1956">
        <v>1</v>
      </c>
    </row>
    <row r="151" spans="1:80">
      <c r="A151" s="1952">
        <v>2</v>
      </c>
      <c r="B151" s="2"/>
      <c r="C151" s="1083"/>
      <c r="D151" s="1083"/>
      <c r="E151" s="1083"/>
      <c r="F151" s="1083"/>
      <c r="G151" s="1073"/>
      <c r="H151" s="1083"/>
      <c r="I151" s="61"/>
      <c r="J151" s="61"/>
      <c r="K151" s="61"/>
      <c r="L151" s="112"/>
      <c r="M151" s="61"/>
      <c r="N151" s="61"/>
      <c r="O151" s="61"/>
      <c r="P151" s="61"/>
      <c r="Q151" s="112"/>
      <c r="R151" s="61"/>
      <c r="S151" s="61"/>
      <c r="T151" s="61"/>
      <c r="U151" s="61"/>
      <c r="V151" s="112"/>
      <c r="W151" s="61"/>
      <c r="X151" s="61"/>
      <c r="Y151" s="61"/>
      <c r="Z151" s="61"/>
      <c r="AA151" s="112"/>
      <c r="AB151" s="61"/>
      <c r="AC151" s="61"/>
      <c r="AD151" s="61"/>
      <c r="AE151" s="61"/>
      <c r="AF151" s="112"/>
      <c r="AG151" s="61"/>
      <c r="AH151" s="61"/>
      <c r="AI151" s="61"/>
      <c r="AJ151" s="61"/>
      <c r="AK151" s="112"/>
      <c r="AL151" s="1957">
        <v>3</v>
      </c>
      <c r="AM151" s="1958">
        <v>3</v>
      </c>
      <c r="AN151" s="1958">
        <v>3</v>
      </c>
      <c r="AO151" s="1957">
        <v>3</v>
      </c>
      <c r="AP151" s="1959">
        <v>3</v>
      </c>
      <c r="AQ151" s="1957">
        <v>3</v>
      </c>
      <c r="AR151" s="1958">
        <v>3</v>
      </c>
      <c r="AS151" s="1958">
        <v>3</v>
      </c>
      <c r="AT151" s="1957">
        <v>3</v>
      </c>
      <c r="AU151" s="1959">
        <v>3</v>
      </c>
      <c r="AV151" s="1957">
        <v>3</v>
      </c>
      <c r="AW151" s="1958">
        <v>3</v>
      </c>
      <c r="AX151" s="1958">
        <v>3</v>
      </c>
      <c r="AY151" s="1957">
        <v>3</v>
      </c>
      <c r="AZ151" s="1959">
        <v>3</v>
      </c>
      <c r="BA151" s="1957">
        <v>3</v>
      </c>
      <c r="BB151" s="1958">
        <v>3</v>
      </c>
      <c r="BC151" s="1958">
        <v>3</v>
      </c>
      <c r="BD151" s="1957">
        <v>3</v>
      </c>
      <c r="BE151" s="1959">
        <v>3</v>
      </c>
      <c r="BF151" s="2857">
        <v>3</v>
      </c>
      <c r="BG151" s="1958">
        <v>3</v>
      </c>
      <c r="BH151" s="1958">
        <v>3</v>
      </c>
      <c r="BI151" s="2858">
        <v>3</v>
      </c>
      <c r="BJ151" s="1959">
        <v>3</v>
      </c>
      <c r="BK151" s="2857">
        <v>3</v>
      </c>
      <c r="BL151" s="1958">
        <v>3</v>
      </c>
      <c r="BM151" s="1958">
        <v>3</v>
      </c>
      <c r="BN151" s="2858">
        <v>3</v>
      </c>
      <c r="BO151" s="1959">
        <v>3</v>
      </c>
      <c r="BP151" s="2857">
        <v>3</v>
      </c>
      <c r="BQ151" s="1958">
        <v>3</v>
      </c>
      <c r="BR151" s="1958">
        <v>3</v>
      </c>
      <c r="BS151" s="2858">
        <v>3</v>
      </c>
      <c r="BT151" s="1959">
        <v>3</v>
      </c>
      <c r="BU151" s="1959">
        <v>3</v>
      </c>
      <c r="BV151" s="1959">
        <v>3</v>
      </c>
      <c r="BW151" s="1959">
        <v>3</v>
      </c>
      <c r="BX151" s="1959">
        <v>3</v>
      </c>
      <c r="BY151" s="1959">
        <v>3</v>
      </c>
      <c r="BZ151" s="1959">
        <v>3</v>
      </c>
      <c r="CA151" s="1959">
        <v>3</v>
      </c>
      <c r="CB151" s="1959">
        <v>3</v>
      </c>
    </row>
    <row r="152" spans="1:80">
      <c r="A152" s="1952">
        <v>3</v>
      </c>
      <c r="B152" s="2"/>
      <c r="C152" s="1083"/>
      <c r="D152" s="1083"/>
      <c r="E152" s="1083"/>
      <c r="F152" s="1083"/>
      <c r="G152" s="1073"/>
      <c r="H152" s="1083"/>
      <c r="I152" s="61"/>
      <c r="J152" s="61"/>
      <c r="K152" s="61"/>
      <c r="L152" s="112"/>
      <c r="M152" s="61"/>
      <c r="N152" s="61"/>
      <c r="O152" s="61"/>
      <c r="P152" s="61"/>
      <c r="Q152" s="112"/>
      <c r="R152" s="61"/>
      <c r="S152" s="61"/>
      <c r="T152" s="61"/>
      <c r="U152" s="61"/>
      <c r="V152" s="112"/>
      <c r="W152" s="61"/>
      <c r="X152" s="61"/>
      <c r="Y152" s="61"/>
      <c r="Z152" s="61"/>
      <c r="AA152" s="112"/>
      <c r="AB152" s="61"/>
      <c r="AC152" s="61"/>
      <c r="AD152" s="61"/>
      <c r="AE152" s="61"/>
      <c r="AF152" s="112"/>
      <c r="AG152" s="61"/>
      <c r="AH152" s="61"/>
      <c r="AI152" s="61"/>
      <c r="AJ152" s="61"/>
      <c r="AK152" s="112"/>
      <c r="AL152" s="1957">
        <v>4</v>
      </c>
      <c r="AM152" s="1958">
        <v>4</v>
      </c>
      <c r="AN152" s="1958">
        <v>4</v>
      </c>
      <c r="AO152" s="1957">
        <v>4</v>
      </c>
      <c r="AP152" s="1959">
        <v>4</v>
      </c>
      <c r="AQ152" s="1957">
        <v>4</v>
      </c>
      <c r="AR152" s="1958">
        <v>4</v>
      </c>
      <c r="AS152" s="1958">
        <v>4</v>
      </c>
      <c r="AT152" s="1957">
        <v>4</v>
      </c>
      <c r="AU152" s="1959">
        <v>4</v>
      </c>
      <c r="AV152" s="1957">
        <v>4</v>
      </c>
      <c r="AW152" s="1958">
        <v>4</v>
      </c>
      <c r="AX152" s="1958">
        <v>4</v>
      </c>
      <c r="AY152" s="1957">
        <v>4</v>
      </c>
      <c r="AZ152" s="1959">
        <v>4</v>
      </c>
      <c r="BA152" s="1957">
        <v>4</v>
      </c>
      <c r="BB152" s="1958">
        <v>4</v>
      </c>
      <c r="BC152" s="1958">
        <v>4</v>
      </c>
      <c r="BD152" s="1957">
        <v>4</v>
      </c>
      <c r="BE152" s="1959">
        <v>4</v>
      </c>
      <c r="BF152" s="2857">
        <v>4</v>
      </c>
      <c r="BG152" s="1958">
        <v>4</v>
      </c>
      <c r="BH152" s="1958">
        <v>4</v>
      </c>
      <c r="BI152" s="2858">
        <v>4</v>
      </c>
      <c r="BJ152" s="1959">
        <v>4</v>
      </c>
      <c r="BK152" s="2857">
        <v>4</v>
      </c>
      <c r="BL152" s="1958">
        <v>4</v>
      </c>
      <c r="BM152" s="1958">
        <v>4</v>
      </c>
      <c r="BN152" s="2858">
        <v>4</v>
      </c>
      <c r="BO152" s="1959">
        <v>4</v>
      </c>
      <c r="BP152" s="2857">
        <v>4</v>
      </c>
      <c r="BQ152" s="1958">
        <v>4</v>
      </c>
      <c r="BR152" s="1958">
        <v>4</v>
      </c>
      <c r="BS152" s="2858">
        <v>4</v>
      </c>
      <c r="BT152" s="1959">
        <v>4</v>
      </c>
      <c r="BU152" s="1959">
        <v>4</v>
      </c>
      <c r="BV152" s="1959">
        <v>4</v>
      </c>
      <c r="BW152" s="1959">
        <v>4</v>
      </c>
      <c r="BX152" s="1959">
        <v>4</v>
      </c>
      <c r="BY152" s="1959">
        <v>4</v>
      </c>
      <c r="BZ152" s="1959">
        <v>4</v>
      </c>
      <c r="CA152" s="1959">
        <v>4</v>
      </c>
      <c r="CB152" s="1959">
        <v>4</v>
      </c>
    </row>
    <row r="153" spans="1:80">
      <c r="A153" s="1952"/>
      <c r="B153" s="2"/>
      <c r="C153" s="1083"/>
      <c r="D153" s="1083"/>
      <c r="E153" s="1083"/>
      <c r="F153" s="1083"/>
      <c r="G153" s="1073"/>
      <c r="H153" s="1083"/>
      <c r="I153" s="61"/>
      <c r="J153" s="61"/>
      <c r="K153" s="61"/>
      <c r="L153" s="112"/>
      <c r="M153" s="61"/>
      <c r="N153" s="61"/>
      <c r="O153" s="61"/>
      <c r="P153" s="61"/>
      <c r="Q153" s="112"/>
      <c r="R153" s="61"/>
      <c r="S153" s="61"/>
      <c r="T153" s="61"/>
      <c r="U153" s="61"/>
      <c r="V153" s="112"/>
      <c r="W153" s="61"/>
      <c r="X153" s="61"/>
      <c r="Y153" s="61"/>
      <c r="Z153" s="61"/>
      <c r="AA153" s="112"/>
      <c r="AB153" s="61"/>
      <c r="AC153" s="61"/>
      <c r="AD153" s="61"/>
      <c r="AE153" s="61"/>
      <c r="AF153" s="112"/>
      <c r="AG153" s="61"/>
      <c r="AH153" s="61"/>
      <c r="AI153" s="61"/>
      <c r="AJ153" s="61"/>
      <c r="AK153" s="112"/>
      <c r="AL153" s="1960"/>
      <c r="AM153" s="1960"/>
      <c r="AN153" s="1960"/>
      <c r="AO153" s="1960"/>
      <c r="AP153" s="1961"/>
      <c r="AQ153" s="1960"/>
      <c r="AR153" s="1960"/>
      <c r="AS153" s="1960"/>
      <c r="AT153" s="1960"/>
      <c r="AU153" s="1961"/>
      <c r="AV153" s="1960"/>
      <c r="AW153" s="1960"/>
      <c r="AX153" s="1960"/>
      <c r="AY153" s="1960"/>
      <c r="AZ153" s="1961"/>
      <c r="BA153" s="1960"/>
      <c r="BB153" s="1960"/>
      <c r="BC153" s="1960"/>
      <c r="BD153" s="1960"/>
      <c r="BE153" s="1961"/>
      <c r="BF153" s="2859"/>
      <c r="BG153" s="1960"/>
      <c r="BH153" s="1960"/>
      <c r="BI153" s="2860"/>
      <c r="BJ153" s="1961"/>
      <c r="BK153" s="2859"/>
      <c r="BL153" s="1960"/>
      <c r="BM153" s="1960"/>
      <c r="BN153" s="2860"/>
      <c r="BO153" s="1961"/>
      <c r="BP153" s="2859"/>
      <c r="BQ153" s="1960"/>
      <c r="BR153" s="1960"/>
      <c r="BS153" s="2860"/>
      <c r="BT153" s="1961"/>
      <c r="BU153" s="1961"/>
      <c r="BV153" s="1961"/>
      <c r="BW153" s="1961"/>
      <c r="BX153" s="1961"/>
      <c r="BY153" s="1961"/>
      <c r="BZ153" s="1961"/>
      <c r="CA153" s="1961"/>
      <c r="CB153" s="1961"/>
    </row>
    <row r="154" spans="1:80">
      <c r="A154" s="1952" t="s">
        <v>1503</v>
      </c>
      <c r="B154" s="2"/>
      <c r="C154" s="1083"/>
      <c r="D154" s="1083"/>
      <c r="E154" s="1083"/>
      <c r="F154" s="1083"/>
      <c r="G154" s="1073"/>
      <c r="H154" s="1083"/>
      <c r="I154" s="61"/>
      <c r="J154" s="61"/>
      <c r="K154" s="61"/>
      <c r="L154" s="112"/>
      <c r="M154" s="61"/>
      <c r="N154" s="61"/>
      <c r="O154" s="61"/>
      <c r="P154" s="61"/>
      <c r="Q154" s="112"/>
      <c r="R154" s="61"/>
      <c r="S154" s="61"/>
      <c r="T154" s="61"/>
      <c r="U154" s="61"/>
      <c r="V154" s="112"/>
      <c r="W154" s="61"/>
      <c r="X154" s="61"/>
      <c r="Y154" s="61"/>
      <c r="Z154" s="61"/>
      <c r="AA154" s="112"/>
      <c r="AB154" s="61"/>
      <c r="AC154" s="61"/>
      <c r="AD154" s="61"/>
      <c r="AE154" s="61"/>
      <c r="AF154" s="112"/>
      <c r="AG154" s="61"/>
      <c r="AH154" s="61"/>
      <c r="AI154" s="61"/>
      <c r="AJ154" s="61"/>
      <c r="AK154" s="112"/>
      <c r="AL154" s="1960"/>
      <c r="AM154" s="1960"/>
      <c r="AN154" s="1960"/>
      <c r="AO154" s="1960"/>
      <c r="AP154" s="1961"/>
      <c r="AQ154" s="1960"/>
      <c r="AR154" s="1960"/>
      <c r="AS154" s="1960"/>
      <c r="AT154" s="1960"/>
      <c r="AU154" s="1961"/>
      <c r="AV154" s="1960"/>
      <c r="AW154" s="1960"/>
      <c r="AX154" s="1960"/>
      <c r="AY154" s="1960"/>
      <c r="AZ154" s="1961"/>
      <c r="BA154" s="1960"/>
      <c r="BB154" s="1960"/>
      <c r="BC154" s="1960"/>
      <c r="BD154" s="1960"/>
      <c r="BE154" s="1961"/>
      <c r="BF154" s="2859"/>
      <c r="BG154" s="1960"/>
      <c r="BH154" s="1960"/>
      <c r="BI154" s="2860"/>
      <c r="BJ154" s="1961"/>
      <c r="BK154" s="2859"/>
      <c r="BL154" s="1960"/>
      <c r="BM154" s="1960"/>
      <c r="BN154" s="2860"/>
      <c r="BO154" s="1961"/>
      <c r="BP154" s="2859"/>
      <c r="BQ154" s="1960"/>
      <c r="BR154" s="1960"/>
      <c r="BS154" s="2860"/>
      <c r="BT154" s="1961"/>
      <c r="BU154" s="1961"/>
      <c r="BV154" s="1961"/>
      <c r="BW154" s="1961"/>
      <c r="BX154" s="1961"/>
      <c r="BY154" s="1961"/>
      <c r="BZ154" s="1961"/>
      <c r="CA154" s="1961"/>
      <c r="CB154" s="1961"/>
    </row>
    <row r="155" spans="1:80">
      <c r="A155" s="1952">
        <v>1</v>
      </c>
      <c r="B155" s="2"/>
      <c r="C155" s="1083"/>
      <c r="D155" s="1083"/>
      <c r="E155" s="1083"/>
      <c r="F155" s="1083"/>
      <c r="G155" s="1073"/>
      <c r="H155" s="1083"/>
      <c r="I155" s="61"/>
      <c r="J155" s="61"/>
      <c r="K155" s="61"/>
      <c r="L155" s="112"/>
      <c r="M155" s="61"/>
      <c r="N155" s="61"/>
      <c r="O155" s="61"/>
      <c r="P155" s="61"/>
      <c r="Q155" s="112"/>
      <c r="R155" s="61"/>
      <c r="S155" s="61"/>
      <c r="T155" s="61"/>
      <c r="U155" s="61"/>
      <c r="V155" s="112"/>
      <c r="W155" s="61"/>
      <c r="X155" s="61"/>
      <c r="Y155" s="61"/>
      <c r="Z155" s="61"/>
      <c r="AA155" s="112"/>
      <c r="AB155" s="61"/>
      <c r="AC155" s="61"/>
      <c r="AD155" s="61"/>
      <c r="AE155" s="61"/>
      <c r="AF155" s="112"/>
      <c r="AG155" s="61"/>
      <c r="AH155" s="61"/>
      <c r="AI155" s="61"/>
      <c r="AJ155" s="61"/>
      <c r="AK155" s="112"/>
      <c r="AL155" s="1962">
        <v>0.05</v>
      </c>
      <c r="AM155" s="1963">
        <v>0.05</v>
      </c>
      <c r="AN155" s="1963">
        <v>0.05</v>
      </c>
      <c r="AO155" s="1962">
        <v>0.05</v>
      </c>
      <c r="AP155" s="1964">
        <v>0.05</v>
      </c>
      <c r="AQ155" s="1962">
        <v>0.05</v>
      </c>
      <c r="AR155" s="1963">
        <v>0.05</v>
      </c>
      <c r="AS155" s="1963">
        <v>0.05</v>
      </c>
      <c r="AT155" s="1962">
        <v>0.05</v>
      </c>
      <c r="AU155" s="1964">
        <v>0.05</v>
      </c>
      <c r="AV155" s="1962">
        <v>0.05</v>
      </c>
      <c r="AW155" s="1963">
        <v>0.05</v>
      </c>
      <c r="AX155" s="1963">
        <v>0.05</v>
      </c>
      <c r="AY155" s="1962">
        <v>0.05</v>
      </c>
      <c r="AZ155" s="1964">
        <v>0.05</v>
      </c>
      <c r="BA155" s="1962">
        <v>0.05</v>
      </c>
      <c r="BB155" s="1963">
        <v>0.05</v>
      </c>
      <c r="BC155" s="1963">
        <v>0.05</v>
      </c>
      <c r="BD155" s="1962">
        <v>0.05</v>
      </c>
      <c r="BE155" s="1964">
        <v>0.05</v>
      </c>
      <c r="BF155" s="2861">
        <v>0.05</v>
      </c>
      <c r="BG155" s="1963">
        <v>0.05</v>
      </c>
      <c r="BH155" s="1963">
        <v>0.05</v>
      </c>
      <c r="BI155" s="2862">
        <v>0.05</v>
      </c>
      <c r="BJ155" s="1964">
        <v>0.05</v>
      </c>
      <c r="BK155" s="2861">
        <v>0.05</v>
      </c>
      <c r="BL155" s="1963">
        <v>0.05</v>
      </c>
      <c r="BM155" s="1963">
        <v>0.05</v>
      </c>
      <c r="BN155" s="2862">
        <v>0.05</v>
      </c>
      <c r="BO155" s="1964">
        <v>0.05</v>
      </c>
      <c r="BP155" s="2861">
        <v>0.05</v>
      </c>
      <c r="BQ155" s="1963">
        <v>0.05</v>
      </c>
      <c r="BR155" s="1963">
        <v>0.05</v>
      </c>
      <c r="BS155" s="2862">
        <v>0.05</v>
      </c>
      <c r="BT155" s="1964">
        <v>0.05</v>
      </c>
      <c r="BU155" s="1964">
        <v>0.05</v>
      </c>
      <c r="BV155" s="1964">
        <v>0.05</v>
      </c>
      <c r="BW155" s="1964">
        <v>0.05</v>
      </c>
      <c r="BX155" s="1964">
        <v>0.05</v>
      </c>
      <c r="BY155" s="1964">
        <v>0.05</v>
      </c>
      <c r="BZ155" s="1964">
        <v>0.05</v>
      </c>
      <c r="CA155" s="1964">
        <v>0.05</v>
      </c>
      <c r="CB155" s="1964">
        <v>0.05</v>
      </c>
    </row>
    <row r="156" spans="1:80">
      <c r="A156" s="1952">
        <v>2</v>
      </c>
      <c r="B156" s="2"/>
      <c r="C156" s="1083"/>
      <c r="D156" s="1083"/>
      <c r="E156" s="1083"/>
      <c r="F156" s="1083"/>
      <c r="G156" s="1073"/>
      <c r="H156" s="1083"/>
      <c r="I156" s="61"/>
      <c r="J156" s="61"/>
      <c r="K156" s="61"/>
      <c r="L156" s="112"/>
      <c r="M156" s="61"/>
      <c r="N156" s="61"/>
      <c r="O156" s="61"/>
      <c r="P156" s="61"/>
      <c r="Q156" s="112"/>
      <c r="R156" s="61"/>
      <c r="S156" s="61"/>
      <c r="T156" s="61"/>
      <c r="U156" s="61"/>
      <c r="V156" s="112"/>
      <c r="W156" s="61"/>
      <c r="X156" s="61"/>
      <c r="Y156" s="61"/>
      <c r="Z156" s="61"/>
      <c r="AA156" s="112"/>
      <c r="AB156" s="61"/>
      <c r="AC156" s="61"/>
      <c r="AD156" s="61"/>
      <c r="AE156" s="61"/>
      <c r="AF156" s="112"/>
      <c r="AG156" s="61"/>
      <c r="AH156" s="61"/>
      <c r="AI156" s="61"/>
      <c r="AJ156" s="61"/>
      <c r="AK156" s="112"/>
      <c r="AL156" s="1962">
        <v>0.1</v>
      </c>
      <c r="AM156" s="1963">
        <v>0.1</v>
      </c>
      <c r="AN156" s="1963">
        <v>0.1</v>
      </c>
      <c r="AO156" s="1962">
        <v>0.1</v>
      </c>
      <c r="AP156" s="1964">
        <v>0.1</v>
      </c>
      <c r="AQ156" s="1962">
        <v>0.1</v>
      </c>
      <c r="AR156" s="1963">
        <v>0.1</v>
      </c>
      <c r="AS156" s="1963">
        <v>0.1</v>
      </c>
      <c r="AT156" s="1962">
        <v>0.1</v>
      </c>
      <c r="AU156" s="1964">
        <v>0.1</v>
      </c>
      <c r="AV156" s="1962">
        <v>0.1</v>
      </c>
      <c r="AW156" s="1963">
        <v>0.1</v>
      </c>
      <c r="AX156" s="1963">
        <v>0.1</v>
      </c>
      <c r="AY156" s="1962">
        <v>0.1</v>
      </c>
      <c r="AZ156" s="1964">
        <v>0.1</v>
      </c>
      <c r="BA156" s="1962">
        <v>0.1</v>
      </c>
      <c r="BB156" s="1963">
        <v>0.1</v>
      </c>
      <c r="BC156" s="1963">
        <v>0.1</v>
      </c>
      <c r="BD156" s="1962">
        <v>0.1</v>
      </c>
      <c r="BE156" s="1964">
        <v>0.1</v>
      </c>
      <c r="BF156" s="2861">
        <v>0.1</v>
      </c>
      <c r="BG156" s="1963">
        <v>0.1</v>
      </c>
      <c r="BH156" s="1963">
        <v>0.1</v>
      </c>
      <c r="BI156" s="2862">
        <v>0.1</v>
      </c>
      <c r="BJ156" s="1964">
        <v>0.1</v>
      </c>
      <c r="BK156" s="2861">
        <v>0.1</v>
      </c>
      <c r="BL156" s="1963">
        <v>0.1</v>
      </c>
      <c r="BM156" s="1963">
        <v>0.1</v>
      </c>
      <c r="BN156" s="2862">
        <v>0.1</v>
      </c>
      <c r="BO156" s="1964">
        <v>0.1</v>
      </c>
      <c r="BP156" s="2861">
        <v>0.1</v>
      </c>
      <c r="BQ156" s="1963">
        <v>0.1</v>
      </c>
      <c r="BR156" s="1963">
        <v>0.1</v>
      </c>
      <c r="BS156" s="2862">
        <v>0.1</v>
      </c>
      <c r="BT156" s="1964">
        <v>0.1</v>
      </c>
      <c r="BU156" s="1964">
        <v>0.1</v>
      </c>
      <c r="BV156" s="1964">
        <v>0.1</v>
      </c>
      <c r="BW156" s="1964">
        <v>0.1</v>
      </c>
      <c r="BX156" s="1964">
        <v>0.1</v>
      </c>
      <c r="BY156" s="1964">
        <v>0.1</v>
      </c>
      <c r="BZ156" s="1964">
        <v>0.1</v>
      </c>
      <c r="CA156" s="1964">
        <v>0.1</v>
      </c>
      <c r="CB156" s="1964">
        <v>0.1</v>
      </c>
    </row>
    <row r="157" spans="1:80">
      <c r="A157" s="1952">
        <v>3</v>
      </c>
      <c r="B157" s="2"/>
      <c r="C157" s="1083"/>
      <c r="D157" s="1083"/>
      <c r="E157" s="1083"/>
      <c r="F157" s="1083"/>
      <c r="G157" s="1073"/>
      <c r="H157" s="1083"/>
      <c r="I157" s="61"/>
      <c r="J157" s="61"/>
      <c r="K157" s="61"/>
      <c r="L157" s="112"/>
      <c r="M157" s="61"/>
      <c r="N157" s="61"/>
      <c r="O157" s="61"/>
      <c r="P157" s="61"/>
      <c r="Q157" s="112"/>
      <c r="R157" s="61"/>
      <c r="S157" s="61"/>
      <c r="T157" s="61"/>
      <c r="U157" s="61"/>
      <c r="V157" s="112"/>
      <c r="W157" s="61"/>
      <c r="X157" s="61"/>
      <c r="Y157" s="61"/>
      <c r="Z157" s="61"/>
      <c r="AA157" s="112"/>
      <c r="AB157" s="61"/>
      <c r="AC157" s="61"/>
      <c r="AD157" s="61"/>
      <c r="AE157" s="61"/>
      <c r="AF157" s="112"/>
      <c r="AG157" s="61"/>
      <c r="AH157" s="61"/>
      <c r="AI157" s="61"/>
      <c r="AJ157" s="61"/>
      <c r="AK157" s="112"/>
      <c r="AL157" s="1962">
        <v>0.22</v>
      </c>
      <c r="AM157" s="1963">
        <v>0.22</v>
      </c>
      <c r="AN157" s="1963">
        <v>0.22</v>
      </c>
      <c r="AO157" s="1962">
        <v>0.22</v>
      </c>
      <c r="AP157" s="1964">
        <v>0.22</v>
      </c>
      <c r="AQ157" s="1962">
        <v>0.22</v>
      </c>
      <c r="AR157" s="1963">
        <v>0.22</v>
      </c>
      <c r="AS157" s="1963">
        <v>0.22</v>
      </c>
      <c r="AT157" s="1962">
        <v>0.22</v>
      </c>
      <c r="AU157" s="1964">
        <v>0.22</v>
      </c>
      <c r="AV157" s="1962">
        <v>0.22</v>
      </c>
      <c r="AW157" s="1963">
        <v>0.22</v>
      </c>
      <c r="AX157" s="1963">
        <v>0.22</v>
      </c>
      <c r="AY157" s="1962">
        <v>0.22</v>
      </c>
      <c r="AZ157" s="1964">
        <v>0.22</v>
      </c>
      <c r="BA157" s="1962">
        <v>0.22</v>
      </c>
      <c r="BB157" s="1963">
        <v>0.22</v>
      </c>
      <c r="BC157" s="1963">
        <v>0.22</v>
      </c>
      <c r="BD157" s="1962">
        <v>0.22</v>
      </c>
      <c r="BE157" s="1964">
        <v>0.22</v>
      </c>
      <c r="BF157" s="2861">
        <v>0.22</v>
      </c>
      <c r="BG157" s="1963">
        <v>0.22</v>
      </c>
      <c r="BH157" s="1963">
        <v>0.22</v>
      </c>
      <c r="BI157" s="2862">
        <v>0.22</v>
      </c>
      <c r="BJ157" s="1964">
        <v>0.22</v>
      </c>
      <c r="BK157" s="2861">
        <v>0.22</v>
      </c>
      <c r="BL157" s="1963">
        <v>0.22</v>
      </c>
      <c r="BM157" s="1963">
        <v>0.22</v>
      </c>
      <c r="BN157" s="2862">
        <v>0.22</v>
      </c>
      <c r="BO157" s="1964">
        <v>0.22</v>
      </c>
      <c r="BP157" s="2861">
        <v>0.22</v>
      </c>
      <c r="BQ157" s="1963">
        <v>0.22</v>
      </c>
      <c r="BR157" s="1963">
        <v>0.22</v>
      </c>
      <c r="BS157" s="2862">
        <v>0.22</v>
      </c>
      <c r="BT157" s="1964">
        <v>0.22</v>
      </c>
      <c r="BU157" s="1964">
        <v>0.22</v>
      </c>
      <c r="BV157" s="1964">
        <v>0.22</v>
      </c>
      <c r="BW157" s="1964">
        <v>0.22</v>
      </c>
      <c r="BX157" s="1964">
        <v>0.22</v>
      </c>
      <c r="BY157" s="1964">
        <v>0.22</v>
      </c>
      <c r="BZ157" s="1964">
        <v>0.22</v>
      </c>
      <c r="CA157" s="1964">
        <v>0.22</v>
      </c>
      <c r="CB157" s="1964">
        <v>0.22</v>
      </c>
    </row>
    <row r="158" spans="1:80">
      <c r="A158" s="1952"/>
      <c r="B158" s="2"/>
      <c r="C158" s="1083"/>
      <c r="D158" s="1083"/>
      <c r="E158" s="1083"/>
      <c r="F158" s="1083"/>
      <c r="G158" s="1073"/>
      <c r="H158" s="1083"/>
      <c r="I158" s="61"/>
      <c r="J158" s="61"/>
      <c r="K158" s="61"/>
      <c r="L158" s="112"/>
      <c r="M158" s="61"/>
      <c r="N158" s="61"/>
      <c r="O158" s="61"/>
      <c r="P158" s="61"/>
      <c r="Q158" s="112"/>
      <c r="R158" s="61"/>
      <c r="S158" s="61"/>
      <c r="T158" s="61"/>
      <c r="U158" s="61"/>
      <c r="V158" s="112"/>
      <c r="W158" s="61"/>
      <c r="X158" s="61"/>
      <c r="Y158" s="61"/>
      <c r="Z158" s="61"/>
      <c r="AA158" s="112"/>
      <c r="AB158" s="61"/>
      <c r="AC158" s="61"/>
      <c r="AD158" s="61"/>
      <c r="AE158" s="61"/>
      <c r="AF158" s="112"/>
      <c r="AG158" s="61"/>
      <c r="AH158" s="61"/>
      <c r="AI158" s="61"/>
      <c r="AJ158" s="61"/>
      <c r="AK158" s="112"/>
      <c r="AL158" s="1960"/>
      <c r="AM158" s="1960"/>
      <c r="AN158" s="1960"/>
      <c r="AO158" s="1960"/>
      <c r="AP158" s="1961"/>
      <c r="AQ158" s="1960"/>
      <c r="AR158" s="1960"/>
      <c r="AS158" s="1960"/>
      <c r="AT158" s="1960"/>
      <c r="AU158" s="1961"/>
      <c r="AV158" s="1960"/>
      <c r="AW158" s="1960"/>
      <c r="AX158" s="1960"/>
      <c r="AY158" s="1960"/>
      <c r="AZ158" s="1961"/>
      <c r="BA158" s="1960"/>
      <c r="BB158" s="1960"/>
      <c r="BC158" s="1960"/>
      <c r="BD158" s="1960"/>
      <c r="BE158" s="1961"/>
      <c r="BF158" s="2859"/>
      <c r="BG158" s="1960"/>
      <c r="BH158" s="1960"/>
      <c r="BI158" s="2860"/>
      <c r="BJ158" s="1961"/>
      <c r="BK158" s="2859"/>
      <c r="BL158" s="1960"/>
      <c r="BM158" s="1960"/>
      <c r="BN158" s="2860"/>
      <c r="BO158" s="1961"/>
      <c r="BP158" s="2859"/>
      <c r="BQ158" s="1960"/>
      <c r="BR158" s="1960"/>
      <c r="BS158" s="2860"/>
      <c r="BT158" s="1961"/>
      <c r="BU158" s="1961"/>
      <c r="BV158" s="1961"/>
      <c r="BW158" s="1961"/>
      <c r="BX158" s="1961"/>
      <c r="BY158" s="1961"/>
      <c r="BZ158" s="1961"/>
      <c r="CA158" s="1961"/>
      <c r="CB158" s="1961"/>
    </row>
    <row r="159" spans="1:80">
      <c r="A159" s="1952" t="s">
        <v>1152</v>
      </c>
      <c r="B159" s="2"/>
      <c r="C159" s="1083"/>
      <c r="D159" s="1083"/>
      <c r="E159" s="1083"/>
      <c r="F159" s="1083"/>
      <c r="G159" s="1073"/>
      <c r="H159" s="1083"/>
      <c r="I159" s="61"/>
      <c r="J159" s="61"/>
      <c r="K159" s="61"/>
      <c r="L159" s="112"/>
      <c r="M159" s="61"/>
      <c r="N159" s="61"/>
      <c r="O159" s="61"/>
      <c r="P159" s="61"/>
      <c r="Q159" s="112"/>
      <c r="R159" s="61"/>
      <c r="S159" s="61"/>
      <c r="T159" s="61"/>
      <c r="U159" s="61"/>
      <c r="V159" s="112"/>
      <c r="W159" s="61"/>
      <c r="X159" s="61"/>
      <c r="Y159" s="61"/>
      <c r="Z159" s="61"/>
      <c r="AA159" s="112"/>
      <c r="AB159" s="61"/>
      <c r="AC159" s="61"/>
      <c r="AD159" s="61"/>
      <c r="AE159" s="61"/>
      <c r="AF159" s="112"/>
      <c r="AG159" s="61"/>
      <c r="AH159" s="61"/>
      <c r="AI159" s="61"/>
      <c r="AJ159" s="61"/>
      <c r="AK159" s="112"/>
      <c r="AL159" s="1960"/>
      <c r="AM159" s="1960"/>
      <c r="AN159" s="1960"/>
      <c r="AO159" s="1960"/>
      <c r="AP159" s="1961"/>
      <c r="AQ159" s="1960"/>
      <c r="AR159" s="1960"/>
      <c r="AS159" s="1960"/>
      <c r="AT159" s="1960"/>
      <c r="AU159" s="1961"/>
      <c r="AV159" s="1960"/>
      <c r="AW159" s="1960"/>
      <c r="AX159" s="1960"/>
      <c r="AY159" s="1960"/>
      <c r="AZ159" s="1961"/>
      <c r="BA159" s="1960"/>
      <c r="BB159" s="1960"/>
      <c r="BC159" s="1960"/>
      <c r="BD159" s="1960"/>
      <c r="BE159" s="1961"/>
      <c r="BF159" s="2859"/>
      <c r="BG159" s="1960"/>
      <c r="BH159" s="1960"/>
      <c r="BI159" s="2860"/>
      <c r="BJ159" s="1961"/>
      <c r="BK159" s="2859"/>
      <c r="BL159" s="1960"/>
      <c r="BM159" s="1960"/>
      <c r="BN159" s="2860"/>
      <c r="BO159" s="1961"/>
      <c r="BP159" s="2859"/>
      <c r="BQ159" s="1960"/>
      <c r="BR159" s="1960"/>
      <c r="BS159" s="2860"/>
      <c r="BT159" s="1961"/>
      <c r="BU159" s="1961"/>
      <c r="BV159" s="1961"/>
      <c r="BW159" s="1961"/>
      <c r="BX159" s="1961"/>
      <c r="BY159" s="1961"/>
      <c r="BZ159" s="1961"/>
      <c r="CA159" s="1961"/>
      <c r="CB159" s="1961"/>
    </row>
    <row r="160" spans="1:80">
      <c r="A160" s="1952">
        <v>1</v>
      </c>
      <c r="B160" s="2"/>
      <c r="C160" s="1083"/>
      <c r="D160" s="1083"/>
      <c r="E160" s="1083"/>
      <c r="F160" s="1083"/>
      <c r="G160" s="1073"/>
      <c r="H160" s="1083"/>
      <c r="I160" s="61"/>
      <c r="J160" s="61"/>
      <c r="K160" s="61"/>
      <c r="L160" s="112"/>
      <c r="M160" s="61"/>
      <c r="N160" s="61"/>
      <c r="O160" s="61"/>
      <c r="P160" s="61"/>
      <c r="Q160" s="112"/>
      <c r="R160" s="61"/>
      <c r="S160" s="61"/>
      <c r="T160" s="61"/>
      <c r="U160" s="61"/>
      <c r="V160" s="112"/>
      <c r="W160" s="61"/>
      <c r="X160" s="61"/>
      <c r="Y160" s="61"/>
      <c r="Z160" s="61"/>
      <c r="AA160" s="112"/>
      <c r="AB160" s="61"/>
      <c r="AC160" s="61"/>
      <c r="AD160" s="61"/>
      <c r="AE160" s="61"/>
      <c r="AF160" s="112"/>
      <c r="AG160" s="61"/>
      <c r="AH160" s="61"/>
      <c r="AI160" s="61"/>
      <c r="AJ160" s="61"/>
      <c r="AK160" s="112"/>
      <c r="AL160" s="1957">
        <v>300</v>
      </c>
      <c r="AM160" s="1958">
        <v>300</v>
      </c>
      <c r="AN160" s="1958">
        <v>300</v>
      </c>
      <c r="AO160" s="1957">
        <v>300</v>
      </c>
      <c r="AP160" s="1959">
        <v>300</v>
      </c>
      <c r="AQ160" s="1957">
        <v>300</v>
      </c>
      <c r="AR160" s="1958">
        <v>300</v>
      </c>
      <c r="AS160" s="1958">
        <v>300</v>
      </c>
      <c r="AT160" s="1957">
        <v>300</v>
      </c>
      <c r="AU160" s="1959">
        <v>300</v>
      </c>
      <c r="AV160" s="1957">
        <v>300</v>
      </c>
      <c r="AW160" s="1958">
        <v>300</v>
      </c>
      <c r="AX160" s="1958">
        <v>300</v>
      </c>
      <c r="AY160" s="1957">
        <v>300</v>
      </c>
      <c r="AZ160" s="1959">
        <v>300</v>
      </c>
      <c r="BA160" s="1957">
        <v>300</v>
      </c>
      <c r="BB160" s="1958">
        <v>300</v>
      </c>
      <c r="BC160" s="1958">
        <v>300</v>
      </c>
      <c r="BD160" s="1957">
        <v>300</v>
      </c>
      <c r="BE160" s="1959">
        <v>300</v>
      </c>
      <c r="BF160" s="2857">
        <v>300</v>
      </c>
      <c r="BG160" s="1958">
        <v>300</v>
      </c>
      <c r="BH160" s="1958">
        <v>300</v>
      </c>
      <c r="BI160" s="2858">
        <v>300</v>
      </c>
      <c r="BJ160" s="1959">
        <v>300</v>
      </c>
      <c r="BK160" s="2857">
        <v>300</v>
      </c>
      <c r="BL160" s="1958">
        <v>300</v>
      </c>
      <c r="BM160" s="1958">
        <v>300</v>
      </c>
      <c r="BN160" s="2858">
        <v>300</v>
      </c>
      <c r="BO160" s="1959">
        <v>300</v>
      </c>
      <c r="BP160" s="2857">
        <v>300</v>
      </c>
      <c r="BQ160" s="1958">
        <v>300</v>
      </c>
      <c r="BR160" s="1958">
        <v>300</v>
      </c>
      <c r="BS160" s="2858">
        <v>300</v>
      </c>
      <c r="BT160" s="1959">
        <v>300</v>
      </c>
      <c r="BU160" s="1959">
        <v>300</v>
      </c>
      <c r="BV160" s="1959">
        <v>300</v>
      </c>
      <c r="BW160" s="1959">
        <v>300</v>
      </c>
      <c r="BX160" s="1959">
        <v>300</v>
      </c>
      <c r="BY160" s="1959">
        <v>300</v>
      </c>
      <c r="BZ160" s="1959">
        <v>300</v>
      </c>
      <c r="CA160" s="1959">
        <v>300</v>
      </c>
      <c r="CB160" s="1959">
        <v>300</v>
      </c>
    </row>
    <row r="161" spans="1:80">
      <c r="A161" s="1952">
        <v>2</v>
      </c>
      <c r="B161" s="2"/>
      <c r="C161" s="1083"/>
      <c r="D161" s="1083"/>
      <c r="E161" s="1083"/>
      <c r="F161" s="1083"/>
      <c r="G161" s="1073"/>
      <c r="H161" s="1083"/>
      <c r="I161" s="61"/>
      <c r="J161" s="61"/>
      <c r="K161" s="61"/>
      <c r="L161" s="112"/>
      <c r="M161" s="61"/>
      <c r="N161" s="61"/>
      <c r="O161" s="61"/>
      <c r="P161" s="61"/>
      <c r="Q161" s="112"/>
      <c r="R161" s="61"/>
      <c r="S161" s="61"/>
      <c r="T161" s="61"/>
      <c r="U161" s="61"/>
      <c r="V161" s="112"/>
      <c r="W161" s="61"/>
      <c r="X161" s="61"/>
      <c r="Y161" s="61"/>
      <c r="Z161" s="61"/>
      <c r="AA161" s="112"/>
      <c r="AB161" s="61"/>
      <c r="AC161" s="61"/>
      <c r="AD161" s="61"/>
      <c r="AE161" s="61"/>
      <c r="AF161" s="112"/>
      <c r="AG161" s="61"/>
      <c r="AH161" s="61"/>
      <c r="AI161" s="61"/>
      <c r="AJ161" s="61"/>
      <c r="AK161" s="112"/>
      <c r="AL161" s="1957">
        <v>500</v>
      </c>
      <c r="AM161" s="1958">
        <v>500</v>
      </c>
      <c r="AN161" s="1958">
        <v>500</v>
      </c>
      <c r="AO161" s="1957">
        <v>500</v>
      </c>
      <c r="AP161" s="1959">
        <v>500</v>
      </c>
      <c r="AQ161" s="1957">
        <v>500</v>
      </c>
      <c r="AR161" s="1958">
        <v>500</v>
      </c>
      <c r="AS161" s="1958">
        <v>500</v>
      </c>
      <c r="AT161" s="1957">
        <v>500</v>
      </c>
      <c r="AU161" s="1959">
        <v>500</v>
      </c>
      <c r="AV161" s="1957">
        <v>500</v>
      </c>
      <c r="AW161" s="1958">
        <v>500</v>
      </c>
      <c r="AX161" s="1958">
        <v>500</v>
      </c>
      <c r="AY161" s="1957">
        <v>500</v>
      </c>
      <c r="AZ161" s="1959">
        <v>500</v>
      </c>
      <c r="BA161" s="1957">
        <v>500</v>
      </c>
      <c r="BB161" s="1958">
        <v>500</v>
      </c>
      <c r="BC161" s="1958">
        <v>500</v>
      </c>
      <c r="BD161" s="1957">
        <v>500</v>
      </c>
      <c r="BE161" s="1959">
        <v>500</v>
      </c>
      <c r="BF161" s="2857">
        <v>500</v>
      </c>
      <c r="BG161" s="1958">
        <v>500</v>
      </c>
      <c r="BH161" s="1958">
        <v>500</v>
      </c>
      <c r="BI161" s="2858">
        <v>500</v>
      </c>
      <c r="BJ161" s="1959">
        <v>500</v>
      </c>
      <c r="BK161" s="2857">
        <v>500</v>
      </c>
      <c r="BL161" s="1958">
        <v>500</v>
      </c>
      <c r="BM161" s="1958">
        <v>500</v>
      </c>
      <c r="BN161" s="2858">
        <v>500</v>
      </c>
      <c r="BO161" s="1959">
        <v>500</v>
      </c>
      <c r="BP161" s="2857">
        <v>500</v>
      </c>
      <c r="BQ161" s="1958">
        <v>500</v>
      </c>
      <c r="BR161" s="1958">
        <v>500</v>
      </c>
      <c r="BS161" s="2858">
        <v>500</v>
      </c>
      <c r="BT161" s="1959">
        <v>500</v>
      </c>
      <c r="BU161" s="1959">
        <v>500</v>
      </c>
      <c r="BV161" s="1959">
        <v>500</v>
      </c>
      <c r="BW161" s="1959">
        <v>500</v>
      </c>
      <c r="BX161" s="1959">
        <v>500</v>
      </c>
      <c r="BY161" s="1959">
        <v>500</v>
      </c>
      <c r="BZ161" s="1959">
        <v>500</v>
      </c>
      <c r="CA161" s="1959">
        <v>500</v>
      </c>
      <c r="CB161" s="1959">
        <v>500</v>
      </c>
    </row>
    <row r="162" spans="1:80">
      <c r="A162" s="1952">
        <v>3</v>
      </c>
      <c r="B162" s="2"/>
      <c r="C162" s="1083"/>
      <c r="D162" s="1083"/>
      <c r="E162" s="1083"/>
      <c r="F162" s="1083"/>
      <c r="G162" s="1073"/>
      <c r="H162" s="1083"/>
      <c r="I162" s="61"/>
      <c r="J162" s="61"/>
      <c r="K162" s="61"/>
      <c r="L162" s="112"/>
      <c r="M162" s="61"/>
      <c r="N162" s="61"/>
      <c r="O162" s="61"/>
      <c r="P162" s="61"/>
      <c r="Q162" s="112"/>
      <c r="R162" s="61"/>
      <c r="S162" s="61"/>
      <c r="T162" s="61"/>
      <c r="U162" s="61"/>
      <c r="V162" s="112"/>
      <c r="W162" s="61"/>
      <c r="X162" s="61"/>
      <c r="Y162" s="61"/>
      <c r="Z162" s="61"/>
      <c r="AA162" s="112"/>
      <c r="AB162" s="61"/>
      <c r="AC162" s="61"/>
      <c r="AD162" s="61"/>
      <c r="AE162" s="61"/>
      <c r="AF162" s="112"/>
      <c r="AG162" s="61"/>
      <c r="AH162" s="61"/>
      <c r="AI162" s="61"/>
      <c r="AJ162" s="61"/>
      <c r="AK162" s="112"/>
      <c r="AL162" s="1957">
        <v>501</v>
      </c>
      <c r="AM162" s="1958">
        <v>501</v>
      </c>
      <c r="AN162" s="1958">
        <v>501</v>
      </c>
      <c r="AO162" s="1957">
        <v>501</v>
      </c>
      <c r="AP162" s="1959">
        <v>501</v>
      </c>
      <c r="AQ162" s="1957">
        <v>501</v>
      </c>
      <c r="AR162" s="1958">
        <v>501</v>
      </c>
      <c r="AS162" s="1958">
        <v>501</v>
      </c>
      <c r="AT162" s="1957">
        <v>501</v>
      </c>
      <c r="AU162" s="1959">
        <v>501</v>
      </c>
      <c r="AV162" s="1957">
        <v>501</v>
      </c>
      <c r="AW162" s="1958">
        <v>501</v>
      </c>
      <c r="AX162" s="1958">
        <v>501</v>
      </c>
      <c r="AY162" s="1957">
        <v>501</v>
      </c>
      <c r="AZ162" s="1959">
        <v>501</v>
      </c>
      <c r="BA162" s="1957">
        <v>501</v>
      </c>
      <c r="BB162" s="1958">
        <v>501</v>
      </c>
      <c r="BC162" s="1958">
        <v>501</v>
      </c>
      <c r="BD162" s="1957">
        <v>501</v>
      </c>
      <c r="BE162" s="1959">
        <v>501</v>
      </c>
      <c r="BF162" s="2857">
        <v>501</v>
      </c>
      <c r="BG162" s="1958">
        <v>501</v>
      </c>
      <c r="BH162" s="1958">
        <v>501</v>
      </c>
      <c r="BI162" s="2858">
        <v>501</v>
      </c>
      <c r="BJ162" s="1959">
        <v>501</v>
      </c>
      <c r="BK162" s="2857">
        <v>501</v>
      </c>
      <c r="BL162" s="1958">
        <v>501</v>
      </c>
      <c r="BM162" s="1958">
        <v>501</v>
      </c>
      <c r="BN162" s="2858">
        <v>501</v>
      </c>
      <c r="BO162" s="1959">
        <v>501</v>
      </c>
      <c r="BP162" s="2857">
        <v>501</v>
      </c>
      <c r="BQ162" s="1958">
        <v>501</v>
      </c>
      <c r="BR162" s="1958">
        <v>501</v>
      </c>
      <c r="BS162" s="2858">
        <v>501</v>
      </c>
      <c r="BT162" s="1959">
        <v>501</v>
      </c>
      <c r="BU162" s="1959">
        <v>501</v>
      </c>
      <c r="BV162" s="1959">
        <v>501</v>
      </c>
      <c r="BW162" s="1959">
        <v>501</v>
      </c>
      <c r="BX162" s="1959">
        <v>501</v>
      </c>
      <c r="BY162" s="1959">
        <v>501</v>
      </c>
      <c r="BZ162" s="1959">
        <v>501</v>
      </c>
      <c r="CA162" s="1959">
        <v>501</v>
      </c>
      <c r="CB162" s="1959">
        <v>501</v>
      </c>
    </row>
    <row r="163" spans="1:80">
      <c r="A163" s="1952"/>
      <c r="B163" s="2"/>
      <c r="C163" s="1083"/>
      <c r="D163" s="1083"/>
      <c r="E163" s="1083"/>
      <c r="F163" s="1083"/>
      <c r="G163" s="1073"/>
      <c r="H163" s="1083"/>
      <c r="I163" s="61"/>
      <c r="J163" s="61"/>
      <c r="K163" s="61"/>
      <c r="L163" s="112"/>
      <c r="M163" s="61"/>
      <c r="N163" s="61"/>
      <c r="O163" s="61"/>
      <c r="P163" s="61"/>
      <c r="Q163" s="112"/>
      <c r="R163" s="61"/>
      <c r="S163" s="61"/>
      <c r="T163" s="61"/>
      <c r="U163" s="61"/>
      <c r="V163" s="112"/>
      <c r="W163" s="61"/>
      <c r="X163" s="61"/>
      <c r="Y163" s="61"/>
      <c r="Z163" s="61"/>
      <c r="AA163" s="112"/>
      <c r="AB163" s="61"/>
      <c r="AC163" s="61"/>
      <c r="AD163" s="61"/>
      <c r="AE163" s="61"/>
      <c r="AF163" s="112"/>
      <c r="AG163" s="61"/>
      <c r="AH163" s="61"/>
      <c r="AI163" s="61"/>
      <c r="AJ163" s="61"/>
      <c r="AK163" s="112"/>
      <c r="AL163" s="1960"/>
      <c r="AM163" s="1960"/>
      <c r="AN163" s="1960"/>
      <c r="AO163" s="1960"/>
      <c r="AP163" s="1961"/>
      <c r="AQ163" s="1960"/>
      <c r="AR163" s="1960"/>
      <c r="AS163" s="1960"/>
      <c r="AT163" s="1960"/>
      <c r="AU163" s="1961"/>
      <c r="AV163" s="1960"/>
      <c r="AW163" s="1960"/>
      <c r="AX163" s="1960"/>
      <c r="AY163" s="1960"/>
      <c r="AZ163" s="1961"/>
      <c r="BA163" s="1960"/>
      <c r="BB163" s="1960"/>
      <c r="BC163" s="1960"/>
      <c r="BD163" s="1960"/>
      <c r="BE163" s="1961"/>
      <c r="BF163" s="2859"/>
      <c r="BG163" s="1960"/>
      <c r="BH163" s="1960"/>
      <c r="BI163" s="2860"/>
      <c r="BJ163" s="1961"/>
      <c r="BK163" s="2859"/>
      <c r="BL163" s="1960"/>
      <c r="BM163" s="1960"/>
      <c r="BN163" s="2860"/>
      <c r="BO163" s="1961"/>
      <c r="BP163" s="2859"/>
      <c r="BQ163" s="1960"/>
      <c r="BR163" s="1960"/>
      <c r="BS163" s="2860"/>
      <c r="BT163" s="1961"/>
      <c r="BU163" s="1961"/>
      <c r="BV163" s="1961"/>
      <c r="BW163" s="1961"/>
      <c r="BX163" s="1961"/>
      <c r="BY163" s="1961"/>
      <c r="BZ163" s="1961"/>
      <c r="CA163" s="1961"/>
      <c r="CB163" s="1961"/>
    </row>
    <row r="164" spans="1:80">
      <c r="A164" s="1952" t="s">
        <v>1503</v>
      </c>
      <c r="B164" s="2"/>
      <c r="C164" s="1083"/>
      <c r="D164" s="1083"/>
      <c r="E164" s="1083"/>
      <c r="F164" s="1083"/>
      <c r="G164" s="1073"/>
      <c r="H164" s="1083"/>
      <c r="I164" s="61"/>
      <c r="J164" s="61"/>
      <c r="K164" s="61"/>
      <c r="L164" s="112"/>
      <c r="M164" s="61"/>
      <c r="N164" s="61"/>
      <c r="O164" s="61"/>
      <c r="P164" s="61"/>
      <c r="Q164" s="112"/>
      <c r="R164" s="61"/>
      <c r="S164" s="61"/>
      <c r="T164" s="61"/>
      <c r="U164" s="61"/>
      <c r="V164" s="112"/>
      <c r="W164" s="61"/>
      <c r="X164" s="61"/>
      <c r="Y164" s="61"/>
      <c r="Z164" s="61"/>
      <c r="AA164" s="112"/>
      <c r="AB164" s="61"/>
      <c r="AC164" s="61"/>
      <c r="AD164" s="61"/>
      <c r="AE164" s="61"/>
      <c r="AF164" s="112"/>
      <c r="AG164" s="61"/>
      <c r="AH164" s="61"/>
      <c r="AI164" s="61"/>
      <c r="AJ164" s="61"/>
      <c r="AK164" s="112"/>
      <c r="AL164" s="1960"/>
      <c r="AM164" s="1960"/>
      <c r="AN164" s="1960"/>
      <c r="AO164" s="1960"/>
      <c r="AP164" s="1961"/>
      <c r="AQ164" s="1960"/>
      <c r="AR164" s="1960"/>
      <c r="AS164" s="1960"/>
      <c r="AT164" s="1960"/>
      <c r="AU164" s="1961"/>
      <c r="AV164" s="1960"/>
      <c r="AW164" s="1960"/>
      <c r="AX164" s="1960"/>
      <c r="AY164" s="1960"/>
      <c r="AZ164" s="1961"/>
      <c r="BA164" s="1960"/>
      <c r="BB164" s="1960"/>
      <c r="BC164" s="1960"/>
      <c r="BD164" s="1960"/>
      <c r="BE164" s="1961"/>
      <c r="BF164" s="2859"/>
      <c r="BG164" s="1960"/>
      <c r="BH164" s="1960"/>
      <c r="BI164" s="2860"/>
      <c r="BJ164" s="1961"/>
      <c r="BK164" s="2859"/>
      <c r="BL164" s="1960"/>
      <c r="BM164" s="1960"/>
      <c r="BN164" s="2860"/>
      <c r="BO164" s="1961"/>
      <c r="BP164" s="2859"/>
      <c r="BQ164" s="1960"/>
      <c r="BR164" s="1960"/>
      <c r="BS164" s="2860"/>
      <c r="BT164" s="1961"/>
      <c r="BU164" s="1961"/>
      <c r="BV164" s="1961"/>
      <c r="BW164" s="1961"/>
      <c r="BX164" s="1961"/>
      <c r="BY164" s="1961"/>
      <c r="BZ164" s="1961"/>
      <c r="CA164" s="1961"/>
      <c r="CB164" s="1961"/>
    </row>
    <row r="165" spans="1:80">
      <c r="A165" s="1952">
        <v>1</v>
      </c>
      <c r="B165" s="2"/>
      <c r="C165" s="1083"/>
      <c r="D165" s="1083"/>
      <c r="E165" s="1083"/>
      <c r="F165" s="1083"/>
      <c r="G165" s="1073"/>
      <c r="H165" s="1083"/>
      <c r="I165" s="61"/>
      <c r="J165" s="61"/>
      <c r="K165" s="61"/>
      <c r="L165" s="112"/>
      <c r="M165" s="61"/>
      <c r="N165" s="61"/>
      <c r="O165" s="61"/>
      <c r="P165" s="61"/>
      <c r="Q165" s="112"/>
      <c r="R165" s="61"/>
      <c r="S165" s="61"/>
      <c r="T165" s="61"/>
      <c r="U165" s="61"/>
      <c r="V165" s="112"/>
      <c r="W165" s="61"/>
      <c r="X165" s="61"/>
      <c r="Y165" s="61"/>
      <c r="Z165" s="61"/>
      <c r="AA165" s="112"/>
      <c r="AB165" s="61"/>
      <c r="AC165" s="61"/>
      <c r="AD165" s="61"/>
      <c r="AE165" s="61"/>
      <c r="AF165" s="112"/>
      <c r="AG165" s="61"/>
      <c r="AH165" s="61"/>
      <c r="AI165" s="61"/>
      <c r="AJ165" s="61"/>
      <c r="AK165" s="112"/>
      <c r="AL165" s="1965">
        <v>2.25</v>
      </c>
      <c r="AM165" s="1966">
        <v>2.25</v>
      </c>
      <c r="AN165" s="1966">
        <v>2.25</v>
      </c>
      <c r="AO165" s="1965">
        <v>2.25</v>
      </c>
      <c r="AP165" s="1967">
        <v>2.25</v>
      </c>
      <c r="AQ165" s="1965">
        <v>2.25</v>
      </c>
      <c r="AR165" s="1966">
        <v>2.25</v>
      </c>
      <c r="AS165" s="1966">
        <v>2.25</v>
      </c>
      <c r="AT165" s="1965">
        <v>2.25</v>
      </c>
      <c r="AU165" s="1967">
        <v>2.25</v>
      </c>
      <c r="AV165" s="1965">
        <v>2.25</v>
      </c>
      <c r="AW165" s="1966">
        <v>2.25</v>
      </c>
      <c r="AX165" s="1966">
        <v>2.25</v>
      </c>
      <c r="AY165" s="1965">
        <v>2.25</v>
      </c>
      <c r="AZ165" s="1967">
        <v>2.25</v>
      </c>
      <c r="BA165" s="1965">
        <v>2.25</v>
      </c>
      <c r="BB165" s="1966">
        <v>2.25</v>
      </c>
      <c r="BC165" s="1966">
        <v>2.25</v>
      </c>
      <c r="BD165" s="1965">
        <v>2.25</v>
      </c>
      <c r="BE165" s="1967">
        <v>2.25</v>
      </c>
      <c r="BF165" s="2863">
        <v>2.25</v>
      </c>
      <c r="BG165" s="1966">
        <v>2.25</v>
      </c>
      <c r="BH165" s="1966">
        <v>2.25</v>
      </c>
      <c r="BI165" s="2864">
        <v>2.25</v>
      </c>
      <c r="BJ165" s="1967">
        <v>2.25</v>
      </c>
      <c r="BK165" s="2863">
        <v>2.25</v>
      </c>
      <c r="BL165" s="1966">
        <v>2.25</v>
      </c>
      <c r="BM165" s="1966">
        <v>2.25</v>
      </c>
      <c r="BN165" s="2864">
        <v>2.25</v>
      </c>
      <c r="BO165" s="1967">
        <v>2.25</v>
      </c>
      <c r="BP165" s="2863">
        <v>2.25</v>
      </c>
      <c r="BQ165" s="1966">
        <v>2.25</v>
      </c>
      <c r="BR165" s="1966">
        <v>2.25</v>
      </c>
      <c r="BS165" s="2864">
        <v>2.25</v>
      </c>
      <c r="BT165" s="1967">
        <v>2.25</v>
      </c>
      <c r="BU165" s="1967">
        <v>2.25</v>
      </c>
      <c r="BV165" s="1967">
        <v>2.25</v>
      </c>
      <c r="BW165" s="1967">
        <v>2.25</v>
      </c>
      <c r="BX165" s="1967">
        <v>2.25</v>
      </c>
      <c r="BY165" s="1967">
        <v>2.25</v>
      </c>
      <c r="BZ165" s="1967">
        <v>2.25</v>
      </c>
      <c r="CA165" s="1967">
        <v>2.25</v>
      </c>
      <c r="CB165" s="1967">
        <v>2.25</v>
      </c>
    </row>
    <row r="166" spans="1:80">
      <c r="A166" s="1952">
        <v>2</v>
      </c>
      <c r="B166" s="2"/>
      <c r="C166" s="1083"/>
      <c r="D166" s="1083"/>
      <c r="E166" s="1083"/>
      <c r="F166" s="1083"/>
      <c r="G166" s="1073"/>
      <c r="H166" s="1083"/>
      <c r="I166" s="61"/>
      <c r="J166" s="61"/>
      <c r="K166" s="61"/>
      <c r="L166" s="112"/>
      <c r="M166" s="61"/>
      <c r="N166" s="61"/>
      <c r="O166" s="61"/>
      <c r="P166" s="61"/>
      <c r="Q166" s="112"/>
      <c r="R166" s="61"/>
      <c r="S166" s="61"/>
      <c r="T166" s="61"/>
      <c r="U166" s="61"/>
      <c r="V166" s="112"/>
      <c r="W166" s="61"/>
      <c r="X166" s="61"/>
      <c r="Y166" s="61"/>
      <c r="Z166" s="61"/>
      <c r="AA166" s="112"/>
      <c r="AB166" s="61"/>
      <c r="AC166" s="61"/>
      <c r="AD166" s="61"/>
      <c r="AE166" s="61"/>
      <c r="AF166" s="112"/>
      <c r="AG166" s="61"/>
      <c r="AH166" s="61"/>
      <c r="AI166" s="61"/>
      <c r="AJ166" s="61"/>
      <c r="AK166" s="112"/>
      <c r="AL166" s="1965">
        <v>3</v>
      </c>
      <c r="AM166" s="1966">
        <v>3</v>
      </c>
      <c r="AN166" s="1966">
        <v>3</v>
      </c>
      <c r="AO166" s="1965">
        <v>3</v>
      </c>
      <c r="AP166" s="1967">
        <v>3</v>
      </c>
      <c r="AQ166" s="1965">
        <v>3</v>
      </c>
      <c r="AR166" s="1966">
        <v>3</v>
      </c>
      <c r="AS166" s="1966">
        <v>3</v>
      </c>
      <c r="AT166" s="1965">
        <v>3</v>
      </c>
      <c r="AU166" s="1967">
        <v>3</v>
      </c>
      <c r="AV166" s="1965">
        <v>3</v>
      </c>
      <c r="AW166" s="1966">
        <v>3</v>
      </c>
      <c r="AX166" s="1966">
        <v>3</v>
      </c>
      <c r="AY166" s="1965">
        <v>3</v>
      </c>
      <c r="AZ166" s="1967">
        <v>3</v>
      </c>
      <c r="BA166" s="1965">
        <v>3</v>
      </c>
      <c r="BB166" s="1966">
        <v>3</v>
      </c>
      <c r="BC166" s="1966">
        <v>3</v>
      </c>
      <c r="BD166" s="1965">
        <v>3</v>
      </c>
      <c r="BE166" s="1967">
        <v>3</v>
      </c>
      <c r="BF166" s="2863">
        <v>3</v>
      </c>
      <c r="BG166" s="1966">
        <v>3</v>
      </c>
      <c r="BH166" s="1966">
        <v>3</v>
      </c>
      <c r="BI166" s="2864">
        <v>3</v>
      </c>
      <c r="BJ166" s="1967">
        <v>3</v>
      </c>
      <c r="BK166" s="2863">
        <v>3</v>
      </c>
      <c r="BL166" s="1966">
        <v>3</v>
      </c>
      <c r="BM166" s="1966">
        <v>3</v>
      </c>
      <c r="BN166" s="2864">
        <v>3</v>
      </c>
      <c r="BO166" s="1967">
        <v>3</v>
      </c>
      <c r="BP166" s="2863">
        <v>3</v>
      </c>
      <c r="BQ166" s="1966">
        <v>3</v>
      </c>
      <c r="BR166" s="1966">
        <v>3</v>
      </c>
      <c r="BS166" s="2864">
        <v>3</v>
      </c>
      <c r="BT166" s="1967">
        <v>3</v>
      </c>
      <c r="BU166" s="1967">
        <v>3</v>
      </c>
      <c r="BV166" s="1967">
        <v>3</v>
      </c>
      <c r="BW166" s="1967">
        <v>3</v>
      </c>
      <c r="BX166" s="1967">
        <v>3</v>
      </c>
      <c r="BY166" s="1967">
        <v>3</v>
      </c>
      <c r="BZ166" s="1967">
        <v>3</v>
      </c>
      <c r="CA166" s="1967">
        <v>3</v>
      </c>
      <c r="CB166" s="1967">
        <v>3</v>
      </c>
    </row>
    <row r="167" spans="1:80">
      <c r="A167" s="1952">
        <v>3</v>
      </c>
      <c r="B167" s="2"/>
      <c r="C167" s="1083"/>
      <c r="D167" s="1083"/>
      <c r="E167" s="1083"/>
      <c r="F167" s="1083"/>
      <c r="G167" s="1073"/>
      <c r="H167" s="1083"/>
      <c r="I167" s="61"/>
      <c r="J167" s="61"/>
      <c r="K167" s="61"/>
      <c r="L167" s="112"/>
      <c r="M167" s="61"/>
      <c r="N167" s="61"/>
      <c r="O167" s="61"/>
      <c r="P167" s="61"/>
      <c r="Q167" s="112"/>
      <c r="R167" s="61"/>
      <c r="S167" s="61"/>
      <c r="T167" s="61"/>
      <c r="U167" s="61"/>
      <c r="V167" s="112"/>
      <c r="W167" s="61"/>
      <c r="X167" s="61"/>
      <c r="Y167" s="61"/>
      <c r="Z167" s="61"/>
      <c r="AA167" s="112"/>
      <c r="AB167" s="61"/>
      <c r="AC167" s="61"/>
      <c r="AD167" s="61"/>
      <c r="AE167" s="61"/>
      <c r="AF167" s="112"/>
      <c r="AG167" s="61"/>
      <c r="AH167" s="61"/>
      <c r="AI167" s="61"/>
      <c r="AJ167" s="61"/>
      <c r="AK167" s="112"/>
      <c r="AL167" s="1965">
        <v>3.5</v>
      </c>
      <c r="AM167" s="1966">
        <v>3.5</v>
      </c>
      <c r="AN167" s="1966">
        <v>3.5</v>
      </c>
      <c r="AO167" s="1965">
        <v>3.5</v>
      </c>
      <c r="AP167" s="1967">
        <v>3.5</v>
      </c>
      <c r="AQ167" s="1965">
        <v>3.5</v>
      </c>
      <c r="AR167" s="1966">
        <v>3.5</v>
      </c>
      <c r="AS167" s="1966">
        <v>3.5</v>
      </c>
      <c r="AT167" s="1965">
        <v>3.5</v>
      </c>
      <c r="AU167" s="1967">
        <v>3.5</v>
      </c>
      <c r="AV167" s="1965">
        <v>3.5</v>
      </c>
      <c r="AW167" s="1966">
        <v>3.5</v>
      </c>
      <c r="AX167" s="1966">
        <v>3.5</v>
      </c>
      <c r="AY167" s="1965">
        <v>3.5</v>
      </c>
      <c r="AZ167" s="1967">
        <v>3.5</v>
      </c>
      <c r="BA167" s="1965">
        <v>3.5</v>
      </c>
      <c r="BB167" s="1966">
        <v>3.5</v>
      </c>
      <c r="BC167" s="1966">
        <v>3.5</v>
      </c>
      <c r="BD167" s="1965">
        <v>3.5</v>
      </c>
      <c r="BE167" s="1967">
        <v>3.5</v>
      </c>
      <c r="BF167" s="2863">
        <v>3.5</v>
      </c>
      <c r="BG167" s="1966">
        <v>3.5</v>
      </c>
      <c r="BH167" s="1966">
        <v>3.5</v>
      </c>
      <c r="BI167" s="2864">
        <v>3.5</v>
      </c>
      <c r="BJ167" s="1967">
        <v>3.5</v>
      </c>
      <c r="BK167" s="2863">
        <v>3.5</v>
      </c>
      <c r="BL167" s="1966">
        <v>3.5</v>
      </c>
      <c r="BM167" s="1966">
        <v>3.5</v>
      </c>
      <c r="BN167" s="2864">
        <v>3.5</v>
      </c>
      <c r="BO167" s="1967">
        <v>3.5</v>
      </c>
      <c r="BP167" s="2863">
        <v>3.5</v>
      </c>
      <c r="BQ167" s="1966">
        <v>3.5</v>
      </c>
      <c r="BR167" s="1966">
        <v>3.5</v>
      </c>
      <c r="BS167" s="2864">
        <v>3.5</v>
      </c>
      <c r="BT167" s="1967">
        <v>3.5</v>
      </c>
      <c r="BU167" s="1967">
        <v>3.5</v>
      </c>
      <c r="BV167" s="1967">
        <v>3.5</v>
      </c>
      <c r="BW167" s="1967">
        <v>3.5</v>
      </c>
      <c r="BX167" s="1967">
        <v>3.5</v>
      </c>
      <c r="BY167" s="1967">
        <v>3.5</v>
      </c>
      <c r="BZ167" s="1967">
        <v>3.5</v>
      </c>
      <c r="CA167" s="1967">
        <v>3.5</v>
      </c>
      <c r="CB167" s="1967">
        <v>3.5</v>
      </c>
    </row>
    <row r="168" spans="1:80">
      <c r="A168" s="2"/>
      <c r="B168" s="2"/>
      <c r="C168" s="1083"/>
      <c r="D168" s="1083"/>
      <c r="E168" s="1083"/>
      <c r="F168" s="1083"/>
      <c r="G168" s="1073"/>
      <c r="H168" s="1083"/>
      <c r="I168" s="61"/>
      <c r="J168" s="61"/>
      <c r="K168" s="61"/>
      <c r="L168" s="112"/>
      <c r="M168" s="61"/>
      <c r="N168" s="61"/>
      <c r="O168" s="61"/>
      <c r="P168" s="61"/>
      <c r="Q168" s="112"/>
      <c r="R168" s="61"/>
      <c r="S168" s="61"/>
      <c r="T168" s="61"/>
      <c r="U168" s="61"/>
      <c r="V168" s="112"/>
      <c r="W168" s="61"/>
      <c r="X168" s="61"/>
      <c r="Y168" s="61"/>
      <c r="Z168" s="61"/>
      <c r="AA168" s="112"/>
      <c r="AB168" s="61"/>
      <c r="AC168" s="61"/>
      <c r="AD168" s="61"/>
      <c r="AE168" s="61"/>
      <c r="AF168" s="112"/>
      <c r="AG168" s="61"/>
      <c r="AH168" s="61"/>
      <c r="AI168" s="61"/>
      <c r="AJ168" s="61"/>
      <c r="AK168" s="112"/>
      <c r="AL168" s="61"/>
      <c r="AM168" s="61"/>
      <c r="AN168" s="61"/>
      <c r="AO168" s="60"/>
      <c r="AP168" s="60"/>
      <c r="AQ168" s="61"/>
      <c r="AR168" s="61"/>
      <c r="AS168" s="61"/>
      <c r="AT168" s="61"/>
      <c r="AU168" s="112"/>
      <c r="AV168" s="61"/>
      <c r="AW168" s="61"/>
      <c r="AX168" s="61"/>
      <c r="AY168" s="61"/>
      <c r="AZ168" s="112"/>
      <c r="BA168" s="61"/>
      <c r="BB168" s="61"/>
      <c r="BC168" s="61"/>
      <c r="BD168" s="61"/>
      <c r="BE168" s="112"/>
      <c r="BF168" s="59"/>
      <c r="BG168" s="61"/>
      <c r="BH168" s="61"/>
      <c r="BI168" s="60"/>
      <c r="BJ168" s="112"/>
      <c r="BK168" s="59"/>
      <c r="BL168" s="61"/>
      <c r="BM168" s="61"/>
      <c r="BN168" s="60"/>
      <c r="BO168" s="112"/>
      <c r="BP168" s="59"/>
      <c r="BQ168" s="61"/>
      <c r="BR168" s="61"/>
      <c r="BS168" s="60"/>
      <c r="BT168" s="112"/>
      <c r="BU168" s="112"/>
      <c r="BV168" s="112"/>
      <c r="BW168" s="112"/>
      <c r="BX168" s="112"/>
      <c r="BY168" s="112"/>
      <c r="BZ168" s="112"/>
      <c r="CA168" s="112"/>
      <c r="CB168" s="112"/>
    </row>
    <row r="169" spans="1:80">
      <c r="A169" s="228" t="s">
        <v>1155</v>
      </c>
      <c r="B169" s="2"/>
      <c r="C169" s="1083"/>
      <c r="D169" s="1083"/>
      <c r="E169" s="1083"/>
      <c r="F169" s="1083"/>
      <c r="G169" s="1073"/>
      <c r="H169" s="1083"/>
      <c r="I169" s="61"/>
      <c r="J169" s="61"/>
      <c r="K169" s="61"/>
      <c r="L169" s="112"/>
      <c r="M169" s="61"/>
      <c r="N169" s="61"/>
      <c r="O169" s="61"/>
      <c r="P169" s="61"/>
      <c r="Q169" s="112"/>
      <c r="R169" s="61"/>
      <c r="S169" s="61"/>
      <c r="T169" s="61"/>
      <c r="U169" s="61"/>
      <c r="V169" s="112"/>
      <c r="W169" s="61"/>
      <c r="X169" s="61"/>
      <c r="Y169" s="61"/>
      <c r="Z169" s="61"/>
      <c r="AA169" s="112"/>
      <c r="AB169" s="61"/>
      <c r="AC169" s="61"/>
      <c r="AD169" s="61"/>
      <c r="AE169" s="61"/>
      <c r="AF169" s="112"/>
      <c r="AG169" s="61"/>
      <c r="AH169" s="61"/>
      <c r="AI169" s="61"/>
      <c r="AJ169" s="61"/>
      <c r="AK169" s="112"/>
      <c r="AL169" s="61"/>
      <c r="AM169" s="61"/>
      <c r="AN169" s="61"/>
      <c r="AO169" s="60"/>
      <c r="AP169" s="60"/>
      <c r="AQ169" s="61"/>
      <c r="AR169" s="61"/>
      <c r="AS169" s="61"/>
      <c r="AT169" s="61"/>
      <c r="AU169" s="112"/>
      <c r="AV169" s="61"/>
      <c r="AW169" s="61"/>
      <c r="AX169" s="61"/>
      <c r="AY169" s="61"/>
      <c r="AZ169" s="112"/>
      <c r="BA169" s="61"/>
      <c r="BB169" s="61"/>
      <c r="BC169" s="61"/>
      <c r="BD169" s="61"/>
      <c r="BE169" s="112"/>
      <c r="BF169" s="59"/>
      <c r="BG169" s="61"/>
      <c r="BH169" s="61"/>
      <c r="BI169" s="60"/>
      <c r="BJ169" s="112"/>
      <c r="BK169" s="59"/>
      <c r="BL169" s="61"/>
      <c r="BM169" s="61"/>
      <c r="BN169" s="60"/>
      <c r="BO169" s="112"/>
      <c r="BP169" s="59"/>
      <c r="BQ169" s="61"/>
      <c r="BR169" s="61"/>
      <c r="BS169" s="60"/>
      <c r="BT169" s="112"/>
      <c r="BU169" s="112"/>
      <c r="BV169" s="112"/>
      <c r="BW169" s="112"/>
      <c r="BX169" s="112"/>
      <c r="BY169" s="112"/>
      <c r="BZ169" s="112"/>
      <c r="CA169" s="112"/>
      <c r="CB169" s="112"/>
    </row>
    <row r="170" spans="1:80">
      <c r="A170" s="1952" t="s">
        <v>526</v>
      </c>
      <c r="B170" s="2"/>
      <c r="C170" s="1083"/>
      <c r="D170" s="1083"/>
      <c r="E170" s="1083"/>
      <c r="F170" s="1083"/>
      <c r="G170" s="1073"/>
      <c r="H170" s="1083"/>
      <c r="I170" s="61"/>
      <c r="J170" s="61"/>
      <c r="K170" s="61"/>
      <c r="L170" s="112"/>
      <c r="M170" s="61"/>
      <c r="N170" s="61"/>
      <c r="O170" s="61"/>
      <c r="P170" s="61"/>
      <c r="Q170" s="112"/>
      <c r="R170" s="61"/>
      <c r="S170" s="61"/>
      <c r="T170" s="61"/>
      <c r="U170" s="61"/>
      <c r="V170" s="112"/>
      <c r="W170" s="61"/>
      <c r="X170" s="61"/>
      <c r="Y170" s="61"/>
      <c r="Z170" s="61"/>
      <c r="AA170" s="112"/>
      <c r="AB170" s="61"/>
      <c r="AC170" s="61"/>
      <c r="AD170" s="61"/>
      <c r="AE170" s="61"/>
      <c r="AF170" s="112"/>
      <c r="AG170" s="61"/>
      <c r="AH170" s="61"/>
      <c r="AI170" s="61"/>
      <c r="AJ170" s="61"/>
      <c r="AK170" s="112"/>
      <c r="AL170" s="96">
        <f>+BYD!AM537</f>
        <v>16.507897</v>
      </c>
      <c r="AM170" s="96">
        <f>+BYD!AN537</f>
        <v>17.377367</v>
      </c>
      <c r="AN170" s="96">
        <f>+BYD!AO537</f>
        <v>18.035385000000002</v>
      </c>
      <c r="AO170" s="96">
        <f>+BYD!AP537</f>
        <v>16.753610999999999</v>
      </c>
      <c r="AP170" s="146">
        <f>+SUM(AL170:AO170)</f>
        <v>68.674260000000004</v>
      </c>
      <c r="AQ170" s="96">
        <f>+BYD!AR537</f>
        <v>17.577106000000001</v>
      </c>
      <c r="AR170" s="96">
        <f>+BYD!AS537</f>
        <v>17.690432999999999</v>
      </c>
      <c r="AS170" s="96">
        <f>+BYD!AT537</f>
        <v>16.984601999999999</v>
      </c>
      <c r="AT170" s="96">
        <f>+BYD!AU537</f>
        <v>16.208314000000001</v>
      </c>
      <c r="AU170" s="146">
        <f>+SUM(AQ170:AT170)</f>
        <v>68.460454999999996</v>
      </c>
      <c r="AV170" s="96">
        <f>+BYD!AW537</f>
        <v>16.203682999999998</v>
      </c>
      <c r="AW170" s="96">
        <f>+BYD!AX537</f>
        <v>17.139932000000002</v>
      </c>
      <c r="AX170" s="96">
        <f>+BYD!AY537</f>
        <v>17.570906000000001</v>
      </c>
      <c r="AY170" s="96">
        <f>+BYD!AZ537</f>
        <v>15.068020000000001</v>
      </c>
      <c r="AZ170" s="146">
        <f>+SUM(AV170:AY170)</f>
        <v>65.982540999999998</v>
      </c>
      <c r="BA170" s="96">
        <f>+BYD!BB537</f>
        <v>14.815747</v>
      </c>
      <c r="BB170" s="96">
        <f>+BYD!BC537</f>
        <v>16.124445000000001</v>
      </c>
      <c r="BC170" s="96">
        <f>+BYD!BD537</f>
        <v>16.273275999999999</v>
      </c>
      <c r="BD170" s="96">
        <f>+BYD!BE537</f>
        <v>15.453710000000001</v>
      </c>
      <c r="BE170" s="146">
        <f>+SUM(BA170:BD170)</f>
        <v>62.667178000000007</v>
      </c>
      <c r="BF170" s="1115">
        <f>+BYD!BG537</f>
        <v>15.156275999999998</v>
      </c>
      <c r="BG170" s="96">
        <f>+BYD!BH537</f>
        <v>17.027394000000001</v>
      </c>
      <c r="BH170" s="96">
        <f>+BYD!BI537</f>
        <v>17.630459000000002</v>
      </c>
      <c r="BI170" s="97">
        <f>+BYD!BJ537</f>
        <v>16.403113999999999</v>
      </c>
      <c r="BJ170" s="146">
        <f>+SUM(BF170:BI170)</f>
        <v>66.217242999999996</v>
      </c>
      <c r="BK170" s="1115">
        <f>+BYD!BL537</f>
        <v>17.052562999999999</v>
      </c>
      <c r="BL170" s="96">
        <f>+BYD!BM537</f>
        <v>16.475560999999999</v>
      </c>
      <c r="BM170" s="96">
        <f>+BYD!BN537</f>
        <v>0</v>
      </c>
      <c r="BN170" s="97">
        <f>+BYD!BO537</f>
        <v>0</v>
      </c>
      <c r="BO170" s="146">
        <f>+SUM(BK170:BN170)</f>
        <v>33.528123999999998</v>
      </c>
      <c r="BP170" s="1115">
        <f>+BYD!BQ537</f>
        <v>0</v>
      </c>
      <c r="BQ170" s="96">
        <f>+BYD!BR537</f>
        <v>0</v>
      </c>
      <c r="BR170" s="96">
        <f>+BYD!BS537</f>
        <v>0</v>
      </c>
      <c r="BS170" s="97">
        <f>+BYD!BT537</f>
        <v>0</v>
      </c>
      <c r="BT170" s="146">
        <f>+SUM(BP170:BS170)</f>
        <v>0</v>
      </c>
      <c r="BU170" s="112">
        <f>+BYD!BZ537</f>
        <v>0</v>
      </c>
      <c r="BV170" s="112">
        <f>+BYD!CA537</f>
        <v>0</v>
      </c>
      <c r="BW170" s="112">
        <f>+BYD!CB537</f>
        <v>0</v>
      </c>
      <c r="BX170" s="112">
        <f>+BYD!CC537</f>
        <v>0</v>
      </c>
      <c r="BY170" s="112">
        <f>+BYD!CD537</f>
        <v>0</v>
      </c>
      <c r="BZ170" s="112">
        <f>+BYD!CE537</f>
        <v>0</v>
      </c>
      <c r="CA170" s="112">
        <f>+BYD!CF537</f>
        <v>0</v>
      </c>
      <c r="CB170" s="112">
        <f>+BYD!CG537</f>
        <v>0</v>
      </c>
    </row>
    <row r="171" spans="1:80">
      <c r="A171" s="1952" t="s">
        <v>1350</v>
      </c>
      <c r="B171" s="2"/>
      <c r="C171" s="1083"/>
      <c r="D171" s="1083"/>
      <c r="E171" s="1083"/>
      <c r="F171" s="1083"/>
      <c r="G171" s="1073"/>
      <c r="H171" s="1083"/>
      <c r="I171" s="61"/>
      <c r="J171" s="61"/>
      <c r="K171" s="61"/>
      <c r="L171" s="112"/>
      <c r="M171" s="61"/>
      <c r="N171" s="61"/>
      <c r="O171" s="61"/>
      <c r="P171" s="61"/>
      <c r="Q171" s="112"/>
      <c r="R171" s="61"/>
      <c r="S171" s="61"/>
      <c r="T171" s="61"/>
      <c r="U171" s="61"/>
      <c r="V171" s="112"/>
      <c r="W171" s="61"/>
      <c r="X171" s="61"/>
      <c r="Y171" s="61"/>
      <c r="Z171" s="61"/>
      <c r="AA171" s="112"/>
      <c r="AB171" s="61"/>
      <c r="AC171" s="61"/>
      <c r="AD171" s="61"/>
      <c r="AE171" s="61"/>
      <c r="AF171" s="112"/>
      <c r="AG171" s="61"/>
      <c r="AH171" s="61"/>
      <c r="AI171" s="61"/>
      <c r="AJ171" s="61"/>
      <c r="AK171" s="112"/>
      <c r="AL171" s="61">
        <f>+BYD!AM533</f>
        <v>253.904</v>
      </c>
      <c r="AM171" s="61">
        <f>+BYD!AN533</f>
        <v>275.8</v>
      </c>
      <c r="AN171" s="61">
        <f>+BYD!AO533</f>
        <v>304.608</v>
      </c>
      <c r="AO171" s="61">
        <f>+BYD!AP533</f>
        <v>281.64299999999997</v>
      </c>
      <c r="AP171" s="146">
        <f>+SUM(AL171:AO171)</f>
        <v>1115.9549999999999</v>
      </c>
      <c r="AQ171" s="61">
        <f>+BYD!AR533</f>
        <v>278.49599999999998</v>
      </c>
      <c r="AR171" s="61">
        <f>+BYD!AS533</f>
        <v>285.90699999999998</v>
      </c>
      <c r="AS171" s="61">
        <f>+BYD!AT533</f>
        <v>281.65600000000001</v>
      </c>
      <c r="AT171" s="61">
        <f>+BYD!AU533</f>
        <v>263.66800000000001</v>
      </c>
      <c r="AU171" s="146">
        <f>+SUM(AQ171:AT171)</f>
        <v>1109.7269999999999</v>
      </c>
      <c r="AV171" s="61">
        <f>+BYD!AW533</f>
        <v>266.779</v>
      </c>
      <c r="AW171" s="61">
        <f>+BYD!AX533</f>
        <v>281.71199999999999</v>
      </c>
      <c r="AX171" s="61">
        <f>+BYD!AY533</f>
        <v>292.89600000000002</v>
      </c>
      <c r="AY171" s="61">
        <f>+BYD!AZ533</f>
        <v>259.22800000000001</v>
      </c>
      <c r="AZ171" s="146">
        <f>+SUM(AV171:AY171)</f>
        <v>1100.615</v>
      </c>
      <c r="BA171" s="61">
        <f>+BYD!BB533</f>
        <v>238.364</v>
      </c>
      <c r="BB171" s="61">
        <f>+BYD!BC533</f>
        <v>263.00700000000001</v>
      </c>
      <c r="BC171" s="61">
        <f>+BYD!BD533</f>
        <v>264.29500000000002</v>
      </c>
      <c r="BD171" s="61">
        <f>+BYD!BE533</f>
        <v>237.77199999999999</v>
      </c>
      <c r="BE171" s="146">
        <f>+SUM(BA171:BD171)</f>
        <v>1003.4379999999999</v>
      </c>
      <c r="BF171" s="59">
        <f>+BYD!BG533</f>
        <v>228.46700000000001</v>
      </c>
      <c r="BG171" s="61">
        <f>+BYD!BH533</f>
        <v>253.44399999999999</v>
      </c>
      <c r="BH171" s="61">
        <f>+BYD!BI533</f>
        <v>271.16399999999999</v>
      </c>
      <c r="BI171" s="60">
        <f>+BYD!BJ533</f>
        <v>234.34200000000001</v>
      </c>
      <c r="BJ171" s="146">
        <f>+SUM(BF171:BI171)</f>
        <v>987.41700000000003</v>
      </c>
      <c r="BK171" s="59">
        <f>+BYD!BL533</f>
        <v>234.8</v>
      </c>
      <c r="BL171" s="61">
        <f>+BYD!BM533</f>
        <v>237.619</v>
      </c>
      <c r="BM171" s="61">
        <f>+BYD!BN533</f>
        <v>0</v>
      </c>
      <c r="BN171" s="60">
        <f>+BYD!BO533</f>
        <v>0</v>
      </c>
      <c r="BO171" s="146">
        <f>+SUM(BK171:BN171)</f>
        <v>472.41899999999998</v>
      </c>
      <c r="BP171" s="59">
        <f>+BYD!BQ533</f>
        <v>0</v>
      </c>
      <c r="BQ171" s="61">
        <f>+BYD!BR533</f>
        <v>0</v>
      </c>
      <c r="BR171" s="61">
        <f>+BYD!BS533</f>
        <v>0</v>
      </c>
      <c r="BS171" s="60">
        <f>+BYD!BT533</f>
        <v>0</v>
      </c>
      <c r="BT171" s="146">
        <f>+SUM(BP171:BS171)</f>
        <v>0</v>
      </c>
      <c r="BU171" s="112">
        <f>+BYD!BZ533</f>
        <v>0</v>
      </c>
      <c r="BV171" s="112">
        <f>+BYD!CA533</f>
        <v>0</v>
      </c>
      <c r="BW171" s="112">
        <f>+BYD!CB533</f>
        <v>0</v>
      </c>
      <c r="BX171" s="112">
        <f>+BYD!CC533</f>
        <v>0</v>
      </c>
      <c r="BY171" s="112">
        <f>+BYD!CD533</f>
        <v>0</v>
      </c>
      <c r="BZ171" s="112">
        <f>+BYD!CE533</f>
        <v>0</v>
      </c>
      <c r="CA171" s="112">
        <f>+BYD!CF533</f>
        <v>0</v>
      </c>
      <c r="CB171" s="112">
        <f>+BYD!CG533</f>
        <v>0</v>
      </c>
    </row>
    <row r="172" spans="1:80">
      <c r="A172" s="1952"/>
      <c r="B172" s="2"/>
      <c r="C172" s="1083"/>
      <c r="D172" s="1083"/>
      <c r="E172" s="1083"/>
      <c r="F172" s="1083"/>
      <c r="G172" s="1073"/>
      <c r="H172" s="1083"/>
      <c r="I172" s="61"/>
      <c r="J172" s="61"/>
      <c r="K172" s="61"/>
      <c r="L172" s="112"/>
      <c r="M172" s="61"/>
      <c r="N172" s="61"/>
      <c r="O172" s="61"/>
      <c r="P172" s="61"/>
      <c r="Q172" s="112"/>
      <c r="R172" s="61"/>
      <c r="S172" s="61"/>
      <c r="T172" s="61"/>
      <c r="U172" s="61"/>
      <c r="V172" s="112"/>
      <c r="W172" s="61"/>
      <c r="X172" s="61"/>
      <c r="Y172" s="61"/>
      <c r="Z172" s="61"/>
      <c r="AA172" s="112"/>
      <c r="AB172" s="61"/>
      <c r="AC172" s="61"/>
      <c r="AD172" s="61"/>
      <c r="AE172" s="61"/>
      <c r="AF172" s="112"/>
      <c r="AG172" s="61"/>
      <c r="AH172" s="61"/>
      <c r="AI172" s="61"/>
      <c r="AJ172" s="61"/>
      <c r="AK172" s="112"/>
      <c r="AL172" s="61"/>
      <c r="AM172" s="61"/>
      <c r="AN172" s="61"/>
      <c r="AO172" s="60"/>
      <c r="AP172" s="60"/>
      <c r="AQ172" s="61"/>
      <c r="AR172" s="61"/>
      <c r="AS172" s="61"/>
      <c r="AT172" s="61"/>
      <c r="AU172" s="112"/>
      <c r="AV172" s="61"/>
      <c r="AW172" s="61"/>
      <c r="AX172" s="61"/>
      <c r="AY172" s="61"/>
      <c r="AZ172" s="112"/>
      <c r="BA172" s="61"/>
      <c r="BB172" s="61"/>
      <c r="BC172" s="61"/>
      <c r="BD172" s="61"/>
      <c r="BE172" s="112"/>
      <c r="BF172" s="59"/>
      <c r="BG172" s="61"/>
      <c r="BH172" s="61"/>
      <c r="BI172" s="60"/>
      <c r="BJ172" s="112"/>
      <c r="BK172" s="59"/>
      <c r="BL172" s="61"/>
      <c r="BM172" s="61"/>
      <c r="BN172" s="60"/>
      <c r="BO172" s="112"/>
      <c r="BP172" s="59"/>
      <c r="BQ172" s="61"/>
      <c r="BR172" s="61"/>
      <c r="BS172" s="60"/>
      <c r="BT172" s="112"/>
      <c r="BU172" s="112"/>
      <c r="BV172" s="112"/>
      <c r="BW172" s="112"/>
      <c r="BX172" s="112"/>
      <c r="BY172" s="112"/>
      <c r="BZ172" s="112"/>
      <c r="CA172" s="112"/>
      <c r="CB172" s="112"/>
    </row>
    <row r="173" spans="1:80">
      <c r="A173" s="1952" t="s">
        <v>1346</v>
      </c>
      <c r="B173" s="2"/>
      <c r="C173" s="1083"/>
      <c r="D173" s="1083"/>
      <c r="E173" s="1083"/>
      <c r="F173" s="1083"/>
      <c r="G173" s="1073"/>
      <c r="H173" s="1083"/>
      <c r="I173" s="61"/>
      <c r="J173" s="61"/>
      <c r="K173" s="61"/>
      <c r="L173" s="112"/>
      <c r="M173" s="61"/>
      <c r="N173" s="61"/>
      <c r="O173" s="61"/>
      <c r="P173" s="61"/>
      <c r="Q173" s="112"/>
      <c r="R173" s="61"/>
      <c r="S173" s="61"/>
      <c r="T173" s="61"/>
      <c r="U173" s="61"/>
      <c r="V173" s="112"/>
      <c r="W173" s="61"/>
      <c r="X173" s="61"/>
      <c r="Y173" s="61"/>
      <c r="Z173" s="61"/>
      <c r="AA173" s="112"/>
      <c r="AB173" s="61"/>
      <c r="AC173" s="61"/>
      <c r="AD173" s="61"/>
      <c r="AE173" s="61"/>
      <c r="AF173" s="112"/>
      <c r="AG173" s="61"/>
      <c r="AH173" s="61"/>
      <c r="AI173" s="61"/>
      <c r="AJ173" s="61"/>
      <c r="AK173" s="112"/>
      <c r="AL173" s="61"/>
      <c r="AM173" s="61"/>
      <c r="AN173" s="61"/>
      <c r="AO173" s="60"/>
      <c r="AP173" s="60"/>
      <c r="AQ173" s="61"/>
      <c r="AR173" s="61"/>
      <c r="AS173" s="61"/>
      <c r="AT173" s="61"/>
      <c r="AU173" s="112"/>
      <c r="AV173" s="61"/>
      <c r="AW173" s="61"/>
      <c r="AX173" s="61"/>
      <c r="AY173" s="61"/>
      <c r="AZ173" s="112"/>
      <c r="BA173" s="61"/>
      <c r="BB173" s="61"/>
      <c r="BC173" s="61"/>
      <c r="BD173" s="61"/>
      <c r="BE173" s="112"/>
      <c r="BF173" s="59"/>
      <c r="BG173" s="61"/>
      <c r="BH173" s="61"/>
      <c r="BI173" s="60"/>
      <c r="BJ173" s="112"/>
      <c r="BK173" s="59"/>
      <c r="BL173" s="61"/>
      <c r="BM173" s="61"/>
      <c r="BN173" s="60"/>
      <c r="BO173" s="112"/>
      <c r="BP173" s="59"/>
      <c r="BQ173" s="61"/>
      <c r="BR173" s="61"/>
      <c r="BS173" s="60"/>
      <c r="BT173" s="112"/>
      <c r="BU173" s="112"/>
      <c r="BV173" s="112"/>
      <c r="BW173" s="112"/>
      <c r="BX173" s="112"/>
      <c r="BY173" s="112"/>
      <c r="BZ173" s="112"/>
      <c r="CA173" s="112"/>
      <c r="CB173" s="112"/>
    </row>
    <row r="174" spans="1:80">
      <c r="A174" s="1953" t="s">
        <v>1146</v>
      </c>
      <c r="B174" s="2"/>
      <c r="C174" s="1083"/>
      <c r="D174" s="1083"/>
      <c r="E174" s="1083"/>
      <c r="F174" s="1083"/>
      <c r="G174" s="1073"/>
      <c r="H174" s="1083"/>
      <c r="I174" s="61"/>
      <c r="J174" s="61"/>
      <c r="K174" s="61"/>
      <c r="L174" s="112"/>
      <c r="M174" s="61"/>
      <c r="N174" s="61"/>
      <c r="O174" s="61"/>
      <c r="P174" s="61"/>
      <c r="Q174" s="112"/>
      <c r="R174" s="61"/>
      <c r="S174" s="61"/>
      <c r="T174" s="61"/>
      <c r="U174" s="61"/>
      <c r="V174" s="112"/>
      <c r="W174" s="61"/>
      <c r="X174" s="61"/>
      <c r="Y174" s="61"/>
      <c r="Z174" s="61"/>
      <c r="AA174" s="112"/>
      <c r="AB174" s="61"/>
      <c r="AC174" s="61"/>
      <c r="AD174" s="61"/>
      <c r="AE174" s="61"/>
      <c r="AF174" s="112"/>
      <c r="AG174" s="61"/>
      <c r="AH174" s="61"/>
      <c r="AI174" s="61"/>
      <c r="AJ174" s="61"/>
      <c r="AK174" s="112"/>
      <c r="AL174" s="1968">
        <f>$AP174/4</f>
        <v>1.2500000000000001E-2</v>
      </c>
      <c r="AM174" s="1968">
        <f t="shared" ref="AM174:AO176" si="144">$AP174/4</f>
        <v>1.2500000000000001E-2</v>
      </c>
      <c r="AN174" s="1968">
        <f t="shared" si="144"/>
        <v>1.2500000000000001E-2</v>
      </c>
      <c r="AO174" s="1968">
        <f t="shared" si="144"/>
        <v>1.2500000000000001E-2</v>
      </c>
      <c r="AP174" s="1969">
        <f>IF(AP170&gt;0, MIN(AP$150,AP170)*AP$155,0)</f>
        <v>0.05</v>
      </c>
      <c r="AQ174" s="1968">
        <f t="shared" ref="AQ174:AT176" si="145">$AU174/4</f>
        <v>1.2500000000000001E-2</v>
      </c>
      <c r="AR174" s="1968">
        <f t="shared" si="145"/>
        <v>1.2500000000000001E-2</v>
      </c>
      <c r="AS174" s="1968">
        <f t="shared" si="145"/>
        <v>1.2500000000000001E-2</v>
      </c>
      <c r="AT174" s="1968">
        <f t="shared" si="145"/>
        <v>1.2500000000000001E-2</v>
      </c>
      <c r="AU174" s="1969">
        <f>IF(AU170&gt;0, MIN(AU150,AU170)*AU155,0)</f>
        <v>0.05</v>
      </c>
      <c r="AV174" s="1968">
        <f t="shared" ref="AV174:AY176" si="146">$AZ174/4</f>
        <v>1.2500000000000001E-2</v>
      </c>
      <c r="AW174" s="1968">
        <f t="shared" si="146"/>
        <v>1.2500000000000001E-2</v>
      </c>
      <c r="AX174" s="1968">
        <f t="shared" si="146"/>
        <v>1.2500000000000001E-2</v>
      </c>
      <c r="AY174" s="1968">
        <f t="shared" si="146"/>
        <v>1.2500000000000001E-2</v>
      </c>
      <c r="AZ174" s="1969">
        <f>IF(AZ170&gt;0, MIN(AZ150,AZ170)*AZ155,0)</f>
        <v>0.05</v>
      </c>
      <c r="BA174" s="1968">
        <f t="shared" ref="BA174:BD176" si="147">$BE174/4</f>
        <v>1.2500000000000001E-2</v>
      </c>
      <c r="BB174" s="1968">
        <f t="shared" si="147"/>
        <v>1.2500000000000001E-2</v>
      </c>
      <c r="BC174" s="1968">
        <f t="shared" si="147"/>
        <v>1.2500000000000001E-2</v>
      </c>
      <c r="BD174" s="1968">
        <f t="shared" si="147"/>
        <v>1.2500000000000001E-2</v>
      </c>
      <c r="BE174" s="1969">
        <f>IF(BE170&gt;0, MIN(BE150,BE170)*BE155,0)</f>
        <v>0.05</v>
      </c>
      <c r="BF174" s="2865">
        <f t="shared" ref="BF174:BI176" si="148">$BJ174/4</f>
        <v>1.2500000000000001E-2</v>
      </c>
      <c r="BG174" s="1968">
        <f t="shared" si="148"/>
        <v>1.2500000000000001E-2</v>
      </c>
      <c r="BH174" s="1968">
        <f t="shared" si="148"/>
        <v>1.2500000000000001E-2</v>
      </c>
      <c r="BI174" s="2866">
        <f t="shared" si="148"/>
        <v>1.2500000000000001E-2</v>
      </c>
      <c r="BJ174" s="1969">
        <f>IF(BJ170&gt;0, MIN(BJ150,BJ170)*BJ155,0)</f>
        <v>0.05</v>
      </c>
      <c r="BK174" s="3168">
        <f>$BO174/4</f>
        <v>1.2500000000000001E-2</v>
      </c>
      <c r="BL174" s="1968">
        <f t="shared" ref="BL174:BN176" si="149">$BO174/4</f>
        <v>1.2500000000000001E-2</v>
      </c>
      <c r="BM174" s="1968">
        <f t="shared" si="149"/>
        <v>1.2500000000000001E-2</v>
      </c>
      <c r="BN174" s="2866">
        <f t="shared" si="149"/>
        <v>1.2500000000000001E-2</v>
      </c>
      <c r="BO174" s="1969">
        <f t="shared" ref="BO174:CB174" si="150">IF(BO170&gt;0, MIN(BO150,BO170)*BO155,0)</f>
        <v>0.05</v>
      </c>
      <c r="BP174" s="3168">
        <f>$BO174/4</f>
        <v>1.2500000000000001E-2</v>
      </c>
      <c r="BQ174" s="1968">
        <f t="shared" ref="BQ174:BS176" si="151">$BO174/4</f>
        <v>1.2500000000000001E-2</v>
      </c>
      <c r="BR174" s="1968">
        <f t="shared" si="151"/>
        <v>1.2500000000000001E-2</v>
      </c>
      <c r="BS174" s="2866">
        <f t="shared" si="151"/>
        <v>1.2500000000000001E-2</v>
      </c>
      <c r="BT174" s="1969">
        <f>IF(BT170&gt;0, MIN(BT150,BT170)*BT155,0)</f>
        <v>0</v>
      </c>
      <c r="BU174" s="1969">
        <f t="shared" si="150"/>
        <v>0</v>
      </c>
      <c r="BV174" s="1969">
        <f t="shared" si="150"/>
        <v>0</v>
      </c>
      <c r="BW174" s="1969">
        <f t="shared" si="150"/>
        <v>0</v>
      </c>
      <c r="BX174" s="1969">
        <f t="shared" si="150"/>
        <v>0</v>
      </c>
      <c r="BY174" s="1969">
        <f t="shared" si="150"/>
        <v>0</v>
      </c>
      <c r="BZ174" s="1969">
        <f t="shared" si="150"/>
        <v>0</v>
      </c>
      <c r="CA174" s="1969">
        <f t="shared" si="150"/>
        <v>0</v>
      </c>
      <c r="CB174" s="1969">
        <f t="shared" si="150"/>
        <v>0</v>
      </c>
    </row>
    <row r="175" spans="1:80">
      <c r="A175" s="1953" t="s">
        <v>1147</v>
      </c>
      <c r="B175" s="2"/>
      <c r="C175" s="1083"/>
      <c r="D175" s="1083"/>
      <c r="E175" s="1083"/>
      <c r="F175" s="1083"/>
      <c r="G175" s="1073"/>
      <c r="H175" s="1083"/>
      <c r="I175" s="61"/>
      <c r="J175" s="61"/>
      <c r="K175" s="61"/>
      <c r="L175" s="112"/>
      <c r="M175" s="61"/>
      <c r="N175" s="61"/>
      <c r="O175" s="61"/>
      <c r="P175" s="61"/>
      <c r="Q175" s="112"/>
      <c r="R175" s="61"/>
      <c r="S175" s="61"/>
      <c r="T175" s="61"/>
      <c r="U175" s="61"/>
      <c r="V175" s="112"/>
      <c r="W175" s="61"/>
      <c r="X175" s="61"/>
      <c r="Y175" s="61"/>
      <c r="Z175" s="61"/>
      <c r="AA175" s="112"/>
      <c r="AB175" s="61"/>
      <c r="AC175" s="61"/>
      <c r="AD175" s="61"/>
      <c r="AE175" s="61"/>
      <c r="AF175" s="112"/>
      <c r="AG175" s="61"/>
      <c r="AH175" s="61"/>
      <c r="AI175" s="61"/>
      <c r="AJ175" s="61"/>
      <c r="AK175" s="112"/>
      <c r="AL175" s="1968">
        <f>$AP175/4</f>
        <v>0.05</v>
      </c>
      <c r="AM175" s="1968">
        <f t="shared" si="144"/>
        <v>0.05</v>
      </c>
      <c r="AN175" s="1968">
        <f t="shared" si="144"/>
        <v>0.05</v>
      </c>
      <c r="AO175" s="1968">
        <f t="shared" si="144"/>
        <v>0.05</v>
      </c>
      <c r="AP175" s="1969">
        <f>IF(AP170&gt;AP$150, MIN(AP$151-AP$150,AP170-AP$150)*AP$156,0)</f>
        <v>0.2</v>
      </c>
      <c r="AQ175" s="1968">
        <f t="shared" si="145"/>
        <v>0.05</v>
      </c>
      <c r="AR175" s="1968">
        <f t="shared" si="145"/>
        <v>0.05</v>
      </c>
      <c r="AS175" s="1968">
        <f t="shared" si="145"/>
        <v>0.05</v>
      </c>
      <c r="AT175" s="1968">
        <f t="shared" si="145"/>
        <v>0.05</v>
      </c>
      <c r="AU175" s="1969">
        <f>IF(AU170&gt;AU150, MIN(AU151-AU150,AU170-AU150)*AU156,0)</f>
        <v>0.2</v>
      </c>
      <c r="AV175" s="1968">
        <f t="shared" si="146"/>
        <v>0.05</v>
      </c>
      <c r="AW175" s="1968">
        <f t="shared" si="146"/>
        <v>0.05</v>
      </c>
      <c r="AX175" s="1968">
        <f t="shared" si="146"/>
        <v>0.05</v>
      </c>
      <c r="AY175" s="1968">
        <f t="shared" si="146"/>
        <v>0.05</v>
      </c>
      <c r="AZ175" s="1969">
        <f>IF(AZ170&gt;AZ150, MIN(AZ151-AZ150,AZ170-AZ150)*AZ156,0)</f>
        <v>0.2</v>
      </c>
      <c r="BA175" s="1968">
        <f t="shared" si="147"/>
        <v>0.05</v>
      </c>
      <c r="BB175" s="1968">
        <f t="shared" si="147"/>
        <v>0.05</v>
      </c>
      <c r="BC175" s="1968">
        <f t="shared" si="147"/>
        <v>0.05</v>
      </c>
      <c r="BD175" s="1968">
        <f t="shared" si="147"/>
        <v>0.05</v>
      </c>
      <c r="BE175" s="1969">
        <f>IF(BE170&gt;BE150, MIN(BE151-BE150,BE170-BE150)*BE156,0)</f>
        <v>0.2</v>
      </c>
      <c r="BF175" s="2865">
        <f t="shared" si="148"/>
        <v>0.05</v>
      </c>
      <c r="BG175" s="1968">
        <f t="shared" si="148"/>
        <v>0.05</v>
      </c>
      <c r="BH175" s="1968">
        <f t="shared" si="148"/>
        <v>0.05</v>
      </c>
      <c r="BI175" s="2866">
        <f t="shared" si="148"/>
        <v>0.05</v>
      </c>
      <c r="BJ175" s="1969">
        <f>IF(BJ170&gt;BJ150, MIN(BJ151-BJ150,BJ170-BJ150)*BJ156,0)</f>
        <v>0.2</v>
      </c>
      <c r="BK175" s="3168">
        <f>$BO175/4</f>
        <v>0.05</v>
      </c>
      <c r="BL175" s="1968">
        <f t="shared" si="149"/>
        <v>0.05</v>
      </c>
      <c r="BM175" s="1968">
        <f t="shared" si="149"/>
        <v>0.05</v>
      </c>
      <c r="BN175" s="2866">
        <f t="shared" si="149"/>
        <v>0.05</v>
      </c>
      <c r="BO175" s="1969">
        <f t="shared" ref="BO175:CB175" si="152">IF(BO170&gt;BO150, MIN(BO151-BO150,BO170-BO150)*BO156,0)</f>
        <v>0.2</v>
      </c>
      <c r="BP175" s="3168">
        <f>$BO175/4</f>
        <v>0.05</v>
      </c>
      <c r="BQ175" s="1968">
        <f t="shared" si="151"/>
        <v>0.05</v>
      </c>
      <c r="BR175" s="1968">
        <f t="shared" si="151"/>
        <v>0.05</v>
      </c>
      <c r="BS175" s="2866">
        <f t="shared" si="151"/>
        <v>0.05</v>
      </c>
      <c r="BT175" s="1969">
        <f>IF(BT170&gt;BT150, MIN(BT151-BT150,BT170-BT150)*BT156,0)</f>
        <v>0</v>
      </c>
      <c r="BU175" s="1969">
        <f t="shared" si="152"/>
        <v>0</v>
      </c>
      <c r="BV175" s="1969">
        <f t="shared" si="152"/>
        <v>0</v>
      </c>
      <c r="BW175" s="1969">
        <f t="shared" si="152"/>
        <v>0</v>
      </c>
      <c r="BX175" s="1969">
        <f t="shared" si="152"/>
        <v>0</v>
      </c>
      <c r="BY175" s="1969">
        <f t="shared" si="152"/>
        <v>0</v>
      </c>
      <c r="BZ175" s="1969">
        <f t="shared" si="152"/>
        <v>0</v>
      </c>
      <c r="CA175" s="1969">
        <f t="shared" si="152"/>
        <v>0</v>
      </c>
      <c r="CB175" s="1969">
        <f t="shared" si="152"/>
        <v>0</v>
      </c>
    </row>
    <row r="176" spans="1:80">
      <c r="A176" s="1953" t="s">
        <v>1148</v>
      </c>
      <c r="B176" s="2"/>
      <c r="C176" s="1083"/>
      <c r="D176" s="1083"/>
      <c r="E176" s="1083"/>
      <c r="F176" s="1083"/>
      <c r="G176" s="1073"/>
      <c r="H176" s="1083"/>
      <c r="I176" s="61"/>
      <c r="J176" s="61"/>
      <c r="K176" s="61"/>
      <c r="L176" s="112"/>
      <c r="M176" s="61"/>
      <c r="N176" s="61"/>
      <c r="O176" s="61"/>
      <c r="P176" s="61"/>
      <c r="Q176" s="112"/>
      <c r="R176" s="61"/>
      <c r="S176" s="61"/>
      <c r="T176" s="61"/>
      <c r="U176" s="61"/>
      <c r="V176" s="112"/>
      <c r="W176" s="61"/>
      <c r="X176" s="61"/>
      <c r="Y176" s="61"/>
      <c r="Z176" s="61"/>
      <c r="AA176" s="112"/>
      <c r="AB176" s="61"/>
      <c r="AC176" s="61"/>
      <c r="AD176" s="61"/>
      <c r="AE176" s="61"/>
      <c r="AF176" s="112"/>
      <c r="AG176" s="61"/>
      <c r="AH176" s="61"/>
      <c r="AI176" s="61"/>
      <c r="AJ176" s="61"/>
      <c r="AK176" s="112"/>
      <c r="AL176" s="1968">
        <f>$AP176/4</f>
        <v>3.6120843000000002</v>
      </c>
      <c r="AM176" s="1968">
        <f t="shared" si="144"/>
        <v>3.6120843000000002</v>
      </c>
      <c r="AN176" s="1968">
        <f t="shared" si="144"/>
        <v>3.6120843000000002</v>
      </c>
      <c r="AO176" s="1968">
        <f t="shared" si="144"/>
        <v>3.6120843000000002</v>
      </c>
      <c r="AP176" s="1969">
        <f>IF(AP170&gt;AP$151,(AP170-AP$151)*AP$157,0)</f>
        <v>14.448337200000001</v>
      </c>
      <c r="AQ176" s="1968">
        <f t="shared" si="145"/>
        <v>3.6003250249999996</v>
      </c>
      <c r="AR176" s="1968">
        <f t="shared" si="145"/>
        <v>3.6003250249999996</v>
      </c>
      <c r="AS176" s="1968">
        <f t="shared" si="145"/>
        <v>3.6003250249999996</v>
      </c>
      <c r="AT176" s="1968">
        <f t="shared" si="145"/>
        <v>3.6003250249999996</v>
      </c>
      <c r="AU176" s="1969">
        <f>IF(AU170&gt;AU151,(AU170-AU151)*AU157,0)</f>
        <v>14.401300099999998</v>
      </c>
      <c r="AV176" s="1968">
        <f t="shared" si="146"/>
        <v>3.4640397549999999</v>
      </c>
      <c r="AW176" s="1968">
        <f t="shared" si="146"/>
        <v>3.4640397549999999</v>
      </c>
      <c r="AX176" s="1968">
        <f t="shared" si="146"/>
        <v>3.4640397549999999</v>
      </c>
      <c r="AY176" s="1968">
        <f t="shared" si="146"/>
        <v>3.4640397549999999</v>
      </c>
      <c r="AZ176" s="1969">
        <f>IF(AZ170&gt;AZ151,(AZ170-AZ151)*AZ157,0)</f>
        <v>13.85615902</v>
      </c>
      <c r="BA176" s="1968">
        <f t="shared" si="147"/>
        <v>3.2816947900000004</v>
      </c>
      <c r="BB176" s="1968">
        <f t="shared" si="147"/>
        <v>3.2816947900000004</v>
      </c>
      <c r="BC176" s="1968">
        <f t="shared" si="147"/>
        <v>3.2816947900000004</v>
      </c>
      <c r="BD176" s="1968">
        <f t="shared" si="147"/>
        <v>3.2816947900000004</v>
      </c>
      <c r="BE176" s="1969">
        <f>IF(BE170&gt;BE151,(BE170-BE151)*BE157,0)</f>
        <v>13.126779160000002</v>
      </c>
      <c r="BF176" s="2865">
        <f t="shared" si="148"/>
        <v>3.4769483649999997</v>
      </c>
      <c r="BG176" s="1968">
        <f t="shared" si="148"/>
        <v>3.4769483649999997</v>
      </c>
      <c r="BH176" s="1968">
        <f t="shared" si="148"/>
        <v>3.4769483649999997</v>
      </c>
      <c r="BI176" s="2866">
        <f t="shared" si="148"/>
        <v>3.4769483649999997</v>
      </c>
      <c r="BJ176" s="1969">
        <f>IF(BJ170&gt;BJ151,(BJ170-BJ151)*BJ157,0)</f>
        <v>13.907793459999999</v>
      </c>
      <c r="BK176" s="3168">
        <f>$BO176/4</f>
        <v>1.6790468199999999</v>
      </c>
      <c r="BL176" s="1968">
        <f t="shared" si="149"/>
        <v>1.6790468199999999</v>
      </c>
      <c r="BM176" s="1968">
        <f t="shared" si="149"/>
        <v>1.6790468199999999</v>
      </c>
      <c r="BN176" s="2866">
        <f t="shared" si="149"/>
        <v>1.6790468199999999</v>
      </c>
      <c r="BO176" s="1969">
        <f t="shared" ref="BO176:CB176" si="153">IF(BO170&gt;BO151,(BO170-BO151)*BO157,0)</f>
        <v>6.7161872799999998</v>
      </c>
      <c r="BP176" s="3168">
        <f>$BO176/4</f>
        <v>1.6790468199999999</v>
      </c>
      <c r="BQ176" s="1968">
        <f t="shared" si="151"/>
        <v>1.6790468199999999</v>
      </c>
      <c r="BR176" s="1968">
        <f t="shared" si="151"/>
        <v>1.6790468199999999</v>
      </c>
      <c r="BS176" s="2866">
        <f t="shared" si="151"/>
        <v>1.6790468199999999</v>
      </c>
      <c r="BT176" s="1969">
        <f>IF(BT170&gt;BT151,(BT170-BT151)*BT157,0)</f>
        <v>0</v>
      </c>
      <c r="BU176" s="1969">
        <f t="shared" si="153"/>
        <v>0</v>
      </c>
      <c r="BV176" s="1969">
        <f t="shared" si="153"/>
        <v>0</v>
      </c>
      <c r="BW176" s="1969">
        <f t="shared" si="153"/>
        <v>0</v>
      </c>
      <c r="BX176" s="1969">
        <f t="shared" si="153"/>
        <v>0</v>
      </c>
      <c r="BY176" s="1969">
        <f t="shared" si="153"/>
        <v>0</v>
      </c>
      <c r="BZ176" s="1969">
        <f t="shared" si="153"/>
        <v>0</v>
      </c>
      <c r="CA176" s="1969">
        <f t="shared" si="153"/>
        <v>0</v>
      </c>
      <c r="CB176" s="1969">
        <f t="shared" si="153"/>
        <v>0</v>
      </c>
    </row>
    <row r="177" spans="1:80" ht="6" customHeight="1">
      <c r="A177" s="1953"/>
      <c r="B177" s="2"/>
      <c r="C177" s="1083"/>
      <c r="D177" s="1083"/>
      <c r="E177" s="1083"/>
      <c r="F177" s="1083"/>
      <c r="G177" s="1073"/>
      <c r="H177" s="1083"/>
      <c r="I177" s="61"/>
      <c r="J177" s="61"/>
      <c r="K177" s="61"/>
      <c r="L177" s="112"/>
      <c r="M177" s="61"/>
      <c r="N177" s="61"/>
      <c r="O177" s="61"/>
      <c r="P177" s="61"/>
      <c r="Q177" s="112"/>
      <c r="R177" s="61"/>
      <c r="S177" s="61"/>
      <c r="T177" s="61"/>
      <c r="U177" s="61"/>
      <c r="V177" s="112"/>
      <c r="W177" s="61"/>
      <c r="X177" s="61"/>
      <c r="Y177" s="61"/>
      <c r="Z177" s="61"/>
      <c r="AA177" s="112"/>
      <c r="AB177" s="61"/>
      <c r="AC177" s="61"/>
      <c r="AD177" s="61"/>
      <c r="AE177" s="61"/>
      <c r="AF177" s="112"/>
      <c r="AG177" s="61"/>
      <c r="AH177" s="61"/>
      <c r="AI177" s="61"/>
      <c r="AJ177" s="61"/>
      <c r="AK177" s="112"/>
      <c r="AL177" s="1970" t="s">
        <v>1226</v>
      </c>
      <c r="AM177" s="1970" t="s">
        <v>1226</v>
      </c>
      <c r="AN177" s="1970" t="s">
        <v>1226</v>
      </c>
      <c r="AO177" s="1970" t="s">
        <v>1226</v>
      </c>
      <c r="AP177" s="1971" t="s">
        <v>1226</v>
      </c>
      <c r="AQ177" s="1970" t="s">
        <v>1226</v>
      </c>
      <c r="AR177" s="1970" t="s">
        <v>1226</v>
      </c>
      <c r="AS177" s="1970" t="s">
        <v>1226</v>
      </c>
      <c r="AT177" s="1970" t="s">
        <v>1226</v>
      </c>
      <c r="AU177" s="1971" t="s">
        <v>1226</v>
      </c>
      <c r="AV177" s="1970" t="s">
        <v>1226</v>
      </c>
      <c r="AW177" s="1970" t="s">
        <v>1226</v>
      </c>
      <c r="AX177" s="1970" t="s">
        <v>1226</v>
      </c>
      <c r="AY177" s="1970" t="s">
        <v>1226</v>
      </c>
      <c r="AZ177" s="1971" t="s">
        <v>1226</v>
      </c>
      <c r="BA177" s="1970" t="s">
        <v>1226</v>
      </c>
      <c r="BB177" s="1970" t="s">
        <v>1226</v>
      </c>
      <c r="BC177" s="1970" t="s">
        <v>1226</v>
      </c>
      <c r="BD177" s="1970" t="s">
        <v>1226</v>
      </c>
      <c r="BE177" s="1971" t="s">
        <v>1226</v>
      </c>
      <c r="BF177" s="2867" t="s">
        <v>1226</v>
      </c>
      <c r="BG177" s="1970" t="s">
        <v>1226</v>
      </c>
      <c r="BH177" s="1970" t="s">
        <v>1226</v>
      </c>
      <c r="BI177" s="2868" t="s">
        <v>1226</v>
      </c>
      <c r="BJ177" s="1971" t="s">
        <v>1226</v>
      </c>
      <c r="BK177" s="2867" t="s">
        <v>1226</v>
      </c>
      <c r="BL177" s="1970" t="s">
        <v>1226</v>
      </c>
      <c r="BM177" s="1970" t="s">
        <v>1226</v>
      </c>
      <c r="BN177" s="2868" t="s">
        <v>1226</v>
      </c>
      <c r="BO177" s="1971" t="s">
        <v>1226</v>
      </c>
      <c r="BP177" s="2867" t="s">
        <v>1226</v>
      </c>
      <c r="BQ177" s="1970" t="s">
        <v>1226</v>
      </c>
      <c r="BR177" s="1970" t="s">
        <v>1226</v>
      </c>
      <c r="BS177" s="2868" t="s">
        <v>1226</v>
      </c>
      <c r="BT177" s="1971" t="s">
        <v>1226</v>
      </c>
      <c r="BU177" s="1971" t="s">
        <v>1226</v>
      </c>
      <c r="BV177" s="1971" t="s">
        <v>1226</v>
      </c>
      <c r="BW177" s="1971" t="s">
        <v>1226</v>
      </c>
      <c r="BX177" s="1971" t="s">
        <v>1226</v>
      </c>
      <c r="BY177" s="1971" t="s">
        <v>1226</v>
      </c>
      <c r="BZ177" s="1971" t="s">
        <v>1226</v>
      </c>
      <c r="CA177" s="1971" t="s">
        <v>1226</v>
      </c>
      <c r="CB177" s="1971" t="s">
        <v>1226</v>
      </c>
    </row>
    <row r="178" spans="1:80">
      <c r="A178" s="1952" t="s">
        <v>1318</v>
      </c>
      <c r="B178" s="2"/>
      <c r="C178" s="1083"/>
      <c r="D178" s="1083"/>
      <c r="E178" s="1083"/>
      <c r="F178" s="1083"/>
      <c r="G178" s="1073"/>
      <c r="H178" s="1083"/>
      <c r="I178" s="61"/>
      <c r="J178" s="61"/>
      <c r="K178" s="61"/>
      <c r="L178" s="112"/>
      <c r="M178" s="61"/>
      <c r="N178" s="61"/>
      <c r="O178" s="61"/>
      <c r="P178" s="61"/>
      <c r="Q178" s="112"/>
      <c r="R178" s="61"/>
      <c r="S178" s="61"/>
      <c r="T178" s="61"/>
      <c r="U178" s="61"/>
      <c r="V178" s="112"/>
      <c r="W178" s="61"/>
      <c r="X178" s="61"/>
      <c r="Y178" s="61"/>
      <c r="Z178" s="61"/>
      <c r="AA178" s="112"/>
      <c r="AB178" s="61"/>
      <c r="AC178" s="61"/>
      <c r="AD178" s="61"/>
      <c r="AE178" s="61"/>
      <c r="AF178" s="112"/>
      <c r="AG178" s="61"/>
      <c r="AH178" s="61"/>
      <c r="AI178" s="61"/>
      <c r="AJ178" s="61"/>
      <c r="AK178" s="112"/>
      <c r="AL178" s="1972">
        <f t="shared" ref="AL178:BI178" si="154">SUM(AL174:AL177)</f>
        <v>3.6745843000000002</v>
      </c>
      <c r="AM178" s="1972">
        <f t="shared" si="154"/>
        <v>3.6745843000000002</v>
      </c>
      <c r="AN178" s="1972">
        <f t="shared" si="154"/>
        <v>3.6745843000000002</v>
      </c>
      <c r="AO178" s="1972">
        <f t="shared" si="154"/>
        <v>3.6745843000000002</v>
      </c>
      <c r="AP178" s="1973">
        <f t="shared" si="154"/>
        <v>14.698337200000001</v>
      </c>
      <c r="AQ178" s="1972">
        <f t="shared" si="154"/>
        <v>3.6628250249999996</v>
      </c>
      <c r="AR178" s="1972">
        <f t="shared" si="154"/>
        <v>3.6628250249999996</v>
      </c>
      <c r="AS178" s="1972">
        <f t="shared" si="154"/>
        <v>3.6628250249999996</v>
      </c>
      <c r="AT178" s="1972">
        <f t="shared" si="154"/>
        <v>3.6628250249999996</v>
      </c>
      <c r="AU178" s="1973">
        <f t="shared" si="154"/>
        <v>14.651300099999998</v>
      </c>
      <c r="AV178" s="1972">
        <f t="shared" si="154"/>
        <v>3.5265397549999999</v>
      </c>
      <c r="AW178" s="1972">
        <f t="shared" si="154"/>
        <v>3.5265397549999999</v>
      </c>
      <c r="AX178" s="1972">
        <f t="shared" si="154"/>
        <v>3.5265397549999999</v>
      </c>
      <c r="AY178" s="1972">
        <f t="shared" si="154"/>
        <v>3.5265397549999999</v>
      </c>
      <c r="AZ178" s="1973">
        <f t="shared" si="154"/>
        <v>14.10615902</v>
      </c>
      <c r="BA178" s="1972">
        <f t="shared" si="154"/>
        <v>3.3441947900000004</v>
      </c>
      <c r="BB178" s="1972">
        <f t="shared" si="154"/>
        <v>3.3441947900000004</v>
      </c>
      <c r="BC178" s="1972">
        <f t="shared" si="154"/>
        <v>3.3441947900000004</v>
      </c>
      <c r="BD178" s="1972">
        <f t="shared" si="154"/>
        <v>3.3441947900000004</v>
      </c>
      <c r="BE178" s="1973">
        <f>SUM(BE174:BE177)</f>
        <v>13.376779160000002</v>
      </c>
      <c r="BF178" s="2869">
        <f t="shared" si="154"/>
        <v>3.5394483649999997</v>
      </c>
      <c r="BG178" s="2870">
        <f t="shared" si="154"/>
        <v>3.5394483649999997</v>
      </c>
      <c r="BH178" s="2870">
        <f t="shared" si="154"/>
        <v>3.5394483649999997</v>
      </c>
      <c r="BI178" s="2871">
        <f t="shared" si="154"/>
        <v>3.5394483649999997</v>
      </c>
      <c r="BJ178" s="1973">
        <f t="shared" ref="BJ178:CB178" si="155">SUM(BJ174:BJ177)</f>
        <v>14.157793459999999</v>
      </c>
      <c r="BK178" s="2869">
        <f t="shared" si="155"/>
        <v>1.7415468199999999</v>
      </c>
      <c r="BL178" s="2870">
        <f t="shared" si="155"/>
        <v>1.7415468199999999</v>
      </c>
      <c r="BM178" s="2870">
        <f t="shared" si="155"/>
        <v>1.7415468199999999</v>
      </c>
      <c r="BN178" s="2871">
        <f t="shared" si="155"/>
        <v>1.7415468199999999</v>
      </c>
      <c r="BO178" s="1973">
        <f t="shared" si="155"/>
        <v>6.9661872799999998</v>
      </c>
      <c r="BP178" s="2869">
        <f t="shared" si="155"/>
        <v>1.7415468199999999</v>
      </c>
      <c r="BQ178" s="2870">
        <f t="shared" si="155"/>
        <v>1.7415468199999999</v>
      </c>
      <c r="BR178" s="2870">
        <f t="shared" si="155"/>
        <v>1.7415468199999999</v>
      </c>
      <c r="BS178" s="2871">
        <f t="shared" si="155"/>
        <v>1.7415468199999999</v>
      </c>
      <c r="BT178" s="1973">
        <f t="shared" si="155"/>
        <v>0</v>
      </c>
      <c r="BU178" s="1973">
        <f t="shared" si="155"/>
        <v>0</v>
      </c>
      <c r="BV178" s="1973">
        <f t="shared" si="155"/>
        <v>0</v>
      </c>
      <c r="BW178" s="1973">
        <f t="shared" si="155"/>
        <v>0</v>
      </c>
      <c r="BX178" s="1973">
        <f t="shared" si="155"/>
        <v>0</v>
      </c>
      <c r="BY178" s="1973">
        <f t="shared" si="155"/>
        <v>0</v>
      </c>
      <c r="BZ178" s="1973">
        <f t="shared" si="155"/>
        <v>0</v>
      </c>
      <c r="CA178" s="1973">
        <f t="shared" si="155"/>
        <v>0</v>
      </c>
      <c r="CB178" s="1973">
        <f t="shared" si="155"/>
        <v>0</v>
      </c>
    </row>
    <row r="179" spans="1:80">
      <c r="A179" s="1952"/>
      <c r="B179" s="2"/>
      <c r="C179" s="1083"/>
      <c r="D179" s="1083"/>
      <c r="E179" s="1083"/>
      <c r="F179" s="1083"/>
      <c r="G179" s="1073"/>
      <c r="H179" s="1083"/>
      <c r="I179" s="61"/>
      <c r="J179" s="61"/>
      <c r="K179" s="61"/>
      <c r="L179" s="112"/>
      <c r="M179" s="61"/>
      <c r="N179" s="61"/>
      <c r="O179" s="61"/>
      <c r="P179" s="61"/>
      <c r="Q179" s="112"/>
      <c r="R179" s="61"/>
      <c r="S179" s="61"/>
      <c r="T179" s="61"/>
      <c r="U179" s="61"/>
      <c r="V179" s="112"/>
      <c r="W179" s="61"/>
      <c r="X179" s="61"/>
      <c r="Y179" s="61"/>
      <c r="Z179" s="61"/>
      <c r="AA179" s="112"/>
      <c r="AB179" s="61"/>
      <c r="AC179" s="61"/>
      <c r="AD179" s="61"/>
      <c r="AE179" s="61"/>
      <c r="AF179" s="112"/>
      <c r="AG179" s="61"/>
      <c r="AH179" s="61"/>
      <c r="AI179" s="61"/>
      <c r="AJ179" s="61"/>
      <c r="AK179" s="112"/>
      <c r="AL179" s="1960"/>
      <c r="AM179" s="1960"/>
      <c r="AN179" s="1960"/>
      <c r="AO179" s="1960"/>
      <c r="AP179" s="1961"/>
      <c r="AQ179" s="1960"/>
      <c r="AR179" s="1960"/>
      <c r="AS179" s="1960"/>
      <c r="AT179" s="1960"/>
      <c r="AU179" s="1961"/>
      <c r="AV179" s="1960"/>
      <c r="AW179" s="1960"/>
      <c r="AX179" s="1960"/>
      <c r="AY179" s="1960"/>
      <c r="AZ179" s="1961"/>
      <c r="BA179" s="1960"/>
      <c r="BB179" s="1960"/>
      <c r="BC179" s="1960"/>
      <c r="BD179" s="1960"/>
      <c r="BE179" s="1961"/>
      <c r="BF179" s="2859"/>
      <c r="BG179" s="1960"/>
      <c r="BH179" s="1960"/>
      <c r="BI179" s="2860"/>
      <c r="BJ179" s="1961"/>
      <c r="BK179" s="2859"/>
      <c r="BL179" s="1960"/>
      <c r="BM179" s="1960"/>
      <c r="BN179" s="2860"/>
      <c r="BO179" s="1961"/>
      <c r="BP179" s="2859"/>
      <c r="BQ179" s="1960"/>
      <c r="BR179" s="1960"/>
      <c r="BS179" s="2860"/>
      <c r="BT179" s="1961"/>
      <c r="BU179" s="1961"/>
      <c r="BV179" s="1961"/>
      <c r="BW179" s="1961"/>
      <c r="BX179" s="1961"/>
      <c r="BY179" s="1961"/>
      <c r="BZ179" s="1961"/>
      <c r="CA179" s="1961"/>
      <c r="CB179" s="1961"/>
    </row>
    <row r="180" spans="1:80">
      <c r="A180" s="1952" t="s">
        <v>721</v>
      </c>
      <c r="B180" s="2"/>
      <c r="C180" s="1083"/>
      <c r="D180" s="1083"/>
      <c r="E180" s="1083"/>
      <c r="F180" s="1083"/>
      <c r="G180" s="1073"/>
      <c r="H180" s="1083"/>
      <c r="I180" s="61"/>
      <c r="J180" s="61"/>
      <c r="K180" s="61"/>
      <c r="L180" s="112"/>
      <c r="M180" s="61"/>
      <c r="N180" s="61"/>
      <c r="O180" s="61"/>
      <c r="P180" s="61"/>
      <c r="Q180" s="112"/>
      <c r="R180" s="61"/>
      <c r="S180" s="61"/>
      <c r="T180" s="61"/>
      <c r="U180" s="61"/>
      <c r="V180" s="112"/>
      <c r="W180" s="61"/>
      <c r="X180" s="61"/>
      <c r="Y180" s="61"/>
      <c r="Z180" s="61"/>
      <c r="AA180" s="112"/>
      <c r="AB180" s="61"/>
      <c r="AC180" s="61"/>
      <c r="AD180" s="61"/>
      <c r="AE180" s="61"/>
      <c r="AF180" s="112"/>
      <c r="AG180" s="61"/>
      <c r="AH180" s="61"/>
      <c r="AI180" s="61"/>
      <c r="AJ180" s="61"/>
      <c r="AK180" s="112"/>
      <c r="AL180" s="1960"/>
      <c r="AM180" s="1960"/>
      <c r="AN180" s="1960"/>
      <c r="AO180" s="1960"/>
      <c r="AP180" s="1961"/>
      <c r="AQ180" s="1960"/>
      <c r="AR180" s="1960"/>
      <c r="AS180" s="1960"/>
      <c r="AT180" s="1960"/>
      <c r="AU180" s="1961"/>
      <c r="AV180" s="1960"/>
      <c r="AW180" s="1960"/>
      <c r="AX180" s="1960"/>
      <c r="AY180" s="1960"/>
      <c r="AZ180" s="1961"/>
      <c r="BA180" s="1960"/>
      <c r="BB180" s="1960"/>
      <c r="BC180" s="1960"/>
      <c r="BD180" s="1960"/>
      <c r="BE180" s="1961"/>
      <c r="BF180" s="2859"/>
      <c r="BG180" s="1960"/>
      <c r="BH180" s="1960"/>
      <c r="BI180" s="2860"/>
      <c r="BJ180" s="1961"/>
      <c r="BK180" s="2859"/>
      <c r="BL180" s="1960"/>
      <c r="BM180" s="1960"/>
      <c r="BN180" s="2860"/>
      <c r="BO180" s="1961"/>
      <c r="BP180" s="2859"/>
      <c r="BQ180" s="1960"/>
      <c r="BR180" s="1960"/>
      <c r="BS180" s="2860"/>
      <c r="BT180" s="1961"/>
      <c r="BU180" s="1961"/>
      <c r="BV180" s="1961"/>
      <c r="BW180" s="1961"/>
      <c r="BX180" s="1961"/>
      <c r="BY180" s="1961"/>
      <c r="BZ180" s="1961"/>
      <c r="CA180" s="1961"/>
      <c r="CB180" s="1961"/>
    </row>
    <row r="181" spans="1:80">
      <c r="A181" s="1952">
        <v>1</v>
      </c>
      <c r="B181" s="2"/>
      <c r="C181" s="1083"/>
      <c r="D181" s="1083"/>
      <c r="E181" s="1083"/>
      <c r="F181" s="1083"/>
      <c r="G181" s="1073"/>
      <c r="H181" s="1083"/>
      <c r="I181" s="61"/>
      <c r="J181" s="61"/>
      <c r="K181" s="61"/>
      <c r="L181" s="112"/>
      <c r="M181" s="61"/>
      <c r="N181" s="61"/>
      <c r="O181" s="61"/>
      <c r="P181" s="61"/>
      <c r="Q181" s="112"/>
      <c r="R181" s="61"/>
      <c r="S181" s="61"/>
      <c r="T181" s="61"/>
      <c r="U181" s="61"/>
      <c r="V181" s="112"/>
      <c r="W181" s="61"/>
      <c r="X181" s="61"/>
      <c r="Y181" s="61"/>
      <c r="Z181" s="61"/>
      <c r="AA181" s="112"/>
      <c r="AB181" s="61"/>
      <c r="AC181" s="61"/>
      <c r="AD181" s="61"/>
      <c r="AE181" s="61"/>
      <c r="AF181" s="112"/>
      <c r="AG181" s="61"/>
      <c r="AH181" s="61"/>
      <c r="AI181" s="61"/>
      <c r="AJ181" s="61"/>
      <c r="AK181" s="112"/>
      <c r="AL181" s="1264">
        <f>$AP181/4</f>
        <v>0.16875000000000001</v>
      </c>
      <c r="AM181" s="1264">
        <f t="shared" ref="AM181:AO183" si="156">$AP181/4</f>
        <v>0.16875000000000001</v>
      </c>
      <c r="AN181" s="1264">
        <f t="shared" si="156"/>
        <v>0.16875000000000001</v>
      </c>
      <c r="AO181" s="1264">
        <f t="shared" si="156"/>
        <v>0.16875000000000001</v>
      </c>
      <c r="AP181" s="1969">
        <f>IF(AP171&gt;0, (MIN(AP$160,AP171)*AP$165)/1000,0)</f>
        <v>0.67500000000000004</v>
      </c>
      <c r="AQ181" s="1264">
        <f t="shared" ref="AQ181:AT183" si="157">$AU181/4</f>
        <v>0.16875000000000001</v>
      </c>
      <c r="AR181" s="1264">
        <f t="shared" si="157"/>
        <v>0.16875000000000001</v>
      </c>
      <c r="AS181" s="1264">
        <f t="shared" si="157"/>
        <v>0.16875000000000001</v>
      </c>
      <c r="AT181" s="1264">
        <f t="shared" si="157"/>
        <v>0.16875000000000001</v>
      </c>
      <c r="AU181" s="1969">
        <f>IF(AU171&gt;0, (MIN(AU160,AU171)*AU165)/1000,0)</f>
        <v>0.67500000000000004</v>
      </c>
      <c r="AV181" s="1264">
        <f t="shared" ref="AV181:AY183" si="158">$AZ181/4</f>
        <v>0.16875000000000001</v>
      </c>
      <c r="AW181" s="1264">
        <f t="shared" si="158"/>
        <v>0.16875000000000001</v>
      </c>
      <c r="AX181" s="1264">
        <f t="shared" si="158"/>
        <v>0.16875000000000001</v>
      </c>
      <c r="AY181" s="1264">
        <f t="shared" si="158"/>
        <v>0.16875000000000001</v>
      </c>
      <c r="AZ181" s="1969">
        <f>IF(AZ171&gt;0, (MIN(AZ160,AZ171)*AZ165)/1000,0)</f>
        <v>0.67500000000000004</v>
      </c>
      <c r="BA181" s="1264">
        <f t="shared" ref="BA181:BD183" si="159">$BE181/4</f>
        <v>0.16875000000000001</v>
      </c>
      <c r="BB181" s="1264">
        <f t="shared" si="159"/>
        <v>0.16875000000000001</v>
      </c>
      <c r="BC181" s="1264">
        <f t="shared" si="159"/>
        <v>0.16875000000000001</v>
      </c>
      <c r="BD181" s="1264">
        <f t="shared" si="159"/>
        <v>0.16875000000000001</v>
      </c>
      <c r="BE181" s="1969">
        <f>IF(BE171&gt;0, (MIN(BE160,BE171)*BE165)/1000,0)</f>
        <v>0.67500000000000004</v>
      </c>
      <c r="BF181" s="2872">
        <f t="shared" ref="BF181:BI183" si="160">$BJ181/4</f>
        <v>0.16875000000000001</v>
      </c>
      <c r="BG181" s="1264">
        <f t="shared" si="160"/>
        <v>0.16875000000000001</v>
      </c>
      <c r="BH181" s="1264">
        <f t="shared" si="160"/>
        <v>0.16875000000000001</v>
      </c>
      <c r="BI181" s="2873">
        <f t="shared" si="160"/>
        <v>0.16875000000000001</v>
      </c>
      <c r="BJ181" s="1969">
        <f>IF(BJ171&gt;0, (MIN(BJ160,BJ171)*BJ165)/1000,0)</f>
        <v>0.67500000000000004</v>
      </c>
      <c r="BK181" s="3169">
        <f>$BO181/4</f>
        <v>0.16875000000000001</v>
      </c>
      <c r="BL181" s="1264">
        <f t="shared" ref="BL181:BN183" si="161">$BO181/4</f>
        <v>0.16875000000000001</v>
      </c>
      <c r="BM181" s="1264">
        <f t="shared" si="161"/>
        <v>0.16875000000000001</v>
      </c>
      <c r="BN181" s="2873">
        <f t="shared" si="161"/>
        <v>0.16875000000000001</v>
      </c>
      <c r="BO181" s="1969">
        <f t="shared" ref="BO181:CB181" si="162">IF(BO171&gt;0, (MIN(BO160,BO171)*BO165)/1000,0)</f>
        <v>0.67500000000000004</v>
      </c>
      <c r="BP181" s="3169">
        <f>$BO181/4</f>
        <v>0.16875000000000001</v>
      </c>
      <c r="BQ181" s="1264">
        <f t="shared" ref="BQ181:BS183" si="163">$BO181/4</f>
        <v>0.16875000000000001</v>
      </c>
      <c r="BR181" s="1264">
        <f t="shared" si="163"/>
        <v>0.16875000000000001</v>
      </c>
      <c r="BS181" s="2873">
        <f t="shared" si="163"/>
        <v>0.16875000000000001</v>
      </c>
      <c r="BT181" s="1969">
        <f>IF(BT171&gt;0, (MIN(BT160,BT171)*BT165)/1000,0)</f>
        <v>0</v>
      </c>
      <c r="BU181" s="1969">
        <f t="shared" si="162"/>
        <v>0</v>
      </c>
      <c r="BV181" s="1969">
        <f t="shared" si="162"/>
        <v>0</v>
      </c>
      <c r="BW181" s="1969">
        <f t="shared" si="162"/>
        <v>0</v>
      </c>
      <c r="BX181" s="1969">
        <f t="shared" si="162"/>
        <v>0</v>
      </c>
      <c r="BY181" s="1969">
        <f t="shared" si="162"/>
        <v>0</v>
      </c>
      <c r="BZ181" s="1969">
        <f t="shared" si="162"/>
        <v>0</v>
      </c>
      <c r="CA181" s="1969">
        <f t="shared" si="162"/>
        <v>0</v>
      </c>
      <c r="CB181" s="1969">
        <f t="shared" si="162"/>
        <v>0</v>
      </c>
    </row>
    <row r="182" spans="1:80">
      <c r="A182" s="1952">
        <v>2</v>
      </c>
      <c r="B182" s="2"/>
      <c r="C182" s="1083"/>
      <c r="D182" s="1083"/>
      <c r="E182" s="1083"/>
      <c r="F182" s="1083"/>
      <c r="G182" s="1073"/>
      <c r="H182" s="1083"/>
      <c r="I182" s="61"/>
      <c r="J182" s="61"/>
      <c r="K182" s="61"/>
      <c r="L182" s="112"/>
      <c r="M182" s="61"/>
      <c r="N182" s="61"/>
      <c r="O182" s="61"/>
      <c r="P182" s="61"/>
      <c r="Q182" s="112"/>
      <c r="R182" s="61"/>
      <c r="S182" s="61"/>
      <c r="T182" s="61"/>
      <c r="U182" s="61"/>
      <c r="V182" s="112"/>
      <c r="W182" s="61"/>
      <c r="X182" s="61"/>
      <c r="Y182" s="61"/>
      <c r="Z182" s="61"/>
      <c r="AA182" s="112"/>
      <c r="AB182" s="61"/>
      <c r="AC182" s="61"/>
      <c r="AD182" s="61"/>
      <c r="AE182" s="61"/>
      <c r="AF182" s="112"/>
      <c r="AG182" s="61"/>
      <c r="AH182" s="61"/>
      <c r="AI182" s="61"/>
      <c r="AJ182" s="61"/>
      <c r="AK182" s="112"/>
      <c r="AL182" s="1264">
        <f>$AP182/4</f>
        <v>0.15</v>
      </c>
      <c r="AM182" s="1264">
        <f t="shared" si="156"/>
        <v>0.15</v>
      </c>
      <c r="AN182" s="1264">
        <f t="shared" si="156"/>
        <v>0.15</v>
      </c>
      <c r="AO182" s="1264">
        <f t="shared" si="156"/>
        <v>0.15</v>
      </c>
      <c r="AP182" s="1969">
        <f>IF(AP171&gt;AP160, (MIN(AP$161-AP$160,AP171-AP$160)*AP$166)/1000,0)</f>
        <v>0.6</v>
      </c>
      <c r="AQ182" s="1264">
        <f t="shared" si="157"/>
        <v>0.15</v>
      </c>
      <c r="AR182" s="1264">
        <f t="shared" si="157"/>
        <v>0.15</v>
      </c>
      <c r="AS182" s="1264">
        <f t="shared" si="157"/>
        <v>0.15</v>
      </c>
      <c r="AT182" s="1264">
        <f t="shared" si="157"/>
        <v>0.15</v>
      </c>
      <c r="AU182" s="1969">
        <f>IF(AU171&gt;AU160, (MIN(AU161-AU160,AU171-AU160)*AU166)/1000,0)</f>
        <v>0.6</v>
      </c>
      <c r="AV182" s="1264">
        <f t="shared" si="158"/>
        <v>0.15</v>
      </c>
      <c r="AW182" s="1264">
        <f t="shared" si="158"/>
        <v>0.15</v>
      </c>
      <c r="AX182" s="1264">
        <f t="shared" si="158"/>
        <v>0.15</v>
      </c>
      <c r="AY182" s="1264">
        <f t="shared" si="158"/>
        <v>0.15</v>
      </c>
      <c r="AZ182" s="1969">
        <f>IF(AZ171&gt;AZ160, (MIN(AZ161-AZ160,AZ171-AZ160)*AZ166)/1000,0)</f>
        <v>0.6</v>
      </c>
      <c r="BA182" s="1264">
        <f t="shared" si="159"/>
        <v>0.15</v>
      </c>
      <c r="BB182" s="1264">
        <f t="shared" si="159"/>
        <v>0.15</v>
      </c>
      <c r="BC182" s="1264">
        <f t="shared" si="159"/>
        <v>0.15</v>
      </c>
      <c r="BD182" s="1264">
        <f t="shared" si="159"/>
        <v>0.15</v>
      </c>
      <c r="BE182" s="1969">
        <f>IF(BE171&gt;BE160, (MIN(BE161-BE160,BE171-BE160)*BE166)/1000,0)</f>
        <v>0.6</v>
      </c>
      <c r="BF182" s="2872">
        <f t="shared" si="160"/>
        <v>0.15</v>
      </c>
      <c r="BG182" s="1264">
        <f t="shared" si="160"/>
        <v>0.15</v>
      </c>
      <c r="BH182" s="1264">
        <f t="shared" si="160"/>
        <v>0.15</v>
      </c>
      <c r="BI182" s="2873">
        <f t="shared" si="160"/>
        <v>0.15</v>
      </c>
      <c r="BJ182" s="1969">
        <f>IF(BJ171&gt;BJ160, (MIN(BJ161-BJ160,BJ171-BJ160)*BJ166)/1000,0)</f>
        <v>0.6</v>
      </c>
      <c r="BK182" s="3169">
        <f>$BO182/4</f>
        <v>0.12931424999999999</v>
      </c>
      <c r="BL182" s="1264">
        <f t="shared" si="161"/>
        <v>0.12931424999999999</v>
      </c>
      <c r="BM182" s="1264">
        <f t="shared" si="161"/>
        <v>0.12931424999999999</v>
      </c>
      <c r="BN182" s="2873">
        <f t="shared" si="161"/>
        <v>0.12931424999999999</v>
      </c>
      <c r="BO182" s="1969">
        <f t="shared" ref="BO182:CB182" si="164">IF(BO171&gt;BO160, (MIN(BO161-BO160,BO171-BO160)*BO166)/1000,0)</f>
        <v>0.51725699999999997</v>
      </c>
      <c r="BP182" s="3169">
        <f>$BO182/4</f>
        <v>0.12931424999999999</v>
      </c>
      <c r="BQ182" s="1264">
        <f t="shared" si="163"/>
        <v>0.12931424999999999</v>
      </c>
      <c r="BR182" s="1264">
        <f t="shared" si="163"/>
        <v>0.12931424999999999</v>
      </c>
      <c r="BS182" s="2873">
        <f t="shared" si="163"/>
        <v>0.12931424999999999</v>
      </c>
      <c r="BT182" s="1969">
        <f>IF(BT171&gt;BT160, (MIN(BT161-BT160,BT171-BT160)*BT166)/1000,0)</f>
        <v>0</v>
      </c>
      <c r="BU182" s="1969">
        <f t="shared" si="164"/>
        <v>0</v>
      </c>
      <c r="BV182" s="1969">
        <f t="shared" si="164"/>
        <v>0</v>
      </c>
      <c r="BW182" s="1969">
        <f t="shared" si="164"/>
        <v>0</v>
      </c>
      <c r="BX182" s="1969">
        <f t="shared" si="164"/>
        <v>0</v>
      </c>
      <c r="BY182" s="1969">
        <f t="shared" si="164"/>
        <v>0</v>
      </c>
      <c r="BZ182" s="1969">
        <f t="shared" si="164"/>
        <v>0</v>
      </c>
      <c r="CA182" s="1969">
        <f t="shared" si="164"/>
        <v>0</v>
      </c>
      <c r="CB182" s="1969">
        <f t="shared" si="164"/>
        <v>0</v>
      </c>
    </row>
    <row r="183" spans="1:80">
      <c r="A183" s="1952">
        <v>3</v>
      </c>
      <c r="B183" s="2"/>
      <c r="C183" s="1083"/>
      <c r="D183" s="1083"/>
      <c r="E183" s="1083"/>
      <c r="F183" s="1083"/>
      <c r="G183" s="1073"/>
      <c r="H183" s="1083"/>
      <c r="I183" s="61"/>
      <c r="J183" s="61"/>
      <c r="K183" s="61"/>
      <c r="L183" s="112"/>
      <c r="M183" s="61"/>
      <c r="N183" s="61"/>
      <c r="O183" s="61"/>
      <c r="P183" s="61"/>
      <c r="Q183" s="112"/>
      <c r="R183" s="61"/>
      <c r="S183" s="61"/>
      <c r="T183" s="61"/>
      <c r="U183" s="61"/>
      <c r="V183" s="112"/>
      <c r="W183" s="61"/>
      <c r="X183" s="61"/>
      <c r="Y183" s="61"/>
      <c r="Z183" s="61"/>
      <c r="AA183" s="112"/>
      <c r="AB183" s="61"/>
      <c r="AC183" s="61"/>
      <c r="AD183" s="61"/>
      <c r="AE183" s="61"/>
      <c r="AF183" s="112"/>
      <c r="AG183" s="61"/>
      <c r="AH183" s="61"/>
      <c r="AI183" s="61"/>
      <c r="AJ183" s="61"/>
      <c r="AK183" s="112"/>
      <c r="AL183" s="1264">
        <f>$AP183/4</f>
        <v>0.53896062499999997</v>
      </c>
      <c r="AM183" s="1264">
        <f t="shared" si="156"/>
        <v>0.53896062499999997</v>
      </c>
      <c r="AN183" s="1264">
        <f t="shared" si="156"/>
        <v>0.53896062499999997</v>
      </c>
      <c r="AO183" s="1264">
        <f t="shared" si="156"/>
        <v>0.53896062499999997</v>
      </c>
      <c r="AP183" s="1969">
        <f>IF(AP171&gt;AP$161, ((AP171-AP$161)*AP$167)/1000,0)</f>
        <v>2.1558424999999999</v>
      </c>
      <c r="AQ183" s="1264">
        <f t="shared" si="157"/>
        <v>0.53351112499999986</v>
      </c>
      <c r="AR183" s="1264">
        <f t="shared" si="157"/>
        <v>0.53351112499999986</v>
      </c>
      <c r="AS183" s="1264">
        <f t="shared" si="157"/>
        <v>0.53351112499999986</v>
      </c>
      <c r="AT183" s="1264">
        <f t="shared" si="157"/>
        <v>0.53351112499999986</v>
      </c>
      <c r="AU183" s="1969">
        <f>IF(AU171&gt;AU161, ((AU171-AU161)*AU167)/1000,0)</f>
        <v>2.1340444999999995</v>
      </c>
      <c r="AV183" s="1264">
        <f t="shared" si="158"/>
        <v>0.52553812500000008</v>
      </c>
      <c r="AW183" s="1264">
        <f t="shared" si="158"/>
        <v>0.52553812500000008</v>
      </c>
      <c r="AX183" s="1264">
        <f t="shared" si="158"/>
        <v>0.52553812500000008</v>
      </c>
      <c r="AY183" s="1264">
        <f t="shared" si="158"/>
        <v>0.52553812500000008</v>
      </c>
      <c r="AZ183" s="1969">
        <f>IF(AZ171&gt;AZ161, ((AZ171-AZ161)*AZ167)/1000,0)</f>
        <v>2.1021525000000003</v>
      </c>
      <c r="BA183" s="1264">
        <f t="shared" si="159"/>
        <v>0.44050824999999988</v>
      </c>
      <c r="BB183" s="1264">
        <f t="shared" si="159"/>
        <v>0.44050824999999988</v>
      </c>
      <c r="BC183" s="1264">
        <f t="shared" si="159"/>
        <v>0.44050824999999988</v>
      </c>
      <c r="BD183" s="1264">
        <f t="shared" si="159"/>
        <v>0.44050824999999988</v>
      </c>
      <c r="BE183" s="1969">
        <f>IF(BE171&gt;BE161, ((BE171-BE161)*BE167)/1000,0)</f>
        <v>1.7620329999999995</v>
      </c>
      <c r="BF183" s="2872">
        <f t="shared" si="160"/>
        <v>0.42648987500000002</v>
      </c>
      <c r="BG183" s="1264">
        <f t="shared" si="160"/>
        <v>0.42648987500000002</v>
      </c>
      <c r="BH183" s="1264">
        <f t="shared" si="160"/>
        <v>0.42648987500000002</v>
      </c>
      <c r="BI183" s="2873">
        <f t="shared" si="160"/>
        <v>0.42648987500000002</v>
      </c>
      <c r="BJ183" s="1969">
        <f>IF(BJ171&gt;BJ161, ((BJ171-BJ161)*BJ167)/1000,0)</f>
        <v>1.7059595000000001</v>
      </c>
      <c r="BK183" s="3169">
        <f>$BO183/4</f>
        <v>0</v>
      </c>
      <c r="BL183" s="1264">
        <f t="shared" si="161"/>
        <v>0</v>
      </c>
      <c r="BM183" s="1264">
        <f t="shared" si="161"/>
        <v>0</v>
      </c>
      <c r="BN183" s="2873">
        <f t="shared" si="161"/>
        <v>0</v>
      </c>
      <c r="BO183" s="1969">
        <f t="shared" ref="BO183:CB183" si="165">IF(BO171&gt;BO161, ((BO171-BO161)*BO167)/1000,0)</f>
        <v>0</v>
      </c>
      <c r="BP183" s="3169">
        <f>$BO183/4</f>
        <v>0</v>
      </c>
      <c r="BQ183" s="1264">
        <f t="shared" si="163"/>
        <v>0</v>
      </c>
      <c r="BR183" s="1264">
        <f t="shared" si="163"/>
        <v>0</v>
      </c>
      <c r="BS183" s="2873">
        <f t="shared" si="163"/>
        <v>0</v>
      </c>
      <c r="BT183" s="1969">
        <f>IF(BT171&gt;BT161, ((BT171-BT161)*BT167)/1000,0)</f>
        <v>0</v>
      </c>
      <c r="BU183" s="1969">
        <f t="shared" si="165"/>
        <v>0</v>
      </c>
      <c r="BV183" s="1969">
        <f t="shared" si="165"/>
        <v>0</v>
      </c>
      <c r="BW183" s="1969">
        <f t="shared" si="165"/>
        <v>0</v>
      </c>
      <c r="BX183" s="1969">
        <f t="shared" si="165"/>
        <v>0</v>
      </c>
      <c r="BY183" s="1969">
        <f t="shared" si="165"/>
        <v>0</v>
      </c>
      <c r="BZ183" s="1969">
        <f t="shared" si="165"/>
        <v>0</v>
      </c>
      <c r="CA183" s="1969">
        <f t="shared" si="165"/>
        <v>0</v>
      </c>
      <c r="CB183" s="1969">
        <f t="shared" si="165"/>
        <v>0</v>
      </c>
    </row>
    <row r="184" spans="1:80" ht="6" customHeight="1">
      <c r="A184" s="1952"/>
      <c r="B184" s="2"/>
      <c r="C184" s="1083"/>
      <c r="D184" s="1083"/>
      <c r="E184" s="1083"/>
      <c r="F184" s="1083"/>
      <c r="G184" s="1073"/>
      <c r="H184" s="1083"/>
      <c r="I184" s="61"/>
      <c r="J184" s="61"/>
      <c r="K184" s="61"/>
      <c r="L184" s="112"/>
      <c r="M184" s="61"/>
      <c r="N184" s="61"/>
      <c r="O184" s="61"/>
      <c r="P184" s="61"/>
      <c r="Q184" s="112"/>
      <c r="R184" s="61"/>
      <c r="S184" s="61"/>
      <c r="T184" s="61"/>
      <c r="U184" s="61"/>
      <c r="V184" s="112"/>
      <c r="W184" s="61"/>
      <c r="X184" s="61"/>
      <c r="Y184" s="61"/>
      <c r="Z184" s="61"/>
      <c r="AA184" s="112"/>
      <c r="AB184" s="61"/>
      <c r="AC184" s="61"/>
      <c r="AD184" s="61"/>
      <c r="AE184" s="61"/>
      <c r="AF184" s="112"/>
      <c r="AG184" s="61"/>
      <c r="AH184" s="61"/>
      <c r="AI184" s="61"/>
      <c r="AJ184" s="61"/>
      <c r="AK184" s="112"/>
      <c r="AL184" s="1970" t="s">
        <v>1226</v>
      </c>
      <c r="AM184" s="1970" t="s">
        <v>1226</v>
      </c>
      <c r="AN184" s="1970" t="s">
        <v>1226</v>
      </c>
      <c r="AO184" s="1970" t="s">
        <v>1226</v>
      </c>
      <c r="AP184" s="1971" t="s">
        <v>1226</v>
      </c>
      <c r="AQ184" s="1970" t="s">
        <v>1226</v>
      </c>
      <c r="AR184" s="1970" t="s">
        <v>1226</v>
      </c>
      <c r="AS184" s="1970" t="s">
        <v>1226</v>
      </c>
      <c r="AT184" s="1970" t="s">
        <v>1226</v>
      </c>
      <c r="AU184" s="1971" t="s">
        <v>1226</v>
      </c>
      <c r="AV184" s="1970" t="s">
        <v>1226</v>
      </c>
      <c r="AW184" s="1970" t="s">
        <v>1226</v>
      </c>
      <c r="AX184" s="1970" t="s">
        <v>1226</v>
      </c>
      <c r="AY184" s="1970" t="s">
        <v>1226</v>
      </c>
      <c r="AZ184" s="1971" t="s">
        <v>1226</v>
      </c>
      <c r="BA184" s="1970" t="s">
        <v>1226</v>
      </c>
      <c r="BB184" s="1970" t="s">
        <v>1226</v>
      </c>
      <c r="BC184" s="1970" t="s">
        <v>1226</v>
      </c>
      <c r="BD184" s="1970" t="s">
        <v>1226</v>
      </c>
      <c r="BE184" s="1971" t="s">
        <v>1226</v>
      </c>
      <c r="BF184" s="2867" t="s">
        <v>1226</v>
      </c>
      <c r="BG184" s="1970" t="s">
        <v>1226</v>
      </c>
      <c r="BH184" s="1970" t="s">
        <v>1226</v>
      </c>
      <c r="BI184" s="2868" t="s">
        <v>1226</v>
      </c>
      <c r="BJ184" s="1971" t="s">
        <v>1226</v>
      </c>
      <c r="BK184" s="2867" t="s">
        <v>1226</v>
      </c>
      <c r="BL184" s="1970" t="s">
        <v>1226</v>
      </c>
      <c r="BM184" s="1970" t="s">
        <v>1226</v>
      </c>
      <c r="BN184" s="2868" t="s">
        <v>1226</v>
      </c>
      <c r="BO184" s="1971" t="s">
        <v>1226</v>
      </c>
      <c r="BP184" s="2867" t="s">
        <v>1226</v>
      </c>
      <c r="BQ184" s="1970" t="s">
        <v>1226</v>
      </c>
      <c r="BR184" s="1970" t="s">
        <v>1226</v>
      </c>
      <c r="BS184" s="2868" t="s">
        <v>1226</v>
      </c>
      <c r="BT184" s="1971" t="s">
        <v>1226</v>
      </c>
      <c r="BU184" s="1971" t="s">
        <v>1226</v>
      </c>
      <c r="BV184" s="1971" t="s">
        <v>1226</v>
      </c>
      <c r="BW184" s="1971" t="s">
        <v>1226</v>
      </c>
      <c r="BX184" s="1971" t="s">
        <v>1226</v>
      </c>
      <c r="BY184" s="1971" t="s">
        <v>1226</v>
      </c>
      <c r="BZ184" s="1971" t="s">
        <v>1226</v>
      </c>
      <c r="CA184" s="1971" t="s">
        <v>1226</v>
      </c>
      <c r="CB184" s="1971" t="s">
        <v>1226</v>
      </c>
    </row>
    <row r="185" spans="1:80">
      <c r="A185" s="1952" t="s">
        <v>1149</v>
      </c>
      <c r="B185" s="2"/>
      <c r="C185" s="1083"/>
      <c r="D185" s="1083"/>
      <c r="E185" s="1083"/>
      <c r="F185" s="1083"/>
      <c r="G185" s="1073"/>
      <c r="H185" s="1083"/>
      <c r="I185" s="61"/>
      <c r="J185" s="61"/>
      <c r="K185" s="61"/>
      <c r="L185" s="112"/>
      <c r="M185" s="61"/>
      <c r="N185" s="61"/>
      <c r="O185" s="61"/>
      <c r="P185" s="61"/>
      <c r="Q185" s="112"/>
      <c r="R185" s="61"/>
      <c r="S185" s="61"/>
      <c r="T185" s="61"/>
      <c r="U185" s="61"/>
      <c r="V185" s="112"/>
      <c r="W185" s="61"/>
      <c r="X185" s="61"/>
      <c r="Y185" s="61"/>
      <c r="Z185" s="61"/>
      <c r="AA185" s="112"/>
      <c r="AB185" s="61"/>
      <c r="AC185" s="61"/>
      <c r="AD185" s="61"/>
      <c r="AE185" s="61"/>
      <c r="AF185" s="112"/>
      <c r="AG185" s="61"/>
      <c r="AH185" s="61"/>
      <c r="AI185" s="61"/>
      <c r="AJ185" s="61"/>
      <c r="AK185" s="112"/>
      <c r="AL185" s="1972">
        <f t="shared" ref="AL185:BI185" si="166">SUM(AL181:AL184)</f>
        <v>0.85771062499999995</v>
      </c>
      <c r="AM185" s="1972">
        <f t="shared" si="166"/>
        <v>0.85771062499999995</v>
      </c>
      <c r="AN185" s="1972">
        <f t="shared" si="166"/>
        <v>0.85771062499999995</v>
      </c>
      <c r="AO185" s="1972">
        <f t="shared" si="166"/>
        <v>0.85771062499999995</v>
      </c>
      <c r="AP185" s="1973">
        <f t="shared" si="166"/>
        <v>3.4308424999999998</v>
      </c>
      <c r="AQ185" s="1972">
        <f t="shared" si="166"/>
        <v>0.85226112499999984</v>
      </c>
      <c r="AR185" s="1972">
        <f t="shared" si="166"/>
        <v>0.85226112499999984</v>
      </c>
      <c r="AS185" s="1972">
        <f t="shared" si="166"/>
        <v>0.85226112499999984</v>
      </c>
      <c r="AT185" s="1972">
        <f t="shared" si="166"/>
        <v>0.85226112499999984</v>
      </c>
      <c r="AU185" s="1973">
        <f t="shared" si="166"/>
        <v>3.4090444999999994</v>
      </c>
      <c r="AV185" s="1972">
        <f t="shared" si="166"/>
        <v>0.84428812500000006</v>
      </c>
      <c r="AW185" s="1972">
        <f t="shared" si="166"/>
        <v>0.84428812500000006</v>
      </c>
      <c r="AX185" s="1972">
        <f t="shared" si="166"/>
        <v>0.84428812500000006</v>
      </c>
      <c r="AY185" s="1972">
        <f t="shared" si="166"/>
        <v>0.84428812500000006</v>
      </c>
      <c r="AZ185" s="1973">
        <f t="shared" si="166"/>
        <v>3.3771525000000002</v>
      </c>
      <c r="BA185" s="1972">
        <f t="shared" si="166"/>
        <v>0.7592582499999998</v>
      </c>
      <c r="BB185" s="1972">
        <f t="shared" si="166"/>
        <v>0.7592582499999998</v>
      </c>
      <c r="BC185" s="1972">
        <f t="shared" si="166"/>
        <v>0.7592582499999998</v>
      </c>
      <c r="BD185" s="1972">
        <f t="shared" si="166"/>
        <v>0.7592582499999998</v>
      </c>
      <c r="BE185" s="1973">
        <f t="shared" ref="BE185:BW185" si="167">SUM(BE181:BE184)</f>
        <v>3.0370329999999992</v>
      </c>
      <c r="BF185" s="2869">
        <f t="shared" si="166"/>
        <v>0.745239875</v>
      </c>
      <c r="BG185" s="2870">
        <f t="shared" si="166"/>
        <v>0.745239875</v>
      </c>
      <c r="BH185" s="2870">
        <f t="shared" si="166"/>
        <v>0.745239875</v>
      </c>
      <c r="BI185" s="2871">
        <f t="shared" si="166"/>
        <v>0.745239875</v>
      </c>
      <c r="BJ185" s="1973">
        <f t="shared" si="167"/>
        <v>2.9809595</v>
      </c>
      <c r="BK185" s="2869">
        <f t="shared" si="167"/>
        <v>0.29806425000000003</v>
      </c>
      <c r="BL185" s="2870">
        <f t="shared" si="167"/>
        <v>0.29806425000000003</v>
      </c>
      <c r="BM185" s="2870">
        <f t="shared" si="167"/>
        <v>0.29806425000000003</v>
      </c>
      <c r="BN185" s="2871">
        <f t="shared" si="167"/>
        <v>0.29806425000000003</v>
      </c>
      <c r="BO185" s="1973">
        <f t="shared" ref="BO185:BT185" si="168">SUM(BO181:BO184)</f>
        <v>1.1922570000000001</v>
      </c>
      <c r="BP185" s="2869">
        <f t="shared" si="168"/>
        <v>0.29806425000000003</v>
      </c>
      <c r="BQ185" s="2870">
        <f t="shared" si="168"/>
        <v>0.29806425000000003</v>
      </c>
      <c r="BR185" s="2870">
        <f t="shared" si="168"/>
        <v>0.29806425000000003</v>
      </c>
      <c r="BS185" s="2871">
        <f t="shared" si="168"/>
        <v>0.29806425000000003</v>
      </c>
      <c r="BT185" s="1973">
        <f t="shared" si="168"/>
        <v>0</v>
      </c>
      <c r="BU185" s="1973">
        <f t="shared" si="167"/>
        <v>0</v>
      </c>
      <c r="BV185" s="1973">
        <f t="shared" si="167"/>
        <v>0</v>
      </c>
      <c r="BW185" s="1973">
        <f t="shared" si="167"/>
        <v>0</v>
      </c>
      <c r="BX185" s="1973">
        <f>SUM(BX181:BX184)</f>
        <v>0</v>
      </c>
      <c r="BY185" s="1973">
        <f>SUM(BY181:BY184)</f>
        <v>0</v>
      </c>
      <c r="BZ185" s="1973">
        <f>SUM(BZ181:BZ184)</f>
        <v>0</v>
      </c>
      <c r="CA185" s="1973">
        <f>SUM(CA181:CA184)</f>
        <v>0</v>
      </c>
      <c r="CB185" s="1973">
        <f>SUM(CB181:CB184)</f>
        <v>0</v>
      </c>
    </row>
    <row r="186" spans="1:80">
      <c r="A186" s="1952"/>
      <c r="B186" s="2"/>
      <c r="C186" s="1083"/>
      <c r="D186" s="1083"/>
      <c r="E186" s="1083"/>
      <c r="F186" s="1083"/>
      <c r="G186" s="1073"/>
      <c r="H186" s="1083"/>
      <c r="I186" s="61"/>
      <c r="J186" s="61"/>
      <c r="K186" s="61"/>
      <c r="L186" s="112"/>
      <c r="M186" s="61"/>
      <c r="N186" s="61"/>
      <c r="O186" s="61"/>
      <c r="P186" s="61"/>
      <c r="Q186" s="112"/>
      <c r="R186" s="61"/>
      <c r="S186" s="61"/>
      <c r="T186" s="61"/>
      <c r="U186" s="61"/>
      <c r="V186" s="112"/>
      <c r="W186" s="61"/>
      <c r="X186" s="61"/>
      <c r="Y186" s="61"/>
      <c r="Z186" s="61"/>
      <c r="AA186" s="112"/>
      <c r="AB186" s="61"/>
      <c r="AC186" s="61"/>
      <c r="AD186" s="61"/>
      <c r="AE186" s="61"/>
      <c r="AF186" s="112"/>
      <c r="AG186" s="61"/>
      <c r="AH186" s="61"/>
      <c r="AI186" s="61"/>
      <c r="AJ186" s="61"/>
      <c r="AK186" s="112"/>
      <c r="AL186" s="1970" t="s">
        <v>1226</v>
      </c>
      <c r="AM186" s="1970" t="s">
        <v>1226</v>
      </c>
      <c r="AN186" s="1970" t="s">
        <v>1226</v>
      </c>
      <c r="AO186" s="1970" t="s">
        <v>1226</v>
      </c>
      <c r="AP186" s="1971" t="s">
        <v>1226</v>
      </c>
      <c r="AQ186" s="1970" t="s">
        <v>1226</v>
      </c>
      <c r="AR186" s="1970" t="s">
        <v>1226</v>
      </c>
      <c r="AS186" s="1970" t="s">
        <v>1226</v>
      </c>
      <c r="AT186" s="1970" t="s">
        <v>1226</v>
      </c>
      <c r="AU186" s="1971" t="s">
        <v>1226</v>
      </c>
      <c r="AV186" s="1970" t="s">
        <v>1226</v>
      </c>
      <c r="AW186" s="1970" t="s">
        <v>1226</v>
      </c>
      <c r="AX186" s="1970" t="s">
        <v>1226</v>
      </c>
      <c r="AY186" s="1970" t="s">
        <v>1226</v>
      </c>
      <c r="AZ186" s="1971" t="s">
        <v>1226</v>
      </c>
      <c r="BA186" s="1970" t="s">
        <v>1226</v>
      </c>
      <c r="BB186" s="1970" t="s">
        <v>1226</v>
      </c>
      <c r="BC186" s="1970" t="s">
        <v>1226</v>
      </c>
      <c r="BD186" s="1970" t="s">
        <v>1226</v>
      </c>
      <c r="BE186" s="1971" t="s">
        <v>1226</v>
      </c>
      <c r="BF186" s="2867" t="s">
        <v>1226</v>
      </c>
      <c r="BG186" s="1970" t="s">
        <v>1226</v>
      </c>
      <c r="BH186" s="1970" t="s">
        <v>1226</v>
      </c>
      <c r="BI186" s="2868" t="s">
        <v>1226</v>
      </c>
      <c r="BJ186" s="1971" t="s">
        <v>1226</v>
      </c>
      <c r="BK186" s="2867" t="s">
        <v>1226</v>
      </c>
      <c r="BL186" s="1970" t="s">
        <v>1226</v>
      </c>
      <c r="BM186" s="1970" t="s">
        <v>1226</v>
      </c>
      <c r="BN186" s="2868" t="s">
        <v>1226</v>
      </c>
      <c r="BO186" s="1971" t="s">
        <v>1226</v>
      </c>
      <c r="BP186" s="2867" t="s">
        <v>1226</v>
      </c>
      <c r="BQ186" s="1970" t="s">
        <v>1226</v>
      </c>
      <c r="BR186" s="1970" t="s">
        <v>1226</v>
      </c>
      <c r="BS186" s="2868" t="s">
        <v>1226</v>
      </c>
      <c r="BT186" s="1971" t="s">
        <v>1226</v>
      </c>
      <c r="BU186" s="1971" t="s">
        <v>1226</v>
      </c>
      <c r="BV186" s="1971" t="s">
        <v>1226</v>
      </c>
      <c r="BW186" s="1971" t="s">
        <v>1226</v>
      </c>
      <c r="BX186" s="1971" t="s">
        <v>1226</v>
      </c>
      <c r="BY186" s="1971" t="s">
        <v>1226</v>
      </c>
      <c r="BZ186" s="1971" t="s">
        <v>1226</v>
      </c>
      <c r="CA186" s="1971" t="s">
        <v>1226</v>
      </c>
      <c r="CB186" s="1971" t="s">
        <v>1226</v>
      </c>
    </row>
    <row r="187" spans="1:80">
      <c r="A187" s="1952" t="s">
        <v>1352</v>
      </c>
      <c r="B187" s="2"/>
      <c r="C187" s="1083"/>
      <c r="D187" s="1083"/>
      <c r="E187" s="1083"/>
      <c r="F187" s="1083"/>
      <c r="G187" s="1073"/>
      <c r="H187" s="1083"/>
      <c r="I187" s="61"/>
      <c r="J187" s="61"/>
      <c r="K187" s="61"/>
      <c r="L187" s="112"/>
      <c r="M187" s="61"/>
      <c r="N187" s="61"/>
      <c r="O187" s="61"/>
      <c r="P187" s="61"/>
      <c r="Q187" s="112"/>
      <c r="R187" s="61"/>
      <c r="S187" s="61"/>
      <c r="T187" s="61"/>
      <c r="U187" s="61"/>
      <c r="V187" s="112"/>
      <c r="W187" s="61"/>
      <c r="X187" s="61"/>
      <c r="Y187" s="61"/>
      <c r="Z187" s="61"/>
      <c r="AA187" s="112"/>
      <c r="AB187" s="61"/>
      <c r="AC187" s="61"/>
      <c r="AD187" s="61"/>
      <c r="AE187" s="61"/>
      <c r="AF187" s="112"/>
      <c r="AG187" s="61"/>
      <c r="AH187" s="61"/>
      <c r="AI187" s="61"/>
      <c r="AJ187" s="61"/>
      <c r="AK187" s="112"/>
      <c r="AL187" s="1972">
        <f t="shared" ref="AL187:BW187" si="169">AL185+AL178</f>
        <v>4.5322949250000004</v>
      </c>
      <c r="AM187" s="1972">
        <f t="shared" si="169"/>
        <v>4.5322949250000004</v>
      </c>
      <c r="AN187" s="1972">
        <f t="shared" si="169"/>
        <v>4.5322949250000004</v>
      </c>
      <c r="AO187" s="1972">
        <f t="shared" si="169"/>
        <v>4.5322949250000004</v>
      </c>
      <c r="AP187" s="1973">
        <f t="shared" si="169"/>
        <v>18.129179700000002</v>
      </c>
      <c r="AQ187" s="1972">
        <f t="shared" si="169"/>
        <v>4.5150861499999992</v>
      </c>
      <c r="AR187" s="1972">
        <f t="shared" si="169"/>
        <v>4.5150861499999992</v>
      </c>
      <c r="AS187" s="1972">
        <f t="shared" si="169"/>
        <v>4.5150861499999992</v>
      </c>
      <c r="AT187" s="1972">
        <f t="shared" si="169"/>
        <v>4.5150861499999992</v>
      </c>
      <c r="AU187" s="1973">
        <f t="shared" si="169"/>
        <v>18.060344599999997</v>
      </c>
      <c r="AV187" s="1972">
        <f t="shared" si="169"/>
        <v>4.3708278800000002</v>
      </c>
      <c r="AW187" s="1972">
        <f t="shared" si="169"/>
        <v>4.3708278800000002</v>
      </c>
      <c r="AX187" s="1972">
        <f t="shared" si="169"/>
        <v>4.3708278800000002</v>
      </c>
      <c r="AY187" s="1972">
        <f t="shared" si="169"/>
        <v>4.3708278800000002</v>
      </c>
      <c r="AZ187" s="1973">
        <f t="shared" si="169"/>
        <v>17.483311520000001</v>
      </c>
      <c r="BA187" s="1972">
        <f t="shared" si="169"/>
        <v>4.1034530399999998</v>
      </c>
      <c r="BB187" s="1972">
        <f t="shared" si="169"/>
        <v>4.1034530399999998</v>
      </c>
      <c r="BC187" s="1972">
        <f t="shared" si="169"/>
        <v>4.1034530399999998</v>
      </c>
      <c r="BD187" s="1972">
        <f t="shared" si="169"/>
        <v>4.1034530399999998</v>
      </c>
      <c r="BE187" s="1973">
        <f t="shared" si="169"/>
        <v>16.413812159999999</v>
      </c>
      <c r="BF187" s="2869">
        <f t="shared" ref="BF187:BO187" si="170">BF185+BF178</f>
        <v>4.2846882399999995</v>
      </c>
      <c r="BG187" s="2870">
        <f t="shared" si="170"/>
        <v>4.2846882399999995</v>
      </c>
      <c r="BH187" s="2870">
        <f t="shared" si="170"/>
        <v>4.2846882399999995</v>
      </c>
      <c r="BI187" s="2871">
        <f t="shared" si="170"/>
        <v>4.2846882399999995</v>
      </c>
      <c r="BJ187" s="1973">
        <f t="shared" si="170"/>
        <v>17.138752959999998</v>
      </c>
      <c r="BK187" s="2869">
        <f t="shared" si="170"/>
        <v>2.0396110699999999</v>
      </c>
      <c r="BL187" s="2870">
        <f t="shared" si="170"/>
        <v>2.0396110699999999</v>
      </c>
      <c r="BM187" s="2870">
        <f t="shared" si="170"/>
        <v>2.0396110699999999</v>
      </c>
      <c r="BN187" s="2871">
        <f t="shared" si="170"/>
        <v>2.0396110699999999</v>
      </c>
      <c r="BO187" s="1973">
        <f t="shared" si="170"/>
        <v>8.1584442799999994</v>
      </c>
      <c r="BP187" s="2869">
        <f>BP185+BP178</f>
        <v>2.0396110699999999</v>
      </c>
      <c r="BQ187" s="2870">
        <f>BQ185+BQ178</f>
        <v>2.0396110699999999</v>
      </c>
      <c r="BR187" s="2870">
        <f>BR185+BR178</f>
        <v>2.0396110699999999</v>
      </c>
      <c r="BS187" s="2871">
        <f>BS185+BS178</f>
        <v>2.0396110699999999</v>
      </c>
      <c r="BT187" s="1973">
        <f>BT185+BT178</f>
        <v>0</v>
      </c>
      <c r="BU187" s="1973">
        <f t="shared" si="169"/>
        <v>0</v>
      </c>
      <c r="BV187" s="1973">
        <f t="shared" si="169"/>
        <v>0</v>
      </c>
      <c r="BW187" s="1973">
        <f t="shared" si="169"/>
        <v>0</v>
      </c>
      <c r="BX187" s="1973">
        <f>BX185+BX178</f>
        <v>0</v>
      </c>
      <c r="BY187" s="1973">
        <f>BY185+BY178</f>
        <v>0</v>
      </c>
      <c r="BZ187" s="1973">
        <f>BZ185+BZ178</f>
        <v>0</v>
      </c>
      <c r="CA187" s="1973">
        <f>CA185+CA178</f>
        <v>0</v>
      </c>
      <c r="CB187" s="1973">
        <f>CB185+CB178</f>
        <v>0</v>
      </c>
    </row>
    <row r="188" spans="1:80">
      <c r="A188" s="2"/>
      <c r="B188" s="2"/>
      <c r="C188" s="1083"/>
      <c r="D188" s="1083"/>
      <c r="E188" s="1083"/>
      <c r="F188" s="1083"/>
      <c r="G188" s="1073"/>
      <c r="H188" s="1083"/>
      <c r="I188" s="61"/>
      <c r="J188" s="61"/>
      <c r="K188" s="61"/>
      <c r="L188" s="112"/>
      <c r="M188" s="61"/>
      <c r="N188" s="61"/>
      <c r="O188" s="61"/>
      <c r="P188" s="61"/>
      <c r="Q188" s="112"/>
      <c r="R188" s="61"/>
      <c r="S188" s="61"/>
      <c r="T188" s="61"/>
      <c r="U188" s="61"/>
      <c r="V188" s="112"/>
      <c r="W188" s="61"/>
      <c r="X188" s="61"/>
      <c r="Y188" s="61"/>
      <c r="Z188" s="61"/>
      <c r="AA188" s="112"/>
      <c r="AB188" s="61"/>
      <c r="AC188" s="61"/>
      <c r="AD188" s="61"/>
      <c r="AE188" s="61"/>
      <c r="AF188" s="112"/>
      <c r="AG188" s="61"/>
      <c r="AH188" s="61"/>
      <c r="AI188" s="61"/>
      <c r="AJ188" s="61"/>
      <c r="AK188" s="112"/>
      <c r="AL188" s="61"/>
      <c r="AM188" s="61"/>
      <c r="AN188" s="61"/>
      <c r="AO188" s="60"/>
      <c r="AP188" s="60"/>
      <c r="AQ188" s="61"/>
      <c r="AR188" s="61"/>
      <c r="AS188" s="61"/>
      <c r="AT188" s="61"/>
      <c r="AU188" s="112"/>
      <c r="AV188" s="61"/>
      <c r="AW188" s="61"/>
      <c r="AX188" s="61"/>
      <c r="AY188" s="61"/>
      <c r="AZ188" s="112"/>
      <c r="BA188" s="61"/>
      <c r="BB188" s="61"/>
      <c r="BC188" s="61"/>
      <c r="BD188" s="61"/>
      <c r="BE188" s="112"/>
      <c r="BF188" s="59"/>
      <c r="BG188" s="61"/>
      <c r="BH188" s="61"/>
      <c r="BI188" s="60"/>
      <c r="BJ188" s="112"/>
      <c r="BK188" s="59"/>
      <c r="BL188" s="61"/>
      <c r="BM188" s="61"/>
      <c r="BN188" s="60"/>
      <c r="BO188" s="112"/>
      <c r="BP188" s="59"/>
      <c r="BQ188" s="61"/>
      <c r="BR188" s="61"/>
      <c r="BS188" s="60"/>
      <c r="BT188" s="112"/>
      <c r="BU188" s="112"/>
      <c r="BV188" s="112"/>
      <c r="BW188" s="112"/>
      <c r="BX188" s="112"/>
      <c r="BY188" s="112"/>
      <c r="BZ188" s="112"/>
      <c r="CA188" s="112"/>
      <c r="CB188" s="112"/>
    </row>
    <row r="189" spans="1:80">
      <c r="A189" s="2"/>
      <c r="B189" s="2"/>
      <c r="C189" s="1083"/>
      <c r="D189" s="1083"/>
      <c r="E189" s="1083"/>
      <c r="F189" s="1083"/>
      <c r="G189" s="1073"/>
      <c r="H189" s="1083"/>
      <c r="I189" s="61"/>
      <c r="J189" s="61"/>
      <c r="K189" s="61"/>
      <c r="L189" s="112"/>
      <c r="M189" s="61"/>
      <c r="N189" s="61"/>
      <c r="O189" s="61"/>
      <c r="P189" s="61"/>
      <c r="Q189" s="112"/>
      <c r="R189" s="61"/>
      <c r="S189" s="61"/>
      <c r="T189" s="61"/>
      <c r="U189" s="61"/>
      <c r="V189" s="112"/>
      <c r="W189" s="61"/>
      <c r="X189" s="61"/>
      <c r="Y189" s="61"/>
      <c r="Z189" s="61"/>
      <c r="AA189" s="112"/>
      <c r="AB189" s="61"/>
      <c r="AC189" s="61"/>
      <c r="AD189" s="61"/>
      <c r="AE189" s="61"/>
      <c r="AF189" s="112"/>
      <c r="AG189" s="61"/>
      <c r="AH189" s="61"/>
      <c r="AI189" s="61"/>
      <c r="AJ189" s="61"/>
      <c r="AK189" s="112"/>
      <c r="AL189" s="61"/>
      <c r="AM189" s="61"/>
      <c r="AN189" s="61"/>
      <c r="AO189" s="60"/>
      <c r="AP189" s="60"/>
      <c r="AQ189" s="61"/>
      <c r="AR189" s="61"/>
      <c r="AS189" s="61"/>
      <c r="AT189" s="61"/>
      <c r="AU189" s="112"/>
      <c r="AV189" s="61"/>
      <c r="AW189" s="61"/>
      <c r="AX189" s="61"/>
      <c r="AY189" s="61"/>
      <c r="AZ189" s="112"/>
      <c r="BA189" s="61"/>
      <c r="BB189" s="61"/>
      <c r="BC189" s="61"/>
      <c r="BD189" s="61"/>
      <c r="BE189" s="112"/>
      <c r="BF189" s="59"/>
      <c r="BG189" s="61"/>
      <c r="BH189" s="61"/>
      <c r="BI189" s="60"/>
      <c r="BJ189" s="112"/>
      <c r="BK189" s="59"/>
      <c r="BL189" s="61"/>
      <c r="BM189" s="61"/>
      <c r="BN189" s="60"/>
      <c r="BO189" s="112"/>
      <c r="BP189" s="59"/>
      <c r="BQ189" s="61"/>
      <c r="BR189" s="61"/>
      <c r="BS189" s="60"/>
      <c r="BT189" s="112"/>
      <c r="BU189" s="112"/>
      <c r="BV189" s="112"/>
      <c r="BW189" s="112"/>
      <c r="BX189" s="112"/>
      <c r="BY189" s="112"/>
      <c r="BZ189" s="112"/>
      <c r="CA189" s="112"/>
      <c r="CB189" s="112"/>
    </row>
    <row r="190" spans="1:80">
      <c r="A190" s="228" t="s">
        <v>1154</v>
      </c>
      <c r="B190" s="2"/>
      <c r="C190" s="1083"/>
      <c r="D190" s="1083"/>
      <c r="E190" s="1083"/>
      <c r="F190" s="1083"/>
      <c r="G190" s="1073"/>
      <c r="H190" s="1083"/>
      <c r="I190" s="61"/>
      <c r="J190" s="61"/>
      <c r="K190" s="61"/>
      <c r="L190" s="112"/>
      <c r="M190" s="61"/>
      <c r="N190" s="61"/>
      <c r="O190" s="61"/>
      <c r="P190" s="61"/>
      <c r="Q190" s="112"/>
      <c r="R190" s="61"/>
      <c r="S190" s="61"/>
      <c r="T190" s="61"/>
      <c r="U190" s="61"/>
      <c r="V190" s="112"/>
      <c r="W190" s="61"/>
      <c r="X190" s="61"/>
      <c r="Y190" s="61"/>
      <c r="Z190" s="61"/>
      <c r="AA190" s="112"/>
      <c r="AB190" s="61"/>
      <c r="AC190" s="61"/>
      <c r="AD190" s="61"/>
      <c r="AE190" s="61"/>
      <c r="AF190" s="112"/>
      <c r="AG190" s="61"/>
      <c r="AH190" s="61"/>
      <c r="AI190" s="61"/>
      <c r="AJ190" s="61"/>
      <c r="AK190" s="112"/>
      <c r="AL190" s="61"/>
      <c r="AM190" s="61"/>
      <c r="AN190" s="61"/>
      <c r="AO190" s="60"/>
      <c r="AP190" s="60"/>
      <c r="AQ190" s="61"/>
      <c r="AR190" s="61"/>
      <c r="AS190" s="61"/>
      <c r="AT190" s="61"/>
      <c r="AU190" s="112"/>
      <c r="AV190" s="61"/>
      <c r="AW190" s="61"/>
      <c r="AX190" s="61"/>
      <c r="AY190" s="61"/>
      <c r="AZ190" s="112"/>
      <c r="BA190" s="61"/>
      <c r="BB190" s="61"/>
      <c r="BC190" s="61"/>
      <c r="BD190" s="61"/>
      <c r="BE190" s="112"/>
      <c r="BF190" s="59"/>
      <c r="BG190" s="61"/>
      <c r="BH190" s="61"/>
      <c r="BI190" s="60"/>
      <c r="BJ190" s="112"/>
      <c r="BK190" s="59"/>
      <c r="BL190" s="61"/>
      <c r="BM190" s="61"/>
      <c r="BN190" s="60"/>
      <c r="BO190" s="112"/>
      <c r="BP190" s="59"/>
      <c r="BQ190" s="61"/>
      <c r="BR190" s="61"/>
      <c r="BS190" s="60"/>
      <c r="BT190" s="112"/>
      <c r="BU190" s="112"/>
      <c r="BV190" s="112"/>
      <c r="BW190" s="112"/>
      <c r="BX190" s="112"/>
      <c r="BY190" s="112"/>
      <c r="BZ190" s="112"/>
      <c r="CA190" s="112"/>
      <c r="CB190" s="112"/>
    </row>
    <row r="191" spans="1:80">
      <c r="A191" s="1952" t="s">
        <v>526</v>
      </c>
      <c r="B191" s="2"/>
      <c r="C191" s="1083"/>
      <c r="D191" s="1083"/>
      <c r="E191" s="1083"/>
      <c r="F191" s="1083"/>
      <c r="G191" s="1073"/>
      <c r="H191" s="1083"/>
      <c r="I191" s="61"/>
      <c r="J191" s="61"/>
      <c r="K191" s="61"/>
      <c r="L191" s="112"/>
      <c r="M191" s="61"/>
      <c r="N191" s="61"/>
      <c r="O191" s="61"/>
      <c r="P191" s="61"/>
      <c r="Q191" s="112"/>
      <c r="R191" s="61"/>
      <c r="S191" s="61"/>
      <c r="T191" s="61"/>
      <c r="U191" s="61"/>
      <c r="V191" s="112"/>
      <c r="W191" s="61"/>
      <c r="X191" s="61"/>
      <c r="Y191" s="61"/>
      <c r="Z191" s="61"/>
      <c r="AA191" s="112"/>
      <c r="AB191" s="61"/>
      <c r="AC191" s="61"/>
      <c r="AD191" s="61"/>
      <c r="AE191" s="61"/>
      <c r="AF191" s="112"/>
      <c r="AG191" s="61"/>
      <c r="AH191" s="61"/>
      <c r="AI191" s="61"/>
      <c r="AJ191" s="61"/>
      <c r="AK191" s="112"/>
      <c r="AL191" s="96">
        <f>+BYD!AM571</f>
        <v>20.372551999999999</v>
      </c>
      <c r="AM191" s="96">
        <f>+BYD!AN571</f>
        <v>22.964770000000001</v>
      </c>
      <c r="AN191" s="96">
        <f>+BYD!AO571</f>
        <v>22.312023</v>
      </c>
      <c r="AO191" s="96">
        <f>+BYD!AP571</f>
        <v>21.743295999999997</v>
      </c>
      <c r="AP191" s="146">
        <f>+BYD!AQ571</f>
        <v>87.392640999999998</v>
      </c>
      <c r="AQ191" s="96">
        <f>+BYD!AR571</f>
        <v>23.115744300000003</v>
      </c>
      <c r="AR191" s="96">
        <f>+BYD!AS571</f>
        <v>23.606133</v>
      </c>
      <c r="AS191" s="96">
        <f>+BYD!AT571</f>
        <v>22.982557999999997</v>
      </c>
      <c r="AT191" s="96">
        <f>+BYD!AU571</f>
        <v>21.539290999999999</v>
      </c>
      <c r="AU191" s="146">
        <f>+BYD!AV571</f>
        <v>91.243726299999992</v>
      </c>
      <c r="AV191" s="96">
        <f>+BYD!AW571</f>
        <v>21.349922999999997</v>
      </c>
      <c r="AW191" s="96">
        <f>+BYD!AX571</f>
        <v>22.736924999999999</v>
      </c>
      <c r="AX191" s="96">
        <f>+BYD!AY571</f>
        <v>22.278268000000004</v>
      </c>
      <c r="AY191" s="96">
        <f>+BYD!AZ571</f>
        <v>20.215643</v>
      </c>
      <c r="AZ191" s="146">
        <f>+BYD!BA571</f>
        <v>86.580759</v>
      </c>
      <c r="BA191" s="96">
        <f>+BYD!BB571</f>
        <v>19.706085999999999</v>
      </c>
      <c r="BB191" s="96">
        <f>+BYD!BC571</f>
        <v>22.070107</v>
      </c>
      <c r="BC191" s="96">
        <f>+BYD!BD571</f>
        <v>21.412983999999998</v>
      </c>
      <c r="BD191" s="96">
        <f>+BYD!BE571</f>
        <v>19.977184000000001</v>
      </c>
      <c r="BE191" s="146">
        <f>+BYD!BF571</f>
        <v>83.166360999999995</v>
      </c>
      <c r="BF191" s="1115">
        <f>+BYD!BG571</f>
        <v>20.639118999999997</v>
      </c>
      <c r="BG191" s="96">
        <f>+BYD!BH571</f>
        <v>22.228524</v>
      </c>
      <c r="BH191" s="96">
        <f>+BYD!BI571</f>
        <v>22.571198000000003</v>
      </c>
      <c r="BI191" s="97">
        <f>+BYD!BJ571</f>
        <v>20.908712999999999</v>
      </c>
      <c r="BJ191" s="146">
        <f>+BYD!BK571</f>
        <v>86.347554000000002</v>
      </c>
      <c r="BK191" s="1115">
        <f>+BYD!BL571</f>
        <v>21.486035999999999</v>
      </c>
      <c r="BL191" s="96">
        <f>+BYD!BM571</f>
        <v>21.573827999999999</v>
      </c>
      <c r="BM191" s="96">
        <f>+BYD!BN571</f>
        <v>0</v>
      </c>
      <c r="BN191" s="97">
        <f>+BYD!BO571</f>
        <v>0</v>
      </c>
      <c r="BO191" s="146">
        <f>+BYD!BP571</f>
        <v>0</v>
      </c>
      <c r="BP191" s="1115">
        <f>+BYD!BQ571</f>
        <v>0</v>
      </c>
      <c r="BQ191" s="96">
        <f>+BYD!BR571</f>
        <v>0</v>
      </c>
      <c r="BR191" s="96">
        <f>+BYD!BS571</f>
        <v>0</v>
      </c>
      <c r="BS191" s="97">
        <f>+BYD!BT571</f>
        <v>0</v>
      </c>
      <c r="BT191" s="146">
        <f>+BYD!BU571</f>
        <v>0</v>
      </c>
      <c r="BU191" s="146">
        <f>+BYD!BZ571</f>
        <v>0</v>
      </c>
      <c r="BV191" s="146">
        <f>+BYD!CA571</f>
        <v>0</v>
      </c>
      <c r="BW191" s="146">
        <f>+BYD!CB571</f>
        <v>0</v>
      </c>
      <c r="BX191" s="146">
        <f>+BYD!CC571</f>
        <v>0</v>
      </c>
      <c r="BY191" s="146">
        <f>+BYD!CD571</f>
        <v>0</v>
      </c>
      <c r="BZ191" s="146">
        <f>+BYD!CE571</f>
        <v>0</v>
      </c>
      <c r="CA191" s="146">
        <f>+BYD!CF571</f>
        <v>0</v>
      </c>
      <c r="CB191" s="146">
        <f>+BYD!CG571</f>
        <v>0</v>
      </c>
    </row>
    <row r="192" spans="1:80">
      <c r="A192" s="1952" t="s">
        <v>1350</v>
      </c>
      <c r="B192" s="2"/>
      <c r="C192" s="1083"/>
      <c r="D192" s="1083"/>
      <c r="E192" s="1083"/>
      <c r="F192" s="1083"/>
      <c r="G192" s="1073"/>
      <c r="H192" s="1083"/>
      <c r="I192" s="61"/>
      <c r="J192" s="61"/>
      <c r="K192" s="61"/>
      <c r="L192" s="112"/>
      <c r="M192" s="61"/>
      <c r="N192" s="61"/>
      <c r="O192" s="61"/>
      <c r="P192" s="61"/>
      <c r="Q192" s="112"/>
      <c r="R192" s="61"/>
      <c r="S192" s="61"/>
      <c r="T192" s="61"/>
      <c r="U192" s="61"/>
      <c r="V192" s="112"/>
      <c r="W192" s="61"/>
      <c r="X192" s="61"/>
      <c r="Y192" s="61"/>
      <c r="Z192" s="61"/>
      <c r="AA192" s="112"/>
      <c r="AB192" s="61"/>
      <c r="AC192" s="61"/>
      <c r="AD192" s="61"/>
      <c r="AE192" s="61"/>
      <c r="AF192" s="112"/>
      <c r="AG192" s="61"/>
      <c r="AH192" s="61"/>
      <c r="AI192" s="61"/>
      <c r="AJ192" s="61"/>
      <c r="AK192" s="112"/>
      <c r="AL192" s="61">
        <f>+BYD!AM567</f>
        <v>343.97199999999998</v>
      </c>
      <c r="AM192" s="61">
        <f>+BYD!AN567</f>
        <v>381.40499999999997</v>
      </c>
      <c r="AN192" s="61">
        <f>+BYD!AO567</f>
        <v>379.38299999999998</v>
      </c>
      <c r="AO192" s="61">
        <f>+BYD!AP567</f>
        <v>345.01400000000001</v>
      </c>
      <c r="AP192" s="146">
        <f>+BYD!AQ567</f>
        <v>1449.7739999999999</v>
      </c>
      <c r="AQ192" s="61">
        <f>+BYD!AR567</f>
        <v>361.68299999999999</v>
      </c>
      <c r="AR192" s="61">
        <f>+BYD!AS567</f>
        <v>371.02</v>
      </c>
      <c r="AS192" s="61">
        <f>+BYD!AT567</f>
        <v>357.54700000000003</v>
      </c>
      <c r="AT192" s="61">
        <f>+BYD!AU567</f>
        <v>310.89299999999997</v>
      </c>
      <c r="AU192" s="146">
        <f>+BYD!AV567</f>
        <v>1401.143</v>
      </c>
      <c r="AV192" s="61">
        <f>+BYD!AW567</f>
        <v>308.91699999999997</v>
      </c>
      <c r="AW192" s="61">
        <f>+BYD!AX567</f>
        <v>336.42899999999997</v>
      </c>
      <c r="AX192" s="61">
        <f>+BYD!AY567</f>
        <v>340.47399999999999</v>
      </c>
      <c r="AY192" s="61">
        <f>+BYD!AZ567</f>
        <v>290.99099999999999</v>
      </c>
      <c r="AZ192" s="146">
        <f>+BYD!BA567</f>
        <v>1276.8109999999999</v>
      </c>
      <c r="BA192" s="61">
        <f>+BYD!BB567</f>
        <v>281.57900000000001</v>
      </c>
      <c r="BB192" s="61">
        <f>+BYD!BC567</f>
        <v>332.59899999999999</v>
      </c>
      <c r="BC192" s="61">
        <f>+BYD!BD567</f>
        <v>328.113</v>
      </c>
      <c r="BD192" s="61">
        <f>+BYD!BE567</f>
        <v>280.31200000000001</v>
      </c>
      <c r="BE192" s="146">
        <f>+BYD!BF567</f>
        <v>1222.6030000000001</v>
      </c>
      <c r="BF192" s="59">
        <f>+BYD!BG567</f>
        <v>299.08999999999997</v>
      </c>
      <c r="BG192" s="61">
        <f>+BYD!BH567</f>
        <v>326.25</v>
      </c>
      <c r="BH192" s="61">
        <f>+BYD!BI567</f>
        <v>330.34100000000001</v>
      </c>
      <c r="BI192" s="60">
        <f>+BYD!BJ567</f>
        <v>300.88499999999999</v>
      </c>
      <c r="BJ192" s="146">
        <f>+BYD!BK567</f>
        <v>1256.5659999999998</v>
      </c>
      <c r="BK192" s="59">
        <f>+BYD!BL567</f>
        <v>312.971</v>
      </c>
      <c r="BL192" s="61">
        <f>+BYD!BM567</f>
        <v>322.69600000000003</v>
      </c>
      <c r="BM192" s="61">
        <f>+BYD!BN567</f>
        <v>0</v>
      </c>
      <c r="BN192" s="60">
        <f>+BYD!BO567</f>
        <v>0</v>
      </c>
      <c r="BO192" s="146">
        <f>+BYD!BP567</f>
        <v>0</v>
      </c>
      <c r="BP192" s="59">
        <f>+BYD!BQ567</f>
        <v>0</v>
      </c>
      <c r="BQ192" s="61">
        <f>+BYD!BR567</f>
        <v>0</v>
      </c>
      <c r="BR192" s="61">
        <f>+BYD!BS567</f>
        <v>0</v>
      </c>
      <c r="BS192" s="60">
        <f>+BYD!BT567</f>
        <v>0</v>
      </c>
      <c r="BT192" s="146">
        <f>+BYD!BU567</f>
        <v>0</v>
      </c>
      <c r="BU192" s="146">
        <f>+BYD!BZ567</f>
        <v>0</v>
      </c>
      <c r="BV192" s="146">
        <f>+BYD!CA567</f>
        <v>0</v>
      </c>
      <c r="BW192" s="146">
        <f>+BYD!CB567</f>
        <v>0</v>
      </c>
      <c r="BX192" s="146">
        <f>+BYD!CC567</f>
        <v>0</v>
      </c>
      <c r="BY192" s="146">
        <f>+BYD!CD567</f>
        <v>0</v>
      </c>
      <c r="BZ192" s="146">
        <f>+BYD!CE567</f>
        <v>0</v>
      </c>
      <c r="CA192" s="146">
        <f>+BYD!CF567</f>
        <v>0</v>
      </c>
      <c r="CB192" s="146">
        <f>+BYD!CG567</f>
        <v>0</v>
      </c>
    </row>
    <row r="193" spans="1:80">
      <c r="A193" s="1952"/>
      <c r="B193" s="2"/>
      <c r="C193" s="1083"/>
      <c r="D193" s="1083"/>
      <c r="E193" s="1083"/>
      <c r="F193" s="1083"/>
      <c r="G193" s="1073"/>
      <c r="H193" s="1083"/>
      <c r="I193" s="61"/>
      <c r="J193" s="61"/>
      <c r="K193" s="61"/>
      <c r="L193" s="112"/>
      <c r="M193" s="61"/>
      <c r="N193" s="61"/>
      <c r="O193" s="61"/>
      <c r="P193" s="61"/>
      <c r="Q193" s="112"/>
      <c r="R193" s="61"/>
      <c r="S193" s="61"/>
      <c r="T193" s="61"/>
      <c r="U193" s="61"/>
      <c r="V193" s="112"/>
      <c r="W193" s="61"/>
      <c r="X193" s="61"/>
      <c r="Y193" s="61"/>
      <c r="Z193" s="61"/>
      <c r="AA193" s="112"/>
      <c r="AB193" s="61"/>
      <c r="AC193" s="61"/>
      <c r="AD193" s="61"/>
      <c r="AE193" s="61"/>
      <c r="AF193" s="112"/>
      <c r="AG193" s="61"/>
      <c r="AH193" s="61"/>
      <c r="AI193" s="61"/>
      <c r="AJ193" s="61"/>
      <c r="AK193" s="112"/>
      <c r="AL193" s="61"/>
      <c r="AM193" s="61"/>
      <c r="AN193" s="61"/>
      <c r="AO193" s="60"/>
      <c r="AP193" s="60"/>
      <c r="AQ193" s="61"/>
      <c r="AR193" s="61"/>
      <c r="AS193" s="61"/>
      <c r="AT193" s="61"/>
      <c r="AU193" s="112"/>
      <c r="AV193" s="61"/>
      <c r="AW193" s="61"/>
      <c r="AX193" s="61"/>
      <c r="AY193" s="61"/>
      <c r="AZ193" s="112"/>
      <c r="BA193" s="61"/>
      <c r="BB193" s="61"/>
      <c r="BC193" s="61"/>
      <c r="BD193" s="61"/>
      <c r="BE193" s="112"/>
      <c r="BF193" s="59"/>
      <c r="BG193" s="61"/>
      <c r="BH193" s="61"/>
      <c r="BI193" s="60"/>
      <c r="BJ193" s="112"/>
      <c r="BK193" s="59"/>
      <c r="BL193" s="61"/>
      <c r="BM193" s="61"/>
      <c r="BN193" s="60"/>
      <c r="BO193" s="112"/>
      <c r="BP193" s="59"/>
      <c r="BQ193" s="61"/>
      <c r="BR193" s="61"/>
      <c r="BS193" s="60"/>
      <c r="BT193" s="112"/>
      <c r="BU193" s="112"/>
      <c r="BV193" s="112"/>
      <c r="BW193" s="112"/>
      <c r="BX193" s="112"/>
      <c r="BY193" s="112"/>
      <c r="BZ193" s="112"/>
      <c r="CA193" s="112"/>
      <c r="CB193" s="112"/>
    </row>
    <row r="194" spans="1:80">
      <c r="A194" s="1952" t="s">
        <v>1346</v>
      </c>
      <c r="B194" s="2"/>
      <c r="C194" s="1083"/>
      <c r="D194" s="1083"/>
      <c r="E194" s="1083"/>
      <c r="F194" s="1083"/>
      <c r="G194" s="1073"/>
      <c r="H194" s="1083"/>
      <c r="I194" s="61"/>
      <c r="J194" s="61"/>
      <c r="K194" s="61"/>
      <c r="L194" s="112"/>
      <c r="M194" s="61"/>
      <c r="N194" s="61"/>
      <c r="O194" s="61"/>
      <c r="P194" s="61"/>
      <c r="Q194" s="112"/>
      <c r="R194" s="61"/>
      <c r="S194" s="61"/>
      <c r="T194" s="61"/>
      <c r="U194" s="61"/>
      <c r="V194" s="112"/>
      <c r="W194" s="61"/>
      <c r="X194" s="61"/>
      <c r="Y194" s="61"/>
      <c r="Z194" s="61"/>
      <c r="AA194" s="112"/>
      <c r="AB194" s="61"/>
      <c r="AC194" s="61"/>
      <c r="AD194" s="61"/>
      <c r="AE194" s="61"/>
      <c r="AF194" s="112"/>
      <c r="AG194" s="61"/>
      <c r="AH194" s="61"/>
      <c r="AI194" s="61"/>
      <c r="AJ194" s="61"/>
      <c r="AK194" s="112"/>
      <c r="AL194" s="61"/>
      <c r="AM194" s="61"/>
      <c r="AN194" s="61"/>
      <c r="AO194" s="60"/>
      <c r="AP194" s="60"/>
      <c r="AQ194" s="61"/>
      <c r="AR194" s="61"/>
      <c r="AS194" s="61"/>
      <c r="AT194" s="61"/>
      <c r="AU194" s="112"/>
      <c r="AV194" s="61"/>
      <c r="AW194" s="61"/>
      <c r="AX194" s="61"/>
      <c r="AY194" s="61"/>
      <c r="AZ194" s="112"/>
      <c r="BA194" s="61"/>
      <c r="BB194" s="61"/>
      <c r="BC194" s="61"/>
      <c r="BD194" s="61"/>
      <c r="BE194" s="112"/>
      <c r="BF194" s="59"/>
      <c r="BG194" s="61"/>
      <c r="BH194" s="61"/>
      <c r="BI194" s="60"/>
      <c r="BJ194" s="112"/>
      <c r="BK194" s="59"/>
      <c r="BL194" s="61"/>
      <c r="BM194" s="61"/>
      <c r="BN194" s="60"/>
      <c r="BO194" s="112"/>
      <c r="BP194" s="59"/>
      <c r="BQ194" s="61"/>
      <c r="BR194" s="61"/>
      <c r="BS194" s="60"/>
      <c r="BT194" s="112"/>
      <c r="BU194" s="112"/>
      <c r="BV194" s="112"/>
      <c r="BW194" s="112"/>
      <c r="BX194" s="112"/>
      <c r="BY194" s="112"/>
      <c r="BZ194" s="112"/>
      <c r="CA194" s="112"/>
      <c r="CB194" s="112"/>
    </row>
    <row r="195" spans="1:80">
      <c r="A195" s="1953" t="s">
        <v>1146</v>
      </c>
      <c r="B195" s="2"/>
      <c r="C195" s="1083"/>
      <c r="D195" s="1083"/>
      <c r="E195" s="1083"/>
      <c r="F195" s="1083"/>
      <c r="G195" s="1073"/>
      <c r="H195" s="1083"/>
      <c r="I195" s="61"/>
      <c r="J195" s="61"/>
      <c r="K195" s="61"/>
      <c r="L195" s="112"/>
      <c r="M195" s="61"/>
      <c r="N195" s="61"/>
      <c r="O195" s="61"/>
      <c r="P195" s="61"/>
      <c r="Q195" s="112"/>
      <c r="R195" s="61"/>
      <c r="S195" s="61"/>
      <c r="T195" s="61"/>
      <c r="U195" s="61"/>
      <c r="V195" s="112"/>
      <c r="W195" s="61"/>
      <c r="X195" s="61"/>
      <c r="Y195" s="61"/>
      <c r="Z195" s="61"/>
      <c r="AA195" s="112"/>
      <c r="AB195" s="61"/>
      <c r="AC195" s="61"/>
      <c r="AD195" s="61"/>
      <c r="AE195" s="61"/>
      <c r="AF195" s="112"/>
      <c r="AG195" s="61"/>
      <c r="AH195" s="61"/>
      <c r="AI195" s="61"/>
      <c r="AJ195" s="61"/>
      <c r="AK195" s="112"/>
      <c r="AL195" s="1968">
        <f>$AP195/4</f>
        <v>1.2500000000000001E-2</v>
      </c>
      <c r="AM195" s="1968">
        <f t="shared" ref="AM195:AO197" si="171">$AP195/4</f>
        <v>1.2500000000000001E-2</v>
      </c>
      <c r="AN195" s="1968">
        <f t="shared" si="171"/>
        <v>1.2500000000000001E-2</v>
      </c>
      <c r="AO195" s="1968">
        <f t="shared" si="171"/>
        <v>1.2500000000000001E-2</v>
      </c>
      <c r="AP195" s="1969">
        <f>IF(AP191&gt;0, MIN(AP$150,AP191)*AP$155,0)</f>
        <v>0.05</v>
      </c>
      <c r="AQ195" s="1968">
        <f t="shared" ref="AQ195:AT197" si="172">$AU195/4</f>
        <v>1.2500000000000001E-2</v>
      </c>
      <c r="AR195" s="1968">
        <f t="shared" si="172"/>
        <v>1.2500000000000001E-2</v>
      </c>
      <c r="AS195" s="1968">
        <f t="shared" si="172"/>
        <v>1.2500000000000001E-2</v>
      </c>
      <c r="AT195" s="1968">
        <f t="shared" si="172"/>
        <v>1.2500000000000001E-2</v>
      </c>
      <c r="AU195" s="1969">
        <f>IF(AU191&gt;0, MIN(AU$150,AU191)*AU$155,0)</f>
        <v>0.05</v>
      </c>
      <c r="AV195" s="1968">
        <f t="shared" ref="AV195:AY197" si="173">$AZ195/4</f>
        <v>1.2500000000000001E-2</v>
      </c>
      <c r="AW195" s="1968">
        <f t="shared" si="173"/>
        <v>1.2500000000000001E-2</v>
      </c>
      <c r="AX195" s="1968">
        <f t="shared" si="173"/>
        <v>1.2500000000000001E-2</v>
      </c>
      <c r="AY195" s="1968">
        <f t="shared" si="173"/>
        <v>1.2500000000000001E-2</v>
      </c>
      <c r="AZ195" s="1969">
        <f>IF(AZ191&gt;0, MIN(AZ$150,AZ191)*AZ$155,0)</f>
        <v>0.05</v>
      </c>
      <c r="BA195" s="1968">
        <f t="shared" ref="BA195:BD197" si="174">$BE195/4</f>
        <v>1.2500000000000001E-2</v>
      </c>
      <c r="BB195" s="1968">
        <f t="shared" si="174"/>
        <v>1.2500000000000001E-2</v>
      </c>
      <c r="BC195" s="1968">
        <f t="shared" si="174"/>
        <v>1.2500000000000001E-2</v>
      </c>
      <c r="BD195" s="1968">
        <f t="shared" si="174"/>
        <v>1.2500000000000001E-2</v>
      </c>
      <c r="BE195" s="1969">
        <f>IF(BE191&gt;0, MIN(BE$150,BE191)*BE$155,0)</f>
        <v>0.05</v>
      </c>
      <c r="BF195" s="2865">
        <f t="shared" ref="BF195:BI197" si="175">$BJ195/4</f>
        <v>1.2500000000000001E-2</v>
      </c>
      <c r="BG195" s="1968">
        <f t="shared" si="175"/>
        <v>1.2500000000000001E-2</v>
      </c>
      <c r="BH195" s="1968">
        <f t="shared" si="175"/>
        <v>1.2500000000000001E-2</v>
      </c>
      <c r="BI195" s="2866">
        <f t="shared" si="175"/>
        <v>1.2500000000000001E-2</v>
      </c>
      <c r="BJ195" s="1969">
        <f>IF(BJ191&gt;0, MIN(BJ$150,BJ191)*BJ$155,0)</f>
        <v>0.05</v>
      </c>
      <c r="BK195" s="3168">
        <f>$BO195/4</f>
        <v>0</v>
      </c>
      <c r="BL195" s="1968">
        <f t="shared" ref="BL195:BN197" si="176">$BO195/4</f>
        <v>0</v>
      </c>
      <c r="BM195" s="1968">
        <f t="shared" si="176"/>
        <v>0</v>
      </c>
      <c r="BN195" s="2866">
        <f t="shared" si="176"/>
        <v>0</v>
      </c>
      <c r="BO195" s="1969">
        <f t="shared" ref="BO195:CB195" si="177">IF(BO191&gt;0, MIN(BO$150,BO191)*BO$155,0)</f>
        <v>0</v>
      </c>
      <c r="BP195" s="3168">
        <f>$BO195/4</f>
        <v>0</v>
      </c>
      <c r="BQ195" s="1968">
        <f t="shared" ref="BQ195:BS197" si="178">$BO195/4</f>
        <v>0</v>
      </c>
      <c r="BR195" s="1968">
        <f t="shared" si="178"/>
        <v>0</v>
      </c>
      <c r="BS195" s="2866">
        <f t="shared" si="178"/>
        <v>0</v>
      </c>
      <c r="BT195" s="1969">
        <f>IF(BT191&gt;0, MIN(BT$150,BT191)*BT$155,0)</f>
        <v>0</v>
      </c>
      <c r="BU195" s="1969">
        <f t="shared" si="177"/>
        <v>0</v>
      </c>
      <c r="BV195" s="1969">
        <f t="shared" si="177"/>
        <v>0</v>
      </c>
      <c r="BW195" s="1969">
        <f t="shared" si="177"/>
        <v>0</v>
      </c>
      <c r="BX195" s="1969">
        <f t="shared" si="177"/>
        <v>0</v>
      </c>
      <c r="BY195" s="1969">
        <f t="shared" si="177"/>
        <v>0</v>
      </c>
      <c r="BZ195" s="1969">
        <f t="shared" si="177"/>
        <v>0</v>
      </c>
      <c r="CA195" s="1969">
        <f t="shared" si="177"/>
        <v>0</v>
      </c>
      <c r="CB195" s="1969">
        <f t="shared" si="177"/>
        <v>0</v>
      </c>
    </row>
    <row r="196" spans="1:80">
      <c r="A196" s="1953" t="s">
        <v>1147</v>
      </c>
      <c r="B196" s="2"/>
      <c r="C196" s="1083"/>
      <c r="D196" s="1083"/>
      <c r="E196" s="1083"/>
      <c r="F196" s="1083"/>
      <c r="G196" s="1073"/>
      <c r="H196" s="1083"/>
      <c r="I196" s="61"/>
      <c r="J196" s="61"/>
      <c r="K196" s="61"/>
      <c r="L196" s="112"/>
      <c r="M196" s="61"/>
      <c r="N196" s="61"/>
      <c r="O196" s="61"/>
      <c r="P196" s="61"/>
      <c r="Q196" s="112"/>
      <c r="R196" s="61"/>
      <c r="S196" s="61"/>
      <c r="T196" s="61"/>
      <c r="U196" s="61"/>
      <c r="V196" s="112"/>
      <c r="W196" s="61"/>
      <c r="X196" s="61"/>
      <c r="Y196" s="61"/>
      <c r="Z196" s="61"/>
      <c r="AA196" s="112"/>
      <c r="AB196" s="61"/>
      <c r="AC196" s="61"/>
      <c r="AD196" s="61"/>
      <c r="AE196" s="61"/>
      <c r="AF196" s="112"/>
      <c r="AG196" s="61"/>
      <c r="AH196" s="61"/>
      <c r="AI196" s="61"/>
      <c r="AJ196" s="61"/>
      <c r="AK196" s="112"/>
      <c r="AL196" s="1968">
        <f>$AP196/4</f>
        <v>0.05</v>
      </c>
      <c r="AM196" s="1968">
        <f t="shared" si="171"/>
        <v>0.05</v>
      </c>
      <c r="AN196" s="1968">
        <f t="shared" si="171"/>
        <v>0.05</v>
      </c>
      <c r="AO196" s="1968">
        <f t="shared" si="171"/>
        <v>0.05</v>
      </c>
      <c r="AP196" s="1969">
        <f>IF(AP191&gt;AP$150, MIN(AP$151-AP$150,AP191-AP$150)*AP$156,0)</f>
        <v>0.2</v>
      </c>
      <c r="AQ196" s="1968">
        <f t="shared" si="172"/>
        <v>0.05</v>
      </c>
      <c r="AR196" s="1968">
        <f t="shared" si="172"/>
        <v>0.05</v>
      </c>
      <c r="AS196" s="1968">
        <f t="shared" si="172"/>
        <v>0.05</v>
      </c>
      <c r="AT196" s="1968">
        <f t="shared" si="172"/>
        <v>0.05</v>
      </c>
      <c r="AU196" s="1969">
        <f>IF(AU191&gt;AU$150, MIN(AU$151-AU$150,AU191-AU$150)*AU$156,0)</f>
        <v>0.2</v>
      </c>
      <c r="AV196" s="1968">
        <f t="shared" si="173"/>
        <v>0.05</v>
      </c>
      <c r="AW196" s="1968">
        <f t="shared" si="173"/>
        <v>0.05</v>
      </c>
      <c r="AX196" s="1968">
        <f t="shared" si="173"/>
        <v>0.05</v>
      </c>
      <c r="AY196" s="1968">
        <f t="shared" si="173"/>
        <v>0.05</v>
      </c>
      <c r="AZ196" s="1969">
        <f>IF(AZ191&gt;AZ$150, MIN(AZ$151-AZ$150,AZ191-AZ$150)*AZ$156,0)</f>
        <v>0.2</v>
      </c>
      <c r="BA196" s="1968">
        <f t="shared" si="174"/>
        <v>0.05</v>
      </c>
      <c r="BB196" s="1968">
        <f t="shared" si="174"/>
        <v>0.05</v>
      </c>
      <c r="BC196" s="1968">
        <f t="shared" si="174"/>
        <v>0.05</v>
      </c>
      <c r="BD196" s="1968">
        <f t="shared" si="174"/>
        <v>0.05</v>
      </c>
      <c r="BE196" s="1969">
        <f>IF(BE191&gt;BE$150, MIN(BE$151-BE$150,BE191-BE$150)*BE$156,0)</f>
        <v>0.2</v>
      </c>
      <c r="BF196" s="2865">
        <f t="shared" si="175"/>
        <v>0.05</v>
      </c>
      <c r="BG196" s="1968">
        <f t="shared" si="175"/>
        <v>0.05</v>
      </c>
      <c r="BH196" s="1968">
        <f t="shared" si="175"/>
        <v>0.05</v>
      </c>
      <c r="BI196" s="2866">
        <f t="shared" si="175"/>
        <v>0.05</v>
      </c>
      <c r="BJ196" s="1969">
        <f>IF(BJ191&gt;BJ$150, MIN(BJ$151-BJ$150,BJ191-BJ$150)*BJ$156,0)</f>
        <v>0.2</v>
      </c>
      <c r="BK196" s="3168">
        <f>$BO196/4</f>
        <v>0</v>
      </c>
      <c r="BL196" s="1968">
        <f t="shared" si="176"/>
        <v>0</v>
      </c>
      <c r="BM196" s="1968">
        <f t="shared" si="176"/>
        <v>0</v>
      </c>
      <c r="BN196" s="2866">
        <f t="shared" si="176"/>
        <v>0</v>
      </c>
      <c r="BO196" s="1969">
        <f t="shared" ref="BO196:CB196" si="179">IF(BO191&gt;BO$150, MIN(BO$151-BO$150,BO191-BO$150)*BO$156,0)</f>
        <v>0</v>
      </c>
      <c r="BP196" s="3168">
        <f>$BO196/4</f>
        <v>0</v>
      </c>
      <c r="BQ196" s="1968">
        <f t="shared" si="178"/>
        <v>0</v>
      </c>
      <c r="BR196" s="1968">
        <f t="shared" si="178"/>
        <v>0</v>
      </c>
      <c r="BS196" s="2866">
        <f t="shared" si="178"/>
        <v>0</v>
      </c>
      <c r="BT196" s="1969">
        <f>IF(BT191&gt;BT$150, MIN(BT$151-BT$150,BT191-BT$150)*BT$156,0)</f>
        <v>0</v>
      </c>
      <c r="BU196" s="1969">
        <f t="shared" si="179"/>
        <v>0</v>
      </c>
      <c r="BV196" s="1969">
        <f t="shared" si="179"/>
        <v>0</v>
      </c>
      <c r="BW196" s="1969">
        <f t="shared" si="179"/>
        <v>0</v>
      </c>
      <c r="BX196" s="1969">
        <f t="shared" si="179"/>
        <v>0</v>
      </c>
      <c r="BY196" s="1969">
        <f t="shared" si="179"/>
        <v>0</v>
      </c>
      <c r="BZ196" s="1969">
        <f t="shared" si="179"/>
        <v>0</v>
      </c>
      <c r="CA196" s="1969">
        <f t="shared" si="179"/>
        <v>0</v>
      </c>
      <c r="CB196" s="1969">
        <f t="shared" si="179"/>
        <v>0</v>
      </c>
    </row>
    <row r="197" spans="1:80">
      <c r="A197" s="1953" t="s">
        <v>1148</v>
      </c>
      <c r="B197" s="2"/>
      <c r="C197" s="1083"/>
      <c r="D197" s="1083"/>
      <c r="E197" s="1083"/>
      <c r="F197" s="1083"/>
      <c r="G197" s="1073"/>
      <c r="H197" s="1083"/>
      <c r="I197" s="61"/>
      <c r="J197" s="61"/>
      <c r="K197" s="61"/>
      <c r="L197" s="112"/>
      <c r="M197" s="61"/>
      <c r="N197" s="61"/>
      <c r="O197" s="61"/>
      <c r="P197" s="61"/>
      <c r="Q197" s="112"/>
      <c r="R197" s="61"/>
      <c r="S197" s="61"/>
      <c r="T197" s="61"/>
      <c r="U197" s="61"/>
      <c r="V197" s="112"/>
      <c r="W197" s="61"/>
      <c r="X197" s="61"/>
      <c r="Y197" s="61"/>
      <c r="Z197" s="61"/>
      <c r="AA197" s="112"/>
      <c r="AB197" s="61"/>
      <c r="AC197" s="61"/>
      <c r="AD197" s="61"/>
      <c r="AE197" s="61"/>
      <c r="AF197" s="112"/>
      <c r="AG197" s="61"/>
      <c r="AH197" s="61"/>
      <c r="AI197" s="61"/>
      <c r="AJ197" s="61"/>
      <c r="AK197" s="112"/>
      <c r="AL197" s="1968">
        <f>$AP197/4</f>
        <v>4.6415952549999995</v>
      </c>
      <c r="AM197" s="1968">
        <f t="shared" si="171"/>
        <v>4.6415952549999995</v>
      </c>
      <c r="AN197" s="1968">
        <f t="shared" si="171"/>
        <v>4.6415952549999995</v>
      </c>
      <c r="AO197" s="1968">
        <f t="shared" si="171"/>
        <v>4.6415952549999995</v>
      </c>
      <c r="AP197" s="1969">
        <f>IF(AP191&gt;AP$151,(AP191-AP$151)*AP$157,0)</f>
        <v>18.566381019999998</v>
      </c>
      <c r="AQ197" s="1968">
        <f t="shared" si="172"/>
        <v>4.8534049464999995</v>
      </c>
      <c r="AR197" s="1968">
        <f t="shared" si="172"/>
        <v>4.8534049464999995</v>
      </c>
      <c r="AS197" s="1968">
        <f t="shared" si="172"/>
        <v>4.8534049464999995</v>
      </c>
      <c r="AT197" s="1968">
        <f t="shared" si="172"/>
        <v>4.8534049464999995</v>
      </c>
      <c r="AU197" s="1969">
        <f>IF(AU191&gt;AU$151,(AU191-AU$151)*AU$157,0)</f>
        <v>19.413619785999998</v>
      </c>
      <c r="AV197" s="1968">
        <f t="shared" si="173"/>
        <v>4.5969417449999996</v>
      </c>
      <c r="AW197" s="1968">
        <f t="shared" si="173"/>
        <v>4.5969417449999996</v>
      </c>
      <c r="AX197" s="1968">
        <f t="shared" si="173"/>
        <v>4.5969417449999996</v>
      </c>
      <c r="AY197" s="1968">
        <f t="shared" si="173"/>
        <v>4.5969417449999996</v>
      </c>
      <c r="AZ197" s="1969">
        <f>IF(AZ191&gt;AZ$151,(AZ191-AZ$151)*AZ$157,0)</f>
        <v>18.387766979999999</v>
      </c>
      <c r="BA197" s="1968">
        <f t="shared" si="174"/>
        <v>4.4091498549999999</v>
      </c>
      <c r="BB197" s="1968">
        <f t="shared" si="174"/>
        <v>4.4091498549999999</v>
      </c>
      <c r="BC197" s="1968">
        <f t="shared" si="174"/>
        <v>4.4091498549999999</v>
      </c>
      <c r="BD197" s="1968">
        <f t="shared" si="174"/>
        <v>4.4091498549999999</v>
      </c>
      <c r="BE197" s="1969">
        <f>IF(BE191&gt;BE$151,(BE191-BE$151)*BE$157,0)</f>
        <v>17.63659942</v>
      </c>
      <c r="BF197" s="2865">
        <f t="shared" si="175"/>
        <v>4.5841154700000004</v>
      </c>
      <c r="BG197" s="1968">
        <f t="shared" si="175"/>
        <v>4.5841154700000004</v>
      </c>
      <c r="BH197" s="1968">
        <f t="shared" si="175"/>
        <v>4.5841154700000004</v>
      </c>
      <c r="BI197" s="2866">
        <f t="shared" si="175"/>
        <v>4.5841154700000004</v>
      </c>
      <c r="BJ197" s="1969">
        <f>IF(BJ191&gt;BJ$151,(BJ191-BJ$151)*BJ$157,0)</f>
        <v>18.336461880000002</v>
      </c>
      <c r="BK197" s="3168">
        <f>$BO197/4</f>
        <v>0</v>
      </c>
      <c r="BL197" s="1968">
        <f t="shared" si="176"/>
        <v>0</v>
      </c>
      <c r="BM197" s="1968">
        <f t="shared" si="176"/>
        <v>0</v>
      </c>
      <c r="BN197" s="2866">
        <f t="shared" si="176"/>
        <v>0</v>
      </c>
      <c r="BO197" s="1969">
        <f t="shared" ref="BO197:CB197" si="180">IF(BO191&gt;BO$151,(BO191-BO$151)*BO$157,0)</f>
        <v>0</v>
      </c>
      <c r="BP197" s="3168">
        <f>$BO197/4</f>
        <v>0</v>
      </c>
      <c r="BQ197" s="1968">
        <f t="shared" si="178"/>
        <v>0</v>
      </c>
      <c r="BR197" s="1968">
        <f t="shared" si="178"/>
        <v>0</v>
      </c>
      <c r="BS197" s="2866">
        <f t="shared" si="178"/>
        <v>0</v>
      </c>
      <c r="BT197" s="1969">
        <f>IF(BT191&gt;BT$151,(BT191-BT$151)*BT$157,0)</f>
        <v>0</v>
      </c>
      <c r="BU197" s="1969">
        <f t="shared" si="180"/>
        <v>0</v>
      </c>
      <c r="BV197" s="1969">
        <f t="shared" si="180"/>
        <v>0</v>
      </c>
      <c r="BW197" s="1969">
        <f t="shared" si="180"/>
        <v>0</v>
      </c>
      <c r="BX197" s="1969">
        <f t="shared" si="180"/>
        <v>0</v>
      </c>
      <c r="BY197" s="1969">
        <f t="shared" si="180"/>
        <v>0</v>
      </c>
      <c r="BZ197" s="1969">
        <f t="shared" si="180"/>
        <v>0</v>
      </c>
      <c r="CA197" s="1969">
        <f t="shared" si="180"/>
        <v>0</v>
      </c>
      <c r="CB197" s="1969">
        <f t="shared" si="180"/>
        <v>0</v>
      </c>
    </row>
    <row r="198" spans="1:80">
      <c r="A198" s="1953"/>
      <c r="B198" s="2"/>
      <c r="C198" s="1083"/>
      <c r="D198" s="1083"/>
      <c r="E198" s="1083"/>
      <c r="F198" s="1083"/>
      <c r="G198" s="1073"/>
      <c r="H198" s="1083"/>
      <c r="I198" s="61"/>
      <c r="J198" s="61"/>
      <c r="K198" s="61"/>
      <c r="L198" s="112"/>
      <c r="M198" s="61"/>
      <c r="N198" s="61"/>
      <c r="O198" s="61"/>
      <c r="P198" s="61"/>
      <c r="Q198" s="112"/>
      <c r="R198" s="61"/>
      <c r="S198" s="61"/>
      <c r="T198" s="61"/>
      <c r="U198" s="61"/>
      <c r="V198" s="112"/>
      <c r="W198" s="61"/>
      <c r="X198" s="61"/>
      <c r="Y198" s="61"/>
      <c r="Z198" s="61"/>
      <c r="AA198" s="112"/>
      <c r="AB198" s="61"/>
      <c r="AC198" s="61"/>
      <c r="AD198" s="61"/>
      <c r="AE198" s="61"/>
      <c r="AF198" s="112"/>
      <c r="AG198" s="61"/>
      <c r="AH198" s="61"/>
      <c r="AI198" s="61"/>
      <c r="AJ198" s="61"/>
      <c r="AK198" s="112"/>
      <c r="AL198" s="1970" t="s">
        <v>1226</v>
      </c>
      <c r="AM198" s="1970" t="s">
        <v>1226</v>
      </c>
      <c r="AN198" s="1970" t="s">
        <v>1226</v>
      </c>
      <c r="AO198" s="1970" t="s">
        <v>1226</v>
      </c>
      <c r="AP198" s="1971" t="s">
        <v>1226</v>
      </c>
      <c r="AQ198" s="1970" t="s">
        <v>1226</v>
      </c>
      <c r="AR198" s="1970" t="s">
        <v>1226</v>
      </c>
      <c r="AS198" s="1970" t="s">
        <v>1226</v>
      </c>
      <c r="AT198" s="1970" t="s">
        <v>1226</v>
      </c>
      <c r="AU198" s="1971" t="s">
        <v>1226</v>
      </c>
      <c r="AV198" s="1970" t="s">
        <v>1226</v>
      </c>
      <c r="AW198" s="1970" t="s">
        <v>1226</v>
      </c>
      <c r="AX198" s="1970" t="s">
        <v>1226</v>
      </c>
      <c r="AY198" s="1970" t="s">
        <v>1226</v>
      </c>
      <c r="AZ198" s="1971" t="s">
        <v>1226</v>
      </c>
      <c r="BA198" s="1970" t="s">
        <v>1226</v>
      </c>
      <c r="BB198" s="1970" t="s">
        <v>1226</v>
      </c>
      <c r="BC198" s="1970" t="s">
        <v>1226</v>
      </c>
      <c r="BD198" s="1970" t="s">
        <v>1226</v>
      </c>
      <c r="BE198" s="1971" t="s">
        <v>1226</v>
      </c>
      <c r="BF198" s="2867" t="s">
        <v>1226</v>
      </c>
      <c r="BG198" s="1970" t="s">
        <v>1226</v>
      </c>
      <c r="BH198" s="1970" t="s">
        <v>1226</v>
      </c>
      <c r="BI198" s="2868" t="s">
        <v>1226</v>
      </c>
      <c r="BJ198" s="1971" t="s">
        <v>1226</v>
      </c>
      <c r="BK198" s="2867" t="s">
        <v>1226</v>
      </c>
      <c r="BL198" s="1970" t="s">
        <v>1226</v>
      </c>
      <c r="BM198" s="1970" t="s">
        <v>1226</v>
      </c>
      <c r="BN198" s="2868" t="s">
        <v>1226</v>
      </c>
      <c r="BO198" s="1971" t="s">
        <v>1226</v>
      </c>
      <c r="BP198" s="2867" t="s">
        <v>1226</v>
      </c>
      <c r="BQ198" s="1970" t="s">
        <v>1226</v>
      </c>
      <c r="BR198" s="1970" t="s">
        <v>1226</v>
      </c>
      <c r="BS198" s="2868" t="s">
        <v>1226</v>
      </c>
      <c r="BT198" s="1971" t="s">
        <v>1226</v>
      </c>
      <c r="BU198" s="1971" t="s">
        <v>1226</v>
      </c>
      <c r="BV198" s="1971" t="s">
        <v>1226</v>
      </c>
      <c r="BW198" s="1971" t="s">
        <v>1226</v>
      </c>
      <c r="BX198" s="1971" t="s">
        <v>1226</v>
      </c>
      <c r="BY198" s="1971" t="s">
        <v>1226</v>
      </c>
      <c r="BZ198" s="1971" t="s">
        <v>1226</v>
      </c>
      <c r="CA198" s="1971" t="s">
        <v>1226</v>
      </c>
      <c r="CB198" s="1971" t="s">
        <v>1226</v>
      </c>
    </row>
    <row r="199" spans="1:80">
      <c r="A199" s="1952" t="s">
        <v>1318</v>
      </c>
      <c r="B199" s="2"/>
      <c r="C199" s="1083"/>
      <c r="D199" s="1083"/>
      <c r="E199" s="1083"/>
      <c r="F199" s="1083"/>
      <c r="G199" s="1073"/>
      <c r="H199" s="1083"/>
      <c r="I199" s="61"/>
      <c r="J199" s="61"/>
      <c r="K199" s="61"/>
      <c r="L199" s="112"/>
      <c r="M199" s="61"/>
      <c r="N199" s="61"/>
      <c r="O199" s="61"/>
      <c r="P199" s="61"/>
      <c r="Q199" s="112"/>
      <c r="R199" s="61"/>
      <c r="S199" s="61"/>
      <c r="T199" s="61"/>
      <c r="U199" s="61"/>
      <c r="V199" s="112"/>
      <c r="W199" s="61"/>
      <c r="X199" s="61"/>
      <c r="Y199" s="61"/>
      <c r="Z199" s="61"/>
      <c r="AA199" s="112"/>
      <c r="AB199" s="61"/>
      <c r="AC199" s="61"/>
      <c r="AD199" s="61"/>
      <c r="AE199" s="61"/>
      <c r="AF199" s="112"/>
      <c r="AG199" s="61"/>
      <c r="AH199" s="61"/>
      <c r="AI199" s="61"/>
      <c r="AJ199" s="61"/>
      <c r="AK199" s="112"/>
      <c r="AL199" s="1972">
        <f t="shared" ref="AL199:BI199" si="181">SUM(AL195:AL198)</f>
        <v>4.7040952549999995</v>
      </c>
      <c r="AM199" s="1972">
        <f t="shared" si="181"/>
        <v>4.7040952549999995</v>
      </c>
      <c r="AN199" s="1972">
        <f t="shared" si="181"/>
        <v>4.7040952549999995</v>
      </c>
      <c r="AO199" s="1972">
        <f t="shared" si="181"/>
        <v>4.7040952549999995</v>
      </c>
      <c r="AP199" s="1973">
        <f t="shared" si="181"/>
        <v>18.816381019999998</v>
      </c>
      <c r="AQ199" s="1972">
        <f t="shared" si="181"/>
        <v>4.9159049464999995</v>
      </c>
      <c r="AR199" s="1972">
        <f t="shared" si="181"/>
        <v>4.9159049464999995</v>
      </c>
      <c r="AS199" s="1972">
        <f t="shared" si="181"/>
        <v>4.9159049464999995</v>
      </c>
      <c r="AT199" s="1972">
        <f t="shared" si="181"/>
        <v>4.9159049464999995</v>
      </c>
      <c r="AU199" s="1973">
        <f t="shared" si="181"/>
        <v>19.663619785999998</v>
      </c>
      <c r="AV199" s="1972">
        <f t="shared" si="181"/>
        <v>4.6594417449999996</v>
      </c>
      <c r="AW199" s="1972">
        <f t="shared" si="181"/>
        <v>4.6594417449999996</v>
      </c>
      <c r="AX199" s="1972">
        <f t="shared" si="181"/>
        <v>4.6594417449999996</v>
      </c>
      <c r="AY199" s="1972">
        <f t="shared" si="181"/>
        <v>4.6594417449999996</v>
      </c>
      <c r="AZ199" s="1973">
        <f t="shared" si="181"/>
        <v>18.637766979999999</v>
      </c>
      <c r="BA199" s="1972">
        <f t="shared" si="181"/>
        <v>4.4716498549999999</v>
      </c>
      <c r="BB199" s="1972">
        <f t="shared" si="181"/>
        <v>4.4716498549999999</v>
      </c>
      <c r="BC199" s="1972">
        <f t="shared" si="181"/>
        <v>4.4716498549999999</v>
      </c>
      <c r="BD199" s="1972">
        <f t="shared" si="181"/>
        <v>4.4716498549999999</v>
      </c>
      <c r="BE199" s="1973">
        <f t="shared" ref="BE199:BW199" si="182">SUM(BE195:BE198)</f>
        <v>17.88659942</v>
      </c>
      <c r="BF199" s="2869">
        <f t="shared" si="181"/>
        <v>4.6466154700000004</v>
      </c>
      <c r="BG199" s="2870">
        <f t="shared" si="181"/>
        <v>4.6466154700000004</v>
      </c>
      <c r="BH199" s="2870">
        <f t="shared" si="181"/>
        <v>4.6466154700000004</v>
      </c>
      <c r="BI199" s="2871">
        <f t="shared" si="181"/>
        <v>4.6466154700000004</v>
      </c>
      <c r="BJ199" s="1973">
        <f t="shared" si="182"/>
        <v>18.586461880000002</v>
      </c>
      <c r="BK199" s="2869">
        <f t="shared" si="182"/>
        <v>0</v>
      </c>
      <c r="BL199" s="2870">
        <f t="shared" si="182"/>
        <v>0</v>
      </c>
      <c r="BM199" s="2870">
        <f t="shared" si="182"/>
        <v>0</v>
      </c>
      <c r="BN199" s="2871">
        <f t="shared" si="182"/>
        <v>0</v>
      </c>
      <c r="BO199" s="1973">
        <f t="shared" ref="BO199:BT199" si="183">SUM(BO195:BO198)</f>
        <v>0</v>
      </c>
      <c r="BP199" s="2869">
        <f t="shared" si="183"/>
        <v>0</v>
      </c>
      <c r="BQ199" s="2870">
        <f t="shared" si="183"/>
        <v>0</v>
      </c>
      <c r="BR199" s="2870">
        <f t="shared" si="183"/>
        <v>0</v>
      </c>
      <c r="BS199" s="2871">
        <f t="shared" si="183"/>
        <v>0</v>
      </c>
      <c r="BT199" s="1973">
        <f t="shared" si="183"/>
        <v>0</v>
      </c>
      <c r="BU199" s="1973">
        <f t="shared" si="182"/>
        <v>0</v>
      </c>
      <c r="BV199" s="1973">
        <f t="shared" si="182"/>
        <v>0</v>
      </c>
      <c r="BW199" s="1973">
        <f t="shared" si="182"/>
        <v>0</v>
      </c>
      <c r="BX199" s="1973">
        <f>SUM(BX195:BX198)</f>
        <v>0</v>
      </c>
      <c r="BY199" s="1973">
        <f>SUM(BY195:BY198)</f>
        <v>0</v>
      </c>
      <c r="BZ199" s="1973">
        <f>SUM(BZ195:BZ198)</f>
        <v>0</v>
      </c>
      <c r="CA199" s="1973">
        <f>SUM(CA195:CA198)</f>
        <v>0</v>
      </c>
      <c r="CB199" s="1973">
        <f>SUM(CB195:CB198)</f>
        <v>0</v>
      </c>
    </row>
    <row r="200" spans="1:80">
      <c r="A200" s="1952"/>
      <c r="B200" s="2"/>
      <c r="C200" s="1083"/>
      <c r="D200" s="1083"/>
      <c r="E200" s="1083"/>
      <c r="F200" s="1083"/>
      <c r="G200" s="1073"/>
      <c r="H200" s="1083"/>
      <c r="I200" s="61"/>
      <c r="J200" s="61"/>
      <c r="K200" s="61"/>
      <c r="L200" s="112"/>
      <c r="M200" s="61"/>
      <c r="N200" s="61"/>
      <c r="O200" s="61"/>
      <c r="P200" s="61"/>
      <c r="Q200" s="112"/>
      <c r="R200" s="61"/>
      <c r="S200" s="61"/>
      <c r="T200" s="61"/>
      <c r="U200" s="61"/>
      <c r="V200" s="112"/>
      <c r="W200" s="61"/>
      <c r="X200" s="61"/>
      <c r="Y200" s="61"/>
      <c r="Z200" s="61"/>
      <c r="AA200" s="112"/>
      <c r="AB200" s="61"/>
      <c r="AC200" s="61"/>
      <c r="AD200" s="61"/>
      <c r="AE200" s="61"/>
      <c r="AF200" s="112"/>
      <c r="AG200" s="61"/>
      <c r="AH200" s="61"/>
      <c r="AI200" s="61"/>
      <c r="AJ200" s="61"/>
      <c r="AK200" s="112"/>
      <c r="AL200" s="1960"/>
      <c r="AM200" s="1960"/>
      <c r="AN200" s="1960"/>
      <c r="AO200" s="1960"/>
      <c r="AP200" s="1961"/>
      <c r="AQ200" s="1960"/>
      <c r="AR200" s="1960"/>
      <c r="AS200" s="1960"/>
      <c r="AT200" s="1960"/>
      <c r="AU200" s="1961"/>
      <c r="AV200" s="1960"/>
      <c r="AW200" s="1960"/>
      <c r="AX200" s="1960"/>
      <c r="AY200" s="1960"/>
      <c r="AZ200" s="1961"/>
      <c r="BA200" s="1960"/>
      <c r="BB200" s="1960"/>
      <c r="BC200" s="1960"/>
      <c r="BD200" s="1960"/>
      <c r="BE200" s="1961"/>
      <c r="BF200" s="2859"/>
      <c r="BG200" s="1960"/>
      <c r="BH200" s="1960"/>
      <c r="BI200" s="2860"/>
      <c r="BJ200" s="1961"/>
      <c r="BK200" s="2859"/>
      <c r="BL200" s="1960"/>
      <c r="BM200" s="1960"/>
      <c r="BN200" s="2860"/>
      <c r="BO200" s="1961"/>
      <c r="BP200" s="2859"/>
      <c r="BQ200" s="1960"/>
      <c r="BR200" s="1960"/>
      <c r="BS200" s="2860"/>
      <c r="BT200" s="1961"/>
      <c r="BU200" s="1961"/>
      <c r="BV200" s="1961"/>
      <c r="BW200" s="1961"/>
      <c r="BX200" s="1961"/>
      <c r="BY200" s="1961"/>
      <c r="BZ200" s="1961"/>
      <c r="CA200" s="1961"/>
      <c r="CB200" s="1961"/>
    </row>
    <row r="201" spans="1:80">
      <c r="A201" s="1952" t="s">
        <v>721</v>
      </c>
      <c r="B201" s="2"/>
      <c r="C201" s="1083"/>
      <c r="D201" s="1083"/>
      <c r="E201" s="1083"/>
      <c r="F201" s="1083"/>
      <c r="G201" s="1073"/>
      <c r="H201" s="1083"/>
      <c r="I201" s="61"/>
      <c r="J201" s="61"/>
      <c r="K201" s="61"/>
      <c r="L201" s="112"/>
      <c r="M201" s="61"/>
      <c r="N201" s="61"/>
      <c r="O201" s="61"/>
      <c r="P201" s="61"/>
      <c r="Q201" s="112"/>
      <c r="R201" s="61"/>
      <c r="S201" s="61"/>
      <c r="T201" s="61"/>
      <c r="U201" s="61"/>
      <c r="V201" s="112"/>
      <c r="W201" s="61"/>
      <c r="X201" s="61"/>
      <c r="Y201" s="61"/>
      <c r="Z201" s="61"/>
      <c r="AA201" s="112"/>
      <c r="AB201" s="61"/>
      <c r="AC201" s="61"/>
      <c r="AD201" s="61"/>
      <c r="AE201" s="61"/>
      <c r="AF201" s="112"/>
      <c r="AG201" s="61"/>
      <c r="AH201" s="61"/>
      <c r="AI201" s="61"/>
      <c r="AJ201" s="61"/>
      <c r="AK201" s="112"/>
      <c r="AL201" s="1960"/>
      <c r="AM201" s="1960"/>
      <c r="AN201" s="1960"/>
      <c r="AO201" s="1960"/>
      <c r="AP201" s="1961"/>
      <c r="AQ201" s="1960"/>
      <c r="AR201" s="1960"/>
      <c r="AS201" s="1960"/>
      <c r="AT201" s="1960"/>
      <c r="AU201" s="1961"/>
      <c r="AV201" s="1960"/>
      <c r="AW201" s="1960"/>
      <c r="AX201" s="1960"/>
      <c r="AY201" s="1960"/>
      <c r="AZ201" s="1961"/>
      <c r="BA201" s="1960"/>
      <c r="BB201" s="1960"/>
      <c r="BC201" s="1960"/>
      <c r="BD201" s="1960"/>
      <c r="BE201" s="1961"/>
      <c r="BF201" s="2859"/>
      <c r="BG201" s="1960"/>
      <c r="BH201" s="1960"/>
      <c r="BI201" s="2860"/>
      <c r="BJ201" s="1961"/>
      <c r="BK201" s="2859"/>
      <c r="BL201" s="1960"/>
      <c r="BM201" s="1960"/>
      <c r="BN201" s="2860"/>
      <c r="BO201" s="1961"/>
      <c r="BP201" s="2859"/>
      <c r="BQ201" s="1960"/>
      <c r="BR201" s="1960"/>
      <c r="BS201" s="2860"/>
      <c r="BT201" s="1961"/>
      <c r="BU201" s="1961"/>
      <c r="BV201" s="1961"/>
      <c r="BW201" s="1961"/>
      <c r="BX201" s="1961"/>
      <c r="BY201" s="1961"/>
      <c r="BZ201" s="1961"/>
      <c r="CA201" s="1961"/>
      <c r="CB201" s="1961"/>
    </row>
    <row r="202" spans="1:80">
      <c r="A202" s="1952">
        <v>1</v>
      </c>
      <c r="B202" s="2"/>
      <c r="C202" s="1083"/>
      <c r="D202" s="1083"/>
      <c r="E202" s="1083"/>
      <c r="F202" s="1083"/>
      <c r="G202" s="1073"/>
      <c r="H202" s="1083"/>
      <c r="I202" s="61"/>
      <c r="J202" s="61"/>
      <c r="K202" s="61"/>
      <c r="L202" s="112"/>
      <c r="M202" s="61"/>
      <c r="N202" s="61"/>
      <c r="O202" s="61"/>
      <c r="P202" s="61"/>
      <c r="Q202" s="112"/>
      <c r="R202" s="61"/>
      <c r="S202" s="61"/>
      <c r="T202" s="61"/>
      <c r="U202" s="61"/>
      <c r="V202" s="112"/>
      <c r="W202" s="61"/>
      <c r="X202" s="61"/>
      <c r="Y202" s="61"/>
      <c r="Z202" s="61"/>
      <c r="AA202" s="112"/>
      <c r="AB202" s="61"/>
      <c r="AC202" s="61"/>
      <c r="AD202" s="61"/>
      <c r="AE202" s="61"/>
      <c r="AF202" s="112"/>
      <c r="AG202" s="61"/>
      <c r="AH202" s="61"/>
      <c r="AI202" s="61"/>
      <c r="AJ202" s="61"/>
      <c r="AK202" s="112"/>
      <c r="AL202" s="1264">
        <f>$AP202/4</f>
        <v>0.16875000000000001</v>
      </c>
      <c r="AM202" s="1264">
        <f t="shared" ref="AM202:AO204" si="184">$AP202/4</f>
        <v>0.16875000000000001</v>
      </c>
      <c r="AN202" s="1264">
        <f t="shared" si="184"/>
        <v>0.16875000000000001</v>
      </c>
      <c r="AO202" s="1264">
        <f t="shared" si="184"/>
        <v>0.16875000000000001</v>
      </c>
      <c r="AP202" s="1969">
        <f>IF(AP192&gt;0, (MIN(AP$160,AP192)*AP$165)/1000,0)</f>
        <v>0.67500000000000004</v>
      </c>
      <c r="AQ202" s="1264">
        <f t="shared" ref="AQ202:AT204" si="185">$AU202/4</f>
        <v>0.16875000000000001</v>
      </c>
      <c r="AR202" s="1264">
        <f t="shared" si="185"/>
        <v>0.16875000000000001</v>
      </c>
      <c r="AS202" s="1264">
        <f t="shared" si="185"/>
        <v>0.16875000000000001</v>
      </c>
      <c r="AT202" s="1264">
        <f t="shared" si="185"/>
        <v>0.16875000000000001</v>
      </c>
      <c r="AU202" s="1969">
        <f>IF(AU192&gt;0, (MIN(AU$160,AU192)*AU$165)/1000,0)</f>
        <v>0.67500000000000004</v>
      </c>
      <c r="AV202" s="1264">
        <f t="shared" ref="AV202:AY204" si="186">$AZ202/4</f>
        <v>0.16875000000000001</v>
      </c>
      <c r="AW202" s="1264">
        <f t="shared" si="186"/>
        <v>0.16875000000000001</v>
      </c>
      <c r="AX202" s="1264">
        <f t="shared" si="186"/>
        <v>0.16875000000000001</v>
      </c>
      <c r="AY202" s="1264">
        <f t="shared" si="186"/>
        <v>0.16875000000000001</v>
      </c>
      <c r="AZ202" s="1969">
        <f>IF(AZ192&gt;0, (MIN(AZ$160,AZ192)*AZ$165)/1000,0)</f>
        <v>0.67500000000000004</v>
      </c>
      <c r="BA202" s="1264">
        <f t="shared" ref="BA202:BD204" si="187">$BE202/4</f>
        <v>0.16875000000000001</v>
      </c>
      <c r="BB202" s="1264">
        <f t="shared" si="187"/>
        <v>0.16875000000000001</v>
      </c>
      <c r="BC202" s="1264">
        <f t="shared" si="187"/>
        <v>0.16875000000000001</v>
      </c>
      <c r="BD202" s="1264">
        <f t="shared" si="187"/>
        <v>0.16875000000000001</v>
      </c>
      <c r="BE202" s="1969">
        <f>IF(BE192&gt;0, (MIN(BE$160,BE192)*BE$165)/1000,0)</f>
        <v>0.67500000000000004</v>
      </c>
      <c r="BF202" s="2872">
        <f t="shared" ref="BF202:BI204" si="188">$BJ202/4</f>
        <v>0.16875000000000001</v>
      </c>
      <c r="BG202" s="1264">
        <f t="shared" si="188"/>
        <v>0.16875000000000001</v>
      </c>
      <c r="BH202" s="1264">
        <f t="shared" si="188"/>
        <v>0.16875000000000001</v>
      </c>
      <c r="BI202" s="2873">
        <f t="shared" si="188"/>
        <v>0.16875000000000001</v>
      </c>
      <c r="BJ202" s="1969">
        <f>IF(BJ192&gt;0, (MIN(BJ$160,BJ192)*BJ$165)/1000,0)</f>
        <v>0.67500000000000004</v>
      </c>
      <c r="BK202" s="3169">
        <f>$BO202/4</f>
        <v>0</v>
      </c>
      <c r="BL202" s="1264">
        <f t="shared" ref="BL202:BN204" si="189">$BO202/4</f>
        <v>0</v>
      </c>
      <c r="BM202" s="1264">
        <f t="shared" si="189"/>
        <v>0</v>
      </c>
      <c r="BN202" s="2873">
        <f t="shared" si="189"/>
        <v>0</v>
      </c>
      <c r="BO202" s="1969">
        <f t="shared" ref="BO202:CB202" si="190">IF(BO192&gt;0, (MIN(BO$160,BO192)*BO$165)/1000,0)</f>
        <v>0</v>
      </c>
      <c r="BP202" s="3169">
        <f>$BO202/4</f>
        <v>0</v>
      </c>
      <c r="BQ202" s="1264">
        <f t="shared" ref="BQ202:BS204" si="191">$BO202/4</f>
        <v>0</v>
      </c>
      <c r="BR202" s="1264">
        <f t="shared" si="191"/>
        <v>0</v>
      </c>
      <c r="BS202" s="2873">
        <f t="shared" si="191"/>
        <v>0</v>
      </c>
      <c r="BT202" s="1969">
        <f>IF(BT192&gt;0, (MIN(BT$160,BT192)*BT$165)/1000,0)</f>
        <v>0</v>
      </c>
      <c r="BU202" s="1969">
        <f t="shared" si="190"/>
        <v>0</v>
      </c>
      <c r="BV202" s="1969">
        <f t="shared" si="190"/>
        <v>0</v>
      </c>
      <c r="BW202" s="1969">
        <f t="shared" si="190"/>
        <v>0</v>
      </c>
      <c r="BX202" s="1969">
        <f t="shared" si="190"/>
        <v>0</v>
      </c>
      <c r="BY202" s="1969">
        <f t="shared" si="190"/>
        <v>0</v>
      </c>
      <c r="BZ202" s="1969">
        <f t="shared" si="190"/>
        <v>0</v>
      </c>
      <c r="CA202" s="1969">
        <f t="shared" si="190"/>
        <v>0</v>
      </c>
      <c r="CB202" s="1969">
        <f t="shared" si="190"/>
        <v>0</v>
      </c>
    </row>
    <row r="203" spans="1:80">
      <c r="A203" s="1952">
        <v>2</v>
      </c>
      <c r="B203" s="2"/>
      <c r="C203" s="1083"/>
      <c r="D203" s="1083"/>
      <c r="E203" s="1083"/>
      <c r="F203" s="1083"/>
      <c r="G203" s="1073"/>
      <c r="H203" s="1083"/>
      <c r="I203" s="61"/>
      <c r="J203" s="61"/>
      <c r="K203" s="61"/>
      <c r="L203" s="112"/>
      <c r="M203" s="61"/>
      <c r="N203" s="61"/>
      <c r="O203" s="61"/>
      <c r="P203" s="61"/>
      <c r="Q203" s="112"/>
      <c r="R203" s="61"/>
      <c r="S203" s="61"/>
      <c r="T203" s="61"/>
      <c r="U203" s="61"/>
      <c r="V203" s="112"/>
      <c r="W203" s="61"/>
      <c r="X203" s="61"/>
      <c r="Y203" s="61"/>
      <c r="Z203" s="61"/>
      <c r="AA203" s="112"/>
      <c r="AB203" s="61"/>
      <c r="AC203" s="61"/>
      <c r="AD203" s="61"/>
      <c r="AE203" s="61"/>
      <c r="AF203" s="112"/>
      <c r="AG203" s="61"/>
      <c r="AH203" s="61"/>
      <c r="AI203" s="61"/>
      <c r="AJ203" s="61"/>
      <c r="AK203" s="112"/>
      <c r="AL203" s="1264">
        <f>$AP203/4</f>
        <v>0.15</v>
      </c>
      <c r="AM203" s="1264">
        <f t="shared" si="184"/>
        <v>0.15</v>
      </c>
      <c r="AN203" s="1264">
        <f t="shared" si="184"/>
        <v>0.15</v>
      </c>
      <c r="AO203" s="1264">
        <f t="shared" si="184"/>
        <v>0.15</v>
      </c>
      <c r="AP203" s="1969">
        <f>IF(AP192&gt;AP181, (MIN(AP$161-AP$160,AP192-AP$160)*AP$166)/1000,0)</f>
        <v>0.6</v>
      </c>
      <c r="AQ203" s="1264">
        <f t="shared" si="185"/>
        <v>0.15</v>
      </c>
      <c r="AR203" s="1264">
        <f t="shared" si="185"/>
        <v>0.15</v>
      </c>
      <c r="AS203" s="1264">
        <f t="shared" si="185"/>
        <v>0.15</v>
      </c>
      <c r="AT203" s="1264">
        <f t="shared" si="185"/>
        <v>0.15</v>
      </c>
      <c r="AU203" s="1969">
        <f>IF(AU192&gt;AU181, (MIN(AU$161-AU$160,AU192-AU$160)*AU$166)/1000,0)</f>
        <v>0.6</v>
      </c>
      <c r="AV203" s="1264">
        <f t="shared" si="186"/>
        <v>0.15</v>
      </c>
      <c r="AW203" s="1264">
        <f t="shared" si="186"/>
        <v>0.15</v>
      </c>
      <c r="AX203" s="1264">
        <f t="shared" si="186"/>
        <v>0.15</v>
      </c>
      <c r="AY203" s="1264">
        <f t="shared" si="186"/>
        <v>0.15</v>
      </c>
      <c r="AZ203" s="1969">
        <f>IF(AZ192&gt;AZ181, (MIN(AZ$161-AZ$160,AZ192-AZ$160)*AZ$166)/1000,0)</f>
        <v>0.6</v>
      </c>
      <c r="BA203" s="1264">
        <f t="shared" si="187"/>
        <v>0.15</v>
      </c>
      <c r="BB203" s="1264">
        <f t="shared" si="187"/>
        <v>0.15</v>
      </c>
      <c r="BC203" s="1264">
        <f t="shared" si="187"/>
        <v>0.15</v>
      </c>
      <c r="BD203" s="1264">
        <f t="shared" si="187"/>
        <v>0.15</v>
      </c>
      <c r="BE203" s="1969">
        <f>IF(BE192&gt;BE181, (MIN(BE$161-BE$160,BE192-BE$160)*BE$166)/1000,0)</f>
        <v>0.6</v>
      </c>
      <c r="BF203" s="2872">
        <f t="shared" si="188"/>
        <v>0.15</v>
      </c>
      <c r="BG203" s="1264">
        <f t="shared" si="188"/>
        <v>0.15</v>
      </c>
      <c r="BH203" s="1264">
        <f t="shared" si="188"/>
        <v>0.15</v>
      </c>
      <c r="BI203" s="2873">
        <f t="shared" si="188"/>
        <v>0.15</v>
      </c>
      <c r="BJ203" s="1969">
        <f>IF(BJ192&gt;BJ181, (MIN(BJ$161-BJ$160,BJ192-BJ$160)*BJ$166)/1000,0)</f>
        <v>0.6</v>
      </c>
      <c r="BK203" s="3169">
        <f>$BO203/4</f>
        <v>0</v>
      </c>
      <c r="BL203" s="1264">
        <f t="shared" si="189"/>
        <v>0</v>
      </c>
      <c r="BM203" s="1264">
        <f t="shared" si="189"/>
        <v>0</v>
      </c>
      <c r="BN203" s="2873">
        <f t="shared" si="189"/>
        <v>0</v>
      </c>
      <c r="BO203" s="1969">
        <f t="shared" ref="BO203:CB203" si="192">IF(BO192&gt;BO181, (MIN(BO$161-BO$160,BO192-BO$160)*BO$166)/1000,0)</f>
        <v>0</v>
      </c>
      <c r="BP203" s="3169">
        <f>$BO203/4</f>
        <v>0</v>
      </c>
      <c r="BQ203" s="1264">
        <f t="shared" si="191"/>
        <v>0</v>
      </c>
      <c r="BR203" s="1264">
        <f t="shared" si="191"/>
        <v>0</v>
      </c>
      <c r="BS203" s="2873">
        <f t="shared" si="191"/>
        <v>0</v>
      </c>
      <c r="BT203" s="1969">
        <f>IF(BT192&gt;BT181, (MIN(BT$161-BT$160,BT192-BT$160)*BT$166)/1000,0)</f>
        <v>0</v>
      </c>
      <c r="BU203" s="1969">
        <f t="shared" si="192"/>
        <v>0</v>
      </c>
      <c r="BV203" s="1969">
        <f t="shared" si="192"/>
        <v>0</v>
      </c>
      <c r="BW203" s="1969">
        <f t="shared" si="192"/>
        <v>0</v>
      </c>
      <c r="BX203" s="1969">
        <f t="shared" si="192"/>
        <v>0</v>
      </c>
      <c r="BY203" s="1969">
        <f t="shared" si="192"/>
        <v>0</v>
      </c>
      <c r="BZ203" s="1969">
        <f t="shared" si="192"/>
        <v>0</v>
      </c>
      <c r="CA203" s="1969">
        <f t="shared" si="192"/>
        <v>0</v>
      </c>
      <c r="CB203" s="1969">
        <f t="shared" si="192"/>
        <v>0</v>
      </c>
    </row>
    <row r="204" spans="1:80">
      <c r="A204" s="1952">
        <v>3</v>
      </c>
      <c r="B204" s="2"/>
      <c r="C204" s="1083"/>
      <c r="D204" s="1083"/>
      <c r="E204" s="1083"/>
      <c r="F204" s="1083"/>
      <c r="G204" s="1073"/>
      <c r="H204" s="1083"/>
      <c r="I204" s="61"/>
      <c r="J204" s="61"/>
      <c r="K204" s="61"/>
      <c r="L204" s="112"/>
      <c r="M204" s="61"/>
      <c r="N204" s="61"/>
      <c r="O204" s="61"/>
      <c r="P204" s="61"/>
      <c r="Q204" s="112"/>
      <c r="R204" s="61"/>
      <c r="S204" s="61"/>
      <c r="T204" s="61"/>
      <c r="U204" s="61"/>
      <c r="V204" s="112"/>
      <c r="W204" s="61"/>
      <c r="X204" s="61"/>
      <c r="Y204" s="61"/>
      <c r="Z204" s="61"/>
      <c r="AA204" s="112"/>
      <c r="AB204" s="61"/>
      <c r="AC204" s="61"/>
      <c r="AD204" s="61"/>
      <c r="AE204" s="61"/>
      <c r="AF204" s="112"/>
      <c r="AG204" s="61"/>
      <c r="AH204" s="61"/>
      <c r="AI204" s="61"/>
      <c r="AJ204" s="61"/>
      <c r="AK204" s="112"/>
      <c r="AL204" s="1264">
        <f>$AP204/4</f>
        <v>0.83105224999999994</v>
      </c>
      <c r="AM204" s="1264">
        <f t="shared" si="184"/>
        <v>0.83105224999999994</v>
      </c>
      <c r="AN204" s="1264">
        <f t="shared" si="184"/>
        <v>0.83105224999999994</v>
      </c>
      <c r="AO204" s="1264">
        <f t="shared" si="184"/>
        <v>0.83105224999999994</v>
      </c>
      <c r="AP204" s="1969">
        <f>IF(AP192&gt;AP$161, ((AP192-AP$161)*AP$167)/1000,0)</f>
        <v>3.3242089999999997</v>
      </c>
      <c r="AQ204" s="1264">
        <f t="shared" si="185"/>
        <v>0.788500125</v>
      </c>
      <c r="AR204" s="1264">
        <f t="shared" si="185"/>
        <v>0.788500125</v>
      </c>
      <c r="AS204" s="1264">
        <f t="shared" si="185"/>
        <v>0.788500125</v>
      </c>
      <c r="AT204" s="1264">
        <f t="shared" si="185"/>
        <v>0.788500125</v>
      </c>
      <c r="AU204" s="1969">
        <f>IF(AU192&gt;AU$161, ((AU192-AU$161)*AU$167)/1000,0)</f>
        <v>3.1540005</v>
      </c>
      <c r="AV204" s="1264">
        <f t="shared" si="186"/>
        <v>0.67970962499999998</v>
      </c>
      <c r="AW204" s="1264">
        <f t="shared" si="186"/>
        <v>0.67970962499999998</v>
      </c>
      <c r="AX204" s="1264">
        <f t="shared" si="186"/>
        <v>0.67970962499999998</v>
      </c>
      <c r="AY204" s="1264">
        <f t="shared" si="186"/>
        <v>0.67970962499999998</v>
      </c>
      <c r="AZ204" s="1969">
        <f>IF(AZ192&gt;AZ$161, ((AZ192-AZ$161)*AZ$167)/1000,0)</f>
        <v>2.7188384999999999</v>
      </c>
      <c r="BA204" s="1264">
        <f t="shared" si="187"/>
        <v>0.63227762500000007</v>
      </c>
      <c r="BB204" s="1264">
        <f t="shared" si="187"/>
        <v>0.63227762500000007</v>
      </c>
      <c r="BC204" s="1264">
        <f t="shared" si="187"/>
        <v>0.63227762500000007</v>
      </c>
      <c r="BD204" s="1264">
        <f t="shared" si="187"/>
        <v>0.63227762500000007</v>
      </c>
      <c r="BE204" s="1969">
        <f>IF(BE192&gt;BE$161, ((BE192-BE$161)*BE$167)/1000,0)</f>
        <v>2.5291105000000003</v>
      </c>
      <c r="BF204" s="2872">
        <f t="shared" si="188"/>
        <v>0.66199524999999981</v>
      </c>
      <c r="BG204" s="1264">
        <f t="shared" si="188"/>
        <v>0.66199524999999981</v>
      </c>
      <c r="BH204" s="1264">
        <f t="shared" si="188"/>
        <v>0.66199524999999981</v>
      </c>
      <c r="BI204" s="2873">
        <f t="shared" si="188"/>
        <v>0.66199524999999981</v>
      </c>
      <c r="BJ204" s="1969">
        <f>IF(BJ192&gt;BJ$161, ((BJ192-BJ$161)*BJ$167)/1000,0)</f>
        <v>2.6479809999999993</v>
      </c>
      <c r="BK204" s="3169">
        <f>$BO204/4</f>
        <v>0</v>
      </c>
      <c r="BL204" s="1264">
        <f t="shared" si="189"/>
        <v>0</v>
      </c>
      <c r="BM204" s="1264">
        <f t="shared" si="189"/>
        <v>0</v>
      </c>
      <c r="BN204" s="2873">
        <f t="shared" si="189"/>
        <v>0</v>
      </c>
      <c r="BO204" s="1969">
        <f t="shared" ref="BO204:CB204" si="193">IF(BO192&gt;BO$161, ((BO192-BO$161)*BO$167)/1000,0)</f>
        <v>0</v>
      </c>
      <c r="BP204" s="3169">
        <f>$BO204/4</f>
        <v>0</v>
      </c>
      <c r="BQ204" s="1264">
        <f t="shared" si="191"/>
        <v>0</v>
      </c>
      <c r="BR204" s="1264">
        <f t="shared" si="191"/>
        <v>0</v>
      </c>
      <c r="BS204" s="2873">
        <f t="shared" si="191"/>
        <v>0</v>
      </c>
      <c r="BT204" s="1969">
        <f>IF(BT192&gt;BT$161, ((BT192-BT$161)*BT$167)/1000,0)</f>
        <v>0</v>
      </c>
      <c r="BU204" s="1969">
        <f t="shared" si="193"/>
        <v>0</v>
      </c>
      <c r="BV204" s="1969">
        <f t="shared" si="193"/>
        <v>0</v>
      </c>
      <c r="BW204" s="1969">
        <f t="shared" si="193"/>
        <v>0</v>
      </c>
      <c r="BX204" s="1969">
        <f t="shared" si="193"/>
        <v>0</v>
      </c>
      <c r="BY204" s="1969">
        <f t="shared" si="193"/>
        <v>0</v>
      </c>
      <c r="BZ204" s="1969">
        <f t="shared" si="193"/>
        <v>0</v>
      </c>
      <c r="CA204" s="1969">
        <f t="shared" si="193"/>
        <v>0</v>
      </c>
      <c r="CB204" s="1969">
        <f t="shared" si="193"/>
        <v>0</v>
      </c>
    </row>
    <row r="205" spans="1:80">
      <c r="A205" s="1952"/>
      <c r="B205" s="2"/>
      <c r="C205" s="1083"/>
      <c r="D205" s="1083"/>
      <c r="E205" s="1083"/>
      <c r="F205" s="1083"/>
      <c r="G205" s="1073"/>
      <c r="H205" s="1083"/>
      <c r="I205" s="61"/>
      <c r="J205" s="61"/>
      <c r="K205" s="61"/>
      <c r="L205" s="112"/>
      <c r="M205" s="61"/>
      <c r="N205" s="61"/>
      <c r="O205" s="61"/>
      <c r="P205" s="61"/>
      <c r="Q205" s="112"/>
      <c r="R205" s="61"/>
      <c r="S205" s="61"/>
      <c r="T205" s="61"/>
      <c r="U205" s="61"/>
      <c r="V205" s="112"/>
      <c r="W205" s="61"/>
      <c r="X205" s="61"/>
      <c r="Y205" s="61"/>
      <c r="Z205" s="61"/>
      <c r="AA205" s="112"/>
      <c r="AB205" s="61"/>
      <c r="AC205" s="61"/>
      <c r="AD205" s="61"/>
      <c r="AE205" s="61"/>
      <c r="AF205" s="112"/>
      <c r="AG205" s="61"/>
      <c r="AH205" s="61"/>
      <c r="AI205" s="61"/>
      <c r="AJ205" s="61"/>
      <c r="AK205" s="112"/>
      <c r="AL205" s="1970" t="s">
        <v>1226</v>
      </c>
      <c r="AM205" s="1970" t="s">
        <v>1226</v>
      </c>
      <c r="AN205" s="1970" t="s">
        <v>1226</v>
      </c>
      <c r="AO205" s="1970" t="s">
        <v>1226</v>
      </c>
      <c r="AP205" s="1971" t="s">
        <v>1226</v>
      </c>
      <c r="AQ205" s="1970" t="s">
        <v>1226</v>
      </c>
      <c r="AR205" s="1970" t="s">
        <v>1226</v>
      </c>
      <c r="AS205" s="1970" t="s">
        <v>1226</v>
      </c>
      <c r="AT205" s="1970" t="s">
        <v>1226</v>
      </c>
      <c r="AU205" s="1971" t="s">
        <v>1226</v>
      </c>
      <c r="AV205" s="1970" t="s">
        <v>1226</v>
      </c>
      <c r="AW205" s="1970" t="s">
        <v>1226</v>
      </c>
      <c r="AX205" s="1970" t="s">
        <v>1226</v>
      </c>
      <c r="AY205" s="1970" t="s">
        <v>1226</v>
      </c>
      <c r="AZ205" s="1971" t="s">
        <v>1226</v>
      </c>
      <c r="BA205" s="1970" t="s">
        <v>1226</v>
      </c>
      <c r="BB205" s="1970" t="s">
        <v>1226</v>
      </c>
      <c r="BC205" s="1970" t="s">
        <v>1226</v>
      </c>
      <c r="BD205" s="1970" t="s">
        <v>1226</v>
      </c>
      <c r="BE205" s="1971" t="s">
        <v>1226</v>
      </c>
      <c r="BF205" s="2867" t="s">
        <v>1226</v>
      </c>
      <c r="BG205" s="1970" t="s">
        <v>1226</v>
      </c>
      <c r="BH205" s="1970" t="s">
        <v>1226</v>
      </c>
      <c r="BI205" s="2868" t="s">
        <v>1226</v>
      </c>
      <c r="BJ205" s="1971" t="s">
        <v>1226</v>
      </c>
      <c r="BK205" s="2867" t="s">
        <v>1226</v>
      </c>
      <c r="BL205" s="1970" t="s">
        <v>1226</v>
      </c>
      <c r="BM205" s="1970" t="s">
        <v>1226</v>
      </c>
      <c r="BN205" s="2868" t="s">
        <v>1226</v>
      </c>
      <c r="BO205" s="1971" t="s">
        <v>1226</v>
      </c>
      <c r="BP205" s="2867" t="s">
        <v>1226</v>
      </c>
      <c r="BQ205" s="1970" t="s">
        <v>1226</v>
      </c>
      <c r="BR205" s="1970" t="s">
        <v>1226</v>
      </c>
      <c r="BS205" s="2868" t="s">
        <v>1226</v>
      </c>
      <c r="BT205" s="1971" t="s">
        <v>1226</v>
      </c>
      <c r="BU205" s="1971" t="s">
        <v>1226</v>
      </c>
      <c r="BV205" s="1971" t="s">
        <v>1226</v>
      </c>
      <c r="BW205" s="1971" t="s">
        <v>1226</v>
      </c>
      <c r="BX205" s="1971" t="s">
        <v>1226</v>
      </c>
      <c r="BY205" s="1971" t="s">
        <v>1226</v>
      </c>
      <c r="BZ205" s="1971" t="s">
        <v>1226</v>
      </c>
      <c r="CA205" s="1971" t="s">
        <v>1226</v>
      </c>
      <c r="CB205" s="1971" t="s">
        <v>1226</v>
      </c>
    </row>
    <row r="206" spans="1:80">
      <c r="A206" s="1952" t="s">
        <v>1149</v>
      </c>
      <c r="B206" s="2"/>
      <c r="C206" s="1083"/>
      <c r="D206" s="1083"/>
      <c r="E206" s="1083"/>
      <c r="F206" s="1083"/>
      <c r="G206" s="1073"/>
      <c r="H206" s="1083"/>
      <c r="I206" s="61"/>
      <c r="J206" s="61"/>
      <c r="K206" s="61"/>
      <c r="L206" s="112"/>
      <c r="M206" s="61"/>
      <c r="N206" s="61"/>
      <c r="O206" s="61"/>
      <c r="P206" s="61"/>
      <c r="Q206" s="112"/>
      <c r="R206" s="61"/>
      <c r="S206" s="61"/>
      <c r="T206" s="61"/>
      <c r="U206" s="61"/>
      <c r="V206" s="112"/>
      <c r="W206" s="61"/>
      <c r="X206" s="61"/>
      <c r="Y206" s="61"/>
      <c r="Z206" s="61"/>
      <c r="AA206" s="112"/>
      <c r="AB206" s="61"/>
      <c r="AC206" s="61"/>
      <c r="AD206" s="61"/>
      <c r="AE206" s="61"/>
      <c r="AF206" s="112"/>
      <c r="AG206" s="61"/>
      <c r="AH206" s="61"/>
      <c r="AI206" s="61"/>
      <c r="AJ206" s="61"/>
      <c r="AK206" s="112"/>
      <c r="AL206" s="1972">
        <f t="shared" ref="AL206:BI206" si="194">SUM(AL202:AL205)</f>
        <v>1.14980225</v>
      </c>
      <c r="AM206" s="1972">
        <f t="shared" si="194"/>
        <v>1.14980225</v>
      </c>
      <c r="AN206" s="1972">
        <f t="shared" si="194"/>
        <v>1.14980225</v>
      </c>
      <c r="AO206" s="1972">
        <f t="shared" si="194"/>
        <v>1.14980225</v>
      </c>
      <c r="AP206" s="1973">
        <f t="shared" si="194"/>
        <v>4.5992090000000001</v>
      </c>
      <c r="AQ206" s="1972">
        <f t="shared" si="194"/>
        <v>1.107250125</v>
      </c>
      <c r="AR206" s="1972">
        <f t="shared" si="194"/>
        <v>1.107250125</v>
      </c>
      <c r="AS206" s="1972">
        <f t="shared" si="194"/>
        <v>1.107250125</v>
      </c>
      <c r="AT206" s="1972">
        <f t="shared" si="194"/>
        <v>1.107250125</v>
      </c>
      <c r="AU206" s="1973">
        <f t="shared" si="194"/>
        <v>4.4290004999999999</v>
      </c>
      <c r="AV206" s="1972">
        <f t="shared" si="194"/>
        <v>0.99845962499999996</v>
      </c>
      <c r="AW206" s="1972">
        <f t="shared" si="194"/>
        <v>0.99845962499999996</v>
      </c>
      <c r="AX206" s="1972">
        <f t="shared" si="194"/>
        <v>0.99845962499999996</v>
      </c>
      <c r="AY206" s="1972">
        <f t="shared" si="194"/>
        <v>0.99845962499999996</v>
      </c>
      <c r="AZ206" s="1973">
        <f t="shared" si="194"/>
        <v>3.9938384999999998</v>
      </c>
      <c r="BA206" s="1972">
        <f t="shared" si="194"/>
        <v>0.95102762500000004</v>
      </c>
      <c r="BB206" s="1972">
        <f t="shared" si="194"/>
        <v>0.95102762500000004</v>
      </c>
      <c r="BC206" s="1972">
        <f t="shared" si="194"/>
        <v>0.95102762500000004</v>
      </c>
      <c r="BD206" s="1972">
        <f t="shared" si="194"/>
        <v>0.95102762500000004</v>
      </c>
      <c r="BE206" s="1973">
        <f t="shared" ref="BE206:BW206" si="195">SUM(BE202:BE205)</f>
        <v>3.8041105000000002</v>
      </c>
      <c r="BF206" s="2869">
        <f t="shared" si="194"/>
        <v>0.98074524999999979</v>
      </c>
      <c r="BG206" s="2870">
        <f t="shared" si="194"/>
        <v>0.98074524999999979</v>
      </c>
      <c r="BH206" s="2870">
        <f t="shared" si="194"/>
        <v>0.98074524999999979</v>
      </c>
      <c r="BI206" s="2871">
        <f t="shared" si="194"/>
        <v>0.98074524999999979</v>
      </c>
      <c r="BJ206" s="1973">
        <f t="shared" si="195"/>
        <v>3.9229809999999992</v>
      </c>
      <c r="BK206" s="2869">
        <f t="shared" si="195"/>
        <v>0</v>
      </c>
      <c r="BL206" s="2870">
        <f t="shared" si="195"/>
        <v>0</v>
      </c>
      <c r="BM206" s="2870">
        <f t="shared" si="195"/>
        <v>0</v>
      </c>
      <c r="BN206" s="2871">
        <f t="shared" si="195"/>
        <v>0</v>
      </c>
      <c r="BO206" s="1973">
        <f t="shared" ref="BO206:BT206" si="196">SUM(BO202:BO205)</f>
        <v>0</v>
      </c>
      <c r="BP206" s="2869">
        <f t="shared" si="196"/>
        <v>0</v>
      </c>
      <c r="BQ206" s="2870">
        <f t="shared" si="196"/>
        <v>0</v>
      </c>
      <c r="BR206" s="2870">
        <f t="shared" si="196"/>
        <v>0</v>
      </c>
      <c r="BS206" s="2871">
        <f t="shared" si="196"/>
        <v>0</v>
      </c>
      <c r="BT206" s="1973">
        <f t="shared" si="196"/>
        <v>0</v>
      </c>
      <c r="BU206" s="1973">
        <f t="shared" si="195"/>
        <v>0</v>
      </c>
      <c r="BV206" s="1973">
        <f t="shared" si="195"/>
        <v>0</v>
      </c>
      <c r="BW206" s="1973">
        <f t="shared" si="195"/>
        <v>0</v>
      </c>
      <c r="BX206" s="1973">
        <f>SUM(BX202:BX205)</f>
        <v>0</v>
      </c>
      <c r="BY206" s="1973">
        <f>SUM(BY202:BY205)</f>
        <v>0</v>
      </c>
      <c r="BZ206" s="1973">
        <f>SUM(BZ202:BZ205)</f>
        <v>0</v>
      </c>
      <c r="CA206" s="1973">
        <f>SUM(CA202:CA205)</f>
        <v>0</v>
      </c>
      <c r="CB206" s="1973">
        <f>SUM(CB202:CB205)</f>
        <v>0</v>
      </c>
    </row>
    <row r="207" spans="1:80">
      <c r="A207" s="1952"/>
      <c r="B207" s="2"/>
      <c r="C207" s="1083"/>
      <c r="D207" s="1083"/>
      <c r="E207" s="1083"/>
      <c r="F207" s="1083"/>
      <c r="G207" s="1073"/>
      <c r="H207" s="1083"/>
      <c r="I207" s="61"/>
      <c r="J207" s="61"/>
      <c r="K207" s="61"/>
      <c r="L207" s="112"/>
      <c r="M207" s="61"/>
      <c r="N207" s="61"/>
      <c r="O207" s="61"/>
      <c r="P207" s="61"/>
      <c r="Q207" s="112"/>
      <c r="R207" s="61"/>
      <c r="S207" s="61"/>
      <c r="T207" s="61"/>
      <c r="U207" s="61"/>
      <c r="V207" s="112"/>
      <c r="W207" s="61"/>
      <c r="X207" s="61"/>
      <c r="Y207" s="61"/>
      <c r="Z207" s="61"/>
      <c r="AA207" s="112"/>
      <c r="AB207" s="61"/>
      <c r="AC207" s="61"/>
      <c r="AD207" s="61"/>
      <c r="AE207" s="61"/>
      <c r="AF207" s="112"/>
      <c r="AG207" s="61"/>
      <c r="AH207" s="61"/>
      <c r="AI207" s="61"/>
      <c r="AJ207" s="61"/>
      <c r="AK207" s="112"/>
      <c r="AL207" s="1970" t="s">
        <v>1226</v>
      </c>
      <c r="AM207" s="1970" t="s">
        <v>1226</v>
      </c>
      <c r="AN207" s="1970" t="s">
        <v>1226</v>
      </c>
      <c r="AO207" s="1970" t="s">
        <v>1226</v>
      </c>
      <c r="AP207" s="1971" t="s">
        <v>1226</v>
      </c>
      <c r="AQ207" s="1970" t="s">
        <v>1226</v>
      </c>
      <c r="AR207" s="1970" t="s">
        <v>1226</v>
      </c>
      <c r="AS207" s="1970" t="s">
        <v>1226</v>
      </c>
      <c r="AT207" s="1970" t="s">
        <v>1226</v>
      </c>
      <c r="AU207" s="1971" t="s">
        <v>1226</v>
      </c>
      <c r="AV207" s="1970" t="s">
        <v>1226</v>
      </c>
      <c r="AW207" s="1970" t="s">
        <v>1226</v>
      </c>
      <c r="AX207" s="1970" t="s">
        <v>1226</v>
      </c>
      <c r="AY207" s="1970" t="s">
        <v>1226</v>
      </c>
      <c r="AZ207" s="1971" t="s">
        <v>1226</v>
      </c>
      <c r="BA207" s="1970" t="s">
        <v>1226</v>
      </c>
      <c r="BB207" s="1970" t="s">
        <v>1226</v>
      </c>
      <c r="BC207" s="1970" t="s">
        <v>1226</v>
      </c>
      <c r="BD207" s="1970" t="s">
        <v>1226</v>
      </c>
      <c r="BE207" s="1971" t="s">
        <v>1226</v>
      </c>
      <c r="BF207" s="2867" t="s">
        <v>1226</v>
      </c>
      <c r="BG207" s="1970" t="s">
        <v>1226</v>
      </c>
      <c r="BH207" s="1970" t="s">
        <v>1226</v>
      </c>
      <c r="BI207" s="2868" t="s">
        <v>1226</v>
      </c>
      <c r="BJ207" s="1971" t="s">
        <v>1226</v>
      </c>
      <c r="BK207" s="2867" t="s">
        <v>1226</v>
      </c>
      <c r="BL207" s="1970" t="s">
        <v>1226</v>
      </c>
      <c r="BM207" s="1970" t="s">
        <v>1226</v>
      </c>
      <c r="BN207" s="2868" t="s">
        <v>1226</v>
      </c>
      <c r="BO207" s="1971" t="s">
        <v>1226</v>
      </c>
      <c r="BP207" s="2867" t="s">
        <v>1226</v>
      </c>
      <c r="BQ207" s="1970" t="s">
        <v>1226</v>
      </c>
      <c r="BR207" s="1970" t="s">
        <v>1226</v>
      </c>
      <c r="BS207" s="2868" t="s">
        <v>1226</v>
      </c>
      <c r="BT207" s="1971" t="s">
        <v>1226</v>
      </c>
      <c r="BU207" s="1971" t="s">
        <v>1226</v>
      </c>
      <c r="BV207" s="1971" t="s">
        <v>1226</v>
      </c>
      <c r="BW207" s="1971" t="s">
        <v>1226</v>
      </c>
      <c r="BX207" s="1971" t="s">
        <v>1226</v>
      </c>
      <c r="BY207" s="1971" t="s">
        <v>1226</v>
      </c>
      <c r="BZ207" s="1971" t="s">
        <v>1226</v>
      </c>
      <c r="CA207" s="1971" t="s">
        <v>1226</v>
      </c>
      <c r="CB207" s="1971" t="s">
        <v>1226</v>
      </c>
    </row>
    <row r="208" spans="1:80">
      <c r="A208" s="1952" t="s">
        <v>1352</v>
      </c>
      <c r="B208" s="2"/>
      <c r="C208" s="1083"/>
      <c r="D208" s="1083"/>
      <c r="E208" s="1083"/>
      <c r="F208" s="1083"/>
      <c r="G208" s="1073"/>
      <c r="H208" s="1083"/>
      <c r="I208" s="61"/>
      <c r="J208" s="61"/>
      <c r="K208" s="61"/>
      <c r="L208" s="112"/>
      <c r="M208" s="61"/>
      <c r="N208" s="61"/>
      <c r="O208" s="61"/>
      <c r="P208" s="61"/>
      <c r="Q208" s="112"/>
      <c r="R208" s="61"/>
      <c r="S208" s="61"/>
      <c r="T208" s="61"/>
      <c r="U208" s="61"/>
      <c r="V208" s="112"/>
      <c r="W208" s="61"/>
      <c r="X208" s="61"/>
      <c r="Y208" s="61"/>
      <c r="Z208" s="61"/>
      <c r="AA208" s="112"/>
      <c r="AB208" s="61"/>
      <c r="AC208" s="61"/>
      <c r="AD208" s="61"/>
      <c r="AE208" s="61"/>
      <c r="AF208" s="112"/>
      <c r="AG208" s="61"/>
      <c r="AH208" s="61"/>
      <c r="AI208" s="61"/>
      <c r="AJ208" s="61"/>
      <c r="AK208" s="112"/>
      <c r="AL208" s="1972">
        <f t="shared" ref="AL208:AT208" si="197">AL206+AL199</f>
        <v>5.8538975049999991</v>
      </c>
      <c r="AM208" s="1972">
        <f t="shared" si="197"/>
        <v>5.8538975049999991</v>
      </c>
      <c r="AN208" s="1972">
        <f t="shared" si="197"/>
        <v>5.8538975049999991</v>
      </c>
      <c r="AO208" s="1972">
        <f t="shared" si="197"/>
        <v>5.8538975049999991</v>
      </c>
      <c r="AP208" s="1973">
        <f t="shared" si="197"/>
        <v>23.415590019999996</v>
      </c>
      <c r="AQ208" s="1972">
        <f t="shared" si="197"/>
        <v>6.0231550714999997</v>
      </c>
      <c r="AR208" s="1972">
        <f t="shared" si="197"/>
        <v>6.0231550714999997</v>
      </c>
      <c r="AS208" s="1972">
        <f t="shared" si="197"/>
        <v>6.0231550714999997</v>
      </c>
      <c r="AT208" s="1972">
        <f t="shared" si="197"/>
        <v>6.0231550714999997</v>
      </c>
      <c r="AU208" s="1973">
        <f t="shared" ref="AU208:BD208" si="198">AU206+AU199</f>
        <v>24.092620285999999</v>
      </c>
      <c r="AV208" s="1972">
        <f t="shared" si="198"/>
        <v>5.6579013699999994</v>
      </c>
      <c r="AW208" s="1972">
        <f t="shared" si="198"/>
        <v>5.6579013699999994</v>
      </c>
      <c r="AX208" s="1972">
        <f t="shared" si="198"/>
        <v>5.6579013699999994</v>
      </c>
      <c r="AY208" s="1972">
        <f t="shared" si="198"/>
        <v>5.6579013699999994</v>
      </c>
      <c r="AZ208" s="1973">
        <f t="shared" si="198"/>
        <v>22.631605479999997</v>
      </c>
      <c r="BA208" s="1972">
        <f t="shared" si="198"/>
        <v>5.4226774799999999</v>
      </c>
      <c r="BB208" s="1972">
        <f t="shared" si="198"/>
        <v>5.4226774799999999</v>
      </c>
      <c r="BC208" s="1972">
        <f t="shared" si="198"/>
        <v>5.4226774799999999</v>
      </c>
      <c r="BD208" s="1972">
        <f t="shared" si="198"/>
        <v>5.4226774799999999</v>
      </c>
      <c r="BE208" s="1973">
        <f t="shared" ref="BE208:BW208" si="199">BE206+BE199</f>
        <v>21.69070992</v>
      </c>
      <c r="BF208" s="2869">
        <f t="shared" si="199"/>
        <v>5.6273607200000004</v>
      </c>
      <c r="BG208" s="2870">
        <f t="shared" si="199"/>
        <v>5.6273607200000004</v>
      </c>
      <c r="BH208" s="2870">
        <f t="shared" si="199"/>
        <v>5.6273607200000004</v>
      </c>
      <c r="BI208" s="2871">
        <f t="shared" si="199"/>
        <v>5.6273607200000004</v>
      </c>
      <c r="BJ208" s="1973">
        <f t="shared" si="199"/>
        <v>22.509442880000002</v>
      </c>
      <c r="BK208" s="2869">
        <f t="shared" si="199"/>
        <v>0</v>
      </c>
      <c r="BL208" s="2870">
        <f t="shared" si="199"/>
        <v>0</v>
      </c>
      <c r="BM208" s="2870">
        <f t="shared" si="199"/>
        <v>0</v>
      </c>
      <c r="BN208" s="2871">
        <f t="shared" si="199"/>
        <v>0</v>
      </c>
      <c r="BO208" s="1973">
        <f t="shared" si="199"/>
        <v>0</v>
      </c>
      <c r="BP208" s="2869">
        <f>BP206+BP199</f>
        <v>0</v>
      </c>
      <c r="BQ208" s="2870">
        <f>BQ206+BQ199</f>
        <v>0</v>
      </c>
      <c r="BR208" s="2870">
        <f>BR206+BR199</f>
        <v>0</v>
      </c>
      <c r="BS208" s="2871">
        <f>BS206+BS199</f>
        <v>0</v>
      </c>
      <c r="BT208" s="1973">
        <f>BT206+BT199</f>
        <v>0</v>
      </c>
      <c r="BU208" s="1973">
        <f t="shared" si="199"/>
        <v>0</v>
      </c>
      <c r="BV208" s="1973">
        <f t="shared" si="199"/>
        <v>0</v>
      </c>
      <c r="BW208" s="1973">
        <f t="shared" si="199"/>
        <v>0</v>
      </c>
      <c r="BX208" s="1973">
        <f>BX206+BX199</f>
        <v>0</v>
      </c>
      <c r="BY208" s="1973">
        <f>BY206+BY199</f>
        <v>0</v>
      </c>
      <c r="BZ208" s="1973">
        <f>BZ206+BZ199</f>
        <v>0</v>
      </c>
      <c r="CA208" s="1973">
        <f>CA206+CA199</f>
        <v>0</v>
      </c>
      <c r="CB208" s="1973">
        <f>CB206+CB199</f>
        <v>0</v>
      </c>
    </row>
    <row r="209" spans="1:80">
      <c r="A209" s="2"/>
      <c r="B209" s="2"/>
      <c r="C209" s="1083"/>
      <c r="D209" s="1083"/>
      <c r="E209" s="1083"/>
      <c r="F209" s="1083"/>
      <c r="G209" s="1073"/>
      <c r="H209" s="1083"/>
      <c r="I209" s="61"/>
      <c r="J209" s="61"/>
      <c r="K209" s="61"/>
      <c r="L209" s="112"/>
      <c r="M209" s="61"/>
      <c r="N209" s="61"/>
      <c r="O209" s="61"/>
      <c r="P209" s="61"/>
      <c r="Q209" s="112"/>
      <c r="R209" s="61"/>
      <c r="S209" s="61"/>
      <c r="T209" s="61"/>
      <c r="U209" s="61"/>
      <c r="V209" s="112"/>
      <c r="W209" s="61"/>
      <c r="X209" s="61"/>
      <c r="Y209" s="61"/>
      <c r="Z209" s="61"/>
      <c r="AA209" s="112"/>
      <c r="AB209" s="61"/>
      <c r="AC209" s="61"/>
      <c r="AD209" s="61"/>
      <c r="AE209" s="61"/>
      <c r="AF209" s="112"/>
      <c r="AG209" s="61"/>
      <c r="AH209" s="61"/>
      <c r="AI209" s="61"/>
      <c r="AJ209" s="61"/>
      <c r="AK209" s="112"/>
      <c r="AL209" s="61"/>
      <c r="AM209" s="61"/>
      <c r="AN209" s="61"/>
      <c r="AO209" s="60"/>
      <c r="AP209" s="60"/>
      <c r="AQ209" s="61"/>
      <c r="AR209" s="61"/>
      <c r="AS209" s="61"/>
      <c r="AT209" s="61"/>
      <c r="AU209" s="112"/>
      <c r="AV209" s="61"/>
      <c r="AW209" s="61"/>
      <c r="AX209" s="61"/>
      <c r="AY209" s="61"/>
      <c r="AZ209" s="112"/>
      <c r="BA209" s="61"/>
      <c r="BB209" s="61"/>
      <c r="BC209" s="61"/>
      <c r="BD209" s="61"/>
      <c r="BE209" s="59"/>
      <c r="BF209" s="68"/>
      <c r="BG209" s="67"/>
      <c r="BH209" s="67"/>
      <c r="BI209" s="66"/>
      <c r="BJ209" s="60"/>
      <c r="BK209" s="68"/>
      <c r="BL209" s="67"/>
      <c r="BM209" s="67"/>
      <c r="BN209" s="66"/>
      <c r="BO209" s="60"/>
      <c r="BP209" s="68"/>
      <c r="BQ209" s="67"/>
      <c r="BR209" s="67"/>
      <c r="BS209" s="66"/>
      <c r="BT209" s="60"/>
      <c r="BU209" s="112"/>
      <c r="BV209" s="112"/>
      <c r="BW209" s="112"/>
      <c r="BX209" s="112"/>
      <c r="BY209" s="112"/>
      <c r="BZ209" s="112"/>
      <c r="CA209" s="112"/>
      <c r="CB209" s="112"/>
    </row>
    <row r="210" spans="1:80">
      <c r="A210" s="2"/>
      <c r="B210" s="2"/>
      <c r="C210" s="1083"/>
      <c r="D210" s="1083"/>
      <c r="E210" s="1083"/>
      <c r="F210" s="1083"/>
      <c r="G210" s="1073"/>
      <c r="H210" s="1083"/>
      <c r="I210" s="61"/>
      <c r="J210" s="61"/>
      <c r="K210" s="61"/>
      <c r="L210" s="112"/>
      <c r="M210" s="61"/>
      <c r="N210" s="61"/>
      <c r="O210" s="61"/>
      <c r="P210" s="61"/>
      <c r="Q210" s="112"/>
      <c r="R210" s="61"/>
      <c r="S210" s="61"/>
      <c r="T210" s="61"/>
      <c r="U210" s="61"/>
      <c r="V210" s="112"/>
      <c r="W210" s="61"/>
      <c r="X210" s="61"/>
      <c r="Y210" s="61"/>
      <c r="Z210" s="61"/>
      <c r="AA210" s="112"/>
      <c r="AB210" s="61"/>
      <c r="AC210" s="61"/>
      <c r="AD210" s="61"/>
      <c r="AE210" s="61"/>
      <c r="AF210" s="112"/>
      <c r="AG210" s="61"/>
      <c r="AH210" s="61"/>
      <c r="AI210" s="61"/>
      <c r="AJ210" s="61"/>
      <c r="AK210" s="112"/>
      <c r="AL210" s="61"/>
      <c r="AM210" s="61"/>
      <c r="AN210" s="61"/>
      <c r="AO210" s="60"/>
      <c r="AP210" s="60"/>
      <c r="AQ210" s="61"/>
      <c r="AR210" s="61"/>
      <c r="AS210" s="61"/>
      <c r="AT210" s="61"/>
      <c r="AU210" s="112"/>
      <c r="AV210" s="61"/>
      <c r="AW210" s="61"/>
      <c r="AX210" s="61"/>
      <c r="AY210" s="61"/>
      <c r="AZ210" s="112"/>
      <c r="BA210" s="61"/>
      <c r="BB210" s="61"/>
      <c r="BC210" s="61"/>
      <c r="BD210" s="61"/>
      <c r="BE210" s="59"/>
      <c r="BF210" s="59"/>
      <c r="BG210" s="61"/>
      <c r="BH210" s="61"/>
      <c r="BI210" s="60"/>
      <c r="BJ210" s="60"/>
      <c r="BK210" s="59"/>
      <c r="BL210" s="61"/>
      <c r="BM210" s="61"/>
      <c r="BN210" s="60"/>
      <c r="BO210" s="60"/>
      <c r="BP210" s="59"/>
      <c r="BQ210" s="61"/>
      <c r="BR210" s="61"/>
      <c r="BS210" s="60"/>
      <c r="BT210" s="60"/>
      <c r="BU210" s="112"/>
      <c r="BV210" s="112"/>
      <c r="BW210" s="112"/>
      <c r="BX210" s="112"/>
      <c r="BY210" s="112"/>
      <c r="BZ210" s="112"/>
      <c r="CA210" s="112"/>
      <c r="CB210" s="112"/>
    </row>
    <row r="211" spans="1:80">
      <c r="A211" s="2"/>
      <c r="B211" s="2"/>
      <c r="C211" s="1083"/>
      <c r="D211" s="1083"/>
      <c r="E211" s="1083"/>
      <c r="F211" s="1083"/>
      <c r="G211" s="1073"/>
      <c r="H211" s="1083"/>
      <c r="I211" s="61"/>
      <c r="J211" s="61"/>
      <c r="K211" s="61"/>
      <c r="L211" s="112"/>
      <c r="M211" s="61"/>
      <c r="N211" s="61"/>
      <c r="O211" s="61"/>
      <c r="P211" s="61"/>
      <c r="Q211" s="112"/>
      <c r="R211" s="61"/>
      <c r="S211" s="61"/>
      <c r="T211" s="61"/>
      <c r="U211" s="61"/>
      <c r="V211" s="112"/>
      <c r="W211" s="61"/>
      <c r="X211" s="61"/>
      <c r="Y211" s="61"/>
      <c r="Z211" s="61"/>
      <c r="AA211" s="112"/>
      <c r="AB211" s="61"/>
      <c r="AC211" s="61"/>
      <c r="AD211" s="61"/>
      <c r="AE211" s="61"/>
      <c r="AF211" s="112"/>
      <c r="AG211" s="61"/>
      <c r="AH211" s="61"/>
      <c r="AI211" s="61"/>
      <c r="AJ211" s="61"/>
      <c r="AK211" s="112"/>
      <c r="AL211" s="61"/>
      <c r="AM211" s="61"/>
      <c r="AN211" s="61"/>
      <c r="AO211" s="60"/>
      <c r="AP211" s="60"/>
      <c r="AQ211" s="61"/>
      <c r="AR211" s="61"/>
      <c r="AS211" s="61"/>
      <c r="AT211" s="61"/>
      <c r="AU211" s="112"/>
      <c r="AV211" s="61"/>
      <c r="AW211" s="61"/>
      <c r="AX211" s="61"/>
      <c r="AY211" s="61"/>
      <c r="AZ211" s="112"/>
      <c r="BA211" s="61"/>
      <c r="BB211" s="61"/>
      <c r="BC211" s="61"/>
      <c r="BD211" s="61"/>
      <c r="BE211" s="59"/>
      <c r="BF211" s="59"/>
      <c r="BG211" s="61"/>
      <c r="BH211" s="61"/>
      <c r="BI211" s="60"/>
      <c r="BJ211" s="60"/>
      <c r="BK211" s="59"/>
      <c r="BL211" s="61"/>
      <c r="BM211" s="61"/>
      <c r="BN211" s="60"/>
      <c r="BO211" s="60"/>
      <c r="BP211" s="59"/>
      <c r="BQ211" s="61"/>
      <c r="BR211" s="61"/>
      <c r="BS211" s="60"/>
      <c r="BT211" s="60"/>
      <c r="BU211" s="112"/>
      <c r="BV211" s="112"/>
      <c r="BW211" s="112"/>
      <c r="BX211" s="112"/>
      <c r="BY211" s="112"/>
      <c r="BZ211" s="112"/>
      <c r="CA211" s="112"/>
      <c r="CB211" s="112"/>
    </row>
    <row r="212" spans="1:80">
      <c r="A212" s="2"/>
      <c r="B212" s="2"/>
      <c r="C212" s="1083"/>
      <c r="D212" s="1083"/>
      <c r="E212" s="1083"/>
      <c r="F212" s="1083"/>
      <c r="G212" s="1073"/>
      <c r="H212" s="1083"/>
      <c r="I212" s="61"/>
      <c r="J212" s="61"/>
      <c r="K212" s="61"/>
      <c r="L212" s="112"/>
      <c r="M212" s="61"/>
      <c r="N212" s="61"/>
      <c r="O212" s="61"/>
      <c r="P212" s="61"/>
      <c r="Q212" s="112"/>
      <c r="R212" s="61"/>
      <c r="S212" s="61"/>
      <c r="T212" s="61"/>
      <c r="U212" s="61"/>
      <c r="V212" s="112"/>
      <c r="W212" s="61"/>
      <c r="X212" s="61"/>
      <c r="Y212" s="61"/>
      <c r="Z212" s="61"/>
      <c r="AA212" s="112"/>
      <c r="AB212" s="61"/>
      <c r="AC212" s="61"/>
      <c r="AD212" s="61"/>
      <c r="AE212" s="61"/>
      <c r="AF212" s="112"/>
      <c r="AG212" s="61"/>
      <c r="AH212" s="61"/>
      <c r="AI212" s="61"/>
      <c r="AJ212" s="61"/>
      <c r="AK212" s="112"/>
      <c r="AL212" s="61"/>
      <c r="AM212" s="61"/>
      <c r="AN212" s="61"/>
      <c r="AO212" s="60"/>
      <c r="AP212" s="60"/>
      <c r="AQ212" s="61"/>
      <c r="AR212" s="61"/>
      <c r="AS212" s="61"/>
      <c r="AT212" s="61"/>
      <c r="AU212" s="112"/>
      <c r="AV212" s="61"/>
      <c r="AW212" s="61"/>
      <c r="AX212" s="61"/>
      <c r="AY212" s="61"/>
      <c r="AZ212" s="112"/>
      <c r="BA212" s="61"/>
      <c r="BB212" s="61"/>
      <c r="BC212" s="61"/>
      <c r="BD212" s="61"/>
      <c r="BE212" s="59"/>
      <c r="BF212" s="59"/>
      <c r="BG212" s="61"/>
      <c r="BH212" s="61"/>
      <c r="BI212" s="60"/>
      <c r="BJ212" s="60"/>
      <c r="BK212" s="59"/>
      <c r="BL212" s="61"/>
      <c r="BM212" s="61"/>
      <c r="BN212" s="60"/>
      <c r="BO212" s="60"/>
      <c r="BP212" s="59"/>
      <c r="BQ212" s="61"/>
      <c r="BR212" s="61"/>
      <c r="BS212" s="60"/>
      <c r="BT212" s="60"/>
      <c r="BU212" s="112"/>
      <c r="BV212" s="112"/>
      <c r="BW212" s="112"/>
      <c r="BX212" s="112"/>
      <c r="BY212" s="112"/>
      <c r="BZ212" s="112"/>
      <c r="CA212" s="112"/>
      <c r="CB212" s="112"/>
    </row>
    <row r="213" spans="1:80">
      <c r="A213" s="2"/>
      <c r="B213" s="2"/>
      <c r="C213" s="1083"/>
      <c r="D213" s="1083"/>
      <c r="E213" s="1083"/>
      <c r="F213" s="1083"/>
      <c r="G213" s="1073"/>
      <c r="H213" s="1083"/>
      <c r="I213" s="61"/>
      <c r="J213" s="61"/>
      <c r="K213" s="61"/>
      <c r="L213" s="112"/>
      <c r="M213" s="61"/>
      <c r="N213" s="61"/>
      <c r="O213" s="61"/>
      <c r="P213" s="61"/>
      <c r="Q213" s="112"/>
      <c r="R213" s="61"/>
      <c r="S213" s="61"/>
      <c r="T213" s="61"/>
      <c r="U213" s="61"/>
      <c r="V213" s="112"/>
      <c r="W213" s="61"/>
      <c r="X213" s="61"/>
      <c r="Y213" s="61"/>
      <c r="Z213" s="61"/>
      <c r="AA213" s="112"/>
      <c r="AB213" s="61"/>
      <c r="AC213" s="61"/>
      <c r="AD213" s="61"/>
      <c r="AE213" s="61"/>
      <c r="AF213" s="112"/>
      <c r="AG213" s="61"/>
      <c r="AH213" s="61"/>
      <c r="AI213" s="61"/>
      <c r="AJ213" s="61"/>
      <c r="AK213" s="112"/>
      <c r="AL213" s="61"/>
      <c r="AM213" s="61"/>
      <c r="AN213" s="61"/>
      <c r="AO213" s="60"/>
      <c r="AP213" s="60"/>
      <c r="AQ213" s="61"/>
      <c r="AR213" s="61"/>
      <c r="AS213" s="61"/>
      <c r="AT213" s="61"/>
      <c r="AU213" s="112"/>
      <c r="AV213" s="61"/>
      <c r="AW213" s="61"/>
      <c r="AX213" s="61"/>
      <c r="AY213" s="61"/>
      <c r="AZ213" s="112"/>
      <c r="BA213" s="61"/>
      <c r="BB213" s="61"/>
      <c r="BC213" s="61"/>
      <c r="BD213" s="61"/>
      <c r="BE213" s="59"/>
      <c r="BF213" s="59"/>
      <c r="BG213" s="61"/>
      <c r="BH213" s="61"/>
      <c r="BI213" s="60"/>
      <c r="BJ213" s="60"/>
      <c r="BK213" s="59"/>
      <c r="BL213" s="61"/>
      <c r="BM213" s="61"/>
      <c r="BN213" s="60"/>
      <c r="BO213" s="60"/>
      <c r="BP213" s="59"/>
      <c r="BQ213" s="61"/>
      <c r="BR213" s="61"/>
      <c r="BS213" s="60"/>
      <c r="BT213" s="60"/>
      <c r="BU213" s="112"/>
      <c r="BV213" s="112"/>
      <c r="BW213" s="112"/>
      <c r="BX213" s="112"/>
      <c r="BY213" s="112"/>
      <c r="BZ213" s="112"/>
      <c r="CA213" s="112"/>
      <c r="CB213" s="112"/>
    </row>
    <row r="214" spans="1:80">
      <c r="A214" s="2"/>
      <c r="B214" s="2"/>
      <c r="C214" s="1083"/>
      <c r="D214" s="1083"/>
      <c r="E214" s="1083"/>
      <c r="F214" s="1083"/>
      <c r="G214" s="1073"/>
      <c r="H214" s="1083"/>
      <c r="I214" s="61"/>
      <c r="J214" s="61"/>
      <c r="K214" s="61"/>
      <c r="L214" s="112"/>
      <c r="M214" s="61"/>
      <c r="N214" s="61"/>
      <c r="O214" s="61"/>
      <c r="P214" s="61"/>
      <c r="Q214" s="112"/>
      <c r="R214" s="61"/>
      <c r="S214" s="61"/>
      <c r="T214" s="61"/>
      <c r="U214" s="61"/>
      <c r="V214" s="112"/>
      <c r="W214" s="61"/>
      <c r="X214" s="61"/>
      <c r="Y214" s="61"/>
      <c r="Z214" s="61"/>
      <c r="AA214" s="112"/>
      <c r="AB214" s="61"/>
      <c r="AC214" s="61"/>
      <c r="AD214" s="61"/>
      <c r="AE214" s="61"/>
      <c r="AF214" s="112"/>
      <c r="AG214" s="61"/>
      <c r="AH214" s="61"/>
      <c r="AI214" s="61"/>
      <c r="AJ214" s="61"/>
      <c r="AK214" s="112"/>
      <c r="AL214" s="61"/>
      <c r="AM214" s="61"/>
      <c r="AN214" s="61"/>
      <c r="AO214" s="60"/>
      <c r="AP214" s="60"/>
      <c r="AQ214" s="61"/>
      <c r="AR214" s="61"/>
      <c r="AS214" s="61"/>
      <c r="AT214" s="61"/>
      <c r="AU214" s="112"/>
      <c r="AV214" s="61"/>
      <c r="AW214" s="61"/>
      <c r="AX214" s="61"/>
      <c r="AY214" s="61"/>
      <c r="AZ214" s="112"/>
      <c r="BA214" s="61"/>
      <c r="BB214" s="61"/>
      <c r="BC214" s="61"/>
      <c r="BD214" s="61"/>
      <c r="BE214" s="59"/>
      <c r="BF214" s="59"/>
      <c r="BG214" s="61"/>
      <c r="BH214" s="61"/>
      <c r="BI214" s="60"/>
      <c r="BJ214" s="60"/>
      <c r="BK214" s="59"/>
      <c r="BL214" s="61"/>
      <c r="BM214" s="61"/>
      <c r="BN214" s="60"/>
      <c r="BO214" s="60"/>
      <c r="BP214" s="59"/>
      <c r="BQ214" s="61"/>
      <c r="BR214" s="61"/>
      <c r="BS214" s="60"/>
      <c r="BT214" s="60"/>
      <c r="BU214" s="112"/>
      <c r="BV214" s="112"/>
      <c r="BW214" s="112"/>
      <c r="BX214" s="112"/>
      <c r="BY214" s="112"/>
      <c r="BZ214" s="112"/>
      <c r="CA214" s="112"/>
      <c r="CB214" s="112"/>
    </row>
    <row r="215" spans="1:80">
      <c r="A215" s="2"/>
      <c r="B215" s="2"/>
      <c r="C215" s="1083"/>
      <c r="D215" s="1083"/>
      <c r="E215" s="1083"/>
      <c r="F215" s="1083"/>
      <c r="G215" s="1073"/>
      <c r="H215" s="1083"/>
      <c r="I215" s="61"/>
      <c r="J215" s="61"/>
      <c r="K215" s="61"/>
      <c r="L215" s="112"/>
      <c r="M215" s="61"/>
      <c r="N215" s="61"/>
      <c r="O215" s="61"/>
      <c r="P215" s="61"/>
      <c r="Q215" s="112"/>
      <c r="R215" s="61"/>
      <c r="S215" s="61"/>
      <c r="T215" s="61"/>
      <c r="U215" s="61"/>
      <c r="V215" s="112"/>
      <c r="W215" s="61"/>
      <c r="X215" s="61"/>
      <c r="Y215" s="61"/>
      <c r="Z215" s="61"/>
      <c r="AA215" s="112"/>
      <c r="AB215" s="61"/>
      <c r="AC215" s="61"/>
      <c r="AD215" s="61"/>
      <c r="AE215" s="61"/>
      <c r="AF215" s="112"/>
      <c r="AG215" s="61"/>
      <c r="AH215" s="61"/>
      <c r="AI215" s="61"/>
      <c r="AJ215" s="61"/>
      <c r="AK215" s="112"/>
      <c r="AL215" s="61"/>
      <c r="AM215" s="61"/>
      <c r="AN215" s="61"/>
      <c r="AO215" s="60"/>
      <c r="AP215" s="60"/>
      <c r="AQ215" s="61"/>
      <c r="AR215" s="61"/>
      <c r="AS215" s="61"/>
      <c r="AT215" s="61"/>
      <c r="AU215" s="112"/>
      <c r="AV215" s="61"/>
      <c r="AW215" s="61"/>
      <c r="AX215" s="61"/>
      <c r="AY215" s="61"/>
      <c r="AZ215" s="112"/>
      <c r="BA215" s="61"/>
      <c r="BB215" s="61"/>
      <c r="BC215" s="61"/>
      <c r="BD215" s="61"/>
      <c r="BE215" s="59"/>
      <c r="BF215" s="59"/>
      <c r="BG215" s="61"/>
      <c r="BH215" s="61"/>
      <c r="BI215" s="60"/>
      <c r="BJ215" s="60"/>
      <c r="BK215" s="59"/>
      <c r="BL215" s="61"/>
      <c r="BM215" s="61"/>
      <c r="BN215" s="60"/>
      <c r="BO215" s="60"/>
      <c r="BP215" s="59"/>
      <c r="BQ215" s="61"/>
      <c r="BR215" s="61"/>
      <c r="BS215" s="60"/>
      <c r="BT215" s="60"/>
      <c r="BU215" s="112"/>
      <c r="BV215" s="112"/>
      <c r="BW215" s="112"/>
      <c r="BX215" s="112"/>
      <c r="BY215" s="112"/>
      <c r="BZ215" s="112"/>
      <c r="CA215" s="112"/>
      <c r="CB215" s="112"/>
    </row>
    <row r="216" spans="1:80">
      <c r="A216" s="2"/>
      <c r="B216" s="2"/>
      <c r="C216" s="1083"/>
      <c r="D216" s="1083"/>
      <c r="E216" s="1083"/>
      <c r="F216" s="1083"/>
      <c r="G216" s="1073"/>
      <c r="H216" s="1083"/>
      <c r="I216" s="61"/>
      <c r="J216" s="61"/>
      <c r="K216" s="61"/>
      <c r="L216" s="112"/>
      <c r="M216" s="61"/>
      <c r="N216" s="61"/>
      <c r="O216" s="61"/>
      <c r="P216" s="61"/>
      <c r="Q216" s="112"/>
      <c r="R216" s="61"/>
      <c r="S216" s="61"/>
      <c r="T216" s="61"/>
      <c r="U216" s="61"/>
      <c r="V216" s="112"/>
      <c r="W216" s="61"/>
      <c r="X216" s="61"/>
      <c r="Y216" s="61"/>
      <c r="Z216" s="61"/>
      <c r="AA216" s="112"/>
      <c r="AB216" s="61"/>
      <c r="AC216" s="61"/>
      <c r="AD216" s="61"/>
      <c r="AE216" s="61"/>
      <c r="AF216" s="112"/>
      <c r="AG216" s="61"/>
      <c r="AH216" s="61"/>
      <c r="AI216" s="61"/>
      <c r="AJ216" s="61"/>
      <c r="AK216" s="112"/>
      <c r="AL216" s="61"/>
      <c r="AM216" s="61"/>
      <c r="AN216" s="61"/>
      <c r="AO216" s="60"/>
      <c r="AP216" s="60"/>
      <c r="AQ216" s="61"/>
      <c r="AR216" s="61"/>
      <c r="AS216" s="61"/>
      <c r="AT216" s="61"/>
      <c r="AU216" s="112"/>
      <c r="AV216" s="61"/>
      <c r="AW216" s="61"/>
      <c r="AX216" s="61"/>
      <c r="AY216" s="61"/>
      <c r="AZ216" s="112"/>
      <c r="BA216" s="61"/>
      <c r="BB216" s="61"/>
      <c r="BC216" s="61"/>
      <c r="BD216" s="61"/>
      <c r="BE216" s="59"/>
      <c r="BF216" s="59"/>
      <c r="BG216" s="61"/>
      <c r="BH216" s="61"/>
      <c r="BI216" s="60"/>
      <c r="BJ216" s="60"/>
      <c r="BK216" s="59"/>
      <c r="BL216" s="61"/>
      <c r="BM216" s="61"/>
      <c r="BN216" s="60"/>
      <c r="BO216" s="60"/>
      <c r="BP216" s="59"/>
      <c r="BQ216" s="61"/>
      <c r="BR216" s="61"/>
      <c r="BS216" s="60"/>
      <c r="BT216" s="60"/>
      <c r="BU216" s="112"/>
      <c r="BV216" s="112"/>
      <c r="BW216" s="112"/>
      <c r="BX216" s="112"/>
      <c r="BY216" s="112"/>
      <c r="BZ216" s="112"/>
      <c r="CA216" s="112"/>
      <c r="CB216" s="112"/>
    </row>
    <row r="217" spans="1:80">
      <c r="A217" s="2"/>
      <c r="B217" s="2"/>
      <c r="C217" s="1083"/>
      <c r="D217" s="1083"/>
      <c r="E217" s="1083"/>
      <c r="F217" s="1083"/>
      <c r="G217" s="1073"/>
      <c r="H217" s="1083"/>
      <c r="I217" s="61"/>
      <c r="J217" s="61"/>
      <c r="K217" s="61"/>
      <c r="L217" s="112"/>
      <c r="M217" s="61"/>
      <c r="N217" s="61"/>
      <c r="O217" s="61"/>
      <c r="P217" s="61"/>
      <c r="Q217" s="112"/>
      <c r="R217" s="61"/>
      <c r="S217" s="61"/>
      <c r="T217" s="61"/>
      <c r="U217" s="61"/>
      <c r="V217" s="112"/>
      <c r="W217" s="61"/>
      <c r="X217" s="61"/>
      <c r="Y217" s="61"/>
      <c r="Z217" s="61"/>
      <c r="AA217" s="112"/>
      <c r="AB217" s="61"/>
      <c r="AC217" s="61"/>
      <c r="AD217" s="61"/>
      <c r="AE217" s="61"/>
      <c r="AF217" s="112"/>
      <c r="AG217" s="61"/>
      <c r="AH217" s="61"/>
      <c r="AI217" s="61"/>
      <c r="AJ217" s="61"/>
      <c r="AK217" s="112"/>
      <c r="AL217" s="61"/>
      <c r="AM217" s="61"/>
      <c r="AN217" s="61"/>
      <c r="AO217" s="60"/>
      <c r="AP217" s="60"/>
      <c r="AQ217" s="61"/>
      <c r="AR217" s="61"/>
      <c r="AS217" s="61"/>
      <c r="AT217" s="61"/>
      <c r="AU217" s="112"/>
      <c r="AV217" s="61"/>
      <c r="AW217" s="61"/>
      <c r="AX217" s="61"/>
      <c r="AY217" s="61"/>
      <c r="AZ217" s="112"/>
      <c r="BA217" s="61"/>
      <c r="BB217" s="61"/>
      <c r="BC217" s="61"/>
      <c r="BD217" s="61"/>
      <c r="BE217" s="59"/>
      <c r="BF217" s="59"/>
      <c r="BG217" s="61"/>
      <c r="BH217" s="61"/>
      <c r="BI217" s="60"/>
      <c r="BJ217" s="60"/>
      <c r="BK217" s="59"/>
      <c r="BL217" s="61"/>
      <c r="BM217" s="61"/>
      <c r="BN217" s="60"/>
      <c r="BO217" s="60"/>
      <c r="BP217" s="59"/>
      <c r="BQ217" s="61"/>
      <c r="BR217" s="61"/>
      <c r="BS217" s="60"/>
      <c r="BT217" s="60"/>
      <c r="BU217" s="112"/>
      <c r="BV217" s="112"/>
      <c r="BW217" s="112"/>
      <c r="BX217" s="112"/>
      <c r="BY217" s="112"/>
      <c r="BZ217" s="112"/>
      <c r="CA217" s="112"/>
      <c r="CB217" s="112"/>
    </row>
    <row r="218" spans="1:80">
      <c r="A218" s="2"/>
      <c r="B218" s="2"/>
      <c r="C218" s="1083"/>
      <c r="D218" s="1083"/>
      <c r="E218" s="1083"/>
      <c r="F218" s="1083"/>
      <c r="G218" s="1073"/>
      <c r="H218" s="1083"/>
      <c r="I218" s="61"/>
      <c r="J218" s="61"/>
      <c r="K218" s="61"/>
      <c r="L218" s="112"/>
      <c r="M218" s="61"/>
      <c r="N218" s="61"/>
      <c r="O218" s="61"/>
      <c r="P218" s="61"/>
      <c r="Q218" s="112"/>
      <c r="R218" s="61"/>
      <c r="S218" s="61"/>
      <c r="T218" s="61"/>
      <c r="U218" s="61"/>
      <c r="V218" s="112"/>
      <c r="W218" s="61"/>
      <c r="X218" s="61"/>
      <c r="Y218" s="61"/>
      <c r="Z218" s="61"/>
      <c r="AA218" s="112"/>
      <c r="AB218" s="61"/>
      <c r="AC218" s="61"/>
      <c r="AD218" s="61"/>
      <c r="AE218" s="61"/>
      <c r="AF218" s="112"/>
      <c r="AG218" s="61"/>
      <c r="AH218" s="61"/>
      <c r="AI218" s="61"/>
      <c r="AJ218" s="61"/>
      <c r="AK218" s="112"/>
      <c r="AL218" s="61"/>
      <c r="AM218" s="61"/>
      <c r="AN218" s="61"/>
      <c r="AO218" s="60"/>
      <c r="AP218" s="60"/>
      <c r="AQ218" s="61"/>
      <c r="AR218" s="61"/>
      <c r="AS218" s="61"/>
      <c r="AT218" s="61"/>
      <c r="AU218" s="112"/>
      <c r="AV218" s="61"/>
      <c r="AW218" s="61"/>
      <c r="AX218" s="61"/>
      <c r="AY218" s="61"/>
      <c r="AZ218" s="112"/>
      <c r="BA218" s="61"/>
      <c r="BB218" s="61"/>
      <c r="BC218" s="61"/>
      <c r="BD218" s="61"/>
      <c r="BE218" s="59"/>
      <c r="BF218" s="59"/>
      <c r="BG218" s="61"/>
      <c r="BH218" s="61"/>
      <c r="BI218" s="60"/>
      <c r="BJ218" s="60"/>
      <c r="BK218" s="59"/>
      <c r="BL218" s="61"/>
      <c r="BM218" s="61"/>
      <c r="BN218" s="60"/>
      <c r="BO218" s="60"/>
      <c r="BP218" s="59"/>
      <c r="BQ218" s="61"/>
      <c r="BR218" s="61"/>
      <c r="BS218" s="60"/>
      <c r="BT218" s="60"/>
      <c r="BU218" s="112"/>
      <c r="BV218" s="112"/>
      <c r="BW218" s="112"/>
      <c r="BX218" s="112"/>
      <c r="BY218" s="112"/>
      <c r="BZ218" s="112"/>
      <c r="CA218" s="112"/>
      <c r="CB218" s="112"/>
    </row>
    <row r="219" spans="1:80">
      <c r="A219" s="2"/>
      <c r="B219" s="2"/>
      <c r="C219" s="1083"/>
      <c r="D219" s="1083"/>
      <c r="E219" s="1083"/>
      <c r="F219" s="1083"/>
      <c r="G219" s="1073"/>
      <c r="H219" s="1083"/>
      <c r="I219" s="61"/>
      <c r="J219" s="61"/>
      <c r="K219" s="61"/>
      <c r="L219" s="112"/>
      <c r="M219" s="61"/>
      <c r="N219" s="61"/>
      <c r="O219" s="61"/>
      <c r="P219" s="61"/>
      <c r="Q219" s="112"/>
      <c r="R219" s="61"/>
      <c r="S219" s="61"/>
      <c r="T219" s="61"/>
      <c r="U219" s="61"/>
      <c r="V219" s="112"/>
      <c r="W219" s="61"/>
      <c r="X219" s="61"/>
      <c r="Y219" s="61"/>
      <c r="Z219" s="61"/>
      <c r="AA219" s="112"/>
      <c r="AB219" s="61"/>
      <c r="AC219" s="61"/>
      <c r="AD219" s="61"/>
      <c r="AE219" s="61"/>
      <c r="AF219" s="112"/>
      <c r="AG219" s="61"/>
      <c r="AH219" s="61"/>
      <c r="AI219" s="61"/>
      <c r="AJ219" s="61"/>
      <c r="AK219" s="112"/>
      <c r="AL219" s="61"/>
      <c r="AM219" s="61"/>
      <c r="AN219" s="61"/>
      <c r="AO219" s="60"/>
      <c r="AP219" s="60"/>
      <c r="AQ219" s="61"/>
      <c r="AR219" s="61"/>
      <c r="AS219" s="61"/>
      <c r="AT219" s="61"/>
      <c r="AU219" s="112"/>
      <c r="AV219" s="61"/>
      <c r="AW219" s="61"/>
      <c r="AX219" s="61"/>
      <c r="AY219" s="61"/>
      <c r="AZ219" s="112"/>
      <c r="BA219" s="61"/>
      <c r="BB219" s="61"/>
      <c r="BC219" s="61"/>
      <c r="BD219" s="61"/>
      <c r="BE219" s="59"/>
      <c r="BF219" s="59"/>
      <c r="BG219" s="61"/>
      <c r="BH219" s="61"/>
      <c r="BI219" s="60"/>
      <c r="BJ219" s="60"/>
      <c r="BK219" s="59"/>
      <c r="BL219" s="61"/>
      <c r="BM219" s="61"/>
      <c r="BN219" s="60"/>
      <c r="BO219" s="60"/>
      <c r="BP219" s="59"/>
      <c r="BQ219" s="61"/>
      <c r="BR219" s="61"/>
      <c r="BS219" s="60"/>
      <c r="BT219" s="60"/>
      <c r="BU219" s="112"/>
      <c r="BV219" s="112"/>
      <c r="BW219" s="112"/>
      <c r="BX219" s="112"/>
      <c r="BY219" s="112"/>
      <c r="BZ219" s="112"/>
      <c r="CA219" s="112"/>
      <c r="CB219" s="112"/>
    </row>
    <row r="220" spans="1:80">
      <c r="A220" s="2"/>
      <c r="B220" s="2"/>
      <c r="C220" s="1083"/>
      <c r="D220" s="1083"/>
      <c r="E220" s="1083"/>
      <c r="F220" s="1083"/>
      <c r="G220" s="1073"/>
      <c r="H220" s="1083"/>
      <c r="I220" s="61"/>
      <c r="J220" s="61"/>
      <c r="K220" s="61"/>
      <c r="L220" s="112"/>
      <c r="M220" s="61"/>
      <c r="N220" s="61"/>
      <c r="O220" s="61"/>
      <c r="P220" s="61"/>
      <c r="Q220" s="112"/>
      <c r="R220" s="61"/>
      <c r="S220" s="61"/>
      <c r="T220" s="61"/>
      <c r="U220" s="61"/>
      <c r="V220" s="112"/>
      <c r="W220" s="61"/>
      <c r="X220" s="61"/>
      <c r="Y220" s="61"/>
      <c r="Z220" s="61"/>
      <c r="AA220" s="112"/>
      <c r="AB220" s="61"/>
      <c r="AC220" s="61"/>
      <c r="AD220" s="61"/>
      <c r="AE220" s="61"/>
      <c r="AF220" s="112"/>
      <c r="AG220" s="61"/>
      <c r="AH220" s="61"/>
      <c r="AI220" s="61"/>
      <c r="AJ220" s="61"/>
      <c r="AK220" s="112"/>
      <c r="AL220" s="61"/>
      <c r="AM220" s="61"/>
      <c r="AN220" s="61"/>
      <c r="AO220" s="60"/>
      <c r="AP220" s="60"/>
      <c r="AQ220" s="61"/>
      <c r="AR220" s="61"/>
      <c r="AS220" s="61"/>
      <c r="AT220" s="61"/>
      <c r="AU220" s="112"/>
      <c r="AV220" s="61"/>
      <c r="AW220" s="61"/>
      <c r="AX220" s="61"/>
      <c r="AY220" s="61"/>
      <c r="AZ220" s="112"/>
      <c r="BA220" s="61"/>
      <c r="BB220" s="61"/>
      <c r="BC220" s="61"/>
      <c r="BD220" s="61"/>
      <c r="BE220" s="59"/>
      <c r="BF220" s="59"/>
      <c r="BG220" s="61"/>
      <c r="BH220" s="61"/>
      <c r="BI220" s="60"/>
      <c r="BJ220" s="60"/>
      <c r="BK220" s="59"/>
      <c r="BL220" s="61"/>
      <c r="BM220" s="61"/>
      <c r="BN220" s="60"/>
      <c r="BO220" s="60"/>
      <c r="BP220" s="59"/>
      <c r="BQ220" s="61"/>
      <c r="BR220" s="61"/>
      <c r="BS220" s="60"/>
      <c r="BT220" s="60"/>
      <c r="BU220" s="112"/>
      <c r="BV220" s="112"/>
      <c r="BW220" s="112"/>
      <c r="BX220" s="112"/>
      <c r="BY220" s="112"/>
      <c r="BZ220" s="112"/>
      <c r="CA220" s="112"/>
      <c r="CB220" s="112"/>
    </row>
    <row r="221" spans="1:80">
      <c r="A221" s="2"/>
      <c r="B221" s="2"/>
      <c r="C221" s="1083"/>
      <c r="D221" s="1083"/>
      <c r="E221" s="1083"/>
      <c r="F221" s="1083"/>
      <c r="G221" s="1073"/>
      <c r="H221" s="1083"/>
      <c r="I221" s="61"/>
      <c r="J221" s="61"/>
      <c r="K221" s="61"/>
      <c r="L221" s="112"/>
      <c r="M221" s="61"/>
      <c r="N221" s="61"/>
      <c r="O221" s="61"/>
      <c r="P221" s="61"/>
      <c r="Q221" s="112"/>
      <c r="R221" s="61"/>
      <c r="S221" s="61"/>
      <c r="T221" s="61"/>
      <c r="U221" s="61"/>
      <c r="V221" s="112"/>
      <c r="W221" s="61"/>
      <c r="X221" s="61"/>
      <c r="Y221" s="61"/>
      <c r="Z221" s="61"/>
      <c r="AA221" s="112"/>
      <c r="AB221" s="61"/>
      <c r="AC221" s="61"/>
      <c r="AD221" s="61"/>
      <c r="AE221" s="61"/>
      <c r="AF221" s="112"/>
      <c r="AG221" s="61"/>
      <c r="AH221" s="61"/>
      <c r="AI221" s="61"/>
      <c r="AJ221" s="61"/>
      <c r="AK221" s="112"/>
      <c r="AL221" s="61"/>
      <c r="AM221" s="61"/>
      <c r="AN221" s="61"/>
      <c r="AO221" s="60"/>
      <c r="AP221" s="60"/>
      <c r="AQ221" s="61"/>
      <c r="AR221" s="61"/>
      <c r="AS221" s="61"/>
      <c r="AT221" s="61"/>
      <c r="AU221" s="112"/>
      <c r="AV221" s="61"/>
      <c r="AW221" s="61"/>
      <c r="AX221" s="61"/>
      <c r="AY221" s="61"/>
      <c r="AZ221" s="112"/>
      <c r="BA221" s="61"/>
      <c r="BB221" s="61"/>
      <c r="BC221" s="61"/>
      <c r="BD221" s="61"/>
      <c r="BE221" s="59"/>
      <c r="BF221" s="59"/>
      <c r="BG221" s="61"/>
      <c r="BH221" s="61"/>
      <c r="BI221" s="60"/>
      <c r="BJ221" s="60"/>
      <c r="BK221" s="59"/>
      <c r="BL221" s="61"/>
      <c r="BM221" s="61"/>
      <c r="BN221" s="60"/>
      <c r="BO221" s="60"/>
      <c r="BP221" s="59"/>
      <c r="BQ221" s="61"/>
      <c r="BR221" s="61"/>
      <c r="BS221" s="60"/>
      <c r="BT221" s="60"/>
      <c r="BU221" s="112"/>
      <c r="BV221" s="112"/>
      <c r="BW221" s="112"/>
      <c r="BX221" s="112"/>
      <c r="BY221" s="112"/>
      <c r="BZ221" s="112"/>
      <c r="CA221" s="112"/>
      <c r="CB221" s="112"/>
    </row>
    <row r="222" spans="1:80">
      <c r="A222" s="2"/>
      <c r="B222" s="2"/>
      <c r="C222" s="1083"/>
      <c r="D222" s="1083"/>
      <c r="E222" s="1083"/>
      <c r="F222" s="1083"/>
      <c r="G222" s="1073"/>
      <c r="H222" s="1083"/>
      <c r="I222" s="61"/>
      <c r="J222" s="61"/>
      <c r="K222" s="61"/>
      <c r="L222" s="112"/>
      <c r="M222" s="61"/>
      <c r="N222" s="61"/>
      <c r="O222" s="61"/>
      <c r="P222" s="61"/>
      <c r="Q222" s="112"/>
      <c r="R222" s="61"/>
      <c r="S222" s="61"/>
      <c r="T222" s="61"/>
      <c r="U222" s="61"/>
      <c r="V222" s="112"/>
      <c r="W222" s="61"/>
      <c r="X222" s="61"/>
      <c r="Y222" s="61"/>
      <c r="Z222" s="61"/>
      <c r="AA222" s="112"/>
      <c r="AB222" s="61"/>
      <c r="AC222" s="61"/>
      <c r="AD222" s="61"/>
      <c r="AE222" s="61"/>
      <c r="AF222" s="112"/>
      <c r="AG222" s="61"/>
      <c r="AH222" s="61"/>
      <c r="AI222" s="61"/>
      <c r="AJ222" s="61"/>
      <c r="AK222" s="112"/>
      <c r="AL222" s="61"/>
      <c r="AM222" s="61"/>
      <c r="AN222" s="61"/>
      <c r="AO222" s="60"/>
      <c r="AP222" s="60"/>
      <c r="AQ222" s="61"/>
      <c r="AR222" s="61"/>
      <c r="AS222" s="61"/>
      <c r="AT222" s="61"/>
      <c r="AU222" s="112"/>
      <c r="AV222" s="61"/>
      <c r="AW222" s="61"/>
      <c r="AX222" s="61"/>
      <c r="AY222" s="61"/>
      <c r="AZ222" s="112"/>
      <c r="BA222" s="61"/>
      <c r="BB222" s="61"/>
      <c r="BC222" s="61"/>
      <c r="BD222" s="61"/>
      <c r="BE222" s="59"/>
      <c r="BF222" s="59"/>
      <c r="BG222" s="61"/>
      <c r="BH222" s="61"/>
      <c r="BI222" s="60"/>
      <c r="BJ222" s="60"/>
      <c r="BK222" s="59"/>
      <c r="BL222" s="61"/>
      <c r="BM222" s="61"/>
      <c r="BN222" s="60"/>
      <c r="BO222" s="60"/>
      <c r="BP222" s="59"/>
      <c r="BQ222" s="61"/>
      <c r="BR222" s="61"/>
      <c r="BS222" s="60"/>
      <c r="BT222" s="60"/>
      <c r="BU222" s="112"/>
      <c r="BV222" s="112"/>
      <c r="BW222" s="112"/>
      <c r="BX222" s="112"/>
      <c r="BY222" s="112"/>
      <c r="BZ222" s="112"/>
      <c r="CA222" s="112"/>
      <c r="CB222" s="112"/>
    </row>
    <row r="223" spans="1:80">
      <c r="A223" s="2"/>
      <c r="B223" s="2"/>
      <c r="C223" s="1083"/>
      <c r="D223" s="1083"/>
      <c r="E223" s="1083"/>
      <c r="F223" s="1083"/>
      <c r="G223" s="1073"/>
      <c r="H223" s="1083"/>
      <c r="I223" s="61"/>
      <c r="J223" s="61"/>
      <c r="K223" s="61"/>
      <c r="L223" s="112"/>
      <c r="M223" s="61"/>
      <c r="N223" s="61"/>
      <c r="O223" s="61"/>
      <c r="P223" s="61"/>
      <c r="Q223" s="112"/>
      <c r="R223" s="61"/>
      <c r="S223" s="61"/>
      <c r="T223" s="61"/>
      <c r="U223" s="61"/>
      <c r="V223" s="112"/>
      <c r="W223" s="61"/>
      <c r="X223" s="61"/>
      <c r="Y223" s="61"/>
      <c r="Z223" s="61"/>
      <c r="AA223" s="112"/>
      <c r="AB223" s="61"/>
      <c r="AC223" s="61"/>
      <c r="AD223" s="61"/>
      <c r="AE223" s="61"/>
      <c r="AF223" s="112"/>
      <c r="AG223" s="61"/>
      <c r="AH223" s="61"/>
      <c r="AI223" s="61"/>
      <c r="AJ223" s="61"/>
      <c r="AK223" s="112"/>
      <c r="AL223" s="61"/>
      <c r="AM223" s="61"/>
      <c r="AN223" s="61"/>
      <c r="AO223" s="60"/>
      <c r="AP223" s="60"/>
      <c r="AQ223" s="61"/>
      <c r="AR223" s="61"/>
      <c r="AS223" s="61"/>
      <c r="AT223" s="61"/>
      <c r="AU223" s="112"/>
      <c r="AV223" s="61"/>
      <c r="AW223" s="61"/>
      <c r="AX223" s="61"/>
      <c r="AY223" s="61"/>
      <c r="AZ223" s="112"/>
      <c r="BA223" s="61"/>
      <c r="BB223" s="61"/>
      <c r="BC223" s="61"/>
      <c r="BD223" s="61"/>
      <c r="BE223" s="59"/>
      <c r="BF223" s="59"/>
      <c r="BG223" s="61"/>
      <c r="BH223" s="61"/>
      <c r="BI223" s="60"/>
      <c r="BJ223" s="60"/>
      <c r="BK223" s="59"/>
      <c r="BL223" s="61"/>
      <c r="BM223" s="61"/>
      <c r="BN223" s="60"/>
      <c r="BO223" s="60"/>
      <c r="BP223" s="59"/>
      <c r="BQ223" s="61"/>
      <c r="BR223" s="61"/>
      <c r="BS223" s="60"/>
      <c r="BT223" s="60"/>
      <c r="BU223" s="112"/>
      <c r="BV223" s="112"/>
      <c r="BW223" s="112"/>
      <c r="BX223" s="112"/>
      <c r="BY223" s="112"/>
      <c r="BZ223" s="112"/>
      <c r="CA223" s="112"/>
      <c r="CB223" s="112"/>
    </row>
    <row r="224" spans="1:80">
      <c r="A224" s="2"/>
      <c r="B224" s="2"/>
      <c r="C224" s="1083"/>
      <c r="D224" s="1083"/>
      <c r="E224" s="1083"/>
      <c r="F224" s="1083"/>
      <c r="G224" s="1073"/>
      <c r="H224" s="1083"/>
      <c r="I224" s="61"/>
      <c r="J224" s="61"/>
      <c r="K224" s="61"/>
      <c r="L224" s="112"/>
      <c r="M224" s="61"/>
      <c r="N224" s="61"/>
      <c r="O224" s="61"/>
      <c r="P224" s="61"/>
      <c r="Q224" s="112"/>
      <c r="R224" s="61"/>
      <c r="S224" s="61"/>
      <c r="T224" s="61"/>
      <c r="U224" s="61"/>
      <c r="V224" s="112"/>
      <c r="W224" s="61"/>
      <c r="X224" s="61"/>
      <c r="Y224" s="61"/>
      <c r="Z224" s="61"/>
      <c r="AA224" s="112"/>
      <c r="AB224" s="61"/>
      <c r="AC224" s="61"/>
      <c r="AD224" s="61"/>
      <c r="AE224" s="61"/>
      <c r="AF224" s="112"/>
      <c r="AG224" s="61"/>
      <c r="AH224" s="61"/>
      <c r="AI224" s="61"/>
      <c r="AJ224" s="61"/>
      <c r="AK224" s="112"/>
      <c r="AL224" s="61"/>
      <c r="AM224" s="61"/>
      <c r="AN224" s="61"/>
      <c r="AO224" s="60"/>
      <c r="AP224" s="60"/>
      <c r="AQ224" s="61"/>
      <c r="AR224" s="61"/>
      <c r="AS224" s="61"/>
      <c r="AT224" s="61"/>
      <c r="AU224" s="112"/>
      <c r="AV224" s="61"/>
      <c r="AW224" s="61"/>
      <c r="AX224" s="61"/>
      <c r="AY224" s="61"/>
      <c r="AZ224" s="112"/>
      <c r="BA224" s="61"/>
      <c r="BB224" s="61"/>
      <c r="BC224" s="61"/>
      <c r="BD224" s="61"/>
      <c r="BE224" s="59"/>
      <c r="BF224" s="59"/>
      <c r="BG224" s="61"/>
      <c r="BH224" s="61"/>
      <c r="BI224" s="60"/>
      <c r="BJ224" s="60"/>
      <c r="BK224" s="59"/>
      <c r="BL224" s="61"/>
      <c r="BM224" s="61"/>
      <c r="BN224" s="60"/>
      <c r="BO224" s="60"/>
      <c r="BP224" s="59"/>
      <c r="BQ224" s="61"/>
      <c r="BR224" s="61"/>
      <c r="BS224" s="60"/>
      <c r="BT224" s="60"/>
      <c r="BU224" s="112"/>
      <c r="BV224" s="112"/>
      <c r="BW224" s="112"/>
      <c r="BX224" s="112"/>
      <c r="BY224" s="112"/>
      <c r="BZ224" s="112"/>
      <c r="CA224" s="112"/>
      <c r="CB224" s="112"/>
    </row>
    <row r="225" spans="1:80">
      <c r="A225" s="2"/>
      <c r="B225" s="2"/>
      <c r="C225" s="1083"/>
      <c r="D225" s="1083"/>
      <c r="E225" s="1083"/>
      <c r="F225" s="1083"/>
      <c r="G225" s="1073"/>
      <c r="H225" s="1083"/>
      <c r="I225" s="61"/>
      <c r="J225" s="61"/>
      <c r="K225" s="61"/>
      <c r="L225" s="112"/>
      <c r="M225" s="61"/>
      <c r="N225" s="61"/>
      <c r="O225" s="61"/>
      <c r="P225" s="61"/>
      <c r="Q225" s="112"/>
      <c r="R225" s="61"/>
      <c r="S225" s="61"/>
      <c r="T225" s="61"/>
      <c r="U225" s="61"/>
      <c r="V225" s="112"/>
      <c r="W225" s="61"/>
      <c r="X225" s="61"/>
      <c r="Y225" s="61"/>
      <c r="Z225" s="61"/>
      <c r="AA225" s="112"/>
      <c r="AB225" s="61"/>
      <c r="AC225" s="61"/>
      <c r="AD225" s="61"/>
      <c r="AE225" s="61"/>
      <c r="AF225" s="112"/>
      <c r="AG225" s="61"/>
      <c r="AH225" s="61"/>
      <c r="AI225" s="61"/>
      <c r="AJ225" s="61"/>
      <c r="AK225" s="112"/>
      <c r="AL225" s="61"/>
      <c r="AM225" s="61"/>
      <c r="AN225" s="61"/>
      <c r="AO225" s="60"/>
      <c r="AP225" s="60"/>
      <c r="AQ225" s="61"/>
      <c r="AR225" s="61"/>
      <c r="AS225" s="61"/>
      <c r="AT225" s="61"/>
      <c r="AU225" s="112"/>
      <c r="AV225" s="61"/>
      <c r="AW225" s="61"/>
      <c r="AX225" s="61"/>
      <c r="AY225" s="61"/>
      <c r="AZ225" s="112"/>
      <c r="BA225" s="61"/>
      <c r="BB225" s="61"/>
      <c r="BC225" s="61"/>
      <c r="BD225" s="61"/>
      <c r="BE225" s="59"/>
      <c r="BF225" s="59"/>
      <c r="BG225" s="61"/>
      <c r="BH225" s="61"/>
      <c r="BI225" s="60"/>
      <c r="BJ225" s="60"/>
      <c r="BK225" s="59"/>
      <c r="BL225" s="61"/>
      <c r="BM225" s="61"/>
      <c r="BN225" s="60"/>
      <c r="BO225" s="60"/>
      <c r="BP225" s="59"/>
      <c r="BQ225" s="61"/>
      <c r="BR225" s="61"/>
      <c r="BS225" s="60"/>
      <c r="BT225" s="60"/>
      <c r="BU225" s="112"/>
      <c r="BV225" s="112"/>
      <c r="BW225" s="112"/>
      <c r="BX225" s="112"/>
      <c r="BY225" s="112"/>
      <c r="BZ225" s="112"/>
      <c r="CA225" s="112"/>
      <c r="CB225" s="112"/>
    </row>
    <row r="226" spans="1:80" outlineLevel="1">
      <c r="A226" s="69" t="s">
        <v>1116</v>
      </c>
      <c r="B226" s="69"/>
      <c r="C226" s="61"/>
      <c r="D226" s="61"/>
      <c r="E226" s="61"/>
      <c r="F226" s="61"/>
      <c r="G226" s="112"/>
      <c r="H226" s="61"/>
      <c r="I226" s="61"/>
      <c r="J226" s="61"/>
      <c r="K226" s="61"/>
      <c r="L226" s="112"/>
      <c r="M226" s="61"/>
      <c r="N226" s="61"/>
      <c r="O226" s="61"/>
      <c r="P226" s="61"/>
      <c r="Q226" s="112"/>
      <c r="R226" s="61"/>
      <c r="S226" s="61"/>
      <c r="T226" s="61"/>
      <c r="U226" s="61"/>
      <c r="V226" s="112"/>
      <c r="W226" s="61"/>
      <c r="X226" s="61"/>
      <c r="Y226" s="61"/>
      <c r="Z226" s="61"/>
      <c r="AA226" s="112"/>
      <c r="AB226" s="61"/>
      <c r="AC226" s="61"/>
      <c r="AD226" s="61"/>
      <c r="AE226" s="61"/>
      <c r="AF226" s="112"/>
      <c r="AG226" s="61"/>
      <c r="AH226" s="61"/>
      <c r="AI226" s="61"/>
      <c r="AJ226" s="61"/>
      <c r="AK226" s="112"/>
      <c r="AL226" s="61"/>
      <c r="AM226" s="61"/>
      <c r="AN226" s="61"/>
      <c r="AO226" s="60"/>
      <c r="AP226" s="60"/>
      <c r="AQ226" s="61"/>
      <c r="AR226" s="61"/>
      <c r="AS226" s="61"/>
      <c r="AT226" s="61"/>
      <c r="AU226" s="112"/>
      <c r="AV226" s="61"/>
      <c r="AW226" s="61"/>
      <c r="AX226" s="61"/>
      <c r="AY226" s="61"/>
      <c r="AZ226" s="112"/>
      <c r="BA226" s="61"/>
      <c r="BB226" s="61"/>
      <c r="BC226" s="61"/>
      <c r="BD226" s="61"/>
      <c r="BE226" s="59"/>
      <c r="BF226" s="59"/>
      <c r="BG226" s="61"/>
      <c r="BH226" s="61"/>
      <c r="BI226" s="60"/>
      <c r="BJ226" s="60"/>
      <c r="BK226" s="59"/>
      <c r="BL226" s="61"/>
      <c r="BM226" s="61"/>
      <c r="BN226" s="60"/>
      <c r="BO226" s="60"/>
      <c r="BP226" s="59"/>
      <c r="BQ226" s="61"/>
      <c r="BR226" s="61"/>
      <c r="BS226" s="60"/>
      <c r="BT226" s="60"/>
      <c r="BU226" s="112"/>
      <c r="BV226" s="112"/>
      <c r="BW226" s="112"/>
      <c r="BX226" s="112"/>
      <c r="BY226" s="112"/>
      <c r="BZ226" s="112"/>
      <c r="CA226" s="112"/>
      <c r="CB226" s="112"/>
    </row>
    <row r="227" spans="1:80" outlineLevel="1">
      <c r="A227" s="2" t="s">
        <v>526</v>
      </c>
      <c r="B227" s="2"/>
      <c r="C227" s="61"/>
      <c r="D227" s="61"/>
      <c r="E227" s="61"/>
      <c r="F227" s="61"/>
      <c r="G227" s="112"/>
      <c r="H227" s="61"/>
      <c r="I227" s="61"/>
      <c r="J227" s="61"/>
      <c r="K227" s="61"/>
      <c r="L227" s="112"/>
      <c r="M227" s="61"/>
      <c r="N227" s="61"/>
      <c r="O227" s="61"/>
      <c r="P227" s="61"/>
      <c r="Q227" s="112"/>
      <c r="R227" s="1072"/>
      <c r="S227" s="1072"/>
      <c r="T227" s="1072"/>
      <c r="U227" s="1072"/>
      <c r="V227" s="1073"/>
      <c r="W227" s="1072"/>
      <c r="X227" s="1072"/>
      <c r="Y227" s="1072"/>
      <c r="Z227" s="1072"/>
      <c r="AA227" s="1073"/>
      <c r="AB227" s="1072"/>
      <c r="AC227" s="1072"/>
      <c r="AD227" s="1072"/>
      <c r="AE227" s="1072"/>
      <c r="AF227" s="1073"/>
      <c r="AG227" s="402"/>
      <c r="AH227" s="402"/>
      <c r="AI227" s="402"/>
      <c r="AJ227" s="402"/>
      <c r="AK227" s="1073"/>
      <c r="AL227" s="402"/>
      <c r="AM227" s="402"/>
      <c r="AN227" s="402"/>
      <c r="AO227" s="1121"/>
      <c r="AP227" s="1121"/>
      <c r="AQ227" s="402"/>
      <c r="AR227" s="402"/>
      <c r="AS227" s="402"/>
      <c r="AT227" s="402"/>
      <c r="AU227" s="1073"/>
      <c r="AV227" s="402"/>
      <c r="AW227" s="402"/>
      <c r="AX227" s="402"/>
      <c r="AY227" s="402"/>
      <c r="AZ227" s="1073"/>
      <c r="BA227" s="402"/>
      <c r="BB227" s="402"/>
      <c r="BC227" s="402"/>
      <c r="BD227" s="402"/>
      <c r="BE227" s="2830"/>
      <c r="BF227" s="2830"/>
      <c r="BG227" s="402"/>
      <c r="BH227" s="402"/>
      <c r="BI227" s="1121"/>
      <c r="BJ227" s="1121"/>
      <c r="BK227" s="2830"/>
      <c r="BL227" s="402"/>
      <c r="BM227" s="402"/>
      <c r="BN227" s="1121"/>
      <c r="BO227" s="1121"/>
      <c r="BP227" s="2830"/>
      <c r="BQ227" s="402"/>
      <c r="BR227" s="402"/>
      <c r="BS227" s="1121"/>
      <c r="BT227" s="1121"/>
      <c r="BU227" s="1073"/>
      <c r="BV227" s="1073"/>
      <c r="BW227" s="1073"/>
      <c r="BX227" s="1073"/>
      <c r="BY227" s="1073"/>
      <c r="BZ227" s="1073"/>
      <c r="CA227" s="1073"/>
      <c r="CB227" s="1073"/>
    </row>
    <row r="228" spans="1:80" outlineLevel="1">
      <c r="A228" s="2"/>
      <c r="B228" s="2"/>
      <c r="C228" s="61"/>
      <c r="D228" s="61"/>
      <c r="E228" s="61"/>
      <c r="F228" s="61"/>
      <c r="G228" s="112"/>
      <c r="H228" s="61"/>
      <c r="I228" s="61"/>
      <c r="J228" s="61"/>
      <c r="K228" s="61"/>
      <c r="L228" s="112"/>
      <c r="M228" s="61"/>
      <c r="N228" s="61"/>
      <c r="O228" s="61"/>
      <c r="P228" s="61"/>
      <c r="Q228" s="112"/>
      <c r="R228" s="1072"/>
      <c r="S228" s="1072"/>
      <c r="T228" s="1072"/>
      <c r="U228" s="1072"/>
      <c r="V228" s="1073"/>
      <c r="W228" s="1072"/>
      <c r="X228" s="1072"/>
      <c r="Y228" s="1072"/>
      <c r="Z228" s="1072"/>
      <c r="AA228" s="1073"/>
      <c r="AB228" s="1072"/>
      <c r="AC228" s="1072"/>
      <c r="AD228" s="1072"/>
      <c r="AE228" s="1072"/>
      <c r="AF228" s="1073"/>
      <c r="AG228" s="402"/>
      <c r="AH228" s="402"/>
      <c r="AI228" s="402"/>
      <c r="AJ228" s="402"/>
      <c r="AK228" s="1073"/>
      <c r="AL228" s="402"/>
      <c r="AM228" s="402"/>
      <c r="AN228" s="402"/>
      <c r="AO228" s="1121"/>
      <c r="AP228" s="1121"/>
      <c r="AQ228" s="402"/>
      <c r="AR228" s="402"/>
      <c r="AS228" s="402"/>
      <c r="AT228" s="402"/>
      <c r="AU228" s="1073"/>
      <c r="AV228" s="402"/>
      <c r="AW228" s="402"/>
      <c r="AX228" s="402"/>
      <c r="AY228" s="402"/>
      <c r="AZ228" s="1073"/>
      <c r="BA228" s="402"/>
      <c r="BB228" s="402"/>
      <c r="BC228" s="402"/>
      <c r="BD228" s="402"/>
      <c r="BE228" s="2830"/>
      <c r="BF228" s="2830"/>
      <c r="BG228" s="402"/>
      <c r="BH228" s="402"/>
      <c r="BI228" s="1121"/>
      <c r="BJ228" s="1121"/>
      <c r="BK228" s="2830"/>
      <c r="BL228" s="402"/>
      <c r="BM228" s="402"/>
      <c r="BN228" s="1121"/>
      <c r="BO228" s="1121"/>
      <c r="BP228" s="2830"/>
      <c r="BQ228" s="402"/>
      <c r="BR228" s="402"/>
      <c r="BS228" s="1121"/>
      <c r="BT228" s="1121"/>
      <c r="BU228" s="1073"/>
      <c r="BV228" s="1073"/>
      <c r="BW228" s="1073"/>
      <c r="BX228" s="1073"/>
      <c r="BY228" s="1073"/>
      <c r="BZ228" s="1073"/>
      <c r="CA228" s="1073"/>
      <c r="CB228" s="1073"/>
    </row>
    <row r="229" spans="1:80" outlineLevel="1">
      <c r="A229" s="2" t="s">
        <v>1117</v>
      </c>
      <c r="B229" s="2"/>
      <c r="C229" s="61"/>
      <c r="D229" s="61"/>
      <c r="E229" s="61"/>
      <c r="F229" s="61"/>
      <c r="G229" s="112"/>
      <c r="H229" s="61"/>
      <c r="I229" s="61"/>
      <c r="J229" s="61"/>
      <c r="K229" s="61"/>
      <c r="L229" s="112"/>
      <c r="M229" s="61"/>
      <c r="N229" s="61"/>
      <c r="O229" s="61"/>
      <c r="P229" s="61"/>
      <c r="Q229" s="112"/>
      <c r="R229" s="1122"/>
      <c r="S229" s="1072"/>
      <c r="T229" s="1072"/>
      <c r="U229" s="1072"/>
      <c r="V229" s="1073"/>
      <c r="W229" s="1122"/>
      <c r="X229" s="1072"/>
      <c r="Y229" s="1072"/>
      <c r="Z229" s="1072"/>
      <c r="AA229" s="1073"/>
      <c r="AB229" s="1072"/>
      <c r="AC229" s="1072"/>
      <c r="AD229" s="1072"/>
      <c r="AE229" s="1072"/>
      <c r="AF229" s="1073"/>
      <c r="AG229" s="402"/>
      <c r="AH229" s="402"/>
      <c r="AI229" s="402"/>
      <c r="AJ229" s="402"/>
      <c r="AK229" s="1096">
        <v>0.5</v>
      </c>
      <c r="AL229" s="1095"/>
      <c r="AM229" s="1095"/>
      <c r="AN229" s="1095"/>
      <c r="AO229" s="1123"/>
      <c r="AP229" s="1123">
        <v>0.5</v>
      </c>
      <c r="AQ229" s="1095"/>
      <c r="AR229" s="1095"/>
      <c r="AS229" s="1095"/>
      <c r="AT229" s="1095"/>
      <c r="AU229" s="1096">
        <v>0.5</v>
      </c>
      <c r="AV229" s="1095"/>
      <c r="AW229" s="1095"/>
      <c r="AX229" s="1095"/>
      <c r="AY229" s="1095"/>
      <c r="AZ229" s="1096">
        <v>0.5</v>
      </c>
      <c r="BA229" s="1095"/>
      <c r="BB229" s="1095"/>
      <c r="BC229" s="1095"/>
      <c r="BD229" s="1095"/>
      <c r="BE229" s="2874">
        <v>0.5</v>
      </c>
      <c r="BF229" s="2874"/>
      <c r="BG229" s="1095"/>
      <c r="BH229" s="1095"/>
      <c r="BI229" s="1123"/>
      <c r="BJ229" s="1123">
        <v>0.5</v>
      </c>
      <c r="BK229" s="2874"/>
      <c r="BL229" s="1095"/>
      <c r="BM229" s="1095"/>
      <c r="BN229" s="1123"/>
      <c r="BO229" s="1123">
        <v>0.5</v>
      </c>
      <c r="BP229" s="2874"/>
      <c r="BQ229" s="1095"/>
      <c r="BR229" s="1095"/>
      <c r="BS229" s="1123"/>
      <c r="BT229" s="1123">
        <v>0.5</v>
      </c>
      <c r="BU229" s="1096">
        <v>0.5</v>
      </c>
      <c r="BV229" s="1096">
        <v>0.5</v>
      </c>
      <c r="BW229" s="1096">
        <v>0.5</v>
      </c>
      <c r="BX229" s="1096">
        <v>0.5</v>
      </c>
      <c r="BY229" s="1096">
        <v>0.5</v>
      </c>
      <c r="BZ229" s="1096">
        <v>0.5</v>
      </c>
      <c r="CA229" s="1096">
        <v>0.5</v>
      </c>
      <c r="CB229" s="1096">
        <v>0.5</v>
      </c>
    </row>
    <row r="230" spans="1:80" outlineLevel="1">
      <c r="A230" s="2" t="s">
        <v>761</v>
      </c>
      <c r="B230" s="2"/>
      <c r="C230" s="61"/>
      <c r="D230" s="61"/>
      <c r="E230" s="61"/>
      <c r="F230" s="61"/>
      <c r="G230" s="112"/>
      <c r="H230" s="61"/>
      <c r="I230" s="61"/>
      <c r="J230" s="61"/>
      <c r="K230" s="61"/>
      <c r="L230" s="112"/>
      <c r="M230" s="61"/>
      <c r="N230" s="61"/>
      <c r="O230" s="61"/>
      <c r="P230" s="61"/>
      <c r="Q230" s="112"/>
      <c r="R230" s="1122"/>
      <c r="S230" s="1072"/>
      <c r="T230" s="1072"/>
      <c r="U230" s="1072"/>
      <c r="V230" s="1073"/>
      <c r="W230" s="1122"/>
      <c r="X230" s="1072"/>
      <c r="Y230" s="1072"/>
      <c r="Z230" s="1072"/>
      <c r="AA230" s="1073"/>
      <c r="AB230" s="1072"/>
      <c r="AC230" s="1072"/>
      <c r="AD230" s="1072"/>
      <c r="AE230" s="1072"/>
      <c r="AF230" s="1073"/>
      <c r="AG230" s="402"/>
      <c r="AH230" s="402"/>
      <c r="AI230" s="402"/>
      <c r="AJ230" s="402"/>
      <c r="AK230" s="1073">
        <f>AK227*AK229</f>
        <v>0</v>
      </c>
      <c r="AL230" s="402"/>
      <c r="AM230" s="402"/>
      <c r="AN230" s="402"/>
      <c r="AO230" s="1121"/>
      <c r="AP230" s="1121">
        <f>AP227*AP229</f>
        <v>0</v>
      </c>
      <c r="AQ230" s="402"/>
      <c r="AR230" s="402"/>
      <c r="AS230" s="402"/>
      <c r="AT230" s="402"/>
      <c r="AU230" s="1073">
        <f>AU227*AU229</f>
        <v>0</v>
      </c>
      <c r="AV230" s="402"/>
      <c r="AW230" s="402"/>
      <c r="AX230" s="402"/>
      <c r="AY230" s="402"/>
      <c r="AZ230" s="1073">
        <f>AZ227*AZ229</f>
        <v>0</v>
      </c>
      <c r="BA230" s="402"/>
      <c r="BB230" s="402"/>
      <c r="BC230" s="402"/>
      <c r="BD230" s="402"/>
      <c r="BE230" s="2830">
        <f>BE227*BE229</f>
        <v>0</v>
      </c>
      <c r="BF230" s="2830"/>
      <c r="BG230" s="402"/>
      <c r="BH230" s="402"/>
      <c r="BI230" s="1121"/>
      <c r="BJ230" s="1121">
        <f>BJ227*BJ229</f>
        <v>0</v>
      </c>
      <c r="BK230" s="2830"/>
      <c r="BL230" s="402"/>
      <c r="BM230" s="402"/>
      <c r="BN230" s="1121"/>
      <c r="BO230" s="1121">
        <f t="shared" ref="BO230:CB230" si="200">BO227*BO229</f>
        <v>0</v>
      </c>
      <c r="BP230" s="2830"/>
      <c r="BQ230" s="402"/>
      <c r="BR230" s="402"/>
      <c r="BS230" s="1121"/>
      <c r="BT230" s="1121">
        <f>BT227*BT229</f>
        <v>0</v>
      </c>
      <c r="BU230" s="1073">
        <f t="shared" si="200"/>
        <v>0</v>
      </c>
      <c r="BV230" s="1073">
        <f t="shared" si="200"/>
        <v>0</v>
      </c>
      <c r="BW230" s="1073">
        <f t="shared" si="200"/>
        <v>0</v>
      </c>
      <c r="BX230" s="1073">
        <f t="shared" si="200"/>
        <v>0</v>
      </c>
      <c r="BY230" s="1073">
        <f t="shared" si="200"/>
        <v>0</v>
      </c>
      <c r="BZ230" s="1073">
        <f t="shared" si="200"/>
        <v>0</v>
      </c>
      <c r="CA230" s="1073">
        <f t="shared" si="200"/>
        <v>0</v>
      </c>
      <c r="CB230" s="1073">
        <f t="shared" si="200"/>
        <v>0</v>
      </c>
    </row>
    <row r="231" spans="1:80" outlineLevel="1">
      <c r="A231" s="2"/>
      <c r="B231" s="2"/>
      <c r="C231" s="61"/>
      <c r="D231" s="61"/>
      <c r="E231" s="61"/>
      <c r="F231" s="61"/>
      <c r="G231" s="112"/>
      <c r="H231" s="61"/>
      <c r="I231" s="61"/>
      <c r="J231" s="61"/>
      <c r="K231" s="61"/>
      <c r="L231" s="112"/>
      <c r="M231" s="61"/>
      <c r="N231" s="61"/>
      <c r="O231" s="61"/>
      <c r="P231" s="61"/>
      <c r="Q231" s="112"/>
      <c r="R231" s="1122"/>
      <c r="S231" s="1072"/>
      <c r="T231" s="1072"/>
      <c r="U231" s="1072"/>
      <c r="V231" s="1073"/>
      <c r="W231" s="1122"/>
      <c r="X231" s="1072"/>
      <c r="Y231" s="1072"/>
      <c r="Z231" s="1072"/>
      <c r="AA231" s="1073"/>
      <c r="AB231" s="1072"/>
      <c r="AC231" s="1072"/>
      <c r="AD231" s="1072"/>
      <c r="AE231" s="1072"/>
      <c r="AF231" s="1073"/>
      <c r="AG231" s="402"/>
      <c r="AH231" s="402"/>
      <c r="AI231" s="402"/>
      <c r="AJ231" s="402"/>
      <c r="AK231" s="1096"/>
      <c r="AL231" s="1095"/>
      <c r="AM231" s="1095"/>
      <c r="AN231" s="1095"/>
      <c r="AO231" s="1123"/>
      <c r="AP231" s="1123"/>
      <c r="AQ231" s="1095"/>
      <c r="AR231" s="1095"/>
      <c r="AS231" s="1095"/>
      <c r="AT231" s="1095"/>
      <c r="AU231" s="1096"/>
      <c r="AV231" s="1095"/>
      <c r="AW231" s="1095"/>
      <c r="AX231" s="1095"/>
      <c r="AY231" s="1095"/>
      <c r="AZ231" s="1096"/>
      <c r="BA231" s="1095"/>
      <c r="BB231" s="1095"/>
      <c r="BC231" s="1095"/>
      <c r="BD231" s="1095"/>
      <c r="BE231" s="2874"/>
      <c r="BF231" s="2874"/>
      <c r="BG231" s="1095"/>
      <c r="BH231" s="1095"/>
      <c r="BI231" s="1123"/>
      <c r="BJ231" s="1123"/>
      <c r="BK231" s="2874"/>
      <c r="BL231" s="1095"/>
      <c r="BM231" s="1095"/>
      <c r="BN231" s="1123"/>
      <c r="BO231" s="1123"/>
      <c r="BP231" s="2874"/>
      <c r="BQ231" s="1095"/>
      <c r="BR231" s="1095"/>
      <c r="BS231" s="1123"/>
      <c r="BT231" s="1123"/>
      <c r="BU231" s="1096"/>
      <c r="BV231" s="1096"/>
      <c r="BW231" s="1096"/>
      <c r="BX231" s="1096"/>
      <c r="BY231" s="1096"/>
      <c r="BZ231" s="1096"/>
      <c r="CA231" s="1096"/>
      <c r="CB231" s="1096"/>
    </row>
    <row r="232" spans="1:80" outlineLevel="1">
      <c r="A232" s="2" t="s">
        <v>1551</v>
      </c>
      <c r="B232" s="2"/>
      <c r="C232" s="61"/>
      <c r="D232" s="61"/>
      <c r="E232" s="61"/>
      <c r="F232" s="61"/>
      <c r="G232" s="112"/>
      <c r="H232" s="61"/>
      <c r="I232" s="61"/>
      <c r="J232" s="61"/>
      <c r="K232" s="61"/>
      <c r="L232" s="112"/>
      <c r="M232" s="61"/>
      <c r="N232" s="61"/>
      <c r="O232" s="61"/>
      <c r="P232" s="61"/>
      <c r="Q232" s="112"/>
      <c r="R232" s="1122"/>
      <c r="S232" s="1072"/>
      <c r="T232" s="1072"/>
      <c r="U232" s="1072"/>
      <c r="V232" s="1073"/>
      <c r="W232" s="1122"/>
      <c r="X232" s="1072"/>
      <c r="Y232" s="1072"/>
      <c r="Z232" s="1072"/>
      <c r="AA232" s="1073"/>
      <c r="AB232" s="1072"/>
      <c r="AC232" s="1072"/>
      <c r="AD232" s="1072"/>
      <c r="AE232" s="1072"/>
      <c r="AF232" s="1073"/>
      <c r="AG232" s="402"/>
      <c r="AH232" s="402"/>
      <c r="AI232" s="402"/>
      <c r="AJ232" s="402"/>
      <c r="AK232" s="1073"/>
      <c r="AL232" s="402"/>
      <c r="AM232" s="402"/>
      <c r="AN232" s="402"/>
      <c r="AO232" s="1121"/>
      <c r="AP232" s="1121"/>
      <c r="AQ232" s="402"/>
      <c r="AR232" s="402"/>
      <c r="AS232" s="402"/>
      <c r="AT232" s="402"/>
      <c r="AU232" s="1073"/>
      <c r="AV232" s="402"/>
      <c r="AW232" s="402"/>
      <c r="AX232" s="402"/>
      <c r="AY232" s="402"/>
      <c r="AZ232" s="1073"/>
      <c r="BA232" s="402"/>
      <c r="BB232" s="402"/>
      <c r="BC232" s="402"/>
      <c r="BD232" s="402"/>
      <c r="BE232" s="2830"/>
      <c r="BF232" s="2830"/>
      <c r="BG232" s="402"/>
      <c r="BH232" s="402"/>
      <c r="BI232" s="1121"/>
      <c r="BJ232" s="1121"/>
      <c r="BK232" s="2830"/>
      <c r="BL232" s="402"/>
      <c r="BM232" s="402"/>
      <c r="BN232" s="1121"/>
      <c r="BO232" s="1121"/>
      <c r="BP232" s="2830"/>
      <c r="BQ232" s="402"/>
      <c r="BR232" s="402"/>
      <c r="BS232" s="1121"/>
      <c r="BT232" s="1121"/>
      <c r="BU232" s="1073"/>
      <c r="BV232" s="1073"/>
      <c r="BW232" s="1073"/>
      <c r="BX232" s="1073"/>
      <c r="BY232" s="1073"/>
      <c r="BZ232" s="1073"/>
      <c r="CA232" s="1073"/>
      <c r="CB232" s="1073"/>
    </row>
    <row r="233" spans="1:80" outlineLevel="1">
      <c r="A233" s="2" t="s">
        <v>757</v>
      </c>
      <c r="B233" s="2"/>
      <c r="C233" s="61"/>
      <c r="D233" s="61"/>
      <c r="E233" s="61"/>
      <c r="F233" s="61"/>
      <c r="G233" s="112"/>
      <c r="H233" s="61"/>
      <c r="I233" s="61"/>
      <c r="J233" s="61"/>
      <c r="K233" s="61"/>
      <c r="L233" s="112"/>
      <c r="M233" s="61"/>
      <c r="N233" s="61"/>
      <c r="O233" s="61"/>
      <c r="P233" s="61"/>
      <c r="Q233" s="112"/>
      <c r="R233" s="1122"/>
      <c r="S233" s="1072"/>
      <c r="T233" s="1072"/>
      <c r="U233" s="1072"/>
      <c r="V233" s="1073"/>
      <c r="W233" s="1122"/>
      <c r="X233" s="1072"/>
      <c r="Y233" s="1072"/>
      <c r="Z233" s="1072"/>
      <c r="AA233" s="1073"/>
      <c r="AB233" s="1072"/>
      <c r="AC233" s="1072"/>
      <c r="AD233" s="1072"/>
      <c r="AE233" s="1072"/>
      <c r="AF233" s="1073"/>
      <c r="AG233" s="402"/>
      <c r="AH233" s="402"/>
      <c r="AI233" s="402"/>
      <c r="AJ233" s="402"/>
      <c r="AK233" s="1073"/>
      <c r="AL233" s="402"/>
      <c r="AM233" s="402"/>
      <c r="AN233" s="402"/>
      <c r="AO233" s="1121"/>
      <c r="AP233" s="1121"/>
      <c r="AQ233" s="402"/>
      <c r="AR233" s="402"/>
      <c r="AS233" s="402"/>
      <c r="AT233" s="402"/>
      <c r="AU233" s="1073"/>
      <c r="AV233" s="402"/>
      <c r="AW233" s="402"/>
      <c r="AX233" s="402"/>
      <c r="AY233" s="402"/>
      <c r="AZ233" s="1073"/>
      <c r="BA233" s="402"/>
      <c r="BB233" s="402"/>
      <c r="BC233" s="402"/>
      <c r="BD233" s="402"/>
      <c r="BE233" s="2830"/>
      <c r="BF233" s="2830"/>
      <c r="BG233" s="402"/>
      <c r="BH233" s="402"/>
      <c r="BI233" s="1121"/>
      <c r="BJ233" s="1121"/>
      <c r="BK233" s="2830"/>
      <c r="BL233" s="402"/>
      <c r="BM233" s="402"/>
      <c r="BN233" s="1121"/>
      <c r="BO233" s="1121"/>
      <c r="BP233" s="2830"/>
      <c r="BQ233" s="402"/>
      <c r="BR233" s="402"/>
      <c r="BS233" s="1121"/>
      <c r="BT233" s="1121"/>
      <c r="BU233" s="1073"/>
      <c r="BV233" s="1073"/>
      <c r="BW233" s="1073"/>
      <c r="BX233" s="1073"/>
      <c r="BY233" s="1073"/>
      <c r="BZ233" s="1073"/>
      <c r="CA233" s="1073"/>
      <c r="CB233" s="1073"/>
    </row>
    <row r="234" spans="1:80" outlineLevel="1">
      <c r="A234" s="186" t="s">
        <v>1552</v>
      </c>
      <c r="B234" s="186"/>
      <c r="C234" s="61"/>
      <c r="D234" s="61"/>
      <c r="E234" s="61"/>
      <c r="F234" s="61"/>
      <c r="G234" s="112"/>
      <c r="H234" s="61"/>
      <c r="I234" s="61"/>
      <c r="J234" s="61"/>
      <c r="K234" s="61"/>
      <c r="L234" s="112"/>
      <c r="M234" s="61"/>
      <c r="N234" s="61"/>
      <c r="O234" s="61"/>
      <c r="P234" s="61"/>
      <c r="Q234" s="112"/>
      <c r="R234" s="1122"/>
      <c r="S234" s="1072"/>
      <c r="T234" s="1072"/>
      <c r="U234" s="1072"/>
      <c r="V234" s="1073"/>
      <c r="W234" s="1122"/>
      <c r="X234" s="1072"/>
      <c r="Y234" s="1072"/>
      <c r="Z234" s="1072"/>
      <c r="AA234" s="1073"/>
      <c r="AB234" s="1072"/>
      <c r="AC234" s="1072"/>
      <c r="AD234" s="1072"/>
      <c r="AE234" s="1072"/>
      <c r="AF234" s="1073"/>
      <c r="AG234" s="402"/>
      <c r="AH234" s="402"/>
      <c r="AI234" s="402"/>
      <c r="AJ234" s="402"/>
      <c r="AK234" s="1065">
        <v>250</v>
      </c>
      <c r="AL234" s="1101"/>
      <c r="AM234" s="1101"/>
      <c r="AN234" s="1101"/>
      <c r="AO234" s="1124"/>
      <c r="AP234" s="1124">
        <v>250</v>
      </c>
      <c r="AQ234" s="1101"/>
      <c r="AR234" s="1101"/>
      <c r="AS234" s="1101"/>
      <c r="AT234" s="1101"/>
      <c r="AU234" s="1065">
        <v>250</v>
      </c>
      <c r="AV234" s="1101"/>
      <c r="AW234" s="1101"/>
      <c r="AX234" s="1101"/>
      <c r="AY234" s="1101"/>
      <c r="AZ234" s="1065">
        <v>250</v>
      </c>
      <c r="BA234" s="1101"/>
      <c r="BB234" s="1101"/>
      <c r="BC234" s="1101"/>
      <c r="BD234" s="1101"/>
      <c r="BE234" s="2825">
        <v>250</v>
      </c>
      <c r="BF234" s="2825"/>
      <c r="BG234" s="1101"/>
      <c r="BH234" s="1101"/>
      <c r="BI234" s="1124"/>
      <c r="BJ234" s="1124">
        <v>250</v>
      </c>
      <c r="BK234" s="2825"/>
      <c r="BL234" s="1101"/>
      <c r="BM234" s="1101"/>
      <c r="BN234" s="1124"/>
      <c r="BO234" s="1124">
        <v>250</v>
      </c>
      <c r="BP234" s="2825"/>
      <c r="BQ234" s="1101"/>
      <c r="BR234" s="1101"/>
      <c r="BS234" s="1124"/>
      <c r="BT234" s="1124">
        <v>250</v>
      </c>
      <c r="BU234" s="1065">
        <v>250</v>
      </c>
      <c r="BV234" s="1065">
        <v>250</v>
      </c>
      <c r="BW234" s="1065">
        <v>250</v>
      </c>
      <c r="BX234" s="1065">
        <v>250</v>
      </c>
      <c r="BY234" s="1065">
        <v>250</v>
      </c>
      <c r="BZ234" s="1065">
        <v>250</v>
      </c>
      <c r="CA234" s="1065">
        <v>250</v>
      </c>
      <c r="CB234" s="1065">
        <v>250</v>
      </c>
    </row>
    <row r="235" spans="1:80" outlineLevel="1">
      <c r="A235" s="186" t="s">
        <v>1553</v>
      </c>
      <c r="B235" s="186"/>
      <c r="C235" s="61"/>
      <c r="D235" s="61"/>
      <c r="E235" s="61"/>
      <c r="F235" s="61"/>
      <c r="G235" s="112"/>
      <c r="H235" s="61"/>
      <c r="I235" s="61"/>
      <c r="J235" s="61"/>
      <c r="K235" s="61"/>
      <c r="L235" s="112"/>
      <c r="M235" s="61"/>
      <c r="N235" s="61"/>
      <c r="O235" s="61"/>
      <c r="P235" s="61"/>
      <c r="Q235" s="112"/>
      <c r="R235" s="1122"/>
      <c r="S235" s="1072"/>
      <c r="T235" s="1072"/>
      <c r="U235" s="1072"/>
      <c r="V235" s="1073"/>
      <c r="W235" s="1122"/>
      <c r="X235" s="1072"/>
      <c r="Y235" s="1072"/>
      <c r="Z235" s="1072"/>
      <c r="AA235" s="1073"/>
      <c r="AB235" s="1072"/>
      <c r="AC235" s="1072"/>
      <c r="AD235" s="1072"/>
      <c r="AE235" s="1072"/>
      <c r="AF235" s="1073"/>
      <c r="AG235" s="402"/>
      <c r="AH235" s="402"/>
      <c r="AI235" s="402"/>
      <c r="AJ235" s="402"/>
      <c r="AK235" s="1125" t="s">
        <v>52</v>
      </c>
      <c r="AL235" s="1126"/>
      <c r="AM235" s="1126"/>
      <c r="AN235" s="1126"/>
      <c r="AO235" s="1127"/>
      <c r="AP235" s="1127" t="s">
        <v>52</v>
      </c>
      <c r="AQ235" s="1126"/>
      <c r="AR235" s="1126"/>
      <c r="AS235" s="1126"/>
      <c r="AT235" s="1126"/>
      <c r="AU235" s="1125" t="s">
        <v>52</v>
      </c>
      <c r="AV235" s="1126"/>
      <c r="AW235" s="1126"/>
      <c r="AX235" s="1126"/>
      <c r="AY235" s="1126"/>
      <c r="AZ235" s="1125" t="s">
        <v>52</v>
      </c>
      <c r="BA235" s="1126"/>
      <c r="BB235" s="1126"/>
      <c r="BC235" s="1126"/>
      <c r="BD235" s="1126"/>
      <c r="BE235" s="2875" t="s">
        <v>52</v>
      </c>
      <c r="BF235" s="2875"/>
      <c r="BG235" s="1126"/>
      <c r="BH235" s="1126"/>
      <c r="BI235" s="1127"/>
      <c r="BJ235" s="1127" t="s">
        <v>52</v>
      </c>
      <c r="BK235" s="2875"/>
      <c r="BL235" s="1126"/>
      <c r="BM235" s="1126"/>
      <c r="BN235" s="1127"/>
      <c r="BO235" s="1127" t="s">
        <v>52</v>
      </c>
      <c r="BP235" s="2875"/>
      <c r="BQ235" s="1126"/>
      <c r="BR235" s="1126"/>
      <c r="BS235" s="1127"/>
      <c r="BT235" s="1127" t="s">
        <v>52</v>
      </c>
      <c r="BU235" s="1125" t="s">
        <v>52</v>
      </c>
      <c r="BV235" s="1125" t="s">
        <v>52</v>
      </c>
      <c r="BW235" s="1125" t="s">
        <v>52</v>
      </c>
      <c r="BX235" s="1125" t="s">
        <v>52</v>
      </c>
      <c r="BY235" s="1125" t="s">
        <v>52</v>
      </c>
      <c r="BZ235" s="1125" t="s">
        <v>52</v>
      </c>
      <c r="CA235" s="1125" t="s">
        <v>52</v>
      </c>
      <c r="CB235" s="1125" t="s">
        <v>52</v>
      </c>
    </row>
    <row r="236" spans="1:80" outlineLevel="1">
      <c r="A236" s="2" t="s">
        <v>758</v>
      </c>
      <c r="B236" s="2"/>
      <c r="C236" s="61"/>
      <c r="D236" s="61"/>
      <c r="E236" s="61"/>
      <c r="F236" s="61"/>
      <c r="G236" s="112"/>
      <c r="H236" s="61"/>
      <c r="I236" s="61"/>
      <c r="J236" s="61"/>
      <c r="K236" s="61"/>
      <c r="L236" s="112"/>
      <c r="M236" s="61"/>
      <c r="N236" s="61"/>
      <c r="O236" s="61"/>
      <c r="P236" s="61"/>
      <c r="Q236" s="112"/>
      <c r="R236" s="1122"/>
      <c r="S236" s="1072"/>
      <c r="T236" s="1072"/>
      <c r="U236" s="1072"/>
      <c r="V236" s="1073"/>
      <c r="W236" s="1122"/>
      <c r="X236" s="1072"/>
      <c r="Y236" s="1072"/>
      <c r="Z236" s="1072"/>
      <c r="AA236" s="1073"/>
      <c r="AB236" s="1072"/>
      <c r="AC236" s="1072"/>
      <c r="AD236" s="1072"/>
      <c r="AE236" s="1072"/>
      <c r="AF236" s="1073"/>
      <c r="AG236" s="402"/>
      <c r="AH236" s="402"/>
      <c r="AI236" s="402"/>
      <c r="AJ236" s="402"/>
      <c r="AK236" s="1096"/>
      <c r="AL236" s="1095"/>
      <c r="AM236" s="1095"/>
      <c r="AN236" s="1095"/>
      <c r="AO236" s="1123"/>
      <c r="AP236" s="1123"/>
      <c r="AQ236" s="1095"/>
      <c r="AR236" s="1095"/>
      <c r="AS236" s="1095"/>
      <c r="AT236" s="1095"/>
      <c r="AU236" s="1096"/>
      <c r="AV236" s="1095"/>
      <c r="AW236" s="1095"/>
      <c r="AX236" s="1095"/>
      <c r="AY236" s="1095"/>
      <c r="AZ236" s="1096"/>
      <c r="BA236" s="1095"/>
      <c r="BB236" s="1095"/>
      <c r="BC236" s="1095"/>
      <c r="BD236" s="1095"/>
      <c r="BE236" s="2874"/>
      <c r="BF236" s="2874"/>
      <c r="BG236" s="1095"/>
      <c r="BH236" s="1095"/>
      <c r="BI236" s="1123"/>
      <c r="BJ236" s="1123"/>
      <c r="BK236" s="2874"/>
      <c r="BL236" s="1095"/>
      <c r="BM236" s="1095"/>
      <c r="BN236" s="1123"/>
      <c r="BO236" s="1123"/>
      <c r="BP236" s="2874"/>
      <c r="BQ236" s="1095"/>
      <c r="BR236" s="1095"/>
      <c r="BS236" s="1123"/>
      <c r="BT236" s="1123"/>
      <c r="BU236" s="1096"/>
      <c r="BV236" s="1096"/>
      <c r="BW236" s="1096"/>
      <c r="BX236" s="1096"/>
      <c r="BY236" s="1096"/>
      <c r="BZ236" s="1096"/>
      <c r="CA236" s="1096"/>
      <c r="CB236" s="1096"/>
    </row>
    <row r="237" spans="1:80" outlineLevel="1">
      <c r="A237" s="186" t="s">
        <v>1552</v>
      </c>
      <c r="B237" s="186"/>
      <c r="C237" s="61"/>
      <c r="D237" s="61"/>
      <c r="E237" s="61"/>
      <c r="F237" s="61"/>
      <c r="G237" s="112"/>
      <c r="H237" s="61"/>
      <c r="I237" s="61"/>
      <c r="J237" s="61"/>
      <c r="K237" s="61"/>
      <c r="L237" s="112"/>
      <c r="M237" s="61"/>
      <c r="N237" s="61"/>
      <c r="O237" s="61"/>
      <c r="P237" s="61"/>
      <c r="Q237" s="112"/>
      <c r="R237" s="1122"/>
      <c r="S237" s="1072"/>
      <c r="T237" s="1072"/>
      <c r="U237" s="1072"/>
      <c r="V237" s="1073"/>
      <c r="W237" s="1122"/>
      <c r="X237" s="1072"/>
      <c r="Y237" s="1072"/>
      <c r="Z237" s="1072"/>
      <c r="AA237" s="1073"/>
      <c r="AB237" s="1072"/>
      <c r="AC237" s="1072"/>
      <c r="AD237" s="1072"/>
      <c r="AE237" s="1072"/>
      <c r="AF237" s="1073"/>
      <c r="AG237" s="402"/>
      <c r="AH237" s="402"/>
      <c r="AI237" s="402"/>
      <c r="AJ237" s="402"/>
      <c r="AK237" s="1128">
        <v>1.4999999999999999E-2</v>
      </c>
      <c r="AL237" s="1129"/>
      <c r="AM237" s="1129"/>
      <c r="AN237" s="1129"/>
      <c r="AO237" s="1130"/>
      <c r="AP237" s="1130">
        <v>1.4999999999999999E-2</v>
      </c>
      <c r="AQ237" s="1129"/>
      <c r="AR237" s="1129"/>
      <c r="AS237" s="1129"/>
      <c r="AT237" s="1129"/>
      <c r="AU237" s="1128">
        <v>1.4999999999999999E-2</v>
      </c>
      <c r="AV237" s="1129"/>
      <c r="AW237" s="1129"/>
      <c r="AX237" s="1129"/>
      <c r="AY237" s="1129"/>
      <c r="AZ237" s="1128">
        <v>1.4999999999999999E-2</v>
      </c>
      <c r="BA237" s="1129"/>
      <c r="BB237" s="1129"/>
      <c r="BC237" s="1129"/>
      <c r="BD237" s="1129"/>
      <c r="BE237" s="2876">
        <v>1.4999999999999999E-2</v>
      </c>
      <c r="BF237" s="2876"/>
      <c r="BG237" s="1129"/>
      <c r="BH237" s="1129"/>
      <c r="BI237" s="1130"/>
      <c r="BJ237" s="1130">
        <v>1.4999999999999999E-2</v>
      </c>
      <c r="BK237" s="2876"/>
      <c r="BL237" s="1129"/>
      <c r="BM237" s="1129"/>
      <c r="BN237" s="1130"/>
      <c r="BO237" s="1130">
        <v>1.4999999999999999E-2</v>
      </c>
      <c r="BP237" s="2876"/>
      <c r="BQ237" s="1129"/>
      <c r="BR237" s="1129"/>
      <c r="BS237" s="1130"/>
      <c r="BT237" s="1130">
        <v>1.4999999999999999E-2</v>
      </c>
      <c r="BU237" s="1128">
        <v>1.4999999999999999E-2</v>
      </c>
      <c r="BV237" s="1128">
        <v>1.4999999999999999E-2</v>
      </c>
      <c r="BW237" s="1128">
        <v>1.4999999999999999E-2</v>
      </c>
      <c r="BX237" s="1128">
        <v>1.4999999999999999E-2</v>
      </c>
      <c r="BY237" s="1128">
        <v>1.4999999999999999E-2</v>
      </c>
      <c r="BZ237" s="1128">
        <v>1.4999999999999999E-2</v>
      </c>
      <c r="CA237" s="1128">
        <v>1.4999999999999999E-2</v>
      </c>
      <c r="CB237" s="1128">
        <v>1.4999999999999999E-2</v>
      </c>
    </row>
    <row r="238" spans="1:80" outlineLevel="1">
      <c r="A238" s="186" t="s">
        <v>1553</v>
      </c>
      <c r="B238" s="186"/>
      <c r="C238" s="61"/>
      <c r="D238" s="61"/>
      <c r="E238" s="61"/>
      <c r="F238" s="61"/>
      <c r="G238" s="112"/>
      <c r="H238" s="61"/>
      <c r="I238" s="61"/>
      <c r="J238" s="61"/>
      <c r="K238" s="61"/>
      <c r="L238" s="112"/>
      <c r="M238" s="61"/>
      <c r="N238" s="61"/>
      <c r="O238" s="61"/>
      <c r="P238" s="61"/>
      <c r="Q238" s="112"/>
      <c r="R238" s="1122"/>
      <c r="S238" s="1072"/>
      <c r="T238" s="1072"/>
      <c r="U238" s="1072"/>
      <c r="V238" s="1073"/>
      <c r="W238" s="1122"/>
      <c r="X238" s="1072"/>
      <c r="Y238" s="1072"/>
      <c r="Z238" s="1072"/>
      <c r="AA238" s="1073"/>
      <c r="AB238" s="1072"/>
      <c r="AC238" s="1072"/>
      <c r="AD238" s="1072"/>
      <c r="AE238" s="1072"/>
      <c r="AF238" s="1073"/>
      <c r="AG238" s="402"/>
      <c r="AH238" s="402"/>
      <c r="AI238" s="402"/>
      <c r="AJ238" s="402"/>
      <c r="AK238" s="1128">
        <v>0.02</v>
      </c>
      <c r="AL238" s="1129"/>
      <c r="AM238" s="1129"/>
      <c r="AN238" s="1129"/>
      <c r="AO238" s="1130"/>
      <c r="AP238" s="1130">
        <v>0.02</v>
      </c>
      <c r="AQ238" s="1129"/>
      <c r="AR238" s="1129"/>
      <c r="AS238" s="1129"/>
      <c r="AT238" s="1129"/>
      <c r="AU238" s="1128">
        <v>0.02</v>
      </c>
      <c r="AV238" s="1129"/>
      <c r="AW238" s="1129"/>
      <c r="AX238" s="1129"/>
      <c r="AY238" s="1129"/>
      <c r="AZ238" s="1128">
        <v>0.02</v>
      </c>
      <c r="BA238" s="1129"/>
      <c r="BB238" s="1129"/>
      <c r="BC238" s="1129"/>
      <c r="BD238" s="1129"/>
      <c r="BE238" s="2876">
        <v>0.02</v>
      </c>
      <c r="BF238" s="2876"/>
      <c r="BG238" s="1129"/>
      <c r="BH238" s="1129"/>
      <c r="BI238" s="1130"/>
      <c r="BJ238" s="1130">
        <v>0.02</v>
      </c>
      <c r="BK238" s="2876"/>
      <c r="BL238" s="1129"/>
      <c r="BM238" s="1129"/>
      <c r="BN238" s="1130"/>
      <c r="BO238" s="1130">
        <v>0.02</v>
      </c>
      <c r="BP238" s="2876"/>
      <c r="BQ238" s="1129"/>
      <c r="BR238" s="1129"/>
      <c r="BS238" s="1130"/>
      <c r="BT238" s="1130">
        <v>0.02</v>
      </c>
      <c r="BU238" s="1128">
        <v>0.02</v>
      </c>
      <c r="BV238" s="1128">
        <v>0.02</v>
      </c>
      <c r="BW238" s="1128">
        <v>0.02</v>
      </c>
      <c r="BX238" s="1128">
        <v>0.02</v>
      </c>
      <c r="BY238" s="1128">
        <v>0.02</v>
      </c>
      <c r="BZ238" s="1128">
        <v>0.02</v>
      </c>
      <c r="CA238" s="1128">
        <v>0.02</v>
      </c>
      <c r="CB238" s="1128">
        <v>0.02</v>
      </c>
    </row>
    <row r="239" spans="1:80" outlineLevel="1">
      <c r="A239" s="2" t="s">
        <v>759</v>
      </c>
      <c r="B239" s="2"/>
      <c r="C239" s="61"/>
      <c r="D239" s="61"/>
      <c r="E239" s="61"/>
      <c r="F239" s="61"/>
      <c r="G239" s="112"/>
      <c r="H239" s="61"/>
      <c r="I239" s="61"/>
      <c r="J239" s="61"/>
      <c r="K239" s="61"/>
      <c r="L239" s="112"/>
      <c r="M239" s="61"/>
      <c r="N239" s="61"/>
      <c r="O239" s="61"/>
      <c r="P239" s="61"/>
      <c r="Q239" s="112"/>
      <c r="R239" s="1122"/>
      <c r="S239" s="1072"/>
      <c r="T239" s="1072"/>
      <c r="U239" s="1072"/>
      <c r="V239" s="1073"/>
      <c r="W239" s="1122"/>
      <c r="X239" s="1072"/>
      <c r="Y239" s="1072"/>
      <c r="Z239" s="1072"/>
      <c r="AA239" s="1073"/>
      <c r="AB239" s="1072"/>
      <c r="AC239" s="1072"/>
      <c r="AD239" s="1072"/>
      <c r="AE239" s="1072"/>
      <c r="AF239" s="1073"/>
      <c r="AG239" s="402"/>
      <c r="AH239" s="402"/>
      <c r="AI239" s="402"/>
      <c r="AJ239" s="402"/>
      <c r="AK239" s="1096"/>
      <c r="AL239" s="1095"/>
      <c r="AM239" s="1095"/>
      <c r="AN239" s="1095"/>
      <c r="AO239" s="1123"/>
      <c r="AP239" s="1123"/>
      <c r="AQ239" s="1095"/>
      <c r="AR239" s="1095"/>
      <c r="AS239" s="1095"/>
      <c r="AT239" s="1095"/>
      <c r="AU239" s="1096"/>
      <c r="AV239" s="1095"/>
      <c r="AW239" s="1095"/>
      <c r="AX239" s="1095"/>
      <c r="AY239" s="1095"/>
      <c r="AZ239" s="1096"/>
      <c r="BA239" s="1095"/>
      <c r="BB239" s="1095"/>
      <c r="BC239" s="1095"/>
      <c r="BD239" s="1095"/>
      <c r="BE239" s="2874"/>
      <c r="BF239" s="2874"/>
      <c r="BG239" s="1095"/>
      <c r="BH239" s="1095"/>
      <c r="BI239" s="1123"/>
      <c r="BJ239" s="1123"/>
      <c r="BK239" s="2874"/>
      <c r="BL239" s="1095"/>
      <c r="BM239" s="1095"/>
      <c r="BN239" s="1123"/>
      <c r="BO239" s="1123"/>
      <c r="BP239" s="2874"/>
      <c r="BQ239" s="1095"/>
      <c r="BR239" s="1095"/>
      <c r="BS239" s="1123"/>
      <c r="BT239" s="1123"/>
      <c r="BU239" s="1096"/>
      <c r="BV239" s="1096"/>
      <c r="BW239" s="1096"/>
      <c r="BX239" s="1096"/>
      <c r="BY239" s="1096"/>
      <c r="BZ239" s="1096"/>
      <c r="CA239" s="1096"/>
      <c r="CB239" s="1096"/>
    </row>
    <row r="240" spans="1:80" outlineLevel="1">
      <c r="A240" s="186" t="s">
        <v>1552</v>
      </c>
      <c r="B240" s="186"/>
      <c r="C240" s="61"/>
      <c r="D240" s="61"/>
      <c r="E240" s="61"/>
      <c r="F240" s="61"/>
      <c r="G240" s="112"/>
      <c r="H240" s="61"/>
      <c r="I240" s="61"/>
      <c r="J240" s="61"/>
      <c r="K240" s="61"/>
      <c r="L240" s="112"/>
      <c r="M240" s="61"/>
      <c r="N240" s="61"/>
      <c r="O240" s="61"/>
      <c r="P240" s="61"/>
      <c r="Q240" s="112"/>
      <c r="R240" s="1122"/>
      <c r="S240" s="1072"/>
      <c r="T240" s="1072"/>
      <c r="U240" s="1072"/>
      <c r="V240" s="1073"/>
      <c r="W240" s="1122"/>
      <c r="X240" s="1072"/>
      <c r="Y240" s="1072"/>
      <c r="Z240" s="1072"/>
      <c r="AA240" s="1073"/>
      <c r="AB240" s="1072"/>
      <c r="AC240" s="1072"/>
      <c r="AD240" s="1072"/>
      <c r="AE240" s="1072"/>
      <c r="AF240" s="1073"/>
      <c r="AG240" s="402"/>
      <c r="AH240" s="402"/>
      <c r="AI240" s="402"/>
      <c r="AJ240" s="402"/>
      <c r="AK240" s="1113">
        <f>IF(AK$227&gt;0,MIN(AK234,AK$227)*AK237,0)</f>
        <v>0</v>
      </c>
      <c r="AL240" s="371"/>
      <c r="AM240" s="371"/>
      <c r="AN240" s="371"/>
      <c r="AO240" s="1131"/>
      <c r="AP240" s="1131">
        <f>IF(AP$227&gt;0,MIN(AP234,AP$227)*AP237,0)</f>
        <v>0</v>
      </c>
      <c r="AQ240" s="371"/>
      <c r="AR240" s="371"/>
      <c r="AS240" s="371"/>
      <c r="AT240" s="371"/>
      <c r="AU240" s="1113">
        <f>IF(AU$227&gt;0,MIN(AU234,AU$227)*AU237,0)</f>
        <v>0</v>
      </c>
      <c r="AV240" s="371"/>
      <c r="AW240" s="371"/>
      <c r="AX240" s="371"/>
      <c r="AY240" s="371"/>
      <c r="AZ240" s="1113">
        <f>IF(AZ$227&gt;0,MIN(AZ234,AZ$227)*AZ237,0)</f>
        <v>0</v>
      </c>
      <c r="BA240" s="371"/>
      <c r="BB240" s="371"/>
      <c r="BC240" s="371"/>
      <c r="BD240" s="371"/>
      <c r="BE240" s="2877">
        <f>IF(BE$227&gt;0,MIN(BE234,BE$227)*BE237,0)</f>
        <v>0</v>
      </c>
      <c r="BF240" s="2877"/>
      <c r="BG240" s="371"/>
      <c r="BH240" s="371"/>
      <c r="BI240" s="1131"/>
      <c r="BJ240" s="1131">
        <f>IF(BJ$227&gt;0,MIN(BJ234,BJ$227)*BJ237,0)</f>
        <v>0</v>
      </c>
      <c r="BK240" s="2877"/>
      <c r="BL240" s="371"/>
      <c r="BM240" s="371"/>
      <c r="BN240" s="1131"/>
      <c r="BO240" s="1131">
        <f t="shared" ref="BO240:CB240" si="201">IF(BO$227&gt;0,MIN(BO234,BO$227)*BO237,0)</f>
        <v>0</v>
      </c>
      <c r="BP240" s="2877"/>
      <c r="BQ240" s="371"/>
      <c r="BR240" s="371"/>
      <c r="BS240" s="1131"/>
      <c r="BT240" s="1131">
        <f>IF(BT$227&gt;0,MIN(BT234,BT$227)*BT237,0)</f>
        <v>0</v>
      </c>
      <c r="BU240" s="1113">
        <f t="shared" si="201"/>
        <v>0</v>
      </c>
      <c r="BV240" s="1113">
        <f t="shared" si="201"/>
        <v>0</v>
      </c>
      <c r="BW240" s="1113">
        <f t="shared" si="201"/>
        <v>0</v>
      </c>
      <c r="BX240" s="1113">
        <f t="shared" si="201"/>
        <v>0</v>
      </c>
      <c r="BY240" s="1113">
        <f t="shared" si="201"/>
        <v>0</v>
      </c>
      <c r="BZ240" s="1113">
        <f t="shared" si="201"/>
        <v>0</v>
      </c>
      <c r="CA240" s="1113">
        <f t="shared" si="201"/>
        <v>0</v>
      </c>
      <c r="CB240" s="1113">
        <f t="shared" si="201"/>
        <v>0</v>
      </c>
    </row>
    <row r="241" spans="1:80" outlineLevel="1">
      <c r="A241" s="186" t="s">
        <v>1553</v>
      </c>
      <c r="B241" s="186"/>
      <c r="C241" s="61"/>
      <c r="D241" s="61"/>
      <c r="E241" s="61"/>
      <c r="F241" s="61"/>
      <c r="G241" s="112"/>
      <c r="H241" s="61"/>
      <c r="I241" s="61"/>
      <c r="J241" s="61"/>
      <c r="K241" s="61"/>
      <c r="L241" s="112"/>
      <c r="M241" s="61"/>
      <c r="N241" s="61"/>
      <c r="O241" s="61"/>
      <c r="P241" s="61"/>
      <c r="Q241" s="112"/>
      <c r="R241" s="1122"/>
      <c r="S241" s="1072"/>
      <c r="T241" s="1072"/>
      <c r="U241" s="1072"/>
      <c r="V241" s="1073"/>
      <c r="W241" s="1122"/>
      <c r="X241" s="1072"/>
      <c r="Y241" s="1072"/>
      <c r="Z241" s="1072"/>
      <c r="AA241" s="1073"/>
      <c r="AB241" s="1072"/>
      <c r="AC241" s="1072"/>
      <c r="AD241" s="1072"/>
      <c r="AE241" s="1072"/>
      <c r="AF241" s="1073"/>
      <c r="AG241" s="402"/>
      <c r="AH241" s="402"/>
      <c r="AI241" s="402"/>
      <c r="AJ241" s="402"/>
      <c r="AK241" s="146">
        <f>IF(AK$227&gt;AK234, (AK$227-AK234)*AK238,0)</f>
        <v>0</v>
      </c>
      <c r="AL241" s="96"/>
      <c r="AM241" s="96"/>
      <c r="AN241" s="96"/>
      <c r="AO241" s="97"/>
      <c r="AP241" s="97">
        <f>IF(AP$227&gt;AP234, (AP$227-AP234)*AP238,0)</f>
        <v>0</v>
      </c>
      <c r="AQ241" s="96"/>
      <c r="AR241" s="96"/>
      <c r="AS241" s="96"/>
      <c r="AT241" s="96"/>
      <c r="AU241" s="146">
        <f>IF(AU$227&gt;AU234, (AU$227-AU234)*AU238,0)</f>
        <v>0</v>
      </c>
      <c r="AV241" s="96"/>
      <c r="AW241" s="96"/>
      <c r="AX241" s="96"/>
      <c r="AY241" s="96"/>
      <c r="AZ241" s="146">
        <f>IF(AZ$227&gt;AZ234, (AZ$227-AZ234)*AZ238,0)</f>
        <v>0</v>
      </c>
      <c r="BA241" s="96"/>
      <c r="BB241" s="96"/>
      <c r="BC241" s="96"/>
      <c r="BD241" s="96"/>
      <c r="BE241" s="1115">
        <f>IF(BE$227&gt;BE234, (BE$227-BE234)*BE238,0)</f>
        <v>0</v>
      </c>
      <c r="BF241" s="1115"/>
      <c r="BG241" s="96"/>
      <c r="BH241" s="96"/>
      <c r="BI241" s="97"/>
      <c r="BJ241" s="97">
        <f>IF(BJ$227&gt;BJ234, (BJ$227-BJ234)*BJ238,0)</f>
        <v>0</v>
      </c>
      <c r="BK241" s="1115"/>
      <c r="BL241" s="96"/>
      <c r="BM241" s="96"/>
      <c r="BN241" s="97"/>
      <c r="BO241" s="97">
        <f t="shared" ref="BO241:CB241" si="202">IF(BO$227&gt;BO234, (BO$227-BO234)*BO238,0)</f>
        <v>0</v>
      </c>
      <c r="BP241" s="1115"/>
      <c r="BQ241" s="96"/>
      <c r="BR241" s="96"/>
      <c r="BS241" s="97"/>
      <c r="BT241" s="97">
        <f>IF(BT$227&gt;BT234, (BT$227-BT234)*BT238,0)</f>
        <v>0</v>
      </c>
      <c r="BU241" s="146">
        <f t="shared" si="202"/>
        <v>0</v>
      </c>
      <c r="BV241" s="146">
        <f t="shared" si="202"/>
        <v>0</v>
      </c>
      <c r="BW241" s="146">
        <f t="shared" si="202"/>
        <v>0</v>
      </c>
      <c r="BX241" s="146">
        <f t="shared" si="202"/>
        <v>0</v>
      </c>
      <c r="BY241" s="146">
        <f t="shared" si="202"/>
        <v>0</v>
      </c>
      <c r="BZ241" s="146">
        <f t="shared" si="202"/>
        <v>0</v>
      </c>
      <c r="CA241" s="146">
        <f t="shared" si="202"/>
        <v>0</v>
      </c>
      <c r="CB241" s="146">
        <f t="shared" si="202"/>
        <v>0</v>
      </c>
    </row>
    <row r="242" spans="1:80" outlineLevel="1">
      <c r="A242" s="2"/>
      <c r="B242" s="2"/>
      <c r="C242" s="61"/>
      <c r="D242" s="61"/>
      <c r="E242" s="61"/>
      <c r="F242" s="61"/>
      <c r="G242" s="112"/>
      <c r="H242" s="61"/>
      <c r="I242" s="61"/>
      <c r="J242" s="61"/>
      <c r="K242" s="61"/>
      <c r="L242" s="112"/>
      <c r="M242" s="61"/>
      <c r="N242" s="61"/>
      <c r="O242" s="61"/>
      <c r="P242" s="61"/>
      <c r="Q242" s="112"/>
      <c r="R242" s="1122"/>
      <c r="S242" s="1072"/>
      <c r="T242" s="1072"/>
      <c r="U242" s="1072"/>
      <c r="V242" s="1073"/>
      <c r="W242" s="1122"/>
      <c r="X242" s="1072"/>
      <c r="Y242" s="1072"/>
      <c r="Z242" s="1072"/>
      <c r="AA242" s="1073"/>
      <c r="AB242" s="1072"/>
      <c r="AC242" s="1072"/>
      <c r="AD242" s="1072"/>
      <c r="AE242" s="1072"/>
      <c r="AF242" s="1073"/>
      <c r="AG242" s="402"/>
      <c r="AH242" s="402"/>
      <c r="AI242" s="402"/>
      <c r="AJ242" s="402"/>
      <c r="AK242" s="1073"/>
      <c r="AL242" s="402"/>
      <c r="AM242" s="402"/>
      <c r="AN242" s="402"/>
      <c r="AO242" s="1121"/>
      <c r="AP242" s="1121"/>
      <c r="AQ242" s="402"/>
      <c r="AR242" s="402"/>
      <c r="AS242" s="402"/>
      <c r="AT242" s="402"/>
      <c r="AU242" s="1073"/>
      <c r="AV242" s="402"/>
      <c r="AW242" s="402"/>
      <c r="AX242" s="402"/>
      <c r="AY242" s="402"/>
      <c r="AZ242" s="1073"/>
      <c r="BA242" s="402"/>
      <c r="BB242" s="402"/>
      <c r="BC242" s="402"/>
      <c r="BD242" s="402"/>
      <c r="BE242" s="2830"/>
      <c r="BF242" s="2830"/>
      <c r="BG242" s="402"/>
      <c r="BH242" s="402"/>
      <c r="BI242" s="1121"/>
      <c r="BJ242" s="1121"/>
      <c r="BK242" s="2830"/>
      <c r="BL242" s="402"/>
      <c r="BM242" s="402"/>
      <c r="BN242" s="1121"/>
      <c r="BO242" s="1121"/>
      <c r="BP242" s="2830"/>
      <c r="BQ242" s="402"/>
      <c r="BR242" s="402"/>
      <c r="BS242" s="1121"/>
      <c r="BT242" s="1121"/>
      <c r="BU242" s="1073"/>
      <c r="BV242" s="1073"/>
      <c r="BW242" s="1073"/>
      <c r="BX242" s="1073"/>
      <c r="BY242" s="1073"/>
      <c r="BZ242" s="1073"/>
      <c r="CA242" s="1073"/>
      <c r="CB242" s="1073"/>
    </row>
    <row r="243" spans="1:80" outlineLevel="1">
      <c r="A243" s="1132" t="s">
        <v>760</v>
      </c>
      <c r="B243" s="1132"/>
      <c r="C243" s="61"/>
      <c r="D243" s="61"/>
      <c r="E243" s="61"/>
      <c r="F243" s="61"/>
      <c r="G243" s="112"/>
      <c r="H243" s="61"/>
      <c r="I243" s="61"/>
      <c r="J243" s="61"/>
      <c r="K243" s="61"/>
      <c r="L243" s="112"/>
      <c r="M243" s="61"/>
      <c r="N243" s="61"/>
      <c r="O243" s="61"/>
      <c r="P243" s="61"/>
      <c r="Q243" s="112"/>
      <c r="R243" s="1122"/>
      <c r="S243" s="1072"/>
      <c r="T243" s="1072"/>
      <c r="U243" s="1072"/>
      <c r="V243" s="1073"/>
      <c r="W243" s="1122"/>
      <c r="X243" s="1072"/>
      <c r="Y243" s="1072"/>
      <c r="Z243" s="1072"/>
      <c r="AA243" s="1073"/>
      <c r="AB243" s="1072"/>
      <c r="AC243" s="1072"/>
      <c r="AD243" s="1072"/>
      <c r="AE243" s="1072"/>
      <c r="AF243" s="1073"/>
      <c r="AG243" s="402"/>
      <c r="AH243" s="402"/>
      <c r="AI243" s="402"/>
      <c r="AJ243" s="402"/>
      <c r="AK243" s="1073"/>
      <c r="AL243" s="402"/>
      <c r="AM243" s="402"/>
      <c r="AN243" s="402"/>
      <c r="AO243" s="1121"/>
      <c r="AP243" s="1121"/>
      <c r="AQ243" s="402"/>
      <c r="AR243" s="402"/>
      <c r="AS243" s="402"/>
      <c r="AT243" s="402"/>
      <c r="AU243" s="1073"/>
      <c r="AV243" s="402"/>
      <c r="AW243" s="402"/>
      <c r="AX243" s="402"/>
      <c r="AY243" s="402"/>
      <c r="AZ243" s="1073"/>
      <c r="BA243" s="402"/>
      <c r="BB243" s="402"/>
      <c r="BC243" s="402"/>
      <c r="BD243" s="402"/>
      <c r="BE243" s="2830"/>
      <c r="BF243" s="2830"/>
      <c r="BG243" s="402"/>
      <c r="BH243" s="402"/>
      <c r="BI243" s="1121"/>
      <c r="BJ243" s="1121"/>
      <c r="BK243" s="2830"/>
      <c r="BL243" s="402"/>
      <c r="BM243" s="402"/>
      <c r="BN243" s="1121"/>
      <c r="BO243" s="1121"/>
      <c r="BP243" s="2830"/>
      <c r="BQ243" s="402"/>
      <c r="BR243" s="402"/>
      <c r="BS243" s="1121"/>
      <c r="BT243" s="1121"/>
      <c r="BU243" s="1073"/>
      <c r="BV243" s="1073"/>
      <c r="BW243" s="1073"/>
      <c r="BX243" s="1073"/>
      <c r="BY243" s="1073"/>
      <c r="BZ243" s="1073"/>
      <c r="CA243" s="1073"/>
      <c r="CB243" s="1073"/>
    </row>
    <row r="244" spans="1:80" outlineLevel="1">
      <c r="A244" s="2" t="s">
        <v>757</v>
      </c>
      <c r="B244" s="2"/>
      <c r="C244" s="61"/>
      <c r="D244" s="61"/>
      <c r="E244" s="61"/>
      <c r="F244" s="61"/>
      <c r="G244" s="112"/>
      <c r="H244" s="61"/>
      <c r="I244" s="61"/>
      <c r="J244" s="61"/>
      <c r="K244" s="61"/>
      <c r="L244" s="112"/>
      <c r="M244" s="61"/>
      <c r="N244" s="61"/>
      <c r="O244" s="61"/>
      <c r="P244" s="61"/>
      <c r="Q244" s="112"/>
      <c r="R244" s="1122"/>
      <c r="S244" s="1072"/>
      <c r="T244" s="1072"/>
      <c r="U244" s="1072"/>
      <c r="V244" s="1073"/>
      <c r="W244" s="1122"/>
      <c r="X244" s="1072"/>
      <c r="Y244" s="1072"/>
      <c r="Z244" s="1072"/>
      <c r="AA244" s="1073"/>
      <c r="AB244" s="1072"/>
      <c r="AC244" s="1072"/>
      <c r="AD244" s="1072"/>
      <c r="AE244" s="1072"/>
      <c r="AF244" s="1073"/>
      <c r="AG244" s="402"/>
      <c r="AH244" s="402"/>
      <c r="AI244" s="402"/>
      <c r="AJ244" s="402"/>
      <c r="AK244" s="1073"/>
      <c r="AL244" s="402"/>
      <c r="AM244" s="402"/>
      <c r="AN244" s="402"/>
      <c r="AO244" s="1121"/>
      <c r="AP244" s="1121"/>
      <c r="AQ244" s="402"/>
      <c r="AR244" s="402"/>
      <c r="AS244" s="402"/>
      <c r="AT244" s="402"/>
      <c r="AU244" s="1073"/>
      <c r="AV244" s="402"/>
      <c r="AW244" s="402"/>
      <c r="AX244" s="402"/>
      <c r="AY244" s="402"/>
      <c r="AZ244" s="1073"/>
      <c r="BA244" s="402"/>
      <c r="BB244" s="402"/>
      <c r="BC244" s="402"/>
      <c r="BD244" s="402"/>
      <c r="BE244" s="2830"/>
      <c r="BF244" s="2830"/>
      <c r="BG244" s="402"/>
      <c r="BH244" s="402"/>
      <c r="BI244" s="1121"/>
      <c r="BJ244" s="1121"/>
      <c r="BK244" s="2830"/>
      <c r="BL244" s="402"/>
      <c r="BM244" s="402"/>
      <c r="BN244" s="1121"/>
      <c r="BO244" s="1121"/>
      <c r="BP244" s="2830"/>
      <c r="BQ244" s="402"/>
      <c r="BR244" s="402"/>
      <c r="BS244" s="1121"/>
      <c r="BT244" s="1121"/>
      <c r="BU244" s="1073"/>
      <c r="BV244" s="1073"/>
      <c r="BW244" s="1073"/>
      <c r="BX244" s="1073"/>
      <c r="BY244" s="1073"/>
      <c r="BZ244" s="1073"/>
      <c r="CA244" s="1073"/>
      <c r="CB244" s="1073"/>
    </row>
    <row r="245" spans="1:80" outlineLevel="1">
      <c r="A245" s="186" t="s">
        <v>1552</v>
      </c>
      <c r="B245" s="186"/>
      <c r="C245" s="61"/>
      <c r="D245" s="61"/>
      <c r="E245" s="61"/>
      <c r="F245" s="61"/>
      <c r="G245" s="112"/>
      <c r="H245" s="61"/>
      <c r="I245" s="61"/>
      <c r="J245" s="61"/>
      <c r="K245" s="61"/>
      <c r="L245" s="112"/>
      <c r="M245" s="61"/>
      <c r="N245" s="61"/>
      <c r="O245" s="61"/>
      <c r="P245" s="61"/>
      <c r="Q245" s="112"/>
      <c r="R245" s="1122"/>
      <c r="S245" s="1072"/>
      <c r="T245" s="1072"/>
      <c r="U245" s="1072"/>
      <c r="V245" s="1073"/>
      <c r="W245" s="1122"/>
      <c r="X245" s="1072"/>
      <c r="Y245" s="1072"/>
      <c r="Z245" s="1072"/>
      <c r="AA245" s="1073"/>
      <c r="AB245" s="1072"/>
      <c r="AC245" s="1072"/>
      <c r="AD245" s="1072"/>
      <c r="AE245" s="1072"/>
      <c r="AF245" s="1073"/>
      <c r="AG245" s="402"/>
      <c r="AH245" s="402"/>
      <c r="AI245" s="402"/>
      <c r="AJ245" s="402"/>
      <c r="AK245" s="1065">
        <v>250</v>
      </c>
      <c r="AL245" s="1101"/>
      <c r="AM245" s="1101"/>
      <c r="AN245" s="1101"/>
      <c r="AO245" s="1124"/>
      <c r="AP245" s="1124">
        <v>250</v>
      </c>
      <c r="AQ245" s="1101"/>
      <c r="AR245" s="1101"/>
      <c r="AS245" s="1101"/>
      <c r="AT245" s="1101"/>
      <c r="AU245" s="1065">
        <v>250</v>
      </c>
      <c r="AV245" s="1101"/>
      <c r="AW245" s="1101"/>
      <c r="AX245" s="1101"/>
      <c r="AY245" s="1101"/>
      <c r="AZ245" s="1065">
        <v>250</v>
      </c>
      <c r="BA245" s="1101"/>
      <c r="BB245" s="1101"/>
      <c r="BC245" s="1101"/>
      <c r="BD245" s="1101"/>
      <c r="BE245" s="2825">
        <v>250</v>
      </c>
      <c r="BF245" s="2825"/>
      <c r="BG245" s="1101"/>
      <c r="BH245" s="1101"/>
      <c r="BI245" s="1124"/>
      <c r="BJ245" s="1124">
        <v>250</v>
      </c>
      <c r="BK245" s="2825"/>
      <c r="BL245" s="1101"/>
      <c r="BM245" s="1101"/>
      <c r="BN245" s="1124"/>
      <c r="BO245" s="1124">
        <v>250</v>
      </c>
      <c r="BP245" s="2825"/>
      <c r="BQ245" s="1101"/>
      <c r="BR245" s="1101"/>
      <c r="BS245" s="1124"/>
      <c r="BT245" s="1124">
        <v>250</v>
      </c>
      <c r="BU245" s="1065">
        <v>250</v>
      </c>
      <c r="BV245" s="1065">
        <v>250</v>
      </c>
      <c r="BW245" s="1065">
        <v>250</v>
      </c>
      <c r="BX245" s="1065">
        <v>250</v>
      </c>
      <c r="BY245" s="1065">
        <v>250</v>
      </c>
      <c r="BZ245" s="1065">
        <v>250</v>
      </c>
      <c r="CA245" s="1065">
        <v>250</v>
      </c>
      <c r="CB245" s="1065">
        <v>250</v>
      </c>
    </row>
    <row r="246" spans="1:80" outlineLevel="1">
      <c r="A246" s="186" t="s">
        <v>1553</v>
      </c>
      <c r="B246" s="186"/>
      <c r="C246" s="61"/>
      <c r="D246" s="61"/>
      <c r="E246" s="61"/>
      <c r="F246" s="61"/>
      <c r="G246" s="112"/>
      <c r="H246" s="61"/>
      <c r="I246" s="61"/>
      <c r="J246" s="61"/>
      <c r="K246" s="61"/>
      <c r="L246" s="112"/>
      <c r="M246" s="61"/>
      <c r="N246" s="61"/>
      <c r="O246" s="61"/>
      <c r="P246" s="61"/>
      <c r="Q246" s="112"/>
      <c r="R246" s="1122"/>
      <c r="S246" s="1072"/>
      <c r="T246" s="1072"/>
      <c r="U246" s="1072"/>
      <c r="V246" s="1073"/>
      <c r="W246" s="1122"/>
      <c r="X246" s="1072"/>
      <c r="Y246" s="1072"/>
      <c r="Z246" s="1072"/>
      <c r="AA246" s="1073"/>
      <c r="AB246" s="1072"/>
      <c r="AC246" s="1072"/>
      <c r="AD246" s="1072"/>
      <c r="AE246" s="1072"/>
      <c r="AF246" s="1073"/>
      <c r="AG246" s="402"/>
      <c r="AH246" s="402"/>
      <c r="AI246" s="402"/>
      <c r="AJ246" s="402"/>
      <c r="AK246" s="1125" t="s">
        <v>52</v>
      </c>
      <c r="AL246" s="1126"/>
      <c r="AM246" s="1126"/>
      <c r="AN246" s="1126"/>
      <c r="AO246" s="1127"/>
      <c r="AP246" s="1127" t="s">
        <v>52</v>
      </c>
      <c r="AQ246" s="1126"/>
      <c r="AR246" s="1126"/>
      <c r="AS246" s="1126"/>
      <c r="AT246" s="1126"/>
      <c r="AU246" s="1125" t="s">
        <v>52</v>
      </c>
      <c r="AV246" s="1126"/>
      <c r="AW246" s="1126"/>
      <c r="AX246" s="1126"/>
      <c r="AY246" s="1126"/>
      <c r="AZ246" s="1125" t="s">
        <v>52</v>
      </c>
      <c r="BA246" s="1126"/>
      <c r="BB246" s="1126"/>
      <c r="BC246" s="1126"/>
      <c r="BD246" s="1126"/>
      <c r="BE246" s="2875" t="s">
        <v>52</v>
      </c>
      <c r="BF246" s="2875"/>
      <c r="BG246" s="1126"/>
      <c r="BH246" s="1126"/>
      <c r="BI246" s="1127"/>
      <c r="BJ246" s="1127" t="s">
        <v>52</v>
      </c>
      <c r="BK246" s="2875"/>
      <c r="BL246" s="1126"/>
      <c r="BM246" s="1126"/>
      <c r="BN246" s="1127"/>
      <c r="BO246" s="1127" t="s">
        <v>52</v>
      </c>
      <c r="BP246" s="2875"/>
      <c r="BQ246" s="1126"/>
      <c r="BR246" s="1126"/>
      <c r="BS246" s="1127"/>
      <c r="BT246" s="1127" t="s">
        <v>52</v>
      </c>
      <c r="BU246" s="1125" t="s">
        <v>52</v>
      </c>
      <c r="BV246" s="1125" t="s">
        <v>52</v>
      </c>
      <c r="BW246" s="1125" t="s">
        <v>52</v>
      </c>
      <c r="BX246" s="1125" t="s">
        <v>52</v>
      </c>
      <c r="BY246" s="1125" t="s">
        <v>52</v>
      </c>
      <c r="BZ246" s="1125" t="s">
        <v>52</v>
      </c>
      <c r="CA246" s="1125" t="s">
        <v>52</v>
      </c>
      <c r="CB246" s="1125" t="s">
        <v>52</v>
      </c>
    </row>
    <row r="247" spans="1:80" outlineLevel="1">
      <c r="A247" s="2" t="s">
        <v>758</v>
      </c>
      <c r="B247" s="2"/>
      <c r="C247" s="61"/>
      <c r="D247" s="61"/>
      <c r="E247" s="61"/>
      <c r="F247" s="61"/>
      <c r="G247" s="112"/>
      <c r="H247" s="61"/>
      <c r="I247" s="61"/>
      <c r="J247" s="61"/>
      <c r="K247" s="61"/>
      <c r="L247" s="112"/>
      <c r="M247" s="61"/>
      <c r="N247" s="61"/>
      <c r="O247" s="61"/>
      <c r="P247" s="61"/>
      <c r="Q247" s="112"/>
      <c r="R247" s="1122"/>
      <c r="S247" s="1072"/>
      <c r="T247" s="1072"/>
      <c r="U247" s="1072"/>
      <c r="V247" s="1073"/>
      <c r="W247" s="1122"/>
      <c r="X247" s="1072"/>
      <c r="Y247" s="1072"/>
      <c r="Z247" s="1072"/>
      <c r="AA247" s="1073"/>
      <c r="AB247" s="1072"/>
      <c r="AC247" s="1072"/>
      <c r="AD247" s="1072"/>
      <c r="AE247" s="1072"/>
      <c r="AF247" s="1073"/>
      <c r="AG247" s="402"/>
      <c r="AH247" s="402"/>
      <c r="AI247" s="402"/>
      <c r="AJ247" s="402"/>
      <c r="AK247" s="1096"/>
      <c r="AL247" s="1095"/>
      <c r="AM247" s="1095"/>
      <c r="AN247" s="1095"/>
      <c r="AO247" s="1123"/>
      <c r="AP247" s="1123"/>
      <c r="AQ247" s="1095"/>
      <c r="AR247" s="1095"/>
      <c r="AS247" s="1095"/>
      <c r="AT247" s="1095"/>
      <c r="AU247" s="1096"/>
      <c r="AV247" s="1095"/>
      <c r="AW247" s="1095"/>
      <c r="AX247" s="1095"/>
      <c r="AY247" s="1095"/>
      <c r="AZ247" s="1096"/>
      <c r="BA247" s="1095"/>
      <c r="BB247" s="1095"/>
      <c r="BC247" s="1095"/>
      <c r="BD247" s="1095"/>
      <c r="BE247" s="2874"/>
      <c r="BF247" s="2874"/>
      <c r="BG247" s="1095"/>
      <c r="BH247" s="1095"/>
      <c r="BI247" s="1123"/>
      <c r="BJ247" s="1123"/>
      <c r="BK247" s="2874"/>
      <c r="BL247" s="1095"/>
      <c r="BM247" s="1095"/>
      <c r="BN247" s="1123"/>
      <c r="BO247" s="1123"/>
      <c r="BP247" s="2874"/>
      <c r="BQ247" s="1095"/>
      <c r="BR247" s="1095"/>
      <c r="BS247" s="1123"/>
      <c r="BT247" s="1123"/>
      <c r="BU247" s="1096"/>
      <c r="BV247" s="1096"/>
      <c r="BW247" s="1096"/>
      <c r="BX247" s="1096"/>
      <c r="BY247" s="1096"/>
      <c r="BZ247" s="1096"/>
      <c r="CA247" s="1096"/>
      <c r="CB247" s="1096"/>
    </row>
    <row r="248" spans="1:80" outlineLevel="1">
      <c r="A248" s="186" t="s">
        <v>1552</v>
      </c>
      <c r="B248" s="186"/>
      <c r="C248" s="61"/>
      <c r="D248" s="61"/>
      <c r="E248" s="61"/>
      <c r="F248" s="61"/>
      <c r="G248" s="112"/>
      <c r="H248" s="61"/>
      <c r="I248" s="61"/>
      <c r="J248" s="61"/>
      <c r="K248" s="61"/>
      <c r="L248" s="112"/>
      <c r="M248" s="61"/>
      <c r="N248" s="61"/>
      <c r="O248" s="61"/>
      <c r="P248" s="61"/>
      <c r="Q248" s="112"/>
      <c r="R248" s="1122"/>
      <c r="S248" s="1072"/>
      <c r="T248" s="1072"/>
      <c r="U248" s="1072"/>
      <c r="V248" s="1073"/>
      <c r="W248" s="1122"/>
      <c r="X248" s="1072"/>
      <c r="Y248" s="1072"/>
      <c r="Z248" s="1072"/>
      <c r="AA248" s="1073"/>
      <c r="AB248" s="1072"/>
      <c r="AC248" s="1072"/>
      <c r="AD248" s="1072"/>
      <c r="AE248" s="1072"/>
      <c r="AF248" s="1073"/>
      <c r="AG248" s="402"/>
      <c r="AH248" s="402"/>
      <c r="AI248" s="402"/>
      <c r="AJ248" s="402"/>
      <c r="AK248" s="1128">
        <v>1.7000000000000001E-2</v>
      </c>
      <c r="AL248" s="1129"/>
      <c r="AM248" s="1129"/>
      <c r="AN248" s="1129"/>
      <c r="AO248" s="1130"/>
      <c r="AP248" s="1130">
        <v>1.7000000000000001E-2</v>
      </c>
      <c r="AQ248" s="1129"/>
      <c r="AR248" s="1129"/>
      <c r="AS248" s="1129"/>
      <c r="AT248" s="1129"/>
      <c r="AU248" s="1128">
        <v>1.7000000000000001E-2</v>
      </c>
      <c r="AV248" s="1129"/>
      <c r="AW248" s="1129"/>
      <c r="AX248" s="1129"/>
      <c r="AY248" s="1129"/>
      <c r="AZ248" s="1128">
        <v>1.7000000000000001E-2</v>
      </c>
      <c r="BA248" s="1129"/>
      <c r="BB248" s="1129"/>
      <c r="BC248" s="1129"/>
      <c r="BD248" s="1129"/>
      <c r="BE248" s="2876">
        <v>1.7000000000000001E-2</v>
      </c>
      <c r="BF248" s="2876"/>
      <c r="BG248" s="1129"/>
      <c r="BH248" s="1129"/>
      <c r="BI248" s="1130"/>
      <c r="BJ248" s="1130">
        <v>1.7000000000000001E-2</v>
      </c>
      <c r="BK248" s="2876"/>
      <c r="BL248" s="1129"/>
      <c r="BM248" s="1129"/>
      <c r="BN248" s="1130"/>
      <c r="BO248" s="1130">
        <v>1.7000000000000001E-2</v>
      </c>
      <c r="BP248" s="2876"/>
      <c r="BQ248" s="1129"/>
      <c r="BR248" s="1129"/>
      <c r="BS248" s="1130"/>
      <c r="BT248" s="1130">
        <v>1.7000000000000001E-2</v>
      </c>
      <c r="BU248" s="1128">
        <v>1.7000000000000001E-2</v>
      </c>
      <c r="BV248" s="1128">
        <v>1.7000000000000001E-2</v>
      </c>
      <c r="BW248" s="1128">
        <v>1.7000000000000001E-2</v>
      </c>
      <c r="BX248" s="1128">
        <v>1.7000000000000001E-2</v>
      </c>
      <c r="BY248" s="1128">
        <v>1.7000000000000001E-2</v>
      </c>
      <c r="BZ248" s="1128">
        <v>1.7000000000000001E-2</v>
      </c>
      <c r="CA248" s="1128">
        <v>1.7000000000000001E-2</v>
      </c>
      <c r="CB248" s="1128">
        <v>1.7000000000000001E-2</v>
      </c>
    </row>
    <row r="249" spans="1:80" outlineLevel="1">
      <c r="A249" s="186" t="s">
        <v>1553</v>
      </c>
      <c r="B249" s="186"/>
      <c r="C249" s="61"/>
      <c r="D249" s="61"/>
      <c r="E249" s="61"/>
      <c r="F249" s="61"/>
      <c r="G249" s="112"/>
      <c r="H249" s="61"/>
      <c r="I249" s="61"/>
      <c r="J249" s="61"/>
      <c r="K249" s="61"/>
      <c r="L249" s="112"/>
      <c r="M249" s="61"/>
      <c r="N249" s="61"/>
      <c r="O249" s="61"/>
      <c r="P249" s="61"/>
      <c r="Q249" s="112"/>
      <c r="R249" s="1122"/>
      <c r="S249" s="1072"/>
      <c r="T249" s="1072"/>
      <c r="U249" s="1072"/>
      <c r="V249" s="1073"/>
      <c r="W249" s="1122"/>
      <c r="X249" s="1072"/>
      <c r="Y249" s="1072"/>
      <c r="Z249" s="1072"/>
      <c r="AA249" s="1073"/>
      <c r="AB249" s="1072"/>
      <c r="AC249" s="1072"/>
      <c r="AD249" s="1072"/>
      <c r="AE249" s="1072"/>
      <c r="AF249" s="1073"/>
      <c r="AG249" s="402"/>
      <c r="AH249" s="402"/>
      <c r="AI249" s="402"/>
      <c r="AJ249" s="402"/>
      <c r="AK249" s="1128">
        <v>2.5000000000000001E-2</v>
      </c>
      <c r="AL249" s="1129"/>
      <c r="AM249" s="1129"/>
      <c r="AN249" s="1129"/>
      <c r="AO249" s="1130"/>
      <c r="AP249" s="1130">
        <v>2.5000000000000001E-2</v>
      </c>
      <c r="AQ249" s="1129"/>
      <c r="AR249" s="1129"/>
      <c r="AS249" s="1129"/>
      <c r="AT249" s="1129"/>
      <c r="AU249" s="1128">
        <v>2.5000000000000001E-2</v>
      </c>
      <c r="AV249" s="1129"/>
      <c r="AW249" s="1129"/>
      <c r="AX249" s="1129"/>
      <c r="AY249" s="1129"/>
      <c r="AZ249" s="1128">
        <v>2.5000000000000001E-2</v>
      </c>
      <c r="BA249" s="1129"/>
      <c r="BB249" s="1129"/>
      <c r="BC249" s="1129"/>
      <c r="BD249" s="1129"/>
      <c r="BE249" s="2876">
        <v>2.5000000000000001E-2</v>
      </c>
      <c r="BF249" s="2876"/>
      <c r="BG249" s="1129"/>
      <c r="BH249" s="1129"/>
      <c r="BI249" s="1130"/>
      <c r="BJ249" s="1130">
        <v>2.5000000000000001E-2</v>
      </c>
      <c r="BK249" s="2876"/>
      <c r="BL249" s="1129"/>
      <c r="BM249" s="1129"/>
      <c r="BN249" s="1130"/>
      <c r="BO249" s="1130">
        <v>2.5000000000000001E-2</v>
      </c>
      <c r="BP249" s="2876"/>
      <c r="BQ249" s="1129"/>
      <c r="BR249" s="1129"/>
      <c r="BS249" s="1130"/>
      <c r="BT249" s="1130">
        <v>2.5000000000000001E-2</v>
      </c>
      <c r="BU249" s="1128">
        <v>2.5000000000000001E-2</v>
      </c>
      <c r="BV249" s="1128">
        <v>2.5000000000000001E-2</v>
      </c>
      <c r="BW249" s="1128">
        <v>2.5000000000000001E-2</v>
      </c>
      <c r="BX249" s="1128">
        <v>2.5000000000000001E-2</v>
      </c>
      <c r="BY249" s="1128">
        <v>2.5000000000000001E-2</v>
      </c>
      <c r="BZ249" s="1128">
        <v>2.5000000000000001E-2</v>
      </c>
      <c r="CA249" s="1128">
        <v>2.5000000000000001E-2</v>
      </c>
      <c r="CB249" s="1128">
        <v>2.5000000000000001E-2</v>
      </c>
    </row>
    <row r="250" spans="1:80" outlineLevel="1">
      <c r="A250" s="2" t="s">
        <v>759</v>
      </c>
      <c r="B250" s="2"/>
      <c r="C250" s="61"/>
      <c r="D250" s="61"/>
      <c r="E250" s="61"/>
      <c r="F250" s="61"/>
      <c r="G250" s="112"/>
      <c r="H250" s="61"/>
      <c r="I250" s="61"/>
      <c r="J250" s="61"/>
      <c r="K250" s="61"/>
      <c r="L250" s="112"/>
      <c r="M250" s="61"/>
      <c r="N250" s="61"/>
      <c r="O250" s="61"/>
      <c r="P250" s="61"/>
      <c r="Q250" s="112"/>
      <c r="R250" s="1122"/>
      <c r="S250" s="1072"/>
      <c r="T250" s="1072"/>
      <c r="U250" s="1072"/>
      <c r="V250" s="1073"/>
      <c r="W250" s="1122"/>
      <c r="X250" s="1072"/>
      <c r="Y250" s="1072"/>
      <c r="Z250" s="1072"/>
      <c r="AA250" s="1073"/>
      <c r="AB250" s="1072"/>
      <c r="AC250" s="1072"/>
      <c r="AD250" s="1072"/>
      <c r="AE250" s="1072"/>
      <c r="AF250" s="1073"/>
      <c r="AG250" s="402"/>
      <c r="AH250" s="402"/>
      <c r="AI250" s="402"/>
      <c r="AJ250" s="402"/>
      <c r="AK250" s="1096"/>
      <c r="AL250" s="1095"/>
      <c r="AM250" s="1095"/>
      <c r="AN250" s="1095"/>
      <c r="AO250" s="1123"/>
      <c r="AP250" s="1123"/>
      <c r="AQ250" s="1095"/>
      <c r="AR250" s="1095"/>
      <c r="AS250" s="1095"/>
      <c r="AT250" s="1095"/>
      <c r="AU250" s="1096"/>
      <c r="AV250" s="1095"/>
      <c r="AW250" s="1095"/>
      <c r="AX250" s="1095"/>
      <c r="AY250" s="1095"/>
      <c r="AZ250" s="1096"/>
      <c r="BA250" s="1095"/>
      <c r="BB250" s="1095"/>
      <c r="BC250" s="1095"/>
      <c r="BD250" s="1095"/>
      <c r="BE250" s="2874"/>
      <c r="BF250" s="2874"/>
      <c r="BG250" s="1095"/>
      <c r="BH250" s="1095"/>
      <c r="BI250" s="1123"/>
      <c r="BJ250" s="1123"/>
      <c r="BK250" s="2874"/>
      <c r="BL250" s="1095"/>
      <c r="BM250" s="1095"/>
      <c r="BN250" s="1123"/>
      <c r="BO250" s="1123"/>
      <c r="BP250" s="2874"/>
      <c r="BQ250" s="1095"/>
      <c r="BR250" s="1095"/>
      <c r="BS250" s="1123"/>
      <c r="BT250" s="1123"/>
      <c r="BU250" s="1096"/>
      <c r="BV250" s="1096"/>
      <c r="BW250" s="1096"/>
      <c r="BX250" s="1096"/>
      <c r="BY250" s="1096"/>
      <c r="BZ250" s="1096"/>
      <c r="CA250" s="1096"/>
      <c r="CB250" s="1096"/>
    </row>
    <row r="251" spans="1:80" outlineLevel="1">
      <c r="A251" s="186" t="s">
        <v>1552</v>
      </c>
      <c r="B251" s="186"/>
      <c r="C251" s="61"/>
      <c r="D251" s="61"/>
      <c r="E251" s="61"/>
      <c r="F251" s="61"/>
      <c r="G251" s="112"/>
      <c r="H251" s="61"/>
      <c r="I251" s="61"/>
      <c r="J251" s="61"/>
      <c r="K251" s="61"/>
      <c r="L251" s="112"/>
      <c r="M251" s="61"/>
      <c r="N251" s="61"/>
      <c r="O251" s="61"/>
      <c r="P251" s="61"/>
      <c r="Q251" s="112"/>
      <c r="R251" s="1122"/>
      <c r="S251" s="1072"/>
      <c r="T251" s="1072"/>
      <c r="U251" s="1072"/>
      <c r="V251" s="1073"/>
      <c r="W251" s="1122"/>
      <c r="X251" s="1072"/>
      <c r="Y251" s="1072"/>
      <c r="Z251" s="1072"/>
      <c r="AA251" s="1073"/>
      <c r="AB251" s="1072"/>
      <c r="AC251" s="1072"/>
      <c r="AD251" s="1072"/>
      <c r="AE251" s="1072"/>
      <c r="AF251" s="1073"/>
      <c r="AG251" s="402"/>
      <c r="AH251" s="402"/>
      <c r="AI251" s="402"/>
      <c r="AJ251" s="402"/>
      <c r="AK251" s="1113">
        <f>IF(AK$227&gt;0,MIN(AK245,AK$227)*AK248,0)</f>
        <v>0</v>
      </c>
      <c r="AL251" s="371"/>
      <c r="AM251" s="371"/>
      <c r="AN251" s="371"/>
      <c r="AO251" s="1131"/>
      <c r="AP251" s="1131">
        <f>IF(AP$227&gt;0,MIN(AP245,AP$227)*AP248,0)</f>
        <v>0</v>
      </c>
      <c r="AQ251" s="371"/>
      <c r="AR251" s="371"/>
      <c r="AS251" s="371"/>
      <c r="AT251" s="371"/>
      <c r="AU251" s="1113">
        <f>IF(AU$227&gt;0,MIN(AU245,AU$227)*AU248,0)</f>
        <v>0</v>
      </c>
      <c r="AV251" s="371"/>
      <c r="AW251" s="371"/>
      <c r="AX251" s="371"/>
      <c r="AY251" s="371"/>
      <c r="AZ251" s="1113">
        <f>IF(AZ$227&gt;0,MIN(AZ245,AZ$227)*AZ248,0)</f>
        <v>0</v>
      </c>
      <c r="BA251" s="371"/>
      <c r="BB251" s="371"/>
      <c r="BC251" s="371"/>
      <c r="BD251" s="371"/>
      <c r="BE251" s="2877">
        <f>IF(BE$227&gt;0,MIN(BE245,BE$227)*BE248,0)</f>
        <v>0</v>
      </c>
      <c r="BF251" s="2877"/>
      <c r="BG251" s="371"/>
      <c r="BH251" s="371"/>
      <c r="BI251" s="1131"/>
      <c r="BJ251" s="1131">
        <f>IF(BJ$227&gt;0,MIN(BJ245,BJ$227)*BJ248,0)</f>
        <v>0</v>
      </c>
      <c r="BK251" s="2877"/>
      <c r="BL251" s="371"/>
      <c r="BM251" s="371"/>
      <c r="BN251" s="1131"/>
      <c r="BO251" s="1131">
        <f t="shared" ref="BO251:CB251" si="203">IF(BO$227&gt;0,MIN(BO245,BO$227)*BO248,0)</f>
        <v>0</v>
      </c>
      <c r="BP251" s="2877"/>
      <c r="BQ251" s="371"/>
      <c r="BR251" s="371"/>
      <c r="BS251" s="1131"/>
      <c r="BT251" s="1131">
        <f>IF(BT$227&gt;0,MIN(BT245,BT$227)*BT248,0)</f>
        <v>0</v>
      </c>
      <c r="BU251" s="1113">
        <f t="shared" si="203"/>
        <v>0</v>
      </c>
      <c r="BV251" s="1113">
        <f t="shared" si="203"/>
        <v>0</v>
      </c>
      <c r="BW251" s="1113">
        <f t="shared" si="203"/>
        <v>0</v>
      </c>
      <c r="BX251" s="1113">
        <f t="shared" si="203"/>
        <v>0</v>
      </c>
      <c r="BY251" s="1113">
        <f t="shared" si="203"/>
        <v>0</v>
      </c>
      <c r="BZ251" s="1113">
        <f t="shared" si="203"/>
        <v>0</v>
      </c>
      <c r="CA251" s="1113">
        <f t="shared" si="203"/>
        <v>0</v>
      </c>
      <c r="CB251" s="1113">
        <f t="shared" si="203"/>
        <v>0</v>
      </c>
    </row>
    <row r="252" spans="1:80" outlineLevel="1">
      <c r="A252" s="186" t="s">
        <v>1553</v>
      </c>
      <c r="B252" s="186"/>
      <c r="C252" s="61"/>
      <c r="D252" s="61"/>
      <c r="E252" s="61"/>
      <c r="F252" s="61"/>
      <c r="G252" s="112"/>
      <c r="H252" s="61"/>
      <c r="I252" s="61"/>
      <c r="J252" s="61"/>
      <c r="K252" s="61"/>
      <c r="L252" s="112"/>
      <c r="M252" s="61"/>
      <c r="N252" s="61"/>
      <c r="O252" s="61"/>
      <c r="P252" s="61"/>
      <c r="Q252" s="112"/>
      <c r="R252" s="1122"/>
      <c r="S252" s="1072"/>
      <c r="T252" s="1072"/>
      <c r="U252" s="1072"/>
      <c r="V252" s="1073"/>
      <c r="W252" s="1122"/>
      <c r="X252" s="1072"/>
      <c r="Y252" s="1072"/>
      <c r="Z252" s="1072"/>
      <c r="AA252" s="1073"/>
      <c r="AB252" s="1072"/>
      <c r="AC252" s="1072"/>
      <c r="AD252" s="1072"/>
      <c r="AE252" s="1072"/>
      <c r="AF252" s="1073"/>
      <c r="AG252" s="402"/>
      <c r="AH252" s="402"/>
      <c r="AI252" s="402"/>
      <c r="AJ252" s="402"/>
      <c r="AK252" s="146">
        <f>IF(AK$227&gt;AK245, (AK$227-AK245)*AK249,0)</f>
        <v>0</v>
      </c>
      <c r="AL252" s="96"/>
      <c r="AM252" s="96"/>
      <c r="AN252" s="96"/>
      <c r="AO252" s="97"/>
      <c r="AP252" s="97">
        <f>IF(AP$227&gt;AP245, (AP$227-AP245)*AP249,0)</f>
        <v>0</v>
      </c>
      <c r="AQ252" s="96"/>
      <c r="AR252" s="96"/>
      <c r="AS252" s="96"/>
      <c r="AT252" s="96"/>
      <c r="AU252" s="146">
        <f>IF(AU$227&gt;AU245, (AU$227-AU245)*AU249,0)</f>
        <v>0</v>
      </c>
      <c r="AV252" s="96"/>
      <c r="AW252" s="96"/>
      <c r="AX252" s="96"/>
      <c r="AY252" s="96"/>
      <c r="AZ252" s="146">
        <f>IF(AZ$227&gt;AZ245, (AZ$227-AZ245)*AZ249,0)</f>
        <v>0</v>
      </c>
      <c r="BA252" s="96"/>
      <c r="BB252" s="96"/>
      <c r="BC252" s="96"/>
      <c r="BD252" s="96"/>
      <c r="BE252" s="1115">
        <f>IF(BE$227&gt;BE245, (BE$227-BE245)*BE249,0)</f>
        <v>0</v>
      </c>
      <c r="BF252" s="1115"/>
      <c r="BG252" s="96"/>
      <c r="BH252" s="96"/>
      <c r="BI252" s="97"/>
      <c r="BJ252" s="97">
        <f>IF(BJ$227&gt;BJ245, (BJ$227-BJ245)*BJ249,0)</f>
        <v>0</v>
      </c>
      <c r="BK252" s="1115"/>
      <c r="BL252" s="96"/>
      <c r="BM252" s="96"/>
      <c r="BN252" s="97"/>
      <c r="BO252" s="97">
        <f t="shared" ref="BO252:CB252" si="204">IF(BO$227&gt;BO245, (BO$227-BO245)*BO249,0)</f>
        <v>0</v>
      </c>
      <c r="BP252" s="1115"/>
      <c r="BQ252" s="96"/>
      <c r="BR252" s="96"/>
      <c r="BS252" s="97"/>
      <c r="BT252" s="97">
        <f>IF(BT$227&gt;BT245, (BT$227-BT245)*BT249,0)</f>
        <v>0</v>
      </c>
      <c r="BU252" s="146">
        <f t="shared" si="204"/>
        <v>0</v>
      </c>
      <c r="BV252" s="146">
        <f t="shared" si="204"/>
        <v>0</v>
      </c>
      <c r="BW252" s="146">
        <f t="shared" si="204"/>
        <v>0</v>
      </c>
      <c r="BX252" s="146">
        <f t="shared" si="204"/>
        <v>0</v>
      </c>
      <c r="BY252" s="146">
        <f t="shared" si="204"/>
        <v>0</v>
      </c>
      <c r="BZ252" s="146">
        <f t="shared" si="204"/>
        <v>0</v>
      </c>
      <c r="CA252" s="146">
        <f t="shared" si="204"/>
        <v>0</v>
      </c>
      <c r="CB252" s="146">
        <f t="shared" si="204"/>
        <v>0</v>
      </c>
    </row>
    <row r="253" spans="1:80" outlineLevel="1">
      <c r="A253" s="2"/>
      <c r="B253" s="2"/>
      <c r="C253" s="61"/>
      <c r="D253" s="61"/>
      <c r="E253" s="61"/>
      <c r="F253" s="61"/>
      <c r="G253" s="112"/>
      <c r="H253" s="61"/>
      <c r="I253" s="61"/>
      <c r="J253" s="61"/>
      <c r="K253" s="61"/>
      <c r="L253" s="112"/>
      <c r="M253" s="61"/>
      <c r="N253" s="61"/>
      <c r="O253" s="61"/>
      <c r="P253" s="61"/>
      <c r="Q253" s="112"/>
      <c r="R253" s="1122"/>
      <c r="S253" s="1072"/>
      <c r="T253" s="1072"/>
      <c r="U253" s="1072"/>
      <c r="V253" s="1073"/>
      <c r="W253" s="1122"/>
      <c r="X253" s="1072"/>
      <c r="Y253" s="1072"/>
      <c r="Z253" s="1072"/>
      <c r="AA253" s="1073"/>
      <c r="AB253" s="1072"/>
      <c r="AC253" s="1072"/>
      <c r="AD253" s="1072"/>
      <c r="AE253" s="1072"/>
      <c r="AF253" s="1073"/>
      <c r="AG253" s="402"/>
      <c r="AH253" s="402"/>
      <c r="AI253" s="402"/>
      <c r="AJ253" s="402"/>
      <c r="AK253" s="1073"/>
      <c r="AL253" s="402"/>
      <c r="AM253" s="402"/>
      <c r="AN253" s="402"/>
      <c r="AO253" s="1121"/>
      <c r="AP253" s="1121"/>
      <c r="AQ253" s="402"/>
      <c r="AR253" s="402"/>
      <c r="AS253" s="402"/>
      <c r="AT253" s="402"/>
      <c r="AU253" s="1073"/>
      <c r="AV253" s="402"/>
      <c r="AW253" s="402"/>
      <c r="AX253" s="402"/>
      <c r="AY253" s="402"/>
      <c r="AZ253" s="1073"/>
      <c r="BA253" s="402"/>
      <c r="BB253" s="402"/>
      <c r="BC253" s="402"/>
      <c r="BD253" s="402"/>
      <c r="BE253" s="2830"/>
      <c r="BF253" s="2830"/>
      <c r="BG253" s="402"/>
      <c r="BH253" s="402"/>
      <c r="BI253" s="1121"/>
      <c r="BJ253" s="1121"/>
      <c r="BK253" s="2830"/>
      <c r="BL253" s="402"/>
      <c r="BM253" s="402"/>
      <c r="BN253" s="1121"/>
      <c r="BO253" s="1121"/>
      <c r="BP253" s="2830"/>
      <c r="BQ253" s="402"/>
      <c r="BR253" s="402"/>
      <c r="BS253" s="1121"/>
      <c r="BT253" s="1121"/>
      <c r="BU253" s="1073"/>
      <c r="BV253" s="1073"/>
      <c r="BW253" s="1073"/>
      <c r="BX253" s="1073"/>
      <c r="BY253" s="1073"/>
      <c r="BZ253" s="1073"/>
      <c r="CA253" s="1073"/>
      <c r="CB253" s="1073"/>
    </row>
    <row r="254" spans="1:80" outlineLevel="1">
      <c r="A254" s="2" t="s">
        <v>1118</v>
      </c>
      <c r="B254" s="2"/>
      <c r="C254" s="61"/>
      <c r="D254" s="61"/>
      <c r="E254" s="61"/>
      <c r="F254" s="61"/>
      <c r="G254" s="112"/>
      <c r="H254" s="61"/>
      <c r="I254" s="61"/>
      <c r="J254" s="61"/>
      <c r="K254" s="61"/>
      <c r="L254" s="112"/>
      <c r="M254" s="61"/>
      <c r="N254" s="61"/>
      <c r="O254" s="61"/>
      <c r="P254" s="61"/>
      <c r="Q254" s="112"/>
      <c r="R254" s="1072"/>
      <c r="S254" s="1072"/>
      <c r="T254" s="1072"/>
      <c r="U254" s="1072"/>
      <c r="V254" s="1084"/>
      <c r="W254" s="1072"/>
      <c r="X254" s="1072"/>
      <c r="Y254" s="1072"/>
      <c r="Z254" s="1072"/>
      <c r="AA254" s="1084"/>
      <c r="AB254" s="1072"/>
      <c r="AC254" s="1072"/>
      <c r="AD254" s="1072"/>
      <c r="AE254" s="1072"/>
      <c r="AF254" s="1084"/>
      <c r="AG254" s="1085"/>
      <c r="AH254" s="1085"/>
      <c r="AI254" s="1085"/>
      <c r="AJ254" s="1085"/>
      <c r="AK254" s="1098">
        <f>AF254*1.02</f>
        <v>0</v>
      </c>
      <c r="AL254" s="1133"/>
      <c r="AM254" s="1133"/>
      <c r="AN254" s="1133"/>
      <c r="AO254" s="1134"/>
      <c r="AP254" s="1134">
        <f>AK254*1.02</f>
        <v>0</v>
      </c>
      <c r="AQ254" s="1133"/>
      <c r="AR254" s="1133"/>
      <c r="AS254" s="1133"/>
      <c r="AT254" s="1133"/>
      <c r="AU254" s="1098">
        <f>AP254*1.02</f>
        <v>0</v>
      </c>
      <c r="AV254" s="1133"/>
      <c r="AW254" s="1133"/>
      <c r="AX254" s="1133"/>
      <c r="AY254" s="1133"/>
      <c r="AZ254" s="1098">
        <f>AU254*1.02</f>
        <v>0</v>
      </c>
      <c r="BA254" s="1133"/>
      <c r="BB254" s="1133"/>
      <c r="BC254" s="1133"/>
      <c r="BD254" s="1133"/>
      <c r="BE254" s="2845">
        <f>AZ254*1.02</f>
        <v>0</v>
      </c>
      <c r="BF254" s="2845"/>
      <c r="BG254" s="1133"/>
      <c r="BH254" s="1133"/>
      <c r="BI254" s="1134"/>
      <c r="BJ254" s="1134">
        <f>BE254*1.02</f>
        <v>0</v>
      </c>
      <c r="BK254" s="2845"/>
      <c r="BL254" s="1133"/>
      <c r="BM254" s="1133"/>
      <c r="BN254" s="1134"/>
      <c r="BO254" s="1134">
        <f>BJ254*1.02</f>
        <v>0</v>
      </c>
      <c r="BP254" s="2845"/>
      <c r="BQ254" s="1133"/>
      <c r="BR254" s="1133"/>
      <c r="BS254" s="1134"/>
      <c r="BT254" s="1134">
        <f>BO254*1.02</f>
        <v>0</v>
      </c>
      <c r="BU254" s="1098">
        <f t="shared" ref="BU254:BW255" si="205">BT254*1.02</f>
        <v>0</v>
      </c>
      <c r="BV254" s="1098">
        <f t="shared" si="205"/>
        <v>0</v>
      </c>
      <c r="BW254" s="1098">
        <f t="shared" si="205"/>
        <v>0</v>
      </c>
      <c r="BX254" s="1098">
        <f t="shared" ref="BX254:CB255" si="206">BW254*1.02</f>
        <v>0</v>
      </c>
      <c r="BY254" s="1098">
        <f t="shared" si="206"/>
        <v>0</v>
      </c>
      <c r="BZ254" s="1098">
        <f t="shared" si="206"/>
        <v>0</v>
      </c>
      <c r="CA254" s="1098">
        <f t="shared" si="206"/>
        <v>0</v>
      </c>
      <c r="CB254" s="1098">
        <f t="shared" si="206"/>
        <v>0</v>
      </c>
    </row>
    <row r="255" spans="1:80" outlineLevel="1">
      <c r="A255" s="2" t="s">
        <v>1550</v>
      </c>
      <c r="B255" s="2"/>
      <c r="C255" s="61"/>
      <c r="D255" s="61"/>
      <c r="E255" s="61"/>
      <c r="F255" s="61"/>
      <c r="G255" s="112"/>
      <c r="H255" s="61"/>
      <c r="I255" s="61"/>
      <c r="J255" s="61"/>
      <c r="K255" s="61"/>
      <c r="L255" s="112"/>
      <c r="M255" s="61"/>
      <c r="N255" s="61"/>
      <c r="O255" s="61"/>
      <c r="P255" s="61"/>
      <c r="Q255" s="112"/>
      <c r="R255" s="61"/>
      <c r="S255" s="61"/>
      <c r="T255" s="61"/>
      <c r="U255" s="61"/>
      <c r="V255" s="112"/>
      <c r="W255" s="61"/>
      <c r="X255" s="61"/>
      <c r="Y255" s="61"/>
      <c r="Z255" s="61"/>
      <c r="AA255" s="112"/>
      <c r="AB255" s="61"/>
      <c r="AC255" s="61"/>
      <c r="AD255" s="61"/>
      <c r="AE255" s="61"/>
      <c r="AF255" s="112"/>
      <c r="AG255" s="61"/>
      <c r="AH255" s="61"/>
      <c r="AI255" s="61"/>
      <c r="AJ255" s="61"/>
      <c r="AK255" s="1135">
        <f>AF255*1.02</f>
        <v>0</v>
      </c>
      <c r="AL255" s="1136"/>
      <c r="AM255" s="1136"/>
      <c r="AN255" s="1136"/>
      <c r="AO255" s="1137"/>
      <c r="AP255" s="1137">
        <f>AK255*1.02</f>
        <v>0</v>
      </c>
      <c r="AQ255" s="1136"/>
      <c r="AR255" s="1136"/>
      <c r="AS255" s="1136"/>
      <c r="AT255" s="1136"/>
      <c r="AU255" s="1135">
        <f>AP255*1.02</f>
        <v>0</v>
      </c>
      <c r="AV255" s="1136"/>
      <c r="AW255" s="1136"/>
      <c r="AX255" s="1136"/>
      <c r="AY255" s="1136"/>
      <c r="AZ255" s="1135">
        <f>AU255*1.02</f>
        <v>0</v>
      </c>
      <c r="BA255" s="1136"/>
      <c r="BB255" s="1136"/>
      <c r="BC255" s="1136"/>
      <c r="BD255" s="1136"/>
      <c r="BE255" s="2878">
        <f>AZ255*1.02</f>
        <v>0</v>
      </c>
      <c r="BF255" s="2878"/>
      <c r="BG255" s="1136"/>
      <c r="BH255" s="1136"/>
      <c r="BI255" s="1137"/>
      <c r="BJ255" s="1137">
        <f>BE255*1.02</f>
        <v>0</v>
      </c>
      <c r="BK255" s="2878"/>
      <c r="BL255" s="1136"/>
      <c r="BM255" s="1136"/>
      <c r="BN255" s="1137"/>
      <c r="BO255" s="1137">
        <f>BJ255*1.02</f>
        <v>0</v>
      </c>
      <c r="BP255" s="2878"/>
      <c r="BQ255" s="1136"/>
      <c r="BR255" s="1136"/>
      <c r="BS255" s="1137"/>
      <c r="BT255" s="1137">
        <f>BO255*1.02</f>
        <v>0</v>
      </c>
      <c r="BU255" s="1135">
        <f t="shared" si="205"/>
        <v>0</v>
      </c>
      <c r="BV255" s="1135">
        <f t="shared" si="205"/>
        <v>0</v>
      </c>
      <c r="BW255" s="1135">
        <f t="shared" si="205"/>
        <v>0</v>
      </c>
      <c r="BX255" s="1135">
        <f t="shared" si="206"/>
        <v>0</v>
      </c>
      <c r="BY255" s="1135">
        <f t="shared" si="206"/>
        <v>0</v>
      </c>
      <c r="BZ255" s="1135">
        <f t="shared" si="206"/>
        <v>0</v>
      </c>
      <c r="CA255" s="1135">
        <f t="shared" si="206"/>
        <v>0</v>
      </c>
      <c r="CB255" s="1135">
        <f t="shared" si="206"/>
        <v>0</v>
      </c>
    </row>
    <row r="256" spans="1:80" outlineLevel="1">
      <c r="BF256" s="2880"/>
      <c r="BG256" s="1238"/>
      <c r="BH256" s="1238"/>
      <c r="BI256" s="2881"/>
      <c r="BK256" s="2880"/>
      <c r="BL256" s="1238"/>
      <c r="BM256" s="1238"/>
      <c r="BN256" s="2881"/>
      <c r="BP256" s="2880"/>
      <c r="BQ256" s="1238"/>
      <c r="BR256" s="1238"/>
      <c r="BS256" s="2881"/>
    </row>
    <row r="257" spans="1:80" outlineLevel="1">
      <c r="A257" s="1132" t="s">
        <v>762</v>
      </c>
      <c r="B257" s="1132"/>
      <c r="C257" s="61"/>
      <c r="D257" s="61"/>
      <c r="E257" s="61"/>
      <c r="F257" s="61"/>
      <c r="G257" s="112"/>
      <c r="H257" s="61"/>
      <c r="I257" s="61"/>
      <c r="J257" s="61"/>
      <c r="K257" s="61"/>
      <c r="L257" s="112"/>
      <c r="M257" s="61"/>
      <c r="N257" s="61"/>
      <c r="O257" s="61"/>
      <c r="P257" s="61"/>
      <c r="Q257" s="112"/>
      <c r="R257" s="61"/>
      <c r="S257" s="61"/>
      <c r="T257" s="61"/>
      <c r="U257" s="61"/>
      <c r="V257" s="112"/>
      <c r="W257" s="61"/>
      <c r="X257" s="61"/>
      <c r="Y257" s="61"/>
      <c r="Z257" s="61"/>
      <c r="AA257" s="112"/>
      <c r="AB257" s="61"/>
      <c r="AC257" s="61"/>
      <c r="AD257" s="61"/>
      <c r="AE257" s="61"/>
      <c r="AF257" s="112"/>
      <c r="AG257" s="61"/>
      <c r="AH257" s="61"/>
      <c r="AI257" s="61"/>
      <c r="AJ257" s="61"/>
      <c r="AK257" s="1113">
        <f>AK230+SUM(AK240:AK241)+SUM(AK251:AK252)+AK254+AK255</f>
        <v>0</v>
      </c>
      <c r="AL257" s="371"/>
      <c r="AM257" s="371"/>
      <c r="AN257" s="371"/>
      <c r="AO257" s="1131"/>
      <c r="AP257" s="1131">
        <f>AP230+SUM(AP240:AP241)+SUM(AP251:AP252)+AP254+AP255</f>
        <v>0</v>
      </c>
      <c r="AQ257" s="371"/>
      <c r="AR257" s="371"/>
      <c r="AS257" s="371"/>
      <c r="AT257" s="371"/>
      <c r="AU257" s="1113">
        <f>AU230+SUM(AU240:AU241)+SUM(AU251:AU252)+AU254+AU255</f>
        <v>0</v>
      </c>
      <c r="AV257" s="371"/>
      <c r="AW257" s="371"/>
      <c r="AX257" s="371"/>
      <c r="AY257" s="371"/>
      <c r="AZ257" s="1113">
        <f>AZ230+SUM(AZ240:AZ241)+SUM(AZ251:AZ252)+AZ254+AZ255</f>
        <v>0</v>
      </c>
      <c r="BA257" s="371"/>
      <c r="BB257" s="371"/>
      <c r="BC257" s="371"/>
      <c r="BD257" s="371"/>
      <c r="BE257" s="2877">
        <f>BE230+SUM(BE240:BE241)+SUM(BE251:BE252)+BE254+BE255</f>
        <v>0</v>
      </c>
      <c r="BF257" s="2877"/>
      <c r="BG257" s="371"/>
      <c r="BH257" s="371"/>
      <c r="BI257" s="1131"/>
      <c r="BJ257" s="1131">
        <f>BJ230+SUM(BJ240:BJ241)+SUM(BJ251:BJ252)+BJ254+BJ255</f>
        <v>0</v>
      </c>
      <c r="BK257" s="2877"/>
      <c r="BL257" s="371"/>
      <c r="BM257" s="371"/>
      <c r="BN257" s="1131"/>
      <c r="BO257" s="1131">
        <f t="shared" ref="BO257:CB257" si="207">BO230+SUM(BO240:BO241)+SUM(BO251:BO252)+BO254+BO255</f>
        <v>0</v>
      </c>
      <c r="BP257" s="2877"/>
      <c r="BQ257" s="371"/>
      <c r="BR257" s="371"/>
      <c r="BS257" s="1131"/>
      <c r="BT257" s="1131">
        <f>BT230+SUM(BT240:BT241)+SUM(BT251:BT252)+BT254+BT255</f>
        <v>0</v>
      </c>
      <c r="BU257" s="1113">
        <f t="shared" si="207"/>
        <v>0</v>
      </c>
      <c r="BV257" s="1113">
        <f t="shared" si="207"/>
        <v>0</v>
      </c>
      <c r="BW257" s="1113">
        <f t="shared" si="207"/>
        <v>0</v>
      </c>
      <c r="BX257" s="1113">
        <f t="shared" si="207"/>
        <v>0</v>
      </c>
      <c r="BY257" s="1113">
        <f t="shared" si="207"/>
        <v>0</v>
      </c>
      <c r="BZ257" s="1113">
        <f t="shared" si="207"/>
        <v>0</v>
      </c>
      <c r="CA257" s="1113">
        <f t="shared" si="207"/>
        <v>0</v>
      </c>
      <c r="CB257" s="1113">
        <f t="shared" si="207"/>
        <v>0</v>
      </c>
    </row>
    <row r="258" spans="1:80" outlineLevel="1">
      <c r="A258" s="2" t="s">
        <v>763</v>
      </c>
      <c r="B258" s="2"/>
      <c r="C258" s="61"/>
      <c r="D258" s="61"/>
      <c r="E258" s="61"/>
      <c r="F258" s="61"/>
      <c r="G258" s="112"/>
      <c r="H258" s="61"/>
      <c r="I258" s="61"/>
      <c r="J258" s="61"/>
      <c r="K258" s="61"/>
      <c r="L258" s="112"/>
      <c r="M258" s="61"/>
      <c r="N258" s="61"/>
      <c r="O258" s="61"/>
      <c r="P258" s="61"/>
      <c r="Q258" s="112"/>
      <c r="R258" s="61"/>
      <c r="S258" s="61"/>
      <c r="T258" s="61"/>
      <c r="U258" s="61"/>
      <c r="V258" s="112"/>
      <c r="W258" s="61"/>
      <c r="X258" s="61"/>
      <c r="Y258" s="61"/>
      <c r="Z258" s="61"/>
      <c r="AA258" s="112"/>
      <c r="AB258" s="61"/>
      <c r="AC258" s="61"/>
      <c r="AD258" s="61"/>
      <c r="AE258" s="61"/>
      <c r="AF258" s="112"/>
      <c r="AG258" s="61"/>
      <c r="AH258" s="61"/>
      <c r="AI258" s="61"/>
      <c r="AJ258" s="61"/>
      <c r="AK258" s="1138"/>
      <c r="AL258" s="1139"/>
      <c r="AM258" s="1139"/>
      <c r="AN258" s="1139"/>
      <c r="AO258" s="1140"/>
      <c r="AP258" s="1140"/>
      <c r="AQ258" s="1139"/>
      <c r="AR258" s="1139"/>
      <c r="AS258" s="1139"/>
      <c r="AT258" s="1139"/>
      <c r="AU258" s="1138"/>
      <c r="AV258" s="1139"/>
      <c r="AW258" s="1139"/>
      <c r="AX258" s="1139"/>
      <c r="AY258" s="1139"/>
      <c r="AZ258" s="1138"/>
      <c r="BA258" s="1139"/>
      <c r="BB258" s="1139"/>
      <c r="BC258" s="1139"/>
      <c r="BD258" s="1139"/>
      <c r="BE258" s="2879"/>
      <c r="BF258" s="2879"/>
      <c r="BG258" s="1139"/>
      <c r="BH258" s="1139"/>
      <c r="BI258" s="1140"/>
      <c r="BJ258" s="1140"/>
      <c r="BK258" s="2879"/>
      <c r="BL258" s="1139"/>
      <c r="BM258" s="1139"/>
      <c r="BN258" s="1140"/>
      <c r="BO258" s="1140"/>
      <c r="BP258" s="2879"/>
      <c r="BQ258" s="1139"/>
      <c r="BR258" s="1139"/>
      <c r="BS258" s="1140"/>
      <c r="BT258" s="1140"/>
      <c r="BU258" s="1138"/>
      <c r="BV258" s="1138"/>
      <c r="BW258" s="1138"/>
      <c r="BX258" s="1138"/>
      <c r="BY258" s="1138"/>
      <c r="BZ258" s="1138"/>
      <c r="CA258" s="1138"/>
      <c r="CB258" s="1138"/>
    </row>
    <row r="259" spans="1:80">
      <c r="A259" s="2"/>
      <c r="B259" s="2"/>
      <c r="C259" s="61"/>
      <c r="D259" s="61"/>
      <c r="E259" s="61"/>
      <c r="F259" s="61"/>
      <c r="G259" s="112"/>
      <c r="H259" s="61"/>
      <c r="I259" s="61"/>
      <c r="J259" s="61"/>
      <c r="K259" s="61"/>
      <c r="L259" s="112"/>
      <c r="M259" s="61"/>
      <c r="N259" s="61"/>
      <c r="O259" s="61"/>
      <c r="P259" s="61"/>
      <c r="Q259" s="112"/>
      <c r="R259" s="61"/>
      <c r="S259" s="61"/>
      <c r="T259" s="61"/>
      <c r="U259" s="61"/>
      <c r="V259" s="112"/>
      <c r="W259" s="61"/>
      <c r="X259" s="61"/>
      <c r="Y259" s="61"/>
      <c r="Z259" s="61"/>
      <c r="AA259" s="112"/>
      <c r="AB259" s="61"/>
      <c r="AC259" s="61"/>
      <c r="AD259" s="61"/>
      <c r="AE259" s="61"/>
      <c r="AF259" s="112"/>
      <c r="AG259" s="61"/>
      <c r="AH259" s="61"/>
      <c r="AI259" s="61"/>
      <c r="AJ259" s="61"/>
      <c r="AK259" s="112"/>
      <c r="AL259" s="61"/>
      <c r="AM259" s="61"/>
      <c r="AN259" s="61"/>
      <c r="AO259" s="60"/>
      <c r="AP259" s="60"/>
      <c r="AQ259" s="61"/>
      <c r="AR259" s="61"/>
      <c r="AS259" s="61"/>
      <c r="AT259" s="61"/>
      <c r="AU259" s="112"/>
      <c r="AV259" s="61"/>
      <c r="AW259" s="61"/>
      <c r="AX259" s="61"/>
      <c r="AY259" s="61"/>
      <c r="AZ259" s="112"/>
      <c r="BA259" s="61"/>
      <c r="BB259" s="61"/>
      <c r="BC259" s="61"/>
      <c r="BD259" s="61"/>
      <c r="BE259" s="59"/>
      <c r="BF259" s="59"/>
      <c r="BG259" s="61"/>
      <c r="BH259" s="61"/>
      <c r="BI259" s="60"/>
      <c r="BJ259" s="60"/>
      <c r="BK259" s="59"/>
      <c r="BL259" s="61"/>
      <c r="BM259" s="61"/>
      <c r="BN259" s="60"/>
      <c r="BO259" s="60"/>
      <c r="BP259" s="59"/>
      <c r="BQ259" s="61"/>
      <c r="BR259" s="61"/>
      <c r="BS259" s="60"/>
      <c r="BT259" s="60"/>
      <c r="BU259" s="112"/>
      <c r="BV259" s="112"/>
      <c r="BW259" s="112"/>
      <c r="BX259" s="112"/>
      <c r="BY259" s="112"/>
      <c r="BZ259" s="112"/>
      <c r="CA259" s="112"/>
      <c r="CB259" s="112"/>
    </row>
    <row r="260" spans="1:80">
      <c r="A260" s="69"/>
      <c r="B260" s="69"/>
      <c r="C260" s="61"/>
      <c r="D260" s="61"/>
      <c r="E260" s="61"/>
      <c r="F260" s="61"/>
      <c r="G260" s="112"/>
      <c r="H260" s="61"/>
      <c r="I260" s="61"/>
      <c r="J260" s="61"/>
      <c r="K260" s="61"/>
      <c r="L260" s="112"/>
      <c r="M260" s="61"/>
      <c r="N260" s="61"/>
      <c r="O260" s="61"/>
      <c r="P260" s="61"/>
      <c r="Q260" s="112"/>
      <c r="R260" s="61"/>
      <c r="S260" s="61"/>
      <c r="T260" s="61"/>
      <c r="U260" s="61"/>
      <c r="V260" s="112"/>
      <c r="W260" s="61"/>
      <c r="X260" s="61"/>
      <c r="Y260" s="61"/>
      <c r="Z260" s="61"/>
      <c r="AA260" s="112"/>
      <c r="AB260" s="61"/>
      <c r="AC260" s="61"/>
      <c r="AD260" s="61"/>
      <c r="AE260" s="61"/>
      <c r="AF260" s="112"/>
      <c r="AG260" s="61"/>
      <c r="AH260" s="61"/>
      <c r="AI260" s="61"/>
      <c r="AJ260" s="61"/>
      <c r="AK260" s="112"/>
      <c r="AL260" s="61"/>
      <c r="AM260" s="61"/>
      <c r="AN260" s="61"/>
      <c r="AO260" s="60"/>
      <c r="AP260" s="60"/>
      <c r="AQ260" s="61"/>
      <c r="AR260" s="61"/>
      <c r="AS260" s="61"/>
      <c r="AT260" s="61"/>
      <c r="AU260" s="112"/>
      <c r="AV260" s="61"/>
      <c r="AW260" s="61"/>
      <c r="AX260" s="61"/>
      <c r="AY260" s="61"/>
      <c r="AZ260" s="112"/>
      <c r="BA260" s="61"/>
      <c r="BB260" s="61"/>
      <c r="BC260" s="61"/>
      <c r="BD260" s="61"/>
      <c r="BE260" s="59"/>
      <c r="BF260" s="59"/>
      <c r="BG260" s="61"/>
      <c r="BH260" s="61"/>
      <c r="BI260" s="60"/>
      <c r="BJ260" s="60"/>
      <c r="BK260" s="59"/>
      <c r="BL260" s="61"/>
      <c r="BM260" s="61"/>
      <c r="BN260" s="60"/>
      <c r="BO260" s="60"/>
      <c r="BP260" s="59"/>
      <c r="BQ260" s="61"/>
      <c r="BR260" s="61"/>
      <c r="BS260" s="60"/>
      <c r="BT260" s="60"/>
      <c r="BU260" s="112"/>
      <c r="BV260" s="112"/>
      <c r="BW260" s="112"/>
      <c r="BX260" s="112"/>
      <c r="BY260" s="112"/>
      <c r="BZ260" s="112"/>
      <c r="CA260" s="112"/>
      <c r="CB260" s="112"/>
    </row>
    <row r="261" spans="1:80">
      <c r="A261" s="1" t="s">
        <v>1492</v>
      </c>
      <c r="B261" s="1"/>
      <c r="C261" s="1072">
        <f>C39+C57+C87+C100+C144</f>
        <v>53.93207781289999</v>
      </c>
      <c r="D261" s="1072">
        <f t="shared" ref="D261:AI261" si="208">D39+D57+D70+D87+D100+D144</f>
        <v>55.916156906499992</v>
      </c>
      <c r="E261" s="1072">
        <f t="shared" si="208"/>
        <v>59.920270751121002</v>
      </c>
      <c r="F261" s="1072">
        <f t="shared" si="208"/>
        <v>57.894980385901988</v>
      </c>
      <c r="G261" s="1073">
        <f t="shared" si="208"/>
        <v>227.66348585642299</v>
      </c>
      <c r="H261" s="1072">
        <f t="shared" si="208"/>
        <v>61.696792846589005</v>
      </c>
      <c r="I261" s="1072">
        <f t="shared" si="208"/>
        <v>61.080976366041</v>
      </c>
      <c r="J261" s="1072">
        <f t="shared" si="208"/>
        <v>55.155929319199998</v>
      </c>
      <c r="K261" s="1072">
        <f t="shared" si="208"/>
        <v>56.340316142800006</v>
      </c>
      <c r="L261" s="1073">
        <f t="shared" si="208"/>
        <v>231.49701467463004</v>
      </c>
      <c r="M261" s="1072">
        <f t="shared" si="208"/>
        <v>70.773699149099997</v>
      </c>
      <c r="N261" s="1072">
        <f t="shared" si="208"/>
        <v>67.590030799299996</v>
      </c>
      <c r="O261" s="1072">
        <f t="shared" si="208"/>
        <v>66.893605301699992</v>
      </c>
      <c r="P261" s="1072">
        <f t="shared" si="208"/>
        <v>63.678916219199998</v>
      </c>
      <c r="Q261" s="1073">
        <f t="shared" si="208"/>
        <v>268.93625146929998</v>
      </c>
      <c r="R261" s="1072">
        <f t="shared" si="208"/>
        <v>62.726541725799997</v>
      </c>
      <c r="S261" s="1072">
        <f t="shared" si="208"/>
        <v>61.966048290700002</v>
      </c>
      <c r="T261" s="1072">
        <f t="shared" si="208"/>
        <v>61.172175034200002</v>
      </c>
      <c r="U261" s="1072">
        <f t="shared" si="208"/>
        <v>58.945340559200005</v>
      </c>
      <c r="V261" s="1073">
        <f t="shared" si="208"/>
        <v>244.81010560990001</v>
      </c>
      <c r="W261" s="1072">
        <f t="shared" si="208"/>
        <v>52.972508360900001</v>
      </c>
      <c r="X261" s="1072">
        <f t="shared" si="208"/>
        <v>52.077859976979994</v>
      </c>
      <c r="Y261" s="1072">
        <f t="shared" si="208"/>
        <v>49.731231172539999</v>
      </c>
      <c r="Z261" s="1072">
        <f t="shared" si="208"/>
        <v>52.344416589826999</v>
      </c>
      <c r="AA261" s="1073">
        <f t="shared" si="208"/>
        <v>207.126016100247</v>
      </c>
      <c r="AB261" s="1072">
        <f t="shared" si="208"/>
        <v>54.590051486182006</v>
      </c>
      <c r="AC261" s="1072">
        <f t="shared" si="208"/>
        <v>53.302020135300005</v>
      </c>
      <c r="AD261" s="1072">
        <f t="shared" si="208"/>
        <v>52.556879959899995</v>
      </c>
      <c r="AE261" s="1072">
        <f t="shared" si="208"/>
        <v>48.93695570717</v>
      </c>
      <c r="AF261" s="1073">
        <f t="shared" si="208"/>
        <v>209.38590728855198</v>
      </c>
      <c r="AG261" s="1072">
        <f t="shared" si="208"/>
        <v>51.038849456100664</v>
      </c>
      <c r="AH261" s="1072">
        <f t="shared" si="208"/>
        <v>50.592916820159601</v>
      </c>
      <c r="AI261" s="1072">
        <f t="shared" si="208"/>
        <v>51.631248188682449</v>
      </c>
      <c r="AJ261" s="1072">
        <f t="shared" ref="AJ261:BJ261" si="209">AJ39+AJ57+AJ70+AJ87+AJ100+AJ144</f>
        <v>48.891408287747325</v>
      </c>
      <c r="AK261" s="1073">
        <f t="shared" si="209"/>
        <v>202.15442275269001</v>
      </c>
      <c r="AL261" s="1072">
        <f t="shared" si="209"/>
        <v>50.541613294157962</v>
      </c>
      <c r="AM261" s="1072">
        <f t="shared" si="209"/>
        <v>50.700479322365645</v>
      </c>
      <c r="AN261" s="1072">
        <f t="shared" si="209"/>
        <v>51.696584102979585</v>
      </c>
      <c r="AO261" s="1072">
        <f t="shared" si="209"/>
        <v>48.593157828578811</v>
      </c>
      <c r="AP261" s="1073">
        <f t="shared" si="209"/>
        <v>201.53183454808197</v>
      </c>
      <c r="AQ261" s="1072">
        <f t="shared" si="209"/>
        <v>52.01816342012944</v>
      </c>
      <c r="AR261" s="1072">
        <f t="shared" si="209"/>
        <v>51.793270498561199</v>
      </c>
      <c r="AS261" s="1072">
        <f t="shared" si="209"/>
        <v>51.354564029805076</v>
      </c>
      <c r="AT261" s="1072">
        <f t="shared" si="209"/>
        <v>49.171241947218434</v>
      </c>
      <c r="AU261" s="1073">
        <f t="shared" si="209"/>
        <v>204.33723989571413</v>
      </c>
      <c r="AV261" s="1072">
        <f t="shared" si="209"/>
        <v>50.213028399728074</v>
      </c>
      <c r="AW261" s="1072">
        <f t="shared" si="209"/>
        <v>49.170097086418835</v>
      </c>
      <c r="AX261" s="1072">
        <f t="shared" si="209"/>
        <v>48.11573636888324</v>
      </c>
      <c r="AY261" s="1072">
        <f t="shared" si="209"/>
        <v>45.563732221377578</v>
      </c>
      <c r="AZ261" s="1073">
        <f t="shared" si="209"/>
        <v>193.06259407640772</v>
      </c>
      <c r="BA261" s="1072">
        <f t="shared" si="209"/>
        <v>47.232050115970821</v>
      </c>
      <c r="BB261" s="1072">
        <f t="shared" si="209"/>
        <v>46.433149937286871</v>
      </c>
      <c r="BC261" s="1072">
        <f t="shared" si="209"/>
        <v>46.845059963711549</v>
      </c>
      <c r="BD261" s="1072">
        <f t="shared" si="209"/>
        <v>44.797550546880942</v>
      </c>
      <c r="BE261" s="2830">
        <f t="shared" si="209"/>
        <v>185.30781056385021</v>
      </c>
      <c r="BF261" s="1072">
        <f t="shared" si="209"/>
        <v>46.897518519312186</v>
      </c>
      <c r="BG261" s="1072">
        <f t="shared" si="209"/>
        <v>46.613545690569168</v>
      </c>
      <c r="BH261" s="1072">
        <f t="shared" si="209"/>
        <v>46.059972586998185</v>
      </c>
      <c r="BI261" s="1072">
        <f t="shared" si="209"/>
        <v>43.879789908854342</v>
      </c>
      <c r="BJ261" s="2830">
        <f t="shared" si="209"/>
        <v>183.45082670573387</v>
      </c>
      <c r="BK261" s="1072">
        <f t="shared" ref="BK261:BT261" si="210">BK39+BK57+BK70+BK87+BK100+BK144</f>
        <v>44.743912260964521</v>
      </c>
      <c r="BL261" s="1072">
        <f t="shared" si="210"/>
        <v>44.950822463747954</v>
      </c>
      <c r="BM261" s="1072">
        <f t="shared" si="210"/>
        <v>44.38839773874669</v>
      </c>
      <c r="BN261" s="1072">
        <f t="shared" si="210"/>
        <v>42.54355010595981</v>
      </c>
      <c r="BO261" s="2830">
        <f t="shared" si="210"/>
        <v>176.62668256941899</v>
      </c>
      <c r="BP261" s="1072">
        <f t="shared" si="210"/>
        <v>45.155443618860488</v>
      </c>
      <c r="BQ261" s="1072">
        <f t="shared" si="210"/>
        <v>44.68633242476421</v>
      </c>
      <c r="BR261" s="1072">
        <f t="shared" si="210"/>
        <v>43.665490359288214</v>
      </c>
      <c r="BS261" s="1072">
        <f t="shared" si="210"/>
        <v>43.834294445747197</v>
      </c>
      <c r="BT261" s="2830">
        <f t="shared" si="210"/>
        <v>175.75886874866012</v>
      </c>
      <c r="BU261" s="1073">
        <f t="shared" ref="BU261:CB261" si="211">BU39+BU57+BU70+BU87+BU100+BU144+BU257</f>
        <v>169.89076911298753</v>
      </c>
      <c r="BV261" s="1073">
        <f t="shared" si="211"/>
        <v>169.97543840383079</v>
      </c>
      <c r="BW261" s="1073">
        <f t="shared" si="211"/>
        <v>170.0824692861537</v>
      </c>
      <c r="BX261" s="1073">
        <f t="shared" si="211"/>
        <v>161.59408187378131</v>
      </c>
      <c r="BY261" s="1073">
        <f t="shared" si="211"/>
        <v>153.63496115283272</v>
      </c>
      <c r="BZ261" s="1073">
        <f t="shared" si="211"/>
        <v>156.81078095039706</v>
      </c>
      <c r="CA261" s="1073">
        <f t="shared" si="211"/>
        <v>160.04890772908325</v>
      </c>
      <c r="CB261" s="1073">
        <f t="shared" si="211"/>
        <v>163.35057674378027</v>
      </c>
    </row>
    <row r="262" spans="1:80">
      <c r="A262" s="2"/>
      <c r="B262" s="2"/>
      <c r="C262" s="1072"/>
      <c r="D262" s="1072"/>
      <c r="E262" s="1072"/>
      <c r="F262" s="1072"/>
      <c r="G262" s="1073"/>
      <c r="H262" s="1072"/>
      <c r="I262" s="1072"/>
      <c r="J262" s="1072"/>
      <c r="K262" s="1072"/>
      <c r="L262" s="1073"/>
      <c r="M262" s="1072"/>
      <c r="N262" s="1072"/>
      <c r="O262" s="1072"/>
      <c r="P262" s="1072"/>
      <c r="Q262" s="1073"/>
      <c r="R262" s="1072"/>
      <c r="S262" s="1072"/>
      <c r="T262" s="1072"/>
      <c r="U262" s="1072"/>
      <c r="V262" s="1073"/>
      <c r="W262" s="1072"/>
      <c r="X262" s="1072"/>
      <c r="Y262" s="1072"/>
      <c r="Z262" s="1072"/>
      <c r="AA262" s="1073"/>
      <c r="AB262" s="1072"/>
      <c r="AC262" s="1072"/>
      <c r="AD262" s="1072"/>
      <c r="AE262" s="1072"/>
      <c r="AF262" s="1073"/>
      <c r="AG262" s="1072"/>
      <c r="AH262" s="1072"/>
      <c r="AI262" s="1072"/>
      <c r="AJ262" s="1072"/>
      <c r="AK262" s="1073"/>
      <c r="AL262" s="1072"/>
      <c r="AM262" s="1072"/>
      <c r="AN262" s="1072"/>
      <c r="AO262" s="1072"/>
      <c r="AP262" s="1073"/>
      <c r="AQ262" s="402"/>
      <c r="AR262" s="402"/>
      <c r="AS262" s="402"/>
      <c r="AT262" s="402"/>
      <c r="AU262" s="1073"/>
      <c r="AV262" s="402"/>
      <c r="AW262" s="402"/>
      <c r="AX262" s="402"/>
      <c r="AY262" s="402"/>
      <c r="AZ262" s="1073"/>
      <c r="BA262" s="1072"/>
      <c r="BB262" s="1072"/>
      <c r="BC262" s="1072"/>
      <c r="BD262" s="1072"/>
      <c r="BE262" s="2830"/>
      <c r="BF262" s="2830"/>
      <c r="BG262" s="402"/>
      <c r="BH262" s="402"/>
      <c r="BI262" s="1121"/>
      <c r="BJ262" s="1121"/>
      <c r="BK262" s="2830"/>
      <c r="BL262" s="402"/>
      <c r="BM262" s="402"/>
      <c r="BN262" s="1121"/>
      <c r="BO262" s="1121"/>
      <c r="BP262" s="2830"/>
      <c r="BQ262" s="402"/>
      <c r="BR262" s="402"/>
      <c r="BS262" s="1121"/>
      <c r="BT262" s="1121"/>
      <c r="BU262" s="1073"/>
      <c r="BV262" s="1073"/>
      <c r="BW262" s="1073"/>
      <c r="BX262" s="1073"/>
      <c r="BY262" s="1073"/>
      <c r="BZ262" s="1073"/>
      <c r="CA262" s="1073"/>
      <c r="CB262" s="1073"/>
    </row>
    <row r="263" spans="1:80">
      <c r="A263" s="2"/>
      <c r="B263" s="2"/>
      <c r="C263" s="61"/>
      <c r="D263" s="61"/>
      <c r="E263" s="61"/>
      <c r="F263" s="61"/>
      <c r="G263" s="112"/>
      <c r="H263" s="61"/>
      <c r="I263" s="61"/>
      <c r="J263" s="61"/>
      <c r="K263" s="61"/>
      <c r="L263" s="112"/>
      <c r="M263" s="61"/>
      <c r="N263" s="61"/>
      <c r="O263" s="61"/>
      <c r="P263" s="61"/>
      <c r="Q263" s="112"/>
      <c r="R263" s="61"/>
      <c r="S263" s="61"/>
      <c r="T263" s="61"/>
      <c r="U263" s="61"/>
      <c r="V263" s="112"/>
      <c r="W263" s="61"/>
      <c r="X263" s="61"/>
      <c r="Y263" s="61"/>
      <c r="Z263" s="61"/>
      <c r="AA263" s="112"/>
      <c r="AB263" s="61"/>
      <c r="AC263" s="61"/>
      <c r="AD263" s="61"/>
      <c r="AE263" s="61"/>
      <c r="AF263" s="112"/>
      <c r="AG263" s="61"/>
      <c r="AH263" s="61"/>
      <c r="AI263" s="61"/>
      <c r="AJ263" s="61"/>
      <c r="AK263" s="112"/>
      <c r="AL263" s="61"/>
      <c r="AM263" s="61"/>
      <c r="AN263" s="61"/>
      <c r="AO263" s="61"/>
      <c r="AP263" s="112"/>
      <c r="AQ263" s="61"/>
      <c r="AR263" s="61"/>
      <c r="AS263" s="61"/>
      <c r="AT263" s="61"/>
      <c r="AU263" s="112"/>
      <c r="AV263" s="61"/>
      <c r="AW263" s="61"/>
      <c r="AX263" s="61"/>
      <c r="AY263" s="61"/>
      <c r="AZ263" s="112"/>
      <c r="BA263" s="2"/>
      <c r="BB263" s="2"/>
      <c r="BC263" s="2"/>
      <c r="BD263" s="2"/>
      <c r="BE263" s="59"/>
      <c r="BF263" s="59"/>
      <c r="BG263" s="61"/>
      <c r="BH263" s="61"/>
      <c r="BI263" s="60"/>
      <c r="BJ263" s="60"/>
      <c r="BK263" s="59"/>
      <c r="BL263" s="61"/>
      <c r="BM263" s="61"/>
      <c r="BN263" s="60"/>
      <c r="BO263" s="60"/>
      <c r="BP263" s="59"/>
      <c r="BQ263" s="61"/>
      <c r="BR263" s="61"/>
      <c r="BS263" s="60"/>
      <c r="BT263" s="60"/>
      <c r="BU263" s="112"/>
      <c r="BV263" s="112"/>
      <c r="BW263" s="112"/>
      <c r="BX263" s="112"/>
      <c r="BY263" s="112"/>
      <c r="BZ263" s="112"/>
      <c r="CA263" s="112"/>
      <c r="CB263" s="112"/>
    </row>
    <row r="264" spans="1:80">
      <c r="A264" s="69" t="s">
        <v>127</v>
      </c>
      <c r="B264" s="69"/>
      <c r="C264" s="2"/>
      <c r="D264" s="2"/>
      <c r="E264" s="2"/>
      <c r="F264" s="2"/>
      <c r="G264" s="112"/>
      <c r="H264" s="2"/>
      <c r="I264" s="2"/>
      <c r="J264" s="2"/>
      <c r="K264" s="2"/>
      <c r="L264" s="112"/>
      <c r="M264" s="2"/>
      <c r="N264" s="2"/>
      <c r="O264" s="2"/>
      <c r="P264" s="2"/>
      <c r="Q264" s="112"/>
      <c r="R264" s="2"/>
      <c r="S264" s="2"/>
      <c r="T264" s="2"/>
      <c r="U264" s="2"/>
      <c r="V264" s="112"/>
      <c r="W264" s="2"/>
      <c r="X264" s="2"/>
      <c r="Y264" s="2"/>
      <c r="Z264" s="2"/>
      <c r="AA264" s="112"/>
      <c r="AB264" s="2"/>
      <c r="AC264" s="2"/>
      <c r="AD264" s="2"/>
      <c r="AE264" s="2"/>
      <c r="AF264" s="112"/>
      <c r="AG264" s="2"/>
      <c r="AH264" s="2"/>
      <c r="AI264" s="2"/>
      <c r="AJ264" s="2"/>
      <c r="AK264" s="112"/>
      <c r="AL264" s="2"/>
      <c r="AM264" s="2"/>
      <c r="AN264" s="2"/>
      <c r="AO264" s="2"/>
      <c r="AP264" s="112"/>
      <c r="AQ264" s="61"/>
      <c r="AR264" s="61"/>
      <c r="AS264" s="61"/>
      <c r="AT264" s="61"/>
      <c r="AU264" s="112"/>
      <c r="AV264" s="61"/>
      <c r="AW264" s="61"/>
      <c r="AX264" s="61"/>
      <c r="AY264" s="61"/>
      <c r="AZ264" s="112"/>
      <c r="BA264" s="2"/>
      <c r="BB264" s="2"/>
      <c r="BC264" s="2"/>
      <c r="BD264" s="2"/>
      <c r="BE264" s="59"/>
      <c r="BF264" s="59"/>
      <c r="BG264" s="61"/>
      <c r="BH264" s="61"/>
      <c r="BI264" s="60"/>
      <c r="BJ264" s="60"/>
      <c r="BK264" s="59"/>
      <c r="BL264" s="61"/>
      <c r="BM264" s="61"/>
      <c r="BN264" s="60"/>
      <c r="BO264" s="60"/>
      <c r="BP264" s="59"/>
      <c r="BQ264" s="61"/>
      <c r="BR264" s="61"/>
      <c r="BS264" s="60"/>
      <c r="BT264" s="60"/>
      <c r="BU264" s="112"/>
      <c r="BV264" s="112"/>
      <c r="BW264" s="112"/>
      <c r="BX264" s="112"/>
      <c r="BY264" s="112"/>
      <c r="BZ264" s="112"/>
      <c r="CA264" s="112"/>
      <c r="CB264" s="112"/>
    </row>
    <row r="265" spans="1:80">
      <c r="A265" s="1" t="s">
        <v>773</v>
      </c>
      <c r="B265" s="1"/>
      <c r="C265" s="2"/>
      <c r="D265" s="2"/>
      <c r="E265" s="2"/>
      <c r="F265" s="2"/>
      <c r="G265" s="112"/>
      <c r="H265" s="2"/>
      <c r="I265" s="2"/>
      <c r="J265" s="2"/>
      <c r="K265" s="2"/>
      <c r="L265" s="112"/>
      <c r="M265" s="2"/>
      <c r="N265" s="2"/>
      <c r="O265" s="2"/>
      <c r="P265" s="2"/>
      <c r="Q265" s="112"/>
      <c r="R265" s="2"/>
      <c r="S265" s="2"/>
      <c r="T265" s="2"/>
      <c r="U265" s="2"/>
      <c r="V265" s="112"/>
      <c r="W265" s="2"/>
      <c r="X265" s="2"/>
      <c r="Y265" s="2"/>
      <c r="Z265" s="2"/>
      <c r="AA265" s="112"/>
      <c r="AB265" s="2"/>
      <c r="AC265" s="2"/>
      <c r="AD265" s="2"/>
      <c r="AE265" s="2"/>
      <c r="AF265" s="112"/>
      <c r="AG265" s="2"/>
      <c r="AH265" s="2"/>
      <c r="AI265" s="2"/>
      <c r="AJ265" s="2"/>
      <c r="AK265" s="112"/>
      <c r="AL265" s="2"/>
      <c r="AM265" s="2"/>
      <c r="AN265" s="2"/>
      <c r="AO265" s="2"/>
      <c r="AP265" s="112"/>
      <c r="AQ265" s="61"/>
      <c r="AR265" s="61"/>
      <c r="AS265" s="61"/>
      <c r="AT265" s="61"/>
      <c r="AU265" s="112"/>
      <c r="AV265" s="61"/>
      <c r="AW265" s="61"/>
      <c r="AX265" s="61"/>
      <c r="AY265" s="61"/>
      <c r="AZ265" s="112"/>
      <c r="BA265" s="2"/>
      <c r="BB265" s="2"/>
      <c r="BC265" s="2"/>
      <c r="BD265" s="2"/>
      <c r="BE265" s="59"/>
      <c r="BF265" s="59"/>
      <c r="BG265" s="61"/>
      <c r="BH265" s="61"/>
      <c r="BI265" s="60"/>
      <c r="BJ265" s="60"/>
      <c r="BK265" s="59"/>
      <c r="BL265" s="61"/>
      <c r="BM265" s="61"/>
      <c r="BN265" s="60"/>
      <c r="BO265" s="60"/>
      <c r="BP265" s="59"/>
      <c r="BQ265" s="61"/>
      <c r="BR265" s="61"/>
      <c r="BS265" s="60"/>
      <c r="BT265" s="60"/>
      <c r="BU265" s="112"/>
      <c r="BV265" s="112"/>
      <c r="BW265" s="112"/>
      <c r="BX265" s="112"/>
      <c r="BY265" s="112"/>
      <c r="BZ265" s="112"/>
      <c r="CA265" s="112"/>
      <c r="CB265" s="112"/>
    </row>
    <row r="266" spans="1:80">
      <c r="A266" s="2" t="s">
        <v>604</v>
      </c>
      <c r="B266" s="2"/>
      <c r="C266" s="1072">
        <f>BYD!D900</f>
        <v>140.20400000000001</v>
      </c>
      <c r="D266" s="1072">
        <f>BYD!E900</f>
        <v>149.96499999999997</v>
      </c>
      <c r="E266" s="1072">
        <f>BYD!F900</f>
        <v>168.70699999999999</v>
      </c>
      <c r="F266" s="1072">
        <f>BYD!G900</f>
        <v>164.524</v>
      </c>
      <c r="G266" s="1073">
        <f>BYD!H900</f>
        <v>623.4</v>
      </c>
      <c r="H266" s="1072">
        <f>BYD!I900</f>
        <v>162.054</v>
      </c>
      <c r="I266" s="1072">
        <f>BYD!J900</f>
        <v>169.596</v>
      </c>
      <c r="J266" s="1072">
        <f>BYD!K900</f>
        <v>190.10599999999999</v>
      </c>
      <c r="K266" s="1072">
        <f>BYD!L900</f>
        <v>175.209</v>
      </c>
      <c r="L266" s="1073">
        <f>BYD!M900</f>
        <v>696.96499999999992</v>
      </c>
      <c r="M266" s="1072">
        <f>BYD!N900</f>
        <v>174.256</v>
      </c>
      <c r="N266" s="1072">
        <f>BYD!O900</f>
        <v>172.85499999999999</v>
      </c>
      <c r="O266" s="1072">
        <f>BYD!P900</f>
        <v>215.48</v>
      </c>
      <c r="P266" s="1072">
        <f>BYD!Q900</f>
        <v>172.554</v>
      </c>
      <c r="Q266" s="1073">
        <f>BYD!R900</f>
        <v>735.14499999999998</v>
      </c>
      <c r="R266" s="1072">
        <f>BYD!S900</f>
        <v>187.26900000000001</v>
      </c>
      <c r="S266" s="1072">
        <f>BYD!T900</f>
        <v>177.96600000000001</v>
      </c>
      <c r="T266" s="1072">
        <f>BYD!U900</f>
        <v>203.88499999999999</v>
      </c>
      <c r="U266" s="1072">
        <f>BYD!V900</f>
        <v>179.529</v>
      </c>
      <c r="V266" s="1073">
        <f>BYD!W900</f>
        <v>748.649</v>
      </c>
      <c r="W266" s="1072">
        <f>BYD!X900</f>
        <v>178.636</v>
      </c>
      <c r="X266" s="1072">
        <f>BYD!Y900</f>
        <v>178.52199999999999</v>
      </c>
      <c r="Y266" s="1072">
        <f>BYD!Z900</f>
        <v>207.352</v>
      </c>
      <c r="Z266" s="1072">
        <f>BYD!AA900</f>
        <v>169.79599999999999</v>
      </c>
      <c r="AA266" s="1073">
        <f>BYD!AB900</f>
        <v>734.30600000000004</v>
      </c>
      <c r="AB266" s="1072">
        <f>BYD!AC900</f>
        <v>168.84899999999999</v>
      </c>
      <c r="AC266" s="1072">
        <f>BYD!AD900</f>
        <v>173.83699999999999</v>
      </c>
      <c r="AD266" s="1072">
        <f>BYD!AE900</f>
        <v>195.35499999999999</v>
      </c>
      <c r="AE266" s="1072">
        <f>BYD!AF900</f>
        <v>153.387</v>
      </c>
      <c r="AF266" s="1073">
        <f>BYD!AG900</f>
        <v>691.42799999999988</v>
      </c>
      <c r="AG266" s="1072">
        <f>BYD!AH900</f>
        <v>153.77600000000001</v>
      </c>
      <c r="AH266" s="1072">
        <f>BYD!AI900</f>
        <v>164.53</v>
      </c>
      <c r="AI266" s="1072">
        <f>BYD!AJ900</f>
        <v>176.839</v>
      </c>
      <c r="AJ266" s="1072">
        <f>BYD!AK900</f>
        <v>148.75899999999999</v>
      </c>
      <c r="AK266" s="1073">
        <f>BYD!AL900</f>
        <v>643.904</v>
      </c>
      <c r="AL266" s="1072">
        <f>BYD!AM900</f>
        <v>151.85599999999999</v>
      </c>
      <c r="AM266" s="1072">
        <f>BYD!AN900</f>
        <v>162.75884500000001</v>
      </c>
      <c r="AN266" s="1072">
        <f>BYD!AO900</f>
        <v>176.738</v>
      </c>
      <c r="AO266" s="1072">
        <f>BYD!AP900</f>
        <v>157.71</v>
      </c>
      <c r="AP266" s="1073">
        <f>BYD!AQ900</f>
        <v>649.06284500000004</v>
      </c>
      <c r="AQ266" s="1072">
        <f>BYD!AR900</f>
        <v>155.453</v>
      </c>
      <c r="AR266" s="1072">
        <f>BYD!AS900</f>
        <v>152.47200000000001</v>
      </c>
      <c r="AS266" s="1072">
        <f>BYD!AT900</f>
        <v>162.36000000000001</v>
      </c>
      <c r="AT266" s="1072">
        <f>BYD!AU900</f>
        <v>138.84200000000001</v>
      </c>
      <c r="AU266" s="1073">
        <f>BYD!AV900</f>
        <v>609.12700000000007</v>
      </c>
      <c r="AV266" s="1072">
        <f>BYD!AW900</f>
        <v>145.68</v>
      </c>
      <c r="AW266" s="1072">
        <f>BYD!AX900</f>
        <v>149.38200000000001</v>
      </c>
      <c r="AX266" s="1072">
        <f>BYD!AY900</f>
        <v>176.982</v>
      </c>
      <c r="AY266" s="1072">
        <f>BYD!AZ900</f>
        <v>143.69200000000001</v>
      </c>
      <c r="AZ266" s="1073">
        <f>BYD!BA900</f>
        <v>615.73599999999999</v>
      </c>
      <c r="BA266" s="1072">
        <f>BYD!BB900</f>
        <v>145.71732900000001</v>
      </c>
      <c r="BB266" s="1072">
        <f>BYD!BC900</f>
        <v>158.25397999999998</v>
      </c>
      <c r="BC266" s="1072">
        <f>BYD!BD900</f>
        <v>181.174643</v>
      </c>
      <c r="BD266" s="1072">
        <f>BYD!BE900</f>
        <v>157.826221</v>
      </c>
      <c r="BE266" s="1073">
        <f>BYD!BF900</f>
        <v>642.972173</v>
      </c>
      <c r="BF266" s="1072">
        <f>BYD!BG900</f>
        <v>158.023875</v>
      </c>
      <c r="BG266" s="1072">
        <f>BYD!BH900</f>
        <v>162.50191699999999</v>
      </c>
      <c r="BH266" s="1072">
        <f>BYD!BI900</f>
        <v>205.87579799999997</v>
      </c>
      <c r="BI266" s="1072">
        <f>BYD!BJ900</f>
        <v>169.815561</v>
      </c>
      <c r="BJ266" s="2830">
        <f>BYD!BK900</f>
        <v>696.21715099999994</v>
      </c>
      <c r="BK266" s="1072">
        <f>BYD!BL900</f>
        <v>164.480299</v>
      </c>
      <c r="BL266" s="1072">
        <f>BYD!BM900</f>
        <v>172.990869</v>
      </c>
      <c r="BM266" s="1072">
        <f>BYD!BN900</f>
        <v>210.7</v>
      </c>
      <c r="BN266" s="1072">
        <f>BYD!BO900</f>
        <v>0</v>
      </c>
      <c r="BO266" s="2830">
        <f>BYD!BP900</f>
        <v>0</v>
      </c>
      <c r="BP266" s="1072">
        <f>BYD!BQ900</f>
        <v>0</v>
      </c>
      <c r="BQ266" s="1072">
        <f>BYD!BR900</f>
        <v>0</v>
      </c>
      <c r="BR266" s="1072">
        <f>BYD!BS900</f>
        <v>0</v>
      </c>
      <c r="BS266" s="1072">
        <f>BYD!BT900</f>
        <v>0</v>
      </c>
      <c r="BT266" s="2830">
        <f>BYD!BU900</f>
        <v>0</v>
      </c>
      <c r="BU266" s="1073">
        <f>BYD!BZ900</f>
        <v>0</v>
      </c>
      <c r="BV266" s="1073">
        <f>BYD!CA900</f>
        <v>0</v>
      </c>
      <c r="BW266" s="1073">
        <f>BYD!CB900</f>
        <v>0</v>
      </c>
      <c r="BX266" s="1073">
        <f>BYD!CC900</f>
        <v>0</v>
      </c>
      <c r="BY266" s="1073">
        <f>BYD!CD900</f>
        <v>0</v>
      </c>
      <c r="BZ266" s="1073">
        <f>BYD!CE900</f>
        <v>0</v>
      </c>
      <c r="CA266" s="1073">
        <f>BYD!CF900</f>
        <v>0</v>
      </c>
      <c r="CB266" s="1073">
        <f>BYD!CG900</f>
        <v>0</v>
      </c>
    </row>
    <row r="267" spans="1:80">
      <c r="A267" s="2" t="s">
        <v>128</v>
      </c>
      <c r="B267" s="2"/>
      <c r="C267" s="1066">
        <v>0.08</v>
      </c>
      <c r="D267" s="1066">
        <v>0.08</v>
      </c>
      <c r="E267" s="1066">
        <v>0.08</v>
      </c>
      <c r="F267" s="1066">
        <v>0.08</v>
      </c>
      <c r="G267" s="1067">
        <v>0.08</v>
      </c>
      <c r="H267" s="1066">
        <v>0.08</v>
      </c>
      <c r="I267" s="1066">
        <v>0.08</v>
      </c>
      <c r="J267" s="1066">
        <v>0.08</v>
      </c>
      <c r="K267" s="1066">
        <v>0.08</v>
      </c>
      <c r="L267" s="1067">
        <v>0.08</v>
      </c>
      <c r="M267" s="1066">
        <v>0.08</v>
      </c>
      <c r="N267" s="1066">
        <v>0.08</v>
      </c>
      <c r="O267" s="1066">
        <v>0.08</v>
      </c>
      <c r="P267" s="1066">
        <v>0.08</v>
      </c>
      <c r="Q267" s="1067">
        <v>0.08</v>
      </c>
      <c r="R267" s="1066">
        <v>0.08</v>
      </c>
      <c r="S267" s="1066">
        <v>0.08</v>
      </c>
      <c r="T267" s="1066">
        <v>0.08</v>
      </c>
      <c r="U267" s="1066">
        <v>0.08</v>
      </c>
      <c r="V267" s="1067">
        <v>0.08</v>
      </c>
      <c r="W267" s="1066">
        <v>0.08</v>
      </c>
      <c r="X267" s="1066">
        <v>0.08</v>
      </c>
      <c r="Y267" s="1066">
        <v>0.08</v>
      </c>
      <c r="Z267" s="1066">
        <v>0.08</v>
      </c>
      <c r="AA267" s="1067">
        <v>0.08</v>
      </c>
      <c r="AB267" s="1066">
        <v>0.08</v>
      </c>
      <c r="AC267" s="1066">
        <v>0.08</v>
      </c>
      <c r="AD267" s="1066">
        <v>0.08</v>
      </c>
      <c r="AE267" s="1066">
        <v>0.08</v>
      </c>
      <c r="AF267" s="1067">
        <v>0.08</v>
      </c>
      <c r="AG267" s="1066">
        <v>0.08</v>
      </c>
      <c r="AH267" s="1066">
        <v>0.08</v>
      </c>
      <c r="AI267" s="1066">
        <v>0.08</v>
      </c>
      <c r="AJ267" s="1066">
        <v>0.08</v>
      </c>
      <c r="AK267" s="1067">
        <v>0.08</v>
      </c>
      <c r="AL267" s="1066">
        <v>0.08</v>
      </c>
      <c r="AM267" s="1066">
        <v>0.08</v>
      </c>
      <c r="AN267" s="1066">
        <v>0.08</v>
      </c>
      <c r="AO267" s="1066">
        <v>0.08</v>
      </c>
      <c r="AP267" s="1067">
        <v>0.08</v>
      </c>
      <c r="AQ267" s="1066">
        <v>0.08</v>
      </c>
      <c r="AR267" s="1066">
        <v>0.08</v>
      </c>
      <c r="AS267" s="1066">
        <v>0.08</v>
      </c>
      <c r="AT267" s="1066">
        <v>0.08</v>
      </c>
      <c r="AU267" s="1067">
        <v>0.08</v>
      </c>
      <c r="AV267" s="1066">
        <v>0.08</v>
      </c>
      <c r="AW267" s="1066">
        <v>0.08</v>
      </c>
      <c r="AX267" s="1066">
        <v>0.08</v>
      </c>
      <c r="AY267" s="1066">
        <v>0.08</v>
      </c>
      <c r="AZ267" s="1067">
        <v>0.08</v>
      </c>
      <c r="BA267" s="1066">
        <v>0.08</v>
      </c>
      <c r="BB267" s="1066">
        <v>0.08</v>
      </c>
      <c r="BC267" s="1066">
        <v>0.08</v>
      </c>
      <c r="BD267" s="1066">
        <v>0.08</v>
      </c>
      <c r="BE267" s="1067">
        <v>0.08</v>
      </c>
      <c r="BF267" s="1066">
        <v>0.08</v>
      </c>
      <c r="BG267" s="1066">
        <v>0.08</v>
      </c>
      <c r="BH267" s="1066">
        <v>0.08</v>
      </c>
      <c r="BI267" s="1066">
        <v>0.08</v>
      </c>
      <c r="BJ267" s="2826">
        <v>0.08</v>
      </c>
      <c r="BK267" s="1066">
        <v>0.08</v>
      </c>
      <c r="BL267" s="1066">
        <v>0.08</v>
      </c>
      <c r="BM267" s="1066">
        <v>0.08</v>
      </c>
      <c r="BN267" s="1066">
        <v>0.08</v>
      </c>
      <c r="BO267" s="2826">
        <v>0.08</v>
      </c>
      <c r="BP267" s="1066">
        <v>0.08</v>
      </c>
      <c r="BQ267" s="1066">
        <v>0.08</v>
      </c>
      <c r="BR267" s="1066">
        <v>0.08</v>
      </c>
      <c r="BS267" s="1066">
        <v>0.08</v>
      </c>
      <c r="BT267" s="2826">
        <v>0.08</v>
      </c>
      <c r="BU267" s="1067">
        <v>0.08</v>
      </c>
      <c r="BV267" s="1067">
        <v>0.08</v>
      </c>
      <c r="BW267" s="1067">
        <v>0.08</v>
      </c>
      <c r="BX267" s="1067">
        <v>0.08</v>
      </c>
      <c r="BY267" s="1067">
        <v>0.08</v>
      </c>
      <c r="BZ267" s="1067">
        <v>0.08</v>
      </c>
      <c r="CA267" s="1067">
        <v>0.08</v>
      </c>
      <c r="CB267" s="1067">
        <v>0.08</v>
      </c>
    </row>
    <row r="268" spans="1:80" ht="5.25" customHeight="1">
      <c r="A268" s="2"/>
      <c r="B268" s="2"/>
      <c r="C268" s="564" t="s">
        <v>1226</v>
      </c>
      <c r="D268" s="564" t="s">
        <v>1226</v>
      </c>
      <c r="E268" s="564" t="s">
        <v>1226</v>
      </c>
      <c r="F268" s="564" t="s">
        <v>1226</v>
      </c>
      <c r="G268" s="736" t="s">
        <v>1226</v>
      </c>
      <c r="H268" s="564" t="s">
        <v>1226</v>
      </c>
      <c r="I268" s="564" t="s">
        <v>1226</v>
      </c>
      <c r="J268" s="564" t="s">
        <v>1226</v>
      </c>
      <c r="K268" s="564" t="s">
        <v>1226</v>
      </c>
      <c r="L268" s="736" t="s">
        <v>1226</v>
      </c>
      <c r="M268" s="564" t="s">
        <v>1226</v>
      </c>
      <c r="N268" s="564" t="s">
        <v>1226</v>
      </c>
      <c r="O268" s="564" t="s">
        <v>1226</v>
      </c>
      <c r="P268" s="564" t="s">
        <v>1226</v>
      </c>
      <c r="Q268" s="736" t="s">
        <v>1226</v>
      </c>
      <c r="R268" s="564" t="s">
        <v>1226</v>
      </c>
      <c r="S268" s="564" t="s">
        <v>1226</v>
      </c>
      <c r="T268" s="564" t="s">
        <v>1226</v>
      </c>
      <c r="U268" s="564" t="s">
        <v>1226</v>
      </c>
      <c r="V268" s="736" t="s">
        <v>1226</v>
      </c>
      <c r="W268" s="564" t="s">
        <v>1226</v>
      </c>
      <c r="X268" s="564" t="s">
        <v>1226</v>
      </c>
      <c r="Y268" s="564" t="s">
        <v>1226</v>
      </c>
      <c r="Z268" s="564" t="s">
        <v>1226</v>
      </c>
      <c r="AA268" s="736" t="s">
        <v>1226</v>
      </c>
      <c r="AB268" s="564" t="s">
        <v>1226</v>
      </c>
      <c r="AC268" s="564" t="s">
        <v>1226</v>
      </c>
      <c r="AD268" s="564" t="s">
        <v>1226</v>
      </c>
      <c r="AE268" s="564" t="s">
        <v>1226</v>
      </c>
      <c r="AF268" s="736" t="s">
        <v>1226</v>
      </c>
      <c r="AG268" s="564" t="s">
        <v>1226</v>
      </c>
      <c r="AH268" s="564" t="s">
        <v>1226</v>
      </c>
      <c r="AI268" s="564" t="s">
        <v>1226</v>
      </c>
      <c r="AJ268" s="564" t="s">
        <v>1226</v>
      </c>
      <c r="AK268" s="736" t="s">
        <v>1226</v>
      </c>
      <c r="AL268" s="564" t="s">
        <v>1226</v>
      </c>
      <c r="AM268" s="564" t="s">
        <v>1226</v>
      </c>
      <c r="AN268" s="564" t="s">
        <v>1226</v>
      </c>
      <c r="AO268" s="564" t="s">
        <v>1226</v>
      </c>
      <c r="AP268" s="736" t="s">
        <v>1226</v>
      </c>
      <c r="AQ268" s="564" t="s">
        <v>1226</v>
      </c>
      <c r="AR268" s="564" t="s">
        <v>1226</v>
      </c>
      <c r="AS268" s="564" t="s">
        <v>1226</v>
      </c>
      <c r="AT268" s="564" t="s">
        <v>1226</v>
      </c>
      <c r="AU268" s="736" t="s">
        <v>1226</v>
      </c>
      <c r="AV268" s="564" t="s">
        <v>1226</v>
      </c>
      <c r="AW268" s="564" t="s">
        <v>1226</v>
      </c>
      <c r="AX268" s="564" t="s">
        <v>1226</v>
      </c>
      <c r="AY268" s="564" t="s">
        <v>1226</v>
      </c>
      <c r="AZ268" s="736" t="s">
        <v>1226</v>
      </c>
      <c r="BA268" s="564" t="s">
        <v>1226</v>
      </c>
      <c r="BB268" s="564" t="s">
        <v>1226</v>
      </c>
      <c r="BC268" s="564" t="s">
        <v>1226</v>
      </c>
      <c r="BD268" s="564" t="s">
        <v>1226</v>
      </c>
      <c r="BE268" s="736" t="s">
        <v>1226</v>
      </c>
      <c r="BF268" s="564" t="s">
        <v>1226</v>
      </c>
      <c r="BG268" s="564" t="s">
        <v>1226</v>
      </c>
      <c r="BH268" s="564" t="s">
        <v>1226</v>
      </c>
      <c r="BI268" s="564" t="s">
        <v>1226</v>
      </c>
      <c r="BJ268" s="734" t="s">
        <v>1226</v>
      </c>
      <c r="BK268" s="564" t="s">
        <v>1226</v>
      </c>
      <c r="BL268" s="564" t="s">
        <v>1226</v>
      </c>
      <c r="BM268" s="564" t="s">
        <v>1226</v>
      </c>
      <c r="BN268" s="564" t="s">
        <v>1226</v>
      </c>
      <c r="BO268" s="734" t="s">
        <v>1226</v>
      </c>
      <c r="BP268" s="564" t="s">
        <v>1226</v>
      </c>
      <c r="BQ268" s="564" t="s">
        <v>1226</v>
      </c>
      <c r="BR268" s="564" t="s">
        <v>1226</v>
      </c>
      <c r="BS268" s="564" t="s">
        <v>1226</v>
      </c>
      <c r="BT268" s="734" t="s">
        <v>1226</v>
      </c>
      <c r="BU268" s="736" t="s">
        <v>1226</v>
      </c>
      <c r="BV268" s="736" t="s">
        <v>1226</v>
      </c>
      <c r="BW268" s="736" t="s">
        <v>1226</v>
      </c>
      <c r="BX268" s="736" t="s">
        <v>1226</v>
      </c>
      <c r="BY268" s="736" t="s">
        <v>1226</v>
      </c>
      <c r="BZ268" s="736" t="s">
        <v>1226</v>
      </c>
      <c r="CA268" s="736" t="s">
        <v>1226</v>
      </c>
      <c r="CB268" s="736" t="s">
        <v>1226</v>
      </c>
    </row>
    <row r="269" spans="1:80">
      <c r="A269" s="2" t="s">
        <v>129</v>
      </c>
      <c r="B269" s="2"/>
      <c r="C269" s="1072">
        <f>C266*C267</f>
        <v>11.216320000000001</v>
      </c>
      <c r="D269" s="1072">
        <f>D266*D267</f>
        <v>11.997199999999998</v>
      </c>
      <c r="E269" s="1072">
        <f>E266*E267</f>
        <v>13.496560000000001</v>
      </c>
      <c r="F269" s="1072">
        <f>F266*F267</f>
        <v>13.16192</v>
      </c>
      <c r="G269" s="1073">
        <f>G266*G267</f>
        <v>49.872</v>
      </c>
      <c r="H269" s="1072">
        <f t="shared" ref="H269:Q269" si="212">H266*H267</f>
        <v>12.964320000000001</v>
      </c>
      <c r="I269" s="1072">
        <f t="shared" si="212"/>
        <v>13.567680000000001</v>
      </c>
      <c r="J269" s="1072">
        <f t="shared" si="212"/>
        <v>15.20848</v>
      </c>
      <c r="K269" s="1072">
        <f t="shared" si="212"/>
        <v>14.016720000000001</v>
      </c>
      <c r="L269" s="1073">
        <f t="shared" si="212"/>
        <v>55.757199999999997</v>
      </c>
      <c r="M269" s="1072">
        <f t="shared" si="212"/>
        <v>13.940480000000001</v>
      </c>
      <c r="N269" s="1072">
        <f t="shared" si="212"/>
        <v>13.8284</v>
      </c>
      <c r="O269" s="1072">
        <f t="shared" si="212"/>
        <v>17.238399999999999</v>
      </c>
      <c r="P269" s="1072">
        <f t="shared" si="212"/>
        <v>13.804320000000001</v>
      </c>
      <c r="Q269" s="1073">
        <f t="shared" si="212"/>
        <v>58.811599999999999</v>
      </c>
      <c r="R269" s="1072">
        <f t="shared" ref="R269:AB269" si="213">R266*R267</f>
        <v>14.981520000000002</v>
      </c>
      <c r="S269" s="1072">
        <f t="shared" si="213"/>
        <v>14.23728</v>
      </c>
      <c r="T269" s="1072">
        <f t="shared" si="213"/>
        <v>16.3108</v>
      </c>
      <c r="U269" s="1072">
        <f t="shared" si="213"/>
        <v>14.36232</v>
      </c>
      <c r="V269" s="1073">
        <f t="shared" si="213"/>
        <v>59.891919999999999</v>
      </c>
      <c r="W269" s="1072">
        <f t="shared" si="213"/>
        <v>14.29088</v>
      </c>
      <c r="X269" s="1072">
        <f t="shared" si="213"/>
        <v>14.28176</v>
      </c>
      <c r="Y269" s="1072">
        <f t="shared" si="213"/>
        <v>16.588160000000002</v>
      </c>
      <c r="Z269" s="1072">
        <f t="shared" si="213"/>
        <v>13.583679999999999</v>
      </c>
      <c r="AA269" s="1073">
        <f t="shared" si="213"/>
        <v>58.744480000000003</v>
      </c>
      <c r="AB269" s="1072">
        <f t="shared" si="213"/>
        <v>13.507919999999999</v>
      </c>
      <c r="AC269" s="1072">
        <f t="shared" ref="AC269:AP269" si="214">AC266*AC267</f>
        <v>13.90696</v>
      </c>
      <c r="AD269" s="1072">
        <f t="shared" si="214"/>
        <v>15.628399999999999</v>
      </c>
      <c r="AE269" s="1072">
        <f t="shared" si="214"/>
        <v>12.270960000000001</v>
      </c>
      <c r="AF269" s="1073">
        <f t="shared" si="214"/>
        <v>55.314239999999991</v>
      </c>
      <c r="AG269" s="1072">
        <f t="shared" si="214"/>
        <v>12.302080000000002</v>
      </c>
      <c r="AH269" s="1072">
        <f t="shared" si="214"/>
        <v>13.1624</v>
      </c>
      <c r="AI269" s="1072">
        <f t="shared" si="214"/>
        <v>14.147120000000001</v>
      </c>
      <c r="AJ269" s="1072">
        <f t="shared" si="214"/>
        <v>11.90072</v>
      </c>
      <c r="AK269" s="1073">
        <f t="shared" si="214"/>
        <v>51.512320000000003</v>
      </c>
      <c r="AL269" s="1072">
        <f t="shared" si="214"/>
        <v>12.148479999999999</v>
      </c>
      <c r="AM269" s="1072">
        <f t="shared" si="214"/>
        <v>13.020707600000001</v>
      </c>
      <c r="AN269" s="1072">
        <f t="shared" si="214"/>
        <v>14.13904</v>
      </c>
      <c r="AO269" s="1072">
        <f t="shared" si="214"/>
        <v>12.616800000000001</v>
      </c>
      <c r="AP269" s="1073">
        <f t="shared" si="214"/>
        <v>51.925027600000007</v>
      </c>
      <c r="AQ269" s="1072">
        <f t="shared" ref="AQ269:BE269" si="215">AQ266*AQ267</f>
        <v>12.43624</v>
      </c>
      <c r="AR269" s="1072">
        <f t="shared" si="215"/>
        <v>12.197760000000001</v>
      </c>
      <c r="AS269" s="1072">
        <f t="shared" si="215"/>
        <v>12.988800000000001</v>
      </c>
      <c r="AT269" s="1072">
        <f t="shared" si="215"/>
        <v>11.107360000000002</v>
      </c>
      <c r="AU269" s="1073">
        <f t="shared" si="215"/>
        <v>48.730160000000005</v>
      </c>
      <c r="AV269" s="1072">
        <f t="shared" si="215"/>
        <v>11.654400000000001</v>
      </c>
      <c r="AW269" s="1072">
        <f t="shared" si="215"/>
        <v>11.950560000000001</v>
      </c>
      <c r="AX269" s="1072">
        <f t="shared" si="215"/>
        <v>14.15856</v>
      </c>
      <c r="AY269" s="1072">
        <f t="shared" si="215"/>
        <v>11.495360000000002</v>
      </c>
      <c r="AZ269" s="1073">
        <f t="shared" si="215"/>
        <v>49.258879999999998</v>
      </c>
      <c r="BA269" s="1072">
        <f t="shared" si="215"/>
        <v>11.657386320000001</v>
      </c>
      <c r="BB269" s="1072">
        <f t="shared" si="215"/>
        <v>12.6603184</v>
      </c>
      <c r="BC269" s="1072">
        <f t="shared" si="215"/>
        <v>14.493971440000001</v>
      </c>
      <c r="BD269" s="1072">
        <f t="shared" si="215"/>
        <v>12.626097680000001</v>
      </c>
      <c r="BE269" s="1073">
        <f t="shared" si="215"/>
        <v>51.437773839999998</v>
      </c>
      <c r="BF269" s="1072">
        <f t="shared" ref="BF269:CB269" si="216">BF266*BF267</f>
        <v>12.641910000000001</v>
      </c>
      <c r="BG269" s="1072">
        <f t="shared" si="216"/>
        <v>13.000153359999999</v>
      </c>
      <c r="BH269" s="1072">
        <f t="shared" si="216"/>
        <v>16.470063839999998</v>
      </c>
      <c r="BI269" s="1072">
        <f t="shared" si="216"/>
        <v>13.585244880000001</v>
      </c>
      <c r="BJ269" s="2830">
        <f t="shared" si="216"/>
        <v>55.697372079999994</v>
      </c>
      <c r="BK269" s="1072">
        <f t="shared" si="216"/>
        <v>13.158423920000001</v>
      </c>
      <c r="BL269" s="1072">
        <f t="shared" si="216"/>
        <v>13.83926952</v>
      </c>
      <c r="BM269" s="1072">
        <f t="shared" si="216"/>
        <v>16.855999999999998</v>
      </c>
      <c r="BN269" s="1072">
        <f t="shared" si="216"/>
        <v>0</v>
      </c>
      <c r="BO269" s="2830">
        <f t="shared" si="216"/>
        <v>0</v>
      </c>
      <c r="BP269" s="1072">
        <f t="shared" si="216"/>
        <v>0</v>
      </c>
      <c r="BQ269" s="1072">
        <f t="shared" si="216"/>
        <v>0</v>
      </c>
      <c r="BR269" s="1072">
        <f t="shared" si="216"/>
        <v>0</v>
      </c>
      <c r="BS269" s="1072">
        <f t="shared" si="216"/>
        <v>0</v>
      </c>
      <c r="BT269" s="2830">
        <f t="shared" si="216"/>
        <v>0</v>
      </c>
      <c r="BU269" s="1073">
        <f t="shared" si="216"/>
        <v>0</v>
      </c>
      <c r="BV269" s="1073">
        <f t="shared" si="216"/>
        <v>0</v>
      </c>
      <c r="BW269" s="1073">
        <f t="shared" si="216"/>
        <v>0</v>
      </c>
      <c r="BX269" s="1073">
        <f t="shared" si="216"/>
        <v>0</v>
      </c>
      <c r="BY269" s="1073">
        <f t="shared" si="216"/>
        <v>0</v>
      </c>
      <c r="BZ269" s="1073">
        <f t="shared" si="216"/>
        <v>0</v>
      </c>
      <c r="CA269" s="1073">
        <f t="shared" si="216"/>
        <v>0</v>
      </c>
      <c r="CB269" s="1073">
        <f t="shared" si="216"/>
        <v>0</v>
      </c>
    </row>
    <row r="270" spans="1:80">
      <c r="A270" s="2"/>
      <c r="B270" s="2"/>
      <c r="C270" s="1072"/>
      <c r="D270" s="1072"/>
      <c r="E270" s="1072"/>
      <c r="F270" s="1072"/>
      <c r="G270" s="1073"/>
      <c r="H270" s="1072"/>
      <c r="I270" s="1072"/>
      <c r="J270" s="1072"/>
      <c r="K270" s="1072"/>
      <c r="L270" s="1073"/>
      <c r="M270" s="1072"/>
      <c r="N270" s="1072"/>
      <c r="O270" s="1072"/>
      <c r="P270" s="1072"/>
      <c r="Q270" s="1073"/>
      <c r="R270" s="1072"/>
      <c r="S270" s="1072"/>
      <c r="T270" s="1072"/>
      <c r="U270" s="1072"/>
      <c r="V270" s="1073"/>
      <c r="W270" s="1072"/>
      <c r="X270" s="1072"/>
      <c r="Y270" s="1072"/>
      <c r="Z270" s="1072"/>
      <c r="AA270" s="1073"/>
      <c r="AB270" s="1072"/>
      <c r="AC270" s="1072"/>
      <c r="AD270" s="1072"/>
      <c r="AE270" s="1072"/>
      <c r="AF270" s="1073"/>
      <c r="AG270" s="1072"/>
      <c r="AH270" s="1072"/>
      <c r="AI270" s="1072"/>
      <c r="AJ270" s="1072"/>
      <c r="AK270" s="1073"/>
      <c r="AL270" s="1072"/>
      <c r="AM270" s="1072"/>
      <c r="AN270" s="1072"/>
      <c r="AO270" s="1072"/>
      <c r="AP270" s="1073"/>
      <c r="AQ270" s="1072"/>
      <c r="AR270" s="1072"/>
      <c r="AS270" s="1072"/>
      <c r="AT270" s="1072"/>
      <c r="AU270" s="1073"/>
      <c r="AV270" s="1072"/>
      <c r="AW270" s="1072"/>
      <c r="AX270" s="1072"/>
      <c r="AY270" s="1072"/>
      <c r="AZ270" s="1073"/>
      <c r="BA270" s="1072"/>
      <c r="BB270" s="1072"/>
      <c r="BC270" s="1072"/>
      <c r="BD270" s="1072"/>
      <c r="BE270" s="1073"/>
      <c r="BF270" s="371"/>
      <c r="BG270" s="371"/>
      <c r="BH270" s="371"/>
      <c r="BI270" s="1131"/>
      <c r="BJ270" s="1121"/>
      <c r="BK270" s="371"/>
      <c r="BL270" s="371"/>
      <c r="BM270" s="371"/>
      <c r="BN270" s="1131"/>
      <c r="BO270" s="1121"/>
      <c r="BP270" s="371"/>
      <c r="BQ270" s="371"/>
      <c r="BR270" s="371"/>
      <c r="BS270" s="1131"/>
      <c r="BT270" s="1121"/>
      <c r="BU270" s="1073"/>
      <c r="BV270" s="1073"/>
      <c r="BW270" s="1073"/>
      <c r="BX270" s="1073"/>
      <c r="BY270" s="1073"/>
      <c r="BZ270" s="1073"/>
      <c r="CA270" s="1073"/>
      <c r="CB270" s="1073"/>
    </row>
    <row r="271" spans="1:80">
      <c r="A271" s="1142" t="s">
        <v>1653</v>
      </c>
      <c r="B271" s="1142"/>
      <c r="C271" s="1143">
        <v>1.2500000000000001E-2</v>
      </c>
      <c r="D271" s="1143">
        <v>1.2500000000000001E-2</v>
      </c>
      <c r="E271" s="1143">
        <v>1.2500000000000001E-2</v>
      </c>
      <c r="F271" s="1143">
        <v>1.2500000000000001E-2</v>
      </c>
      <c r="G271" s="1144">
        <v>1.2500000000000001E-2</v>
      </c>
      <c r="H271" s="1143">
        <v>1.2500000000000001E-2</v>
      </c>
      <c r="I271" s="1143">
        <v>1.2500000000000001E-2</v>
      </c>
      <c r="J271" s="1143">
        <v>1.2500000000000001E-2</v>
      </c>
      <c r="K271" s="1143">
        <v>1.2500000000000001E-2</v>
      </c>
      <c r="L271" s="1144">
        <v>1.2500000000000001E-2</v>
      </c>
      <c r="M271" s="1143">
        <v>1.2500000000000001E-2</v>
      </c>
      <c r="N271" s="1143">
        <v>1.2500000000000001E-2</v>
      </c>
      <c r="O271" s="1143">
        <v>1.2500000000000001E-2</v>
      </c>
      <c r="P271" s="1143">
        <v>1.2500000000000001E-2</v>
      </c>
      <c r="Q271" s="1144">
        <v>1.2500000000000001E-2</v>
      </c>
      <c r="R271" s="1143">
        <v>1.2500000000000001E-2</v>
      </c>
      <c r="S271" s="1143">
        <v>1.2500000000000001E-2</v>
      </c>
      <c r="T271" s="1143">
        <v>1.2500000000000001E-2</v>
      </c>
      <c r="U271" s="1143">
        <v>1.2500000000000001E-2</v>
      </c>
      <c r="V271" s="1144">
        <v>1.2500000000000001E-2</v>
      </c>
      <c r="W271" s="1143">
        <v>1.2500000000000001E-2</v>
      </c>
      <c r="X271" s="1143">
        <v>1.2500000000000001E-2</v>
      </c>
      <c r="Y271" s="1143">
        <v>1.2500000000000001E-2</v>
      </c>
      <c r="Z271" s="1143">
        <v>1.2500000000000001E-2</v>
      </c>
      <c r="AA271" s="1144">
        <v>1.2500000000000001E-2</v>
      </c>
      <c r="AB271" s="1143">
        <v>1.2500000000000001E-2</v>
      </c>
      <c r="AC271" s="1143">
        <v>1.2500000000000001E-2</v>
      </c>
      <c r="AD271" s="1143">
        <v>1.2500000000000001E-2</v>
      </c>
      <c r="AE271" s="1143">
        <v>1.2500000000000001E-2</v>
      </c>
      <c r="AF271" s="1144">
        <v>1.2500000000000001E-2</v>
      </c>
      <c r="AG271" s="1143">
        <v>1.2500000000000001E-2</v>
      </c>
      <c r="AH271" s="1143">
        <v>1.2500000000000001E-2</v>
      </c>
      <c r="AI271" s="1143">
        <v>1.2500000000000001E-2</v>
      </c>
      <c r="AJ271" s="1143">
        <v>1.2500000000000001E-2</v>
      </c>
      <c r="AK271" s="1144">
        <v>1.2500000000000001E-2</v>
      </c>
      <c r="AL271" s="1143">
        <v>1.2500000000000001E-2</v>
      </c>
      <c r="AM271" s="1143">
        <v>1.2500000000000001E-2</v>
      </c>
      <c r="AN271" s="1143">
        <v>1.2500000000000001E-2</v>
      </c>
      <c r="AO271" s="1143">
        <v>1.2500000000000001E-2</v>
      </c>
      <c r="AP271" s="1144">
        <v>1.2500000000000001E-2</v>
      </c>
      <c r="AQ271" s="1143">
        <v>1.2500000000000001E-2</v>
      </c>
      <c r="AR271" s="1143">
        <v>1.2500000000000001E-2</v>
      </c>
      <c r="AS271" s="1143">
        <v>1.2500000000000001E-2</v>
      </c>
      <c r="AT271" s="1143">
        <v>1.2500000000000001E-2</v>
      </c>
      <c r="AU271" s="1144">
        <v>1.2500000000000001E-2</v>
      </c>
      <c r="AV271" s="1143">
        <v>1.2500000000000001E-2</v>
      </c>
      <c r="AW271" s="1143">
        <v>1.2500000000000001E-2</v>
      </c>
      <c r="AX271" s="1143">
        <v>1.2500000000000001E-2</v>
      </c>
      <c r="AY271" s="1143">
        <v>1.2500000000000001E-2</v>
      </c>
      <c r="AZ271" s="1144">
        <v>1.2500000000000001E-2</v>
      </c>
      <c r="BA271" s="1143">
        <v>1.2500000000000001E-2</v>
      </c>
      <c r="BB271" s="1143">
        <v>1.2500000000000001E-2</v>
      </c>
      <c r="BC271" s="1143">
        <v>1.2500000000000001E-2</v>
      </c>
      <c r="BD271" s="1143">
        <v>1.2500000000000001E-2</v>
      </c>
      <c r="BE271" s="1144">
        <v>1.2500000000000001E-2</v>
      </c>
      <c r="BF271" s="2918">
        <v>1.2500000000000001E-2</v>
      </c>
      <c r="BG271" s="2918">
        <v>1.2500000000000001E-2</v>
      </c>
      <c r="BH271" s="2918">
        <v>1.2500000000000001E-2</v>
      </c>
      <c r="BI271" s="2918">
        <v>1.2500000000000001E-2</v>
      </c>
      <c r="BJ271" s="1144">
        <v>1.2500000000000001E-2</v>
      </c>
      <c r="BK271" s="2918">
        <v>1.2500000000000001E-2</v>
      </c>
      <c r="BL271" s="2918">
        <v>1.2500000000000001E-2</v>
      </c>
      <c r="BM271" s="2918">
        <v>1.2500000000000001E-2</v>
      </c>
      <c r="BN271" s="2918">
        <v>1.2500000000000001E-2</v>
      </c>
      <c r="BO271" s="1144">
        <v>1.2500000000000001E-2</v>
      </c>
      <c r="BP271" s="2918">
        <v>1.2500000000000001E-2</v>
      </c>
      <c r="BQ271" s="2918">
        <v>1.2500000000000001E-2</v>
      </c>
      <c r="BR271" s="2918">
        <v>1.2500000000000001E-2</v>
      </c>
      <c r="BS271" s="2918">
        <v>1.2500000000000001E-2</v>
      </c>
      <c r="BT271" s="1144">
        <v>1.2500000000000001E-2</v>
      </c>
      <c r="BU271" s="1144">
        <v>1.2500000000000001E-2</v>
      </c>
      <c r="BV271" s="1144">
        <v>1.2500000000000001E-2</v>
      </c>
      <c r="BW271" s="1144">
        <v>1.2500000000000001E-2</v>
      </c>
      <c r="BX271" s="1144">
        <v>1.2500000000000001E-2</v>
      </c>
      <c r="BY271" s="1144">
        <v>1.2500000000000001E-2</v>
      </c>
      <c r="BZ271" s="1144">
        <v>1.2500000000000001E-2</v>
      </c>
      <c r="CA271" s="1144">
        <v>1.2500000000000001E-2</v>
      </c>
      <c r="CB271" s="1144">
        <v>1.2500000000000001E-2</v>
      </c>
    </row>
    <row r="272" spans="1:80" ht="5.25" customHeight="1">
      <c r="A272" s="2"/>
      <c r="B272" s="2"/>
      <c r="C272" s="564" t="s">
        <v>1226</v>
      </c>
      <c r="D272" s="564" t="s">
        <v>1226</v>
      </c>
      <c r="E272" s="564" t="s">
        <v>1226</v>
      </c>
      <c r="F272" s="564" t="s">
        <v>1226</v>
      </c>
      <c r="G272" s="736" t="s">
        <v>1226</v>
      </c>
      <c r="H272" s="564" t="s">
        <v>1226</v>
      </c>
      <c r="I272" s="564" t="s">
        <v>1226</v>
      </c>
      <c r="J272" s="564" t="s">
        <v>1226</v>
      </c>
      <c r="K272" s="564" t="s">
        <v>1226</v>
      </c>
      <c r="L272" s="736" t="s">
        <v>1226</v>
      </c>
      <c r="M272" s="564" t="s">
        <v>1226</v>
      </c>
      <c r="N272" s="564" t="s">
        <v>1226</v>
      </c>
      <c r="O272" s="564" t="s">
        <v>1226</v>
      </c>
      <c r="P272" s="564" t="s">
        <v>1226</v>
      </c>
      <c r="Q272" s="736" t="s">
        <v>1226</v>
      </c>
      <c r="R272" s="564" t="s">
        <v>1226</v>
      </c>
      <c r="S272" s="564" t="s">
        <v>1226</v>
      </c>
      <c r="T272" s="564" t="s">
        <v>1226</v>
      </c>
      <c r="U272" s="564" t="s">
        <v>1226</v>
      </c>
      <c r="V272" s="736" t="s">
        <v>1226</v>
      </c>
      <c r="W272" s="564" t="s">
        <v>1226</v>
      </c>
      <c r="X272" s="564" t="s">
        <v>1226</v>
      </c>
      <c r="Y272" s="564" t="s">
        <v>1226</v>
      </c>
      <c r="Z272" s="564" t="s">
        <v>1226</v>
      </c>
      <c r="AA272" s="736" t="s">
        <v>1226</v>
      </c>
      <c r="AB272" s="564" t="s">
        <v>1226</v>
      </c>
      <c r="AC272" s="564" t="s">
        <v>1226</v>
      </c>
      <c r="AD272" s="564" t="s">
        <v>1226</v>
      </c>
      <c r="AE272" s="564" t="s">
        <v>1226</v>
      </c>
      <c r="AF272" s="736" t="s">
        <v>1226</v>
      </c>
      <c r="AG272" s="564" t="s">
        <v>1226</v>
      </c>
      <c r="AH272" s="564" t="s">
        <v>1226</v>
      </c>
      <c r="AI272" s="564" t="s">
        <v>1226</v>
      </c>
      <c r="AJ272" s="564" t="s">
        <v>1226</v>
      </c>
      <c r="AK272" s="736" t="s">
        <v>1226</v>
      </c>
      <c r="AL272" s="564" t="s">
        <v>1226</v>
      </c>
      <c r="AM272" s="564" t="s">
        <v>1226</v>
      </c>
      <c r="AN272" s="564" t="s">
        <v>1226</v>
      </c>
      <c r="AO272" s="564" t="s">
        <v>1226</v>
      </c>
      <c r="AP272" s="736" t="s">
        <v>1226</v>
      </c>
      <c r="AQ272" s="564" t="s">
        <v>1226</v>
      </c>
      <c r="AR272" s="564" t="s">
        <v>1226</v>
      </c>
      <c r="AS272" s="564" t="s">
        <v>1226</v>
      </c>
      <c r="AT272" s="564" t="s">
        <v>1226</v>
      </c>
      <c r="AU272" s="736" t="s">
        <v>1226</v>
      </c>
      <c r="AV272" s="564" t="s">
        <v>1226</v>
      </c>
      <c r="AW272" s="564" t="s">
        <v>1226</v>
      </c>
      <c r="AX272" s="564" t="s">
        <v>1226</v>
      </c>
      <c r="AY272" s="564" t="s">
        <v>1226</v>
      </c>
      <c r="AZ272" s="736" t="s">
        <v>1226</v>
      </c>
      <c r="BA272" s="564" t="s">
        <v>1226</v>
      </c>
      <c r="BB272" s="564" t="s">
        <v>1226</v>
      </c>
      <c r="BC272" s="564" t="s">
        <v>1226</v>
      </c>
      <c r="BD272" s="564" t="s">
        <v>1226</v>
      </c>
      <c r="BE272" s="736" t="s">
        <v>1226</v>
      </c>
      <c r="BF272" s="564" t="s">
        <v>1226</v>
      </c>
      <c r="BG272" s="564" t="s">
        <v>1226</v>
      </c>
      <c r="BH272" s="564" t="s">
        <v>1226</v>
      </c>
      <c r="BI272" s="564" t="s">
        <v>1226</v>
      </c>
      <c r="BJ272" s="736" t="s">
        <v>1226</v>
      </c>
      <c r="BK272" s="564" t="s">
        <v>1226</v>
      </c>
      <c r="BL272" s="564" t="s">
        <v>1226</v>
      </c>
      <c r="BM272" s="564" t="s">
        <v>1226</v>
      </c>
      <c r="BN272" s="564" t="s">
        <v>1226</v>
      </c>
      <c r="BO272" s="736" t="s">
        <v>1226</v>
      </c>
      <c r="BP272" s="564" t="s">
        <v>1226</v>
      </c>
      <c r="BQ272" s="564" t="s">
        <v>1226</v>
      </c>
      <c r="BR272" s="564" t="s">
        <v>1226</v>
      </c>
      <c r="BS272" s="564" t="s">
        <v>1226</v>
      </c>
      <c r="BT272" s="736" t="s">
        <v>1226</v>
      </c>
      <c r="BU272" s="736" t="s">
        <v>1226</v>
      </c>
      <c r="BV272" s="736" t="s">
        <v>1226</v>
      </c>
      <c r="BW272" s="736" t="s">
        <v>1226</v>
      </c>
      <c r="BX272" s="736" t="s">
        <v>1226</v>
      </c>
      <c r="BY272" s="736" t="s">
        <v>1226</v>
      </c>
      <c r="BZ272" s="736" t="s">
        <v>1226</v>
      </c>
      <c r="CA272" s="736" t="s">
        <v>1226</v>
      </c>
      <c r="CB272" s="736" t="s">
        <v>1226</v>
      </c>
    </row>
    <row r="273" spans="1:80">
      <c r="A273" s="2" t="s">
        <v>371</v>
      </c>
      <c r="B273" s="2"/>
      <c r="C273" s="1072">
        <f>C271*C266</f>
        <v>1.7525500000000003</v>
      </c>
      <c r="D273" s="1072">
        <f>D271*D266</f>
        <v>1.8745624999999997</v>
      </c>
      <c r="E273" s="1072">
        <f>E271*E266</f>
        <v>2.1088374999999999</v>
      </c>
      <c r="F273" s="1072">
        <f>F271*F266</f>
        <v>2.0565500000000001</v>
      </c>
      <c r="G273" s="1073">
        <f>SUM(C273:F273)</f>
        <v>7.7925000000000004</v>
      </c>
      <c r="H273" s="1072">
        <f>H271*H266</f>
        <v>2.0256750000000001</v>
      </c>
      <c r="I273" s="1072">
        <f>I271*I266</f>
        <v>2.1199500000000002</v>
      </c>
      <c r="J273" s="1072">
        <f>J271*J266</f>
        <v>2.376325</v>
      </c>
      <c r="K273" s="1072">
        <f>K271*K266</f>
        <v>2.1901125000000001</v>
      </c>
      <c r="L273" s="1073">
        <f>SUM(H273:K273)</f>
        <v>8.7120625</v>
      </c>
      <c r="M273" s="1072">
        <f>M271*M266</f>
        <v>2.1781999999999999</v>
      </c>
      <c r="N273" s="1072">
        <f>N271*N266</f>
        <v>2.1606874999999999</v>
      </c>
      <c r="O273" s="1072">
        <f>O271*O266</f>
        <v>2.6935000000000002</v>
      </c>
      <c r="P273" s="1072">
        <f>P271*P266</f>
        <v>2.1569250000000002</v>
      </c>
      <c r="Q273" s="1073">
        <f>SUM(M273:P273)</f>
        <v>9.1893124999999998</v>
      </c>
      <c r="R273" s="1072">
        <f>R271*R266</f>
        <v>2.3408625000000001</v>
      </c>
      <c r="S273" s="1072">
        <f>S271*S266</f>
        <v>2.2245750000000002</v>
      </c>
      <c r="T273" s="1072">
        <f>T271*T266</f>
        <v>2.5485625000000001</v>
      </c>
      <c r="U273" s="1072">
        <f>U271*U266</f>
        <v>2.2441125</v>
      </c>
      <c r="V273" s="1073">
        <f>SUM(R273:U273)</f>
        <v>9.3581125000000007</v>
      </c>
      <c r="W273" s="1072">
        <f>W271*W266</f>
        <v>2.2329500000000002</v>
      </c>
      <c r="X273" s="1072">
        <f>X271*X266</f>
        <v>2.231525</v>
      </c>
      <c r="Y273" s="1072">
        <f>Y271*Y266</f>
        <v>2.5919000000000003</v>
      </c>
      <c r="Z273" s="1072">
        <f>Z271*Z266</f>
        <v>2.1224500000000002</v>
      </c>
      <c r="AA273" s="1073">
        <f>SUM(W273:Z273)</f>
        <v>9.1788250000000016</v>
      </c>
      <c r="AB273" s="1072">
        <f>AB271*AB266</f>
        <v>2.1106124999999998</v>
      </c>
      <c r="AC273" s="1072">
        <f>AC271*AC266</f>
        <v>2.1729625000000001</v>
      </c>
      <c r="AD273" s="1072">
        <f>AD271*AD266</f>
        <v>2.4419374999999999</v>
      </c>
      <c r="AE273" s="1072">
        <f>AE271*AE266</f>
        <v>1.9173375000000001</v>
      </c>
      <c r="AF273" s="1073">
        <f>SUM(AB273:AE273)</f>
        <v>8.6428499999999993</v>
      </c>
      <c r="AG273" s="1072">
        <f>AG271*AG266</f>
        <v>1.9222000000000001</v>
      </c>
      <c r="AH273" s="1072">
        <f>AH271*AH266</f>
        <v>2.0566249999999999</v>
      </c>
      <c r="AI273" s="1072">
        <f>AI271*AI266</f>
        <v>2.2104875000000002</v>
      </c>
      <c r="AJ273" s="1072">
        <f>AJ271*AJ266</f>
        <v>1.8594875</v>
      </c>
      <c r="AK273" s="1073">
        <f>SUM(AG273:AJ273)</f>
        <v>8.0488</v>
      </c>
      <c r="AL273" s="1072">
        <f>AL271*AL266</f>
        <v>1.8982000000000001</v>
      </c>
      <c r="AM273" s="1072">
        <f>AM271*AM266</f>
        <v>2.0344855625</v>
      </c>
      <c r="AN273" s="1072">
        <f>AN271*AN266</f>
        <v>2.209225</v>
      </c>
      <c r="AO273" s="1072">
        <f>AO271*AO266</f>
        <v>1.9713750000000001</v>
      </c>
      <c r="AP273" s="1073">
        <f>SUM(AL273:AO273)</f>
        <v>8.1132855624999998</v>
      </c>
      <c r="AQ273" s="1072">
        <f>AQ271*AQ266</f>
        <v>1.9431625000000001</v>
      </c>
      <c r="AR273" s="1072">
        <f>AR271*AR266</f>
        <v>1.9059000000000001</v>
      </c>
      <c r="AS273" s="1072">
        <f>AS271*AS266</f>
        <v>2.0295000000000001</v>
      </c>
      <c r="AT273" s="1072">
        <f>AT271*AT266</f>
        <v>1.7355250000000002</v>
      </c>
      <c r="AU273" s="1073">
        <f>SUM(AQ273:AT273)</f>
        <v>7.614087500000001</v>
      </c>
      <c r="AV273" s="1072">
        <f>AV271*AV266</f>
        <v>1.8210000000000002</v>
      </c>
      <c r="AW273" s="1072">
        <f>AW271*AW266</f>
        <v>1.8672750000000002</v>
      </c>
      <c r="AX273" s="1072">
        <f>AX271*AX266</f>
        <v>2.212275</v>
      </c>
      <c r="AY273" s="1072">
        <f>AY271*AY266</f>
        <v>1.7961500000000001</v>
      </c>
      <c r="AZ273" s="1073">
        <f>SUM(AV273:AY273)</f>
        <v>7.6967000000000008</v>
      </c>
      <c r="BA273" s="1072">
        <f>BA271*BA266</f>
        <v>1.8214666125000001</v>
      </c>
      <c r="BB273" s="1072">
        <f>BB271*BB266</f>
        <v>1.97817475</v>
      </c>
      <c r="BC273" s="1072">
        <f>BC271*BC266</f>
        <v>2.2646830375000002</v>
      </c>
      <c r="BD273" s="1072">
        <f>BD271*BD266</f>
        <v>1.9728277625000001</v>
      </c>
      <c r="BE273" s="1073">
        <f>SUM(BA273:BD273)</f>
        <v>8.0371521625</v>
      </c>
      <c r="BF273" s="371">
        <f>BF271*BF266</f>
        <v>1.9752984375000002</v>
      </c>
      <c r="BG273" s="371">
        <f>BG271*BG266</f>
        <v>2.0312739624999998</v>
      </c>
      <c r="BH273" s="371">
        <f>BH271*BH266</f>
        <v>2.573447475</v>
      </c>
      <c r="BI273" s="371">
        <f>BI271*BI266</f>
        <v>2.1226945125000003</v>
      </c>
      <c r="BJ273" s="1073">
        <f>SUM(BF273:BI273)</f>
        <v>8.7027143875000004</v>
      </c>
      <c r="BK273" s="371">
        <f>BK271*BK266</f>
        <v>2.0560037375000002</v>
      </c>
      <c r="BL273" s="371">
        <f>BL271*BL266</f>
        <v>2.1623858625000003</v>
      </c>
      <c r="BM273" s="371">
        <f>BM271*BM266</f>
        <v>2.63375</v>
      </c>
      <c r="BN273" s="371">
        <f>BN271*BN266</f>
        <v>0</v>
      </c>
      <c r="BO273" s="1073">
        <f>SUM(BK273:BN273)</f>
        <v>6.8521396000000001</v>
      </c>
      <c r="BP273" s="371">
        <f>BP271*BP266</f>
        <v>0</v>
      </c>
      <c r="BQ273" s="371">
        <f>BQ271*BQ266</f>
        <v>0</v>
      </c>
      <c r="BR273" s="371">
        <f>BR271*BR266</f>
        <v>0</v>
      </c>
      <c r="BS273" s="371">
        <f>BS271*BS266</f>
        <v>0</v>
      </c>
      <c r="BT273" s="1073">
        <f>SUM(BP273:BS273)</f>
        <v>0</v>
      </c>
      <c r="BU273" s="1073">
        <f t="shared" ref="BU273:CB273" si="217">BU271*BU266</f>
        <v>0</v>
      </c>
      <c r="BV273" s="1073">
        <f t="shared" si="217"/>
        <v>0</v>
      </c>
      <c r="BW273" s="1073">
        <f t="shared" si="217"/>
        <v>0</v>
      </c>
      <c r="BX273" s="1073">
        <f t="shared" si="217"/>
        <v>0</v>
      </c>
      <c r="BY273" s="1073">
        <f t="shared" si="217"/>
        <v>0</v>
      </c>
      <c r="BZ273" s="1073">
        <f t="shared" si="217"/>
        <v>0</v>
      </c>
      <c r="CA273" s="1073">
        <f t="shared" si="217"/>
        <v>0</v>
      </c>
      <c r="CB273" s="1073">
        <f t="shared" si="217"/>
        <v>0</v>
      </c>
    </row>
    <row r="274" spans="1:80">
      <c r="A274" s="2"/>
      <c r="B274" s="2"/>
      <c r="C274" s="1082"/>
      <c r="D274" s="1082"/>
      <c r="E274" s="1082"/>
      <c r="F274" s="1082"/>
      <c r="G274" s="146"/>
      <c r="H274" s="1082"/>
      <c r="I274" s="1082"/>
      <c r="J274" s="1082"/>
      <c r="K274" s="1082"/>
      <c r="L274" s="146"/>
      <c r="M274" s="1082"/>
      <c r="N274" s="1082"/>
      <c r="O274" s="1082"/>
      <c r="P274" s="1082"/>
      <c r="Q274" s="146"/>
      <c r="R274" s="1082"/>
      <c r="S274" s="1082"/>
      <c r="T274" s="1082"/>
      <c r="U274" s="1082"/>
      <c r="V274" s="146"/>
      <c r="W274" s="1082"/>
      <c r="X274" s="1082"/>
      <c r="Y274" s="1082"/>
      <c r="Z274" s="1082"/>
      <c r="AA274" s="146"/>
      <c r="AB274" s="1082"/>
      <c r="AC274" s="1082"/>
      <c r="AD274" s="1082"/>
      <c r="AE274" s="1082"/>
      <c r="AF274" s="146"/>
      <c r="AG274" s="1082"/>
      <c r="AH274" s="1082"/>
      <c r="AI274" s="1082"/>
      <c r="AJ274" s="1082"/>
      <c r="AK274" s="146"/>
      <c r="AL274" s="1082"/>
      <c r="AM274" s="1082"/>
      <c r="AN274" s="1082"/>
      <c r="AO274" s="1082"/>
      <c r="AP274" s="146"/>
      <c r="AQ274" s="1082"/>
      <c r="AR274" s="1082"/>
      <c r="AS274" s="1082"/>
      <c r="AT274" s="1082"/>
      <c r="AU274" s="146"/>
      <c r="AV274" s="1082"/>
      <c r="AW274" s="1082"/>
      <c r="AX274" s="1082"/>
      <c r="AY274" s="1082"/>
      <c r="AZ274" s="146"/>
      <c r="BA274" s="1082"/>
      <c r="BB274" s="1082"/>
      <c r="BC274" s="1082"/>
      <c r="BD274" s="1082"/>
      <c r="BE274" s="146"/>
      <c r="BF274" s="104"/>
      <c r="BG274" s="104"/>
      <c r="BH274" s="104"/>
      <c r="BI274" s="104"/>
      <c r="BJ274" s="146"/>
      <c r="BK274" s="104"/>
      <c r="BL274" s="104"/>
      <c r="BM274" s="104"/>
      <c r="BN274" s="104"/>
      <c r="BO274" s="146"/>
      <c r="BP274" s="104"/>
      <c r="BQ274" s="104"/>
      <c r="BR274" s="104"/>
      <c r="BS274" s="104"/>
      <c r="BT274" s="146"/>
      <c r="BU274" s="146"/>
      <c r="BV274" s="146"/>
      <c r="BW274" s="146"/>
      <c r="BX274" s="146"/>
      <c r="BY274" s="146"/>
      <c r="BZ274" s="146"/>
      <c r="CA274" s="146"/>
      <c r="CB274" s="146"/>
    </row>
    <row r="275" spans="1:80">
      <c r="A275" s="2" t="s">
        <v>1654</v>
      </c>
      <c r="B275" s="2"/>
      <c r="C275" s="1066">
        <v>5.0000000000000001E-3</v>
      </c>
      <c r="D275" s="1066">
        <v>5.0000000000000001E-3</v>
      </c>
      <c r="E275" s="1066">
        <v>5.0000000000000001E-3</v>
      </c>
      <c r="F275" s="1066">
        <v>5.0000000000000001E-3</v>
      </c>
      <c r="G275" s="1067">
        <v>5.0000000000000001E-3</v>
      </c>
      <c r="H275" s="1066">
        <v>5.0000000000000001E-3</v>
      </c>
      <c r="I275" s="1066">
        <v>5.0000000000000001E-3</v>
      </c>
      <c r="J275" s="1066">
        <v>5.0000000000000001E-3</v>
      </c>
      <c r="K275" s="1066">
        <v>5.0000000000000001E-3</v>
      </c>
      <c r="L275" s="1067">
        <v>5.0000000000000001E-3</v>
      </c>
      <c r="M275" s="1066">
        <v>5.0000000000000001E-3</v>
      </c>
      <c r="N275" s="1066">
        <v>5.0000000000000001E-3</v>
      </c>
      <c r="O275" s="1066">
        <v>5.0000000000000001E-3</v>
      </c>
      <c r="P275" s="1066">
        <v>5.0000000000000001E-3</v>
      </c>
      <c r="Q275" s="1067">
        <v>5.0000000000000001E-3</v>
      </c>
      <c r="R275" s="1066">
        <v>5.0000000000000001E-3</v>
      </c>
      <c r="S275" s="1066">
        <v>5.0000000000000001E-3</v>
      </c>
      <c r="T275" s="1066">
        <v>5.0000000000000001E-3</v>
      </c>
      <c r="U275" s="1066">
        <v>5.0000000000000001E-3</v>
      </c>
      <c r="V275" s="1067">
        <v>5.0000000000000001E-3</v>
      </c>
      <c r="W275" s="1066">
        <v>5.0000000000000001E-3</v>
      </c>
      <c r="X275" s="1066">
        <v>5.0000000000000001E-3</v>
      </c>
      <c r="Y275" s="1066">
        <v>5.0000000000000001E-3</v>
      </c>
      <c r="Z275" s="1066">
        <v>5.0000000000000001E-3</v>
      </c>
      <c r="AA275" s="1067">
        <v>5.0000000000000001E-3</v>
      </c>
      <c r="AB275" s="1066">
        <v>5.0000000000000001E-3</v>
      </c>
      <c r="AC275" s="1066">
        <v>5.0000000000000001E-3</v>
      </c>
      <c r="AD275" s="1066">
        <v>5.0000000000000001E-3</v>
      </c>
      <c r="AE275" s="1066">
        <v>5.0000000000000001E-3</v>
      </c>
      <c r="AF275" s="1067">
        <v>5.0000000000000001E-3</v>
      </c>
      <c r="AG275" s="1066">
        <v>5.0000000000000001E-3</v>
      </c>
      <c r="AH275" s="1066">
        <v>5.0000000000000001E-3</v>
      </c>
      <c r="AI275" s="1066">
        <v>5.0000000000000001E-3</v>
      </c>
      <c r="AJ275" s="1066">
        <v>5.0000000000000001E-3</v>
      </c>
      <c r="AK275" s="1067">
        <v>5.0000000000000001E-3</v>
      </c>
      <c r="AL275" s="1066">
        <v>5.0000000000000001E-3</v>
      </c>
      <c r="AM275" s="1066">
        <v>5.0000000000000001E-3</v>
      </c>
      <c r="AN275" s="1066">
        <v>5.0000000000000001E-3</v>
      </c>
      <c r="AO275" s="1066">
        <v>5.0000000000000001E-3</v>
      </c>
      <c r="AP275" s="1067">
        <v>5.0000000000000001E-3</v>
      </c>
      <c r="AQ275" s="1066">
        <v>5.0000000000000001E-3</v>
      </c>
      <c r="AR275" s="1066">
        <v>5.0000000000000001E-3</v>
      </c>
      <c r="AS275" s="1066">
        <v>5.0000000000000001E-3</v>
      </c>
      <c r="AT275" s="1066">
        <v>5.0000000000000001E-3</v>
      </c>
      <c r="AU275" s="1067">
        <v>5.0000000000000001E-3</v>
      </c>
      <c r="AV275" s="1066">
        <v>5.0000000000000001E-3</v>
      </c>
      <c r="AW275" s="1066">
        <v>5.0000000000000001E-3</v>
      </c>
      <c r="AX275" s="1066">
        <v>5.0000000000000001E-3</v>
      </c>
      <c r="AY275" s="1066">
        <v>5.0000000000000001E-3</v>
      </c>
      <c r="AZ275" s="1067">
        <v>5.0000000000000001E-3</v>
      </c>
      <c r="BA275" s="1066">
        <v>5.0000000000000001E-3</v>
      </c>
      <c r="BB275" s="1066">
        <v>5.0000000000000001E-3</v>
      </c>
      <c r="BC275" s="1066">
        <v>5.0000000000000001E-3</v>
      </c>
      <c r="BD275" s="1066">
        <v>5.0000000000000001E-3</v>
      </c>
      <c r="BE275" s="1067">
        <v>5.0000000000000001E-3</v>
      </c>
      <c r="BF275" s="2919">
        <v>5.0000000000000001E-3</v>
      </c>
      <c r="BG275" s="2919">
        <v>5.0000000000000001E-3</v>
      </c>
      <c r="BH275" s="2919">
        <v>5.0000000000000001E-3</v>
      </c>
      <c r="BI275" s="2919">
        <v>5.0000000000000001E-3</v>
      </c>
      <c r="BJ275" s="1067">
        <v>5.0000000000000001E-3</v>
      </c>
      <c r="BK275" s="2919">
        <v>5.0000000000000001E-3</v>
      </c>
      <c r="BL275" s="2919">
        <v>5.0000000000000001E-3</v>
      </c>
      <c r="BM275" s="2919">
        <v>5.0000000000000001E-3</v>
      </c>
      <c r="BN275" s="2919">
        <v>5.0000000000000001E-3</v>
      </c>
      <c r="BO275" s="1067">
        <v>5.0000000000000001E-3</v>
      </c>
      <c r="BP275" s="2919">
        <v>5.0000000000000001E-3</v>
      </c>
      <c r="BQ275" s="2919">
        <v>5.0000000000000001E-3</v>
      </c>
      <c r="BR275" s="2919">
        <v>5.0000000000000001E-3</v>
      </c>
      <c r="BS275" s="2919">
        <v>5.0000000000000001E-3</v>
      </c>
      <c r="BT275" s="1067">
        <v>5.0000000000000001E-3</v>
      </c>
      <c r="BU275" s="1067">
        <v>5.0000000000000001E-3</v>
      </c>
      <c r="BV275" s="1067">
        <v>5.0000000000000001E-3</v>
      </c>
      <c r="BW275" s="1067">
        <v>5.0000000000000001E-3</v>
      </c>
      <c r="BX275" s="1067">
        <v>5.0000000000000001E-3</v>
      </c>
      <c r="BY275" s="1067">
        <v>5.0000000000000001E-3</v>
      </c>
      <c r="BZ275" s="1067">
        <v>5.0000000000000001E-3</v>
      </c>
      <c r="CA275" s="1067">
        <v>5.0000000000000001E-3</v>
      </c>
      <c r="CB275" s="1067">
        <v>5.0000000000000001E-3</v>
      </c>
    </row>
    <row r="276" spans="1:80" ht="5.25" customHeight="1">
      <c r="A276" s="2"/>
      <c r="B276" s="2"/>
      <c r="C276" s="564" t="s">
        <v>1226</v>
      </c>
      <c r="D276" s="564" t="s">
        <v>1226</v>
      </c>
      <c r="E276" s="564" t="s">
        <v>1226</v>
      </c>
      <c r="F276" s="564" t="s">
        <v>1226</v>
      </c>
      <c r="G276" s="736" t="s">
        <v>1226</v>
      </c>
      <c r="H276" s="564" t="s">
        <v>1226</v>
      </c>
      <c r="I276" s="564" t="s">
        <v>1226</v>
      </c>
      <c r="J276" s="564" t="s">
        <v>1226</v>
      </c>
      <c r="K276" s="564" t="s">
        <v>1226</v>
      </c>
      <c r="L276" s="736" t="s">
        <v>1226</v>
      </c>
      <c r="M276" s="564" t="s">
        <v>1226</v>
      </c>
      <c r="N276" s="564" t="s">
        <v>1226</v>
      </c>
      <c r="O276" s="564" t="s">
        <v>1226</v>
      </c>
      <c r="P276" s="564" t="s">
        <v>1226</v>
      </c>
      <c r="Q276" s="736" t="s">
        <v>1226</v>
      </c>
      <c r="R276" s="564" t="s">
        <v>1226</v>
      </c>
      <c r="S276" s="564" t="s">
        <v>1226</v>
      </c>
      <c r="T276" s="564" t="s">
        <v>1226</v>
      </c>
      <c r="U276" s="564" t="s">
        <v>1226</v>
      </c>
      <c r="V276" s="736" t="s">
        <v>1226</v>
      </c>
      <c r="W276" s="564" t="s">
        <v>1226</v>
      </c>
      <c r="X276" s="564" t="s">
        <v>1226</v>
      </c>
      <c r="Y276" s="564" t="s">
        <v>1226</v>
      </c>
      <c r="Z276" s="564" t="s">
        <v>1226</v>
      </c>
      <c r="AA276" s="736" t="s">
        <v>1226</v>
      </c>
      <c r="AB276" s="564" t="s">
        <v>1226</v>
      </c>
      <c r="AC276" s="564" t="s">
        <v>1226</v>
      </c>
      <c r="AD276" s="564" t="s">
        <v>1226</v>
      </c>
      <c r="AE276" s="564" t="s">
        <v>1226</v>
      </c>
      <c r="AF276" s="736" t="s">
        <v>1226</v>
      </c>
      <c r="AG276" s="564" t="s">
        <v>1226</v>
      </c>
      <c r="AH276" s="564" t="s">
        <v>1226</v>
      </c>
      <c r="AI276" s="564" t="s">
        <v>1226</v>
      </c>
      <c r="AJ276" s="564" t="s">
        <v>1226</v>
      </c>
      <c r="AK276" s="736" t="s">
        <v>1226</v>
      </c>
      <c r="AL276" s="564" t="s">
        <v>1226</v>
      </c>
      <c r="AM276" s="564" t="s">
        <v>1226</v>
      </c>
      <c r="AN276" s="564" t="s">
        <v>1226</v>
      </c>
      <c r="AO276" s="564" t="s">
        <v>1226</v>
      </c>
      <c r="AP276" s="736" t="s">
        <v>1226</v>
      </c>
      <c r="AQ276" s="564" t="s">
        <v>1226</v>
      </c>
      <c r="AR276" s="564" t="s">
        <v>1226</v>
      </c>
      <c r="AS276" s="564" t="s">
        <v>1226</v>
      </c>
      <c r="AT276" s="564" t="s">
        <v>1226</v>
      </c>
      <c r="AU276" s="736" t="s">
        <v>1226</v>
      </c>
      <c r="AV276" s="564" t="s">
        <v>1226</v>
      </c>
      <c r="AW276" s="564" t="s">
        <v>1226</v>
      </c>
      <c r="AX276" s="564" t="s">
        <v>1226</v>
      </c>
      <c r="AY276" s="564" t="s">
        <v>1226</v>
      </c>
      <c r="AZ276" s="736" t="s">
        <v>1226</v>
      </c>
      <c r="BA276" s="564" t="s">
        <v>1226</v>
      </c>
      <c r="BB276" s="564" t="s">
        <v>1226</v>
      </c>
      <c r="BC276" s="564" t="s">
        <v>1226</v>
      </c>
      <c r="BD276" s="564" t="s">
        <v>1226</v>
      </c>
      <c r="BE276" s="736" t="s">
        <v>1226</v>
      </c>
      <c r="BF276" s="564" t="s">
        <v>1226</v>
      </c>
      <c r="BG276" s="564" t="s">
        <v>1226</v>
      </c>
      <c r="BH276" s="564" t="s">
        <v>1226</v>
      </c>
      <c r="BI276" s="564" t="s">
        <v>1226</v>
      </c>
      <c r="BJ276" s="736" t="s">
        <v>1226</v>
      </c>
      <c r="BK276" s="564" t="s">
        <v>1226</v>
      </c>
      <c r="BL276" s="564" t="s">
        <v>1226</v>
      </c>
      <c r="BM276" s="564" t="s">
        <v>1226</v>
      </c>
      <c r="BN276" s="564" t="s">
        <v>1226</v>
      </c>
      <c r="BO276" s="736" t="s">
        <v>1226</v>
      </c>
      <c r="BP276" s="564" t="s">
        <v>1226</v>
      </c>
      <c r="BQ276" s="564" t="s">
        <v>1226</v>
      </c>
      <c r="BR276" s="564" t="s">
        <v>1226</v>
      </c>
      <c r="BS276" s="564" t="s">
        <v>1226</v>
      </c>
      <c r="BT276" s="736" t="s">
        <v>1226</v>
      </c>
      <c r="BU276" s="736" t="s">
        <v>1226</v>
      </c>
      <c r="BV276" s="736" t="s">
        <v>1226</v>
      </c>
      <c r="BW276" s="736" t="s">
        <v>1226</v>
      </c>
      <c r="BX276" s="736" t="s">
        <v>1226</v>
      </c>
      <c r="BY276" s="736" t="s">
        <v>1226</v>
      </c>
      <c r="BZ276" s="736" t="s">
        <v>1226</v>
      </c>
      <c r="CA276" s="736" t="s">
        <v>1226</v>
      </c>
      <c r="CB276" s="736" t="s">
        <v>1226</v>
      </c>
    </row>
    <row r="277" spans="1:80">
      <c r="A277" s="2" t="s">
        <v>737</v>
      </c>
      <c r="B277" s="2"/>
      <c r="C277" s="1072">
        <f>C275*C266</f>
        <v>0.70102000000000009</v>
      </c>
      <c r="D277" s="1072">
        <f>D275*D266</f>
        <v>0.74982499999999985</v>
      </c>
      <c r="E277" s="1072">
        <f>E275*E266</f>
        <v>0.84353500000000003</v>
      </c>
      <c r="F277" s="1072">
        <f>F275*F266</f>
        <v>0.82262000000000002</v>
      </c>
      <c r="G277" s="1073">
        <f>SUM(C277:F277)</f>
        <v>3.117</v>
      </c>
      <c r="H277" s="1072">
        <f>H275*H266</f>
        <v>0.81027000000000005</v>
      </c>
      <c r="I277" s="1072">
        <f>I275*I266</f>
        <v>0.84798000000000007</v>
      </c>
      <c r="J277" s="1072">
        <f>J275*J266</f>
        <v>0.95052999999999999</v>
      </c>
      <c r="K277" s="1072">
        <f>K275*K266</f>
        <v>0.87604500000000007</v>
      </c>
      <c r="L277" s="1073">
        <f>SUM(H277:K277)</f>
        <v>3.4848250000000003</v>
      </c>
      <c r="M277" s="1072">
        <f>M275*M266</f>
        <v>0.87128000000000005</v>
      </c>
      <c r="N277" s="1072">
        <f>N275*N266</f>
        <v>0.86427500000000002</v>
      </c>
      <c r="O277" s="1072">
        <f>O275*O266</f>
        <v>1.0773999999999999</v>
      </c>
      <c r="P277" s="1072">
        <f>P275*P266</f>
        <v>0.86277000000000004</v>
      </c>
      <c r="Q277" s="1073">
        <f>SUM(M277:P277)</f>
        <v>3.6757249999999999</v>
      </c>
      <c r="R277" s="1072">
        <f>R275*R266</f>
        <v>0.93634500000000009</v>
      </c>
      <c r="S277" s="1072">
        <f>S275*S266</f>
        <v>0.88983000000000001</v>
      </c>
      <c r="T277" s="1072">
        <f>T275*T266</f>
        <v>1.019425</v>
      </c>
      <c r="U277" s="1072">
        <f>U275*U266</f>
        <v>0.89764500000000003</v>
      </c>
      <c r="V277" s="1073">
        <f>SUM(R277:U277)</f>
        <v>3.7432449999999999</v>
      </c>
      <c r="W277" s="1072">
        <f>W275*W266</f>
        <v>0.89317999999999997</v>
      </c>
      <c r="X277" s="1072">
        <f>X275*X266</f>
        <v>0.89261000000000001</v>
      </c>
      <c r="Y277" s="1072">
        <f>Y275*Y266</f>
        <v>1.0367600000000001</v>
      </c>
      <c r="Z277" s="1072">
        <f>Z275*Z266</f>
        <v>0.84897999999999996</v>
      </c>
      <c r="AA277" s="1073">
        <f>SUM(W277:Z277)</f>
        <v>3.6715300000000002</v>
      </c>
      <c r="AB277" s="1072">
        <f>AB275*AB266</f>
        <v>0.84424499999999991</v>
      </c>
      <c r="AC277" s="1072">
        <f>AC275*AC266</f>
        <v>0.86918499999999999</v>
      </c>
      <c r="AD277" s="1072">
        <f>AD275*AD266</f>
        <v>0.97677499999999995</v>
      </c>
      <c r="AE277" s="1072">
        <f>AE275*AE266</f>
        <v>0.76693500000000003</v>
      </c>
      <c r="AF277" s="1073">
        <f>SUM(AB277:AE277)</f>
        <v>3.4571399999999999</v>
      </c>
      <c r="AG277" s="1072">
        <f>AG275*AG266</f>
        <v>0.76888000000000012</v>
      </c>
      <c r="AH277" s="1072">
        <f>AH275*AH266</f>
        <v>0.82264999999999999</v>
      </c>
      <c r="AI277" s="1072">
        <f>AI275*AI266</f>
        <v>0.88419500000000006</v>
      </c>
      <c r="AJ277" s="1072">
        <f>AJ275*AJ266</f>
        <v>0.74379499999999998</v>
      </c>
      <c r="AK277" s="1073">
        <f>SUM(AG277:AJ277)</f>
        <v>3.2195200000000002</v>
      </c>
      <c r="AL277" s="1072">
        <f>AL275*AL266</f>
        <v>0.75927999999999995</v>
      </c>
      <c r="AM277" s="1072">
        <f>AM275*AM266</f>
        <v>0.81379422500000009</v>
      </c>
      <c r="AN277" s="1072">
        <f>AN275*AN266</f>
        <v>0.88368999999999998</v>
      </c>
      <c r="AO277" s="1072">
        <f>AO275*AO266</f>
        <v>0.78855000000000008</v>
      </c>
      <c r="AP277" s="1073">
        <f>SUM(AL277:AO277)</f>
        <v>3.2453142250000004</v>
      </c>
      <c r="AQ277" s="1072">
        <f>AQ275*AQ266</f>
        <v>0.77726499999999998</v>
      </c>
      <c r="AR277" s="1072">
        <f>AR275*AR266</f>
        <v>0.76236000000000004</v>
      </c>
      <c r="AS277" s="1072">
        <f>AS275*AS266</f>
        <v>0.81180000000000008</v>
      </c>
      <c r="AT277" s="1072">
        <f>AT275*AT266</f>
        <v>0.6942100000000001</v>
      </c>
      <c r="AU277" s="1073">
        <f>SUM(AQ277:AT277)</f>
        <v>3.0456349999999999</v>
      </c>
      <c r="AV277" s="1072">
        <f>AV275*AV266</f>
        <v>0.72840000000000005</v>
      </c>
      <c r="AW277" s="1072">
        <f>AW275*AW266</f>
        <v>0.74691000000000007</v>
      </c>
      <c r="AX277" s="1072">
        <f>AX275*AX266</f>
        <v>0.88490999999999997</v>
      </c>
      <c r="AY277" s="1072">
        <f>AY275*AY266</f>
        <v>0.7184600000000001</v>
      </c>
      <c r="AZ277" s="1073">
        <f>SUM(AV277:AY277)</f>
        <v>3.0786800000000003</v>
      </c>
      <c r="BA277" s="1072">
        <f>BA275*BA266</f>
        <v>0.72858664500000003</v>
      </c>
      <c r="BB277" s="1072">
        <f>BB275*BB266</f>
        <v>0.79126989999999997</v>
      </c>
      <c r="BC277" s="1072">
        <f>BC275*BC266</f>
        <v>0.90587321500000006</v>
      </c>
      <c r="BD277" s="1072">
        <f>BD275*BD266</f>
        <v>0.78913110500000005</v>
      </c>
      <c r="BE277" s="1073">
        <f>SUM(BA277:BD277)</f>
        <v>3.2148608650000003</v>
      </c>
      <c r="BF277" s="371">
        <f>BF275*BF266</f>
        <v>0.79011937500000007</v>
      </c>
      <c r="BG277" s="371">
        <f>BG275*BG266</f>
        <v>0.81250958499999992</v>
      </c>
      <c r="BH277" s="371">
        <f>BH275*BH266</f>
        <v>1.0293789899999999</v>
      </c>
      <c r="BI277" s="371">
        <f>BI275*BI266</f>
        <v>0.84907780500000007</v>
      </c>
      <c r="BJ277" s="1073">
        <f>SUM(BF277:BI277)</f>
        <v>3.4810857550000005</v>
      </c>
      <c r="BK277" s="371">
        <f>BK275*BK266</f>
        <v>0.82240149500000004</v>
      </c>
      <c r="BL277" s="371">
        <f>BL275*BL266</f>
        <v>0.86495434500000001</v>
      </c>
      <c r="BM277" s="371">
        <f>BM275*BM266</f>
        <v>1.0534999999999999</v>
      </c>
      <c r="BN277" s="371">
        <f>BN275*BN266</f>
        <v>0</v>
      </c>
      <c r="BO277" s="1073">
        <f>SUM(BK277:BN277)</f>
        <v>2.74085584</v>
      </c>
      <c r="BP277" s="371">
        <f>BP275*BP266</f>
        <v>0</v>
      </c>
      <c r="BQ277" s="371">
        <f>BQ275*BQ266</f>
        <v>0</v>
      </c>
      <c r="BR277" s="371">
        <f>BR275*BR266</f>
        <v>0</v>
      </c>
      <c r="BS277" s="371">
        <f>BS275*BS266</f>
        <v>0</v>
      </c>
      <c r="BT277" s="1073">
        <f>SUM(BP277:BS277)</f>
        <v>0</v>
      </c>
      <c r="BU277" s="1073">
        <f t="shared" ref="BU277:CB277" si="218">BU275*BU266</f>
        <v>0</v>
      </c>
      <c r="BV277" s="1073">
        <f t="shared" si="218"/>
        <v>0</v>
      </c>
      <c r="BW277" s="1073">
        <f t="shared" si="218"/>
        <v>0</v>
      </c>
      <c r="BX277" s="1073">
        <f t="shared" si="218"/>
        <v>0</v>
      </c>
      <c r="BY277" s="1073">
        <f t="shared" si="218"/>
        <v>0</v>
      </c>
      <c r="BZ277" s="1073">
        <f t="shared" si="218"/>
        <v>0</v>
      </c>
      <c r="CA277" s="1073">
        <f t="shared" si="218"/>
        <v>0</v>
      </c>
      <c r="CB277" s="1073">
        <f t="shared" si="218"/>
        <v>0</v>
      </c>
    </row>
    <row r="278" spans="1:80">
      <c r="A278" s="2"/>
      <c r="B278" s="2"/>
      <c r="C278" s="564"/>
      <c r="D278" s="564"/>
      <c r="E278" s="564"/>
      <c r="F278" s="564"/>
      <c r="G278" s="736"/>
      <c r="H278" s="564"/>
      <c r="I278" s="564"/>
      <c r="J278" s="564"/>
      <c r="K278" s="564"/>
      <c r="L278" s="736"/>
      <c r="M278" s="564"/>
      <c r="N278" s="564"/>
      <c r="O278" s="564"/>
      <c r="P278" s="564"/>
      <c r="Q278" s="736"/>
      <c r="R278" s="564"/>
      <c r="S278" s="564"/>
      <c r="T278" s="564"/>
      <c r="U278" s="564"/>
      <c r="V278" s="736"/>
      <c r="W278" s="564"/>
      <c r="X278" s="564"/>
      <c r="Y278" s="564"/>
      <c r="Z278" s="564"/>
      <c r="AA278" s="736"/>
      <c r="AB278" s="564"/>
      <c r="AC278" s="564"/>
      <c r="AD278" s="564"/>
      <c r="AE278" s="564"/>
      <c r="AF278" s="736"/>
      <c r="AG278" s="564"/>
      <c r="AH278" s="564"/>
      <c r="AI278" s="564"/>
      <c r="AJ278" s="564"/>
      <c r="AK278" s="736"/>
      <c r="AL278" s="564"/>
      <c r="AM278" s="564"/>
      <c r="AN278" s="564"/>
      <c r="AO278" s="564"/>
      <c r="AP278" s="736"/>
      <c r="AQ278" s="564"/>
      <c r="AR278" s="564"/>
      <c r="AS278" s="564"/>
      <c r="AT278" s="564"/>
      <c r="AU278" s="736"/>
      <c r="AV278" s="564"/>
      <c r="AW278" s="564"/>
      <c r="AX278" s="564"/>
      <c r="AY278" s="564"/>
      <c r="AZ278" s="736"/>
      <c r="BA278" s="564"/>
      <c r="BB278" s="564"/>
      <c r="BC278" s="564"/>
      <c r="BD278" s="564"/>
      <c r="BE278" s="736"/>
      <c r="BF278" s="564"/>
      <c r="BG278" s="564"/>
      <c r="BH278" s="564"/>
      <c r="BI278" s="564"/>
      <c r="BJ278" s="736"/>
      <c r="BK278" s="564"/>
      <c r="BL278" s="564"/>
      <c r="BM278" s="564"/>
      <c r="BN278" s="564"/>
      <c r="BO278" s="736"/>
      <c r="BP278" s="564"/>
      <c r="BQ278" s="564"/>
      <c r="BR278" s="564"/>
      <c r="BS278" s="564"/>
      <c r="BT278" s="736"/>
      <c r="BU278" s="736"/>
      <c r="BV278" s="736"/>
      <c r="BW278" s="736"/>
      <c r="BX278" s="736"/>
      <c r="BY278" s="736"/>
      <c r="BZ278" s="736"/>
      <c r="CA278" s="736"/>
      <c r="CB278" s="736"/>
    </row>
    <row r="279" spans="1:80">
      <c r="A279" s="2" t="s">
        <v>310</v>
      </c>
      <c r="B279" s="2"/>
      <c r="C279" s="1072">
        <f t="shared" ref="C279:V279" si="219">C269+C273+C277</f>
        <v>13.669890000000002</v>
      </c>
      <c r="D279" s="1072">
        <f t="shared" si="219"/>
        <v>14.621587499999997</v>
      </c>
      <c r="E279" s="1072">
        <f t="shared" si="219"/>
        <v>16.448932500000002</v>
      </c>
      <c r="F279" s="1072">
        <f t="shared" si="219"/>
        <v>16.041090000000001</v>
      </c>
      <c r="G279" s="1073">
        <f t="shared" si="219"/>
        <v>60.781500000000001</v>
      </c>
      <c r="H279" s="1072">
        <f t="shared" si="219"/>
        <v>15.800265</v>
      </c>
      <c r="I279" s="1072">
        <f t="shared" si="219"/>
        <v>16.535610000000002</v>
      </c>
      <c r="J279" s="1072">
        <f t="shared" si="219"/>
        <v>18.535335</v>
      </c>
      <c r="K279" s="1072">
        <f t="shared" si="219"/>
        <v>17.082877500000002</v>
      </c>
      <c r="L279" s="1073">
        <f t="shared" si="219"/>
        <v>67.9540875</v>
      </c>
      <c r="M279" s="1072">
        <f t="shared" si="219"/>
        <v>16.98996</v>
      </c>
      <c r="N279" s="1072">
        <f t="shared" si="219"/>
        <v>16.853362499999999</v>
      </c>
      <c r="O279" s="1072">
        <f t="shared" si="219"/>
        <v>21.0093</v>
      </c>
      <c r="P279" s="1072">
        <f t="shared" si="219"/>
        <v>16.824015000000003</v>
      </c>
      <c r="Q279" s="1073">
        <f t="shared" si="219"/>
        <v>71.676637499999998</v>
      </c>
      <c r="R279" s="1072">
        <f t="shared" si="219"/>
        <v>18.258727500000003</v>
      </c>
      <c r="S279" s="1072">
        <f t="shared" si="219"/>
        <v>17.351685</v>
      </c>
      <c r="T279" s="1072">
        <f t="shared" si="219"/>
        <v>19.878787500000001</v>
      </c>
      <c r="U279" s="1072">
        <f t="shared" si="219"/>
        <v>17.504077500000001</v>
      </c>
      <c r="V279" s="1073">
        <f t="shared" si="219"/>
        <v>72.993277500000005</v>
      </c>
      <c r="W279" s="1072">
        <f t="shared" ref="W279:AF279" si="220">W269+W273+W277</f>
        <v>17.417010000000001</v>
      </c>
      <c r="X279" s="1072">
        <f t="shared" si="220"/>
        <v>17.405895000000001</v>
      </c>
      <c r="Y279" s="1072">
        <f t="shared" si="220"/>
        <v>20.216820000000002</v>
      </c>
      <c r="Z279" s="1072">
        <f t="shared" si="220"/>
        <v>16.555109999999999</v>
      </c>
      <c r="AA279" s="1073">
        <f t="shared" si="220"/>
        <v>71.594835000000003</v>
      </c>
      <c r="AB279" s="1072">
        <f t="shared" si="220"/>
        <v>16.462777499999998</v>
      </c>
      <c r="AC279" s="1072">
        <f t="shared" si="220"/>
        <v>16.9491075</v>
      </c>
      <c r="AD279" s="1072">
        <f t="shared" si="220"/>
        <v>19.047112500000001</v>
      </c>
      <c r="AE279" s="1072">
        <f t="shared" si="220"/>
        <v>14.955232500000001</v>
      </c>
      <c r="AF279" s="1073">
        <f t="shared" si="220"/>
        <v>67.414229999999989</v>
      </c>
      <c r="AG279" s="1072">
        <f t="shared" ref="AG279:AP279" si="221">AG269+AG273+AG277</f>
        <v>14.993160000000001</v>
      </c>
      <c r="AH279" s="1072">
        <f t="shared" si="221"/>
        <v>16.041675000000001</v>
      </c>
      <c r="AI279" s="1072">
        <f t="shared" si="221"/>
        <v>17.241802499999999</v>
      </c>
      <c r="AJ279" s="1072">
        <f t="shared" si="221"/>
        <v>14.5040025</v>
      </c>
      <c r="AK279" s="1073">
        <f t="shared" si="221"/>
        <v>62.780640000000005</v>
      </c>
      <c r="AL279" s="1072">
        <f t="shared" si="221"/>
        <v>14.805959999999999</v>
      </c>
      <c r="AM279" s="1072">
        <f t="shared" si="221"/>
        <v>15.868987387500002</v>
      </c>
      <c r="AN279" s="1072">
        <f t="shared" si="221"/>
        <v>17.231954999999999</v>
      </c>
      <c r="AO279" s="1072">
        <f t="shared" si="221"/>
        <v>15.376725000000002</v>
      </c>
      <c r="AP279" s="1073">
        <f t="shared" si="221"/>
        <v>63.283627387500005</v>
      </c>
      <c r="AQ279" s="1072">
        <f t="shared" ref="AQ279:BJ279" si="222">AQ269+AQ273+AQ277</f>
        <v>15.156667499999999</v>
      </c>
      <c r="AR279" s="1072">
        <f t="shared" si="222"/>
        <v>14.866020000000001</v>
      </c>
      <c r="AS279" s="1072">
        <f t="shared" si="222"/>
        <v>15.830100000000002</v>
      </c>
      <c r="AT279" s="1072">
        <f t="shared" si="222"/>
        <v>13.537095000000003</v>
      </c>
      <c r="AU279" s="1073">
        <f t="shared" si="222"/>
        <v>59.389882500000006</v>
      </c>
      <c r="AV279" s="1072">
        <f t="shared" si="222"/>
        <v>14.203800000000001</v>
      </c>
      <c r="AW279" s="1072">
        <f t="shared" si="222"/>
        <v>14.564745000000002</v>
      </c>
      <c r="AX279" s="1072">
        <f t="shared" si="222"/>
        <v>17.255745000000001</v>
      </c>
      <c r="AY279" s="1072">
        <f t="shared" si="222"/>
        <v>14.009970000000003</v>
      </c>
      <c r="AZ279" s="1073">
        <f t="shared" si="222"/>
        <v>60.034259999999996</v>
      </c>
      <c r="BA279" s="1072">
        <f t="shared" si="222"/>
        <v>14.207439577500001</v>
      </c>
      <c r="BB279" s="1072">
        <f t="shared" si="222"/>
        <v>15.429763049999998</v>
      </c>
      <c r="BC279" s="1072">
        <f t="shared" si="222"/>
        <v>17.664527692500002</v>
      </c>
      <c r="BD279" s="1072">
        <f t="shared" si="222"/>
        <v>15.3880565475</v>
      </c>
      <c r="BE279" s="1073">
        <f t="shared" si="222"/>
        <v>62.689786867499997</v>
      </c>
      <c r="BF279" s="371">
        <f t="shared" si="222"/>
        <v>15.4073278125</v>
      </c>
      <c r="BG279" s="371">
        <f t="shared" si="222"/>
        <v>15.843936907499998</v>
      </c>
      <c r="BH279" s="371">
        <f t="shared" si="222"/>
        <v>20.072890304999998</v>
      </c>
      <c r="BI279" s="371">
        <f t="shared" si="222"/>
        <v>16.557017197500002</v>
      </c>
      <c r="BJ279" s="1073">
        <f t="shared" si="222"/>
        <v>67.881172222499984</v>
      </c>
      <c r="BK279" s="371">
        <f t="shared" ref="BK279:BW279" si="223">BK269+BK273+BK277</f>
        <v>16.036829152500001</v>
      </c>
      <c r="BL279" s="371">
        <f t="shared" si="223"/>
        <v>16.866609727500002</v>
      </c>
      <c r="BM279" s="371">
        <f t="shared" si="223"/>
        <v>20.543249999999997</v>
      </c>
      <c r="BN279" s="371">
        <f t="shared" si="223"/>
        <v>0</v>
      </c>
      <c r="BO279" s="1073">
        <f t="shared" si="223"/>
        <v>9.5929954399999993</v>
      </c>
      <c r="BP279" s="371">
        <f>BP269+BP273+BP277</f>
        <v>0</v>
      </c>
      <c r="BQ279" s="371">
        <f>BQ269+BQ273+BQ277</f>
        <v>0</v>
      </c>
      <c r="BR279" s="371">
        <f>BR269+BR273+BR277</f>
        <v>0</v>
      </c>
      <c r="BS279" s="371">
        <f>BS269+BS273+BS277</f>
        <v>0</v>
      </c>
      <c r="BT279" s="1073">
        <f>BT269+BT273+BT277</f>
        <v>0</v>
      </c>
      <c r="BU279" s="1073">
        <f t="shared" si="223"/>
        <v>0</v>
      </c>
      <c r="BV279" s="1073">
        <f t="shared" si="223"/>
        <v>0</v>
      </c>
      <c r="BW279" s="1073">
        <f t="shared" si="223"/>
        <v>0</v>
      </c>
      <c r="BX279" s="1073">
        <f>BX269+BX273+BX277</f>
        <v>0</v>
      </c>
      <c r="BY279" s="1073">
        <f>BY269+BY273+BY277</f>
        <v>0</v>
      </c>
      <c r="BZ279" s="1073">
        <f>BZ269+BZ273+BZ277</f>
        <v>0</v>
      </c>
      <c r="CA279" s="1073">
        <f>CA269+CA273+CA277</f>
        <v>0</v>
      </c>
      <c r="CB279" s="1073">
        <f>CB269+CB273+CB277</f>
        <v>0</v>
      </c>
    </row>
    <row r="280" spans="1:80">
      <c r="A280" s="2"/>
      <c r="B280" s="2"/>
      <c r="C280" s="2"/>
      <c r="D280" s="2"/>
      <c r="E280" s="2"/>
      <c r="F280" s="2"/>
      <c r="G280" s="112"/>
      <c r="H280" s="2"/>
      <c r="I280" s="2"/>
      <c r="J280" s="2"/>
      <c r="K280" s="2"/>
      <c r="L280" s="112"/>
      <c r="M280" s="2"/>
      <c r="N280" s="2"/>
      <c r="O280" s="2"/>
      <c r="P280" s="2"/>
      <c r="Q280" s="112"/>
      <c r="R280" s="2"/>
      <c r="S280" s="2"/>
      <c r="T280" s="2"/>
      <c r="U280" s="2"/>
      <c r="V280" s="112"/>
      <c r="W280" s="2"/>
      <c r="X280" s="2"/>
      <c r="Y280" s="2"/>
      <c r="Z280" s="2"/>
      <c r="AA280" s="112"/>
      <c r="AB280" s="2"/>
      <c r="AC280" s="2"/>
      <c r="AD280" s="2"/>
      <c r="AE280" s="2"/>
      <c r="AF280" s="112"/>
      <c r="AG280" s="2"/>
      <c r="AH280" s="2"/>
      <c r="AI280" s="2"/>
      <c r="AJ280" s="2"/>
      <c r="AK280" s="112"/>
      <c r="AL280" s="2"/>
      <c r="AM280" s="2"/>
      <c r="AN280" s="2"/>
      <c r="AO280" s="2"/>
      <c r="AP280" s="112"/>
      <c r="AQ280" s="2"/>
      <c r="AR280" s="2"/>
      <c r="AS280" s="2"/>
      <c r="AT280" s="2"/>
      <c r="AU280" s="112"/>
      <c r="AV280" s="2"/>
      <c r="AW280" s="2"/>
      <c r="AX280" s="2"/>
      <c r="AY280" s="2"/>
      <c r="AZ280" s="112"/>
      <c r="BA280" s="2"/>
      <c r="BB280" s="2"/>
      <c r="BC280" s="2"/>
      <c r="BD280" s="2"/>
      <c r="BE280" s="112"/>
      <c r="BF280" s="77"/>
      <c r="BG280" s="77"/>
      <c r="BH280" s="77"/>
      <c r="BI280" s="77"/>
      <c r="BJ280" s="112"/>
      <c r="BK280" s="77"/>
      <c r="BL280" s="77"/>
      <c r="BM280" s="77"/>
      <c r="BN280" s="77"/>
      <c r="BO280" s="112"/>
      <c r="BP280" s="77"/>
      <c r="BQ280" s="77"/>
      <c r="BR280" s="77"/>
      <c r="BS280" s="77"/>
      <c r="BT280" s="112"/>
      <c r="BU280" s="112"/>
      <c r="BV280" s="112"/>
      <c r="BW280" s="112"/>
      <c r="BX280" s="112"/>
      <c r="BY280" s="112"/>
      <c r="BZ280" s="112"/>
      <c r="CA280" s="112"/>
      <c r="CB280" s="112"/>
    </row>
    <row r="281" spans="1:80">
      <c r="A281" s="2" t="s">
        <v>896</v>
      </c>
      <c r="B281" s="2"/>
      <c r="C281" s="1072">
        <f>BYD!D906</f>
        <v>145.88900000000001</v>
      </c>
      <c r="D281" s="1072">
        <f>BYD!E906</f>
        <v>164.941</v>
      </c>
      <c r="E281" s="1072">
        <f>BYD!F906</f>
        <v>186.143</v>
      </c>
      <c r="F281" s="1072">
        <f>BYD!G906</f>
        <v>179.446</v>
      </c>
      <c r="G281" s="1073">
        <f>BYD!H906</f>
        <v>676.4190000000001</v>
      </c>
      <c r="H281" s="1072">
        <f>BYD!I906</f>
        <v>172.13399999999999</v>
      </c>
      <c r="I281" s="1072">
        <f>BYD!J906</f>
        <v>184.386</v>
      </c>
      <c r="J281" s="1072">
        <f>BYD!K906</f>
        <v>213.524</v>
      </c>
      <c r="K281" s="1072">
        <f>BYD!L906</f>
        <v>193.93899999999999</v>
      </c>
      <c r="L281" s="1073">
        <f>BYD!M906</f>
        <v>763.98299999999995</v>
      </c>
      <c r="M281" s="1072">
        <f>BYD!N906</f>
        <v>187.56800000000001</v>
      </c>
      <c r="N281" s="1072">
        <f>BYD!O906</f>
        <v>189.37200000000001</v>
      </c>
      <c r="O281" s="1072">
        <f>BYD!P906</f>
        <v>237.48500000000001</v>
      </c>
      <c r="P281" s="1072">
        <f>BYD!Q906</f>
        <v>198.84</v>
      </c>
      <c r="Q281" s="1073">
        <f>BYD!R906</f>
        <v>813.2650000000001</v>
      </c>
      <c r="R281" s="1072">
        <f>BYD!S906</f>
        <v>203.73</v>
      </c>
      <c r="S281" s="1072">
        <f>BYD!T906</f>
        <v>202.09899999999999</v>
      </c>
      <c r="T281" s="1072">
        <f>BYD!U906</f>
        <v>230.08799999999999</v>
      </c>
      <c r="U281" s="1072">
        <f>BYD!V906</f>
        <v>202.726</v>
      </c>
      <c r="V281" s="1073">
        <f>BYD!W906</f>
        <v>838.64299999999992</v>
      </c>
      <c r="W281" s="1072">
        <f>BYD!X906</f>
        <v>202.024</v>
      </c>
      <c r="X281" s="1072">
        <f>BYD!Y906</f>
        <v>205.06100000000001</v>
      </c>
      <c r="Y281" s="1072">
        <f>BYD!Z906</f>
        <v>239.92099999999999</v>
      </c>
      <c r="Z281" s="1072">
        <f>BYD!AA906</f>
        <v>183.483</v>
      </c>
      <c r="AA281" s="1073">
        <f>BYD!AB906</f>
        <v>830.48900000000003</v>
      </c>
      <c r="AB281" s="1072">
        <f>BYD!AC906</f>
        <v>187.89</v>
      </c>
      <c r="AC281" s="1072">
        <f>BYD!AD906</f>
        <v>191.51300000000001</v>
      </c>
      <c r="AD281" s="1072">
        <f>BYD!AE906</f>
        <v>222.59700000000001</v>
      </c>
      <c r="AE281" s="1072">
        <f>BYD!AF906</f>
        <v>175.40799999999999</v>
      </c>
      <c r="AF281" s="1073">
        <f>BYD!AG906</f>
        <v>777.40800000000002</v>
      </c>
      <c r="AG281" s="1072">
        <f>BYD!AH906</f>
        <v>175.066</v>
      </c>
      <c r="AH281" s="1072">
        <f>BYD!AI906</f>
        <v>186.892</v>
      </c>
      <c r="AI281" s="1072">
        <f>BYD!AJ906</f>
        <v>207.68700000000001</v>
      </c>
      <c r="AJ281" s="1072">
        <f>BYD!AK906</f>
        <v>168.786</v>
      </c>
      <c r="AK281" s="1073">
        <f>BYD!AL906</f>
        <v>738.43100000000004</v>
      </c>
      <c r="AL281" s="1072">
        <f>BYD!AM906</f>
        <v>169.09</v>
      </c>
      <c r="AM281" s="1072">
        <f>BYD!AN906</f>
        <v>182.756</v>
      </c>
      <c r="AN281" s="1072">
        <f>BYD!AO906</f>
        <v>202.018</v>
      </c>
      <c r="AO281" s="1072">
        <f>BYD!AP906</f>
        <v>176.41</v>
      </c>
      <c r="AP281" s="1073">
        <f>BYD!AQ906</f>
        <v>730.274</v>
      </c>
      <c r="AQ281" s="1072">
        <f>BYD!AR906</f>
        <v>176.15</v>
      </c>
      <c r="AR281" s="1072">
        <f>BYD!AS906</f>
        <v>175.416</v>
      </c>
      <c r="AS281" s="1072">
        <f>BYD!AT906</f>
        <v>187.09100000000001</v>
      </c>
      <c r="AT281" s="1072">
        <f>BYD!AU906</f>
        <v>147.565</v>
      </c>
      <c r="AU281" s="1073">
        <f>BYD!AV906</f>
        <v>686.22200000000009</v>
      </c>
      <c r="AV281" s="1072">
        <f>BYD!AW906</f>
        <v>165.64400000000001</v>
      </c>
      <c r="AW281" s="1072">
        <f>BYD!AX906</f>
        <v>172.87700000000001</v>
      </c>
      <c r="AX281" s="1072">
        <f>BYD!AY906</f>
        <v>200.05099999999999</v>
      </c>
      <c r="AY281" s="1072">
        <f>BYD!AZ906</f>
        <v>157.12799999999999</v>
      </c>
      <c r="AZ281" s="1073">
        <f>BYD!BA906</f>
        <v>695.69899999999996</v>
      </c>
      <c r="BA281" s="1072">
        <f>BYD!BB906</f>
        <v>167.26400000000001</v>
      </c>
      <c r="BB281" s="1072">
        <f>BYD!BC906</f>
        <v>181.85400000000001</v>
      </c>
      <c r="BC281" s="1072">
        <f>BYD!BD906</f>
        <v>209.946</v>
      </c>
      <c r="BD281" s="1072">
        <f>BYD!BE906</f>
        <v>179.14699999999999</v>
      </c>
      <c r="BE281" s="1073">
        <f>BYD!BF906</f>
        <v>738.21100000000001</v>
      </c>
      <c r="BF281" s="371">
        <f>BYD!BG906</f>
        <v>182.589</v>
      </c>
      <c r="BG281" s="371">
        <f>BYD!BH906</f>
        <v>191.16300000000001</v>
      </c>
      <c r="BH281" s="371">
        <f>BYD!BI906</f>
        <v>237.46100000000001</v>
      </c>
      <c r="BI281" s="371">
        <f>BYD!BJ906</f>
        <v>192.953</v>
      </c>
      <c r="BJ281" s="1073">
        <f>BYD!BK906</f>
        <v>804.16599999999994</v>
      </c>
      <c r="BK281" s="371">
        <f>BYD!BL906</f>
        <v>190.29300000000001</v>
      </c>
      <c r="BL281" s="371">
        <f>BYD!BM906</f>
        <v>203.34700000000001</v>
      </c>
      <c r="BM281" s="371">
        <f>BYD!BN906</f>
        <v>212.72395650069535</v>
      </c>
      <c r="BN281" s="371">
        <f>BYD!BO906</f>
        <v>0</v>
      </c>
      <c r="BO281" s="1073">
        <f>BYD!BP906</f>
        <v>0</v>
      </c>
      <c r="BP281" s="371">
        <f>BYD!BQ906</f>
        <v>0</v>
      </c>
      <c r="BQ281" s="371">
        <f>BYD!BR906</f>
        <v>0</v>
      </c>
      <c r="BR281" s="371">
        <f>BYD!BS906</f>
        <v>0</v>
      </c>
      <c r="BS281" s="371">
        <f>BYD!BT906</f>
        <v>0</v>
      </c>
      <c r="BT281" s="1073">
        <f>BYD!BU906</f>
        <v>0</v>
      </c>
      <c r="BU281" s="1073">
        <f>BYD!BZ906</f>
        <v>0</v>
      </c>
      <c r="BV281" s="1073">
        <f>BYD!CA906</f>
        <v>0</v>
      </c>
      <c r="BW281" s="1073">
        <f>BYD!CB906</f>
        <v>0</v>
      </c>
      <c r="BX281" s="1073">
        <f>BYD!CC906</f>
        <v>48.966138539522866</v>
      </c>
      <c r="BY281" s="1073">
        <f>BYD!CD906</f>
        <v>46.517831612546729</v>
      </c>
      <c r="BZ281" s="1073">
        <f>BYD!CE906</f>
        <v>47.448188244797656</v>
      </c>
      <c r="CA281" s="1073">
        <f>BYD!CF906</f>
        <v>48.397152009693613</v>
      </c>
      <c r="CB281" s="1073">
        <f>BYD!CG906</f>
        <v>49.365095049887486</v>
      </c>
    </row>
    <row r="282" spans="1:80">
      <c r="A282" s="2" t="s">
        <v>922</v>
      </c>
      <c r="B282" s="2"/>
      <c r="C282" s="1083">
        <v>44.744</v>
      </c>
      <c r="D282" s="1083">
        <v>41.585999999999999</v>
      </c>
      <c r="E282" s="1083">
        <v>47.960999999999999</v>
      </c>
      <c r="F282" s="1083">
        <v>41.841000000000001</v>
      </c>
      <c r="G282" s="1073">
        <f>SUM(C282:F282)</f>
        <v>176.13200000000001</v>
      </c>
      <c r="H282" s="1083">
        <v>43.430999999999997</v>
      </c>
      <c r="I282" s="1083">
        <v>46.167999999999999</v>
      </c>
      <c r="J282" s="1083">
        <v>48.545000000000002</v>
      </c>
      <c r="K282" s="1083">
        <v>42.578000000000003</v>
      </c>
      <c r="L282" s="1073">
        <f>SUM(H282:K282)</f>
        <v>180.72200000000001</v>
      </c>
      <c r="M282" s="1083">
        <v>42.789000000000001</v>
      </c>
      <c r="N282" s="1072">
        <f>N283*N281</f>
        <v>47.416433438547401</v>
      </c>
      <c r="O282" s="1072">
        <f>O283*O281</f>
        <v>53.992569102302326</v>
      </c>
      <c r="P282" s="1072">
        <f>P283*P281</f>
        <v>43.653981509649945</v>
      </c>
      <c r="Q282" s="1073">
        <f>SUM(M282:P282)</f>
        <v>187.85198405049968</v>
      </c>
      <c r="R282" s="1072">
        <f>R283*R281</f>
        <v>46.47596055830418</v>
      </c>
      <c r="S282" s="1072">
        <f>S283*S281</f>
        <v>50.603118631566389</v>
      </c>
      <c r="T282" s="1072">
        <f>T283*T281</f>
        <v>52.310850115209533</v>
      </c>
      <c r="U282" s="1072">
        <f>U283*U281</f>
        <v>44.507126611975934</v>
      </c>
      <c r="V282" s="1073">
        <f>SUM(R282:U282)</f>
        <v>193.89705591705604</v>
      </c>
      <c r="W282" s="1072">
        <f>W283*W281</f>
        <v>46.086778853535783</v>
      </c>
      <c r="X282" s="1072">
        <f>X283*X281</f>
        <v>51.344767216599962</v>
      </c>
      <c r="Y282" s="1072">
        <f>Y283*Y281</f>
        <v>54.546397337067496</v>
      </c>
      <c r="Z282" s="1072">
        <f>Z283*Z281</f>
        <v>40.282455689675622</v>
      </c>
      <c r="AA282" s="1073">
        <f>SUM(W282:Z282)</f>
        <v>192.26039909687887</v>
      </c>
      <c r="AB282" s="1072">
        <f>AB283*AB281</f>
        <v>42.862456335835532</v>
      </c>
      <c r="AC282" s="1072">
        <f>AC283*AC281</f>
        <v>47.952513661557823</v>
      </c>
      <c r="AD282" s="1072">
        <f>AD283*AD281</f>
        <v>50.607760087858985</v>
      </c>
      <c r="AE282" s="1072">
        <f>AE283*AE281</f>
        <v>38.509643877714126</v>
      </c>
      <c r="AF282" s="1073">
        <f>SUM(AB282:AE282)</f>
        <v>179.93237396296647</v>
      </c>
      <c r="AG282" s="1072">
        <f>AG283*AG281</f>
        <v>39.936977917341977</v>
      </c>
      <c r="AH282" s="1072">
        <f>AH283*AH281</f>
        <v>46.79547176032888</v>
      </c>
      <c r="AI282" s="1072">
        <f>AI283*AI281</f>
        <v>47.217949340589357</v>
      </c>
      <c r="AJ282" s="1072">
        <f>AJ283*AJ281</f>
        <v>37.055828420276484</v>
      </c>
      <c r="AK282" s="1073">
        <f>SUM(AG282:AJ282)</f>
        <v>171.00622743853671</v>
      </c>
      <c r="AL282" s="1072">
        <f>AL283*AL281</f>
        <v>38.573701324319714</v>
      </c>
      <c r="AM282" s="1072">
        <f>AM283*AM281</f>
        <v>45.759867929235412</v>
      </c>
      <c r="AN282" s="1072">
        <f>AN283*AN281</f>
        <v>45.929093731852163</v>
      </c>
      <c r="AO282" s="1072">
        <f>AO283*AO281</f>
        <v>38.729626222678263</v>
      </c>
      <c r="AP282" s="1073">
        <f>SUM(AL282:AO282)</f>
        <v>168.99228920808557</v>
      </c>
      <c r="AQ282" s="1072">
        <f>AQ283*AQ281</f>
        <v>40.184265706303847</v>
      </c>
      <c r="AR282" s="1072">
        <f>AR283*AR281</f>
        <v>43.922021671927375</v>
      </c>
      <c r="AS282" s="1072">
        <f>AS283*AS281</f>
        <v>42.53541800921677</v>
      </c>
      <c r="AT282" s="1072">
        <f>AT283*AT281</f>
        <v>32.396900932767522</v>
      </c>
      <c r="AU282" s="1073">
        <f>SUM(AQ282:AT282)</f>
        <v>159.03860632021554</v>
      </c>
      <c r="AV282" s="1072">
        <f>AV283*AV281</f>
        <v>37.787581655719528</v>
      </c>
      <c r="AW282" s="1072">
        <f>AW283*AW281</f>
        <v>43.286287115073819</v>
      </c>
      <c r="AX282" s="1072">
        <f>AX283*AX281</f>
        <v>45.481893346883723</v>
      </c>
      <c r="AY282" s="1072">
        <f>AY283*AY281</f>
        <v>34.49639311329851</v>
      </c>
      <c r="AZ282" s="1073">
        <f>SUM(AV282:AY282)</f>
        <v>161.05215523097559</v>
      </c>
      <c r="BA282" s="1072">
        <f>BA283*BA281</f>
        <v>38.157144587562911</v>
      </c>
      <c r="BB282" s="1072">
        <f>BB283*BB281</f>
        <v>45.534018157560773</v>
      </c>
      <c r="BC282" s="1072">
        <f>BC283*BC281</f>
        <v>47.731536361252132</v>
      </c>
      <c r="BD282" s="1072">
        <f>BD283*BD281</f>
        <v>39.330516121048369</v>
      </c>
      <c r="BE282" s="1073">
        <f>SUM(BA282:BD282)</f>
        <v>170.75321522742416</v>
      </c>
      <c r="BF282" s="371">
        <f>BF283*BF281</f>
        <v>42.241965149999999</v>
      </c>
      <c r="BG282" s="371">
        <f>BG283*BG281</f>
        <v>44.225560050000006</v>
      </c>
      <c r="BH282" s="371">
        <f>BH283*BH281</f>
        <v>54.936602350000001</v>
      </c>
      <c r="BI282" s="371">
        <f>BI283*BI281</f>
        <v>44.639676549999997</v>
      </c>
      <c r="BJ282" s="1073">
        <f>SUM(BF282:BI282)</f>
        <v>186.04380409999999</v>
      </c>
      <c r="BK282" s="371">
        <f>BK283*BK281</f>
        <v>44.024285550000002</v>
      </c>
      <c r="BL282" s="371">
        <f>BL283*BL281</f>
        <v>47.044328450000002</v>
      </c>
      <c r="BM282" s="371">
        <f>BM283*BM281</f>
        <v>49.213687336435868</v>
      </c>
      <c r="BN282" s="371">
        <f>BN283*BN281</f>
        <v>0</v>
      </c>
      <c r="BO282" s="1073">
        <f>SUM(BK282:BN282)</f>
        <v>140.28230133643586</v>
      </c>
      <c r="BP282" s="371">
        <f>BP283*BP281</f>
        <v>0</v>
      </c>
      <c r="BQ282" s="371">
        <f>BQ283*BQ281</f>
        <v>0</v>
      </c>
      <c r="BR282" s="371">
        <f>BR283*BR281</f>
        <v>0</v>
      </c>
      <c r="BS282" s="371">
        <f>BS283*BS281</f>
        <v>0</v>
      </c>
      <c r="BT282" s="1073">
        <f>SUM(BP282:BS282)</f>
        <v>0</v>
      </c>
      <c r="BU282" s="1073">
        <f t="shared" ref="BU282:CB282" si="224">BU283*BU281</f>
        <v>0</v>
      </c>
      <c r="BV282" s="1073">
        <f t="shared" si="224"/>
        <v>0</v>
      </c>
      <c r="BW282" s="1073">
        <f t="shared" si="224"/>
        <v>0</v>
      </c>
      <c r="BX282" s="1073">
        <f t="shared" si="224"/>
        <v>11.328316151118615</v>
      </c>
      <c r="BY282" s="1073">
        <f t="shared" si="224"/>
        <v>10.761900343562687</v>
      </c>
      <c r="BZ282" s="1073">
        <f t="shared" si="224"/>
        <v>10.977138350433938</v>
      </c>
      <c r="CA282" s="1073">
        <f t="shared" si="224"/>
        <v>11.196681117442617</v>
      </c>
      <c r="CB282" s="1073">
        <f t="shared" si="224"/>
        <v>11.420614739791469</v>
      </c>
    </row>
    <row r="283" spans="1:80">
      <c r="A283" s="2" t="s">
        <v>1659</v>
      </c>
      <c r="B283" s="2"/>
      <c r="C283" s="126">
        <f t="shared" ref="C283:M283" si="225">C282/C281</f>
        <v>0.30669892863752579</v>
      </c>
      <c r="D283" s="126">
        <f t="shared" si="225"/>
        <v>0.25212651796703062</v>
      </c>
      <c r="E283" s="126">
        <f t="shared" si="225"/>
        <v>0.25765674776918818</v>
      </c>
      <c r="F283" s="126">
        <f t="shared" si="225"/>
        <v>0.23316763817527278</v>
      </c>
      <c r="G283" s="1145">
        <f t="shared" si="225"/>
        <v>0.26038890096227335</v>
      </c>
      <c r="H283" s="126">
        <f t="shared" si="225"/>
        <v>0.25230924744675659</v>
      </c>
      <c r="I283" s="126">
        <f t="shared" si="225"/>
        <v>0.25038777347520963</v>
      </c>
      <c r="J283" s="126">
        <f t="shared" si="225"/>
        <v>0.22735149210393213</v>
      </c>
      <c r="K283" s="126">
        <f t="shared" si="225"/>
        <v>0.21954325844724373</v>
      </c>
      <c r="L283" s="1145">
        <f t="shared" si="225"/>
        <v>0.23655238401901615</v>
      </c>
      <c r="M283" s="126">
        <f t="shared" si="225"/>
        <v>0.2281252665699906</v>
      </c>
      <c r="N283" s="1088">
        <f t="shared" ref="N283:V283" si="226">I283</f>
        <v>0.25038777347520963</v>
      </c>
      <c r="O283" s="1088">
        <f t="shared" si="226"/>
        <v>0.22735149210393213</v>
      </c>
      <c r="P283" s="1088">
        <f t="shared" si="226"/>
        <v>0.21954325844724373</v>
      </c>
      <c r="Q283" s="1089">
        <f t="shared" si="226"/>
        <v>0.23655238401901615</v>
      </c>
      <c r="R283" s="1088">
        <f t="shared" si="226"/>
        <v>0.2281252665699906</v>
      </c>
      <c r="S283" s="1088">
        <f t="shared" si="226"/>
        <v>0.25038777347520963</v>
      </c>
      <c r="T283" s="1088">
        <f t="shared" si="226"/>
        <v>0.22735149210393213</v>
      </c>
      <c r="U283" s="1088">
        <f t="shared" si="226"/>
        <v>0.21954325844724373</v>
      </c>
      <c r="V283" s="1089">
        <f t="shared" si="226"/>
        <v>0.23655238401901615</v>
      </c>
      <c r="W283" s="1088">
        <f t="shared" ref="W283:AF283" si="227">R283</f>
        <v>0.2281252665699906</v>
      </c>
      <c r="X283" s="1088">
        <f t="shared" si="227"/>
        <v>0.25038777347520963</v>
      </c>
      <c r="Y283" s="1088">
        <f t="shared" si="227"/>
        <v>0.22735149210393213</v>
      </c>
      <c r="Z283" s="1088">
        <f t="shared" si="227"/>
        <v>0.21954325844724373</v>
      </c>
      <c r="AA283" s="1089">
        <f t="shared" si="227"/>
        <v>0.23655238401901615</v>
      </c>
      <c r="AB283" s="1088">
        <f t="shared" si="227"/>
        <v>0.2281252665699906</v>
      </c>
      <c r="AC283" s="1088">
        <f t="shared" si="227"/>
        <v>0.25038777347520963</v>
      </c>
      <c r="AD283" s="1088">
        <f t="shared" si="227"/>
        <v>0.22735149210393213</v>
      </c>
      <c r="AE283" s="1088">
        <f t="shared" si="227"/>
        <v>0.21954325844724373</v>
      </c>
      <c r="AF283" s="1089">
        <f t="shared" si="227"/>
        <v>0.23655238401901615</v>
      </c>
      <c r="AG283" s="1088">
        <f t="shared" ref="AG283:AP283" si="228">AB283</f>
        <v>0.2281252665699906</v>
      </c>
      <c r="AH283" s="1088">
        <f t="shared" si="228"/>
        <v>0.25038777347520963</v>
      </c>
      <c r="AI283" s="1088">
        <f t="shared" si="228"/>
        <v>0.22735149210393213</v>
      </c>
      <c r="AJ283" s="1088">
        <f t="shared" si="228"/>
        <v>0.21954325844724373</v>
      </c>
      <c r="AK283" s="1089">
        <f t="shared" si="228"/>
        <v>0.23655238401901615</v>
      </c>
      <c r="AL283" s="1088">
        <f t="shared" si="228"/>
        <v>0.2281252665699906</v>
      </c>
      <c r="AM283" s="1088">
        <f t="shared" si="228"/>
        <v>0.25038777347520963</v>
      </c>
      <c r="AN283" s="1088">
        <f t="shared" si="228"/>
        <v>0.22735149210393213</v>
      </c>
      <c r="AO283" s="1088">
        <f t="shared" si="228"/>
        <v>0.21954325844724373</v>
      </c>
      <c r="AP283" s="1089">
        <f t="shared" si="228"/>
        <v>0.23655238401901615</v>
      </c>
      <c r="AQ283" s="1088">
        <f t="shared" ref="AQ283:BE283" si="229">AL283</f>
        <v>0.2281252665699906</v>
      </c>
      <c r="AR283" s="1088">
        <f t="shared" si="229"/>
        <v>0.25038777347520963</v>
      </c>
      <c r="AS283" s="1088">
        <f t="shared" si="229"/>
        <v>0.22735149210393213</v>
      </c>
      <c r="AT283" s="1088">
        <f t="shared" si="229"/>
        <v>0.21954325844724373</v>
      </c>
      <c r="AU283" s="1089">
        <f t="shared" si="229"/>
        <v>0.23655238401901615</v>
      </c>
      <c r="AV283" s="1088">
        <f t="shared" si="229"/>
        <v>0.2281252665699906</v>
      </c>
      <c r="AW283" s="1088">
        <f t="shared" si="229"/>
        <v>0.25038777347520963</v>
      </c>
      <c r="AX283" s="1088">
        <f t="shared" si="229"/>
        <v>0.22735149210393213</v>
      </c>
      <c r="AY283" s="1088">
        <f t="shared" si="229"/>
        <v>0.21954325844724373</v>
      </c>
      <c r="AZ283" s="1089">
        <f t="shared" si="229"/>
        <v>0.23655238401901615</v>
      </c>
      <c r="BA283" s="1088">
        <f t="shared" si="229"/>
        <v>0.2281252665699906</v>
      </c>
      <c r="BB283" s="1088">
        <f t="shared" si="229"/>
        <v>0.25038777347520963</v>
      </c>
      <c r="BC283" s="1088">
        <f t="shared" si="229"/>
        <v>0.22735149210393213</v>
      </c>
      <c r="BD283" s="1088">
        <f t="shared" si="229"/>
        <v>0.21954325844724373</v>
      </c>
      <c r="BE283" s="1089">
        <f t="shared" si="229"/>
        <v>0.23655238401901615</v>
      </c>
      <c r="BF283" s="2920">
        <v>0.23135</v>
      </c>
      <c r="BG283" s="2920">
        <v>0.23135</v>
      </c>
      <c r="BH283" s="2920">
        <v>0.23135</v>
      </c>
      <c r="BI283" s="2920">
        <v>0.23135</v>
      </c>
      <c r="BJ283" s="1089">
        <v>0.23135</v>
      </c>
      <c r="BK283" s="2920">
        <v>0.23135</v>
      </c>
      <c r="BL283" s="2920">
        <v>0.23135</v>
      </c>
      <c r="BM283" s="2920">
        <v>0.23135</v>
      </c>
      <c r="BN283" s="2920">
        <v>0.23135</v>
      </c>
      <c r="BO283" s="1089">
        <v>0.23135</v>
      </c>
      <c r="BP283" s="2920">
        <v>0.23135</v>
      </c>
      <c r="BQ283" s="2920">
        <v>0.23135</v>
      </c>
      <c r="BR283" s="2920">
        <v>0.23135</v>
      </c>
      <c r="BS283" s="2920">
        <v>0.23135</v>
      </c>
      <c r="BT283" s="1089">
        <v>0.23135</v>
      </c>
      <c r="BU283" s="1089">
        <v>0.23135</v>
      </c>
      <c r="BV283" s="1089">
        <v>0.23135</v>
      </c>
      <c r="BW283" s="1089">
        <v>0.23135</v>
      </c>
      <c r="BX283" s="1089">
        <v>0.23135</v>
      </c>
      <c r="BY283" s="1089">
        <v>0.23135</v>
      </c>
      <c r="BZ283" s="1089">
        <v>0.23135</v>
      </c>
      <c r="CA283" s="1089">
        <v>0.23135</v>
      </c>
      <c r="CB283" s="1089">
        <v>0.23135</v>
      </c>
    </row>
    <row r="284" spans="1:80">
      <c r="A284" s="2" t="s">
        <v>1089</v>
      </c>
      <c r="B284" s="2"/>
      <c r="C284" s="126">
        <f t="shared" ref="C284:M284" si="230">C282/C266</f>
        <v>0.31913497475107699</v>
      </c>
      <c r="D284" s="126">
        <f t="shared" si="230"/>
        <v>0.27730470443103394</v>
      </c>
      <c r="E284" s="126">
        <f t="shared" si="230"/>
        <v>0.28428577356007756</v>
      </c>
      <c r="F284" s="126">
        <f t="shared" si="230"/>
        <v>0.25431547980841701</v>
      </c>
      <c r="G284" s="1145">
        <f t="shared" si="230"/>
        <v>0.28253448829002248</v>
      </c>
      <c r="H284" s="126">
        <f t="shared" si="230"/>
        <v>0.26800325817320153</v>
      </c>
      <c r="I284" s="126">
        <f t="shared" si="230"/>
        <v>0.27222340149531826</v>
      </c>
      <c r="J284" s="126">
        <f t="shared" si="230"/>
        <v>0.25535753737388617</v>
      </c>
      <c r="K284" s="126">
        <f t="shared" si="230"/>
        <v>0.2430126306297051</v>
      </c>
      <c r="L284" s="1145">
        <f t="shared" si="230"/>
        <v>0.25929853005531128</v>
      </c>
      <c r="M284" s="126">
        <f t="shared" si="230"/>
        <v>0.24555252042971262</v>
      </c>
      <c r="N284" s="1088">
        <f t="shared" ref="N284:V284" si="231">M284</f>
        <v>0.24555252042971262</v>
      </c>
      <c r="O284" s="1088">
        <f t="shared" si="231"/>
        <v>0.24555252042971262</v>
      </c>
      <c r="P284" s="1088">
        <f t="shared" si="231"/>
        <v>0.24555252042971262</v>
      </c>
      <c r="Q284" s="1089">
        <f t="shared" si="231"/>
        <v>0.24555252042971262</v>
      </c>
      <c r="R284" s="1088">
        <f t="shared" si="231"/>
        <v>0.24555252042971262</v>
      </c>
      <c r="S284" s="1088">
        <f t="shared" si="231"/>
        <v>0.24555252042971262</v>
      </c>
      <c r="T284" s="1088">
        <f t="shared" si="231"/>
        <v>0.24555252042971262</v>
      </c>
      <c r="U284" s="1088">
        <f t="shared" si="231"/>
        <v>0.24555252042971262</v>
      </c>
      <c r="V284" s="1089">
        <f t="shared" si="231"/>
        <v>0.24555252042971262</v>
      </c>
      <c r="W284" s="1088">
        <f t="shared" ref="W284:AF284" si="232">V284</f>
        <v>0.24555252042971262</v>
      </c>
      <c r="X284" s="1088">
        <f t="shared" si="232"/>
        <v>0.24555252042971262</v>
      </c>
      <c r="Y284" s="1088">
        <f t="shared" si="232"/>
        <v>0.24555252042971262</v>
      </c>
      <c r="Z284" s="1088">
        <f t="shared" si="232"/>
        <v>0.24555252042971262</v>
      </c>
      <c r="AA284" s="1089">
        <f t="shared" si="232"/>
        <v>0.24555252042971262</v>
      </c>
      <c r="AB284" s="1088">
        <f t="shared" si="232"/>
        <v>0.24555252042971262</v>
      </c>
      <c r="AC284" s="1088">
        <f t="shared" si="232"/>
        <v>0.24555252042971262</v>
      </c>
      <c r="AD284" s="1088">
        <f t="shared" si="232"/>
        <v>0.24555252042971262</v>
      </c>
      <c r="AE284" s="1088">
        <f t="shared" si="232"/>
        <v>0.24555252042971262</v>
      </c>
      <c r="AF284" s="1089">
        <f t="shared" si="232"/>
        <v>0.24555252042971262</v>
      </c>
      <c r="AG284" s="1088">
        <f t="shared" ref="AG284:AP284" si="233">AF284</f>
        <v>0.24555252042971262</v>
      </c>
      <c r="AH284" s="1088">
        <f t="shared" si="233"/>
        <v>0.24555252042971262</v>
      </c>
      <c r="AI284" s="1088">
        <f t="shared" si="233"/>
        <v>0.24555252042971262</v>
      </c>
      <c r="AJ284" s="1088">
        <f t="shared" si="233"/>
        <v>0.24555252042971262</v>
      </c>
      <c r="AK284" s="1089">
        <f t="shared" si="233"/>
        <v>0.24555252042971262</v>
      </c>
      <c r="AL284" s="1088">
        <f t="shared" si="233"/>
        <v>0.24555252042971262</v>
      </c>
      <c r="AM284" s="1088">
        <f t="shared" si="233"/>
        <v>0.24555252042971262</v>
      </c>
      <c r="AN284" s="1088">
        <f t="shared" si="233"/>
        <v>0.24555252042971262</v>
      </c>
      <c r="AO284" s="1088">
        <f t="shared" si="233"/>
        <v>0.24555252042971262</v>
      </c>
      <c r="AP284" s="1089">
        <f t="shared" si="233"/>
        <v>0.24555252042971262</v>
      </c>
      <c r="AQ284" s="1088">
        <f t="shared" ref="AQ284:BJ284" si="234">AP284</f>
        <v>0.24555252042971262</v>
      </c>
      <c r="AR284" s="1088">
        <f t="shared" si="234"/>
        <v>0.24555252042971262</v>
      </c>
      <c r="AS284" s="1088">
        <f t="shared" si="234"/>
        <v>0.24555252042971262</v>
      </c>
      <c r="AT284" s="1088">
        <f t="shared" si="234"/>
        <v>0.24555252042971262</v>
      </c>
      <c r="AU284" s="1089">
        <f t="shared" si="234"/>
        <v>0.24555252042971262</v>
      </c>
      <c r="AV284" s="1088">
        <f t="shared" si="234"/>
        <v>0.24555252042971262</v>
      </c>
      <c r="AW284" s="1088">
        <f t="shared" si="234"/>
        <v>0.24555252042971262</v>
      </c>
      <c r="AX284" s="1088">
        <f t="shared" si="234"/>
        <v>0.24555252042971262</v>
      </c>
      <c r="AY284" s="1088">
        <f t="shared" si="234"/>
        <v>0.24555252042971262</v>
      </c>
      <c r="AZ284" s="1089">
        <f t="shared" si="234"/>
        <v>0.24555252042971262</v>
      </c>
      <c r="BA284" s="1088">
        <f t="shared" si="234"/>
        <v>0.24555252042971262</v>
      </c>
      <c r="BB284" s="1088">
        <f t="shared" si="234"/>
        <v>0.24555252042971262</v>
      </c>
      <c r="BC284" s="1088">
        <f t="shared" si="234"/>
        <v>0.24555252042971262</v>
      </c>
      <c r="BD284" s="1088">
        <f t="shared" si="234"/>
        <v>0.24555252042971262</v>
      </c>
      <c r="BE284" s="1089">
        <f t="shared" si="234"/>
        <v>0.24555252042971262</v>
      </c>
      <c r="BF284" s="2920">
        <f t="shared" si="234"/>
        <v>0.24555252042971262</v>
      </c>
      <c r="BG284" s="2920">
        <f t="shared" si="234"/>
        <v>0.24555252042971262</v>
      </c>
      <c r="BH284" s="2920">
        <f t="shared" si="234"/>
        <v>0.24555252042971262</v>
      </c>
      <c r="BI284" s="2920">
        <f t="shared" si="234"/>
        <v>0.24555252042971262</v>
      </c>
      <c r="BJ284" s="1089">
        <f t="shared" si="234"/>
        <v>0.24555252042971262</v>
      </c>
      <c r="BK284" s="3166">
        <f t="shared" ref="BK284:BW284" si="235">BJ284</f>
        <v>0.24555252042971262</v>
      </c>
      <c r="BL284" s="2920">
        <f t="shared" si="235"/>
        <v>0.24555252042971262</v>
      </c>
      <c r="BM284" s="2920">
        <f t="shared" si="235"/>
        <v>0.24555252042971262</v>
      </c>
      <c r="BN284" s="2920">
        <f t="shared" si="235"/>
        <v>0.24555252042971262</v>
      </c>
      <c r="BO284" s="1089">
        <f t="shared" si="235"/>
        <v>0.24555252042971262</v>
      </c>
      <c r="BP284" s="3166">
        <f>BO284</f>
        <v>0.24555252042971262</v>
      </c>
      <c r="BQ284" s="2920">
        <f>BP284</f>
        <v>0.24555252042971262</v>
      </c>
      <c r="BR284" s="2920">
        <f>BQ284</f>
        <v>0.24555252042971262</v>
      </c>
      <c r="BS284" s="2920">
        <f>BR284</f>
        <v>0.24555252042971262</v>
      </c>
      <c r="BT284" s="1089">
        <f>BS284</f>
        <v>0.24555252042971262</v>
      </c>
      <c r="BU284" s="1089">
        <f t="shared" si="235"/>
        <v>0.24555252042971262</v>
      </c>
      <c r="BV284" s="1089">
        <f t="shared" si="235"/>
        <v>0.24555252042971262</v>
      </c>
      <c r="BW284" s="1089">
        <f t="shared" si="235"/>
        <v>0.24555252042971262</v>
      </c>
      <c r="BX284" s="1089">
        <f>BW284</f>
        <v>0.24555252042971262</v>
      </c>
      <c r="BY284" s="1089">
        <f>BX284</f>
        <v>0.24555252042971262</v>
      </c>
      <c r="BZ284" s="1089">
        <f>BY284</f>
        <v>0.24555252042971262</v>
      </c>
      <c r="CA284" s="1089">
        <f>BZ284</f>
        <v>0.24555252042971262</v>
      </c>
      <c r="CB284" s="1089">
        <f>CA284</f>
        <v>0.24555252042971262</v>
      </c>
    </row>
    <row r="285" spans="1:80">
      <c r="A285" s="2"/>
      <c r="B285" s="2"/>
      <c r="C285" s="2"/>
      <c r="D285" s="2"/>
      <c r="E285" s="2"/>
      <c r="F285" s="2"/>
      <c r="G285" s="112"/>
      <c r="H285" s="2"/>
      <c r="I285" s="2"/>
      <c r="J285" s="2"/>
      <c r="K285" s="2"/>
      <c r="L285" s="112"/>
      <c r="M285" s="2"/>
      <c r="N285" s="2"/>
      <c r="O285" s="2"/>
      <c r="P285" s="2"/>
      <c r="Q285" s="112"/>
      <c r="R285" s="2"/>
      <c r="S285" s="2"/>
      <c r="T285" s="2"/>
      <c r="U285" s="2"/>
      <c r="V285" s="112"/>
      <c r="W285" s="2"/>
      <c r="X285" s="2"/>
      <c r="Y285" s="2"/>
      <c r="Z285" s="2"/>
      <c r="AA285" s="112"/>
      <c r="AB285" s="2"/>
      <c r="AC285" s="2"/>
      <c r="AD285" s="2"/>
      <c r="AE285" s="2"/>
      <c r="AF285" s="112"/>
      <c r="AG285" s="61"/>
      <c r="AH285" s="61"/>
      <c r="AI285" s="61"/>
      <c r="AJ285" s="61"/>
      <c r="AK285" s="112"/>
      <c r="AL285" s="61"/>
      <c r="AM285" s="61"/>
      <c r="AN285" s="61"/>
      <c r="AO285" s="60"/>
      <c r="AP285" s="60"/>
      <c r="AQ285" s="61"/>
      <c r="AR285" s="61"/>
      <c r="AS285" s="61"/>
      <c r="AT285" s="60"/>
      <c r="AU285" s="60"/>
      <c r="AV285" s="61"/>
      <c r="AW285" s="61"/>
      <c r="AX285" s="61"/>
      <c r="AY285" s="60"/>
      <c r="AZ285" s="60"/>
      <c r="BA285" s="61"/>
      <c r="BB285" s="61"/>
      <c r="BC285" s="61"/>
      <c r="BD285" s="60"/>
      <c r="BE285" s="112"/>
      <c r="BF285" s="77"/>
      <c r="BG285" s="77"/>
      <c r="BH285" s="77"/>
      <c r="BI285" s="77"/>
      <c r="BJ285" s="112"/>
      <c r="BK285" s="77"/>
      <c r="BL285" s="77"/>
      <c r="BM285" s="77"/>
      <c r="BN285" s="77"/>
      <c r="BO285" s="112"/>
      <c r="BP285" s="77"/>
      <c r="BQ285" s="77"/>
      <c r="BR285" s="77"/>
      <c r="BS285" s="77"/>
      <c r="BT285" s="112"/>
      <c r="BU285" s="112"/>
      <c r="BV285" s="112"/>
      <c r="BW285" s="112"/>
      <c r="BX285" s="112"/>
      <c r="BY285" s="112"/>
      <c r="BZ285" s="112"/>
      <c r="CA285" s="112"/>
      <c r="CB285" s="112"/>
    </row>
    <row r="286" spans="1:80">
      <c r="A286" s="2" t="s">
        <v>897</v>
      </c>
      <c r="B286" s="2"/>
      <c r="C286" s="1146">
        <v>4.2500000000000003E-2</v>
      </c>
      <c r="D286" s="1146">
        <v>4.2500000000000003E-2</v>
      </c>
      <c r="E286" s="1146">
        <v>4.2500000000000003E-2</v>
      </c>
      <c r="F286" s="1146">
        <v>4.2500000000000003E-2</v>
      </c>
      <c r="G286" s="1144">
        <v>4.2500000000000003E-2</v>
      </c>
      <c r="H286" s="1146">
        <v>4.2500000000000003E-2</v>
      </c>
      <c r="I286" s="1146">
        <v>4.2500000000000003E-2</v>
      </c>
      <c r="J286" s="1146">
        <v>4.2500000000000003E-2</v>
      </c>
      <c r="K286" s="1146">
        <v>4.2500000000000003E-2</v>
      </c>
      <c r="L286" s="1144">
        <v>4.2500000000000003E-2</v>
      </c>
      <c r="M286" s="1146">
        <v>4.2500000000000003E-2</v>
      </c>
      <c r="N286" s="1146">
        <v>4.2500000000000003E-2</v>
      </c>
      <c r="O286" s="1146">
        <v>4.2500000000000003E-2</v>
      </c>
      <c r="P286" s="1146">
        <v>4.2500000000000003E-2</v>
      </c>
      <c r="Q286" s="1144">
        <v>4.2500000000000003E-2</v>
      </c>
      <c r="R286" s="1146">
        <v>4.2500000000000003E-2</v>
      </c>
      <c r="S286" s="1146">
        <v>4.2500000000000003E-2</v>
      </c>
      <c r="T286" s="1146">
        <v>3.1875000000000001E-2</v>
      </c>
      <c r="U286" s="1146">
        <v>3.1875000000000001E-2</v>
      </c>
      <c r="V286" s="1147">
        <f>V288/V281/V283</f>
        <v>3.6353587947189167E-2</v>
      </c>
      <c r="W286" s="1146">
        <v>3.1875000000000001E-2</v>
      </c>
      <c r="X286" s="1146">
        <v>3.1875000000000001E-2</v>
      </c>
      <c r="Y286" s="1146">
        <v>2.1250000000000002E-2</v>
      </c>
      <c r="Z286" s="1146">
        <v>2.1250000000000002E-2</v>
      </c>
      <c r="AA286" s="1147">
        <f>AA288/AA281/AA283</f>
        <v>2.6065845814279402E-2</v>
      </c>
      <c r="AB286" s="1146">
        <v>2.1250000000000002E-2</v>
      </c>
      <c r="AC286" s="1146">
        <v>2.1250000000000002E-2</v>
      </c>
      <c r="AD286" s="1146">
        <v>1.0625000000000001E-2</v>
      </c>
      <c r="AE286" s="1146">
        <v>1.0625000000000001E-2</v>
      </c>
      <c r="AF286" s="1147">
        <f>AF288/AF281/AF283</f>
        <v>1.5642883424415166E-2</v>
      </c>
      <c r="AG286" s="1148">
        <f>1.0625%/2</f>
        <v>5.3125000000000004E-3</v>
      </c>
      <c r="AH286" s="1146">
        <f>1.0625%/2</f>
        <v>5.3125000000000004E-3</v>
      </c>
      <c r="AI286" s="1146">
        <f>1.0625%/2</f>
        <v>5.3125000000000004E-3</v>
      </c>
      <c r="AJ286" s="1149">
        <f>1.0625%/2</f>
        <v>5.3125000000000004E-3</v>
      </c>
      <c r="AK286" s="1144">
        <f>1.0625%/2</f>
        <v>5.3125000000000004E-3</v>
      </c>
      <c r="AL286" s="1148">
        <v>0</v>
      </c>
      <c r="AM286" s="1146">
        <v>0</v>
      </c>
      <c r="AN286" s="1146">
        <v>0</v>
      </c>
      <c r="AO286" s="1149">
        <v>0</v>
      </c>
      <c r="AP286" s="1149">
        <v>0</v>
      </c>
      <c r="AQ286" s="1148">
        <v>0</v>
      </c>
      <c r="AR286" s="1146">
        <v>0</v>
      </c>
      <c r="AS286" s="1146">
        <v>0</v>
      </c>
      <c r="AT286" s="1149">
        <v>0</v>
      </c>
      <c r="AU286" s="1149">
        <v>0</v>
      </c>
      <c r="AV286" s="1148">
        <v>0</v>
      </c>
      <c r="AW286" s="1146">
        <v>0</v>
      </c>
      <c r="AX286" s="1146">
        <v>0</v>
      </c>
      <c r="AY286" s="1149">
        <v>0</v>
      </c>
      <c r="AZ286" s="1149">
        <v>0</v>
      </c>
      <c r="BA286" s="1148">
        <v>0</v>
      </c>
      <c r="BB286" s="1146">
        <v>0</v>
      </c>
      <c r="BC286" s="1146">
        <v>0</v>
      </c>
      <c r="BD286" s="1149">
        <v>0</v>
      </c>
      <c r="BE286" s="1144">
        <v>0</v>
      </c>
      <c r="BF286" s="2918">
        <v>0</v>
      </c>
      <c r="BG286" s="2918">
        <v>0</v>
      </c>
      <c r="BH286" s="2918">
        <v>0</v>
      </c>
      <c r="BI286" s="2918">
        <v>0</v>
      </c>
      <c r="BJ286" s="1144">
        <v>0</v>
      </c>
      <c r="BK286" s="2918">
        <v>0</v>
      </c>
      <c r="BL286" s="2918">
        <v>0</v>
      </c>
      <c r="BM286" s="2918">
        <v>0</v>
      </c>
      <c r="BN286" s="2918">
        <v>0</v>
      </c>
      <c r="BO286" s="1144">
        <v>0</v>
      </c>
      <c r="BP286" s="2918">
        <v>0</v>
      </c>
      <c r="BQ286" s="2918">
        <v>0</v>
      </c>
      <c r="BR286" s="2918">
        <v>0</v>
      </c>
      <c r="BS286" s="2918">
        <v>0</v>
      </c>
      <c r="BT286" s="1144">
        <v>0</v>
      </c>
      <c r="BU286" s="1144">
        <v>0</v>
      </c>
      <c r="BV286" s="1144">
        <v>0</v>
      </c>
      <c r="BW286" s="1144">
        <v>0</v>
      </c>
      <c r="BX286" s="1144">
        <v>0</v>
      </c>
      <c r="BY286" s="1144">
        <v>0</v>
      </c>
      <c r="BZ286" s="1144">
        <v>0</v>
      </c>
      <c r="CA286" s="1144">
        <v>0</v>
      </c>
      <c r="CB286" s="1144">
        <v>0</v>
      </c>
    </row>
    <row r="287" spans="1:80" ht="5.25" customHeight="1">
      <c r="A287" s="2"/>
      <c r="B287" s="2"/>
      <c r="C287" s="564" t="s">
        <v>1226</v>
      </c>
      <c r="D287" s="564" t="s">
        <v>1226</v>
      </c>
      <c r="E287" s="564" t="s">
        <v>1226</v>
      </c>
      <c r="F287" s="564" t="s">
        <v>1226</v>
      </c>
      <c r="G287" s="736" t="s">
        <v>1226</v>
      </c>
      <c r="H287" s="564" t="s">
        <v>1226</v>
      </c>
      <c r="I287" s="564" t="s">
        <v>1226</v>
      </c>
      <c r="J287" s="564" t="s">
        <v>1226</v>
      </c>
      <c r="K287" s="564" t="s">
        <v>1226</v>
      </c>
      <c r="L287" s="736" t="s">
        <v>1226</v>
      </c>
      <c r="M287" s="564" t="s">
        <v>1226</v>
      </c>
      <c r="N287" s="564" t="s">
        <v>1226</v>
      </c>
      <c r="O287" s="564" t="s">
        <v>1226</v>
      </c>
      <c r="P287" s="564" t="s">
        <v>1226</v>
      </c>
      <c r="Q287" s="736" t="s">
        <v>1226</v>
      </c>
      <c r="R287" s="564" t="s">
        <v>1226</v>
      </c>
      <c r="S287" s="564" t="s">
        <v>1226</v>
      </c>
      <c r="T287" s="564" t="s">
        <v>1226</v>
      </c>
      <c r="U287" s="564" t="s">
        <v>1226</v>
      </c>
      <c r="V287" s="736" t="s">
        <v>1226</v>
      </c>
      <c r="W287" s="564" t="s">
        <v>1226</v>
      </c>
      <c r="X287" s="564" t="s">
        <v>1226</v>
      </c>
      <c r="Y287" s="564" t="s">
        <v>1226</v>
      </c>
      <c r="Z287" s="564" t="s">
        <v>1226</v>
      </c>
      <c r="AA287" s="736" t="s">
        <v>1226</v>
      </c>
      <c r="AB287" s="564" t="s">
        <v>1226</v>
      </c>
      <c r="AC287" s="564" t="s">
        <v>1226</v>
      </c>
      <c r="AD287" s="564" t="s">
        <v>1226</v>
      </c>
      <c r="AE287" s="564" t="s">
        <v>1226</v>
      </c>
      <c r="AF287" s="736" t="s">
        <v>1226</v>
      </c>
      <c r="AG287" s="564" t="s">
        <v>1226</v>
      </c>
      <c r="AH287" s="564" t="s">
        <v>1226</v>
      </c>
      <c r="AI287" s="564" t="s">
        <v>1226</v>
      </c>
      <c r="AJ287" s="564" t="s">
        <v>1226</v>
      </c>
      <c r="AK287" s="736" t="s">
        <v>1226</v>
      </c>
      <c r="AL287" s="564" t="s">
        <v>1226</v>
      </c>
      <c r="AM287" s="564" t="s">
        <v>1226</v>
      </c>
      <c r="AN287" s="564" t="s">
        <v>1226</v>
      </c>
      <c r="AO287" s="564" t="s">
        <v>1226</v>
      </c>
      <c r="AP287" s="736" t="s">
        <v>1226</v>
      </c>
      <c r="AQ287" s="564" t="s">
        <v>1226</v>
      </c>
      <c r="AR287" s="564" t="s">
        <v>1226</v>
      </c>
      <c r="AS287" s="564" t="s">
        <v>1226</v>
      </c>
      <c r="AT287" s="564" t="s">
        <v>1226</v>
      </c>
      <c r="AU287" s="736" t="s">
        <v>1226</v>
      </c>
      <c r="AV287" s="564" t="s">
        <v>1226</v>
      </c>
      <c r="AW287" s="564" t="s">
        <v>1226</v>
      </c>
      <c r="AX287" s="564" t="s">
        <v>1226</v>
      </c>
      <c r="AY287" s="564" t="s">
        <v>1226</v>
      </c>
      <c r="AZ287" s="736" t="s">
        <v>1226</v>
      </c>
      <c r="BA287" s="564" t="s">
        <v>1226</v>
      </c>
      <c r="BB287" s="564" t="s">
        <v>1226</v>
      </c>
      <c r="BC287" s="564" t="s">
        <v>1226</v>
      </c>
      <c r="BD287" s="564" t="s">
        <v>1226</v>
      </c>
      <c r="BE287" s="736" t="s">
        <v>1226</v>
      </c>
      <c r="BF287" s="564" t="s">
        <v>1226</v>
      </c>
      <c r="BG287" s="564" t="s">
        <v>1226</v>
      </c>
      <c r="BH287" s="564" t="s">
        <v>1226</v>
      </c>
      <c r="BI287" s="564" t="s">
        <v>1226</v>
      </c>
      <c r="BJ287" s="736" t="s">
        <v>1226</v>
      </c>
      <c r="BK287" s="564" t="s">
        <v>1226</v>
      </c>
      <c r="BL287" s="564" t="s">
        <v>1226</v>
      </c>
      <c r="BM287" s="564" t="s">
        <v>1226</v>
      </c>
      <c r="BN287" s="564" t="s">
        <v>1226</v>
      </c>
      <c r="BO287" s="736" t="s">
        <v>1226</v>
      </c>
      <c r="BP287" s="564" t="s">
        <v>1226</v>
      </c>
      <c r="BQ287" s="564" t="s">
        <v>1226</v>
      </c>
      <c r="BR287" s="564" t="s">
        <v>1226</v>
      </c>
      <c r="BS287" s="564" t="s">
        <v>1226</v>
      </c>
      <c r="BT287" s="736" t="s">
        <v>1226</v>
      </c>
      <c r="BU287" s="736" t="s">
        <v>1226</v>
      </c>
      <c r="BV287" s="736" t="s">
        <v>1226</v>
      </c>
      <c r="BW287" s="736" t="s">
        <v>1226</v>
      </c>
      <c r="BX287" s="736" t="s">
        <v>1226</v>
      </c>
      <c r="BY287" s="736" t="s">
        <v>1226</v>
      </c>
      <c r="BZ287" s="736" t="s">
        <v>1226</v>
      </c>
      <c r="CA287" s="736" t="s">
        <v>1226</v>
      </c>
      <c r="CB287" s="736" t="s">
        <v>1226</v>
      </c>
    </row>
    <row r="288" spans="1:80">
      <c r="A288" s="2" t="s">
        <v>370</v>
      </c>
      <c r="B288" s="2"/>
      <c r="C288" s="1072">
        <f t="shared" ref="C288:U288" si="236">C286*C282</f>
        <v>1.9016200000000001</v>
      </c>
      <c r="D288" s="1072">
        <f t="shared" si="236"/>
        <v>1.7674050000000001</v>
      </c>
      <c r="E288" s="1072">
        <f t="shared" si="236"/>
        <v>2.0383425000000002</v>
      </c>
      <c r="F288" s="1072">
        <f t="shared" si="236"/>
        <v>1.7782425000000002</v>
      </c>
      <c r="G288" s="1073">
        <f t="shared" si="236"/>
        <v>7.4856100000000003</v>
      </c>
      <c r="H288" s="1072">
        <f t="shared" si="236"/>
        <v>1.8458175000000001</v>
      </c>
      <c r="I288" s="1072">
        <f t="shared" si="236"/>
        <v>1.9621400000000002</v>
      </c>
      <c r="J288" s="1072">
        <f t="shared" si="236"/>
        <v>2.0631625000000002</v>
      </c>
      <c r="K288" s="1072">
        <f t="shared" si="236"/>
        <v>1.8095650000000003</v>
      </c>
      <c r="L288" s="1073">
        <f t="shared" si="236"/>
        <v>7.6806850000000013</v>
      </c>
      <c r="M288" s="1072">
        <f t="shared" si="236"/>
        <v>1.8185325000000001</v>
      </c>
      <c r="N288" s="1072">
        <f t="shared" si="236"/>
        <v>2.0151984211382645</v>
      </c>
      <c r="O288" s="1072">
        <f t="shared" si="236"/>
        <v>2.2946841868478489</v>
      </c>
      <c r="P288" s="1072">
        <f t="shared" si="236"/>
        <v>1.8552942141601227</v>
      </c>
      <c r="Q288" s="1073">
        <f t="shared" si="236"/>
        <v>7.983709322146237</v>
      </c>
      <c r="R288" s="1072">
        <f t="shared" si="236"/>
        <v>1.9752283237279278</v>
      </c>
      <c r="S288" s="1072">
        <f t="shared" si="236"/>
        <v>2.1506325418415715</v>
      </c>
      <c r="T288" s="1072">
        <f t="shared" si="236"/>
        <v>1.6674083474223038</v>
      </c>
      <c r="U288" s="1072">
        <f t="shared" si="236"/>
        <v>1.418664660756733</v>
      </c>
      <c r="V288" s="1073">
        <f>+SUM(R288:U288)</f>
        <v>7.211933873748535</v>
      </c>
      <c r="W288" s="1072">
        <f>W286*W282</f>
        <v>1.469016075956453</v>
      </c>
      <c r="X288" s="1072">
        <f>X286*X282</f>
        <v>1.6366144550291237</v>
      </c>
      <c r="Y288" s="1072">
        <f>Y286*Y282</f>
        <v>1.1591109434126843</v>
      </c>
      <c r="Z288" s="1072">
        <f>Z286*Z282</f>
        <v>0.85600218340560708</v>
      </c>
      <c r="AA288" s="1073">
        <f>+SUM(W288:Z288)</f>
        <v>5.1207436578038683</v>
      </c>
      <c r="AB288" s="1072">
        <f>AB286*AB282</f>
        <v>0.91082719713650506</v>
      </c>
      <c r="AC288" s="1072">
        <f>AC286*AC282</f>
        <v>1.0189909153081038</v>
      </c>
      <c r="AD288" s="1072">
        <f>AD286*AD282</f>
        <v>0.53770745093350181</v>
      </c>
      <c r="AE288" s="1072">
        <f>AE286*AE282</f>
        <v>0.40916496620071263</v>
      </c>
      <c r="AF288" s="1073">
        <f>+SUM(AB288:AE288)</f>
        <v>2.8766905295788234</v>
      </c>
      <c r="AG288" s="1072">
        <f>AG286*AG282</f>
        <v>0.21216519518587926</v>
      </c>
      <c r="AH288" s="1072">
        <f>AH286*AH282</f>
        <v>0.24860094372674718</v>
      </c>
      <c r="AI288" s="1072">
        <f>AI286*AI282</f>
        <v>0.25084535587188095</v>
      </c>
      <c r="AJ288" s="1072">
        <f>AJ286*AJ282</f>
        <v>0.19685908848271882</v>
      </c>
      <c r="AK288" s="1073">
        <f>+SUM(AG288:AJ288)</f>
        <v>0.90847058326722618</v>
      </c>
      <c r="AL288" s="1072">
        <f>AL286*AL282</f>
        <v>0</v>
      </c>
      <c r="AM288" s="1072">
        <f>AM286*AM282</f>
        <v>0</v>
      </c>
      <c r="AN288" s="1072">
        <f>AN286*AN282</f>
        <v>0</v>
      </c>
      <c r="AO288" s="1072">
        <f>AO286*AO282</f>
        <v>0</v>
      </c>
      <c r="AP288" s="1073">
        <f>+SUM(AL288:AO288)</f>
        <v>0</v>
      </c>
      <c r="AQ288" s="1072">
        <f>AQ286*AQ282</f>
        <v>0</v>
      </c>
      <c r="AR288" s="1072">
        <f>AR286*AR282</f>
        <v>0</v>
      </c>
      <c r="AS288" s="1072">
        <f>AS286*AS282</f>
        <v>0</v>
      </c>
      <c r="AT288" s="1072">
        <f>AT286*AT282</f>
        <v>0</v>
      </c>
      <c r="AU288" s="1073">
        <f>+SUM(AQ288:AT288)</f>
        <v>0</v>
      </c>
      <c r="AV288" s="1072">
        <f>AV286*AV282</f>
        <v>0</v>
      </c>
      <c r="AW288" s="1072">
        <f>AW286*AW282</f>
        <v>0</v>
      </c>
      <c r="AX288" s="1072">
        <f>AX286*AX282</f>
        <v>0</v>
      </c>
      <c r="AY288" s="1072">
        <f>AY286*AY282</f>
        <v>0</v>
      </c>
      <c r="AZ288" s="1073">
        <f>+SUM(AV288:AY288)</f>
        <v>0</v>
      </c>
      <c r="BA288" s="1072">
        <f>BA286*BA282</f>
        <v>0</v>
      </c>
      <c r="BB288" s="1072">
        <f>BB286*BB282</f>
        <v>0</v>
      </c>
      <c r="BC288" s="1072">
        <f>BC286*BC282</f>
        <v>0</v>
      </c>
      <c r="BD288" s="1072">
        <f>BD286*BD282</f>
        <v>0</v>
      </c>
      <c r="BE288" s="1073">
        <f>+SUM(BA288:BD288)</f>
        <v>0</v>
      </c>
      <c r="BF288" s="371">
        <f>BF286*BF282</f>
        <v>0</v>
      </c>
      <c r="BG288" s="371">
        <f>BG286*BG282</f>
        <v>0</v>
      </c>
      <c r="BH288" s="371">
        <f>BH286*BH282</f>
        <v>0</v>
      </c>
      <c r="BI288" s="371">
        <f>BI286*BI282</f>
        <v>0</v>
      </c>
      <c r="BJ288" s="1073">
        <f>+SUM(BF288:BI288)</f>
        <v>0</v>
      </c>
      <c r="BK288" s="371">
        <f>BK286*BK282</f>
        <v>0</v>
      </c>
      <c r="BL288" s="371">
        <f>BL286*BL282</f>
        <v>0</v>
      </c>
      <c r="BM288" s="371">
        <f>BM286*BM282</f>
        <v>0</v>
      </c>
      <c r="BN288" s="371">
        <f>BN286*BN282</f>
        <v>0</v>
      </c>
      <c r="BO288" s="1073">
        <f>+SUM(BK288:BN288)</f>
        <v>0</v>
      </c>
      <c r="BP288" s="371">
        <f>BP286*BP282</f>
        <v>0</v>
      </c>
      <c r="BQ288" s="371">
        <f>BQ286*BQ282</f>
        <v>0</v>
      </c>
      <c r="BR288" s="371">
        <f>BR286*BR282</f>
        <v>0</v>
      </c>
      <c r="BS288" s="371">
        <f>BS286*BS282</f>
        <v>0</v>
      </c>
      <c r="BT288" s="1073">
        <f>+SUM(BP288:BS288)</f>
        <v>0</v>
      </c>
      <c r="BU288" s="1073">
        <f t="shared" ref="BU288:CB288" si="237">BU286*BU282</f>
        <v>0</v>
      </c>
      <c r="BV288" s="1073">
        <f t="shared" si="237"/>
        <v>0</v>
      </c>
      <c r="BW288" s="1073">
        <f t="shared" si="237"/>
        <v>0</v>
      </c>
      <c r="BX288" s="1073">
        <f t="shared" si="237"/>
        <v>0</v>
      </c>
      <c r="BY288" s="1073">
        <f t="shared" si="237"/>
        <v>0</v>
      </c>
      <c r="BZ288" s="1073">
        <f t="shared" si="237"/>
        <v>0</v>
      </c>
      <c r="CA288" s="1073">
        <f t="shared" si="237"/>
        <v>0</v>
      </c>
      <c r="CB288" s="1073">
        <f t="shared" si="237"/>
        <v>0</v>
      </c>
    </row>
    <row r="289" spans="1:80">
      <c r="A289" s="2"/>
      <c r="B289" s="2"/>
      <c r="C289" s="2"/>
      <c r="D289" s="2"/>
      <c r="E289" s="2"/>
      <c r="F289" s="2"/>
      <c r="G289" s="112"/>
      <c r="H289" s="2"/>
      <c r="I289" s="2"/>
      <c r="J289" s="2"/>
      <c r="K289" s="2"/>
      <c r="L289" s="112"/>
      <c r="M289" s="2"/>
      <c r="N289" s="2"/>
      <c r="O289" s="2"/>
      <c r="P289" s="2"/>
      <c r="Q289" s="112"/>
      <c r="R289" s="2"/>
      <c r="S289" s="2"/>
      <c r="T289" s="2"/>
      <c r="U289" s="2"/>
      <c r="V289" s="112"/>
      <c r="W289" s="2"/>
      <c r="X289" s="2"/>
      <c r="Y289" s="2"/>
      <c r="Z289" s="2"/>
      <c r="AA289" s="112"/>
      <c r="AB289" s="2"/>
      <c r="AC289" s="2"/>
      <c r="AD289" s="2"/>
      <c r="AE289" s="2"/>
      <c r="AF289" s="112"/>
      <c r="AG289" s="61"/>
      <c r="AH289" s="61"/>
      <c r="AI289" s="61"/>
      <c r="AJ289" s="61"/>
      <c r="AK289" s="112"/>
      <c r="AL289" s="61"/>
      <c r="AM289" s="61"/>
      <c r="AN289" s="61"/>
      <c r="AO289" s="60"/>
      <c r="AP289" s="60"/>
      <c r="AQ289" s="61"/>
      <c r="AR289" s="61"/>
      <c r="AS289" s="61"/>
      <c r="AT289" s="60"/>
      <c r="AU289" s="60"/>
      <c r="AV289" s="61"/>
      <c r="AW289" s="61"/>
      <c r="AX289" s="61"/>
      <c r="AY289" s="60"/>
      <c r="AZ289" s="60"/>
      <c r="BA289" s="61"/>
      <c r="BB289" s="61"/>
      <c r="BC289" s="61"/>
      <c r="BD289" s="60"/>
      <c r="BE289" s="112"/>
      <c r="BF289" s="77"/>
      <c r="BG289" s="77"/>
      <c r="BH289" s="77"/>
      <c r="BI289" s="77"/>
      <c r="BJ289" s="112"/>
      <c r="BK289" s="77"/>
      <c r="BL289" s="77"/>
      <c r="BM289" s="77"/>
      <c r="BN289" s="77"/>
      <c r="BO289" s="112"/>
      <c r="BP289" s="77"/>
      <c r="BQ289" s="77"/>
      <c r="BR289" s="77"/>
      <c r="BS289" s="77"/>
      <c r="BT289" s="112"/>
      <c r="BU289" s="112"/>
      <c r="BV289" s="112"/>
      <c r="BW289" s="112"/>
      <c r="BX289" s="112"/>
      <c r="BY289" s="112"/>
      <c r="BZ289" s="112"/>
      <c r="CA289" s="112"/>
      <c r="CB289" s="112"/>
    </row>
    <row r="290" spans="1:80">
      <c r="A290" s="2" t="s">
        <v>1091</v>
      </c>
      <c r="B290" s="2"/>
      <c r="C290" s="2">
        <f>$H$290/4</f>
        <v>43343.75</v>
      </c>
      <c r="D290" s="2">
        <f>$H$290/4</f>
        <v>43343.75</v>
      </c>
      <c r="E290" s="2">
        <f>$H$290/4</f>
        <v>43343.75</v>
      </c>
      <c r="F290" s="2">
        <f>$H$290/4</f>
        <v>43343.75</v>
      </c>
      <c r="G290" s="112">
        <f>BYD!H878*BYD!H886*BYD!H5</f>
        <v>673945.08000000007</v>
      </c>
      <c r="H290" s="2">
        <f>$L$290/4</f>
        <v>173375</v>
      </c>
      <c r="I290" s="2">
        <f>$L$290/4</f>
        <v>173375</v>
      </c>
      <c r="J290" s="2">
        <f>$L$290/4</f>
        <v>173375</v>
      </c>
      <c r="K290" s="2">
        <f>$L$290/4</f>
        <v>173375</v>
      </c>
      <c r="L290" s="112">
        <f>BYD!M878*BYD!M886*BYD!M5</f>
        <v>693500</v>
      </c>
      <c r="M290" s="2">
        <f>$Q$290/4</f>
        <v>171550</v>
      </c>
      <c r="N290" s="2">
        <f>$Q$290/4</f>
        <v>171550</v>
      </c>
      <c r="O290" s="2">
        <f>$Q$290/4</f>
        <v>171550</v>
      </c>
      <c r="P290" s="2">
        <f>$Q$290/4</f>
        <v>171550</v>
      </c>
      <c r="Q290" s="112">
        <f>BYD!R878*BYD!R886*BYD!R5</f>
        <v>686200</v>
      </c>
      <c r="R290" s="2">
        <f>$V$290/4</f>
        <v>172746.515625</v>
      </c>
      <c r="S290" s="2">
        <f>$V$290/4</f>
        <v>172746.515625</v>
      </c>
      <c r="T290" s="2">
        <f>$V$290/4</f>
        <v>172746.515625</v>
      </c>
      <c r="U290" s="2">
        <f>$V$290/4</f>
        <v>172746.515625</v>
      </c>
      <c r="V290" s="112">
        <f>BYD!W878*BYD!W886*BYD!W5</f>
        <v>690986.0625</v>
      </c>
      <c r="W290" s="2">
        <f>$AA$290/4</f>
        <v>191065.26750000005</v>
      </c>
      <c r="X290" s="2">
        <f>$AA$290/4</f>
        <v>191065.26750000005</v>
      </c>
      <c r="Y290" s="2">
        <f>$AA$290/4</f>
        <v>191065.26750000005</v>
      </c>
      <c r="Z290" s="2">
        <f>$AA$290/4</f>
        <v>191065.26750000005</v>
      </c>
      <c r="AA290" s="112">
        <f>BYD!AB878*BYD!AB886*BYD!AB5</f>
        <v>764261.07000000018</v>
      </c>
      <c r="AB290" s="2">
        <f>$AF$290/4</f>
        <v>209755.00625000001</v>
      </c>
      <c r="AC290" s="2">
        <f>$AF$290/4</f>
        <v>209755.00625000001</v>
      </c>
      <c r="AD290" s="2">
        <f>$AF$290/4</f>
        <v>209755.00625000001</v>
      </c>
      <c r="AE290" s="2">
        <f>$AF$290/4</f>
        <v>209755.00625000001</v>
      </c>
      <c r="AF290" s="112">
        <f>BYD!AG878*BYD!AG886*BYD!AG5</f>
        <v>839020.02500000002</v>
      </c>
      <c r="AG290" s="2">
        <f>$AK$290/4</f>
        <v>217414.98750000002</v>
      </c>
      <c r="AH290" s="2">
        <f>$AK$290/4</f>
        <v>217414.98750000002</v>
      </c>
      <c r="AI290" s="2">
        <f>$AK$290/4</f>
        <v>217414.98750000002</v>
      </c>
      <c r="AJ290" s="2">
        <f>$AK$290/4</f>
        <v>217414.98750000002</v>
      </c>
      <c r="AK290" s="112">
        <f>BYD!AL878*BYD!AL886*BYD!AL5</f>
        <v>869659.95000000007</v>
      </c>
      <c r="AL290" s="2">
        <f>$AP$290/4</f>
        <v>217297.27500000002</v>
      </c>
      <c r="AM290" s="2">
        <f>$AP$290/4</f>
        <v>217297.27500000002</v>
      </c>
      <c r="AN290" s="2">
        <f>$AP$290/4</f>
        <v>217297.27500000002</v>
      </c>
      <c r="AO290" s="2">
        <f>$AP$290/4</f>
        <v>217297.27500000002</v>
      </c>
      <c r="AP290" s="112">
        <f>BYD!AQ878*BYD!AQ886*BYD!AQ5</f>
        <v>869189.10000000009</v>
      </c>
      <c r="AQ290" s="2">
        <f>$AP$290/4</f>
        <v>217297.27500000002</v>
      </c>
      <c r="AR290" s="2">
        <f>$AP$290/4</f>
        <v>217297.27500000002</v>
      </c>
      <c r="AS290" s="2">
        <f>$AP$290/4</f>
        <v>217297.27500000002</v>
      </c>
      <c r="AT290" s="2">
        <f>$AP$290/4</f>
        <v>217297.27500000002</v>
      </c>
      <c r="AU290" s="112">
        <f>BYD!AV878*BYD!AV886*BYD!AV5</f>
        <v>860813.7</v>
      </c>
      <c r="AV290" s="2">
        <f>$AP$290/4</f>
        <v>217297.27500000002</v>
      </c>
      <c r="AW290" s="2">
        <f>$AP$290/4</f>
        <v>217297.27500000002</v>
      </c>
      <c r="AX290" s="2">
        <f>$AP$290/4</f>
        <v>217297.27500000002</v>
      </c>
      <c r="AY290" s="2">
        <f>$AP$290/4</f>
        <v>217297.27500000002</v>
      </c>
      <c r="AZ290" s="112">
        <f>BYD!BA878*BYD!BA886*BYD!BA5</f>
        <v>858461.74999999988</v>
      </c>
      <c r="BA290" s="2">
        <f>$AP$290/4</f>
        <v>217297.27500000002</v>
      </c>
      <c r="BB290" s="2">
        <f>$AP$290/4</f>
        <v>217297.27500000002</v>
      </c>
      <c r="BC290" s="2">
        <f>$AP$290/4</f>
        <v>217297.27500000002</v>
      </c>
      <c r="BD290" s="2">
        <f>$AP$290/4</f>
        <v>217297.27500000002</v>
      </c>
      <c r="BE290" s="112">
        <f>BYD!BF878*BYD!BF886*BYD!BF5</f>
        <v>858461.74999999988</v>
      </c>
      <c r="BF290" s="77">
        <f>$AP$290/4</f>
        <v>217297.27500000002</v>
      </c>
      <c r="BG290" s="77">
        <f>$AP$290/4</f>
        <v>217297.27500000002</v>
      </c>
      <c r="BH290" s="77">
        <f>$AP$290/4</f>
        <v>217297.27500000002</v>
      </c>
      <c r="BI290" s="77">
        <f>$AP$290/4</f>
        <v>217297.27500000002</v>
      </c>
      <c r="BJ290" s="112">
        <f>BYD!BK878*BYD!BK886*BYD!BK5</f>
        <v>875630.98499999999</v>
      </c>
      <c r="BK290" s="77">
        <f>$AP$290/4</f>
        <v>217297.27500000002</v>
      </c>
      <c r="BL290" s="77">
        <f>$AP$290/4</f>
        <v>217297.27500000002</v>
      </c>
      <c r="BM290" s="77">
        <f>$AP$290/4</f>
        <v>217297.27500000002</v>
      </c>
      <c r="BN290" s="77">
        <f>$AP$290/4</f>
        <v>217297.27500000002</v>
      </c>
      <c r="BO290" s="112">
        <f>BYD!BP878*BYD!BP886*BYD!BP5</f>
        <v>0</v>
      </c>
      <c r="BP290" s="77">
        <f>$AP$290/4</f>
        <v>217297.27500000002</v>
      </c>
      <c r="BQ290" s="77">
        <f>$AP$290/4</f>
        <v>217297.27500000002</v>
      </c>
      <c r="BR290" s="77">
        <f>$AP$290/4</f>
        <v>217297.27500000002</v>
      </c>
      <c r="BS290" s="77">
        <f>$AP$290/4</f>
        <v>217297.27500000002</v>
      </c>
      <c r="BT290" s="112">
        <f>BYD!BU878*BYD!BU886*BYD!BU5</f>
        <v>0</v>
      </c>
      <c r="BU290" s="112">
        <f>BYD!BZ878*BYD!BZ886*BYD!BZ5</f>
        <v>0</v>
      </c>
      <c r="BV290" s="112">
        <f>BYD!CA878*BYD!CA886*BYD!CA5</f>
        <v>0</v>
      </c>
      <c r="BW290" s="112">
        <f>BYD!CB878*BYD!CB886*BYD!CB5</f>
        <v>0</v>
      </c>
      <c r="BX290" s="112">
        <f>BYD!CC878*BYD!CC886*BYD!CC5</f>
        <v>0</v>
      </c>
      <c r="BY290" s="112">
        <f>BYD!CD878*BYD!CD886*BYD!CD5</f>
        <v>0</v>
      </c>
      <c r="BZ290" s="112">
        <f>BYD!CE878*BYD!CE886*BYD!CE5</f>
        <v>0</v>
      </c>
      <c r="CA290" s="112">
        <f>BYD!CF878*BYD!CF886*BYD!CF5</f>
        <v>0</v>
      </c>
      <c r="CB290" s="112">
        <f>BYD!CG878*BYD!CG886*BYD!CG5</f>
        <v>0</v>
      </c>
    </row>
    <row r="291" spans="1:80">
      <c r="A291" s="2" t="s">
        <v>1092</v>
      </c>
      <c r="B291" s="2"/>
      <c r="C291" s="1083">
        <v>3</v>
      </c>
      <c r="D291" s="1083">
        <v>3</v>
      </c>
      <c r="E291" s="1083">
        <v>3</v>
      </c>
      <c r="F291" s="1083">
        <v>3</v>
      </c>
      <c r="G291" s="1084">
        <v>3</v>
      </c>
      <c r="H291" s="1083">
        <v>3</v>
      </c>
      <c r="I291" s="1083">
        <v>3</v>
      </c>
      <c r="J291" s="1083">
        <v>3</v>
      </c>
      <c r="K291" s="1083">
        <v>3</v>
      </c>
      <c r="L291" s="1084">
        <v>3</v>
      </c>
      <c r="M291" s="1083">
        <v>3</v>
      </c>
      <c r="N291" s="1083">
        <v>3</v>
      </c>
      <c r="O291" s="1083">
        <v>3</v>
      </c>
      <c r="P291" s="1083">
        <v>3</v>
      </c>
      <c r="Q291" s="1084">
        <v>3</v>
      </c>
      <c r="R291" s="1083">
        <v>3</v>
      </c>
      <c r="S291" s="1083">
        <v>3</v>
      </c>
      <c r="T291" s="1083">
        <v>3</v>
      </c>
      <c r="U291" s="1083">
        <v>3</v>
      </c>
      <c r="V291" s="1084">
        <v>3</v>
      </c>
      <c r="W291" s="1083">
        <v>3</v>
      </c>
      <c r="X291" s="1083">
        <v>3</v>
      </c>
      <c r="Y291" s="1083">
        <v>3</v>
      </c>
      <c r="Z291" s="1083">
        <v>3</v>
      </c>
      <c r="AA291" s="1084">
        <v>3</v>
      </c>
      <c r="AB291" s="1083">
        <v>3</v>
      </c>
      <c r="AC291" s="1083">
        <v>3</v>
      </c>
      <c r="AD291" s="1083">
        <v>3</v>
      </c>
      <c r="AE291" s="1083">
        <v>3</v>
      </c>
      <c r="AF291" s="1084">
        <v>3</v>
      </c>
      <c r="AG291" s="1083">
        <v>3</v>
      </c>
      <c r="AH291" s="1083">
        <v>3</v>
      </c>
      <c r="AI291" s="1083">
        <v>3</v>
      </c>
      <c r="AJ291" s="1083">
        <v>3</v>
      </c>
      <c r="AK291" s="1084">
        <v>3</v>
      </c>
      <c r="AL291" s="1083">
        <v>3</v>
      </c>
      <c r="AM291" s="1083">
        <v>3</v>
      </c>
      <c r="AN291" s="1083">
        <v>3</v>
      </c>
      <c r="AO291" s="1083">
        <v>3</v>
      </c>
      <c r="AP291" s="1084">
        <v>3</v>
      </c>
      <c r="AQ291" s="1083">
        <v>3</v>
      </c>
      <c r="AR291" s="1083">
        <v>3</v>
      </c>
      <c r="AS291" s="1083">
        <v>3</v>
      </c>
      <c r="AT291" s="1083">
        <v>3</v>
      </c>
      <c r="AU291" s="1084">
        <v>3</v>
      </c>
      <c r="AV291" s="1083">
        <v>3</v>
      </c>
      <c r="AW291" s="1083">
        <v>3</v>
      </c>
      <c r="AX291" s="1083">
        <v>3</v>
      </c>
      <c r="AY291" s="1083">
        <v>3</v>
      </c>
      <c r="AZ291" s="1084">
        <v>3</v>
      </c>
      <c r="BA291" s="1083">
        <v>3</v>
      </c>
      <c r="BB291" s="1083">
        <v>3</v>
      </c>
      <c r="BC291" s="1083">
        <v>3</v>
      </c>
      <c r="BD291" s="1083">
        <v>3</v>
      </c>
      <c r="BE291" s="1084">
        <v>3</v>
      </c>
      <c r="BF291" s="2921">
        <v>3</v>
      </c>
      <c r="BG291" s="2921">
        <v>3</v>
      </c>
      <c r="BH291" s="2921">
        <v>3</v>
      </c>
      <c r="BI291" s="2921">
        <v>3</v>
      </c>
      <c r="BJ291" s="1084">
        <v>3</v>
      </c>
      <c r="BK291" s="2921">
        <v>3</v>
      </c>
      <c r="BL291" s="2921">
        <v>3</v>
      </c>
      <c r="BM291" s="2921">
        <v>3</v>
      </c>
      <c r="BN291" s="2921">
        <v>3</v>
      </c>
      <c r="BO291" s="1084">
        <v>3</v>
      </c>
      <c r="BP291" s="2921">
        <v>3</v>
      </c>
      <c r="BQ291" s="2921">
        <v>3</v>
      </c>
      <c r="BR291" s="2921">
        <v>3</v>
      </c>
      <c r="BS291" s="2921">
        <v>3</v>
      </c>
      <c r="BT291" s="1084">
        <v>3</v>
      </c>
      <c r="BU291" s="1084">
        <v>3</v>
      </c>
      <c r="BV291" s="1084">
        <v>3</v>
      </c>
      <c r="BW291" s="1084">
        <v>3</v>
      </c>
      <c r="BX291" s="1084">
        <v>3</v>
      </c>
      <c r="BY291" s="1084">
        <v>3</v>
      </c>
      <c r="BZ291" s="1084">
        <v>3</v>
      </c>
      <c r="CA291" s="1084">
        <v>3</v>
      </c>
      <c r="CB291" s="1084">
        <v>3</v>
      </c>
    </row>
    <row r="292" spans="1:80">
      <c r="A292" s="2" t="s">
        <v>1090</v>
      </c>
      <c r="B292" s="2"/>
      <c r="C292" s="1072">
        <f t="shared" ref="C292:V292" si="238">C291*C290/1000000</f>
        <v>0.13003124999999999</v>
      </c>
      <c r="D292" s="1072">
        <f t="shared" si="238"/>
        <v>0.13003124999999999</v>
      </c>
      <c r="E292" s="1072">
        <f t="shared" si="238"/>
        <v>0.13003124999999999</v>
      </c>
      <c r="F292" s="1072">
        <f t="shared" si="238"/>
        <v>0.13003124999999999</v>
      </c>
      <c r="G292" s="1073">
        <f t="shared" si="238"/>
        <v>2.0218352400000001</v>
      </c>
      <c r="H292" s="1072">
        <f t="shared" si="238"/>
        <v>0.52012499999999995</v>
      </c>
      <c r="I292" s="1072">
        <f t="shared" si="238"/>
        <v>0.52012499999999995</v>
      </c>
      <c r="J292" s="1072">
        <f t="shared" si="238"/>
        <v>0.52012499999999995</v>
      </c>
      <c r="K292" s="1072">
        <f t="shared" si="238"/>
        <v>0.52012499999999995</v>
      </c>
      <c r="L292" s="1073">
        <f t="shared" si="238"/>
        <v>2.0804999999999998</v>
      </c>
      <c r="M292" s="1072">
        <f t="shared" si="238"/>
        <v>0.51465000000000005</v>
      </c>
      <c r="N292" s="1072">
        <f t="shared" si="238"/>
        <v>0.51465000000000005</v>
      </c>
      <c r="O292" s="1072">
        <f t="shared" si="238"/>
        <v>0.51465000000000005</v>
      </c>
      <c r="P292" s="1072">
        <f t="shared" si="238"/>
        <v>0.51465000000000005</v>
      </c>
      <c r="Q292" s="1073">
        <f t="shared" si="238"/>
        <v>2.0586000000000002</v>
      </c>
      <c r="R292" s="1072">
        <f t="shared" si="238"/>
        <v>0.51823954687499996</v>
      </c>
      <c r="S292" s="1072">
        <f t="shared" si="238"/>
        <v>0.51823954687499996</v>
      </c>
      <c r="T292" s="1072">
        <f t="shared" si="238"/>
        <v>0.51823954687499996</v>
      </c>
      <c r="U292" s="1072">
        <f t="shared" si="238"/>
        <v>0.51823954687499996</v>
      </c>
      <c r="V292" s="1073">
        <f t="shared" si="238"/>
        <v>2.0729581874999998</v>
      </c>
      <c r="W292" s="1072">
        <f t="shared" ref="W292:AF292" si="239">W291*W290/1000000</f>
        <v>0.57319580250000013</v>
      </c>
      <c r="X292" s="1072">
        <f t="shared" si="239"/>
        <v>0.57319580250000013</v>
      </c>
      <c r="Y292" s="1072">
        <f t="shared" si="239"/>
        <v>0.57319580250000013</v>
      </c>
      <c r="Z292" s="1072">
        <f t="shared" si="239"/>
        <v>0.57319580250000013</v>
      </c>
      <c r="AA292" s="1073">
        <f t="shared" si="239"/>
        <v>2.2927832100000005</v>
      </c>
      <c r="AB292" s="1072">
        <f t="shared" si="239"/>
        <v>0.62926501875000007</v>
      </c>
      <c r="AC292" s="1072">
        <f t="shared" si="239"/>
        <v>0.62926501875000007</v>
      </c>
      <c r="AD292" s="1072">
        <f t="shared" si="239"/>
        <v>0.62926501875000007</v>
      </c>
      <c r="AE292" s="1072">
        <f t="shared" si="239"/>
        <v>0.62926501875000007</v>
      </c>
      <c r="AF292" s="1073">
        <f t="shared" si="239"/>
        <v>2.5170600750000003</v>
      </c>
      <c r="AG292" s="1072">
        <f t="shared" ref="AG292:AP292" si="240">AG291*AG290/1000000</f>
        <v>0.65224496249999997</v>
      </c>
      <c r="AH292" s="1072">
        <f t="shared" si="240"/>
        <v>0.65224496249999997</v>
      </c>
      <c r="AI292" s="1072">
        <f t="shared" si="240"/>
        <v>0.65224496249999997</v>
      </c>
      <c r="AJ292" s="1072">
        <f t="shared" si="240"/>
        <v>0.65224496249999997</v>
      </c>
      <c r="AK292" s="1073">
        <f t="shared" si="240"/>
        <v>2.6089798499999999</v>
      </c>
      <c r="AL292" s="1072">
        <f t="shared" si="240"/>
        <v>0.65189182500000009</v>
      </c>
      <c r="AM292" s="1072">
        <f t="shared" si="240"/>
        <v>0.65189182500000009</v>
      </c>
      <c r="AN292" s="1072">
        <f t="shared" si="240"/>
        <v>0.65189182500000009</v>
      </c>
      <c r="AO292" s="1072">
        <f t="shared" si="240"/>
        <v>0.65189182500000009</v>
      </c>
      <c r="AP292" s="1073">
        <f t="shared" si="240"/>
        <v>2.6075673000000004</v>
      </c>
      <c r="AQ292" s="1072">
        <f t="shared" ref="AQ292:BE292" si="241">AQ291*AQ290/1000000</f>
        <v>0.65189182500000009</v>
      </c>
      <c r="AR292" s="1072">
        <f t="shared" si="241"/>
        <v>0.65189182500000009</v>
      </c>
      <c r="AS292" s="1072">
        <f t="shared" si="241"/>
        <v>0.65189182500000009</v>
      </c>
      <c r="AT292" s="1072">
        <f t="shared" si="241"/>
        <v>0.65189182500000009</v>
      </c>
      <c r="AU292" s="1073">
        <f t="shared" si="241"/>
        <v>2.5824410999999996</v>
      </c>
      <c r="AV292" s="1072">
        <f t="shared" si="241"/>
        <v>0.65189182500000009</v>
      </c>
      <c r="AW292" s="1072">
        <f t="shared" si="241"/>
        <v>0.65189182500000009</v>
      </c>
      <c r="AX292" s="1072">
        <f t="shared" si="241"/>
        <v>0.65189182500000009</v>
      </c>
      <c r="AY292" s="1072">
        <f t="shared" si="241"/>
        <v>0.65189182500000009</v>
      </c>
      <c r="AZ292" s="1073">
        <f t="shared" si="241"/>
        <v>2.5753852499999996</v>
      </c>
      <c r="BA292" s="1072">
        <f t="shared" si="241"/>
        <v>0.65189182500000009</v>
      </c>
      <c r="BB292" s="1072">
        <f t="shared" si="241"/>
        <v>0.65189182500000009</v>
      </c>
      <c r="BC292" s="1072">
        <f t="shared" si="241"/>
        <v>0.65189182500000009</v>
      </c>
      <c r="BD292" s="1072">
        <f t="shared" si="241"/>
        <v>0.65189182500000009</v>
      </c>
      <c r="BE292" s="1073">
        <f t="shared" si="241"/>
        <v>2.5753852499999996</v>
      </c>
      <c r="BF292" s="371">
        <f t="shared" ref="BF292:CB292" si="242">BF291*BF290/1000000</f>
        <v>0.65189182500000009</v>
      </c>
      <c r="BG292" s="371">
        <f t="shared" si="242"/>
        <v>0.65189182500000009</v>
      </c>
      <c r="BH292" s="371">
        <f t="shared" si="242"/>
        <v>0.65189182500000009</v>
      </c>
      <c r="BI292" s="371">
        <f t="shared" si="242"/>
        <v>0.65189182500000009</v>
      </c>
      <c r="BJ292" s="1073">
        <f t="shared" si="242"/>
        <v>2.6268929550000002</v>
      </c>
      <c r="BK292" s="371">
        <f t="shared" si="242"/>
        <v>0.65189182500000009</v>
      </c>
      <c r="BL292" s="371">
        <f t="shared" si="242"/>
        <v>0.65189182500000009</v>
      </c>
      <c r="BM292" s="371">
        <f t="shared" si="242"/>
        <v>0.65189182500000009</v>
      </c>
      <c r="BN292" s="371">
        <f t="shared" si="242"/>
        <v>0.65189182500000009</v>
      </c>
      <c r="BO292" s="1073">
        <f t="shared" si="242"/>
        <v>0</v>
      </c>
      <c r="BP292" s="371">
        <f t="shared" si="242"/>
        <v>0.65189182500000009</v>
      </c>
      <c r="BQ292" s="371">
        <f t="shared" si="242"/>
        <v>0.65189182500000009</v>
      </c>
      <c r="BR292" s="371">
        <f t="shared" si="242"/>
        <v>0.65189182500000009</v>
      </c>
      <c r="BS292" s="371">
        <f t="shared" si="242"/>
        <v>0.65189182500000009</v>
      </c>
      <c r="BT292" s="1073">
        <f t="shared" si="242"/>
        <v>0</v>
      </c>
      <c r="BU292" s="1073">
        <f t="shared" si="242"/>
        <v>0</v>
      </c>
      <c r="BV292" s="1073">
        <f t="shared" si="242"/>
        <v>0</v>
      </c>
      <c r="BW292" s="1073">
        <f t="shared" si="242"/>
        <v>0</v>
      </c>
      <c r="BX292" s="1073">
        <f t="shared" si="242"/>
        <v>0</v>
      </c>
      <c r="BY292" s="1073">
        <f t="shared" si="242"/>
        <v>0</v>
      </c>
      <c r="BZ292" s="1073">
        <f t="shared" si="242"/>
        <v>0</v>
      </c>
      <c r="CA292" s="1073">
        <f t="shared" si="242"/>
        <v>0</v>
      </c>
      <c r="CB292" s="1073">
        <f t="shared" si="242"/>
        <v>0</v>
      </c>
    </row>
    <row r="293" spans="1:80">
      <c r="A293" s="2"/>
      <c r="B293" s="2"/>
      <c r="C293" s="2"/>
      <c r="D293" s="2"/>
      <c r="E293" s="2"/>
      <c r="F293" s="2"/>
      <c r="G293" s="112"/>
      <c r="H293" s="2"/>
      <c r="I293" s="2"/>
      <c r="J293" s="2"/>
      <c r="K293" s="2"/>
      <c r="L293" s="112"/>
      <c r="M293" s="2"/>
      <c r="N293" s="2"/>
      <c r="O293" s="2"/>
      <c r="P293" s="2"/>
      <c r="Q293" s="112"/>
      <c r="R293" s="2"/>
      <c r="S293" s="2"/>
      <c r="T293" s="2"/>
      <c r="U293" s="2"/>
      <c r="V293" s="112"/>
      <c r="W293" s="2"/>
      <c r="X293" s="2"/>
      <c r="Y293" s="2"/>
      <c r="Z293" s="2"/>
      <c r="AA293" s="112"/>
      <c r="AB293" s="2"/>
      <c r="AC293" s="2"/>
      <c r="AD293" s="2"/>
      <c r="AE293" s="2"/>
      <c r="AF293" s="112"/>
      <c r="AG293" s="2"/>
      <c r="AH293" s="2"/>
      <c r="AI293" s="2"/>
      <c r="AJ293" s="2"/>
      <c r="AK293" s="112"/>
      <c r="AL293" s="2"/>
      <c r="AM293" s="2"/>
      <c r="AN293" s="2"/>
      <c r="AO293" s="2"/>
      <c r="AP293" s="112"/>
      <c r="AQ293" s="2"/>
      <c r="AR293" s="2"/>
      <c r="AS293" s="2"/>
      <c r="AT293" s="2"/>
      <c r="AU293" s="112"/>
      <c r="AV293" s="2"/>
      <c r="AW293" s="2"/>
      <c r="AX293" s="2"/>
      <c r="AY293" s="2"/>
      <c r="AZ293" s="112"/>
      <c r="BA293" s="2"/>
      <c r="BB293" s="2"/>
      <c r="BC293" s="2"/>
      <c r="BD293" s="2"/>
      <c r="BE293" s="112"/>
      <c r="BF293" s="77"/>
      <c r="BG293" s="77"/>
      <c r="BH293" s="77"/>
      <c r="BI293" s="77"/>
      <c r="BJ293" s="112"/>
      <c r="BK293" s="77"/>
      <c r="BL293" s="77"/>
      <c r="BM293" s="77"/>
      <c r="BN293" s="77"/>
      <c r="BO293" s="112"/>
      <c r="BP293" s="77"/>
      <c r="BQ293" s="77"/>
      <c r="BR293" s="77"/>
      <c r="BS293" s="77"/>
      <c r="BT293" s="112"/>
      <c r="BU293" s="112"/>
      <c r="BV293" s="112"/>
      <c r="BW293" s="112"/>
      <c r="BX293" s="112"/>
      <c r="BY293" s="112"/>
      <c r="BZ293" s="112"/>
      <c r="CA293" s="112"/>
      <c r="CB293" s="112"/>
    </row>
    <row r="294" spans="1:80">
      <c r="A294" s="2" t="s">
        <v>736</v>
      </c>
      <c r="B294" s="2"/>
      <c r="C294" s="1072">
        <f t="shared" ref="C294:V294" si="243">C288+C279+C292</f>
        <v>15.701541250000002</v>
      </c>
      <c r="D294" s="1072">
        <f t="shared" si="243"/>
        <v>16.519023749999995</v>
      </c>
      <c r="E294" s="1072">
        <f t="shared" si="243"/>
        <v>18.617306249999999</v>
      </c>
      <c r="F294" s="1072">
        <f t="shared" si="243"/>
        <v>17.94936375</v>
      </c>
      <c r="G294" s="1073">
        <f t="shared" si="243"/>
        <v>70.288945240000004</v>
      </c>
      <c r="H294" s="1072">
        <f t="shared" si="243"/>
        <v>18.166207499999999</v>
      </c>
      <c r="I294" s="1072">
        <f t="shared" si="243"/>
        <v>19.017875000000004</v>
      </c>
      <c r="J294" s="1072">
        <f t="shared" si="243"/>
        <v>21.118622500000001</v>
      </c>
      <c r="K294" s="1072">
        <f t="shared" si="243"/>
        <v>19.412567500000002</v>
      </c>
      <c r="L294" s="1073">
        <f t="shared" si="243"/>
        <v>77.715272499999998</v>
      </c>
      <c r="M294" s="1072">
        <f t="shared" si="243"/>
        <v>19.323142499999999</v>
      </c>
      <c r="N294" s="1072">
        <f t="shared" si="243"/>
        <v>19.383210921138264</v>
      </c>
      <c r="O294" s="1072">
        <f t="shared" si="243"/>
        <v>23.818634186847849</v>
      </c>
      <c r="P294" s="1072">
        <f t="shared" si="243"/>
        <v>19.193959214160124</v>
      </c>
      <c r="Q294" s="1073">
        <f t="shared" si="243"/>
        <v>81.718946822146236</v>
      </c>
      <c r="R294" s="1072">
        <f t="shared" si="243"/>
        <v>20.752195370602934</v>
      </c>
      <c r="S294" s="1072">
        <f t="shared" si="243"/>
        <v>20.020557088716572</v>
      </c>
      <c r="T294" s="1072">
        <f t="shared" si="243"/>
        <v>22.064435394297305</v>
      </c>
      <c r="U294" s="1072">
        <f t="shared" si="243"/>
        <v>19.440981707631735</v>
      </c>
      <c r="V294" s="1073">
        <f t="shared" si="243"/>
        <v>82.278169561248546</v>
      </c>
      <c r="W294" s="1072">
        <f t="shared" ref="W294:AF294" si="244">W288+W279+W292</f>
        <v>19.459221878456454</v>
      </c>
      <c r="X294" s="1072">
        <f t="shared" si="244"/>
        <v>19.615705257529125</v>
      </c>
      <c r="Y294" s="1072">
        <f t="shared" si="244"/>
        <v>21.949126745912686</v>
      </c>
      <c r="Z294" s="1072">
        <f t="shared" si="244"/>
        <v>17.984307985905605</v>
      </c>
      <c r="AA294" s="1073">
        <f t="shared" si="244"/>
        <v>79.00836186780387</v>
      </c>
      <c r="AB294" s="1072">
        <f t="shared" si="244"/>
        <v>18.002869715886504</v>
      </c>
      <c r="AC294" s="1072">
        <f t="shared" si="244"/>
        <v>18.597363434058106</v>
      </c>
      <c r="AD294" s="1072">
        <f t="shared" si="244"/>
        <v>20.214084969683505</v>
      </c>
      <c r="AE294" s="1072">
        <f t="shared" si="244"/>
        <v>15.993662484950715</v>
      </c>
      <c r="AF294" s="1073">
        <f t="shared" si="244"/>
        <v>72.807980604578816</v>
      </c>
      <c r="AG294" s="1072">
        <f t="shared" ref="AG294:AP294" si="245">AG288+AG279+AG292</f>
        <v>15.857570157685879</v>
      </c>
      <c r="AH294" s="1072">
        <f t="shared" si="245"/>
        <v>16.942520906226747</v>
      </c>
      <c r="AI294" s="1072">
        <f>AI288+AI279+AI292</f>
        <v>18.144892818371879</v>
      </c>
      <c r="AJ294" s="1072">
        <f t="shared" si="245"/>
        <v>15.353106550982719</v>
      </c>
      <c r="AK294" s="1073">
        <f t="shared" si="245"/>
        <v>66.298090433267234</v>
      </c>
      <c r="AL294" s="1072">
        <f t="shared" si="245"/>
        <v>15.457851824999999</v>
      </c>
      <c r="AM294" s="1072">
        <f t="shared" si="245"/>
        <v>16.520879212500002</v>
      </c>
      <c r="AN294" s="1072">
        <f t="shared" si="245"/>
        <v>17.883846824999999</v>
      </c>
      <c r="AO294" s="1072">
        <f t="shared" si="245"/>
        <v>16.028616825000004</v>
      </c>
      <c r="AP294" s="1073">
        <f t="shared" si="245"/>
        <v>65.891194687500004</v>
      </c>
      <c r="AQ294" s="1072">
        <f t="shared" ref="AQ294:BJ294" si="246">AQ288+AQ279+AQ292</f>
        <v>15.808559324999999</v>
      </c>
      <c r="AR294" s="1072">
        <f t="shared" si="246"/>
        <v>15.517911825000001</v>
      </c>
      <c r="AS294" s="1072">
        <f t="shared" si="246"/>
        <v>16.481991825000001</v>
      </c>
      <c r="AT294" s="1072">
        <f t="shared" si="246"/>
        <v>14.188986825000002</v>
      </c>
      <c r="AU294" s="1073">
        <f t="shared" si="246"/>
        <v>61.972323600000003</v>
      </c>
      <c r="AV294" s="1072">
        <f>AV288+AV279+AV292</f>
        <v>14.855691825000001</v>
      </c>
      <c r="AW294" s="1072">
        <f t="shared" si="246"/>
        <v>15.216636825000002</v>
      </c>
      <c r="AX294" s="1072">
        <f t="shared" si="246"/>
        <v>17.907636825000001</v>
      </c>
      <c r="AY294" s="1072">
        <f t="shared" si="246"/>
        <v>14.661861825000003</v>
      </c>
      <c r="AZ294" s="1073">
        <f t="shared" si="246"/>
        <v>62.609645249999993</v>
      </c>
      <c r="BA294" s="1072">
        <f t="shared" si="246"/>
        <v>14.859331402500001</v>
      </c>
      <c r="BB294" s="1072">
        <f t="shared" si="246"/>
        <v>16.081654874999998</v>
      </c>
      <c r="BC294" s="1072">
        <f t="shared" si="246"/>
        <v>18.316419517500002</v>
      </c>
      <c r="BD294" s="1072">
        <f t="shared" si="246"/>
        <v>16.0399483725</v>
      </c>
      <c r="BE294" s="1073">
        <f t="shared" si="246"/>
        <v>65.265172117500001</v>
      </c>
      <c r="BF294" s="371">
        <f t="shared" si="246"/>
        <v>16.0592196375</v>
      </c>
      <c r="BG294" s="371">
        <f t="shared" si="246"/>
        <v>16.495828732499998</v>
      </c>
      <c r="BH294" s="371">
        <f t="shared" si="246"/>
        <v>20.724782129999998</v>
      </c>
      <c r="BI294" s="371">
        <f t="shared" si="246"/>
        <v>17.208909022500002</v>
      </c>
      <c r="BJ294" s="1073">
        <f t="shared" si="246"/>
        <v>70.508065177499986</v>
      </c>
      <c r="BK294" s="371">
        <f t="shared" ref="BK294:BW294" si="247">BK288+BK279+BK292</f>
        <v>16.688720977500001</v>
      </c>
      <c r="BL294" s="371">
        <f t="shared" si="247"/>
        <v>17.518501552500002</v>
      </c>
      <c r="BM294" s="371">
        <f t="shared" si="247"/>
        <v>21.195141824999997</v>
      </c>
      <c r="BN294" s="371">
        <f t="shared" si="247"/>
        <v>0.65189182500000009</v>
      </c>
      <c r="BO294" s="1073">
        <f t="shared" si="247"/>
        <v>9.5929954399999993</v>
      </c>
      <c r="BP294" s="371">
        <f>BP288+BP279+BP292</f>
        <v>0.65189182500000009</v>
      </c>
      <c r="BQ294" s="371">
        <f>BQ288+BQ279+BQ292</f>
        <v>0.65189182500000009</v>
      </c>
      <c r="BR294" s="371">
        <f>BR288+BR279+BR292</f>
        <v>0.65189182500000009</v>
      </c>
      <c r="BS294" s="371">
        <f>BS288+BS279+BS292</f>
        <v>0.65189182500000009</v>
      </c>
      <c r="BT294" s="1073">
        <f>BT288+BT279+BT292</f>
        <v>0</v>
      </c>
      <c r="BU294" s="1073">
        <f t="shared" si="247"/>
        <v>0</v>
      </c>
      <c r="BV294" s="1073">
        <f t="shared" si="247"/>
        <v>0</v>
      </c>
      <c r="BW294" s="1073">
        <f t="shared" si="247"/>
        <v>0</v>
      </c>
      <c r="BX294" s="1073">
        <f>BX288+BX279+BX292</f>
        <v>0</v>
      </c>
      <c r="BY294" s="1073">
        <f>BY288+BY279+BY292</f>
        <v>0</v>
      </c>
      <c r="BZ294" s="1073">
        <f>BZ288+BZ279+BZ292</f>
        <v>0</v>
      </c>
      <c r="CA294" s="1073">
        <f>CA288+CA279+CA292</f>
        <v>0</v>
      </c>
      <c r="CB294" s="1073">
        <f>CB288+CB279+CB292</f>
        <v>0</v>
      </c>
    </row>
    <row r="295" spans="1:80">
      <c r="A295" s="1150" t="s">
        <v>1193</v>
      </c>
      <c r="B295" s="1150"/>
      <c r="C295" s="1150">
        <f t="shared" ref="C295:V295" si="248">C294/C$266</f>
        <v>0.11199067965250635</v>
      </c>
      <c r="D295" s="1150">
        <f t="shared" si="248"/>
        <v>0.11015252725635981</v>
      </c>
      <c r="E295" s="1150">
        <f t="shared" si="248"/>
        <v>0.11035289733087542</v>
      </c>
      <c r="F295" s="1150">
        <f t="shared" si="248"/>
        <v>0.10909875610853127</v>
      </c>
      <c r="G295" s="1151">
        <f t="shared" si="248"/>
        <v>0.11275095482836062</v>
      </c>
      <c r="H295" s="1150">
        <f t="shared" si="248"/>
        <v>0.11209971676107963</v>
      </c>
      <c r="I295" s="1150">
        <f t="shared" si="248"/>
        <v>0.11213634165900141</v>
      </c>
      <c r="J295" s="1150">
        <f t="shared" si="248"/>
        <v>0.11108866895311038</v>
      </c>
      <c r="K295" s="1150">
        <f t="shared" si="248"/>
        <v>0.11079663430531538</v>
      </c>
      <c r="L295" s="1151">
        <f t="shared" si="248"/>
        <v>0.11150527286162147</v>
      </c>
      <c r="M295" s="1150">
        <f t="shared" si="248"/>
        <v>0.11088939548709943</v>
      </c>
      <c r="N295" s="1150">
        <f t="shared" si="248"/>
        <v>0.11213566816776065</v>
      </c>
      <c r="O295" s="1150">
        <f t="shared" si="248"/>
        <v>0.11053756351794992</v>
      </c>
      <c r="P295" s="1150">
        <f t="shared" si="248"/>
        <v>0.1112345075405967</v>
      </c>
      <c r="Q295" s="1151">
        <f t="shared" si="248"/>
        <v>0.11116031098918749</v>
      </c>
      <c r="R295" s="1150">
        <f t="shared" si="248"/>
        <v>0.11081489926577774</v>
      </c>
      <c r="S295" s="1150">
        <f t="shared" si="248"/>
        <v>0.11249652792509002</v>
      </c>
      <c r="T295" s="1150">
        <f t="shared" si="248"/>
        <v>0.10822000340533784</v>
      </c>
      <c r="U295" s="1150">
        <f t="shared" si="248"/>
        <v>0.10828880964987125</v>
      </c>
      <c r="V295" s="1151">
        <f t="shared" si="248"/>
        <v>0.10990219657175598</v>
      </c>
      <c r="W295" s="1150">
        <f t="shared" ref="W295:AF295" si="249">W294/W$266</f>
        <v>0.1089322526168099</v>
      </c>
      <c r="X295" s="1150">
        <f t="shared" si="249"/>
        <v>0.10987836377325555</v>
      </c>
      <c r="Y295" s="1150">
        <f t="shared" si="249"/>
        <v>0.10585442506420331</v>
      </c>
      <c r="Z295" s="1150">
        <f t="shared" si="249"/>
        <v>0.1059171475529789</v>
      </c>
      <c r="AA295" s="1151">
        <f t="shared" si="249"/>
        <v>0.1075959639003411</v>
      </c>
      <c r="AB295" s="1150">
        <f t="shared" si="249"/>
        <v>0.10662112133259009</v>
      </c>
      <c r="AC295" s="1150">
        <f t="shared" si="249"/>
        <v>0.10698161745806765</v>
      </c>
      <c r="AD295" s="1150">
        <f t="shared" si="249"/>
        <v>0.10347359918959589</v>
      </c>
      <c r="AE295" s="1150">
        <f t="shared" si="249"/>
        <v>0.1042699999670814</v>
      </c>
      <c r="AF295" s="1151">
        <f t="shared" si="249"/>
        <v>0.10530088542057717</v>
      </c>
      <c r="AG295" s="1150">
        <f t="shared" ref="AG295:AP295" si="250">AG294/AG$266</f>
        <v>0.10312122930552153</v>
      </c>
      <c r="AH295" s="1150">
        <f t="shared" si="250"/>
        <v>0.102975268377966</v>
      </c>
      <c r="AI295" s="1150">
        <f t="shared" si="250"/>
        <v>0.10260685040274985</v>
      </c>
      <c r="AJ295" s="1150">
        <f t="shared" si="250"/>
        <v>0.10320791717464302</v>
      </c>
      <c r="AK295" s="1151">
        <f t="shared" si="250"/>
        <v>0.10296269386937686</v>
      </c>
      <c r="AL295" s="1150">
        <f t="shared" si="250"/>
        <v>0.10179282889711305</v>
      </c>
      <c r="AM295" s="1150">
        <f t="shared" si="250"/>
        <v>0.10150526204889204</v>
      </c>
      <c r="AN295" s="1150">
        <f t="shared" si="250"/>
        <v>0.10118846442191266</v>
      </c>
      <c r="AO295" s="1150">
        <f t="shared" si="250"/>
        <v>0.10163348440175006</v>
      </c>
      <c r="AP295" s="1151">
        <f t="shared" si="250"/>
        <v>0.10151743424398295</v>
      </c>
      <c r="AQ295" s="1150">
        <f t="shared" ref="AQ295:BE295" si="251">AQ294/AQ$266</f>
        <v>0.10169349787395547</v>
      </c>
      <c r="AR295" s="1150">
        <f t="shared" si="251"/>
        <v>0.10177548549897686</v>
      </c>
      <c r="AS295" s="1150">
        <f t="shared" si="251"/>
        <v>0.10151510116407983</v>
      </c>
      <c r="AT295" s="1150">
        <f t="shared" si="251"/>
        <v>0.10219520624162719</v>
      </c>
      <c r="AU295" s="1151">
        <f t="shared" si="251"/>
        <v>0.10173957746085791</v>
      </c>
      <c r="AV295" s="1150">
        <f t="shared" si="251"/>
        <v>0.10197482032537068</v>
      </c>
      <c r="AW295" s="1150">
        <f t="shared" si="251"/>
        <v>0.10186392487046633</v>
      </c>
      <c r="AX295" s="1150">
        <f t="shared" si="251"/>
        <v>0.10118337924195682</v>
      </c>
      <c r="AY295" s="1150">
        <f t="shared" si="251"/>
        <v>0.10203673012415446</v>
      </c>
      <c r="AZ295" s="1151">
        <f t="shared" si="251"/>
        <v>0.1016826127593644</v>
      </c>
      <c r="BA295" s="1150">
        <f t="shared" si="251"/>
        <v>0.10197367399247347</v>
      </c>
      <c r="BB295" s="1150">
        <f t="shared" si="251"/>
        <v>0.10161927602073578</v>
      </c>
      <c r="BC295" s="1150">
        <f t="shared" si="251"/>
        <v>0.10109814052455454</v>
      </c>
      <c r="BD295" s="1150">
        <f t="shared" si="251"/>
        <v>0.10163044056221811</v>
      </c>
      <c r="BE295" s="1151">
        <f t="shared" si="251"/>
        <v>0.1015054381171485</v>
      </c>
      <c r="BF295" s="855">
        <f t="shared" ref="BF295:BM295" si="252">BF294/BF$266</f>
        <v>0.10162527426630943</v>
      </c>
      <c r="BG295" s="855">
        <f t="shared" si="252"/>
        <v>0.10151159467552619</v>
      </c>
      <c r="BH295" s="855">
        <f t="shared" si="252"/>
        <v>0.10066643253521232</v>
      </c>
      <c r="BI295" s="855">
        <f t="shared" si="252"/>
        <v>0.10133882266831838</v>
      </c>
      <c r="BJ295" s="1151">
        <f t="shared" si="252"/>
        <v>0.1012730942870725</v>
      </c>
      <c r="BK295" s="855">
        <f t="shared" si="252"/>
        <v>0.10146334289859238</v>
      </c>
      <c r="BL295" s="855">
        <f t="shared" si="252"/>
        <v>0.10126835973348397</v>
      </c>
      <c r="BM295" s="855">
        <f t="shared" si="252"/>
        <v>0.10059393367346937</v>
      </c>
      <c r="BN295" s="855" t="str">
        <f>IFERROR(BN294/BN$266,"")</f>
        <v/>
      </c>
      <c r="BO295" s="1151" t="str">
        <f t="shared" ref="BO295:CB295" si="253">IFERROR(BO294/BO$266,"")</f>
        <v/>
      </c>
      <c r="BP295" s="855" t="str">
        <f t="shared" si="253"/>
        <v/>
      </c>
      <c r="BQ295" s="855" t="str">
        <f t="shared" si="253"/>
        <v/>
      </c>
      <c r="BR295" s="855" t="str">
        <f t="shared" si="253"/>
        <v/>
      </c>
      <c r="BS295" s="855" t="str">
        <f t="shared" si="253"/>
        <v/>
      </c>
      <c r="BT295" s="1151" t="str">
        <f t="shared" si="253"/>
        <v/>
      </c>
      <c r="BU295" s="1151" t="str">
        <f t="shared" si="253"/>
        <v/>
      </c>
      <c r="BV295" s="1151" t="str">
        <f t="shared" si="253"/>
        <v/>
      </c>
      <c r="BW295" s="1151" t="str">
        <f t="shared" si="253"/>
        <v/>
      </c>
      <c r="BX295" s="1151" t="str">
        <f t="shared" si="253"/>
        <v/>
      </c>
      <c r="BY295" s="1151" t="str">
        <f t="shared" si="253"/>
        <v/>
      </c>
      <c r="BZ295" s="1151" t="str">
        <f t="shared" si="253"/>
        <v/>
      </c>
      <c r="CA295" s="1151" t="str">
        <f t="shared" si="253"/>
        <v/>
      </c>
      <c r="CB295" s="1151" t="str">
        <f t="shared" si="253"/>
        <v/>
      </c>
    </row>
    <row r="296" spans="1:80">
      <c r="A296" s="1150" t="s">
        <v>937</v>
      </c>
      <c r="B296" s="1150"/>
      <c r="C296" s="1150">
        <f t="shared" ref="C296:V296" si="254">C294/C$281</f>
        <v>0.1076266288068326</v>
      </c>
      <c r="D296" s="1150">
        <f t="shared" si="254"/>
        <v>0.10015110706252536</v>
      </c>
      <c r="E296" s="1150">
        <f t="shared" si="254"/>
        <v>0.10001615021784327</v>
      </c>
      <c r="F296" s="1150">
        <f t="shared" si="254"/>
        <v>0.10002654698349364</v>
      </c>
      <c r="G296" s="1151">
        <f t="shared" si="254"/>
        <v>0.10391332183158662</v>
      </c>
      <c r="H296" s="1150">
        <f t="shared" si="254"/>
        <v>0.10553526612987556</v>
      </c>
      <c r="I296" s="1150">
        <f t="shared" si="254"/>
        <v>0.10314164307485386</v>
      </c>
      <c r="J296" s="1150">
        <f t="shared" si="254"/>
        <v>9.8905146494070922E-2</v>
      </c>
      <c r="K296" s="1150">
        <f t="shared" si="254"/>
        <v>0.10009625449239194</v>
      </c>
      <c r="L296" s="1151">
        <f t="shared" si="254"/>
        <v>0.10172382435211255</v>
      </c>
      <c r="M296" s="1150">
        <f t="shared" si="254"/>
        <v>0.10301939829821717</v>
      </c>
      <c r="N296" s="1150">
        <f t="shared" si="254"/>
        <v>0.10235521049119332</v>
      </c>
      <c r="O296" s="1150">
        <f t="shared" si="254"/>
        <v>0.10029532049117985</v>
      </c>
      <c r="P296" s="1150">
        <f t="shared" si="254"/>
        <v>9.6529668146047701E-2</v>
      </c>
      <c r="Q296" s="1151">
        <f t="shared" si="254"/>
        <v>0.10048255712731548</v>
      </c>
      <c r="R296" s="1150">
        <f t="shared" si="254"/>
        <v>0.10186126427429899</v>
      </c>
      <c r="S296" s="1150">
        <f t="shared" si="254"/>
        <v>9.9063118019963356E-2</v>
      </c>
      <c r="T296" s="1150">
        <f t="shared" si="254"/>
        <v>9.5895637296587857E-2</v>
      </c>
      <c r="U296" s="1150">
        <f t="shared" si="254"/>
        <v>9.5897821234729314E-2</v>
      </c>
      <c r="V296" s="1151">
        <f t="shared" si="254"/>
        <v>9.8108694118055659E-2</v>
      </c>
      <c r="W296" s="1150">
        <f t="shared" ref="W296:AF296" si="255">W294/W$281</f>
        <v>9.6321337457215245E-2</v>
      </c>
      <c r="X296" s="1150">
        <f t="shared" si="255"/>
        <v>9.5657903050941545E-2</v>
      </c>
      <c r="Y296" s="1150">
        <f t="shared" si="255"/>
        <v>9.1484808524108716E-2</v>
      </c>
      <c r="Z296" s="1150">
        <f t="shared" si="255"/>
        <v>9.8016208509265734E-2</v>
      </c>
      <c r="AA296" s="1151">
        <f t="shared" si="255"/>
        <v>9.5134748163797314E-2</v>
      </c>
      <c r="AB296" s="1150">
        <f t="shared" si="255"/>
        <v>9.5816007855056173E-2</v>
      </c>
      <c r="AC296" s="1150">
        <f t="shared" si="255"/>
        <v>9.7107577209161286E-2</v>
      </c>
      <c r="AD296" s="1150">
        <f t="shared" si="255"/>
        <v>9.0810230909147485E-2</v>
      </c>
      <c r="AE296" s="1150">
        <f t="shared" si="255"/>
        <v>9.1179777917487895E-2</v>
      </c>
      <c r="AF296" s="1151">
        <f t="shared" si="255"/>
        <v>9.365478693887741E-2</v>
      </c>
      <c r="AG296" s="1150">
        <f t="shared" ref="AG296:AP296" si="256">AG294/AG$281</f>
        <v>9.0580524817416741E-2</v>
      </c>
      <c r="AH296" s="1150">
        <f t="shared" si="256"/>
        <v>9.0654072438770772E-2</v>
      </c>
      <c r="AI296" s="1150">
        <f t="shared" si="256"/>
        <v>8.7366531455372168E-2</v>
      </c>
      <c r="AJ296" s="1150">
        <f t="shared" si="256"/>
        <v>9.0961966934359012E-2</v>
      </c>
      <c r="AK296" s="1151">
        <f t="shared" si="256"/>
        <v>8.9782377003765054E-2</v>
      </c>
      <c r="AL296" s="1150">
        <f t="shared" si="256"/>
        <v>9.1417894760186871E-2</v>
      </c>
      <c r="AM296" s="1150">
        <f t="shared" si="256"/>
        <v>9.0398559896802302E-2</v>
      </c>
      <c r="AN296" s="1150">
        <f t="shared" si="256"/>
        <v>8.8526006717223216E-2</v>
      </c>
      <c r="AO296" s="1150">
        <f t="shared" si="256"/>
        <v>9.0860023949889485E-2</v>
      </c>
      <c r="AP296" s="1151">
        <f t="shared" si="256"/>
        <v>9.0228044114263967E-2</v>
      </c>
      <c r="AQ296" s="1150">
        <f t="shared" ref="AQ296:BJ296" si="257">AQ294/AQ$281</f>
        <v>8.9744872693726926E-2</v>
      </c>
      <c r="AR296" s="1150">
        <f t="shared" si="257"/>
        <v>8.846349150020523E-2</v>
      </c>
      <c r="AS296" s="1150">
        <f t="shared" si="257"/>
        <v>8.8096123410532842E-2</v>
      </c>
      <c r="AT296" s="1150">
        <f t="shared" si="257"/>
        <v>9.6154147833158288E-2</v>
      </c>
      <c r="AU296" s="1151">
        <f t="shared" si="257"/>
        <v>9.0309438636476239E-2</v>
      </c>
      <c r="AV296" s="1150">
        <f t="shared" si="257"/>
        <v>8.9684454764434568E-2</v>
      </c>
      <c r="AW296" s="1150">
        <f t="shared" si="257"/>
        <v>8.8020019001949362E-2</v>
      </c>
      <c r="AX296" s="1150">
        <f t="shared" si="257"/>
        <v>8.9515357708784271E-2</v>
      </c>
      <c r="AY296" s="1150">
        <f t="shared" si="257"/>
        <v>9.3311579253856747E-2</v>
      </c>
      <c r="AZ296" s="1151">
        <f t="shared" si="257"/>
        <v>8.9995307237756547E-2</v>
      </c>
      <c r="BA296" s="1150">
        <f t="shared" si="257"/>
        <v>8.8837594476396595E-2</v>
      </c>
      <c r="BB296" s="1150">
        <f t="shared" si="257"/>
        <v>8.8431680771388022E-2</v>
      </c>
      <c r="BC296" s="1150">
        <f t="shared" si="257"/>
        <v>8.7243479358978027E-2</v>
      </c>
      <c r="BD296" s="1150">
        <f t="shared" si="257"/>
        <v>8.9535121283080374E-2</v>
      </c>
      <c r="BE296" s="1151">
        <f t="shared" si="257"/>
        <v>8.8409915481481582E-2</v>
      </c>
      <c r="BF296" s="855">
        <f t="shared" si="257"/>
        <v>8.79528319750916E-2</v>
      </c>
      <c r="BG296" s="855">
        <f t="shared" si="257"/>
        <v>8.629195363380987E-2</v>
      </c>
      <c r="BH296" s="855">
        <f t="shared" si="257"/>
        <v>8.7276572279237422E-2</v>
      </c>
      <c r="BI296" s="855">
        <f t="shared" si="257"/>
        <v>8.9187050849170529E-2</v>
      </c>
      <c r="BJ296" s="1151">
        <f t="shared" si="257"/>
        <v>8.7678495705488663E-2</v>
      </c>
      <c r="BK296" s="855">
        <f t="shared" ref="BK296:BM296" si="258">BK294/BK$281</f>
        <v>8.7700130732607087E-2</v>
      </c>
      <c r="BL296" s="855">
        <f t="shared" si="258"/>
        <v>8.6150774550399073E-2</v>
      </c>
      <c r="BM296" s="855">
        <f t="shared" si="258"/>
        <v>9.9636835331852788E-2</v>
      </c>
      <c r="BN296" s="855" t="str">
        <f>IFERROR(BN294/BN$281,"")</f>
        <v/>
      </c>
      <c r="BO296" s="1151" t="str">
        <f t="shared" ref="BO296:CB296" si="259">IFERROR(BO294/BO$281,"")</f>
        <v/>
      </c>
      <c r="BP296" s="855" t="str">
        <f t="shared" si="259"/>
        <v/>
      </c>
      <c r="BQ296" s="855" t="str">
        <f t="shared" si="259"/>
        <v/>
      </c>
      <c r="BR296" s="855" t="str">
        <f t="shared" si="259"/>
        <v/>
      </c>
      <c r="BS296" s="855" t="str">
        <f t="shared" si="259"/>
        <v/>
      </c>
      <c r="BT296" s="1151" t="str">
        <f t="shared" si="259"/>
        <v/>
      </c>
      <c r="BU296" s="1151" t="str">
        <f t="shared" si="259"/>
        <v/>
      </c>
      <c r="BV296" s="1151" t="str">
        <f t="shared" si="259"/>
        <v/>
      </c>
      <c r="BW296" s="1151" t="str">
        <f t="shared" si="259"/>
        <v/>
      </c>
      <c r="BX296" s="1151">
        <f t="shared" si="259"/>
        <v>0</v>
      </c>
      <c r="BY296" s="1151">
        <f t="shared" si="259"/>
        <v>0</v>
      </c>
      <c r="BZ296" s="1151">
        <f t="shared" si="259"/>
        <v>0</v>
      </c>
      <c r="CA296" s="1151">
        <f t="shared" si="259"/>
        <v>0</v>
      </c>
      <c r="CB296" s="1151">
        <f t="shared" si="259"/>
        <v>0</v>
      </c>
    </row>
  </sheetData>
  <phoneticPr fontId="10" type="noConversion"/>
  <pageMargins left="0.5" right="0.5" top="0.5" bottom="0.5" header="0.5" footer="0.5"/>
  <pageSetup scale="63" orientation="landscape" horizontalDpi="300" verticalDpi="300"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AO118"/>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5" max="15" width="3.25" customWidth="1"/>
    <col min="17" max="17" width="1" customWidth="1"/>
    <col min="18" max="18" width="19" customWidth="1"/>
    <col min="19" max="19" width="1.625" customWidth="1"/>
    <col min="20" max="20" width="8.625" customWidth="1"/>
    <col min="21" max="21" width="1.625" customWidth="1"/>
    <col min="22" max="22" width="8.625" customWidth="1"/>
    <col min="23" max="23" width="1.625" customWidth="1"/>
    <col min="24" max="24" width="8.625" customWidth="1"/>
    <col min="27" max="27" width="7.625" customWidth="1"/>
    <col min="28" max="28" width="1.625" customWidth="1"/>
    <col min="29" max="29" width="7.625" customWidth="1"/>
    <col min="30" max="30" width="1.625" customWidth="1"/>
    <col min="31" max="31" width="7.625" customWidth="1"/>
    <col min="32" max="32" width="1.625" customWidth="1"/>
    <col min="33" max="33" width="21.5" customWidth="1"/>
    <col min="34" max="34" width="11.625" customWidth="1"/>
    <col min="35" max="35" width="1.625" customWidth="1"/>
    <col min="36" max="36" width="10.625" customWidth="1"/>
    <col min="37" max="37" width="1.625" customWidth="1"/>
    <col min="38" max="38" width="10.625" customWidth="1"/>
    <col min="39" max="39" width="16" customWidth="1"/>
  </cols>
  <sheetData>
    <row r="1" spans="1:41" ht="12.75" customHeight="1">
      <c r="A1" s="1" t="s">
        <v>629</v>
      </c>
      <c r="B1" s="2"/>
      <c r="C1" s="166"/>
      <c r="D1" s="1062"/>
      <c r="E1" s="2"/>
      <c r="F1" s="2"/>
      <c r="G1" s="2"/>
      <c r="H1" s="2"/>
      <c r="I1" s="2"/>
      <c r="J1" s="2"/>
      <c r="K1" s="2"/>
      <c r="L1" s="2"/>
      <c r="N1" s="2"/>
      <c r="R1" s="2"/>
      <c r="S1" s="2"/>
      <c r="T1" s="2"/>
      <c r="U1" s="2"/>
      <c r="V1" s="2"/>
      <c r="W1" s="2"/>
      <c r="X1" s="2"/>
      <c r="Y1" s="2"/>
      <c r="Z1" s="2"/>
      <c r="AA1" s="2"/>
      <c r="AB1" s="2"/>
      <c r="AC1" s="2"/>
      <c r="AD1" s="2"/>
      <c r="AE1" s="2"/>
      <c r="AF1" s="2"/>
      <c r="AG1" s="2"/>
      <c r="AH1" s="2"/>
      <c r="AI1" s="2"/>
      <c r="AJ1" s="2"/>
      <c r="AK1" s="2"/>
      <c r="AL1" s="2"/>
      <c r="AM1" s="2"/>
      <c r="AN1" s="98"/>
      <c r="AO1" s="2"/>
    </row>
    <row r="2" spans="1:41" ht="12.75" customHeight="1">
      <c r="A2" s="1" t="s">
        <v>1224</v>
      </c>
      <c r="B2" s="2"/>
      <c r="C2" s="2"/>
      <c r="D2" s="1062"/>
      <c r="E2" s="2"/>
      <c r="F2" s="2"/>
      <c r="G2" s="2"/>
      <c r="H2" s="2"/>
      <c r="I2" s="2"/>
      <c r="J2" s="2"/>
      <c r="K2" s="2"/>
      <c r="L2" s="2"/>
      <c r="N2" s="2"/>
      <c r="R2" s="2"/>
      <c r="S2" s="2"/>
      <c r="T2" s="2"/>
      <c r="U2" s="2"/>
      <c r="V2" s="2"/>
      <c r="W2" s="2"/>
      <c r="X2" s="2"/>
      <c r="Y2" s="2"/>
      <c r="Z2" s="2"/>
      <c r="AA2" s="2"/>
      <c r="AB2" s="2"/>
      <c r="AC2" s="2"/>
      <c r="AD2" s="2"/>
      <c r="AE2" s="2"/>
      <c r="AF2" s="2"/>
      <c r="AG2" s="2"/>
      <c r="AH2" s="2"/>
      <c r="AI2" s="2"/>
      <c r="AJ2" s="2"/>
      <c r="AK2" s="2"/>
      <c r="AL2" s="2"/>
      <c r="AM2" s="2"/>
      <c r="AN2" s="98"/>
      <c r="AO2" s="2"/>
    </row>
    <row r="3" spans="1:41" ht="12.75" customHeight="1">
      <c r="A3" s="2" t="s">
        <v>1225</v>
      </c>
      <c r="B3" s="2"/>
      <c r="C3" s="2"/>
      <c r="D3" s="1062"/>
      <c r="E3" s="2"/>
      <c r="F3" s="2"/>
      <c r="G3" s="2"/>
      <c r="H3" s="2"/>
      <c r="I3" s="2"/>
      <c r="J3" s="2"/>
      <c r="K3" s="2"/>
      <c r="L3" s="2"/>
      <c r="N3" s="2"/>
      <c r="R3" s="2"/>
      <c r="S3" s="2"/>
      <c r="T3" s="2"/>
      <c r="U3" s="2"/>
      <c r="V3" s="2"/>
      <c r="W3" s="2"/>
      <c r="X3" s="2"/>
      <c r="Y3" s="2"/>
      <c r="Z3" s="2"/>
      <c r="AA3" s="2"/>
      <c r="AB3" s="2"/>
      <c r="AC3" s="2"/>
      <c r="AD3" s="2"/>
      <c r="AE3" s="2"/>
      <c r="AF3" s="2"/>
      <c r="AG3" s="2"/>
      <c r="AH3" s="2"/>
      <c r="AI3" s="2"/>
      <c r="AJ3" s="2"/>
      <c r="AK3" s="2"/>
      <c r="AL3" s="2"/>
      <c r="AM3" s="2"/>
      <c r="AN3" s="98"/>
      <c r="AO3" s="2"/>
    </row>
    <row r="4" spans="1:41" ht="12.75" customHeight="1">
      <c r="A4" s="2"/>
      <c r="B4" s="2"/>
      <c r="C4" s="1195" t="s">
        <v>818</v>
      </c>
      <c r="D4" s="1310"/>
      <c r="E4" s="1196"/>
      <c r="F4" s="1196"/>
      <c r="G4" s="1196"/>
      <c r="H4" s="2"/>
      <c r="I4" s="1195" t="s">
        <v>1504</v>
      </c>
      <c r="J4" s="1197"/>
      <c r="K4" s="1196"/>
      <c r="L4" s="1196"/>
      <c r="N4" s="73" t="s">
        <v>1030</v>
      </c>
      <c r="P4" s="73" t="s">
        <v>594</v>
      </c>
      <c r="R4" s="2"/>
      <c r="S4" s="2"/>
      <c r="T4" s="2"/>
      <c r="U4" s="2"/>
      <c r="V4" s="2"/>
      <c r="W4" s="2"/>
      <c r="X4" s="2"/>
      <c r="Y4" s="2"/>
      <c r="Z4" s="2"/>
      <c r="AA4" s="2"/>
      <c r="AB4" s="2"/>
      <c r="AC4" s="2"/>
      <c r="AD4" s="2"/>
      <c r="AE4" s="2"/>
      <c r="AF4" s="2"/>
      <c r="AG4" s="2"/>
      <c r="AH4" s="2"/>
      <c r="AI4" s="2"/>
      <c r="AJ4" s="2"/>
      <c r="AK4" s="2"/>
      <c r="AL4" s="2"/>
      <c r="AM4" s="2"/>
      <c r="AN4" s="98"/>
      <c r="AO4" s="2"/>
    </row>
    <row r="5" spans="1:41" ht="12.75" customHeight="1">
      <c r="A5" s="2"/>
      <c r="B5" s="2"/>
      <c r="C5" s="1198"/>
      <c r="D5" s="77"/>
      <c r="E5" s="2"/>
      <c r="F5" s="1197" t="s">
        <v>1487</v>
      </c>
      <c r="G5" s="1197"/>
      <c r="H5" s="2"/>
      <c r="I5" s="1198"/>
      <c r="J5" s="61"/>
      <c r="K5" s="1197" t="s">
        <v>1505</v>
      </c>
      <c r="L5" s="1197"/>
      <c r="N5" s="2"/>
      <c r="R5" s="2"/>
      <c r="S5" s="2"/>
      <c r="T5" s="2"/>
      <c r="U5" s="2"/>
      <c r="V5" s="2"/>
      <c r="W5" s="2"/>
      <c r="X5" s="2"/>
      <c r="Y5" s="2"/>
      <c r="Z5" s="2"/>
      <c r="AA5" s="2"/>
      <c r="AB5" s="2"/>
      <c r="AC5" s="2"/>
      <c r="AD5" s="2"/>
      <c r="AE5" s="2"/>
      <c r="AF5" s="2"/>
      <c r="AG5" s="2"/>
      <c r="AH5" s="2"/>
      <c r="AI5" s="2"/>
      <c r="AJ5" s="2"/>
      <c r="AK5" s="2"/>
      <c r="AL5" s="2"/>
      <c r="AM5" s="2"/>
      <c r="AN5" s="98"/>
      <c r="AO5" s="2"/>
    </row>
    <row r="6" spans="1:41" ht="12.75" customHeight="1">
      <c r="A6" s="61"/>
      <c r="B6" s="2"/>
      <c r="C6" s="1199" t="s">
        <v>1484</v>
      </c>
      <c r="D6" s="1308" t="s">
        <v>726</v>
      </c>
      <c r="E6" s="70"/>
      <c r="F6" s="73" t="s">
        <v>658</v>
      </c>
      <c r="G6" s="73" t="s">
        <v>740</v>
      </c>
      <c r="H6" s="2"/>
      <c r="I6" s="1199" t="s">
        <v>353</v>
      </c>
      <c r="J6" s="70"/>
      <c r="K6" s="73" t="s">
        <v>658</v>
      </c>
      <c r="L6" s="73" t="s">
        <v>740</v>
      </c>
      <c r="N6" s="2"/>
      <c r="R6" s="2"/>
      <c r="S6" s="2"/>
      <c r="T6" s="2"/>
      <c r="U6" s="2"/>
      <c r="V6" s="2"/>
      <c r="W6" s="2"/>
      <c r="X6" s="2"/>
      <c r="Y6" s="2"/>
      <c r="Z6" s="2"/>
      <c r="AA6" s="2"/>
      <c r="AB6" s="2"/>
      <c r="AC6" s="2"/>
      <c r="AD6" s="2"/>
      <c r="AE6" s="2"/>
      <c r="AF6" s="2"/>
      <c r="AG6" s="2"/>
      <c r="AH6" s="2"/>
      <c r="AI6" s="2"/>
      <c r="AJ6" s="2"/>
      <c r="AK6" s="2"/>
      <c r="AL6" s="2"/>
      <c r="AM6" s="2"/>
      <c r="AN6" s="98"/>
      <c r="AO6" s="2"/>
    </row>
    <row r="7" spans="1:41" ht="12.75" customHeight="1">
      <c r="A7" s="1" t="s">
        <v>741</v>
      </c>
      <c r="B7" s="2"/>
      <c r="C7" s="112"/>
      <c r="D7" s="77"/>
      <c r="E7" s="2"/>
      <c r="F7" s="2"/>
      <c r="G7" s="2"/>
      <c r="H7" s="2"/>
      <c r="I7" s="112"/>
      <c r="J7" s="61"/>
      <c r="K7" s="2"/>
      <c r="L7" s="2"/>
      <c r="N7" s="2"/>
      <c r="R7" s="2"/>
      <c r="S7" s="2"/>
      <c r="T7" s="2"/>
      <c r="U7" s="2"/>
      <c r="V7" s="2"/>
      <c r="W7" s="2"/>
      <c r="X7" s="2"/>
      <c r="Y7" s="2"/>
      <c r="Z7" s="2"/>
      <c r="AA7" s="2"/>
      <c r="AB7" s="2"/>
      <c r="AC7" s="2"/>
      <c r="AD7" s="2"/>
      <c r="AE7" s="2"/>
      <c r="AF7" s="2"/>
      <c r="AG7" s="2"/>
      <c r="AH7" s="2"/>
      <c r="AI7" s="2"/>
      <c r="AJ7" s="2"/>
      <c r="AK7" s="2"/>
      <c r="AL7" s="2"/>
      <c r="AM7" s="2"/>
      <c r="AN7" s="98"/>
      <c r="AO7" s="2"/>
    </row>
    <row r="8" spans="1:41" ht="12.75" customHeight="1">
      <c r="A8" s="334" t="s">
        <v>514</v>
      </c>
      <c r="B8" s="2"/>
      <c r="C8" s="2030">
        <f>BYD!AW10</f>
        <v>152.827</v>
      </c>
      <c r="D8" s="858">
        <f>BYD!AR10</f>
        <v>154.78899999999999</v>
      </c>
      <c r="E8" s="1202"/>
      <c r="F8" s="1205">
        <f t="shared" ref="F8:F13" si="0">C8-D8</f>
        <v>-1.9619999999999891</v>
      </c>
      <c r="G8" s="126">
        <f t="shared" ref="G8:G14" si="1">IF(D8=0,0,C8/D8-1)</f>
        <v>-1.2675319305635369E-2</v>
      </c>
      <c r="H8" s="1205"/>
      <c r="I8" s="1207">
        <v>150.91927499999997</v>
      </c>
      <c r="J8" s="1202"/>
      <c r="K8" s="313">
        <f t="shared" ref="K8:K13" si="2">C8-I8</f>
        <v>1.9077250000000276</v>
      </c>
      <c r="L8" s="1204">
        <f t="shared" ref="L8:L13" si="3">IF(I8=0,"NM",C8/I8-1)</f>
        <v>1.2640698148066454E-2</v>
      </c>
      <c r="N8" s="1349">
        <v>152.52000000000001</v>
      </c>
      <c r="R8" s="105">
        <f>+C8/N8-1</f>
        <v>2.0128507736689727E-3</v>
      </c>
      <c r="S8" s="2"/>
      <c r="T8" s="2"/>
      <c r="U8" s="2"/>
      <c r="V8" s="2"/>
      <c r="W8" s="2"/>
      <c r="X8" s="2"/>
      <c r="Y8" s="2"/>
      <c r="Z8" s="2"/>
      <c r="AA8" s="2"/>
      <c r="AB8" s="2"/>
      <c r="AC8" s="2"/>
      <c r="AD8" s="2"/>
      <c r="AE8" s="2"/>
      <c r="AF8" s="2"/>
      <c r="AG8" s="2"/>
      <c r="AH8" s="2"/>
      <c r="AI8" s="2"/>
      <c r="AJ8" s="2"/>
      <c r="AK8" s="2"/>
      <c r="AL8" s="2"/>
      <c r="AM8" s="2"/>
      <c r="AN8" s="98"/>
      <c r="AO8" s="2"/>
    </row>
    <row r="9" spans="1:41" ht="12.75" customHeight="1">
      <c r="A9" s="334" t="s">
        <v>515</v>
      </c>
      <c r="B9" s="61"/>
      <c r="C9" s="2031">
        <f>BYD!AW11</f>
        <v>54.082999999999998</v>
      </c>
      <c r="D9" s="104">
        <f>BYD!AR11</f>
        <v>57.008000000000003</v>
      </c>
      <c r="E9" s="1103"/>
      <c r="F9" s="374">
        <f t="shared" si="0"/>
        <v>-2.9250000000000043</v>
      </c>
      <c r="G9" s="95">
        <f t="shared" si="1"/>
        <v>-5.1308588268313304E-2</v>
      </c>
      <c r="H9" s="61"/>
      <c r="I9" s="1104">
        <v>57.57808</v>
      </c>
      <c r="J9" s="1103"/>
      <c r="K9" s="374">
        <f t="shared" si="2"/>
        <v>-3.4950800000000015</v>
      </c>
      <c r="L9" s="92">
        <f t="shared" si="3"/>
        <v>-6.0701572542884441E-2</v>
      </c>
      <c r="N9" s="1102">
        <v>56.59</v>
      </c>
      <c r="R9" s="105">
        <f t="shared" ref="R9:R14" si="4">+C9/N9-1</f>
        <v>-4.4301113270896031E-2</v>
      </c>
      <c r="S9" s="2"/>
      <c r="T9" s="2"/>
      <c r="U9" s="2"/>
      <c r="V9" s="2"/>
      <c r="W9" s="2"/>
      <c r="X9" s="2"/>
      <c r="Y9" s="2"/>
      <c r="Z9" s="2"/>
      <c r="AA9" s="2"/>
      <c r="AB9" s="2"/>
      <c r="AC9" s="2"/>
      <c r="AD9" s="2"/>
      <c r="AE9" s="2"/>
      <c r="AF9" s="2"/>
      <c r="AG9" s="2"/>
      <c r="AH9" s="2"/>
      <c r="AI9" s="2"/>
      <c r="AJ9" s="2"/>
      <c r="AK9" s="2"/>
      <c r="AL9" s="2"/>
      <c r="AM9" s="2"/>
      <c r="AN9" s="98"/>
      <c r="AO9" s="2"/>
    </row>
    <row r="10" spans="1:41" ht="12.75" customHeight="1">
      <c r="A10" s="334" t="s">
        <v>516</v>
      </c>
      <c r="B10" s="61"/>
      <c r="C10" s="2031">
        <f>BYD!AW13</f>
        <v>229.11699999999999</v>
      </c>
      <c r="D10" s="104">
        <f>BYD!AR13</f>
        <v>243.72200000000001</v>
      </c>
      <c r="E10" s="1103"/>
      <c r="F10" s="374">
        <f t="shared" si="0"/>
        <v>-14.605000000000018</v>
      </c>
      <c r="G10" s="95">
        <f t="shared" si="1"/>
        <v>-5.9924832391002991E-2</v>
      </c>
      <c r="H10" s="61"/>
      <c r="I10" s="1104">
        <v>232.03196693588541</v>
      </c>
      <c r="J10" s="1103"/>
      <c r="K10" s="374">
        <f t="shared" si="2"/>
        <v>-2.9149669358854169</v>
      </c>
      <c r="L10" s="92">
        <f t="shared" si="3"/>
        <v>-1.2562781647629029E-2</v>
      </c>
      <c r="M10" s="1403"/>
      <c r="N10" s="1102">
        <v>235.54</v>
      </c>
      <c r="P10" s="1403"/>
      <c r="R10" s="105">
        <f t="shared" si="4"/>
        <v>-2.7269253629956691E-2</v>
      </c>
      <c r="S10" s="2"/>
      <c r="T10" s="2"/>
      <c r="U10" s="2"/>
      <c r="V10" s="2"/>
      <c r="W10" s="2"/>
      <c r="X10" s="2"/>
      <c r="Y10" s="2"/>
      <c r="Z10" s="2"/>
      <c r="AA10" s="2"/>
      <c r="AB10" s="2"/>
      <c r="AC10" s="2"/>
      <c r="AD10" s="2"/>
      <c r="AE10" s="2"/>
      <c r="AF10" s="2"/>
      <c r="AG10" s="2"/>
      <c r="AH10" s="2"/>
      <c r="AI10" s="2"/>
      <c r="AJ10" s="2"/>
      <c r="AK10" s="2"/>
      <c r="AL10" s="2"/>
      <c r="AM10" s="2"/>
      <c r="AN10" s="98"/>
      <c r="AO10" s="2"/>
    </row>
    <row r="11" spans="1:41" ht="12.75" customHeight="1">
      <c r="A11" s="963" t="s">
        <v>517</v>
      </c>
      <c r="B11" s="61"/>
      <c r="C11" s="2031">
        <f>BYD!AW14</f>
        <v>133.91300000000001</v>
      </c>
      <c r="D11" s="104">
        <f>BYD!AR14</f>
        <v>0</v>
      </c>
      <c r="E11" s="1103"/>
      <c r="F11" s="374">
        <f t="shared" si="0"/>
        <v>133.91300000000001</v>
      </c>
      <c r="G11" s="95">
        <f t="shared" si="1"/>
        <v>0</v>
      </c>
      <c r="H11" s="61"/>
      <c r="I11" s="1104">
        <v>131.03267708042011</v>
      </c>
      <c r="J11" s="1103"/>
      <c r="K11" s="374">
        <f t="shared" si="2"/>
        <v>2.8803229195798963</v>
      </c>
      <c r="L11" s="92">
        <f t="shared" si="3"/>
        <v>2.1981714666579943E-2</v>
      </c>
      <c r="M11" s="1403"/>
      <c r="N11" s="1102">
        <v>133.22</v>
      </c>
      <c r="P11" s="1403"/>
      <c r="R11" s="105">
        <f t="shared" si="4"/>
        <v>5.2019216333885065E-3</v>
      </c>
      <c r="S11" s="2"/>
      <c r="T11" s="2"/>
      <c r="U11" s="2"/>
      <c r="V11" s="2"/>
      <c r="W11" s="2"/>
      <c r="X11" s="2"/>
      <c r="Y11" s="2"/>
      <c r="Z11" s="2"/>
      <c r="AA11" s="2"/>
      <c r="AB11" s="2"/>
      <c r="AC11" s="2"/>
      <c r="AD11" s="2"/>
      <c r="AE11" s="2"/>
      <c r="AF11" s="2"/>
      <c r="AG11" s="2"/>
      <c r="AH11" s="2"/>
      <c r="AI11" s="2"/>
      <c r="AJ11" s="2"/>
      <c r="AK11" s="2"/>
      <c r="AL11" s="2"/>
      <c r="AM11" s="2"/>
      <c r="AN11" s="98"/>
      <c r="AO11" s="2"/>
    </row>
    <row r="12" spans="1:41" ht="12.75" customHeight="1">
      <c r="A12" s="334" t="s">
        <v>273</v>
      </c>
      <c r="B12" s="61"/>
      <c r="C12" s="2031">
        <f>BYD!AW906</f>
        <v>165.64400000000001</v>
      </c>
      <c r="D12" s="104">
        <f>BYD!AR906</f>
        <v>176.15</v>
      </c>
      <c r="E12" s="1103"/>
      <c r="F12" s="374">
        <f t="shared" si="0"/>
        <v>-10.506</v>
      </c>
      <c r="G12" s="95">
        <f t="shared" si="1"/>
        <v>-5.9642350269656585E-2</v>
      </c>
      <c r="H12" s="61"/>
      <c r="I12" s="1104">
        <v>160.51561331570966</v>
      </c>
      <c r="J12" s="1103"/>
      <c r="K12" s="374">
        <f t="shared" si="2"/>
        <v>5.1283866842903478</v>
      </c>
      <c r="L12" s="92">
        <f t="shared" si="3"/>
        <v>3.1949456992720116E-2</v>
      </c>
      <c r="N12" s="1102">
        <v>158.69999999999999</v>
      </c>
      <c r="R12" s="105">
        <f t="shared" si="4"/>
        <v>4.3755513547574232E-2</v>
      </c>
      <c r="S12" s="2"/>
      <c r="T12" s="2"/>
      <c r="U12" s="2"/>
      <c r="V12" s="2"/>
      <c r="W12" s="2"/>
      <c r="X12" s="2"/>
      <c r="Y12" s="2"/>
      <c r="Z12" s="2"/>
      <c r="AA12" s="2"/>
      <c r="AB12" s="2"/>
      <c r="AC12" s="2"/>
      <c r="AD12" s="2"/>
      <c r="AE12" s="2"/>
      <c r="AF12" s="2"/>
      <c r="AG12" s="2"/>
      <c r="AH12" s="2"/>
      <c r="AI12" s="2"/>
      <c r="AJ12" s="2"/>
      <c r="AK12" s="2"/>
      <c r="AL12" s="2"/>
      <c r="AM12" s="2"/>
      <c r="AN12" s="98"/>
      <c r="AO12" s="2"/>
    </row>
    <row r="13" spans="1:41" ht="12.75" customHeight="1">
      <c r="A13" s="334" t="s">
        <v>1790</v>
      </c>
      <c r="B13" s="61"/>
      <c r="C13" s="1104">
        <v>1.399</v>
      </c>
      <c r="D13" s="104">
        <v>0</v>
      </c>
      <c r="E13" s="1103"/>
      <c r="F13" s="374">
        <f t="shared" si="0"/>
        <v>1.399</v>
      </c>
      <c r="G13" s="95">
        <f t="shared" si="1"/>
        <v>0</v>
      </c>
      <c r="H13" s="61"/>
      <c r="I13" s="1104">
        <v>0</v>
      </c>
      <c r="J13" s="1103"/>
      <c r="K13" s="374">
        <f t="shared" si="2"/>
        <v>1.399</v>
      </c>
      <c r="L13" s="92" t="str">
        <f t="shared" si="3"/>
        <v>NM</v>
      </c>
      <c r="N13" s="1102">
        <v>1.3</v>
      </c>
      <c r="R13" s="105">
        <f t="shared" si="4"/>
        <v>7.6153846153846239E-2</v>
      </c>
      <c r="S13" s="2"/>
      <c r="T13" s="2"/>
      <c r="U13" s="2"/>
      <c r="V13" s="2"/>
      <c r="W13" s="2"/>
      <c r="X13" s="2"/>
      <c r="Y13" s="2"/>
      <c r="Z13" s="2"/>
      <c r="AA13" s="2"/>
      <c r="AB13" s="2"/>
      <c r="AC13" s="2"/>
      <c r="AD13" s="2"/>
      <c r="AE13" s="2"/>
      <c r="AF13" s="2"/>
      <c r="AG13" s="2"/>
      <c r="AH13" s="2"/>
      <c r="AI13" s="2"/>
      <c r="AJ13" s="2"/>
      <c r="AK13" s="2"/>
      <c r="AL13" s="2"/>
      <c r="AM13" s="2"/>
      <c r="AN13" s="98"/>
      <c r="AO13" s="2"/>
    </row>
    <row r="14" spans="1:41" ht="12.75" customHeight="1">
      <c r="A14" s="138" t="s">
        <v>813</v>
      </c>
      <c r="B14" s="1203"/>
      <c r="C14" s="2032">
        <f>SUM(C8:C13)</f>
        <v>736.98300000000006</v>
      </c>
      <c r="D14" s="1210">
        <f>SUM(D8:D13)</f>
        <v>631.66899999999998</v>
      </c>
      <c r="E14" s="1210"/>
      <c r="F14" s="1210">
        <f>SUM(F8:F13)</f>
        <v>105.31399999999999</v>
      </c>
      <c r="G14" s="1208">
        <f t="shared" si="1"/>
        <v>0.16672339468930741</v>
      </c>
      <c r="H14" s="1206"/>
      <c r="I14" s="1250">
        <v>732.07761233201506</v>
      </c>
      <c r="J14" s="1210"/>
      <c r="K14" s="1210">
        <f>SUM(K8:K13)</f>
        <v>4.9053876679848534</v>
      </c>
      <c r="L14" s="1211">
        <f>C14/I14-1</f>
        <v>6.7006388193719957E-3</v>
      </c>
      <c r="M14" s="1444"/>
      <c r="N14" s="1349">
        <v>734.29</v>
      </c>
      <c r="O14" s="1299"/>
      <c r="P14" s="1617"/>
      <c r="R14" s="105">
        <f t="shared" si="4"/>
        <v>3.6674883220526588E-3</v>
      </c>
      <c r="S14" s="2"/>
      <c r="T14" s="2"/>
      <c r="U14" s="2"/>
      <c r="V14" s="2"/>
      <c r="W14" s="2"/>
      <c r="X14" s="2"/>
      <c r="Y14" s="2"/>
      <c r="Z14" s="2"/>
      <c r="AA14" s="2"/>
      <c r="AB14" s="2"/>
      <c r="AC14" s="2"/>
      <c r="AD14" s="2"/>
      <c r="AE14" s="2"/>
      <c r="AF14" s="2"/>
      <c r="AG14" s="2"/>
      <c r="AH14" s="2"/>
      <c r="AI14" s="2"/>
      <c r="AJ14" s="2"/>
      <c r="AK14" s="2"/>
      <c r="AL14" s="2"/>
      <c r="AM14" s="2"/>
      <c r="AN14" s="98"/>
      <c r="AO14" s="2"/>
    </row>
    <row r="15" spans="1:41" ht="12.75" customHeight="1">
      <c r="A15" s="61"/>
      <c r="B15" s="61"/>
      <c r="C15" s="2033"/>
      <c r="D15" s="77"/>
      <c r="E15" s="61"/>
      <c r="F15" s="61"/>
      <c r="G15" s="1139"/>
      <c r="H15" s="61"/>
      <c r="I15" s="115"/>
      <c r="J15" s="61"/>
      <c r="K15" s="61"/>
      <c r="L15" s="1212"/>
      <c r="N15" s="105">
        <f>+C14/N14-1</f>
        <v>3.6674883220526588E-3</v>
      </c>
      <c r="R15" s="2"/>
      <c r="S15" s="2"/>
      <c r="T15" s="101" t="str">
        <f>+C6</f>
        <v>1Q13A</v>
      </c>
      <c r="U15" s="101"/>
      <c r="V15" s="101" t="str">
        <f>+D6</f>
        <v>1Q12A</v>
      </c>
      <c r="W15" s="101"/>
      <c r="X15" s="101" t="s">
        <v>1490</v>
      </c>
      <c r="Y15" s="101" t="s">
        <v>1489</v>
      </c>
      <c r="Z15" s="2"/>
      <c r="AA15" s="2"/>
      <c r="AB15" s="2"/>
      <c r="AC15" s="2"/>
      <c r="AD15" s="2"/>
      <c r="AE15" s="2"/>
      <c r="AF15" s="2"/>
      <c r="AG15" s="2"/>
      <c r="AH15" s="2"/>
      <c r="AI15" s="2"/>
      <c r="AJ15" s="2"/>
      <c r="AK15" s="2"/>
      <c r="AL15" s="2"/>
      <c r="AM15" s="2"/>
      <c r="AN15" s="98"/>
      <c r="AO15" s="2"/>
    </row>
    <row r="16" spans="1:41" ht="12.75" customHeight="1">
      <c r="A16" s="107" t="s">
        <v>401</v>
      </c>
      <c r="B16" s="61"/>
      <c r="C16" s="2034"/>
      <c r="D16" s="1390"/>
      <c r="E16" s="61"/>
      <c r="F16" s="61"/>
      <c r="G16" s="1139"/>
      <c r="H16" s="61"/>
      <c r="I16" s="115"/>
      <c r="J16" s="61"/>
      <c r="K16" s="61"/>
      <c r="L16" s="1212"/>
      <c r="N16" s="98"/>
      <c r="R16" s="101" t="s">
        <v>1488</v>
      </c>
      <c r="S16" s="2"/>
      <c r="T16" s="101" t="s">
        <v>1160</v>
      </c>
      <c r="U16" s="101"/>
      <c r="V16" s="101" t="s">
        <v>1160</v>
      </c>
      <c r="W16" s="101"/>
      <c r="X16" s="101" t="s">
        <v>1160</v>
      </c>
      <c r="Y16" s="101" t="s">
        <v>1160</v>
      </c>
      <c r="Z16" s="2"/>
      <c r="AA16" s="2"/>
      <c r="AB16" s="2"/>
      <c r="AC16" s="2"/>
      <c r="AD16" s="2"/>
      <c r="AE16" s="2"/>
      <c r="AF16" s="2"/>
      <c r="AG16" s="2"/>
      <c r="AH16" s="2"/>
      <c r="AI16" s="2"/>
      <c r="AJ16" s="2"/>
      <c r="AK16" s="2"/>
      <c r="AL16" s="2"/>
      <c r="AM16" s="2"/>
      <c r="AN16" s="98"/>
      <c r="AO16" s="2"/>
    </row>
    <row r="17" spans="1:41" ht="12.75" customHeight="1">
      <c r="A17" s="334" t="s">
        <v>514</v>
      </c>
      <c r="B17" s="61"/>
      <c r="C17" s="2030">
        <f>BYD!AW38</f>
        <v>39.204999999999998</v>
      </c>
      <c r="D17" s="858">
        <f>BYD!AR38</f>
        <v>38.485999999999997</v>
      </c>
      <c r="E17" s="1202"/>
      <c r="F17" s="897">
        <f>C17-D17</f>
        <v>0.71900000000000119</v>
      </c>
      <c r="G17" s="95">
        <f t="shared" ref="G17:G29" si="5">IF(D17=0,0,C17/D17-1)</f>
        <v>1.8682118172842044E-2</v>
      </c>
      <c r="H17" s="61"/>
      <c r="I17" s="1207">
        <v>33.453244999999967</v>
      </c>
      <c r="J17" s="1103"/>
      <c r="K17" s="897">
        <f>C17-I17</f>
        <v>5.7517550000000313</v>
      </c>
      <c r="L17" s="92">
        <f>IF(I17=0,"NM",C17/I17-1)</f>
        <v>0.17193414271171714</v>
      </c>
      <c r="M17" s="1312"/>
      <c r="N17" s="1102">
        <v>34.9</v>
      </c>
      <c r="R17" s="126">
        <f>+C17/$C$22</f>
        <v>0.22388144933329529</v>
      </c>
      <c r="S17" s="2"/>
      <c r="T17" s="105">
        <f>+C17/C8</f>
        <v>0.25653189554201811</v>
      </c>
      <c r="U17" s="105"/>
      <c r="V17" s="105">
        <f>+D17/D8</f>
        <v>0.24863523893816744</v>
      </c>
      <c r="W17" s="105"/>
      <c r="X17" s="105">
        <f>+I17/I8</f>
        <v>0.22166317059235791</v>
      </c>
      <c r="Y17" s="105">
        <f>+N17/N8</f>
        <v>0.2288224495148177</v>
      </c>
      <c r="Z17" s="2"/>
      <c r="AA17" s="2"/>
      <c r="AB17" s="2"/>
      <c r="AC17" s="2"/>
      <c r="AD17" s="2"/>
      <c r="AE17" s="2"/>
      <c r="AF17" s="2"/>
      <c r="AG17" s="2"/>
      <c r="AH17" s="2"/>
      <c r="AI17" s="2"/>
      <c r="AJ17" s="2"/>
      <c r="AK17" s="2"/>
      <c r="AL17" s="2"/>
      <c r="AM17" s="2"/>
      <c r="AN17" s="98"/>
      <c r="AO17" s="2"/>
    </row>
    <row r="18" spans="1:41" ht="12.75" customHeight="1">
      <c r="A18" s="334" t="s">
        <v>515</v>
      </c>
      <c r="B18" s="61"/>
      <c r="C18" s="2031">
        <f>BYD!AW39</f>
        <v>7.1109999999999998</v>
      </c>
      <c r="D18" s="104">
        <f>BYD!AR39</f>
        <v>8.4320000000000004</v>
      </c>
      <c r="E18" s="1103"/>
      <c r="F18" s="374">
        <f>C18-D18</f>
        <v>-1.3210000000000006</v>
      </c>
      <c r="G18" s="95">
        <f t="shared" si="5"/>
        <v>-0.15666508538899437</v>
      </c>
      <c r="H18" s="61"/>
      <c r="I18" s="1104">
        <v>8.5163200000000003</v>
      </c>
      <c r="J18" s="1103"/>
      <c r="K18" s="374">
        <f>C18-I18</f>
        <v>-1.4053200000000006</v>
      </c>
      <c r="L18" s="92">
        <f>IF(I18=0,"NM",C18/I18-1)</f>
        <v>-0.16501493602870732</v>
      </c>
      <c r="M18" s="1403"/>
      <c r="N18" s="1102">
        <v>8.2799999999999994</v>
      </c>
      <c r="R18" s="126">
        <f>+C18/$C$22</f>
        <v>4.0607600719527168E-2</v>
      </c>
      <c r="S18" s="2"/>
      <c r="T18" s="105">
        <f>+C18/C9</f>
        <v>0.131483090804874</v>
      </c>
      <c r="U18" s="105"/>
      <c r="V18" s="105">
        <f>+D18/D9</f>
        <v>0.14790906539433063</v>
      </c>
      <c r="W18" s="105"/>
      <c r="X18" s="105">
        <f>+I18/I9</f>
        <v>0.14790906539433063</v>
      </c>
      <c r="Y18" s="105">
        <f>+N18/N9</f>
        <v>0.14631560346350944</v>
      </c>
      <c r="Z18" s="2"/>
      <c r="AA18" s="2"/>
      <c r="AB18" s="2"/>
      <c r="AC18" s="2"/>
      <c r="AD18" s="2"/>
      <c r="AE18" s="2"/>
      <c r="AF18" s="2"/>
      <c r="AG18" s="2"/>
      <c r="AH18" s="2"/>
      <c r="AI18" s="2"/>
      <c r="AJ18" s="2"/>
      <c r="AK18" s="2"/>
      <c r="AL18" s="2"/>
      <c r="AM18" s="2"/>
      <c r="AN18" s="98"/>
      <c r="AO18" s="2"/>
    </row>
    <row r="19" spans="1:41" ht="12.75" customHeight="1">
      <c r="A19" s="334" t="s">
        <v>516</v>
      </c>
      <c r="B19" s="61"/>
      <c r="C19" s="2031">
        <f>BYD!AW41</f>
        <v>49.682000000000002</v>
      </c>
      <c r="D19" s="104">
        <f>BYD!AR41</f>
        <v>58.13</v>
      </c>
      <c r="E19" s="1103"/>
      <c r="F19" s="374">
        <f>C19-D19</f>
        <v>-8.4480000000000004</v>
      </c>
      <c r="G19" s="95">
        <f t="shared" si="5"/>
        <v>-0.14532943402718046</v>
      </c>
      <c r="H19" s="61"/>
      <c r="I19" s="1104">
        <v>45.51200693588541</v>
      </c>
      <c r="J19" s="1103"/>
      <c r="K19" s="374">
        <f>C19-I19</f>
        <v>4.1699930641145926</v>
      </c>
      <c r="L19" s="92">
        <f>IF(I19=0,"NM",C19/I19-1)</f>
        <v>9.1624020667535611E-2</v>
      </c>
      <c r="M19" s="1404"/>
      <c r="N19" s="1102">
        <v>47.18</v>
      </c>
      <c r="P19" s="1403"/>
      <c r="R19" s="126">
        <f>+C19/$C$22</f>
        <v>0.28371070439425522</v>
      </c>
      <c r="S19" s="2"/>
      <c r="T19" s="105">
        <f>+C19/C10</f>
        <v>0.21684117721513466</v>
      </c>
      <c r="U19" s="105"/>
      <c r="V19" s="105">
        <f>+D19/D10</f>
        <v>0.23850944929058518</v>
      </c>
      <c r="W19" s="105"/>
      <c r="X19" s="105">
        <f>+I19/I10</f>
        <v>0.19614541710307182</v>
      </c>
      <c r="Y19" s="105">
        <f>+N19/N10</f>
        <v>0.20030568056381082</v>
      </c>
      <c r="Z19" s="2"/>
      <c r="AA19" s="2"/>
      <c r="AB19" s="2"/>
      <c r="AC19" s="2"/>
      <c r="AD19" s="2"/>
      <c r="AE19" s="2"/>
      <c r="AF19" s="2"/>
      <c r="AG19" s="2"/>
      <c r="AH19" s="2"/>
      <c r="AI19" s="2"/>
      <c r="AJ19" s="2"/>
      <c r="AK19" s="2"/>
      <c r="AL19" s="2"/>
      <c r="AM19" s="2"/>
      <c r="AN19" s="98"/>
      <c r="AO19" s="2"/>
    </row>
    <row r="20" spans="1:41" ht="12.75" customHeight="1">
      <c r="A20" s="963" t="s">
        <v>517</v>
      </c>
      <c r="B20" s="61"/>
      <c r="C20" s="2031">
        <f>BYD!AW42</f>
        <v>50.712000000000003</v>
      </c>
      <c r="D20" s="104">
        <f>BYD!AR42</f>
        <v>0</v>
      </c>
      <c r="E20" s="1103"/>
      <c r="F20" s="374">
        <f>C20-D20</f>
        <v>50.712000000000003</v>
      </c>
      <c r="G20" s="95">
        <f t="shared" si="5"/>
        <v>0</v>
      </c>
      <c r="H20" s="61"/>
      <c r="I20" s="1104">
        <v>49.662237091241664</v>
      </c>
      <c r="J20" s="1103"/>
      <c r="K20" s="374">
        <f>C20-I20</f>
        <v>1.0497629087583391</v>
      </c>
      <c r="L20" s="92">
        <f>IF(I20=0,"NM",C20/I20-1)</f>
        <v>2.1138051168127392E-2</v>
      </c>
      <c r="M20" s="1404"/>
      <c r="N20" s="1102">
        <v>50.83</v>
      </c>
      <c r="P20" s="1403"/>
      <c r="R20" s="126">
        <f>+C20/$C$22</f>
        <v>0.28959255346486601</v>
      </c>
      <c r="S20" s="2"/>
      <c r="T20" s="105">
        <f>+C20/C11</f>
        <v>0.37869362944598356</v>
      </c>
      <c r="U20" s="105"/>
      <c r="V20" s="105"/>
      <c r="W20" s="105"/>
      <c r="X20" s="105">
        <f>+I20/I11</f>
        <v>0.3790065058409966</v>
      </c>
      <c r="Y20" s="105">
        <f>+N20/N11</f>
        <v>0.38154931691938149</v>
      </c>
      <c r="Z20" s="2"/>
      <c r="AA20" s="2"/>
      <c r="AB20" s="2"/>
      <c r="AC20" s="2"/>
      <c r="AD20" s="2"/>
      <c r="AE20" s="2"/>
      <c r="AF20" s="2"/>
      <c r="AG20" s="2"/>
      <c r="AH20" s="2"/>
      <c r="AI20" s="2"/>
      <c r="AJ20" s="2"/>
      <c r="AK20" s="2"/>
      <c r="AL20" s="2"/>
      <c r="AM20" s="2"/>
      <c r="AN20" s="98"/>
      <c r="AO20" s="2"/>
    </row>
    <row r="21" spans="1:41" ht="12.75" customHeight="1">
      <c r="A21" s="334" t="s">
        <v>273</v>
      </c>
      <c r="B21" s="61"/>
      <c r="C21" s="2031">
        <f>BYD!AW927</f>
        <v>28.405000000000001</v>
      </c>
      <c r="D21" s="104">
        <f>BYD!AR927</f>
        <v>38.881</v>
      </c>
      <c r="E21" s="1103"/>
      <c r="F21" s="374">
        <f>C21-D21</f>
        <v>-10.475999999999999</v>
      </c>
      <c r="G21" s="95">
        <f t="shared" si="5"/>
        <v>-0.26943751446722042</v>
      </c>
      <c r="H21" s="61"/>
      <c r="I21" s="1104">
        <v>26.888355529209662</v>
      </c>
      <c r="J21" s="1103"/>
      <c r="K21" s="374">
        <f>C21-I21</f>
        <v>1.5166444707903395</v>
      </c>
      <c r="L21" s="92">
        <f>IF(I21=0,"NM",C21/I21-1)</f>
        <v>5.6405252048336019E-2</v>
      </c>
      <c r="M21" s="1444"/>
      <c r="N21" s="1102">
        <v>26.33</v>
      </c>
      <c r="P21" s="1087" t="s">
        <v>1485</v>
      </c>
      <c r="R21" s="126">
        <f>+C21/$C$22</f>
        <v>0.16220769208805644</v>
      </c>
      <c r="S21" s="2"/>
      <c r="T21" s="105">
        <f>+C21/C12</f>
        <v>0.17148221487044504</v>
      </c>
      <c r="U21" s="105"/>
      <c r="V21" s="105">
        <f>+D21/D12</f>
        <v>0.22072665342038036</v>
      </c>
      <c r="W21" s="105"/>
      <c r="X21" s="105">
        <f>+I21/I12</f>
        <v>0.16751239940954765</v>
      </c>
      <c r="Y21" s="105">
        <f>+N21/N12</f>
        <v>0.16591052299936987</v>
      </c>
      <c r="Z21" s="2"/>
      <c r="AA21" s="2"/>
      <c r="AB21" s="2"/>
      <c r="AC21" s="2"/>
      <c r="AD21" s="2"/>
      <c r="AE21" s="2"/>
      <c r="AF21" s="2"/>
      <c r="AG21" s="2"/>
      <c r="AH21" s="2"/>
      <c r="AI21" s="2"/>
      <c r="AJ21" s="2"/>
      <c r="AK21" s="2"/>
      <c r="AL21" s="2"/>
      <c r="AM21" s="2"/>
      <c r="AN21" s="98"/>
      <c r="AO21" s="2"/>
    </row>
    <row r="22" spans="1:41" ht="12.75" customHeight="1">
      <c r="A22" s="138" t="s">
        <v>819</v>
      </c>
      <c r="B22" s="1203"/>
      <c r="C22" s="2032">
        <f>SUM(C17:C21)</f>
        <v>175.11499999999998</v>
      </c>
      <c r="D22" s="1210">
        <f>SUM(D17:D21)</f>
        <v>143.929</v>
      </c>
      <c r="E22" s="1210"/>
      <c r="F22" s="1210">
        <f>SUM(F17:F21)</f>
        <v>31.186000000000007</v>
      </c>
      <c r="G22" s="1208">
        <f t="shared" si="5"/>
        <v>0.21667627788701349</v>
      </c>
      <c r="H22" s="1206"/>
      <c r="I22" s="1250">
        <v>164.03216455633668</v>
      </c>
      <c r="J22" s="1210"/>
      <c r="K22" s="1210">
        <f>SUM(K17:K19)</f>
        <v>8.5164280641146242</v>
      </c>
      <c r="L22" s="1211">
        <f>C22/I22-1</f>
        <v>6.7565013688866582E-2</v>
      </c>
      <c r="M22" s="1444"/>
      <c r="N22" s="1205">
        <f>SUM(N17:N21)</f>
        <v>167.51999999999998</v>
      </c>
      <c r="R22" s="2"/>
      <c r="S22" s="2"/>
      <c r="T22" s="2"/>
      <c r="U22" s="2"/>
      <c r="V22" s="2"/>
      <c r="W22" s="2"/>
      <c r="X22" s="2"/>
      <c r="Y22" s="2"/>
      <c r="Z22" s="2"/>
      <c r="AA22" s="2"/>
      <c r="AB22" s="2"/>
      <c r="AC22" s="2"/>
      <c r="AD22" s="2"/>
      <c r="AE22" s="2"/>
      <c r="AF22" s="2"/>
      <c r="AG22" s="2"/>
      <c r="AH22" s="2"/>
      <c r="AI22" s="2"/>
      <c r="AJ22" s="2"/>
      <c r="AK22" s="2"/>
      <c r="AL22" s="2"/>
      <c r="AM22" s="2"/>
      <c r="AN22" s="98"/>
      <c r="AO22" s="2"/>
    </row>
    <row r="23" spans="1:41" ht="12.75" customHeight="1">
      <c r="A23" s="2" t="s">
        <v>742</v>
      </c>
      <c r="B23" s="2"/>
      <c r="C23" s="2031">
        <f>BYD!AW54</f>
        <v>-11.638</v>
      </c>
      <c r="D23" s="104">
        <f>BYD!AR54</f>
        <v>-10.127000000000001</v>
      </c>
      <c r="E23" s="1103"/>
      <c r="F23" s="374">
        <f>C23-D23</f>
        <v>-1.5109999999999992</v>
      </c>
      <c r="G23" s="126">
        <f t="shared" si="5"/>
        <v>0.14920509528981918</v>
      </c>
      <c r="H23" s="2"/>
      <c r="I23" s="1104">
        <v>-11.646050000000001</v>
      </c>
      <c r="J23" s="1103"/>
      <c r="K23" s="374">
        <f>C23-I23</f>
        <v>8.0500000000007788E-3</v>
      </c>
      <c r="L23" s="1204">
        <f>IF(I23=0,"NM",C23/I23-1)</f>
        <v>-6.9122148711375786E-4</v>
      </c>
      <c r="N23" s="1336"/>
      <c r="R23" s="2"/>
      <c r="S23" s="2"/>
      <c r="T23" s="2"/>
      <c r="U23" s="2"/>
      <c r="V23" s="2"/>
      <c r="W23" s="2"/>
      <c r="X23" s="2"/>
      <c r="Y23" s="2"/>
      <c r="Z23" s="2"/>
      <c r="AA23" s="2"/>
      <c r="AB23" s="2"/>
      <c r="AC23" s="2"/>
      <c r="AD23" s="2"/>
      <c r="AE23" s="2"/>
      <c r="AF23" s="2"/>
      <c r="AG23" s="2"/>
      <c r="AH23" s="2"/>
      <c r="AI23" s="2"/>
      <c r="AJ23" s="2"/>
      <c r="AK23" s="2"/>
      <c r="AL23" s="2"/>
      <c r="AM23" s="2"/>
      <c r="AN23" s="98"/>
      <c r="AO23" s="2"/>
    </row>
    <row r="24" spans="1:41" ht="12.75" customHeight="1">
      <c r="A24" s="138" t="s">
        <v>555</v>
      </c>
      <c r="B24" s="1203"/>
      <c r="C24" s="2032">
        <f>SUM(C22:C23)</f>
        <v>163.47699999999998</v>
      </c>
      <c r="D24" s="1210">
        <f>SUM(D22:D23)</f>
        <v>133.80199999999999</v>
      </c>
      <c r="E24" s="1210"/>
      <c r="F24" s="1210">
        <f>F22+F23</f>
        <v>29.675000000000008</v>
      </c>
      <c r="G24" s="1208">
        <f t="shared" si="5"/>
        <v>0.22178293299053808</v>
      </c>
      <c r="H24" s="1210"/>
      <c r="I24" s="1250">
        <v>152.38611455633668</v>
      </c>
      <c r="J24" s="1210"/>
      <c r="K24" s="1210">
        <f>K22+K23</f>
        <v>8.5244780641146249</v>
      </c>
      <c r="L24" s="1254">
        <f>IF(I24=0,"NM",C24/I24-1)</f>
        <v>7.278147012248315E-2</v>
      </c>
      <c r="M24" s="1442"/>
      <c r="N24" s="1349">
        <v>154.72999999999999</v>
      </c>
      <c r="O24" s="1299"/>
      <c r="P24" s="1087" t="s">
        <v>72</v>
      </c>
      <c r="R24" s="105">
        <f>+C24/N24-1</f>
        <v>5.6530730950688168E-2</v>
      </c>
      <c r="S24" s="2"/>
      <c r="T24" s="2"/>
      <c r="U24" s="2"/>
      <c r="V24" s="2"/>
      <c r="W24" s="2"/>
      <c r="X24" s="2"/>
      <c r="Y24" s="2"/>
      <c r="Z24" s="2"/>
      <c r="AA24" s="2"/>
      <c r="AB24" s="2"/>
      <c r="AC24" s="2"/>
      <c r="AD24" s="2"/>
      <c r="AE24" s="2"/>
      <c r="AF24" s="2"/>
      <c r="AG24" s="2"/>
      <c r="AH24" s="2"/>
      <c r="AI24" s="2"/>
      <c r="AJ24" s="2"/>
      <c r="AK24" s="2"/>
      <c r="AL24" s="2"/>
      <c r="AM24" s="2"/>
      <c r="AN24" s="98"/>
      <c r="AO24" s="2"/>
    </row>
    <row r="25" spans="1:41" ht="12.75" customHeight="1">
      <c r="A25" s="2253" t="s">
        <v>1486</v>
      </c>
      <c r="B25" s="2253"/>
      <c r="C25" s="2259">
        <f>+C24/C14</f>
        <v>0.22181922785193139</v>
      </c>
      <c r="D25" s="2253">
        <f>+D24/D14</f>
        <v>0.21182296424234845</v>
      </c>
      <c r="E25" s="2253"/>
      <c r="F25" s="2253"/>
      <c r="G25" s="213">
        <f>+C25-D25</f>
        <v>9.9962636095829449E-3</v>
      </c>
      <c r="H25" s="2253"/>
      <c r="I25" s="2260">
        <f>+I24/I14</f>
        <v>0.20815568184214034</v>
      </c>
      <c r="J25" s="2253"/>
      <c r="K25" s="2253"/>
      <c r="L25" s="213">
        <f>+C25-I25</f>
        <v>1.3663546009791055E-2</v>
      </c>
      <c r="M25" s="2254"/>
      <c r="N25" s="2258">
        <f>+N24/N14</f>
        <v>0.21072055999673153</v>
      </c>
      <c r="O25" s="2255"/>
      <c r="P25" s="2256"/>
      <c r="Q25" s="2257"/>
      <c r="R25" s="2258"/>
      <c r="S25" s="2258"/>
      <c r="T25" s="2258"/>
      <c r="U25" s="2258"/>
      <c r="V25" s="2258"/>
      <c r="W25" s="2258"/>
      <c r="X25" s="2258"/>
      <c r="Y25" s="2258"/>
      <c r="Z25" s="2258"/>
      <c r="AA25" s="2258"/>
      <c r="AB25" s="2258"/>
      <c r="AC25" s="2258"/>
      <c r="AD25" s="2258"/>
      <c r="AE25" s="2258"/>
      <c r="AF25" s="2258"/>
      <c r="AG25" s="2258"/>
      <c r="AH25" s="2258"/>
      <c r="AI25" s="2258"/>
      <c r="AJ25" s="2258"/>
      <c r="AK25" s="2258"/>
      <c r="AL25" s="2258"/>
      <c r="AM25" s="2258"/>
      <c r="AN25" s="2277"/>
      <c r="AO25" s="2258"/>
    </row>
    <row r="26" spans="1:41" ht="3.95" customHeight="1">
      <c r="A26" s="198"/>
      <c r="B26" s="77"/>
      <c r="C26" s="2245"/>
      <c r="D26" s="2239"/>
      <c r="E26" s="2239"/>
      <c r="F26" s="2239"/>
      <c r="G26" s="2246"/>
      <c r="H26" s="2239"/>
      <c r="I26" s="2247"/>
      <c r="J26" s="2239"/>
      <c r="K26" s="2239"/>
      <c r="L26" s="2246"/>
      <c r="M26" s="2248"/>
      <c r="N26" s="2249"/>
      <c r="O26" s="2250"/>
      <c r="P26" s="2251"/>
      <c r="Q26" s="2252"/>
      <c r="R26" s="1062"/>
      <c r="S26" s="1062"/>
      <c r="T26" s="1062"/>
      <c r="U26" s="1062"/>
      <c r="V26" s="1062"/>
      <c r="W26" s="1062"/>
      <c r="X26" s="1062"/>
      <c r="Y26" s="1062"/>
      <c r="Z26" s="1062"/>
      <c r="AA26" s="1062"/>
      <c r="AB26" s="1062"/>
      <c r="AC26" s="1062"/>
      <c r="AD26" s="1062"/>
      <c r="AE26" s="1062"/>
      <c r="AF26" s="1062"/>
      <c r="AG26" s="1062"/>
      <c r="AH26" s="1062"/>
      <c r="AI26" s="1062"/>
      <c r="AJ26" s="1062"/>
      <c r="AK26" s="1062"/>
      <c r="AL26" s="1062"/>
      <c r="AM26" s="1062"/>
      <c r="AN26" s="1092"/>
      <c r="AO26" s="1062"/>
    </row>
    <row r="27" spans="1:41" ht="12.75" customHeight="1">
      <c r="A27" s="439" t="s">
        <v>1745</v>
      </c>
      <c r="B27" s="2"/>
      <c r="C27" s="2036">
        <f>BYD!AW65</f>
        <v>4.0910000000000002</v>
      </c>
      <c r="D27" s="374">
        <f>BYD!AR65</f>
        <v>3.1160000000000001</v>
      </c>
      <c r="E27" s="1103"/>
      <c r="F27" s="374">
        <f>C27-D27</f>
        <v>0.97500000000000009</v>
      </c>
      <c r="G27" s="126">
        <f t="shared" si="5"/>
        <v>0.31290115532734286</v>
      </c>
      <c r="H27" s="2"/>
      <c r="I27" s="432">
        <v>3</v>
      </c>
      <c r="J27" s="1103"/>
      <c r="K27" s="374">
        <f>C27-I27</f>
        <v>1.0910000000000002</v>
      </c>
      <c r="L27" s="1204">
        <f>IF(I27=0,"NM",C27/I27-1)</f>
        <v>0.3636666666666668</v>
      </c>
      <c r="M27" s="1646"/>
      <c r="N27" s="2"/>
      <c r="R27" s="2"/>
      <c r="S27" s="2"/>
      <c r="T27" s="2"/>
      <c r="U27" s="2"/>
      <c r="V27" s="2"/>
      <c r="W27" s="2"/>
      <c r="X27" s="2"/>
      <c r="Y27" s="2"/>
      <c r="Z27" s="2"/>
      <c r="AA27" s="2"/>
      <c r="AB27" s="2"/>
      <c r="AC27" s="2"/>
      <c r="AD27" s="2"/>
      <c r="AE27" s="2"/>
      <c r="AF27" s="2"/>
      <c r="AG27" s="2"/>
      <c r="AH27" s="2"/>
      <c r="AI27" s="2"/>
      <c r="AJ27" s="2"/>
      <c r="AK27" s="2"/>
      <c r="AL27" s="2"/>
      <c r="AM27" s="2"/>
      <c r="AN27" s="98"/>
      <c r="AO27" s="2"/>
    </row>
    <row r="28" spans="1:41" ht="12.75" customHeight="1">
      <c r="A28" s="439" t="s">
        <v>201</v>
      </c>
      <c r="B28" s="2"/>
      <c r="C28" s="2036">
        <f>BYD!AW66</f>
        <v>0.95699999999999996</v>
      </c>
      <c r="D28" s="374">
        <f>BYD!AR66</f>
        <v>0.996</v>
      </c>
      <c r="E28" s="1103"/>
      <c r="F28" s="374">
        <f>C28-D28</f>
        <v>-3.9000000000000035E-2</v>
      </c>
      <c r="G28" s="126">
        <f t="shared" si="5"/>
        <v>-3.9156626506024139E-2</v>
      </c>
      <c r="H28" s="2"/>
      <c r="I28" s="432">
        <v>0.996</v>
      </c>
      <c r="J28" s="1103"/>
      <c r="K28" s="374">
        <f>C28-I28</f>
        <v>-3.9000000000000035E-2</v>
      </c>
      <c r="L28" s="1204">
        <f>IF(I28=0,"NM",C28/I28-1)</f>
        <v>-3.9156626506024139E-2</v>
      </c>
      <c r="M28" s="1102"/>
      <c r="N28" s="1102"/>
      <c r="R28" s="2"/>
      <c r="S28" s="2"/>
      <c r="T28" s="2"/>
      <c r="U28" s="2"/>
      <c r="V28" s="2"/>
      <c r="W28" s="2"/>
      <c r="X28" s="2"/>
      <c r="Y28" s="2"/>
      <c r="Z28" s="2"/>
      <c r="AA28" s="2"/>
      <c r="AB28" s="2"/>
      <c r="AC28" s="2"/>
      <c r="AD28" s="2"/>
      <c r="AE28" s="2"/>
      <c r="AF28" s="2"/>
      <c r="AG28" s="2"/>
      <c r="AH28" s="2"/>
      <c r="AI28" s="2"/>
      <c r="AJ28" s="2"/>
      <c r="AK28" s="2"/>
      <c r="AL28" s="2"/>
      <c r="AM28" s="2"/>
      <c r="AN28" s="98"/>
      <c r="AO28" s="2"/>
    </row>
    <row r="29" spans="1:41" ht="12.75" customHeight="1">
      <c r="A29" s="1693" t="s">
        <v>202</v>
      </c>
      <c r="B29" s="2"/>
      <c r="C29" s="2036">
        <f>BYD!AW67</f>
        <v>54.4</v>
      </c>
      <c r="D29" s="374">
        <f>BYD!AR67</f>
        <v>50.014000000000003</v>
      </c>
      <c r="E29" s="1103"/>
      <c r="F29" s="374">
        <f>C29-D29</f>
        <v>4.3859999999999957</v>
      </c>
      <c r="G29" s="126">
        <f t="shared" si="5"/>
        <v>8.7695445275322914E-2</v>
      </c>
      <c r="H29" s="2"/>
      <c r="I29" s="432">
        <v>72.51400000000001</v>
      </c>
      <c r="J29" s="1103"/>
      <c r="K29" s="374">
        <f>C29-I29</f>
        <v>-18.114000000000011</v>
      </c>
      <c r="L29" s="1204">
        <f>IF(I29=0,"NM",C29/I29-1)</f>
        <v>-0.24980003861323341</v>
      </c>
      <c r="M29" s="1102"/>
      <c r="N29" s="1102"/>
      <c r="R29" s="2"/>
      <c r="S29" s="2"/>
      <c r="T29" s="2"/>
      <c r="U29" s="2"/>
      <c r="V29" s="2"/>
      <c r="W29" s="2"/>
      <c r="X29" s="2"/>
      <c r="Y29" s="2"/>
      <c r="Z29" s="2"/>
      <c r="AA29" s="2"/>
      <c r="AB29" s="2"/>
      <c r="AC29" s="2"/>
      <c r="AD29" s="2"/>
      <c r="AE29" s="2"/>
      <c r="AF29" s="2"/>
      <c r="AG29" s="2"/>
      <c r="AH29" s="2"/>
      <c r="AI29" s="2"/>
      <c r="AJ29" s="2"/>
      <c r="AK29" s="2"/>
      <c r="AL29" s="2"/>
      <c r="AM29" s="2"/>
      <c r="AN29" s="98"/>
      <c r="AO29" s="2"/>
    </row>
    <row r="30" spans="1:41" ht="4.5" customHeight="1">
      <c r="A30" s="964"/>
      <c r="B30" s="2"/>
      <c r="C30" s="2037" t="s">
        <v>343</v>
      </c>
      <c r="D30" s="452" t="s">
        <v>343</v>
      </c>
      <c r="E30" s="96" t="s">
        <v>343</v>
      </c>
      <c r="F30" s="452" t="s">
        <v>343</v>
      </c>
      <c r="G30" s="1251" t="s">
        <v>343</v>
      </c>
      <c r="H30" s="2" t="s">
        <v>343</v>
      </c>
      <c r="I30" s="2223" t="s">
        <v>343</v>
      </c>
      <c r="J30" s="96" t="s">
        <v>343</v>
      </c>
      <c r="K30" s="452" t="s">
        <v>343</v>
      </c>
      <c r="L30" s="1252" t="s">
        <v>343</v>
      </c>
      <c r="M30" s="1102"/>
      <c r="N30" s="1102"/>
      <c r="R30" s="2"/>
      <c r="S30" s="2"/>
      <c r="T30" s="2"/>
      <c r="U30" s="2"/>
      <c r="V30" s="2"/>
      <c r="W30" s="2"/>
      <c r="X30" s="2"/>
      <c r="Y30" s="2"/>
      <c r="Z30" s="2"/>
      <c r="AA30" s="2"/>
      <c r="AB30" s="2"/>
      <c r="AC30" s="2"/>
      <c r="AD30" s="2"/>
      <c r="AE30" s="2"/>
      <c r="AF30" s="2"/>
      <c r="AG30" s="2"/>
      <c r="AH30" s="2"/>
      <c r="AI30" s="2"/>
      <c r="AJ30" s="2"/>
      <c r="AK30" s="2"/>
      <c r="AL30" s="2"/>
      <c r="AM30" s="2"/>
      <c r="AN30" s="98"/>
      <c r="AO30" s="2"/>
    </row>
    <row r="31" spans="1:41" ht="12.75" customHeight="1">
      <c r="A31" s="1" t="s">
        <v>744</v>
      </c>
      <c r="B31" s="2"/>
      <c r="C31" s="2235">
        <f>C24-C27-C28-C29</f>
        <v>104.02899999999997</v>
      </c>
      <c r="D31" s="2236">
        <f>D24-D27-D28-D29</f>
        <v>79.675999999999959</v>
      </c>
      <c r="E31" s="325"/>
      <c r="F31" s="2236">
        <f>F24-F27-F28-F29</f>
        <v>24.353000000000012</v>
      </c>
      <c r="G31" s="106">
        <f>IF(D31=0,0,C31/D31-1)</f>
        <v>0.30565038405542477</v>
      </c>
      <c r="H31" s="1205"/>
      <c r="I31" s="2237">
        <v>75.87611455633666</v>
      </c>
      <c r="J31" s="932"/>
      <c r="K31" s="2236">
        <f>C31-I31</f>
        <v>28.152885443663308</v>
      </c>
      <c r="L31" s="1214">
        <f>C31/I31-1</f>
        <v>0.37103752094159081</v>
      </c>
      <c r="N31" s="2"/>
      <c r="R31" s="1336"/>
      <c r="S31" s="2"/>
      <c r="T31" s="2"/>
      <c r="U31" s="2"/>
      <c r="V31" s="2"/>
      <c r="W31" s="2"/>
      <c r="X31" s="2"/>
      <c r="Y31" s="2"/>
      <c r="Z31" s="2"/>
      <c r="AA31" s="2"/>
      <c r="AB31" s="2"/>
      <c r="AC31" s="2"/>
      <c r="AD31" s="2"/>
      <c r="AE31" s="2"/>
      <c r="AF31" s="2"/>
      <c r="AG31" s="2"/>
      <c r="AH31" s="2"/>
      <c r="AI31" s="2"/>
      <c r="AJ31" s="2"/>
      <c r="AK31" s="2"/>
      <c r="AL31" s="2"/>
      <c r="AM31" s="2"/>
      <c r="AN31" s="98"/>
      <c r="AO31" s="2"/>
    </row>
    <row r="32" spans="1:41" ht="12.75" customHeight="1">
      <c r="A32" s="445" t="s">
        <v>1176</v>
      </c>
      <c r="B32" s="2"/>
      <c r="C32" s="2036">
        <f>BYD!AW73</f>
        <v>-74.2</v>
      </c>
      <c r="D32" s="374">
        <f>BYD!AR73</f>
        <v>-63.824000000000005</v>
      </c>
      <c r="E32" s="932"/>
      <c r="F32" s="374">
        <f>C32-D32</f>
        <v>-10.375999999999998</v>
      </c>
      <c r="G32" s="126">
        <f>IF(D32=0,0,C32/D32-1)</f>
        <v>0.16257207320130362</v>
      </c>
      <c r="H32" s="1205"/>
      <c r="I32" s="432">
        <v>-92.968733749999998</v>
      </c>
      <c r="J32" s="932"/>
      <c r="K32" s="374">
        <f>C32-I32</f>
        <v>18.768733749999996</v>
      </c>
      <c r="L32" s="1204">
        <f>IF(I32=0,"NM",C32/I32-1)</f>
        <v>-0.20188221343823554</v>
      </c>
      <c r="N32" s="2"/>
      <c r="R32" s="2"/>
      <c r="S32" s="2"/>
      <c r="T32" s="2"/>
      <c r="U32" s="2"/>
      <c r="V32" s="2"/>
      <c r="W32" s="2"/>
      <c r="X32" s="2"/>
      <c r="Y32" s="2"/>
      <c r="Z32" s="2"/>
      <c r="AA32" s="2"/>
      <c r="AB32" s="2"/>
      <c r="AC32" s="2"/>
      <c r="AD32" s="2"/>
      <c r="AE32" s="2"/>
      <c r="AF32" s="2"/>
      <c r="AG32" s="2"/>
      <c r="AH32" s="2"/>
      <c r="AI32" s="2"/>
      <c r="AJ32" s="2"/>
      <c r="AK32" s="2"/>
      <c r="AL32" s="2"/>
      <c r="AM32" s="2"/>
      <c r="AN32" s="98"/>
      <c r="AO32" s="2"/>
    </row>
    <row r="33" spans="1:41" ht="12.75" customHeight="1">
      <c r="A33" s="445" t="s">
        <v>203</v>
      </c>
      <c r="B33" s="2"/>
      <c r="C33" s="2036">
        <f>BYD!AW74</f>
        <v>0</v>
      </c>
      <c r="D33" s="374">
        <f>BYD!AR74</f>
        <v>0</v>
      </c>
      <c r="E33" s="932"/>
      <c r="F33" s="374">
        <f>C33-D33</f>
        <v>0</v>
      </c>
      <c r="G33" s="126">
        <f>IF(D33=0,0,C33/D33-1)</f>
        <v>0</v>
      </c>
      <c r="H33" s="1205"/>
      <c r="I33" s="432">
        <v>0</v>
      </c>
      <c r="J33" s="932"/>
      <c r="K33" s="374">
        <f>C33-I33</f>
        <v>0</v>
      </c>
      <c r="L33" s="1204" t="str">
        <f>IF(I33=0,"NM",C33/I33-1)</f>
        <v>NM</v>
      </c>
      <c r="N33" s="2"/>
      <c r="R33" s="2"/>
      <c r="S33" s="2"/>
      <c r="T33" s="2"/>
      <c r="U33" s="2"/>
      <c r="V33" s="2"/>
      <c r="W33" s="2"/>
      <c r="X33" s="2"/>
      <c r="Y33" s="2"/>
      <c r="Z33" s="2"/>
      <c r="AA33" s="2"/>
      <c r="AB33" s="2"/>
      <c r="AC33" s="2"/>
      <c r="AD33" s="2"/>
      <c r="AE33" s="2"/>
      <c r="AF33" s="2"/>
      <c r="AG33" s="2"/>
      <c r="AH33" s="2"/>
      <c r="AI33" s="2"/>
      <c r="AJ33" s="2"/>
      <c r="AK33" s="2"/>
      <c r="AL33" s="2"/>
      <c r="AM33" s="2"/>
      <c r="AN33" s="98"/>
      <c r="AO33" s="2"/>
    </row>
    <row r="34" spans="1:41" ht="12.75" customHeight="1">
      <c r="A34" s="445" t="s">
        <v>814</v>
      </c>
      <c r="B34" s="2"/>
      <c r="C34" s="2036">
        <f>BYD!AW78</f>
        <v>-6.1</v>
      </c>
      <c r="D34" s="374">
        <f>BYD!AR78</f>
        <v>-3.0939999999999999</v>
      </c>
      <c r="E34" s="1103"/>
      <c r="F34" s="374">
        <f>C34-D34</f>
        <v>-3.0059999999999998</v>
      </c>
      <c r="G34" s="126">
        <f>IF(D34=0,0,C34/D34-1)</f>
        <v>0.97155785391079497</v>
      </c>
      <c r="H34" s="2"/>
      <c r="I34" s="432">
        <v>-0.25</v>
      </c>
      <c r="J34" s="1103"/>
      <c r="K34" s="374">
        <f>C34-I34</f>
        <v>-5.85</v>
      </c>
      <c r="L34" s="1204">
        <f>IF(I34=0,"NM",C34/I34-1)</f>
        <v>23.4</v>
      </c>
      <c r="N34" s="2"/>
      <c r="R34" s="2"/>
      <c r="S34" s="2"/>
      <c r="T34" s="2"/>
      <c r="U34" s="2"/>
      <c r="V34" s="2"/>
      <c r="W34" s="2"/>
      <c r="X34" s="2"/>
      <c r="Y34" s="2"/>
      <c r="Z34" s="2"/>
      <c r="AA34" s="2"/>
      <c r="AB34" s="2"/>
      <c r="AC34" s="2"/>
      <c r="AD34" s="2"/>
      <c r="AE34" s="2"/>
      <c r="AF34" s="2"/>
      <c r="AG34" s="2"/>
      <c r="AH34" s="2"/>
      <c r="AI34" s="2"/>
      <c r="AJ34" s="2"/>
      <c r="AK34" s="2"/>
      <c r="AL34" s="2"/>
      <c r="AM34" s="2"/>
      <c r="AN34" s="98"/>
      <c r="AO34" s="2"/>
    </row>
    <row r="35" spans="1:41" ht="4.5" customHeight="1">
      <c r="A35" s="964"/>
      <c r="B35" s="2"/>
      <c r="C35" s="2037" t="s">
        <v>343</v>
      </c>
      <c r="D35" s="452" t="s">
        <v>343</v>
      </c>
      <c r="E35" s="96" t="s">
        <v>343</v>
      </c>
      <c r="F35" s="452" t="s">
        <v>343</v>
      </c>
      <c r="G35" s="1251" t="s">
        <v>343</v>
      </c>
      <c r="H35" s="2" t="s">
        <v>343</v>
      </c>
      <c r="I35" s="2223" t="s">
        <v>343</v>
      </c>
      <c r="J35" s="96" t="s">
        <v>343</v>
      </c>
      <c r="K35" s="452" t="s">
        <v>343</v>
      </c>
      <c r="L35" s="1252" t="s">
        <v>343</v>
      </c>
      <c r="M35" s="1102"/>
      <c r="N35" s="1102"/>
      <c r="R35" s="2"/>
      <c r="S35" s="2"/>
      <c r="T35" s="2"/>
      <c r="U35" s="2"/>
      <c r="V35" s="2"/>
      <c r="W35" s="2"/>
      <c r="X35" s="2"/>
      <c r="Y35" s="2"/>
      <c r="Z35" s="2"/>
      <c r="AA35" s="2"/>
      <c r="AB35" s="2"/>
      <c r="AC35" s="2"/>
      <c r="AD35" s="2"/>
      <c r="AE35" s="2"/>
      <c r="AF35" s="2"/>
      <c r="AG35" s="2"/>
      <c r="AH35" s="2"/>
      <c r="AI35" s="2"/>
      <c r="AJ35" s="2"/>
      <c r="AK35" s="2"/>
      <c r="AL35" s="2"/>
      <c r="AM35" s="2"/>
      <c r="AN35" s="98"/>
      <c r="AO35" s="2"/>
    </row>
    <row r="36" spans="1:41" ht="12.75" customHeight="1">
      <c r="A36" s="1" t="s">
        <v>745</v>
      </c>
      <c r="B36" s="2"/>
      <c r="C36" s="2240">
        <f>SUM(C31:C34)</f>
        <v>23.728999999999964</v>
      </c>
      <c r="D36" s="2239">
        <f>SUM(D31:D34)</f>
        <v>12.757999999999955</v>
      </c>
      <c r="E36" s="932"/>
      <c r="F36" s="2236">
        <f>C36-D36</f>
        <v>10.971000000000009</v>
      </c>
      <c r="G36" s="106">
        <f>IF(D36=0,0,C36/D36-1)</f>
        <v>0.85993102367142571</v>
      </c>
      <c r="H36" s="1205"/>
      <c r="I36" s="2238">
        <v>-17.342619193663339</v>
      </c>
      <c r="J36" s="932"/>
      <c r="K36" s="2236">
        <f>C36-I36</f>
        <v>41.071619193663302</v>
      </c>
      <c r="L36" s="1214">
        <f>C36/I36-1</f>
        <v>-2.3682477678267935</v>
      </c>
      <c r="N36" s="2"/>
      <c r="R36" s="2"/>
      <c r="S36" s="2"/>
      <c r="T36" s="2"/>
      <c r="U36" s="2"/>
      <c r="V36" s="2"/>
      <c r="W36" s="2"/>
      <c r="X36" s="2"/>
      <c r="Y36" s="2"/>
      <c r="Z36" s="2"/>
      <c r="AA36" s="2"/>
      <c r="AB36" s="2"/>
      <c r="AC36" s="2"/>
      <c r="AD36" s="2"/>
      <c r="AE36" s="2"/>
      <c r="AF36" s="2"/>
      <c r="AG36" s="2"/>
      <c r="AH36" s="2"/>
      <c r="AI36" s="2"/>
      <c r="AJ36" s="2"/>
      <c r="AK36" s="2"/>
      <c r="AL36" s="2"/>
      <c r="AM36" s="2"/>
      <c r="AN36" s="98"/>
      <c r="AO36" s="2"/>
    </row>
    <row r="37" spans="1:41" ht="12.75" customHeight="1">
      <c r="A37" s="445" t="s">
        <v>205</v>
      </c>
      <c r="B37" s="2"/>
      <c r="C37" s="2036">
        <f>BYD!AW81</f>
        <v>1.9</v>
      </c>
      <c r="D37" s="374">
        <f>BYD!AR81</f>
        <v>-6.2830000000000004</v>
      </c>
      <c r="E37" s="1103"/>
      <c r="F37" s="374">
        <f>C37-D37</f>
        <v>8.1829999999999998</v>
      </c>
      <c r="G37" s="126">
        <f>IF(D37=0,0,C37/D37-1)</f>
        <v>-1.302403310520452</v>
      </c>
      <c r="H37" s="2"/>
      <c r="I37" s="432">
        <v>6.0699167177821636</v>
      </c>
      <c r="J37" s="1103"/>
      <c r="K37" s="374">
        <f>C37-I37</f>
        <v>-4.1699167177821632</v>
      </c>
      <c r="L37" s="1204">
        <f>IF(I37=0,"NM",C37/I37-1)</f>
        <v>-0.68698087826578536</v>
      </c>
      <c r="N37" s="2"/>
      <c r="R37" s="2"/>
      <c r="S37" s="2"/>
      <c r="T37" s="2"/>
      <c r="U37" s="2"/>
      <c r="V37" s="2"/>
      <c r="W37" s="2"/>
      <c r="X37" s="2"/>
      <c r="Y37" s="2"/>
      <c r="Z37" s="2"/>
      <c r="AA37" s="2"/>
      <c r="AB37" s="2"/>
      <c r="AC37" s="2"/>
      <c r="AD37" s="2"/>
      <c r="AE37" s="2"/>
      <c r="AF37" s="2"/>
      <c r="AG37" s="2"/>
      <c r="AH37" s="2"/>
      <c r="AI37" s="2"/>
      <c r="AJ37" s="2"/>
      <c r="AK37" s="2"/>
      <c r="AL37" s="2"/>
      <c r="AM37" s="2"/>
      <c r="AN37" s="98"/>
      <c r="AO37" s="2"/>
    </row>
    <row r="38" spans="1:41" ht="4.5" customHeight="1">
      <c r="A38" s="964"/>
      <c r="B38" s="2"/>
      <c r="C38" s="2037" t="s">
        <v>343</v>
      </c>
      <c r="D38" s="452" t="s">
        <v>343</v>
      </c>
      <c r="E38" s="96" t="s">
        <v>343</v>
      </c>
      <c r="F38" s="452" t="s">
        <v>343</v>
      </c>
      <c r="G38" s="1251" t="s">
        <v>343</v>
      </c>
      <c r="H38" s="2" t="s">
        <v>343</v>
      </c>
      <c r="I38" s="2223" t="s">
        <v>343</v>
      </c>
      <c r="J38" s="96" t="s">
        <v>343</v>
      </c>
      <c r="K38" s="452" t="s">
        <v>343</v>
      </c>
      <c r="L38" s="1252" t="s">
        <v>343</v>
      </c>
      <c r="M38" s="1102"/>
      <c r="N38" s="1102"/>
      <c r="R38" s="2"/>
      <c r="S38" s="2"/>
      <c r="T38" s="2"/>
      <c r="U38" s="2"/>
      <c r="V38" s="2"/>
      <c r="W38" s="2"/>
      <c r="X38" s="2"/>
      <c r="Y38" s="2"/>
      <c r="Z38" s="2"/>
      <c r="AA38" s="2"/>
      <c r="AB38" s="2"/>
      <c r="AC38" s="2"/>
      <c r="AD38" s="2"/>
      <c r="AE38" s="2"/>
      <c r="AF38" s="2"/>
      <c r="AG38" s="2"/>
      <c r="AH38" s="2"/>
      <c r="AI38" s="2"/>
      <c r="AJ38" s="2"/>
      <c r="AK38" s="2"/>
      <c r="AL38" s="2"/>
      <c r="AM38" s="2"/>
      <c r="AN38" s="98"/>
      <c r="AO38" s="2"/>
    </row>
    <row r="39" spans="1:41" ht="12.75" customHeight="1">
      <c r="A39" s="107" t="s">
        <v>1243</v>
      </c>
      <c r="B39" s="61"/>
      <c r="C39" s="2240">
        <f>C36+C37</f>
        <v>25.628999999999962</v>
      </c>
      <c r="D39" s="2239">
        <f>D36+D37</f>
        <v>6.4749999999999543</v>
      </c>
      <c r="E39" s="932"/>
      <c r="F39" s="2236">
        <f>F36+F37</f>
        <v>19.154000000000011</v>
      </c>
      <c r="G39" s="1215">
        <f>G36+G37</f>
        <v>-0.44247228684902629</v>
      </c>
      <c r="H39" s="932"/>
      <c r="I39" s="2238">
        <v>-11.272702475881175</v>
      </c>
      <c r="J39" s="932"/>
      <c r="K39" s="2236">
        <f>K36+K37</f>
        <v>36.901702475881137</v>
      </c>
      <c r="L39" s="1215">
        <f>L36+L37</f>
        <v>-3.055228646092579</v>
      </c>
      <c r="M39" s="1238"/>
      <c r="N39" s="61"/>
      <c r="R39" s="1336"/>
      <c r="S39" s="2"/>
      <c r="T39" s="2"/>
      <c r="U39" s="2"/>
      <c r="V39" s="2"/>
      <c r="W39" s="2"/>
      <c r="X39" s="2"/>
      <c r="Y39" s="2"/>
      <c r="Z39" s="2"/>
      <c r="AA39" s="2"/>
      <c r="AB39" s="2"/>
      <c r="AC39" s="2"/>
      <c r="AD39" s="2"/>
      <c r="AE39" s="2"/>
      <c r="AF39" s="2"/>
      <c r="AG39" s="2"/>
      <c r="AH39" s="2"/>
      <c r="AI39" s="2"/>
      <c r="AJ39" s="2"/>
      <c r="AK39" s="2"/>
      <c r="AL39" s="2"/>
      <c r="AM39" s="2"/>
      <c r="AN39" s="98"/>
      <c r="AO39" s="2"/>
    </row>
    <row r="40" spans="1:41" ht="12.75" customHeight="1">
      <c r="A40" s="445" t="s">
        <v>130</v>
      </c>
      <c r="B40" s="2"/>
      <c r="C40" s="2036">
        <f>BYD!AW85</f>
        <v>0.4</v>
      </c>
      <c r="D40" s="374">
        <f>BYD!AR85</f>
        <v>-0.623</v>
      </c>
      <c r="E40" s="1103"/>
      <c r="F40" s="374">
        <f>C40-D40</f>
        <v>1.0230000000000001</v>
      </c>
      <c r="G40" s="126">
        <f>IF(D40=0,0,C40/D40-1)</f>
        <v>-1.6420545746388444</v>
      </c>
      <c r="H40" s="2"/>
      <c r="I40" s="432">
        <v>4.9509790743556534</v>
      </c>
      <c r="J40" s="1103"/>
      <c r="K40" s="374">
        <f>C40-I40</f>
        <v>-4.5509790743556531</v>
      </c>
      <c r="L40" s="1204">
        <f>IF(I40=0,"NM",C40/I40-1)</f>
        <v>-0.919207899287666</v>
      </c>
      <c r="N40" s="2"/>
      <c r="R40" s="2"/>
      <c r="S40" s="2"/>
      <c r="T40" s="2"/>
      <c r="U40" s="2"/>
      <c r="V40" s="2"/>
      <c r="W40" s="2"/>
      <c r="X40" s="2"/>
      <c r="Y40" s="2"/>
      <c r="Z40" s="2"/>
      <c r="AA40" s="2"/>
      <c r="AB40" s="2"/>
      <c r="AC40" s="2"/>
      <c r="AD40" s="2"/>
      <c r="AE40" s="2"/>
      <c r="AF40" s="2"/>
      <c r="AG40" s="2"/>
      <c r="AH40" s="2"/>
      <c r="AI40" s="2"/>
      <c r="AJ40" s="2"/>
      <c r="AK40" s="2"/>
      <c r="AL40" s="2"/>
      <c r="AM40" s="2"/>
      <c r="AN40" s="98"/>
      <c r="AO40" s="2"/>
    </row>
    <row r="41" spans="1:41" ht="4.5" customHeight="1">
      <c r="A41" s="964"/>
      <c r="B41" s="2"/>
      <c r="C41" s="2037" t="s">
        <v>343</v>
      </c>
      <c r="D41" s="452" t="s">
        <v>343</v>
      </c>
      <c r="E41" s="96" t="s">
        <v>343</v>
      </c>
      <c r="F41" s="452" t="s">
        <v>343</v>
      </c>
      <c r="G41" s="1251" t="s">
        <v>343</v>
      </c>
      <c r="H41" s="2" t="s">
        <v>343</v>
      </c>
      <c r="I41" s="2223" t="s">
        <v>343</v>
      </c>
      <c r="J41" s="96" t="s">
        <v>343</v>
      </c>
      <c r="K41" s="452" t="s">
        <v>343</v>
      </c>
      <c r="L41" s="1252" t="s">
        <v>343</v>
      </c>
      <c r="M41" s="1102"/>
      <c r="N41" s="1102"/>
      <c r="R41" s="2"/>
      <c r="S41" s="2"/>
      <c r="T41" s="2"/>
      <c r="U41" s="2"/>
      <c r="V41" s="2"/>
      <c r="W41" s="2"/>
      <c r="X41" s="2"/>
      <c r="Y41" s="2"/>
      <c r="Z41" s="2"/>
      <c r="AA41" s="2"/>
      <c r="AB41" s="2"/>
      <c r="AC41" s="2"/>
      <c r="AD41" s="2"/>
      <c r="AE41" s="2"/>
      <c r="AF41" s="2"/>
      <c r="AG41" s="2"/>
      <c r="AH41" s="2"/>
      <c r="AI41" s="2"/>
      <c r="AJ41" s="2"/>
      <c r="AK41" s="2"/>
      <c r="AL41" s="2"/>
      <c r="AM41" s="2"/>
      <c r="AN41" s="98"/>
      <c r="AO41" s="2"/>
    </row>
    <row r="42" spans="1:41" ht="12.75" customHeight="1">
      <c r="A42" s="107" t="s">
        <v>1540</v>
      </c>
      <c r="B42" s="2"/>
      <c r="C42" s="2240">
        <f>C39+C40</f>
        <v>26.028999999999961</v>
      </c>
      <c r="D42" s="2239">
        <f>D39+D40</f>
        <v>5.8519999999999541</v>
      </c>
      <c r="E42" s="932"/>
      <c r="F42" s="2236">
        <f>F39+F40</f>
        <v>20.17700000000001</v>
      </c>
      <c r="G42" s="1215">
        <f>G39+G40</f>
        <v>-2.0845268614878707</v>
      </c>
      <c r="H42" s="932"/>
      <c r="I42" s="2238">
        <v>-6.3217234015255217</v>
      </c>
      <c r="J42" s="932"/>
      <c r="K42" s="2236">
        <f>K39+K40</f>
        <v>32.350723401525485</v>
      </c>
      <c r="L42" s="1215">
        <f>L39+L40</f>
        <v>-3.9744365453802448</v>
      </c>
      <c r="N42" s="2"/>
      <c r="R42" s="105"/>
      <c r="S42" s="2"/>
      <c r="T42" s="2"/>
      <c r="U42" s="2"/>
      <c r="V42" s="2"/>
      <c r="W42" s="2"/>
      <c r="X42" s="2"/>
      <c r="Y42" s="2"/>
      <c r="Z42" s="2"/>
      <c r="AA42" s="2"/>
      <c r="AB42" s="2"/>
      <c r="AC42" s="2"/>
      <c r="AD42" s="2"/>
      <c r="AE42" s="2"/>
      <c r="AF42" s="2"/>
      <c r="AG42" s="2"/>
      <c r="AH42" s="2"/>
      <c r="AI42" s="2"/>
      <c r="AJ42" s="2"/>
      <c r="AK42" s="2"/>
      <c r="AL42" s="2"/>
      <c r="AM42" s="2"/>
      <c r="AN42" s="98"/>
      <c r="AO42" s="2"/>
    </row>
    <row r="43" spans="1:41" ht="12.75" customHeight="1">
      <c r="A43" s="2" t="s">
        <v>1562</v>
      </c>
      <c r="B43" s="2"/>
      <c r="C43" s="2031">
        <f>BYD!AW87</f>
        <v>7.6999999999999993</v>
      </c>
      <c r="D43" s="104">
        <f>BYD!AR87</f>
        <v>2.5639999999999996</v>
      </c>
      <c r="E43" s="61"/>
      <c r="F43" s="61"/>
      <c r="G43" s="1141"/>
      <c r="H43" s="2"/>
      <c r="I43" s="1104">
        <v>0.25</v>
      </c>
      <c r="J43" s="61"/>
      <c r="K43" s="61"/>
      <c r="L43" s="1216"/>
      <c r="N43" s="2"/>
      <c r="R43" s="2"/>
      <c r="S43" s="2"/>
      <c r="T43" s="2"/>
      <c r="U43" s="2"/>
      <c r="V43" s="2"/>
      <c r="W43" s="2"/>
      <c r="X43" s="2"/>
      <c r="Y43" s="2"/>
      <c r="Z43" s="2"/>
      <c r="AA43" s="2"/>
      <c r="AB43" s="2"/>
      <c r="AC43" s="2"/>
      <c r="AD43" s="2"/>
      <c r="AE43" s="2"/>
      <c r="AF43" s="2"/>
      <c r="AG43" s="2"/>
      <c r="AH43" s="2"/>
      <c r="AI43" s="2"/>
      <c r="AJ43" s="2"/>
      <c r="AK43" s="2"/>
      <c r="AL43" s="2"/>
      <c r="AM43" s="2"/>
      <c r="AN43" s="98"/>
      <c r="AO43" s="2"/>
    </row>
    <row r="44" spans="1:41" ht="12.75" customHeight="1">
      <c r="A44" s="147" t="s">
        <v>1747</v>
      </c>
      <c r="B44" s="160"/>
      <c r="C44" s="2244">
        <f>BYD!AW88</f>
        <v>1.4265000000000185</v>
      </c>
      <c r="D44" s="2243">
        <f>BYD!AR88</f>
        <v>8.4159999999999808</v>
      </c>
      <c r="E44" s="1218"/>
      <c r="F44" s="2241">
        <f>C44-D44</f>
        <v>-6.9894999999999623</v>
      </c>
      <c r="G44" s="1219">
        <f>IF(D44=0,0,C44/D44-1)</f>
        <v>-0.83050142585551079</v>
      </c>
      <c r="H44" s="1220"/>
      <c r="I44" s="2242">
        <v>-6.0717234015255075</v>
      </c>
      <c r="J44" s="1218"/>
      <c r="K44" s="2241">
        <f>C44-I44</f>
        <v>7.498223401525526</v>
      </c>
      <c r="L44" s="1221">
        <f>C44/I44-1</f>
        <v>-1.2349415323566311</v>
      </c>
      <c r="N44" s="2"/>
      <c r="R44" s="2"/>
      <c r="S44" s="2"/>
      <c r="T44" s="2"/>
      <c r="U44" s="2"/>
      <c r="V44" s="2"/>
      <c r="W44" s="2"/>
      <c r="X44" s="2"/>
      <c r="Y44" s="2"/>
      <c r="Z44" s="2"/>
      <c r="AA44" s="2"/>
      <c r="AB44" s="2"/>
      <c r="AC44" s="2"/>
      <c r="AD44" s="2"/>
      <c r="AE44" s="2"/>
      <c r="AF44" s="2"/>
      <c r="AG44" s="2"/>
      <c r="AH44" s="2"/>
      <c r="AI44" s="2"/>
      <c r="AJ44" s="2"/>
      <c r="AK44" s="2"/>
      <c r="AL44" s="2"/>
      <c r="AM44" s="2"/>
      <c r="AN44" s="98"/>
      <c r="AO44" s="2"/>
    </row>
    <row r="45" spans="1:41" ht="12.75" customHeight="1">
      <c r="A45" s="2"/>
      <c r="B45" s="2"/>
      <c r="C45" s="2034"/>
      <c r="D45" s="77"/>
      <c r="E45" s="61"/>
      <c r="F45" s="61"/>
      <c r="G45" s="1141"/>
      <c r="H45" s="2"/>
      <c r="I45" s="115"/>
      <c r="J45" s="61"/>
      <c r="K45" s="61"/>
      <c r="L45" s="1216"/>
      <c r="N45" s="2"/>
      <c r="R45" s="2"/>
      <c r="S45" s="2"/>
      <c r="T45" s="2"/>
      <c r="U45" s="2"/>
      <c r="V45" s="2"/>
      <c r="W45" s="2"/>
      <c r="X45" s="2"/>
      <c r="Y45" s="2"/>
      <c r="Z45" s="2"/>
      <c r="AA45" s="2"/>
      <c r="AB45" s="2"/>
      <c r="AC45" s="2"/>
      <c r="AD45" s="2"/>
      <c r="AE45" s="2"/>
      <c r="AF45" s="2"/>
      <c r="AG45" s="2"/>
      <c r="AH45" s="2"/>
      <c r="AI45" s="2"/>
      <c r="AJ45" s="2"/>
      <c r="AK45" s="2"/>
      <c r="AL45" s="2"/>
      <c r="AM45" s="2"/>
      <c r="AN45" s="98"/>
      <c r="AO45" s="2"/>
    </row>
    <row r="46" spans="1:41" ht="12.75" customHeight="1">
      <c r="A46" s="138" t="s">
        <v>746</v>
      </c>
      <c r="B46" s="155"/>
      <c r="C46" s="2041">
        <f>+C44/C47</f>
        <v>1.6215018073521933E-2</v>
      </c>
      <c r="D46" s="152">
        <f>+D44/D47</f>
        <v>9.5650493822950905E-2</v>
      </c>
      <c r="E46" s="152"/>
      <c r="F46" s="152">
        <f>C46-D46</f>
        <v>-7.9435475749428969E-2</v>
      </c>
      <c r="G46" s="1208">
        <f>IF(D46=0,0,C46/D46-1)</f>
        <v>-0.83047637889318238</v>
      </c>
      <c r="H46" s="155"/>
      <c r="I46" s="1246">
        <v>-6.9117813008281626E-2</v>
      </c>
      <c r="J46" s="152"/>
      <c r="K46" s="152">
        <f>C46-I46</f>
        <v>8.5332831081803562E-2</v>
      </c>
      <c r="L46" s="1211">
        <f>C46/I46-1</f>
        <v>-1.2345996982222089</v>
      </c>
      <c r="N46" s="1256">
        <v>-7.0000000000000007E-2</v>
      </c>
      <c r="P46" s="1645"/>
      <c r="R46" s="2"/>
      <c r="S46" s="2"/>
      <c r="T46" s="2"/>
      <c r="U46" s="2"/>
      <c r="V46" s="2"/>
      <c r="W46" s="2"/>
      <c r="X46" s="2"/>
      <c r="Y46" s="2"/>
      <c r="Z46" s="2"/>
      <c r="AA46" s="2"/>
      <c r="AB46" s="2"/>
      <c r="AC46" s="2"/>
      <c r="AD46" s="2"/>
      <c r="AE46" s="2"/>
      <c r="AF46" s="2"/>
      <c r="AG46" s="2"/>
      <c r="AH46" s="2"/>
      <c r="AI46" s="2"/>
      <c r="AJ46" s="2"/>
      <c r="AK46" s="2"/>
      <c r="AL46" s="2"/>
      <c r="AM46" s="2"/>
      <c r="AN46" s="98"/>
      <c r="AO46" s="2"/>
    </row>
    <row r="47" spans="1:41" ht="12.75" customHeight="1">
      <c r="A47" s="2" t="s">
        <v>769</v>
      </c>
      <c r="B47" s="2"/>
      <c r="C47" s="2031">
        <f>BYD!AW103</f>
        <v>87.974000000000004</v>
      </c>
      <c r="D47" s="104">
        <f>BYD!AR103</f>
        <v>87.986999999999995</v>
      </c>
      <c r="E47" s="1103"/>
      <c r="F47" s="374">
        <f>C47-D47</f>
        <v>-1.2999999999991019E-2</v>
      </c>
      <c r="G47" s="126">
        <f>IF(D47=0,0,C47/D47-1)</f>
        <v>-1.4774909929871072E-4</v>
      </c>
      <c r="H47" s="2"/>
      <c r="I47" s="1104">
        <v>87.846000000000004</v>
      </c>
      <c r="J47" s="1103"/>
      <c r="K47" s="374">
        <f>C47-I47</f>
        <v>0.12800000000000011</v>
      </c>
      <c r="L47" s="1204">
        <f>C47/I47-1</f>
        <v>1.4570953714454493E-3</v>
      </c>
      <c r="N47" s="2"/>
      <c r="R47" s="2"/>
      <c r="S47" s="2"/>
      <c r="T47" s="2"/>
      <c r="U47" s="2"/>
      <c r="V47" s="2"/>
      <c r="W47" s="2"/>
      <c r="X47" s="2"/>
      <c r="Y47" s="2"/>
      <c r="Z47" s="2"/>
      <c r="AA47" s="2"/>
      <c r="AB47" s="2"/>
      <c r="AC47" s="2"/>
      <c r="AD47" s="2"/>
      <c r="AE47" s="2"/>
      <c r="AF47" s="2"/>
      <c r="AG47" s="2"/>
      <c r="AH47" s="2"/>
      <c r="AI47" s="2"/>
      <c r="AJ47" s="2"/>
      <c r="AK47" s="2"/>
      <c r="AL47" s="2"/>
      <c r="AM47" s="2"/>
      <c r="AN47" s="98"/>
      <c r="AO47" s="2"/>
    </row>
    <row r="48" spans="1:41" ht="12.75" customHeight="1">
      <c r="A48" s="2"/>
      <c r="B48" s="2"/>
      <c r="C48" s="112"/>
      <c r="D48" s="77"/>
      <c r="E48" s="61"/>
      <c r="F48" s="2"/>
      <c r="G48" s="2"/>
      <c r="H48" s="2"/>
      <c r="I48" s="142"/>
      <c r="J48" s="61"/>
      <c r="K48" s="61"/>
      <c r="L48" s="2"/>
      <c r="N48" s="2"/>
      <c r="R48" s="2"/>
      <c r="S48" s="2"/>
      <c r="T48" s="2"/>
      <c r="U48" s="2"/>
      <c r="V48" s="2"/>
      <c r="W48" s="2"/>
      <c r="X48" s="2"/>
      <c r="Y48" s="2"/>
      <c r="Z48" s="2"/>
      <c r="AA48" s="2"/>
      <c r="AB48" s="2"/>
      <c r="AC48" s="2"/>
      <c r="AD48" s="2"/>
      <c r="AE48" s="2"/>
      <c r="AF48" s="2"/>
      <c r="AG48" s="2"/>
      <c r="AH48" s="2"/>
      <c r="AI48" s="2"/>
      <c r="AJ48" s="2"/>
      <c r="AK48" s="2"/>
      <c r="AL48" s="2"/>
      <c r="AM48" s="2"/>
      <c r="AN48" s="98"/>
      <c r="AO48" s="2"/>
    </row>
    <row r="49" spans="1:41" ht="12.75" customHeight="1">
      <c r="A49" s="1222" t="s">
        <v>1483</v>
      </c>
      <c r="B49" s="1223"/>
      <c r="C49" s="1224">
        <f>C22/C14</f>
        <v>0.23761063688036219</v>
      </c>
      <c r="D49" s="1400">
        <f>D22/D14</f>
        <v>0.22785509499437206</v>
      </c>
      <c r="E49" s="1225"/>
      <c r="F49" s="1223"/>
      <c r="G49" s="1226">
        <f t="shared" ref="G49:G54" si="6">(C49-D49)</f>
        <v>9.7555418859901211E-3</v>
      </c>
      <c r="H49" s="1223"/>
      <c r="I49" s="2234">
        <v>0.22406389950078692</v>
      </c>
      <c r="J49" s="1225"/>
      <c r="K49" s="1223"/>
      <c r="L49" s="1227">
        <f t="shared" ref="L49:L54" si="7">(C49-I49)</f>
        <v>1.3546737379575263E-2</v>
      </c>
      <c r="N49" s="2"/>
      <c r="R49" s="2"/>
      <c r="S49" s="2"/>
      <c r="T49" s="2"/>
      <c r="U49" s="2"/>
      <c r="V49" s="2"/>
      <c r="W49" s="2"/>
      <c r="X49" s="2"/>
      <c r="Y49" s="2"/>
      <c r="Z49" s="2"/>
      <c r="AA49" s="2"/>
      <c r="AB49" s="2"/>
      <c r="AC49" s="2"/>
      <c r="AD49" s="2"/>
      <c r="AE49" s="2"/>
      <c r="AF49" s="2"/>
      <c r="AG49" s="2"/>
      <c r="AH49" s="2"/>
      <c r="AI49" s="2"/>
      <c r="AJ49" s="2"/>
      <c r="AK49" s="2"/>
      <c r="AL49" s="2"/>
      <c r="AM49" s="2"/>
      <c r="AN49" s="98"/>
      <c r="AO49" s="2"/>
    </row>
    <row r="50" spans="1:41" ht="12.75" customHeight="1">
      <c r="A50" s="1239" t="s">
        <v>514</v>
      </c>
      <c r="B50" s="1228"/>
      <c r="C50" s="1229">
        <f t="shared" ref="C50:D52" si="8">C17/C8</f>
        <v>0.25653189554201811</v>
      </c>
      <c r="D50" s="1230">
        <f t="shared" si="8"/>
        <v>0.24863523893816744</v>
      </c>
      <c r="E50" s="1230"/>
      <c r="F50" s="1228"/>
      <c r="G50" s="1231">
        <f t="shared" si="6"/>
        <v>7.8966566038506658E-3</v>
      </c>
      <c r="H50" s="1228"/>
      <c r="I50" s="1248">
        <v>0.22166317059235791</v>
      </c>
      <c r="J50" s="1230"/>
      <c r="K50" s="1228"/>
      <c r="L50" s="1232">
        <f t="shared" si="7"/>
        <v>3.4868724949660201E-2</v>
      </c>
      <c r="M50" s="1404"/>
      <c r="N50" s="1647"/>
      <c r="R50" s="2"/>
      <c r="S50" s="2"/>
      <c r="T50" s="2"/>
      <c r="U50" s="2"/>
      <c r="V50" s="2"/>
      <c r="W50" s="2"/>
      <c r="X50" s="2"/>
      <c r="Y50" s="2"/>
      <c r="Z50" s="2"/>
      <c r="AA50" s="2"/>
      <c r="AB50" s="2"/>
      <c r="AC50" s="2"/>
      <c r="AD50" s="2"/>
      <c r="AE50" s="2"/>
      <c r="AF50" s="2"/>
      <c r="AG50" s="2"/>
      <c r="AH50" s="2"/>
      <c r="AI50" s="2"/>
      <c r="AJ50" s="2"/>
      <c r="AK50" s="2"/>
      <c r="AL50" s="2"/>
      <c r="AM50" s="2"/>
      <c r="AN50" s="98"/>
      <c r="AO50" s="2"/>
    </row>
    <row r="51" spans="1:41" ht="12.75" customHeight="1">
      <c r="A51" s="1239" t="s">
        <v>515</v>
      </c>
      <c r="B51" s="1228"/>
      <c r="C51" s="1229">
        <f t="shared" si="8"/>
        <v>0.131483090804874</v>
      </c>
      <c r="D51" s="1230">
        <f t="shared" si="8"/>
        <v>0.14790906539433063</v>
      </c>
      <c r="E51" s="1230"/>
      <c r="F51" s="1228"/>
      <c r="G51" s="1231">
        <f t="shared" si="6"/>
        <v>-1.6425974589456632E-2</v>
      </c>
      <c r="H51" s="1228"/>
      <c r="I51" s="1248">
        <v>0.14790906539433063</v>
      </c>
      <c r="J51" s="1230"/>
      <c r="K51" s="1228"/>
      <c r="L51" s="1232">
        <f t="shared" si="7"/>
        <v>-1.6425974589456632E-2</v>
      </c>
      <c r="M51" s="1403"/>
      <c r="N51" s="98"/>
      <c r="R51" s="2"/>
      <c r="S51" s="2"/>
      <c r="T51" s="2"/>
      <c r="U51" s="2"/>
      <c r="V51" s="2"/>
      <c r="W51" s="2"/>
      <c r="X51" s="2"/>
      <c r="Y51" s="2"/>
      <c r="Z51" s="2"/>
      <c r="AA51" s="2"/>
      <c r="AB51" s="2"/>
      <c r="AC51" s="2"/>
      <c r="AD51" s="2"/>
      <c r="AE51" s="2"/>
      <c r="AF51" s="2"/>
      <c r="AG51" s="2"/>
      <c r="AH51" s="2"/>
      <c r="AI51" s="2"/>
      <c r="AJ51" s="2"/>
      <c r="AK51" s="2"/>
      <c r="AL51" s="2"/>
      <c r="AM51" s="2"/>
      <c r="AN51" s="98"/>
      <c r="AO51" s="2"/>
    </row>
    <row r="52" spans="1:41" ht="12.75" customHeight="1">
      <c r="A52" s="1239" t="s">
        <v>517</v>
      </c>
      <c r="B52" s="1228"/>
      <c r="C52" s="1229">
        <f t="shared" si="8"/>
        <v>0.21684117721513466</v>
      </c>
      <c r="D52" s="1230">
        <f t="shared" si="8"/>
        <v>0.23850944929058518</v>
      </c>
      <c r="E52" s="1230"/>
      <c r="F52" s="1228"/>
      <c r="G52" s="1231">
        <f t="shared" si="6"/>
        <v>-2.1668272075450523E-2</v>
      </c>
      <c r="H52" s="1228"/>
      <c r="I52" s="1248">
        <v>0.19614541710307182</v>
      </c>
      <c r="J52" s="1230"/>
      <c r="K52" s="1228"/>
      <c r="L52" s="1232">
        <f t="shared" si="7"/>
        <v>2.0695760112062839E-2</v>
      </c>
      <c r="M52" s="1403"/>
      <c r="N52" s="98"/>
      <c r="R52" s="2"/>
      <c r="S52" s="2"/>
      <c r="T52" s="2"/>
      <c r="U52" s="2"/>
      <c r="V52" s="2"/>
      <c r="W52" s="2"/>
      <c r="X52" s="2"/>
      <c r="Y52" s="2"/>
      <c r="Z52" s="2"/>
      <c r="AA52" s="2"/>
      <c r="AB52" s="2"/>
      <c r="AC52" s="2"/>
      <c r="AD52" s="2"/>
      <c r="AE52" s="2"/>
      <c r="AF52" s="2"/>
      <c r="AG52" s="2"/>
      <c r="AH52" s="2"/>
      <c r="AI52" s="2"/>
      <c r="AJ52" s="2"/>
      <c r="AK52" s="2"/>
      <c r="AL52" s="2"/>
      <c r="AM52" s="2"/>
      <c r="AN52" s="98"/>
      <c r="AO52" s="2"/>
    </row>
    <row r="53" spans="1:41" ht="12.75" customHeight="1">
      <c r="A53" s="1239" t="s">
        <v>516</v>
      </c>
      <c r="B53" s="1228"/>
      <c r="C53" s="1229">
        <f>C19/C10</f>
        <v>0.21684117721513466</v>
      </c>
      <c r="D53" s="1230">
        <f>D19/D10</f>
        <v>0.23850944929058518</v>
      </c>
      <c r="E53" s="1230"/>
      <c r="F53" s="1228"/>
      <c r="G53" s="1231">
        <f t="shared" si="6"/>
        <v>-2.1668272075450523E-2</v>
      </c>
      <c r="H53" s="1228"/>
      <c r="I53" s="1248">
        <v>0.19614541710307182</v>
      </c>
      <c r="J53" s="1230"/>
      <c r="K53" s="1228"/>
      <c r="L53" s="1232">
        <f t="shared" si="7"/>
        <v>2.0695760112062839E-2</v>
      </c>
      <c r="M53" s="1404"/>
      <c r="N53" s="105"/>
      <c r="R53" s="2"/>
      <c r="S53" s="2"/>
      <c r="T53" s="2"/>
      <c r="U53" s="2"/>
      <c r="V53" s="2"/>
      <c r="W53" s="2"/>
      <c r="X53" s="2"/>
      <c r="Y53" s="2"/>
      <c r="Z53" s="2"/>
      <c r="AA53" s="2"/>
      <c r="AB53" s="2"/>
      <c r="AC53" s="2"/>
      <c r="AD53" s="2"/>
      <c r="AE53" s="2"/>
      <c r="AF53" s="2"/>
      <c r="AG53" s="2"/>
      <c r="AH53" s="2"/>
      <c r="AI53" s="2"/>
      <c r="AJ53" s="2"/>
      <c r="AK53" s="2"/>
      <c r="AL53" s="2"/>
      <c r="AM53" s="2"/>
      <c r="AN53" s="98"/>
      <c r="AO53" s="2"/>
    </row>
    <row r="54" spans="1:41" ht="12.75" customHeight="1">
      <c r="A54" s="1240" t="s">
        <v>273</v>
      </c>
      <c r="B54" s="1233"/>
      <c r="C54" s="1234">
        <f>C21/C12</f>
        <v>0.17148221487044504</v>
      </c>
      <c r="D54" s="1235">
        <f>D21/D12</f>
        <v>0.22072665342038036</v>
      </c>
      <c r="E54" s="1235"/>
      <c r="F54" s="1233"/>
      <c r="G54" s="1235">
        <f t="shared" si="6"/>
        <v>-4.9244438549935321E-2</v>
      </c>
      <c r="H54" s="1233"/>
      <c r="I54" s="1249">
        <v>0.16751239940954765</v>
      </c>
      <c r="J54" s="1235"/>
      <c r="K54" s="1233"/>
      <c r="L54" s="1237">
        <f t="shared" si="7"/>
        <v>3.9698154608973912E-3</v>
      </c>
      <c r="M54" s="1404"/>
      <c r="N54" s="105"/>
      <c r="R54" s="2"/>
      <c r="S54" s="2"/>
      <c r="T54" s="2"/>
      <c r="U54" s="2"/>
      <c r="V54" s="2"/>
      <c r="W54" s="2"/>
      <c r="X54" s="2"/>
      <c r="Y54" s="2"/>
      <c r="Z54" s="2"/>
      <c r="AA54" s="2"/>
      <c r="AB54" s="2"/>
      <c r="AC54" s="2"/>
      <c r="AD54" s="2"/>
      <c r="AE54" s="2"/>
      <c r="AF54" s="2"/>
      <c r="AG54" s="2"/>
      <c r="AH54" s="2"/>
      <c r="AI54" s="2"/>
      <c r="AJ54" s="2"/>
      <c r="AK54" s="2"/>
      <c r="AL54" s="2"/>
      <c r="AM54" s="2"/>
      <c r="AN54" s="98"/>
      <c r="AO54" s="2"/>
    </row>
    <row r="55" spans="1:41" ht="12.75" customHeight="1">
      <c r="A55" s="61"/>
      <c r="B55" s="61"/>
      <c r="C55" s="1435"/>
      <c r="D55" s="77"/>
      <c r="E55" s="61"/>
      <c r="F55" s="61"/>
      <c r="G55" s="61"/>
      <c r="H55" s="61"/>
      <c r="I55" s="1435"/>
      <c r="J55" s="61"/>
      <c r="K55" s="61"/>
      <c r="L55" s="61"/>
      <c r="M55" s="1404"/>
      <c r="N55" s="105"/>
      <c r="R55" s="2"/>
      <c r="S55" s="2"/>
      <c r="T55" s="2"/>
      <c r="U55" s="2"/>
      <c r="V55" s="2"/>
      <c r="W55" s="2"/>
      <c r="X55" s="2"/>
      <c r="Y55" s="2"/>
      <c r="Z55" s="2"/>
      <c r="AA55" s="2"/>
      <c r="AB55" s="2"/>
      <c r="AC55" s="2"/>
      <c r="AD55" s="2"/>
      <c r="AE55" s="2"/>
      <c r="AF55" s="2"/>
      <c r="AG55" s="2"/>
      <c r="AH55" s="2"/>
      <c r="AI55" s="2"/>
      <c r="AJ55" s="2"/>
      <c r="AK55" s="2"/>
      <c r="AL55" s="2"/>
      <c r="AM55" s="2"/>
      <c r="AN55" s="98"/>
      <c r="AO55" s="2"/>
    </row>
    <row r="56" spans="1:41" ht="12.75" customHeight="1">
      <c r="A56" s="61"/>
      <c r="B56" s="61"/>
      <c r="C56" s="374"/>
      <c r="D56" s="374"/>
      <c r="E56" s="61"/>
      <c r="F56" s="374"/>
      <c r="G56" s="95"/>
      <c r="H56" s="313"/>
      <c r="I56" s="376"/>
      <c r="J56" s="932"/>
      <c r="K56" s="374"/>
      <c r="L56" s="1204"/>
      <c r="N56" s="2"/>
      <c r="R56" s="1"/>
      <c r="S56" s="2"/>
      <c r="T56" s="1"/>
      <c r="U56" s="2"/>
      <c r="V56" s="2"/>
      <c r="W56" s="2"/>
      <c r="X56" s="2"/>
      <c r="Y56" s="2"/>
      <c r="Z56" s="2"/>
      <c r="AA56" s="2"/>
      <c r="AB56" s="2"/>
      <c r="AC56" s="2"/>
      <c r="AD56" s="2"/>
      <c r="AE56" s="2"/>
      <c r="AF56" s="2"/>
      <c r="AG56" s="2"/>
      <c r="AH56" s="2"/>
      <c r="AI56" s="2"/>
      <c r="AJ56" s="2"/>
      <c r="AK56" s="2"/>
      <c r="AL56" s="2"/>
      <c r="AM56" s="2"/>
      <c r="AN56" s="98"/>
      <c r="AO56" s="2"/>
    </row>
    <row r="57" spans="1:41" ht="12.75" customHeight="1">
      <c r="A57" s="743"/>
      <c r="B57" s="61"/>
      <c r="C57" s="1618"/>
      <c r="D57" s="1618"/>
      <c r="E57" s="61"/>
      <c r="F57" s="1618"/>
      <c r="G57" s="1433"/>
      <c r="H57" s="61"/>
      <c r="I57" s="1618"/>
      <c r="J57" s="1103"/>
      <c r="K57" s="452"/>
      <c r="L57" s="1252"/>
      <c r="M57" s="1404"/>
      <c r="N57" s="1404"/>
      <c r="R57" s="105"/>
      <c r="S57" s="2"/>
      <c r="T57" s="105"/>
      <c r="U57" s="2"/>
      <c r="V57" s="2"/>
      <c r="W57" s="2"/>
      <c r="X57" s="2"/>
      <c r="Y57" s="2"/>
      <c r="Z57" s="2"/>
      <c r="AA57" s="2"/>
      <c r="AB57" s="2"/>
      <c r="AC57" s="2"/>
      <c r="AD57" s="2"/>
      <c r="AE57" s="2"/>
      <c r="AF57" s="2"/>
      <c r="AG57" s="2"/>
      <c r="AH57" s="2"/>
      <c r="AI57" s="2"/>
      <c r="AJ57" s="2"/>
      <c r="AK57" s="2"/>
      <c r="AL57" s="2"/>
      <c r="AM57" s="2"/>
      <c r="AN57" s="98"/>
      <c r="AO57" s="2"/>
    </row>
    <row r="58" spans="1:41" ht="12.75" customHeight="1">
      <c r="A58" s="1"/>
      <c r="B58" s="2"/>
      <c r="C58" s="1241"/>
      <c r="D58" s="1241"/>
      <c r="E58" s="61"/>
      <c r="F58" s="374"/>
      <c r="G58" s="95"/>
      <c r="H58" s="61"/>
      <c r="I58" s="1434"/>
      <c r="J58" s="1103"/>
      <c r="K58" s="1241"/>
      <c r="L58" s="1204"/>
      <c r="N58" s="1143"/>
      <c r="AN58" s="1403"/>
    </row>
    <row r="59" spans="1:41" ht="4.5" customHeight="1">
      <c r="A59" s="2"/>
      <c r="B59" s="2"/>
      <c r="C59" s="61"/>
      <c r="D59" s="77"/>
      <c r="E59" s="61"/>
      <c r="F59" s="61"/>
      <c r="G59" s="61"/>
      <c r="H59" s="61"/>
      <c r="I59" s="61"/>
      <c r="J59" s="2"/>
      <c r="K59" s="2"/>
      <c r="L59" s="2"/>
      <c r="N59" s="2"/>
      <c r="AN59" s="1403"/>
    </row>
    <row r="60" spans="1:41" ht="6" customHeight="1">
      <c r="A60" s="2"/>
      <c r="B60" s="2"/>
      <c r="C60" s="2"/>
      <c r="D60" s="1062"/>
      <c r="E60" s="2"/>
      <c r="F60" s="2"/>
      <c r="G60" s="2"/>
      <c r="H60" s="2"/>
      <c r="I60" s="2"/>
      <c r="J60" s="2"/>
      <c r="K60" s="2"/>
      <c r="L60" s="2"/>
      <c r="N60" s="2"/>
      <c r="AN60" s="1403"/>
    </row>
    <row r="61" spans="1:41" ht="12.75" customHeight="1">
      <c r="A61" s="2"/>
      <c r="B61" s="2"/>
      <c r="C61" s="2"/>
      <c r="D61" s="1648"/>
      <c r="E61" s="2"/>
      <c r="F61" s="2"/>
      <c r="G61" s="2"/>
      <c r="H61" s="2"/>
      <c r="I61" s="2"/>
      <c r="J61" s="2"/>
      <c r="K61" s="2"/>
      <c r="L61" s="2"/>
      <c r="N61" s="2"/>
      <c r="AN61" s="1403"/>
    </row>
    <row r="62" spans="1:41" ht="12.75" customHeight="1">
      <c r="A62" s="2"/>
      <c r="B62" s="2"/>
      <c r="C62" s="2"/>
      <c r="D62" s="1062"/>
      <c r="E62" s="2"/>
      <c r="F62" s="2"/>
      <c r="G62" s="2"/>
      <c r="H62" s="2"/>
      <c r="I62" s="2"/>
      <c r="J62" s="2"/>
      <c r="K62" s="2"/>
      <c r="L62" s="2"/>
      <c r="N62" s="2"/>
      <c r="AN62" s="1403"/>
    </row>
    <row r="63" spans="1:41" ht="12.75" customHeight="1">
      <c r="A63" s="2"/>
      <c r="B63" s="2"/>
      <c r="C63" s="2"/>
      <c r="D63" s="1062"/>
      <c r="E63" s="2"/>
      <c r="F63" s="2"/>
      <c r="G63" s="2"/>
      <c r="H63" s="2"/>
      <c r="I63" s="2"/>
      <c r="J63" s="2"/>
      <c r="K63" s="2"/>
      <c r="L63" s="2"/>
      <c r="N63" s="2"/>
      <c r="AN63" s="1403"/>
    </row>
    <row r="64" spans="1:41" ht="12.75" customHeight="1">
      <c r="A64" s="2"/>
      <c r="B64" s="2"/>
      <c r="C64" s="2"/>
      <c r="D64" s="1062"/>
      <c r="E64" s="2"/>
      <c r="F64" s="2"/>
      <c r="G64" s="2"/>
      <c r="H64" s="2"/>
      <c r="I64" s="2"/>
      <c r="J64" s="2"/>
      <c r="K64" s="2"/>
      <c r="L64" s="2"/>
      <c r="N64" s="2"/>
      <c r="AN64" s="1403"/>
    </row>
    <row r="65" spans="1:41" ht="12.75" customHeight="1">
      <c r="A65" s="2"/>
      <c r="B65" s="2"/>
      <c r="C65" s="2"/>
      <c r="D65" s="1062"/>
      <c r="E65" s="2"/>
      <c r="F65" s="2"/>
      <c r="G65" s="2"/>
      <c r="H65" s="2"/>
      <c r="I65" s="2"/>
      <c r="J65" s="2"/>
      <c r="K65" s="2"/>
      <c r="L65" s="2"/>
      <c r="N65" s="2"/>
      <c r="AN65" s="1403"/>
    </row>
    <row r="66" spans="1:41" ht="12.75" customHeight="1">
      <c r="A66" s="2"/>
      <c r="B66" s="2"/>
      <c r="C66" s="2"/>
      <c r="D66" s="1062"/>
      <c r="E66" s="2"/>
      <c r="F66" s="2"/>
      <c r="G66" s="2"/>
      <c r="H66" s="2"/>
      <c r="I66" s="2"/>
      <c r="J66" s="2"/>
      <c r="K66" s="2"/>
      <c r="L66" s="2"/>
      <c r="M66" s="69" t="s">
        <v>318</v>
      </c>
      <c r="O66" s="2"/>
      <c r="P66" s="2"/>
      <c r="Q66" s="2"/>
      <c r="AN66" s="1403"/>
    </row>
    <row r="67" spans="1:41" ht="12.75" customHeight="1">
      <c r="A67" s="2"/>
      <c r="B67" s="2"/>
      <c r="C67" s="2"/>
      <c r="D67" s="1062"/>
      <c r="E67" s="2"/>
      <c r="F67" s="2"/>
      <c r="G67" s="2"/>
      <c r="H67" s="2"/>
      <c r="I67" s="2"/>
      <c r="J67" s="2"/>
      <c r="K67" s="2"/>
      <c r="L67" s="2"/>
      <c r="M67" s="2" t="s">
        <v>319</v>
      </c>
      <c r="N67" s="2" t="s">
        <v>320</v>
      </c>
      <c r="O67" s="2" t="s">
        <v>321</v>
      </c>
      <c r="P67" s="98">
        <v>62.5</v>
      </c>
      <c r="Q67" s="98"/>
      <c r="AN67" s="1403"/>
    </row>
    <row r="68" spans="1:41" ht="12.75" customHeight="1">
      <c r="A68" s="2"/>
      <c r="B68" s="2"/>
      <c r="C68" s="2"/>
      <c r="D68" s="1062"/>
      <c r="E68" s="2"/>
      <c r="F68" s="2"/>
      <c r="G68" s="2"/>
      <c r="H68" s="2"/>
      <c r="I68" s="2"/>
      <c r="J68" s="2"/>
      <c r="K68" s="2"/>
      <c r="L68" s="2"/>
      <c r="M68" s="2"/>
      <c r="N68" s="2" t="s">
        <v>322</v>
      </c>
      <c r="O68" s="2" t="s">
        <v>321</v>
      </c>
      <c r="P68" s="98">
        <v>87.5</v>
      </c>
      <c r="Q68" s="98"/>
      <c r="AN68" s="1403"/>
    </row>
    <row r="69" spans="1:41" ht="12.75" customHeight="1">
      <c r="A69" s="2"/>
      <c r="B69" s="2"/>
      <c r="C69" s="2"/>
      <c r="D69" s="1062"/>
      <c r="E69" s="2"/>
      <c r="F69" s="2"/>
      <c r="G69" s="2"/>
      <c r="H69" s="2"/>
      <c r="I69" s="2"/>
      <c r="J69" s="2"/>
      <c r="K69" s="2"/>
      <c r="L69" s="2"/>
      <c r="M69" s="2"/>
      <c r="N69" s="2" t="s">
        <v>323</v>
      </c>
      <c r="O69" s="2" t="s">
        <v>321</v>
      </c>
      <c r="P69" s="98">
        <v>100</v>
      </c>
      <c r="Q69" s="98"/>
      <c r="AN69" s="1403"/>
    </row>
    <row r="70" spans="1:41" ht="12.75" customHeight="1">
      <c r="A70" s="2"/>
      <c r="B70" s="2"/>
      <c r="C70" s="2"/>
      <c r="D70" s="1062"/>
      <c r="E70" s="2"/>
      <c r="F70" s="2"/>
      <c r="G70" s="2"/>
      <c r="H70" s="2"/>
      <c r="I70" s="2"/>
      <c r="J70" s="2"/>
      <c r="K70" s="2"/>
      <c r="L70" s="2"/>
      <c r="M70" s="2"/>
      <c r="N70" s="2" t="s">
        <v>324</v>
      </c>
      <c r="O70" s="2" t="s">
        <v>321</v>
      </c>
      <c r="P70" s="98">
        <v>112.5</v>
      </c>
      <c r="Q70" s="98"/>
      <c r="AN70" s="1403"/>
    </row>
    <row r="71" spans="1:41" ht="12.75" customHeight="1">
      <c r="A71" s="2"/>
      <c r="B71" s="2"/>
      <c r="C71" s="2"/>
      <c r="D71" s="1062"/>
      <c r="E71" s="2"/>
      <c r="F71" s="2"/>
      <c r="G71" s="2"/>
      <c r="H71" s="2"/>
      <c r="I71" s="2"/>
      <c r="J71" s="2"/>
      <c r="K71" s="2"/>
      <c r="L71" s="2"/>
      <c r="M71" s="2"/>
      <c r="N71" s="2" t="s">
        <v>325</v>
      </c>
      <c r="O71" s="2" t="s">
        <v>321</v>
      </c>
      <c r="P71" s="98">
        <v>137.5</v>
      </c>
      <c r="Q71" s="98"/>
      <c r="AN71" s="1403"/>
    </row>
    <row r="72" spans="1:41" ht="12.75" customHeight="1">
      <c r="A72" s="2"/>
      <c r="B72" s="2"/>
      <c r="C72" s="2"/>
      <c r="D72" s="1062"/>
      <c r="E72" s="2"/>
      <c r="F72" s="2"/>
      <c r="G72" s="2"/>
      <c r="H72" s="2"/>
      <c r="I72" s="2"/>
      <c r="J72" s="2"/>
      <c r="K72" s="2"/>
      <c r="L72" s="2"/>
      <c r="M72" s="2"/>
      <c r="N72" s="2" t="s">
        <v>326</v>
      </c>
      <c r="O72" s="2" t="s">
        <v>321</v>
      </c>
      <c r="P72" s="98">
        <v>162.5</v>
      </c>
      <c r="Q72" s="98"/>
      <c r="AN72" s="1403"/>
    </row>
    <row r="73" spans="1:41" ht="12.75" customHeight="1">
      <c r="A73" s="2"/>
      <c r="B73" s="2"/>
      <c r="C73" s="2"/>
      <c r="D73" s="1062"/>
      <c r="E73" s="2"/>
      <c r="F73" s="2"/>
      <c r="G73" s="2"/>
      <c r="H73" s="2"/>
      <c r="I73" s="2"/>
      <c r="J73" s="2"/>
      <c r="K73" s="2"/>
      <c r="L73" s="2"/>
      <c r="N73" s="2"/>
      <c r="R73" s="2"/>
      <c r="S73" s="2"/>
      <c r="T73" s="2"/>
      <c r="U73" s="2"/>
      <c r="V73" s="2"/>
      <c r="W73" s="2"/>
      <c r="X73" s="2"/>
      <c r="Y73" s="2"/>
      <c r="Z73" s="2"/>
      <c r="AA73" s="2"/>
      <c r="AB73" s="2"/>
      <c r="AC73" s="2"/>
      <c r="AD73" s="2"/>
      <c r="AE73" s="2"/>
      <c r="AF73" s="2"/>
      <c r="AG73" s="2"/>
      <c r="AH73" s="2"/>
      <c r="AI73" s="2"/>
      <c r="AJ73" s="2"/>
      <c r="AK73" s="2"/>
      <c r="AL73" s="2"/>
      <c r="AM73" s="2"/>
      <c r="AN73" s="98"/>
      <c r="AO73" s="2"/>
    </row>
    <row r="74" spans="1:41" ht="12.75" customHeight="1">
      <c r="A74" s="2"/>
      <c r="B74" s="2"/>
      <c r="C74" s="2"/>
      <c r="D74" s="1062"/>
      <c r="E74" s="2"/>
      <c r="F74" s="2"/>
      <c r="G74" s="2"/>
      <c r="H74" s="2"/>
      <c r="I74" s="2"/>
      <c r="J74" s="2"/>
      <c r="K74" s="2"/>
      <c r="L74" s="2"/>
      <c r="N74" s="2"/>
      <c r="R74" s="2"/>
      <c r="S74" s="2"/>
      <c r="T74" s="2"/>
      <c r="U74" s="2"/>
      <c r="V74" s="2"/>
      <c r="W74" s="2"/>
      <c r="X74" s="2"/>
      <c r="Y74" s="2"/>
      <c r="Z74" s="2"/>
      <c r="AA74" s="2"/>
      <c r="AB74" s="2"/>
      <c r="AC74" s="2"/>
      <c r="AD74" s="2"/>
      <c r="AE74" s="2"/>
      <c r="AF74" s="2"/>
      <c r="AG74" s="2"/>
      <c r="AH74" s="2"/>
      <c r="AI74" s="2"/>
      <c r="AJ74" s="2"/>
      <c r="AK74" s="2"/>
      <c r="AL74" s="2"/>
      <c r="AM74" s="2"/>
      <c r="AN74" s="98"/>
      <c r="AO74" s="2"/>
    </row>
    <row r="75" spans="1:41" ht="12.75" customHeight="1">
      <c r="A75" s="2"/>
      <c r="B75" s="2"/>
      <c r="C75" s="2"/>
      <c r="D75" s="1062"/>
      <c r="E75" s="2"/>
      <c r="F75" s="2"/>
      <c r="G75" s="2"/>
      <c r="H75" s="2"/>
      <c r="I75" s="2"/>
      <c r="J75" s="2"/>
      <c r="K75" s="2"/>
      <c r="L75" s="2"/>
      <c r="N75" s="2"/>
      <c r="R75" s="1" t="s">
        <v>1140</v>
      </c>
      <c r="S75" s="1"/>
      <c r="T75" s="2"/>
      <c r="U75" s="2"/>
      <c r="V75" s="2"/>
      <c r="W75" s="2"/>
      <c r="X75" s="2"/>
      <c r="Y75" s="2"/>
      <c r="Z75" s="2"/>
      <c r="AA75" s="2"/>
      <c r="AB75" s="2"/>
      <c r="AC75" s="2"/>
      <c r="AD75" s="2"/>
      <c r="AE75" s="2"/>
      <c r="AF75" s="2"/>
      <c r="AG75" s="2"/>
      <c r="AH75" s="2"/>
      <c r="AI75" s="2"/>
      <c r="AJ75" s="2"/>
      <c r="AK75" s="2"/>
      <c r="AL75" s="2"/>
      <c r="AM75" s="2"/>
      <c r="AN75" s="98"/>
      <c r="AO75" s="2"/>
    </row>
    <row r="76" spans="1:41" ht="12.75" customHeight="1">
      <c r="A76" s="2"/>
      <c r="B76" s="2"/>
      <c r="C76" s="2"/>
      <c r="D76" s="1062"/>
      <c r="E76" s="2"/>
      <c r="F76" s="2"/>
      <c r="G76" s="2"/>
      <c r="H76" s="2"/>
      <c r="I76" s="2"/>
      <c r="J76" s="2"/>
      <c r="K76" s="2"/>
      <c r="L76" s="2"/>
      <c r="N76" s="2"/>
      <c r="R76" s="1"/>
      <c r="S76" s="1"/>
      <c r="T76" s="2"/>
      <c r="U76" s="2"/>
      <c r="V76" s="2"/>
      <c r="W76" s="2"/>
      <c r="X76" s="2"/>
      <c r="Y76" s="2"/>
      <c r="Z76" s="2"/>
      <c r="AA76" s="2"/>
      <c r="AB76" s="2"/>
      <c r="AC76" s="2"/>
      <c r="AD76" s="2"/>
      <c r="AE76" s="2"/>
      <c r="AF76" s="2"/>
      <c r="AG76" s="2"/>
      <c r="AH76" s="2"/>
      <c r="AI76" s="2"/>
      <c r="AJ76" s="2"/>
      <c r="AK76" s="2"/>
      <c r="AL76" s="2"/>
      <c r="AM76" s="2"/>
      <c r="AN76" s="98"/>
      <c r="AO76" s="2"/>
    </row>
    <row r="77" spans="1:41" ht="12.75" customHeight="1">
      <c r="A77" s="2"/>
      <c r="B77" s="2"/>
      <c r="C77" s="2"/>
      <c r="D77" s="1062"/>
      <c r="E77" s="2"/>
      <c r="F77" s="2"/>
      <c r="G77" s="2"/>
      <c r="H77" s="2"/>
      <c r="I77" s="2"/>
      <c r="J77" s="2"/>
      <c r="K77" s="2"/>
      <c r="L77" s="2"/>
      <c r="N77" s="2"/>
      <c r="R77" s="2" t="s">
        <v>1144</v>
      </c>
      <c r="S77" s="2"/>
      <c r="T77" s="2"/>
      <c r="U77" s="2"/>
      <c r="V77" s="2"/>
      <c r="W77" s="2"/>
      <c r="X77" s="2"/>
      <c r="Y77" s="2"/>
      <c r="Z77" s="2"/>
      <c r="AA77" s="2"/>
      <c r="AB77" s="2"/>
      <c r="AC77" s="2"/>
      <c r="AD77" s="2"/>
      <c r="AE77" s="2"/>
      <c r="AF77" s="2"/>
      <c r="AG77" s="2"/>
      <c r="AH77" s="2"/>
      <c r="AI77" s="2"/>
      <c r="AJ77" s="2"/>
      <c r="AK77" s="2"/>
      <c r="AL77" s="2"/>
      <c r="AM77" s="2"/>
      <c r="AN77" s="98"/>
      <c r="AO77" s="2"/>
    </row>
    <row r="78" spans="1:41" ht="12.75" customHeight="1">
      <c r="A78" s="2"/>
      <c r="B78" s="2"/>
      <c r="C78" s="2"/>
      <c r="D78" s="1062"/>
      <c r="E78" s="2"/>
      <c r="F78" s="2"/>
      <c r="G78" s="2"/>
      <c r="H78" s="2"/>
      <c r="I78" s="2"/>
      <c r="J78" s="2"/>
      <c r="K78" s="2"/>
      <c r="L78" s="2"/>
      <c r="N78" s="2"/>
      <c r="R78" s="2"/>
      <c r="S78" s="2"/>
      <c r="T78" s="2"/>
      <c r="U78" s="2"/>
      <c r="V78" s="2"/>
      <c r="W78" s="2"/>
      <c r="X78" s="2"/>
      <c r="Y78" s="2"/>
      <c r="Z78" s="2"/>
      <c r="AA78" s="2"/>
      <c r="AB78" s="2"/>
      <c r="AC78" s="2"/>
      <c r="AD78" s="2"/>
      <c r="AE78" s="2"/>
      <c r="AF78" s="2"/>
      <c r="AG78" s="2"/>
      <c r="AH78" s="2"/>
      <c r="AI78" s="2"/>
      <c r="AJ78" s="2"/>
      <c r="AK78" s="2"/>
      <c r="AL78" s="2"/>
      <c r="AM78" s="2"/>
      <c r="AN78" s="98"/>
      <c r="AO78" s="2"/>
    </row>
    <row r="79" spans="1:41" ht="12.75" customHeight="1">
      <c r="A79" s="2"/>
      <c r="B79" s="2"/>
      <c r="C79" s="2"/>
      <c r="D79" s="1062"/>
      <c r="E79" s="2"/>
      <c r="F79" s="2"/>
      <c r="G79" s="2"/>
      <c r="H79" s="2"/>
      <c r="I79" s="2"/>
      <c r="J79" s="2"/>
      <c r="K79" s="2"/>
      <c r="L79" s="2"/>
      <c r="N79" s="2"/>
      <c r="R79" s="2"/>
      <c r="S79" s="2"/>
      <c r="T79" s="1197" t="s">
        <v>55</v>
      </c>
      <c r="U79" s="1197"/>
      <c r="V79" s="1197"/>
      <c r="W79" s="1196"/>
      <c r="X79" s="1196"/>
      <c r="Y79" s="2"/>
      <c r="Z79" s="2"/>
      <c r="AA79" s="2"/>
      <c r="AB79" s="2"/>
      <c r="AC79" s="2"/>
      <c r="AD79" s="2"/>
      <c r="AE79" s="2"/>
      <c r="AF79" s="2"/>
      <c r="AG79" s="2"/>
      <c r="AH79" s="2"/>
      <c r="AI79" s="2"/>
      <c r="AJ79" s="2"/>
      <c r="AK79" s="2"/>
      <c r="AL79" s="2"/>
      <c r="AM79" s="2"/>
      <c r="AN79" s="98"/>
      <c r="AO79" s="2"/>
    </row>
    <row r="80" spans="1:41" ht="12.75" customHeight="1">
      <c r="A80" s="2"/>
      <c r="B80" s="2"/>
      <c r="C80" s="2"/>
      <c r="D80" s="1062"/>
      <c r="E80" s="2"/>
      <c r="F80" s="2"/>
      <c r="G80" s="2"/>
      <c r="H80" s="2"/>
      <c r="I80" s="2"/>
      <c r="J80" s="2"/>
      <c r="K80" s="2"/>
      <c r="L80" s="2"/>
      <c r="N80" s="2"/>
      <c r="R80" s="69"/>
      <c r="S80" s="69"/>
      <c r="T80" s="1289" t="s">
        <v>1142</v>
      </c>
      <c r="U80" s="1289"/>
      <c r="V80" s="1289" t="s">
        <v>1143</v>
      </c>
      <c r="W80" s="1289"/>
      <c r="X80" s="1289" t="s">
        <v>829</v>
      </c>
      <c r="Y80" s="2"/>
      <c r="Z80" s="2"/>
      <c r="AA80" s="2"/>
      <c r="AB80" s="2"/>
      <c r="AC80" s="2"/>
      <c r="AD80" s="2"/>
      <c r="AE80" s="2"/>
      <c r="AF80" s="2"/>
      <c r="AG80" s="2"/>
      <c r="AH80" s="2"/>
      <c r="AI80" s="2"/>
      <c r="AJ80" s="2"/>
      <c r="AK80" s="2"/>
      <c r="AL80" s="2"/>
      <c r="AM80" s="2"/>
      <c r="AN80" s="98"/>
      <c r="AO80" s="2"/>
    </row>
    <row r="81" spans="1:41" ht="12.75" customHeight="1">
      <c r="A81" s="2"/>
      <c r="B81" s="2"/>
      <c r="C81" s="2"/>
      <c r="D81" s="1062"/>
      <c r="E81" s="2"/>
      <c r="F81" s="2"/>
      <c r="G81" s="2"/>
      <c r="H81" s="2"/>
      <c r="I81" s="2"/>
      <c r="J81" s="2"/>
      <c r="K81" s="2"/>
      <c r="L81" s="2"/>
      <c r="N81" s="2"/>
      <c r="R81" s="2" t="s">
        <v>935</v>
      </c>
      <c r="S81" s="2"/>
      <c r="T81" s="1102"/>
      <c r="U81" s="98"/>
      <c r="V81" s="1102"/>
      <c r="W81" s="98"/>
      <c r="X81" s="105"/>
      <c r="Y81" s="2"/>
      <c r="Z81" s="2"/>
      <c r="AA81" s="2"/>
      <c r="AB81" s="2"/>
      <c r="AC81" s="2"/>
      <c r="AD81" s="2"/>
      <c r="AE81" s="2"/>
      <c r="AF81" s="2"/>
      <c r="AG81" s="2"/>
      <c r="AH81" s="2"/>
      <c r="AI81" s="2"/>
      <c r="AJ81" s="2"/>
      <c r="AK81" s="2"/>
      <c r="AL81" s="2"/>
      <c r="AM81" s="2"/>
      <c r="AN81" s="98"/>
      <c r="AO81" s="2"/>
    </row>
    <row r="82" spans="1:41" ht="12.75" customHeight="1">
      <c r="A82" s="2"/>
      <c r="B82" s="2"/>
      <c r="C82" s="2"/>
      <c r="D82" s="1062"/>
      <c r="E82" s="2"/>
      <c r="F82" s="2"/>
      <c r="G82" s="2"/>
      <c r="H82" s="2"/>
      <c r="I82" s="2"/>
      <c r="J82" s="2"/>
      <c r="K82" s="2"/>
      <c r="L82" s="2"/>
      <c r="N82" s="2"/>
      <c r="R82" s="2" t="s">
        <v>1141</v>
      </c>
      <c r="S82" s="2"/>
      <c r="T82" s="1102"/>
      <c r="U82" s="98"/>
      <c r="V82" s="1102"/>
      <c r="W82" s="98"/>
      <c r="X82" s="105"/>
      <c r="Y82" s="2"/>
      <c r="Z82" s="2"/>
      <c r="AA82" s="2"/>
      <c r="AB82" s="2"/>
      <c r="AC82" s="2"/>
      <c r="AD82" s="2"/>
      <c r="AE82" s="2"/>
      <c r="AF82" s="2"/>
      <c r="AG82" s="2"/>
      <c r="AH82" s="2"/>
      <c r="AI82" s="2"/>
      <c r="AJ82" s="2"/>
      <c r="AK82" s="2"/>
      <c r="AL82" s="2"/>
      <c r="AM82" s="2"/>
      <c r="AN82" s="98"/>
      <c r="AO82" s="2"/>
    </row>
    <row r="83" spans="1:41" ht="12.75" customHeight="1">
      <c r="A83" s="2"/>
      <c r="B83" s="2"/>
      <c r="C83" s="2"/>
      <c r="D83" s="1062"/>
      <c r="E83" s="2"/>
      <c r="F83" s="2"/>
      <c r="G83" s="2"/>
      <c r="H83" s="2"/>
      <c r="I83" s="2"/>
      <c r="J83" s="2"/>
      <c r="K83" s="2"/>
      <c r="L83" s="2"/>
      <c r="N83" s="2"/>
      <c r="R83" s="2" t="s">
        <v>200</v>
      </c>
      <c r="S83" s="2"/>
      <c r="T83" s="1401"/>
      <c r="U83" s="1336"/>
      <c r="V83" s="1401"/>
      <c r="W83" s="1336"/>
      <c r="X83" s="105"/>
      <c r="Y83" s="2"/>
      <c r="Z83" s="2"/>
      <c r="AA83" s="2"/>
      <c r="AB83" s="2"/>
      <c r="AC83" s="2"/>
      <c r="AD83" s="2"/>
      <c r="AE83" s="2"/>
      <c r="AF83" s="2"/>
      <c r="AG83" s="2"/>
      <c r="AH83" s="2"/>
      <c r="AI83" s="2"/>
      <c r="AJ83" s="2"/>
      <c r="AK83" s="2"/>
      <c r="AL83" s="2"/>
      <c r="AM83" s="2"/>
      <c r="AN83" s="98"/>
      <c r="AO83" s="2"/>
    </row>
    <row r="84" spans="1:41" ht="12.75" customHeight="1">
      <c r="A84" s="2"/>
      <c r="B84" s="2"/>
      <c r="C84" s="2"/>
      <c r="D84" s="1062"/>
      <c r="E84" s="2"/>
      <c r="F84" s="2"/>
      <c r="G84" s="2"/>
      <c r="H84" s="2"/>
      <c r="I84" s="2"/>
      <c r="J84" s="2"/>
      <c r="K84" s="2"/>
      <c r="L84" s="2"/>
      <c r="N84" s="2"/>
      <c r="R84" s="2"/>
      <c r="S84" s="2"/>
      <c r="T84" s="2"/>
      <c r="U84" s="2"/>
      <c r="V84" s="2"/>
      <c r="W84" s="2"/>
      <c r="X84" s="2"/>
      <c r="Y84" s="2"/>
      <c r="Z84" s="2"/>
      <c r="AA84" s="2"/>
      <c r="AB84" s="2"/>
      <c r="AC84" s="2"/>
      <c r="AD84" s="2"/>
      <c r="AE84" s="2"/>
      <c r="AF84" s="2"/>
      <c r="AG84" s="2"/>
      <c r="AH84" s="2"/>
      <c r="AI84" s="2"/>
      <c r="AJ84" s="2"/>
      <c r="AK84" s="2"/>
      <c r="AL84" s="2"/>
      <c r="AM84" s="2"/>
      <c r="AN84" s="98"/>
      <c r="AO84" s="2"/>
    </row>
    <row r="85" spans="1:41" ht="12.75" customHeight="1">
      <c r="A85" s="2"/>
      <c r="B85" s="2"/>
      <c r="C85" s="2"/>
      <c r="D85" s="1062"/>
      <c r="E85" s="2"/>
      <c r="F85" s="2"/>
      <c r="G85" s="2"/>
      <c r="H85" s="2"/>
      <c r="I85" s="2"/>
      <c r="J85" s="2"/>
      <c r="K85" s="2"/>
      <c r="L85" s="2"/>
      <c r="N85" s="2"/>
      <c r="R85" s="2"/>
      <c r="S85" s="2"/>
      <c r="T85" s="2"/>
      <c r="U85" s="2"/>
      <c r="V85" s="2"/>
      <c r="W85" s="2"/>
      <c r="X85" s="2"/>
      <c r="Y85" s="2"/>
      <c r="Z85" s="1" t="s">
        <v>0</v>
      </c>
      <c r="AA85" s="2"/>
      <c r="AB85" s="2"/>
      <c r="AC85" s="2"/>
      <c r="AD85" s="2"/>
      <c r="AE85" s="105"/>
      <c r="AF85" s="2"/>
      <c r="AG85" s="2"/>
      <c r="AH85" s="2"/>
      <c r="AI85" s="2"/>
      <c r="AJ85" s="2"/>
      <c r="AK85" s="2"/>
      <c r="AL85" s="2"/>
      <c r="AM85" s="2"/>
      <c r="AN85" s="98"/>
      <c r="AO85" s="2"/>
    </row>
    <row r="86" spans="1:41" ht="12.75" customHeight="1">
      <c r="A86" s="2"/>
      <c r="B86" s="2"/>
      <c r="C86" s="2"/>
      <c r="D86" s="1062"/>
      <c r="E86" s="2"/>
      <c r="F86" s="2"/>
      <c r="G86" s="2"/>
      <c r="H86" s="2"/>
      <c r="I86" s="2"/>
      <c r="J86" s="2"/>
      <c r="K86" s="2"/>
      <c r="L86" s="2"/>
      <c r="N86" s="2"/>
      <c r="R86" s="2"/>
      <c r="S86" s="2"/>
      <c r="T86" s="2"/>
      <c r="U86" s="2"/>
      <c r="V86" s="2"/>
      <c r="W86" s="2"/>
      <c r="X86" s="2"/>
      <c r="Y86" s="2"/>
      <c r="Z86" s="2"/>
      <c r="AA86" s="2"/>
      <c r="AB86" s="2"/>
      <c r="AC86" s="2"/>
      <c r="AD86" s="2"/>
      <c r="AE86" s="105"/>
      <c r="AF86" s="2"/>
      <c r="AG86" s="2"/>
      <c r="AH86" s="2"/>
      <c r="AI86" s="2"/>
      <c r="AJ86" s="2"/>
      <c r="AK86" s="2"/>
      <c r="AL86" s="2"/>
      <c r="AM86" s="2"/>
      <c r="AN86" s="98"/>
      <c r="AO86" s="2"/>
    </row>
    <row r="87" spans="1:41" ht="12.75" customHeight="1">
      <c r="A87" s="2"/>
      <c r="B87" s="2"/>
      <c r="C87" s="2"/>
      <c r="D87" s="1062"/>
      <c r="E87" s="2"/>
      <c r="F87" s="2"/>
      <c r="G87" s="2"/>
      <c r="H87" s="2"/>
      <c r="I87" s="2"/>
      <c r="J87" s="2"/>
      <c r="K87" s="2"/>
      <c r="L87" s="2"/>
      <c r="N87" s="2"/>
      <c r="R87" s="2"/>
      <c r="S87" s="2"/>
      <c r="T87" s="2"/>
      <c r="U87" s="2"/>
      <c r="V87" s="2"/>
      <c r="W87" s="2"/>
      <c r="X87" s="2"/>
      <c r="Y87" s="2"/>
      <c r="Z87" s="2"/>
      <c r="AA87" s="1432" t="s">
        <v>1481</v>
      </c>
      <c r="AB87" s="1432"/>
      <c r="AC87" s="1432" t="s">
        <v>406</v>
      </c>
      <c r="AD87" s="1432"/>
      <c r="AE87" s="1432">
        <v>2013</v>
      </c>
      <c r="AF87" s="2"/>
      <c r="AG87" s="2"/>
      <c r="AH87" s="2"/>
      <c r="AI87" s="2"/>
      <c r="AJ87" s="2"/>
      <c r="AK87" s="2"/>
      <c r="AL87" s="2"/>
      <c r="AM87" s="2"/>
      <c r="AN87" s="98"/>
      <c r="AO87" s="2"/>
    </row>
    <row r="88" spans="1:41" ht="12.75" customHeight="1">
      <c r="A88" s="98"/>
      <c r="B88" s="98"/>
      <c r="C88" s="98"/>
      <c r="D88" s="1092"/>
      <c r="E88" s="98"/>
      <c r="F88" s="98"/>
      <c r="G88" s="98"/>
      <c r="H88" s="98"/>
      <c r="I88" s="98"/>
      <c r="J88" s="98"/>
      <c r="K88" s="98"/>
      <c r="L88" s="98"/>
      <c r="M88" s="1403"/>
      <c r="N88" s="98"/>
      <c r="O88" s="1403"/>
      <c r="P88" s="1403"/>
      <c r="Q88" s="1403"/>
      <c r="R88" s="98"/>
      <c r="S88" s="98"/>
      <c r="T88" s="98"/>
      <c r="U88" s="98"/>
      <c r="V88" s="98"/>
      <c r="W88" s="98"/>
      <c r="X88" s="98"/>
      <c r="Y88" s="98"/>
      <c r="Z88" s="98" t="s">
        <v>1719</v>
      </c>
      <c r="AA88" s="1423">
        <v>734.29</v>
      </c>
      <c r="AB88" s="1082"/>
      <c r="AC88" s="1423">
        <v>740.33</v>
      </c>
      <c r="AD88" s="1423"/>
      <c r="AE88" s="1423">
        <v>2948.7</v>
      </c>
      <c r="AF88" s="98"/>
      <c r="AG88" s="98"/>
      <c r="AH88" s="98"/>
      <c r="AI88" s="98"/>
      <c r="AJ88" s="98"/>
      <c r="AK88" s="98"/>
      <c r="AL88" s="98"/>
      <c r="AM88" s="98"/>
      <c r="AN88" s="98"/>
      <c r="AO88" s="98"/>
    </row>
    <row r="89" spans="1:41" ht="12.75" customHeight="1">
      <c r="A89" s="98"/>
      <c r="B89" s="98"/>
      <c r="C89" s="98"/>
      <c r="D89" s="1092"/>
      <c r="E89" s="98"/>
      <c r="F89" s="98"/>
      <c r="G89" s="98"/>
      <c r="H89" s="98"/>
      <c r="I89" s="98"/>
      <c r="J89" s="98"/>
      <c r="K89" s="98"/>
      <c r="L89" s="98"/>
      <c r="M89" s="1403"/>
      <c r="N89" s="98"/>
      <c r="O89" s="1403"/>
      <c r="P89" s="1403"/>
      <c r="Q89" s="1403"/>
      <c r="R89" s="98"/>
      <c r="S89" s="98"/>
      <c r="T89" s="98"/>
      <c r="U89" s="98"/>
      <c r="V89" s="98"/>
      <c r="W89" s="98"/>
      <c r="X89" s="98"/>
      <c r="Y89" s="98"/>
      <c r="Z89" s="98" t="s">
        <v>401</v>
      </c>
      <c r="AA89" s="1423">
        <v>154.72999999999999</v>
      </c>
      <c r="AB89" s="1082"/>
      <c r="AC89" s="1423">
        <v>161.94</v>
      </c>
      <c r="AD89" s="1423"/>
      <c r="AE89" s="1423">
        <v>622.4</v>
      </c>
      <c r="AF89" s="98"/>
      <c r="AG89" s="98"/>
      <c r="AH89" s="98"/>
      <c r="AI89" s="98"/>
      <c r="AJ89" s="98"/>
      <c r="AK89" s="98"/>
      <c r="AL89" s="98"/>
      <c r="AM89" s="98"/>
      <c r="AN89" s="98"/>
      <c r="AO89" s="98"/>
    </row>
    <row r="90" spans="1:41" ht="12.75" customHeight="1">
      <c r="A90" s="2"/>
      <c r="B90" s="2"/>
      <c r="C90" s="2"/>
      <c r="D90" s="1062"/>
      <c r="E90" s="2"/>
      <c r="F90" s="2"/>
      <c r="G90" s="2"/>
      <c r="H90" s="2"/>
      <c r="I90" s="2"/>
      <c r="J90" s="2"/>
      <c r="K90" s="2"/>
      <c r="L90" s="2"/>
      <c r="N90" s="2"/>
      <c r="R90" s="2"/>
      <c r="S90" s="2"/>
      <c r="T90" s="2"/>
      <c r="U90" s="2"/>
      <c r="V90" s="2"/>
      <c r="W90" s="2"/>
      <c r="X90" s="2"/>
      <c r="Y90" s="2"/>
      <c r="Z90" s="2" t="s">
        <v>200</v>
      </c>
      <c r="AA90" s="1068">
        <v>-7.0000000000000007E-2</v>
      </c>
      <c r="AB90" s="1118"/>
      <c r="AC90" s="1068">
        <v>0.01</v>
      </c>
      <c r="AD90" s="1068"/>
      <c r="AE90" s="1068">
        <v>-0.2</v>
      </c>
      <c r="AF90" s="2"/>
      <c r="AG90" s="2"/>
      <c r="AH90" s="2"/>
      <c r="AI90" s="2"/>
      <c r="AJ90" s="2"/>
      <c r="AK90" s="2"/>
      <c r="AL90" s="2"/>
      <c r="AM90" s="2"/>
      <c r="AN90" s="98"/>
      <c r="AO90" s="2"/>
    </row>
    <row r="91" spans="1:41" ht="12.75" customHeight="1">
      <c r="A91" s="2"/>
      <c r="B91" s="2"/>
      <c r="C91" s="2"/>
      <c r="D91" s="1062"/>
      <c r="E91" s="2"/>
      <c r="F91" s="2"/>
      <c r="G91" s="2"/>
      <c r="H91" s="2"/>
      <c r="I91" s="2"/>
      <c r="J91" s="2"/>
      <c r="K91" s="2"/>
      <c r="L91" s="2"/>
      <c r="N91" s="2"/>
      <c r="R91" s="2"/>
      <c r="S91" s="2"/>
      <c r="T91" s="2"/>
      <c r="U91" s="2"/>
      <c r="V91" s="2"/>
      <c r="W91" s="2"/>
      <c r="X91" s="2"/>
      <c r="Y91" s="2"/>
      <c r="Z91" s="2"/>
      <c r="AA91" s="2"/>
      <c r="AB91" s="2"/>
      <c r="AC91" s="105">
        <f>+(159+166)/2/AC89-1</f>
        <v>3.4580708904532464E-3</v>
      </c>
      <c r="AD91" s="2"/>
      <c r="AE91" s="2"/>
      <c r="AF91" s="2"/>
      <c r="AG91" s="2"/>
      <c r="AH91" s="2"/>
      <c r="AI91" s="2"/>
      <c r="AJ91" s="2"/>
      <c r="AK91" s="2"/>
      <c r="AL91" s="2"/>
      <c r="AM91" s="2"/>
      <c r="AN91" s="98"/>
      <c r="AO91" s="2"/>
    </row>
    <row r="92" spans="1:41" ht="12.75" customHeight="1">
      <c r="A92" s="2"/>
      <c r="B92" s="2"/>
      <c r="C92" s="2"/>
      <c r="D92" s="1062"/>
      <c r="E92" s="2"/>
      <c r="F92" s="2"/>
      <c r="G92" s="2"/>
      <c r="H92" s="2"/>
      <c r="I92" s="2"/>
      <c r="J92" s="2"/>
      <c r="K92" s="2"/>
      <c r="L92" s="2"/>
      <c r="N92" s="2"/>
      <c r="R92" s="2"/>
      <c r="S92" s="2"/>
      <c r="T92" s="2"/>
      <c r="U92" s="2"/>
      <c r="V92" s="2"/>
      <c r="W92" s="2"/>
      <c r="X92" s="2"/>
      <c r="Y92" s="2"/>
      <c r="Z92" s="2"/>
      <c r="AA92" s="2"/>
      <c r="AB92" s="2"/>
      <c r="AC92" s="2"/>
      <c r="AD92" s="2"/>
      <c r="AE92" s="2"/>
      <c r="AF92" s="2"/>
      <c r="AG92" s="69" t="s">
        <v>404</v>
      </c>
      <c r="AN92" s="98"/>
      <c r="AO92" s="2"/>
    </row>
    <row r="93" spans="1:41" ht="12.75" customHeight="1">
      <c r="A93" s="2"/>
      <c r="B93" s="2"/>
      <c r="C93" s="2"/>
      <c r="D93" s="1062"/>
      <c r="E93" s="2"/>
      <c r="F93" s="2"/>
      <c r="G93" s="2"/>
      <c r="H93" s="2"/>
      <c r="I93" s="2"/>
      <c r="J93" s="2"/>
      <c r="K93" s="2"/>
      <c r="L93" s="2"/>
      <c r="N93" s="2"/>
      <c r="R93" s="2"/>
      <c r="S93" s="2"/>
      <c r="T93" s="2"/>
      <c r="U93" s="2"/>
      <c r="V93" s="2"/>
      <c r="W93" s="2"/>
      <c r="X93" s="2"/>
      <c r="Y93" s="2"/>
      <c r="Z93" s="2"/>
      <c r="AA93" s="2"/>
      <c r="AB93" s="2"/>
      <c r="AC93" s="2"/>
      <c r="AD93" s="2"/>
      <c r="AE93" s="2"/>
      <c r="AF93" s="2"/>
      <c r="AG93" s="69"/>
      <c r="AN93" s="98"/>
      <c r="AO93" s="2"/>
    </row>
    <row r="94" spans="1:41" ht="12.75" customHeight="1">
      <c r="A94" s="2"/>
      <c r="B94" s="2"/>
      <c r="C94" s="2"/>
      <c r="D94" s="1062"/>
      <c r="E94" s="2"/>
      <c r="F94" s="2"/>
      <c r="G94" s="2"/>
      <c r="H94" s="2"/>
      <c r="I94" s="2"/>
      <c r="J94" s="2"/>
      <c r="K94" s="2"/>
      <c r="L94" s="2"/>
      <c r="N94" s="2"/>
      <c r="R94" s="2"/>
      <c r="S94" s="2"/>
      <c r="T94" s="2"/>
      <c r="U94" s="2"/>
      <c r="V94" s="2"/>
      <c r="W94" s="2"/>
      <c r="X94" s="2"/>
      <c r="Y94" s="2"/>
      <c r="Z94" s="2"/>
      <c r="AA94" s="2"/>
      <c r="AB94" s="2"/>
      <c r="AC94" s="2"/>
      <c r="AD94" s="2"/>
      <c r="AE94" s="2"/>
      <c r="AF94" s="2"/>
      <c r="AG94" s="1447"/>
      <c r="AH94" s="1449"/>
      <c r="AI94" s="1447"/>
      <c r="AJ94" s="1447"/>
      <c r="AK94" s="1447"/>
      <c r="AL94" s="1447"/>
      <c r="AM94" s="1447"/>
      <c r="AN94" s="98"/>
      <c r="AO94" s="2"/>
    </row>
    <row r="95" spans="1:41" ht="12.75" customHeight="1">
      <c r="A95" s="2"/>
      <c r="B95" s="2"/>
      <c r="C95" s="2"/>
      <c r="D95" s="1062"/>
      <c r="E95" s="2"/>
      <c r="F95" s="2"/>
      <c r="G95" s="2"/>
      <c r="H95" s="2"/>
      <c r="I95" s="2"/>
      <c r="J95" s="2"/>
      <c r="K95" s="2"/>
      <c r="L95" s="2"/>
      <c r="N95" s="2"/>
      <c r="R95" s="2"/>
      <c r="S95" s="2"/>
      <c r="T95" s="2"/>
      <c r="U95" s="2"/>
      <c r="V95" s="2"/>
      <c r="W95" s="2"/>
      <c r="X95" s="2"/>
      <c r="Y95" s="2"/>
      <c r="Z95" s="2"/>
      <c r="AA95" s="2"/>
      <c r="AB95" s="2"/>
      <c r="AC95" s="2"/>
      <c r="AD95" s="2"/>
      <c r="AE95" s="2"/>
      <c r="AF95" s="2"/>
      <c r="AG95" s="111" t="s">
        <v>1610</v>
      </c>
      <c r="AH95" s="1289" t="s">
        <v>552</v>
      </c>
      <c r="AI95" s="1448"/>
      <c r="AJ95" s="1289" t="s">
        <v>405</v>
      </c>
      <c r="AK95" s="1448"/>
      <c r="AL95" s="1289" t="s">
        <v>1489</v>
      </c>
      <c r="AM95" s="1629"/>
      <c r="AN95" s="98"/>
      <c r="AO95" s="2"/>
    </row>
    <row r="96" spans="1:41" ht="3" customHeight="1">
      <c r="A96" s="2"/>
      <c r="B96" s="2"/>
      <c r="C96" s="2"/>
      <c r="D96" s="1062"/>
      <c r="E96" s="2"/>
      <c r="F96" s="2"/>
      <c r="G96" s="2"/>
      <c r="H96" s="2"/>
      <c r="I96" s="2"/>
      <c r="J96" s="2"/>
      <c r="K96" s="2"/>
      <c r="L96" s="2"/>
      <c r="N96" s="2"/>
      <c r="R96" s="2"/>
      <c r="S96" s="2"/>
      <c r="T96" s="2"/>
      <c r="U96" s="2"/>
      <c r="V96" s="2"/>
      <c r="W96" s="2"/>
      <c r="X96" s="2"/>
      <c r="Y96" s="2"/>
      <c r="Z96" s="2"/>
      <c r="AA96" s="2"/>
      <c r="AB96" s="2"/>
      <c r="AC96" s="2"/>
      <c r="AD96" s="2"/>
      <c r="AE96" s="2"/>
      <c r="AF96" s="2"/>
      <c r="AG96" s="69"/>
      <c r="AH96" s="1449"/>
      <c r="AI96" s="1449"/>
      <c r="AJ96" s="1449"/>
      <c r="AK96" s="1449"/>
      <c r="AL96" s="1449"/>
      <c r="AM96" s="1449"/>
      <c r="AN96" s="98"/>
      <c r="AO96" s="2"/>
    </row>
    <row r="97" spans="1:41" ht="12.75" customHeight="1">
      <c r="A97" s="1205"/>
      <c r="B97" s="1205"/>
      <c r="C97" s="1205"/>
      <c r="D97" s="2220"/>
      <c r="E97" s="1205"/>
      <c r="F97" s="1205"/>
      <c r="G97" s="1205"/>
      <c r="H97" s="1205"/>
      <c r="I97" s="1205"/>
      <c r="J97" s="1205"/>
      <c r="K97" s="1205"/>
      <c r="L97" s="1205"/>
      <c r="M97" s="2266"/>
      <c r="N97" s="1205"/>
      <c r="O97" s="2266"/>
      <c r="P97" s="2266"/>
      <c r="Q97" s="2266"/>
      <c r="R97" s="1205"/>
      <c r="S97" s="1205"/>
      <c r="T97" s="1205"/>
      <c r="U97" s="1205"/>
      <c r="V97" s="1205"/>
      <c r="W97" s="1205"/>
      <c r="X97" s="1205"/>
      <c r="Y97" s="1205"/>
      <c r="Z97" s="1205"/>
      <c r="AA97" s="1205"/>
      <c r="AB97" s="1205"/>
      <c r="AC97" s="1205"/>
      <c r="AD97" s="1205"/>
      <c r="AE97" s="1205"/>
      <c r="AF97" s="1205"/>
      <c r="AG97" s="2267" t="s">
        <v>407</v>
      </c>
      <c r="AH97" s="2276" t="s">
        <v>3</v>
      </c>
      <c r="AI97" s="1205"/>
      <c r="AJ97" s="2272">
        <v>136.4299504717066</v>
      </c>
      <c r="AK97" s="1205"/>
      <c r="AL97" s="2272">
        <v>135.13</v>
      </c>
      <c r="AM97" s="1205"/>
      <c r="AN97" s="98"/>
      <c r="AO97" s="1205"/>
    </row>
    <row r="98" spans="1:41" ht="12.75" customHeight="1">
      <c r="A98" s="1205"/>
      <c r="B98" s="1205"/>
      <c r="C98" s="1205"/>
      <c r="D98" s="2220"/>
      <c r="E98" s="1205"/>
      <c r="F98" s="1205"/>
      <c r="G98" s="1205"/>
      <c r="H98" s="1205"/>
      <c r="I98" s="1205"/>
      <c r="J98" s="1205"/>
      <c r="K98" s="1205"/>
      <c r="L98" s="1205"/>
      <c r="M98" s="2266"/>
      <c r="N98" s="1205"/>
      <c r="O98" s="2266"/>
      <c r="P98" s="2266"/>
      <c r="Q98" s="2266"/>
      <c r="R98" s="1205"/>
      <c r="S98" s="1205"/>
      <c r="T98" s="1205"/>
      <c r="U98" s="1205"/>
      <c r="V98" s="1205"/>
      <c r="W98" s="1205"/>
      <c r="X98" s="1205"/>
      <c r="Y98" s="1205"/>
      <c r="Z98" s="1205"/>
      <c r="AA98" s="1205"/>
      <c r="AB98" s="1205"/>
      <c r="AC98" s="1205"/>
      <c r="AD98" s="1205"/>
      <c r="AE98" s="1205"/>
      <c r="AF98" s="1205"/>
      <c r="AG98" s="2267" t="s">
        <v>1614</v>
      </c>
      <c r="AH98" s="2268" t="s">
        <v>4</v>
      </c>
      <c r="AI98" s="2269"/>
      <c r="AJ98" s="2272">
        <v>27.434310875705592</v>
      </c>
      <c r="AK98" s="2269"/>
      <c r="AL98" s="2272">
        <v>28.21</v>
      </c>
      <c r="AM98" s="2271"/>
      <c r="AN98" s="98"/>
      <c r="AO98" s="1205"/>
    </row>
    <row r="99" spans="1:41" ht="6" customHeight="1">
      <c r="A99" s="2"/>
      <c r="B99" s="2"/>
      <c r="C99" s="2"/>
      <c r="D99" s="1062"/>
      <c r="E99" s="2"/>
      <c r="F99" s="2"/>
      <c r="G99" s="2"/>
      <c r="H99" s="2"/>
      <c r="I99" s="2"/>
      <c r="J99" s="2"/>
      <c r="K99" s="2"/>
      <c r="L99" s="2"/>
      <c r="N99" s="2"/>
      <c r="R99" s="2"/>
      <c r="S99" s="2"/>
      <c r="T99" s="2"/>
      <c r="U99" s="2"/>
      <c r="V99" s="2"/>
      <c r="W99" s="2"/>
      <c r="X99" s="2"/>
      <c r="Y99" s="2"/>
      <c r="Z99" s="2"/>
      <c r="AA99" s="2"/>
      <c r="AB99" s="2"/>
      <c r="AC99" s="2"/>
      <c r="AD99" s="2"/>
      <c r="AE99" s="2"/>
      <c r="AF99" s="2"/>
      <c r="AG99" s="1447"/>
      <c r="AH99" s="1614"/>
      <c r="AI99" s="1449"/>
      <c r="AJ99" s="1450"/>
      <c r="AK99" s="1449"/>
      <c r="AL99" s="1450"/>
      <c r="AM99" s="1450"/>
      <c r="AN99" s="98"/>
      <c r="AO99" s="2"/>
    </row>
    <row r="100" spans="1:41" ht="12.75" customHeight="1">
      <c r="A100" s="1205"/>
      <c r="B100" s="1205"/>
      <c r="C100" s="1205"/>
      <c r="D100" s="2220"/>
      <c r="E100" s="1205"/>
      <c r="F100" s="1205"/>
      <c r="G100" s="1205"/>
      <c r="H100" s="1205"/>
      <c r="I100" s="1205"/>
      <c r="J100" s="1205"/>
      <c r="K100" s="1205"/>
      <c r="L100" s="1205"/>
      <c r="M100" s="2273"/>
      <c r="N100" s="1205"/>
      <c r="O100" s="2273"/>
      <c r="P100" s="2273"/>
      <c r="Q100" s="2273"/>
      <c r="R100" s="1205"/>
      <c r="S100" s="1205"/>
      <c r="T100" s="1205"/>
      <c r="U100" s="1205"/>
      <c r="V100" s="1205"/>
      <c r="W100" s="1205"/>
      <c r="X100" s="1205"/>
      <c r="Y100" s="1205"/>
      <c r="Z100" s="1205"/>
      <c r="AA100" s="1205"/>
      <c r="AB100" s="1205"/>
      <c r="AC100" s="1205"/>
      <c r="AD100" s="1205"/>
      <c r="AE100" s="1205"/>
      <c r="AF100" s="1205"/>
      <c r="AG100" s="2267" t="s">
        <v>498</v>
      </c>
      <c r="AH100" s="2268" t="s">
        <v>1</v>
      </c>
      <c r="AI100" s="2269"/>
      <c r="AJ100" s="2270">
        <f>+SUM(AJ97:AJ99)</f>
        <v>163.8642613474122</v>
      </c>
      <c r="AK100" s="2269"/>
      <c r="AL100" s="2270">
        <f>+AL98+AL97</f>
        <v>163.34</v>
      </c>
      <c r="AM100" s="2271"/>
      <c r="AN100" s="98"/>
      <c r="AO100" s="1205"/>
    </row>
    <row r="101" spans="1:41" ht="6" customHeight="1">
      <c r="A101" s="2"/>
      <c r="B101" s="2"/>
      <c r="C101" s="2"/>
      <c r="D101" s="1062"/>
      <c r="E101" s="2"/>
      <c r="F101" s="2"/>
      <c r="G101" s="2"/>
      <c r="H101" s="2"/>
      <c r="I101" s="2"/>
      <c r="J101" s="2"/>
      <c r="K101" s="2"/>
      <c r="L101" s="2"/>
      <c r="N101" s="2"/>
      <c r="R101" s="2"/>
      <c r="S101" s="2"/>
      <c r="T101" s="2"/>
      <c r="U101" s="2"/>
      <c r="V101" s="2"/>
      <c r="W101" s="2"/>
      <c r="X101" s="2"/>
      <c r="Y101" s="2"/>
      <c r="Z101" s="2"/>
      <c r="AA101" s="2"/>
      <c r="AB101" s="2"/>
      <c r="AC101" s="2"/>
      <c r="AD101" s="2"/>
      <c r="AE101" s="2"/>
      <c r="AF101" s="2"/>
      <c r="AG101" s="1447"/>
      <c r="AH101" s="1614"/>
      <c r="AI101" s="1449"/>
      <c r="AJ101" s="1450"/>
      <c r="AK101" s="1449"/>
      <c r="AL101" s="1450"/>
      <c r="AM101" s="1450"/>
      <c r="AN101" s="98"/>
      <c r="AO101" s="2"/>
    </row>
    <row r="102" spans="1:41" ht="12.75" customHeight="1">
      <c r="A102" s="2"/>
      <c r="B102" s="2"/>
      <c r="C102" s="2"/>
      <c r="D102" s="1062"/>
      <c r="E102" s="2"/>
      <c r="F102" s="2"/>
      <c r="G102" s="2"/>
      <c r="H102" s="2"/>
      <c r="I102" s="2"/>
      <c r="J102" s="2"/>
      <c r="K102" s="2"/>
      <c r="L102" s="2"/>
      <c r="N102" s="2"/>
      <c r="R102" s="2"/>
      <c r="S102" s="2"/>
      <c r="T102" s="2"/>
      <c r="U102" s="2"/>
      <c r="V102" s="2"/>
      <c r="W102" s="2"/>
      <c r="X102" s="2"/>
      <c r="Y102" s="2"/>
      <c r="Z102" s="2"/>
      <c r="AA102" s="2"/>
      <c r="AB102" s="2"/>
      <c r="AC102" s="2"/>
      <c r="AD102" s="2"/>
      <c r="AE102" s="2"/>
      <c r="AF102" s="2"/>
      <c r="AG102" s="1447" t="s">
        <v>1615</v>
      </c>
      <c r="AH102" s="1614" t="s">
        <v>5</v>
      </c>
      <c r="AI102" s="1449"/>
      <c r="AJ102" s="2265">
        <v>1.8435496286119003E-2</v>
      </c>
      <c r="AK102" s="1449"/>
      <c r="AL102" s="2265">
        <v>0.01</v>
      </c>
      <c r="AM102" s="1466"/>
      <c r="AN102" s="98"/>
      <c r="AO102" s="2"/>
    </row>
    <row r="103" spans="1:41" ht="6" customHeight="1">
      <c r="A103" s="2"/>
      <c r="B103" s="2"/>
      <c r="C103" s="2"/>
      <c r="D103" s="1062"/>
      <c r="E103" s="2"/>
      <c r="F103" s="2"/>
      <c r="G103" s="2"/>
      <c r="H103" s="2"/>
      <c r="I103" s="2"/>
      <c r="J103" s="2"/>
      <c r="K103" s="2"/>
      <c r="L103" s="2"/>
      <c r="N103" s="2"/>
      <c r="R103" s="2"/>
      <c r="S103" s="2"/>
      <c r="T103" s="2"/>
      <c r="U103" s="2"/>
      <c r="V103" s="2"/>
      <c r="W103" s="2"/>
      <c r="X103" s="2"/>
      <c r="Y103" s="2"/>
      <c r="Z103" s="2"/>
      <c r="AA103" s="2"/>
      <c r="AB103" s="2"/>
      <c r="AC103" s="2"/>
      <c r="AD103" s="2"/>
      <c r="AE103" s="2"/>
      <c r="AF103" s="2"/>
      <c r="AG103" s="1447"/>
      <c r="AH103" s="1450"/>
      <c r="AI103" s="1449"/>
      <c r="AJ103" s="1449"/>
      <c r="AK103" s="1449"/>
      <c r="AL103" s="1449"/>
      <c r="AM103" s="1449"/>
      <c r="AN103" s="98"/>
      <c r="AO103" s="2"/>
    </row>
    <row r="104" spans="1:41" ht="12.75" customHeight="1">
      <c r="A104" s="2"/>
      <c r="B104" s="2"/>
      <c r="C104" s="2"/>
      <c r="D104" s="1062"/>
      <c r="E104" s="2"/>
      <c r="F104" s="2"/>
      <c r="G104" s="2"/>
      <c r="H104" s="2"/>
      <c r="I104" s="2"/>
      <c r="J104" s="2"/>
      <c r="K104" s="2"/>
      <c r="L104" s="2"/>
      <c r="N104" s="2"/>
      <c r="R104" s="2"/>
      <c r="S104" s="2"/>
      <c r="T104" s="2"/>
      <c r="U104" s="2"/>
      <c r="V104" s="2"/>
      <c r="W104" s="2"/>
      <c r="X104" s="2"/>
      <c r="Y104" s="2"/>
      <c r="Z104" s="2"/>
      <c r="AA104" s="2"/>
      <c r="AB104" s="2"/>
      <c r="AC104" s="2"/>
      <c r="AD104" s="2"/>
      <c r="AE104" s="2"/>
      <c r="AF104" s="2"/>
      <c r="AG104" s="2" t="s">
        <v>408</v>
      </c>
      <c r="AH104" s="2"/>
      <c r="AI104" s="2"/>
      <c r="AK104" s="2"/>
      <c r="AL104" s="2"/>
      <c r="AM104" s="2"/>
      <c r="AN104" s="98"/>
      <c r="AO104" s="2"/>
    </row>
    <row r="105" spans="1:41" ht="12.75" customHeight="1">
      <c r="A105" s="2"/>
      <c r="B105" s="2"/>
      <c r="C105" s="2"/>
      <c r="D105" s="1062"/>
      <c r="E105" s="2"/>
      <c r="F105" s="2"/>
      <c r="G105" s="2"/>
      <c r="H105" s="2"/>
      <c r="I105" s="2"/>
      <c r="J105" s="2"/>
      <c r="K105" s="2"/>
      <c r="L105" s="2"/>
      <c r="N105" s="2"/>
      <c r="R105" s="2"/>
      <c r="S105" s="2"/>
      <c r="T105" s="2"/>
      <c r="U105" s="2"/>
      <c r="V105" s="2"/>
      <c r="W105" s="2"/>
      <c r="X105" s="2"/>
      <c r="Y105" s="2"/>
      <c r="Z105" s="2"/>
      <c r="AA105" s="2"/>
      <c r="AB105" s="2"/>
      <c r="AC105" s="2"/>
      <c r="AD105" s="2"/>
      <c r="AE105" s="2"/>
      <c r="AF105" s="2"/>
      <c r="AG105" s="2"/>
      <c r="AH105" s="2"/>
      <c r="AI105" s="2"/>
      <c r="AJ105" s="2"/>
      <c r="AK105" s="2"/>
      <c r="AL105" s="2"/>
      <c r="AM105" s="1" t="s">
        <v>6</v>
      </c>
      <c r="AN105" s="98"/>
      <c r="AO105" s="2"/>
    </row>
    <row r="106" spans="1:41" ht="12.75" customHeight="1">
      <c r="A106" s="2"/>
      <c r="B106" s="2"/>
      <c r="C106" s="2"/>
      <c r="D106" s="1062"/>
      <c r="E106" s="2"/>
      <c r="F106" s="2"/>
      <c r="G106" s="2"/>
      <c r="H106" s="2"/>
      <c r="I106" s="2"/>
      <c r="J106" s="2"/>
      <c r="K106" s="2"/>
      <c r="L106" s="2"/>
      <c r="N106" s="2"/>
      <c r="R106" s="2"/>
      <c r="S106" s="2"/>
      <c r="T106" s="2"/>
      <c r="U106" s="2"/>
      <c r="V106" s="2"/>
      <c r="W106" s="2"/>
      <c r="X106" s="2"/>
      <c r="Y106" s="2"/>
      <c r="Z106" s="2"/>
      <c r="AA106" s="2"/>
      <c r="AB106" s="2"/>
      <c r="AC106" s="2"/>
      <c r="AD106" s="2"/>
      <c r="AE106" s="2"/>
      <c r="AF106" s="2"/>
      <c r="AG106" s="2"/>
      <c r="AH106" s="2"/>
      <c r="AI106" s="2"/>
      <c r="AJ106" s="2"/>
      <c r="AK106" s="2"/>
      <c r="AL106" s="2"/>
      <c r="AM106" s="1" t="s">
        <v>7</v>
      </c>
      <c r="AN106" s="98"/>
      <c r="AO106" s="101" t="s">
        <v>405</v>
      </c>
    </row>
    <row r="107" spans="1:41" ht="12.75" customHeight="1">
      <c r="A107" s="2"/>
      <c r="B107" s="2"/>
      <c r="C107" s="2"/>
      <c r="D107" s="1062"/>
      <c r="E107" s="2"/>
      <c r="F107" s="2"/>
      <c r="G107" s="2"/>
      <c r="H107" s="2"/>
      <c r="I107" s="2"/>
      <c r="J107" s="2"/>
      <c r="K107" s="2"/>
      <c r="L107" s="2"/>
      <c r="N107" s="2"/>
      <c r="R107" s="2"/>
      <c r="S107" s="2"/>
      <c r="T107" s="2"/>
      <c r="U107" s="2"/>
      <c r="V107" s="2"/>
      <c r="W107" s="2"/>
      <c r="X107" s="2"/>
      <c r="Y107" s="2"/>
      <c r="Z107" s="2"/>
      <c r="AA107" s="2"/>
      <c r="AB107" s="2"/>
      <c r="AC107" s="2"/>
      <c r="AD107" s="2"/>
      <c r="AE107" s="2"/>
      <c r="AF107" s="2"/>
      <c r="AG107" s="2"/>
      <c r="AH107" s="2"/>
      <c r="AI107" s="2"/>
      <c r="AJ107" s="2"/>
      <c r="AK107" s="2"/>
      <c r="AL107" s="2"/>
      <c r="AM107" s="2" t="s">
        <v>514</v>
      </c>
      <c r="AN107" s="1349">
        <v>149.72999999999999</v>
      </c>
      <c r="AO107" s="2">
        <f>+BYD!AX10</f>
        <v>149.69</v>
      </c>
    </row>
    <row r="108" spans="1:41" ht="12.75" customHeight="1">
      <c r="A108" s="2"/>
      <c r="B108" s="2"/>
      <c r="C108" s="2"/>
      <c r="D108" s="1062"/>
      <c r="E108" s="2"/>
      <c r="F108" s="2"/>
      <c r="G108" s="2"/>
      <c r="H108" s="2"/>
      <c r="I108" s="2"/>
      <c r="J108" s="2"/>
      <c r="K108" s="2"/>
      <c r="L108" s="2"/>
      <c r="N108" s="2"/>
      <c r="R108" s="2"/>
      <c r="S108" s="2"/>
      <c r="T108" s="2"/>
      <c r="U108" s="2"/>
      <c r="V108" s="2"/>
      <c r="W108" s="2"/>
      <c r="X108" s="2"/>
      <c r="Y108" s="2"/>
      <c r="Z108" s="2"/>
      <c r="AA108" s="2"/>
      <c r="AB108" s="2"/>
      <c r="AC108" s="2"/>
      <c r="AD108" s="2"/>
      <c r="AE108" s="2"/>
      <c r="AF108" s="2"/>
      <c r="AG108" s="2"/>
      <c r="AH108" s="2"/>
      <c r="AI108" s="2"/>
      <c r="AJ108" s="2"/>
      <c r="AK108" s="2"/>
      <c r="AL108" s="2"/>
      <c r="AM108" s="2" t="s">
        <v>515</v>
      </c>
      <c r="AN108" s="1102">
        <v>56.23</v>
      </c>
      <c r="AO108" s="2">
        <f>+BYD!AX11</f>
        <v>56.128</v>
      </c>
    </row>
    <row r="109" spans="1:41" ht="12.75" customHeight="1">
      <c r="A109" s="2"/>
      <c r="B109" s="2"/>
      <c r="C109" s="2"/>
      <c r="D109" s="1062"/>
      <c r="E109" s="2"/>
      <c r="F109" s="2"/>
      <c r="G109" s="2"/>
      <c r="H109" s="2"/>
      <c r="I109" s="2"/>
      <c r="J109" s="2"/>
      <c r="K109" s="2"/>
      <c r="L109" s="2"/>
      <c r="N109" s="2"/>
      <c r="R109" s="2"/>
      <c r="S109" s="2"/>
      <c r="T109" s="2"/>
      <c r="U109" s="2"/>
      <c r="V109" s="2"/>
      <c r="W109" s="2"/>
      <c r="X109" s="2"/>
      <c r="Y109" s="2"/>
      <c r="Z109" s="2"/>
      <c r="AA109" s="2"/>
      <c r="AB109" s="2"/>
      <c r="AC109" s="2"/>
      <c r="AD109" s="2"/>
      <c r="AE109" s="2"/>
      <c r="AF109" s="2"/>
      <c r="AG109" s="2"/>
      <c r="AH109" s="2"/>
      <c r="AI109" s="2"/>
      <c r="AJ109" s="2"/>
      <c r="AK109" s="2"/>
      <c r="AL109" s="2"/>
      <c r="AM109" s="2" t="s">
        <v>516</v>
      </c>
      <c r="AN109" s="1102">
        <v>234.18</v>
      </c>
      <c r="AO109" s="2">
        <f>+BYD!AX13</f>
        <v>224.273</v>
      </c>
    </row>
    <row r="110" spans="1:41" ht="12.75" customHeight="1">
      <c r="A110" s="2"/>
      <c r="B110" s="2"/>
      <c r="C110" s="2"/>
      <c r="D110" s="1062"/>
      <c r="E110" s="2"/>
      <c r="F110" s="2"/>
      <c r="G110" s="2"/>
      <c r="H110" s="2"/>
      <c r="I110" s="2"/>
      <c r="J110" s="2"/>
      <c r="K110" s="2"/>
      <c r="L110" s="2"/>
      <c r="N110" s="2"/>
      <c r="R110" s="2"/>
      <c r="S110" s="2"/>
      <c r="T110" s="2"/>
      <c r="U110" s="2"/>
      <c r="V110" s="2"/>
      <c r="W110" s="2"/>
      <c r="X110" s="2"/>
      <c r="Y110" s="2"/>
      <c r="Z110" s="2"/>
      <c r="AA110" s="2"/>
      <c r="AB110" s="2"/>
      <c r="AC110" s="2"/>
      <c r="AD110" s="2"/>
      <c r="AE110" s="2"/>
      <c r="AF110" s="2"/>
      <c r="AG110" s="2"/>
      <c r="AH110" s="2"/>
      <c r="AI110" s="2"/>
      <c r="AJ110" s="2"/>
      <c r="AK110" s="2"/>
      <c r="AL110" s="2"/>
      <c r="AM110" s="2" t="s">
        <v>517</v>
      </c>
      <c r="AN110" s="1102">
        <v>137.13</v>
      </c>
      <c r="AO110" s="2">
        <f>+BYD!AX14</f>
        <v>135.78</v>
      </c>
    </row>
    <row r="111" spans="1:41" ht="12.75" customHeight="1">
      <c r="A111" s="2"/>
      <c r="B111" s="2"/>
      <c r="C111" s="2"/>
      <c r="D111" s="1062"/>
      <c r="E111" s="2"/>
      <c r="F111" s="2"/>
      <c r="G111" s="2"/>
      <c r="H111" s="2"/>
      <c r="I111" s="2"/>
      <c r="J111" s="2"/>
      <c r="K111" s="2"/>
      <c r="L111" s="2"/>
      <c r="N111" s="2"/>
      <c r="R111" s="2"/>
      <c r="S111" s="2"/>
      <c r="T111" s="2"/>
      <c r="U111" s="2"/>
      <c r="V111" s="2"/>
      <c r="W111" s="2"/>
      <c r="X111" s="2"/>
      <c r="Y111" s="2"/>
      <c r="Z111" s="2"/>
      <c r="AA111" s="2"/>
      <c r="AB111" s="2"/>
      <c r="AC111" s="2"/>
      <c r="AD111" s="2"/>
      <c r="AE111" s="2"/>
      <c r="AF111" s="2"/>
      <c r="AG111" s="2"/>
      <c r="AH111" s="2"/>
      <c r="AI111" s="2"/>
      <c r="AJ111" s="2"/>
      <c r="AK111" s="2"/>
      <c r="AL111" s="2"/>
      <c r="AM111" s="2" t="s">
        <v>273</v>
      </c>
      <c r="AN111" s="1102">
        <v>164.03</v>
      </c>
      <c r="AO111" s="2">
        <f>+BYD!AX17</f>
        <v>0</v>
      </c>
    </row>
    <row r="112" spans="1:41" ht="12.75" customHeight="1">
      <c r="A112" s="2"/>
      <c r="B112" s="2"/>
      <c r="C112" s="2"/>
      <c r="D112" s="1062"/>
      <c r="E112" s="2"/>
      <c r="F112" s="2"/>
      <c r="G112" s="2"/>
      <c r="H112" s="2"/>
      <c r="I112" s="2"/>
      <c r="J112" s="2"/>
      <c r="K112" s="2"/>
      <c r="L112" s="2"/>
      <c r="N112" s="2"/>
      <c r="R112" s="2"/>
      <c r="S112" s="2"/>
      <c r="T112" s="2"/>
      <c r="U112" s="2"/>
      <c r="V112" s="2"/>
      <c r="W112" s="2"/>
      <c r="X112" s="2"/>
      <c r="Y112" s="2"/>
      <c r="Z112" s="2"/>
      <c r="AA112" s="2"/>
      <c r="AB112" s="2"/>
      <c r="AC112" s="2"/>
      <c r="AD112" s="2"/>
      <c r="AE112" s="2"/>
      <c r="AF112" s="2"/>
      <c r="AG112" s="2"/>
      <c r="AH112" s="2"/>
      <c r="AI112" s="2"/>
      <c r="AJ112" s="2"/>
      <c r="AK112" s="2"/>
      <c r="AL112" s="2"/>
      <c r="AM112" s="2" t="s">
        <v>1790</v>
      </c>
      <c r="AN112" s="1102">
        <v>1.2</v>
      </c>
      <c r="AO112" s="2"/>
    </row>
    <row r="113" spans="1:41" ht="12.75" customHeight="1">
      <c r="A113" s="2"/>
      <c r="B113" s="2"/>
      <c r="C113" s="2"/>
      <c r="D113" s="1062"/>
      <c r="E113" s="2"/>
      <c r="F113" s="2"/>
      <c r="G113" s="2"/>
      <c r="H113" s="2"/>
      <c r="I113" s="2"/>
      <c r="J113" s="2"/>
      <c r="K113" s="2"/>
      <c r="L113" s="2"/>
      <c r="N113" s="2"/>
      <c r="R113" s="2"/>
      <c r="S113" s="2"/>
      <c r="T113" s="2"/>
      <c r="U113" s="2"/>
      <c r="V113" s="2"/>
      <c r="W113" s="2"/>
      <c r="X113" s="2"/>
      <c r="Y113" s="2"/>
      <c r="Z113" s="2"/>
      <c r="AA113" s="2"/>
      <c r="AB113" s="2"/>
      <c r="AC113" s="2"/>
      <c r="AD113" s="2"/>
      <c r="AE113" s="2"/>
      <c r="AF113" s="2"/>
      <c r="AG113" s="2"/>
      <c r="AH113" s="2"/>
      <c r="AI113" s="2"/>
      <c r="AJ113" s="2"/>
      <c r="AK113" s="2"/>
      <c r="AL113" s="2"/>
      <c r="AM113" s="1" t="s">
        <v>401</v>
      </c>
      <c r="AN113" s="98"/>
      <c r="AO113" s="2"/>
    </row>
    <row r="114" spans="1:41" ht="12.75" customHeight="1">
      <c r="A114" s="2"/>
      <c r="B114" s="2"/>
      <c r="C114" s="2"/>
      <c r="D114" s="1062"/>
      <c r="E114" s="2"/>
      <c r="F114" s="2"/>
      <c r="G114" s="2"/>
      <c r="H114" s="2"/>
      <c r="I114" s="2"/>
      <c r="J114" s="2"/>
      <c r="K114" s="2"/>
      <c r="L114" s="2"/>
      <c r="N114" s="2"/>
      <c r="R114" s="2"/>
      <c r="S114" s="2"/>
      <c r="T114" s="2"/>
      <c r="U114" s="2"/>
      <c r="V114" s="2"/>
      <c r="W114" s="2"/>
      <c r="X114" s="2"/>
      <c r="Y114" s="2"/>
      <c r="Z114" s="2"/>
      <c r="AA114" s="2"/>
      <c r="AB114" s="2"/>
      <c r="AC114" s="2"/>
      <c r="AD114" s="2"/>
      <c r="AE114" s="2"/>
      <c r="AF114" s="2"/>
      <c r="AG114" s="2"/>
      <c r="AH114" s="2"/>
      <c r="AI114" s="2"/>
      <c r="AJ114" s="2"/>
      <c r="AK114" s="2"/>
      <c r="AL114" s="2"/>
      <c r="AM114" s="2" t="s">
        <v>514</v>
      </c>
      <c r="AN114" s="1349">
        <v>34.83</v>
      </c>
      <c r="AO114" s="2">
        <f>+BYD!AX38</f>
        <v>38.722999999999999</v>
      </c>
    </row>
    <row r="115" spans="1:41" ht="12.75" customHeight="1">
      <c r="A115" s="2"/>
      <c r="B115" s="2"/>
      <c r="C115" s="2"/>
      <c r="D115" s="1062"/>
      <c r="E115" s="2"/>
      <c r="F115" s="2"/>
      <c r="G115" s="2"/>
      <c r="H115" s="2"/>
      <c r="I115" s="2"/>
      <c r="J115" s="2"/>
      <c r="K115" s="2"/>
      <c r="L115" s="2"/>
      <c r="N115" s="2"/>
      <c r="R115" s="2"/>
      <c r="S115" s="2"/>
      <c r="T115" s="2"/>
      <c r="U115" s="2"/>
      <c r="V115" s="2"/>
      <c r="W115" s="2"/>
      <c r="X115" s="2"/>
      <c r="Y115" s="2"/>
      <c r="Z115" s="2"/>
      <c r="AA115" s="2"/>
      <c r="AB115" s="2"/>
      <c r="AC115" s="2"/>
      <c r="AD115" s="2"/>
      <c r="AE115" s="2"/>
      <c r="AF115" s="2"/>
      <c r="AG115" s="2"/>
      <c r="AH115" s="2"/>
      <c r="AI115" s="2"/>
      <c r="AJ115" s="2"/>
      <c r="AK115" s="2"/>
      <c r="AL115" s="2"/>
      <c r="AM115" s="2" t="s">
        <v>515</v>
      </c>
      <c r="AN115" s="1102">
        <v>8.36</v>
      </c>
      <c r="AO115" s="2">
        <f>+BYD!AX39</f>
        <v>9.2970000000000006</v>
      </c>
    </row>
    <row r="116" spans="1:41" ht="12.75" customHeight="1">
      <c r="A116" s="2"/>
      <c r="B116" s="2"/>
      <c r="C116" s="2"/>
      <c r="D116" s="1062"/>
      <c r="E116" s="2"/>
      <c r="F116" s="2"/>
      <c r="G116" s="2"/>
      <c r="H116" s="2"/>
      <c r="I116" s="2"/>
      <c r="J116" s="2"/>
      <c r="K116" s="2"/>
      <c r="L116" s="2"/>
      <c r="N116" s="2"/>
      <c r="R116" s="2"/>
      <c r="S116" s="2"/>
      <c r="T116" s="2"/>
      <c r="U116" s="2"/>
      <c r="V116" s="2"/>
      <c r="W116" s="2"/>
      <c r="X116" s="2"/>
      <c r="Y116" s="2"/>
      <c r="Z116" s="2"/>
      <c r="AA116" s="2"/>
      <c r="AB116" s="2"/>
      <c r="AC116" s="2"/>
      <c r="AD116" s="2"/>
      <c r="AE116" s="2"/>
      <c r="AF116" s="2"/>
      <c r="AG116" s="2"/>
      <c r="AH116" s="2"/>
      <c r="AI116" s="2"/>
      <c r="AJ116" s="2"/>
      <c r="AK116" s="2"/>
      <c r="AL116" s="2"/>
      <c r="AM116" s="2" t="s">
        <v>516</v>
      </c>
      <c r="AN116" s="1102">
        <v>51.04</v>
      </c>
      <c r="AO116" s="2">
        <f>+BYD!AX41</f>
        <v>48.625</v>
      </c>
    </row>
    <row r="117" spans="1:41" ht="12.75" customHeight="1">
      <c r="A117" s="2"/>
      <c r="B117" s="2"/>
      <c r="C117" s="2"/>
      <c r="D117" s="1062"/>
      <c r="E117" s="2"/>
      <c r="F117" s="2"/>
      <c r="G117" s="2"/>
      <c r="H117" s="2"/>
      <c r="I117" s="2"/>
      <c r="J117" s="2"/>
      <c r="K117" s="2"/>
      <c r="L117" s="2"/>
      <c r="N117" s="2"/>
      <c r="R117" s="2"/>
      <c r="S117" s="2"/>
      <c r="T117" s="2"/>
      <c r="U117" s="2"/>
      <c r="V117" s="2"/>
      <c r="W117" s="2"/>
      <c r="X117" s="2"/>
      <c r="Y117" s="2"/>
      <c r="Z117" s="2"/>
      <c r="AA117" s="2"/>
      <c r="AB117" s="2"/>
      <c r="AC117" s="2"/>
      <c r="AD117" s="2"/>
      <c r="AE117" s="2"/>
      <c r="AF117" s="2"/>
      <c r="AG117" s="2"/>
      <c r="AH117" s="2"/>
      <c r="AI117" s="2"/>
      <c r="AJ117" s="2"/>
      <c r="AK117" s="2"/>
      <c r="AL117" s="2"/>
      <c r="AM117" s="2" t="s">
        <v>517</v>
      </c>
      <c r="AN117" s="1102">
        <v>52.46</v>
      </c>
      <c r="AO117" s="2">
        <f>+BYD!AX42</f>
        <v>48.323</v>
      </c>
    </row>
    <row r="118" spans="1:41" ht="12.75" customHeight="1">
      <c r="A118" s="2"/>
      <c r="B118" s="2"/>
      <c r="C118" s="2"/>
      <c r="D118" s="1062"/>
      <c r="E118" s="2"/>
      <c r="F118" s="2"/>
      <c r="G118" s="2"/>
      <c r="H118" s="2"/>
      <c r="I118" s="2"/>
      <c r="J118" s="2"/>
      <c r="K118" s="2"/>
      <c r="L118" s="2"/>
      <c r="N118" s="2"/>
      <c r="R118" s="2"/>
      <c r="S118" s="2"/>
      <c r="T118" s="2"/>
      <c r="U118" s="2"/>
      <c r="V118" s="2"/>
      <c r="W118" s="2"/>
      <c r="X118" s="2"/>
      <c r="Y118" s="2"/>
      <c r="Z118" s="2"/>
      <c r="AA118" s="2"/>
      <c r="AB118" s="2"/>
      <c r="AC118" s="2"/>
      <c r="AD118" s="2"/>
      <c r="AE118" s="2"/>
      <c r="AF118" s="2"/>
      <c r="AG118" s="2"/>
      <c r="AH118" s="2"/>
      <c r="AI118" s="2"/>
      <c r="AJ118" s="2"/>
      <c r="AK118" s="2"/>
      <c r="AL118" s="2"/>
      <c r="AM118" s="2" t="s">
        <v>273</v>
      </c>
      <c r="AN118" s="1102">
        <v>28.21</v>
      </c>
      <c r="AO118" s="2">
        <f>+BYD!AX45</f>
        <v>27.847000000000001</v>
      </c>
    </row>
  </sheetData>
  <phoneticPr fontId="10" type="noConversion"/>
  <pageMargins left="0.75" right="0.75" top="1" bottom="1" header="0.5" footer="0.5"/>
  <pageSetup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AP113"/>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3" max="13" width="9.5" bestFit="1" customWidth="1"/>
    <col min="16" max="16" width="3.25" customWidth="1"/>
    <col min="18" max="18" width="1" customWidth="1"/>
    <col min="19" max="19" width="19" customWidth="1"/>
    <col min="20" max="20" width="1.625" customWidth="1"/>
    <col min="21" max="21" width="8.625" customWidth="1"/>
    <col min="22" max="22" width="1.625" customWidth="1"/>
    <col min="23" max="23" width="8.625" customWidth="1"/>
    <col min="24" max="24" width="1.625" customWidth="1"/>
    <col min="25" max="25" width="8.625" customWidth="1"/>
    <col min="28" max="28" width="7.625" customWidth="1"/>
    <col min="29" max="29" width="1.625" customWidth="1"/>
    <col min="30" max="30" width="7.625" customWidth="1"/>
    <col min="31" max="31" width="1.625" customWidth="1"/>
    <col min="32" max="32" width="7.625" customWidth="1"/>
    <col min="33" max="33" width="1.625" customWidth="1"/>
    <col min="34" max="34" width="16.375" customWidth="1"/>
    <col min="35" max="35" width="11.625" customWidth="1"/>
    <col min="36" max="36" width="2.625" customWidth="1"/>
    <col min="37" max="38" width="10.625" customWidth="1"/>
    <col min="39" max="39" width="15.375" customWidth="1"/>
    <col min="40" max="40" width="10.625" customWidth="1"/>
    <col min="41" max="41" width="1.375" customWidth="1"/>
  </cols>
  <sheetData>
    <row r="1" spans="1:42" ht="12.75" customHeight="1">
      <c r="A1" s="1" t="s">
        <v>629</v>
      </c>
      <c r="B1" s="2"/>
      <c r="C1" s="166"/>
      <c r="D1" s="1062"/>
      <c r="E1" s="2"/>
      <c r="F1" s="2"/>
      <c r="G1" s="2"/>
      <c r="H1" s="2"/>
      <c r="I1" s="2"/>
      <c r="J1" s="2"/>
      <c r="K1" s="2"/>
      <c r="L1" s="2"/>
      <c r="O1" s="2"/>
      <c r="S1" s="2"/>
      <c r="T1" s="2"/>
      <c r="U1" s="2"/>
      <c r="V1" s="2"/>
      <c r="W1" s="2"/>
      <c r="X1" s="2"/>
      <c r="Y1" s="2"/>
      <c r="Z1" s="2"/>
      <c r="AA1" s="2"/>
      <c r="AB1" s="2"/>
      <c r="AC1" s="2"/>
      <c r="AD1" s="2"/>
      <c r="AE1" s="2"/>
      <c r="AF1" s="2"/>
      <c r="AG1" s="2"/>
      <c r="AH1" s="2"/>
      <c r="AI1" s="2"/>
      <c r="AJ1" s="2"/>
      <c r="AK1" s="2"/>
      <c r="AL1" s="2"/>
      <c r="AM1" s="2"/>
      <c r="AN1" s="2"/>
      <c r="AO1" s="2"/>
      <c r="AP1" s="2"/>
    </row>
    <row r="2" spans="1:42" ht="12.75" customHeight="1">
      <c r="A2" s="1" t="s">
        <v>1224</v>
      </c>
      <c r="B2" s="2"/>
      <c r="C2" s="2"/>
      <c r="D2" s="1062"/>
      <c r="E2" s="2"/>
      <c r="F2" s="2"/>
      <c r="G2" s="2"/>
      <c r="H2" s="2"/>
      <c r="I2" s="2"/>
      <c r="J2" s="2"/>
      <c r="K2" s="2"/>
      <c r="L2" s="2"/>
      <c r="O2" s="2"/>
      <c r="S2" s="2"/>
      <c r="T2" s="2"/>
      <c r="U2" s="2"/>
      <c r="V2" s="2"/>
      <c r="W2" s="2"/>
      <c r="X2" s="2"/>
      <c r="Y2" s="2"/>
      <c r="Z2" s="2"/>
      <c r="AA2" s="2"/>
      <c r="AB2" s="2"/>
      <c r="AC2" s="2"/>
      <c r="AD2" s="2"/>
      <c r="AE2" s="2"/>
      <c r="AF2" s="2"/>
      <c r="AG2" s="2"/>
      <c r="AH2" s="2"/>
      <c r="AI2" s="2"/>
      <c r="AJ2" s="2"/>
      <c r="AK2" s="2"/>
      <c r="AL2" s="2"/>
      <c r="AM2" s="2"/>
      <c r="AN2" s="2"/>
      <c r="AO2" s="2"/>
      <c r="AP2" s="2"/>
    </row>
    <row r="3" spans="1:42" ht="12.75" customHeight="1">
      <c r="A3" s="2" t="s">
        <v>1225</v>
      </c>
      <c r="B3" s="2"/>
      <c r="C3" s="2"/>
      <c r="D3" s="1062"/>
      <c r="E3" s="2"/>
      <c r="F3" s="2"/>
      <c r="G3" s="2"/>
      <c r="H3" s="2"/>
      <c r="I3" s="2"/>
      <c r="J3" s="2"/>
      <c r="K3" s="2"/>
      <c r="L3" s="2"/>
      <c r="O3" s="2"/>
      <c r="S3" s="2"/>
      <c r="T3" s="2"/>
      <c r="U3" s="2"/>
      <c r="V3" s="2"/>
      <c r="W3" s="2"/>
      <c r="X3" s="2"/>
      <c r="Y3" s="2"/>
      <c r="Z3" s="2"/>
      <c r="AA3" s="2"/>
      <c r="AB3" s="2"/>
      <c r="AC3" s="2"/>
      <c r="AD3" s="2"/>
      <c r="AE3" s="2"/>
      <c r="AF3" s="2"/>
      <c r="AG3" s="2"/>
      <c r="AH3" s="2"/>
      <c r="AI3" s="2"/>
      <c r="AJ3" s="2"/>
      <c r="AK3" s="2"/>
      <c r="AL3" s="2"/>
      <c r="AM3" s="2"/>
      <c r="AN3" s="2"/>
      <c r="AO3" s="2"/>
      <c r="AP3" s="2"/>
    </row>
    <row r="4" spans="1:42" ht="12.75" customHeight="1">
      <c r="A4" s="2"/>
      <c r="B4" s="2"/>
      <c r="C4" s="1195" t="s">
        <v>818</v>
      </c>
      <c r="D4" s="1310"/>
      <c r="E4" s="1196"/>
      <c r="F4" s="1196"/>
      <c r="G4" s="1196"/>
      <c r="H4" s="2"/>
      <c r="I4" s="1195" t="s">
        <v>1504</v>
      </c>
      <c r="J4" s="1197"/>
      <c r="K4" s="1196"/>
      <c r="L4" s="1196"/>
      <c r="O4" s="73" t="s">
        <v>1030</v>
      </c>
      <c r="Q4" s="73" t="s">
        <v>594</v>
      </c>
      <c r="S4" s="2"/>
      <c r="T4" s="2"/>
      <c r="U4" s="2"/>
      <c r="V4" s="2"/>
      <c r="W4" s="2"/>
      <c r="X4" s="2"/>
      <c r="Y4" s="2"/>
      <c r="Z4" s="2"/>
      <c r="AA4" s="2"/>
      <c r="AB4" s="2"/>
      <c r="AC4" s="2"/>
      <c r="AD4" s="2"/>
      <c r="AE4" s="2"/>
      <c r="AF4" s="2"/>
      <c r="AG4" s="2"/>
      <c r="AH4" s="2"/>
      <c r="AI4" s="2"/>
      <c r="AJ4" s="2"/>
      <c r="AK4" s="2"/>
      <c r="AL4" s="2"/>
      <c r="AM4" s="2"/>
      <c r="AN4" s="2"/>
      <c r="AO4" s="2"/>
      <c r="AP4" s="2"/>
    </row>
    <row r="5" spans="1:42" ht="12.75" customHeight="1">
      <c r="A5" s="2"/>
      <c r="B5" s="2"/>
      <c r="C5" s="1198"/>
      <c r="D5" s="77"/>
      <c r="E5" s="2"/>
      <c r="F5" s="1197" t="s">
        <v>1505</v>
      </c>
      <c r="G5" s="1197"/>
      <c r="H5" s="2"/>
      <c r="I5" s="1198"/>
      <c r="J5" s="61"/>
      <c r="K5" s="1197" t="s">
        <v>1505</v>
      </c>
      <c r="L5" s="1197"/>
      <c r="O5" s="2"/>
      <c r="S5" s="2"/>
      <c r="T5" s="2"/>
      <c r="U5" s="2"/>
      <c r="V5" s="2"/>
      <c r="W5" s="2"/>
      <c r="X5" s="2"/>
      <c r="Y5" s="2"/>
      <c r="Z5" s="2"/>
      <c r="AA5" s="2"/>
      <c r="AB5" s="2"/>
      <c r="AC5" s="2"/>
      <c r="AD5" s="2"/>
      <c r="AE5" s="2"/>
      <c r="AF5" s="2"/>
      <c r="AG5" s="2"/>
      <c r="AH5" s="2"/>
      <c r="AI5" s="2"/>
      <c r="AJ5" s="2"/>
      <c r="AK5" s="2"/>
      <c r="AL5" s="2"/>
      <c r="AM5" s="2"/>
      <c r="AN5" s="2"/>
      <c r="AO5" s="2"/>
      <c r="AP5" s="2"/>
    </row>
    <row r="6" spans="1:42" ht="12.75" customHeight="1">
      <c r="A6" s="61"/>
      <c r="B6" s="2"/>
      <c r="C6" s="1199" t="s">
        <v>1480</v>
      </c>
      <c r="D6" s="1308" t="s">
        <v>228</v>
      </c>
      <c r="E6" s="70"/>
      <c r="F6" s="73" t="s">
        <v>658</v>
      </c>
      <c r="G6" s="73" t="s">
        <v>740</v>
      </c>
      <c r="H6" s="2"/>
      <c r="I6" s="1199" t="s">
        <v>360</v>
      </c>
      <c r="J6" s="70"/>
      <c r="K6" s="73" t="s">
        <v>658</v>
      </c>
      <c r="L6" s="73" t="s">
        <v>740</v>
      </c>
      <c r="O6" s="2"/>
      <c r="S6" s="2"/>
      <c r="T6" s="2"/>
      <c r="U6" s="2"/>
      <c r="V6" s="2"/>
      <c r="W6" s="2"/>
      <c r="X6" s="2"/>
      <c r="Y6" s="2"/>
      <c r="Z6" s="2"/>
      <c r="AA6" s="2"/>
      <c r="AB6" s="2"/>
      <c r="AC6" s="2"/>
      <c r="AD6" s="2"/>
      <c r="AE6" s="2"/>
      <c r="AF6" s="2"/>
      <c r="AG6" s="2"/>
      <c r="AH6" s="2"/>
      <c r="AI6" s="2"/>
      <c r="AJ6" s="2"/>
      <c r="AK6" s="2"/>
      <c r="AL6" s="2"/>
      <c r="AM6" s="2"/>
      <c r="AN6" s="2"/>
      <c r="AO6" s="2"/>
      <c r="AP6" s="2"/>
    </row>
    <row r="7" spans="1:42" ht="12.75" customHeight="1">
      <c r="A7" s="1" t="s">
        <v>741</v>
      </c>
      <c r="B7" s="2"/>
      <c r="C7" s="112"/>
      <c r="D7" s="77"/>
      <c r="E7" s="2"/>
      <c r="F7" s="2"/>
      <c r="G7" s="2"/>
      <c r="H7" s="2"/>
      <c r="I7" s="112"/>
      <c r="J7" s="61"/>
      <c r="K7" s="2"/>
      <c r="L7" s="2"/>
      <c r="O7" s="2"/>
      <c r="S7" s="2"/>
      <c r="T7" s="2"/>
      <c r="U7" s="2"/>
      <c r="V7" s="2"/>
      <c r="W7" s="2"/>
      <c r="X7" s="2"/>
      <c r="Y7" s="2"/>
      <c r="Z7" s="2"/>
      <c r="AA7" s="2"/>
      <c r="AB7" s="2"/>
      <c r="AC7" s="2"/>
      <c r="AD7" s="2"/>
      <c r="AE7" s="2"/>
      <c r="AF7" s="2"/>
      <c r="AG7" s="2"/>
      <c r="AH7" s="2"/>
      <c r="AI7" s="2"/>
      <c r="AJ7" s="2"/>
      <c r="AK7" s="2"/>
      <c r="AL7" s="2"/>
      <c r="AM7" s="2"/>
      <c r="AN7" s="2"/>
      <c r="AO7" s="2"/>
      <c r="AP7" s="2"/>
    </row>
    <row r="8" spans="1:42" ht="12.75" customHeight="1">
      <c r="A8" s="334" t="s">
        <v>514</v>
      </c>
      <c r="B8" s="2"/>
      <c r="C8" s="2030">
        <f>BYD!AU10</f>
        <v>148.74299999999999</v>
      </c>
      <c r="D8" s="858">
        <f>BYD!AP10</f>
        <v>152.696</v>
      </c>
      <c r="E8" s="1202"/>
      <c r="F8" s="1205">
        <f t="shared" ref="F8:F13" si="0">C8-D8</f>
        <v>-3.953000000000003</v>
      </c>
      <c r="G8" s="126">
        <f t="shared" ref="G8:G14" si="1">IF(D8=0,0,C8/D8-1)</f>
        <v>-2.5888038979410055E-2</v>
      </c>
      <c r="H8" s="1205"/>
      <c r="I8" s="1207">
        <v>146.58815999999999</v>
      </c>
      <c r="J8" s="1202"/>
      <c r="K8" s="313">
        <f t="shared" ref="K8:K13" si="2">C8-I8</f>
        <v>2.1548400000000072</v>
      </c>
      <c r="L8" s="1204">
        <f t="shared" ref="L8:L13" si="3">IF(I8=0,"NM",C8/I8-1)</f>
        <v>1.4699959396447859E-2</v>
      </c>
      <c r="O8" s="2"/>
      <c r="S8" s="2"/>
      <c r="T8" s="2"/>
      <c r="U8" s="2"/>
      <c r="V8" s="2"/>
      <c r="W8" s="2"/>
      <c r="X8" s="2"/>
      <c r="Y8" s="2"/>
      <c r="Z8" s="2"/>
      <c r="AA8" s="2"/>
      <c r="AB8" s="2"/>
      <c r="AC8" s="2"/>
      <c r="AD8" s="2"/>
      <c r="AE8" s="2"/>
      <c r="AF8" s="2"/>
      <c r="AG8" s="2"/>
      <c r="AH8" s="2"/>
      <c r="AI8" s="2"/>
      <c r="AJ8" s="2"/>
      <c r="AK8" s="2"/>
      <c r="AL8" s="2"/>
      <c r="AM8" s="2"/>
      <c r="AN8" s="2"/>
      <c r="AO8" s="2"/>
      <c r="AP8" s="2"/>
    </row>
    <row r="9" spans="1:42" ht="12.75" customHeight="1">
      <c r="A9" s="334" t="s">
        <v>515</v>
      </c>
      <c r="B9" s="61"/>
      <c r="C9" s="2031">
        <f>BYD!AU11</f>
        <v>57.683999999999997</v>
      </c>
      <c r="D9" s="104">
        <f>BYD!AP11</f>
        <v>58.670999999999999</v>
      </c>
      <c r="E9" s="1103"/>
      <c r="F9" s="374">
        <f t="shared" si="0"/>
        <v>-0.98700000000000188</v>
      </c>
      <c r="G9" s="95">
        <f t="shared" si="1"/>
        <v>-1.6822621056399312E-2</v>
      </c>
      <c r="H9" s="61"/>
      <c r="I9" s="1104">
        <v>58.913046618035892</v>
      </c>
      <c r="J9" s="1103"/>
      <c r="K9" s="374">
        <f t="shared" si="2"/>
        <v>-1.2290466180358948</v>
      </c>
      <c r="L9" s="92">
        <f t="shared" si="3"/>
        <v>-2.0862044803156232E-2</v>
      </c>
      <c r="O9" s="2"/>
      <c r="S9" s="2"/>
      <c r="T9" s="2"/>
      <c r="U9" s="2"/>
      <c r="V9" s="2"/>
      <c r="W9" s="2"/>
      <c r="X9" s="2"/>
      <c r="Y9" s="2"/>
      <c r="Z9" s="2"/>
      <c r="AA9" s="2"/>
      <c r="AB9" s="2"/>
      <c r="AC9" s="2"/>
      <c r="AD9" s="2"/>
      <c r="AE9" s="2"/>
      <c r="AF9" s="2"/>
      <c r="AG9" s="2"/>
      <c r="AH9" s="2"/>
      <c r="AI9" s="2"/>
      <c r="AJ9" s="2"/>
      <c r="AK9" s="2"/>
      <c r="AL9" s="2"/>
      <c r="AM9" s="2"/>
      <c r="AN9" s="2"/>
      <c r="AO9" s="2"/>
      <c r="AP9" s="2"/>
    </row>
    <row r="10" spans="1:42" ht="12.75" customHeight="1">
      <c r="A10" s="334" t="s">
        <v>516</v>
      </c>
      <c r="B10" s="61"/>
      <c r="C10" s="2031">
        <f>BYD!AU13</f>
        <v>213.773</v>
      </c>
      <c r="D10" s="104">
        <f>BYD!AP13</f>
        <v>217.56700000000001</v>
      </c>
      <c r="E10" s="1103"/>
      <c r="F10" s="374">
        <f t="shared" si="0"/>
        <v>-3.7940000000000111</v>
      </c>
      <c r="G10" s="95">
        <f t="shared" si="1"/>
        <v>-1.7438306360799238E-2</v>
      </c>
      <c r="H10" s="61"/>
      <c r="I10" s="1104">
        <v>219.35534123000002</v>
      </c>
      <c r="J10" s="1103"/>
      <c r="K10" s="374">
        <f t="shared" si="2"/>
        <v>-5.5823412300000257</v>
      </c>
      <c r="L10" s="92">
        <f t="shared" si="3"/>
        <v>-2.5448850247721033E-2</v>
      </c>
      <c r="M10" s="1403"/>
      <c r="N10" s="1403"/>
      <c r="O10" s="2"/>
      <c r="Q10" s="1403"/>
      <c r="S10" s="2"/>
      <c r="T10" s="2"/>
      <c r="U10" s="2"/>
      <c r="V10" s="2"/>
      <c r="W10" s="2"/>
      <c r="X10" s="2"/>
      <c r="Y10" s="2"/>
      <c r="Z10" s="2"/>
      <c r="AA10" s="2"/>
      <c r="AB10" s="2"/>
      <c r="AC10" s="2"/>
      <c r="AD10" s="2"/>
      <c r="AE10" s="2"/>
      <c r="AF10" s="2"/>
      <c r="AG10" s="2"/>
      <c r="AH10" s="2"/>
      <c r="AI10" s="2"/>
      <c r="AJ10" s="2"/>
      <c r="AK10" s="2"/>
      <c r="AL10" s="2"/>
      <c r="AM10" s="2"/>
      <c r="AN10" s="2"/>
      <c r="AO10" s="2"/>
      <c r="AP10" s="2"/>
    </row>
    <row r="11" spans="1:42" ht="12.75" customHeight="1">
      <c r="A11" s="963" t="s">
        <v>517</v>
      </c>
      <c r="B11" s="61"/>
      <c r="C11" s="2031">
        <f>BYD!AU14</f>
        <v>56.924999999999997</v>
      </c>
      <c r="D11" s="104">
        <f>BYD!AP14</f>
        <v>0</v>
      </c>
      <c r="E11" s="1103"/>
      <c r="F11" s="374">
        <f t="shared" si="0"/>
        <v>56.924999999999997</v>
      </c>
      <c r="G11" s="95">
        <f>IF(D11=0,0,C11/D11-1)</f>
        <v>0</v>
      </c>
      <c r="H11" s="61"/>
      <c r="I11" s="1104">
        <v>54.942078662054996</v>
      </c>
      <c r="J11" s="1103"/>
      <c r="K11" s="374">
        <f t="shared" si="2"/>
        <v>1.982921337945001</v>
      </c>
      <c r="L11" s="92">
        <f t="shared" si="3"/>
        <v>3.6091123347222087E-2</v>
      </c>
      <c r="M11" s="1403"/>
      <c r="N11" s="1403"/>
      <c r="O11" s="2"/>
      <c r="Q11" s="1403"/>
      <c r="S11" s="2"/>
      <c r="T11" s="2"/>
      <c r="U11" s="2"/>
      <c r="V11" s="2"/>
      <c r="W11" s="2"/>
      <c r="X11" s="2"/>
      <c r="Y11" s="2"/>
      <c r="Z11" s="2"/>
      <c r="AA11" s="2"/>
      <c r="AB11" s="2"/>
      <c r="AC11" s="2"/>
      <c r="AD11" s="2"/>
      <c r="AE11" s="2"/>
      <c r="AF11" s="2"/>
      <c r="AG11" s="2"/>
      <c r="AH11" s="2"/>
      <c r="AI11" s="2"/>
      <c r="AJ11" s="2"/>
      <c r="AK11" s="2"/>
      <c r="AL11" s="2"/>
      <c r="AM11" s="2"/>
      <c r="AN11" s="2"/>
      <c r="AO11" s="2"/>
      <c r="AP11" s="2"/>
    </row>
    <row r="12" spans="1:42" ht="12.75" customHeight="1">
      <c r="A12" s="334" t="s">
        <v>273</v>
      </c>
      <c r="B12" s="61"/>
      <c r="C12" s="2031">
        <f>BYD!AU906</f>
        <v>147.565</v>
      </c>
      <c r="D12" s="104">
        <f>BYD!AP906</f>
        <v>176.41</v>
      </c>
      <c r="E12" s="1103"/>
      <c r="F12" s="374">
        <f t="shared" si="0"/>
        <v>-28.844999999999999</v>
      </c>
      <c r="G12" s="95">
        <f t="shared" si="1"/>
        <v>-0.16351113882432966</v>
      </c>
      <c r="H12" s="61"/>
      <c r="I12" s="1104">
        <v>152.54844897625514</v>
      </c>
      <c r="J12" s="1103"/>
      <c r="K12" s="374">
        <f t="shared" si="2"/>
        <v>-4.983448976255147</v>
      </c>
      <c r="L12" s="92">
        <f t="shared" si="3"/>
        <v>-3.2667975385517356E-2</v>
      </c>
      <c r="O12" s="2"/>
      <c r="S12" s="2"/>
      <c r="T12" s="2"/>
      <c r="U12" s="2"/>
      <c r="V12" s="2"/>
      <c r="W12" s="2"/>
      <c r="X12" s="2"/>
      <c r="Y12" s="2"/>
      <c r="Z12" s="2"/>
      <c r="AA12" s="2"/>
      <c r="AB12" s="2"/>
      <c r="AC12" s="2"/>
      <c r="AD12" s="2"/>
      <c r="AE12" s="2"/>
      <c r="AF12" s="2"/>
      <c r="AG12" s="2"/>
      <c r="AH12" s="2"/>
      <c r="AI12" s="2"/>
      <c r="AJ12" s="2"/>
      <c r="AK12" s="2"/>
      <c r="AL12" s="2"/>
      <c r="AM12" s="2"/>
      <c r="AN12" s="2"/>
      <c r="AO12" s="2"/>
      <c r="AP12" s="2"/>
    </row>
    <row r="13" spans="1:42" ht="12.75" customHeight="1">
      <c r="A13" s="334" t="s">
        <v>1790</v>
      </c>
      <c r="B13" s="61"/>
      <c r="C13" s="2031">
        <v>0</v>
      </c>
      <c r="D13" s="104">
        <v>0</v>
      </c>
      <c r="E13" s="1103"/>
      <c r="F13" s="374">
        <f t="shared" si="0"/>
        <v>0</v>
      </c>
      <c r="G13" s="95">
        <f t="shared" si="1"/>
        <v>0</v>
      </c>
      <c r="H13" s="61"/>
      <c r="I13" s="1104">
        <v>0</v>
      </c>
      <c r="J13" s="1103"/>
      <c r="K13" s="374">
        <f t="shared" si="2"/>
        <v>0</v>
      </c>
      <c r="L13" s="92" t="str">
        <f t="shared" si="3"/>
        <v>NM</v>
      </c>
      <c r="O13" s="2"/>
      <c r="S13" s="2"/>
      <c r="T13" s="2"/>
      <c r="U13" s="2"/>
      <c r="V13" s="2"/>
      <c r="W13" s="2"/>
      <c r="X13" s="2"/>
      <c r="Y13" s="2"/>
      <c r="Z13" s="2"/>
      <c r="AA13" s="2"/>
      <c r="AB13" s="2"/>
      <c r="AC13" s="2"/>
      <c r="AD13" s="2"/>
      <c r="AE13" s="2"/>
      <c r="AF13" s="2"/>
      <c r="AG13" s="2"/>
      <c r="AH13" s="2"/>
      <c r="AI13" s="2"/>
      <c r="AJ13" s="2"/>
      <c r="AK13" s="2"/>
      <c r="AL13" s="2"/>
      <c r="AM13" s="2"/>
      <c r="AN13" s="2"/>
      <c r="AO13" s="2"/>
      <c r="AP13" s="2"/>
    </row>
    <row r="14" spans="1:42" ht="12.75" customHeight="1">
      <c r="A14" s="138" t="s">
        <v>813</v>
      </c>
      <c r="B14" s="1203"/>
      <c r="C14" s="2032">
        <f>SUM(C8:C13)</f>
        <v>624.69000000000005</v>
      </c>
      <c r="D14" s="1210">
        <f>SUM(D8:D13)</f>
        <v>605.34399999999994</v>
      </c>
      <c r="E14" s="1210"/>
      <c r="F14" s="1210">
        <f>SUM(F8:F13)</f>
        <v>19.345999999999982</v>
      </c>
      <c r="G14" s="1208">
        <f t="shared" si="1"/>
        <v>3.1958687952635456E-2</v>
      </c>
      <c r="H14" s="1206"/>
      <c r="I14" s="1209">
        <v>632.34707548634606</v>
      </c>
      <c r="J14" s="1210"/>
      <c r="K14" s="1210">
        <f>SUM(K8:K13)</f>
        <v>-7.6570754863460593</v>
      </c>
      <c r="L14" s="1211">
        <f>C14/I14-1</f>
        <v>-1.2108975882361483E-2</v>
      </c>
      <c r="N14" s="1444"/>
      <c r="O14" s="1102">
        <v>635.37</v>
      </c>
      <c r="P14" s="1299"/>
      <c r="Q14" s="1617"/>
      <c r="S14" s="2"/>
      <c r="T14" s="2"/>
      <c r="U14" s="2"/>
      <c r="V14" s="2"/>
      <c r="W14" s="2"/>
      <c r="X14" s="2"/>
      <c r="Y14" s="2"/>
      <c r="Z14" s="2"/>
      <c r="AA14" s="2"/>
      <c r="AB14" s="2"/>
      <c r="AC14" s="2"/>
      <c r="AD14" s="2"/>
      <c r="AE14" s="2"/>
      <c r="AF14" s="2"/>
      <c r="AG14" s="2"/>
      <c r="AH14" s="2"/>
      <c r="AI14" s="2"/>
      <c r="AJ14" s="2"/>
      <c r="AK14" s="2"/>
      <c r="AL14" s="2"/>
      <c r="AM14" s="2"/>
      <c r="AN14" s="2"/>
      <c r="AO14" s="2"/>
      <c r="AP14" s="2"/>
    </row>
    <row r="15" spans="1:42" ht="12.75" customHeight="1">
      <c r="A15" s="61"/>
      <c r="B15" s="61"/>
      <c r="C15" s="2033"/>
      <c r="D15" s="77"/>
      <c r="E15" s="61"/>
      <c r="F15" s="61"/>
      <c r="G15" s="1139"/>
      <c r="H15" s="61"/>
      <c r="I15" s="115"/>
      <c r="J15" s="61"/>
      <c r="K15" s="61"/>
      <c r="L15" s="1212"/>
      <c r="O15" s="1647"/>
      <c r="S15" s="2"/>
      <c r="T15" s="2"/>
      <c r="U15" s="2"/>
      <c r="V15" s="2"/>
      <c r="W15" s="2"/>
      <c r="X15" s="2"/>
      <c r="Y15" s="2"/>
      <c r="Z15" s="2"/>
      <c r="AA15" s="2"/>
      <c r="AB15" s="2"/>
      <c r="AC15" s="2"/>
      <c r="AD15" s="2"/>
      <c r="AE15" s="2"/>
      <c r="AF15" s="2"/>
      <c r="AG15" s="2"/>
      <c r="AH15" s="2"/>
      <c r="AI15" s="2"/>
      <c r="AJ15" s="2"/>
      <c r="AK15" s="2"/>
      <c r="AL15" s="2"/>
      <c r="AM15" s="2"/>
      <c r="AN15" s="2"/>
      <c r="AO15" s="2"/>
      <c r="AP15" s="2"/>
    </row>
    <row r="16" spans="1:42" ht="12.75" customHeight="1">
      <c r="A16" s="107" t="s">
        <v>401</v>
      </c>
      <c r="B16" s="61"/>
      <c r="C16" s="2034"/>
      <c r="D16" s="1390"/>
      <c r="E16" s="61"/>
      <c r="F16" s="61"/>
      <c r="G16" s="1139"/>
      <c r="H16" s="61"/>
      <c r="I16" s="115"/>
      <c r="J16" s="61"/>
      <c r="K16" s="61"/>
      <c r="L16" s="1212"/>
      <c r="O16" s="2"/>
      <c r="S16" s="2"/>
      <c r="T16" s="2"/>
      <c r="U16" s="2"/>
      <c r="V16" s="2"/>
      <c r="W16" s="2"/>
      <c r="X16" s="2"/>
      <c r="Y16" s="2"/>
      <c r="Z16" s="2"/>
      <c r="AA16" s="2"/>
      <c r="AB16" s="2"/>
      <c r="AC16" s="2"/>
      <c r="AD16" s="2"/>
      <c r="AE16" s="2"/>
      <c r="AF16" s="2"/>
      <c r="AG16" s="2"/>
      <c r="AH16" s="2"/>
      <c r="AI16" s="2"/>
      <c r="AJ16" s="2"/>
      <c r="AK16" s="2"/>
      <c r="AL16" s="2"/>
      <c r="AM16" s="2"/>
      <c r="AN16" s="2"/>
      <c r="AO16" s="2"/>
      <c r="AP16" s="2"/>
    </row>
    <row r="17" spans="1:42" ht="12.75" customHeight="1">
      <c r="A17" s="334" t="s">
        <v>514</v>
      </c>
      <c r="B17" s="61"/>
      <c r="C17" s="2031">
        <f>BYD!AU38</f>
        <v>31.45</v>
      </c>
      <c r="D17" s="104">
        <f>BYD!AP38</f>
        <v>36.841999999999999</v>
      </c>
      <c r="E17" s="1103"/>
      <c r="F17" s="374">
        <f>C17-D17</f>
        <v>-5.3919999999999995</v>
      </c>
      <c r="G17" s="95">
        <f t="shared" ref="G17:G27" si="4">IF(D17=0,0,C17/D17-1)</f>
        <v>-0.14635470387058247</v>
      </c>
      <c r="H17" s="61"/>
      <c r="I17" s="1104">
        <v>30.734159999999989</v>
      </c>
      <c r="J17" s="1103"/>
      <c r="K17" s="374">
        <f>C17-I17</f>
        <v>0.71584000000001069</v>
      </c>
      <c r="L17" s="92">
        <f>IF(I17=0,"NM",C17/I17-1)</f>
        <v>2.3291347477855551E-2</v>
      </c>
      <c r="N17" s="1403"/>
      <c r="O17" s="2"/>
      <c r="S17" s="2"/>
      <c r="T17" s="2"/>
      <c r="U17" s="2"/>
      <c r="V17" s="2"/>
      <c r="W17" s="2"/>
      <c r="X17" s="2"/>
      <c r="Y17" s="2"/>
      <c r="Z17" s="2"/>
      <c r="AA17" s="2"/>
      <c r="AB17" s="2"/>
      <c r="AC17" s="2"/>
      <c r="AD17" s="2"/>
      <c r="AE17" s="2"/>
      <c r="AF17" s="2"/>
      <c r="AG17" s="2"/>
      <c r="AH17" s="2"/>
      <c r="AI17" s="2"/>
      <c r="AJ17" s="2"/>
      <c r="AK17" s="2"/>
      <c r="AL17" s="2"/>
      <c r="AM17" s="2"/>
      <c r="AN17" s="2"/>
      <c r="AO17" s="2"/>
      <c r="AP17" s="2"/>
    </row>
    <row r="18" spans="1:42" ht="12.75" customHeight="1">
      <c r="A18" s="334" t="s">
        <v>515</v>
      </c>
      <c r="B18" s="61"/>
      <c r="C18" s="2031">
        <f>BYD!AU39</f>
        <v>9.9350000000000005</v>
      </c>
      <c r="D18" s="104">
        <f>BYD!AP39</f>
        <v>10.839</v>
      </c>
      <c r="E18" s="1103"/>
      <c r="F18" s="374">
        <f>C18-D18</f>
        <v>-0.90399999999999991</v>
      </c>
      <c r="G18" s="95">
        <f t="shared" si="4"/>
        <v>-8.3402527908478685E-2</v>
      </c>
      <c r="H18" s="61"/>
      <c r="I18" s="1104">
        <v>11.081046618035892</v>
      </c>
      <c r="J18" s="1103"/>
      <c r="K18" s="374">
        <f>C18-I18</f>
        <v>-1.146046618035891</v>
      </c>
      <c r="L18" s="92">
        <f>IF(I18=0,"NM",C18/I18-1)</f>
        <v>-0.10342404084561352</v>
      </c>
      <c r="N18" s="1403"/>
      <c r="O18" s="2"/>
      <c r="S18" s="2"/>
      <c r="T18" s="2"/>
      <c r="U18" s="2"/>
      <c r="V18" s="2"/>
      <c r="W18" s="2"/>
      <c r="X18" s="2"/>
      <c r="Y18" s="2"/>
      <c r="Z18" s="2"/>
      <c r="AA18" s="2"/>
      <c r="AB18" s="2"/>
      <c r="AC18" s="2"/>
      <c r="AD18" s="2"/>
      <c r="AE18" s="2"/>
      <c r="AF18" s="2"/>
      <c r="AG18" s="2"/>
      <c r="AH18" s="2"/>
      <c r="AI18" s="2"/>
      <c r="AJ18" s="2"/>
      <c r="AK18" s="2"/>
      <c r="AL18" s="2"/>
      <c r="AM18" s="2"/>
      <c r="AN18" s="2"/>
      <c r="AO18" s="2"/>
      <c r="AP18" s="2"/>
    </row>
    <row r="19" spans="1:42" ht="12.75" customHeight="1">
      <c r="A19" s="334" t="s">
        <v>516</v>
      </c>
      <c r="B19" s="61"/>
      <c r="C19" s="2031">
        <f>BYD!AU41</f>
        <v>34.508000000000003</v>
      </c>
      <c r="D19" s="104">
        <f>BYD!AP41</f>
        <v>39.090000000000003</v>
      </c>
      <c r="E19" s="1103"/>
      <c r="F19" s="374">
        <f>C19-D19</f>
        <v>-4.5820000000000007</v>
      </c>
      <c r="G19" s="95">
        <f t="shared" si="4"/>
        <v>-0.11721667945766179</v>
      </c>
      <c r="H19" s="61"/>
      <c r="I19" s="1104">
        <v>40.878341230000018</v>
      </c>
      <c r="J19" s="1103"/>
      <c r="K19" s="374">
        <f>C19-I19</f>
        <v>-6.3703412300000153</v>
      </c>
      <c r="L19" s="92">
        <f>IF(I19=0,"NM",C19/I19-1)</f>
        <v>-0.15583658823526125</v>
      </c>
      <c r="N19" s="1404"/>
      <c r="O19" s="98"/>
      <c r="Q19" s="1403"/>
      <c r="S19" s="105">
        <f>125/140-1</f>
        <v>-0.1071428571428571</v>
      </c>
      <c r="T19" s="2"/>
      <c r="U19" s="2"/>
      <c r="V19" s="2"/>
      <c r="W19" s="2"/>
      <c r="X19" s="2"/>
      <c r="Y19" s="2"/>
      <c r="Z19" s="2"/>
      <c r="AA19" s="2"/>
      <c r="AB19" s="2"/>
      <c r="AC19" s="2"/>
      <c r="AD19" s="2"/>
      <c r="AE19" s="2"/>
      <c r="AF19" s="2"/>
      <c r="AG19" s="2"/>
      <c r="AH19" s="2"/>
      <c r="AI19" s="2"/>
      <c r="AJ19" s="2"/>
      <c r="AK19" s="2"/>
      <c r="AL19" s="2"/>
      <c r="AM19" s="2"/>
      <c r="AN19" s="2"/>
      <c r="AO19" s="2"/>
      <c r="AP19" s="2"/>
    </row>
    <row r="20" spans="1:42" ht="12.75" customHeight="1">
      <c r="A20" s="963" t="s">
        <v>517</v>
      </c>
      <c r="B20" s="61"/>
      <c r="C20" s="2031">
        <f>BYD!AU42</f>
        <v>21.152000000000001</v>
      </c>
      <c r="D20" s="104">
        <f>BYD!AP42</f>
        <v>0</v>
      </c>
      <c r="E20" s="1103"/>
      <c r="F20" s="374">
        <f>C20-D20</f>
        <v>21.152000000000001</v>
      </c>
      <c r="G20" s="95">
        <f>IF(D20=0,0,C20/D20-1)</f>
        <v>0</v>
      </c>
      <c r="H20" s="61"/>
      <c r="I20" s="1104">
        <v>20.727620482086447</v>
      </c>
      <c r="J20" s="1103"/>
      <c r="K20" s="374">
        <f>C20-I20</f>
        <v>0.42437951791355388</v>
      </c>
      <c r="L20" s="92">
        <f>IF(I20=0,"NM",C20/I20-1)</f>
        <v>2.0474106918366042E-2</v>
      </c>
      <c r="N20" s="1404"/>
      <c r="O20" s="98"/>
      <c r="Q20" s="1403"/>
      <c r="S20" s="105"/>
      <c r="T20" s="2"/>
      <c r="U20" s="2"/>
      <c r="V20" s="2"/>
      <c r="W20" s="2"/>
      <c r="X20" s="2"/>
      <c r="Y20" s="2"/>
      <c r="Z20" s="2"/>
      <c r="AA20" s="2"/>
      <c r="AB20" s="2"/>
      <c r="AC20" s="2"/>
      <c r="AD20" s="2"/>
      <c r="AE20" s="2"/>
      <c r="AF20" s="2"/>
      <c r="AG20" s="2"/>
      <c r="AH20" s="2"/>
      <c r="AI20" s="2"/>
      <c r="AJ20" s="2"/>
      <c r="AK20" s="2"/>
      <c r="AL20" s="2"/>
      <c r="AM20" s="2"/>
      <c r="AN20" s="2"/>
      <c r="AO20" s="2"/>
      <c r="AP20" s="2"/>
    </row>
    <row r="21" spans="1:42" ht="12.75" customHeight="1">
      <c r="A21" s="334" t="s">
        <v>273</v>
      </c>
      <c r="B21" s="61"/>
      <c r="C21" s="2031">
        <f>BYD!AU927</f>
        <v>14.01</v>
      </c>
      <c r="D21" s="104">
        <f>BYD!AP927</f>
        <v>37.859999999999985</v>
      </c>
      <c r="E21" s="1103"/>
      <c r="F21" s="374">
        <f>C21-D21</f>
        <v>-23.849999999999987</v>
      </c>
      <c r="G21" s="95">
        <f t="shared" si="4"/>
        <v>-0.62995245641838338</v>
      </c>
      <c r="H21" s="61"/>
      <c r="I21" s="1104">
        <v>20.735727138255129</v>
      </c>
      <c r="J21" s="1103"/>
      <c r="K21" s="374">
        <f>C21-I21</f>
        <v>-6.7257271382551291</v>
      </c>
      <c r="L21" s="92">
        <f>IF(I21=0,"NM",C21/I21-1)</f>
        <v>-0.3243545352140994</v>
      </c>
      <c r="M21" s="1617"/>
      <c r="N21" s="1444"/>
      <c r="O21" s="1336"/>
      <c r="Q21" s="1087"/>
      <c r="S21" s="2"/>
      <c r="T21" s="2"/>
      <c r="U21" s="2"/>
      <c r="V21" s="2"/>
      <c r="W21" s="2"/>
      <c r="X21" s="2"/>
      <c r="Y21" s="2"/>
      <c r="Z21" s="2"/>
      <c r="AA21" s="2"/>
      <c r="AB21" s="2"/>
      <c r="AC21" s="2"/>
      <c r="AD21" s="2"/>
      <c r="AE21" s="2"/>
      <c r="AF21" s="2"/>
      <c r="AG21" s="2"/>
      <c r="AH21" s="2"/>
      <c r="AI21" s="2"/>
      <c r="AJ21" s="2"/>
      <c r="AK21" s="2"/>
      <c r="AL21" s="2"/>
      <c r="AM21" s="2"/>
      <c r="AN21" s="2"/>
      <c r="AO21" s="2"/>
      <c r="AP21" s="2"/>
    </row>
    <row r="22" spans="1:42" ht="12.75" customHeight="1">
      <c r="A22" s="138" t="s">
        <v>819</v>
      </c>
      <c r="B22" s="1203"/>
      <c r="C22" s="2032">
        <f>SUM(C17:C21)</f>
        <v>111.05500000000001</v>
      </c>
      <c r="D22" s="1210">
        <f>SUM(D17:D21)</f>
        <v>124.63099999999999</v>
      </c>
      <c r="E22" s="1210"/>
      <c r="F22" s="1210">
        <f>SUM(F17:F21)</f>
        <v>-13.575999999999986</v>
      </c>
      <c r="G22" s="1208">
        <f t="shared" si="4"/>
        <v>-0.10892956006130083</v>
      </c>
      <c r="H22" s="1206"/>
      <c r="I22" s="1209">
        <v>124.15689546837748</v>
      </c>
      <c r="J22" s="1210"/>
      <c r="K22" s="1210">
        <f>SUM(K17:K19)</f>
        <v>-6.8005478480358956</v>
      </c>
      <c r="L22" s="1211">
        <f>C22/I22-1</f>
        <v>-0.1055269255803396</v>
      </c>
      <c r="N22" s="1444"/>
      <c r="O22" s="1336"/>
      <c r="S22" s="2"/>
      <c r="T22" s="2"/>
      <c r="U22" s="2"/>
      <c r="V22" s="2"/>
      <c r="W22" s="2"/>
      <c r="X22" s="2"/>
      <c r="Y22" s="2"/>
      <c r="Z22" s="2"/>
      <c r="AA22" s="2"/>
      <c r="AB22" s="2"/>
      <c r="AC22" s="2"/>
      <c r="AD22" s="2"/>
      <c r="AE22" s="2"/>
      <c r="AF22" s="2"/>
      <c r="AG22" s="2"/>
      <c r="AH22" s="2"/>
      <c r="AI22" s="2"/>
      <c r="AJ22" s="2"/>
      <c r="AK22" s="2"/>
      <c r="AL22" s="2"/>
      <c r="AM22" s="2"/>
      <c r="AN22" s="2"/>
      <c r="AO22" s="2"/>
      <c r="AP22" s="2"/>
    </row>
    <row r="23" spans="1:42" ht="12.75" customHeight="1">
      <c r="A23" s="2" t="s">
        <v>742</v>
      </c>
      <c r="B23" s="2"/>
      <c r="C23" s="2031">
        <f>BYD!AU54</f>
        <v>-10.198</v>
      </c>
      <c r="D23" s="104">
        <f>BYD!AP54</f>
        <v>-10.363</v>
      </c>
      <c r="E23" s="1103"/>
      <c r="F23" s="374">
        <f>C23-D23</f>
        <v>0.16499999999999915</v>
      </c>
      <c r="G23" s="126">
        <f t="shared" si="4"/>
        <v>-1.5922030300106083E-2</v>
      </c>
      <c r="H23" s="2"/>
      <c r="I23" s="1104">
        <v>-11.140224999999999</v>
      </c>
      <c r="J23" s="1103"/>
      <c r="K23" s="374">
        <f>C23-I23</f>
        <v>0.94222499999999876</v>
      </c>
      <c r="L23" s="1204">
        <f>IF(I23=0,"NM",C23/I23-1)</f>
        <v>-8.4578632837307932E-2</v>
      </c>
      <c r="O23" s="1336"/>
      <c r="S23" s="2"/>
      <c r="T23" s="2"/>
      <c r="U23" s="2"/>
      <c r="V23" s="2"/>
      <c r="W23" s="2"/>
      <c r="X23" s="2"/>
      <c r="Y23" s="2"/>
      <c r="Z23" s="2"/>
      <c r="AA23" s="2"/>
      <c r="AB23" s="2"/>
      <c r="AC23" s="2"/>
      <c r="AD23" s="2"/>
      <c r="AE23" s="2"/>
      <c r="AF23" s="2"/>
      <c r="AG23" s="2"/>
      <c r="AH23" s="2"/>
      <c r="AI23" s="2"/>
      <c r="AJ23" s="2"/>
      <c r="AK23" s="2"/>
      <c r="AL23" s="2"/>
      <c r="AM23" s="2"/>
      <c r="AN23" s="2"/>
      <c r="AO23" s="2"/>
      <c r="AP23" s="2"/>
    </row>
    <row r="24" spans="1:42" ht="12.75" customHeight="1">
      <c r="A24" s="138" t="s">
        <v>555</v>
      </c>
      <c r="B24" s="1203"/>
      <c r="C24" s="2032">
        <f>SUM(C22:C23)</f>
        <v>100.857</v>
      </c>
      <c r="D24" s="1210">
        <f>SUM(D22:D23)</f>
        <v>114.26799999999999</v>
      </c>
      <c r="E24" s="1210"/>
      <c r="F24" s="1210">
        <f>F22+F23</f>
        <v>-13.410999999999987</v>
      </c>
      <c r="G24" s="1208">
        <f t="shared" si="4"/>
        <v>-0.11736444148843062</v>
      </c>
      <c r="H24" s="1210"/>
      <c r="I24" s="1209">
        <v>113.01667046837748</v>
      </c>
      <c r="J24" s="1210"/>
      <c r="K24" s="1210">
        <f>K22+K23</f>
        <v>-5.8583228480358969</v>
      </c>
      <c r="L24" s="1254">
        <f>IF(I24=0,"NM",C24/I24-1)</f>
        <v>-0.1075918306386473</v>
      </c>
      <c r="M24" s="1442"/>
      <c r="N24" s="1442"/>
      <c r="O24" s="1102">
        <v>116.97</v>
      </c>
      <c r="P24" s="1299"/>
      <c r="Q24" s="1087" t="s">
        <v>1482</v>
      </c>
      <c r="S24" s="2"/>
      <c r="T24" s="2"/>
      <c r="U24" s="2"/>
      <c r="V24" s="2"/>
      <c r="W24" s="2"/>
      <c r="X24" s="2"/>
      <c r="Y24" s="2"/>
      <c r="Z24" s="2"/>
      <c r="AA24" s="2"/>
      <c r="AB24" s="2"/>
      <c r="AC24" s="2"/>
      <c r="AD24" s="2"/>
      <c r="AE24" s="2"/>
      <c r="AF24" s="2"/>
      <c r="AG24" s="2"/>
      <c r="AH24" s="2"/>
      <c r="AI24" s="2"/>
      <c r="AJ24" s="2"/>
      <c r="AK24" s="2"/>
      <c r="AL24" s="2"/>
      <c r="AM24" s="2"/>
      <c r="AN24" s="2"/>
      <c r="AO24" s="2"/>
      <c r="AP24" s="2"/>
    </row>
    <row r="25" spans="1:42" ht="12.75" customHeight="1">
      <c r="A25" s="439" t="s">
        <v>1745</v>
      </c>
      <c r="B25" s="2"/>
      <c r="C25" s="2036">
        <f>BYD!AU65</f>
        <v>4.6870000000000003</v>
      </c>
      <c r="D25" s="374">
        <f>BYD!AP65</f>
        <v>2.2570000000000001</v>
      </c>
      <c r="E25" s="1103"/>
      <c r="F25" s="374">
        <f>C25-D25</f>
        <v>2.4300000000000002</v>
      </c>
      <c r="G25" s="126">
        <f t="shared" si="4"/>
        <v>1.0766504209127161</v>
      </c>
      <c r="H25" s="2"/>
      <c r="I25" s="432">
        <v>2.5</v>
      </c>
      <c r="J25" s="1103"/>
      <c r="K25" s="374">
        <f>C25-I25</f>
        <v>2.1870000000000003</v>
      </c>
      <c r="L25" s="1204">
        <f>IF(I25=0,"NM",C25/I25-1)</f>
        <v>0.87480000000000002</v>
      </c>
      <c r="M25" s="1443"/>
      <c r="N25" s="1646"/>
      <c r="O25" s="2"/>
      <c r="S25" s="2"/>
      <c r="T25" s="2"/>
      <c r="U25" s="2"/>
      <c r="V25" s="2"/>
      <c r="W25" s="2"/>
      <c r="X25" s="2"/>
      <c r="Y25" s="2"/>
      <c r="Z25" s="2"/>
      <c r="AA25" s="2"/>
      <c r="AB25" s="2"/>
      <c r="AC25" s="2"/>
      <c r="AD25" s="2"/>
      <c r="AE25" s="2"/>
      <c r="AF25" s="2"/>
      <c r="AG25" s="2"/>
      <c r="AH25" s="2"/>
      <c r="AI25" s="2"/>
      <c r="AJ25" s="2"/>
      <c r="AK25" s="2"/>
      <c r="AL25" s="2"/>
      <c r="AM25" s="2"/>
      <c r="AN25" s="2"/>
      <c r="AO25" s="2"/>
      <c r="AP25" s="2"/>
    </row>
    <row r="26" spans="1:42" ht="12.75" customHeight="1">
      <c r="A26" s="439" t="s">
        <v>201</v>
      </c>
      <c r="B26" s="2"/>
      <c r="C26" s="2036">
        <f>BYD!AU66</f>
        <v>0.996</v>
      </c>
      <c r="D26" s="374">
        <f>BYD!AP66</f>
        <v>1.034</v>
      </c>
      <c r="E26" s="1103"/>
      <c r="F26" s="374">
        <f>C26-D26</f>
        <v>-3.8000000000000034E-2</v>
      </c>
      <c r="G26" s="126">
        <f t="shared" si="4"/>
        <v>-3.675048355899424E-2</v>
      </c>
      <c r="H26" s="2"/>
      <c r="I26" s="432">
        <v>1.03</v>
      </c>
      <c r="J26" s="1103"/>
      <c r="K26" s="374">
        <f>C26-I26</f>
        <v>-3.400000000000003E-2</v>
      </c>
      <c r="L26" s="1204">
        <f>IF(I26=0,"NM",C26/I26-1)</f>
        <v>-3.300970873786413E-2</v>
      </c>
      <c r="N26" s="1102"/>
      <c r="O26" s="1102"/>
      <c r="S26" s="2">
        <v>162.36000000000001</v>
      </c>
      <c r="T26" s="2"/>
      <c r="U26" s="2"/>
      <c r="V26" s="2"/>
      <c r="W26" s="2"/>
      <c r="X26" s="2"/>
      <c r="Y26" s="2"/>
      <c r="Z26" s="2"/>
      <c r="AA26" s="2"/>
      <c r="AB26" s="2"/>
      <c r="AC26" s="2"/>
      <c r="AD26" s="2"/>
      <c r="AE26" s="2"/>
      <c r="AF26" s="2"/>
      <c r="AG26" s="2"/>
      <c r="AH26" s="2"/>
      <c r="AI26" s="2"/>
      <c r="AJ26" s="2"/>
      <c r="AK26" s="2"/>
      <c r="AL26" s="2"/>
      <c r="AM26" s="2"/>
      <c r="AN26" s="2"/>
      <c r="AO26" s="2"/>
      <c r="AP26" s="2"/>
    </row>
    <row r="27" spans="1:42" ht="12.75" customHeight="1">
      <c r="A27" s="1693" t="s">
        <v>202</v>
      </c>
      <c r="B27" s="2"/>
      <c r="C27" s="2036">
        <f>BYD!AU67</f>
        <v>63.207000000000001</v>
      </c>
      <c r="D27" s="374">
        <f>BYD!AP67</f>
        <v>50.237000000000002</v>
      </c>
      <c r="E27" s="1103"/>
      <c r="F27" s="374">
        <f>C27-D27</f>
        <v>12.969999999999999</v>
      </c>
      <c r="G27" s="126">
        <f t="shared" si="4"/>
        <v>0.25817624460059307</v>
      </c>
      <c r="H27" s="2"/>
      <c r="I27" s="432">
        <v>55.80899999999999</v>
      </c>
      <c r="J27" s="1103"/>
      <c r="K27" s="374">
        <f>C27-I27</f>
        <v>7.3980000000000103</v>
      </c>
      <c r="L27" s="1204">
        <f>IF(I27=0,"NM",C27/I27-1)</f>
        <v>0.13255926463473644</v>
      </c>
      <c r="N27" s="1102"/>
      <c r="O27" s="1102"/>
      <c r="S27" s="2">
        <v>176.74</v>
      </c>
      <c r="T27" s="2"/>
      <c r="U27" s="2"/>
      <c r="V27" s="2"/>
      <c r="W27" s="2"/>
      <c r="X27" s="2"/>
      <c r="Y27" s="2"/>
      <c r="Z27" s="2"/>
      <c r="AA27" s="2"/>
      <c r="AB27" s="2"/>
      <c r="AC27" s="2"/>
      <c r="AD27" s="2"/>
      <c r="AE27" s="2"/>
      <c r="AF27" s="2"/>
      <c r="AG27" s="2"/>
      <c r="AH27" s="2"/>
      <c r="AI27" s="2"/>
      <c r="AJ27" s="2"/>
      <c r="AK27" s="2"/>
      <c r="AL27" s="2"/>
      <c r="AM27" s="2"/>
      <c r="AN27" s="2"/>
      <c r="AO27" s="2"/>
      <c r="AP27" s="2"/>
    </row>
    <row r="28" spans="1:42" ht="4.5" customHeight="1">
      <c r="A28" s="964"/>
      <c r="B28" s="2"/>
      <c r="C28" s="2037" t="s">
        <v>343</v>
      </c>
      <c r="D28" s="452" t="s">
        <v>343</v>
      </c>
      <c r="E28" s="96" t="s">
        <v>343</v>
      </c>
      <c r="F28" s="452" t="s">
        <v>343</v>
      </c>
      <c r="G28" s="1251" t="s">
        <v>343</v>
      </c>
      <c r="H28" s="2" t="s">
        <v>343</v>
      </c>
      <c r="I28" s="453" t="s">
        <v>343</v>
      </c>
      <c r="J28" s="96" t="s">
        <v>343</v>
      </c>
      <c r="K28" s="452" t="s">
        <v>343</v>
      </c>
      <c r="L28" s="1252" t="s">
        <v>343</v>
      </c>
      <c r="N28" s="1102"/>
      <c r="O28" s="1102"/>
      <c r="S28" s="2"/>
      <c r="T28" s="2"/>
      <c r="U28" s="2"/>
      <c r="V28" s="2"/>
      <c r="W28" s="2"/>
      <c r="X28" s="2"/>
      <c r="Y28" s="2"/>
      <c r="Z28" s="2"/>
      <c r="AA28" s="2"/>
      <c r="AB28" s="2"/>
      <c r="AC28" s="2"/>
      <c r="AD28" s="2"/>
      <c r="AE28" s="2"/>
      <c r="AF28" s="2"/>
      <c r="AG28" s="2"/>
      <c r="AH28" s="2"/>
      <c r="AI28" s="2"/>
      <c r="AJ28" s="2"/>
      <c r="AK28" s="2"/>
      <c r="AL28" s="2"/>
      <c r="AM28" s="2"/>
      <c r="AN28" s="2"/>
      <c r="AO28" s="2"/>
      <c r="AP28" s="2"/>
    </row>
    <row r="29" spans="1:42" ht="12.75" customHeight="1">
      <c r="A29" s="1" t="s">
        <v>744</v>
      </c>
      <c r="B29" s="2"/>
      <c r="C29" s="2038">
        <f>C24-C25-C26-C27</f>
        <v>31.967000000000006</v>
      </c>
      <c r="D29" s="1241">
        <f>D24-D25-D26-D27</f>
        <v>60.739999999999974</v>
      </c>
      <c r="E29" s="932"/>
      <c r="F29" s="1241">
        <f>F24-F25-F26-F27</f>
        <v>-28.772999999999985</v>
      </c>
      <c r="G29" s="106">
        <f>IF(D29=0,0,C29/D29-1)</f>
        <v>-0.47370760619031904</v>
      </c>
      <c r="H29" s="1205"/>
      <c r="I29" s="1242">
        <v>53.677670468377492</v>
      </c>
      <c r="J29" s="932"/>
      <c r="K29" s="1241">
        <f>C29-I29</f>
        <v>-21.710670468377486</v>
      </c>
      <c r="L29" s="1214">
        <f>C29/I29-1</f>
        <v>-0.40446372353598403</v>
      </c>
      <c r="O29" s="2"/>
      <c r="S29" s="1336">
        <f>+S26/S27-1</f>
        <v>-8.1362453321262795E-2</v>
      </c>
      <c r="T29" s="2"/>
      <c r="U29" s="2"/>
      <c r="V29" s="2"/>
      <c r="W29" s="2"/>
      <c r="X29" s="2"/>
      <c r="Y29" s="2"/>
      <c r="Z29" s="2"/>
      <c r="AA29" s="2"/>
      <c r="AB29" s="2"/>
      <c r="AC29" s="2"/>
      <c r="AD29" s="2"/>
      <c r="AE29" s="2"/>
      <c r="AF29" s="2"/>
      <c r="AG29" s="2"/>
      <c r="AH29" s="2"/>
      <c r="AI29" s="2"/>
      <c r="AJ29" s="2"/>
      <c r="AK29" s="2"/>
      <c r="AL29" s="2"/>
      <c r="AM29" s="2"/>
      <c r="AN29" s="2"/>
      <c r="AO29" s="2"/>
      <c r="AP29" s="2"/>
    </row>
    <row r="30" spans="1:42" ht="12.75" customHeight="1">
      <c r="A30" s="445" t="s">
        <v>1176</v>
      </c>
      <c r="B30" s="2"/>
      <c r="C30" s="2036">
        <f>BYD!AU73</f>
        <v>-86.787999999999997</v>
      </c>
      <c r="D30" s="374">
        <f>BYD!AP73</f>
        <v>-66.656999999999996</v>
      </c>
      <c r="E30" s="932"/>
      <c r="F30" s="374">
        <f>C30-D30</f>
        <v>-20.131</v>
      </c>
      <c r="G30" s="126">
        <f>IF(D30=0,0,C30/D30-1)</f>
        <v>0.3020087912747349</v>
      </c>
      <c r="H30" s="1205"/>
      <c r="I30" s="432">
        <v>-76.985930624999995</v>
      </c>
      <c r="J30" s="932"/>
      <c r="K30" s="374">
        <f>C30-I30</f>
        <v>-9.8020693750000021</v>
      </c>
      <c r="L30" s="1204">
        <f>IF(I30=0,"NM",C30/I30-1)</f>
        <v>0.12732286659943193</v>
      </c>
      <c r="O30" s="2"/>
      <c r="S30" s="2"/>
      <c r="T30" s="2"/>
      <c r="U30" s="2"/>
      <c r="V30" s="2"/>
      <c r="W30" s="2"/>
      <c r="X30" s="2"/>
      <c r="Y30" s="2"/>
      <c r="Z30" s="2"/>
      <c r="AA30" s="2"/>
      <c r="AB30" s="2"/>
      <c r="AC30" s="2"/>
      <c r="AD30" s="2"/>
      <c r="AE30" s="2"/>
      <c r="AF30" s="2"/>
      <c r="AG30" s="2"/>
      <c r="AH30" s="2"/>
      <c r="AI30" s="2"/>
      <c r="AJ30" s="2"/>
      <c r="AK30" s="2"/>
      <c r="AL30" s="2"/>
      <c r="AM30" s="2"/>
      <c r="AN30" s="2"/>
      <c r="AO30" s="2"/>
      <c r="AP30" s="2"/>
    </row>
    <row r="31" spans="1:42" ht="12.75" customHeight="1">
      <c r="A31" s="445" t="s">
        <v>203</v>
      </c>
      <c r="B31" s="2"/>
      <c r="C31" s="2036">
        <f>BYD!AU74</f>
        <v>0</v>
      </c>
      <c r="D31" s="374">
        <f>BYD!AP74</f>
        <v>0</v>
      </c>
      <c r="E31" s="932"/>
      <c r="F31" s="374">
        <f>C31-D31</f>
        <v>0</v>
      </c>
      <c r="G31" s="126">
        <f>IF(D31=0,0,C31/D31-1)</f>
        <v>0</v>
      </c>
      <c r="H31" s="1205"/>
      <c r="I31" s="432">
        <v>0</v>
      </c>
      <c r="J31" s="932"/>
      <c r="K31" s="374">
        <f>C31-I31</f>
        <v>0</v>
      </c>
      <c r="L31" s="1204" t="str">
        <f>IF(I31=0,"NM",C31/I31-1)</f>
        <v>NM</v>
      </c>
      <c r="O31" s="2"/>
      <c r="S31" s="2"/>
      <c r="T31" s="2"/>
      <c r="U31" s="2"/>
      <c r="V31" s="2"/>
      <c r="W31" s="2"/>
      <c r="X31" s="2"/>
      <c r="Y31" s="2"/>
      <c r="Z31" s="2"/>
      <c r="AA31" s="2"/>
      <c r="AB31" s="2"/>
      <c r="AC31" s="2"/>
      <c r="AD31" s="2"/>
      <c r="AE31" s="2"/>
      <c r="AF31" s="2"/>
      <c r="AG31" s="2"/>
      <c r="AH31" s="2"/>
      <c r="AI31" s="2"/>
      <c r="AJ31" s="2"/>
      <c r="AK31" s="2"/>
      <c r="AL31" s="2"/>
      <c r="AM31" s="2"/>
      <c r="AN31" s="2"/>
      <c r="AO31" s="2"/>
      <c r="AP31" s="2"/>
    </row>
    <row r="32" spans="1:42" ht="12.75" customHeight="1">
      <c r="A32" s="445" t="s">
        <v>814</v>
      </c>
      <c r="B32" s="2"/>
      <c r="C32" s="2036">
        <f>BYD!AU78</f>
        <v>-1070.1479999999999</v>
      </c>
      <c r="D32" s="374">
        <f>BYD!AP78</f>
        <v>4.6400000000000006</v>
      </c>
      <c r="E32" s="1103"/>
      <c r="F32" s="374">
        <f>C32-D32</f>
        <v>-1074.788</v>
      </c>
      <c r="G32" s="126">
        <f>IF(D32=0,0,C32/D32-1)</f>
        <v>-231.63534482758615</v>
      </c>
      <c r="H32" s="2"/>
      <c r="I32" s="432">
        <v>-2.2430000000000003</v>
      </c>
      <c r="J32" s="1103"/>
      <c r="K32" s="374">
        <f>C32-I32</f>
        <v>-1067.905</v>
      </c>
      <c r="L32" s="1204">
        <f>IF(I32=0,"NM",C32/I32-1)</f>
        <v>476.10566205974129</v>
      </c>
      <c r="O32" s="2"/>
      <c r="S32" s="2"/>
      <c r="T32" s="2"/>
      <c r="U32" s="2"/>
      <c r="V32" s="2"/>
      <c r="W32" s="2"/>
      <c r="X32" s="2"/>
      <c r="Y32" s="2"/>
      <c r="Z32" s="2"/>
      <c r="AA32" s="2"/>
      <c r="AB32" s="2"/>
      <c r="AC32" s="2"/>
      <c r="AD32" s="2"/>
      <c r="AE32" s="2"/>
      <c r="AF32" s="2"/>
      <c r="AG32" s="2"/>
      <c r="AH32" s="2"/>
      <c r="AI32" s="2"/>
      <c r="AJ32" s="2"/>
      <c r="AK32" s="2"/>
      <c r="AL32" s="2"/>
      <c r="AM32" s="2"/>
      <c r="AN32" s="2"/>
      <c r="AO32" s="2"/>
      <c r="AP32" s="2"/>
    </row>
    <row r="33" spans="1:42" ht="4.5" customHeight="1">
      <c r="A33" s="964"/>
      <c r="B33" s="2"/>
      <c r="C33" s="2037" t="s">
        <v>343</v>
      </c>
      <c r="D33" s="452" t="s">
        <v>343</v>
      </c>
      <c r="E33" s="96" t="s">
        <v>343</v>
      </c>
      <c r="F33" s="452" t="s">
        <v>343</v>
      </c>
      <c r="G33" s="1251" t="s">
        <v>343</v>
      </c>
      <c r="H33" s="2" t="s">
        <v>343</v>
      </c>
      <c r="I33" s="453" t="s">
        <v>343</v>
      </c>
      <c r="J33" s="96" t="s">
        <v>343</v>
      </c>
      <c r="K33" s="452" t="s">
        <v>343</v>
      </c>
      <c r="L33" s="1252" t="s">
        <v>343</v>
      </c>
      <c r="N33" s="1102"/>
      <c r="O33" s="1102"/>
      <c r="S33" s="2"/>
      <c r="T33" s="2"/>
      <c r="U33" s="2"/>
      <c r="V33" s="2"/>
      <c r="W33" s="2"/>
      <c r="X33" s="2"/>
      <c r="Y33" s="2"/>
      <c r="Z33" s="2"/>
      <c r="AA33" s="2"/>
      <c r="AB33" s="2"/>
      <c r="AC33" s="2"/>
      <c r="AD33" s="2"/>
      <c r="AE33" s="2"/>
      <c r="AF33" s="2"/>
      <c r="AG33" s="2"/>
      <c r="AH33" s="2"/>
      <c r="AI33" s="2"/>
      <c r="AJ33" s="2"/>
      <c r="AK33" s="2"/>
      <c r="AL33" s="2"/>
      <c r="AM33" s="2"/>
      <c r="AN33" s="2"/>
      <c r="AO33" s="2"/>
      <c r="AP33" s="2"/>
    </row>
    <row r="34" spans="1:42" ht="12.75" customHeight="1">
      <c r="A34" s="1" t="s">
        <v>745</v>
      </c>
      <c r="B34" s="2"/>
      <c r="C34" s="2039">
        <f>SUM(C29:C32)</f>
        <v>-1124.9689999999998</v>
      </c>
      <c r="D34" s="929">
        <f>SUM(D29:D32)</f>
        <v>-1.2770000000000223</v>
      </c>
      <c r="E34" s="932"/>
      <c r="F34" s="1241">
        <f>C34-D34</f>
        <v>-1123.6919999999998</v>
      </c>
      <c r="G34" s="106">
        <f>IF(D34=0,0,C34/D34-1)</f>
        <v>879.94675019575584</v>
      </c>
      <c r="H34" s="1205"/>
      <c r="I34" s="1213">
        <v>-25.551260156622504</v>
      </c>
      <c r="J34" s="932"/>
      <c r="K34" s="1241">
        <f>C34-I34</f>
        <v>-1099.4177398433774</v>
      </c>
      <c r="L34" s="1214">
        <f>C34/I34-1</f>
        <v>43.027926337262265</v>
      </c>
      <c r="O34" s="2"/>
      <c r="S34" s="2"/>
      <c r="T34" s="2"/>
      <c r="U34" s="2"/>
      <c r="V34" s="2"/>
      <c r="W34" s="2"/>
      <c r="X34" s="2"/>
      <c r="Y34" s="2"/>
      <c r="Z34" s="2"/>
      <c r="AA34" s="2"/>
      <c r="AB34" s="2"/>
      <c r="AC34" s="2"/>
      <c r="AD34" s="2"/>
      <c r="AE34" s="2"/>
      <c r="AF34" s="2"/>
      <c r="AG34" s="2"/>
      <c r="AH34" s="2"/>
      <c r="AI34" s="2"/>
      <c r="AJ34" s="2"/>
      <c r="AK34" s="2"/>
      <c r="AL34" s="2"/>
      <c r="AM34" s="2"/>
      <c r="AN34" s="2"/>
      <c r="AO34" s="2"/>
      <c r="AP34" s="2"/>
    </row>
    <row r="35" spans="1:42" ht="12.75" customHeight="1">
      <c r="A35" s="445" t="s">
        <v>205</v>
      </c>
      <c r="B35" s="2"/>
      <c r="C35" s="2036">
        <f>BYD!AU81</f>
        <v>213.19200000000001</v>
      </c>
      <c r="D35" s="374">
        <f>BYD!AP81</f>
        <v>-1.7490000000000001</v>
      </c>
      <c r="E35" s="1103"/>
      <c r="F35" s="374">
        <f>C35-D35</f>
        <v>214.941</v>
      </c>
      <c r="G35" s="126">
        <f>IF(D35=0,0,C35/D35-1)</f>
        <v>-122.89365351629502</v>
      </c>
      <c r="H35" s="2"/>
      <c r="I35" s="432">
        <v>8.942941054817874</v>
      </c>
      <c r="J35" s="1103"/>
      <c r="K35" s="374">
        <f>C35-I35</f>
        <v>204.24905894518213</v>
      </c>
      <c r="L35" s="1204">
        <f>IF(I35=0,"NM",C35/I35-1)</f>
        <v>22.839137336720569</v>
      </c>
      <c r="O35" s="2"/>
      <c r="S35" s="2"/>
      <c r="T35" s="2"/>
      <c r="U35" s="2"/>
      <c r="V35" s="2"/>
      <c r="W35" s="2"/>
      <c r="X35" s="2"/>
      <c r="Y35" s="2"/>
      <c r="Z35" s="2"/>
      <c r="AA35" s="2"/>
      <c r="AB35" s="2"/>
      <c r="AC35" s="2"/>
      <c r="AD35" s="2"/>
      <c r="AE35" s="2"/>
      <c r="AF35" s="2"/>
      <c r="AG35" s="2"/>
      <c r="AH35" s="2"/>
      <c r="AI35" s="2"/>
      <c r="AJ35" s="2"/>
      <c r="AK35" s="2"/>
      <c r="AL35" s="2"/>
      <c r="AM35" s="2"/>
      <c r="AN35" s="2"/>
      <c r="AO35" s="2"/>
      <c r="AP35" s="2"/>
    </row>
    <row r="36" spans="1:42" ht="4.5" customHeight="1">
      <c r="A36" s="964"/>
      <c r="B36" s="2"/>
      <c r="C36" s="2037" t="s">
        <v>343</v>
      </c>
      <c r="D36" s="452" t="s">
        <v>343</v>
      </c>
      <c r="E36" s="96" t="s">
        <v>343</v>
      </c>
      <c r="F36" s="452" t="s">
        <v>343</v>
      </c>
      <c r="G36" s="1251" t="s">
        <v>343</v>
      </c>
      <c r="H36" s="2" t="s">
        <v>343</v>
      </c>
      <c r="I36" s="453" t="s">
        <v>343</v>
      </c>
      <c r="J36" s="96" t="s">
        <v>343</v>
      </c>
      <c r="K36" s="452" t="s">
        <v>343</v>
      </c>
      <c r="L36" s="1252" t="s">
        <v>343</v>
      </c>
      <c r="N36" s="1102"/>
      <c r="O36" s="1102"/>
      <c r="S36" s="2"/>
      <c r="T36" s="2"/>
      <c r="U36" s="2"/>
      <c r="V36" s="2"/>
      <c r="W36" s="2"/>
      <c r="X36" s="2"/>
      <c r="Y36" s="2"/>
      <c r="Z36" s="2"/>
      <c r="AA36" s="2"/>
      <c r="AB36" s="2"/>
      <c r="AC36" s="2"/>
      <c r="AD36" s="2"/>
      <c r="AE36" s="2"/>
      <c r="AF36" s="2"/>
      <c r="AG36" s="2"/>
      <c r="AH36" s="2"/>
      <c r="AI36" s="2"/>
      <c r="AJ36" s="2"/>
      <c r="AK36" s="2"/>
      <c r="AL36" s="2"/>
      <c r="AM36" s="2"/>
      <c r="AN36" s="2"/>
      <c r="AO36" s="2"/>
      <c r="AP36" s="2"/>
    </row>
    <row r="37" spans="1:42" ht="12.75" customHeight="1">
      <c r="A37" s="107" t="s">
        <v>1243</v>
      </c>
      <c r="B37" s="61"/>
      <c r="C37" s="2039">
        <f>C34+C35</f>
        <v>-911.77699999999982</v>
      </c>
      <c r="D37" s="929">
        <f>D34+D35</f>
        <v>-3.0260000000000224</v>
      </c>
      <c r="E37" s="932"/>
      <c r="F37" s="1241">
        <f>F34+F35</f>
        <v>-908.75099999999975</v>
      </c>
      <c r="G37" s="1215">
        <f>G34+G35</f>
        <v>757.05309667946085</v>
      </c>
      <c r="H37" s="932"/>
      <c r="I37" s="1213">
        <v>-16.608319101804632</v>
      </c>
      <c r="J37" s="932"/>
      <c r="K37" s="1241">
        <f>K34+K35</f>
        <v>-895.16868089819525</v>
      </c>
      <c r="L37" s="1215">
        <f>L34+L35</f>
        <v>65.867063673982841</v>
      </c>
      <c r="M37" s="1238"/>
      <c r="N37" s="1238"/>
      <c r="O37" s="61"/>
      <c r="S37" s="1336"/>
      <c r="T37" s="2"/>
      <c r="U37" s="2"/>
      <c r="V37" s="2"/>
      <c r="W37" s="2"/>
      <c r="X37" s="2"/>
      <c r="Y37" s="2"/>
      <c r="Z37" s="2"/>
      <c r="AA37" s="2"/>
      <c r="AB37" s="2"/>
      <c r="AC37" s="2"/>
      <c r="AD37" s="2"/>
      <c r="AE37" s="2"/>
      <c r="AF37" s="2"/>
      <c r="AG37" s="2"/>
      <c r="AH37" s="2"/>
      <c r="AI37" s="2"/>
      <c r="AJ37" s="2"/>
      <c r="AK37" s="2"/>
      <c r="AL37" s="2"/>
      <c r="AM37" s="2"/>
      <c r="AN37" s="2"/>
      <c r="AO37" s="2"/>
      <c r="AP37" s="2"/>
    </row>
    <row r="38" spans="1:42" ht="12.75" customHeight="1">
      <c r="A38" s="445" t="s">
        <v>130</v>
      </c>
      <c r="B38" s="2"/>
      <c r="C38" s="2036">
        <f>BYD!AU85</f>
        <v>11.879</v>
      </c>
      <c r="D38" s="374">
        <f>BYD!AP85</f>
        <v>2.5350000000000001</v>
      </c>
      <c r="E38" s="1103"/>
      <c r="F38" s="374">
        <f>C38-D38</f>
        <v>9.3439999999999994</v>
      </c>
      <c r="G38" s="126">
        <f>IF(D38=0,0,C38/D38-1)</f>
        <v>3.6859960552268243</v>
      </c>
      <c r="H38" s="2"/>
      <c r="I38" s="432">
        <v>6.0784353437572527</v>
      </c>
      <c r="J38" s="1103"/>
      <c r="K38" s="374">
        <f>C38-I38</f>
        <v>5.8005646562427469</v>
      </c>
      <c r="L38" s="1204">
        <f>IF(I38=0,"NM",C38/I38-1)</f>
        <v>0.95428581998492623</v>
      </c>
      <c r="O38" s="2"/>
      <c r="S38" s="2"/>
      <c r="T38" s="2"/>
      <c r="U38" s="2"/>
      <c r="V38" s="2"/>
      <c r="W38" s="2"/>
      <c r="X38" s="2"/>
      <c r="Y38" s="2"/>
      <c r="Z38" s="2"/>
      <c r="AA38" s="2"/>
      <c r="AB38" s="2"/>
      <c r="AC38" s="2"/>
      <c r="AD38" s="2"/>
      <c r="AE38" s="2"/>
      <c r="AF38" s="2"/>
      <c r="AG38" s="2"/>
      <c r="AH38" s="2"/>
      <c r="AI38" s="2"/>
      <c r="AJ38" s="2"/>
      <c r="AK38" s="2"/>
      <c r="AL38" s="2"/>
      <c r="AM38" s="2"/>
      <c r="AN38" s="2"/>
      <c r="AO38" s="2"/>
      <c r="AP38" s="2"/>
    </row>
    <row r="39" spans="1:42" ht="4.5" customHeight="1">
      <c r="A39" s="964"/>
      <c r="B39" s="2"/>
      <c r="C39" s="2037" t="s">
        <v>343</v>
      </c>
      <c r="D39" s="452" t="s">
        <v>343</v>
      </c>
      <c r="E39" s="96" t="s">
        <v>343</v>
      </c>
      <c r="F39" s="452" t="s">
        <v>343</v>
      </c>
      <c r="G39" s="1251" t="s">
        <v>343</v>
      </c>
      <c r="H39" s="2" t="s">
        <v>343</v>
      </c>
      <c r="I39" s="453" t="s">
        <v>343</v>
      </c>
      <c r="J39" s="96" t="s">
        <v>343</v>
      </c>
      <c r="K39" s="452" t="s">
        <v>343</v>
      </c>
      <c r="L39" s="1252" t="s">
        <v>343</v>
      </c>
      <c r="N39" s="1102"/>
      <c r="O39" s="1102"/>
      <c r="S39" s="2"/>
      <c r="T39" s="2"/>
      <c r="U39" s="2"/>
      <c r="V39" s="2"/>
      <c r="W39" s="2"/>
      <c r="X39" s="2"/>
      <c r="Y39" s="2"/>
      <c r="Z39" s="2"/>
      <c r="AA39" s="2"/>
      <c r="AB39" s="2"/>
      <c r="AC39" s="2"/>
      <c r="AD39" s="2"/>
      <c r="AE39" s="2"/>
      <c r="AF39" s="2"/>
      <c r="AG39" s="2"/>
      <c r="AH39" s="2"/>
      <c r="AI39" s="2"/>
      <c r="AJ39" s="2"/>
      <c r="AK39" s="2"/>
      <c r="AL39" s="2"/>
      <c r="AM39" s="2"/>
      <c r="AN39" s="2"/>
      <c r="AO39" s="2"/>
      <c r="AP39" s="2"/>
    </row>
    <row r="40" spans="1:42" ht="12.75" customHeight="1">
      <c r="A40" s="107" t="s">
        <v>1540</v>
      </c>
      <c r="B40" s="2"/>
      <c r="C40" s="2039">
        <f>C37+C38</f>
        <v>-899.8979999999998</v>
      </c>
      <c r="D40" s="929">
        <f>D37+D38</f>
        <v>-0.49100000000002231</v>
      </c>
      <c r="E40" s="932"/>
      <c r="F40" s="1241">
        <f>F37+F38</f>
        <v>-899.4069999999997</v>
      </c>
      <c r="G40" s="1215">
        <f>G37+G38</f>
        <v>760.73909273468769</v>
      </c>
      <c r="H40" s="932"/>
      <c r="I40" s="1213">
        <v>-10.529883758047379</v>
      </c>
      <c r="J40" s="932"/>
      <c r="K40" s="1241">
        <f>K37+K38</f>
        <v>-889.36811624195252</v>
      </c>
      <c r="L40" s="1215">
        <f>L37+L38</f>
        <v>66.821349493967773</v>
      </c>
      <c r="O40" s="2"/>
      <c r="S40" s="105"/>
      <c r="T40" s="2"/>
      <c r="U40" s="2"/>
      <c r="V40" s="2"/>
      <c r="W40" s="2"/>
      <c r="X40" s="2"/>
      <c r="Y40" s="2"/>
      <c r="Z40" s="2"/>
      <c r="AA40" s="2"/>
      <c r="AB40" s="2"/>
      <c r="AC40" s="2"/>
      <c r="AD40" s="2"/>
      <c r="AE40" s="2"/>
      <c r="AF40" s="2"/>
      <c r="AG40" s="2"/>
      <c r="AH40" s="2"/>
      <c r="AI40" s="2"/>
      <c r="AJ40" s="2"/>
      <c r="AK40" s="2"/>
      <c r="AL40" s="2"/>
      <c r="AM40" s="2"/>
      <c r="AN40" s="2"/>
      <c r="AO40" s="2"/>
      <c r="AP40" s="2"/>
    </row>
    <row r="41" spans="1:42" ht="12.75" customHeight="1">
      <c r="A41" s="2" t="s">
        <v>1562</v>
      </c>
      <c r="B41" s="2"/>
      <c r="C41" s="2031">
        <f>BYD!AU87</f>
        <v>872.23899999999992</v>
      </c>
      <c r="D41" s="104">
        <f>BYD!AP87</f>
        <v>-2.3810000000000011</v>
      </c>
      <c r="E41" s="61"/>
      <c r="F41" s="61"/>
      <c r="G41" s="1141"/>
      <c r="H41" s="2"/>
      <c r="I41" s="1104">
        <v>2.2430000000000003</v>
      </c>
      <c r="J41" s="61"/>
      <c r="K41" s="61"/>
      <c r="L41" s="1216"/>
      <c r="O41" s="2"/>
      <c r="S41" s="2"/>
      <c r="T41" s="2"/>
      <c r="U41" s="2"/>
      <c r="V41" s="2"/>
      <c r="W41" s="2"/>
      <c r="X41" s="2"/>
      <c r="Y41" s="2"/>
      <c r="Z41" s="2"/>
      <c r="AA41" s="2"/>
      <c r="AB41" s="2"/>
      <c r="AC41" s="2"/>
      <c r="AD41" s="2"/>
      <c r="AE41" s="2"/>
      <c r="AF41" s="2"/>
      <c r="AG41" s="2"/>
      <c r="AH41" s="2"/>
      <c r="AI41" s="2"/>
      <c r="AJ41" s="2"/>
      <c r="AK41" s="2"/>
      <c r="AL41" s="2"/>
      <c r="AM41" s="2"/>
      <c r="AN41" s="2"/>
      <c r="AO41" s="2"/>
      <c r="AP41" s="2"/>
    </row>
    <row r="42" spans="1:42" ht="12.75" customHeight="1">
      <c r="A42" s="147" t="s">
        <v>1747</v>
      </c>
      <c r="B42" s="160"/>
      <c r="C42" s="2040">
        <f>BYD!AU88</f>
        <v>-27.658999999999878</v>
      </c>
      <c r="D42" s="1309">
        <f>BYD!AP88</f>
        <v>-2.8720000000000163</v>
      </c>
      <c r="E42" s="1218"/>
      <c r="F42" s="1218">
        <f>C42-D42</f>
        <v>-24.78699999999986</v>
      </c>
      <c r="G42" s="1219">
        <f>IF(D42=0,0,C42/D42-1)</f>
        <v>8.6305710306405707</v>
      </c>
      <c r="H42" s="1220"/>
      <c r="I42" s="1217">
        <v>-8.286883758047372</v>
      </c>
      <c r="J42" s="1218"/>
      <c r="K42" s="1218">
        <f>C42-I42</f>
        <v>-19.372116241952504</v>
      </c>
      <c r="L42" s="1221">
        <f>C42/I42-1</f>
        <v>2.3376840809599018</v>
      </c>
      <c r="O42" s="2"/>
      <c r="S42" s="2"/>
      <c r="T42" s="2"/>
      <c r="U42" s="2"/>
      <c r="V42" s="2"/>
      <c r="W42" s="2"/>
      <c r="X42" s="2"/>
      <c r="Y42" s="2"/>
      <c r="Z42" s="2"/>
      <c r="AA42" s="2"/>
      <c r="AB42" s="2"/>
      <c r="AC42" s="2"/>
      <c r="AD42" s="2"/>
      <c r="AE42" s="2"/>
      <c r="AF42" s="2"/>
      <c r="AG42" s="2"/>
      <c r="AH42" s="2"/>
      <c r="AI42" s="2"/>
      <c r="AJ42" s="2"/>
      <c r="AK42" s="2"/>
      <c r="AL42" s="2"/>
      <c r="AM42" s="2"/>
      <c r="AN42" s="2"/>
      <c r="AO42" s="2"/>
      <c r="AP42" s="2"/>
    </row>
    <row r="43" spans="1:42" ht="12.75" customHeight="1">
      <c r="A43" s="2"/>
      <c r="B43" s="2"/>
      <c r="C43" s="2034"/>
      <c r="D43" s="77"/>
      <c r="E43" s="61"/>
      <c r="F43" s="61"/>
      <c r="G43" s="1141"/>
      <c r="H43" s="2"/>
      <c r="I43" s="115"/>
      <c r="J43" s="61"/>
      <c r="K43" s="61"/>
      <c r="L43" s="1216"/>
      <c r="O43" s="2"/>
      <c r="S43" s="2"/>
      <c r="T43" s="2"/>
      <c r="U43" s="2"/>
      <c r="V43" s="2"/>
      <c r="W43" s="2"/>
      <c r="X43" s="2"/>
      <c r="Y43" s="2"/>
      <c r="Z43" s="2"/>
      <c r="AA43" s="2"/>
      <c r="AB43" s="2"/>
      <c r="AC43" s="2"/>
      <c r="AD43" s="2"/>
      <c r="AE43" s="2"/>
      <c r="AF43" s="2"/>
      <c r="AG43" s="2"/>
      <c r="AH43" s="2"/>
      <c r="AI43" s="2"/>
      <c r="AJ43" s="2"/>
      <c r="AK43" s="2"/>
      <c r="AL43" s="2"/>
      <c r="AM43" s="2"/>
      <c r="AN43" s="2"/>
      <c r="AO43" s="2"/>
      <c r="AP43" s="2"/>
    </row>
    <row r="44" spans="1:42" ht="12.75" customHeight="1">
      <c r="A44" s="138" t="s">
        <v>746</v>
      </c>
      <c r="B44" s="155"/>
      <c r="C44" s="2041">
        <f>+C42/C45</f>
        <v>-0.31485781936570678</v>
      </c>
      <c r="D44" s="152">
        <f>+D42/D45</f>
        <v>-3.2736059818538464E-2</v>
      </c>
      <c r="E44" s="152"/>
      <c r="F44" s="152">
        <f>C44-D44</f>
        <v>-0.28212175954716834</v>
      </c>
      <c r="G44" s="1208">
        <f>IF(D44=0,0,C44/D44-1)</f>
        <v>8.6180731924066958</v>
      </c>
      <c r="H44" s="155"/>
      <c r="I44" s="153">
        <v>-9.4552716794808159E-2</v>
      </c>
      <c r="J44" s="152"/>
      <c r="K44" s="152">
        <f>C44-I44</f>
        <v>-0.22030510257089864</v>
      </c>
      <c r="L44" s="1211">
        <f>C44/I44-1</f>
        <v>2.3299711530128708</v>
      </c>
      <c r="O44" s="1256"/>
      <c r="Q44" s="1645"/>
      <c r="S44" s="2"/>
      <c r="T44" s="2"/>
      <c r="U44" s="2"/>
      <c r="V44" s="2"/>
      <c r="W44" s="2"/>
      <c r="X44" s="2"/>
      <c r="Y44" s="2"/>
      <c r="Z44" s="2"/>
      <c r="AA44" s="2"/>
      <c r="AB44" s="2"/>
      <c r="AC44" s="2"/>
      <c r="AD44" s="2"/>
      <c r="AE44" s="2"/>
      <c r="AF44" s="2"/>
      <c r="AG44" s="2"/>
      <c r="AH44" s="2"/>
      <c r="AI44" s="2"/>
      <c r="AJ44" s="2"/>
      <c r="AK44" s="2"/>
      <c r="AL44" s="2"/>
      <c r="AM44" s="2"/>
      <c r="AN44" s="2"/>
      <c r="AO44" s="2"/>
      <c r="AP44" s="2"/>
    </row>
    <row r="45" spans="1:42" ht="12.75" customHeight="1">
      <c r="A45" s="2" t="s">
        <v>769</v>
      </c>
      <c r="B45" s="2"/>
      <c r="C45" s="2031">
        <f>BYD!AU103</f>
        <v>87.846000000000004</v>
      </c>
      <c r="D45" s="104">
        <f>BYD!AP103</f>
        <v>87.731999999999999</v>
      </c>
      <c r="E45" s="1103"/>
      <c r="F45" s="374">
        <f>C45-D45</f>
        <v>0.11400000000000432</v>
      </c>
      <c r="G45" s="126">
        <f>IF(D45=0,0,C45/D45-1)</f>
        <v>1.2994118451647996E-3</v>
      </c>
      <c r="H45" s="2"/>
      <c r="I45" s="1104">
        <v>87.643000000000001</v>
      </c>
      <c r="J45" s="1103"/>
      <c r="K45" s="374">
        <f>C45-I45</f>
        <v>0.20300000000000296</v>
      </c>
      <c r="L45" s="1204">
        <f>C45/I45-1</f>
        <v>2.316214643496961E-3</v>
      </c>
      <c r="O45" s="2"/>
      <c r="S45" s="2"/>
      <c r="T45" s="2"/>
      <c r="U45" s="2"/>
      <c r="V45" s="2"/>
      <c r="W45" s="2"/>
      <c r="X45" s="2"/>
      <c r="Y45" s="2"/>
      <c r="Z45" s="2"/>
      <c r="AA45" s="2"/>
      <c r="AB45" s="2"/>
      <c r="AC45" s="2"/>
      <c r="AD45" s="2"/>
      <c r="AE45" s="2"/>
      <c r="AF45" s="2"/>
      <c r="AG45" s="2"/>
      <c r="AH45" s="2"/>
      <c r="AI45" s="2"/>
      <c r="AJ45" s="2"/>
      <c r="AK45" s="2"/>
      <c r="AL45" s="2"/>
      <c r="AM45" s="2"/>
      <c r="AN45" s="2"/>
      <c r="AO45" s="2"/>
      <c r="AP45" s="2"/>
    </row>
    <row r="46" spans="1:42" ht="12.75" customHeight="1">
      <c r="A46" s="2"/>
      <c r="B46" s="2"/>
      <c r="C46" s="112"/>
      <c r="D46" s="77"/>
      <c r="E46" s="61"/>
      <c r="F46" s="2"/>
      <c r="G46" s="2"/>
      <c r="H46" s="2"/>
      <c r="I46" s="142"/>
      <c r="J46" s="61"/>
      <c r="K46" s="61"/>
      <c r="L46" s="2"/>
      <c r="O46" s="2"/>
      <c r="S46" s="2"/>
      <c r="T46" s="2"/>
      <c r="U46" s="2"/>
      <c r="V46" s="2"/>
      <c r="W46" s="2"/>
      <c r="X46" s="2"/>
      <c r="Y46" s="2"/>
      <c r="Z46" s="2"/>
      <c r="AA46" s="2"/>
      <c r="AB46" s="2"/>
      <c r="AC46" s="2"/>
      <c r="AD46" s="2"/>
      <c r="AE46" s="2"/>
      <c r="AF46" s="2"/>
      <c r="AG46" s="2"/>
      <c r="AH46" s="2"/>
      <c r="AI46" s="2"/>
      <c r="AJ46" s="2"/>
      <c r="AK46" s="2"/>
      <c r="AL46" s="2"/>
      <c r="AM46" s="2"/>
      <c r="AN46" s="2"/>
      <c r="AO46" s="2"/>
      <c r="AP46" s="2"/>
    </row>
    <row r="47" spans="1:42" ht="12.75" customHeight="1">
      <c r="A47" s="1222" t="s">
        <v>1483</v>
      </c>
      <c r="B47" s="1223"/>
      <c r="C47" s="1224">
        <f>C22/C14</f>
        <v>0.17777617698378395</v>
      </c>
      <c r="D47" s="1400">
        <f>D22/D14</f>
        <v>0.20588458793677644</v>
      </c>
      <c r="E47" s="1225"/>
      <c r="F47" s="1223"/>
      <c r="G47" s="1226">
        <f t="shared" ref="G47:G52" si="5">(C47-D47)</f>
        <v>-2.8108410952992491E-2</v>
      </c>
      <c r="H47" s="1223"/>
      <c r="I47" s="1431">
        <f>I22/I14</f>
        <v>0.19634295829214812</v>
      </c>
      <c r="J47" s="1225"/>
      <c r="K47" s="1223"/>
      <c r="L47" s="1227">
        <f>(C47-I48)</f>
        <v>-3.1887140981323142E-2</v>
      </c>
      <c r="O47" s="2"/>
      <c r="S47" s="2"/>
      <c r="T47" s="2"/>
      <c r="U47" s="2"/>
      <c r="V47" s="2"/>
      <c r="W47" s="2"/>
      <c r="X47" s="2"/>
      <c r="Y47" s="2"/>
      <c r="Z47" s="2"/>
      <c r="AA47" s="2"/>
      <c r="AB47" s="2"/>
      <c r="AC47" s="2"/>
      <c r="AD47" s="2"/>
      <c r="AE47" s="2"/>
      <c r="AF47" s="2"/>
      <c r="AG47" s="2"/>
      <c r="AH47" s="2"/>
      <c r="AI47" s="2"/>
      <c r="AJ47" s="2"/>
      <c r="AK47" s="2"/>
      <c r="AL47" s="2"/>
      <c r="AM47" s="2"/>
      <c r="AN47" s="2"/>
      <c r="AO47" s="2"/>
      <c r="AP47" s="2"/>
    </row>
    <row r="48" spans="1:42" ht="12.75" customHeight="1">
      <c r="A48" s="1239" t="s">
        <v>514</v>
      </c>
      <c r="B48" s="1228"/>
      <c r="C48" s="1229">
        <f t="shared" ref="C48:D50" si="6">C17/C8</f>
        <v>0.21143852147664091</v>
      </c>
      <c r="D48" s="1230">
        <f t="shared" si="6"/>
        <v>0.24127678524650284</v>
      </c>
      <c r="E48" s="1230"/>
      <c r="F48" s="1228"/>
      <c r="G48" s="1231">
        <f t="shared" si="5"/>
        <v>-2.9838263769861928E-2</v>
      </c>
      <c r="H48" s="1228"/>
      <c r="I48" s="1229">
        <f>I17/I8</f>
        <v>0.20966331796510709</v>
      </c>
      <c r="J48" s="1230"/>
      <c r="K48" s="1228"/>
      <c r="L48" s="1232">
        <f>(C48-I48)</f>
        <v>1.7752035115338183E-3</v>
      </c>
      <c r="N48" s="1404"/>
      <c r="O48" s="1647"/>
      <c r="S48" s="2"/>
      <c r="T48" s="2"/>
      <c r="U48" s="2"/>
      <c r="V48" s="2"/>
      <c r="W48" s="2"/>
      <c r="X48" s="2"/>
      <c r="Y48" s="2"/>
      <c r="Z48" s="2"/>
      <c r="AA48" s="2"/>
      <c r="AB48" s="2"/>
      <c r="AC48" s="2"/>
      <c r="AD48" s="2"/>
      <c r="AE48" s="2"/>
      <c r="AF48" s="2"/>
      <c r="AG48" s="2"/>
      <c r="AH48" s="2"/>
      <c r="AI48" s="2"/>
      <c r="AJ48" s="2"/>
      <c r="AK48" s="2"/>
      <c r="AL48" s="2"/>
      <c r="AM48" s="2"/>
      <c r="AN48" s="2"/>
      <c r="AO48" s="2"/>
      <c r="AP48" s="2"/>
    </row>
    <row r="49" spans="1:42" ht="12.75" customHeight="1">
      <c r="A49" s="1239" t="s">
        <v>515</v>
      </c>
      <c r="B49" s="1228"/>
      <c r="C49" s="1229">
        <f t="shared" si="6"/>
        <v>0.17223146799805841</v>
      </c>
      <c r="D49" s="1230">
        <f t="shared" si="6"/>
        <v>0.18474203609960629</v>
      </c>
      <c r="E49" s="1230"/>
      <c r="F49" s="1228"/>
      <c r="G49" s="1231">
        <f t="shared" si="5"/>
        <v>-1.2510568101547881E-2</v>
      </c>
      <c r="H49" s="1228"/>
      <c r="I49" s="1229">
        <f>I18/I9</f>
        <v>0.18809155618584988</v>
      </c>
      <c r="J49" s="1230"/>
      <c r="K49" s="1228"/>
      <c r="L49" s="1232">
        <f>(C49-I49)</f>
        <v>-1.5860088187791471E-2</v>
      </c>
      <c r="N49" s="1403"/>
      <c r="O49" s="98"/>
      <c r="S49" s="2"/>
      <c r="T49" s="2"/>
      <c r="U49" s="2"/>
      <c r="V49" s="2"/>
      <c r="W49" s="2"/>
      <c r="X49" s="2"/>
      <c r="Y49" s="2"/>
      <c r="Z49" s="2"/>
      <c r="AA49" s="2"/>
      <c r="AB49" s="2"/>
      <c r="AC49" s="2"/>
      <c r="AD49" s="2"/>
      <c r="AE49" s="2"/>
      <c r="AF49" s="2"/>
      <c r="AG49" s="2"/>
      <c r="AH49" s="2"/>
      <c r="AI49" s="2"/>
      <c r="AJ49" s="2"/>
      <c r="AK49" s="2"/>
      <c r="AL49" s="2"/>
      <c r="AM49" s="2"/>
      <c r="AN49" s="2"/>
      <c r="AO49" s="2"/>
      <c r="AP49" s="2"/>
    </row>
    <row r="50" spans="1:42" ht="12.75" customHeight="1">
      <c r="A50" s="1239" t="s">
        <v>517</v>
      </c>
      <c r="B50" s="1228"/>
      <c r="C50" s="1229">
        <f t="shared" si="6"/>
        <v>0.16142356611920122</v>
      </c>
      <c r="D50" s="1230">
        <f t="shared" si="6"/>
        <v>0.17966879168256217</v>
      </c>
      <c r="E50" s="1230"/>
      <c r="F50" s="1228"/>
      <c r="G50" s="1231">
        <f t="shared" si="5"/>
        <v>-1.8245225563360945E-2</v>
      </c>
      <c r="H50" s="1228"/>
      <c r="I50" s="1229">
        <f>I19/I10</f>
        <v>0.18635671691777028</v>
      </c>
      <c r="J50" s="1230"/>
      <c r="K50" s="1228"/>
      <c r="L50" s="1232">
        <f>(C50-I50)</f>
        <v>-2.4933150798569059E-2</v>
      </c>
      <c r="N50" s="1403"/>
      <c r="O50" s="98"/>
      <c r="S50" s="2"/>
      <c r="T50" s="2"/>
      <c r="U50" s="2"/>
      <c r="V50" s="2"/>
      <c r="W50" s="2"/>
      <c r="X50" s="2"/>
      <c r="Y50" s="2"/>
      <c r="Z50" s="2"/>
      <c r="AA50" s="2"/>
      <c r="AB50" s="2"/>
      <c r="AC50" s="2"/>
      <c r="AD50" s="2"/>
      <c r="AE50" s="2"/>
      <c r="AF50" s="2"/>
      <c r="AG50" s="2"/>
      <c r="AH50" s="2"/>
      <c r="AI50" s="2"/>
      <c r="AJ50" s="2"/>
      <c r="AK50" s="2"/>
      <c r="AL50" s="2"/>
      <c r="AM50" s="2"/>
      <c r="AN50" s="2"/>
      <c r="AO50" s="2"/>
      <c r="AP50" s="2"/>
    </row>
    <row r="51" spans="1:42" ht="12.75" customHeight="1">
      <c r="A51" s="1239" t="s">
        <v>516</v>
      </c>
      <c r="B51" s="1228"/>
      <c r="C51" s="1229">
        <f>C19/C10</f>
        <v>0.16142356611920122</v>
      </c>
      <c r="D51" s="1230">
        <f>D19/D10</f>
        <v>0.17966879168256217</v>
      </c>
      <c r="E51" s="1230"/>
      <c r="F51" s="1228"/>
      <c r="G51" s="1231">
        <f t="shared" si="5"/>
        <v>-1.8245225563360945E-2</v>
      </c>
      <c r="H51" s="1228"/>
      <c r="I51" s="1229">
        <f>I19/I10</f>
        <v>0.18635671691777028</v>
      </c>
      <c r="J51" s="1230"/>
      <c r="K51" s="1228"/>
      <c r="L51" s="1232">
        <f>(C51-I51)</f>
        <v>-2.4933150798569059E-2</v>
      </c>
      <c r="N51" s="1404"/>
      <c r="O51" s="105"/>
      <c r="S51" s="2"/>
      <c r="T51" s="2"/>
      <c r="U51" s="2"/>
      <c r="V51" s="2"/>
      <c r="W51" s="2"/>
      <c r="X51" s="2"/>
      <c r="Y51" s="2"/>
      <c r="Z51" s="2"/>
      <c r="AA51" s="2"/>
      <c r="AB51" s="2"/>
      <c r="AC51" s="2"/>
      <c r="AD51" s="2"/>
      <c r="AE51" s="2"/>
      <c r="AF51" s="2"/>
      <c r="AG51" s="2"/>
      <c r="AH51" s="2"/>
      <c r="AI51" s="2"/>
      <c r="AJ51" s="2"/>
      <c r="AK51" s="2"/>
      <c r="AL51" s="2"/>
      <c r="AM51" s="2"/>
      <c r="AN51" s="2"/>
      <c r="AO51" s="2"/>
      <c r="AP51" s="2"/>
    </row>
    <row r="52" spans="1:42" ht="12.75" customHeight="1">
      <c r="A52" s="1240" t="s">
        <v>273</v>
      </c>
      <c r="B52" s="1233"/>
      <c r="C52" s="1234">
        <f>C21/C12</f>
        <v>9.4941212347101275E-2</v>
      </c>
      <c r="D52" s="1235">
        <f>D21/D12</f>
        <v>0.2146136840315174</v>
      </c>
      <c r="E52" s="1235"/>
      <c r="F52" s="1233"/>
      <c r="G52" s="1235">
        <f t="shared" si="5"/>
        <v>-0.11967247168441612</v>
      </c>
      <c r="H52" s="1233"/>
      <c r="I52" s="1234">
        <f>I21/I12</f>
        <v>0.13592879689968357</v>
      </c>
      <c r="J52" s="1235"/>
      <c r="K52" s="1233"/>
      <c r="L52" s="1237">
        <f>(C52-I52)</f>
        <v>-4.0987584552582293E-2</v>
      </c>
      <c r="M52" s="1238"/>
      <c r="N52" s="1404"/>
      <c r="O52" s="105"/>
      <c r="S52" s="2"/>
      <c r="T52" s="2"/>
      <c r="U52" s="2"/>
      <c r="V52" s="2"/>
      <c r="W52" s="2"/>
      <c r="X52" s="2"/>
      <c r="Y52" s="2"/>
      <c r="Z52" s="2"/>
      <c r="AA52" s="2"/>
      <c r="AB52" s="2"/>
      <c r="AC52" s="2"/>
      <c r="AD52" s="2"/>
      <c r="AE52" s="2"/>
      <c r="AF52" s="2"/>
      <c r="AG52" s="2"/>
      <c r="AH52" s="2"/>
      <c r="AI52" s="2"/>
      <c r="AJ52" s="2"/>
      <c r="AK52" s="2"/>
      <c r="AL52" s="2"/>
      <c r="AM52" s="2"/>
      <c r="AN52" s="2"/>
      <c r="AO52" s="2"/>
      <c r="AP52" s="2"/>
    </row>
    <row r="53" spans="1:42" ht="12.75" customHeight="1">
      <c r="A53" s="61"/>
      <c r="B53" s="61"/>
      <c r="C53" s="1435"/>
      <c r="D53" s="77"/>
      <c r="E53" s="61"/>
      <c r="F53" s="61"/>
      <c r="G53" s="61"/>
      <c r="H53" s="61"/>
      <c r="I53" s="1435"/>
      <c r="J53" s="61"/>
      <c r="K53" s="61"/>
      <c r="L53" s="61"/>
      <c r="N53" s="1404"/>
      <c r="O53" s="105"/>
      <c r="S53" s="2"/>
      <c r="T53" s="2"/>
      <c r="U53" s="2"/>
      <c r="V53" s="2"/>
      <c r="W53" s="2"/>
      <c r="X53" s="2"/>
      <c r="Y53" s="2"/>
      <c r="Z53" s="2"/>
      <c r="AA53" s="2"/>
      <c r="AB53" s="2"/>
      <c r="AC53" s="2"/>
      <c r="AD53" s="2"/>
      <c r="AE53" s="2"/>
      <c r="AF53" s="2"/>
      <c r="AG53" s="2"/>
      <c r="AH53" s="2"/>
      <c r="AI53" s="2"/>
      <c r="AJ53" s="2"/>
      <c r="AK53" s="2"/>
      <c r="AL53" s="2"/>
      <c r="AM53" s="2"/>
      <c r="AN53" s="2"/>
      <c r="AO53" s="2"/>
      <c r="AP53" s="2"/>
    </row>
    <row r="54" spans="1:42" ht="12.75" customHeight="1">
      <c r="A54" s="61"/>
      <c r="B54" s="61"/>
      <c r="C54" s="374"/>
      <c r="D54" s="374"/>
      <c r="E54" s="61"/>
      <c r="F54" s="374"/>
      <c r="G54" s="95"/>
      <c r="H54" s="313"/>
      <c r="I54" s="376"/>
      <c r="J54" s="932"/>
      <c r="K54" s="374"/>
      <c r="L54" s="1204"/>
      <c r="O54" s="2"/>
      <c r="S54" s="1"/>
      <c r="T54" s="2"/>
      <c r="U54" s="1"/>
      <c r="V54" s="2"/>
      <c r="W54" s="2"/>
      <c r="X54" s="2"/>
      <c r="Y54" s="2"/>
      <c r="Z54" s="2"/>
      <c r="AA54" s="2"/>
      <c r="AB54" s="2"/>
      <c r="AC54" s="2"/>
      <c r="AD54" s="2"/>
      <c r="AE54" s="2"/>
      <c r="AF54" s="2"/>
      <c r="AG54" s="2"/>
      <c r="AH54" s="2"/>
      <c r="AI54" s="2"/>
      <c r="AJ54" s="2"/>
      <c r="AK54" s="2"/>
      <c r="AL54" s="2"/>
      <c r="AM54" s="2"/>
      <c r="AN54" s="2"/>
      <c r="AO54" s="2"/>
      <c r="AP54" s="2"/>
    </row>
    <row r="55" spans="1:42" ht="12.75" customHeight="1">
      <c r="A55" s="743"/>
      <c r="B55" s="61"/>
      <c r="C55" s="1618">
        <f>+C24/C14</f>
        <v>0.16145127983479804</v>
      </c>
      <c r="D55" s="1618">
        <f>+D24/D14</f>
        <v>0.18876539620447216</v>
      </c>
      <c r="E55" s="61"/>
      <c r="F55" s="1618">
        <f>+C55-D55</f>
        <v>-2.7314116369674124E-2</v>
      </c>
      <c r="G55" s="1433"/>
      <c r="H55" s="61"/>
      <c r="I55" s="1618">
        <f>+I24/I14</f>
        <v>0.17872569487485168</v>
      </c>
      <c r="J55" s="1103"/>
      <c r="K55" s="452"/>
      <c r="L55" s="1252"/>
      <c r="N55" s="1404"/>
      <c r="O55" s="1404"/>
      <c r="S55" s="105"/>
      <c r="T55" s="2"/>
      <c r="U55" s="105"/>
      <c r="V55" s="2"/>
      <c r="W55" s="2"/>
      <c r="X55" s="2"/>
      <c r="Y55" s="2"/>
      <c r="Z55" s="2"/>
      <c r="AA55" s="2"/>
      <c r="AB55" s="2"/>
      <c r="AC55" s="2"/>
      <c r="AD55" s="2"/>
      <c r="AE55" s="2"/>
      <c r="AF55" s="2"/>
      <c r="AG55" s="2"/>
      <c r="AH55" s="2"/>
      <c r="AI55" s="2"/>
      <c r="AJ55" s="2"/>
      <c r="AK55" s="2"/>
      <c r="AL55" s="2"/>
      <c r="AM55" s="2"/>
      <c r="AN55" s="2"/>
      <c r="AO55" s="2"/>
      <c r="AP55" s="2"/>
    </row>
    <row r="56" spans="1:42" ht="12.75" customHeight="1">
      <c r="A56" s="1"/>
      <c r="B56" s="2"/>
      <c r="C56" s="1241"/>
      <c r="D56" s="1241"/>
      <c r="E56" s="61"/>
      <c r="F56" s="374"/>
      <c r="G56" s="95"/>
      <c r="H56" s="61"/>
      <c r="I56" s="1434"/>
      <c r="J56" s="1103"/>
      <c r="K56" s="1241"/>
      <c r="L56" s="1204"/>
      <c r="O56" s="1143"/>
    </row>
    <row r="57" spans="1:42" ht="4.5" customHeight="1">
      <c r="A57" s="2"/>
      <c r="B57" s="2"/>
      <c r="C57" s="61"/>
      <c r="D57" s="77"/>
      <c r="E57" s="61"/>
      <c r="F57" s="61"/>
      <c r="G57" s="61"/>
      <c r="H57" s="61"/>
      <c r="I57" s="61"/>
      <c r="J57" s="2"/>
      <c r="K57" s="2"/>
      <c r="L57" s="2"/>
      <c r="O57" s="2"/>
    </row>
    <row r="58" spans="1:42" ht="6" customHeight="1">
      <c r="A58" s="2"/>
      <c r="B58" s="2"/>
      <c r="C58" s="2"/>
      <c r="D58" s="1062"/>
      <c r="E58" s="2"/>
      <c r="F58" s="2"/>
      <c r="G58" s="2"/>
      <c r="H58" s="2"/>
      <c r="I58" s="2"/>
      <c r="J58" s="2"/>
      <c r="K58" s="2"/>
      <c r="L58" s="2"/>
      <c r="O58" s="2"/>
    </row>
    <row r="59" spans="1:42" ht="12.75" customHeight="1">
      <c r="A59" s="2"/>
      <c r="B59" s="2"/>
      <c r="C59" s="2"/>
      <c r="D59" s="1648">
        <f>+D55-C55</f>
        <v>2.7314116369674124E-2</v>
      </c>
      <c r="E59" s="2"/>
      <c r="F59" s="2"/>
      <c r="G59" s="2"/>
      <c r="H59" s="2"/>
      <c r="I59" s="2"/>
      <c r="J59" s="2"/>
      <c r="K59" s="2"/>
      <c r="L59" s="2"/>
      <c r="O59" s="2"/>
    </row>
    <row r="60" spans="1:42" ht="12.75" customHeight="1">
      <c r="A60" s="2"/>
      <c r="B60" s="2"/>
      <c r="C60" s="2"/>
      <c r="D60" s="1062"/>
      <c r="E60" s="2"/>
      <c r="F60" s="2"/>
      <c r="G60" s="2"/>
      <c r="H60" s="2"/>
      <c r="I60" s="2"/>
      <c r="J60" s="2"/>
      <c r="K60" s="2"/>
      <c r="L60" s="2"/>
      <c r="O60" s="2"/>
    </row>
    <row r="61" spans="1:42" ht="12.75" customHeight="1">
      <c r="A61" s="2"/>
      <c r="B61" s="2"/>
      <c r="C61" s="2"/>
      <c r="D61" s="1062"/>
      <c r="E61" s="2"/>
      <c r="F61" s="2"/>
      <c r="G61" s="2"/>
      <c r="H61" s="2"/>
      <c r="I61" s="2"/>
      <c r="J61" s="2"/>
      <c r="K61" s="2"/>
      <c r="L61" s="2"/>
      <c r="O61" s="2"/>
    </row>
    <row r="62" spans="1:42" ht="12.75" customHeight="1">
      <c r="A62" s="2"/>
      <c r="B62" s="2"/>
      <c r="C62" s="2"/>
      <c r="D62" s="1062"/>
      <c r="E62" s="2"/>
      <c r="F62" s="2"/>
      <c r="G62" s="2"/>
      <c r="H62" s="2"/>
      <c r="I62" s="2"/>
      <c r="J62" s="2"/>
      <c r="K62" s="2"/>
      <c r="L62" s="2"/>
      <c r="O62" s="2"/>
    </row>
    <row r="63" spans="1:42" ht="12.75" customHeight="1">
      <c r="A63" s="2"/>
      <c r="B63" s="2"/>
      <c r="C63" s="2"/>
      <c r="D63" s="1062"/>
      <c r="E63" s="2"/>
      <c r="F63" s="2"/>
      <c r="G63" s="2"/>
      <c r="H63" s="2"/>
      <c r="I63" s="2"/>
      <c r="J63" s="2"/>
      <c r="K63" s="2"/>
      <c r="L63" s="2"/>
      <c r="O63" s="2"/>
    </row>
    <row r="64" spans="1:42" ht="12.75" customHeight="1">
      <c r="A64" s="2"/>
      <c r="B64" s="2"/>
      <c r="C64" s="2"/>
      <c r="D64" s="1062"/>
      <c r="E64" s="2"/>
      <c r="F64" s="2"/>
      <c r="G64" s="2"/>
      <c r="H64" s="2"/>
      <c r="I64" s="2"/>
      <c r="J64" s="2"/>
      <c r="K64" s="2"/>
      <c r="L64" s="2"/>
      <c r="N64" s="69" t="s">
        <v>318</v>
      </c>
      <c r="P64" s="2"/>
      <c r="Q64" s="2"/>
      <c r="R64" s="2"/>
    </row>
    <row r="65" spans="1:42" ht="12.75" customHeight="1">
      <c r="A65" s="2"/>
      <c r="B65" s="2"/>
      <c r="C65" s="2"/>
      <c r="D65" s="1062"/>
      <c r="E65" s="2"/>
      <c r="F65" s="2"/>
      <c r="G65" s="2"/>
      <c r="H65" s="2"/>
      <c r="I65" s="2"/>
      <c r="J65" s="2"/>
      <c r="K65" s="2"/>
      <c r="L65" s="2"/>
      <c r="N65" s="2" t="s">
        <v>319</v>
      </c>
      <c r="O65" s="2" t="s">
        <v>320</v>
      </c>
      <c r="P65" s="2" t="s">
        <v>321</v>
      </c>
      <c r="Q65" s="98">
        <v>62.5</v>
      </c>
      <c r="R65" s="98"/>
    </row>
    <row r="66" spans="1:42" ht="12.75" customHeight="1">
      <c r="A66" s="2"/>
      <c r="B66" s="2"/>
      <c r="C66" s="2"/>
      <c r="D66" s="1062"/>
      <c r="E66" s="2"/>
      <c r="F66" s="2"/>
      <c r="G66" s="2"/>
      <c r="H66" s="2"/>
      <c r="I66" s="2"/>
      <c r="J66" s="2"/>
      <c r="K66" s="2"/>
      <c r="L66" s="2"/>
      <c r="N66" s="2"/>
      <c r="O66" s="2" t="s">
        <v>322</v>
      </c>
      <c r="P66" s="2" t="s">
        <v>321</v>
      </c>
      <c r="Q66" s="98">
        <v>87.5</v>
      </c>
      <c r="R66" s="98"/>
    </row>
    <row r="67" spans="1:42" ht="12.75" customHeight="1">
      <c r="A67" s="2"/>
      <c r="B67" s="2"/>
      <c r="C67" s="2"/>
      <c r="D67" s="1062"/>
      <c r="E67" s="2"/>
      <c r="F67" s="2"/>
      <c r="G67" s="2"/>
      <c r="H67" s="2"/>
      <c r="I67" s="2"/>
      <c r="J67" s="2"/>
      <c r="K67" s="2"/>
      <c r="L67" s="2"/>
      <c r="N67" s="2"/>
      <c r="O67" s="2" t="s">
        <v>323</v>
      </c>
      <c r="P67" s="2" t="s">
        <v>321</v>
      </c>
      <c r="Q67" s="98">
        <v>100</v>
      </c>
      <c r="R67" s="98"/>
    </row>
    <row r="68" spans="1:42" ht="12.75" customHeight="1">
      <c r="A68" s="2"/>
      <c r="B68" s="2"/>
      <c r="C68" s="2"/>
      <c r="D68" s="1062"/>
      <c r="E68" s="2"/>
      <c r="F68" s="2"/>
      <c r="G68" s="2"/>
      <c r="H68" s="2"/>
      <c r="I68" s="2"/>
      <c r="J68" s="2"/>
      <c r="K68" s="2"/>
      <c r="L68" s="2"/>
      <c r="N68" s="2"/>
      <c r="O68" s="2" t="s">
        <v>324</v>
      </c>
      <c r="P68" s="2" t="s">
        <v>321</v>
      </c>
      <c r="Q68" s="98">
        <v>112.5</v>
      </c>
      <c r="R68" s="98"/>
    </row>
    <row r="69" spans="1:42" ht="12.75" customHeight="1">
      <c r="A69" s="2"/>
      <c r="B69" s="2"/>
      <c r="C69" s="2"/>
      <c r="D69" s="1062"/>
      <c r="E69" s="2"/>
      <c r="F69" s="2"/>
      <c r="G69" s="2"/>
      <c r="H69" s="2"/>
      <c r="I69" s="2"/>
      <c r="J69" s="2"/>
      <c r="K69" s="2"/>
      <c r="L69" s="2"/>
      <c r="N69" s="2"/>
      <c r="O69" s="2" t="s">
        <v>325</v>
      </c>
      <c r="P69" s="2" t="s">
        <v>321</v>
      </c>
      <c r="Q69" s="98">
        <v>137.5</v>
      </c>
      <c r="R69" s="98"/>
    </row>
    <row r="70" spans="1:42" ht="12.75" customHeight="1">
      <c r="A70" s="2"/>
      <c r="B70" s="2"/>
      <c r="C70" s="2"/>
      <c r="D70" s="1062"/>
      <c r="E70" s="2"/>
      <c r="F70" s="2"/>
      <c r="G70" s="2"/>
      <c r="H70" s="2"/>
      <c r="I70" s="2"/>
      <c r="J70" s="2"/>
      <c r="K70" s="2"/>
      <c r="L70" s="2"/>
      <c r="N70" s="2"/>
      <c r="O70" s="2" t="s">
        <v>326</v>
      </c>
      <c r="P70" s="2" t="s">
        <v>321</v>
      </c>
      <c r="Q70" s="98">
        <v>162.5</v>
      </c>
      <c r="R70" s="98"/>
      <c r="Z70">
        <v>90</v>
      </c>
      <c r="AA70">
        <v>95</v>
      </c>
    </row>
    <row r="71" spans="1:42" ht="12.75" customHeight="1">
      <c r="A71" s="2"/>
      <c r="B71" s="2"/>
      <c r="C71" s="2"/>
      <c r="D71" s="1062"/>
      <c r="E71" s="2"/>
      <c r="F71" s="2"/>
      <c r="G71" s="2"/>
      <c r="H71" s="2"/>
      <c r="I71" s="2"/>
      <c r="J71" s="2"/>
      <c r="K71" s="2"/>
      <c r="L71" s="2"/>
      <c r="O71" s="2"/>
      <c r="S71" s="2"/>
      <c r="T71" s="2"/>
      <c r="U71" s="2"/>
      <c r="V71" s="2"/>
      <c r="W71" s="2"/>
      <c r="X71" s="2"/>
      <c r="Y71" s="2"/>
      <c r="Z71" s="2">
        <v>33</v>
      </c>
      <c r="AA71" s="2">
        <v>35</v>
      </c>
      <c r="AB71" s="2"/>
      <c r="AC71" s="2"/>
      <c r="AD71" s="2"/>
      <c r="AE71" s="2"/>
      <c r="AF71" s="2"/>
      <c r="AG71" s="2"/>
      <c r="AH71" s="2"/>
      <c r="AI71" s="2"/>
      <c r="AJ71" s="2"/>
      <c r="AK71" s="2"/>
      <c r="AL71" s="2"/>
      <c r="AM71" s="2"/>
      <c r="AN71" s="2"/>
      <c r="AO71" s="2"/>
      <c r="AP71" s="2"/>
    </row>
    <row r="72" spans="1:42" ht="12.75" customHeight="1">
      <c r="A72" s="2"/>
      <c r="B72" s="2"/>
      <c r="C72" s="2"/>
      <c r="D72" s="1062"/>
      <c r="E72" s="2"/>
      <c r="F72" s="2"/>
      <c r="G72" s="2"/>
      <c r="H72" s="2"/>
      <c r="I72" s="2"/>
      <c r="J72" s="2"/>
      <c r="K72" s="2"/>
      <c r="L72" s="2"/>
      <c r="O72" s="2"/>
      <c r="S72" s="2"/>
      <c r="T72" s="2"/>
      <c r="U72" s="2"/>
      <c r="V72" s="2"/>
      <c r="W72" s="2"/>
      <c r="X72" s="2"/>
      <c r="Y72" s="2"/>
      <c r="Z72" s="2">
        <f>+Z70+Z71</f>
        <v>123</v>
      </c>
      <c r="AA72" s="2">
        <f>+AA70+AA71</f>
        <v>130</v>
      </c>
      <c r="AB72" s="2"/>
      <c r="AC72" s="2"/>
      <c r="AD72" s="2"/>
      <c r="AE72" s="2"/>
      <c r="AF72" s="2"/>
      <c r="AG72" s="2"/>
      <c r="AH72" s="2"/>
      <c r="AI72" s="2"/>
      <c r="AJ72" s="2"/>
      <c r="AK72" s="2"/>
      <c r="AL72" s="2"/>
      <c r="AM72" s="2"/>
      <c r="AN72" s="2"/>
      <c r="AO72" s="2"/>
      <c r="AP72" s="2"/>
    </row>
    <row r="73" spans="1:42" ht="12.75" customHeight="1">
      <c r="A73" s="2"/>
      <c r="B73" s="2"/>
      <c r="C73" s="2"/>
      <c r="D73" s="1062"/>
      <c r="E73" s="2"/>
      <c r="F73" s="2"/>
      <c r="G73" s="2"/>
      <c r="H73" s="2"/>
      <c r="I73" s="2"/>
      <c r="J73" s="2"/>
      <c r="K73" s="2"/>
      <c r="L73" s="2"/>
      <c r="O73" s="2"/>
      <c r="S73" s="1" t="s">
        <v>1140</v>
      </c>
      <c r="T73" s="1"/>
      <c r="U73" s="2"/>
      <c r="V73" s="2"/>
      <c r="W73" s="2"/>
      <c r="X73" s="2"/>
      <c r="Y73" s="2"/>
      <c r="Z73" s="2"/>
      <c r="AA73" s="2"/>
      <c r="AB73" s="2"/>
      <c r="AC73" s="2"/>
      <c r="AD73" s="2"/>
      <c r="AE73" s="2"/>
      <c r="AF73" s="2"/>
      <c r="AG73" s="2"/>
      <c r="AH73" s="2"/>
      <c r="AI73" s="2"/>
      <c r="AJ73" s="2"/>
      <c r="AK73" s="2"/>
      <c r="AL73" s="2"/>
      <c r="AM73" s="2"/>
      <c r="AN73" s="2"/>
      <c r="AO73" s="2"/>
      <c r="AP73" s="2"/>
    </row>
    <row r="74" spans="1:42" ht="12.75" customHeight="1">
      <c r="A74" s="2"/>
      <c r="B74" s="2"/>
      <c r="C74" s="2"/>
      <c r="D74" s="1062"/>
      <c r="E74" s="2"/>
      <c r="F74" s="2"/>
      <c r="G74" s="2"/>
      <c r="H74" s="2"/>
      <c r="I74" s="2"/>
      <c r="J74" s="2"/>
      <c r="K74" s="2"/>
      <c r="L74" s="2"/>
      <c r="O74" s="2"/>
      <c r="S74" s="1"/>
      <c r="T74" s="1"/>
      <c r="U74" s="2"/>
      <c r="V74" s="2"/>
      <c r="W74" s="2"/>
      <c r="X74" s="2"/>
      <c r="Y74" s="2"/>
      <c r="Z74" s="2"/>
      <c r="AA74" s="2"/>
      <c r="AB74" s="2"/>
      <c r="AC74" s="2"/>
      <c r="AD74" s="2"/>
      <c r="AE74" s="2"/>
      <c r="AF74" s="2"/>
      <c r="AG74" s="2"/>
      <c r="AH74" s="2"/>
      <c r="AI74" s="2"/>
      <c r="AJ74" s="2"/>
      <c r="AK74" s="2"/>
      <c r="AL74" s="2"/>
      <c r="AM74" s="2"/>
      <c r="AN74" s="2"/>
      <c r="AO74" s="2"/>
      <c r="AP74" s="2"/>
    </row>
    <row r="75" spans="1:42" ht="12.75" customHeight="1">
      <c r="A75" s="2"/>
      <c r="B75" s="2"/>
      <c r="C75" s="2"/>
      <c r="D75" s="1062"/>
      <c r="E75" s="2"/>
      <c r="F75" s="2"/>
      <c r="G75" s="2"/>
      <c r="H75" s="2"/>
      <c r="I75" s="2"/>
      <c r="J75" s="2"/>
      <c r="K75" s="2"/>
      <c r="L75" s="2"/>
      <c r="O75" s="2"/>
      <c r="S75" s="2" t="s">
        <v>1144</v>
      </c>
      <c r="T75" s="2"/>
      <c r="U75" s="2"/>
      <c r="V75" s="2"/>
      <c r="W75" s="2"/>
      <c r="X75" s="2"/>
      <c r="Y75" s="2"/>
      <c r="Z75" s="2"/>
      <c r="AA75" s="2"/>
      <c r="AB75" s="2"/>
      <c r="AC75" s="2"/>
      <c r="AD75" s="2"/>
      <c r="AE75" s="2"/>
      <c r="AF75" s="2"/>
      <c r="AG75" s="2"/>
      <c r="AH75" s="2"/>
      <c r="AI75" s="2"/>
      <c r="AJ75" s="2"/>
      <c r="AK75" s="2"/>
      <c r="AL75" s="2"/>
      <c r="AM75" s="2"/>
      <c r="AN75" s="2"/>
      <c r="AO75" s="2"/>
      <c r="AP75" s="2"/>
    </row>
    <row r="76" spans="1:42" ht="12.75" customHeight="1">
      <c r="A76" s="2"/>
      <c r="B76" s="2"/>
      <c r="C76" s="2"/>
      <c r="D76" s="1062"/>
      <c r="E76" s="2"/>
      <c r="F76" s="2"/>
      <c r="G76" s="2"/>
      <c r="H76" s="2"/>
      <c r="I76" s="2"/>
      <c r="J76" s="2"/>
      <c r="K76" s="2"/>
      <c r="L76" s="2"/>
      <c r="O76" s="2"/>
      <c r="S76" s="2"/>
      <c r="T76" s="2"/>
      <c r="U76" s="2"/>
      <c r="V76" s="2"/>
      <c r="W76" s="2"/>
      <c r="X76" s="2"/>
      <c r="Y76" s="2"/>
      <c r="Z76" s="2"/>
      <c r="AA76" s="2"/>
      <c r="AB76" s="2"/>
      <c r="AC76" s="2"/>
      <c r="AD76" s="2"/>
      <c r="AE76" s="2"/>
      <c r="AF76" s="2"/>
      <c r="AG76" s="2"/>
      <c r="AH76" s="2"/>
      <c r="AI76" s="2"/>
      <c r="AJ76" s="2"/>
      <c r="AK76" s="2"/>
      <c r="AL76" s="2"/>
      <c r="AM76" s="2"/>
      <c r="AN76" s="2"/>
      <c r="AO76" s="2"/>
      <c r="AP76" s="2"/>
    </row>
    <row r="77" spans="1:42" ht="12.75" customHeight="1">
      <c r="A77" s="2"/>
      <c r="B77" s="2"/>
      <c r="C77" s="2"/>
      <c r="D77" s="1062"/>
      <c r="E77" s="2"/>
      <c r="F77" s="2"/>
      <c r="G77" s="2"/>
      <c r="H77" s="2"/>
      <c r="I77" s="2"/>
      <c r="J77" s="2"/>
      <c r="K77" s="2"/>
      <c r="L77" s="2"/>
      <c r="O77" s="2"/>
      <c r="S77" s="2"/>
      <c r="T77" s="2"/>
      <c r="U77" s="1197" t="s">
        <v>54</v>
      </c>
      <c r="V77" s="1197"/>
      <c r="W77" s="1197"/>
      <c r="X77" s="1196"/>
      <c r="Y77" s="1196"/>
      <c r="Z77" s="2"/>
      <c r="AA77" s="2"/>
      <c r="AB77" s="2"/>
      <c r="AC77" s="2"/>
      <c r="AD77" s="2"/>
      <c r="AE77" s="2"/>
      <c r="AF77" s="2"/>
      <c r="AG77" s="2"/>
      <c r="AH77" s="2"/>
      <c r="AI77" s="2"/>
      <c r="AJ77" s="2"/>
      <c r="AK77" s="2"/>
      <c r="AL77" s="2"/>
      <c r="AM77" s="2"/>
      <c r="AN77" s="2"/>
      <c r="AO77" s="2"/>
      <c r="AP77" s="2"/>
    </row>
    <row r="78" spans="1:42" ht="12.75" customHeight="1">
      <c r="A78" s="2"/>
      <c r="B78" s="2"/>
      <c r="C78" s="2"/>
      <c r="D78" s="1062"/>
      <c r="E78" s="2"/>
      <c r="F78" s="2"/>
      <c r="G78" s="2"/>
      <c r="H78" s="2"/>
      <c r="I78" s="2"/>
      <c r="J78" s="2"/>
      <c r="K78" s="2"/>
      <c r="L78" s="2"/>
      <c r="O78" s="2"/>
      <c r="S78" s="69"/>
      <c r="T78" s="69"/>
      <c r="U78" s="1289" t="s">
        <v>1142</v>
      </c>
      <c r="V78" s="1289"/>
      <c r="W78" s="1289" t="s">
        <v>1143</v>
      </c>
      <c r="X78" s="1289"/>
      <c r="Y78" s="1289" t="s">
        <v>829</v>
      </c>
      <c r="Z78" s="2"/>
      <c r="AA78" s="2"/>
      <c r="AB78" s="2"/>
      <c r="AC78" s="2"/>
      <c r="AD78" s="2"/>
      <c r="AE78" s="2"/>
      <c r="AF78" s="2"/>
      <c r="AG78" s="2"/>
      <c r="AH78" s="2"/>
      <c r="AI78" s="2"/>
      <c r="AJ78" s="2"/>
      <c r="AK78" s="2"/>
      <c r="AL78" s="2"/>
      <c r="AM78" s="2"/>
      <c r="AN78" s="2"/>
      <c r="AO78" s="2"/>
      <c r="AP78" s="2"/>
    </row>
    <row r="79" spans="1:42" ht="12.75" customHeight="1">
      <c r="A79" s="2"/>
      <c r="B79" s="2"/>
      <c r="C79" s="2"/>
      <c r="D79" s="1062"/>
      <c r="E79" s="2"/>
      <c r="F79" s="2"/>
      <c r="G79" s="2"/>
      <c r="H79" s="2"/>
      <c r="I79" s="2"/>
      <c r="J79" s="2"/>
      <c r="K79" s="2"/>
      <c r="L79" s="2"/>
      <c r="O79" s="2"/>
      <c r="S79" s="2" t="s">
        <v>935</v>
      </c>
      <c r="T79" s="2"/>
      <c r="U79" s="1102">
        <f>+BYD!AV21</f>
        <v>2482.8190000000004</v>
      </c>
      <c r="V79" s="98"/>
      <c r="W79" s="1102">
        <v>2468.3983692560482</v>
      </c>
      <c r="X79" s="98"/>
      <c r="Y79" s="105">
        <f>+U79/W79-1</f>
        <v>5.8421002555995027E-3</v>
      </c>
      <c r="Z79" s="2"/>
      <c r="AA79" s="2"/>
      <c r="AB79" s="2"/>
      <c r="AC79" s="2"/>
      <c r="AD79" s="2"/>
      <c r="AE79" s="2"/>
      <c r="AF79" s="2"/>
      <c r="AG79" s="2"/>
      <c r="AH79" s="2"/>
      <c r="AI79" s="2"/>
      <c r="AJ79" s="2"/>
      <c r="AK79" s="2"/>
      <c r="AL79" s="2"/>
      <c r="AM79" s="2"/>
      <c r="AN79" s="2"/>
      <c r="AO79" s="2"/>
      <c r="AP79" s="2"/>
    </row>
    <row r="80" spans="1:42" ht="12.75" customHeight="1">
      <c r="A80" s="2"/>
      <c r="B80" s="2"/>
      <c r="C80" s="2"/>
      <c r="D80" s="1062"/>
      <c r="E80" s="2"/>
      <c r="F80" s="2"/>
      <c r="G80" s="2"/>
      <c r="H80" s="2"/>
      <c r="I80" s="2"/>
      <c r="J80" s="2"/>
      <c r="K80" s="2"/>
      <c r="L80" s="2"/>
      <c r="O80" s="2"/>
      <c r="S80" s="2" t="s">
        <v>1141</v>
      </c>
      <c r="T80" s="2"/>
      <c r="U80" s="1102">
        <f>+BYD!AV51</f>
        <v>492.05100000000004</v>
      </c>
      <c r="V80" s="98"/>
      <c r="W80" s="1102">
        <v>552.51656262854067</v>
      </c>
      <c r="X80" s="98"/>
      <c r="Y80" s="105">
        <f>+U80/W80-1</f>
        <v>-0.10943665171027983</v>
      </c>
      <c r="Z80" s="2"/>
      <c r="AA80" s="2"/>
      <c r="AB80" s="2"/>
      <c r="AC80" s="2"/>
      <c r="AD80" s="2"/>
      <c r="AE80" s="2"/>
      <c r="AF80" s="2"/>
      <c r="AG80" s="2"/>
      <c r="AH80" s="2"/>
      <c r="AI80" s="2"/>
      <c r="AJ80" s="2"/>
      <c r="AK80" s="2"/>
      <c r="AL80" s="2"/>
      <c r="AM80" s="2"/>
      <c r="AN80" s="2"/>
      <c r="AO80" s="2"/>
      <c r="AP80" s="2"/>
    </row>
    <row r="81" spans="1:42" ht="12.75" customHeight="1">
      <c r="A81" s="2"/>
      <c r="B81" s="2"/>
      <c r="C81" s="2"/>
      <c r="D81" s="1062"/>
      <c r="E81" s="2"/>
      <c r="F81" s="2"/>
      <c r="G81" s="2"/>
      <c r="H81" s="2"/>
      <c r="I81" s="2"/>
      <c r="J81" s="2"/>
      <c r="K81" s="2"/>
      <c r="L81" s="2"/>
      <c r="O81" s="2"/>
      <c r="S81" s="2" t="s">
        <v>200</v>
      </c>
      <c r="T81" s="2"/>
      <c r="U81" s="1401">
        <f>+BYD!AV95</f>
        <v>-0.27977684479532566</v>
      </c>
      <c r="V81" s="1336"/>
      <c r="W81" s="1401">
        <v>0.29476081769725809</v>
      </c>
      <c r="X81" s="1336"/>
      <c r="Y81" s="105">
        <f>+U81/W81-1</f>
        <v>-1.9491656556696009</v>
      </c>
      <c r="Z81" s="2"/>
      <c r="AA81" s="2"/>
      <c r="AB81" s="2"/>
      <c r="AC81" s="2"/>
      <c r="AD81" s="2"/>
      <c r="AE81" s="2"/>
      <c r="AF81" s="2"/>
      <c r="AG81" s="2"/>
      <c r="AH81" s="2"/>
      <c r="AI81" s="2"/>
      <c r="AJ81" s="2"/>
      <c r="AK81" s="2"/>
      <c r="AL81" s="2"/>
      <c r="AM81" s="2"/>
      <c r="AN81" s="2"/>
      <c r="AO81" s="2"/>
      <c r="AP81" s="2"/>
    </row>
    <row r="82" spans="1:42" ht="12.75" customHeight="1">
      <c r="A82" s="2"/>
      <c r="B82" s="2"/>
      <c r="C82" s="2"/>
      <c r="D82" s="1062"/>
      <c r="E82" s="2"/>
      <c r="F82" s="2"/>
      <c r="G82" s="2"/>
      <c r="H82" s="2"/>
      <c r="I82" s="2"/>
      <c r="J82" s="2"/>
      <c r="K82" s="2"/>
      <c r="L82" s="2"/>
      <c r="O82" s="2"/>
      <c r="S82" s="2"/>
      <c r="T82" s="2"/>
      <c r="U82" s="2"/>
      <c r="V82" s="2"/>
      <c r="W82" s="2"/>
      <c r="X82" s="2"/>
      <c r="Y82" s="2"/>
      <c r="Z82" s="2"/>
      <c r="AA82" s="2"/>
      <c r="AB82" s="2"/>
      <c r="AC82" s="2"/>
      <c r="AD82" s="2"/>
      <c r="AE82" s="2"/>
      <c r="AF82" s="2"/>
      <c r="AG82" s="2"/>
      <c r="AH82" s="2"/>
      <c r="AI82" s="2"/>
      <c r="AJ82" s="2"/>
      <c r="AK82" s="2"/>
      <c r="AL82" s="2"/>
      <c r="AM82" s="2"/>
      <c r="AN82" s="2"/>
      <c r="AO82" s="2"/>
      <c r="AP82" s="2"/>
    </row>
    <row r="83" spans="1:42" ht="12.75" customHeight="1">
      <c r="A83" s="2"/>
      <c r="B83" s="2"/>
      <c r="C83" s="2"/>
      <c r="D83" s="1062"/>
      <c r="E83" s="2"/>
      <c r="F83" s="2"/>
      <c r="G83" s="2"/>
      <c r="H83" s="2"/>
      <c r="I83" s="2"/>
      <c r="J83" s="2"/>
      <c r="K83" s="2"/>
      <c r="L83" s="2"/>
      <c r="O83" s="2"/>
      <c r="S83" s="2"/>
      <c r="T83" s="2"/>
      <c r="U83" s="2"/>
      <c r="V83" s="2"/>
      <c r="W83" s="2"/>
      <c r="X83" s="2"/>
      <c r="Y83" s="2"/>
      <c r="Z83" s="2"/>
      <c r="AA83" s="1" t="s">
        <v>1646</v>
      </c>
      <c r="AB83" s="2"/>
      <c r="AC83" s="2"/>
      <c r="AD83" s="2"/>
      <c r="AE83" s="2"/>
      <c r="AF83" s="105"/>
      <c r="AG83" s="2"/>
      <c r="AH83" s="2"/>
      <c r="AI83" s="2"/>
      <c r="AJ83" s="2"/>
      <c r="AK83" s="2"/>
      <c r="AL83" s="2"/>
      <c r="AM83" s="2"/>
      <c r="AN83" s="2"/>
      <c r="AO83" s="2"/>
      <c r="AP83" s="2"/>
    </row>
    <row r="84" spans="1:42" ht="12.75" customHeight="1">
      <c r="A84" s="2"/>
      <c r="B84" s="2"/>
      <c r="C84" s="2"/>
      <c r="D84" s="1062"/>
      <c r="E84" s="2"/>
      <c r="F84" s="2"/>
      <c r="G84" s="2"/>
      <c r="H84" s="2"/>
      <c r="I84" s="2"/>
      <c r="J84" s="2"/>
      <c r="K84" s="2"/>
      <c r="L84" s="2"/>
      <c r="O84" s="2"/>
      <c r="S84" s="2"/>
      <c r="T84" s="2"/>
      <c r="U84" s="2"/>
      <c r="V84" s="2"/>
      <c r="W84" s="2"/>
      <c r="X84" s="2"/>
      <c r="Y84" s="2"/>
      <c r="Z84" s="2"/>
      <c r="AA84" s="2"/>
      <c r="AB84" s="2"/>
      <c r="AC84" s="2"/>
      <c r="AD84" s="2"/>
      <c r="AE84" s="2"/>
      <c r="AF84" s="105"/>
      <c r="AG84" s="2"/>
      <c r="AH84" s="2"/>
      <c r="AI84" s="2"/>
      <c r="AJ84" s="2"/>
      <c r="AK84" s="2"/>
      <c r="AL84" s="2"/>
      <c r="AM84" s="2"/>
      <c r="AN84" s="2"/>
      <c r="AO84" s="2"/>
      <c r="AP84" s="2"/>
    </row>
    <row r="85" spans="1:42" ht="12.75" customHeight="1">
      <c r="A85" s="2"/>
      <c r="B85" s="2"/>
      <c r="C85" s="2"/>
      <c r="D85" s="1062"/>
      <c r="E85" s="2"/>
      <c r="F85" s="2"/>
      <c r="G85" s="2"/>
      <c r="H85" s="2"/>
      <c r="I85" s="2"/>
      <c r="J85" s="2"/>
      <c r="K85" s="2"/>
      <c r="L85" s="2"/>
      <c r="O85" s="2"/>
      <c r="S85" s="2"/>
      <c r="T85" s="2"/>
      <c r="U85" s="2"/>
      <c r="V85" s="2"/>
      <c r="W85" s="2"/>
      <c r="X85" s="2"/>
      <c r="Y85" s="2"/>
      <c r="Z85" s="2"/>
      <c r="AA85" s="2"/>
      <c r="AB85" s="1432" t="s">
        <v>1660</v>
      </c>
      <c r="AC85" s="1432"/>
      <c r="AD85" s="1432" t="s">
        <v>1481</v>
      </c>
      <c r="AE85" s="1432"/>
      <c r="AF85" s="1432">
        <v>2013</v>
      </c>
      <c r="AG85" s="2"/>
      <c r="AH85" s="2"/>
      <c r="AI85" s="2">
        <f>34.5+75.5</f>
        <v>110</v>
      </c>
      <c r="AJ85" s="2"/>
      <c r="AK85" s="2"/>
      <c r="AL85" s="2"/>
      <c r="AM85" s="2"/>
      <c r="AN85" s="2"/>
      <c r="AO85" s="2"/>
      <c r="AP85" s="2"/>
    </row>
    <row r="86" spans="1:42" ht="12.75" customHeight="1">
      <c r="A86" s="2"/>
      <c r="B86" s="2"/>
      <c r="C86" s="2"/>
      <c r="D86" s="1062"/>
      <c r="E86" s="2"/>
      <c r="F86" s="2"/>
      <c r="G86" s="2"/>
      <c r="H86" s="2"/>
      <c r="I86" s="2"/>
      <c r="J86" s="2"/>
      <c r="K86" s="2"/>
      <c r="L86" s="2"/>
      <c r="O86" s="2"/>
      <c r="S86" s="2"/>
      <c r="T86" s="2"/>
      <c r="U86" s="2"/>
      <c r="V86" s="2"/>
      <c r="W86" s="2"/>
      <c r="X86" s="2"/>
      <c r="Y86" s="2"/>
      <c r="Z86" s="2"/>
      <c r="AA86" s="2" t="s">
        <v>1719</v>
      </c>
      <c r="AB86" s="1423">
        <v>635.37</v>
      </c>
      <c r="AC86" s="1082"/>
      <c r="AD86" s="1423">
        <v>758.25</v>
      </c>
      <c r="AE86" s="1423"/>
      <c r="AF86" s="1423">
        <v>2989</v>
      </c>
      <c r="AG86" s="2"/>
      <c r="AH86" s="2"/>
      <c r="AI86" s="2">
        <f>78+37</f>
        <v>115</v>
      </c>
      <c r="AJ86" s="2"/>
      <c r="AK86" s="2"/>
      <c r="AL86" s="2"/>
      <c r="AM86" s="2"/>
      <c r="AN86" s="2"/>
      <c r="AO86" s="2"/>
      <c r="AP86" s="2"/>
    </row>
    <row r="87" spans="1:42" ht="12.75" customHeight="1">
      <c r="A87" s="2"/>
      <c r="B87" s="2"/>
      <c r="C87" s="2"/>
      <c r="D87" s="1062"/>
      <c r="E87" s="2"/>
      <c r="F87" s="2"/>
      <c r="G87" s="2"/>
      <c r="H87" s="2"/>
      <c r="I87" s="2"/>
      <c r="J87" s="2"/>
      <c r="K87" s="2"/>
      <c r="L87" s="2"/>
      <c r="O87" s="2"/>
      <c r="S87" s="2"/>
      <c r="T87" s="2"/>
      <c r="U87" s="2"/>
      <c r="V87" s="2"/>
      <c r="W87" s="2"/>
      <c r="X87" s="2"/>
      <c r="Y87" s="2"/>
      <c r="Z87" s="2"/>
      <c r="AA87" s="2" t="s">
        <v>401</v>
      </c>
      <c r="AB87" s="1423">
        <v>116.97</v>
      </c>
      <c r="AC87" s="1082"/>
      <c r="AD87" s="1423">
        <v>180.73</v>
      </c>
      <c r="AE87" s="1423"/>
      <c r="AF87" s="1423">
        <v>660.27</v>
      </c>
      <c r="AG87" s="2"/>
      <c r="AH87" s="2"/>
      <c r="AI87" s="2"/>
      <c r="AJ87" s="2"/>
      <c r="AK87" s="2"/>
      <c r="AL87" s="2"/>
      <c r="AM87" s="2"/>
      <c r="AN87" s="2"/>
      <c r="AO87" s="2"/>
      <c r="AP87" s="2"/>
    </row>
    <row r="88" spans="1:42" ht="12.75" customHeight="1">
      <c r="A88" s="2"/>
      <c r="B88" s="2"/>
      <c r="C88" s="2"/>
      <c r="D88" s="1062"/>
      <c r="E88" s="2"/>
      <c r="F88" s="2"/>
      <c r="G88" s="2"/>
      <c r="H88" s="2"/>
      <c r="I88" s="2"/>
      <c r="J88" s="2"/>
      <c r="K88" s="2"/>
      <c r="L88" s="2"/>
      <c r="O88" s="2"/>
      <c r="S88" s="2"/>
      <c r="T88" s="2"/>
      <c r="U88" s="2"/>
      <c r="V88" s="2"/>
      <c r="W88" s="2"/>
      <c r="X88" s="2"/>
      <c r="Y88" s="2"/>
      <c r="Z88" s="2"/>
      <c r="AA88" s="2" t="s">
        <v>200</v>
      </c>
      <c r="AB88" s="1068">
        <v>-0.13</v>
      </c>
      <c r="AC88" s="1118"/>
      <c r="AD88" s="1068">
        <v>0.21</v>
      </c>
      <c r="AE88" s="1068"/>
      <c r="AF88" s="1068">
        <v>0.45</v>
      </c>
      <c r="AG88" s="2"/>
      <c r="AH88" s="2"/>
      <c r="AI88" s="2"/>
      <c r="AJ88" s="2"/>
      <c r="AK88" s="2"/>
      <c r="AL88" s="2"/>
      <c r="AM88" s="2"/>
      <c r="AN88" s="2"/>
      <c r="AO88" s="2"/>
      <c r="AP88" s="2"/>
    </row>
    <row r="89" spans="1:42" ht="12.75" customHeight="1">
      <c r="A89" s="2"/>
      <c r="B89" s="2"/>
      <c r="C89" s="2"/>
      <c r="D89" s="1062"/>
      <c r="E89" s="2"/>
      <c r="F89" s="2"/>
      <c r="G89" s="2"/>
      <c r="H89" s="2"/>
      <c r="I89" s="2"/>
      <c r="J89" s="2"/>
      <c r="K89" s="2"/>
      <c r="L89" s="2"/>
      <c r="O89" s="2"/>
      <c r="S89" s="2"/>
      <c r="T89" s="2"/>
      <c r="U89" s="2"/>
      <c r="V89" s="2"/>
      <c r="W89" s="2"/>
      <c r="X89" s="2"/>
      <c r="Y89" s="2"/>
      <c r="Z89" s="2"/>
      <c r="AA89" s="2"/>
      <c r="AB89" s="2"/>
      <c r="AC89" s="2"/>
      <c r="AD89" s="2"/>
      <c r="AE89" s="2"/>
      <c r="AF89" s="2"/>
      <c r="AG89" s="2"/>
      <c r="AH89" s="2"/>
      <c r="AI89" s="2"/>
      <c r="AJ89" s="2"/>
      <c r="AK89" s="2"/>
      <c r="AL89" s="2"/>
      <c r="AM89" s="2"/>
      <c r="AN89" s="2"/>
      <c r="AO89" s="2"/>
      <c r="AP89" s="2"/>
    </row>
    <row r="90" spans="1:42" ht="12.75" customHeight="1">
      <c r="A90" s="2"/>
      <c r="B90" s="2"/>
      <c r="C90" s="2"/>
      <c r="D90" s="1062"/>
      <c r="E90" s="2"/>
      <c r="F90" s="2"/>
      <c r="G90" s="2"/>
      <c r="H90" s="2"/>
      <c r="I90" s="2"/>
      <c r="J90" s="2"/>
      <c r="K90" s="2"/>
      <c r="L90" s="2"/>
      <c r="O90" s="2"/>
      <c r="S90" s="2"/>
      <c r="T90" s="2"/>
      <c r="U90" s="2"/>
      <c r="V90" s="2"/>
      <c r="W90" s="2"/>
      <c r="X90" s="2"/>
      <c r="Y90" s="2"/>
      <c r="Z90" s="2"/>
      <c r="AA90" s="2"/>
      <c r="AB90" s="2"/>
      <c r="AC90" s="2"/>
      <c r="AD90" s="2"/>
      <c r="AE90" s="2"/>
      <c r="AF90" s="2"/>
      <c r="AG90" s="2"/>
      <c r="AH90" s="69" t="s">
        <v>778</v>
      </c>
      <c r="AP90" s="2"/>
    </row>
    <row r="91" spans="1:42" ht="12.75" customHeight="1">
      <c r="A91" s="2"/>
      <c r="B91" s="2"/>
      <c r="C91" s="2"/>
      <c r="D91" s="1062"/>
      <c r="E91" s="2"/>
      <c r="F91" s="2"/>
      <c r="G91" s="2"/>
      <c r="H91" s="2"/>
      <c r="I91" s="2"/>
      <c r="J91" s="2"/>
      <c r="K91" s="2"/>
      <c r="L91" s="2"/>
      <c r="O91" s="2"/>
      <c r="S91" s="2"/>
      <c r="T91" s="2"/>
      <c r="U91" s="2"/>
      <c r="V91" s="2"/>
      <c r="W91" s="2"/>
      <c r="X91" s="2"/>
      <c r="Y91" s="2"/>
      <c r="Z91" s="2"/>
      <c r="AA91" s="2"/>
      <c r="AB91" s="2"/>
      <c r="AC91" s="2"/>
      <c r="AD91" s="2"/>
      <c r="AE91" s="2"/>
      <c r="AF91" s="2"/>
      <c r="AG91" s="2"/>
      <c r="AH91" s="69"/>
      <c r="AP91" s="2"/>
    </row>
    <row r="92" spans="1:42" ht="12.75" customHeight="1">
      <c r="A92" s="2"/>
      <c r="B92" s="2"/>
      <c r="C92" s="2"/>
      <c r="D92" s="1062"/>
      <c r="E92" s="2"/>
      <c r="F92" s="2"/>
      <c r="G92" s="2"/>
      <c r="H92" s="2"/>
      <c r="I92" s="2"/>
      <c r="J92" s="2"/>
      <c r="K92" s="2"/>
      <c r="L92" s="2"/>
      <c r="O92" s="2"/>
      <c r="S92" s="2"/>
      <c r="T92" s="2"/>
      <c r="U92" s="2"/>
      <c r="V92" s="2"/>
      <c r="W92" s="2"/>
      <c r="X92" s="2"/>
      <c r="Y92" s="2"/>
      <c r="Z92" s="2"/>
      <c r="AA92" s="2"/>
      <c r="AB92" s="2"/>
      <c r="AC92" s="2"/>
      <c r="AD92" s="2"/>
      <c r="AE92" s="2"/>
      <c r="AF92" s="2"/>
      <c r="AG92" s="2"/>
      <c r="AH92" s="1447"/>
      <c r="AI92" s="1449"/>
      <c r="AJ92" s="1447"/>
      <c r="AK92" s="1447"/>
      <c r="AL92" s="1447"/>
      <c r="AM92" s="1447"/>
      <c r="AN92" s="1447"/>
      <c r="AO92" s="1447"/>
      <c r="AP92" s="2"/>
    </row>
    <row r="93" spans="1:42" ht="12.75" customHeight="1">
      <c r="A93" s="2"/>
      <c r="B93" s="2"/>
      <c r="C93" s="2"/>
      <c r="D93" s="1062"/>
      <c r="E93" s="2"/>
      <c r="F93" s="2"/>
      <c r="G93" s="2"/>
      <c r="H93" s="2"/>
      <c r="I93" s="2"/>
      <c r="J93" s="2"/>
      <c r="K93" s="2"/>
      <c r="L93" s="2"/>
      <c r="O93" s="2"/>
      <c r="S93" s="2"/>
      <c r="T93" s="2"/>
      <c r="U93" s="2"/>
      <c r="V93" s="2"/>
      <c r="W93" s="2"/>
      <c r="X93" s="2"/>
      <c r="Y93" s="2"/>
      <c r="Z93" s="2"/>
      <c r="AA93" s="2"/>
      <c r="AB93" s="2"/>
      <c r="AC93" s="2"/>
      <c r="AD93" s="2"/>
      <c r="AE93" s="2"/>
      <c r="AF93" s="2"/>
      <c r="AG93" s="2"/>
      <c r="AH93" s="111" t="s">
        <v>1610</v>
      </c>
      <c r="AI93" s="1289" t="s">
        <v>552</v>
      </c>
      <c r="AJ93" s="1448"/>
      <c r="AK93" s="1289" t="s">
        <v>1611</v>
      </c>
      <c r="AL93" s="1629"/>
      <c r="AM93" s="1629"/>
      <c r="AN93" s="1629"/>
      <c r="AO93" s="1629"/>
      <c r="AP93" s="2"/>
    </row>
    <row r="94" spans="1:42" ht="3" customHeight="1">
      <c r="A94" s="2"/>
      <c r="B94" s="2"/>
      <c r="C94" s="2"/>
      <c r="D94" s="1062"/>
      <c r="E94" s="2"/>
      <c r="F94" s="2"/>
      <c r="G94" s="2"/>
      <c r="H94" s="2"/>
      <c r="I94" s="2"/>
      <c r="J94" s="2"/>
      <c r="K94" s="2"/>
      <c r="L94" s="2"/>
      <c r="O94" s="2"/>
      <c r="S94" s="2"/>
      <c r="T94" s="2"/>
      <c r="U94" s="2"/>
      <c r="V94" s="2"/>
      <c r="W94" s="2"/>
      <c r="X94" s="2"/>
      <c r="Y94" s="2"/>
      <c r="Z94" s="2"/>
      <c r="AA94" s="2"/>
      <c r="AB94" s="2"/>
      <c r="AC94" s="2"/>
      <c r="AD94" s="2"/>
      <c r="AE94" s="2"/>
      <c r="AF94" s="2"/>
      <c r="AG94" s="2"/>
      <c r="AH94" s="69"/>
      <c r="AI94" s="1449"/>
      <c r="AJ94" s="1449"/>
      <c r="AK94" s="1449"/>
      <c r="AL94" s="1449"/>
      <c r="AM94" s="1449"/>
      <c r="AN94" s="1449"/>
      <c r="AO94" s="1449"/>
      <c r="AP94" s="2"/>
    </row>
    <row r="95" spans="1:42" ht="12.75" customHeight="1">
      <c r="A95" s="2"/>
      <c r="B95" s="2"/>
      <c r="C95" s="2"/>
      <c r="D95" s="1062"/>
      <c r="E95" s="2"/>
      <c r="F95" s="2"/>
      <c r="G95" s="2"/>
      <c r="H95" s="2"/>
      <c r="I95" s="2"/>
      <c r="J95" s="2"/>
      <c r="K95" s="2"/>
      <c r="L95" s="2"/>
      <c r="O95" s="2"/>
      <c r="S95" s="2"/>
      <c r="T95" s="2"/>
      <c r="U95" s="2"/>
      <c r="V95" s="2"/>
      <c r="W95" s="2"/>
      <c r="X95" s="2"/>
      <c r="Y95" s="2"/>
      <c r="Z95" s="2"/>
      <c r="AA95" s="2"/>
      <c r="AB95" s="2"/>
      <c r="AC95" s="2"/>
      <c r="AD95" s="2"/>
      <c r="AE95" s="2"/>
      <c r="AF95" s="2"/>
      <c r="AG95" s="2"/>
      <c r="AH95" s="1447" t="s">
        <v>1612</v>
      </c>
      <c r="AI95" s="2"/>
      <c r="AJ95" s="2"/>
      <c r="AK95" s="2"/>
      <c r="AL95" s="2"/>
      <c r="AM95" s="2"/>
      <c r="AN95" s="2"/>
      <c r="AO95" s="2"/>
      <c r="AP95" s="2"/>
    </row>
    <row r="96" spans="1:42" ht="12.75" customHeight="1">
      <c r="A96" s="2"/>
      <c r="B96" s="2"/>
      <c r="C96" s="2"/>
      <c r="D96" s="1062"/>
      <c r="E96" s="2"/>
      <c r="F96" s="2"/>
      <c r="G96" s="2"/>
      <c r="H96" s="2"/>
      <c r="I96" s="2"/>
      <c r="J96" s="2"/>
      <c r="K96" s="2"/>
      <c r="L96" s="2"/>
      <c r="O96" s="2"/>
      <c r="S96" s="2"/>
      <c r="T96" s="2"/>
      <c r="U96" s="2"/>
      <c r="V96" s="2"/>
      <c r="W96" s="2"/>
      <c r="X96" s="2"/>
      <c r="Y96" s="2"/>
      <c r="Z96" s="2"/>
      <c r="AA96" s="2"/>
      <c r="AB96" s="2"/>
      <c r="AC96" s="2"/>
      <c r="AD96" s="2"/>
      <c r="AE96" s="2"/>
      <c r="AF96" s="2"/>
      <c r="AG96" s="2"/>
      <c r="AH96" s="1447" t="s">
        <v>1613</v>
      </c>
      <c r="AI96" s="1614" t="s">
        <v>779</v>
      </c>
      <c r="AJ96" s="1449"/>
      <c r="AK96" s="1465">
        <f>+SUM(BYD!AR38:AR41,BYD!AR54)</f>
        <v>94.921000000000006</v>
      </c>
      <c r="AL96" s="1450"/>
      <c r="AM96" s="1450"/>
      <c r="AN96" s="1450"/>
      <c r="AO96" s="1450"/>
      <c r="AP96" s="2"/>
    </row>
    <row r="97" spans="1:42" ht="6" customHeight="1">
      <c r="A97" s="2"/>
      <c r="B97" s="2"/>
      <c r="C97" s="2"/>
      <c r="D97" s="1062"/>
      <c r="E97" s="2"/>
      <c r="F97" s="2"/>
      <c r="G97" s="2"/>
      <c r="H97" s="2"/>
      <c r="I97" s="2"/>
      <c r="J97" s="2"/>
      <c r="K97" s="2"/>
      <c r="L97" s="2"/>
      <c r="O97" s="2"/>
      <c r="S97" s="2"/>
      <c r="T97" s="2"/>
      <c r="U97" s="2"/>
      <c r="V97" s="2"/>
      <c r="W97" s="2"/>
      <c r="X97" s="2"/>
      <c r="Y97" s="2"/>
      <c r="Z97" s="2"/>
      <c r="AA97" s="2"/>
      <c r="AB97" s="2"/>
      <c r="AC97" s="2"/>
      <c r="AD97" s="2"/>
      <c r="AE97" s="2"/>
      <c r="AF97" s="2"/>
      <c r="AG97" s="2"/>
      <c r="AH97" s="1447"/>
      <c r="AI97" s="1614"/>
      <c r="AJ97" s="1449"/>
      <c r="AK97" s="1450"/>
      <c r="AL97" s="1450"/>
      <c r="AM97" s="1450"/>
      <c r="AN97" s="1450"/>
      <c r="AO97" s="1450"/>
      <c r="AP97" s="2"/>
    </row>
    <row r="98" spans="1:42" ht="12.75" customHeight="1">
      <c r="A98" s="2"/>
      <c r="B98" s="2"/>
      <c r="C98" s="2"/>
      <c r="D98" s="1062"/>
      <c r="E98" s="2"/>
      <c r="F98" s="2"/>
      <c r="G98" s="2"/>
      <c r="H98" s="2"/>
      <c r="I98" s="2"/>
      <c r="J98" s="2"/>
      <c r="K98" s="2"/>
      <c r="L98" s="2"/>
      <c r="O98" s="2"/>
      <c r="S98" s="2"/>
      <c r="T98" s="2"/>
      <c r="U98" s="2"/>
      <c r="V98" s="2"/>
      <c r="W98" s="2"/>
      <c r="X98" s="2"/>
      <c r="Y98" s="2"/>
      <c r="Z98" s="2"/>
      <c r="AA98" s="2"/>
      <c r="AB98" s="2"/>
      <c r="AC98" s="2"/>
      <c r="AD98" s="2"/>
      <c r="AE98" s="2"/>
      <c r="AF98" s="2"/>
      <c r="AG98" s="2"/>
      <c r="AH98" s="1447" t="s">
        <v>1614</v>
      </c>
      <c r="AI98" s="1615" t="s">
        <v>780</v>
      </c>
      <c r="AJ98" s="1449"/>
      <c r="AK98" s="1450">
        <f>+BYD!AR45</f>
        <v>38.881</v>
      </c>
      <c r="AL98" s="1465"/>
      <c r="AM98" s="1465"/>
      <c r="AN98" s="1465"/>
      <c r="AO98" s="1465"/>
      <c r="AP98" s="2"/>
    </row>
    <row r="99" spans="1:42" ht="6" customHeight="1">
      <c r="A99" s="2"/>
      <c r="B99" s="2"/>
      <c r="C99" s="2"/>
      <c r="D99" s="1062"/>
      <c r="E99" s="2"/>
      <c r="F99" s="2"/>
      <c r="G99" s="2"/>
      <c r="H99" s="2"/>
      <c r="I99" s="2"/>
      <c r="J99" s="2"/>
      <c r="K99" s="2"/>
      <c r="L99" s="2"/>
      <c r="O99" s="2"/>
      <c r="S99" s="2"/>
      <c r="T99" s="2"/>
      <c r="U99" s="2"/>
      <c r="V99" s="2"/>
      <c r="W99" s="2"/>
      <c r="X99" s="2"/>
      <c r="Y99" s="2"/>
      <c r="Z99" s="2"/>
      <c r="AA99" s="2"/>
      <c r="AB99" s="2"/>
      <c r="AC99" s="2"/>
      <c r="AD99" s="2"/>
      <c r="AE99" s="2"/>
      <c r="AF99" s="2"/>
      <c r="AG99" s="2"/>
      <c r="AH99" s="1447"/>
      <c r="AI99" s="1614"/>
      <c r="AJ99" s="1449"/>
      <c r="AK99" s="1450"/>
      <c r="AL99" s="1450"/>
      <c r="AM99" s="1450"/>
      <c r="AN99" s="1450"/>
      <c r="AO99" s="1450"/>
      <c r="AP99" s="2"/>
    </row>
    <row r="100" spans="1:42" ht="12.75" customHeight="1">
      <c r="A100" s="2"/>
      <c r="B100" s="2"/>
      <c r="C100" s="2"/>
      <c r="D100" s="1062"/>
      <c r="E100" s="2"/>
      <c r="F100" s="2"/>
      <c r="G100" s="2"/>
      <c r="H100" s="2"/>
      <c r="I100" s="2"/>
      <c r="J100" s="2"/>
      <c r="K100" s="2"/>
      <c r="L100" s="2"/>
      <c r="O100" s="2"/>
      <c r="S100" s="2"/>
      <c r="T100" s="2"/>
      <c r="U100" s="2"/>
      <c r="V100" s="2"/>
      <c r="W100" s="2"/>
      <c r="X100" s="2"/>
      <c r="Y100" s="2"/>
      <c r="Z100" s="2"/>
      <c r="AA100" s="2"/>
      <c r="AB100" s="2"/>
      <c r="AC100" s="2"/>
      <c r="AD100" s="2"/>
      <c r="AE100" s="2"/>
      <c r="AF100" s="2"/>
      <c r="AG100" s="2"/>
      <c r="AH100" s="1447" t="s">
        <v>1615</v>
      </c>
      <c r="AI100" s="1614" t="s">
        <v>781</v>
      </c>
      <c r="AJ100" s="1449"/>
      <c r="AK100" s="1466">
        <f>+BYD!AR95</f>
        <v>9.5650493822950905E-2</v>
      </c>
      <c r="AL100" s="1466"/>
      <c r="AM100" s="1466"/>
      <c r="AN100" s="1466"/>
      <c r="AO100" s="1466"/>
      <c r="AP100" s="2"/>
    </row>
    <row r="101" spans="1:42" ht="6" customHeight="1">
      <c r="A101" s="2"/>
      <c r="B101" s="2"/>
      <c r="C101" s="2"/>
      <c r="D101" s="1062"/>
      <c r="E101" s="2"/>
      <c r="F101" s="2"/>
      <c r="G101" s="2"/>
      <c r="H101" s="2"/>
      <c r="I101" s="2"/>
      <c r="J101" s="2"/>
      <c r="K101" s="2"/>
      <c r="L101" s="2"/>
      <c r="O101" s="2"/>
      <c r="S101" s="2"/>
      <c r="T101" s="2"/>
      <c r="U101" s="2"/>
      <c r="V101" s="2"/>
      <c r="W101" s="2"/>
      <c r="X101" s="2"/>
      <c r="Y101" s="2"/>
      <c r="Z101" s="2"/>
      <c r="AA101" s="2"/>
      <c r="AB101" s="2"/>
      <c r="AC101" s="2"/>
      <c r="AD101" s="2"/>
      <c r="AE101" s="2"/>
      <c r="AF101" s="2"/>
      <c r="AG101" s="2"/>
      <c r="AH101" s="1447"/>
      <c r="AI101" s="1450"/>
      <c r="AJ101" s="1449"/>
      <c r="AK101" s="1449"/>
      <c r="AL101" s="1449"/>
      <c r="AM101" s="1449"/>
      <c r="AN101" s="1449"/>
      <c r="AO101" s="1449"/>
      <c r="AP101" s="2"/>
    </row>
    <row r="102" spans="1:42" ht="12.75" customHeight="1">
      <c r="A102" s="2"/>
      <c r="B102" s="2"/>
      <c r="C102" s="2"/>
      <c r="D102" s="1062"/>
      <c r="E102" s="2"/>
      <c r="F102" s="2"/>
      <c r="G102" s="2"/>
      <c r="H102" s="2"/>
      <c r="I102" s="2"/>
      <c r="J102" s="2"/>
      <c r="K102" s="2"/>
      <c r="L102" s="2"/>
      <c r="O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row>
    <row r="103" spans="1:42" ht="12.75" customHeight="1">
      <c r="A103" s="2"/>
      <c r="B103" s="2"/>
      <c r="C103" s="2"/>
      <c r="D103" s="1062"/>
      <c r="E103" s="2"/>
      <c r="F103" s="2"/>
      <c r="G103" s="2"/>
      <c r="H103" s="2"/>
      <c r="I103" s="2"/>
      <c r="J103" s="2"/>
      <c r="K103" s="2"/>
      <c r="L103" s="2"/>
      <c r="O103" s="2"/>
      <c r="S103" s="2"/>
      <c r="T103" s="2"/>
      <c r="U103" s="2"/>
      <c r="V103" s="2"/>
      <c r="W103" s="2"/>
      <c r="X103" s="2"/>
      <c r="Y103" s="2"/>
      <c r="Z103" s="2"/>
      <c r="AA103" s="2"/>
      <c r="AB103" s="2"/>
      <c r="AC103" s="2"/>
      <c r="AD103" s="2"/>
      <c r="AE103" s="2"/>
      <c r="AF103" s="2"/>
      <c r="AG103" s="2"/>
      <c r="AH103" s="2"/>
      <c r="AI103" s="2">
        <f>88+32</f>
        <v>120</v>
      </c>
      <c r="AJ103" s="2"/>
      <c r="AK103" s="2"/>
      <c r="AL103" s="2"/>
      <c r="AM103" s="69" t="s">
        <v>728</v>
      </c>
    </row>
    <row r="104" spans="1:42" ht="12.75" customHeight="1">
      <c r="A104" s="2"/>
      <c r="B104" s="2"/>
      <c r="C104" s="2"/>
      <c r="D104" s="1062"/>
      <c r="E104" s="2"/>
      <c r="F104" s="2"/>
      <c r="G104" s="2"/>
      <c r="H104" s="2"/>
      <c r="I104" s="2"/>
      <c r="J104" s="2"/>
      <c r="K104" s="2"/>
      <c r="L104" s="2"/>
      <c r="O104" s="2"/>
      <c r="S104" s="2"/>
      <c r="T104" s="2"/>
      <c r="U104" s="2"/>
      <c r="V104" s="2"/>
      <c r="W104" s="2"/>
      <c r="X104" s="2"/>
      <c r="Y104" s="2"/>
      <c r="Z104" s="2"/>
      <c r="AA104" s="2"/>
      <c r="AB104" s="2"/>
      <c r="AC104" s="2"/>
      <c r="AD104" s="2"/>
      <c r="AE104" s="2"/>
      <c r="AF104" s="2"/>
      <c r="AG104" s="2"/>
      <c r="AH104" s="2"/>
      <c r="AI104" s="2">
        <f>93+34</f>
        <v>127</v>
      </c>
      <c r="AJ104" s="2"/>
      <c r="AK104" s="2"/>
      <c r="AL104" s="2"/>
      <c r="AM104" s="69"/>
    </row>
    <row r="105" spans="1:42" ht="12.75" customHeight="1">
      <c r="A105" s="2"/>
      <c r="B105" s="2"/>
      <c r="C105" s="2"/>
      <c r="D105" s="1062"/>
      <c r="E105" s="2"/>
      <c r="F105" s="2"/>
      <c r="G105" s="2"/>
      <c r="H105" s="2"/>
      <c r="I105" s="2"/>
      <c r="J105" s="2"/>
      <c r="K105" s="2"/>
      <c r="L105" s="2"/>
      <c r="O105" s="2"/>
      <c r="S105" s="2"/>
      <c r="T105" s="2"/>
      <c r="U105" s="2"/>
      <c r="V105" s="2"/>
      <c r="W105" s="2"/>
      <c r="X105" s="2"/>
      <c r="Y105" s="2"/>
      <c r="Z105" s="2"/>
      <c r="AA105" s="2"/>
      <c r="AB105" s="2"/>
      <c r="AC105" s="2"/>
      <c r="AD105" s="2"/>
      <c r="AE105" s="2"/>
      <c r="AF105" s="2"/>
      <c r="AG105" s="2"/>
      <c r="AH105" s="2"/>
      <c r="AI105" s="2"/>
      <c r="AJ105" s="2"/>
      <c r="AK105" s="2"/>
      <c r="AL105" s="2"/>
      <c r="AM105" s="1447"/>
      <c r="AN105" s="1449"/>
      <c r="AO105" s="1447"/>
      <c r="AP105" s="1447"/>
    </row>
    <row r="106" spans="1:42" ht="12.75" customHeight="1">
      <c r="A106" s="2"/>
      <c r="B106" s="2"/>
      <c r="C106" s="2"/>
      <c r="D106" s="1062"/>
      <c r="E106" s="2"/>
      <c r="F106" s="2"/>
      <c r="G106" s="2"/>
      <c r="H106" s="2"/>
      <c r="I106" s="2"/>
      <c r="J106" s="2"/>
      <c r="K106" s="2"/>
      <c r="L106" s="2"/>
      <c r="O106" s="2"/>
      <c r="S106" s="2"/>
      <c r="T106" s="2"/>
      <c r="U106" s="2"/>
      <c r="V106" s="2"/>
      <c r="W106" s="2"/>
      <c r="X106" s="2"/>
      <c r="Y106" s="2"/>
      <c r="Z106" s="2"/>
      <c r="AA106" s="2"/>
      <c r="AB106" s="2"/>
      <c r="AC106" s="2"/>
      <c r="AD106" s="2"/>
      <c r="AE106" s="2"/>
      <c r="AF106" s="2"/>
      <c r="AG106" s="2"/>
      <c r="AH106" s="2"/>
      <c r="AI106" s="2"/>
      <c r="AJ106" s="2"/>
      <c r="AK106" s="2"/>
      <c r="AL106" s="2"/>
      <c r="AM106" s="111" t="s">
        <v>1610</v>
      </c>
      <c r="AN106" s="1289" t="s">
        <v>552</v>
      </c>
      <c r="AO106" s="1448"/>
      <c r="AP106" s="1289" t="s">
        <v>1611</v>
      </c>
    </row>
    <row r="107" spans="1:42" ht="12.75" customHeight="1">
      <c r="A107" s="2"/>
      <c r="B107" s="2"/>
      <c r="C107" s="2"/>
      <c r="D107" s="1062"/>
      <c r="E107" s="2"/>
      <c r="F107" s="2"/>
      <c r="G107" s="2"/>
      <c r="H107" s="2"/>
      <c r="I107" s="2"/>
      <c r="J107" s="2"/>
      <c r="K107" s="2"/>
      <c r="L107" s="2"/>
      <c r="O107" s="2"/>
      <c r="S107" s="2"/>
      <c r="T107" s="2"/>
      <c r="U107" s="2"/>
      <c r="V107" s="2"/>
      <c r="W107" s="2"/>
      <c r="X107" s="2"/>
      <c r="Y107" s="2"/>
      <c r="Z107" s="2"/>
      <c r="AA107" s="2"/>
      <c r="AB107" s="2"/>
      <c r="AC107" s="2"/>
      <c r="AD107" s="2"/>
      <c r="AE107" s="2"/>
      <c r="AF107" s="2"/>
      <c r="AG107" s="2"/>
      <c r="AH107" s="2"/>
      <c r="AI107" s="2"/>
      <c r="AJ107" s="2"/>
      <c r="AK107" s="2"/>
      <c r="AL107" s="2"/>
      <c r="AM107" s="69"/>
      <c r="AN107" s="1449"/>
      <c r="AO107" s="1449"/>
      <c r="AP107" s="1449"/>
    </row>
    <row r="108" spans="1:42" ht="12.75" customHeight="1">
      <c r="A108" s="2"/>
      <c r="B108" s="2"/>
      <c r="C108" s="2"/>
      <c r="D108" s="1062"/>
      <c r="E108" s="2"/>
      <c r="F108" s="2"/>
      <c r="G108" s="2"/>
      <c r="H108" s="2"/>
      <c r="I108" s="2"/>
      <c r="J108" s="2"/>
      <c r="K108" s="2"/>
      <c r="L108" s="2"/>
      <c r="O108" s="2"/>
      <c r="S108" s="2"/>
      <c r="T108" s="2"/>
      <c r="U108" s="2"/>
      <c r="V108" s="2"/>
      <c r="W108" s="2"/>
      <c r="X108" s="2"/>
      <c r="Y108" s="2"/>
      <c r="Z108" s="2"/>
      <c r="AA108" s="2"/>
      <c r="AB108" s="2"/>
      <c r="AC108" s="2"/>
      <c r="AD108" s="2"/>
      <c r="AE108" s="2"/>
      <c r="AF108" s="2"/>
      <c r="AG108" s="2"/>
      <c r="AH108" s="2"/>
      <c r="AI108" s="2"/>
      <c r="AJ108" s="2"/>
      <c r="AK108" s="2"/>
      <c r="AL108" s="2"/>
      <c r="AM108" s="1447" t="s">
        <v>1612</v>
      </c>
      <c r="AN108" s="2"/>
      <c r="AO108" s="2"/>
      <c r="AP108" s="2"/>
    </row>
    <row r="109" spans="1:42" ht="12.75" customHeight="1">
      <c r="A109" s="2"/>
      <c r="B109" s="2"/>
      <c r="C109" s="2"/>
      <c r="D109" s="1062"/>
      <c r="E109" s="2"/>
      <c r="F109" s="2"/>
      <c r="G109" s="2"/>
      <c r="H109" s="2"/>
      <c r="I109" s="2"/>
      <c r="J109" s="2"/>
      <c r="K109" s="2"/>
      <c r="L109" s="2"/>
      <c r="O109" s="2"/>
      <c r="S109" s="2"/>
      <c r="T109" s="2"/>
      <c r="U109" s="2"/>
      <c r="V109" s="2"/>
      <c r="W109" s="2"/>
      <c r="X109" s="2"/>
      <c r="Y109" s="2"/>
      <c r="Z109" s="2"/>
      <c r="AA109" s="2"/>
      <c r="AB109" s="2"/>
      <c r="AC109" s="2"/>
      <c r="AD109" s="2"/>
      <c r="AE109" s="2"/>
      <c r="AF109" s="2"/>
      <c r="AG109" s="2"/>
      <c r="AH109" s="2"/>
      <c r="AI109" s="2"/>
      <c r="AJ109" s="2"/>
      <c r="AK109" s="2"/>
      <c r="AL109" s="2"/>
      <c r="AM109" s="1447" t="s">
        <v>1613</v>
      </c>
      <c r="AN109" s="1630" t="s">
        <v>779</v>
      </c>
      <c r="AO109" s="1449"/>
      <c r="AP109" s="1465">
        <f>+SUM(BYD!AS38:AS41,BYD!AS54)</f>
        <v>83.1</v>
      </c>
    </row>
    <row r="110" spans="1:42" ht="12.75" customHeight="1">
      <c r="A110" s="2"/>
      <c r="B110" s="2"/>
      <c r="C110" s="2"/>
      <c r="D110" s="1062"/>
      <c r="E110" s="2"/>
      <c r="F110" s="2"/>
      <c r="G110" s="2"/>
      <c r="H110" s="2"/>
      <c r="I110" s="2"/>
      <c r="J110" s="2"/>
      <c r="K110" s="2"/>
      <c r="L110" s="2"/>
      <c r="O110" s="2"/>
      <c r="S110" s="2"/>
      <c r="T110" s="2"/>
      <c r="U110" s="2"/>
      <c r="V110" s="2"/>
      <c r="W110" s="2"/>
      <c r="X110" s="2"/>
      <c r="Y110" s="2"/>
      <c r="Z110" s="2"/>
      <c r="AA110" s="2"/>
      <c r="AB110" s="2"/>
      <c r="AC110" s="2"/>
      <c r="AD110" s="2"/>
      <c r="AE110" s="2"/>
      <c r="AF110" s="2"/>
      <c r="AG110" s="2"/>
      <c r="AH110" s="2"/>
      <c r="AI110" s="2"/>
      <c r="AJ110" s="2"/>
      <c r="AK110" s="2"/>
      <c r="AL110" s="2"/>
      <c r="AM110" s="1447"/>
      <c r="AN110" s="1630"/>
      <c r="AO110" s="1449"/>
      <c r="AP110" s="1450"/>
    </row>
    <row r="111" spans="1:42" ht="12.75" customHeight="1">
      <c r="A111" s="2"/>
      <c r="B111" s="2"/>
      <c r="C111" s="2"/>
      <c r="D111" s="1062"/>
      <c r="E111" s="2"/>
      <c r="F111" s="2"/>
      <c r="G111" s="2"/>
      <c r="H111" s="2"/>
      <c r="I111" s="2"/>
      <c r="J111" s="2"/>
      <c r="K111" s="2"/>
      <c r="L111" s="2"/>
      <c r="O111" s="2"/>
      <c r="S111" s="2"/>
      <c r="T111" s="2"/>
      <c r="U111" s="2"/>
      <c r="V111" s="2"/>
      <c r="W111" s="2"/>
      <c r="X111" s="2"/>
      <c r="Y111" s="2"/>
      <c r="Z111" s="2"/>
      <c r="AA111" s="2"/>
      <c r="AB111" s="2"/>
      <c r="AC111" s="2"/>
      <c r="AD111" s="2"/>
      <c r="AE111" s="2"/>
      <c r="AF111" s="2"/>
      <c r="AG111" s="2"/>
      <c r="AH111" s="2"/>
      <c r="AI111" s="2"/>
      <c r="AJ111" s="2"/>
      <c r="AK111" s="2"/>
      <c r="AL111" s="2"/>
      <c r="AM111" s="1447" t="s">
        <v>1614</v>
      </c>
      <c r="AN111" s="1631" t="s">
        <v>780</v>
      </c>
      <c r="AO111" s="1449"/>
      <c r="AP111" s="1450">
        <f>+BYD!AS45</f>
        <v>30.734999999999999</v>
      </c>
    </row>
    <row r="112" spans="1:42" ht="12.75" customHeight="1">
      <c r="A112" s="2"/>
      <c r="B112" s="2"/>
      <c r="C112" s="2"/>
      <c r="D112" s="1062"/>
      <c r="E112" s="2"/>
      <c r="F112" s="2"/>
      <c r="G112" s="2"/>
      <c r="H112" s="2"/>
      <c r="I112" s="2"/>
      <c r="J112" s="2"/>
      <c r="K112" s="2"/>
      <c r="L112" s="2"/>
      <c r="O112" s="2"/>
      <c r="S112" s="2"/>
      <c r="T112" s="2"/>
      <c r="U112" s="2"/>
      <c r="V112" s="2"/>
      <c r="W112" s="2"/>
      <c r="X112" s="2"/>
      <c r="Y112" s="2"/>
      <c r="Z112" s="2"/>
      <c r="AA112" s="2"/>
      <c r="AB112" s="2"/>
      <c r="AC112" s="2"/>
      <c r="AD112" s="2"/>
      <c r="AE112" s="2"/>
      <c r="AF112" s="2"/>
      <c r="AG112" s="2"/>
      <c r="AH112" s="2"/>
      <c r="AI112" s="2"/>
      <c r="AJ112" s="2"/>
      <c r="AK112" s="2"/>
      <c r="AL112" s="2"/>
      <c r="AM112" s="1447"/>
      <c r="AN112" s="1630"/>
      <c r="AO112" s="1449"/>
      <c r="AP112" s="1450"/>
    </row>
    <row r="113" spans="1:42" ht="12.75" customHeight="1">
      <c r="A113" s="2"/>
      <c r="B113" s="2"/>
      <c r="C113" s="2"/>
      <c r="D113" s="1062"/>
      <c r="E113" s="2"/>
      <c r="F113" s="2"/>
      <c r="G113" s="2"/>
      <c r="H113" s="2"/>
      <c r="I113" s="2"/>
      <c r="J113" s="2"/>
      <c r="K113" s="2"/>
      <c r="L113" s="2"/>
      <c r="O113" s="2"/>
      <c r="S113" s="2"/>
      <c r="T113" s="2"/>
      <c r="U113" s="2"/>
      <c r="V113" s="2"/>
      <c r="W113" s="2"/>
      <c r="X113" s="2"/>
      <c r="Y113" s="2"/>
      <c r="Z113" s="2"/>
      <c r="AA113" s="2"/>
      <c r="AB113" s="2"/>
      <c r="AC113" s="2"/>
      <c r="AD113" s="2"/>
      <c r="AE113" s="2"/>
      <c r="AF113" s="2"/>
      <c r="AG113" s="2"/>
      <c r="AH113" s="2"/>
      <c r="AI113" s="2"/>
      <c r="AJ113" s="2"/>
      <c r="AK113" s="2"/>
      <c r="AL113" s="2"/>
      <c r="AM113" s="1447" t="s">
        <v>1615</v>
      </c>
      <c r="AN113" s="1630" t="s">
        <v>781</v>
      </c>
      <c r="AO113" s="1449"/>
      <c r="AP113" s="1466">
        <f>+BYD!AS95</f>
        <v>4.7575010275380213E-2</v>
      </c>
    </row>
  </sheetData>
  <phoneticPr fontId="10" type="noConversion"/>
  <pageMargins left="0.75" right="0.75" top="1" bottom="1" header="0.5" footer="0.5"/>
  <pageSetup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AP110"/>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3" max="13" width="9.5" bestFit="1" customWidth="1"/>
    <col min="16" max="16" width="3.25" customWidth="1"/>
    <col min="18" max="18" width="1" customWidth="1"/>
    <col min="19" max="19" width="19" customWidth="1"/>
    <col min="20" max="20" width="1.625" customWidth="1"/>
    <col min="21" max="21" width="8.625" customWidth="1"/>
    <col min="22" max="22" width="1.625" customWidth="1"/>
    <col min="23" max="23" width="8.625" customWidth="1"/>
    <col min="24" max="24" width="1.625" customWidth="1"/>
    <col min="25" max="25" width="8.625" customWidth="1"/>
    <col min="28" max="28" width="7.625" customWidth="1"/>
    <col min="29" max="29" width="1.625" customWidth="1"/>
    <col min="30" max="30" width="7.625" customWidth="1"/>
    <col min="31" max="31" width="1.625" customWidth="1"/>
    <col min="32" max="32" width="7.625" customWidth="1"/>
    <col min="33" max="33" width="1.625" customWidth="1"/>
    <col min="34" max="34" width="16.375" customWidth="1"/>
    <col min="35" max="35" width="11.625" customWidth="1"/>
    <col min="36" max="36" width="2.625" customWidth="1"/>
    <col min="37" max="38" width="10.625" customWidth="1"/>
    <col min="39" max="39" width="15.375" customWidth="1"/>
    <col min="40" max="40" width="10.625" customWidth="1"/>
    <col min="41" max="41" width="1.375" customWidth="1"/>
  </cols>
  <sheetData>
    <row r="1" spans="1:42" ht="12.75" customHeight="1">
      <c r="A1" s="1" t="s">
        <v>629</v>
      </c>
      <c r="B1" s="2"/>
      <c r="C1" s="166"/>
      <c r="D1" s="1062"/>
      <c r="E1" s="2"/>
      <c r="F1" s="2"/>
      <c r="G1" s="2"/>
      <c r="H1" s="2"/>
      <c r="I1" s="2"/>
      <c r="J1" s="2"/>
      <c r="K1" s="2"/>
      <c r="L1" s="2"/>
      <c r="O1" s="2"/>
      <c r="S1" s="2"/>
      <c r="T1" s="2"/>
      <c r="U1" s="2"/>
      <c r="V1" s="2"/>
      <c r="W1" s="2"/>
      <c r="X1" s="2"/>
      <c r="Y1" s="2"/>
      <c r="Z1" s="2"/>
      <c r="AA1" s="2"/>
      <c r="AB1" s="2"/>
      <c r="AC1" s="2"/>
      <c r="AD1" s="2"/>
      <c r="AE1" s="2"/>
      <c r="AF1" s="2"/>
      <c r="AG1" s="2"/>
      <c r="AH1" s="2"/>
      <c r="AI1" s="2"/>
      <c r="AJ1" s="2"/>
      <c r="AK1" s="2"/>
      <c r="AL1" s="2"/>
      <c r="AM1" s="2"/>
      <c r="AN1" s="2"/>
      <c r="AO1" s="2"/>
      <c r="AP1" s="2"/>
    </row>
    <row r="2" spans="1:42" ht="12.75" customHeight="1">
      <c r="A2" s="1" t="s">
        <v>1224</v>
      </c>
      <c r="B2" s="2"/>
      <c r="C2" s="2"/>
      <c r="D2" s="1062"/>
      <c r="E2" s="2"/>
      <c r="F2" s="2"/>
      <c r="G2" s="2"/>
      <c r="H2" s="2"/>
      <c r="I2" s="2"/>
      <c r="J2" s="2"/>
      <c r="K2" s="2"/>
      <c r="L2" s="2"/>
      <c r="O2" s="2"/>
      <c r="S2" s="2"/>
      <c r="T2" s="2"/>
      <c r="U2" s="2"/>
      <c r="V2" s="2"/>
      <c r="W2" s="2"/>
      <c r="X2" s="2"/>
      <c r="Y2" s="2"/>
      <c r="Z2" s="2"/>
      <c r="AA2" s="2"/>
      <c r="AB2" s="2"/>
      <c r="AC2" s="2"/>
      <c r="AD2" s="2"/>
      <c r="AE2" s="2"/>
      <c r="AF2" s="2"/>
      <c r="AG2" s="2"/>
      <c r="AH2" s="2"/>
      <c r="AI2" s="2"/>
      <c r="AJ2" s="2"/>
      <c r="AK2" s="2"/>
      <c r="AL2" s="2"/>
      <c r="AM2" s="2"/>
      <c r="AN2" s="2"/>
      <c r="AO2" s="2"/>
      <c r="AP2" s="2"/>
    </row>
    <row r="3" spans="1:42" ht="12.75" customHeight="1">
      <c r="A3" s="2" t="s">
        <v>1225</v>
      </c>
      <c r="B3" s="2"/>
      <c r="C3" s="2"/>
      <c r="D3" s="1062"/>
      <c r="E3" s="2"/>
      <c r="F3" s="2"/>
      <c r="G3" s="2"/>
      <c r="H3" s="2"/>
      <c r="I3" s="2"/>
      <c r="J3" s="2"/>
      <c r="K3" s="2"/>
      <c r="L3" s="2"/>
      <c r="O3" s="2"/>
      <c r="S3" s="2"/>
      <c r="T3" s="2"/>
      <c r="U3" s="2"/>
      <c r="V3" s="2"/>
      <c r="W3" s="2"/>
      <c r="X3" s="2"/>
      <c r="Y3" s="2"/>
      <c r="Z3" s="2"/>
      <c r="AA3" s="2"/>
      <c r="AB3" s="2"/>
      <c r="AC3" s="2"/>
      <c r="AD3" s="2"/>
      <c r="AE3" s="2"/>
      <c r="AF3" s="2"/>
      <c r="AG3" s="2"/>
      <c r="AH3" s="2"/>
      <c r="AI3" s="2"/>
      <c r="AJ3" s="2"/>
      <c r="AK3" s="2"/>
      <c r="AL3" s="2"/>
      <c r="AM3" s="2"/>
      <c r="AN3" s="2"/>
      <c r="AO3" s="2"/>
      <c r="AP3" s="2"/>
    </row>
    <row r="4" spans="1:42" ht="12.75" customHeight="1">
      <c r="A4" s="2"/>
      <c r="B4" s="2"/>
      <c r="C4" s="1195" t="s">
        <v>818</v>
      </c>
      <c r="D4" s="1310"/>
      <c r="E4" s="1196"/>
      <c r="F4" s="1196"/>
      <c r="G4" s="1196"/>
      <c r="H4" s="2"/>
      <c r="I4" s="1195" t="s">
        <v>1504</v>
      </c>
      <c r="J4" s="1197"/>
      <c r="K4" s="1196"/>
      <c r="L4" s="1196"/>
      <c r="O4" s="73" t="s">
        <v>1030</v>
      </c>
      <c r="Q4" s="73" t="s">
        <v>594</v>
      </c>
      <c r="S4" s="2"/>
      <c r="T4" s="2"/>
      <c r="U4" s="2"/>
      <c r="V4" s="2"/>
      <c r="W4" s="2"/>
      <c r="X4" s="2"/>
      <c r="Y4" s="2"/>
      <c r="Z4" s="2"/>
      <c r="AA4" s="2"/>
      <c r="AB4" s="2"/>
      <c r="AC4" s="2"/>
      <c r="AD4" s="2"/>
      <c r="AE4" s="2"/>
      <c r="AF4" s="2"/>
      <c r="AG4" s="2"/>
      <c r="AH4" s="2"/>
      <c r="AI4" s="2"/>
      <c r="AJ4" s="2"/>
      <c r="AK4" s="2"/>
      <c r="AL4" s="2"/>
      <c r="AM4" s="2"/>
      <c r="AN4" s="2"/>
      <c r="AO4" s="2"/>
      <c r="AP4" s="2"/>
    </row>
    <row r="5" spans="1:42" ht="12.75" customHeight="1">
      <c r="A5" s="2"/>
      <c r="B5" s="2"/>
      <c r="C5" s="1198"/>
      <c r="D5" s="77"/>
      <c r="E5" s="2"/>
      <c r="F5" s="1197" t="s">
        <v>1505</v>
      </c>
      <c r="G5" s="1197"/>
      <c r="H5" s="2"/>
      <c r="I5" s="1198"/>
      <c r="J5" s="61"/>
      <c r="K5" s="1197" t="s">
        <v>1505</v>
      </c>
      <c r="L5" s="1197"/>
      <c r="O5" s="2"/>
      <c r="S5" s="2"/>
      <c r="T5" s="2"/>
      <c r="U5" s="2"/>
      <c r="V5" s="2"/>
      <c r="W5" s="2"/>
      <c r="X5" s="2"/>
      <c r="Y5" s="2"/>
      <c r="Z5" s="2"/>
      <c r="AA5" s="2"/>
      <c r="AB5" s="2"/>
      <c r="AC5" s="2"/>
      <c r="AD5" s="2"/>
      <c r="AE5" s="2"/>
      <c r="AF5" s="2"/>
      <c r="AG5" s="2"/>
      <c r="AH5" s="2"/>
      <c r="AI5" s="2"/>
      <c r="AJ5" s="2"/>
      <c r="AK5" s="2"/>
      <c r="AL5" s="2"/>
      <c r="AM5" s="2"/>
      <c r="AN5" s="2"/>
      <c r="AO5" s="2"/>
      <c r="AP5" s="2"/>
    </row>
    <row r="6" spans="1:42" ht="12.75" customHeight="1">
      <c r="A6" s="61"/>
      <c r="B6" s="2"/>
      <c r="C6" s="1199" t="s">
        <v>925</v>
      </c>
      <c r="D6" s="1308" t="s">
        <v>1608</v>
      </c>
      <c r="E6" s="70"/>
      <c r="F6" s="73" t="s">
        <v>658</v>
      </c>
      <c r="G6" s="73" t="s">
        <v>740</v>
      </c>
      <c r="H6" s="2"/>
      <c r="I6" s="1199" t="s">
        <v>359</v>
      </c>
      <c r="J6" s="70"/>
      <c r="K6" s="73" t="s">
        <v>658</v>
      </c>
      <c r="L6" s="73" t="s">
        <v>740</v>
      </c>
      <c r="O6" s="2"/>
      <c r="S6" s="2"/>
      <c r="T6" s="2"/>
      <c r="U6" s="2"/>
      <c r="V6" s="2"/>
      <c r="W6" s="2"/>
      <c r="X6" s="2"/>
      <c r="Y6" s="2"/>
      <c r="Z6" s="2"/>
      <c r="AA6" s="2"/>
      <c r="AB6" s="2"/>
      <c r="AC6" s="2"/>
      <c r="AD6" s="2"/>
      <c r="AE6" s="2"/>
      <c r="AF6" s="2"/>
      <c r="AG6" s="2"/>
      <c r="AH6" s="2"/>
      <c r="AI6" s="2"/>
      <c r="AJ6" s="2"/>
      <c r="AK6" s="2"/>
      <c r="AL6" s="2"/>
      <c r="AM6" s="2"/>
      <c r="AN6" s="2"/>
      <c r="AO6" s="2"/>
      <c r="AP6" s="2"/>
    </row>
    <row r="7" spans="1:42" ht="12.75" customHeight="1">
      <c r="A7" s="1" t="s">
        <v>741</v>
      </c>
      <c r="B7" s="2"/>
      <c r="C7" s="112"/>
      <c r="D7" s="77"/>
      <c r="E7" s="2"/>
      <c r="F7" s="2"/>
      <c r="G7" s="2"/>
      <c r="H7" s="2"/>
      <c r="I7" s="112"/>
      <c r="J7" s="61"/>
      <c r="K7" s="2"/>
      <c r="L7" s="2"/>
      <c r="O7" s="2"/>
      <c r="S7" s="2"/>
      <c r="T7" s="2"/>
      <c r="U7" s="2"/>
      <c r="V7" s="2"/>
      <c r="W7" s="2"/>
      <c r="X7" s="2"/>
      <c r="Y7" s="2"/>
      <c r="Z7" s="2"/>
      <c r="AA7" s="2"/>
      <c r="AB7" s="2"/>
      <c r="AC7" s="2"/>
      <c r="AD7" s="2"/>
      <c r="AE7" s="2"/>
      <c r="AF7" s="2"/>
      <c r="AG7" s="2"/>
      <c r="AH7" s="2"/>
      <c r="AI7" s="2"/>
      <c r="AJ7" s="2"/>
      <c r="AK7" s="2"/>
      <c r="AL7" s="2"/>
      <c r="AM7" s="2"/>
      <c r="AN7" s="2"/>
      <c r="AO7" s="2"/>
      <c r="AP7" s="2"/>
    </row>
    <row r="8" spans="1:42" ht="12.75" customHeight="1">
      <c r="A8" s="334" t="s">
        <v>514</v>
      </c>
      <c r="B8" s="2"/>
      <c r="C8" s="1207">
        <v>138.78700000000001</v>
      </c>
      <c r="D8" s="858">
        <f>BYD!AO10</f>
        <v>145.91499999999999</v>
      </c>
      <c r="E8" s="1202"/>
      <c r="F8" s="1205">
        <f>C8-D8</f>
        <v>-7.1279999999999859</v>
      </c>
      <c r="G8" s="126">
        <f t="shared" ref="G8:G13" si="0">IF(D8=0,0,C8/D8-1)</f>
        <v>-4.8850358085186452E-2</v>
      </c>
      <c r="H8" s="1205"/>
      <c r="I8" s="1207">
        <v>145.91499999999999</v>
      </c>
      <c r="J8" s="1202"/>
      <c r="K8" s="313">
        <f>C8-I8</f>
        <v>-7.1279999999999859</v>
      </c>
      <c r="L8" s="1204">
        <f>IF(I8=0,"NM",C8/I8-1)</f>
        <v>-4.8850358085186452E-2</v>
      </c>
      <c r="O8" s="2"/>
      <c r="S8" s="2"/>
      <c r="T8" s="2"/>
      <c r="U8" s="2"/>
      <c r="V8" s="2"/>
      <c r="W8" s="2"/>
      <c r="X8" s="2"/>
      <c r="Y8" s="2"/>
      <c r="Z8" s="2"/>
      <c r="AA8" s="2"/>
      <c r="AB8" s="2"/>
      <c r="AC8" s="2"/>
      <c r="AD8" s="2"/>
      <c r="AE8" s="2"/>
      <c r="AF8" s="2"/>
      <c r="AG8" s="2"/>
      <c r="AH8" s="2"/>
      <c r="AI8" s="2"/>
      <c r="AJ8" s="2"/>
      <c r="AK8" s="2"/>
      <c r="AL8" s="2"/>
      <c r="AM8" s="2"/>
      <c r="AN8" s="2"/>
      <c r="AO8" s="2"/>
      <c r="AP8" s="2"/>
    </row>
    <row r="9" spans="1:42" ht="12.75" customHeight="1">
      <c r="A9" s="334" t="s">
        <v>515</v>
      </c>
      <c r="B9" s="61"/>
      <c r="C9" s="1104">
        <v>53.546999999999997</v>
      </c>
      <c r="D9" s="104">
        <f>BYD!AO11</f>
        <v>53.326999999999998</v>
      </c>
      <c r="E9" s="1103"/>
      <c r="F9" s="374">
        <f>C9-D9</f>
        <v>0.21999999999999886</v>
      </c>
      <c r="G9" s="95">
        <f t="shared" si="0"/>
        <v>4.1254899019258495E-3</v>
      </c>
      <c r="H9" s="61"/>
      <c r="I9" s="1104">
        <v>52.718194804276749</v>
      </c>
      <c r="J9" s="1103"/>
      <c r="K9" s="374">
        <f>C9-I9</f>
        <v>0.82880519572324829</v>
      </c>
      <c r="L9" s="92">
        <f>IF(I9=0,"NM",C9/I9-1)</f>
        <v>1.5721425947915924E-2</v>
      </c>
      <c r="O9" s="2"/>
      <c r="S9" s="2"/>
      <c r="T9" s="2"/>
      <c r="U9" s="2"/>
      <c r="V9" s="2"/>
      <c r="W9" s="2"/>
      <c r="X9" s="2"/>
      <c r="Y9" s="2"/>
      <c r="Z9" s="2"/>
      <c r="AA9" s="2"/>
      <c r="AB9" s="2"/>
      <c r="AC9" s="2"/>
      <c r="AD9" s="2"/>
      <c r="AE9" s="2"/>
      <c r="AF9" s="2"/>
      <c r="AG9" s="2"/>
      <c r="AH9" s="2"/>
      <c r="AI9" s="2"/>
      <c r="AJ9" s="2"/>
      <c r="AK9" s="2"/>
      <c r="AL9" s="2"/>
      <c r="AM9" s="2"/>
      <c r="AN9" s="2"/>
      <c r="AO9" s="2"/>
      <c r="AP9" s="2"/>
    </row>
    <row r="10" spans="1:42" ht="12.75" customHeight="1">
      <c r="A10" s="334" t="s">
        <v>516</v>
      </c>
      <c r="B10" s="61"/>
      <c r="C10" s="1104">
        <v>232.965</v>
      </c>
      <c r="D10" s="104">
        <f>BYD!AO13</f>
        <v>187.90600000000001</v>
      </c>
      <c r="E10" s="1103"/>
      <c r="F10" s="374">
        <f>C10-D10</f>
        <v>45.058999999999997</v>
      </c>
      <c r="G10" s="95">
        <f t="shared" si="0"/>
        <v>0.23979542962970846</v>
      </c>
      <c r="H10" s="61"/>
      <c r="I10" s="1104">
        <v>253.47044343834531</v>
      </c>
      <c r="J10" s="1103"/>
      <c r="K10" s="374">
        <f>C10-I10</f>
        <v>-20.50544343834531</v>
      </c>
      <c r="L10" s="92">
        <f>IF(I10=0,"NM",C10/I10-1)</f>
        <v>-8.0898755532153754E-2</v>
      </c>
      <c r="M10" s="1403"/>
      <c r="N10" s="1403">
        <v>49.1</v>
      </c>
      <c r="O10" s="2"/>
      <c r="Q10" s="1403"/>
      <c r="S10" s="2"/>
      <c r="T10" s="2"/>
      <c r="U10" s="2"/>
      <c r="V10" s="2"/>
      <c r="W10" s="2"/>
      <c r="X10" s="2"/>
      <c r="Y10" s="2"/>
      <c r="Z10" s="2"/>
      <c r="AA10" s="2"/>
      <c r="AB10" s="2"/>
      <c r="AC10" s="2"/>
      <c r="AD10" s="2"/>
      <c r="AE10" s="2"/>
      <c r="AF10" s="2"/>
      <c r="AG10" s="2"/>
      <c r="AH10" s="2"/>
      <c r="AI10" s="2"/>
      <c r="AJ10" s="2"/>
      <c r="AK10" s="2"/>
      <c r="AL10" s="2"/>
      <c r="AM10" s="2"/>
      <c r="AN10" s="2"/>
      <c r="AO10" s="2"/>
      <c r="AP10" s="2"/>
    </row>
    <row r="11" spans="1:42" ht="12.75" customHeight="1">
      <c r="A11" s="334" t="s">
        <v>273</v>
      </c>
      <c r="B11" s="61"/>
      <c r="C11" s="1104">
        <v>187.09100000000001</v>
      </c>
      <c r="D11" s="104">
        <f>BYD!AO906</f>
        <v>202.018</v>
      </c>
      <c r="E11" s="1103"/>
      <c r="F11" s="374">
        <f>C11-D11</f>
        <v>-14.926999999999992</v>
      </c>
      <c r="G11" s="95">
        <f t="shared" si="0"/>
        <v>-7.3889455395063752E-2</v>
      </c>
      <c r="H11" s="61"/>
      <c r="I11" s="1104">
        <v>185.91217319999998</v>
      </c>
      <c r="J11" s="1103"/>
      <c r="K11" s="374">
        <f>C11-I11</f>
        <v>1.1788268000000244</v>
      </c>
      <c r="L11" s="92">
        <f>IF(I11=0,"NM",C11/I11-1)</f>
        <v>6.3407725255939518E-3</v>
      </c>
      <c r="O11" s="2"/>
      <c r="S11" s="2"/>
      <c r="T11" s="2"/>
      <c r="U11" s="2"/>
      <c r="V11" s="2"/>
      <c r="W11" s="2"/>
      <c r="X11" s="2"/>
      <c r="Y11" s="2"/>
      <c r="Z11" s="2"/>
      <c r="AA11" s="2"/>
      <c r="AB11" s="2"/>
      <c r="AC11" s="2"/>
      <c r="AD11" s="2"/>
      <c r="AE11" s="2"/>
      <c r="AF11" s="2"/>
      <c r="AG11" s="2"/>
      <c r="AH11" s="2"/>
      <c r="AI11" s="2"/>
      <c r="AJ11" s="2"/>
      <c r="AK11" s="2"/>
      <c r="AL11" s="2"/>
      <c r="AM11" s="2"/>
      <c r="AN11" s="2"/>
      <c r="AO11" s="2"/>
      <c r="AP11" s="2"/>
    </row>
    <row r="12" spans="1:42" ht="12.75" customHeight="1">
      <c r="A12" s="334" t="s">
        <v>1790</v>
      </c>
      <c r="B12" s="61"/>
      <c r="C12" s="1104">
        <v>0.88900000000000001</v>
      </c>
      <c r="D12" s="104">
        <v>0</v>
      </c>
      <c r="E12" s="1103"/>
      <c r="F12" s="374">
        <f>C12-D12</f>
        <v>0.88900000000000001</v>
      </c>
      <c r="G12" s="95">
        <f t="shared" si="0"/>
        <v>0</v>
      </c>
      <c r="H12" s="61"/>
      <c r="I12" s="1104">
        <v>0</v>
      </c>
      <c r="J12" s="1103"/>
      <c r="K12" s="374">
        <f>C12-I12</f>
        <v>0.88900000000000001</v>
      </c>
      <c r="L12" s="92" t="str">
        <f>IF(I12=0,"NM",C12/I12-1)</f>
        <v>NM</v>
      </c>
      <c r="O12" s="2"/>
      <c r="S12" s="2"/>
      <c r="T12" s="2"/>
      <c r="U12" s="2"/>
      <c r="V12" s="2"/>
      <c r="W12" s="2"/>
      <c r="X12" s="2"/>
      <c r="Y12" s="2"/>
      <c r="Z12" s="2"/>
      <c r="AA12" s="2"/>
      <c r="AB12" s="2"/>
      <c r="AC12" s="2"/>
      <c r="AD12" s="2"/>
      <c r="AE12" s="2"/>
      <c r="AF12" s="2"/>
      <c r="AG12" s="2"/>
      <c r="AH12" s="2"/>
      <c r="AI12" s="2"/>
      <c r="AJ12" s="2"/>
      <c r="AK12" s="2"/>
      <c r="AL12" s="2"/>
      <c r="AM12" s="2"/>
      <c r="AN12" s="2"/>
      <c r="AO12" s="2"/>
      <c r="AP12" s="2"/>
    </row>
    <row r="13" spans="1:42" ht="12.75" customHeight="1">
      <c r="A13" s="138" t="s">
        <v>813</v>
      </c>
      <c r="B13" s="1203"/>
      <c r="C13" s="1209">
        <f>SUM(C7:C12)</f>
        <v>613.279</v>
      </c>
      <c r="D13" s="1210">
        <f>SUM(D8:D12)</f>
        <v>589.16600000000005</v>
      </c>
      <c r="E13" s="1210"/>
      <c r="F13" s="1210">
        <f>SUM(F8:F12)</f>
        <v>24.113000000000017</v>
      </c>
      <c r="G13" s="1208">
        <f t="shared" si="0"/>
        <v>4.0927344755128381E-2</v>
      </c>
      <c r="H13" s="1206"/>
      <c r="I13" s="1209">
        <f>+SUM(I8:I12)</f>
        <v>638.01581144262207</v>
      </c>
      <c r="J13" s="1210"/>
      <c r="K13" s="1210">
        <f>SUM(K8:K12)</f>
        <v>-24.736811442622024</v>
      </c>
      <c r="L13" s="1211">
        <f>C13/I13-1</f>
        <v>-3.8771470861653889E-2</v>
      </c>
      <c r="N13" s="1444">
        <f>+C13/O13-1</f>
        <v>-2.6077497220898915E-2</v>
      </c>
      <c r="O13" s="1102">
        <v>629.70000000000005</v>
      </c>
      <c r="P13" s="1299"/>
      <c r="Q13" s="1617"/>
      <c r="S13" s="2"/>
      <c r="T13" s="2"/>
      <c r="U13" s="2"/>
      <c r="V13" s="2"/>
      <c r="W13" s="2"/>
      <c r="X13" s="2"/>
      <c r="Y13" s="2"/>
      <c r="Z13" s="2"/>
      <c r="AA13" s="2"/>
      <c r="AB13" s="2"/>
      <c r="AC13" s="2"/>
      <c r="AD13" s="2"/>
      <c r="AE13" s="2"/>
      <c r="AF13" s="2"/>
      <c r="AG13" s="2"/>
      <c r="AH13" s="2"/>
      <c r="AI13" s="2"/>
      <c r="AJ13" s="2"/>
      <c r="AK13" s="2"/>
      <c r="AL13" s="2"/>
      <c r="AM13" s="2"/>
      <c r="AN13" s="2"/>
      <c r="AO13" s="2"/>
      <c r="AP13" s="2"/>
    </row>
    <row r="14" spans="1:42" ht="12.75" customHeight="1">
      <c r="A14" s="61"/>
      <c r="B14" s="61"/>
      <c r="C14" s="129"/>
      <c r="D14" s="77"/>
      <c r="E14" s="61"/>
      <c r="F14" s="61"/>
      <c r="G14" s="1139"/>
      <c r="H14" s="61"/>
      <c r="I14" s="115"/>
      <c r="J14" s="61"/>
      <c r="K14" s="61"/>
      <c r="L14" s="1212"/>
      <c r="O14" s="1647"/>
      <c r="S14" s="2"/>
      <c r="T14" s="2"/>
      <c r="U14" s="2"/>
      <c r="V14" s="2"/>
      <c r="W14" s="2"/>
      <c r="X14" s="2"/>
      <c r="Y14" s="2"/>
      <c r="Z14" s="2"/>
      <c r="AA14" s="2"/>
      <c r="AB14" s="2"/>
      <c r="AC14" s="2"/>
      <c r="AD14" s="2"/>
      <c r="AE14" s="2"/>
      <c r="AF14" s="2"/>
      <c r="AG14" s="2"/>
      <c r="AH14" s="2"/>
      <c r="AI14" s="2"/>
      <c r="AJ14" s="2"/>
      <c r="AK14" s="2"/>
      <c r="AL14" s="2"/>
      <c r="AM14" s="2"/>
      <c r="AN14" s="2"/>
      <c r="AO14" s="2"/>
      <c r="AP14" s="2"/>
    </row>
    <row r="15" spans="1:42" ht="12.75" customHeight="1">
      <c r="A15" s="107" t="s">
        <v>401</v>
      </c>
      <c r="B15" s="61"/>
      <c r="C15" s="112"/>
      <c r="D15" s="1390"/>
      <c r="E15" s="61"/>
      <c r="F15" s="61"/>
      <c r="G15" s="1139"/>
      <c r="H15" s="61"/>
      <c r="I15" s="115"/>
      <c r="J15" s="61"/>
      <c r="K15" s="61"/>
      <c r="L15" s="1212"/>
      <c r="O15" s="2"/>
      <c r="S15" s="2"/>
      <c r="T15" s="2"/>
      <c r="U15" s="2"/>
      <c r="V15" s="2"/>
      <c r="W15" s="2"/>
      <c r="X15" s="2"/>
      <c r="Y15" s="2"/>
      <c r="Z15" s="2"/>
      <c r="AA15" s="2"/>
      <c r="AB15" s="2"/>
      <c r="AC15" s="2"/>
      <c r="AD15" s="2"/>
      <c r="AE15" s="2"/>
      <c r="AF15" s="2"/>
      <c r="AG15" s="2"/>
      <c r="AH15" s="2"/>
      <c r="AI15" s="2"/>
      <c r="AJ15" s="2"/>
      <c r="AK15" s="2"/>
      <c r="AL15" s="2"/>
      <c r="AM15" s="2"/>
      <c r="AN15" s="2"/>
      <c r="AO15" s="2"/>
      <c r="AP15" s="2"/>
    </row>
    <row r="16" spans="1:42" ht="12.75" customHeight="1">
      <c r="A16" s="334" t="s">
        <v>514</v>
      </c>
      <c r="B16" s="61"/>
      <c r="C16" s="1104">
        <v>24.271000000000001</v>
      </c>
      <c r="D16" s="104">
        <f>BYD!AO38</f>
        <v>30.792999999999999</v>
      </c>
      <c r="E16" s="1103"/>
      <c r="F16" s="374">
        <f>C16-D16</f>
        <v>-6.5219999999999985</v>
      </c>
      <c r="G16" s="95">
        <f t="shared" ref="G16:G33" si="1">IF(D16=0,0,C16/D16-1)</f>
        <v>-0.21180138343129928</v>
      </c>
      <c r="H16" s="61"/>
      <c r="I16" s="1104">
        <v>29.641780000000011</v>
      </c>
      <c r="J16" s="1103"/>
      <c r="K16" s="374">
        <f>C16-I16</f>
        <v>-5.3707800000000105</v>
      </c>
      <c r="L16" s="92">
        <f>IF(I16=0,"NM",C16/I16-1)</f>
        <v>-0.18118952370606656</v>
      </c>
      <c r="N16" s="1403"/>
      <c r="O16" s="2"/>
      <c r="S16" s="2"/>
      <c r="T16" s="2"/>
      <c r="U16" s="2"/>
      <c r="V16" s="2"/>
      <c r="W16" s="2"/>
      <c r="X16" s="2"/>
      <c r="Y16" s="2"/>
      <c r="Z16" s="2"/>
      <c r="AA16" s="2"/>
      <c r="AB16" s="2"/>
      <c r="AC16" s="2"/>
      <c r="AD16" s="2"/>
      <c r="AE16" s="2"/>
      <c r="AF16" s="2"/>
      <c r="AG16" s="2"/>
      <c r="AH16" s="2"/>
      <c r="AI16" s="2"/>
      <c r="AJ16" s="2"/>
      <c r="AK16" s="2"/>
      <c r="AL16" s="2"/>
      <c r="AM16" s="2"/>
      <c r="AN16" s="2"/>
      <c r="AO16" s="2"/>
      <c r="AP16" s="2"/>
    </row>
    <row r="17" spans="1:42" ht="12.75" customHeight="1">
      <c r="A17" s="334" t="s">
        <v>515</v>
      </c>
      <c r="B17" s="61"/>
      <c r="C17" s="1104">
        <v>6.3559999999999999</v>
      </c>
      <c r="D17" s="104">
        <f>BYD!AO39</f>
        <v>6.0049999999999999</v>
      </c>
      <c r="E17" s="1103"/>
      <c r="F17" s="374">
        <f>C17-D17</f>
        <v>0.35099999999999998</v>
      </c>
      <c r="G17" s="95">
        <f t="shared" si="1"/>
        <v>5.8451290591174043E-2</v>
      </c>
      <c r="H17" s="61"/>
      <c r="I17" s="1104">
        <v>3.9765348042767528</v>
      </c>
      <c r="J17" s="1103"/>
      <c r="K17" s="374">
        <f>C17-I17</f>
        <v>2.3794651957232471</v>
      </c>
      <c r="L17" s="92">
        <f>IF(I17=0,"NM",C17/I17-1)</f>
        <v>0.59837655467371698</v>
      </c>
      <c r="N17" s="1403"/>
      <c r="O17" s="2"/>
      <c r="S17" s="2"/>
      <c r="T17" s="2"/>
      <c r="U17" s="2"/>
      <c r="V17" s="2"/>
      <c r="W17" s="2"/>
      <c r="X17" s="2"/>
      <c r="Y17" s="2"/>
      <c r="Z17" s="2"/>
      <c r="AA17" s="2"/>
      <c r="AB17" s="2"/>
      <c r="AC17" s="2"/>
      <c r="AD17" s="2"/>
      <c r="AE17" s="2"/>
      <c r="AF17" s="2"/>
      <c r="AG17" s="2"/>
      <c r="AH17" s="2"/>
      <c r="AI17" s="2"/>
      <c r="AJ17" s="2"/>
      <c r="AK17" s="2"/>
      <c r="AL17" s="2"/>
      <c r="AM17" s="2"/>
      <c r="AN17" s="2"/>
      <c r="AO17" s="2"/>
      <c r="AP17" s="2"/>
    </row>
    <row r="18" spans="1:42" ht="12.75" customHeight="1">
      <c r="A18" s="334" t="s">
        <v>516</v>
      </c>
      <c r="B18" s="61"/>
      <c r="C18" s="1104">
        <v>48.707999999999998</v>
      </c>
      <c r="D18" s="104">
        <f>BYD!AO41</f>
        <v>44.524000000000001</v>
      </c>
      <c r="E18" s="1103"/>
      <c r="F18" s="374">
        <f>C18-D18</f>
        <v>4.1839999999999975</v>
      </c>
      <c r="G18" s="95">
        <f t="shared" si="1"/>
        <v>9.3971790495013918E-2</v>
      </c>
      <c r="H18" s="61"/>
      <c r="I18" s="1104">
        <v>56.753163438345297</v>
      </c>
      <c r="J18" s="1103"/>
      <c r="K18" s="374">
        <f>C18-I18</f>
        <v>-8.0451634383452983</v>
      </c>
      <c r="L18" s="92">
        <f>IF(I18=0,"NM",C18/I18-1)</f>
        <v>-0.14175709248499058</v>
      </c>
      <c r="N18" s="1404">
        <v>9.6</v>
      </c>
      <c r="O18" s="98">
        <f>+C18-N18</f>
        <v>39.107999999999997</v>
      </c>
      <c r="Q18" s="1403"/>
      <c r="S18" s="105">
        <f>125/140-1</f>
        <v>-0.1071428571428571</v>
      </c>
      <c r="T18" s="2"/>
      <c r="U18" s="2"/>
      <c r="V18" s="2"/>
      <c r="W18" s="2"/>
      <c r="X18" s="2"/>
      <c r="Y18" s="2"/>
      <c r="Z18" s="2"/>
      <c r="AA18" s="2"/>
      <c r="AB18" s="2"/>
      <c r="AC18" s="2"/>
      <c r="AD18" s="2"/>
      <c r="AE18" s="2"/>
      <c r="AF18" s="2"/>
      <c r="AG18" s="2"/>
      <c r="AH18" s="2"/>
      <c r="AI18" s="2"/>
      <c r="AJ18" s="2"/>
      <c r="AK18" s="2"/>
      <c r="AL18" s="2"/>
      <c r="AM18" s="2"/>
      <c r="AN18" s="2"/>
      <c r="AO18" s="2"/>
      <c r="AP18" s="2"/>
    </row>
    <row r="19" spans="1:42" ht="12.75" customHeight="1">
      <c r="A19" s="334" t="s">
        <v>273</v>
      </c>
      <c r="B19" s="61"/>
      <c r="C19" s="1104">
        <v>33.35</v>
      </c>
      <c r="D19" s="104">
        <f>BYD!AO927</f>
        <v>49.94</v>
      </c>
      <c r="E19" s="1103"/>
      <c r="F19" s="374">
        <f>C19-D19</f>
        <v>-16.589999999999996</v>
      </c>
      <c r="G19" s="95">
        <f t="shared" si="1"/>
        <v>-0.33219863836603913</v>
      </c>
      <c r="H19" s="61"/>
      <c r="I19" s="1104">
        <v>48.45912591982497</v>
      </c>
      <c r="J19" s="1103"/>
      <c r="K19" s="374">
        <f>C19-I19</f>
        <v>-15.109125919824969</v>
      </c>
      <c r="L19" s="92">
        <f>IF(I19=0,"NM",C19/I19-1)</f>
        <v>-0.31179113599413311</v>
      </c>
      <c r="M19" s="1617"/>
      <c r="N19" s="1444"/>
      <c r="O19" s="1336">
        <f>+D18-4.6</f>
        <v>39.923999999999999</v>
      </c>
      <c r="Q19" s="1087" t="s">
        <v>923</v>
      </c>
      <c r="S19" s="2"/>
      <c r="T19" s="2"/>
      <c r="U19" s="2"/>
      <c r="V19" s="2"/>
      <c r="W19" s="2"/>
      <c r="X19" s="2"/>
      <c r="Y19" s="2"/>
      <c r="Z19" s="2"/>
      <c r="AA19" s="2"/>
      <c r="AB19" s="2"/>
      <c r="AC19" s="2"/>
      <c r="AD19" s="2"/>
      <c r="AE19" s="2"/>
      <c r="AF19" s="2"/>
      <c r="AG19" s="2"/>
      <c r="AH19" s="2"/>
      <c r="AI19" s="2"/>
      <c r="AJ19" s="2"/>
      <c r="AK19" s="2"/>
      <c r="AL19" s="2"/>
      <c r="AM19" s="2"/>
      <c r="AN19" s="2"/>
      <c r="AO19" s="2"/>
      <c r="AP19" s="2"/>
    </row>
    <row r="20" spans="1:42" ht="12.75" customHeight="1">
      <c r="A20" s="138" t="s">
        <v>819</v>
      </c>
      <c r="B20" s="1203"/>
      <c r="C20" s="1209">
        <f>SUM(C16:C19)</f>
        <v>112.685</v>
      </c>
      <c r="D20" s="1210">
        <f>SUM(D16:D19)</f>
        <v>131.262</v>
      </c>
      <c r="E20" s="1210"/>
      <c r="F20" s="1210">
        <f>SUM(F16:F19)</f>
        <v>-18.576999999999998</v>
      </c>
      <c r="G20" s="1208">
        <f t="shared" si="1"/>
        <v>-0.14152610808916521</v>
      </c>
      <c r="H20" s="1206"/>
      <c r="I20" s="1209">
        <f>+SUM(I16:I19)</f>
        <v>138.83060416244703</v>
      </c>
      <c r="J20" s="1210"/>
      <c r="K20" s="1210">
        <f>SUM(K16:K18)</f>
        <v>-11.036478242622062</v>
      </c>
      <c r="L20" s="1211">
        <f>C20/I20-1</f>
        <v>-0.18832738156101236</v>
      </c>
      <c r="N20" s="1444"/>
      <c r="O20" s="1336">
        <f>+O18/O19-1</f>
        <v>-2.043883378418998E-2</v>
      </c>
      <c r="S20" s="2"/>
      <c r="T20" s="2"/>
      <c r="U20" s="2"/>
      <c r="V20" s="2"/>
      <c r="W20" s="2"/>
      <c r="X20" s="2"/>
      <c r="Y20" s="2"/>
      <c r="Z20" s="2"/>
      <c r="AA20" s="2"/>
      <c r="AB20" s="2"/>
      <c r="AC20" s="2"/>
      <c r="AD20" s="2"/>
      <c r="AE20" s="2"/>
      <c r="AF20" s="2"/>
      <c r="AG20" s="2"/>
      <c r="AH20" s="2"/>
      <c r="AI20" s="2"/>
      <c r="AJ20" s="2"/>
      <c r="AK20" s="2"/>
      <c r="AL20" s="2"/>
      <c r="AM20" s="2"/>
      <c r="AN20" s="2"/>
      <c r="AO20" s="2"/>
      <c r="AP20" s="2"/>
    </row>
    <row r="21" spans="1:42" ht="12.75" customHeight="1">
      <c r="A21" s="2" t="s">
        <v>742</v>
      </c>
      <c r="B21" s="2"/>
      <c r="C21" s="1104">
        <v>-9.0820000000000007</v>
      </c>
      <c r="D21" s="104">
        <f>BYD!AO54</f>
        <v>-9.57</v>
      </c>
      <c r="E21" s="1103"/>
      <c r="F21" s="374">
        <f>C21-D21</f>
        <v>0.48799999999999955</v>
      </c>
      <c r="G21" s="126">
        <f t="shared" si="1"/>
        <v>-5.0992685475444E-2</v>
      </c>
      <c r="H21" s="2"/>
      <c r="I21" s="1104">
        <v>-10.287749999999999</v>
      </c>
      <c r="J21" s="1103"/>
      <c r="K21" s="374">
        <f>C21-I21</f>
        <v>1.2057499999999983</v>
      </c>
      <c r="L21" s="1204">
        <f>IF(I21=0,"NM",C21/I21-1)</f>
        <v>-0.11720249811669203</v>
      </c>
      <c r="O21" s="1336"/>
      <c r="S21" s="2"/>
      <c r="T21" s="2"/>
      <c r="U21" s="2"/>
      <c r="V21" s="2"/>
      <c r="W21" s="2"/>
      <c r="X21" s="2"/>
      <c r="Y21" s="2"/>
      <c r="Z21" s="2"/>
      <c r="AA21" s="2"/>
      <c r="AB21" s="2"/>
      <c r="AC21" s="2"/>
      <c r="AD21" s="2"/>
      <c r="AE21" s="2"/>
      <c r="AF21" s="2"/>
      <c r="AG21" s="2"/>
      <c r="AH21" s="2"/>
      <c r="AI21" s="2"/>
      <c r="AJ21" s="2"/>
      <c r="AK21" s="2"/>
      <c r="AL21" s="2"/>
      <c r="AM21" s="2"/>
      <c r="AN21" s="2"/>
      <c r="AO21" s="2"/>
      <c r="AP21" s="2"/>
    </row>
    <row r="22" spans="1:42" ht="12.75" customHeight="1">
      <c r="A22" s="138" t="s">
        <v>555</v>
      </c>
      <c r="B22" s="1203"/>
      <c r="C22" s="1209">
        <f>C20+C21</f>
        <v>103.60300000000001</v>
      </c>
      <c r="D22" s="1210">
        <f>SUM(D20:D21)</f>
        <v>121.69200000000001</v>
      </c>
      <c r="E22" s="1210"/>
      <c r="F22" s="1210">
        <f>F20+F21</f>
        <v>-18.088999999999999</v>
      </c>
      <c r="G22" s="1208">
        <f t="shared" si="1"/>
        <v>-0.14864576143049668</v>
      </c>
      <c r="H22" s="1210"/>
      <c r="I22" s="1209">
        <f>+SUM(I20:I21)</f>
        <v>128.54285416244704</v>
      </c>
      <c r="J22" s="1210"/>
      <c r="K22" s="1210">
        <f>K20+K21</f>
        <v>-9.8307282426220635</v>
      </c>
      <c r="L22" s="1254">
        <f>IF(I22=0,"NM",C22/I22-1)</f>
        <v>-0.19401976348626193</v>
      </c>
      <c r="M22" s="1442"/>
      <c r="N22" s="1442">
        <f>+C22/O22-1</f>
        <v>-0.16717845659163988</v>
      </c>
      <c r="O22" s="1102">
        <v>124.4</v>
      </c>
      <c r="P22" s="1299"/>
      <c r="Q22" s="1087" t="s">
        <v>924</v>
      </c>
      <c r="S22" s="2"/>
      <c r="T22" s="2"/>
      <c r="U22" s="2"/>
      <c r="V22" s="2"/>
      <c r="W22" s="2"/>
      <c r="X22" s="2"/>
      <c r="Y22" s="2"/>
      <c r="Z22" s="2"/>
      <c r="AA22" s="2"/>
      <c r="AB22" s="2"/>
      <c r="AC22" s="2"/>
      <c r="AD22" s="2"/>
      <c r="AE22" s="2"/>
      <c r="AF22" s="2"/>
      <c r="AG22" s="2"/>
      <c r="AH22" s="2"/>
      <c r="AI22" s="2"/>
      <c r="AJ22" s="2"/>
      <c r="AK22" s="2"/>
      <c r="AL22" s="2"/>
      <c r="AM22" s="2"/>
      <c r="AN22" s="2"/>
      <c r="AO22" s="2"/>
      <c r="AP22" s="2"/>
    </row>
    <row r="23" spans="1:42" ht="12.75" customHeight="1">
      <c r="A23" s="439" t="s">
        <v>1745</v>
      </c>
      <c r="B23" s="2"/>
      <c r="C23" s="432">
        <v>1.607</v>
      </c>
      <c r="D23" s="374">
        <f>BYD!AO65</f>
        <v>1.7869999999999999</v>
      </c>
      <c r="E23" s="1103"/>
      <c r="F23" s="374">
        <f>C23-D23</f>
        <v>-0.17999999999999994</v>
      </c>
      <c r="G23" s="126">
        <f t="shared" si="1"/>
        <v>-0.10072747621712363</v>
      </c>
      <c r="H23" s="2"/>
      <c r="I23" s="432">
        <v>2.5</v>
      </c>
      <c r="J23" s="1103"/>
      <c r="K23" s="374">
        <f t="shared" ref="K23:K33" si="2">C23-I23</f>
        <v>-0.89300000000000002</v>
      </c>
      <c r="L23" s="1204">
        <f>IF(I23=0,"NM",C23/I23-1)</f>
        <v>-0.35719999999999996</v>
      </c>
      <c r="M23" s="1443"/>
      <c r="N23" s="1646"/>
      <c r="O23" s="2"/>
      <c r="S23" s="2"/>
      <c r="T23" s="2"/>
      <c r="U23" s="2"/>
      <c r="V23" s="2"/>
      <c r="W23" s="2"/>
      <c r="X23" s="2"/>
      <c r="Y23" s="2"/>
      <c r="Z23" s="2"/>
      <c r="AA23" s="2"/>
      <c r="AB23" s="2"/>
      <c r="AC23" s="2"/>
      <c r="AD23" s="2"/>
      <c r="AE23" s="2"/>
      <c r="AF23" s="2"/>
      <c r="AG23" s="2"/>
      <c r="AH23" s="2"/>
      <c r="AI23" s="2"/>
      <c r="AJ23" s="2"/>
      <c r="AK23" s="2"/>
      <c r="AL23" s="2"/>
      <c r="AM23" s="2"/>
      <c r="AN23" s="2"/>
      <c r="AO23" s="2"/>
      <c r="AP23" s="2"/>
    </row>
    <row r="24" spans="1:42" ht="12.75" customHeight="1">
      <c r="A24" s="439" t="s">
        <v>201</v>
      </c>
      <c r="B24" s="2"/>
      <c r="C24" s="432">
        <v>0.996</v>
      </c>
      <c r="D24" s="374">
        <f>BYD!AO66</f>
        <v>1.034</v>
      </c>
      <c r="E24" s="1103"/>
      <c r="F24" s="374">
        <f>C24-D24</f>
        <v>-3.8000000000000034E-2</v>
      </c>
      <c r="G24" s="126">
        <f t="shared" si="1"/>
        <v>-3.675048355899424E-2</v>
      </c>
      <c r="H24" s="2"/>
      <c r="I24" s="432">
        <v>1.03</v>
      </c>
      <c r="J24" s="1103"/>
      <c r="K24" s="374">
        <f t="shared" si="2"/>
        <v>-3.400000000000003E-2</v>
      </c>
      <c r="L24" s="1204">
        <f>IF(I24=0,"NM",C24/I24-1)</f>
        <v>-3.300970873786413E-2</v>
      </c>
      <c r="N24" s="1102"/>
      <c r="O24" s="1102"/>
      <c r="S24" s="2">
        <v>162.36000000000001</v>
      </c>
      <c r="T24" s="2"/>
      <c r="U24" s="2"/>
      <c r="V24" s="2"/>
      <c r="W24" s="2"/>
      <c r="X24" s="2"/>
      <c r="Y24" s="2"/>
      <c r="Z24" s="2"/>
      <c r="AA24" s="2"/>
      <c r="AB24" s="2"/>
      <c r="AC24" s="2"/>
      <c r="AD24" s="2"/>
      <c r="AE24" s="2"/>
      <c r="AF24" s="2"/>
      <c r="AG24" s="2"/>
      <c r="AH24" s="2"/>
      <c r="AI24" s="2"/>
      <c r="AJ24" s="2"/>
      <c r="AK24" s="2"/>
      <c r="AL24" s="2"/>
      <c r="AM24" s="2"/>
      <c r="AN24" s="2"/>
      <c r="AO24" s="2"/>
      <c r="AP24" s="2"/>
    </row>
    <row r="25" spans="1:42" ht="12.75" customHeight="1">
      <c r="A25" s="1693" t="s">
        <v>202</v>
      </c>
      <c r="B25" s="2"/>
      <c r="C25" s="432">
        <v>50.408999999999999</v>
      </c>
      <c r="D25" s="374">
        <f>BYD!AO67</f>
        <v>46.033999999999999</v>
      </c>
      <c r="E25" s="1103"/>
      <c r="F25" s="374">
        <f>C25-D25</f>
        <v>4.375</v>
      </c>
      <c r="G25" s="126">
        <f t="shared" si="1"/>
        <v>9.5038449841421624E-2</v>
      </c>
      <c r="H25" s="2"/>
      <c r="I25" s="432">
        <v>50.897999999999996</v>
      </c>
      <c r="J25" s="1103"/>
      <c r="K25" s="374">
        <f t="shared" si="2"/>
        <v>-0.48899999999999721</v>
      </c>
      <c r="L25" s="1204">
        <f>IF(I25=0,"NM",C25/I25-1)</f>
        <v>-9.6074501945065949E-3</v>
      </c>
      <c r="N25" s="1102"/>
      <c r="O25" s="1102"/>
      <c r="S25" s="2">
        <v>176.74</v>
      </c>
      <c r="T25" s="2"/>
      <c r="U25" s="2"/>
      <c r="V25" s="2"/>
      <c r="W25" s="2"/>
      <c r="X25" s="2"/>
      <c r="Y25" s="2"/>
      <c r="Z25" s="2"/>
      <c r="AA25" s="2"/>
      <c r="AB25" s="2"/>
      <c r="AC25" s="2"/>
      <c r="AD25" s="2"/>
      <c r="AE25" s="2"/>
      <c r="AF25" s="2"/>
      <c r="AG25" s="2"/>
      <c r="AH25" s="2"/>
      <c r="AI25" s="2"/>
      <c r="AJ25" s="2"/>
      <c r="AK25" s="2"/>
      <c r="AL25" s="2"/>
      <c r="AM25" s="2"/>
      <c r="AN25" s="2"/>
      <c r="AO25" s="2"/>
      <c r="AP25" s="2"/>
    </row>
    <row r="26" spans="1:42" ht="4.5" customHeight="1">
      <c r="A26" s="964"/>
      <c r="B26" s="2"/>
      <c r="C26" s="453" t="s">
        <v>343</v>
      </c>
      <c r="D26" s="452" t="s">
        <v>343</v>
      </c>
      <c r="E26" s="96" t="s">
        <v>343</v>
      </c>
      <c r="F26" s="452" t="s">
        <v>343</v>
      </c>
      <c r="G26" s="1251" t="s">
        <v>343</v>
      </c>
      <c r="H26" s="2" t="s">
        <v>343</v>
      </c>
      <c r="I26" s="453" t="s">
        <v>343</v>
      </c>
      <c r="J26" s="96" t="s">
        <v>343</v>
      </c>
      <c r="K26" s="452" t="s">
        <v>343</v>
      </c>
      <c r="L26" s="1252" t="s">
        <v>343</v>
      </c>
      <c r="N26" s="1102"/>
      <c r="O26" s="1102"/>
      <c r="S26" s="2"/>
      <c r="T26" s="2"/>
      <c r="U26" s="2"/>
      <c r="V26" s="2"/>
      <c r="W26" s="2"/>
      <c r="X26" s="2"/>
      <c r="Y26" s="2"/>
      <c r="Z26" s="2"/>
      <c r="AA26" s="2"/>
      <c r="AB26" s="2"/>
      <c r="AC26" s="2"/>
      <c r="AD26" s="2"/>
      <c r="AE26" s="2"/>
      <c r="AF26" s="2"/>
      <c r="AG26" s="2"/>
      <c r="AH26" s="2"/>
      <c r="AI26" s="2"/>
      <c r="AJ26" s="2"/>
      <c r="AK26" s="2"/>
      <c r="AL26" s="2"/>
      <c r="AM26" s="2"/>
      <c r="AN26" s="2"/>
      <c r="AO26" s="2"/>
      <c r="AP26" s="2"/>
    </row>
    <row r="27" spans="1:42" ht="12.75" customHeight="1">
      <c r="A27" s="1" t="s">
        <v>744</v>
      </c>
      <c r="B27" s="2"/>
      <c r="C27" s="1242">
        <f>C22-C23-C24-C25</f>
        <v>50.591000000000015</v>
      </c>
      <c r="D27" s="1241">
        <f>D22-D23-D24-D25</f>
        <v>72.836999999999989</v>
      </c>
      <c r="E27" s="932"/>
      <c r="F27" s="1241">
        <f>F22-F23-F24-F25</f>
        <v>-22.245999999999999</v>
      </c>
      <c r="G27" s="106">
        <f t="shared" si="1"/>
        <v>-0.30542169501764183</v>
      </c>
      <c r="H27" s="1205"/>
      <c r="I27" s="1242">
        <f>+I22-SUM(I23:I25)</f>
        <v>74.114854162447045</v>
      </c>
      <c r="J27" s="932"/>
      <c r="K27" s="1241">
        <f t="shared" si="2"/>
        <v>-23.52385416244703</v>
      </c>
      <c r="L27" s="1214">
        <f>C27/I27-1</f>
        <v>-0.31739729408205775</v>
      </c>
      <c r="O27" s="2"/>
      <c r="S27" s="1336">
        <f>+S24/S25-1</f>
        <v>-8.1362453321262795E-2</v>
      </c>
      <c r="T27" s="2"/>
      <c r="U27" s="2"/>
      <c r="V27" s="2"/>
      <c r="W27" s="2"/>
      <c r="X27" s="2"/>
      <c r="Y27" s="2"/>
      <c r="Z27" s="2"/>
      <c r="AA27" s="2"/>
      <c r="AB27" s="2"/>
      <c r="AC27" s="2"/>
      <c r="AD27" s="2"/>
      <c r="AE27" s="2"/>
      <c r="AF27" s="2"/>
      <c r="AG27" s="2"/>
      <c r="AH27" s="2"/>
      <c r="AI27" s="2"/>
      <c r="AJ27" s="2"/>
      <c r="AK27" s="2"/>
      <c r="AL27" s="2"/>
      <c r="AM27" s="2"/>
      <c r="AN27" s="2"/>
      <c r="AO27" s="2"/>
      <c r="AP27" s="2"/>
    </row>
    <row r="28" spans="1:42" ht="12.75" customHeight="1">
      <c r="A28" s="445" t="s">
        <v>1176</v>
      </c>
      <c r="B28" s="2"/>
      <c r="C28" s="432">
        <v>-73.843000000000004</v>
      </c>
      <c r="D28" s="374">
        <f>BYD!AO73</f>
        <v>-60.067999999999998</v>
      </c>
      <c r="E28" s="932"/>
      <c r="F28" s="374">
        <f>C28-D28</f>
        <v>-13.775000000000006</v>
      </c>
      <c r="G28" s="126">
        <f t="shared" si="1"/>
        <v>0.22932343344209905</v>
      </c>
      <c r="H28" s="1205"/>
      <c r="I28" s="432">
        <v>-68.087870625000008</v>
      </c>
      <c r="J28" s="932"/>
      <c r="K28" s="374">
        <f t="shared" si="2"/>
        <v>-5.7551293749999957</v>
      </c>
      <c r="L28" s="1204">
        <f>IF(I28=0,"NM",C28/I28-1)</f>
        <v>8.4525030995562744E-2</v>
      </c>
      <c r="O28" s="2"/>
      <c r="S28" s="2"/>
      <c r="T28" s="2"/>
      <c r="U28" s="2"/>
      <c r="V28" s="2"/>
      <c r="W28" s="2"/>
      <c r="X28" s="2"/>
      <c r="Y28" s="2"/>
      <c r="Z28" s="2"/>
      <c r="AA28" s="2"/>
      <c r="AB28" s="2"/>
      <c r="AC28" s="2"/>
      <c r="AD28" s="2"/>
      <c r="AE28" s="2"/>
      <c r="AF28" s="2"/>
      <c r="AG28" s="2"/>
      <c r="AH28" s="2"/>
      <c r="AI28" s="2"/>
      <c r="AJ28" s="2"/>
      <c r="AK28" s="2"/>
      <c r="AL28" s="2"/>
      <c r="AM28" s="2"/>
      <c r="AN28" s="2"/>
      <c r="AO28" s="2"/>
      <c r="AP28" s="2"/>
    </row>
    <row r="29" spans="1:42" ht="12.75" customHeight="1">
      <c r="A29" s="445" t="s">
        <v>203</v>
      </c>
      <c r="B29" s="2"/>
      <c r="C29" s="373">
        <f>0.45-1.075</f>
        <v>-0.625</v>
      </c>
      <c r="D29" s="374">
        <f>BYD!AO74</f>
        <v>0</v>
      </c>
      <c r="E29" s="932"/>
      <c r="F29" s="374">
        <f>C29-D29</f>
        <v>-0.625</v>
      </c>
      <c r="G29" s="126">
        <f t="shared" si="1"/>
        <v>0</v>
      </c>
      <c r="H29" s="1205"/>
      <c r="I29" s="432">
        <v>0</v>
      </c>
      <c r="J29" s="932"/>
      <c r="K29" s="374">
        <f t="shared" si="2"/>
        <v>-0.625</v>
      </c>
      <c r="L29" s="1204" t="str">
        <f>IF(I29=0,"NM",C29/I29-1)</f>
        <v>NM</v>
      </c>
      <c r="O29" s="2"/>
      <c r="S29" s="2"/>
      <c r="T29" s="2"/>
      <c r="U29" s="2"/>
      <c r="V29" s="2"/>
      <c r="W29" s="2"/>
      <c r="X29" s="2"/>
      <c r="Y29" s="2"/>
      <c r="Z29" s="2"/>
      <c r="AA29" s="2"/>
      <c r="AB29" s="2"/>
      <c r="AC29" s="2"/>
      <c r="AD29" s="2"/>
      <c r="AE29" s="2"/>
      <c r="AF29" s="2"/>
      <c r="AG29" s="2"/>
      <c r="AH29" s="2"/>
      <c r="AI29" s="2"/>
      <c r="AJ29" s="2"/>
      <c r="AK29" s="2"/>
      <c r="AL29" s="2"/>
      <c r="AM29" s="2"/>
      <c r="AN29" s="2"/>
      <c r="AO29" s="2"/>
      <c r="AP29" s="2"/>
    </row>
    <row r="30" spans="1:42" ht="12.75" customHeight="1">
      <c r="A30" s="445" t="s">
        <v>814</v>
      </c>
      <c r="B30" s="2"/>
      <c r="C30" s="432">
        <v>-1.6180000000000001</v>
      </c>
      <c r="D30" s="374">
        <f>BYD!AO78</f>
        <v>-3.9659999999999993</v>
      </c>
      <c r="E30" s="1103"/>
      <c r="F30" s="374">
        <f>C30-D30</f>
        <v>2.347999999999999</v>
      </c>
      <c r="G30" s="126">
        <f t="shared" si="1"/>
        <v>-0.59203227433182037</v>
      </c>
      <c r="H30" s="2"/>
      <c r="I30" s="432">
        <v>-1.0609999999999997</v>
      </c>
      <c r="J30" s="1103"/>
      <c r="K30" s="374">
        <f t="shared" si="2"/>
        <v>-0.55700000000000038</v>
      </c>
      <c r="L30" s="1204">
        <f>IF(I30=0,"NM",C30/I30-1)</f>
        <v>0.52497643732328036</v>
      </c>
      <c r="O30" s="2"/>
      <c r="S30" s="2"/>
      <c r="T30" s="2"/>
      <c r="U30" s="2"/>
      <c r="V30" s="2"/>
      <c r="W30" s="2"/>
      <c r="X30" s="2"/>
      <c r="Y30" s="2"/>
      <c r="Z30" s="2"/>
      <c r="AA30" s="2"/>
      <c r="AB30" s="2"/>
      <c r="AC30" s="2"/>
      <c r="AD30" s="2"/>
      <c r="AE30" s="2"/>
      <c r="AF30" s="2"/>
      <c r="AG30" s="2"/>
      <c r="AH30" s="2"/>
      <c r="AI30" s="2"/>
      <c r="AJ30" s="2"/>
      <c r="AK30" s="2"/>
      <c r="AL30" s="2"/>
      <c r="AM30" s="2"/>
      <c r="AN30" s="2"/>
      <c r="AO30" s="2"/>
      <c r="AP30" s="2"/>
    </row>
    <row r="31" spans="1:42" ht="4.5" customHeight="1">
      <c r="A31" s="964"/>
      <c r="B31" s="2"/>
      <c r="C31" s="453" t="s">
        <v>343</v>
      </c>
      <c r="D31" s="452" t="s">
        <v>343</v>
      </c>
      <c r="E31" s="96" t="s">
        <v>343</v>
      </c>
      <c r="F31" s="452" t="s">
        <v>343</v>
      </c>
      <c r="G31" s="1251" t="s">
        <v>343</v>
      </c>
      <c r="H31" s="2" t="s">
        <v>343</v>
      </c>
      <c r="I31" s="453" t="s">
        <v>343</v>
      </c>
      <c r="J31" s="96" t="s">
        <v>343</v>
      </c>
      <c r="K31" s="452" t="s">
        <v>343</v>
      </c>
      <c r="L31" s="1252" t="s">
        <v>343</v>
      </c>
      <c r="N31" s="1102"/>
      <c r="O31" s="1102"/>
      <c r="S31" s="2"/>
      <c r="T31" s="2"/>
      <c r="U31" s="2"/>
      <c r="V31" s="2"/>
      <c r="W31" s="2"/>
      <c r="X31" s="2"/>
      <c r="Y31" s="2"/>
      <c r="Z31" s="2"/>
      <c r="AA31" s="2"/>
      <c r="AB31" s="2"/>
      <c r="AC31" s="2"/>
      <c r="AD31" s="2"/>
      <c r="AE31" s="2"/>
      <c r="AF31" s="2"/>
      <c r="AG31" s="2"/>
      <c r="AH31" s="2"/>
      <c r="AI31" s="2"/>
      <c r="AJ31" s="2"/>
      <c r="AK31" s="2"/>
      <c r="AL31" s="2"/>
      <c r="AM31" s="2"/>
      <c r="AN31" s="2"/>
      <c r="AO31" s="2"/>
      <c r="AP31" s="2"/>
    </row>
    <row r="32" spans="1:42" ht="12.75" customHeight="1">
      <c r="A32" s="1" t="s">
        <v>745</v>
      </c>
      <c r="B32" s="2"/>
      <c r="C32" s="1213">
        <f>SUM(C27:C30)</f>
        <v>-25.494999999999987</v>
      </c>
      <c r="D32" s="929">
        <f>SUM(D27:D30)</f>
        <v>8.8029999999999919</v>
      </c>
      <c r="E32" s="932"/>
      <c r="F32" s="1241">
        <f>C32-D32</f>
        <v>-34.297999999999981</v>
      </c>
      <c r="G32" s="106">
        <f t="shared" si="1"/>
        <v>-3.8961717596274008</v>
      </c>
      <c r="H32" s="1205"/>
      <c r="I32" s="1213">
        <f>+SUM(I27:I30)</f>
        <v>4.9659835374470376</v>
      </c>
      <c r="J32" s="932"/>
      <c r="K32" s="1241">
        <f t="shared" si="2"/>
        <v>-30.460983537447024</v>
      </c>
      <c r="L32" s="1214">
        <f>C32/I32-1</f>
        <v>-6.1339276112676586</v>
      </c>
      <c r="O32" s="2"/>
      <c r="S32" s="2"/>
      <c r="T32" s="2"/>
      <c r="U32" s="2"/>
      <c r="V32" s="2"/>
      <c r="W32" s="2"/>
      <c r="X32" s="2"/>
      <c r="Y32" s="2"/>
      <c r="Z32" s="2"/>
      <c r="AA32" s="2"/>
      <c r="AB32" s="2"/>
      <c r="AC32" s="2"/>
      <c r="AD32" s="2"/>
      <c r="AE32" s="2"/>
      <c r="AF32" s="2"/>
      <c r="AG32" s="2"/>
      <c r="AH32" s="2"/>
      <c r="AI32" s="2"/>
      <c r="AJ32" s="2"/>
      <c r="AK32" s="2"/>
      <c r="AL32" s="2"/>
      <c r="AM32" s="2"/>
      <c r="AN32" s="2"/>
      <c r="AO32" s="2"/>
      <c r="AP32" s="2"/>
    </row>
    <row r="33" spans="1:42" ht="12.75" customHeight="1">
      <c r="A33" s="445" t="s">
        <v>205</v>
      </c>
      <c r="B33" s="2"/>
      <c r="C33" s="432">
        <v>8.4130000000000003</v>
      </c>
      <c r="D33" s="374">
        <f>BYD!AO81</f>
        <v>-2.17</v>
      </c>
      <c r="E33" s="1103"/>
      <c r="F33" s="374">
        <f>C33-D33</f>
        <v>10.583</v>
      </c>
      <c r="G33" s="126">
        <f t="shared" si="1"/>
        <v>-4.8769585253456222</v>
      </c>
      <c r="H33" s="2"/>
      <c r="I33" s="432">
        <v>-1.7380942381064655</v>
      </c>
      <c r="J33" s="1103"/>
      <c r="K33" s="374">
        <f t="shared" si="2"/>
        <v>10.151094238106467</v>
      </c>
      <c r="L33" s="1204">
        <f>IF(I33=0,"NM",C33/I33-1)</f>
        <v>-5.8403589492163483</v>
      </c>
      <c r="O33" s="2"/>
      <c r="S33" s="2"/>
      <c r="T33" s="2"/>
      <c r="U33" s="2"/>
      <c r="V33" s="2"/>
      <c r="W33" s="2"/>
      <c r="X33" s="2"/>
      <c r="Y33" s="2"/>
      <c r="Z33" s="2"/>
      <c r="AA33" s="2"/>
      <c r="AB33" s="2"/>
      <c r="AC33" s="2"/>
      <c r="AD33" s="2"/>
      <c r="AE33" s="2"/>
      <c r="AF33" s="2"/>
      <c r="AG33" s="2"/>
      <c r="AH33" s="2"/>
      <c r="AI33" s="2"/>
      <c r="AJ33" s="2"/>
      <c r="AK33" s="2"/>
      <c r="AL33" s="2"/>
      <c r="AM33" s="2"/>
      <c r="AN33" s="2"/>
      <c r="AO33" s="2"/>
      <c r="AP33" s="2"/>
    </row>
    <row r="34" spans="1:42" ht="4.5" customHeight="1">
      <c r="A34" s="964"/>
      <c r="B34" s="2"/>
      <c r="C34" s="453" t="s">
        <v>343</v>
      </c>
      <c r="D34" s="452" t="s">
        <v>343</v>
      </c>
      <c r="E34" s="96" t="s">
        <v>343</v>
      </c>
      <c r="F34" s="452" t="s">
        <v>343</v>
      </c>
      <c r="G34" s="1251" t="s">
        <v>343</v>
      </c>
      <c r="H34" s="2" t="s">
        <v>343</v>
      </c>
      <c r="I34" s="453" t="s">
        <v>343</v>
      </c>
      <c r="J34" s="96" t="s">
        <v>343</v>
      </c>
      <c r="K34" s="452" t="s">
        <v>343</v>
      </c>
      <c r="L34" s="1252" t="s">
        <v>343</v>
      </c>
      <c r="N34" s="1102"/>
      <c r="O34" s="1102"/>
      <c r="S34" s="2"/>
      <c r="T34" s="2"/>
      <c r="U34" s="2"/>
      <c r="V34" s="2"/>
      <c r="W34" s="2"/>
      <c r="X34" s="2"/>
      <c r="Y34" s="2"/>
      <c r="Z34" s="2"/>
      <c r="AA34" s="2"/>
      <c r="AB34" s="2"/>
      <c r="AC34" s="2"/>
      <c r="AD34" s="2"/>
      <c r="AE34" s="2"/>
      <c r="AF34" s="2"/>
      <c r="AG34" s="2"/>
      <c r="AH34" s="2"/>
      <c r="AI34" s="2"/>
      <c r="AJ34" s="2"/>
      <c r="AK34" s="2"/>
      <c r="AL34" s="2"/>
      <c r="AM34" s="2"/>
      <c r="AN34" s="2"/>
      <c r="AO34" s="2"/>
      <c r="AP34" s="2"/>
    </row>
    <row r="35" spans="1:42" ht="12.75" customHeight="1">
      <c r="A35" s="107" t="s">
        <v>1243</v>
      </c>
      <c r="B35" s="61"/>
      <c r="C35" s="1213">
        <f>C32+C33</f>
        <v>-17.081999999999987</v>
      </c>
      <c r="D35" s="929">
        <f>D32+D33</f>
        <v>6.632999999999992</v>
      </c>
      <c r="E35" s="932"/>
      <c r="F35" s="1241">
        <f>F32+F33</f>
        <v>-23.714999999999982</v>
      </c>
      <c r="G35" s="1215">
        <f>G32+G33</f>
        <v>-8.7731302849730231</v>
      </c>
      <c r="H35" s="932"/>
      <c r="I35" s="1213">
        <f>+SUM(I32:I33)</f>
        <v>3.2278892993405721</v>
      </c>
      <c r="J35" s="932"/>
      <c r="K35" s="1241">
        <f>K32+K33</f>
        <v>-20.309889299340558</v>
      </c>
      <c r="L35" s="1215">
        <f>L32+L33</f>
        <v>-11.974286560484007</v>
      </c>
      <c r="M35" s="1238"/>
      <c r="N35" s="1238"/>
      <c r="O35" s="61"/>
      <c r="S35" s="1336"/>
      <c r="T35" s="2"/>
      <c r="U35" s="2"/>
      <c r="V35" s="2"/>
      <c r="W35" s="2"/>
      <c r="X35" s="2"/>
      <c r="Y35" s="2"/>
      <c r="Z35" s="2"/>
      <c r="AA35" s="2"/>
      <c r="AB35" s="2"/>
      <c r="AC35" s="2"/>
      <c r="AD35" s="2"/>
      <c r="AE35" s="2"/>
      <c r="AF35" s="2"/>
      <c r="AG35" s="2"/>
      <c r="AH35" s="2"/>
      <c r="AI35" s="2"/>
      <c r="AJ35" s="2"/>
      <c r="AK35" s="2"/>
      <c r="AL35" s="2"/>
      <c r="AM35" s="2"/>
      <c r="AN35" s="2"/>
      <c r="AO35" s="2"/>
      <c r="AP35" s="2"/>
    </row>
    <row r="36" spans="1:42" ht="12.75" customHeight="1">
      <c r="A36" s="445" t="s">
        <v>130</v>
      </c>
      <c r="B36" s="2"/>
      <c r="C36" s="432">
        <v>1.286</v>
      </c>
      <c r="D36" s="374">
        <f>BYD!AO85</f>
        <v>-3.871</v>
      </c>
      <c r="E36" s="1103"/>
      <c r="F36" s="374">
        <f>C36-D36</f>
        <v>5.157</v>
      </c>
      <c r="G36" s="126">
        <f>IF(D36=0,0,C36/D36-1)</f>
        <v>-1.3322138982175149</v>
      </c>
      <c r="H36" s="2"/>
      <c r="I36" s="432">
        <v>-5.3599677413115732</v>
      </c>
      <c r="J36" s="1103"/>
      <c r="K36" s="374">
        <f>C36-I36</f>
        <v>6.6459677413115728</v>
      </c>
      <c r="L36" s="1204">
        <f>IF(I36=0,"NM",C36/I36-1)</f>
        <v>-1.2399268171127684</v>
      </c>
      <c r="O36" s="2"/>
      <c r="S36" s="2"/>
      <c r="T36" s="2"/>
      <c r="U36" s="2"/>
      <c r="V36" s="2"/>
      <c r="W36" s="2"/>
      <c r="X36" s="2"/>
      <c r="Y36" s="2"/>
      <c r="Z36" s="2"/>
      <c r="AA36" s="2"/>
      <c r="AB36" s="2"/>
      <c r="AC36" s="2"/>
      <c r="AD36" s="2"/>
      <c r="AE36" s="2"/>
      <c r="AF36" s="2"/>
      <c r="AG36" s="2"/>
      <c r="AH36" s="2"/>
      <c r="AI36" s="2"/>
      <c r="AJ36" s="2"/>
      <c r="AK36" s="2"/>
      <c r="AL36" s="2"/>
      <c r="AM36" s="2"/>
      <c r="AN36" s="2"/>
      <c r="AO36" s="2"/>
      <c r="AP36" s="2"/>
    </row>
    <row r="37" spans="1:42" ht="4.5" customHeight="1">
      <c r="A37" s="964"/>
      <c r="B37" s="2"/>
      <c r="C37" s="453" t="s">
        <v>343</v>
      </c>
      <c r="D37" s="452" t="s">
        <v>343</v>
      </c>
      <c r="E37" s="96" t="s">
        <v>343</v>
      </c>
      <c r="F37" s="452" t="s">
        <v>343</v>
      </c>
      <c r="G37" s="1251" t="s">
        <v>343</v>
      </c>
      <c r="H37" s="2" t="s">
        <v>343</v>
      </c>
      <c r="I37" s="453" t="s">
        <v>343</v>
      </c>
      <c r="J37" s="96" t="s">
        <v>343</v>
      </c>
      <c r="K37" s="452" t="s">
        <v>343</v>
      </c>
      <c r="L37" s="1252" t="s">
        <v>343</v>
      </c>
      <c r="N37" s="1102"/>
      <c r="O37" s="1102"/>
      <c r="S37" s="2"/>
      <c r="T37" s="2"/>
      <c r="U37" s="2"/>
      <c r="V37" s="2"/>
      <c r="W37" s="2"/>
      <c r="X37" s="2"/>
      <c r="Y37" s="2"/>
      <c r="Z37" s="2"/>
      <c r="AA37" s="2"/>
      <c r="AB37" s="2"/>
      <c r="AC37" s="2"/>
      <c r="AD37" s="2"/>
      <c r="AE37" s="2"/>
      <c r="AF37" s="2"/>
      <c r="AG37" s="2"/>
      <c r="AH37" s="2"/>
      <c r="AI37" s="2"/>
      <c r="AJ37" s="2"/>
      <c r="AK37" s="2"/>
      <c r="AL37" s="2"/>
      <c r="AM37" s="2"/>
      <c r="AN37" s="2"/>
      <c r="AO37" s="2"/>
      <c r="AP37" s="2"/>
    </row>
    <row r="38" spans="1:42" ht="12.75" customHeight="1">
      <c r="A38" s="107" t="s">
        <v>1540</v>
      </c>
      <c r="B38" s="2"/>
      <c r="C38" s="1213">
        <f>C35+C36</f>
        <v>-15.795999999999987</v>
      </c>
      <c r="D38" s="929">
        <f>D35+D36</f>
        <v>2.761999999999992</v>
      </c>
      <c r="E38" s="932"/>
      <c r="F38" s="1241">
        <f>F35+F36</f>
        <v>-18.557999999999982</v>
      </c>
      <c r="G38" s="1215">
        <f>G35+G36</f>
        <v>-10.105344183190539</v>
      </c>
      <c r="H38" s="932"/>
      <c r="I38" s="1213">
        <f>+SUM(I35:I36)</f>
        <v>-2.132078441971001</v>
      </c>
      <c r="J38" s="932"/>
      <c r="K38" s="1241">
        <f>K35+K36</f>
        <v>-13.663921558028985</v>
      </c>
      <c r="L38" s="1215">
        <f>L35+L36</f>
        <v>-13.214213377596776</v>
      </c>
      <c r="O38" s="2"/>
      <c r="S38" s="105"/>
      <c r="T38" s="2"/>
      <c r="U38" s="2"/>
      <c r="V38" s="2"/>
      <c r="W38" s="2"/>
      <c r="X38" s="2"/>
      <c r="Y38" s="2"/>
      <c r="Z38" s="2"/>
      <c r="AA38" s="2"/>
      <c r="AB38" s="2"/>
      <c r="AC38" s="2"/>
      <c r="AD38" s="2"/>
      <c r="AE38" s="2"/>
      <c r="AF38" s="2"/>
      <c r="AG38" s="2"/>
      <c r="AH38" s="2"/>
      <c r="AI38" s="2"/>
      <c r="AJ38" s="2"/>
      <c r="AK38" s="2"/>
      <c r="AL38" s="2"/>
      <c r="AM38" s="2"/>
      <c r="AN38" s="2"/>
      <c r="AO38" s="2"/>
      <c r="AP38" s="2"/>
    </row>
    <row r="39" spans="1:42" ht="12.75" customHeight="1">
      <c r="A39" s="2" t="s">
        <v>1562</v>
      </c>
      <c r="B39" s="2"/>
      <c r="C39" s="1104">
        <f>0.07*C43</f>
        <v>6.1350100000000003</v>
      </c>
      <c r="D39" s="104">
        <f>BYD!AO87</f>
        <v>2.246</v>
      </c>
      <c r="E39" s="61"/>
      <c r="F39" s="61"/>
      <c r="G39" s="1141"/>
      <c r="H39" s="2"/>
      <c r="I39" s="1104">
        <v>1.0609999999999997</v>
      </c>
      <c r="J39" s="61"/>
      <c r="K39" s="61"/>
      <c r="L39" s="1216"/>
      <c r="O39" s="2"/>
      <c r="S39" s="2"/>
      <c r="T39" s="2"/>
      <c r="U39" s="2"/>
      <c r="V39" s="2"/>
      <c r="W39" s="2"/>
      <c r="X39" s="2"/>
      <c r="Y39" s="2"/>
      <c r="Z39" s="2"/>
      <c r="AA39" s="2"/>
      <c r="AB39" s="2"/>
      <c r="AC39" s="2"/>
      <c r="AD39" s="2"/>
      <c r="AE39" s="2"/>
      <c r="AF39" s="2"/>
      <c r="AG39" s="2"/>
      <c r="AH39" s="2"/>
      <c r="AI39" s="2"/>
      <c r="AJ39" s="2"/>
      <c r="AK39" s="2"/>
      <c r="AL39" s="2"/>
      <c r="AM39" s="2"/>
      <c r="AN39" s="2"/>
      <c r="AO39" s="2"/>
      <c r="AP39" s="2"/>
    </row>
    <row r="40" spans="1:42" ht="12.75" customHeight="1">
      <c r="A40" s="147" t="s">
        <v>1747</v>
      </c>
      <c r="B40" s="160"/>
      <c r="C40" s="1217">
        <f>SUM(C38:C39)</f>
        <v>-9.6609899999999875</v>
      </c>
      <c r="D40" s="1309">
        <f>BYD!AO88</f>
        <v>5.0080000000000258</v>
      </c>
      <c r="E40" s="1218"/>
      <c r="F40" s="1218">
        <f>C40-D40</f>
        <v>-14.668990000000013</v>
      </c>
      <c r="G40" s="1219">
        <f>IF(D40=0,0,C40/D40-1)</f>
        <v>-2.929111421725227</v>
      </c>
      <c r="H40" s="1220"/>
      <c r="I40" s="1217">
        <f>+SUM(I38:I39)</f>
        <v>-1.0710784419710013</v>
      </c>
      <c r="J40" s="1218"/>
      <c r="K40" s="1218">
        <f>C40-I40</f>
        <v>-8.5899115580289855</v>
      </c>
      <c r="L40" s="1221">
        <f>C40/I40-1</f>
        <v>8.0198715812278039</v>
      </c>
      <c r="O40" s="2"/>
      <c r="S40" s="2"/>
      <c r="T40" s="2"/>
      <c r="U40" s="2"/>
      <c r="V40" s="2"/>
      <c r="W40" s="2"/>
      <c r="X40" s="2"/>
      <c r="Y40" s="2"/>
      <c r="Z40" s="2"/>
      <c r="AA40" s="2"/>
      <c r="AB40" s="2"/>
      <c r="AC40" s="2"/>
      <c r="AD40" s="2"/>
      <c r="AE40" s="2"/>
      <c r="AF40" s="2"/>
      <c r="AG40" s="2"/>
      <c r="AH40" s="2"/>
      <c r="AI40" s="2"/>
      <c r="AJ40" s="2"/>
      <c r="AK40" s="2"/>
      <c r="AL40" s="2"/>
      <c r="AM40" s="2"/>
      <c r="AN40" s="2"/>
      <c r="AO40" s="2"/>
      <c r="AP40" s="2"/>
    </row>
    <row r="41" spans="1:42" ht="12.75" customHeight="1">
      <c r="A41" s="2"/>
      <c r="B41" s="2"/>
      <c r="C41" s="112"/>
      <c r="D41" s="77"/>
      <c r="E41" s="61"/>
      <c r="F41" s="61"/>
      <c r="G41" s="1141"/>
      <c r="H41" s="2"/>
      <c r="I41" s="115"/>
      <c r="J41" s="61"/>
      <c r="K41" s="61"/>
      <c r="L41" s="1216"/>
      <c r="O41" s="2"/>
      <c r="S41" s="2"/>
      <c r="T41" s="2"/>
      <c r="U41" s="2"/>
      <c r="V41" s="2"/>
      <c r="W41" s="2"/>
      <c r="X41" s="2"/>
      <c r="Y41" s="2"/>
      <c r="Z41" s="2"/>
      <c r="AA41" s="2"/>
      <c r="AB41" s="2"/>
      <c r="AC41" s="2"/>
      <c r="AD41" s="2"/>
      <c r="AE41" s="2"/>
      <c r="AF41" s="2"/>
      <c r="AG41" s="2"/>
      <c r="AH41" s="2"/>
      <c r="AI41" s="2"/>
      <c r="AJ41" s="2"/>
      <c r="AK41" s="2"/>
      <c r="AL41" s="2"/>
      <c r="AM41" s="2"/>
      <c r="AN41" s="2"/>
      <c r="AO41" s="2"/>
      <c r="AP41" s="2"/>
    </row>
    <row r="42" spans="1:42" ht="12.75" customHeight="1">
      <c r="A42" s="138" t="s">
        <v>746</v>
      </c>
      <c r="B42" s="155"/>
      <c r="C42" s="153">
        <f>C40/C43</f>
        <v>-0.11023116506737546</v>
      </c>
      <c r="D42" s="152">
        <f>+D40/D43</f>
        <v>5.7278799524201958E-2</v>
      </c>
      <c r="E42" s="152"/>
      <c r="F42" s="152">
        <f>C42-D42</f>
        <v>-0.16750996459157741</v>
      </c>
      <c r="G42" s="1208">
        <f>IF(D42=0,0,C42/D42-1)</f>
        <v>-2.9244670974781792</v>
      </c>
      <c r="H42" s="155"/>
      <c r="I42" s="153">
        <f>+I40/I43</f>
        <v>-1.2195043117546612E-2</v>
      </c>
      <c r="J42" s="152"/>
      <c r="K42" s="152">
        <f>C42-I42</f>
        <v>-9.8036121949828844E-2</v>
      </c>
      <c r="L42" s="1211">
        <f>C42/I42-1</f>
        <v>8.0390139669757605</v>
      </c>
      <c r="O42" s="1256"/>
      <c r="Q42" s="1645" t="s">
        <v>1245</v>
      </c>
      <c r="S42" s="2"/>
      <c r="T42" s="2"/>
      <c r="U42" s="2"/>
      <c r="V42" s="2"/>
      <c r="W42" s="2"/>
      <c r="X42" s="2"/>
      <c r="Y42" s="2"/>
      <c r="Z42" s="2"/>
      <c r="AA42" s="2"/>
      <c r="AB42" s="2"/>
      <c r="AC42" s="2"/>
      <c r="AD42" s="2"/>
      <c r="AE42" s="2"/>
      <c r="AF42" s="2"/>
      <c r="AG42" s="2"/>
      <c r="AH42" s="2"/>
      <c r="AI42" s="2"/>
      <c r="AJ42" s="2"/>
      <c r="AK42" s="2"/>
      <c r="AL42" s="2"/>
      <c r="AM42" s="2"/>
      <c r="AN42" s="2"/>
      <c r="AO42" s="2"/>
      <c r="AP42" s="2"/>
    </row>
    <row r="43" spans="1:42" ht="12.75" customHeight="1">
      <c r="A43" s="2" t="s">
        <v>769</v>
      </c>
      <c r="B43" s="2"/>
      <c r="C43" s="1104">
        <v>87.643000000000001</v>
      </c>
      <c r="D43" s="104">
        <f>BYD!AO103</f>
        <v>87.432000000000002</v>
      </c>
      <c r="E43" s="1103"/>
      <c r="F43" s="374">
        <f>C43-D43</f>
        <v>0.21099999999999852</v>
      </c>
      <c r="G43" s="126">
        <f>IF(D43=0,0,C43/D43-1)</f>
        <v>2.4133040534357608E-3</v>
      </c>
      <c r="H43" s="2"/>
      <c r="I43" s="1104">
        <v>87.828999999999994</v>
      </c>
      <c r="J43" s="1103"/>
      <c r="K43" s="374">
        <f>C43-I43</f>
        <v>-0.18599999999999284</v>
      </c>
      <c r="L43" s="1204">
        <f>C43/I43-1</f>
        <v>-2.1177515399241065E-3</v>
      </c>
      <c r="O43" s="2"/>
      <c r="S43" s="2"/>
      <c r="T43" s="2"/>
      <c r="U43" s="2"/>
      <c r="V43" s="2"/>
      <c r="W43" s="2"/>
      <c r="X43" s="2"/>
      <c r="Y43" s="2"/>
      <c r="Z43" s="2"/>
      <c r="AA43" s="2"/>
      <c r="AB43" s="2"/>
      <c r="AC43" s="2"/>
      <c r="AD43" s="2"/>
      <c r="AE43" s="2"/>
      <c r="AF43" s="2"/>
      <c r="AG43" s="2"/>
      <c r="AH43" s="2"/>
      <c r="AI43" s="2"/>
      <c r="AJ43" s="2"/>
      <c r="AK43" s="2"/>
      <c r="AL43" s="2"/>
      <c r="AM43" s="2"/>
      <c r="AN43" s="2"/>
      <c r="AO43" s="2"/>
      <c r="AP43" s="2"/>
    </row>
    <row r="44" spans="1:42" ht="12.75" customHeight="1">
      <c r="A44" s="2"/>
      <c r="B44" s="2"/>
      <c r="C44" s="112"/>
      <c r="D44" s="77"/>
      <c r="E44" s="61"/>
      <c r="F44" s="2"/>
      <c r="G44" s="2"/>
      <c r="H44" s="2"/>
      <c r="I44" s="142"/>
      <c r="J44" s="61"/>
      <c r="K44" s="61"/>
      <c r="L44" s="2"/>
      <c r="O44" s="2"/>
      <c r="S44" s="2"/>
      <c r="T44" s="2"/>
      <c r="U44" s="2"/>
      <c r="V44" s="2"/>
      <c r="W44" s="2"/>
      <c r="X44" s="2"/>
      <c r="Y44" s="2"/>
      <c r="Z44" s="2"/>
      <c r="AA44" s="2"/>
      <c r="AB44" s="2"/>
      <c r="AC44" s="2"/>
      <c r="AD44" s="2"/>
      <c r="AE44" s="2"/>
      <c r="AF44" s="2"/>
      <c r="AG44" s="2"/>
      <c r="AH44" s="2"/>
      <c r="AI44" s="2"/>
      <c r="AJ44" s="2"/>
      <c r="AK44" s="2"/>
      <c r="AL44" s="2"/>
      <c r="AM44" s="2"/>
      <c r="AN44" s="2"/>
      <c r="AO44" s="2"/>
      <c r="AP44" s="2"/>
    </row>
    <row r="45" spans="1:42" ht="12.75" customHeight="1">
      <c r="A45" s="1222" t="s">
        <v>271</v>
      </c>
      <c r="B45" s="1223"/>
      <c r="C45" s="1224">
        <f>C20/C13</f>
        <v>0.1837418206069342</v>
      </c>
      <c r="D45" s="1400">
        <f>D20/D13</f>
        <v>0.22279289707824279</v>
      </c>
      <c r="E45" s="1225"/>
      <c r="F45" s="1223"/>
      <c r="G45" s="1226">
        <f>(C45-D45)</f>
        <v>-3.9051076471308593E-2</v>
      </c>
      <c r="H45" s="1223"/>
      <c r="I45" s="1431">
        <f>I20/I13</f>
        <v>0.21759743516157723</v>
      </c>
      <c r="J45" s="1225"/>
      <c r="K45" s="1223"/>
      <c r="L45" s="1227">
        <f>(C45-I46)</f>
        <v>-1.9402338663874252E-2</v>
      </c>
      <c r="N45">
        <f>+D22-4.6</f>
        <v>117.09200000000001</v>
      </c>
      <c r="O45" s="2"/>
      <c r="S45" s="2">
        <v>628</v>
      </c>
      <c r="T45" s="2"/>
      <c r="U45" s="2">
        <v>615.20000000000005</v>
      </c>
      <c r="V45" s="2"/>
      <c r="W45" s="2"/>
      <c r="X45" s="2"/>
      <c r="Y45" s="2"/>
      <c r="Z45" s="2"/>
      <c r="AA45" s="2"/>
      <c r="AB45" s="2"/>
      <c r="AC45" s="2"/>
      <c r="AD45" s="2"/>
      <c r="AE45" s="2"/>
      <c r="AF45" s="2"/>
      <c r="AG45" s="2"/>
      <c r="AH45" s="2"/>
      <c r="AI45" s="2"/>
      <c r="AJ45" s="2"/>
      <c r="AK45" s="2"/>
      <c r="AL45" s="2"/>
      <c r="AM45" s="2"/>
      <c r="AN45" s="2"/>
      <c r="AO45" s="2"/>
      <c r="AP45" s="2"/>
    </row>
    <row r="46" spans="1:42" ht="12.75" customHeight="1">
      <c r="A46" s="1239" t="s">
        <v>514</v>
      </c>
      <c r="B46" s="1228"/>
      <c r="C46" s="1229">
        <f t="shared" ref="C46:D49" si="3">C16/C8</f>
        <v>0.1748794915950341</v>
      </c>
      <c r="D46" s="1230">
        <f t="shared" si="3"/>
        <v>0.21103382106020629</v>
      </c>
      <c r="E46" s="1230"/>
      <c r="F46" s="1228"/>
      <c r="G46" s="1231">
        <f>(C46-D46)</f>
        <v>-3.6154329465172191E-2</v>
      </c>
      <c r="H46" s="1228"/>
      <c r="I46" s="1229">
        <f>I16/I8</f>
        <v>0.20314415927080845</v>
      </c>
      <c r="J46" s="1230"/>
      <c r="K46" s="1228"/>
      <c r="L46" s="1232">
        <f>(C46-I46)</f>
        <v>-2.8264667675774346E-2</v>
      </c>
      <c r="N46" s="1404">
        <f>+N45/D13</f>
        <v>0.19874195048594115</v>
      </c>
      <c r="O46" s="1647">
        <f>+C45-N46</f>
        <v>-1.5000129879006951E-2</v>
      </c>
      <c r="S46" s="2"/>
      <c r="T46" s="2"/>
      <c r="U46" s="2"/>
      <c r="V46" s="2"/>
      <c r="W46" s="2"/>
      <c r="X46" s="2"/>
      <c r="Y46" s="2"/>
      <c r="Z46" s="2"/>
      <c r="AA46" s="2"/>
      <c r="AB46" s="2"/>
      <c r="AC46" s="2"/>
      <c r="AD46" s="2"/>
      <c r="AE46" s="2"/>
      <c r="AF46" s="2"/>
      <c r="AG46" s="2"/>
      <c r="AH46" s="2"/>
      <c r="AI46" s="2"/>
      <c r="AJ46" s="2"/>
      <c r="AK46" s="2"/>
      <c r="AL46" s="2"/>
      <c r="AM46" s="2"/>
      <c r="AN46" s="2"/>
      <c r="AO46" s="2"/>
      <c r="AP46" s="2"/>
    </row>
    <row r="47" spans="1:42" ht="12.75" customHeight="1">
      <c r="A47" s="1239" t="s">
        <v>515</v>
      </c>
      <c r="B47" s="1228"/>
      <c r="C47" s="1229">
        <f t="shared" si="3"/>
        <v>0.11869946028722431</v>
      </c>
      <c r="D47" s="1230">
        <f t="shared" si="3"/>
        <v>0.11260712209574887</v>
      </c>
      <c r="E47" s="1230"/>
      <c r="F47" s="1228"/>
      <c r="G47" s="1231">
        <f>(C47-D47)</f>
        <v>6.0923381914754354E-3</v>
      </c>
      <c r="H47" s="1228"/>
      <c r="I47" s="1229">
        <f>I17/I9</f>
        <v>7.5430025990839839E-2</v>
      </c>
      <c r="J47" s="1230"/>
      <c r="K47" s="1228"/>
      <c r="L47" s="1232">
        <f>(C47-I47)</f>
        <v>4.3269434296384468E-2</v>
      </c>
      <c r="N47" s="1403"/>
      <c r="O47" s="98"/>
      <c r="S47" s="2">
        <v>39</v>
      </c>
      <c r="T47" s="2"/>
      <c r="U47" s="2">
        <v>34.5</v>
      </c>
      <c r="V47" s="2"/>
      <c r="W47" s="2"/>
      <c r="X47" s="2"/>
      <c r="Y47" s="2"/>
      <c r="Z47" s="2"/>
      <c r="AA47" s="2"/>
      <c r="AB47" s="2"/>
      <c r="AC47" s="2"/>
      <c r="AD47" s="2"/>
      <c r="AE47" s="2"/>
      <c r="AF47" s="2"/>
      <c r="AG47" s="2"/>
      <c r="AH47" s="2"/>
      <c r="AI47" s="2"/>
      <c r="AJ47" s="2"/>
      <c r="AK47" s="2"/>
      <c r="AL47" s="2"/>
      <c r="AM47" s="2"/>
      <c r="AN47" s="2"/>
      <c r="AO47" s="2"/>
      <c r="AP47" s="2"/>
    </row>
    <row r="48" spans="1:42" ht="12.75" customHeight="1">
      <c r="A48" s="1239" t="s">
        <v>516</v>
      </c>
      <c r="B48" s="1228"/>
      <c r="C48" s="1229">
        <f t="shared" si="3"/>
        <v>0.20907861695962912</v>
      </c>
      <c r="D48" s="1230">
        <f t="shared" si="3"/>
        <v>0.23694826136472491</v>
      </c>
      <c r="E48" s="1230"/>
      <c r="F48" s="1228"/>
      <c r="G48" s="1231">
        <f>(C48-D48)</f>
        <v>-2.7869644405095789E-2</v>
      </c>
      <c r="H48" s="1228"/>
      <c r="I48" s="1229">
        <f>I18/I10</f>
        <v>0.22390446266035771</v>
      </c>
      <c r="J48" s="1230"/>
      <c r="K48" s="1228"/>
      <c r="L48" s="1232">
        <f>(C48-I48)</f>
        <v>-1.482584570072859E-2</v>
      </c>
      <c r="N48" s="1404">
        <f>+D18-4.6</f>
        <v>39.923999999999999</v>
      </c>
      <c r="O48" s="105"/>
      <c r="S48" s="2">
        <v>9</v>
      </c>
      <c r="T48" s="2"/>
      <c r="U48" s="2">
        <v>8.4</v>
      </c>
      <c r="V48" s="2"/>
      <c r="W48" s="2"/>
      <c r="X48" s="2"/>
      <c r="Y48" s="2"/>
      <c r="Z48" s="2"/>
      <c r="AA48" s="2"/>
      <c r="AB48" s="2"/>
      <c r="AC48" s="2"/>
      <c r="AD48" s="2"/>
      <c r="AE48" s="2"/>
      <c r="AF48" s="2"/>
      <c r="AG48" s="2"/>
      <c r="AH48" s="2"/>
      <c r="AI48" s="2"/>
      <c r="AJ48" s="2"/>
      <c r="AK48" s="2"/>
      <c r="AL48" s="2"/>
      <c r="AM48" s="2"/>
      <c r="AN48" s="2"/>
      <c r="AO48" s="2"/>
      <c r="AP48" s="2"/>
    </row>
    <row r="49" spans="1:42" ht="12.75" customHeight="1">
      <c r="A49" s="1240" t="s">
        <v>273</v>
      </c>
      <c r="B49" s="1233"/>
      <c r="C49" s="1234">
        <f t="shared" si="3"/>
        <v>0.17825550133357565</v>
      </c>
      <c r="D49" s="1235">
        <f t="shared" si="3"/>
        <v>0.2472056945420705</v>
      </c>
      <c r="E49" s="1235"/>
      <c r="F49" s="1233"/>
      <c r="G49" s="1235">
        <f>(C49-D49)</f>
        <v>-6.8950193208494853E-2</v>
      </c>
      <c r="H49" s="1233"/>
      <c r="I49" s="1234">
        <f>I19/I11</f>
        <v>0.26065601345907441</v>
      </c>
      <c r="J49" s="1235"/>
      <c r="K49" s="1233"/>
      <c r="L49" s="1237">
        <f>(C49-I49)</f>
        <v>-8.2400512125498759E-2</v>
      </c>
      <c r="M49" s="1238"/>
      <c r="N49" s="1404">
        <f>+N48/D10</f>
        <v>0.21246793609570741</v>
      </c>
      <c r="O49" s="105"/>
      <c r="S49" s="2">
        <v>56</v>
      </c>
      <c r="T49" s="2"/>
      <c r="U49" s="2">
        <v>51</v>
      </c>
      <c r="V49" s="2"/>
      <c r="W49" s="2"/>
      <c r="X49" s="2"/>
      <c r="Y49" s="2"/>
      <c r="Z49" s="2"/>
      <c r="AA49" s="2"/>
      <c r="AB49" s="2"/>
      <c r="AC49" s="2"/>
      <c r="AD49" s="2"/>
      <c r="AE49" s="2"/>
      <c r="AF49" s="2"/>
      <c r="AG49" s="2"/>
      <c r="AH49" s="2"/>
      <c r="AI49" s="2"/>
      <c r="AJ49" s="2"/>
      <c r="AK49" s="2"/>
      <c r="AL49" s="2"/>
      <c r="AM49" s="2"/>
      <c r="AN49" s="2"/>
      <c r="AO49" s="2"/>
      <c r="AP49" s="2"/>
    </row>
    <row r="50" spans="1:42" ht="12.75" customHeight="1">
      <c r="A50" s="61"/>
      <c r="B50" s="61"/>
      <c r="C50" s="1435"/>
      <c r="D50" s="77"/>
      <c r="E50" s="61"/>
      <c r="F50" s="61"/>
      <c r="G50" s="61"/>
      <c r="H50" s="61"/>
      <c r="I50" s="1435"/>
      <c r="J50" s="61"/>
      <c r="K50" s="61"/>
      <c r="L50" s="61"/>
      <c r="N50" s="1404">
        <f>+C48-N49</f>
        <v>-3.3893191360782893E-3</v>
      </c>
      <c r="O50" s="105"/>
      <c r="S50" s="2">
        <v>36</v>
      </c>
      <c r="T50" s="2"/>
      <c r="U50" s="2">
        <v>30.734999999999999</v>
      </c>
      <c r="V50" s="2"/>
      <c r="W50" s="2"/>
      <c r="X50" s="2"/>
      <c r="Y50" s="2"/>
      <c r="Z50" s="2"/>
      <c r="AA50" s="2"/>
      <c r="AB50" s="2"/>
      <c r="AC50" s="2"/>
      <c r="AD50" s="2"/>
      <c r="AE50" s="2"/>
      <c r="AF50" s="2"/>
      <c r="AG50" s="2"/>
      <c r="AH50" s="2"/>
      <c r="AI50" s="2"/>
      <c r="AJ50" s="2"/>
      <c r="AK50" s="2"/>
      <c r="AL50" s="2"/>
      <c r="AM50" s="2"/>
      <c r="AN50" s="2"/>
      <c r="AO50" s="2"/>
      <c r="AP50" s="2"/>
    </row>
    <row r="51" spans="1:42" ht="12.75" customHeight="1">
      <c r="A51" s="61"/>
      <c r="B51" s="61"/>
      <c r="C51" s="374"/>
      <c r="D51" s="374"/>
      <c r="E51" s="61"/>
      <c r="F51" s="374"/>
      <c r="G51" s="95"/>
      <c r="H51" s="313"/>
      <c r="I51" s="376"/>
      <c r="J51" s="932"/>
      <c r="K51" s="374"/>
      <c r="L51" s="1204"/>
      <c r="O51" s="2"/>
      <c r="S51" s="1">
        <f>SUM(S47:S50)</f>
        <v>140</v>
      </c>
      <c r="T51" s="2"/>
      <c r="U51" s="1">
        <f>SUM(U47:U50)</f>
        <v>124.63500000000001</v>
      </c>
      <c r="V51" s="2"/>
      <c r="W51" s="2"/>
      <c r="X51" s="2"/>
      <c r="Y51" s="2"/>
      <c r="Z51" s="2"/>
      <c r="AA51" s="2"/>
      <c r="AB51" s="2"/>
      <c r="AC51" s="2"/>
      <c r="AD51" s="2"/>
      <c r="AE51" s="2"/>
      <c r="AF51" s="2"/>
      <c r="AG51" s="2"/>
      <c r="AH51" s="2"/>
      <c r="AI51" s="2"/>
      <c r="AJ51" s="2"/>
      <c r="AK51" s="2"/>
      <c r="AL51" s="2"/>
      <c r="AM51" s="2"/>
      <c r="AN51" s="2"/>
      <c r="AO51" s="2"/>
      <c r="AP51" s="2"/>
    </row>
    <row r="52" spans="1:42" ht="12.75" customHeight="1">
      <c r="A52" s="743"/>
      <c r="B52" s="61"/>
      <c r="C52" s="1618">
        <f>+C22/C13</f>
        <v>0.16893290003407913</v>
      </c>
      <c r="D52" s="1618">
        <f>+D22/D13</f>
        <v>0.20654959722726701</v>
      </c>
      <c r="E52" s="61"/>
      <c r="F52" s="1618">
        <f>+C52-D52</f>
        <v>-3.7616697193187887E-2</v>
      </c>
      <c r="G52" s="1433"/>
      <c r="H52" s="61"/>
      <c r="I52" s="1618">
        <f>+I22/I13</f>
        <v>0.20147283477473368</v>
      </c>
      <c r="J52" s="1103"/>
      <c r="K52" s="452"/>
      <c r="L52" s="1252"/>
      <c r="N52" s="1404"/>
      <c r="O52" s="1404"/>
      <c r="S52" s="105">
        <f>S51/S45</f>
        <v>0.22292993630573249</v>
      </c>
      <c r="T52" s="2"/>
      <c r="U52" s="105">
        <f>U51/U45</f>
        <v>0.20259265279583874</v>
      </c>
      <c r="V52" s="2"/>
      <c r="W52" s="2"/>
      <c r="X52" s="2"/>
      <c r="Y52" s="2"/>
      <c r="Z52" s="2"/>
      <c r="AA52" s="2"/>
      <c r="AB52" s="2"/>
      <c r="AC52" s="2"/>
      <c r="AD52" s="2"/>
      <c r="AE52" s="2"/>
      <c r="AF52" s="2"/>
      <c r="AG52" s="2"/>
      <c r="AH52" s="2"/>
      <c r="AI52" s="2"/>
      <c r="AJ52" s="2"/>
      <c r="AK52" s="2"/>
      <c r="AL52" s="2"/>
      <c r="AM52" s="2"/>
      <c r="AN52" s="2"/>
      <c r="AO52" s="2"/>
      <c r="AP52" s="2"/>
    </row>
    <row r="53" spans="1:42" ht="12.75" customHeight="1">
      <c r="A53" s="1"/>
      <c r="B53" s="2"/>
      <c r="C53" s="1241"/>
      <c r="D53" s="1241"/>
      <c r="E53" s="61"/>
      <c r="F53" s="374"/>
      <c r="G53" s="95"/>
      <c r="H53" s="61"/>
      <c r="I53" s="1434"/>
      <c r="J53" s="1103"/>
      <c r="K53" s="1241"/>
      <c r="L53" s="1204"/>
      <c r="O53" s="1143"/>
    </row>
    <row r="54" spans="1:42" ht="4.5" customHeight="1">
      <c r="A54" s="2"/>
      <c r="B54" s="2"/>
      <c r="C54" s="61"/>
      <c r="D54" s="77"/>
      <c r="E54" s="61"/>
      <c r="F54" s="61"/>
      <c r="G54" s="61"/>
      <c r="H54" s="61"/>
      <c r="I54" s="61"/>
      <c r="J54" s="2"/>
      <c r="K54" s="2"/>
      <c r="L54" s="2"/>
      <c r="O54" s="2"/>
    </row>
    <row r="55" spans="1:42" ht="6" customHeight="1">
      <c r="A55" s="2"/>
      <c r="B55" s="2"/>
      <c r="C55" s="2"/>
      <c r="D55" s="1062"/>
      <c r="E55" s="2"/>
      <c r="F55" s="2"/>
      <c r="G55" s="2"/>
      <c r="H55" s="2"/>
      <c r="I55" s="2"/>
      <c r="J55" s="2"/>
      <c r="K55" s="2"/>
      <c r="L55" s="2"/>
      <c r="O55" s="2"/>
    </row>
    <row r="56" spans="1:42" ht="12.75" customHeight="1">
      <c r="A56" s="2"/>
      <c r="B56" s="2"/>
      <c r="C56" s="2"/>
      <c r="D56" s="1648">
        <f>+D52-C52</f>
        <v>3.7616697193187887E-2</v>
      </c>
      <c r="E56" s="2"/>
      <c r="F56" s="2"/>
      <c r="G56" s="2"/>
      <c r="H56" s="2"/>
      <c r="I56" s="2"/>
      <c r="J56" s="2"/>
      <c r="K56" s="2"/>
      <c r="L56" s="2"/>
      <c r="O56" s="2"/>
    </row>
    <row r="57" spans="1:42" ht="12.75" customHeight="1">
      <c r="A57" s="2"/>
      <c r="B57" s="2"/>
      <c r="C57" s="2"/>
      <c r="D57" s="1062"/>
      <c r="E57" s="2"/>
      <c r="F57" s="2"/>
      <c r="G57" s="2"/>
      <c r="H57" s="2"/>
      <c r="I57" s="2"/>
      <c r="J57" s="2"/>
      <c r="K57" s="2"/>
      <c r="L57" s="2"/>
      <c r="O57" s="2"/>
    </row>
    <row r="58" spans="1:42" ht="12.75" customHeight="1">
      <c r="A58" s="2"/>
      <c r="B58" s="2"/>
      <c r="C58" s="2"/>
      <c r="D58" s="1062"/>
      <c r="E58" s="2"/>
      <c r="F58" s="2"/>
      <c r="G58" s="2"/>
      <c r="H58" s="2"/>
      <c r="I58" s="2"/>
      <c r="J58" s="2"/>
      <c r="K58" s="2"/>
      <c r="L58" s="2"/>
      <c r="O58" s="2"/>
    </row>
    <row r="59" spans="1:42" ht="12.75" customHeight="1">
      <c r="A59" s="2"/>
      <c r="B59" s="2"/>
      <c r="C59" s="2"/>
      <c r="D59" s="1062"/>
      <c r="E59" s="2"/>
      <c r="F59" s="2"/>
      <c r="G59" s="2"/>
      <c r="H59" s="2"/>
      <c r="I59" s="2"/>
      <c r="J59" s="2"/>
      <c r="K59" s="2"/>
      <c r="L59" s="2"/>
      <c r="O59" s="2"/>
    </row>
    <row r="60" spans="1:42" ht="12.75" customHeight="1">
      <c r="A60" s="2"/>
      <c r="B60" s="2"/>
      <c r="C60" s="2"/>
      <c r="D60" s="1062"/>
      <c r="E60" s="2"/>
      <c r="F60" s="2"/>
      <c r="G60" s="2"/>
      <c r="H60" s="2"/>
      <c r="I60" s="2"/>
      <c r="J60" s="2"/>
      <c r="K60" s="2"/>
      <c r="L60" s="2"/>
      <c r="O60" s="2"/>
    </row>
    <row r="61" spans="1:42" ht="12.75" customHeight="1">
      <c r="A61" s="2"/>
      <c r="B61" s="2"/>
      <c r="C61" s="2"/>
      <c r="D61" s="1062"/>
      <c r="E61" s="2"/>
      <c r="F61" s="2"/>
      <c r="G61" s="2"/>
      <c r="H61" s="2"/>
      <c r="I61" s="2"/>
      <c r="J61" s="2"/>
      <c r="K61" s="2"/>
      <c r="L61" s="2"/>
      <c r="N61" s="69" t="s">
        <v>318</v>
      </c>
      <c r="P61" s="2"/>
      <c r="Q61" s="2"/>
      <c r="R61" s="2"/>
    </row>
    <row r="62" spans="1:42" ht="12.75" customHeight="1">
      <c r="A62" s="2"/>
      <c r="B62" s="2"/>
      <c r="C62" s="2"/>
      <c r="D62" s="1062"/>
      <c r="E62" s="2"/>
      <c r="F62" s="2"/>
      <c r="G62" s="2"/>
      <c r="H62" s="2"/>
      <c r="I62" s="2"/>
      <c r="J62" s="2"/>
      <c r="K62" s="2"/>
      <c r="L62" s="2"/>
      <c r="N62" s="2" t="s">
        <v>319</v>
      </c>
      <c r="O62" s="2" t="s">
        <v>320</v>
      </c>
      <c r="P62" s="2" t="s">
        <v>321</v>
      </c>
      <c r="Q62" s="98">
        <v>62.5</v>
      </c>
      <c r="R62" s="98"/>
    </row>
    <row r="63" spans="1:42" ht="12.75" customHeight="1">
      <c r="A63" s="2"/>
      <c r="B63" s="2"/>
      <c r="C63" s="2"/>
      <c r="D63" s="1062"/>
      <c r="E63" s="2"/>
      <c r="F63" s="2"/>
      <c r="G63" s="2"/>
      <c r="H63" s="2"/>
      <c r="I63" s="2"/>
      <c r="J63" s="2"/>
      <c r="K63" s="2"/>
      <c r="L63" s="2"/>
      <c r="N63" s="2"/>
      <c r="O63" s="2" t="s">
        <v>322</v>
      </c>
      <c r="P63" s="2" t="s">
        <v>321</v>
      </c>
      <c r="Q63" s="98">
        <v>87.5</v>
      </c>
      <c r="R63" s="98"/>
    </row>
    <row r="64" spans="1:42" ht="12.75" customHeight="1">
      <c r="A64" s="2"/>
      <c r="B64" s="2"/>
      <c r="C64" s="2"/>
      <c r="D64" s="1062"/>
      <c r="E64" s="2"/>
      <c r="F64" s="2"/>
      <c r="G64" s="2"/>
      <c r="H64" s="2"/>
      <c r="I64" s="2"/>
      <c r="J64" s="2"/>
      <c r="K64" s="2"/>
      <c r="L64" s="2"/>
      <c r="N64" s="2"/>
      <c r="O64" s="2" t="s">
        <v>323</v>
      </c>
      <c r="P64" s="2" t="s">
        <v>321</v>
      </c>
      <c r="Q64" s="98">
        <v>100</v>
      </c>
      <c r="R64" s="98"/>
    </row>
    <row r="65" spans="1:42" ht="12.75" customHeight="1">
      <c r="A65" s="2"/>
      <c r="B65" s="2"/>
      <c r="C65" s="2"/>
      <c r="D65" s="1062"/>
      <c r="E65" s="2"/>
      <c r="F65" s="2"/>
      <c r="G65" s="2"/>
      <c r="H65" s="2"/>
      <c r="I65" s="2"/>
      <c r="J65" s="2"/>
      <c r="K65" s="2"/>
      <c r="L65" s="2"/>
      <c r="N65" s="2"/>
      <c r="O65" s="2" t="s">
        <v>324</v>
      </c>
      <c r="P65" s="2" t="s">
        <v>321</v>
      </c>
      <c r="Q65" s="98">
        <v>112.5</v>
      </c>
      <c r="R65" s="98"/>
    </row>
    <row r="66" spans="1:42" ht="12.75" customHeight="1">
      <c r="A66" s="2"/>
      <c r="B66" s="2"/>
      <c r="C66" s="2"/>
      <c r="D66" s="1062"/>
      <c r="E66" s="2"/>
      <c r="F66" s="2"/>
      <c r="G66" s="2"/>
      <c r="H66" s="2"/>
      <c r="I66" s="2"/>
      <c r="J66" s="2"/>
      <c r="K66" s="2"/>
      <c r="L66" s="2"/>
      <c r="N66" s="2"/>
      <c r="O66" s="2" t="s">
        <v>325</v>
      </c>
      <c r="P66" s="2" t="s">
        <v>321</v>
      </c>
      <c r="Q66" s="98">
        <v>137.5</v>
      </c>
      <c r="R66" s="98"/>
    </row>
    <row r="67" spans="1:42" ht="12.75" customHeight="1">
      <c r="A67" s="2"/>
      <c r="B67" s="2"/>
      <c r="C67" s="2"/>
      <c r="D67" s="1062"/>
      <c r="E67" s="2"/>
      <c r="F67" s="2"/>
      <c r="G67" s="2"/>
      <c r="H67" s="2"/>
      <c r="I67" s="2"/>
      <c r="J67" s="2"/>
      <c r="K67" s="2"/>
      <c r="L67" s="2"/>
      <c r="N67" s="2"/>
      <c r="O67" s="2" t="s">
        <v>326</v>
      </c>
      <c r="P67" s="2" t="s">
        <v>321</v>
      </c>
      <c r="Q67" s="98">
        <v>162.5</v>
      </c>
      <c r="R67" s="98"/>
      <c r="Z67">
        <v>90</v>
      </c>
      <c r="AA67">
        <v>95</v>
      </c>
    </row>
    <row r="68" spans="1:42" ht="12.75" customHeight="1">
      <c r="A68" s="2"/>
      <c r="B68" s="2"/>
      <c r="C68" s="2"/>
      <c r="D68" s="1062"/>
      <c r="E68" s="2"/>
      <c r="F68" s="2"/>
      <c r="G68" s="2"/>
      <c r="H68" s="2"/>
      <c r="I68" s="2"/>
      <c r="J68" s="2"/>
      <c r="K68" s="2"/>
      <c r="L68" s="2"/>
      <c r="O68" s="2"/>
      <c r="S68" s="2"/>
      <c r="T68" s="2"/>
      <c r="U68" s="2"/>
      <c r="V68" s="2"/>
      <c r="W68" s="2"/>
      <c r="X68" s="2"/>
      <c r="Y68" s="2"/>
      <c r="Z68" s="2">
        <v>33</v>
      </c>
      <c r="AA68" s="2">
        <v>35</v>
      </c>
      <c r="AB68" s="2"/>
      <c r="AC68" s="2"/>
      <c r="AD68" s="2"/>
      <c r="AE68" s="2"/>
      <c r="AF68" s="2"/>
      <c r="AG68" s="2"/>
      <c r="AH68" s="2"/>
      <c r="AI68" s="2"/>
      <c r="AJ68" s="2"/>
      <c r="AK68" s="2"/>
      <c r="AL68" s="2"/>
      <c r="AM68" s="2"/>
      <c r="AN68" s="2"/>
      <c r="AO68" s="2"/>
      <c r="AP68" s="2"/>
    </row>
    <row r="69" spans="1:42" ht="12.75" customHeight="1">
      <c r="A69" s="2"/>
      <c r="B69" s="2"/>
      <c r="C69" s="2"/>
      <c r="D69" s="1062"/>
      <c r="E69" s="2"/>
      <c r="F69" s="2"/>
      <c r="G69" s="2"/>
      <c r="H69" s="2"/>
      <c r="I69" s="2"/>
      <c r="J69" s="2"/>
      <c r="K69" s="2"/>
      <c r="L69" s="2"/>
      <c r="O69" s="2"/>
      <c r="S69" s="2"/>
      <c r="T69" s="2"/>
      <c r="U69" s="2"/>
      <c r="V69" s="2"/>
      <c r="W69" s="2"/>
      <c r="X69" s="2"/>
      <c r="Y69" s="2"/>
      <c r="Z69" s="2">
        <f>+Z67+Z68</f>
        <v>123</v>
      </c>
      <c r="AA69" s="2">
        <f>+AA67+AA68</f>
        <v>130</v>
      </c>
      <c r="AB69" s="2"/>
      <c r="AC69" s="2"/>
      <c r="AD69" s="2"/>
      <c r="AE69" s="2"/>
      <c r="AF69" s="2"/>
      <c r="AG69" s="2"/>
      <c r="AH69" s="2"/>
      <c r="AI69" s="2"/>
      <c r="AJ69" s="2"/>
      <c r="AK69" s="2"/>
      <c r="AL69" s="2"/>
      <c r="AM69" s="2"/>
      <c r="AN69" s="2"/>
      <c r="AO69" s="2"/>
      <c r="AP69" s="2"/>
    </row>
    <row r="70" spans="1:42" ht="12.75" customHeight="1">
      <c r="A70" s="2"/>
      <c r="B70" s="2"/>
      <c r="C70" s="2"/>
      <c r="D70" s="1062"/>
      <c r="E70" s="2"/>
      <c r="F70" s="2"/>
      <c r="G70" s="2"/>
      <c r="H70" s="2"/>
      <c r="I70" s="2"/>
      <c r="J70" s="2"/>
      <c r="K70" s="2"/>
      <c r="L70" s="2"/>
      <c r="O70" s="2"/>
      <c r="S70" s="1" t="s">
        <v>1140</v>
      </c>
      <c r="T70" s="1"/>
      <c r="U70" s="2"/>
      <c r="V70" s="2"/>
      <c r="W70" s="2"/>
      <c r="X70" s="2"/>
      <c r="Y70" s="2"/>
      <c r="Z70" s="2"/>
      <c r="AA70" s="2"/>
      <c r="AB70" s="2"/>
      <c r="AC70" s="2"/>
      <c r="AD70" s="2"/>
      <c r="AE70" s="2"/>
      <c r="AF70" s="2"/>
      <c r="AG70" s="2"/>
      <c r="AH70" s="2"/>
      <c r="AI70" s="2"/>
      <c r="AJ70" s="2"/>
      <c r="AK70" s="2"/>
      <c r="AL70" s="2"/>
      <c r="AM70" s="2"/>
      <c r="AN70" s="2"/>
      <c r="AO70" s="2"/>
      <c r="AP70" s="2"/>
    </row>
    <row r="71" spans="1:42" ht="12.75" customHeight="1">
      <c r="A71" s="2"/>
      <c r="B71" s="2"/>
      <c r="C71" s="2"/>
      <c r="D71" s="1062"/>
      <c r="E71" s="2"/>
      <c r="F71" s="2"/>
      <c r="G71" s="2"/>
      <c r="H71" s="2"/>
      <c r="I71" s="2"/>
      <c r="J71" s="2"/>
      <c r="K71" s="2"/>
      <c r="L71" s="2"/>
      <c r="O71" s="2"/>
      <c r="S71" s="1"/>
      <c r="T71" s="1"/>
      <c r="U71" s="2"/>
      <c r="V71" s="2"/>
      <c r="W71" s="2"/>
      <c r="X71" s="2"/>
      <c r="Y71" s="2"/>
      <c r="Z71" s="2"/>
      <c r="AA71" s="2"/>
      <c r="AB71" s="2"/>
      <c r="AC71" s="2"/>
      <c r="AD71" s="2"/>
      <c r="AE71" s="2"/>
      <c r="AF71" s="2"/>
      <c r="AG71" s="2"/>
      <c r="AH71" s="2"/>
      <c r="AI71" s="2"/>
      <c r="AJ71" s="2"/>
      <c r="AK71" s="2"/>
      <c r="AL71" s="2"/>
      <c r="AM71" s="2"/>
      <c r="AN71" s="2"/>
      <c r="AO71" s="2"/>
      <c r="AP71" s="2"/>
    </row>
    <row r="72" spans="1:42" ht="12.75" customHeight="1">
      <c r="A72" s="2"/>
      <c r="B72" s="2"/>
      <c r="C72" s="2"/>
      <c r="D72" s="1062"/>
      <c r="E72" s="2"/>
      <c r="F72" s="2"/>
      <c r="G72" s="2"/>
      <c r="H72" s="2"/>
      <c r="I72" s="2"/>
      <c r="J72" s="2"/>
      <c r="K72" s="2"/>
      <c r="L72" s="2"/>
      <c r="O72" s="2"/>
      <c r="S72" s="2" t="s">
        <v>1144</v>
      </c>
      <c r="T72" s="2"/>
      <c r="U72" s="2"/>
      <c r="V72" s="2"/>
      <c r="W72" s="2"/>
      <c r="X72" s="2"/>
      <c r="Y72" s="2"/>
      <c r="Z72" s="2"/>
      <c r="AA72" s="2"/>
      <c r="AB72" s="2"/>
      <c r="AC72" s="2"/>
      <c r="AD72" s="2"/>
      <c r="AE72" s="2"/>
      <c r="AF72" s="2"/>
      <c r="AG72" s="2"/>
      <c r="AH72" s="2"/>
      <c r="AI72" s="2"/>
      <c r="AJ72" s="2"/>
      <c r="AK72" s="2"/>
      <c r="AL72" s="2"/>
      <c r="AM72" s="2"/>
      <c r="AN72" s="2"/>
      <c r="AO72" s="2"/>
      <c r="AP72" s="2"/>
    </row>
    <row r="73" spans="1:42" ht="12.75" customHeight="1">
      <c r="A73" s="2"/>
      <c r="B73" s="2"/>
      <c r="C73" s="2"/>
      <c r="D73" s="1062"/>
      <c r="E73" s="2"/>
      <c r="F73" s="2"/>
      <c r="G73" s="2"/>
      <c r="H73" s="2"/>
      <c r="I73" s="2"/>
      <c r="J73" s="2"/>
      <c r="K73" s="2"/>
      <c r="L73" s="2"/>
      <c r="O73" s="2"/>
      <c r="S73" s="2"/>
      <c r="T73" s="2"/>
      <c r="U73" s="2"/>
      <c r="V73" s="2"/>
      <c r="W73" s="2"/>
      <c r="X73" s="2"/>
      <c r="Y73" s="2"/>
      <c r="Z73" s="2"/>
      <c r="AA73" s="2"/>
      <c r="AB73" s="2"/>
      <c r="AC73" s="2"/>
      <c r="AD73" s="2"/>
      <c r="AE73" s="2"/>
      <c r="AF73" s="2"/>
      <c r="AG73" s="2"/>
      <c r="AH73" s="2"/>
      <c r="AI73" s="2"/>
      <c r="AJ73" s="2"/>
      <c r="AK73" s="2"/>
      <c r="AL73" s="2"/>
      <c r="AM73" s="2"/>
      <c r="AN73" s="2"/>
      <c r="AO73" s="2"/>
      <c r="AP73" s="2"/>
    </row>
    <row r="74" spans="1:42" ht="12.75" customHeight="1">
      <c r="A74" s="2"/>
      <c r="B74" s="2"/>
      <c r="C74" s="2"/>
      <c r="D74" s="1062"/>
      <c r="E74" s="2"/>
      <c r="F74" s="2"/>
      <c r="G74" s="2"/>
      <c r="H74" s="2"/>
      <c r="I74" s="2"/>
      <c r="J74" s="2"/>
      <c r="K74" s="2"/>
      <c r="L74" s="2"/>
      <c r="O74" s="2"/>
      <c r="S74" s="2"/>
      <c r="T74" s="2"/>
      <c r="U74" s="1197" t="s">
        <v>54</v>
      </c>
      <c r="V74" s="1197"/>
      <c r="W74" s="1197"/>
      <c r="X74" s="1196"/>
      <c r="Y74" s="1196"/>
      <c r="Z74" s="2"/>
      <c r="AA74" s="2"/>
      <c r="AB74" s="2"/>
      <c r="AC74" s="2"/>
      <c r="AD74" s="2"/>
      <c r="AE74" s="2"/>
      <c r="AF74" s="2"/>
      <c r="AG74" s="2"/>
      <c r="AH74" s="2"/>
      <c r="AI74" s="2"/>
      <c r="AJ74" s="2"/>
      <c r="AK74" s="2"/>
      <c r="AL74" s="2"/>
      <c r="AM74" s="2"/>
      <c r="AN74" s="2"/>
      <c r="AO74" s="2"/>
      <c r="AP74" s="2"/>
    </row>
    <row r="75" spans="1:42" ht="12.75" customHeight="1">
      <c r="A75" s="2"/>
      <c r="B75" s="2"/>
      <c r="C75" s="2"/>
      <c r="D75" s="1062"/>
      <c r="E75" s="2"/>
      <c r="F75" s="2"/>
      <c r="G75" s="2"/>
      <c r="H75" s="2"/>
      <c r="I75" s="2"/>
      <c r="J75" s="2"/>
      <c r="K75" s="2"/>
      <c r="L75" s="2"/>
      <c r="O75" s="2"/>
      <c r="S75" s="69"/>
      <c r="T75" s="69"/>
      <c r="U75" s="1289" t="s">
        <v>1142</v>
      </c>
      <c r="V75" s="1289"/>
      <c r="W75" s="1289" t="s">
        <v>1143</v>
      </c>
      <c r="X75" s="1289"/>
      <c r="Y75" s="1289" t="s">
        <v>829</v>
      </c>
      <c r="Z75" s="2"/>
      <c r="AA75" s="2"/>
      <c r="AB75" s="2"/>
      <c r="AC75" s="2"/>
      <c r="AD75" s="2"/>
      <c r="AE75" s="2"/>
      <c r="AF75" s="2"/>
      <c r="AG75" s="2"/>
      <c r="AH75" s="2"/>
      <c r="AI75" s="2"/>
      <c r="AJ75" s="2"/>
      <c r="AK75" s="2"/>
      <c r="AL75" s="2"/>
      <c r="AM75" s="2"/>
      <c r="AN75" s="2"/>
      <c r="AO75" s="2"/>
      <c r="AP75" s="2"/>
    </row>
    <row r="76" spans="1:42" ht="12.75" customHeight="1">
      <c r="A76" s="2"/>
      <c r="B76" s="2"/>
      <c r="C76" s="2"/>
      <c r="D76" s="1062"/>
      <c r="E76" s="2"/>
      <c r="F76" s="2"/>
      <c r="G76" s="2"/>
      <c r="H76" s="2"/>
      <c r="I76" s="2"/>
      <c r="J76" s="2"/>
      <c r="K76" s="2"/>
      <c r="L76" s="2"/>
      <c r="O76" s="2"/>
      <c r="S76" s="2" t="s">
        <v>935</v>
      </c>
      <c r="T76" s="2"/>
      <c r="U76" s="1102">
        <f>+BYD!AV21</f>
        <v>2482.8190000000004</v>
      </c>
      <c r="V76" s="98"/>
      <c r="W76" s="1102">
        <v>2468.3983692560482</v>
      </c>
      <c r="X76" s="98"/>
      <c r="Y76" s="105">
        <f>+U76/W76-1</f>
        <v>5.8421002555995027E-3</v>
      </c>
      <c r="Z76" s="2"/>
      <c r="AA76" s="2"/>
      <c r="AB76" s="2"/>
      <c r="AC76" s="2"/>
      <c r="AD76" s="2"/>
      <c r="AE76" s="2"/>
      <c r="AF76" s="2"/>
      <c r="AG76" s="2"/>
      <c r="AH76" s="2"/>
      <c r="AI76" s="2"/>
      <c r="AJ76" s="2"/>
      <c r="AK76" s="2"/>
      <c r="AL76" s="2"/>
      <c r="AM76" s="2"/>
      <c r="AN76" s="2"/>
      <c r="AO76" s="2"/>
      <c r="AP76" s="2"/>
    </row>
    <row r="77" spans="1:42" ht="12.75" customHeight="1">
      <c r="A77" s="2"/>
      <c r="B77" s="2"/>
      <c r="C77" s="2"/>
      <c r="D77" s="1062"/>
      <c r="E77" s="2"/>
      <c r="F77" s="2"/>
      <c r="G77" s="2"/>
      <c r="H77" s="2"/>
      <c r="I77" s="2"/>
      <c r="J77" s="2"/>
      <c r="K77" s="2"/>
      <c r="L77" s="2"/>
      <c r="O77" s="2"/>
      <c r="S77" s="2" t="s">
        <v>1141</v>
      </c>
      <c r="T77" s="2"/>
      <c r="U77" s="1102">
        <f>+BYD!AV51</f>
        <v>492.05100000000004</v>
      </c>
      <c r="V77" s="98"/>
      <c r="W77" s="1102">
        <v>552.51656262854067</v>
      </c>
      <c r="X77" s="98"/>
      <c r="Y77" s="105">
        <f>+U77/W77-1</f>
        <v>-0.10943665171027983</v>
      </c>
      <c r="Z77" s="2"/>
      <c r="AA77" s="2"/>
      <c r="AB77" s="2"/>
      <c r="AC77" s="2"/>
      <c r="AD77" s="2"/>
      <c r="AE77" s="2"/>
      <c r="AF77" s="2"/>
      <c r="AG77" s="2"/>
      <c r="AH77" s="2"/>
      <c r="AI77" s="2"/>
      <c r="AJ77" s="2"/>
      <c r="AK77" s="2"/>
      <c r="AL77" s="2"/>
      <c r="AM77" s="2"/>
      <c r="AN77" s="2"/>
      <c r="AO77" s="2"/>
      <c r="AP77" s="2"/>
    </row>
    <row r="78" spans="1:42" ht="12.75" customHeight="1">
      <c r="A78" s="2"/>
      <c r="B78" s="2"/>
      <c r="C78" s="2"/>
      <c r="D78" s="1062"/>
      <c r="E78" s="2"/>
      <c r="F78" s="2"/>
      <c r="G78" s="2"/>
      <c r="H78" s="2"/>
      <c r="I78" s="2"/>
      <c r="J78" s="2"/>
      <c r="K78" s="2"/>
      <c r="L78" s="2"/>
      <c r="O78" s="2"/>
      <c r="S78" s="2" t="s">
        <v>200</v>
      </c>
      <c r="T78" s="2"/>
      <c r="U78" s="1401">
        <f>+BYD!AV95</f>
        <v>-0.27977684479532566</v>
      </c>
      <c r="V78" s="1336"/>
      <c r="W78" s="1401">
        <v>0.29476081769725809</v>
      </c>
      <c r="X78" s="1336"/>
      <c r="Y78" s="105">
        <f>+U78/W78-1</f>
        <v>-1.9491656556696009</v>
      </c>
      <c r="Z78" s="2"/>
      <c r="AA78" s="2"/>
      <c r="AB78" s="2"/>
      <c r="AC78" s="2"/>
      <c r="AD78" s="2"/>
      <c r="AE78" s="2"/>
      <c r="AF78" s="2"/>
      <c r="AG78" s="2"/>
      <c r="AH78" s="2"/>
      <c r="AI78" s="2"/>
      <c r="AJ78" s="2"/>
      <c r="AK78" s="2"/>
      <c r="AL78" s="2"/>
      <c r="AM78" s="2"/>
      <c r="AN78" s="2"/>
      <c r="AO78" s="2"/>
      <c r="AP78" s="2"/>
    </row>
    <row r="79" spans="1:42" ht="12.75" customHeight="1">
      <c r="A79" s="2"/>
      <c r="B79" s="2"/>
      <c r="C79" s="2"/>
      <c r="D79" s="1062"/>
      <c r="E79" s="2"/>
      <c r="F79" s="2"/>
      <c r="G79" s="2"/>
      <c r="H79" s="2"/>
      <c r="I79" s="2"/>
      <c r="J79" s="2"/>
      <c r="K79" s="2"/>
      <c r="L79" s="2"/>
      <c r="O79" s="2"/>
      <c r="S79" s="2"/>
      <c r="T79" s="2"/>
      <c r="U79" s="2"/>
      <c r="V79" s="2"/>
      <c r="W79" s="2"/>
      <c r="X79" s="2"/>
      <c r="Y79" s="2"/>
      <c r="Z79" s="2"/>
      <c r="AA79" s="2"/>
      <c r="AB79" s="2"/>
      <c r="AC79" s="2"/>
      <c r="AD79" s="2"/>
      <c r="AE79" s="2"/>
      <c r="AF79" s="2"/>
      <c r="AG79" s="2"/>
      <c r="AH79" s="2"/>
      <c r="AI79" s="2"/>
      <c r="AJ79" s="2"/>
      <c r="AK79" s="2"/>
      <c r="AL79" s="2"/>
      <c r="AM79" s="2"/>
      <c r="AN79" s="2"/>
      <c r="AO79" s="2"/>
      <c r="AP79" s="2"/>
    </row>
    <row r="80" spans="1:42" ht="12.75" customHeight="1">
      <c r="A80" s="2"/>
      <c r="B80" s="2"/>
      <c r="C80" s="2"/>
      <c r="D80" s="1062"/>
      <c r="E80" s="2"/>
      <c r="F80" s="2"/>
      <c r="G80" s="2"/>
      <c r="H80" s="2"/>
      <c r="I80" s="2"/>
      <c r="J80" s="2"/>
      <c r="K80" s="2"/>
      <c r="L80" s="2"/>
      <c r="O80" s="2"/>
      <c r="S80" s="2"/>
      <c r="T80" s="2"/>
      <c r="U80" s="2"/>
      <c r="V80" s="2"/>
      <c r="W80" s="2"/>
      <c r="X80" s="2"/>
      <c r="Y80" s="2"/>
      <c r="Z80" s="2"/>
      <c r="AA80" s="1" t="s">
        <v>1646</v>
      </c>
      <c r="AB80" s="2"/>
      <c r="AC80" s="2"/>
      <c r="AD80" s="2"/>
      <c r="AE80" s="2"/>
      <c r="AF80" s="105"/>
      <c r="AG80" s="2"/>
      <c r="AH80" s="2"/>
      <c r="AI80" s="2"/>
      <c r="AJ80" s="2"/>
      <c r="AK80" s="2"/>
      <c r="AL80" s="2"/>
      <c r="AM80" s="2"/>
      <c r="AN80" s="2"/>
      <c r="AO80" s="2"/>
      <c r="AP80" s="2"/>
    </row>
    <row r="81" spans="1:42" ht="12.75" customHeight="1">
      <c r="A81" s="2"/>
      <c r="B81" s="2"/>
      <c r="C81" s="2"/>
      <c r="D81" s="1062"/>
      <c r="E81" s="2"/>
      <c r="F81" s="2"/>
      <c r="G81" s="2"/>
      <c r="H81" s="2"/>
      <c r="I81" s="2"/>
      <c r="J81" s="2"/>
      <c r="K81" s="2"/>
      <c r="L81" s="2"/>
      <c r="O81" s="2"/>
      <c r="S81" s="2"/>
      <c r="T81" s="2"/>
      <c r="U81" s="2"/>
      <c r="V81" s="2"/>
      <c r="W81" s="2"/>
      <c r="X81" s="2"/>
      <c r="Y81" s="2"/>
      <c r="Z81" s="2"/>
      <c r="AA81" s="2"/>
      <c r="AB81" s="2"/>
      <c r="AC81" s="2"/>
      <c r="AD81" s="2"/>
      <c r="AE81" s="2"/>
      <c r="AF81" s="105"/>
      <c r="AG81" s="2"/>
      <c r="AH81" s="2"/>
      <c r="AI81" s="2"/>
      <c r="AJ81" s="2"/>
      <c r="AK81" s="2"/>
      <c r="AL81" s="2"/>
      <c r="AM81" s="2"/>
      <c r="AN81" s="2"/>
      <c r="AO81" s="2"/>
      <c r="AP81" s="2"/>
    </row>
    <row r="82" spans="1:42" ht="12.75" customHeight="1">
      <c r="A82" s="2"/>
      <c r="B82" s="2"/>
      <c r="C82" s="2"/>
      <c r="D82" s="1062"/>
      <c r="E82" s="2"/>
      <c r="F82" s="2"/>
      <c r="G82" s="2"/>
      <c r="H82" s="2"/>
      <c r="I82" s="2"/>
      <c r="J82" s="2"/>
      <c r="K82" s="2"/>
      <c r="L82" s="2"/>
      <c r="O82" s="2"/>
      <c r="S82" s="2"/>
      <c r="T82" s="2"/>
      <c r="U82" s="2"/>
      <c r="V82" s="2"/>
      <c r="W82" s="2"/>
      <c r="X82" s="2"/>
      <c r="Y82" s="2"/>
      <c r="Z82" s="2"/>
      <c r="AA82" s="2"/>
      <c r="AB82" s="1432" t="s">
        <v>1647</v>
      </c>
      <c r="AC82" s="1432"/>
      <c r="AD82" s="1432" t="s">
        <v>727</v>
      </c>
      <c r="AE82" s="1432"/>
      <c r="AF82" s="1432">
        <v>2012</v>
      </c>
      <c r="AG82" s="2"/>
      <c r="AH82" s="2"/>
      <c r="AI82" s="2">
        <f>34.5+75.5</f>
        <v>110</v>
      </c>
      <c r="AJ82" s="2"/>
      <c r="AK82" s="2"/>
      <c r="AL82" s="2"/>
      <c r="AM82" s="2"/>
      <c r="AN82" s="2"/>
      <c r="AO82" s="2"/>
      <c r="AP82" s="2"/>
    </row>
    <row r="83" spans="1:42" ht="12.75" customHeight="1">
      <c r="A83" s="2"/>
      <c r="B83" s="2"/>
      <c r="C83" s="2"/>
      <c r="D83" s="1062"/>
      <c r="E83" s="2"/>
      <c r="F83" s="2"/>
      <c r="G83" s="2"/>
      <c r="H83" s="2"/>
      <c r="I83" s="2"/>
      <c r="J83" s="2"/>
      <c r="K83" s="2"/>
      <c r="L83" s="2"/>
      <c r="O83" s="2"/>
      <c r="S83" s="2"/>
      <c r="T83" s="2"/>
      <c r="U83" s="2"/>
      <c r="V83" s="2"/>
      <c r="W83" s="2"/>
      <c r="X83" s="2"/>
      <c r="Y83" s="2"/>
      <c r="Z83" s="2"/>
      <c r="AA83" s="2" t="s">
        <v>1719</v>
      </c>
      <c r="AB83" s="1423">
        <v>626</v>
      </c>
      <c r="AC83" s="1082"/>
      <c r="AD83" s="1423">
        <v>624</v>
      </c>
      <c r="AE83" s="1423"/>
      <c r="AF83" s="1423">
        <v>2483.9</v>
      </c>
      <c r="AG83" s="2"/>
      <c r="AH83" s="2"/>
      <c r="AI83" s="2">
        <f>78+37</f>
        <v>115</v>
      </c>
      <c r="AJ83" s="2"/>
      <c r="AK83" s="2"/>
      <c r="AL83" s="2"/>
      <c r="AM83" s="2"/>
      <c r="AN83" s="2"/>
      <c r="AO83" s="2"/>
      <c r="AP83" s="2"/>
    </row>
    <row r="84" spans="1:42" ht="12.75" customHeight="1">
      <c r="A84" s="2"/>
      <c r="B84" s="2"/>
      <c r="C84" s="2"/>
      <c r="D84" s="1062"/>
      <c r="E84" s="2"/>
      <c r="F84" s="2"/>
      <c r="G84" s="2"/>
      <c r="H84" s="2"/>
      <c r="I84" s="2"/>
      <c r="J84" s="2"/>
      <c r="K84" s="2"/>
      <c r="L84" s="2"/>
      <c r="O84" s="2"/>
      <c r="S84" s="2"/>
      <c r="T84" s="2"/>
      <c r="U84" s="2"/>
      <c r="V84" s="2"/>
      <c r="W84" s="2"/>
      <c r="X84" s="2"/>
      <c r="Y84" s="2"/>
      <c r="Z84" s="2"/>
      <c r="AA84" s="2" t="s">
        <v>401</v>
      </c>
      <c r="AB84" s="1423">
        <v>125.7</v>
      </c>
      <c r="AC84" s="1082"/>
      <c r="AD84" s="1423">
        <v>129.19999999999999</v>
      </c>
      <c r="AE84" s="1423"/>
      <c r="AF84" s="1423">
        <v>498.8</v>
      </c>
      <c r="AG84" s="2"/>
      <c r="AH84" s="2"/>
      <c r="AI84" s="2"/>
      <c r="AJ84" s="2"/>
      <c r="AK84" s="2"/>
      <c r="AL84" s="2"/>
      <c r="AM84" s="2"/>
      <c r="AN84" s="2"/>
      <c r="AO84" s="2"/>
      <c r="AP84" s="2"/>
    </row>
    <row r="85" spans="1:42" ht="12.75" customHeight="1">
      <c r="A85" s="2"/>
      <c r="B85" s="2"/>
      <c r="C85" s="2"/>
      <c r="D85" s="1062"/>
      <c r="E85" s="2"/>
      <c r="F85" s="2"/>
      <c r="G85" s="2"/>
      <c r="H85" s="2"/>
      <c r="I85" s="2"/>
      <c r="J85" s="2"/>
      <c r="K85" s="2"/>
      <c r="L85" s="2"/>
      <c r="O85" s="2"/>
      <c r="S85" s="2"/>
      <c r="T85" s="2"/>
      <c r="U85" s="2"/>
      <c r="V85" s="2"/>
      <c r="W85" s="2"/>
      <c r="X85" s="2"/>
      <c r="Y85" s="2"/>
      <c r="Z85" s="2"/>
      <c r="AA85" s="2" t="s">
        <v>200</v>
      </c>
      <c r="AB85" s="1068">
        <v>0.09</v>
      </c>
      <c r="AC85" s="1118"/>
      <c r="AD85" s="1068">
        <v>0.1</v>
      </c>
      <c r="AE85" s="1068"/>
      <c r="AF85" s="1068">
        <v>0.28000000000000003</v>
      </c>
      <c r="AG85" s="2"/>
      <c r="AH85" s="2"/>
      <c r="AI85" s="2"/>
      <c r="AJ85" s="2"/>
      <c r="AK85" s="2"/>
      <c r="AL85" s="2"/>
      <c r="AM85" s="2"/>
      <c r="AN85" s="2"/>
      <c r="AO85" s="2"/>
      <c r="AP85" s="2"/>
    </row>
    <row r="86" spans="1:42" ht="12.75" customHeight="1">
      <c r="A86" s="2"/>
      <c r="B86" s="2"/>
      <c r="C86" s="2"/>
      <c r="D86" s="1062"/>
      <c r="E86" s="2"/>
      <c r="F86" s="2"/>
      <c r="G86" s="2"/>
      <c r="H86" s="2"/>
      <c r="I86" s="2"/>
      <c r="J86" s="2"/>
      <c r="K86" s="2"/>
      <c r="L86" s="2"/>
      <c r="O86" s="2"/>
      <c r="S86" s="2"/>
      <c r="T86" s="2"/>
      <c r="U86" s="2"/>
      <c r="V86" s="2"/>
      <c r="W86" s="2"/>
      <c r="X86" s="2"/>
      <c r="Y86" s="2"/>
      <c r="Z86" s="2"/>
      <c r="AA86" s="2"/>
      <c r="AB86" s="2"/>
      <c r="AC86" s="2"/>
      <c r="AD86" s="2"/>
      <c r="AE86" s="2"/>
      <c r="AF86" s="2"/>
      <c r="AG86" s="2"/>
      <c r="AH86" s="2"/>
      <c r="AI86" s="2"/>
      <c r="AJ86" s="2"/>
      <c r="AK86" s="2"/>
      <c r="AL86" s="2"/>
      <c r="AM86" s="2"/>
      <c r="AN86" s="2"/>
      <c r="AO86" s="2"/>
      <c r="AP86" s="2"/>
    </row>
    <row r="87" spans="1:42" ht="12.75" customHeight="1">
      <c r="A87" s="2"/>
      <c r="B87" s="2"/>
      <c r="C87" s="2"/>
      <c r="D87" s="1062"/>
      <c r="E87" s="2"/>
      <c r="F87" s="2"/>
      <c r="G87" s="2"/>
      <c r="H87" s="2"/>
      <c r="I87" s="2"/>
      <c r="J87" s="2"/>
      <c r="K87" s="2"/>
      <c r="L87" s="2"/>
      <c r="O87" s="2"/>
      <c r="S87" s="2"/>
      <c r="T87" s="2"/>
      <c r="U87" s="2"/>
      <c r="V87" s="2"/>
      <c r="W87" s="2"/>
      <c r="X87" s="2"/>
      <c r="Y87" s="2"/>
      <c r="Z87" s="2"/>
      <c r="AA87" s="2"/>
      <c r="AB87" s="2"/>
      <c r="AC87" s="2"/>
      <c r="AD87" s="2"/>
      <c r="AE87" s="2"/>
      <c r="AF87" s="2"/>
      <c r="AG87" s="2"/>
      <c r="AH87" s="69" t="s">
        <v>778</v>
      </c>
      <c r="AP87" s="2"/>
    </row>
    <row r="88" spans="1:42" ht="12.75" customHeight="1">
      <c r="A88" s="2"/>
      <c r="B88" s="2"/>
      <c r="C88" s="2"/>
      <c r="D88" s="1062"/>
      <c r="E88" s="2"/>
      <c r="F88" s="2"/>
      <c r="G88" s="2"/>
      <c r="H88" s="2"/>
      <c r="I88" s="2"/>
      <c r="J88" s="2"/>
      <c r="K88" s="2"/>
      <c r="L88" s="2"/>
      <c r="O88" s="2"/>
      <c r="S88" s="2"/>
      <c r="T88" s="2"/>
      <c r="U88" s="2"/>
      <c r="V88" s="2"/>
      <c r="W88" s="2"/>
      <c r="X88" s="2"/>
      <c r="Y88" s="2"/>
      <c r="Z88" s="2"/>
      <c r="AA88" s="2"/>
      <c r="AB88" s="2"/>
      <c r="AC88" s="2"/>
      <c r="AD88" s="2"/>
      <c r="AE88" s="2"/>
      <c r="AF88" s="2"/>
      <c r="AG88" s="2"/>
      <c r="AH88" s="69"/>
      <c r="AP88" s="2"/>
    </row>
    <row r="89" spans="1:42" ht="12.75" customHeight="1">
      <c r="A89" s="2"/>
      <c r="B89" s="2"/>
      <c r="C89" s="2"/>
      <c r="D89" s="1062"/>
      <c r="E89" s="2"/>
      <c r="F89" s="2"/>
      <c r="G89" s="2"/>
      <c r="H89" s="2"/>
      <c r="I89" s="2"/>
      <c r="J89" s="2"/>
      <c r="K89" s="2"/>
      <c r="L89" s="2"/>
      <c r="O89" s="2"/>
      <c r="S89" s="2"/>
      <c r="T89" s="2"/>
      <c r="U89" s="2"/>
      <c r="V89" s="2"/>
      <c r="W89" s="2"/>
      <c r="X89" s="2"/>
      <c r="Y89" s="2"/>
      <c r="Z89" s="2"/>
      <c r="AA89" s="2"/>
      <c r="AB89" s="2"/>
      <c r="AC89" s="2"/>
      <c r="AD89" s="2"/>
      <c r="AE89" s="2"/>
      <c r="AF89" s="2"/>
      <c r="AG89" s="2"/>
      <c r="AH89" s="1447"/>
      <c r="AI89" s="1449"/>
      <c r="AJ89" s="1447"/>
      <c r="AK89" s="1447"/>
      <c r="AL89" s="1447"/>
      <c r="AM89" s="1447"/>
      <c r="AN89" s="1447"/>
      <c r="AO89" s="1447"/>
      <c r="AP89" s="2"/>
    </row>
    <row r="90" spans="1:42" ht="12.75" customHeight="1">
      <c r="A90" s="2"/>
      <c r="B90" s="2"/>
      <c r="C90" s="2"/>
      <c r="D90" s="1062"/>
      <c r="E90" s="2"/>
      <c r="F90" s="2"/>
      <c r="G90" s="2"/>
      <c r="H90" s="2"/>
      <c r="I90" s="2"/>
      <c r="J90" s="2"/>
      <c r="K90" s="2"/>
      <c r="L90" s="2"/>
      <c r="O90" s="2"/>
      <c r="S90" s="2"/>
      <c r="T90" s="2"/>
      <c r="U90" s="2"/>
      <c r="V90" s="2"/>
      <c r="W90" s="2"/>
      <c r="X90" s="2"/>
      <c r="Y90" s="2"/>
      <c r="Z90" s="2"/>
      <c r="AA90" s="2"/>
      <c r="AB90" s="2"/>
      <c r="AC90" s="2"/>
      <c r="AD90" s="2"/>
      <c r="AE90" s="2"/>
      <c r="AF90" s="2"/>
      <c r="AG90" s="2"/>
      <c r="AH90" s="111" t="s">
        <v>1610</v>
      </c>
      <c r="AI90" s="1289" t="s">
        <v>552</v>
      </c>
      <c r="AJ90" s="1448"/>
      <c r="AK90" s="1289" t="s">
        <v>1611</v>
      </c>
      <c r="AL90" s="1629"/>
      <c r="AM90" s="1629"/>
      <c r="AN90" s="1629"/>
      <c r="AO90" s="1629"/>
      <c r="AP90" s="2"/>
    </row>
    <row r="91" spans="1:42" ht="3" customHeight="1">
      <c r="A91" s="2"/>
      <c r="B91" s="2"/>
      <c r="C91" s="2"/>
      <c r="D91" s="1062"/>
      <c r="E91" s="2"/>
      <c r="F91" s="2"/>
      <c r="G91" s="2"/>
      <c r="H91" s="2"/>
      <c r="I91" s="2"/>
      <c r="J91" s="2"/>
      <c r="K91" s="2"/>
      <c r="L91" s="2"/>
      <c r="O91" s="2"/>
      <c r="S91" s="2"/>
      <c r="T91" s="2"/>
      <c r="U91" s="2"/>
      <c r="V91" s="2"/>
      <c r="W91" s="2"/>
      <c r="X91" s="2"/>
      <c r="Y91" s="2"/>
      <c r="Z91" s="2"/>
      <c r="AA91" s="2"/>
      <c r="AB91" s="2"/>
      <c r="AC91" s="2"/>
      <c r="AD91" s="2"/>
      <c r="AE91" s="2"/>
      <c r="AF91" s="2"/>
      <c r="AG91" s="2"/>
      <c r="AH91" s="69"/>
      <c r="AI91" s="1449"/>
      <c r="AJ91" s="1449"/>
      <c r="AK91" s="1449"/>
      <c r="AL91" s="1449"/>
      <c r="AM91" s="1449"/>
      <c r="AN91" s="1449"/>
      <c r="AO91" s="1449"/>
      <c r="AP91" s="2"/>
    </row>
    <row r="92" spans="1:42" ht="12.75" customHeight="1">
      <c r="A92" s="2"/>
      <c r="B92" s="2"/>
      <c r="C92" s="2"/>
      <c r="D92" s="1062"/>
      <c r="E92" s="2"/>
      <c r="F92" s="2"/>
      <c r="G92" s="2"/>
      <c r="H92" s="2"/>
      <c r="I92" s="2"/>
      <c r="J92" s="2"/>
      <c r="K92" s="2"/>
      <c r="L92" s="2"/>
      <c r="O92" s="2"/>
      <c r="S92" s="2"/>
      <c r="T92" s="2"/>
      <c r="U92" s="2"/>
      <c r="V92" s="2"/>
      <c r="W92" s="2"/>
      <c r="X92" s="2"/>
      <c r="Y92" s="2"/>
      <c r="Z92" s="2"/>
      <c r="AA92" s="2"/>
      <c r="AB92" s="2"/>
      <c r="AC92" s="2"/>
      <c r="AD92" s="2"/>
      <c r="AE92" s="2"/>
      <c r="AF92" s="2"/>
      <c r="AG92" s="2"/>
      <c r="AH92" s="1447" t="s">
        <v>1612</v>
      </c>
      <c r="AI92" s="2"/>
      <c r="AJ92" s="2"/>
      <c r="AK92" s="2"/>
      <c r="AL92" s="2"/>
      <c r="AM92" s="2"/>
      <c r="AN92" s="2"/>
      <c r="AO92" s="2"/>
      <c r="AP92" s="2"/>
    </row>
    <row r="93" spans="1:42" ht="12.75" customHeight="1">
      <c r="A93" s="2"/>
      <c r="B93" s="2"/>
      <c r="C93" s="2"/>
      <c r="D93" s="1062"/>
      <c r="E93" s="2"/>
      <c r="F93" s="2"/>
      <c r="G93" s="2"/>
      <c r="H93" s="2"/>
      <c r="I93" s="2"/>
      <c r="J93" s="2"/>
      <c r="K93" s="2"/>
      <c r="L93" s="2"/>
      <c r="O93" s="2"/>
      <c r="S93" s="2"/>
      <c r="T93" s="2"/>
      <c r="U93" s="2"/>
      <c r="V93" s="2"/>
      <c r="W93" s="2"/>
      <c r="X93" s="2"/>
      <c r="Y93" s="2"/>
      <c r="Z93" s="2"/>
      <c r="AA93" s="2"/>
      <c r="AB93" s="2"/>
      <c r="AC93" s="2"/>
      <c r="AD93" s="2"/>
      <c r="AE93" s="2"/>
      <c r="AF93" s="2"/>
      <c r="AG93" s="2"/>
      <c r="AH93" s="1447" t="s">
        <v>1613</v>
      </c>
      <c r="AI93" s="1614" t="s">
        <v>779</v>
      </c>
      <c r="AJ93" s="1449"/>
      <c r="AK93" s="1465">
        <f>+SUM(BYD!AR38:AR41,BYD!AR54)</f>
        <v>94.921000000000006</v>
      </c>
      <c r="AL93" s="1450"/>
      <c r="AM93" s="1450"/>
      <c r="AN93" s="1450"/>
      <c r="AO93" s="1450"/>
      <c r="AP93" s="2"/>
    </row>
    <row r="94" spans="1:42" ht="6" customHeight="1">
      <c r="A94" s="2"/>
      <c r="B94" s="2"/>
      <c r="C94" s="2"/>
      <c r="D94" s="1062"/>
      <c r="E94" s="2"/>
      <c r="F94" s="2"/>
      <c r="G94" s="2"/>
      <c r="H94" s="2"/>
      <c r="I94" s="2"/>
      <c r="J94" s="2"/>
      <c r="K94" s="2"/>
      <c r="L94" s="2"/>
      <c r="O94" s="2"/>
      <c r="S94" s="2"/>
      <c r="T94" s="2"/>
      <c r="U94" s="2"/>
      <c r="V94" s="2"/>
      <c r="W94" s="2"/>
      <c r="X94" s="2"/>
      <c r="Y94" s="2"/>
      <c r="Z94" s="2"/>
      <c r="AA94" s="2"/>
      <c r="AB94" s="2"/>
      <c r="AC94" s="2"/>
      <c r="AD94" s="2"/>
      <c r="AE94" s="2"/>
      <c r="AF94" s="2"/>
      <c r="AG94" s="2"/>
      <c r="AH94" s="1447"/>
      <c r="AI94" s="1614"/>
      <c r="AJ94" s="1449"/>
      <c r="AK94" s="1450"/>
      <c r="AL94" s="1450"/>
      <c r="AM94" s="1450"/>
      <c r="AN94" s="1450"/>
      <c r="AO94" s="1450"/>
      <c r="AP94" s="2"/>
    </row>
    <row r="95" spans="1:42" ht="12.75" customHeight="1">
      <c r="A95" s="2"/>
      <c r="B95" s="2"/>
      <c r="C95" s="2"/>
      <c r="D95" s="1062"/>
      <c r="E95" s="2"/>
      <c r="F95" s="2"/>
      <c r="G95" s="2"/>
      <c r="H95" s="2"/>
      <c r="I95" s="2"/>
      <c r="J95" s="2"/>
      <c r="K95" s="2"/>
      <c r="L95" s="2"/>
      <c r="O95" s="2"/>
      <c r="S95" s="2"/>
      <c r="T95" s="2"/>
      <c r="U95" s="2"/>
      <c r="V95" s="2"/>
      <c r="W95" s="2"/>
      <c r="X95" s="2"/>
      <c r="Y95" s="2"/>
      <c r="Z95" s="2"/>
      <c r="AA95" s="2"/>
      <c r="AB95" s="2"/>
      <c r="AC95" s="2"/>
      <c r="AD95" s="2"/>
      <c r="AE95" s="2"/>
      <c r="AF95" s="2"/>
      <c r="AG95" s="2"/>
      <c r="AH95" s="1447" t="s">
        <v>1614</v>
      </c>
      <c r="AI95" s="1615" t="s">
        <v>780</v>
      </c>
      <c r="AJ95" s="1449"/>
      <c r="AK95" s="1450">
        <f>+BYD!AR45</f>
        <v>38.881</v>
      </c>
      <c r="AL95" s="1465"/>
      <c r="AM95" s="1465"/>
      <c r="AN95" s="1465"/>
      <c r="AO95" s="1465"/>
      <c r="AP95" s="2"/>
    </row>
    <row r="96" spans="1:42" ht="6" customHeight="1">
      <c r="A96" s="2"/>
      <c r="B96" s="2"/>
      <c r="C96" s="2"/>
      <c r="D96" s="1062"/>
      <c r="E96" s="2"/>
      <c r="F96" s="2"/>
      <c r="G96" s="2"/>
      <c r="H96" s="2"/>
      <c r="I96" s="2"/>
      <c r="J96" s="2"/>
      <c r="K96" s="2"/>
      <c r="L96" s="2"/>
      <c r="O96" s="2"/>
      <c r="S96" s="2"/>
      <c r="T96" s="2"/>
      <c r="U96" s="2"/>
      <c r="V96" s="2"/>
      <c r="W96" s="2"/>
      <c r="X96" s="2"/>
      <c r="Y96" s="2"/>
      <c r="Z96" s="2"/>
      <c r="AA96" s="2"/>
      <c r="AB96" s="2"/>
      <c r="AC96" s="2"/>
      <c r="AD96" s="2"/>
      <c r="AE96" s="2"/>
      <c r="AF96" s="2"/>
      <c r="AG96" s="2"/>
      <c r="AH96" s="1447"/>
      <c r="AI96" s="1614"/>
      <c r="AJ96" s="1449"/>
      <c r="AK96" s="1450"/>
      <c r="AL96" s="1450"/>
      <c r="AM96" s="1450"/>
      <c r="AN96" s="1450"/>
      <c r="AO96" s="1450"/>
      <c r="AP96" s="2"/>
    </row>
    <row r="97" spans="1:42" ht="12.75" customHeight="1">
      <c r="A97" s="2"/>
      <c r="B97" s="2"/>
      <c r="C97" s="2"/>
      <c r="D97" s="1062"/>
      <c r="E97" s="2"/>
      <c r="F97" s="2"/>
      <c r="G97" s="2"/>
      <c r="H97" s="2"/>
      <c r="I97" s="2"/>
      <c r="J97" s="2"/>
      <c r="K97" s="2"/>
      <c r="L97" s="2"/>
      <c r="O97" s="2"/>
      <c r="S97" s="2"/>
      <c r="T97" s="2"/>
      <c r="U97" s="2"/>
      <c r="V97" s="2"/>
      <c r="W97" s="2"/>
      <c r="X97" s="2"/>
      <c r="Y97" s="2"/>
      <c r="Z97" s="2"/>
      <c r="AA97" s="2"/>
      <c r="AB97" s="2"/>
      <c r="AC97" s="2"/>
      <c r="AD97" s="2"/>
      <c r="AE97" s="2"/>
      <c r="AF97" s="2"/>
      <c r="AG97" s="2"/>
      <c r="AH97" s="1447" t="s">
        <v>1615</v>
      </c>
      <c r="AI97" s="1614" t="s">
        <v>781</v>
      </c>
      <c r="AJ97" s="1449"/>
      <c r="AK97" s="1466">
        <f>+BYD!AR95</f>
        <v>9.5650493822950905E-2</v>
      </c>
      <c r="AL97" s="1466"/>
      <c r="AM97" s="1466"/>
      <c r="AN97" s="1466"/>
      <c r="AO97" s="1466"/>
      <c r="AP97" s="2"/>
    </row>
    <row r="98" spans="1:42" ht="6" customHeight="1">
      <c r="A98" s="2"/>
      <c r="B98" s="2"/>
      <c r="C98" s="2"/>
      <c r="D98" s="1062"/>
      <c r="E98" s="2"/>
      <c r="F98" s="2"/>
      <c r="G98" s="2"/>
      <c r="H98" s="2"/>
      <c r="I98" s="2"/>
      <c r="J98" s="2"/>
      <c r="K98" s="2"/>
      <c r="L98" s="2"/>
      <c r="O98" s="2"/>
      <c r="S98" s="2"/>
      <c r="T98" s="2"/>
      <c r="U98" s="2"/>
      <c r="V98" s="2"/>
      <c r="W98" s="2"/>
      <c r="X98" s="2"/>
      <c r="Y98" s="2"/>
      <c r="Z98" s="2"/>
      <c r="AA98" s="2"/>
      <c r="AB98" s="2"/>
      <c r="AC98" s="2"/>
      <c r="AD98" s="2"/>
      <c r="AE98" s="2"/>
      <c r="AF98" s="2"/>
      <c r="AG98" s="2"/>
      <c r="AH98" s="1447"/>
      <c r="AI98" s="1450"/>
      <c r="AJ98" s="1449"/>
      <c r="AK98" s="1449"/>
      <c r="AL98" s="1449"/>
      <c r="AM98" s="1449"/>
      <c r="AN98" s="1449"/>
      <c r="AO98" s="1449"/>
      <c r="AP98" s="2"/>
    </row>
    <row r="99" spans="1:42" ht="12.75" customHeight="1">
      <c r="A99" s="2"/>
      <c r="B99" s="2"/>
      <c r="C99" s="2"/>
      <c r="D99" s="1062"/>
      <c r="E99" s="2"/>
      <c r="F99" s="2"/>
      <c r="G99" s="2"/>
      <c r="H99" s="2"/>
      <c r="I99" s="2"/>
      <c r="J99" s="2"/>
      <c r="K99" s="2"/>
      <c r="L99" s="2"/>
      <c r="O99" s="2"/>
      <c r="S99" s="2"/>
      <c r="T99" s="2"/>
      <c r="U99" s="2"/>
      <c r="V99" s="2"/>
      <c r="W99" s="2"/>
      <c r="X99" s="2"/>
      <c r="Y99" s="2"/>
      <c r="Z99" s="2"/>
      <c r="AA99" s="2"/>
      <c r="AB99" s="2"/>
      <c r="AC99" s="2"/>
      <c r="AD99" s="2"/>
      <c r="AE99" s="2"/>
      <c r="AF99" s="2"/>
      <c r="AG99" s="2"/>
      <c r="AH99" s="2"/>
      <c r="AI99" s="2"/>
      <c r="AJ99" s="2"/>
      <c r="AK99" s="2"/>
      <c r="AL99" s="2"/>
      <c r="AM99" s="2"/>
      <c r="AN99" s="2"/>
      <c r="AO99" s="2"/>
      <c r="AP99" s="2"/>
    </row>
    <row r="100" spans="1:42" ht="12.75" customHeight="1">
      <c r="A100" s="2"/>
      <c r="B100" s="2"/>
      <c r="C100" s="2"/>
      <c r="D100" s="1062"/>
      <c r="E100" s="2"/>
      <c r="F100" s="2"/>
      <c r="G100" s="2"/>
      <c r="H100" s="2"/>
      <c r="I100" s="2"/>
      <c r="J100" s="2"/>
      <c r="K100" s="2"/>
      <c r="L100" s="2"/>
      <c r="O100" s="2"/>
      <c r="S100" s="2"/>
      <c r="T100" s="2"/>
      <c r="U100" s="2"/>
      <c r="V100" s="2"/>
      <c r="W100" s="2"/>
      <c r="X100" s="2"/>
      <c r="Y100" s="2"/>
      <c r="Z100" s="2"/>
      <c r="AA100" s="2"/>
      <c r="AB100" s="2"/>
      <c r="AC100" s="2"/>
      <c r="AD100" s="2"/>
      <c r="AE100" s="2"/>
      <c r="AF100" s="2"/>
      <c r="AG100" s="2"/>
      <c r="AH100" s="2"/>
      <c r="AI100" s="2">
        <f>88+32</f>
        <v>120</v>
      </c>
      <c r="AJ100" s="2"/>
      <c r="AK100" s="2"/>
      <c r="AL100" s="2"/>
      <c r="AM100" s="69" t="s">
        <v>728</v>
      </c>
    </row>
    <row r="101" spans="1:42" ht="12.75" customHeight="1">
      <c r="A101" s="2"/>
      <c r="B101" s="2"/>
      <c r="C101" s="2"/>
      <c r="D101" s="1062"/>
      <c r="E101" s="2"/>
      <c r="F101" s="2"/>
      <c r="G101" s="2"/>
      <c r="H101" s="2"/>
      <c r="I101" s="2"/>
      <c r="J101" s="2"/>
      <c r="K101" s="2"/>
      <c r="L101" s="2"/>
      <c r="O101" s="2"/>
      <c r="S101" s="2"/>
      <c r="T101" s="2"/>
      <c r="U101" s="2"/>
      <c r="V101" s="2"/>
      <c r="W101" s="2"/>
      <c r="X101" s="2"/>
      <c r="Y101" s="2"/>
      <c r="Z101" s="2"/>
      <c r="AA101" s="2"/>
      <c r="AB101" s="2"/>
      <c r="AC101" s="2"/>
      <c r="AD101" s="2"/>
      <c r="AE101" s="2"/>
      <c r="AF101" s="2"/>
      <c r="AG101" s="2"/>
      <c r="AH101" s="2"/>
      <c r="AI101" s="2">
        <f>93+34</f>
        <v>127</v>
      </c>
      <c r="AJ101" s="2"/>
      <c r="AK101" s="2"/>
      <c r="AL101" s="2"/>
      <c r="AM101" s="69"/>
    </row>
    <row r="102" spans="1:42" ht="12.75" customHeight="1">
      <c r="A102" s="2"/>
      <c r="B102" s="2"/>
      <c r="C102" s="2"/>
      <c r="D102" s="1062"/>
      <c r="E102" s="2"/>
      <c r="F102" s="2"/>
      <c r="G102" s="2"/>
      <c r="H102" s="2"/>
      <c r="I102" s="2"/>
      <c r="J102" s="2"/>
      <c r="K102" s="2"/>
      <c r="L102" s="2"/>
      <c r="O102" s="2"/>
      <c r="S102" s="2"/>
      <c r="T102" s="2"/>
      <c r="U102" s="2"/>
      <c r="V102" s="2"/>
      <c r="W102" s="2"/>
      <c r="X102" s="2"/>
      <c r="Y102" s="2"/>
      <c r="Z102" s="2"/>
      <c r="AA102" s="2"/>
      <c r="AB102" s="2"/>
      <c r="AC102" s="2"/>
      <c r="AD102" s="2"/>
      <c r="AE102" s="2"/>
      <c r="AF102" s="2"/>
      <c r="AG102" s="2"/>
      <c r="AH102" s="2"/>
      <c r="AI102" s="2"/>
      <c r="AJ102" s="2"/>
      <c r="AK102" s="2"/>
      <c r="AL102" s="2"/>
      <c r="AM102" s="1447"/>
      <c r="AN102" s="1449"/>
      <c r="AO102" s="1447"/>
      <c r="AP102" s="1447"/>
    </row>
    <row r="103" spans="1:42" ht="12.75" customHeight="1">
      <c r="A103" s="2"/>
      <c r="B103" s="2"/>
      <c r="C103" s="2"/>
      <c r="D103" s="1062"/>
      <c r="E103" s="2"/>
      <c r="F103" s="2"/>
      <c r="G103" s="2"/>
      <c r="H103" s="2"/>
      <c r="I103" s="2"/>
      <c r="J103" s="2"/>
      <c r="K103" s="2"/>
      <c r="L103" s="2"/>
      <c r="O103" s="2"/>
      <c r="S103" s="2"/>
      <c r="T103" s="2"/>
      <c r="U103" s="2"/>
      <c r="V103" s="2"/>
      <c r="W103" s="2"/>
      <c r="X103" s="2"/>
      <c r="Y103" s="2"/>
      <c r="Z103" s="2"/>
      <c r="AA103" s="2"/>
      <c r="AB103" s="2"/>
      <c r="AC103" s="2"/>
      <c r="AD103" s="2"/>
      <c r="AE103" s="2"/>
      <c r="AF103" s="2"/>
      <c r="AG103" s="2"/>
      <c r="AH103" s="2"/>
      <c r="AI103" s="2"/>
      <c r="AJ103" s="2"/>
      <c r="AK103" s="2"/>
      <c r="AL103" s="2"/>
      <c r="AM103" s="111" t="s">
        <v>1610</v>
      </c>
      <c r="AN103" s="1289" t="s">
        <v>552</v>
      </c>
      <c r="AO103" s="1448"/>
      <c r="AP103" s="1289" t="s">
        <v>1611</v>
      </c>
    </row>
    <row r="104" spans="1:42" ht="12.75" customHeight="1">
      <c r="A104" s="2"/>
      <c r="B104" s="2"/>
      <c r="C104" s="2"/>
      <c r="D104" s="1062"/>
      <c r="E104" s="2"/>
      <c r="F104" s="2"/>
      <c r="G104" s="2"/>
      <c r="H104" s="2"/>
      <c r="I104" s="2"/>
      <c r="J104" s="2"/>
      <c r="K104" s="2"/>
      <c r="L104" s="2"/>
      <c r="O104" s="2"/>
      <c r="S104" s="2"/>
      <c r="T104" s="2"/>
      <c r="U104" s="2"/>
      <c r="V104" s="2"/>
      <c r="W104" s="2"/>
      <c r="X104" s="2"/>
      <c r="Y104" s="2"/>
      <c r="Z104" s="2"/>
      <c r="AA104" s="2"/>
      <c r="AB104" s="2"/>
      <c r="AC104" s="2"/>
      <c r="AD104" s="2"/>
      <c r="AE104" s="2"/>
      <c r="AF104" s="2"/>
      <c r="AG104" s="2"/>
      <c r="AH104" s="2"/>
      <c r="AI104" s="2"/>
      <c r="AJ104" s="2"/>
      <c r="AK104" s="2"/>
      <c r="AL104" s="2"/>
      <c r="AM104" s="69"/>
      <c r="AN104" s="1449"/>
      <c r="AO104" s="1449"/>
      <c r="AP104" s="1449"/>
    </row>
    <row r="105" spans="1:42" ht="12.75" customHeight="1">
      <c r="A105" s="2"/>
      <c r="B105" s="2"/>
      <c r="C105" s="2"/>
      <c r="D105" s="1062"/>
      <c r="E105" s="2"/>
      <c r="F105" s="2"/>
      <c r="G105" s="2"/>
      <c r="H105" s="2"/>
      <c r="I105" s="2"/>
      <c r="J105" s="2"/>
      <c r="K105" s="2"/>
      <c r="L105" s="2"/>
      <c r="O105" s="2"/>
      <c r="S105" s="2"/>
      <c r="T105" s="2"/>
      <c r="U105" s="2"/>
      <c r="V105" s="2"/>
      <c r="W105" s="2"/>
      <c r="X105" s="2"/>
      <c r="Y105" s="2"/>
      <c r="Z105" s="2"/>
      <c r="AA105" s="2"/>
      <c r="AB105" s="2"/>
      <c r="AC105" s="2"/>
      <c r="AD105" s="2"/>
      <c r="AE105" s="2"/>
      <c r="AF105" s="2"/>
      <c r="AG105" s="2"/>
      <c r="AH105" s="2"/>
      <c r="AI105" s="2"/>
      <c r="AJ105" s="2"/>
      <c r="AK105" s="2"/>
      <c r="AL105" s="2"/>
      <c r="AM105" s="1447" t="s">
        <v>1612</v>
      </c>
      <c r="AN105" s="2"/>
      <c r="AO105" s="2"/>
      <c r="AP105" s="2"/>
    </row>
    <row r="106" spans="1:42" ht="12.75" customHeight="1">
      <c r="A106" s="2"/>
      <c r="B106" s="2"/>
      <c r="C106" s="2"/>
      <c r="D106" s="1062"/>
      <c r="E106" s="2"/>
      <c r="F106" s="2"/>
      <c r="G106" s="2"/>
      <c r="H106" s="2"/>
      <c r="I106" s="2"/>
      <c r="J106" s="2"/>
      <c r="K106" s="2"/>
      <c r="L106" s="2"/>
      <c r="O106" s="2"/>
      <c r="S106" s="2"/>
      <c r="T106" s="2"/>
      <c r="U106" s="2"/>
      <c r="V106" s="2"/>
      <c r="W106" s="2"/>
      <c r="X106" s="2"/>
      <c r="Y106" s="2"/>
      <c r="Z106" s="2"/>
      <c r="AA106" s="2"/>
      <c r="AB106" s="2"/>
      <c r="AC106" s="2"/>
      <c r="AD106" s="2"/>
      <c r="AE106" s="2"/>
      <c r="AF106" s="2"/>
      <c r="AG106" s="2"/>
      <c r="AH106" s="2"/>
      <c r="AI106" s="2"/>
      <c r="AJ106" s="2"/>
      <c r="AK106" s="2"/>
      <c r="AL106" s="2"/>
      <c r="AM106" s="1447" t="s">
        <v>1613</v>
      </c>
      <c r="AN106" s="1630" t="s">
        <v>779</v>
      </c>
      <c r="AO106" s="1449"/>
      <c r="AP106" s="1465">
        <f>+SUM(BYD!AS38:AS41,BYD!AS54)</f>
        <v>83.1</v>
      </c>
    </row>
    <row r="107" spans="1:42" ht="12.75" customHeight="1">
      <c r="A107" s="2"/>
      <c r="B107" s="2"/>
      <c r="C107" s="2"/>
      <c r="D107" s="1062"/>
      <c r="E107" s="2"/>
      <c r="F107" s="2"/>
      <c r="G107" s="2"/>
      <c r="H107" s="2"/>
      <c r="I107" s="2"/>
      <c r="J107" s="2"/>
      <c r="K107" s="2"/>
      <c r="L107" s="2"/>
      <c r="O107" s="2"/>
      <c r="S107" s="2"/>
      <c r="T107" s="2"/>
      <c r="U107" s="2"/>
      <c r="V107" s="2"/>
      <c r="W107" s="2"/>
      <c r="X107" s="2"/>
      <c r="Y107" s="2"/>
      <c r="Z107" s="2"/>
      <c r="AA107" s="2"/>
      <c r="AB107" s="2"/>
      <c r="AC107" s="2"/>
      <c r="AD107" s="2"/>
      <c r="AE107" s="2"/>
      <c r="AF107" s="2"/>
      <c r="AG107" s="2"/>
      <c r="AH107" s="2"/>
      <c r="AI107" s="2"/>
      <c r="AJ107" s="2"/>
      <c r="AK107" s="2"/>
      <c r="AL107" s="2"/>
      <c r="AM107" s="1447"/>
      <c r="AN107" s="1630"/>
      <c r="AO107" s="1449"/>
      <c r="AP107" s="1450"/>
    </row>
    <row r="108" spans="1:42" ht="12.75" customHeight="1">
      <c r="A108" s="2"/>
      <c r="B108" s="2"/>
      <c r="C108" s="2"/>
      <c r="D108" s="1062"/>
      <c r="E108" s="2"/>
      <c r="F108" s="2"/>
      <c r="G108" s="2"/>
      <c r="H108" s="2"/>
      <c r="I108" s="2"/>
      <c r="J108" s="2"/>
      <c r="K108" s="2"/>
      <c r="L108" s="2"/>
      <c r="O108" s="2"/>
      <c r="S108" s="2"/>
      <c r="T108" s="2"/>
      <c r="U108" s="2"/>
      <c r="V108" s="2"/>
      <c r="W108" s="2"/>
      <c r="X108" s="2"/>
      <c r="Y108" s="2"/>
      <c r="Z108" s="2"/>
      <c r="AA108" s="2"/>
      <c r="AB108" s="2"/>
      <c r="AC108" s="2"/>
      <c r="AD108" s="2"/>
      <c r="AE108" s="2"/>
      <c r="AF108" s="2"/>
      <c r="AG108" s="2"/>
      <c r="AH108" s="2"/>
      <c r="AI108" s="2"/>
      <c r="AJ108" s="2"/>
      <c r="AK108" s="2"/>
      <c r="AL108" s="2"/>
      <c r="AM108" s="1447" t="s">
        <v>1614</v>
      </c>
      <c r="AN108" s="1631" t="s">
        <v>780</v>
      </c>
      <c r="AO108" s="1449"/>
      <c r="AP108" s="1450">
        <f>+BYD!AS45</f>
        <v>30.734999999999999</v>
      </c>
    </row>
    <row r="109" spans="1:42" ht="12.75" customHeight="1">
      <c r="A109" s="2"/>
      <c r="B109" s="2"/>
      <c r="C109" s="2"/>
      <c r="D109" s="1062"/>
      <c r="E109" s="2"/>
      <c r="F109" s="2"/>
      <c r="G109" s="2"/>
      <c r="H109" s="2"/>
      <c r="I109" s="2"/>
      <c r="J109" s="2"/>
      <c r="K109" s="2"/>
      <c r="L109" s="2"/>
      <c r="O109" s="2"/>
      <c r="S109" s="2"/>
      <c r="T109" s="2"/>
      <c r="U109" s="2"/>
      <c r="V109" s="2"/>
      <c r="W109" s="2"/>
      <c r="X109" s="2"/>
      <c r="Y109" s="2"/>
      <c r="Z109" s="2"/>
      <c r="AA109" s="2"/>
      <c r="AB109" s="2"/>
      <c r="AC109" s="2"/>
      <c r="AD109" s="2"/>
      <c r="AE109" s="2"/>
      <c r="AF109" s="2"/>
      <c r="AG109" s="2"/>
      <c r="AH109" s="2"/>
      <c r="AI109" s="2"/>
      <c r="AJ109" s="2"/>
      <c r="AK109" s="2"/>
      <c r="AL109" s="2"/>
      <c r="AM109" s="1447"/>
      <c r="AN109" s="1630"/>
      <c r="AO109" s="1449"/>
      <c r="AP109" s="1450"/>
    </row>
    <row r="110" spans="1:42" ht="12.75" customHeight="1">
      <c r="A110" s="2"/>
      <c r="B110" s="2"/>
      <c r="C110" s="2"/>
      <c r="D110" s="1062"/>
      <c r="E110" s="2"/>
      <c r="F110" s="2"/>
      <c r="G110" s="2"/>
      <c r="H110" s="2"/>
      <c r="I110" s="2"/>
      <c r="J110" s="2"/>
      <c r="K110" s="2"/>
      <c r="L110" s="2"/>
      <c r="O110" s="2"/>
      <c r="S110" s="2"/>
      <c r="T110" s="2"/>
      <c r="U110" s="2"/>
      <c r="V110" s="2"/>
      <c r="W110" s="2"/>
      <c r="X110" s="2"/>
      <c r="Y110" s="2"/>
      <c r="Z110" s="2"/>
      <c r="AA110" s="2"/>
      <c r="AB110" s="2"/>
      <c r="AC110" s="2"/>
      <c r="AD110" s="2"/>
      <c r="AE110" s="2"/>
      <c r="AF110" s="2"/>
      <c r="AG110" s="2"/>
      <c r="AH110" s="2"/>
      <c r="AI110" s="2"/>
      <c r="AJ110" s="2"/>
      <c r="AK110" s="2"/>
      <c r="AL110" s="2"/>
      <c r="AM110" s="1447" t="s">
        <v>1615</v>
      </c>
      <c r="AN110" s="1630" t="s">
        <v>781</v>
      </c>
      <c r="AO110" s="1449"/>
      <c r="AP110" s="1466">
        <f>+BYD!AS95</f>
        <v>4.7575010275380213E-2</v>
      </c>
    </row>
  </sheetData>
  <phoneticPr fontId="1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AP110"/>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3" max="13" width="9.5" bestFit="1" customWidth="1"/>
    <col min="16" max="16" width="3.25" customWidth="1"/>
    <col min="18" max="18" width="1" customWidth="1"/>
    <col min="19" max="19" width="19" customWidth="1"/>
    <col min="20" max="20" width="1.625" customWidth="1"/>
    <col min="21" max="21" width="8.625" customWidth="1"/>
    <col min="22" max="22" width="1.625" customWidth="1"/>
    <col min="23" max="23" width="8.625" customWidth="1"/>
    <col min="24" max="24" width="1.625" customWidth="1"/>
    <col min="25" max="25" width="8.625" customWidth="1"/>
    <col min="28" max="28" width="7.625" customWidth="1"/>
    <col min="29" max="29" width="1.625" customWidth="1"/>
    <col min="30" max="30" width="7.625" customWidth="1"/>
    <col min="31" max="31" width="1.625" customWidth="1"/>
    <col min="32" max="32" width="7.625" customWidth="1"/>
    <col min="33" max="33" width="1.625" customWidth="1"/>
    <col min="34" max="34" width="16.375" customWidth="1"/>
    <col min="35" max="35" width="11.625" customWidth="1"/>
    <col min="36" max="36" width="2.625" customWidth="1"/>
    <col min="37" max="38" width="10.625" customWidth="1"/>
    <col min="39" max="39" width="15.375" customWidth="1"/>
    <col min="40" max="40" width="10.625" customWidth="1"/>
    <col min="41" max="41" width="1.375" customWidth="1"/>
  </cols>
  <sheetData>
    <row r="1" spans="1:42" ht="12.75" customHeight="1">
      <c r="A1" s="1" t="s">
        <v>629</v>
      </c>
      <c r="B1" s="2"/>
      <c r="C1" s="166"/>
      <c r="D1" s="1062"/>
      <c r="E1" s="2"/>
      <c r="F1" s="2"/>
      <c r="G1" s="2"/>
      <c r="H1" s="2"/>
      <c r="I1" s="2"/>
      <c r="J1" s="2"/>
      <c r="K1" s="2"/>
      <c r="L1" s="2"/>
      <c r="O1" s="2"/>
      <c r="S1" s="2"/>
      <c r="T1" s="2"/>
      <c r="U1" s="2"/>
      <c r="V1" s="2"/>
      <c r="W1" s="2"/>
      <c r="X1" s="2"/>
      <c r="Y1" s="2"/>
      <c r="Z1" s="2"/>
      <c r="AA1" s="2"/>
      <c r="AB1" s="2"/>
      <c r="AC1" s="2"/>
      <c r="AD1" s="2"/>
      <c r="AE1" s="2"/>
      <c r="AF1" s="2"/>
      <c r="AG1" s="2"/>
      <c r="AH1" s="2"/>
      <c r="AI1" s="2"/>
      <c r="AJ1" s="2"/>
      <c r="AK1" s="2"/>
      <c r="AL1" s="2"/>
      <c r="AM1" s="2"/>
      <c r="AN1" s="2"/>
      <c r="AO1" s="2"/>
      <c r="AP1" s="2"/>
    </row>
    <row r="2" spans="1:42" ht="12.75" customHeight="1">
      <c r="A2" s="1" t="s">
        <v>1224</v>
      </c>
      <c r="B2" s="2"/>
      <c r="C2" s="2"/>
      <c r="D2" s="1062"/>
      <c r="E2" s="2"/>
      <c r="F2" s="2"/>
      <c r="G2" s="2"/>
      <c r="H2" s="2"/>
      <c r="I2" s="2"/>
      <c r="J2" s="2"/>
      <c r="K2" s="2"/>
      <c r="L2" s="2"/>
      <c r="O2" s="2"/>
      <c r="S2" s="2"/>
      <c r="T2" s="2"/>
      <c r="U2" s="2"/>
      <c r="V2" s="2"/>
      <c r="W2" s="2"/>
      <c r="X2" s="2"/>
      <c r="Y2" s="2"/>
      <c r="Z2" s="2"/>
      <c r="AA2" s="2"/>
      <c r="AB2" s="2"/>
      <c r="AC2" s="2"/>
      <c r="AD2" s="2"/>
      <c r="AE2" s="2"/>
      <c r="AF2" s="2"/>
      <c r="AG2" s="2"/>
      <c r="AH2" s="2"/>
      <c r="AI2" s="2"/>
      <c r="AJ2" s="2"/>
      <c r="AK2" s="2"/>
      <c r="AL2" s="2"/>
      <c r="AM2" s="2"/>
      <c r="AN2" s="2"/>
      <c r="AO2" s="2"/>
      <c r="AP2" s="2"/>
    </row>
    <row r="3" spans="1:42" ht="12.75" customHeight="1">
      <c r="A3" s="2" t="s">
        <v>1225</v>
      </c>
      <c r="B3" s="2"/>
      <c r="C3" s="2"/>
      <c r="D3" s="1062"/>
      <c r="E3" s="2"/>
      <c r="F3" s="2"/>
      <c r="G3" s="2"/>
      <c r="H3" s="2"/>
      <c r="I3" s="2"/>
      <c r="J3" s="2"/>
      <c r="K3" s="2"/>
      <c r="L3" s="2"/>
      <c r="O3" s="2"/>
      <c r="S3" s="2"/>
      <c r="T3" s="2"/>
      <c r="U3" s="2"/>
      <c r="V3" s="2"/>
      <c r="W3" s="2"/>
      <c r="X3" s="2"/>
      <c r="Y3" s="2"/>
      <c r="Z3" s="2"/>
      <c r="AA3" s="2"/>
      <c r="AB3" s="2"/>
      <c r="AC3" s="2"/>
      <c r="AD3" s="2"/>
      <c r="AE3" s="2"/>
      <c r="AF3" s="2"/>
      <c r="AG3" s="2"/>
      <c r="AH3" s="2"/>
      <c r="AI3" s="2"/>
      <c r="AJ3" s="2"/>
      <c r="AK3" s="2"/>
      <c r="AL3" s="2"/>
      <c r="AM3" s="2"/>
      <c r="AN3" s="2"/>
      <c r="AO3" s="2"/>
      <c r="AP3" s="2"/>
    </row>
    <row r="4" spans="1:42" ht="12.75" customHeight="1">
      <c r="A4" s="2"/>
      <c r="B4" s="2"/>
      <c r="C4" s="1195" t="s">
        <v>818</v>
      </c>
      <c r="D4" s="1310"/>
      <c r="E4" s="1196"/>
      <c r="F4" s="1196"/>
      <c r="G4" s="1196"/>
      <c r="H4" s="2"/>
      <c r="I4" s="1195" t="s">
        <v>1504</v>
      </c>
      <c r="J4" s="1197"/>
      <c r="K4" s="1196"/>
      <c r="L4" s="1196"/>
      <c r="O4" s="73" t="s">
        <v>1030</v>
      </c>
      <c r="Q4" s="73" t="s">
        <v>594</v>
      </c>
      <c r="S4" s="2"/>
      <c r="T4" s="2"/>
      <c r="U4" s="2"/>
      <c r="V4" s="2"/>
      <c r="W4" s="2"/>
      <c r="X4" s="2"/>
      <c r="Y4" s="2"/>
      <c r="Z4" s="2"/>
      <c r="AA4" s="2"/>
      <c r="AB4" s="2"/>
      <c r="AC4" s="2"/>
      <c r="AD4" s="2"/>
      <c r="AE4" s="2"/>
      <c r="AF4" s="2"/>
      <c r="AG4" s="2"/>
      <c r="AH4" s="2"/>
      <c r="AI4" s="2"/>
      <c r="AJ4" s="2"/>
      <c r="AK4" s="2"/>
      <c r="AL4" s="2"/>
      <c r="AM4" s="2"/>
      <c r="AN4" s="2"/>
      <c r="AO4" s="2"/>
      <c r="AP4" s="2"/>
    </row>
    <row r="5" spans="1:42" ht="12.75" customHeight="1">
      <c r="A5" s="2"/>
      <c r="B5" s="2"/>
      <c r="C5" s="1198"/>
      <c r="D5" s="77"/>
      <c r="E5" s="2"/>
      <c r="F5" s="1197" t="s">
        <v>1505</v>
      </c>
      <c r="G5" s="1197"/>
      <c r="H5" s="2"/>
      <c r="I5" s="1198"/>
      <c r="J5" s="61"/>
      <c r="K5" s="1197" t="s">
        <v>1505</v>
      </c>
      <c r="L5" s="1197"/>
      <c r="O5" s="2"/>
      <c r="S5" s="2"/>
      <c r="T5" s="2"/>
      <c r="U5" s="2"/>
      <c r="V5" s="2"/>
      <c r="W5" s="2"/>
      <c r="X5" s="2"/>
      <c r="Y5" s="2"/>
      <c r="Z5" s="2"/>
      <c r="AA5" s="2"/>
      <c r="AB5" s="2"/>
      <c r="AC5" s="2"/>
      <c r="AD5" s="2"/>
      <c r="AE5" s="2"/>
      <c r="AF5" s="2"/>
      <c r="AG5" s="2"/>
      <c r="AH5" s="2"/>
      <c r="AI5" s="2"/>
      <c r="AJ5" s="2"/>
      <c r="AK5" s="2"/>
      <c r="AL5" s="2"/>
      <c r="AM5" s="2"/>
      <c r="AN5" s="2"/>
      <c r="AO5" s="2"/>
      <c r="AP5" s="2"/>
    </row>
    <row r="6" spans="1:42" ht="12.75" customHeight="1">
      <c r="A6" s="61"/>
      <c r="B6" s="2"/>
      <c r="C6" s="1199" t="s">
        <v>593</v>
      </c>
      <c r="D6" s="1308" t="s">
        <v>1699</v>
      </c>
      <c r="E6" s="70"/>
      <c r="F6" s="73" t="s">
        <v>658</v>
      </c>
      <c r="G6" s="73" t="s">
        <v>740</v>
      </c>
      <c r="H6" s="2"/>
      <c r="I6" s="1199" t="s">
        <v>358</v>
      </c>
      <c r="J6" s="70"/>
      <c r="K6" s="73" t="s">
        <v>658</v>
      </c>
      <c r="L6" s="73" t="s">
        <v>740</v>
      </c>
      <c r="O6" s="2"/>
      <c r="S6" s="2"/>
      <c r="T6" s="2"/>
      <c r="U6" s="2"/>
      <c r="V6" s="2"/>
      <c r="W6" s="2"/>
      <c r="X6" s="2"/>
      <c r="Y6" s="2"/>
      <c r="Z6" s="2"/>
      <c r="AA6" s="2"/>
      <c r="AB6" s="2"/>
      <c r="AC6" s="2"/>
      <c r="AD6" s="2"/>
      <c r="AE6" s="2"/>
      <c r="AF6" s="2"/>
      <c r="AG6" s="2"/>
      <c r="AH6" s="2"/>
      <c r="AI6" s="2"/>
      <c r="AJ6" s="2"/>
      <c r="AK6" s="2"/>
      <c r="AL6" s="2"/>
      <c r="AM6" s="2"/>
      <c r="AN6" s="2"/>
      <c r="AO6" s="2"/>
      <c r="AP6" s="2"/>
    </row>
    <row r="7" spans="1:42" ht="12.75" customHeight="1">
      <c r="A7" s="1" t="s">
        <v>741</v>
      </c>
      <c r="B7" s="2"/>
      <c r="C7" s="112"/>
      <c r="D7" s="77"/>
      <c r="E7" s="2"/>
      <c r="F7" s="2"/>
      <c r="G7" s="2"/>
      <c r="H7" s="2"/>
      <c r="I7" s="112"/>
      <c r="J7" s="61"/>
      <c r="K7" s="2"/>
      <c r="L7" s="2"/>
      <c r="O7" s="2"/>
      <c r="S7" s="2"/>
      <c r="T7" s="2"/>
      <c r="U7" s="2"/>
      <c r="V7" s="2"/>
      <c r="W7" s="2"/>
      <c r="X7" s="2"/>
      <c r="Y7" s="2"/>
      <c r="Z7" s="2"/>
      <c r="AA7" s="2"/>
      <c r="AB7" s="2"/>
      <c r="AC7" s="2"/>
      <c r="AD7" s="2"/>
      <c r="AE7" s="2"/>
      <c r="AF7" s="2"/>
      <c r="AG7" s="2"/>
      <c r="AH7" s="2"/>
      <c r="AI7" s="2"/>
      <c r="AJ7" s="2"/>
      <c r="AK7" s="2"/>
      <c r="AL7" s="2"/>
      <c r="AM7" s="2"/>
      <c r="AN7" s="2"/>
      <c r="AO7" s="2"/>
      <c r="AP7" s="2"/>
    </row>
    <row r="8" spans="1:42" ht="12.75" customHeight="1">
      <c r="A8" s="334" t="s">
        <v>514</v>
      </c>
      <c r="B8" s="2"/>
      <c r="C8" s="1207">
        <v>148.98699999999999</v>
      </c>
      <c r="D8" s="858">
        <f>BYD!AN10</f>
        <v>151.83600000000001</v>
      </c>
      <c r="E8" s="1202"/>
      <c r="F8" s="1205">
        <f>C8-D8</f>
        <v>-2.849000000000018</v>
      </c>
      <c r="G8" s="126">
        <f t="shared" ref="G8:G13" si="0">IF(D8=0,0,C8/D8-1)</f>
        <v>-1.8763666060749862E-2</v>
      </c>
      <c r="H8" s="1205"/>
      <c r="I8" s="1207">
        <v>154.11354</v>
      </c>
      <c r="J8" s="1202"/>
      <c r="K8" s="313">
        <f>C8-I8</f>
        <v>-5.1265400000000056</v>
      </c>
      <c r="L8" s="1204">
        <f>IF(I8=0,"NM",C8/I8-1)</f>
        <v>-3.3264695626354479E-2</v>
      </c>
      <c r="O8" s="2"/>
      <c r="S8" s="2"/>
      <c r="T8" s="2"/>
      <c r="U8" s="2"/>
      <c r="V8" s="2"/>
      <c r="W8" s="2"/>
      <c r="X8" s="2"/>
      <c r="Y8" s="2"/>
      <c r="Z8" s="2"/>
      <c r="AA8" s="2"/>
      <c r="AB8" s="2"/>
      <c r="AC8" s="2"/>
      <c r="AD8" s="2"/>
      <c r="AE8" s="2"/>
      <c r="AF8" s="2"/>
      <c r="AG8" s="2"/>
      <c r="AH8" s="2"/>
      <c r="AI8" s="2"/>
      <c r="AJ8" s="2"/>
      <c r="AK8" s="2"/>
      <c r="AL8" s="2"/>
      <c r="AM8" s="2"/>
      <c r="AN8" s="2"/>
      <c r="AO8" s="2"/>
      <c r="AP8" s="2"/>
    </row>
    <row r="9" spans="1:42" ht="12.75" customHeight="1">
      <c r="A9" s="334" t="s">
        <v>515</v>
      </c>
      <c r="B9" s="61"/>
      <c r="C9" s="1104">
        <v>55.939</v>
      </c>
      <c r="D9" s="104">
        <f>BYD!AN11</f>
        <v>56.585000000000001</v>
      </c>
      <c r="E9" s="1103"/>
      <c r="F9" s="374">
        <f>C9-D9</f>
        <v>-0.6460000000000008</v>
      </c>
      <c r="G9" s="95">
        <f t="shared" si="0"/>
        <v>-1.1416453123619386E-2</v>
      </c>
      <c r="H9" s="61"/>
      <c r="I9" s="1104">
        <v>57.716700000000003</v>
      </c>
      <c r="J9" s="1103"/>
      <c r="K9" s="374">
        <f>C9-I9</f>
        <v>-1.7777000000000029</v>
      </c>
      <c r="L9" s="92">
        <f>IF(I9=0,"NM",C9/I9-1)</f>
        <v>-3.0800444238842539E-2</v>
      </c>
      <c r="O9" s="2"/>
      <c r="S9" s="2"/>
      <c r="T9" s="2"/>
      <c r="U9" s="2"/>
      <c r="V9" s="2"/>
      <c r="W9" s="2"/>
      <c r="X9" s="2"/>
      <c r="Y9" s="2"/>
      <c r="Z9" s="2"/>
      <c r="AA9" s="2"/>
      <c r="AB9" s="2"/>
      <c r="AC9" s="2"/>
      <c r="AD9" s="2"/>
      <c r="AE9" s="2"/>
      <c r="AF9" s="2"/>
      <c r="AG9" s="2"/>
      <c r="AH9" s="2"/>
      <c r="AI9" s="2"/>
      <c r="AJ9" s="2"/>
      <c r="AK9" s="2"/>
      <c r="AL9" s="2"/>
      <c r="AM9" s="2"/>
      <c r="AN9" s="2"/>
      <c r="AO9" s="2"/>
      <c r="AP9" s="2"/>
    </row>
    <row r="10" spans="1:42" ht="12.75" customHeight="1">
      <c r="A10" s="334" t="s">
        <v>516</v>
      </c>
      <c r="B10" s="61"/>
      <c r="C10" s="1104">
        <v>233.72800000000001</v>
      </c>
      <c r="D10" s="104">
        <f>BYD!AN13</f>
        <v>181.751</v>
      </c>
      <c r="E10" s="1103"/>
      <c r="F10" s="374">
        <f>C10-D10</f>
        <v>51.977000000000004</v>
      </c>
      <c r="G10" s="95">
        <f t="shared" si="0"/>
        <v>0.28597916930305756</v>
      </c>
      <c r="H10" s="61"/>
      <c r="I10" s="1104">
        <v>244.62063046745359</v>
      </c>
      <c r="J10" s="1103"/>
      <c r="K10" s="374">
        <f>C10-I10</f>
        <v>-10.892630467453586</v>
      </c>
      <c r="L10" s="92">
        <f>IF(I10=0,"NM",C10/I10-1)</f>
        <v>-4.4528666476897349E-2</v>
      </c>
      <c r="M10" s="1403"/>
      <c r="N10" s="1403"/>
      <c r="O10" s="2"/>
      <c r="Q10" s="1403"/>
      <c r="S10" s="2"/>
      <c r="T10" s="2"/>
      <c r="U10" s="2"/>
      <c r="V10" s="2"/>
      <c r="W10" s="2"/>
      <c r="X10" s="2"/>
      <c r="Y10" s="2"/>
      <c r="Z10" s="2"/>
      <c r="AA10" s="2"/>
      <c r="AB10" s="2"/>
      <c r="AC10" s="2"/>
      <c r="AD10" s="2"/>
      <c r="AE10" s="2"/>
      <c r="AF10" s="2"/>
      <c r="AG10" s="2"/>
      <c r="AH10" s="2"/>
      <c r="AI10" s="2"/>
      <c r="AJ10" s="2"/>
      <c r="AK10" s="2"/>
      <c r="AL10" s="2"/>
      <c r="AM10" s="2"/>
      <c r="AN10" s="2"/>
      <c r="AO10" s="2"/>
      <c r="AP10" s="2"/>
    </row>
    <row r="11" spans="1:42" ht="12.75" customHeight="1">
      <c r="A11" s="334" t="s">
        <v>273</v>
      </c>
      <c r="B11" s="61"/>
      <c r="C11" s="1104">
        <v>175.416</v>
      </c>
      <c r="D11" s="104">
        <f>BYD!AN906</f>
        <v>182.756</v>
      </c>
      <c r="E11" s="1103"/>
      <c r="F11" s="374">
        <f>C11-D11</f>
        <v>-7.3400000000000034</v>
      </c>
      <c r="G11" s="95">
        <f t="shared" si="0"/>
        <v>-4.0162840070914196E-2</v>
      </c>
      <c r="H11" s="61"/>
      <c r="I11" s="1104">
        <v>164.19669129000002</v>
      </c>
      <c r="J11" s="1103"/>
      <c r="K11" s="374">
        <f>C11-I11</f>
        <v>11.219308709999979</v>
      </c>
      <c r="L11" s="92">
        <f>IF(I11=0,"NM",C11/I11-1)</f>
        <v>6.8328470091913784E-2</v>
      </c>
      <c r="O11" s="2"/>
      <c r="S11" s="2"/>
      <c r="T11" s="2"/>
      <c r="U11" s="2"/>
      <c r="V11" s="2"/>
      <c r="W11" s="2"/>
      <c r="X11" s="2"/>
      <c r="Y11" s="2"/>
      <c r="Z11" s="2"/>
      <c r="AA11" s="2"/>
      <c r="AB11" s="2"/>
      <c r="AC11" s="2"/>
      <c r="AD11" s="2"/>
      <c r="AE11" s="2"/>
      <c r="AF11" s="2"/>
      <c r="AG11" s="2"/>
      <c r="AH11" s="2"/>
      <c r="AI11" s="2"/>
      <c r="AJ11" s="2"/>
      <c r="AK11" s="2"/>
      <c r="AL11" s="2"/>
      <c r="AM11" s="2"/>
      <c r="AN11" s="2"/>
      <c r="AO11" s="2"/>
      <c r="AP11" s="2"/>
    </row>
    <row r="12" spans="1:42" ht="12.75" customHeight="1">
      <c r="A12" s="334" t="s">
        <v>1790</v>
      </c>
      <c r="B12" s="61"/>
      <c r="C12" s="1104">
        <v>1.1519999999999999</v>
      </c>
      <c r="D12" s="104">
        <v>1.5049999999999999</v>
      </c>
      <c r="E12" s="1103"/>
      <c r="F12" s="374">
        <f>C12-D12</f>
        <v>-0.35299999999999998</v>
      </c>
      <c r="G12" s="95">
        <f t="shared" si="0"/>
        <v>-0.23455149501661132</v>
      </c>
      <c r="H12" s="61"/>
      <c r="I12" s="1104">
        <v>0</v>
      </c>
      <c r="J12" s="1103"/>
      <c r="K12" s="374">
        <f>C12-I12</f>
        <v>1.1519999999999999</v>
      </c>
      <c r="L12" s="92" t="str">
        <f>IF(I12=0,"NM",C12/I12-1)</f>
        <v>NM</v>
      </c>
      <c r="O12" s="2"/>
      <c r="S12" s="2"/>
      <c r="T12" s="2"/>
      <c r="U12" s="2"/>
      <c r="V12" s="2"/>
      <c r="W12" s="2"/>
      <c r="X12" s="2"/>
      <c r="Y12" s="2"/>
      <c r="Z12" s="2"/>
      <c r="AA12" s="2"/>
      <c r="AB12" s="2"/>
      <c r="AC12" s="2"/>
      <c r="AD12" s="2"/>
      <c r="AE12" s="2"/>
      <c r="AF12" s="2"/>
      <c r="AG12" s="2"/>
      <c r="AH12" s="2"/>
      <c r="AI12" s="2"/>
      <c r="AJ12" s="2"/>
      <c r="AK12" s="2"/>
      <c r="AL12" s="2"/>
      <c r="AM12" s="2"/>
      <c r="AN12" s="2"/>
      <c r="AO12" s="2"/>
      <c r="AP12" s="2"/>
    </row>
    <row r="13" spans="1:42" ht="12.75" customHeight="1">
      <c r="A13" s="138" t="s">
        <v>813</v>
      </c>
      <c r="B13" s="1203"/>
      <c r="C13" s="1209">
        <f>SUM(C7:C12)</f>
        <v>615.22199999999998</v>
      </c>
      <c r="D13" s="1210">
        <f>SUM(D8:D11)</f>
        <v>572.928</v>
      </c>
      <c r="E13" s="1210"/>
      <c r="F13" s="1210">
        <f>SUM(F8:F12)</f>
        <v>40.78899999999998</v>
      </c>
      <c r="G13" s="1208">
        <f t="shared" si="0"/>
        <v>7.3820794235924803E-2</v>
      </c>
      <c r="H13" s="1206"/>
      <c r="I13" s="1209">
        <f>+SUM(I8:I12)</f>
        <v>620.64756175745356</v>
      </c>
      <c r="J13" s="1210"/>
      <c r="K13" s="1210">
        <f>SUM(K8:K12)</f>
        <v>-5.4255617574536155</v>
      </c>
      <c r="L13" s="1211">
        <f>C13/I13-1</f>
        <v>-8.74177567392731E-3</v>
      </c>
      <c r="M13">
        <f>+C13-47.3</f>
        <v>567.92200000000003</v>
      </c>
      <c r="N13" s="1312">
        <f>+M13/D13-1</f>
        <v>-8.7375726094727213E-3</v>
      </c>
      <c r="O13" s="1102">
        <v>623.97</v>
      </c>
      <c r="P13" s="1299"/>
      <c r="Q13" s="1617"/>
      <c r="S13" s="2"/>
      <c r="T13" s="2"/>
      <c r="U13" s="2"/>
      <c r="V13" s="2"/>
      <c r="W13" s="2"/>
      <c r="X13" s="2"/>
      <c r="Y13" s="2"/>
      <c r="Z13" s="2"/>
      <c r="AA13" s="2"/>
      <c r="AB13" s="2"/>
      <c r="AC13" s="2"/>
      <c r="AD13" s="2"/>
      <c r="AE13" s="2"/>
      <c r="AF13" s="2"/>
      <c r="AG13" s="2"/>
      <c r="AH13" s="2"/>
      <c r="AI13" s="2"/>
      <c r="AJ13" s="2"/>
      <c r="AK13" s="2"/>
      <c r="AL13" s="2"/>
      <c r="AM13" s="2"/>
      <c r="AN13" s="2"/>
      <c r="AO13" s="2"/>
      <c r="AP13" s="2"/>
    </row>
    <row r="14" spans="1:42" ht="12.75" customHeight="1">
      <c r="A14" s="61"/>
      <c r="B14" s="61"/>
      <c r="C14" s="129"/>
      <c r="D14" s="77"/>
      <c r="E14" s="61"/>
      <c r="F14" s="61"/>
      <c r="G14" s="1139"/>
      <c r="H14" s="61"/>
      <c r="I14" s="115"/>
      <c r="J14" s="61"/>
      <c r="K14" s="61"/>
      <c r="L14" s="1212"/>
      <c r="O14" s="1647"/>
      <c r="S14" s="2"/>
      <c r="T14" s="2"/>
      <c r="U14" s="2"/>
      <c r="V14" s="2"/>
      <c r="W14" s="2"/>
      <c r="X14" s="2"/>
      <c r="Y14" s="2"/>
      <c r="Z14" s="2"/>
      <c r="AA14" s="2"/>
      <c r="AB14" s="2"/>
      <c r="AC14" s="2"/>
      <c r="AD14" s="2"/>
      <c r="AE14" s="2"/>
      <c r="AF14" s="2"/>
      <c r="AG14" s="2"/>
      <c r="AH14" s="2"/>
      <c r="AI14" s="2"/>
      <c r="AJ14" s="2"/>
      <c r="AK14" s="2"/>
      <c r="AL14" s="2"/>
      <c r="AM14" s="2"/>
      <c r="AN14" s="2"/>
      <c r="AO14" s="2"/>
      <c r="AP14" s="2"/>
    </row>
    <row r="15" spans="1:42" ht="12.75" customHeight="1">
      <c r="A15" s="107" t="s">
        <v>401</v>
      </c>
      <c r="B15" s="61"/>
      <c r="C15" s="112"/>
      <c r="D15" s="1390"/>
      <c r="E15" s="61"/>
      <c r="F15" s="61"/>
      <c r="G15" s="1139"/>
      <c r="H15" s="61"/>
      <c r="I15" s="115"/>
      <c r="J15" s="61"/>
      <c r="K15" s="61"/>
      <c r="L15" s="1212"/>
      <c r="O15" s="2"/>
      <c r="S15" s="2"/>
      <c r="T15" s="2"/>
      <c r="U15" s="2"/>
      <c r="V15" s="2"/>
      <c r="W15" s="2"/>
      <c r="X15" s="2"/>
      <c r="Y15" s="2"/>
      <c r="Z15" s="2"/>
      <c r="AA15" s="2"/>
      <c r="AB15" s="2"/>
      <c r="AC15" s="2"/>
      <c r="AD15" s="2"/>
      <c r="AE15" s="2"/>
      <c r="AF15" s="2"/>
      <c r="AG15" s="2"/>
      <c r="AH15" s="2"/>
      <c r="AI15" s="2"/>
      <c r="AJ15" s="2"/>
      <c r="AK15" s="2"/>
      <c r="AL15" s="2"/>
      <c r="AM15" s="2"/>
      <c r="AN15" s="2"/>
      <c r="AO15" s="2"/>
      <c r="AP15" s="2"/>
    </row>
    <row r="16" spans="1:42" ht="12.75" customHeight="1">
      <c r="A16" s="334" t="s">
        <v>514</v>
      </c>
      <c r="B16" s="61"/>
      <c r="C16" s="1104">
        <v>34.534999999999997</v>
      </c>
      <c r="D16" s="104">
        <f>BYD!AN38</f>
        <v>38.57</v>
      </c>
      <c r="E16" s="1103"/>
      <c r="F16" s="374">
        <f>C16-D16</f>
        <v>-4.0350000000000037</v>
      </c>
      <c r="G16" s="95">
        <f t="shared" ref="G16:G33" si="1">IF(D16=0,0,C16/D16-1)</f>
        <v>-0.10461498574021266</v>
      </c>
      <c r="H16" s="61"/>
      <c r="I16" s="1104">
        <v>39.488347999999974</v>
      </c>
      <c r="J16" s="1103"/>
      <c r="K16" s="374">
        <f>C16-I16</f>
        <v>-4.953347999999977</v>
      </c>
      <c r="L16" s="92">
        <f>IF(I16=0,"NM",C16/I16-1)</f>
        <v>-0.12543821787632092</v>
      </c>
      <c r="N16" s="1403"/>
      <c r="O16" s="2"/>
      <c r="S16" s="2"/>
      <c r="T16" s="2"/>
      <c r="U16" s="2"/>
      <c r="V16" s="2"/>
      <c r="W16" s="2"/>
      <c r="X16" s="2"/>
      <c r="Y16" s="2"/>
      <c r="Z16" s="2"/>
      <c r="AA16" s="2"/>
      <c r="AB16" s="2"/>
      <c r="AC16" s="2"/>
      <c r="AD16" s="2"/>
      <c r="AE16" s="2"/>
      <c r="AF16" s="2"/>
      <c r="AG16" s="2"/>
      <c r="AH16" s="2"/>
      <c r="AI16" s="2"/>
      <c r="AJ16" s="2"/>
      <c r="AK16" s="2"/>
      <c r="AL16" s="2"/>
      <c r="AM16" s="2"/>
      <c r="AN16" s="2"/>
      <c r="AO16" s="2"/>
      <c r="AP16" s="2"/>
    </row>
    <row r="17" spans="1:42" ht="12.75" customHeight="1">
      <c r="A17" s="334" t="s">
        <v>515</v>
      </c>
      <c r="B17" s="61"/>
      <c r="C17" s="1104">
        <v>8.109</v>
      </c>
      <c r="D17" s="104">
        <f>BYD!AN39</f>
        <v>9.3659999999999997</v>
      </c>
      <c r="E17" s="1103"/>
      <c r="F17" s="374">
        <f>C17-D17</f>
        <v>-1.2569999999999997</v>
      </c>
      <c r="G17" s="95">
        <f t="shared" si="1"/>
        <v>-0.13420884048686732</v>
      </c>
      <c r="H17" s="61"/>
      <c r="I17" s="1104">
        <v>8.5608527581329597</v>
      </c>
      <c r="J17" s="1103"/>
      <c r="K17" s="374">
        <f>C17-I17</f>
        <v>-0.45185275813295966</v>
      </c>
      <c r="L17" s="92">
        <f>IF(I17=0,"NM",C17/I17-1)</f>
        <v>-5.2781279026635763E-2</v>
      </c>
      <c r="N17" s="1403"/>
      <c r="O17" s="2"/>
      <c r="S17" s="2"/>
      <c r="T17" s="2"/>
      <c r="U17" s="2"/>
      <c r="V17" s="2"/>
      <c r="W17" s="2"/>
      <c r="X17" s="2"/>
      <c r="Y17" s="2"/>
      <c r="Z17" s="2"/>
      <c r="AA17" s="2"/>
      <c r="AB17" s="2"/>
      <c r="AC17" s="2"/>
      <c r="AD17" s="2"/>
      <c r="AE17" s="2"/>
      <c r="AF17" s="2"/>
      <c r="AG17" s="2"/>
      <c r="AH17" s="2"/>
      <c r="AI17" s="2"/>
      <c r="AJ17" s="2"/>
      <c r="AK17" s="2"/>
      <c r="AL17" s="2"/>
      <c r="AM17" s="2"/>
      <c r="AN17" s="2"/>
      <c r="AO17" s="2"/>
      <c r="AP17" s="2"/>
    </row>
    <row r="18" spans="1:42" ht="12.75" customHeight="1">
      <c r="A18" s="334" t="s">
        <v>516</v>
      </c>
      <c r="B18" s="61"/>
      <c r="C18" s="1104">
        <v>51.003</v>
      </c>
      <c r="D18" s="104">
        <f>BYD!AN41</f>
        <v>42.276000000000003</v>
      </c>
      <c r="E18" s="1103"/>
      <c r="F18" s="374">
        <f>C18-D18</f>
        <v>8.7269999999999968</v>
      </c>
      <c r="G18" s="95">
        <f t="shared" si="1"/>
        <v>0.20642917967641194</v>
      </c>
      <c r="H18" s="61"/>
      <c r="I18" s="1104">
        <v>58.869255467453598</v>
      </c>
      <c r="J18" s="1103"/>
      <c r="K18" s="374">
        <f>C18-I18</f>
        <v>-7.8662554674535983</v>
      </c>
      <c r="L18" s="92">
        <f>IF(I18=0,"NM",C18/I18-1)</f>
        <v>-0.13362247246022207</v>
      </c>
      <c r="M18">
        <f>+C18-11.5</f>
        <v>39.503</v>
      </c>
      <c r="N18" s="1404">
        <f>+M18/D18-1</f>
        <v>-6.5592771312328546E-2</v>
      </c>
      <c r="O18" s="2"/>
      <c r="Q18" s="1403"/>
      <c r="S18" s="105">
        <f>125/140-1</f>
        <v>-0.1071428571428571</v>
      </c>
      <c r="T18" s="2"/>
      <c r="U18" s="2"/>
      <c r="V18" s="2"/>
      <c r="W18" s="2"/>
      <c r="X18" s="2"/>
      <c r="Y18" s="2"/>
      <c r="Z18" s="2"/>
      <c r="AA18" s="2"/>
      <c r="AB18" s="2"/>
      <c r="AC18" s="2"/>
      <c r="AD18" s="2"/>
      <c r="AE18" s="2"/>
      <c r="AF18" s="2"/>
      <c r="AG18" s="2"/>
      <c r="AH18" s="2"/>
      <c r="AI18" s="2"/>
      <c r="AJ18" s="2"/>
      <c r="AK18" s="2"/>
      <c r="AL18" s="2"/>
      <c r="AM18" s="2"/>
      <c r="AN18" s="2"/>
      <c r="AO18" s="2"/>
      <c r="AP18" s="2"/>
    </row>
    <row r="19" spans="1:42" ht="12.75" customHeight="1">
      <c r="A19" s="334" t="s">
        <v>273</v>
      </c>
      <c r="B19" s="61"/>
      <c r="C19" s="1104">
        <v>30.734999999999999</v>
      </c>
      <c r="D19" s="104">
        <f>BYD!AN927</f>
        <v>38.657000000000011</v>
      </c>
      <c r="E19" s="1103"/>
      <c r="F19" s="374">
        <f>C19-D19</f>
        <v>-7.9220000000000113</v>
      </c>
      <c r="G19" s="95">
        <f t="shared" si="1"/>
        <v>-0.204930542980573</v>
      </c>
      <c r="H19" s="61"/>
      <c r="I19" s="1104">
        <v>34.44170265982504</v>
      </c>
      <c r="J19" s="1103"/>
      <c r="K19" s="374">
        <f>C19-I19</f>
        <v>-3.7067026598250408</v>
      </c>
      <c r="L19" s="92">
        <f>IF(I19=0,"NM",C19/I19-1)</f>
        <v>-0.10762251496203679</v>
      </c>
      <c r="M19" s="1617"/>
      <c r="N19" s="1444"/>
      <c r="O19" s="2"/>
      <c r="Q19" s="1087" t="s">
        <v>595</v>
      </c>
      <c r="S19" s="2"/>
      <c r="T19" s="2"/>
      <c r="U19" s="2"/>
      <c r="V19" s="2"/>
      <c r="W19" s="2"/>
      <c r="X19" s="2"/>
      <c r="Y19" s="2"/>
      <c r="Z19" s="2"/>
      <c r="AA19" s="2"/>
      <c r="AB19" s="2"/>
      <c r="AC19" s="2"/>
      <c r="AD19" s="2"/>
      <c r="AE19" s="2"/>
      <c r="AF19" s="2"/>
      <c r="AG19" s="2"/>
      <c r="AH19" s="2"/>
      <c r="AI19" s="2"/>
      <c r="AJ19" s="2"/>
      <c r="AK19" s="2"/>
      <c r="AL19" s="2"/>
      <c r="AM19" s="2"/>
      <c r="AN19" s="2"/>
      <c r="AO19" s="2"/>
      <c r="AP19" s="2"/>
    </row>
    <row r="20" spans="1:42" ht="12.75" customHeight="1">
      <c r="A20" s="138" t="s">
        <v>819</v>
      </c>
      <c r="B20" s="1203"/>
      <c r="C20" s="1209">
        <f>SUM(C16:C19)</f>
        <v>124.38199999999999</v>
      </c>
      <c r="D20" s="1210">
        <f>SUM(D16:D19)</f>
        <v>128.86900000000003</v>
      </c>
      <c r="E20" s="1210"/>
      <c r="F20" s="1210">
        <f>SUM(F16:F19)</f>
        <v>-4.4870000000000179</v>
      </c>
      <c r="G20" s="1208">
        <f t="shared" si="1"/>
        <v>-3.4818303858957789E-2</v>
      </c>
      <c r="H20" s="1206"/>
      <c r="I20" s="1209">
        <f>+SUM(I16:I19)</f>
        <v>141.36015888541158</v>
      </c>
      <c r="J20" s="1210"/>
      <c r="K20" s="1210">
        <f>SUM(K16:K18)</f>
        <v>-13.271456225586535</v>
      </c>
      <c r="L20" s="1211">
        <f>C20/I20-1</f>
        <v>-0.12010568620805184</v>
      </c>
      <c r="M20">
        <f>+C20-11.5</f>
        <v>112.88199999999999</v>
      </c>
      <c r="N20" s="1312">
        <f>+M20/D20-1</f>
        <v>-0.12405621212238815</v>
      </c>
      <c r="O20" s="2"/>
      <c r="S20" s="2"/>
      <c r="T20" s="2"/>
      <c r="U20" s="2"/>
      <c r="V20" s="2"/>
      <c r="W20" s="2"/>
      <c r="X20" s="2"/>
      <c r="Y20" s="2"/>
      <c r="Z20" s="2"/>
      <c r="AA20" s="2"/>
      <c r="AB20" s="2"/>
      <c r="AC20" s="2"/>
      <c r="AD20" s="2"/>
      <c r="AE20" s="2"/>
      <c r="AF20" s="2"/>
      <c r="AG20" s="2"/>
      <c r="AH20" s="2"/>
      <c r="AI20" s="2"/>
      <c r="AJ20" s="2"/>
      <c r="AK20" s="2"/>
      <c r="AL20" s="2"/>
      <c r="AM20" s="2"/>
      <c r="AN20" s="2"/>
      <c r="AO20" s="2"/>
      <c r="AP20" s="2"/>
    </row>
    <row r="21" spans="1:42" ht="12.75" customHeight="1">
      <c r="A21" s="2" t="s">
        <v>742</v>
      </c>
      <c r="B21" s="2"/>
      <c r="C21" s="1104">
        <v>-10.547000000000001</v>
      </c>
      <c r="D21" s="104">
        <f>BYD!AN54</f>
        <v>-10.457000000000001</v>
      </c>
      <c r="E21" s="1103"/>
      <c r="F21" s="374">
        <f>C21-D21</f>
        <v>-8.9999999999999858E-2</v>
      </c>
      <c r="G21" s="126">
        <f t="shared" si="1"/>
        <v>8.6066749545758992E-3</v>
      </c>
      <c r="H21" s="2"/>
      <c r="I21" s="1104">
        <v>-11.241275</v>
      </c>
      <c r="J21" s="1103"/>
      <c r="K21" s="374">
        <f>C21-I21</f>
        <v>0.69427499999999931</v>
      </c>
      <c r="L21" s="1204">
        <f>IF(I21=0,"NM",C21/I21-1)</f>
        <v>-6.1761232600394456E-2</v>
      </c>
      <c r="O21" s="2"/>
      <c r="S21" s="2"/>
      <c r="T21" s="2"/>
      <c r="U21" s="2"/>
      <c r="V21" s="2"/>
      <c r="W21" s="2"/>
      <c r="X21" s="2"/>
      <c r="Y21" s="2"/>
      <c r="Z21" s="2"/>
      <c r="AA21" s="2"/>
      <c r="AB21" s="2"/>
      <c r="AC21" s="2"/>
      <c r="AD21" s="2"/>
      <c r="AE21" s="2"/>
      <c r="AF21" s="2"/>
      <c r="AG21" s="2"/>
      <c r="AH21" s="2"/>
      <c r="AI21" s="2"/>
      <c r="AJ21" s="2"/>
      <c r="AK21" s="2"/>
      <c r="AL21" s="2"/>
      <c r="AM21" s="2"/>
      <c r="AN21" s="2"/>
      <c r="AO21" s="2"/>
      <c r="AP21" s="2"/>
    </row>
    <row r="22" spans="1:42" ht="12.75" customHeight="1">
      <c r="A22" s="138" t="s">
        <v>555</v>
      </c>
      <c r="B22" s="1203"/>
      <c r="C22" s="1209">
        <f>C20+C21</f>
        <v>113.83499999999999</v>
      </c>
      <c r="D22" s="1210">
        <f>SUM(D20:D21)</f>
        <v>118.41200000000003</v>
      </c>
      <c r="E22" s="1210"/>
      <c r="F22" s="1210">
        <f>F20+F21</f>
        <v>-4.5770000000000177</v>
      </c>
      <c r="G22" s="1208">
        <f t="shared" si="1"/>
        <v>-3.8653177042867637E-2</v>
      </c>
      <c r="H22" s="1210"/>
      <c r="I22" s="1209">
        <f>+SUM(I20:I21)</f>
        <v>130.11888388541158</v>
      </c>
      <c r="J22" s="1210"/>
      <c r="K22" s="1210">
        <f>K20+K21</f>
        <v>-12.577181225586536</v>
      </c>
      <c r="L22" s="1254">
        <f>IF(I22=0,"NM",C22/I22-1)</f>
        <v>-0.12514620014533706</v>
      </c>
      <c r="M22" s="1442"/>
      <c r="N22" s="1442"/>
      <c r="O22" s="1102">
        <v>129.75</v>
      </c>
      <c r="P22" s="1299"/>
      <c r="Q22" s="1087" t="s">
        <v>596</v>
      </c>
      <c r="S22" s="2"/>
      <c r="T22" s="2"/>
      <c r="U22" s="2"/>
      <c r="V22" s="2"/>
      <c r="W22" s="2"/>
      <c r="X22" s="2"/>
      <c r="Y22" s="2"/>
      <c r="Z22" s="2"/>
      <c r="AA22" s="2"/>
      <c r="AB22" s="2"/>
      <c r="AC22" s="2"/>
      <c r="AD22" s="2"/>
      <c r="AE22" s="2"/>
      <c r="AF22" s="2"/>
      <c r="AG22" s="2"/>
      <c r="AH22" s="2"/>
      <c r="AI22" s="2"/>
      <c r="AJ22" s="2"/>
      <c r="AK22" s="2"/>
      <c r="AL22" s="2"/>
      <c r="AM22" s="2"/>
      <c r="AN22" s="2"/>
      <c r="AO22" s="2"/>
      <c r="AP22" s="2"/>
    </row>
    <row r="23" spans="1:42" ht="12.75" customHeight="1">
      <c r="A23" s="439" t="s">
        <v>1745</v>
      </c>
      <c r="B23" s="2"/>
      <c r="C23" s="432">
        <v>2.8370000000000002</v>
      </c>
      <c r="D23" s="374">
        <f>BYD!AN65</f>
        <v>2.14</v>
      </c>
      <c r="E23" s="1103"/>
      <c r="F23" s="374">
        <f>C23-D23</f>
        <v>0.69700000000000006</v>
      </c>
      <c r="G23" s="126">
        <f t="shared" si="1"/>
        <v>0.32570093457943927</v>
      </c>
      <c r="H23" s="2"/>
      <c r="I23" s="432">
        <v>3.1160000000000001</v>
      </c>
      <c r="J23" s="1103"/>
      <c r="K23" s="374">
        <f t="shared" ref="K23:K33" si="2">C23-I23</f>
        <v>-0.27899999999999991</v>
      </c>
      <c r="L23" s="1204">
        <f>IF(I23=0,"NM",C23/I23-1)</f>
        <v>-8.9537869062901176E-2</v>
      </c>
      <c r="M23" s="1443"/>
      <c r="N23" s="1646"/>
      <c r="O23" s="2"/>
      <c r="S23" s="2"/>
      <c r="T23" s="2"/>
      <c r="U23" s="2"/>
      <c r="V23" s="2"/>
      <c r="W23" s="2"/>
      <c r="X23" s="2"/>
      <c r="Y23" s="2"/>
      <c r="Z23" s="2"/>
      <c r="AA23" s="2"/>
      <c r="AB23" s="2"/>
      <c r="AC23" s="2"/>
      <c r="AD23" s="2"/>
      <c r="AE23" s="2"/>
      <c r="AF23" s="2"/>
      <c r="AG23" s="2"/>
      <c r="AH23" s="2"/>
      <c r="AI23" s="2"/>
      <c r="AJ23" s="2"/>
      <c r="AK23" s="2"/>
      <c r="AL23" s="2"/>
      <c r="AM23" s="2"/>
      <c r="AN23" s="2"/>
      <c r="AO23" s="2"/>
      <c r="AP23" s="2"/>
    </row>
    <row r="24" spans="1:42" ht="12.75" customHeight="1">
      <c r="A24" s="439" t="s">
        <v>201</v>
      </c>
      <c r="B24" s="2"/>
      <c r="C24" s="432">
        <v>0.996</v>
      </c>
      <c r="D24" s="374">
        <f>BYD!AN66</f>
        <v>1.032</v>
      </c>
      <c r="E24" s="1103"/>
      <c r="F24" s="374">
        <f>C24-D24</f>
        <v>-3.6000000000000032E-2</v>
      </c>
      <c r="G24" s="126">
        <f t="shared" si="1"/>
        <v>-3.488372093023262E-2</v>
      </c>
      <c r="H24" s="2"/>
      <c r="I24" s="432">
        <v>1.03</v>
      </c>
      <c r="J24" s="1103"/>
      <c r="K24" s="374">
        <f t="shared" si="2"/>
        <v>-3.400000000000003E-2</v>
      </c>
      <c r="L24" s="1204">
        <f>IF(I24=0,"NM",C24/I24-1)</f>
        <v>-3.300970873786413E-2</v>
      </c>
      <c r="N24" s="1444"/>
      <c r="O24" s="1444"/>
      <c r="S24" s="2"/>
      <c r="T24" s="2"/>
      <c r="U24" s="2"/>
      <c r="V24" s="2"/>
      <c r="W24" s="2"/>
      <c r="X24" s="2"/>
      <c r="Y24" s="2"/>
      <c r="Z24" s="2"/>
      <c r="AA24" s="2"/>
      <c r="AB24" s="2"/>
      <c r="AC24" s="2"/>
      <c r="AD24" s="2"/>
      <c r="AE24" s="2"/>
      <c r="AF24" s="2"/>
      <c r="AG24" s="2"/>
      <c r="AH24" s="2"/>
      <c r="AI24" s="2"/>
      <c r="AJ24" s="2"/>
      <c r="AK24" s="2"/>
      <c r="AL24" s="2"/>
      <c r="AM24" s="2"/>
      <c r="AN24" s="2"/>
      <c r="AO24" s="2"/>
      <c r="AP24" s="2"/>
    </row>
    <row r="25" spans="1:42" ht="12.75" customHeight="1">
      <c r="A25" s="1693" t="s">
        <v>202</v>
      </c>
      <c r="B25" s="2"/>
      <c r="C25" s="432">
        <v>50.701999999999998</v>
      </c>
      <c r="D25" s="374">
        <f>BYD!AN67</f>
        <v>48.488</v>
      </c>
      <c r="E25" s="1103"/>
      <c r="F25" s="374">
        <f>C25-D25</f>
        <v>2.2139999999999986</v>
      </c>
      <c r="G25" s="126">
        <f t="shared" si="1"/>
        <v>4.5660782049166793E-2</v>
      </c>
      <c r="H25" s="2"/>
      <c r="I25" s="432">
        <v>50.014000000000003</v>
      </c>
      <c r="J25" s="1103"/>
      <c r="K25" s="374">
        <f t="shared" si="2"/>
        <v>0.68799999999999528</v>
      </c>
      <c r="L25" s="1204">
        <f>IF(I25=0,"NM",C25/I25-1)</f>
        <v>1.3756148278482039E-2</v>
      </c>
      <c r="O25" s="2"/>
      <c r="S25" s="2"/>
      <c r="T25" s="2"/>
      <c r="U25" s="2"/>
      <c r="V25" s="2"/>
      <c r="W25" s="2"/>
      <c r="X25" s="2"/>
      <c r="Y25" s="2"/>
      <c r="Z25" s="2"/>
      <c r="AA25" s="2"/>
      <c r="AB25" s="2"/>
      <c r="AC25" s="2"/>
      <c r="AD25" s="2"/>
      <c r="AE25" s="2"/>
      <c r="AF25" s="2"/>
      <c r="AG25" s="2"/>
      <c r="AH25" s="2"/>
      <c r="AI25" s="2"/>
      <c r="AJ25" s="2"/>
      <c r="AK25" s="2"/>
      <c r="AL25" s="2"/>
      <c r="AM25" s="2"/>
      <c r="AN25" s="2"/>
      <c r="AO25" s="2"/>
      <c r="AP25" s="2"/>
    </row>
    <row r="26" spans="1:42" ht="4.5" customHeight="1">
      <c r="A26" s="964"/>
      <c r="B26" s="2"/>
      <c r="C26" s="453" t="s">
        <v>343</v>
      </c>
      <c r="D26" s="452" t="s">
        <v>343</v>
      </c>
      <c r="E26" s="96" t="s">
        <v>343</v>
      </c>
      <c r="F26" s="452" t="s">
        <v>343</v>
      </c>
      <c r="G26" s="1251" t="s">
        <v>343</v>
      </c>
      <c r="H26" s="2" t="s">
        <v>343</v>
      </c>
      <c r="I26" s="453" t="s">
        <v>343</v>
      </c>
      <c r="J26" s="96" t="s">
        <v>343</v>
      </c>
      <c r="K26" s="452" t="s">
        <v>343</v>
      </c>
      <c r="L26" s="1252" t="s">
        <v>343</v>
      </c>
      <c r="N26" s="1102"/>
      <c r="O26" s="1102"/>
      <c r="S26" s="2"/>
      <c r="T26" s="2"/>
      <c r="U26" s="2"/>
      <c r="V26" s="2"/>
      <c r="W26" s="2"/>
      <c r="X26" s="2"/>
      <c r="Y26" s="2"/>
      <c r="Z26" s="2"/>
      <c r="AA26" s="2"/>
      <c r="AB26" s="2"/>
      <c r="AC26" s="2"/>
      <c r="AD26" s="2"/>
      <c r="AE26" s="2"/>
      <c r="AF26" s="2"/>
      <c r="AG26" s="2"/>
      <c r="AH26" s="2"/>
      <c r="AI26" s="2"/>
      <c r="AJ26" s="2"/>
      <c r="AK26" s="2"/>
      <c r="AL26" s="2"/>
      <c r="AM26" s="2"/>
      <c r="AN26" s="2"/>
      <c r="AO26" s="2"/>
      <c r="AP26" s="2"/>
    </row>
    <row r="27" spans="1:42" ht="12.75" customHeight="1">
      <c r="A27" s="1" t="s">
        <v>744</v>
      </c>
      <c r="B27" s="2"/>
      <c r="C27" s="1242">
        <f>C22-C23-C24-C25</f>
        <v>59.3</v>
      </c>
      <c r="D27" s="1241">
        <f>D22-D23-D24-D25</f>
        <v>66.752000000000038</v>
      </c>
      <c r="E27" s="932"/>
      <c r="F27" s="1241">
        <f>F22-F23-F24-F25</f>
        <v>-7.4520000000000159</v>
      </c>
      <c r="G27" s="106">
        <f t="shared" si="1"/>
        <v>-0.11163710450623254</v>
      </c>
      <c r="H27" s="1205"/>
      <c r="I27" s="1242">
        <f>+I22-SUM(I23:I25)</f>
        <v>75.958883885411581</v>
      </c>
      <c r="J27" s="932"/>
      <c r="K27" s="1241">
        <f t="shared" si="2"/>
        <v>-16.658883885411583</v>
      </c>
      <c r="L27" s="1214">
        <f>C27/I27-1</f>
        <v>-0.21931449006731696</v>
      </c>
      <c r="O27" s="2"/>
      <c r="S27" s="2"/>
      <c r="T27" s="2"/>
      <c r="U27" s="2"/>
      <c r="V27" s="2"/>
      <c r="W27" s="2"/>
      <c r="X27" s="2"/>
      <c r="Y27" s="2"/>
      <c r="Z27" s="2"/>
      <c r="AA27" s="2"/>
      <c r="AB27" s="2"/>
      <c r="AC27" s="2"/>
      <c r="AD27" s="2"/>
      <c r="AE27" s="2"/>
      <c r="AF27" s="2"/>
      <c r="AG27" s="2"/>
      <c r="AH27" s="2"/>
      <c r="AI27" s="2"/>
      <c r="AJ27" s="2"/>
      <c r="AK27" s="2"/>
      <c r="AL27" s="2"/>
      <c r="AM27" s="2"/>
      <c r="AN27" s="2"/>
      <c r="AO27" s="2"/>
      <c r="AP27" s="2"/>
    </row>
    <row r="28" spans="1:42" ht="12.75" customHeight="1">
      <c r="A28" s="445" t="s">
        <v>1176</v>
      </c>
      <c r="B28" s="2"/>
      <c r="C28" s="432">
        <v>-64.38</v>
      </c>
      <c r="D28" s="374">
        <f>BYD!AN73</f>
        <v>-66.722000000000008</v>
      </c>
      <c r="E28" s="932"/>
      <c r="F28" s="374">
        <f>C28-D28</f>
        <v>2.342000000000013</v>
      </c>
      <c r="G28" s="126">
        <f t="shared" si="1"/>
        <v>-3.5100866280986964E-2</v>
      </c>
      <c r="H28" s="1205"/>
      <c r="I28" s="432">
        <v>-64.218821224999999</v>
      </c>
      <c r="J28" s="932"/>
      <c r="K28" s="374">
        <f t="shared" si="2"/>
        <v>-0.16117877499999622</v>
      </c>
      <c r="L28" s="1204">
        <f>IF(I28=0,"NM",C28/I28-1)</f>
        <v>2.509837021693162E-3</v>
      </c>
      <c r="O28" s="2"/>
      <c r="S28" s="2"/>
      <c r="T28" s="2"/>
      <c r="U28" s="2"/>
      <c r="V28" s="2"/>
      <c r="W28" s="2"/>
      <c r="X28" s="2"/>
      <c r="Y28" s="2"/>
      <c r="Z28" s="2"/>
      <c r="AA28" s="2"/>
      <c r="AB28" s="2"/>
      <c r="AC28" s="2"/>
      <c r="AD28" s="2"/>
      <c r="AE28" s="2"/>
      <c r="AF28" s="2"/>
      <c r="AG28" s="2"/>
      <c r="AH28" s="2"/>
      <c r="AI28" s="2"/>
      <c r="AJ28" s="2"/>
      <c r="AK28" s="2"/>
      <c r="AL28" s="2"/>
      <c r="AM28" s="2"/>
      <c r="AN28" s="2"/>
      <c r="AO28" s="2"/>
      <c r="AP28" s="2"/>
    </row>
    <row r="29" spans="1:42" ht="12.75" customHeight="1">
      <c r="A29" s="445" t="s">
        <v>203</v>
      </c>
      <c r="B29" s="2"/>
      <c r="C29" s="373">
        <v>0</v>
      </c>
      <c r="D29" s="374">
        <f>BYD!AN74</f>
        <v>0</v>
      </c>
      <c r="E29" s="932"/>
      <c r="F29" s="374">
        <f>C29-D29</f>
        <v>0</v>
      </c>
      <c r="G29" s="126">
        <f t="shared" si="1"/>
        <v>0</v>
      </c>
      <c r="H29" s="1205"/>
      <c r="I29" s="432">
        <v>0</v>
      </c>
      <c r="J29" s="932"/>
      <c r="K29" s="374">
        <f t="shared" si="2"/>
        <v>0</v>
      </c>
      <c r="L29" s="1204" t="str">
        <f>IF(I29=0,"NM",C29/I29-1)</f>
        <v>NM</v>
      </c>
      <c r="O29" s="2"/>
      <c r="S29" s="2"/>
      <c r="T29" s="2"/>
      <c r="U29" s="2"/>
      <c r="V29" s="2"/>
      <c r="W29" s="2"/>
      <c r="X29" s="2"/>
      <c r="Y29" s="2"/>
      <c r="Z29" s="2"/>
      <c r="AA29" s="2"/>
      <c r="AB29" s="2"/>
      <c r="AC29" s="2"/>
      <c r="AD29" s="2"/>
      <c r="AE29" s="2"/>
      <c r="AF29" s="2"/>
      <c r="AG29" s="2"/>
      <c r="AH29" s="2"/>
      <c r="AI29" s="2"/>
      <c r="AJ29" s="2"/>
      <c r="AK29" s="2"/>
      <c r="AL29" s="2"/>
      <c r="AM29" s="2"/>
      <c r="AN29" s="2"/>
      <c r="AO29" s="2"/>
      <c r="AP29" s="2"/>
    </row>
    <row r="30" spans="1:42" ht="12.75" customHeight="1">
      <c r="A30" s="445" t="s">
        <v>814</v>
      </c>
      <c r="B30" s="2"/>
      <c r="C30" s="432">
        <f>-2.21+2.196-1.047</f>
        <v>-1.0609999999999997</v>
      </c>
      <c r="D30" s="374">
        <f>BYD!AN78</f>
        <v>-4.7620000000000005</v>
      </c>
      <c r="E30" s="1103"/>
      <c r="F30" s="374">
        <f>C30-D30</f>
        <v>3.7010000000000005</v>
      </c>
      <c r="G30" s="126">
        <f t="shared" si="1"/>
        <v>-0.7771944561108779</v>
      </c>
      <c r="H30" s="2"/>
      <c r="I30" s="432">
        <v>-3.0939999999999999</v>
      </c>
      <c r="J30" s="1103"/>
      <c r="K30" s="374">
        <f t="shared" si="2"/>
        <v>2.0330000000000004</v>
      </c>
      <c r="L30" s="1204">
        <f>IF(I30=0,"NM",C30/I30-1)</f>
        <v>-0.65707821590174542</v>
      </c>
      <c r="O30" s="2"/>
      <c r="S30" s="2"/>
      <c r="T30" s="2"/>
      <c r="U30" s="2"/>
      <c r="V30" s="2"/>
      <c r="W30" s="2"/>
      <c r="X30" s="2"/>
      <c r="Y30" s="2"/>
      <c r="Z30" s="2"/>
      <c r="AA30" s="2"/>
      <c r="AB30" s="2"/>
      <c r="AC30" s="2"/>
      <c r="AD30" s="2"/>
      <c r="AE30" s="2"/>
      <c r="AF30" s="2"/>
      <c r="AG30" s="2"/>
      <c r="AH30" s="2"/>
      <c r="AI30" s="2"/>
      <c r="AJ30" s="2"/>
      <c r="AK30" s="2"/>
      <c r="AL30" s="2"/>
      <c r="AM30" s="2"/>
      <c r="AN30" s="2"/>
      <c r="AO30" s="2"/>
      <c r="AP30" s="2"/>
    </row>
    <row r="31" spans="1:42" ht="4.5" customHeight="1">
      <c r="A31" s="964"/>
      <c r="B31" s="2"/>
      <c r="C31" s="453" t="s">
        <v>343</v>
      </c>
      <c r="D31" s="452" t="s">
        <v>343</v>
      </c>
      <c r="E31" s="96" t="s">
        <v>343</v>
      </c>
      <c r="F31" s="452" t="s">
        <v>343</v>
      </c>
      <c r="G31" s="1251" t="s">
        <v>343</v>
      </c>
      <c r="H31" s="2" t="s">
        <v>343</v>
      </c>
      <c r="I31" s="453" t="s">
        <v>343</v>
      </c>
      <c r="J31" s="96" t="s">
        <v>343</v>
      </c>
      <c r="K31" s="452" t="s">
        <v>343</v>
      </c>
      <c r="L31" s="1252" t="s">
        <v>343</v>
      </c>
      <c r="N31" s="1102"/>
      <c r="O31" s="1102"/>
      <c r="S31" s="2"/>
      <c r="T31" s="2"/>
      <c r="U31" s="2"/>
      <c r="V31" s="2"/>
      <c r="W31" s="2"/>
      <c r="X31" s="2"/>
      <c r="Y31" s="2"/>
      <c r="Z31" s="2"/>
      <c r="AA31" s="2"/>
      <c r="AB31" s="2"/>
      <c r="AC31" s="2"/>
      <c r="AD31" s="2"/>
      <c r="AE31" s="2"/>
      <c r="AF31" s="2"/>
      <c r="AG31" s="2"/>
      <c r="AH31" s="2"/>
      <c r="AI31" s="2"/>
      <c r="AJ31" s="2"/>
      <c r="AK31" s="2"/>
      <c r="AL31" s="2"/>
      <c r="AM31" s="2"/>
      <c r="AN31" s="2"/>
      <c r="AO31" s="2"/>
      <c r="AP31" s="2"/>
    </row>
    <row r="32" spans="1:42" ht="12.75" customHeight="1">
      <c r="A32" s="1" t="s">
        <v>745</v>
      </c>
      <c r="B32" s="2"/>
      <c r="C32" s="1213">
        <f>SUM(C27:C30)</f>
        <v>-6.1409999999999982</v>
      </c>
      <c r="D32" s="929">
        <f>SUM(D27:D30)</f>
        <v>-4.7319999999999709</v>
      </c>
      <c r="E32" s="932"/>
      <c r="F32" s="1241">
        <f>C32-D32</f>
        <v>-1.4090000000000273</v>
      </c>
      <c r="G32" s="106">
        <f t="shared" si="1"/>
        <v>0.29775993237532461</v>
      </c>
      <c r="H32" s="1205"/>
      <c r="I32" s="1213">
        <f>+SUM(I27:I30)</f>
        <v>8.646062660411582</v>
      </c>
      <c r="J32" s="932"/>
      <c r="K32" s="1241">
        <f t="shared" si="2"/>
        <v>-14.78706266041158</v>
      </c>
      <c r="L32" s="1214">
        <f>C32/I32-1</f>
        <v>-1.710265497856994</v>
      </c>
      <c r="O32" s="2"/>
      <c r="S32" s="2"/>
      <c r="T32" s="2"/>
      <c r="U32" s="2"/>
      <c r="V32" s="2"/>
      <c r="W32" s="2"/>
      <c r="X32" s="2"/>
      <c r="Y32" s="2"/>
      <c r="Z32" s="2"/>
      <c r="AA32" s="2"/>
      <c r="AB32" s="2"/>
      <c r="AC32" s="2"/>
      <c r="AD32" s="2"/>
      <c r="AE32" s="2"/>
      <c r="AF32" s="2"/>
      <c r="AG32" s="2"/>
      <c r="AH32" s="2"/>
      <c r="AI32" s="2"/>
      <c r="AJ32" s="2"/>
      <c r="AK32" s="2"/>
      <c r="AL32" s="2"/>
      <c r="AM32" s="2"/>
      <c r="AN32" s="2"/>
      <c r="AO32" s="2"/>
      <c r="AP32" s="2"/>
    </row>
    <row r="33" spans="1:42" ht="12.75" customHeight="1">
      <c r="A33" s="445" t="s">
        <v>205</v>
      </c>
      <c r="B33" s="2"/>
      <c r="C33" s="432">
        <v>5.45</v>
      </c>
      <c r="D33" s="374">
        <f>BYD!AN81</f>
        <v>-0.91100000000000003</v>
      </c>
      <c r="E33" s="1103"/>
      <c r="F33" s="374">
        <f>C33-D33</f>
        <v>6.3610000000000007</v>
      </c>
      <c r="G33" s="126">
        <f t="shared" si="1"/>
        <v>-6.9824368825466516</v>
      </c>
      <c r="H33" s="2"/>
      <c r="I33" s="432">
        <v>-3.0261219311440555</v>
      </c>
      <c r="J33" s="1103"/>
      <c r="K33" s="374">
        <f t="shared" si="2"/>
        <v>8.4761219311440552</v>
      </c>
      <c r="L33" s="1204">
        <f>IF(I33=0,"NM",C33/I33-1)</f>
        <v>-2.8009849318727129</v>
      </c>
      <c r="O33" s="2"/>
      <c r="S33" s="2"/>
      <c r="T33" s="2"/>
      <c r="U33" s="2"/>
      <c r="V33" s="2"/>
      <c r="W33" s="2"/>
      <c r="X33" s="2"/>
      <c r="Y33" s="2"/>
      <c r="Z33" s="2"/>
      <c r="AA33" s="2"/>
      <c r="AB33" s="2"/>
      <c r="AC33" s="2"/>
      <c r="AD33" s="2"/>
      <c r="AE33" s="2"/>
      <c r="AF33" s="2"/>
      <c r="AG33" s="2"/>
      <c r="AH33" s="2"/>
      <c r="AI33" s="2"/>
      <c r="AJ33" s="2"/>
      <c r="AK33" s="2"/>
      <c r="AL33" s="2"/>
      <c r="AM33" s="2"/>
      <c r="AN33" s="2"/>
      <c r="AO33" s="2"/>
      <c r="AP33" s="2"/>
    </row>
    <row r="34" spans="1:42" ht="4.5" customHeight="1">
      <c r="A34" s="964"/>
      <c r="B34" s="2"/>
      <c r="C34" s="453" t="s">
        <v>343</v>
      </c>
      <c r="D34" s="452" t="s">
        <v>343</v>
      </c>
      <c r="E34" s="96" t="s">
        <v>343</v>
      </c>
      <c r="F34" s="452" t="s">
        <v>343</v>
      </c>
      <c r="G34" s="1251" t="s">
        <v>343</v>
      </c>
      <c r="H34" s="2" t="s">
        <v>343</v>
      </c>
      <c r="I34" s="453" t="s">
        <v>343</v>
      </c>
      <c r="J34" s="96" t="s">
        <v>343</v>
      </c>
      <c r="K34" s="452" t="s">
        <v>343</v>
      </c>
      <c r="L34" s="1252" t="s">
        <v>343</v>
      </c>
      <c r="N34" s="1102"/>
      <c r="O34" s="1102"/>
      <c r="S34" s="2"/>
      <c r="T34" s="2"/>
      <c r="U34" s="2"/>
      <c r="V34" s="2"/>
      <c r="W34" s="2"/>
      <c r="X34" s="2"/>
      <c r="Y34" s="2"/>
      <c r="Z34" s="2"/>
      <c r="AA34" s="2"/>
      <c r="AB34" s="2"/>
      <c r="AC34" s="2"/>
      <c r="AD34" s="2"/>
      <c r="AE34" s="2"/>
      <c r="AF34" s="2"/>
      <c r="AG34" s="2"/>
      <c r="AH34" s="2"/>
      <c r="AI34" s="2"/>
      <c r="AJ34" s="2"/>
      <c r="AK34" s="2"/>
      <c r="AL34" s="2"/>
      <c r="AM34" s="2"/>
      <c r="AN34" s="2"/>
      <c r="AO34" s="2"/>
      <c r="AP34" s="2"/>
    </row>
    <row r="35" spans="1:42" ht="12.75" customHeight="1">
      <c r="A35" s="107" t="s">
        <v>1243</v>
      </c>
      <c r="B35" s="61"/>
      <c r="C35" s="1213">
        <f>C32+C33</f>
        <v>-0.69099999999999806</v>
      </c>
      <c r="D35" s="929">
        <f>D32+D33</f>
        <v>-5.6429999999999705</v>
      </c>
      <c r="E35" s="932"/>
      <c r="F35" s="1241">
        <f>F32+F33</f>
        <v>4.9519999999999733</v>
      </c>
      <c r="G35" s="1215">
        <f>G32+G33</f>
        <v>-6.684676950171327</v>
      </c>
      <c r="H35" s="932"/>
      <c r="I35" s="1213">
        <f>+SUM(I32:I33)</f>
        <v>5.6199407292675261</v>
      </c>
      <c r="J35" s="932"/>
      <c r="K35" s="1241">
        <f>K32+K33</f>
        <v>-6.310940729267525</v>
      </c>
      <c r="L35" s="1215">
        <f>L32+L33</f>
        <v>-4.5112504297297065</v>
      </c>
      <c r="M35" s="1238"/>
      <c r="N35" s="1238"/>
      <c r="O35" s="61"/>
      <c r="S35" s="1336"/>
      <c r="T35" s="2"/>
      <c r="U35" s="2"/>
      <c r="V35" s="2"/>
      <c r="W35" s="2"/>
      <c r="X35" s="2"/>
      <c r="Y35" s="2"/>
      <c r="Z35" s="2"/>
      <c r="AA35" s="2"/>
      <c r="AB35" s="2"/>
      <c r="AC35" s="2"/>
      <c r="AD35" s="2"/>
      <c r="AE35" s="2"/>
      <c r="AF35" s="2"/>
      <c r="AG35" s="2"/>
      <c r="AH35" s="2"/>
      <c r="AI35" s="2"/>
      <c r="AJ35" s="2"/>
      <c r="AK35" s="2"/>
      <c r="AL35" s="2"/>
      <c r="AM35" s="2"/>
      <c r="AN35" s="2"/>
      <c r="AO35" s="2"/>
      <c r="AP35" s="2"/>
    </row>
    <row r="36" spans="1:42" ht="12.75" customHeight="1">
      <c r="A36" s="445" t="s">
        <v>130</v>
      </c>
      <c r="B36" s="2"/>
      <c r="C36" s="432">
        <v>1.6679999999999999</v>
      </c>
      <c r="D36" s="374">
        <f>BYD!AN85</f>
        <v>2.6920000000000002</v>
      </c>
      <c r="E36" s="1103"/>
      <c r="F36" s="374">
        <f>C36-D36</f>
        <v>-1.0240000000000002</v>
      </c>
      <c r="G36" s="126">
        <f>IF(D36=0,0,C36/D36-1)</f>
        <v>-0.38038632986627052</v>
      </c>
      <c r="H36" s="2"/>
      <c r="I36" s="432">
        <v>1.3948545868532915E-2</v>
      </c>
      <c r="J36" s="1103"/>
      <c r="K36" s="374">
        <f>C36-I36</f>
        <v>1.654051454131467</v>
      </c>
      <c r="L36" s="1204">
        <f>IF(I36=0,"NM",C36/I36-1)</f>
        <v>118.58235759635046</v>
      </c>
      <c r="O36" s="2"/>
      <c r="S36" s="2"/>
      <c r="T36" s="2"/>
      <c r="U36" s="2"/>
      <c r="V36" s="2"/>
      <c r="W36" s="2"/>
      <c r="X36" s="2"/>
      <c r="Y36" s="2"/>
      <c r="Z36" s="2"/>
      <c r="AA36" s="2"/>
      <c r="AB36" s="2"/>
      <c r="AC36" s="2"/>
      <c r="AD36" s="2"/>
      <c r="AE36" s="2"/>
      <c r="AF36" s="2"/>
      <c r="AG36" s="2"/>
      <c r="AH36" s="2"/>
      <c r="AI36" s="2"/>
      <c r="AJ36" s="2"/>
      <c r="AK36" s="2"/>
      <c r="AL36" s="2"/>
      <c r="AM36" s="2"/>
      <c r="AN36" s="2"/>
      <c r="AO36" s="2"/>
      <c r="AP36" s="2"/>
    </row>
    <row r="37" spans="1:42" ht="4.5" customHeight="1">
      <c r="A37" s="964"/>
      <c r="B37" s="2"/>
      <c r="C37" s="453" t="s">
        <v>343</v>
      </c>
      <c r="D37" s="452" t="s">
        <v>343</v>
      </c>
      <c r="E37" s="96" t="s">
        <v>343</v>
      </c>
      <c r="F37" s="452" t="s">
        <v>343</v>
      </c>
      <c r="G37" s="1251" t="s">
        <v>343</v>
      </c>
      <c r="H37" s="2" t="s">
        <v>343</v>
      </c>
      <c r="I37" s="453" t="s">
        <v>343</v>
      </c>
      <c r="J37" s="96" t="s">
        <v>343</v>
      </c>
      <c r="K37" s="452" t="s">
        <v>343</v>
      </c>
      <c r="L37" s="1252" t="s">
        <v>343</v>
      </c>
      <c r="N37" s="1102"/>
      <c r="O37" s="1102"/>
      <c r="S37" s="2"/>
      <c r="T37" s="2"/>
      <c r="U37" s="2"/>
      <c r="V37" s="2"/>
      <c r="W37" s="2"/>
      <c r="X37" s="2"/>
      <c r="Y37" s="2"/>
      <c r="Z37" s="2"/>
      <c r="AA37" s="2"/>
      <c r="AB37" s="2"/>
      <c r="AC37" s="2"/>
      <c r="AD37" s="2"/>
      <c r="AE37" s="2"/>
      <c r="AF37" s="2"/>
      <c r="AG37" s="2"/>
      <c r="AH37" s="2"/>
      <c r="AI37" s="2"/>
      <c r="AJ37" s="2"/>
      <c r="AK37" s="2"/>
      <c r="AL37" s="2"/>
      <c r="AM37" s="2"/>
      <c r="AN37" s="2"/>
      <c r="AO37" s="2"/>
      <c r="AP37" s="2"/>
    </row>
    <row r="38" spans="1:42" ht="12.75" customHeight="1">
      <c r="A38" s="107" t="s">
        <v>1540</v>
      </c>
      <c r="B38" s="2"/>
      <c r="C38" s="1213">
        <f>C35+C36</f>
        <v>0.97700000000000187</v>
      </c>
      <c r="D38" s="929">
        <f>D35+D36</f>
        <v>-2.9509999999999703</v>
      </c>
      <c r="E38" s="932"/>
      <c r="F38" s="1241">
        <f>F35+F36</f>
        <v>3.9279999999999733</v>
      </c>
      <c r="G38" s="1215">
        <f>G35+G36</f>
        <v>-7.0650632800375979</v>
      </c>
      <c r="H38" s="932"/>
      <c r="I38" s="1213">
        <f>+SUM(I35:I36)</f>
        <v>5.6338892751360587</v>
      </c>
      <c r="J38" s="932"/>
      <c r="K38" s="1241">
        <f>K35+K36</f>
        <v>-4.6568892751360575</v>
      </c>
      <c r="L38" s="1215">
        <f>L35+L36</f>
        <v>114.07110716662075</v>
      </c>
      <c r="O38" s="2"/>
      <c r="S38" s="105"/>
      <c r="T38" s="2"/>
      <c r="U38" s="2"/>
      <c r="V38" s="2"/>
      <c r="W38" s="2"/>
      <c r="X38" s="2"/>
      <c r="Y38" s="2"/>
      <c r="Z38" s="2"/>
      <c r="AA38" s="2"/>
      <c r="AB38" s="2"/>
      <c r="AC38" s="2"/>
      <c r="AD38" s="2"/>
      <c r="AE38" s="2"/>
      <c r="AF38" s="2"/>
      <c r="AG38" s="2"/>
      <c r="AH38" s="2"/>
      <c r="AI38" s="2"/>
      <c r="AJ38" s="2"/>
      <c r="AK38" s="2"/>
      <c r="AL38" s="2"/>
      <c r="AM38" s="2"/>
      <c r="AN38" s="2"/>
      <c r="AO38" s="2"/>
      <c r="AP38" s="2"/>
    </row>
    <row r="39" spans="1:42" ht="12.75" customHeight="1">
      <c r="A39" s="2" t="s">
        <v>1562</v>
      </c>
      <c r="B39" s="2"/>
      <c r="C39" s="1104">
        <f>4.826+6.243-6.293+0.014-2.16+0.108+0.162-1.306+0.945</f>
        <v>2.5389999999999988</v>
      </c>
      <c r="D39" s="104">
        <f>BYD!AN87</f>
        <v>1.7410000000000001</v>
      </c>
      <c r="E39" s="61"/>
      <c r="F39" s="61"/>
      <c r="G39" s="1141"/>
      <c r="H39" s="2"/>
      <c r="I39" s="1104">
        <v>3.0939999999999999</v>
      </c>
      <c r="J39" s="61"/>
      <c r="K39" s="61"/>
      <c r="L39" s="1216"/>
      <c r="O39" s="2"/>
      <c r="S39" s="2"/>
      <c r="T39" s="2"/>
      <c r="U39" s="2"/>
      <c r="V39" s="2"/>
      <c r="W39" s="2"/>
      <c r="X39" s="2"/>
      <c r="Y39" s="2"/>
      <c r="Z39" s="2"/>
      <c r="AA39" s="2"/>
      <c r="AB39" s="2"/>
      <c r="AC39" s="2"/>
      <c r="AD39" s="2"/>
      <c r="AE39" s="2"/>
      <c r="AF39" s="2"/>
      <c r="AG39" s="2"/>
      <c r="AH39" s="2"/>
      <c r="AI39" s="2"/>
      <c r="AJ39" s="2"/>
      <c r="AK39" s="2"/>
      <c r="AL39" s="2"/>
      <c r="AM39" s="2"/>
      <c r="AN39" s="2"/>
      <c r="AO39" s="2"/>
      <c r="AP39" s="2"/>
    </row>
    <row r="40" spans="1:42" ht="12.75" customHeight="1">
      <c r="A40" s="147" t="s">
        <v>1747</v>
      </c>
      <c r="B40" s="160"/>
      <c r="C40" s="1217">
        <f>SUM(C38:C39)</f>
        <v>3.5160000000000009</v>
      </c>
      <c r="D40" s="1309">
        <f>BYD!AN88</f>
        <v>-1.2099999999999702</v>
      </c>
      <c r="E40" s="1218"/>
      <c r="F40" s="1218">
        <f>C40-D40</f>
        <v>4.7259999999999707</v>
      </c>
      <c r="G40" s="1219">
        <f>IF(D40=0,0,C40/D40-1)</f>
        <v>-3.9057851239670143</v>
      </c>
      <c r="H40" s="1220"/>
      <c r="I40" s="1217">
        <f>+SUM(I38:I39)</f>
        <v>8.7278892751360591</v>
      </c>
      <c r="J40" s="1218"/>
      <c r="K40" s="1218">
        <f>C40-I40</f>
        <v>-5.2118892751360582</v>
      </c>
      <c r="L40" s="1221">
        <f>C40/I40-1</f>
        <v>-0.59715345954074439</v>
      </c>
      <c r="O40" s="2"/>
      <c r="S40" s="2"/>
      <c r="T40" s="2"/>
      <c r="U40" s="2"/>
      <c r="V40" s="2"/>
      <c r="W40" s="2"/>
      <c r="X40" s="2"/>
      <c r="Y40" s="2"/>
      <c r="Z40" s="2"/>
      <c r="AA40" s="2"/>
      <c r="AB40" s="2"/>
      <c r="AC40" s="2"/>
      <c r="AD40" s="2"/>
      <c r="AE40" s="2"/>
      <c r="AF40" s="2"/>
      <c r="AG40" s="2"/>
      <c r="AH40" s="2"/>
      <c r="AI40" s="2"/>
      <c r="AJ40" s="2"/>
      <c r="AK40" s="2"/>
      <c r="AL40" s="2"/>
      <c r="AM40" s="2"/>
      <c r="AN40" s="2"/>
      <c r="AO40" s="2"/>
      <c r="AP40" s="2"/>
    </row>
    <row r="41" spans="1:42" ht="12.75" customHeight="1">
      <c r="A41" s="2"/>
      <c r="B41" s="2"/>
      <c r="C41" s="112"/>
      <c r="D41" s="77"/>
      <c r="E41" s="61"/>
      <c r="F41" s="61"/>
      <c r="G41" s="1141"/>
      <c r="H41" s="2"/>
      <c r="I41" s="115"/>
      <c r="J41" s="61"/>
      <c r="K41" s="61"/>
      <c r="L41" s="1216"/>
      <c r="O41" s="2"/>
      <c r="S41" s="2"/>
      <c r="T41" s="2"/>
      <c r="U41" s="2"/>
      <c r="V41" s="2"/>
      <c r="W41" s="2"/>
      <c r="X41" s="2"/>
      <c r="Y41" s="2"/>
      <c r="Z41" s="2"/>
      <c r="AA41" s="2"/>
      <c r="AB41" s="2"/>
      <c r="AC41" s="2"/>
      <c r="AD41" s="2"/>
      <c r="AE41" s="2"/>
      <c r="AF41" s="2"/>
      <c r="AG41" s="2"/>
      <c r="AH41" s="2"/>
      <c r="AI41" s="2"/>
      <c r="AJ41" s="2"/>
      <c r="AK41" s="2"/>
      <c r="AL41" s="2"/>
      <c r="AM41" s="2"/>
      <c r="AN41" s="2"/>
      <c r="AO41" s="2"/>
      <c r="AP41" s="2"/>
    </row>
    <row r="42" spans="1:42" ht="12.75" customHeight="1">
      <c r="A42" s="138" t="s">
        <v>746</v>
      </c>
      <c r="B42" s="155"/>
      <c r="C42" s="153">
        <f>C40/C43</f>
        <v>4.0032335561147242E-2</v>
      </c>
      <c r="D42" s="152">
        <f>+D40/D43</f>
        <v>-1.3875510297692425E-2</v>
      </c>
      <c r="E42" s="152"/>
      <c r="F42" s="152">
        <f>C42-D42</f>
        <v>5.3907845858839669E-2</v>
      </c>
      <c r="G42" s="1208">
        <f>IF(D42=0,0,C42/D42-1)</f>
        <v>-3.8851072646895619</v>
      </c>
      <c r="H42" s="155"/>
      <c r="I42" s="153">
        <f>+I40/I43</f>
        <v>9.9195213783127734E-2</v>
      </c>
      <c r="J42" s="152"/>
      <c r="K42" s="152">
        <f>C42-I42</f>
        <v>-5.9162878221980492E-2</v>
      </c>
      <c r="L42" s="1211">
        <f>C42/I42-1</f>
        <v>-0.59642875866298706</v>
      </c>
      <c r="O42" s="1256">
        <v>0.1</v>
      </c>
      <c r="Q42" s="1645" t="s">
        <v>597</v>
      </c>
      <c r="S42" s="2"/>
      <c r="T42" s="2"/>
      <c r="U42" s="2"/>
      <c r="V42" s="2"/>
      <c r="W42" s="2"/>
      <c r="X42" s="2"/>
      <c r="Y42" s="2"/>
      <c r="Z42" s="2"/>
      <c r="AA42" s="2"/>
      <c r="AB42" s="2"/>
      <c r="AC42" s="2"/>
      <c r="AD42" s="2"/>
      <c r="AE42" s="2"/>
      <c r="AF42" s="2"/>
      <c r="AG42" s="2"/>
      <c r="AH42" s="2"/>
      <c r="AI42" s="2"/>
      <c r="AJ42" s="2"/>
      <c r="AK42" s="2"/>
      <c r="AL42" s="2"/>
      <c r="AM42" s="2"/>
      <c r="AN42" s="2"/>
      <c r="AO42" s="2"/>
      <c r="AP42" s="2"/>
    </row>
    <row r="43" spans="1:42" ht="12.75" customHeight="1">
      <c r="A43" s="2" t="s">
        <v>769</v>
      </c>
      <c r="B43" s="2"/>
      <c r="C43" s="1104">
        <v>87.828999999999994</v>
      </c>
      <c r="D43" s="104">
        <f>BYD!AN103</f>
        <v>87.203999999999994</v>
      </c>
      <c r="E43" s="1103"/>
      <c r="F43" s="374">
        <f>C43-D43</f>
        <v>0.625</v>
      </c>
      <c r="G43" s="126">
        <f>IF(D43=0,0,C43/D43-1)</f>
        <v>7.1671024264940986E-3</v>
      </c>
      <c r="H43" s="2"/>
      <c r="I43" s="1104">
        <v>87.986999999999995</v>
      </c>
      <c r="J43" s="1103"/>
      <c r="K43" s="374">
        <f>C43-I43</f>
        <v>-0.15800000000000125</v>
      </c>
      <c r="L43" s="1204">
        <f>C43/I43-1</f>
        <v>-1.7957198222464665E-3</v>
      </c>
      <c r="O43" s="2"/>
      <c r="S43" s="2"/>
      <c r="T43" s="2"/>
      <c r="U43" s="2"/>
      <c r="V43" s="2"/>
      <c r="W43" s="2"/>
      <c r="X43" s="2"/>
      <c r="Y43" s="2"/>
      <c r="Z43" s="2"/>
      <c r="AA43" s="2"/>
      <c r="AB43" s="2"/>
      <c r="AC43" s="2"/>
      <c r="AD43" s="2"/>
      <c r="AE43" s="2"/>
      <c r="AF43" s="2"/>
      <c r="AG43" s="2"/>
      <c r="AH43" s="2"/>
      <c r="AI43" s="2"/>
      <c r="AJ43" s="2"/>
      <c r="AK43" s="2"/>
      <c r="AL43" s="2"/>
      <c r="AM43" s="2"/>
      <c r="AN43" s="2"/>
      <c r="AO43" s="2"/>
      <c r="AP43" s="2"/>
    </row>
    <row r="44" spans="1:42" ht="12.75" customHeight="1">
      <c r="A44" s="2"/>
      <c r="B44" s="2"/>
      <c r="C44" s="112"/>
      <c r="D44" s="77"/>
      <c r="E44" s="61"/>
      <c r="F44" s="2"/>
      <c r="G44" s="2"/>
      <c r="H44" s="2"/>
      <c r="I44" s="142"/>
      <c r="J44" s="61"/>
      <c r="K44" s="61"/>
      <c r="L44" s="2"/>
      <c r="O44" s="2"/>
      <c r="S44" s="2"/>
      <c r="T44" s="2"/>
      <c r="U44" s="2"/>
      <c r="V44" s="2"/>
      <c r="W44" s="2"/>
      <c r="X44" s="2"/>
      <c r="Y44" s="2"/>
      <c r="Z44" s="2"/>
      <c r="AA44" s="2"/>
      <c r="AB44" s="2"/>
      <c r="AC44" s="2"/>
      <c r="AD44" s="2"/>
      <c r="AE44" s="2"/>
      <c r="AF44" s="2"/>
      <c r="AG44" s="2"/>
      <c r="AH44" s="2"/>
      <c r="AI44" s="2"/>
      <c r="AJ44" s="2"/>
      <c r="AK44" s="2"/>
      <c r="AL44" s="2"/>
      <c r="AM44" s="2"/>
      <c r="AN44" s="2"/>
      <c r="AO44" s="2"/>
      <c r="AP44" s="2"/>
    </row>
    <row r="45" spans="1:42" ht="12.75" customHeight="1">
      <c r="A45" s="1222" t="s">
        <v>271</v>
      </c>
      <c r="B45" s="1223"/>
      <c r="C45" s="1224">
        <f>C20/C13</f>
        <v>0.20217417452561839</v>
      </c>
      <c r="D45" s="1400">
        <f>D20/D13</f>
        <v>0.22493053228328871</v>
      </c>
      <c r="E45" s="1225"/>
      <c r="F45" s="1223"/>
      <c r="G45" s="1226">
        <f>(C45-D45)</f>
        <v>-2.275635775767032E-2</v>
      </c>
      <c r="H45" s="1223"/>
      <c r="I45" s="1431">
        <f>I20/I13</f>
        <v>0.22776236884767548</v>
      </c>
      <c r="J45" s="1225"/>
      <c r="K45" s="1223"/>
      <c r="L45" s="1227">
        <f>(C45-I46)</f>
        <v>-5.4054759025580129E-2</v>
      </c>
      <c r="O45" s="2"/>
      <c r="S45" s="2">
        <v>628</v>
      </c>
      <c r="T45" s="2"/>
      <c r="U45" s="2">
        <v>615.20000000000005</v>
      </c>
      <c r="V45" s="2"/>
      <c r="W45" s="2"/>
      <c r="X45" s="2"/>
      <c r="Y45" s="2"/>
      <c r="Z45" s="2"/>
      <c r="AA45" s="2"/>
      <c r="AB45" s="2"/>
      <c r="AC45" s="2"/>
      <c r="AD45" s="2"/>
      <c r="AE45" s="2"/>
      <c r="AF45" s="2"/>
      <c r="AG45" s="2"/>
      <c r="AH45" s="2"/>
      <c r="AI45" s="2"/>
      <c r="AJ45" s="2"/>
      <c r="AK45" s="2"/>
      <c r="AL45" s="2"/>
      <c r="AM45" s="2"/>
      <c r="AN45" s="2"/>
      <c r="AO45" s="2"/>
      <c r="AP45" s="2"/>
    </row>
    <row r="46" spans="1:42" ht="12.75" customHeight="1">
      <c r="A46" s="1239" t="s">
        <v>514</v>
      </c>
      <c r="B46" s="1228"/>
      <c r="C46" s="1229">
        <f t="shared" ref="C46:D49" si="3">C16/C8</f>
        <v>0.23179874754173183</v>
      </c>
      <c r="D46" s="1230">
        <f t="shared" si="3"/>
        <v>0.25402407861113302</v>
      </c>
      <c r="E46" s="1230"/>
      <c r="F46" s="1228"/>
      <c r="G46" s="1231">
        <f>(C46-D46)</f>
        <v>-2.2225331069401194E-2</v>
      </c>
      <c r="H46" s="1228"/>
      <c r="I46" s="1229">
        <f>I16/I8</f>
        <v>0.25622893355119852</v>
      </c>
      <c r="J46" s="1230"/>
      <c r="K46" s="1228"/>
      <c r="L46" s="1232">
        <f>(C46-I46)</f>
        <v>-2.4430186009466698E-2</v>
      </c>
      <c r="N46" s="1403"/>
      <c r="O46" s="98"/>
      <c r="S46" s="2"/>
      <c r="T46" s="2"/>
      <c r="U46" s="2"/>
      <c r="V46" s="2"/>
      <c r="W46" s="2"/>
      <c r="X46" s="2"/>
      <c r="Y46" s="2"/>
      <c r="Z46" s="2"/>
      <c r="AA46" s="2"/>
      <c r="AB46" s="2"/>
      <c r="AC46" s="2"/>
      <c r="AD46" s="2"/>
      <c r="AE46" s="2"/>
      <c r="AF46" s="2"/>
      <c r="AG46" s="2"/>
      <c r="AH46" s="2"/>
      <c r="AI46" s="2"/>
      <c r="AJ46" s="2"/>
      <c r="AK46" s="2"/>
      <c r="AL46" s="2"/>
      <c r="AM46" s="2"/>
      <c r="AN46" s="2"/>
      <c r="AO46" s="2"/>
      <c r="AP46" s="2"/>
    </row>
    <row r="47" spans="1:42" ht="12.75" customHeight="1">
      <c r="A47" s="1239" t="s">
        <v>515</v>
      </c>
      <c r="B47" s="1228"/>
      <c r="C47" s="1229">
        <f t="shared" si="3"/>
        <v>0.14496147589338387</v>
      </c>
      <c r="D47" s="1230">
        <f t="shared" si="3"/>
        <v>0.16552089776442519</v>
      </c>
      <c r="E47" s="1230"/>
      <c r="F47" s="1228"/>
      <c r="G47" s="1231">
        <f>(C47-D47)</f>
        <v>-2.0559421871041317E-2</v>
      </c>
      <c r="H47" s="1228"/>
      <c r="I47" s="1229">
        <f>I17/I9</f>
        <v>0.14832540249413012</v>
      </c>
      <c r="J47" s="1230"/>
      <c r="K47" s="1228"/>
      <c r="L47" s="1232">
        <f>(C47-I47)</f>
        <v>-3.3639266007462476E-3</v>
      </c>
      <c r="N47" s="1403"/>
      <c r="O47" s="98"/>
      <c r="S47" s="2">
        <v>39</v>
      </c>
      <c r="T47" s="2"/>
      <c r="U47" s="2">
        <v>34.5</v>
      </c>
      <c r="V47" s="2"/>
      <c r="W47" s="2"/>
      <c r="X47" s="2"/>
      <c r="Y47" s="2"/>
      <c r="Z47" s="2"/>
      <c r="AA47" s="2"/>
      <c r="AB47" s="2"/>
      <c r="AC47" s="2"/>
      <c r="AD47" s="2"/>
      <c r="AE47" s="2"/>
      <c r="AF47" s="2"/>
      <c r="AG47" s="2"/>
      <c r="AH47" s="2"/>
      <c r="AI47" s="2"/>
      <c r="AJ47" s="2"/>
      <c r="AK47" s="2"/>
      <c r="AL47" s="2"/>
      <c r="AM47" s="2"/>
      <c r="AN47" s="2"/>
      <c r="AO47" s="2"/>
      <c r="AP47" s="2"/>
    </row>
    <row r="48" spans="1:42" ht="12.75" customHeight="1">
      <c r="A48" s="1239" t="s">
        <v>516</v>
      </c>
      <c r="B48" s="1228"/>
      <c r="C48" s="1229">
        <f t="shared" si="3"/>
        <v>0.21821519030668127</v>
      </c>
      <c r="D48" s="1230">
        <f t="shared" si="3"/>
        <v>0.23260394715847507</v>
      </c>
      <c r="E48" s="1230"/>
      <c r="F48" s="1228"/>
      <c r="G48" s="1231">
        <f>(C48-D48)</f>
        <v>-1.4388756851793805E-2</v>
      </c>
      <c r="H48" s="1228"/>
      <c r="I48" s="1229">
        <f>I18/I10</f>
        <v>0.24065531739885718</v>
      </c>
      <c r="J48" s="1230"/>
      <c r="K48" s="1228"/>
      <c r="L48" s="1232">
        <f>(C48-I48)</f>
        <v>-2.244012709217591E-2</v>
      </c>
      <c r="N48" s="105"/>
      <c r="O48" s="105">
        <f>31/175</f>
        <v>0.17714285714285713</v>
      </c>
      <c r="S48" s="2">
        <v>9</v>
      </c>
      <c r="T48" s="2"/>
      <c r="U48" s="2">
        <v>8.4</v>
      </c>
      <c r="V48" s="2"/>
      <c r="W48" s="2"/>
      <c r="X48" s="2"/>
      <c r="Y48" s="2"/>
      <c r="Z48" s="2"/>
      <c r="AA48" s="2"/>
      <c r="AB48" s="2"/>
      <c r="AC48" s="2"/>
      <c r="AD48" s="2"/>
      <c r="AE48" s="2"/>
      <c r="AF48" s="2"/>
      <c r="AG48" s="2"/>
      <c r="AH48" s="2"/>
      <c r="AI48" s="2"/>
      <c r="AJ48" s="2"/>
      <c r="AK48" s="2"/>
      <c r="AL48" s="2"/>
      <c r="AM48" s="2"/>
      <c r="AN48" s="2"/>
      <c r="AO48" s="2"/>
      <c r="AP48" s="2"/>
    </row>
    <row r="49" spans="1:42" ht="12.75" customHeight="1">
      <c r="A49" s="1240" t="s">
        <v>273</v>
      </c>
      <c r="B49" s="1233"/>
      <c r="C49" s="1234">
        <f t="shared" si="3"/>
        <v>0.17521206731427008</v>
      </c>
      <c r="D49" s="1235">
        <f t="shared" si="3"/>
        <v>0.21152246711462283</v>
      </c>
      <c r="E49" s="1235"/>
      <c r="F49" s="1233"/>
      <c r="G49" s="1235">
        <f>(C49-D49)</f>
        <v>-3.6310399800352749E-2</v>
      </c>
      <c r="H49" s="1233"/>
      <c r="I49" s="1234">
        <f>I19/I11</f>
        <v>0.20975881054140721</v>
      </c>
      <c r="J49" s="1235"/>
      <c r="K49" s="1233"/>
      <c r="L49" s="1237">
        <f>(C49-I49)</f>
        <v>-3.4546743227137133E-2</v>
      </c>
      <c r="M49" s="1238"/>
      <c r="O49" s="105">
        <f>34/164</f>
        <v>0.2073170731707317</v>
      </c>
      <c r="S49" s="2">
        <v>56</v>
      </c>
      <c r="T49" s="2"/>
      <c r="U49" s="2">
        <v>51</v>
      </c>
      <c r="V49" s="2"/>
      <c r="W49" s="2"/>
      <c r="X49" s="2"/>
      <c r="Y49" s="2"/>
      <c r="Z49" s="2"/>
      <c r="AA49" s="2"/>
      <c r="AB49" s="2"/>
      <c r="AC49" s="2"/>
      <c r="AD49" s="2"/>
      <c r="AE49" s="2"/>
      <c r="AF49" s="2"/>
      <c r="AG49" s="2"/>
      <c r="AH49" s="2"/>
      <c r="AI49" s="2"/>
      <c r="AJ49" s="2"/>
      <c r="AK49" s="2"/>
      <c r="AL49" s="2"/>
      <c r="AM49" s="2"/>
      <c r="AN49" s="2"/>
      <c r="AO49" s="2"/>
      <c r="AP49" s="2"/>
    </row>
    <row r="50" spans="1:42" ht="12.75" customHeight="1">
      <c r="A50" s="61"/>
      <c r="B50" s="61"/>
      <c r="C50" s="1435"/>
      <c r="D50" s="77"/>
      <c r="E50" s="61"/>
      <c r="F50" s="61"/>
      <c r="G50" s="61"/>
      <c r="H50" s="61"/>
      <c r="I50" s="1435"/>
      <c r="J50" s="61"/>
      <c r="K50" s="61"/>
      <c r="L50" s="61"/>
      <c r="O50" s="105">
        <f>36/174</f>
        <v>0.20689655172413793</v>
      </c>
      <c r="S50" s="2">
        <v>36</v>
      </c>
      <c r="T50" s="2"/>
      <c r="U50" s="2">
        <v>30.734999999999999</v>
      </c>
      <c r="V50" s="2"/>
      <c r="W50" s="2"/>
      <c r="X50" s="2"/>
      <c r="Y50" s="2"/>
      <c r="Z50" s="2"/>
      <c r="AA50" s="2"/>
      <c r="AB50" s="2"/>
      <c r="AC50" s="2"/>
      <c r="AD50" s="2"/>
      <c r="AE50" s="2"/>
      <c r="AF50" s="2"/>
      <c r="AG50" s="2"/>
      <c r="AH50" s="2"/>
      <c r="AI50" s="2"/>
      <c r="AJ50" s="2"/>
      <c r="AK50" s="2"/>
      <c r="AL50" s="2"/>
      <c r="AM50" s="2"/>
      <c r="AN50" s="2"/>
      <c r="AO50" s="2"/>
      <c r="AP50" s="2"/>
    </row>
    <row r="51" spans="1:42" ht="12.75" customHeight="1">
      <c r="A51" s="61"/>
      <c r="B51" s="61"/>
      <c r="C51" s="374"/>
      <c r="D51" s="374"/>
      <c r="E51" s="61"/>
      <c r="F51" s="374"/>
      <c r="G51" s="95"/>
      <c r="H51" s="313"/>
      <c r="I51" s="376"/>
      <c r="J51" s="932"/>
      <c r="K51" s="374"/>
      <c r="L51" s="1204"/>
      <c r="O51" s="2"/>
      <c r="S51" s="1">
        <f>SUM(S47:S50)</f>
        <v>140</v>
      </c>
      <c r="T51" s="2"/>
      <c r="U51" s="1">
        <f>SUM(U47:U50)</f>
        <v>124.63500000000001</v>
      </c>
      <c r="V51" s="2"/>
      <c r="W51" s="2"/>
      <c r="X51" s="2"/>
      <c r="Y51" s="2"/>
      <c r="Z51" s="2"/>
      <c r="AA51" s="2"/>
      <c r="AB51" s="2"/>
      <c r="AC51" s="2"/>
      <c r="AD51" s="2"/>
      <c r="AE51" s="2"/>
      <c r="AF51" s="2"/>
      <c r="AG51" s="2"/>
      <c r="AH51" s="2"/>
      <c r="AI51" s="2"/>
      <c r="AJ51" s="2"/>
      <c r="AK51" s="2"/>
      <c r="AL51" s="2"/>
      <c r="AM51" s="2"/>
      <c r="AN51" s="2"/>
      <c r="AO51" s="2"/>
      <c r="AP51" s="2"/>
    </row>
    <row r="52" spans="1:42" ht="12.75" customHeight="1">
      <c r="A52" s="743"/>
      <c r="B52" s="61"/>
      <c r="C52" s="1618">
        <f>+C22/C13</f>
        <v>0.18503076938080887</v>
      </c>
      <c r="D52" s="1618">
        <f>+D22/D13</f>
        <v>0.20667867515638969</v>
      </c>
      <c r="E52" s="61"/>
      <c r="F52" s="1618">
        <f>+C52-D52</f>
        <v>-2.1647905775580817E-2</v>
      </c>
      <c r="G52" s="1433"/>
      <c r="H52" s="61"/>
      <c r="I52" s="1618">
        <f>+I22/I13</f>
        <v>0.20965019747594124</v>
      </c>
      <c r="J52" s="1103"/>
      <c r="K52" s="452"/>
      <c r="L52" s="1252"/>
      <c r="N52" s="1404"/>
      <c r="O52" s="1404"/>
      <c r="S52" s="105">
        <f>S51/S45</f>
        <v>0.22292993630573249</v>
      </c>
      <c r="T52" s="2"/>
      <c r="U52" s="105">
        <f>U51/U45</f>
        <v>0.20259265279583874</v>
      </c>
      <c r="V52" s="2"/>
      <c r="W52" s="2"/>
      <c r="X52" s="2"/>
      <c r="Y52" s="2"/>
      <c r="Z52" s="2"/>
      <c r="AA52" s="2"/>
      <c r="AB52" s="2"/>
      <c r="AC52" s="2"/>
      <c r="AD52" s="2"/>
      <c r="AE52" s="2"/>
      <c r="AF52" s="2"/>
      <c r="AG52" s="2"/>
      <c r="AH52" s="2"/>
      <c r="AI52" s="2"/>
      <c r="AJ52" s="2"/>
      <c r="AK52" s="2"/>
      <c r="AL52" s="2"/>
      <c r="AM52" s="2"/>
      <c r="AN52" s="2"/>
      <c r="AO52" s="2"/>
      <c r="AP52" s="2"/>
    </row>
    <row r="53" spans="1:42" ht="12.75" customHeight="1">
      <c r="A53" s="1"/>
      <c r="B53" s="2"/>
      <c r="C53" s="1241"/>
      <c r="D53" s="1241"/>
      <c r="E53" s="61"/>
      <c r="F53" s="374"/>
      <c r="G53" s="95"/>
      <c r="H53" s="61"/>
      <c r="I53" s="1434"/>
      <c r="J53" s="1103"/>
      <c r="K53" s="1241"/>
      <c r="L53" s="1204"/>
      <c r="O53" s="1143"/>
    </row>
    <row r="54" spans="1:42" ht="4.5" customHeight="1">
      <c r="A54" s="2"/>
      <c r="B54" s="2"/>
      <c r="C54" s="61"/>
      <c r="D54" s="77"/>
      <c r="E54" s="61"/>
      <c r="F54" s="61"/>
      <c r="G54" s="61"/>
      <c r="H54" s="61"/>
      <c r="I54" s="61"/>
      <c r="J54" s="2"/>
      <c r="K54" s="2"/>
      <c r="L54" s="2"/>
      <c r="O54" s="2"/>
    </row>
    <row r="55" spans="1:42" ht="6" customHeight="1">
      <c r="A55" s="2"/>
      <c r="B55" s="2"/>
      <c r="C55" s="2"/>
      <c r="D55" s="1062"/>
      <c r="E55" s="2"/>
      <c r="F55" s="2"/>
      <c r="G55" s="2"/>
      <c r="H55" s="2"/>
      <c r="I55" s="2"/>
      <c r="J55" s="2"/>
      <c r="K55" s="2"/>
      <c r="L55" s="2"/>
      <c r="O55" s="2"/>
    </row>
    <row r="56" spans="1:42" ht="12.75" customHeight="1">
      <c r="A56" s="2"/>
      <c r="B56" s="2"/>
      <c r="C56" s="2"/>
      <c r="D56" s="1648">
        <f>+D52-C52</f>
        <v>2.1647905775580817E-2</v>
      </c>
      <c r="E56" s="2"/>
      <c r="F56" s="2"/>
      <c r="G56" s="2"/>
      <c r="H56" s="2"/>
      <c r="I56" s="2"/>
      <c r="J56" s="2"/>
      <c r="K56" s="2"/>
      <c r="L56" s="2"/>
      <c r="O56" s="2"/>
    </row>
    <row r="57" spans="1:42" ht="12.75" customHeight="1">
      <c r="A57" s="2"/>
      <c r="B57" s="2"/>
      <c r="C57" s="2"/>
      <c r="D57" s="1062"/>
      <c r="E57" s="2"/>
      <c r="F57" s="2"/>
      <c r="G57" s="2"/>
      <c r="H57" s="2"/>
      <c r="I57" s="2"/>
      <c r="J57" s="2"/>
      <c r="K57" s="2"/>
      <c r="L57" s="2"/>
      <c r="O57" s="2"/>
    </row>
    <row r="58" spans="1:42" ht="12.75" customHeight="1">
      <c r="A58" s="2"/>
      <c r="B58" s="2"/>
      <c r="C58" s="2"/>
      <c r="D58" s="1062"/>
      <c r="E58" s="2"/>
      <c r="F58" s="2"/>
      <c r="G58" s="2"/>
      <c r="H58" s="2"/>
      <c r="I58" s="2"/>
      <c r="J58" s="2"/>
      <c r="K58" s="2"/>
      <c r="L58" s="2"/>
      <c r="O58" s="2"/>
    </row>
    <row r="59" spans="1:42" ht="12.75" customHeight="1">
      <c r="A59" s="2"/>
      <c r="B59" s="2"/>
      <c r="C59" s="2"/>
      <c r="D59" s="1062"/>
      <c r="E59" s="2"/>
      <c r="F59" s="2"/>
      <c r="G59" s="2"/>
      <c r="H59" s="2"/>
      <c r="I59" s="2"/>
      <c r="J59" s="2"/>
      <c r="K59" s="2"/>
      <c r="L59" s="2"/>
      <c r="O59" s="2"/>
    </row>
    <row r="60" spans="1:42" ht="12.75" customHeight="1">
      <c r="A60" s="2"/>
      <c r="B60" s="2"/>
      <c r="C60" s="2"/>
      <c r="D60" s="1062"/>
      <c r="E60" s="2"/>
      <c r="F60" s="2"/>
      <c r="G60" s="2"/>
      <c r="H60" s="2"/>
      <c r="I60" s="2"/>
      <c r="J60" s="2"/>
      <c r="K60" s="2"/>
      <c r="L60" s="2"/>
      <c r="O60" s="2"/>
    </row>
    <row r="61" spans="1:42" ht="12.75" customHeight="1">
      <c r="A61" s="2"/>
      <c r="B61" s="2"/>
      <c r="C61" s="2"/>
      <c r="D61" s="1062"/>
      <c r="E61" s="2"/>
      <c r="F61" s="2"/>
      <c r="G61" s="2"/>
      <c r="H61" s="2"/>
      <c r="I61" s="2"/>
      <c r="J61" s="2"/>
      <c r="K61" s="2"/>
      <c r="L61" s="2"/>
      <c r="N61" s="69" t="s">
        <v>318</v>
      </c>
      <c r="P61" s="2"/>
      <c r="Q61" s="2"/>
      <c r="R61" s="2"/>
    </row>
    <row r="62" spans="1:42" ht="12.75" customHeight="1">
      <c r="A62" s="2"/>
      <c r="B62" s="2"/>
      <c r="C62" s="2"/>
      <c r="D62" s="1062"/>
      <c r="E62" s="2"/>
      <c r="F62" s="2"/>
      <c r="G62" s="2"/>
      <c r="H62" s="2"/>
      <c r="I62" s="2"/>
      <c r="J62" s="2"/>
      <c r="K62" s="2"/>
      <c r="L62" s="2"/>
      <c r="N62" s="2" t="s">
        <v>319</v>
      </c>
      <c r="O62" s="2" t="s">
        <v>320</v>
      </c>
      <c r="P62" s="2" t="s">
        <v>321</v>
      </c>
      <c r="Q62" s="98">
        <v>62.5</v>
      </c>
      <c r="R62" s="98"/>
    </row>
    <row r="63" spans="1:42" ht="12.75" customHeight="1">
      <c r="A63" s="2"/>
      <c r="B63" s="2"/>
      <c r="C63" s="2"/>
      <c r="D63" s="1062"/>
      <c r="E63" s="2"/>
      <c r="F63" s="2"/>
      <c r="G63" s="2"/>
      <c r="H63" s="2"/>
      <c r="I63" s="2"/>
      <c r="J63" s="2"/>
      <c r="K63" s="2"/>
      <c r="L63" s="2"/>
      <c r="N63" s="2"/>
      <c r="O63" s="2" t="s">
        <v>322</v>
      </c>
      <c r="P63" s="2" t="s">
        <v>321</v>
      </c>
      <c r="Q63" s="98">
        <v>87.5</v>
      </c>
      <c r="R63" s="98"/>
    </row>
    <row r="64" spans="1:42" ht="12.75" customHeight="1">
      <c r="A64" s="2"/>
      <c r="B64" s="2"/>
      <c r="C64" s="2"/>
      <c r="D64" s="1062"/>
      <c r="E64" s="2"/>
      <c r="F64" s="2"/>
      <c r="G64" s="2"/>
      <c r="H64" s="2"/>
      <c r="I64" s="2"/>
      <c r="J64" s="2"/>
      <c r="K64" s="2"/>
      <c r="L64" s="2"/>
      <c r="N64" s="2"/>
      <c r="O64" s="2" t="s">
        <v>323</v>
      </c>
      <c r="P64" s="2" t="s">
        <v>321</v>
      </c>
      <c r="Q64" s="98">
        <v>100</v>
      </c>
      <c r="R64" s="98"/>
    </row>
    <row r="65" spans="1:42" ht="12.75" customHeight="1">
      <c r="A65" s="2"/>
      <c r="B65" s="2"/>
      <c r="C65" s="2"/>
      <c r="D65" s="1062"/>
      <c r="E65" s="2"/>
      <c r="F65" s="2"/>
      <c r="G65" s="2"/>
      <c r="H65" s="2"/>
      <c r="I65" s="2"/>
      <c r="J65" s="2"/>
      <c r="K65" s="2"/>
      <c r="L65" s="2"/>
      <c r="N65" s="2"/>
      <c r="O65" s="2" t="s">
        <v>324</v>
      </c>
      <c r="P65" s="2" t="s">
        <v>321</v>
      </c>
      <c r="Q65" s="98">
        <v>112.5</v>
      </c>
      <c r="R65" s="98"/>
    </row>
    <row r="66" spans="1:42" ht="12.75" customHeight="1">
      <c r="A66" s="2"/>
      <c r="B66" s="2"/>
      <c r="C66" s="2"/>
      <c r="D66" s="1062"/>
      <c r="E66" s="2"/>
      <c r="F66" s="2"/>
      <c r="G66" s="2"/>
      <c r="H66" s="2"/>
      <c r="I66" s="2"/>
      <c r="J66" s="2"/>
      <c r="K66" s="2"/>
      <c r="L66" s="2"/>
      <c r="N66" s="2"/>
      <c r="O66" s="2" t="s">
        <v>325</v>
      </c>
      <c r="P66" s="2" t="s">
        <v>321</v>
      </c>
      <c r="Q66" s="98">
        <v>137.5</v>
      </c>
      <c r="R66" s="98"/>
    </row>
    <row r="67" spans="1:42" ht="12.75" customHeight="1">
      <c r="A67" s="2"/>
      <c r="B67" s="2"/>
      <c r="C67" s="2"/>
      <c r="D67" s="1062"/>
      <c r="E67" s="2"/>
      <c r="F67" s="2"/>
      <c r="G67" s="2"/>
      <c r="H67" s="2"/>
      <c r="I67" s="2"/>
      <c r="J67" s="2"/>
      <c r="K67" s="2"/>
      <c r="L67" s="2"/>
      <c r="N67" s="2"/>
      <c r="O67" s="2" t="s">
        <v>326</v>
      </c>
      <c r="P67" s="2" t="s">
        <v>321</v>
      </c>
      <c r="Q67" s="98">
        <v>162.5</v>
      </c>
      <c r="R67" s="98"/>
      <c r="Z67">
        <v>90</v>
      </c>
      <c r="AA67">
        <v>95</v>
      </c>
    </row>
    <row r="68" spans="1:42" ht="12.75" customHeight="1">
      <c r="A68" s="2"/>
      <c r="B68" s="2"/>
      <c r="C68" s="2"/>
      <c r="D68" s="1062"/>
      <c r="E68" s="2"/>
      <c r="F68" s="2"/>
      <c r="G68" s="2"/>
      <c r="H68" s="2"/>
      <c r="I68" s="2"/>
      <c r="J68" s="2"/>
      <c r="K68" s="2"/>
      <c r="L68" s="2"/>
      <c r="O68" s="2"/>
      <c r="S68" s="2"/>
      <c r="T68" s="2"/>
      <c r="U68" s="2"/>
      <c r="V68" s="2"/>
      <c r="W68" s="2"/>
      <c r="X68" s="2"/>
      <c r="Y68" s="2"/>
      <c r="Z68" s="2">
        <v>33</v>
      </c>
      <c r="AA68" s="2">
        <v>35</v>
      </c>
      <c r="AB68" s="2"/>
      <c r="AC68" s="2"/>
      <c r="AD68" s="2"/>
      <c r="AE68" s="2"/>
      <c r="AF68" s="2"/>
      <c r="AG68" s="2"/>
      <c r="AH68" s="2"/>
      <c r="AI68" s="2"/>
      <c r="AJ68" s="2"/>
      <c r="AK68" s="2"/>
      <c r="AL68" s="2"/>
      <c r="AM68" s="2"/>
      <c r="AN68" s="2"/>
      <c r="AO68" s="2"/>
      <c r="AP68" s="2"/>
    </row>
    <row r="69" spans="1:42" ht="12.75" customHeight="1">
      <c r="A69" s="2"/>
      <c r="B69" s="2"/>
      <c r="C69" s="2"/>
      <c r="D69" s="1062"/>
      <c r="E69" s="2"/>
      <c r="F69" s="2"/>
      <c r="G69" s="2"/>
      <c r="H69" s="2"/>
      <c r="I69" s="2"/>
      <c r="J69" s="2"/>
      <c r="K69" s="2"/>
      <c r="L69" s="2"/>
      <c r="O69" s="2"/>
      <c r="S69" s="2"/>
      <c r="T69" s="2"/>
      <c r="U69" s="2"/>
      <c r="V69" s="2"/>
      <c r="W69" s="2"/>
      <c r="X69" s="2"/>
      <c r="Y69" s="2"/>
      <c r="Z69" s="2">
        <f>+Z67+Z68</f>
        <v>123</v>
      </c>
      <c r="AA69" s="2">
        <f>+AA67+AA68</f>
        <v>130</v>
      </c>
      <c r="AB69" s="2"/>
      <c r="AC69" s="2"/>
      <c r="AD69" s="2"/>
      <c r="AE69" s="2"/>
      <c r="AF69" s="2"/>
      <c r="AG69" s="2"/>
      <c r="AH69" s="2"/>
      <c r="AI69" s="2"/>
      <c r="AJ69" s="2"/>
      <c r="AK69" s="2"/>
      <c r="AL69" s="2"/>
      <c r="AM69" s="2"/>
      <c r="AN69" s="2"/>
      <c r="AO69" s="2"/>
      <c r="AP69" s="2"/>
    </row>
    <row r="70" spans="1:42" ht="12.75" customHeight="1">
      <c r="A70" s="2"/>
      <c r="B70" s="2"/>
      <c r="C70" s="2"/>
      <c r="D70" s="1062"/>
      <c r="E70" s="2"/>
      <c r="F70" s="2"/>
      <c r="G70" s="2"/>
      <c r="H70" s="2"/>
      <c r="I70" s="2"/>
      <c r="J70" s="2"/>
      <c r="K70" s="2"/>
      <c r="L70" s="2"/>
      <c r="O70" s="2"/>
      <c r="S70" s="1" t="s">
        <v>1140</v>
      </c>
      <c r="T70" s="1"/>
      <c r="U70" s="2"/>
      <c r="V70" s="2"/>
      <c r="W70" s="2"/>
      <c r="X70" s="2"/>
      <c r="Y70" s="2"/>
      <c r="Z70" s="2"/>
      <c r="AA70" s="2"/>
      <c r="AB70" s="2"/>
      <c r="AC70" s="2"/>
      <c r="AD70" s="2"/>
      <c r="AE70" s="2"/>
      <c r="AF70" s="2"/>
      <c r="AG70" s="2"/>
      <c r="AH70" s="2"/>
      <c r="AI70" s="2"/>
      <c r="AJ70" s="2"/>
      <c r="AK70" s="2"/>
      <c r="AL70" s="2"/>
      <c r="AM70" s="2"/>
      <c r="AN70" s="2"/>
      <c r="AO70" s="2"/>
      <c r="AP70" s="2"/>
    </row>
    <row r="71" spans="1:42" ht="12.75" customHeight="1">
      <c r="A71" s="2"/>
      <c r="B71" s="2"/>
      <c r="C71" s="2"/>
      <c r="D71" s="1062"/>
      <c r="E71" s="2"/>
      <c r="F71" s="2"/>
      <c r="G71" s="2"/>
      <c r="H71" s="2"/>
      <c r="I71" s="2"/>
      <c r="J71" s="2"/>
      <c r="K71" s="2"/>
      <c r="L71" s="2"/>
      <c r="O71" s="2"/>
      <c r="S71" s="1"/>
      <c r="T71" s="1"/>
      <c r="U71" s="2"/>
      <c r="V71" s="2"/>
      <c r="W71" s="2"/>
      <c r="X71" s="2"/>
      <c r="Y71" s="2"/>
      <c r="Z71" s="2"/>
      <c r="AA71" s="2"/>
      <c r="AB71" s="2"/>
      <c r="AC71" s="2"/>
      <c r="AD71" s="2"/>
      <c r="AE71" s="2"/>
      <c r="AF71" s="2"/>
      <c r="AG71" s="2"/>
      <c r="AH71" s="2"/>
      <c r="AI71" s="2"/>
      <c r="AJ71" s="2"/>
      <c r="AK71" s="2"/>
      <c r="AL71" s="2"/>
      <c r="AM71" s="2"/>
      <c r="AN71" s="2"/>
      <c r="AO71" s="2"/>
      <c r="AP71" s="2"/>
    </row>
    <row r="72" spans="1:42" ht="12.75" customHeight="1">
      <c r="A72" s="2"/>
      <c r="B72" s="2"/>
      <c r="C72" s="2"/>
      <c r="D72" s="1062"/>
      <c r="E72" s="2"/>
      <c r="F72" s="2"/>
      <c r="G72" s="2"/>
      <c r="H72" s="2"/>
      <c r="I72" s="2"/>
      <c r="J72" s="2"/>
      <c r="K72" s="2"/>
      <c r="L72" s="2"/>
      <c r="O72" s="2"/>
      <c r="S72" s="2" t="s">
        <v>1144</v>
      </c>
      <c r="T72" s="2"/>
      <c r="U72" s="2"/>
      <c r="V72" s="2"/>
      <c r="W72" s="2"/>
      <c r="X72" s="2"/>
      <c r="Y72" s="2"/>
      <c r="Z72" s="2"/>
      <c r="AA72" s="2"/>
      <c r="AB72" s="2"/>
      <c r="AC72" s="2"/>
      <c r="AD72" s="2"/>
      <c r="AE72" s="2"/>
      <c r="AF72" s="2"/>
      <c r="AG72" s="2"/>
      <c r="AH72" s="2"/>
      <c r="AI72" s="2"/>
      <c r="AJ72" s="2"/>
      <c r="AK72" s="2"/>
      <c r="AL72" s="2"/>
      <c r="AM72" s="2"/>
      <c r="AN72" s="2"/>
      <c r="AO72" s="2"/>
      <c r="AP72" s="2"/>
    </row>
    <row r="73" spans="1:42" ht="12.75" customHeight="1">
      <c r="A73" s="2"/>
      <c r="B73" s="2"/>
      <c r="C73" s="2"/>
      <c r="D73" s="1062"/>
      <c r="E73" s="2"/>
      <c r="F73" s="2"/>
      <c r="G73" s="2"/>
      <c r="H73" s="2"/>
      <c r="I73" s="2"/>
      <c r="J73" s="2"/>
      <c r="K73" s="2"/>
      <c r="L73" s="2"/>
      <c r="O73" s="2"/>
      <c r="S73" s="2"/>
      <c r="T73" s="2"/>
      <c r="U73" s="2"/>
      <c r="V73" s="2"/>
      <c r="W73" s="2"/>
      <c r="X73" s="2"/>
      <c r="Y73" s="2"/>
      <c r="Z73" s="2"/>
      <c r="AA73" s="2"/>
      <c r="AB73" s="2"/>
      <c r="AC73" s="2"/>
      <c r="AD73" s="2"/>
      <c r="AE73" s="2"/>
      <c r="AF73" s="2"/>
      <c r="AG73" s="2"/>
      <c r="AH73" s="2"/>
      <c r="AI73" s="2"/>
      <c r="AJ73" s="2"/>
      <c r="AK73" s="2"/>
      <c r="AL73" s="2"/>
      <c r="AM73" s="2"/>
      <c r="AN73" s="2"/>
      <c r="AO73" s="2"/>
      <c r="AP73" s="2"/>
    </row>
    <row r="74" spans="1:42" ht="12.75" customHeight="1">
      <c r="A74" s="2"/>
      <c r="B74" s="2"/>
      <c r="C74" s="2"/>
      <c r="D74" s="1062"/>
      <c r="E74" s="2"/>
      <c r="F74" s="2"/>
      <c r="G74" s="2"/>
      <c r="H74" s="2"/>
      <c r="I74" s="2"/>
      <c r="J74" s="2"/>
      <c r="K74" s="2"/>
      <c r="L74" s="2"/>
      <c r="O74" s="2"/>
      <c r="S74" s="2"/>
      <c r="T74" s="2"/>
      <c r="U74" s="1197" t="s">
        <v>54</v>
      </c>
      <c r="V74" s="1197"/>
      <c r="W74" s="1197"/>
      <c r="X74" s="1196"/>
      <c r="Y74" s="1196"/>
      <c r="Z74" s="2"/>
      <c r="AA74" s="2"/>
      <c r="AB74" s="2"/>
      <c r="AC74" s="2"/>
      <c r="AD74" s="2"/>
      <c r="AE74" s="2"/>
      <c r="AF74" s="2"/>
      <c r="AG74" s="2"/>
      <c r="AH74" s="2"/>
      <c r="AI74" s="2"/>
      <c r="AJ74" s="2"/>
      <c r="AK74" s="2"/>
      <c r="AL74" s="2"/>
      <c r="AM74" s="2"/>
      <c r="AN74" s="2"/>
      <c r="AO74" s="2"/>
      <c r="AP74" s="2"/>
    </row>
    <row r="75" spans="1:42" ht="12.75" customHeight="1">
      <c r="A75" s="2"/>
      <c r="B75" s="2"/>
      <c r="C75" s="2"/>
      <c r="D75" s="1062"/>
      <c r="E75" s="2"/>
      <c r="F75" s="2"/>
      <c r="G75" s="2"/>
      <c r="H75" s="2"/>
      <c r="I75" s="2"/>
      <c r="J75" s="2"/>
      <c r="K75" s="2"/>
      <c r="L75" s="2"/>
      <c r="O75" s="2"/>
      <c r="S75" s="69"/>
      <c r="T75" s="69"/>
      <c r="U75" s="1289" t="s">
        <v>1142</v>
      </c>
      <c r="V75" s="1289"/>
      <c r="W75" s="1289" t="s">
        <v>1143</v>
      </c>
      <c r="X75" s="1289"/>
      <c r="Y75" s="1289" t="s">
        <v>829</v>
      </c>
      <c r="Z75" s="2"/>
      <c r="AA75" s="2"/>
      <c r="AB75" s="2"/>
      <c r="AC75" s="2"/>
      <c r="AD75" s="2"/>
      <c r="AE75" s="2"/>
      <c r="AF75" s="2"/>
      <c r="AG75" s="2"/>
      <c r="AH75" s="2"/>
      <c r="AI75" s="2"/>
      <c r="AJ75" s="2"/>
      <c r="AK75" s="2"/>
      <c r="AL75" s="2"/>
      <c r="AM75" s="2"/>
      <c r="AN75" s="2"/>
      <c r="AO75" s="2"/>
      <c r="AP75" s="2"/>
    </row>
    <row r="76" spans="1:42" ht="12.75" customHeight="1">
      <c r="A76" s="2"/>
      <c r="B76" s="2"/>
      <c r="C76" s="2"/>
      <c r="D76" s="1062"/>
      <c r="E76" s="2"/>
      <c r="F76" s="2"/>
      <c r="G76" s="2"/>
      <c r="H76" s="2"/>
      <c r="I76" s="2"/>
      <c r="J76" s="2"/>
      <c r="K76" s="2"/>
      <c r="L76" s="2"/>
      <c r="O76" s="2"/>
      <c r="S76" s="2" t="s">
        <v>935</v>
      </c>
      <c r="T76" s="2"/>
      <c r="U76" s="1102">
        <f>+BYD!AV21</f>
        <v>2482.8190000000004</v>
      </c>
      <c r="V76" s="98"/>
      <c r="W76" s="1102">
        <v>2468.3983692560482</v>
      </c>
      <c r="X76" s="98"/>
      <c r="Y76" s="105">
        <f>+U76/W76-1</f>
        <v>5.8421002555995027E-3</v>
      </c>
      <c r="Z76" s="2"/>
      <c r="AA76" s="2"/>
      <c r="AB76" s="2"/>
      <c r="AC76" s="2"/>
      <c r="AD76" s="2"/>
      <c r="AE76" s="2"/>
      <c r="AF76" s="2"/>
      <c r="AG76" s="2"/>
      <c r="AH76" s="2"/>
      <c r="AI76" s="2"/>
      <c r="AJ76" s="2"/>
      <c r="AK76" s="2"/>
      <c r="AL76" s="2"/>
      <c r="AM76" s="2"/>
      <c r="AN76" s="2"/>
      <c r="AO76" s="2"/>
      <c r="AP76" s="2"/>
    </row>
    <row r="77" spans="1:42" ht="12.75" customHeight="1">
      <c r="A77" s="2"/>
      <c r="B77" s="2"/>
      <c r="C77" s="2"/>
      <c r="D77" s="1062"/>
      <c r="E77" s="2"/>
      <c r="F77" s="2"/>
      <c r="G77" s="2"/>
      <c r="H77" s="2"/>
      <c r="I77" s="2"/>
      <c r="J77" s="2"/>
      <c r="K77" s="2"/>
      <c r="L77" s="2"/>
      <c r="O77" s="2"/>
      <c r="S77" s="2" t="s">
        <v>1141</v>
      </c>
      <c r="T77" s="2"/>
      <c r="U77" s="1102">
        <f>+BYD!AV51</f>
        <v>492.05100000000004</v>
      </c>
      <c r="V77" s="98"/>
      <c r="W77" s="1102">
        <v>552.51656262854067</v>
      </c>
      <c r="X77" s="98"/>
      <c r="Y77" s="105">
        <f>+U77/W77-1</f>
        <v>-0.10943665171027983</v>
      </c>
      <c r="Z77" s="2"/>
      <c r="AA77" s="2"/>
      <c r="AB77" s="2"/>
      <c r="AC77" s="2"/>
      <c r="AD77" s="2"/>
      <c r="AE77" s="2"/>
      <c r="AF77" s="2"/>
      <c r="AG77" s="2"/>
      <c r="AH77" s="2"/>
      <c r="AI77" s="2"/>
      <c r="AJ77" s="2"/>
      <c r="AK77" s="2"/>
      <c r="AL77" s="2"/>
      <c r="AM77" s="2"/>
      <c r="AN77" s="2"/>
      <c r="AO77" s="2"/>
      <c r="AP77" s="2"/>
    </row>
    <row r="78" spans="1:42" ht="12.75" customHeight="1">
      <c r="A78" s="2"/>
      <c r="B78" s="2"/>
      <c r="C78" s="2"/>
      <c r="D78" s="1062"/>
      <c r="E78" s="2"/>
      <c r="F78" s="2"/>
      <c r="G78" s="2"/>
      <c r="H78" s="2"/>
      <c r="I78" s="2"/>
      <c r="J78" s="2"/>
      <c r="K78" s="2"/>
      <c r="L78" s="2"/>
      <c r="O78" s="2"/>
      <c r="S78" s="2" t="s">
        <v>200</v>
      </c>
      <c r="T78" s="2"/>
      <c r="U78" s="1401">
        <f>+BYD!AV95</f>
        <v>-0.27977684479532566</v>
      </c>
      <c r="V78" s="1336"/>
      <c r="W78" s="1401">
        <v>0.29476081769725809</v>
      </c>
      <c r="X78" s="1336"/>
      <c r="Y78" s="105">
        <f>+U78/W78-1</f>
        <v>-1.9491656556696009</v>
      </c>
      <c r="Z78" s="2"/>
      <c r="AA78" s="2"/>
      <c r="AB78" s="2"/>
      <c r="AC78" s="2"/>
      <c r="AD78" s="2"/>
      <c r="AE78" s="2"/>
      <c r="AF78" s="2"/>
      <c r="AG78" s="2"/>
      <c r="AH78" s="2"/>
      <c r="AI78" s="2"/>
      <c r="AJ78" s="2"/>
      <c r="AK78" s="2"/>
      <c r="AL78" s="2"/>
      <c r="AM78" s="2"/>
      <c r="AN78" s="2"/>
      <c r="AO78" s="2"/>
      <c r="AP78" s="2"/>
    </row>
    <row r="79" spans="1:42" ht="12.75" customHeight="1">
      <c r="A79" s="2"/>
      <c r="B79" s="2"/>
      <c r="C79" s="2"/>
      <c r="D79" s="1062"/>
      <c r="E79" s="2"/>
      <c r="F79" s="2"/>
      <c r="G79" s="2"/>
      <c r="H79" s="2"/>
      <c r="I79" s="2"/>
      <c r="J79" s="2"/>
      <c r="K79" s="2"/>
      <c r="L79" s="2"/>
      <c r="O79" s="2"/>
      <c r="S79" s="2"/>
      <c r="T79" s="2"/>
      <c r="U79" s="2"/>
      <c r="V79" s="2"/>
      <c r="W79" s="2"/>
      <c r="X79" s="2"/>
      <c r="Y79" s="2"/>
      <c r="Z79" s="2"/>
      <c r="AA79" s="2"/>
      <c r="AB79" s="2"/>
      <c r="AC79" s="2"/>
      <c r="AD79" s="2"/>
      <c r="AE79" s="2"/>
      <c r="AF79" s="2"/>
      <c r="AG79" s="2"/>
      <c r="AH79" s="2"/>
      <c r="AI79" s="2"/>
      <c r="AJ79" s="2"/>
      <c r="AK79" s="2"/>
      <c r="AL79" s="2"/>
      <c r="AM79" s="2"/>
      <c r="AN79" s="2"/>
      <c r="AO79" s="2"/>
      <c r="AP79" s="2"/>
    </row>
    <row r="80" spans="1:42" ht="12.75" customHeight="1">
      <c r="A80" s="2"/>
      <c r="B80" s="2"/>
      <c r="C80" s="2"/>
      <c r="D80" s="1062"/>
      <c r="E80" s="2"/>
      <c r="F80" s="2"/>
      <c r="G80" s="2"/>
      <c r="H80" s="2"/>
      <c r="I80" s="2"/>
      <c r="J80" s="2"/>
      <c r="K80" s="2"/>
      <c r="L80" s="2"/>
      <c r="O80" s="2"/>
      <c r="S80" s="2"/>
      <c r="T80" s="2"/>
      <c r="U80" s="2"/>
      <c r="V80" s="2"/>
      <c r="W80" s="2"/>
      <c r="X80" s="2"/>
      <c r="Y80" s="2"/>
      <c r="Z80" s="2"/>
      <c r="AA80" s="1" t="s">
        <v>1646</v>
      </c>
      <c r="AB80" s="2"/>
      <c r="AC80" s="2"/>
      <c r="AD80" s="2"/>
      <c r="AE80" s="2"/>
      <c r="AF80" s="105"/>
      <c r="AG80" s="2"/>
      <c r="AH80" s="2"/>
      <c r="AI80" s="2"/>
      <c r="AJ80" s="2"/>
      <c r="AK80" s="2"/>
      <c r="AL80" s="2"/>
      <c r="AM80" s="2"/>
      <c r="AN80" s="2"/>
      <c r="AO80" s="2"/>
      <c r="AP80" s="2"/>
    </row>
    <row r="81" spans="1:42" ht="12.75" customHeight="1">
      <c r="A81" s="2"/>
      <c r="B81" s="2"/>
      <c r="C81" s="2"/>
      <c r="D81" s="1062"/>
      <c r="E81" s="2"/>
      <c r="F81" s="2"/>
      <c r="G81" s="2"/>
      <c r="H81" s="2"/>
      <c r="I81" s="2"/>
      <c r="J81" s="2"/>
      <c r="K81" s="2"/>
      <c r="L81" s="2"/>
      <c r="O81" s="2"/>
      <c r="S81" s="2"/>
      <c r="T81" s="2"/>
      <c r="U81" s="2"/>
      <c r="V81" s="2"/>
      <c r="W81" s="2"/>
      <c r="X81" s="2"/>
      <c r="Y81" s="2"/>
      <c r="Z81" s="2"/>
      <c r="AA81" s="2"/>
      <c r="AB81" s="2"/>
      <c r="AC81" s="2"/>
      <c r="AD81" s="2"/>
      <c r="AE81" s="2"/>
      <c r="AF81" s="105"/>
      <c r="AG81" s="2"/>
      <c r="AH81" s="2"/>
      <c r="AI81" s="2"/>
      <c r="AJ81" s="2"/>
      <c r="AK81" s="2"/>
      <c r="AL81" s="2"/>
      <c r="AM81" s="2"/>
      <c r="AN81" s="2"/>
      <c r="AO81" s="2"/>
      <c r="AP81" s="2"/>
    </row>
    <row r="82" spans="1:42" ht="12.75" customHeight="1">
      <c r="A82" s="2"/>
      <c r="B82" s="2"/>
      <c r="C82" s="2"/>
      <c r="D82" s="1062"/>
      <c r="E82" s="2"/>
      <c r="F82" s="2"/>
      <c r="G82" s="2"/>
      <c r="H82" s="2"/>
      <c r="I82" s="2"/>
      <c r="J82" s="2"/>
      <c r="K82" s="2"/>
      <c r="L82" s="2"/>
      <c r="O82" s="2"/>
      <c r="S82" s="2"/>
      <c r="T82" s="2"/>
      <c r="U82" s="2"/>
      <c r="V82" s="2"/>
      <c r="W82" s="2"/>
      <c r="X82" s="2"/>
      <c r="Y82" s="2"/>
      <c r="Z82" s="2"/>
      <c r="AA82" s="2"/>
      <c r="AB82" s="1432" t="s">
        <v>1647</v>
      </c>
      <c r="AC82" s="1432"/>
      <c r="AD82" s="1432" t="s">
        <v>727</v>
      </c>
      <c r="AE82" s="1432"/>
      <c r="AF82" s="1432">
        <v>2012</v>
      </c>
      <c r="AG82" s="2"/>
      <c r="AH82" s="2"/>
      <c r="AI82" s="2">
        <f>34.5+75.5</f>
        <v>110</v>
      </c>
      <c r="AJ82" s="2"/>
      <c r="AK82" s="2"/>
      <c r="AL82" s="2"/>
      <c r="AM82" s="2"/>
      <c r="AN82" s="2"/>
      <c r="AO82" s="2"/>
      <c r="AP82" s="2"/>
    </row>
    <row r="83" spans="1:42" ht="12.75" customHeight="1">
      <c r="A83" s="2"/>
      <c r="B83" s="2"/>
      <c r="C83" s="2"/>
      <c r="D83" s="1062"/>
      <c r="E83" s="2"/>
      <c r="F83" s="2"/>
      <c r="G83" s="2"/>
      <c r="H83" s="2"/>
      <c r="I83" s="2"/>
      <c r="J83" s="2"/>
      <c r="K83" s="2"/>
      <c r="L83" s="2"/>
      <c r="O83" s="2"/>
      <c r="S83" s="2"/>
      <c r="T83" s="2"/>
      <c r="U83" s="2"/>
      <c r="V83" s="2"/>
      <c r="W83" s="2"/>
      <c r="X83" s="2"/>
      <c r="Y83" s="2"/>
      <c r="Z83" s="2"/>
      <c r="AA83" s="2" t="s">
        <v>1719</v>
      </c>
      <c r="AB83" s="1423">
        <v>626</v>
      </c>
      <c r="AC83" s="1082"/>
      <c r="AD83" s="1423">
        <v>624</v>
      </c>
      <c r="AE83" s="1423"/>
      <c r="AF83" s="1423">
        <v>2483.9</v>
      </c>
      <c r="AG83" s="2"/>
      <c r="AH83" s="2"/>
      <c r="AI83" s="2">
        <f>78+37</f>
        <v>115</v>
      </c>
      <c r="AJ83" s="2"/>
      <c r="AK83" s="2"/>
      <c r="AL83" s="2"/>
      <c r="AM83" s="2"/>
      <c r="AN83" s="2"/>
      <c r="AO83" s="2"/>
      <c r="AP83" s="2"/>
    </row>
    <row r="84" spans="1:42" ht="12.75" customHeight="1">
      <c r="A84" s="2"/>
      <c r="B84" s="2"/>
      <c r="C84" s="2"/>
      <c r="D84" s="1062"/>
      <c r="E84" s="2"/>
      <c r="F84" s="2"/>
      <c r="G84" s="2"/>
      <c r="H84" s="2"/>
      <c r="I84" s="2"/>
      <c r="J84" s="2"/>
      <c r="K84" s="2"/>
      <c r="L84" s="2"/>
      <c r="O84" s="2"/>
      <c r="S84" s="2"/>
      <c r="T84" s="2"/>
      <c r="U84" s="2"/>
      <c r="V84" s="2"/>
      <c r="W84" s="2"/>
      <c r="X84" s="2"/>
      <c r="Y84" s="2"/>
      <c r="Z84" s="2"/>
      <c r="AA84" s="2" t="s">
        <v>401</v>
      </c>
      <c r="AB84" s="1423">
        <v>125.7</v>
      </c>
      <c r="AC84" s="1082"/>
      <c r="AD84" s="1423">
        <v>129.19999999999999</v>
      </c>
      <c r="AE84" s="1423"/>
      <c r="AF84" s="1423">
        <v>498.8</v>
      </c>
      <c r="AG84" s="2"/>
      <c r="AH84" s="2"/>
      <c r="AI84" s="2"/>
      <c r="AJ84" s="2"/>
      <c r="AK84" s="2"/>
      <c r="AL84" s="2"/>
      <c r="AM84" s="2"/>
      <c r="AN84" s="2"/>
      <c r="AO84" s="2"/>
      <c r="AP84" s="2"/>
    </row>
    <row r="85" spans="1:42" ht="12.75" customHeight="1">
      <c r="A85" s="2"/>
      <c r="B85" s="2"/>
      <c r="C85" s="2"/>
      <c r="D85" s="1062"/>
      <c r="E85" s="2"/>
      <c r="F85" s="2"/>
      <c r="G85" s="2"/>
      <c r="H85" s="2"/>
      <c r="I85" s="2"/>
      <c r="J85" s="2"/>
      <c r="K85" s="2"/>
      <c r="L85" s="2"/>
      <c r="O85" s="2"/>
      <c r="S85" s="2"/>
      <c r="T85" s="2"/>
      <c r="U85" s="2"/>
      <c r="V85" s="2"/>
      <c r="W85" s="2"/>
      <c r="X85" s="2"/>
      <c r="Y85" s="2"/>
      <c r="Z85" s="2"/>
      <c r="AA85" s="2" t="s">
        <v>200</v>
      </c>
      <c r="AB85" s="1068">
        <v>0.09</v>
      </c>
      <c r="AC85" s="1118"/>
      <c r="AD85" s="1068">
        <v>0.1</v>
      </c>
      <c r="AE85" s="1068"/>
      <c r="AF85" s="1068">
        <v>0.28000000000000003</v>
      </c>
      <c r="AG85" s="2"/>
      <c r="AH85" s="2"/>
      <c r="AI85" s="2"/>
      <c r="AJ85" s="2"/>
      <c r="AK85" s="2"/>
      <c r="AL85" s="2"/>
      <c r="AM85" s="2"/>
      <c r="AN85" s="2"/>
      <c r="AO85" s="2"/>
      <c r="AP85" s="2"/>
    </row>
    <row r="86" spans="1:42" ht="12.75" customHeight="1">
      <c r="A86" s="2"/>
      <c r="B86" s="2"/>
      <c r="C86" s="2"/>
      <c r="D86" s="1062"/>
      <c r="E86" s="2"/>
      <c r="F86" s="2"/>
      <c r="G86" s="2"/>
      <c r="H86" s="2"/>
      <c r="I86" s="2"/>
      <c r="J86" s="2"/>
      <c r="K86" s="2"/>
      <c r="L86" s="2"/>
      <c r="O86" s="2"/>
      <c r="S86" s="2"/>
      <c r="T86" s="2"/>
      <c r="U86" s="2"/>
      <c r="V86" s="2"/>
      <c r="W86" s="2"/>
      <c r="X86" s="2"/>
      <c r="Y86" s="2"/>
      <c r="Z86" s="2"/>
      <c r="AA86" s="2"/>
      <c r="AB86" s="2"/>
      <c r="AC86" s="2"/>
      <c r="AD86" s="2"/>
      <c r="AE86" s="2"/>
      <c r="AF86" s="2"/>
      <c r="AG86" s="2"/>
      <c r="AH86" s="2"/>
      <c r="AI86" s="2"/>
      <c r="AJ86" s="2"/>
      <c r="AK86" s="2"/>
      <c r="AL86" s="2"/>
      <c r="AM86" s="2"/>
      <c r="AN86" s="2"/>
      <c r="AO86" s="2"/>
      <c r="AP86" s="2"/>
    </row>
    <row r="87" spans="1:42" ht="12.75" customHeight="1">
      <c r="A87" s="2"/>
      <c r="B87" s="2"/>
      <c r="C87" s="2"/>
      <c r="D87" s="1062"/>
      <c r="E87" s="2"/>
      <c r="F87" s="2"/>
      <c r="G87" s="2"/>
      <c r="H87" s="2"/>
      <c r="I87" s="2"/>
      <c r="J87" s="2"/>
      <c r="K87" s="2"/>
      <c r="L87" s="2"/>
      <c r="O87" s="2"/>
      <c r="S87" s="2"/>
      <c r="T87" s="2"/>
      <c r="U87" s="2"/>
      <c r="V87" s="2"/>
      <c r="W87" s="2"/>
      <c r="X87" s="2"/>
      <c r="Y87" s="2"/>
      <c r="Z87" s="2"/>
      <c r="AA87" s="2"/>
      <c r="AB87" s="2"/>
      <c r="AC87" s="2"/>
      <c r="AD87" s="2"/>
      <c r="AE87" s="2"/>
      <c r="AF87" s="2"/>
      <c r="AG87" s="2"/>
      <c r="AH87" s="69" t="s">
        <v>778</v>
      </c>
      <c r="AP87" s="2"/>
    </row>
    <row r="88" spans="1:42" ht="12.75" customHeight="1">
      <c r="A88" s="2"/>
      <c r="B88" s="2"/>
      <c r="C88" s="2"/>
      <c r="D88" s="1062"/>
      <c r="E88" s="2"/>
      <c r="F88" s="2"/>
      <c r="G88" s="2"/>
      <c r="H88" s="2"/>
      <c r="I88" s="2"/>
      <c r="J88" s="2"/>
      <c r="K88" s="2"/>
      <c r="L88" s="2"/>
      <c r="O88" s="2"/>
      <c r="S88" s="2"/>
      <c r="T88" s="2"/>
      <c r="U88" s="2"/>
      <c r="V88" s="2"/>
      <c r="W88" s="2"/>
      <c r="X88" s="2"/>
      <c r="Y88" s="2"/>
      <c r="Z88" s="2"/>
      <c r="AA88" s="2"/>
      <c r="AB88" s="2"/>
      <c r="AC88" s="2"/>
      <c r="AD88" s="2"/>
      <c r="AE88" s="2"/>
      <c r="AF88" s="2"/>
      <c r="AG88" s="2"/>
      <c r="AH88" s="69"/>
      <c r="AP88" s="2"/>
    </row>
    <row r="89" spans="1:42" ht="12.75" customHeight="1">
      <c r="A89" s="2"/>
      <c r="B89" s="2"/>
      <c r="C89" s="2"/>
      <c r="D89" s="1062"/>
      <c r="E89" s="2"/>
      <c r="F89" s="2"/>
      <c r="G89" s="2"/>
      <c r="H89" s="2"/>
      <c r="I89" s="2"/>
      <c r="J89" s="2"/>
      <c r="K89" s="2"/>
      <c r="L89" s="2"/>
      <c r="O89" s="2"/>
      <c r="S89" s="2"/>
      <c r="T89" s="2"/>
      <c r="U89" s="2"/>
      <c r="V89" s="2"/>
      <c r="W89" s="2"/>
      <c r="X89" s="2"/>
      <c r="Y89" s="2"/>
      <c r="Z89" s="2"/>
      <c r="AA89" s="2"/>
      <c r="AB89" s="2"/>
      <c r="AC89" s="2"/>
      <c r="AD89" s="2"/>
      <c r="AE89" s="2"/>
      <c r="AF89" s="2"/>
      <c r="AG89" s="2"/>
      <c r="AH89" s="1447"/>
      <c r="AI89" s="1449"/>
      <c r="AJ89" s="1447"/>
      <c r="AK89" s="1447"/>
      <c r="AL89" s="1447"/>
      <c r="AM89" s="1447"/>
      <c r="AN89" s="1447"/>
      <c r="AO89" s="1447"/>
      <c r="AP89" s="2"/>
    </row>
    <row r="90" spans="1:42" ht="12.75" customHeight="1">
      <c r="A90" s="2"/>
      <c r="B90" s="2"/>
      <c r="C90" s="2"/>
      <c r="D90" s="1062"/>
      <c r="E90" s="2"/>
      <c r="F90" s="2"/>
      <c r="G90" s="2"/>
      <c r="H90" s="2"/>
      <c r="I90" s="2"/>
      <c r="J90" s="2"/>
      <c r="K90" s="2"/>
      <c r="L90" s="2"/>
      <c r="O90" s="2"/>
      <c r="S90" s="2"/>
      <c r="T90" s="2"/>
      <c r="U90" s="2"/>
      <c r="V90" s="2"/>
      <c r="W90" s="2"/>
      <c r="X90" s="2"/>
      <c r="Y90" s="2"/>
      <c r="Z90" s="2"/>
      <c r="AA90" s="2"/>
      <c r="AB90" s="2"/>
      <c r="AC90" s="2"/>
      <c r="AD90" s="2"/>
      <c r="AE90" s="2"/>
      <c r="AF90" s="2"/>
      <c r="AG90" s="2"/>
      <c r="AH90" s="111" t="s">
        <v>1610</v>
      </c>
      <c r="AI90" s="1289" t="s">
        <v>552</v>
      </c>
      <c r="AJ90" s="1448"/>
      <c r="AK90" s="1289" t="s">
        <v>1611</v>
      </c>
      <c r="AL90" s="1629"/>
      <c r="AM90" s="1629"/>
      <c r="AN90" s="1629"/>
      <c r="AO90" s="1629"/>
      <c r="AP90" s="2"/>
    </row>
    <row r="91" spans="1:42" ht="3" customHeight="1">
      <c r="A91" s="2"/>
      <c r="B91" s="2"/>
      <c r="C91" s="2"/>
      <c r="D91" s="1062"/>
      <c r="E91" s="2"/>
      <c r="F91" s="2"/>
      <c r="G91" s="2"/>
      <c r="H91" s="2"/>
      <c r="I91" s="2"/>
      <c r="J91" s="2"/>
      <c r="K91" s="2"/>
      <c r="L91" s="2"/>
      <c r="O91" s="2"/>
      <c r="S91" s="2"/>
      <c r="T91" s="2"/>
      <c r="U91" s="2"/>
      <c r="V91" s="2"/>
      <c r="W91" s="2"/>
      <c r="X91" s="2"/>
      <c r="Y91" s="2"/>
      <c r="Z91" s="2"/>
      <c r="AA91" s="2"/>
      <c r="AB91" s="2"/>
      <c r="AC91" s="2"/>
      <c r="AD91" s="2"/>
      <c r="AE91" s="2"/>
      <c r="AF91" s="2"/>
      <c r="AG91" s="2"/>
      <c r="AH91" s="69"/>
      <c r="AI91" s="1449"/>
      <c r="AJ91" s="1449"/>
      <c r="AK91" s="1449"/>
      <c r="AL91" s="1449"/>
      <c r="AM91" s="1449"/>
      <c r="AN91" s="1449"/>
      <c r="AO91" s="1449"/>
      <c r="AP91" s="2"/>
    </row>
    <row r="92" spans="1:42" ht="12.75" customHeight="1">
      <c r="A92" s="2"/>
      <c r="B92" s="2"/>
      <c r="C92" s="2"/>
      <c r="D92" s="1062"/>
      <c r="E92" s="2"/>
      <c r="F92" s="2"/>
      <c r="G92" s="2"/>
      <c r="H92" s="2"/>
      <c r="I92" s="2"/>
      <c r="J92" s="2"/>
      <c r="K92" s="2"/>
      <c r="L92" s="2"/>
      <c r="O92" s="2"/>
      <c r="S92" s="2"/>
      <c r="T92" s="2"/>
      <c r="U92" s="2"/>
      <c r="V92" s="2"/>
      <c r="W92" s="2"/>
      <c r="X92" s="2"/>
      <c r="Y92" s="2"/>
      <c r="Z92" s="2"/>
      <c r="AA92" s="2"/>
      <c r="AB92" s="2"/>
      <c r="AC92" s="2"/>
      <c r="AD92" s="2"/>
      <c r="AE92" s="2"/>
      <c r="AF92" s="2"/>
      <c r="AG92" s="2"/>
      <c r="AH92" s="1447" t="s">
        <v>1612</v>
      </c>
      <c r="AI92" s="2"/>
      <c r="AJ92" s="2"/>
      <c r="AK92" s="2"/>
      <c r="AL92" s="2"/>
      <c r="AM92" s="2"/>
      <c r="AN92" s="2"/>
      <c r="AO92" s="2"/>
      <c r="AP92" s="2"/>
    </row>
    <row r="93" spans="1:42" ht="12.75" customHeight="1">
      <c r="A93" s="2"/>
      <c r="B93" s="2"/>
      <c r="C93" s="2"/>
      <c r="D93" s="1062"/>
      <c r="E93" s="2"/>
      <c r="F93" s="2"/>
      <c r="G93" s="2"/>
      <c r="H93" s="2"/>
      <c r="I93" s="2"/>
      <c r="J93" s="2"/>
      <c r="K93" s="2"/>
      <c r="L93" s="2"/>
      <c r="O93" s="2"/>
      <c r="S93" s="2"/>
      <c r="T93" s="2"/>
      <c r="U93" s="2"/>
      <c r="V93" s="2"/>
      <c r="W93" s="2"/>
      <c r="X93" s="2"/>
      <c r="Y93" s="2"/>
      <c r="Z93" s="2"/>
      <c r="AA93" s="2"/>
      <c r="AB93" s="2"/>
      <c r="AC93" s="2"/>
      <c r="AD93" s="2"/>
      <c r="AE93" s="2"/>
      <c r="AF93" s="2"/>
      <c r="AG93" s="2"/>
      <c r="AH93" s="1447" t="s">
        <v>1613</v>
      </c>
      <c r="AI93" s="1614" t="s">
        <v>779</v>
      </c>
      <c r="AJ93" s="1449"/>
      <c r="AK93" s="1465">
        <f>+SUM(BYD!AR38:AR41,BYD!AR54)</f>
        <v>94.921000000000006</v>
      </c>
      <c r="AL93" s="1450"/>
      <c r="AM93" s="1450"/>
      <c r="AN93" s="1450"/>
      <c r="AO93" s="1450"/>
      <c r="AP93" s="2"/>
    </row>
    <row r="94" spans="1:42" ht="6" customHeight="1">
      <c r="A94" s="2"/>
      <c r="B94" s="2"/>
      <c r="C94" s="2"/>
      <c r="D94" s="1062"/>
      <c r="E94" s="2"/>
      <c r="F94" s="2"/>
      <c r="G94" s="2"/>
      <c r="H94" s="2"/>
      <c r="I94" s="2"/>
      <c r="J94" s="2"/>
      <c r="K94" s="2"/>
      <c r="L94" s="2"/>
      <c r="O94" s="2"/>
      <c r="S94" s="2"/>
      <c r="T94" s="2"/>
      <c r="U94" s="2"/>
      <c r="V94" s="2"/>
      <c r="W94" s="2"/>
      <c r="X94" s="2"/>
      <c r="Y94" s="2"/>
      <c r="Z94" s="2"/>
      <c r="AA94" s="2"/>
      <c r="AB94" s="2"/>
      <c r="AC94" s="2"/>
      <c r="AD94" s="2"/>
      <c r="AE94" s="2"/>
      <c r="AF94" s="2"/>
      <c r="AG94" s="2"/>
      <c r="AH94" s="1447"/>
      <c r="AI94" s="1614"/>
      <c r="AJ94" s="1449"/>
      <c r="AK94" s="1450"/>
      <c r="AL94" s="1450"/>
      <c r="AM94" s="1450"/>
      <c r="AN94" s="1450"/>
      <c r="AO94" s="1450"/>
      <c r="AP94" s="2"/>
    </row>
    <row r="95" spans="1:42" ht="12.75" customHeight="1">
      <c r="A95" s="2"/>
      <c r="B95" s="2"/>
      <c r="C95" s="2"/>
      <c r="D95" s="1062"/>
      <c r="E95" s="2"/>
      <c r="F95" s="2"/>
      <c r="G95" s="2"/>
      <c r="H95" s="2"/>
      <c r="I95" s="2"/>
      <c r="J95" s="2"/>
      <c r="K95" s="2"/>
      <c r="L95" s="2"/>
      <c r="O95" s="2"/>
      <c r="S95" s="2"/>
      <c r="T95" s="2"/>
      <c r="U95" s="2"/>
      <c r="V95" s="2"/>
      <c r="W95" s="2"/>
      <c r="X95" s="2"/>
      <c r="Y95" s="2"/>
      <c r="Z95" s="2"/>
      <c r="AA95" s="2"/>
      <c r="AB95" s="2"/>
      <c r="AC95" s="2"/>
      <c r="AD95" s="2"/>
      <c r="AE95" s="2"/>
      <c r="AF95" s="2"/>
      <c r="AG95" s="2"/>
      <c r="AH95" s="1447" t="s">
        <v>1614</v>
      </c>
      <c r="AI95" s="1615" t="s">
        <v>780</v>
      </c>
      <c r="AJ95" s="1449"/>
      <c r="AK95" s="1450">
        <f>+BYD!AR45</f>
        <v>38.881</v>
      </c>
      <c r="AL95" s="1465"/>
      <c r="AM95" s="1465"/>
      <c r="AN95" s="1465"/>
      <c r="AO95" s="1465"/>
      <c r="AP95" s="2"/>
    </row>
    <row r="96" spans="1:42" ht="6" customHeight="1">
      <c r="A96" s="2"/>
      <c r="B96" s="2"/>
      <c r="C96" s="2"/>
      <c r="D96" s="1062"/>
      <c r="E96" s="2"/>
      <c r="F96" s="2"/>
      <c r="G96" s="2"/>
      <c r="H96" s="2"/>
      <c r="I96" s="2"/>
      <c r="J96" s="2"/>
      <c r="K96" s="2"/>
      <c r="L96" s="2"/>
      <c r="O96" s="2"/>
      <c r="S96" s="2"/>
      <c r="T96" s="2"/>
      <c r="U96" s="2"/>
      <c r="V96" s="2"/>
      <c r="W96" s="2"/>
      <c r="X96" s="2"/>
      <c r="Y96" s="2"/>
      <c r="Z96" s="2"/>
      <c r="AA96" s="2"/>
      <c r="AB96" s="2"/>
      <c r="AC96" s="2"/>
      <c r="AD96" s="2"/>
      <c r="AE96" s="2"/>
      <c r="AF96" s="2"/>
      <c r="AG96" s="2"/>
      <c r="AH96" s="1447"/>
      <c r="AI96" s="1614"/>
      <c r="AJ96" s="1449"/>
      <c r="AK96" s="1450"/>
      <c r="AL96" s="1450"/>
      <c r="AM96" s="1450"/>
      <c r="AN96" s="1450"/>
      <c r="AO96" s="1450"/>
      <c r="AP96" s="2"/>
    </row>
    <row r="97" spans="1:42" ht="12.75" customHeight="1">
      <c r="A97" s="2"/>
      <c r="B97" s="2"/>
      <c r="C97" s="2"/>
      <c r="D97" s="1062"/>
      <c r="E97" s="2"/>
      <c r="F97" s="2"/>
      <c r="G97" s="2"/>
      <c r="H97" s="2"/>
      <c r="I97" s="2"/>
      <c r="J97" s="2"/>
      <c r="K97" s="2"/>
      <c r="L97" s="2"/>
      <c r="O97" s="2"/>
      <c r="S97" s="2"/>
      <c r="T97" s="2"/>
      <c r="U97" s="2"/>
      <c r="V97" s="2"/>
      <c r="W97" s="2"/>
      <c r="X97" s="2"/>
      <c r="Y97" s="2"/>
      <c r="Z97" s="2"/>
      <c r="AA97" s="2"/>
      <c r="AB97" s="2"/>
      <c r="AC97" s="2"/>
      <c r="AD97" s="2"/>
      <c r="AE97" s="2"/>
      <c r="AF97" s="2"/>
      <c r="AG97" s="2"/>
      <c r="AH97" s="1447" t="s">
        <v>1615</v>
      </c>
      <c r="AI97" s="1614" t="s">
        <v>781</v>
      </c>
      <c r="AJ97" s="1449"/>
      <c r="AK97" s="1466">
        <f>+BYD!AR95</f>
        <v>9.5650493822950905E-2</v>
      </c>
      <c r="AL97" s="1466"/>
      <c r="AM97" s="1466"/>
      <c r="AN97" s="1466"/>
      <c r="AO97" s="1466"/>
      <c r="AP97" s="2"/>
    </row>
    <row r="98" spans="1:42" ht="6" customHeight="1">
      <c r="A98" s="2"/>
      <c r="B98" s="2"/>
      <c r="C98" s="2"/>
      <c r="D98" s="1062"/>
      <c r="E98" s="2"/>
      <c r="F98" s="2"/>
      <c r="G98" s="2"/>
      <c r="H98" s="2"/>
      <c r="I98" s="2"/>
      <c r="J98" s="2"/>
      <c r="K98" s="2"/>
      <c r="L98" s="2"/>
      <c r="O98" s="2"/>
      <c r="S98" s="2"/>
      <c r="T98" s="2"/>
      <c r="U98" s="2"/>
      <c r="V98" s="2"/>
      <c r="W98" s="2"/>
      <c r="X98" s="2"/>
      <c r="Y98" s="2"/>
      <c r="Z98" s="2"/>
      <c r="AA98" s="2"/>
      <c r="AB98" s="2"/>
      <c r="AC98" s="2"/>
      <c r="AD98" s="2"/>
      <c r="AE98" s="2"/>
      <c r="AF98" s="2"/>
      <c r="AG98" s="2"/>
      <c r="AH98" s="1447"/>
      <c r="AI98" s="1450"/>
      <c r="AJ98" s="1449"/>
      <c r="AK98" s="1449"/>
      <c r="AL98" s="1449"/>
      <c r="AM98" s="1449"/>
      <c r="AN98" s="1449"/>
      <c r="AO98" s="1449"/>
      <c r="AP98" s="2"/>
    </row>
    <row r="99" spans="1:42" ht="12.75" customHeight="1">
      <c r="A99" s="2"/>
      <c r="B99" s="2"/>
      <c r="C99" s="2"/>
      <c r="D99" s="1062"/>
      <c r="E99" s="2"/>
      <c r="F99" s="2"/>
      <c r="G99" s="2"/>
      <c r="H99" s="2"/>
      <c r="I99" s="2"/>
      <c r="J99" s="2"/>
      <c r="K99" s="2"/>
      <c r="L99" s="2"/>
      <c r="O99" s="2"/>
      <c r="S99" s="2"/>
      <c r="T99" s="2"/>
      <c r="U99" s="2"/>
      <c r="V99" s="2"/>
      <c r="W99" s="2"/>
      <c r="X99" s="2"/>
      <c r="Y99" s="2"/>
      <c r="Z99" s="2"/>
      <c r="AA99" s="2"/>
      <c r="AB99" s="2"/>
      <c r="AC99" s="2"/>
      <c r="AD99" s="2"/>
      <c r="AE99" s="2"/>
      <c r="AF99" s="2"/>
      <c r="AG99" s="2"/>
      <c r="AH99" s="2"/>
      <c r="AI99" s="2"/>
      <c r="AJ99" s="2"/>
      <c r="AK99" s="2"/>
      <c r="AL99" s="2"/>
      <c r="AM99" s="2"/>
      <c r="AN99" s="2"/>
      <c r="AO99" s="2"/>
      <c r="AP99" s="2"/>
    </row>
    <row r="100" spans="1:42" ht="12.75" customHeight="1">
      <c r="A100" s="2"/>
      <c r="B100" s="2"/>
      <c r="C100" s="2"/>
      <c r="D100" s="1062"/>
      <c r="E100" s="2"/>
      <c r="F100" s="2"/>
      <c r="G100" s="2"/>
      <c r="H100" s="2"/>
      <c r="I100" s="2"/>
      <c r="J100" s="2"/>
      <c r="K100" s="2"/>
      <c r="L100" s="2"/>
      <c r="O100" s="2"/>
      <c r="S100" s="2"/>
      <c r="T100" s="2"/>
      <c r="U100" s="2"/>
      <c r="V100" s="2"/>
      <c r="W100" s="2"/>
      <c r="X100" s="2"/>
      <c r="Y100" s="2"/>
      <c r="Z100" s="2"/>
      <c r="AA100" s="2"/>
      <c r="AB100" s="2"/>
      <c r="AC100" s="2"/>
      <c r="AD100" s="2"/>
      <c r="AE100" s="2"/>
      <c r="AF100" s="2"/>
      <c r="AG100" s="2"/>
      <c r="AH100" s="2"/>
      <c r="AI100" s="2">
        <f>88+32</f>
        <v>120</v>
      </c>
      <c r="AJ100" s="2"/>
      <c r="AK100" s="2"/>
      <c r="AL100" s="2"/>
      <c r="AM100" s="69" t="s">
        <v>728</v>
      </c>
    </row>
    <row r="101" spans="1:42" ht="12.75" customHeight="1">
      <c r="A101" s="2"/>
      <c r="B101" s="2"/>
      <c r="C101" s="2"/>
      <c r="D101" s="1062"/>
      <c r="E101" s="2"/>
      <c r="F101" s="2"/>
      <c r="G101" s="2"/>
      <c r="H101" s="2"/>
      <c r="I101" s="2"/>
      <c r="J101" s="2"/>
      <c r="K101" s="2"/>
      <c r="L101" s="2"/>
      <c r="O101" s="2"/>
      <c r="S101" s="2"/>
      <c r="T101" s="2"/>
      <c r="U101" s="2"/>
      <c r="V101" s="2"/>
      <c r="W101" s="2"/>
      <c r="X101" s="2"/>
      <c r="Y101" s="2"/>
      <c r="Z101" s="2"/>
      <c r="AA101" s="2"/>
      <c r="AB101" s="2"/>
      <c r="AC101" s="2"/>
      <c r="AD101" s="2"/>
      <c r="AE101" s="2"/>
      <c r="AF101" s="2"/>
      <c r="AG101" s="2"/>
      <c r="AH101" s="2"/>
      <c r="AI101" s="2">
        <f>93+34</f>
        <v>127</v>
      </c>
      <c r="AJ101" s="2"/>
      <c r="AK101" s="2"/>
      <c r="AL101" s="2"/>
      <c r="AM101" s="69"/>
    </row>
    <row r="102" spans="1:42" ht="12.75" customHeight="1">
      <c r="A102" s="2"/>
      <c r="B102" s="2"/>
      <c r="C102" s="2"/>
      <c r="D102" s="1062"/>
      <c r="E102" s="2"/>
      <c r="F102" s="2"/>
      <c r="G102" s="2"/>
      <c r="H102" s="2"/>
      <c r="I102" s="2"/>
      <c r="J102" s="2"/>
      <c r="K102" s="2"/>
      <c r="L102" s="2"/>
      <c r="O102" s="2"/>
      <c r="S102" s="2"/>
      <c r="T102" s="2"/>
      <c r="U102" s="2"/>
      <c r="V102" s="2"/>
      <c r="W102" s="2"/>
      <c r="X102" s="2"/>
      <c r="Y102" s="2"/>
      <c r="Z102" s="2"/>
      <c r="AA102" s="2"/>
      <c r="AB102" s="2"/>
      <c r="AC102" s="2"/>
      <c r="AD102" s="2"/>
      <c r="AE102" s="2"/>
      <c r="AF102" s="2"/>
      <c r="AG102" s="2"/>
      <c r="AH102" s="2"/>
      <c r="AI102" s="2"/>
      <c r="AJ102" s="2"/>
      <c r="AK102" s="2"/>
      <c r="AL102" s="2"/>
      <c r="AM102" s="1447"/>
      <c r="AN102" s="1449"/>
      <c r="AO102" s="1447"/>
      <c r="AP102" s="1447"/>
    </row>
    <row r="103" spans="1:42" ht="12.75" customHeight="1">
      <c r="A103" s="2"/>
      <c r="B103" s="2"/>
      <c r="C103" s="2"/>
      <c r="D103" s="1062"/>
      <c r="E103" s="2"/>
      <c r="F103" s="2"/>
      <c r="G103" s="2"/>
      <c r="H103" s="2"/>
      <c r="I103" s="2"/>
      <c r="J103" s="2"/>
      <c r="K103" s="2"/>
      <c r="L103" s="2"/>
      <c r="O103" s="2"/>
      <c r="S103" s="2"/>
      <c r="T103" s="2"/>
      <c r="U103" s="2"/>
      <c r="V103" s="2"/>
      <c r="W103" s="2"/>
      <c r="X103" s="2"/>
      <c r="Y103" s="2"/>
      <c r="Z103" s="2"/>
      <c r="AA103" s="2"/>
      <c r="AB103" s="2"/>
      <c r="AC103" s="2"/>
      <c r="AD103" s="2"/>
      <c r="AE103" s="2"/>
      <c r="AF103" s="2"/>
      <c r="AG103" s="2"/>
      <c r="AH103" s="2"/>
      <c r="AI103" s="2"/>
      <c r="AJ103" s="2"/>
      <c r="AK103" s="2"/>
      <c r="AL103" s="2"/>
      <c r="AM103" s="111" t="s">
        <v>1610</v>
      </c>
      <c r="AN103" s="1289" t="s">
        <v>552</v>
      </c>
      <c r="AO103" s="1448"/>
      <c r="AP103" s="1289" t="s">
        <v>1611</v>
      </c>
    </row>
    <row r="104" spans="1:42" ht="12.75" customHeight="1">
      <c r="A104" s="2"/>
      <c r="B104" s="2"/>
      <c r="C104" s="2"/>
      <c r="D104" s="1062"/>
      <c r="E104" s="2"/>
      <c r="F104" s="2"/>
      <c r="G104" s="2"/>
      <c r="H104" s="2"/>
      <c r="I104" s="2"/>
      <c r="J104" s="2"/>
      <c r="K104" s="2"/>
      <c r="L104" s="2"/>
      <c r="O104" s="2"/>
      <c r="S104" s="2"/>
      <c r="T104" s="2"/>
      <c r="U104" s="2"/>
      <c r="V104" s="2"/>
      <c r="W104" s="2"/>
      <c r="X104" s="2"/>
      <c r="Y104" s="2"/>
      <c r="Z104" s="2"/>
      <c r="AA104" s="2"/>
      <c r="AB104" s="2"/>
      <c r="AC104" s="2"/>
      <c r="AD104" s="2"/>
      <c r="AE104" s="2"/>
      <c r="AF104" s="2"/>
      <c r="AG104" s="2"/>
      <c r="AH104" s="2"/>
      <c r="AI104" s="2"/>
      <c r="AJ104" s="2"/>
      <c r="AK104" s="2"/>
      <c r="AL104" s="2"/>
      <c r="AM104" s="69"/>
      <c r="AN104" s="1449"/>
      <c r="AO104" s="1449"/>
      <c r="AP104" s="1449"/>
    </row>
    <row r="105" spans="1:42" ht="12.75" customHeight="1">
      <c r="A105" s="2"/>
      <c r="B105" s="2"/>
      <c r="C105" s="2"/>
      <c r="D105" s="1062"/>
      <c r="E105" s="2"/>
      <c r="F105" s="2"/>
      <c r="G105" s="2"/>
      <c r="H105" s="2"/>
      <c r="I105" s="2"/>
      <c r="J105" s="2"/>
      <c r="K105" s="2"/>
      <c r="L105" s="2"/>
      <c r="O105" s="2"/>
      <c r="S105" s="2"/>
      <c r="T105" s="2"/>
      <c r="U105" s="2"/>
      <c r="V105" s="2"/>
      <c r="W105" s="2"/>
      <c r="X105" s="2"/>
      <c r="Y105" s="2"/>
      <c r="Z105" s="2"/>
      <c r="AA105" s="2"/>
      <c r="AB105" s="2"/>
      <c r="AC105" s="2"/>
      <c r="AD105" s="2"/>
      <c r="AE105" s="2"/>
      <c r="AF105" s="2"/>
      <c r="AG105" s="2"/>
      <c r="AH105" s="2"/>
      <c r="AI105" s="2"/>
      <c r="AJ105" s="2"/>
      <c r="AK105" s="2"/>
      <c r="AL105" s="2"/>
      <c r="AM105" s="1447" t="s">
        <v>1612</v>
      </c>
      <c r="AN105" s="2"/>
      <c r="AO105" s="2"/>
      <c r="AP105" s="2"/>
    </row>
    <row r="106" spans="1:42" ht="12.75" customHeight="1">
      <c r="A106" s="2"/>
      <c r="B106" s="2"/>
      <c r="C106" s="2"/>
      <c r="D106" s="1062"/>
      <c r="E106" s="2"/>
      <c r="F106" s="2"/>
      <c r="G106" s="2"/>
      <c r="H106" s="2"/>
      <c r="I106" s="2"/>
      <c r="J106" s="2"/>
      <c r="K106" s="2"/>
      <c r="L106" s="2"/>
      <c r="O106" s="2"/>
      <c r="S106" s="2"/>
      <c r="T106" s="2"/>
      <c r="U106" s="2"/>
      <c r="V106" s="2"/>
      <c r="W106" s="2"/>
      <c r="X106" s="2"/>
      <c r="Y106" s="2"/>
      <c r="Z106" s="2"/>
      <c r="AA106" s="2"/>
      <c r="AB106" s="2"/>
      <c r="AC106" s="2"/>
      <c r="AD106" s="2"/>
      <c r="AE106" s="2"/>
      <c r="AF106" s="2"/>
      <c r="AG106" s="2"/>
      <c r="AH106" s="2"/>
      <c r="AI106" s="2"/>
      <c r="AJ106" s="2"/>
      <c r="AK106" s="2"/>
      <c r="AL106" s="2"/>
      <c r="AM106" s="1447" t="s">
        <v>1613</v>
      </c>
      <c r="AN106" s="1630" t="s">
        <v>779</v>
      </c>
      <c r="AO106" s="1449"/>
      <c r="AP106" s="1465">
        <f>+SUM(BYD!AS38:AS41,BYD!AS54)</f>
        <v>83.1</v>
      </c>
    </row>
    <row r="107" spans="1:42" ht="12.75" customHeight="1">
      <c r="A107" s="2"/>
      <c r="B107" s="2"/>
      <c r="C107" s="2"/>
      <c r="D107" s="1062"/>
      <c r="E107" s="2"/>
      <c r="F107" s="2"/>
      <c r="G107" s="2"/>
      <c r="H107" s="2"/>
      <c r="I107" s="2"/>
      <c r="J107" s="2"/>
      <c r="K107" s="2"/>
      <c r="L107" s="2"/>
      <c r="O107" s="2"/>
      <c r="S107" s="2"/>
      <c r="T107" s="2"/>
      <c r="U107" s="2"/>
      <c r="V107" s="2"/>
      <c r="W107" s="2"/>
      <c r="X107" s="2"/>
      <c r="Y107" s="2"/>
      <c r="Z107" s="2"/>
      <c r="AA107" s="2"/>
      <c r="AB107" s="2"/>
      <c r="AC107" s="2"/>
      <c r="AD107" s="2"/>
      <c r="AE107" s="2"/>
      <c r="AF107" s="2"/>
      <c r="AG107" s="2"/>
      <c r="AH107" s="2"/>
      <c r="AI107" s="2"/>
      <c r="AJ107" s="2"/>
      <c r="AK107" s="2"/>
      <c r="AL107" s="2"/>
      <c r="AM107" s="1447"/>
      <c r="AN107" s="1630"/>
      <c r="AO107" s="1449"/>
      <c r="AP107" s="1450"/>
    </row>
    <row r="108" spans="1:42" ht="12.75" customHeight="1">
      <c r="A108" s="2"/>
      <c r="B108" s="2"/>
      <c r="C108" s="2"/>
      <c r="D108" s="1062"/>
      <c r="E108" s="2"/>
      <c r="F108" s="2"/>
      <c r="G108" s="2"/>
      <c r="H108" s="2"/>
      <c r="I108" s="2"/>
      <c r="J108" s="2"/>
      <c r="K108" s="2"/>
      <c r="L108" s="2"/>
      <c r="O108" s="2"/>
      <c r="S108" s="2"/>
      <c r="T108" s="2"/>
      <c r="U108" s="2"/>
      <c r="V108" s="2"/>
      <c r="W108" s="2"/>
      <c r="X108" s="2"/>
      <c r="Y108" s="2"/>
      <c r="Z108" s="2"/>
      <c r="AA108" s="2"/>
      <c r="AB108" s="2"/>
      <c r="AC108" s="2"/>
      <c r="AD108" s="2"/>
      <c r="AE108" s="2"/>
      <c r="AF108" s="2"/>
      <c r="AG108" s="2"/>
      <c r="AH108" s="2"/>
      <c r="AI108" s="2"/>
      <c r="AJ108" s="2"/>
      <c r="AK108" s="2"/>
      <c r="AL108" s="2"/>
      <c r="AM108" s="1447" t="s">
        <v>1614</v>
      </c>
      <c r="AN108" s="1631" t="s">
        <v>780</v>
      </c>
      <c r="AO108" s="1449"/>
      <c r="AP108" s="1450">
        <f>+BYD!AS45</f>
        <v>30.734999999999999</v>
      </c>
    </row>
    <row r="109" spans="1:42" ht="12.75" customHeight="1">
      <c r="A109" s="2"/>
      <c r="B109" s="2"/>
      <c r="C109" s="2"/>
      <c r="D109" s="1062"/>
      <c r="E109" s="2"/>
      <c r="F109" s="2"/>
      <c r="G109" s="2"/>
      <c r="H109" s="2"/>
      <c r="I109" s="2"/>
      <c r="J109" s="2"/>
      <c r="K109" s="2"/>
      <c r="L109" s="2"/>
      <c r="O109" s="2"/>
      <c r="S109" s="2"/>
      <c r="T109" s="2"/>
      <c r="U109" s="2"/>
      <c r="V109" s="2"/>
      <c r="W109" s="2"/>
      <c r="X109" s="2"/>
      <c r="Y109" s="2"/>
      <c r="Z109" s="2"/>
      <c r="AA109" s="2"/>
      <c r="AB109" s="2"/>
      <c r="AC109" s="2"/>
      <c r="AD109" s="2"/>
      <c r="AE109" s="2"/>
      <c r="AF109" s="2"/>
      <c r="AG109" s="2"/>
      <c r="AH109" s="2"/>
      <c r="AI109" s="2"/>
      <c r="AJ109" s="2"/>
      <c r="AK109" s="2"/>
      <c r="AL109" s="2"/>
      <c r="AM109" s="1447"/>
      <c r="AN109" s="1630"/>
      <c r="AO109" s="1449"/>
      <c r="AP109" s="1450"/>
    </row>
    <row r="110" spans="1:42" ht="12.75" customHeight="1">
      <c r="A110" s="2"/>
      <c r="B110" s="2"/>
      <c r="C110" s="2"/>
      <c r="D110" s="1062"/>
      <c r="E110" s="2"/>
      <c r="F110" s="2"/>
      <c r="G110" s="2"/>
      <c r="H110" s="2"/>
      <c r="I110" s="2"/>
      <c r="J110" s="2"/>
      <c r="K110" s="2"/>
      <c r="L110" s="2"/>
      <c r="O110" s="2"/>
      <c r="S110" s="2"/>
      <c r="T110" s="2"/>
      <c r="U110" s="2"/>
      <c r="V110" s="2"/>
      <c r="W110" s="2"/>
      <c r="X110" s="2"/>
      <c r="Y110" s="2"/>
      <c r="Z110" s="2"/>
      <c r="AA110" s="2"/>
      <c r="AB110" s="2"/>
      <c r="AC110" s="2"/>
      <c r="AD110" s="2"/>
      <c r="AE110" s="2"/>
      <c r="AF110" s="2"/>
      <c r="AG110" s="2"/>
      <c r="AH110" s="2"/>
      <c r="AI110" s="2"/>
      <c r="AJ110" s="2"/>
      <c r="AK110" s="2"/>
      <c r="AL110" s="2"/>
      <c r="AM110" s="1447" t="s">
        <v>1615</v>
      </c>
      <c r="AN110" s="1630" t="s">
        <v>781</v>
      </c>
      <c r="AO110" s="1449"/>
      <c r="AP110" s="1466">
        <f>+BYD!AS95</f>
        <v>4.7575010275380213E-2</v>
      </c>
    </row>
  </sheetData>
  <phoneticPr fontId="10" type="noConversion"/>
  <pageMargins left="0.75" right="0.75" top="1" bottom="1" header="0.5" footer="0.5"/>
  <pageSetup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33"/>
  <sheetViews>
    <sheetView zoomScale="85" workbookViewId="0"/>
  </sheetViews>
  <sheetFormatPr defaultRowHeight="12" customHeight="1"/>
  <cols>
    <col min="1" max="1" width="26.25" bestFit="1" customWidth="1"/>
  </cols>
  <sheetData>
    <row r="1" spans="1:8" ht="12" customHeight="1">
      <c r="A1" s="1" t="s">
        <v>629</v>
      </c>
      <c r="B1" s="2"/>
      <c r="C1" s="2"/>
      <c r="D1" s="2"/>
      <c r="E1" s="2"/>
      <c r="F1" s="2"/>
      <c r="G1" s="2"/>
    </row>
    <row r="2" spans="1:8" ht="12" customHeight="1">
      <c r="A2" s="1" t="s">
        <v>666</v>
      </c>
      <c r="B2" s="2"/>
      <c r="C2" s="2"/>
      <c r="D2" s="2"/>
      <c r="E2" s="2"/>
      <c r="F2" s="2"/>
      <c r="G2" s="2"/>
    </row>
    <row r="3" spans="1:8" ht="12" customHeight="1">
      <c r="A3" s="2" t="s">
        <v>1703</v>
      </c>
      <c r="B3" s="2"/>
      <c r="C3" s="2"/>
      <c r="D3" s="2"/>
      <c r="E3" s="2"/>
      <c r="F3" s="2"/>
      <c r="G3" s="2"/>
    </row>
    <row r="4" spans="1:8" ht="12" customHeight="1">
      <c r="A4" s="77"/>
      <c r="B4" s="1649"/>
      <c r="C4" s="1649"/>
      <c r="D4" s="1649"/>
      <c r="E4" s="1649"/>
      <c r="F4" s="1649"/>
      <c r="G4" s="183"/>
    </row>
    <row r="5" spans="1:8" ht="12" customHeight="1">
      <c r="A5" s="1152" t="s">
        <v>667</v>
      </c>
      <c r="B5" s="77"/>
      <c r="C5" s="77"/>
      <c r="D5" s="77"/>
      <c r="E5" s="77"/>
      <c r="F5" s="77"/>
      <c r="H5" s="184" t="s">
        <v>415</v>
      </c>
    </row>
    <row r="6" spans="1:8" ht="12" customHeight="1">
      <c r="A6" s="187"/>
      <c r="B6" s="2461">
        <v>2012</v>
      </c>
      <c r="C6" s="2649" t="s">
        <v>1509</v>
      </c>
      <c r="D6" s="2461" t="s">
        <v>215</v>
      </c>
      <c r="E6" s="2461" t="s">
        <v>1512</v>
      </c>
      <c r="F6" s="2461" t="s">
        <v>368</v>
      </c>
      <c r="G6" s="2461" t="s">
        <v>369</v>
      </c>
      <c r="H6" s="1153" t="s">
        <v>921</v>
      </c>
    </row>
    <row r="7" spans="1:8" ht="12" customHeight="1">
      <c r="A7" s="77" t="s">
        <v>1192</v>
      </c>
      <c r="B7" s="193">
        <f>BYD!AV70</f>
        <v>221.57500000000005</v>
      </c>
      <c r="C7" s="193">
        <f>BYD!BA70</f>
        <v>272.86449999999991</v>
      </c>
      <c r="D7" s="193">
        <f>BYD!BF70</f>
        <v>286.26349999999991</v>
      </c>
      <c r="E7" s="193">
        <f>BYD!BK70</f>
        <v>371.00099999999998</v>
      </c>
      <c r="F7" s="193">
        <f>BYD!BP70</f>
        <v>340.15550000000007</v>
      </c>
      <c r="G7" s="193">
        <f>BYD!BU70</f>
        <v>359.423</v>
      </c>
      <c r="H7" s="77"/>
    </row>
    <row r="8" spans="1:8" ht="12" customHeight="1">
      <c r="A8" s="77" t="s">
        <v>413</v>
      </c>
      <c r="B8" s="77">
        <f>BYD!AV81</f>
        <v>220.40200000000002</v>
      </c>
      <c r="C8" s="77">
        <f>BYD!BA81</f>
        <v>-7.7</v>
      </c>
      <c r="D8" s="77">
        <f>BYD!BF81</f>
        <v>2.5970000000000013</v>
      </c>
      <c r="E8" s="77">
        <f>BYD!BK81</f>
        <v>7.1749999999999989</v>
      </c>
      <c r="F8" s="77">
        <f>BYD!BP81</f>
        <v>197.48599999999999</v>
      </c>
      <c r="G8" s="77">
        <f>BYD!BU81</f>
        <v>-3.0060000000000002</v>
      </c>
      <c r="H8" s="77"/>
    </row>
    <row r="9" spans="1:8" ht="12" customHeight="1">
      <c r="A9" s="77" t="s">
        <v>599</v>
      </c>
      <c r="B9" s="77">
        <f>BYD!AV67</f>
        <v>214.291</v>
      </c>
      <c r="C9" s="77">
        <f>BYD!BA67</f>
        <v>218.7</v>
      </c>
      <c r="D9" s="77">
        <f>BYD!BF67</f>
        <v>208.999</v>
      </c>
      <c r="E9" s="77">
        <f>BYD!BK67</f>
        <v>207.11799999999999</v>
      </c>
      <c r="F9" s="77">
        <f>BYD!BP67</f>
        <v>196.226</v>
      </c>
      <c r="G9" s="77">
        <f>BYD!BU67</f>
        <v>217.52199999999999</v>
      </c>
      <c r="H9" s="77"/>
    </row>
    <row r="10" spans="1:8" ht="12" customHeight="1">
      <c r="A10" s="77" t="s">
        <v>188</v>
      </c>
      <c r="B10" s="77">
        <f>BYD!AV65</f>
        <v>12.247</v>
      </c>
      <c r="C10" s="77">
        <f>BYD!BA65</f>
        <v>18.884999999999998</v>
      </c>
      <c r="D10" s="77">
        <f>BYD!BF65</f>
        <v>18.661000000000001</v>
      </c>
      <c r="E10" s="77">
        <f>BYD!BK65</f>
        <v>19.264000000000003</v>
      </c>
      <c r="F10" s="77">
        <f>BYD!BP65</f>
        <v>15.518000000000001</v>
      </c>
      <c r="G10" s="77">
        <f>BYD!BU65</f>
        <v>17.413</v>
      </c>
      <c r="H10" s="77"/>
    </row>
    <row r="11" spans="1:8" ht="12" customHeight="1">
      <c r="A11" s="77" t="s">
        <v>414</v>
      </c>
      <c r="B11" s="77">
        <f>BYD!AV66</f>
        <v>3.984</v>
      </c>
      <c r="C11" s="77">
        <f>BYD!BA66</f>
        <v>4.2569999999999997</v>
      </c>
      <c r="D11" s="77">
        <f>BYD!BF66</f>
        <v>3.6070000000000002</v>
      </c>
      <c r="E11" s="77">
        <f>BYD!BK66</f>
        <v>3.4279999999999999</v>
      </c>
      <c r="F11" s="77">
        <f>BYD!BP66</f>
        <v>3.2669999999999995</v>
      </c>
      <c r="G11" s="77">
        <f>BYD!BU66</f>
        <v>1.2670000000000001</v>
      </c>
      <c r="H11" s="77"/>
    </row>
    <row r="12" spans="1:8" ht="12" customHeight="1">
      <c r="A12" s="77" t="s">
        <v>189</v>
      </c>
      <c r="B12" s="77">
        <f>-BYD!AV1207</f>
        <v>-125.39999999999999</v>
      </c>
      <c r="C12" s="77">
        <f>-BYD!BA1207</f>
        <v>-145.53899999999999</v>
      </c>
      <c r="D12" s="77">
        <f>-BYD!BF1207</f>
        <v>-149.37400000000002</v>
      </c>
      <c r="E12" s="77">
        <f>-BYD!BK1207</f>
        <v>-131.16999999999999</v>
      </c>
      <c r="F12" s="77">
        <f>-BYD!BP1207</f>
        <v>-160.358</v>
      </c>
      <c r="G12" s="77">
        <f>-BYD!BU1207</f>
        <v>-190.25200000000001</v>
      </c>
      <c r="H12" s="77"/>
    </row>
    <row r="13" spans="1:8" ht="12" customHeight="1">
      <c r="A13" s="77" t="s">
        <v>190</v>
      </c>
      <c r="B13" s="1703">
        <f>BYD!AV145</f>
        <v>-15.490000000000009</v>
      </c>
      <c r="C13" s="1703">
        <f>BYD!BA145</f>
        <v>-59.099000000000011</v>
      </c>
      <c r="D13" s="1703">
        <f>BYD!BF145</f>
        <v>-30.741000000000007</v>
      </c>
      <c r="E13" s="1703">
        <f>BYD!BK145</f>
        <v>-30.06900000000001</v>
      </c>
      <c r="F13" s="1703">
        <f>BYD!BP145</f>
        <v>6.5049999999999955</v>
      </c>
      <c r="G13" s="1703">
        <f>BYD!BU145</f>
        <v>25.828000000000003</v>
      </c>
      <c r="H13" s="1703">
        <v>0</v>
      </c>
    </row>
    <row r="14" spans="1:8" ht="5.25" customHeight="1">
      <c r="A14" s="206"/>
      <c r="B14" s="1154" t="s">
        <v>343</v>
      </c>
      <c r="C14" s="1154" t="s">
        <v>343</v>
      </c>
      <c r="D14" s="1154" t="s">
        <v>343</v>
      </c>
      <c r="E14" s="1154" t="s">
        <v>343</v>
      </c>
      <c r="F14" s="1154" t="s">
        <v>343</v>
      </c>
      <c r="G14" s="1154" t="s">
        <v>343</v>
      </c>
      <c r="H14" s="1154" t="s">
        <v>343</v>
      </c>
    </row>
    <row r="15" spans="1:8" ht="12" customHeight="1">
      <c r="A15" s="198" t="s">
        <v>557</v>
      </c>
      <c r="B15" s="1155">
        <f t="shared" ref="B15:G15" si="0">SUM(B7:B13)</f>
        <v>531.60900000000004</v>
      </c>
      <c r="C15" s="1155">
        <f t="shared" si="0"/>
        <v>302.36849999999993</v>
      </c>
      <c r="D15" s="1155">
        <f t="shared" si="0"/>
        <v>340.01249999999982</v>
      </c>
      <c r="E15" s="1155">
        <f t="shared" si="0"/>
        <v>446.74700000000001</v>
      </c>
      <c r="F15" s="1155">
        <f t="shared" si="0"/>
        <v>598.79950000000019</v>
      </c>
      <c r="G15" s="1155">
        <f t="shared" si="0"/>
        <v>428.19500000000016</v>
      </c>
      <c r="H15" s="1155">
        <f>G15*(1+$B$31)/($B$30-$B$31)</f>
        <v>3639.6575000000012</v>
      </c>
    </row>
    <row r="16" spans="1:8" ht="12" customHeight="1">
      <c r="A16" s="77" t="s">
        <v>191</v>
      </c>
      <c r="B16" s="1156"/>
      <c r="C16" s="1156"/>
      <c r="D16" s="1156">
        <f>(1+$B$30)^1</f>
        <v>1.1400000000000001</v>
      </c>
      <c r="E16" s="1156">
        <f>(1+$B$30)^2</f>
        <v>1.2996000000000003</v>
      </c>
      <c r="F16" s="1156">
        <f>(1+$B$30)^3</f>
        <v>1.4815440000000004</v>
      </c>
      <c r="G16" s="1156">
        <f>(1+$B$30)^4</f>
        <v>1.6889601600000008</v>
      </c>
      <c r="H16" s="1156">
        <f>+G16</f>
        <v>1.6889601600000008</v>
      </c>
    </row>
    <row r="17" spans="1:8" ht="12" customHeight="1">
      <c r="A17" s="198" t="s">
        <v>556</v>
      </c>
      <c r="B17" s="1155"/>
      <c r="C17" s="1155"/>
      <c r="D17" s="1155">
        <f>D15/D16</f>
        <v>298.25657894736821</v>
      </c>
      <c r="E17" s="1155">
        <f>E15/E16</f>
        <v>343.75730994152042</v>
      </c>
      <c r="F17" s="1155">
        <f>F15/F16</f>
        <v>404.17260641600927</v>
      </c>
      <c r="G17" s="1155">
        <f>G15/G16</f>
        <v>253.52581436852836</v>
      </c>
      <c r="H17" s="1155">
        <f>H15/H16</f>
        <v>2154.9694221324908</v>
      </c>
    </row>
    <row r="18" spans="1:8" ht="12" customHeight="1">
      <c r="A18" s="77"/>
      <c r="B18" s="1156"/>
      <c r="C18" s="1156"/>
      <c r="D18" s="1156"/>
      <c r="E18" s="1156"/>
      <c r="F18" s="1156"/>
      <c r="G18" s="1156"/>
    </row>
    <row r="19" spans="1:8" ht="12" customHeight="1">
      <c r="A19" s="198" t="s">
        <v>416</v>
      </c>
      <c r="B19" s="1155">
        <f>SUM(C17:H17)</f>
        <v>3454.681731805917</v>
      </c>
      <c r="C19" s="1155"/>
      <c r="D19" s="1155"/>
      <c r="E19" s="1155"/>
      <c r="F19" s="1155"/>
      <c r="G19" s="1155"/>
    </row>
    <row r="20" spans="1:8" ht="12" customHeight="1">
      <c r="A20" s="77" t="s">
        <v>803</v>
      </c>
      <c r="B20" s="77">
        <f>-BYD!BF1224+BYD!BF1104</f>
        <v>-3431.6379999999999</v>
      </c>
      <c r="C20" s="77"/>
      <c r="D20" s="77"/>
      <c r="E20" s="77"/>
      <c r="F20" s="77"/>
      <c r="G20" s="77"/>
    </row>
    <row r="21" spans="1:8" ht="12" customHeight="1">
      <c r="A21" s="77" t="s">
        <v>558</v>
      </c>
      <c r="B21" s="77">
        <f>BYD!BC1230</f>
        <v>-402.35</v>
      </c>
      <c r="C21" s="77"/>
      <c r="D21" s="77"/>
      <c r="E21" s="77"/>
      <c r="F21" s="77"/>
      <c r="G21" s="77"/>
    </row>
    <row r="22" spans="1:8" ht="12" customHeight="1">
      <c r="A22" s="77" t="s">
        <v>1640</v>
      </c>
      <c r="B22" s="1704">
        <f>-BYD!BF1225</f>
        <v>145.34100000000012</v>
      </c>
      <c r="C22" s="1157"/>
      <c r="D22" s="1157"/>
      <c r="E22" s="1157"/>
      <c r="F22" s="1157"/>
      <c r="G22" s="1157"/>
    </row>
    <row r="23" spans="1:8" ht="4.5" customHeight="1">
      <c r="A23" s="206"/>
      <c r="B23" s="1157" t="s">
        <v>343</v>
      </c>
      <c r="C23" s="1157"/>
      <c r="D23" s="1157"/>
      <c r="E23" s="1157"/>
      <c r="F23" s="1157"/>
      <c r="G23" s="1157"/>
    </row>
    <row r="24" spans="1:8" ht="12" customHeight="1">
      <c r="A24" s="198" t="s">
        <v>1641</v>
      </c>
      <c r="B24" s="1155">
        <f>SUM(B19:B22)</f>
        <v>-233.9652681940828</v>
      </c>
      <c r="C24" s="1155"/>
      <c r="D24" s="1155"/>
      <c r="E24" s="1155"/>
      <c r="F24" s="1155"/>
      <c r="G24" s="1155"/>
    </row>
    <row r="25" spans="1:8" ht="12" customHeight="1">
      <c r="A25" s="77" t="s">
        <v>14</v>
      </c>
      <c r="B25" s="77">
        <f>BYD!BC103</f>
        <v>110.813</v>
      </c>
      <c r="C25" s="77"/>
      <c r="D25" s="77"/>
      <c r="E25" s="77"/>
      <c r="F25" s="77"/>
      <c r="G25" s="77"/>
    </row>
    <row r="26" spans="1:8" ht="12" customHeight="1">
      <c r="A26" s="198" t="s">
        <v>1642</v>
      </c>
      <c r="B26" s="210">
        <f>B24/B25</f>
        <v>-2.11135217162321</v>
      </c>
      <c r="C26" s="210"/>
      <c r="D26" s="210"/>
      <c r="E26" s="210"/>
      <c r="F26" s="210"/>
      <c r="G26" s="210"/>
    </row>
    <row r="27" spans="1:8" ht="12" customHeight="1">
      <c r="A27" s="77" t="s">
        <v>15</v>
      </c>
      <c r="B27" s="214">
        <f>'EBITDA Val'!F23</f>
        <v>37.53</v>
      </c>
      <c r="C27" s="214"/>
      <c r="D27" s="214"/>
      <c r="E27" s="214"/>
      <c r="F27" s="214"/>
      <c r="G27" s="214"/>
    </row>
    <row r="28" spans="1:8" ht="12" customHeight="1">
      <c r="A28" s="212" t="s">
        <v>16</v>
      </c>
      <c r="B28" s="215">
        <f>B26/B27-1</f>
        <v>-1.0562577184018975</v>
      </c>
      <c r="C28" s="215"/>
      <c r="D28" s="215"/>
      <c r="E28" s="215"/>
      <c r="F28" s="215"/>
      <c r="G28" s="215"/>
    </row>
    <row r="29" spans="1:8" ht="12" customHeight="1">
      <c r="A29" s="212"/>
      <c r="B29" s="201"/>
      <c r="C29" s="201"/>
      <c r="D29" s="201"/>
      <c r="E29" s="201"/>
      <c r="F29" s="201"/>
      <c r="G29" s="201"/>
    </row>
    <row r="30" spans="1:8" ht="12" customHeight="1">
      <c r="A30" s="1158" t="s">
        <v>1643</v>
      </c>
      <c r="B30" s="1159">
        <v>0.14000000000000001</v>
      </c>
      <c r="C30" s="201"/>
      <c r="D30" s="201"/>
      <c r="E30" s="201"/>
      <c r="F30" s="201"/>
      <c r="G30" s="201"/>
    </row>
    <row r="31" spans="1:8" ht="12" customHeight="1">
      <c r="A31" s="1160" t="s">
        <v>1644</v>
      </c>
      <c r="B31" s="1161">
        <v>0.02</v>
      </c>
      <c r="C31" s="201"/>
      <c r="D31" s="201"/>
      <c r="E31" s="201"/>
      <c r="F31" s="201"/>
      <c r="G31" s="201"/>
    </row>
    <row r="32" spans="1:8" ht="12" customHeight="1">
      <c r="A32" s="528" t="s">
        <v>217</v>
      </c>
      <c r="B32" s="1162">
        <f>(1+B31)/(B30-B31)</f>
        <v>8.5</v>
      </c>
      <c r="C32" s="201"/>
      <c r="D32" s="201"/>
      <c r="E32" s="201"/>
      <c r="F32" s="201"/>
      <c r="G32" s="201"/>
    </row>
    <row r="33" spans="1:7" ht="12" customHeight="1">
      <c r="A33" s="1163" t="s">
        <v>1645</v>
      </c>
      <c r="B33" s="1182">
        <f>H15/(BYD!BK116*(1+B31))</f>
        <v>5.6685798678074919</v>
      </c>
      <c r="C33" s="201"/>
      <c r="D33" s="201"/>
      <c r="E33" s="201"/>
      <c r="F33" s="201"/>
      <c r="G33" s="201"/>
    </row>
  </sheetData>
  <phoneticPr fontId="10" type="noConversion"/>
  <pageMargins left="0.75" right="0.75" top="1" bottom="1" header="0.5" footer="0.5"/>
  <pageSetup orientation="portrait" horizontalDpi="1200" verticalDpi="1200"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AZ102"/>
  <sheetViews>
    <sheetView zoomScale="85" workbookViewId="0">
      <pane xSplit="2" ySplit="5" topLeftCell="C6" activePane="bottomRight" state="frozen"/>
      <selection pane="topRight" activeCell="C1" sqref="C1"/>
      <selection pane="bottomLeft" activeCell="A6" sqref="A6"/>
      <selection pane="bottomRight" activeCell="C6" sqref="C6"/>
    </sheetView>
  </sheetViews>
  <sheetFormatPr defaultRowHeight="15.75"/>
  <cols>
    <col min="1" max="1" width="22.625" customWidth="1"/>
    <col min="2" max="2" width="2.625" customWidth="1"/>
    <col min="3" max="26" width="8.125" customWidth="1"/>
    <col min="28" max="28" width="11.25" customWidth="1"/>
    <col min="41" max="41" width="5.375" customWidth="1"/>
    <col min="43" max="43" width="23.25" customWidth="1"/>
    <col min="44" max="46" width="9.625" customWidth="1"/>
    <col min="49" max="49" width="1.75" customWidth="1"/>
  </cols>
  <sheetData>
    <row r="1" spans="1:52">
      <c r="A1" s="107" t="s">
        <v>222</v>
      </c>
      <c r="B1" s="2"/>
      <c r="C1" s="2"/>
      <c r="D1" s="2"/>
      <c r="E1" s="2"/>
      <c r="F1" s="61"/>
      <c r="G1" s="2"/>
      <c r="H1" s="2"/>
      <c r="I1" s="2"/>
      <c r="J1" s="2"/>
      <c r="K1" s="61"/>
      <c r="L1" s="2"/>
      <c r="M1" s="2"/>
      <c r="N1" s="2"/>
      <c r="O1" s="2"/>
      <c r="P1" s="61"/>
      <c r="Q1" s="2"/>
      <c r="R1" s="2"/>
      <c r="S1" s="2"/>
      <c r="T1" s="2"/>
      <c r="U1" s="61"/>
      <c r="V1" s="2"/>
      <c r="W1" s="2"/>
      <c r="X1" s="2"/>
      <c r="Y1" s="2"/>
      <c r="Z1" s="61"/>
      <c r="AA1" s="2"/>
      <c r="AB1" s="2"/>
      <c r="AC1" s="2"/>
      <c r="AD1" s="2"/>
      <c r="AE1" s="2"/>
      <c r="AF1" s="2"/>
      <c r="AG1" s="2"/>
      <c r="AH1" s="2"/>
      <c r="AI1" s="2"/>
      <c r="AJ1" s="2"/>
      <c r="AK1" s="2"/>
      <c r="AL1" s="2"/>
      <c r="AM1" s="2"/>
      <c r="AN1" s="2"/>
      <c r="AO1" s="2"/>
      <c r="AP1" s="2"/>
      <c r="AQ1" s="2"/>
      <c r="AR1" s="2"/>
      <c r="AS1" s="2"/>
      <c r="AT1" s="2"/>
      <c r="AU1" s="2"/>
      <c r="AV1" s="2"/>
      <c r="AW1" s="2"/>
      <c r="AX1" s="2"/>
      <c r="AY1" s="2"/>
      <c r="AZ1" s="2"/>
    </row>
    <row r="2" spans="1:52">
      <c r="A2" s="107" t="s">
        <v>505</v>
      </c>
      <c r="B2" s="2"/>
      <c r="C2" s="2"/>
      <c r="D2" s="2"/>
      <c r="E2" s="2"/>
      <c r="F2" s="61"/>
      <c r="G2" s="2"/>
      <c r="H2" s="2"/>
      <c r="I2" s="2"/>
      <c r="J2" s="2"/>
      <c r="K2" s="61"/>
      <c r="L2" s="2"/>
      <c r="M2" s="2"/>
      <c r="N2" s="2"/>
      <c r="O2" s="2"/>
      <c r="P2" s="61"/>
      <c r="Q2" s="2"/>
      <c r="R2" s="2"/>
      <c r="S2" s="2"/>
      <c r="T2" s="2"/>
      <c r="U2" s="61"/>
      <c r="V2" s="2"/>
      <c r="W2" s="2"/>
      <c r="X2" s="2"/>
      <c r="Y2" s="2"/>
      <c r="Z2" s="61"/>
      <c r="AA2" s="2"/>
      <c r="AB2" s="2"/>
      <c r="AC2" s="2"/>
      <c r="AD2" s="2"/>
      <c r="AE2" s="2"/>
      <c r="AF2" s="2"/>
      <c r="AG2" s="2"/>
      <c r="AH2" s="2"/>
      <c r="AI2" s="2"/>
      <c r="AJ2" s="2"/>
      <c r="AK2" s="2"/>
      <c r="AL2" s="2"/>
      <c r="AM2" s="2"/>
      <c r="AN2" s="2"/>
      <c r="AO2" s="2"/>
      <c r="AP2" s="2"/>
      <c r="AQ2" s="2"/>
      <c r="AR2" s="2"/>
      <c r="AS2" s="2"/>
      <c r="AT2" s="2"/>
      <c r="AU2" s="2"/>
      <c r="AV2" s="2"/>
      <c r="AW2" s="2"/>
      <c r="AX2" s="2"/>
      <c r="AY2" s="2"/>
      <c r="AZ2" s="2"/>
    </row>
    <row r="3" spans="1:52">
      <c r="A3" s="61" t="s">
        <v>428</v>
      </c>
      <c r="B3" s="2"/>
      <c r="C3" s="2"/>
      <c r="D3" s="2"/>
      <c r="E3" s="2"/>
      <c r="F3" s="61"/>
      <c r="G3" s="2"/>
      <c r="H3" s="2"/>
      <c r="I3" s="2"/>
      <c r="J3" s="2"/>
      <c r="K3" s="61"/>
      <c r="L3" s="2"/>
      <c r="M3" s="2"/>
      <c r="N3" s="2"/>
      <c r="O3" s="2"/>
      <c r="P3" s="61"/>
      <c r="Q3" s="2"/>
      <c r="R3" s="2"/>
      <c r="S3" s="2"/>
      <c r="T3" s="2"/>
      <c r="U3" s="61"/>
      <c r="V3" s="2"/>
      <c r="W3" s="2"/>
      <c r="X3" s="2"/>
      <c r="Y3" s="2"/>
      <c r="Z3" s="61"/>
      <c r="AA3" s="2"/>
      <c r="AB3" s="2"/>
      <c r="AC3" s="2"/>
      <c r="AD3" s="2"/>
      <c r="AE3" s="2"/>
      <c r="AF3" s="2"/>
      <c r="AG3" s="2"/>
      <c r="AH3" s="2"/>
      <c r="AI3" s="2"/>
      <c r="AJ3" s="2"/>
      <c r="AK3" s="2"/>
      <c r="AL3" s="2"/>
      <c r="AM3" s="2"/>
      <c r="AN3" s="2"/>
      <c r="AO3" s="2"/>
      <c r="AP3" s="2"/>
      <c r="AQ3" s="2"/>
      <c r="AR3" s="2"/>
      <c r="AS3" s="2"/>
      <c r="AT3" s="2"/>
      <c r="AU3" s="2"/>
      <c r="AV3" s="2"/>
      <c r="AW3" s="2"/>
      <c r="AX3" s="2"/>
      <c r="AY3" s="2"/>
      <c r="AZ3" s="2"/>
    </row>
    <row r="4" spans="1:52">
      <c r="A4" s="2"/>
      <c r="B4" s="2"/>
      <c r="C4" s="2"/>
      <c r="D4" s="2"/>
      <c r="E4" s="2"/>
      <c r="F4" s="61"/>
      <c r="G4" s="2"/>
      <c r="H4" s="2"/>
      <c r="I4" s="2"/>
      <c r="J4" s="2"/>
      <c r="K4" s="61"/>
      <c r="L4" s="2"/>
      <c r="M4" s="2"/>
      <c r="N4" s="2"/>
      <c r="O4" s="2"/>
      <c r="P4" s="61"/>
      <c r="Q4" s="2"/>
      <c r="R4" s="2"/>
      <c r="S4" s="2"/>
      <c r="T4" s="2"/>
      <c r="U4" s="61"/>
      <c r="V4" s="2"/>
      <c r="W4" s="2"/>
      <c r="X4" s="2"/>
      <c r="Y4" s="2"/>
      <c r="Z4" s="61"/>
      <c r="AA4" s="2"/>
      <c r="AB4" s="2"/>
      <c r="AC4" s="2"/>
      <c r="AD4" s="2"/>
      <c r="AE4" s="2"/>
      <c r="AF4" s="2"/>
      <c r="AG4" s="2"/>
      <c r="AH4" s="2"/>
      <c r="AI4" s="2"/>
      <c r="AJ4" s="2"/>
      <c r="AK4" s="2"/>
      <c r="AL4" s="2"/>
      <c r="AM4" s="2"/>
      <c r="AN4" s="2"/>
      <c r="AO4" s="2"/>
      <c r="AP4" s="2"/>
      <c r="AQ4" s="2"/>
      <c r="AR4" s="103" t="s">
        <v>656</v>
      </c>
      <c r="AS4" s="103" t="s">
        <v>310</v>
      </c>
      <c r="AT4" s="2"/>
      <c r="AU4" s="2"/>
      <c r="AV4" s="2"/>
      <c r="AW4" s="2"/>
      <c r="AX4" s="2"/>
      <c r="AY4" s="2"/>
      <c r="AZ4" s="2"/>
    </row>
    <row r="5" spans="1:52">
      <c r="A5" s="108" t="s">
        <v>506</v>
      </c>
      <c r="B5" s="109"/>
      <c r="C5" s="110">
        <v>2004</v>
      </c>
      <c r="D5" s="110">
        <v>2005</v>
      </c>
      <c r="E5" s="110">
        <v>2006</v>
      </c>
      <c r="F5" s="110">
        <v>2007</v>
      </c>
      <c r="G5" s="109" t="s">
        <v>1595</v>
      </c>
      <c r="H5" s="109" t="s">
        <v>530</v>
      </c>
      <c r="I5" s="109" t="s">
        <v>657</v>
      </c>
      <c r="J5" s="109" t="s">
        <v>1324</v>
      </c>
      <c r="K5" s="110">
        <v>2008</v>
      </c>
      <c r="L5" s="109" t="s">
        <v>216</v>
      </c>
      <c r="M5" s="109" t="s">
        <v>574</v>
      </c>
      <c r="N5" s="109" t="s">
        <v>575</v>
      </c>
      <c r="O5" s="109" t="s">
        <v>1720</v>
      </c>
      <c r="P5" s="110">
        <v>2009</v>
      </c>
      <c r="Q5" s="109" t="s">
        <v>729</v>
      </c>
      <c r="R5" s="109" t="s">
        <v>612</v>
      </c>
      <c r="S5" s="109" t="s">
        <v>409</v>
      </c>
      <c r="T5" s="109" t="s">
        <v>1510</v>
      </c>
      <c r="U5" s="110">
        <f>P5+1</f>
        <v>2010</v>
      </c>
      <c r="V5" s="109" t="s">
        <v>1029</v>
      </c>
      <c r="W5" s="109" t="s">
        <v>1699</v>
      </c>
      <c r="X5" s="109" t="s">
        <v>1700</v>
      </c>
      <c r="Y5" s="109" t="s">
        <v>1565</v>
      </c>
      <c r="Z5" s="110">
        <f>U5+1</f>
        <v>2011</v>
      </c>
      <c r="AA5" s="2"/>
      <c r="AB5" s="2"/>
      <c r="AC5" s="2"/>
      <c r="AD5" s="2"/>
      <c r="AE5" s="2"/>
      <c r="AF5" s="2"/>
      <c r="AG5" s="2"/>
      <c r="AH5" s="2"/>
      <c r="AI5" s="2"/>
      <c r="AJ5" s="2"/>
      <c r="AK5" s="2"/>
      <c r="AL5" s="2"/>
      <c r="AM5" s="2"/>
      <c r="AN5" s="2"/>
      <c r="AO5" s="2"/>
      <c r="AP5" s="2"/>
      <c r="AQ5" s="111" t="s">
        <v>552</v>
      </c>
      <c r="AR5" s="73" t="s">
        <v>250</v>
      </c>
      <c r="AS5" s="73" t="s">
        <v>250</v>
      </c>
      <c r="AT5" s="2"/>
      <c r="AU5" s="2"/>
      <c r="AV5" s="2"/>
      <c r="AW5" s="2"/>
      <c r="AX5" s="2"/>
      <c r="AY5" s="2"/>
      <c r="AZ5" s="2"/>
    </row>
    <row r="6" spans="1:52">
      <c r="A6" s="2"/>
      <c r="B6" s="2"/>
      <c r="C6" s="112"/>
      <c r="D6" s="112"/>
      <c r="E6" s="112"/>
      <c r="F6" s="112"/>
      <c r="G6" s="2"/>
      <c r="H6" s="2"/>
      <c r="I6" s="2"/>
      <c r="J6" s="2"/>
      <c r="K6" s="112"/>
      <c r="L6" s="2"/>
      <c r="M6" s="2"/>
      <c r="N6" s="2"/>
      <c r="O6" s="2"/>
      <c r="P6" s="112"/>
      <c r="Q6" s="2"/>
      <c r="R6" s="2"/>
      <c r="S6" s="2"/>
      <c r="T6" s="2"/>
      <c r="U6" s="112"/>
      <c r="V6" s="2"/>
      <c r="W6" s="2"/>
      <c r="X6" s="2"/>
      <c r="Y6" s="2"/>
      <c r="Z6" s="112"/>
      <c r="AA6" s="2"/>
      <c r="AB6" s="2"/>
      <c r="AC6" s="2"/>
      <c r="AD6" s="2"/>
      <c r="AE6" s="2"/>
      <c r="AF6" s="2"/>
      <c r="AG6" s="2"/>
      <c r="AH6" s="2"/>
      <c r="AI6" s="2"/>
      <c r="AJ6" s="2"/>
      <c r="AK6" s="2"/>
      <c r="AL6" s="2"/>
      <c r="AM6" s="2"/>
      <c r="AN6" s="2"/>
      <c r="AO6" s="2"/>
      <c r="AP6" s="2"/>
      <c r="AQ6" s="2" t="s">
        <v>1637</v>
      </c>
      <c r="AR6" s="113">
        <v>950</v>
      </c>
      <c r="AS6" s="113">
        <v>2450</v>
      </c>
      <c r="AT6" s="2"/>
      <c r="AU6" s="2"/>
      <c r="AV6" s="2"/>
      <c r="AW6" s="2"/>
      <c r="AX6" s="2"/>
      <c r="AY6" s="2"/>
      <c r="AZ6" s="2"/>
    </row>
    <row r="7" spans="1:52">
      <c r="A7" s="69" t="s">
        <v>559</v>
      </c>
      <c r="B7" s="2"/>
      <c r="C7" s="112"/>
      <c r="D7" s="112"/>
      <c r="E7" s="112"/>
      <c r="F7" s="112"/>
      <c r="G7" s="2"/>
      <c r="H7" s="2"/>
      <c r="I7" s="2"/>
      <c r="J7" s="2"/>
      <c r="K7" s="112"/>
      <c r="L7" s="2"/>
      <c r="M7" s="2"/>
      <c r="N7" s="2"/>
      <c r="O7" s="2"/>
      <c r="P7" s="112"/>
      <c r="Q7" s="2"/>
      <c r="R7" s="2"/>
      <c r="S7" s="2"/>
      <c r="T7" s="2"/>
      <c r="U7" s="112"/>
      <c r="V7" s="2"/>
      <c r="W7" s="2"/>
      <c r="X7" s="2"/>
      <c r="Y7" s="2"/>
      <c r="Z7" s="112"/>
      <c r="AA7" s="2"/>
      <c r="AB7" s="2"/>
      <c r="AC7" s="2"/>
      <c r="AD7" s="2"/>
      <c r="AE7" s="2"/>
      <c r="AF7" s="2"/>
      <c r="AG7" s="2"/>
      <c r="AH7" s="2"/>
      <c r="AI7" s="2"/>
      <c r="AJ7" s="2"/>
      <c r="AK7" s="2"/>
      <c r="AL7" s="2"/>
      <c r="AM7" s="2"/>
      <c r="AN7" s="2"/>
      <c r="AO7" s="2"/>
      <c r="AP7" s="2"/>
      <c r="AQ7" s="2" t="s">
        <v>251</v>
      </c>
      <c r="AR7" s="2"/>
      <c r="AS7" s="114">
        <f>AS6/(P10+J10)</f>
        <v>6.7147203113437666</v>
      </c>
      <c r="AT7" s="2"/>
      <c r="AU7" s="2"/>
      <c r="AV7" s="2"/>
      <c r="AW7" s="2"/>
      <c r="AX7" s="2"/>
      <c r="AY7" s="2"/>
      <c r="AZ7" s="2"/>
    </row>
    <row r="8" spans="1:52">
      <c r="A8" s="2" t="s">
        <v>560</v>
      </c>
      <c r="B8" s="2"/>
      <c r="C8" s="1292">
        <v>868.24800000000005</v>
      </c>
      <c r="D8" s="1292">
        <v>968.01700000000005</v>
      </c>
      <c r="E8" s="1292">
        <v>1189.0989999999999</v>
      </c>
      <c r="F8" s="1292">
        <v>1309.6790000000001</v>
      </c>
      <c r="G8" s="1293">
        <v>320.39</v>
      </c>
      <c r="H8" s="1293">
        <v>307.029</v>
      </c>
      <c r="I8" s="1293">
        <v>286.63299999999998</v>
      </c>
      <c r="J8" s="1293">
        <v>262.34199999999998</v>
      </c>
      <c r="K8" s="1292">
        <v>1176.394</v>
      </c>
      <c r="L8" s="1293">
        <v>258.76499999999999</v>
      </c>
      <c r="M8" s="1293">
        <v>245.94200000000001</v>
      </c>
      <c r="N8" s="1293">
        <v>231.85599999999999</v>
      </c>
      <c r="O8" s="1293">
        <v>233.958</v>
      </c>
      <c r="P8" s="137">
        <f>SUM(L8:O8)</f>
        <v>970.52099999999996</v>
      </c>
      <c r="Q8" s="1293">
        <v>227.6</v>
      </c>
      <c r="R8" s="1293">
        <v>214.69900000000001</v>
      </c>
      <c r="S8" s="1293">
        <v>218.11799999999999</v>
      </c>
      <c r="T8" s="1293">
        <f>886.647-S8-R8-Q8</f>
        <v>226.23</v>
      </c>
      <c r="U8" s="137">
        <f>SUM(Q8:T8)</f>
        <v>886.64699999999993</v>
      </c>
      <c r="V8" s="1293">
        <v>234.298</v>
      </c>
      <c r="W8" s="1293"/>
      <c r="X8" s="1293"/>
      <c r="Y8" s="1293"/>
      <c r="Z8" s="137"/>
      <c r="AA8" s="2"/>
      <c r="AB8" s="69" t="s">
        <v>792</v>
      </c>
      <c r="AC8" s="69" t="s">
        <v>718</v>
      </c>
      <c r="AD8" s="2"/>
      <c r="AE8" s="2"/>
      <c r="AF8" s="2"/>
      <c r="AG8" s="2"/>
      <c r="AH8" s="2"/>
      <c r="AI8" s="2"/>
      <c r="AJ8" s="2"/>
      <c r="AK8" s="2"/>
      <c r="AL8" s="2"/>
      <c r="AM8" s="2"/>
      <c r="AN8" s="2"/>
      <c r="AO8" s="2"/>
      <c r="AP8" s="2"/>
      <c r="AQ8" s="2" t="s">
        <v>252</v>
      </c>
      <c r="AR8" s="2"/>
      <c r="AS8" s="114">
        <f>AS6/(N10*4)</f>
        <v>10.594136469774281</v>
      </c>
      <c r="AT8" s="2"/>
      <c r="AU8" s="2"/>
      <c r="AV8" s="2"/>
      <c r="AW8" s="2"/>
      <c r="AX8" s="2"/>
      <c r="AY8" s="2"/>
      <c r="AZ8" s="2"/>
    </row>
    <row r="9" spans="1:52">
      <c r="A9" s="117" t="s">
        <v>1249</v>
      </c>
      <c r="B9" s="118"/>
      <c r="C9" s="119">
        <v>0.111</v>
      </c>
      <c r="D9" s="120">
        <f>(D8-C8)/C8</f>
        <v>0.11490841326441294</v>
      </c>
      <c r="E9" s="120">
        <f>(E8-D8)/D8</f>
        <v>0.22838648494809477</v>
      </c>
      <c r="F9" s="120">
        <f>(F8-E8)/E8</f>
        <v>0.10140450879195102</v>
      </c>
      <c r="G9" s="121" t="s">
        <v>1109</v>
      </c>
      <c r="H9" s="121" t="s">
        <v>1109</v>
      </c>
      <c r="I9" s="121" t="s">
        <v>1109</v>
      </c>
      <c r="J9" s="121" t="s">
        <v>1109</v>
      </c>
      <c r="K9" s="120">
        <f t="shared" ref="K9:V9" si="0">(K8-F8)/F8</f>
        <v>-0.1017692121504583</v>
      </c>
      <c r="L9" s="122">
        <f t="shared" si="0"/>
        <v>-0.19234370610818066</v>
      </c>
      <c r="M9" s="122">
        <f t="shared" si="0"/>
        <v>-0.19896166160199846</v>
      </c>
      <c r="N9" s="122">
        <f t="shared" si="0"/>
        <v>-0.19110500186649823</v>
      </c>
      <c r="O9" s="122">
        <f t="shared" si="0"/>
        <v>-0.10819464668257461</v>
      </c>
      <c r="P9" s="120">
        <f t="shared" si="0"/>
        <v>-0.17500344272412138</v>
      </c>
      <c r="Q9" s="122">
        <f t="shared" si="0"/>
        <v>-0.12043746256255673</v>
      </c>
      <c r="R9" s="122">
        <f t="shared" si="0"/>
        <v>-0.1270340161501492</v>
      </c>
      <c r="S9" s="122">
        <f t="shared" si="0"/>
        <v>-5.925229452763784E-2</v>
      </c>
      <c r="T9" s="122">
        <f t="shared" si="0"/>
        <v>-3.3031569768932921E-2</v>
      </c>
      <c r="U9" s="120">
        <f t="shared" si="0"/>
        <v>-8.6421623025158684E-2</v>
      </c>
      <c r="V9" s="122">
        <f t="shared" si="0"/>
        <v>2.9428822495606362E-2</v>
      </c>
      <c r="W9" s="122"/>
      <c r="X9" s="122"/>
      <c r="Y9" s="121"/>
      <c r="Z9" s="120"/>
      <c r="AA9" s="118"/>
      <c r="AB9" s="1062" t="s">
        <v>791</v>
      </c>
      <c r="AC9" s="2" t="s">
        <v>793</v>
      </c>
      <c r="AD9" s="118"/>
      <c r="AE9" s="118"/>
      <c r="AF9" s="118"/>
      <c r="AG9" s="118"/>
      <c r="AH9" s="118"/>
      <c r="AI9" s="118"/>
      <c r="AJ9" s="118"/>
      <c r="AK9" s="118"/>
      <c r="AL9" s="118"/>
      <c r="AM9" s="118"/>
      <c r="AN9" s="118"/>
      <c r="AO9" s="118"/>
      <c r="AP9" s="118"/>
      <c r="AQ9" s="118"/>
      <c r="AR9" s="118"/>
      <c r="AS9" s="118"/>
      <c r="AT9" s="118"/>
      <c r="AU9" s="118"/>
      <c r="AV9" s="118"/>
      <c r="AW9" s="118"/>
      <c r="AX9" s="118"/>
      <c r="AY9" s="118"/>
      <c r="AZ9" s="118"/>
    </row>
    <row r="10" spans="1:52">
      <c r="A10" s="2" t="s">
        <v>401</v>
      </c>
      <c r="B10" s="2"/>
      <c r="C10" s="115">
        <v>316.79000000000002</v>
      </c>
      <c r="D10" s="115">
        <v>398.11399999999998</v>
      </c>
      <c r="E10" s="115">
        <v>443.19099999999997</v>
      </c>
      <c r="F10" s="115">
        <v>464.012</v>
      </c>
      <c r="G10" s="116">
        <v>114.242</v>
      </c>
      <c r="H10" s="116">
        <v>106.062</v>
      </c>
      <c r="I10" s="116">
        <v>90.516000000000005</v>
      </c>
      <c r="J10" s="116">
        <v>81.778000000000006</v>
      </c>
      <c r="K10" s="115">
        <v>392.59800000000001</v>
      </c>
      <c r="L10" s="116">
        <v>87.075000000000003</v>
      </c>
      <c r="M10" s="116">
        <v>70.956000000000003</v>
      </c>
      <c r="N10" s="116">
        <v>57.814999999999998</v>
      </c>
      <c r="O10" s="116">
        <v>67.245999999999995</v>
      </c>
      <c r="P10" s="112">
        <f>SUM(L10:O10)</f>
        <v>283.09199999999998</v>
      </c>
      <c r="Q10" s="116">
        <v>71.7</v>
      </c>
      <c r="R10" s="116">
        <v>59.215000000000003</v>
      </c>
      <c r="S10" s="116"/>
      <c r="T10" s="116"/>
      <c r="U10" s="112"/>
      <c r="V10" s="116"/>
      <c r="W10" s="116"/>
      <c r="X10" s="116"/>
      <c r="Y10" s="116"/>
      <c r="Z10" s="112"/>
      <c r="AA10" s="2"/>
      <c r="AB10" s="1062" t="s">
        <v>796</v>
      </c>
      <c r="AC10" s="2" t="s">
        <v>794</v>
      </c>
      <c r="AD10" s="2"/>
      <c r="AE10" s="2"/>
      <c r="AF10" s="2"/>
      <c r="AG10" s="2"/>
      <c r="AH10" s="2"/>
      <c r="AI10" s="2"/>
      <c r="AJ10" s="2"/>
      <c r="AK10" s="2"/>
      <c r="AL10" s="2"/>
      <c r="AM10" s="2"/>
      <c r="AN10" s="2"/>
      <c r="AO10" s="2"/>
      <c r="AP10" s="2"/>
      <c r="AQ10" s="2" t="s">
        <v>696</v>
      </c>
      <c r="AR10" s="2"/>
      <c r="AS10" s="114">
        <f>AS6/F10</f>
        <v>5.2800358611415223</v>
      </c>
      <c r="AT10" s="2"/>
      <c r="AU10" s="2"/>
      <c r="AV10" s="2"/>
      <c r="AW10" s="2"/>
      <c r="AX10" s="2"/>
      <c r="AY10" s="2"/>
      <c r="AZ10" s="2"/>
    </row>
    <row r="11" spans="1:52">
      <c r="A11" s="117" t="s">
        <v>1249</v>
      </c>
      <c r="B11" s="118"/>
      <c r="C11" s="119">
        <v>0.22700000000000001</v>
      </c>
      <c r="D11" s="120">
        <f>(D10-C10)/C10</f>
        <v>0.25671264875785205</v>
      </c>
      <c r="E11" s="120">
        <f>(E10-D10)/D10</f>
        <v>0.11322636229823618</v>
      </c>
      <c r="F11" s="120">
        <f>(F10-E10)/E10</f>
        <v>4.6979744624778094E-2</v>
      </c>
      <c r="G11" s="121" t="s">
        <v>1109</v>
      </c>
      <c r="H11" s="121" t="s">
        <v>1109</v>
      </c>
      <c r="I11" s="121" t="s">
        <v>1109</v>
      </c>
      <c r="J11" s="121" t="s">
        <v>1109</v>
      </c>
      <c r="K11" s="120">
        <f t="shared" ref="K11:R11" si="1">(K10-F10)/F10</f>
        <v>-0.15390550244390228</v>
      </c>
      <c r="L11" s="122">
        <f t="shared" si="1"/>
        <v>-0.23780220934507448</v>
      </c>
      <c r="M11" s="122">
        <f t="shared" si="1"/>
        <v>-0.33099507835039876</v>
      </c>
      <c r="N11" s="122">
        <f t="shared" si="1"/>
        <v>-0.36127314507932307</v>
      </c>
      <c r="O11" s="122">
        <f t="shared" si="1"/>
        <v>-0.17770060407444557</v>
      </c>
      <c r="P11" s="120">
        <f t="shared" si="1"/>
        <v>-0.27892653554017094</v>
      </c>
      <c r="Q11" s="122">
        <f t="shared" si="1"/>
        <v>-0.17657192075796727</v>
      </c>
      <c r="R11" s="122">
        <f t="shared" si="1"/>
        <v>-0.16546874119172444</v>
      </c>
      <c r="S11" s="122"/>
      <c r="T11" s="122"/>
      <c r="U11" s="120"/>
      <c r="V11" s="122"/>
      <c r="W11" s="122"/>
      <c r="X11" s="122"/>
      <c r="Y11" s="121"/>
      <c r="Z11" s="120"/>
      <c r="AA11" s="118"/>
      <c r="AB11" s="1062" t="s">
        <v>789</v>
      </c>
      <c r="AC11" s="2" t="s">
        <v>795</v>
      </c>
      <c r="AD11" s="118"/>
      <c r="AE11" s="118"/>
      <c r="AF11" s="118"/>
      <c r="AG11" s="118"/>
      <c r="AH11" s="118"/>
      <c r="AI11" s="118"/>
      <c r="AJ11" s="118"/>
      <c r="AK11" s="118"/>
      <c r="AL11" s="118"/>
      <c r="AM11" s="118"/>
      <c r="AN11" s="118"/>
      <c r="AO11" s="118"/>
      <c r="AP11" s="118"/>
      <c r="AQ11" s="2" t="s">
        <v>697</v>
      </c>
      <c r="AR11" s="2"/>
      <c r="AS11" s="114">
        <f>AS6/(F10*0.75)</f>
        <v>7.0400478148553622</v>
      </c>
      <c r="AT11" s="118"/>
      <c r="AU11" s="118"/>
      <c r="AV11" s="118"/>
      <c r="AW11" s="118"/>
      <c r="AX11" s="118"/>
      <c r="AY11" s="118"/>
      <c r="AZ11" s="118"/>
    </row>
    <row r="12" spans="1:52">
      <c r="A12" s="117" t="s">
        <v>56</v>
      </c>
      <c r="B12" s="118"/>
      <c r="C12" s="123">
        <f>C10/C8</f>
        <v>0.3648611917332375</v>
      </c>
      <c r="D12" s="123">
        <f>D10/D8</f>
        <v>0.41126757071415065</v>
      </c>
      <c r="E12" s="123">
        <f>E10/E8</f>
        <v>0.37271160769624734</v>
      </c>
      <c r="F12" s="123">
        <f>F10/F8</f>
        <v>0.35429444925054154</v>
      </c>
      <c r="G12" s="124">
        <f>G10/G8</f>
        <v>0.356571678267112</v>
      </c>
      <c r="H12" s="124">
        <f t="shared" ref="H12:N12" si="2">H10/H8</f>
        <v>0.34544619563624285</v>
      </c>
      <c r="I12" s="124">
        <f t="shared" si="2"/>
        <v>0.31579057540478594</v>
      </c>
      <c r="J12" s="124">
        <f t="shared" si="2"/>
        <v>0.31172286557242079</v>
      </c>
      <c r="K12" s="123">
        <f>K10/K8</f>
        <v>0.3337300258246812</v>
      </c>
      <c r="L12" s="124">
        <f t="shared" si="2"/>
        <v>0.33650223175468091</v>
      </c>
      <c r="M12" s="124">
        <f t="shared" si="2"/>
        <v>0.28850704637678803</v>
      </c>
      <c r="N12" s="124">
        <f t="shared" si="2"/>
        <v>0.24935735974052861</v>
      </c>
      <c r="O12" s="124">
        <f>O10/O8</f>
        <v>0.28742765795570141</v>
      </c>
      <c r="P12" s="123">
        <f>P10/P8</f>
        <v>0.29169075166843378</v>
      </c>
      <c r="Q12" s="124">
        <f>Q10/Q8</f>
        <v>0.31502636203866435</v>
      </c>
      <c r="R12" s="124">
        <f>R10/R8</f>
        <v>0.2758047312749477</v>
      </c>
      <c r="S12" s="124"/>
      <c r="T12" s="124"/>
      <c r="U12" s="123"/>
      <c r="V12" s="124"/>
      <c r="W12" s="124"/>
      <c r="X12" s="124"/>
      <c r="Y12" s="124"/>
      <c r="Z12" s="123"/>
      <c r="AA12" s="118"/>
      <c r="AB12" s="1062" t="s">
        <v>790</v>
      </c>
      <c r="AC12" s="2" t="s">
        <v>898</v>
      </c>
      <c r="AD12" s="118"/>
      <c r="AE12" s="118"/>
      <c r="AF12" s="118"/>
      <c r="AG12" s="118"/>
      <c r="AH12" s="118"/>
      <c r="AI12" s="118"/>
      <c r="AJ12" s="118"/>
      <c r="AK12" s="118"/>
      <c r="AL12" s="118"/>
      <c r="AM12" s="118"/>
      <c r="AN12" s="118"/>
      <c r="AO12" s="118"/>
      <c r="AP12" s="118"/>
      <c r="AQ12" s="2" t="s">
        <v>1478</v>
      </c>
      <c r="AR12" s="118"/>
      <c r="AS12" s="114">
        <f>AS6/(F10*0.5)</f>
        <v>10.560071722283045</v>
      </c>
      <c r="AT12" s="118"/>
      <c r="AU12" s="118"/>
      <c r="AV12" s="118"/>
      <c r="AW12" s="118"/>
      <c r="AX12" s="118"/>
      <c r="AY12" s="118"/>
      <c r="AZ12" s="118"/>
    </row>
    <row r="13" spans="1:52">
      <c r="A13" s="2"/>
      <c r="B13" s="2"/>
      <c r="C13" s="112"/>
      <c r="D13" s="112"/>
      <c r="E13" s="112"/>
      <c r="F13" s="112"/>
      <c r="G13" s="2"/>
      <c r="H13" s="2"/>
      <c r="I13" s="2"/>
      <c r="J13" s="2"/>
      <c r="K13" s="112"/>
      <c r="L13" s="2"/>
      <c r="M13" s="2"/>
      <c r="N13" s="2"/>
      <c r="O13" s="2"/>
      <c r="P13" s="112"/>
      <c r="Q13" s="2"/>
      <c r="R13" s="2"/>
      <c r="S13" s="2"/>
      <c r="T13" s="2"/>
      <c r="U13" s="112"/>
      <c r="V13" s="2"/>
      <c r="W13" s="2"/>
      <c r="X13" s="2"/>
      <c r="Y13" s="2"/>
      <c r="Z13" s="112"/>
      <c r="AA13" s="2"/>
      <c r="AB13" s="1062" t="s">
        <v>797</v>
      </c>
      <c r="AC13" s="2"/>
      <c r="AD13" s="2"/>
      <c r="AE13" s="2"/>
      <c r="AF13" s="2"/>
      <c r="AG13" s="2"/>
      <c r="AH13" s="2"/>
      <c r="AI13" s="2"/>
      <c r="AJ13" s="2"/>
      <c r="AK13" s="2"/>
      <c r="AL13" s="2"/>
      <c r="AM13" s="2"/>
      <c r="AN13" s="2"/>
      <c r="AO13" s="2"/>
      <c r="AP13" s="2"/>
      <c r="AQ13" s="2"/>
      <c r="AR13" s="2"/>
      <c r="AS13" s="2"/>
      <c r="AT13" s="2"/>
      <c r="AU13" s="2"/>
      <c r="AV13" s="2"/>
      <c r="AW13" s="2"/>
      <c r="AX13" s="2"/>
      <c r="AY13" s="2"/>
      <c r="AZ13" s="2"/>
    </row>
    <row r="14" spans="1:52">
      <c r="A14" s="69" t="s">
        <v>427</v>
      </c>
      <c r="B14" s="2"/>
      <c r="C14" s="112"/>
      <c r="D14" s="112"/>
      <c r="E14" s="112"/>
      <c r="F14" s="112"/>
      <c r="G14" s="2"/>
      <c r="H14" s="2"/>
      <c r="I14" s="2"/>
      <c r="J14" s="2"/>
      <c r="K14" s="112"/>
      <c r="L14" s="2"/>
      <c r="M14" s="2"/>
      <c r="N14" s="2"/>
      <c r="O14" s="2"/>
      <c r="P14" s="112"/>
      <c r="Q14" s="2"/>
      <c r="R14" s="2"/>
      <c r="S14" s="2"/>
      <c r="T14" s="2"/>
      <c r="U14" s="112"/>
      <c r="V14" s="2"/>
      <c r="W14" s="2"/>
      <c r="X14" s="2"/>
      <c r="Y14" s="2"/>
      <c r="Z14" s="112"/>
      <c r="AA14" s="2"/>
      <c r="AB14" s="1062" t="s">
        <v>798</v>
      </c>
      <c r="AC14" s="2"/>
      <c r="AD14" s="2"/>
      <c r="AE14" s="2"/>
      <c r="AF14" s="2"/>
      <c r="AG14" s="2"/>
      <c r="AH14" s="2"/>
      <c r="AI14" s="2"/>
      <c r="AJ14" s="2"/>
      <c r="AK14" s="2"/>
      <c r="AL14" s="2"/>
      <c r="AM14" s="2"/>
      <c r="AN14" s="2"/>
      <c r="AO14" s="2"/>
      <c r="AP14" s="2"/>
      <c r="AQ14" s="2" t="s">
        <v>1479</v>
      </c>
      <c r="AR14" s="2">
        <f>AR6/7</f>
        <v>135.71428571428572</v>
      </c>
      <c r="AS14" s="2"/>
      <c r="AT14" s="2"/>
      <c r="AU14" s="2"/>
      <c r="AV14" s="2"/>
      <c r="AW14" s="2"/>
      <c r="AX14" s="2"/>
      <c r="AY14" s="2"/>
      <c r="AZ14" s="2"/>
    </row>
    <row r="15" spans="1:52">
      <c r="A15" s="2" t="s">
        <v>560</v>
      </c>
      <c r="B15" s="2"/>
      <c r="C15" s="115">
        <v>177.18899999999999</v>
      </c>
      <c r="D15" s="115">
        <v>238.35499999999999</v>
      </c>
      <c r="E15" s="115">
        <v>262.35399999999998</v>
      </c>
      <c r="F15" s="115">
        <v>277.755</v>
      </c>
      <c r="G15" s="125">
        <v>64.382999999999996</v>
      </c>
      <c r="H15" s="125">
        <v>61.225000000000001</v>
      </c>
      <c r="I15" s="125">
        <v>59.042999999999999</v>
      </c>
      <c r="J15" s="116">
        <v>60.313000000000002</v>
      </c>
      <c r="K15" s="115">
        <v>244.964</v>
      </c>
      <c r="L15" s="125">
        <v>50.499000000000002</v>
      </c>
      <c r="M15" s="125">
        <v>49.253999999999998</v>
      </c>
      <c r="N15" s="125">
        <v>42.622999999999998</v>
      </c>
      <c r="O15" s="116">
        <v>40.375</v>
      </c>
      <c r="P15" s="112">
        <f>SUM(L15:O15)</f>
        <v>182.751</v>
      </c>
      <c r="Q15" s="125">
        <v>44.384</v>
      </c>
      <c r="R15" s="125">
        <v>41.758000000000003</v>
      </c>
      <c r="S15" s="125"/>
      <c r="T15" s="116"/>
      <c r="U15" s="112">
        <v>167.77199999999999</v>
      </c>
      <c r="V15" s="125"/>
      <c r="W15" s="125"/>
      <c r="X15" s="125"/>
      <c r="Y15" s="116"/>
      <c r="Z15" s="112"/>
      <c r="AA15" s="2"/>
      <c r="AB15" s="2"/>
      <c r="AC15" s="2"/>
      <c r="AD15" s="2"/>
      <c r="AE15" s="2"/>
      <c r="AF15" s="2"/>
      <c r="AG15" s="2"/>
      <c r="AH15" s="2"/>
      <c r="AI15" s="2"/>
      <c r="AJ15" s="2"/>
      <c r="AK15" s="2"/>
      <c r="AL15" s="2"/>
      <c r="AM15" s="2"/>
      <c r="AN15" s="2"/>
      <c r="AO15" s="2"/>
      <c r="AP15" s="2"/>
      <c r="AQ15" s="2" t="s">
        <v>1210</v>
      </c>
      <c r="AR15" s="126">
        <f>AR14/K31</f>
        <v>0.31265349846923202</v>
      </c>
      <c r="AS15" s="2"/>
      <c r="AT15" s="2"/>
      <c r="AU15" s="2"/>
      <c r="AV15" s="2"/>
      <c r="AW15" s="2"/>
      <c r="AX15" s="2"/>
      <c r="AY15" s="2"/>
      <c r="AZ15" s="2"/>
    </row>
    <row r="16" spans="1:52">
      <c r="A16" s="127" t="s">
        <v>1249</v>
      </c>
      <c r="B16" s="2"/>
      <c r="C16" s="128">
        <v>0.27300000000000002</v>
      </c>
      <c r="D16" s="129">
        <f>(D15-C15)/C15</f>
        <v>0.34520201592649657</v>
      </c>
      <c r="E16" s="129">
        <f>(E15-D15)/D15</f>
        <v>0.10068595162677517</v>
      </c>
      <c r="F16" s="129">
        <f>(F15-E15)/E15</f>
        <v>5.8703126310252603E-2</v>
      </c>
      <c r="G16" s="101" t="s">
        <v>1109</v>
      </c>
      <c r="H16" s="101" t="s">
        <v>1109</v>
      </c>
      <c r="I16" s="101" t="s">
        <v>1109</v>
      </c>
      <c r="J16" s="101" t="s">
        <v>1109</v>
      </c>
      <c r="K16" s="129">
        <f>(K15-F15)/F15</f>
        <v>-0.11805728069701714</v>
      </c>
      <c r="L16" s="105">
        <f>(L15-G15)/G15</f>
        <v>-0.21564698755882755</v>
      </c>
      <c r="M16" s="105">
        <f>(M15-H15)/H15</f>
        <v>-0.19552470396080038</v>
      </c>
      <c r="N16" s="105">
        <f>(N15-I15)/I15</f>
        <v>-0.27810239994580227</v>
      </c>
      <c r="O16" s="101" t="s">
        <v>1109</v>
      </c>
      <c r="P16" s="129">
        <f>(P15-K15)/K15</f>
        <v>-0.25396792998154827</v>
      </c>
      <c r="Q16" s="105">
        <f>(Q15-L15)/L15</f>
        <v>-0.12109150676251018</v>
      </c>
      <c r="R16" s="105">
        <f>(R15-M15)/M15</f>
        <v>-0.15219068502050587</v>
      </c>
      <c r="S16" s="105"/>
      <c r="T16" s="101"/>
      <c r="U16" s="129"/>
      <c r="V16" s="105"/>
      <c r="W16" s="105"/>
      <c r="X16" s="105"/>
      <c r="Y16" s="101"/>
      <c r="Z16" s="129"/>
      <c r="AA16" s="2"/>
      <c r="AB16" s="69" t="s">
        <v>1790</v>
      </c>
      <c r="AC16" s="2"/>
      <c r="AD16" s="2"/>
      <c r="AE16" s="2"/>
      <c r="AF16" s="2"/>
      <c r="AG16" s="2"/>
      <c r="AH16" s="2"/>
      <c r="AI16" s="2"/>
      <c r="AJ16" s="2"/>
      <c r="AK16" s="2"/>
      <c r="AL16" s="2"/>
      <c r="AM16" s="2"/>
      <c r="AN16" s="2"/>
      <c r="AO16" s="2"/>
      <c r="AP16" s="2"/>
      <c r="AQ16" s="2"/>
      <c r="AR16" s="2"/>
      <c r="AS16" s="2"/>
      <c r="AT16" s="2"/>
      <c r="AU16" s="2"/>
      <c r="AV16" s="2"/>
      <c r="AW16" s="2"/>
      <c r="AX16" s="2"/>
      <c r="AY16" s="2"/>
      <c r="AZ16" s="2"/>
    </row>
    <row r="17" spans="1:52">
      <c r="A17" s="2" t="s">
        <v>401</v>
      </c>
      <c r="B17" s="2"/>
      <c r="C17" s="115">
        <v>77.578000000000003</v>
      </c>
      <c r="D17" s="115">
        <v>103.929</v>
      </c>
      <c r="E17" s="115">
        <v>111.953</v>
      </c>
      <c r="F17" s="115">
        <v>111.613</v>
      </c>
      <c r="G17" s="125">
        <v>25.385999999999999</v>
      </c>
      <c r="H17" s="125">
        <v>22.077000000000002</v>
      </c>
      <c r="I17" s="125">
        <v>19.733000000000001</v>
      </c>
      <c r="J17" s="116">
        <v>15.753</v>
      </c>
      <c r="K17" s="115">
        <v>82.948999999999998</v>
      </c>
      <c r="L17" s="125">
        <v>17.431999999999999</v>
      </c>
      <c r="M17" s="125">
        <v>15.167999999999999</v>
      </c>
      <c r="N17" s="125">
        <v>8.516</v>
      </c>
      <c r="O17" s="116">
        <v>8.5559999999999992</v>
      </c>
      <c r="P17" s="112">
        <f>SUM(L17:O17)</f>
        <v>49.67199999999999</v>
      </c>
      <c r="Q17" s="125">
        <v>12.87</v>
      </c>
      <c r="R17" s="125">
        <v>11.916</v>
      </c>
      <c r="S17" s="125"/>
      <c r="T17" s="116"/>
      <c r="U17" s="112"/>
      <c r="V17" s="125"/>
      <c r="W17" s="125"/>
      <c r="X17" s="125"/>
      <c r="Y17" s="116"/>
      <c r="Z17" s="112"/>
      <c r="AA17" s="2"/>
      <c r="AB17" s="2" t="s">
        <v>799</v>
      </c>
      <c r="AC17" s="2"/>
      <c r="AD17" s="2"/>
      <c r="AE17" s="2"/>
      <c r="AF17" s="2"/>
      <c r="AG17" s="2"/>
      <c r="AH17" s="2"/>
      <c r="AI17" s="2"/>
      <c r="AJ17" s="2"/>
      <c r="AK17" s="2"/>
      <c r="AL17" s="2"/>
      <c r="AM17" s="2"/>
      <c r="AN17" s="2"/>
      <c r="AO17" s="2"/>
      <c r="AP17" s="2"/>
      <c r="AQ17" s="2" t="s">
        <v>1211</v>
      </c>
      <c r="AR17" s="130">
        <f>AR15*SUM(L31:N31,J31)</f>
        <v>101.94333073063009</v>
      </c>
      <c r="AS17" s="2"/>
      <c r="AT17" s="2"/>
      <c r="AU17" s="2"/>
      <c r="AV17" s="2"/>
      <c r="AW17" s="2"/>
      <c r="AX17" s="2"/>
      <c r="AY17" s="2"/>
      <c r="AZ17" s="2"/>
    </row>
    <row r="18" spans="1:52">
      <c r="A18" s="127" t="s">
        <v>1249</v>
      </c>
      <c r="B18" s="2"/>
      <c r="C18" s="128">
        <v>0.33300000000000002</v>
      </c>
      <c r="D18" s="129">
        <f>(D17-C17)/C17</f>
        <v>0.33967104075897803</v>
      </c>
      <c r="E18" s="129">
        <f>(E17-D17)/D17</f>
        <v>7.7206554474689465E-2</v>
      </c>
      <c r="F18" s="129">
        <f>(F17-E17)/E17</f>
        <v>-3.0369887363447465E-3</v>
      </c>
      <c r="G18" s="101" t="s">
        <v>1109</v>
      </c>
      <c r="H18" s="101" t="s">
        <v>1109</v>
      </c>
      <c r="I18" s="101" t="s">
        <v>1109</v>
      </c>
      <c r="J18" s="101" t="s">
        <v>1109</v>
      </c>
      <c r="K18" s="129">
        <f>(K17-F17)/F17</f>
        <v>-0.25681596229829862</v>
      </c>
      <c r="L18" s="105">
        <f>(L17-G17)/G17</f>
        <v>-0.31332230363192315</v>
      </c>
      <c r="M18" s="105">
        <f>(M17-H17)/H17</f>
        <v>-0.31295012909362696</v>
      </c>
      <c r="N18" s="105">
        <f>(N17-I17)/I17</f>
        <v>-0.5684386560583794</v>
      </c>
      <c r="O18" s="101" t="s">
        <v>1109</v>
      </c>
      <c r="P18" s="129">
        <f>(P17-K17)/K17</f>
        <v>-0.40117421548180215</v>
      </c>
      <c r="Q18" s="105">
        <f>(Q17-L17)/L17</f>
        <v>-0.26170261587884347</v>
      </c>
      <c r="R18" s="105">
        <f>(R17-M17)/M17</f>
        <v>-0.21439873417721514</v>
      </c>
      <c r="S18" s="105"/>
      <c r="T18" s="101"/>
      <c r="U18" s="129"/>
      <c r="V18" s="105"/>
      <c r="W18" s="105"/>
      <c r="X18" s="105"/>
      <c r="Y18" s="101"/>
      <c r="Z18" s="129"/>
      <c r="AA18" s="2"/>
      <c r="AB18" s="2" t="s">
        <v>800</v>
      </c>
      <c r="AC18" s="2"/>
      <c r="AD18" s="2"/>
      <c r="AE18" s="2"/>
      <c r="AF18" s="2"/>
      <c r="AG18" s="2"/>
      <c r="AH18" s="2"/>
      <c r="AI18" s="2"/>
      <c r="AJ18" s="2"/>
      <c r="AK18" s="2"/>
      <c r="AL18" s="2"/>
      <c r="AM18" s="2"/>
      <c r="AN18" s="2"/>
      <c r="AO18" s="2"/>
      <c r="AP18" s="2"/>
      <c r="AQ18" s="2" t="s">
        <v>1212</v>
      </c>
      <c r="AR18" s="131">
        <f>(O31)*4*AR15</f>
        <v>89.448915298053407</v>
      </c>
      <c r="AS18" s="105"/>
      <c r="AT18" s="2"/>
      <c r="AU18" s="2"/>
      <c r="AV18" s="2"/>
      <c r="AW18" s="2"/>
      <c r="AX18" s="2"/>
      <c r="AY18" s="2"/>
      <c r="AZ18" s="2"/>
    </row>
    <row r="19" spans="1:52">
      <c r="A19" s="127" t="s">
        <v>56</v>
      </c>
      <c r="B19" s="2"/>
      <c r="C19" s="132">
        <f>C17/C15</f>
        <v>0.43782627589748802</v>
      </c>
      <c r="D19" s="132">
        <f>D17/D15</f>
        <v>0.43602609552977706</v>
      </c>
      <c r="E19" s="132">
        <f>E17/E15</f>
        <v>0.42672495940599348</v>
      </c>
      <c r="F19" s="132">
        <f>F17/F15</f>
        <v>0.40183975085957047</v>
      </c>
      <c r="G19" s="133">
        <f>G17/G15</f>
        <v>0.39429663109827129</v>
      </c>
      <c r="H19" s="133">
        <f t="shared" ref="H19:N19" si="3">H17/H15</f>
        <v>0.36058799510004086</v>
      </c>
      <c r="I19" s="133">
        <f t="shared" si="3"/>
        <v>0.33421404738919092</v>
      </c>
      <c r="J19" s="133">
        <f t="shared" si="3"/>
        <v>0.26118747202095732</v>
      </c>
      <c r="K19" s="132">
        <f>K17/K15</f>
        <v>0.33861710292124558</v>
      </c>
      <c r="L19" s="133">
        <f t="shared" si="3"/>
        <v>0.34519495435553177</v>
      </c>
      <c r="M19" s="133">
        <f t="shared" si="3"/>
        <v>0.30795468388354247</v>
      </c>
      <c r="N19" s="133">
        <f t="shared" si="3"/>
        <v>0.19979823100204117</v>
      </c>
      <c r="O19" s="133">
        <f>O17/O15</f>
        <v>0.21191331269349842</v>
      </c>
      <c r="P19" s="132">
        <f>P17/P15</f>
        <v>0.27180152228989163</v>
      </c>
      <c r="Q19" s="133">
        <f>Q17/Q15</f>
        <v>0.28996935832732512</v>
      </c>
      <c r="R19" s="133">
        <f>R17/R15</f>
        <v>0.28535849418075576</v>
      </c>
      <c r="S19" s="133"/>
      <c r="T19" s="133"/>
      <c r="U19" s="132"/>
      <c r="V19" s="133"/>
      <c r="W19" s="133"/>
      <c r="X19" s="133"/>
      <c r="Y19" s="133"/>
      <c r="Z19" s="132"/>
      <c r="AA19" s="2"/>
      <c r="AB19" s="2" t="s">
        <v>801</v>
      </c>
      <c r="AC19" s="2"/>
      <c r="AD19" s="2"/>
      <c r="AE19" s="2"/>
      <c r="AF19" s="2"/>
      <c r="AG19" s="2"/>
      <c r="AH19" s="2"/>
      <c r="AI19" s="2"/>
      <c r="AJ19" s="2"/>
      <c r="AK19" s="2"/>
      <c r="AL19" s="2"/>
      <c r="AM19" s="2"/>
      <c r="AN19" s="2"/>
      <c r="AO19" s="2"/>
      <c r="AP19" s="2"/>
      <c r="AQ19" s="2"/>
      <c r="AR19" s="2"/>
      <c r="AS19" s="2"/>
      <c r="AT19" s="2"/>
      <c r="AU19" s="2"/>
      <c r="AV19" s="2"/>
      <c r="AW19" s="2"/>
      <c r="AX19" s="2"/>
      <c r="AY19" s="2"/>
      <c r="AZ19" s="2"/>
    </row>
    <row r="20" spans="1:52">
      <c r="A20" s="2"/>
      <c r="B20" s="2"/>
      <c r="C20" s="112"/>
      <c r="D20" s="112"/>
      <c r="E20" s="112"/>
      <c r="F20" s="112"/>
      <c r="G20" s="2"/>
      <c r="H20" s="2"/>
      <c r="I20" s="2"/>
      <c r="J20" s="2"/>
      <c r="K20" s="112"/>
      <c r="L20" s="2"/>
      <c r="M20" s="2"/>
      <c r="N20" s="2"/>
      <c r="O20" s="2"/>
      <c r="P20" s="112"/>
      <c r="Q20" s="2"/>
      <c r="R20" s="2"/>
      <c r="S20" s="2"/>
      <c r="T20" s="2"/>
      <c r="U20" s="112"/>
      <c r="V20" s="2"/>
      <c r="W20" s="2"/>
      <c r="X20" s="2"/>
      <c r="Y20" s="2"/>
      <c r="Z20" s="112"/>
      <c r="AA20" s="2"/>
      <c r="AB20" s="2" t="s">
        <v>802</v>
      </c>
      <c r="AC20" s="2"/>
      <c r="AD20" s="2"/>
      <c r="AE20" s="2"/>
      <c r="AF20" s="2"/>
      <c r="AG20" s="2"/>
      <c r="AH20" s="2"/>
      <c r="AI20" s="2"/>
      <c r="AJ20" s="2"/>
      <c r="AK20" s="2"/>
      <c r="AL20" s="2"/>
      <c r="AM20" s="2"/>
      <c r="AN20" s="2"/>
      <c r="AO20" s="2"/>
      <c r="AP20" s="2"/>
      <c r="AQ20" s="111" t="s">
        <v>1213</v>
      </c>
      <c r="AR20" s="134">
        <v>6</v>
      </c>
      <c r="AS20" s="135">
        <f>AR20+1</f>
        <v>7</v>
      </c>
      <c r="AT20" s="136">
        <f>AS20+1</f>
        <v>8</v>
      </c>
      <c r="AU20" s="135">
        <f>AT20+1</f>
        <v>9</v>
      </c>
      <c r="AV20" s="135">
        <f>AU20+1</f>
        <v>10</v>
      </c>
      <c r="AW20" s="2"/>
      <c r="AX20" s="2"/>
      <c r="AY20" s="2"/>
      <c r="AZ20" s="2"/>
    </row>
    <row r="21" spans="1:52">
      <c r="A21" s="69" t="s">
        <v>808</v>
      </c>
      <c r="B21" s="2"/>
      <c r="C21" s="112"/>
      <c r="D21" s="112"/>
      <c r="E21" s="112"/>
      <c r="F21" s="112"/>
      <c r="G21" s="2"/>
      <c r="H21" s="2"/>
      <c r="I21" s="2"/>
      <c r="J21" s="2"/>
      <c r="K21" s="112"/>
      <c r="L21" s="2"/>
      <c r="M21" s="2"/>
      <c r="N21" s="2"/>
      <c r="O21" s="2"/>
      <c r="P21" s="112"/>
      <c r="Q21" s="2"/>
      <c r="R21" s="2"/>
      <c r="S21" s="2"/>
      <c r="T21" s="2"/>
      <c r="U21" s="112"/>
      <c r="V21" s="2"/>
      <c r="W21" s="2"/>
      <c r="X21" s="2"/>
      <c r="Y21" s="2"/>
      <c r="Z21" s="112"/>
      <c r="AA21" s="2"/>
      <c r="AB21" s="2" t="s">
        <v>174</v>
      </c>
      <c r="AC21" s="2"/>
      <c r="AD21" s="2"/>
      <c r="AE21" s="2"/>
      <c r="AF21" s="2"/>
      <c r="AG21" s="2"/>
      <c r="AH21" s="2"/>
      <c r="AI21" s="2"/>
      <c r="AJ21" s="2"/>
      <c r="AK21" s="2"/>
      <c r="AL21" s="2"/>
      <c r="AM21" s="2"/>
      <c r="AN21" s="2"/>
      <c r="AO21" s="2"/>
      <c r="AP21" s="2"/>
      <c r="AQ21" s="2"/>
      <c r="AR21" s="2"/>
      <c r="AS21" s="2"/>
      <c r="AT21" s="112"/>
      <c r="AU21" s="2"/>
      <c r="AV21" s="2"/>
      <c r="AW21" s="2"/>
      <c r="AX21" s="2"/>
      <c r="AY21" s="2"/>
      <c r="AZ21" s="2"/>
    </row>
    <row r="22" spans="1:52">
      <c r="A22" s="2" t="s">
        <v>560</v>
      </c>
      <c r="B22" s="2"/>
      <c r="C22" s="112">
        <f>C15+C8</f>
        <v>1045.4370000000001</v>
      </c>
      <c r="D22" s="112">
        <f>D15+D8</f>
        <v>1206.3720000000001</v>
      </c>
      <c r="E22" s="112">
        <f>E15+E8</f>
        <v>1451.453</v>
      </c>
      <c r="F22" s="112">
        <f>F15+F8</f>
        <v>1587.4340000000002</v>
      </c>
      <c r="G22" s="61">
        <f t="shared" ref="G22:N22" si="4">G15+G8</f>
        <v>384.77299999999997</v>
      </c>
      <c r="H22" s="61">
        <f t="shared" si="4"/>
        <v>368.25400000000002</v>
      </c>
      <c r="I22" s="61">
        <f t="shared" si="4"/>
        <v>345.67599999999999</v>
      </c>
      <c r="J22" s="61">
        <f t="shared" si="4"/>
        <v>322.65499999999997</v>
      </c>
      <c r="K22" s="112">
        <f t="shared" si="4"/>
        <v>1421.3579999999999</v>
      </c>
      <c r="L22" s="61">
        <f t="shared" si="4"/>
        <v>309.26400000000001</v>
      </c>
      <c r="M22" s="61">
        <f t="shared" si="4"/>
        <v>295.19600000000003</v>
      </c>
      <c r="N22" s="61">
        <f t="shared" si="4"/>
        <v>274.47899999999998</v>
      </c>
      <c r="O22" s="61">
        <f>O15+O8</f>
        <v>274.33299999999997</v>
      </c>
      <c r="P22" s="112">
        <f>SUM(L22:O22)</f>
        <v>1153.2719999999999</v>
      </c>
      <c r="Q22" s="61">
        <f>Q15+Q8</f>
        <v>271.98399999999998</v>
      </c>
      <c r="R22" s="61">
        <f>R15+R8</f>
        <v>256.45699999999999</v>
      </c>
      <c r="S22" s="61"/>
      <c r="T22" s="61"/>
      <c r="U22" s="112"/>
      <c r="V22" s="61"/>
      <c r="W22" s="61"/>
      <c r="X22" s="61"/>
      <c r="Y22" s="61"/>
      <c r="Z22" s="112"/>
      <c r="AA22" s="2"/>
      <c r="AB22" s="2" t="s">
        <v>175</v>
      </c>
      <c r="AC22" s="2"/>
      <c r="AD22" s="2"/>
      <c r="AE22" s="2"/>
      <c r="AF22" s="2"/>
      <c r="AG22" s="2"/>
      <c r="AH22" s="2"/>
      <c r="AI22" s="2"/>
      <c r="AJ22" s="2"/>
      <c r="AK22" s="2"/>
      <c r="AL22" s="2"/>
      <c r="AM22" s="2"/>
      <c r="AN22" s="2"/>
      <c r="AO22" s="2"/>
      <c r="AP22" s="2"/>
      <c r="AQ22" s="2" t="s">
        <v>1696</v>
      </c>
      <c r="AR22" s="113">
        <f>$AR$18*AR20</f>
        <v>536.69349178832044</v>
      </c>
      <c r="AS22" s="113">
        <f>$AR$18*AS20</f>
        <v>626.14240708637385</v>
      </c>
      <c r="AT22" s="137">
        <f>$AR$18*AT20</f>
        <v>715.59132238442726</v>
      </c>
      <c r="AU22" s="113">
        <f>$AR$18*AU20</f>
        <v>805.04023768248067</v>
      </c>
      <c r="AV22" s="113">
        <f>$AR$18*AV20</f>
        <v>894.48915298053407</v>
      </c>
      <c r="AW22" s="2"/>
      <c r="AX22" s="2"/>
      <c r="AY22" s="2"/>
      <c r="AZ22" s="2"/>
    </row>
    <row r="23" spans="1:52">
      <c r="A23" s="127" t="s">
        <v>1249</v>
      </c>
      <c r="B23" s="2"/>
      <c r="C23" s="128">
        <v>0.13600000000000001</v>
      </c>
      <c r="D23" s="129">
        <f>(D22-C22)/C22</f>
        <v>0.15394040960861335</v>
      </c>
      <c r="E23" s="129">
        <f>(E22-D22)/D22</f>
        <v>0.20315541143196286</v>
      </c>
      <c r="F23" s="129">
        <f>(F22-E22)/E22</f>
        <v>9.3686120046601734E-2</v>
      </c>
      <c r="G23" s="101" t="s">
        <v>1109</v>
      </c>
      <c r="H23" s="101" t="s">
        <v>1109</v>
      </c>
      <c r="I23" s="101" t="s">
        <v>1109</v>
      </c>
      <c r="J23" s="101" t="s">
        <v>1109</v>
      </c>
      <c r="K23" s="129">
        <f>(K22-F22)/F22</f>
        <v>-0.10461915267028439</v>
      </c>
      <c r="L23" s="105">
        <f>(L22-G22)/G22</f>
        <v>-0.19624297962694878</v>
      </c>
      <c r="M23" s="105">
        <f>(M22-H22)/H22</f>
        <v>-0.1983902415180826</v>
      </c>
      <c r="N23" s="105">
        <f>(N22-I22)/I22</f>
        <v>-0.20596454483389071</v>
      </c>
      <c r="O23" s="101" t="s">
        <v>1109</v>
      </c>
      <c r="P23" s="129">
        <f>(P22-K22)/K22</f>
        <v>-0.1886125803632864</v>
      </c>
      <c r="Q23" s="105">
        <f>(Q22-L22)/L22</f>
        <v>-0.12054425992032707</v>
      </c>
      <c r="R23" s="105">
        <f>(R22-M22)/M22</f>
        <v>-0.13123145300071826</v>
      </c>
      <c r="S23" s="105"/>
      <c r="T23" s="101"/>
      <c r="U23" s="129"/>
      <c r="V23" s="105"/>
      <c r="W23" s="105"/>
      <c r="X23" s="105"/>
      <c r="Y23" s="101"/>
      <c r="Z23" s="129"/>
      <c r="AA23" s="2"/>
      <c r="AB23" s="2" t="s">
        <v>176</v>
      </c>
      <c r="AC23" s="2"/>
      <c r="AD23" s="2"/>
      <c r="AE23" s="2"/>
      <c r="AF23" s="2"/>
      <c r="AG23" s="2"/>
      <c r="AH23" s="2"/>
      <c r="AI23" s="2"/>
      <c r="AJ23" s="2"/>
      <c r="AK23" s="2"/>
      <c r="AL23" s="2"/>
      <c r="AM23" s="2"/>
      <c r="AN23" s="2"/>
      <c r="AO23" s="2"/>
      <c r="AP23" s="2"/>
      <c r="AQ23" s="2"/>
      <c r="AR23" s="2"/>
      <c r="AS23" s="2"/>
      <c r="AT23" s="112"/>
      <c r="AU23" s="2"/>
      <c r="AV23" s="2"/>
      <c r="AW23" s="2"/>
      <c r="AX23" s="2"/>
      <c r="AY23" s="2"/>
      <c r="AZ23" s="2"/>
    </row>
    <row r="24" spans="1:52">
      <c r="A24" s="2" t="s">
        <v>401</v>
      </c>
      <c r="B24" s="2"/>
      <c r="C24" s="112">
        <f>C17+C10</f>
        <v>394.36800000000005</v>
      </c>
      <c r="D24" s="112">
        <f>D17+D10</f>
        <v>502.04300000000001</v>
      </c>
      <c r="E24" s="112">
        <f>E17+E10</f>
        <v>555.14400000000001</v>
      </c>
      <c r="F24" s="112">
        <f>F17+F10</f>
        <v>575.625</v>
      </c>
      <c r="G24" s="61">
        <f t="shared" ref="G24:N24" si="5">G17+G10</f>
        <v>139.62800000000001</v>
      </c>
      <c r="H24" s="61">
        <f t="shared" si="5"/>
        <v>128.13900000000001</v>
      </c>
      <c r="I24" s="61">
        <f t="shared" si="5"/>
        <v>110.24900000000001</v>
      </c>
      <c r="J24" s="61">
        <f t="shared" si="5"/>
        <v>97.531000000000006</v>
      </c>
      <c r="K24" s="112">
        <f t="shared" si="5"/>
        <v>475.54700000000003</v>
      </c>
      <c r="L24" s="61">
        <f t="shared" si="5"/>
        <v>104.50700000000001</v>
      </c>
      <c r="M24" s="61">
        <f t="shared" si="5"/>
        <v>86.123999999999995</v>
      </c>
      <c r="N24" s="61">
        <f t="shared" si="5"/>
        <v>66.331000000000003</v>
      </c>
      <c r="O24" s="61">
        <f>O17+O10</f>
        <v>75.801999999999992</v>
      </c>
      <c r="P24" s="112">
        <f>SUM(L24:O24)</f>
        <v>332.76400000000001</v>
      </c>
      <c r="Q24" s="61">
        <f>Q17+Q10</f>
        <v>84.570000000000007</v>
      </c>
      <c r="R24" s="61">
        <f>R17+R10</f>
        <v>71.131</v>
      </c>
      <c r="S24" s="61"/>
      <c r="T24" s="61"/>
      <c r="U24" s="112"/>
      <c r="V24" s="61"/>
      <c r="W24" s="61"/>
      <c r="X24" s="61"/>
      <c r="Y24" s="61"/>
      <c r="Z24" s="112"/>
      <c r="AA24" s="2"/>
      <c r="AB24" s="2" t="s">
        <v>177</v>
      </c>
      <c r="AC24" s="2"/>
      <c r="AD24" s="2"/>
      <c r="AE24" s="2"/>
      <c r="AF24" s="2"/>
      <c r="AG24" s="2"/>
      <c r="AH24" s="2"/>
      <c r="AI24" s="2"/>
      <c r="AJ24" s="2"/>
      <c r="AK24" s="2"/>
      <c r="AL24" s="2"/>
      <c r="AM24" s="2"/>
      <c r="AN24" s="2"/>
      <c r="AO24" s="2"/>
      <c r="AP24" s="2"/>
      <c r="AQ24" s="2" t="s">
        <v>832</v>
      </c>
      <c r="AR24" s="116">
        <v>1000</v>
      </c>
      <c r="AS24" s="2">
        <f>AR24</f>
        <v>1000</v>
      </c>
      <c r="AT24" s="112">
        <f>AS24</f>
        <v>1000</v>
      </c>
      <c r="AU24" s="2">
        <f>AT24</f>
        <v>1000</v>
      </c>
      <c r="AV24" s="2">
        <f>AU24</f>
        <v>1000</v>
      </c>
      <c r="AW24" s="2"/>
      <c r="AX24" s="2"/>
      <c r="AY24" s="2"/>
      <c r="AZ24" s="2"/>
    </row>
    <row r="25" spans="1:52">
      <c r="A25" s="127" t="s">
        <v>1249</v>
      </c>
      <c r="B25" s="2"/>
      <c r="C25" s="128">
        <v>0.247</v>
      </c>
      <c r="D25" s="129">
        <f>(D24-C24)/C24</f>
        <v>0.27303178756897095</v>
      </c>
      <c r="E25" s="129">
        <f>(E24-D24)/D24</f>
        <v>0.10576982449710483</v>
      </c>
      <c r="F25" s="129">
        <f>(F24-E24)/E24</f>
        <v>3.689313043102329E-2</v>
      </c>
      <c r="G25" s="101" t="s">
        <v>1109</v>
      </c>
      <c r="H25" s="101" t="s">
        <v>1109</v>
      </c>
      <c r="I25" s="101" t="s">
        <v>1109</v>
      </c>
      <c r="J25" s="101" t="s">
        <v>1109</v>
      </c>
      <c r="K25" s="129">
        <f>(K24-F24)/F24</f>
        <v>-0.17385971769815414</v>
      </c>
      <c r="L25" s="105">
        <f>(L24-G24)/G24</f>
        <v>-0.25153264388231589</v>
      </c>
      <c r="M25" s="105">
        <f>(M24-H24)/H24</f>
        <v>-0.32788612366258524</v>
      </c>
      <c r="N25" s="105">
        <f>(N24-I24)/I24</f>
        <v>-0.39835281952670776</v>
      </c>
      <c r="O25" s="101" t="s">
        <v>1109</v>
      </c>
      <c r="P25" s="129">
        <f>(P24-K24)/K24</f>
        <v>-0.30025002786265081</v>
      </c>
      <c r="Q25" s="105">
        <f>(Q24-L24)/L24</f>
        <v>-0.19077191001559701</v>
      </c>
      <c r="R25" s="105">
        <f>(R24-M24)/M24</f>
        <v>-0.17408620129116154</v>
      </c>
      <c r="S25" s="105"/>
      <c r="T25" s="101"/>
      <c r="U25" s="129"/>
      <c r="V25" s="105"/>
      <c r="W25" s="105"/>
      <c r="X25" s="105"/>
      <c r="Y25" s="101"/>
      <c r="Z25" s="129"/>
      <c r="AA25" s="2"/>
      <c r="AB25" s="2" t="s">
        <v>244</v>
      </c>
      <c r="AC25" s="2"/>
      <c r="AD25" s="2"/>
      <c r="AE25" s="2"/>
      <c r="AF25" s="2"/>
      <c r="AG25" s="2"/>
      <c r="AH25" s="2"/>
      <c r="AI25" s="2"/>
      <c r="AJ25" s="2"/>
      <c r="AK25" s="2"/>
      <c r="AL25" s="2"/>
      <c r="AM25" s="2"/>
      <c r="AN25" s="2"/>
      <c r="AO25" s="2"/>
      <c r="AP25" s="2"/>
      <c r="AQ25" s="2"/>
      <c r="AR25" s="2"/>
      <c r="AS25" s="2"/>
      <c r="AT25" s="112"/>
      <c r="AU25" s="2"/>
      <c r="AV25" s="2"/>
      <c r="AW25" s="2"/>
      <c r="AX25" s="2"/>
      <c r="AY25" s="2"/>
      <c r="AZ25" s="2"/>
    </row>
    <row r="26" spans="1:52">
      <c r="A26" s="127" t="s">
        <v>56</v>
      </c>
      <c r="B26" s="2"/>
      <c r="C26" s="132">
        <f>C24/C22</f>
        <v>0.3772278960855604</v>
      </c>
      <c r="D26" s="132">
        <f>D24/D22</f>
        <v>0.41615936046261021</v>
      </c>
      <c r="E26" s="132">
        <f>E24/E22</f>
        <v>0.38247466504254701</v>
      </c>
      <c r="F26" s="132">
        <f>F24/F22</f>
        <v>0.36261350078176474</v>
      </c>
      <c r="G26" s="133">
        <f>G24/G22</f>
        <v>0.36288409009987715</v>
      </c>
      <c r="H26" s="133">
        <f t="shared" ref="H26:N26" si="6">H24/H22</f>
        <v>0.34796363379623846</v>
      </c>
      <c r="I26" s="133">
        <f t="shared" si="6"/>
        <v>0.3189373864543677</v>
      </c>
      <c r="J26" s="133">
        <f t="shared" si="6"/>
        <v>0.30227642528397208</v>
      </c>
      <c r="K26" s="132">
        <f>K24/K22</f>
        <v>0.33457228931768074</v>
      </c>
      <c r="L26" s="133">
        <f t="shared" si="6"/>
        <v>0.33792164623105181</v>
      </c>
      <c r="M26" s="133">
        <f t="shared" si="6"/>
        <v>0.29175192075773382</v>
      </c>
      <c r="N26" s="133">
        <f t="shared" si="6"/>
        <v>0.24166147501266039</v>
      </c>
      <c r="O26" s="133">
        <f>O24/O22</f>
        <v>0.27631382298155893</v>
      </c>
      <c r="P26" s="132">
        <f>P24/P22</f>
        <v>0.28853904369480921</v>
      </c>
      <c r="Q26" s="133">
        <f>Q24/Q22</f>
        <v>0.31093740808282844</v>
      </c>
      <c r="R26" s="133">
        <f>R24/R22</f>
        <v>0.27736033721052655</v>
      </c>
      <c r="S26" s="133"/>
      <c r="T26" s="133"/>
      <c r="U26" s="132"/>
      <c r="V26" s="133"/>
      <c r="W26" s="133"/>
      <c r="X26" s="133"/>
      <c r="Y26" s="133"/>
      <c r="Z26" s="132"/>
      <c r="AA26" s="2"/>
      <c r="AB26" s="2"/>
      <c r="AC26" s="2"/>
      <c r="AD26" s="2"/>
      <c r="AE26" s="2"/>
      <c r="AF26" s="2"/>
      <c r="AG26" s="2"/>
      <c r="AH26" s="2"/>
      <c r="AI26" s="2"/>
      <c r="AJ26" s="2"/>
      <c r="AK26" s="2"/>
      <c r="AL26" s="2"/>
      <c r="AM26" s="2"/>
      <c r="AN26" s="2"/>
      <c r="AO26" s="2"/>
      <c r="AP26" s="2"/>
      <c r="AQ26" s="2" t="s">
        <v>833</v>
      </c>
      <c r="AR26" s="2">
        <f>AR24-AR22</f>
        <v>463.30650821167956</v>
      </c>
      <c r="AS26" s="2">
        <f>AS24-AS22</f>
        <v>373.85759291362615</v>
      </c>
      <c r="AT26" s="112">
        <f>AT24-AT22</f>
        <v>284.40867761557274</v>
      </c>
      <c r="AU26" s="2">
        <f>AU24-AU22</f>
        <v>194.95976231751933</v>
      </c>
      <c r="AV26" s="2">
        <f>AV24-AV22</f>
        <v>105.51084701946593</v>
      </c>
      <c r="AW26" s="2"/>
      <c r="AX26" s="2"/>
      <c r="AY26" s="2"/>
      <c r="AZ26" s="2"/>
    </row>
    <row r="27" spans="1:52">
      <c r="A27" s="127"/>
      <c r="B27" s="2"/>
      <c r="C27" s="112"/>
      <c r="D27" s="112"/>
      <c r="E27" s="112"/>
      <c r="F27" s="112"/>
      <c r="G27" s="2"/>
      <c r="H27" s="2"/>
      <c r="I27" s="2"/>
      <c r="J27" s="2"/>
      <c r="K27" s="112"/>
      <c r="L27" s="2"/>
      <c r="M27" s="2"/>
      <c r="N27" s="2"/>
      <c r="O27" s="2"/>
      <c r="P27" s="112"/>
      <c r="Q27" s="2"/>
      <c r="R27" s="2"/>
      <c r="S27" s="2"/>
      <c r="T27" s="2"/>
      <c r="U27" s="112"/>
      <c r="V27" s="2"/>
      <c r="W27" s="2"/>
      <c r="X27" s="2"/>
      <c r="Y27" s="2"/>
      <c r="Z27" s="112"/>
      <c r="AA27" s="2"/>
      <c r="AB27" s="69" t="s">
        <v>249</v>
      </c>
      <c r="AC27" s="2"/>
      <c r="AD27" s="2"/>
      <c r="AE27" s="2"/>
      <c r="AF27" s="2"/>
      <c r="AG27" s="2"/>
      <c r="AH27" s="2"/>
      <c r="AI27" s="2"/>
      <c r="AJ27" s="2"/>
      <c r="AK27" s="2"/>
      <c r="AL27" s="2"/>
      <c r="AM27" s="2"/>
      <c r="AN27" s="2"/>
      <c r="AO27" s="2"/>
      <c r="AP27" s="2"/>
      <c r="AQ27" s="2"/>
      <c r="AR27" s="2"/>
      <c r="AS27" s="2"/>
      <c r="AT27" s="112"/>
      <c r="AU27" s="2"/>
      <c r="AV27" s="2"/>
      <c r="AW27" s="2"/>
      <c r="AX27" s="2"/>
      <c r="AY27" s="2"/>
      <c r="AZ27" s="2"/>
    </row>
    <row r="28" spans="1:52">
      <c r="A28" s="69" t="s">
        <v>701</v>
      </c>
      <c r="B28" s="2"/>
      <c r="C28" s="112"/>
      <c r="D28" s="112"/>
      <c r="E28" s="112"/>
      <c r="F28" s="112"/>
      <c r="G28" s="2"/>
      <c r="H28" s="2"/>
      <c r="I28" s="2"/>
      <c r="J28" s="2"/>
      <c r="K28" s="112"/>
      <c r="L28" s="2"/>
      <c r="M28" s="2"/>
      <c r="N28" s="2"/>
      <c r="O28" s="2"/>
      <c r="P28" s="112"/>
      <c r="Q28" s="2"/>
      <c r="R28" s="2"/>
      <c r="S28" s="2"/>
      <c r="T28" s="2"/>
      <c r="U28" s="112"/>
      <c r="V28" s="2"/>
      <c r="W28" s="2"/>
      <c r="X28" s="2"/>
      <c r="Y28" s="2"/>
      <c r="Z28" s="112"/>
      <c r="AA28" s="2"/>
      <c r="AB28" s="2" t="s">
        <v>245</v>
      </c>
      <c r="AC28" s="2">
        <v>77</v>
      </c>
      <c r="AD28" s="2"/>
      <c r="AE28" s="2"/>
      <c r="AF28" s="2"/>
      <c r="AG28" s="2"/>
      <c r="AH28" s="2"/>
      <c r="AI28" s="2"/>
      <c r="AJ28" s="2"/>
      <c r="AK28" s="2"/>
      <c r="AL28" s="2"/>
      <c r="AM28" s="2"/>
      <c r="AN28" s="2"/>
      <c r="AO28" s="2"/>
      <c r="AP28" s="2"/>
      <c r="AQ28" s="2" t="s">
        <v>1536</v>
      </c>
      <c r="AR28" s="2">
        <f>AR18</f>
        <v>89.448915298053407</v>
      </c>
      <c r="AS28" s="2">
        <f>AR28</f>
        <v>89.448915298053407</v>
      </c>
      <c r="AT28" s="112">
        <f>AS28</f>
        <v>89.448915298053407</v>
      </c>
      <c r="AU28" s="2">
        <f>AT28</f>
        <v>89.448915298053407</v>
      </c>
      <c r="AV28" s="2">
        <f>AU28</f>
        <v>89.448915298053407</v>
      </c>
      <c r="AW28" s="2"/>
      <c r="AX28" s="2"/>
      <c r="AY28" s="2"/>
      <c r="AZ28" s="2"/>
    </row>
    <row r="29" spans="1:52">
      <c r="A29" s="2" t="s">
        <v>560</v>
      </c>
      <c r="B29" s="2"/>
      <c r="C29" s="112">
        <f>C8+(0.5*C15)</f>
        <v>956.84250000000009</v>
      </c>
      <c r="D29" s="112">
        <f>D8+(0.5*D15)</f>
        <v>1087.1945000000001</v>
      </c>
      <c r="E29" s="112">
        <f>E8+(0.5*E15)</f>
        <v>1320.2759999999998</v>
      </c>
      <c r="F29" s="112">
        <f>F8+(0.5*F15)</f>
        <v>1448.5565000000001</v>
      </c>
      <c r="G29" s="2">
        <f t="shared" ref="G29:N29" si="7">G8+(0.5*G15)</f>
        <v>352.58150000000001</v>
      </c>
      <c r="H29" s="2">
        <f t="shared" si="7"/>
        <v>337.64150000000001</v>
      </c>
      <c r="I29" s="2">
        <f t="shared" si="7"/>
        <v>316.15449999999998</v>
      </c>
      <c r="J29" s="2">
        <f t="shared" si="7"/>
        <v>292.49849999999998</v>
      </c>
      <c r="K29" s="112">
        <f t="shared" si="7"/>
        <v>1298.876</v>
      </c>
      <c r="L29" s="2">
        <f t="shared" si="7"/>
        <v>284.0145</v>
      </c>
      <c r="M29" s="2">
        <f t="shared" si="7"/>
        <v>270.56900000000002</v>
      </c>
      <c r="N29" s="2">
        <f t="shared" si="7"/>
        <v>253.16749999999999</v>
      </c>
      <c r="O29" s="2">
        <f>O8+(0.5*O15)</f>
        <v>254.1455</v>
      </c>
      <c r="P29" s="112">
        <f>SUM(L29:O29)</f>
        <v>1061.8965000000001</v>
      </c>
      <c r="Q29" s="2">
        <f>Q8+(0.5*Q15)</f>
        <v>249.792</v>
      </c>
      <c r="R29" s="2">
        <f>R8+(0.5*R15)</f>
        <v>235.578</v>
      </c>
      <c r="S29" s="2"/>
      <c r="T29" s="2"/>
      <c r="U29" s="112"/>
      <c r="V29" s="2"/>
      <c r="W29" s="2"/>
      <c r="X29" s="2"/>
      <c r="Y29" s="2"/>
      <c r="Z29" s="112"/>
      <c r="AA29" s="2"/>
      <c r="AB29" s="2" t="s">
        <v>246</v>
      </c>
      <c r="AC29" s="2">
        <v>253</v>
      </c>
      <c r="AD29" s="2"/>
      <c r="AE29" s="2"/>
      <c r="AF29" s="2"/>
      <c r="AG29" s="2"/>
      <c r="AH29" s="2"/>
      <c r="AI29" s="2"/>
      <c r="AJ29" s="2"/>
      <c r="AK29" s="2"/>
      <c r="AL29" s="2"/>
      <c r="AM29" s="2"/>
      <c r="AN29" s="2"/>
      <c r="AO29" s="2"/>
      <c r="AP29" s="2"/>
      <c r="AQ29" s="2"/>
      <c r="AR29" s="2"/>
      <c r="AS29" s="2"/>
      <c r="AT29" s="112"/>
      <c r="AU29" s="2"/>
      <c r="AV29" s="2"/>
      <c r="AW29" s="2"/>
      <c r="AX29" s="2"/>
      <c r="AY29" s="2"/>
      <c r="AZ29" s="2"/>
    </row>
    <row r="30" spans="1:52">
      <c r="A30" s="127" t="s">
        <v>1249</v>
      </c>
      <c r="B30" s="2"/>
      <c r="C30" s="128">
        <f>((C29-(781+70)))/(781+70)</f>
        <v>0.12437426556991785</v>
      </c>
      <c r="D30" s="129">
        <f>(D29-C29)/C29</f>
        <v>0.13623140694523911</v>
      </c>
      <c r="E30" s="129">
        <f>(E29-D29)/D29</f>
        <v>0.21438804188211011</v>
      </c>
      <c r="F30" s="129">
        <f>(F29-E29)/E29</f>
        <v>9.7161881303606451E-2</v>
      </c>
      <c r="G30" s="101" t="s">
        <v>1109</v>
      </c>
      <c r="H30" s="101" t="s">
        <v>1109</v>
      </c>
      <c r="I30" s="101" t="s">
        <v>1109</v>
      </c>
      <c r="J30" s="101" t="s">
        <v>1109</v>
      </c>
      <c r="K30" s="129">
        <f>(K29-F29)/F29</f>
        <v>-0.10333079862608062</v>
      </c>
      <c r="L30" s="105">
        <f>(L29-G29)/G29</f>
        <v>-0.19447134917742426</v>
      </c>
      <c r="M30" s="105">
        <f>(M29-H29)/H29</f>
        <v>-0.19865004746158274</v>
      </c>
      <c r="N30" s="105">
        <f>(N29-I29)/I29</f>
        <v>-0.19922854174145868</v>
      </c>
      <c r="O30" s="101" t="s">
        <v>1109</v>
      </c>
      <c r="P30" s="129">
        <f>(P29-K29)/K29</f>
        <v>-0.18244967187013997</v>
      </c>
      <c r="Q30" s="105">
        <f>(Q29-L29)/L29</f>
        <v>-0.12049560849886184</v>
      </c>
      <c r="R30" s="105">
        <f>(R29-M29)/M29</f>
        <v>-0.1293237584497855</v>
      </c>
      <c r="S30" s="105"/>
      <c r="T30" s="101"/>
      <c r="U30" s="129"/>
      <c r="V30" s="105"/>
      <c r="W30" s="105"/>
      <c r="X30" s="105"/>
      <c r="Y30" s="101"/>
      <c r="Z30" s="129"/>
      <c r="AA30" s="2"/>
      <c r="AB30" s="2" t="s">
        <v>247</v>
      </c>
      <c r="AC30" s="2">
        <v>172</v>
      </c>
      <c r="AD30" s="2"/>
      <c r="AE30" s="2"/>
      <c r="AF30" s="2"/>
      <c r="AG30" s="2"/>
      <c r="AH30" s="2"/>
      <c r="AI30" s="2"/>
      <c r="AJ30" s="2"/>
      <c r="AK30" s="2"/>
      <c r="AL30" s="2"/>
      <c r="AM30" s="2"/>
      <c r="AN30" s="2"/>
      <c r="AO30" s="2"/>
      <c r="AP30" s="2"/>
      <c r="AQ30" s="2" t="s">
        <v>834</v>
      </c>
      <c r="AR30" s="2">
        <f>BYD!$AG$1227+AR22</f>
        <v>3021.0544917883203</v>
      </c>
      <c r="AS30" s="2">
        <f>BYD!$AG$1227+AS22</f>
        <v>3110.503407086374</v>
      </c>
      <c r="AT30" s="112">
        <f>BYD!$AG$1227+AT22</f>
        <v>3199.9523223844271</v>
      </c>
      <c r="AU30" s="2">
        <f>BYD!$AG$1227+AU22</f>
        <v>3289.4012376824803</v>
      </c>
      <c r="AV30" s="2">
        <f>BYD!$AG$1227+AV22</f>
        <v>3378.8501529805339</v>
      </c>
      <c r="AW30" s="2"/>
      <c r="AX30" s="2"/>
      <c r="AY30" s="2"/>
      <c r="AZ30" s="2"/>
    </row>
    <row r="31" spans="1:52">
      <c r="A31" s="2" t="s">
        <v>401</v>
      </c>
      <c r="B31" s="2"/>
      <c r="C31" s="112">
        <f>C10+(0.5*C17)</f>
        <v>355.57900000000001</v>
      </c>
      <c r="D31" s="112">
        <f t="shared" ref="D31:N31" si="8">D10+(0.5*D17)</f>
        <v>450.07849999999996</v>
      </c>
      <c r="E31" s="112">
        <f t="shared" si="8"/>
        <v>499.16749999999996</v>
      </c>
      <c r="F31" s="112">
        <f t="shared" si="8"/>
        <v>519.81849999999997</v>
      </c>
      <c r="G31" s="2">
        <f t="shared" si="8"/>
        <v>126.935</v>
      </c>
      <c r="H31" s="2">
        <f t="shared" si="8"/>
        <v>117.1005</v>
      </c>
      <c r="I31" s="2">
        <f t="shared" si="8"/>
        <v>100.38250000000001</v>
      </c>
      <c r="J31" s="2">
        <f t="shared" si="8"/>
        <v>89.654500000000013</v>
      </c>
      <c r="K31" s="112">
        <f t="shared" si="8"/>
        <v>434.07249999999999</v>
      </c>
      <c r="L31" s="2">
        <f t="shared" si="8"/>
        <v>95.790999999999997</v>
      </c>
      <c r="M31" s="2">
        <f t="shared" si="8"/>
        <v>78.540000000000006</v>
      </c>
      <c r="N31" s="2">
        <f t="shared" si="8"/>
        <v>62.073</v>
      </c>
      <c r="O31" s="2">
        <f>O10+(0.5*O17)</f>
        <v>71.524000000000001</v>
      </c>
      <c r="P31" s="112">
        <f>SUM(L31:O31)</f>
        <v>307.928</v>
      </c>
      <c r="Q31" s="2">
        <f>Q10+(0.5*Q17)</f>
        <v>78.135000000000005</v>
      </c>
      <c r="R31" s="2">
        <f>R10+(0.5*R17)</f>
        <v>65.173000000000002</v>
      </c>
      <c r="S31" s="2"/>
      <c r="T31" s="2"/>
      <c r="U31" s="112"/>
      <c r="V31" s="2"/>
      <c r="W31" s="2"/>
      <c r="X31" s="2"/>
      <c r="Y31" s="2"/>
      <c r="Z31" s="112"/>
      <c r="AA31" s="2"/>
      <c r="AB31" s="2" t="s">
        <v>248</v>
      </c>
      <c r="AC31" s="2">
        <v>204</v>
      </c>
      <c r="AD31" s="2"/>
      <c r="AE31" s="2"/>
      <c r="AF31" s="2"/>
      <c r="AG31" s="2"/>
      <c r="AH31" s="2"/>
      <c r="AI31" s="2"/>
      <c r="AJ31" s="2"/>
      <c r="AK31" s="2"/>
      <c r="AL31" s="2"/>
      <c r="AM31" s="2"/>
      <c r="AN31" s="2"/>
      <c r="AO31" s="2"/>
      <c r="AP31" s="2"/>
      <c r="AQ31" s="2" t="s">
        <v>555</v>
      </c>
      <c r="AR31" s="2"/>
      <c r="AS31" s="2"/>
      <c r="AT31" s="112"/>
      <c r="AU31" s="2"/>
      <c r="AV31" s="2"/>
      <c r="AW31" s="2"/>
      <c r="AX31" s="2"/>
      <c r="AY31" s="2"/>
      <c r="AZ31" s="2"/>
    </row>
    <row r="32" spans="1:52">
      <c r="A32" s="127" t="s">
        <v>1249</v>
      </c>
      <c r="B32" s="2"/>
      <c r="C32" s="128">
        <f>(C31-(258+29))/(258+29)</f>
        <v>0.23895121951219514</v>
      </c>
      <c r="D32" s="129">
        <f>(D31-C31)/C31</f>
        <v>0.26576232004702177</v>
      </c>
      <c r="E32" s="129">
        <f>(E31-D31)/D31</f>
        <v>0.10906764042272626</v>
      </c>
      <c r="F32" s="129">
        <f>(F31-E31)/E31</f>
        <v>4.1370882519394817E-2</v>
      </c>
      <c r="G32" s="101" t="s">
        <v>1109</v>
      </c>
      <c r="H32" s="101" t="s">
        <v>1109</v>
      </c>
      <c r="I32" s="101" t="s">
        <v>1109</v>
      </c>
      <c r="J32" s="101" t="s">
        <v>1109</v>
      </c>
      <c r="K32" s="129">
        <f>(K31-F31)/F31</f>
        <v>-0.16495372904196365</v>
      </c>
      <c r="L32" s="105">
        <f>(L31-G31)/G31</f>
        <v>-0.24535392129830233</v>
      </c>
      <c r="M32" s="105">
        <f>(M31-H31)/H31</f>
        <v>-0.32929406791602078</v>
      </c>
      <c r="N32" s="105">
        <f>(N31-I31)/I31</f>
        <v>-0.38163524518715913</v>
      </c>
      <c r="O32" s="101" t="s">
        <v>1109</v>
      </c>
      <c r="P32" s="129">
        <f>(P31-K31)/K31</f>
        <v>-0.29060698385638345</v>
      </c>
      <c r="Q32" s="105">
        <f>(Q31-L31)/L31</f>
        <v>-0.18431794218663541</v>
      </c>
      <c r="R32" s="105">
        <f>(R31-M31)/M31</f>
        <v>-0.17019353195823789</v>
      </c>
      <c r="S32" s="105"/>
      <c r="T32" s="101"/>
      <c r="U32" s="129"/>
      <c r="V32" s="105"/>
      <c r="W32" s="105"/>
      <c r="X32" s="105"/>
      <c r="Y32" s="101"/>
      <c r="Z32" s="129"/>
      <c r="AA32" s="2"/>
      <c r="AB32" s="2"/>
      <c r="AC32" s="2"/>
      <c r="AD32" s="2"/>
      <c r="AE32" s="2"/>
      <c r="AF32" s="2"/>
      <c r="AG32" s="2"/>
      <c r="AH32" s="2"/>
      <c r="AI32" s="2"/>
      <c r="AJ32" s="2"/>
      <c r="AK32" s="2"/>
      <c r="AL32" s="2"/>
      <c r="AM32" s="2"/>
      <c r="AN32" s="2"/>
      <c r="AO32" s="2"/>
      <c r="AP32" s="2"/>
      <c r="AQ32" s="138" t="s">
        <v>835</v>
      </c>
      <c r="AR32" s="139"/>
      <c r="AS32" s="139"/>
      <c r="AT32" s="140"/>
      <c r="AU32" s="139"/>
      <c r="AV32" s="141"/>
      <c r="AW32" s="2"/>
      <c r="AX32" s="2" t="s">
        <v>531</v>
      </c>
      <c r="AY32" s="2"/>
      <c r="AZ32" s="2"/>
    </row>
    <row r="33" spans="1:52">
      <c r="A33" s="127" t="s">
        <v>56</v>
      </c>
      <c r="B33" s="2"/>
      <c r="C33" s="132">
        <f>C31/C29</f>
        <v>0.37161706341430273</v>
      </c>
      <c r="D33" s="132">
        <f>D31/D29</f>
        <v>0.4139815828722459</v>
      </c>
      <c r="E33" s="132">
        <f>E31/E29</f>
        <v>0.37807814426680486</v>
      </c>
      <c r="F33" s="132">
        <f>F31/F29</f>
        <v>0.35885276135242217</v>
      </c>
      <c r="G33" s="133">
        <f>G31/G29</f>
        <v>0.36001605302603795</v>
      </c>
      <c r="H33" s="133">
        <f t="shared" ref="H33:N33" si="9">H31/H29</f>
        <v>0.34681903735174735</v>
      </c>
      <c r="I33" s="133">
        <f t="shared" si="9"/>
        <v>0.31751090052490161</v>
      </c>
      <c r="J33" s="133">
        <f t="shared" si="9"/>
        <v>0.30651268297102385</v>
      </c>
      <c r="K33" s="132">
        <f>K31/K29</f>
        <v>0.33419086964421546</v>
      </c>
      <c r="L33" s="133">
        <f t="shared" si="9"/>
        <v>0.33727503349300825</v>
      </c>
      <c r="M33" s="133">
        <f t="shared" si="9"/>
        <v>0.29027715665874509</v>
      </c>
      <c r="N33" s="133">
        <f t="shared" si="9"/>
        <v>0.24518549971856579</v>
      </c>
      <c r="O33" s="133">
        <f>O31/O29</f>
        <v>0.28142933870558401</v>
      </c>
      <c r="P33" s="132">
        <f>P31/P29</f>
        <v>0.28997929647569232</v>
      </c>
      <c r="Q33" s="133">
        <f>Q31/Q29</f>
        <v>0.31280024980784016</v>
      </c>
      <c r="R33" s="133">
        <f>R31/R29</f>
        <v>0.27665147000144324</v>
      </c>
      <c r="S33" s="133"/>
      <c r="T33" s="133"/>
      <c r="U33" s="132"/>
      <c r="V33" s="133"/>
      <c r="W33" s="133"/>
      <c r="X33" s="133"/>
      <c r="Y33" s="133"/>
      <c r="Z33" s="132"/>
      <c r="AA33" s="2"/>
      <c r="AB33" s="2"/>
      <c r="AC33" s="2"/>
      <c r="AD33" s="2"/>
      <c r="AE33" s="2"/>
      <c r="AF33" s="2"/>
      <c r="AG33" s="2"/>
      <c r="AH33" s="2"/>
      <c r="AI33" s="2"/>
      <c r="AJ33" s="2"/>
      <c r="AK33" s="2"/>
      <c r="AL33" s="2"/>
      <c r="AM33" s="2"/>
      <c r="AN33" s="2"/>
      <c r="AO33" s="2"/>
      <c r="AP33" s="2"/>
      <c r="AQ33" s="2"/>
      <c r="AR33" s="2"/>
      <c r="AS33" s="2"/>
      <c r="AT33" s="112"/>
      <c r="AU33" s="2"/>
      <c r="AV33" s="2"/>
      <c r="AW33" s="2"/>
      <c r="AX33" s="2"/>
      <c r="AY33" s="2"/>
      <c r="AZ33" s="2"/>
    </row>
    <row r="34" spans="1:52">
      <c r="A34" s="127"/>
      <c r="B34" s="2"/>
      <c r="C34" s="112"/>
      <c r="D34" s="112"/>
      <c r="E34" s="112"/>
      <c r="F34" s="112"/>
      <c r="G34" s="2"/>
      <c r="H34" s="2"/>
      <c r="I34" s="2"/>
      <c r="J34" s="2"/>
      <c r="K34" s="112"/>
      <c r="L34" s="2"/>
      <c r="M34" s="2"/>
      <c r="N34" s="2"/>
      <c r="O34" s="2"/>
      <c r="P34" s="112"/>
      <c r="Q34" s="2"/>
      <c r="R34" s="2"/>
      <c r="S34" s="2"/>
      <c r="T34" s="2"/>
      <c r="U34" s="112"/>
      <c r="V34" s="2"/>
      <c r="W34" s="2"/>
      <c r="X34" s="2"/>
      <c r="Y34" s="2"/>
      <c r="Z34" s="112"/>
      <c r="AA34" s="2"/>
      <c r="AB34" s="2"/>
      <c r="AC34" s="2"/>
      <c r="AD34" s="2"/>
      <c r="AE34" s="2"/>
      <c r="AF34" s="2"/>
      <c r="AG34" s="2"/>
      <c r="AH34" s="2"/>
      <c r="AI34" s="2"/>
      <c r="AJ34" s="2"/>
      <c r="AK34" s="2"/>
      <c r="AL34" s="2"/>
      <c r="AM34" s="2"/>
      <c r="AN34" s="2"/>
      <c r="AO34" s="2"/>
      <c r="AP34" s="2"/>
      <c r="AQ34" s="1" t="s">
        <v>589</v>
      </c>
      <c r="AR34" s="2"/>
      <c r="AS34" s="2"/>
      <c r="AT34" s="112"/>
      <c r="AU34" s="2"/>
      <c r="AV34" s="2"/>
      <c r="AW34" s="2"/>
      <c r="AX34" s="2" t="s">
        <v>646</v>
      </c>
      <c r="AY34" s="2"/>
      <c r="AZ34" s="2"/>
    </row>
    <row r="35" spans="1:52">
      <c r="A35" s="2" t="s">
        <v>316</v>
      </c>
      <c r="B35" s="2"/>
      <c r="C35" s="142">
        <v>47.189</v>
      </c>
      <c r="D35" s="142">
        <v>57.619</v>
      </c>
      <c r="E35" s="142">
        <v>63.066000000000003</v>
      </c>
      <c r="F35" s="142">
        <f>340.496-287.7+10</f>
        <v>62.795999999999992</v>
      </c>
      <c r="G35" s="143">
        <v>11.768000000000001</v>
      </c>
      <c r="H35" s="143">
        <v>8.6219999999999999</v>
      </c>
      <c r="I35" s="143">
        <v>6.6120000000000001</v>
      </c>
      <c r="J35" s="143">
        <v>9.7430000000000003</v>
      </c>
      <c r="K35" s="142">
        <v>38.969000000000001</v>
      </c>
      <c r="L35" s="143">
        <v>11.586</v>
      </c>
      <c r="M35" s="143">
        <v>13.106999999999999</v>
      </c>
      <c r="N35" s="143">
        <v>0.94599999999999995</v>
      </c>
      <c r="O35" s="143">
        <v>7.3739999999999997</v>
      </c>
      <c r="P35" s="144">
        <f>SUM(L35:N35)+J35</f>
        <v>35.381999999999998</v>
      </c>
      <c r="Q35" s="143">
        <v>8.9179999999999993</v>
      </c>
      <c r="R35" s="143">
        <v>10.396000000000001</v>
      </c>
      <c r="S35" s="143"/>
      <c r="T35" s="143"/>
      <c r="U35" s="144"/>
      <c r="V35" s="143"/>
      <c r="W35" s="143"/>
      <c r="X35" s="143"/>
      <c r="Y35" s="143"/>
      <c r="Z35" s="144"/>
      <c r="AA35" s="2"/>
      <c r="AB35" s="2"/>
      <c r="AC35" s="2"/>
      <c r="AD35" s="2"/>
      <c r="AE35" s="2"/>
      <c r="AF35" s="2"/>
      <c r="AG35" s="2"/>
      <c r="AH35" s="2"/>
      <c r="AI35" s="2"/>
      <c r="AJ35" s="2"/>
      <c r="AK35" s="2"/>
      <c r="AL35" s="2"/>
      <c r="AM35" s="2"/>
      <c r="AN35" s="2"/>
      <c r="AO35" s="2"/>
      <c r="AP35" s="2"/>
      <c r="AQ35" s="2" t="s">
        <v>836</v>
      </c>
      <c r="AR35" s="145">
        <v>10</v>
      </c>
      <c r="AS35" s="98">
        <f>AR35</f>
        <v>10</v>
      </c>
      <c r="AT35" s="146">
        <f>AS35</f>
        <v>10</v>
      </c>
      <c r="AU35" s="98">
        <f>AT35</f>
        <v>10</v>
      </c>
      <c r="AV35" s="98">
        <f>AU35</f>
        <v>10</v>
      </c>
      <c r="AW35" s="2"/>
      <c r="AX35" s="2"/>
      <c r="AY35" s="2"/>
      <c r="AZ35" s="2"/>
    </row>
    <row r="36" spans="1:52">
      <c r="A36" s="2"/>
      <c r="B36" s="2"/>
      <c r="C36" s="2"/>
      <c r="D36" s="2"/>
      <c r="E36" s="2"/>
      <c r="F36" s="61"/>
      <c r="G36" s="2"/>
      <c r="H36" s="2"/>
      <c r="I36" s="2"/>
      <c r="J36" s="2"/>
      <c r="K36" s="61"/>
      <c r="L36" s="77"/>
      <c r="M36" s="77"/>
      <c r="N36" s="77"/>
      <c r="O36" s="2"/>
      <c r="P36" s="112"/>
      <c r="Q36" s="77"/>
      <c r="R36" s="77"/>
      <c r="S36" s="77"/>
      <c r="T36" s="2"/>
      <c r="U36" s="112"/>
      <c r="V36" s="77"/>
      <c r="W36" s="77"/>
      <c r="X36" s="77"/>
      <c r="Y36" s="2"/>
      <c r="Z36" s="112"/>
      <c r="AA36" s="2"/>
      <c r="AB36" s="2"/>
      <c r="AC36" s="2"/>
      <c r="AD36" s="2"/>
      <c r="AE36" s="2"/>
      <c r="AF36" s="2"/>
      <c r="AG36" s="2"/>
      <c r="AH36" s="2"/>
      <c r="AI36" s="2"/>
      <c r="AJ36" s="2"/>
      <c r="AK36" s="2"/>
      <c r="AL36" s="2"/>
      <c r="AM36" s="2"/>
      <c r="AN36" s="2"/>
      <c r="AO36" s="2"/>
      <c r="AP36" s="2"/>
      <c r="AQ36" s="2" t="s">
        <v>837</v>
      </c>
      <c r="AR36" s="2">
        <f>AR35*(AR28*0.95)</f>
        <v>849.76469533150737</v>
      </c>
      <c r="AS36" s="2">
        <f>AS35*(AS28*0.95)</f>
        <v>849.76469533150737</v>
      </c>
      <c r="AT36" s="112">
        <f>AT35*(AT28*0.95)</f>
        <v>849.76469533150737</v>
      </c>
      <c r="AU36" s="2">
        <f>AU35*(AU28*0.95)</f>
        <v>849.76469533150737</v>
      </c>
      <c r="AV36" s="2">
        <f>AV35*(AV28*0.95)</f>
        <v>849.76469533150737</v>
      </c>
      <c r="AW36" s="2"/>
      <c r="AX36" s="2"/>
      <c r="AY36" s="2"/>
      <c r="AZ36" s="2"/>
    </row>
    <row r="37" spans="1:52">
      <c r="A37" s="2" t="s">
        <v>1793</v>
      </c>
      <c r="B37" s="2"/>
      <c r="C37" s="2"/>
      <c r="D37" s="2"/>
      <c r="E37" s="2"/>
      <c r="F37" s="61"/>
      <c r="G37" s="2"/>
      <c r="H37" s="2"/>
      <c r="I37" s="2"/>
      <c r="J37" s="2"/>
      <c r="K37" s="61"/>
      <c r="L37" s="2"/>
      <c r="M37" s="2"/>
      <c r="N37" s="2"/>
      <c r="O37" s="2"/>
      <c r="P37" s="112"/>
      <c r="Q37" s="2"/>
      <c r="R37" s="2"/>
      <c r="S37" s="2"/>
      <c r="T37" s="2"/>
      <c r="U37" s="112"/>
      <c r="V37" s="2"/>
      <c r="W37" s="2"/>
      <c r="X37" s="2"/>
      <c r="Y37" s="2"/>
      <c r="Z37" s="112"/>
      <c r="AA37" s="2"/>
      <c r="AB37" s="2"/>
      <c r="AC37" s="2"/>
      <c r="AD37" s="2"/>
      <c r="AE37" s="2"/>
      <c r="AF37" s="2"/>
      <c r="AG37" s="2"/>
      <c r="AH37" s="2"/>
      <c r="AI37" s="2"/>
      <c r="AJ37" s="2"/>
      <c r="AK37" s="2"/>
      <c r="AL37" s="2"/>
      <c r="AM37" s="2"/>
      <c r="AN37" s="2"/>
      <c r="AO37" s="2"/>
      <c r="AP37" s="2"/>
      <c r="AQ37" s="2" t="s">
        <v>591</v>
      </c>
      <c r="AR37" s="2">
        <f>-AR22-AR22*0.075</f>
        <v>-576.94550367244449</v>
      </c>
      <c r="AS37" s="2">
        <f>-AS22-AS22*0.075</f>
        <v>-673.10308761785188</v>
      </c>
      <c r="AT37" s="112">
        <f>-AT22-AT22*0.075</f>
        <v>-769.26067156325928</v>
      </c>
      <c r="AU37" s="2">
        <f>-AU22-AU22*0.075</f>
        <v>-865.41825550866668</v>
      </c>
      <c r="AV37" s="2">
        <f>-AV22-AV22*0.075</f>
        <v>-961.57583945407418</v>
      </c>
      <c r="AW37" s="2"/>
      <c r="AX37" s="2"/>
      <c r="AY37" s="2"/>
      <c r="AZ37" s="2"/>
    </row>
    <row r="38" spans="1:52">
      <c r="A38" s="2"/>
      <c r="B38" s="2"/>
      <c r="C38" s="2"/>
      <c r="D38" s="2"/>
      <c r="E38" s="2"/>
      <c r="F38" s="61"/>
      <c r="G38" s="2"/>
      <c r="H38" s="2"/>
      <c r="I38" s="2"/>
      <c r="J38" s="2"/>
      <c r="K38" s="61"/>
      <c r="L38" s="2"/>
      <c r="M38" s="2"/>
      <c r="N38" s="2"/>
      <c r="O38" s="2"/>
      <c r="P38" s="112"/>
      <c r="Q38" s="2"/>
      <c r="R38" s="2"/>
      <c r="S38" s="2"/>
      <c r="T38" s="2"/>
      <c r="U38" s="112"/>
      <c r="V38" s="2"/>
      <c r="W38" s="2"/>
      <c r="X38" s="2"/>
      <c r="Y38" s="2"/>
      <c r="Z38" s="112"/>
      <c r="AA38" s="2"/>
      <c r="AB38" s="2"/>
      <c r="AC38" s="2"/>
      <c r="AD38" s="2"/>
      <c r="AE38" s="2"/>
      <c r="AF38" s="2"/>
      <c r="AG38" s="2"/>
      <c r="AH38" s="2"/>
      <c r="AI38" s="2"/>
      <c r="AJ38" s="2"/>
      <c r="AK38" s="2"/>
      <c r="AL38" s="2"/>
      <c r="AM38" s="2"/>
      <c r="AN38" s="2"/>
      <c r="AO38" s="2"/>
      <c r="AP38" s="2"/>
      <c r="AQ38" s="2" t="s">
        <v>587</v>
      </c>
      <c r="AR38" s="2">
        <f>SUM(AR36:AR37)</f>
        <v>272.81919165906288</v>
      </c>
      <c r="AS38" s="2">
        <f>SUM(AS36:AS37)</f>
        <v>176.66160771365548</v>
      </c>
      <c r="AT38" s="112">
        <f>SUM(AT36:AT37)</f>
        <v>80.504023768248089</v>
      </c>
      <c r="AU38" s="2">
        <f>SUM(AU36:AU37)</f>
        <v>-15.653560177159306</v>
      </c>
      <c r="AV38" s="2">
        <f>SUM(AV36:AV37)</f>
        <v>-111.81114412256682</v>
      </c>
      <c r="AW38" s="2"/>
      <c r="AX38" s="2"/>
      <c r="AY38" s="2"/>
      <c r="AZ38" s="2"/>
    </row>
    <row r="39" spans="1:52">
      <c r="A39" s="2" t="s">
        <v>315</v>
      </c>
      <c r="B39" s="2"/>
      <c r="C39" s="2"/>
      <c r="D39" s="2"/>
      <c r="E39" s="2"/>
      <c r="F39" s="61"/>
      <c r="G39" s="2"/>
      <c r="H39" s="2"/>
      <c r="I39" s="2"/>
      <c r="J39" s="2"/>
      <c r="K39" s="61"/>
      <c r="L39" s="2"/>
      <c r="M39" s="2"/>
      <c r="N39" s="2"/>
      <c r="O39" s="2"/>
      <c r="P39" s="112"/>
      <c r="Q39" s="2"/>
      <c r="R39" s="2"/>
      <c r="S39" s="2"/>
      <c r="T39" s="2"/>
      <c r="U39" s="112"/>
      <c r="V39" s="2"/>
      <c r="W39" s="2"/>
      <c r="X39" s="2"/>
      <c r="Y39" s="2"/>
      <c r="Z39" s="112"/>
      <c r="AA39" s="2"/>
      <c r="AB39" s="2"/>
      <c r="AC39" s="2"/>
      <c r="AD39" s="2"/>
      <c r="AE39" s="2"/>
      <c r="AF39" s="2"/>
      <c r="AG39" s="2"/>
      <c r="AH39" s="2"/>
      <c r="AI39" s="2"/>
      <c r="AJ39" s="2"/>
      <c r="AK39" s="2"/>
      <c r="AL39" s="2"/>
      <c r="AM39" s="2"/>
      <c r="AN39" s="2"/>
      <c r="AO39" s="2"/>
      <c r="AP39" s="2"/>
      <c r="AQ39" s="147" t="s">
        <v>588</v>
      </c>
      <c r="AR39" s="148">
        <f>AR38/BYD!$AG$104</f>
        <v>3.153359358959082</v>
      </c>
      <c r="AS39" s="148">
        <f>AS38/BYD!$AG$104</f>
        <v>2.0419294209653072</v>
      </c>
      <c r="AT39" s="149">
        <f>AT38/BYD!$AG$104</f>
        <v>0.93049948297153273</v>
      </c>
      <c r="AU39" s="148">
        <f>AU38/BYD!$AG$104</f>
        <v>-0.18093045502224195</v>
      </c>
      <c r="AV39" s="150">
        <f>AV38/BYD!$AG$104</f>
        <v>-1.2923603930160179</v>
      </c>
      <c r="AW39" s="2"/>
      <c r="AX39" s="2"/>
      <c r="AY39" s="2"/>
      <c r="AZ39" s="2"/>
    </row>
    <row r="40" spans="1:52">
      <c r="A40" s="2"/>
      <c r="B40" s="2"/>
      <c r="C40" s="2"/>
      <c r="D40" s="2"/>
      <c r="E40" s="2"/>
      <c r="F40" s="61"/>
      <c r="G40" s="2"/>
      <c r="H40" s="2"/>
      <c r="I40" s="2"/>
      <c r="J40" s="2"/>
      <c r="K40" s="61"/>
      <c r="L40" s="2"/>
      <c r="M40" s="2"/>
      <c r="N40" s="2"/>
      <c r="O40" s="2"/>
      <c r="P40" s="112"/>
      <c r="Q40" s="2"/>
      <c r="R40" s="2"/>
      <c r="S40" s="2"/>
      <c r="T40" s="2"/>
      <c r="U40" s="112"/>
      <c r="V40" s="2"/>
      <c r="W40" s="2"/>
      <c r="X40" s="2"/>
      <c r="Y40" s="2"/>
      <c r="Z40" s="112"/>
      <c r="AA40" s="2">
        <v>25</v>
      </c>
      <c r="AB40" s="2"/>
      <c r="AC40" s="2"/>
      <c r="AD40" s="2"/>
      <c r="AE40" s="2"/>
      <c r="AF40" s="2"/>
      <c r="AG40" s="2"/>
      <c r="AH40" s="2"/>
      <c r="AI40" s="2"/>
      <c r="AJ40" s="2"/>
      <c r="AK40" s="2"/>
      <c r="AL40" s="2"/>
      <c r="AM40" s="2"/>
      <c r="AN40" s="2"/>
      <c r="AO40" s="2"/>
      <c r="AP40" s="2"/>
      <c r="AQ40" s="2"/>
      <c r="AR40" s="2"/>
      <c r="AS40" s="2"/>
      <c r="AT40" s="112"/>
      <c r="AU40" s="2"/>
      <c r="AV40" s="2"/>
      <c r="AW40" s="2"/>
      <c r="AX40" s="2"/>
      <c r="AY40" s="2"/>
      <c r="AZ40" s="2"/>
    </row>
    <row r="41" spans="1:52">
      <c r="A41" s="2"/>
      <c r="B41" s="2"/>
      <c r="C41" s="2"/>
      <c r="D41" s="2">
        <f>D22-C22</f>
        <v>160.93499999999995</v>
      </c>
      <c r="E41" s="2">
        <f>E22-D22</f>
        <v>245.0809999999999</v>
      </c>
      <c r="F41" s="2">
        <f>F22-E22</f>
        <v>135.98100000000022</v>
      </c>
      <c r="G41" s="2"/>
      <c r="H41" s="2"/>
      <c r="I41" s="2"/>
      <c r="J41" s="2"/>
      <c r="K41" s="61"/>
      <c r="L41" s="2"/>
      <c r="M41" s="2"/>
      <c r="N41" s="2"/>
      <c r="O41" s="2"/>
      <c r="P41" s="112"/>
      <c r="Q41" s="2"/>
      <c r="R41" s="2"/>
      <c r="S41" s="2"/>
      <c r="T41" s="2"/>
      <c r="U41" s="112"/>
      <c r="V41" s="2"/>
      <c r="W41" s="2"/>
      <c r="X41" s="2"/>
      <c r="Y41" s="2"/>
      <c r="Z41" s="112"/>
      <c r="AA41" s="2"/>
      <c r="AB41" s="2"/>
      <c r="AC41" s="2"/>
      <c r="AD41" s="2"/>
      <c r="AE41" s="2"/>
      <c r="AF41" s="2"/>
      <c r="AG41" s="2"/>
      <c r="AH41" s="2"/>
      <c r="AI41" s="2"/>
      <c r="AJ41" s="2"/>
      <c r="AK41" s="2"/>
      <c r="AL41" s="2"/>
      <c r="AM41" s="2"/>
      <c r="AN41" s="2"/>
      <c r="AO41" s="2"/>
      <c r="AP41" s="2"/>
      <c r="AQ41" s="1" t="s">
        <v>590</v>
      </c>
      <c r="AR41" s="2"/>
      <c r="AS41" s="2"/>
      <c r="AT41" s="112"/>
      <c r="AU41" s="2"/>
      <c r="AV41" s="2"/>
      <c r="AW41" s="2"/>
      <c r="AX41" s="2"/>
      <c r="AY41" s="2"/>
      <c r="AZ41" s="2"/>
    </row>
    <row r="42" spans="1:52">
      <c r="A42" s="2"/>
      <c r="B42" s="2"/>
      <c r="C42" s="2"/>
      <c r="D42" s="2">
        <f>D24-C24</f>
        <v>107.67499999999995</v>
      </c>
      <c r="E42" s="2">
        <f>E24-D24</f>
        <v>53.100999999999999</v>
      </c>
      <c r="F42" s="2">
        <f>F24-E24</f>
        <v>20.480999999999995</v>
      </c>
      <c r="G42" s="61"/>
      <c r="H42" s="2"/>
      <c r="I42" s="2"/>
      <c r="J42" s="2"/>
      <c r="K42" s="61"/>
      <c r="L42" s="2"/>
      <c r="M42" s="2"/>
      <c r="N42" s="2"/>
      <c r="O42" s="2"/>
      <c r="P42" s="112"/>
      <c r="Q42" s="2"/>
      <c r="R42" s="2"/>
      <c r="S42" s="2"/>
      <c r="T42" s="2"/>
      <c r="U42" s="112"/>
      <c r="V42" s="2"/>
      <c r="W42" s="2"/>
      <c r="X42" s="2"/>
      <c r="Y42" s="2"/>
      <c r="Z42" s="112"/>
      <c r="AA42" s="2">
        <f>AA40*10</f>
        <v>250</v>
      </c>
      <c r="AB42" s="2"/>
      <c r="AC42" s="2"/>
      <c r="AD42" s="2"/>
      <c r="AE42" s="2"/>
      <c r="AF42" s="2"/>
      <c r="AG42" s="2"/>
      <c r="AH42" s="2"/>
      <c r="AI42" s="2"/>
      <c r="AJ42" s="2"/>
      <c r="AK42" s="2"/>
      <c r="AL42" s="2"/>
      <c r="AM42" s="2"/>
      <c r="AN42" s="2"/>
      <c r="AO42" s="2"/>
      <c r="AP42" s="2"/>
      <c r="AQ42" s="2" t="s">
        <v>836</v>
      </c>
      <c r="AR42" s="114">
        <f>AR35</f>
        <v>10</v>
      </c>
      <c r="AS42" s="98">
        <f>AR42</f>
        <v>10</v>
      </c>
      <c r="AT42" s="146">
        <f>AS42</f>
        <v>10</v>
      </c>
      <c r="AU42" s="98">
        <f>AT42</f>
        <v>10</v>
      </c>
      <c r="AV42" s="98">
        <f>AU42</f>
        <v>10</v>
      </c>
      <c r="AW42" s="2"/>
      <c r="AX42" s="2"/>
      <c r="AY42" s="2"/>
      <c r="AZ42" s="2"/>
    </row>
    <row r="43" spans="1:52">
      <c r="A43" s="2"/>
      <c r="B43" s="2"/>
      <c r="C43" s="2"/>
      <c r="D43" s="58">
        <f>D42/D41</f>
        <v>0.66905893683785378</v>
      </c>
      <c r="E43" s="58">
        <f>E42/E41</f>
        <v>0.21666714269976056</v>
      </c>
      <c r="F43" s="58">
        <f>F42/F41</f>
        <v>0.15061663026452196</v>
      </c>
      <c r="G43" s="61"/>
      <c r="H43" s="2"/>
      <c r="I43" s="2"/>
      <c r="J43" s="2"/>
      <c r="K43" s="61"/>
      <c r="L43" s="2"/>
      <c r="M43" s="2"/>
      <c r="N43" s="2"/>
      <c r="O43" s="2"/>
      <c r="P43" s="112"/>
      <c r="Q43" s="2"/>
      <c r="R43" s="2"/>
      <c r="S43" s="2"/>
      <c r="T43" s="2"/>
      <c r="U43" s="112"/>
      <c r="V43" s="2"/>
      <c r="W43" s="2"/>
      <c r="X43" s="2"/>
      <c r="Y43" s="2"/>
      <c r="Z43" s="112"/>
      <c r="AA43" s="2"/>
      <c r="AB43" s="2"/>
      <c r="AC43" s="2"/>
      <c r="AD43" s="2"/>
      <c r="AE43" s="2"/>
      <c r="AF43" s="2"/>
      <c r="AG43" s="2"/>
      <c r="AH43" s="2"/>
      <c r="AI43" s="2"/>
      <c r="AJ43" s="2"/>
      <c r="AK43" s="2"/>
      <c r="AL43" s="2"/>
      <c r="AM43" s="2"/>
      <c r="AN43" s="2"/>
      <c r="AO43" s="2"/>
      <c r="AP43" s="2"/>
      <c r="AQ43" s="2" t="s">
        <v>837</v>
      </c>
      <c r="AR43" s="2">
        <f>AR42*(AR28*1.1*0.95)</f>
        <v>934.74116486465823</v>
      </c>
      <c r="AS43" s="2">
        <f>AS42*(AS28*1.1*0.95)</f>
        <v>934.74116486465823</v>
      </c>
      <c r="AT43" s="112">
        <f>AT42*(AT28*1.1*0.95)</f>
        <v>934.74116486465823</v>
      </c>
      <c r="AU43" s="2">
        <f>AU42*(AU28*1.1*0.95)</f>
        <v>934.74116486465823</v>
      </c>
      <c r="AV43" s="2">
        <f>AV42*(AV28*1.1*0.95)</f>
        <v>934.74116486465823</v>
      </c>
      <c r="AW43" s="2"/>
      <c r="AX43" s="2"/>
      <c r="AY43" s="2"/>
      <c r="AZ43" s="2"/>
    </row>
    <row r="44" spans="1:52">
      <c r="A44" s="2"/>
      <c r="B44" s="2"/>
      <c r="C44" s="2"/>
      <c r="D44" s="2"/>
      <c r="E44" s="2"/>
      <c r="F44" s="61"/>
      <c r="G44" s="2"/>
      <c r="H44" s="2"/>
      <c r="I44" s="2"/>
      <c r="J44" s="2"/>
      <c r="K44" s="61"/>
      <c r="L44" s="2"/>
      <c r="M44" s="2"/>
      <c r="N44" s="2"/>
      <c r="O44" s="2"/>
      <c r="P44" s="112"/>
      <c r="Q44" s="2"/>
      <c r="R44" s="2"/>
      <c r="S44" s="2"/>
      <c r="T44" s="2"/>
      <c r="U44" s="112"/>
      <c r="V44" s="2"/>
      <c r="W44" s="2"/>
      <c r="X44" s="2"/>
      <c r="Y44" s="2"/>
      <c r="Z44" s="112"/>
      <c r="AA44" s="2"/>
      <c r="AB44" s="2"/>
      <c r="AC44" s="2"/>
      <c r="AD44" s="2"/>
      <c r="AE44" s="2"/>
      <c r="AF44" s="2"/>
      <c r="AG44" s="2"/>
      <c r="AH44" s="2"/>
      <c r="AI44" s="2"/>
      <c r="AJ44" s="2"/>
      <c r="AK44" s="2"/>
      <c r="AL44" s="2"/>
      <c r="AM44" s="2"/>
      <c r="AN44" s="2"/>
      <c r="AO44" s="2"/>
      <c r="AP44" s="2"/>
      <c r="AQ44" s="2" t="s">
        <v>838</v>
      </c>
      <c r="AR44" s="2">
        <f>AR37</f>
        <v>-576.94550367244449</v>
      </c>
      <c r="AS44" s="2">
        <f>AS37</f>
        <v>-673.10308761785188</v>
      </c>
      <c r="AT44" s="112">
        <f>AT37</f>
        <v>-769.26067156325928</v>
      </c>
      <c r="AU44" s="2">
        <f>AU37</f>
        <v>-865.41825550866668</v>
      </c>
      <c r="AV44" s="2">
        <f>AV37</f>
        <v>-961.57583945407418</v>
      </c>
      <c r="AW44" s="2"/>
      <c r="AX44" s="2"/>
      <c r="AY44" s="2"/>
      <c r="AZ44" s="2"/>
    </row>
    <row r="45" spans="1:52">
      <c r="A45" s="2"/>
      <c r="B45" s="2"/>
      <c r="C45" s="2"/>
      <c r="D45" s="2"/>
      <c r="E45" s="2"/>
      <c r="F45" s="61"/>
      <c r="G45" s="2"/>
      <c r="H45" s="2"/>
      <c r="I45" s="2"/>
      <c r="J45" s="2"/>
      <c r="K45" s="61"/>
      <c r="L45" s="2"/>
      <c r="M45" s="2"/>
      <c r="N45" s="2"/>
      <c r="O45" s="2"/>
      <c r="P45" s="112"/>
      <c r="Q45" s="2"/>
      <c r="R45" s="2"/>
      <c r="S45" s="2"/>
      <c r="T45" s="2"/>
      <c r="U45" s="112"/>
      <c r="V45" s="2"/>
      <c r="W45" s="2"/>
      <c r="X45" s="2"/>
      <c r="Y45" s="2"/>
      <c r="Z45" s="112"/>
      <c r="AA45" s="2"/>
      <c r="AB45" s="2"/>
      <c r="AC45" s="2"/>
      <c r="AD45" s="2"/>
      <c r="AE45" s="2"/>
      <c r="AF45" s="2"/>
      <c r="AG45" s="2"/>
      <c r="AH45" s="2"/>
      <c r="AI45" s="2"/>
      <c r="AJ45" s="2"/>
      <c r="AK45" s="2"/>
      <c r="AL45" s="2"/>
      <c r="AM45" s="2"/>
      <c r="AN45" s="2"/>
      <c r="AO45" s="2"/>
      <c r="AP45" s="2"/>
      <c r="AQ45" s="2" t="s">
        <v>587</v>
      </c>
      <c r="AR45" s="2">
        <f>SUM(AR43:AR44)</f>
        <v>357.79566119221374</v>
      </c>
      <c r="AS45" s="2">
        <f>SUM(AS43:AS44)</f>
        <v>261.63807724680635</v>
      </c>
      <c r="AT45" s="112">
        <f>SUM(AT43:AT44)</f>
        <v>165.48049330139895</v>
      </c>
      <c r="AU45" s="2">
        <f>SUM(AU43:AU44)</f>
        <v>69.322909355991555</v>
      </c>
      <c r="AV45" s="2">
        <f>SUM(AV43:AV44)</f>
        <v>-26.834674589415954</v>
      </c>
      <c r="AW45" s="2"/>
      <c r="AX45" s="2"/>
      <c r="AY45" s="2"/>
      <c r="AZ45" s="2"/>
    </row>
    <row r="46" spans="1:52">
      <c r="A46" s="2"/>
      <c r="B46" s="2"/>
      <c r="C46" s="2"/>
      <c r="D46" s="2"/>
      <c r="E46" s="2"/>
      <c r="F46" s="61"/>
      <c r="G46" s="2"/>
      <c r="H46" s="2"/>
      <c r="I46" s="2"/>
      <c r="J46" s="2"/>
      <c r="K46" s="61"/>
      <c r="L46" s="2"/>
      <c r="M46" s="2"/>
      <c r="N46" s="2"/>
      <c r="O46" s="2"/>
      <c r="P46" s="112"/>
      <c r="Q46" s="2"/>
      <c r="R46" s="2"/>
      <c r="S46" s="2"/>
      <c r="T46" s="2"/>
      <c r="U46" s="112"/>
      <c r="V46" s="2"/>
      <c r="W46" s="2"/>
      <c r="X46" s="2"/>
      <c r="Y46" s="2"/>
      <c r="Z46" s="112"/>
      <c r="AA46" s="2"/>
      <c r="AB46" s="2"/>
      <c r="AC46" s="2"/>
      <c r="AD46" s="2"/>
      <c r="AE46" s="2"/>
      <c r="AF46" s="2"/>
      <c r="AG46" s="2"/>
      <c r="AH46" s="2"/>
      <c r="AI46" s="2"/>
      <c r="AJ46" s="2"/>
      <c r="AK46" s="2"/>
      <c r="AL46" s="2"/>
      <c r="AM46" s="2"/>
      <c r="AN46" s="2"/>
      <c r="AO46" s="2"/>
      <c r="AP46" s="2"/>
      <c r="AQ46" s="147" t="s">
        <v>588</v>
      </c>
      <c r="AR46" s="148">
        <f>AR45/BYD!$AG$104</f>
        <v>4.1355532576512566</v>
      </c>
      <c r="AS46" s="148">
        <f>AS45/BYD!$AG$104</f>
        <v>3.0241233196574817</v>
      </c>
      <c r="AT46" s="149">
        <f>AT45/BYD!$AG$104</f>
        <v>1.9126933816637073</v>
      </c>
      <c r="AU46" s="148">
        <f>AU45/BYD!$AG$104</f>
        <v>0.80126344366993263</v>
      </c>
      <c r="AV46" s="150">
        <f>AV45/BYD!$AG$104</f>
        <v>-0.31016649432384336</v>
      </c>
      <c r="AW46" s="2"/>
      <c r="AX46" s="2"/>
      <c r="AY46" s="2"/>
      <c r="AZ46" s="2"/>
    </row>
    <row r="47" spans="1:52">
      <c r="A47" s="2"/>
      <c r="B47" s="2"/>
      <c r="C47" s="2"/>
      <c r="D47" s="2"/>
      <c r="E47" s="2"/>
      <c r="F47" s="61"/>
      <c r="G47" s="2"/>
      <c r="H47" s="2"/>
      <c r="I47" s="2"/>
      <c r="J47" s="2"/>
      <c r="K47" s="61"/>
      <c r="L47" s="2"/>
      <c r="M47" s="2"/>
      <c r="N47" s="2"/>
      <c r="O47" s="2"/>
      <c r="P47" s="112"/>
      <c r="Q47" s="2"/>
      <c r="R47" s="2"/>
      <c r="S47" s="2"/>
      <c r="T47" s="2"/>
      <c r="U47" s="112"/>
      <c r="V47" s="2"/>
      <c r="W47" s="2"/>
      <c r="X47" s="2"/>
      <c r="Y47" s="2"/>
      <c r="Z47" s="112"/>
      <c r="AA47" s="2"/>
      <c r="AB47" s="2"/>
      <c r="AC47" s="2"/>
      <c r="AD47" s="2"/>
      <c r="AE47" s="2"/>
      <c r="AF47" s="2"/>
      <c r="AG47" s="2"/>
      <c r="AH47" s="2"/>
      <c r="AI47" s="2"/>
      <c r="AJ47" s="2"/>
      <c r="AK47" s="2"/>
      <c r="AL47" s="2"/>
      <c r="AM47" s="2"/>
      <c r="AN47" s="2"/>
      <c r="AO47" s="2"/>
      <c r="AP47" s="2"/>
      <c r="AQ47" s="2"/>
      <c r="AR47" s="2"/>
      <c r="AS47" s="2"/>
      <c r="AT47" s="112"/>
      <c r="AU47" s="2"/>
      <c r="AV47" s="2"/>
      <c r="AW47" s="2"/>
      <c r="AX47" s="2"/>
      <c r="AY47" s="2"/>
      <c r="AZ47" s="2"/>
    </row>
    <row r="48" spans="1:52">
      <c r="A48" s="2"/>
      <c r="B48" s="2"/>
      <c r="C48" s="2"/>
      <c r="D48" s="2"/>
      <c r="E48" s="2"/>
      <c r="F48" s="61"/>
      <c r="G48" s="2"/>
      <c r="H48" s="2"/>
      <c r="I48" s="2"/>
      <c r="J48" s="2"/>
      <c r="K48" s="61"/>
      <c r="L48" s="2"/>
      <c r="M48" s="2"/>
      <c r="N48" s="2"/>
      <c r="O48" s="2"/>
      <c r="P48" s="112"/>
      <c r="Q48" s="2"/>
      <c r="R48" s="2"/>
      <c r="S48" s="2"/>
      <c r="T48" s="2"/>
      <c r="U48" s="112"/>
      <c r="V48" s="2"/>
      <c r="W48" s="2"/>
      <c r="X48" s="2"/>
      <c r="Y48" s="2"/>
      <c r="Z48" s="112"/>
      <c r="AA48" s="2"/>
      <c r="AB48" s="2"/>
      <c r="AC48" s="2"/>
      <c r="AD48" s="2"/>
      <c r="AE48" s="2"/>
      <c r="AF48" s="2"/>
      <c r="AG48" s="2"/>
      <c r="AH48" s="2"/>
      <c r="AI48" s="2"/>
      <c r="AJ48" s="2"/>
      <c r="AK48" s="2"/>
      <c r="AL48" s="2"/>
      <c r="AM48" s="2"/>
      <c r="AN48" s="2"/>
      <c r="AO48" s="2"/>
      <c r="AP48" s="2"/>
      <c r="AQ48" s="1" t="s">
        <v>647</v>
      </c>
      <c r="AR48" s="2"/>
      <c r="AS48" s="2"/>
      <c r="AT48" s="112"/>
      <c r="AU48" s="2"/>
      <c r="AV48" s="2"/>
      <c r="AW48" s="2"/>
      <c r="AX48" s="2"/>
      <c r="AY48" s="2"/>
      <c r="AZ48" s="2"/>
    </row>
    <row r="49" spans="1:52">
      <c r="A49" s="2"/>
      <c r="B49" s="2"/>
      <c r="C49" s="2"/>
      <c r="D49" s="2"/>
      <c r="E49" s="2"/>
      <c r="F49" s="61"/>
      <c r="G49" s="2"/>
      <c r="H49" s="2"/>
      <c r="I49" s="2"/>
      <c r="J49" s="2"/>
      <c r="K49" s="61"/>
      <c r="L49" s="2"/>
      <c r="M49" s="2"/>
      <c r="N49" s="2"/>
      <c r="O49" s="2"/>
      <c r="P49" s="112"/>
      <c r="Q49" s="2"/>
      <c r="R49" s="2"/>
      <c r="S49" s="2"/>
      <c r="T49" s="2"/>
      <c r="U49" s="112"/>
      <c r="V49" s="2"/>
      <c r="W49" s="2"/>
      <c r="X49" s="2"/>
      <c r="Y49" s="2"/>
      <c r="Z49" s="112"/>
      <c r="AA49" s="2"/>
      <c r="AB49" s="2"/>
      <c r="AC49" s="2"/>
      <c r="AD49" s="2"/>
      <c r="AE49" s="2"/>
      <c r="AF49" s="2"/>
      <c r="AG49" s="2"/>
      <c r="AH49" s="2"/>
      <c r="AI49" s="2"/>
      <c r="AJ49" s="2"/>
      <c r="AK49" s="2"/>
      <c r="AL49" s="2"/>
      <c r="AM49" s="2"/>
      <c r="AN49" s="2"/>
      <c r="AO49" s="2"/>
      <c r="AP49" s="2"/>
      <c r="AQ49" s="2" t="s">
        <v>836</v>
      </c>
      <c r="AR49" s="114">
        <f>AR42</f>
        <v>10</v>
      </c>
      <c r="AS49" s="114">
        <f>AR49</f>
        <v>10</v>
      </c>
      <c r="AT49" s="151">
        <f>AS49</f>
        <v>10</v>
      </c>
      <c r="AU49" s="114">
        <f>AT49</f>
        <v>10</v>
      </c>
      <c r="AV49" s="114">
        <f>AU49</f>
        <v>10</v>
      </c>
      <c r="AW49" s="2"/>
      <c r="AX49" s="2"/>
      <c r="AY49" s="2"/>
      <c r="AZ49" s="2"/>
    </row>
    <row r="50" spans="1:52">
      <c r="A50" s="2"/>
      <c r="B50" s="2"/>
      <c r="C50" s="2"/>
      <c r="D50" s="2"/>
      <c r="E50" s="2"/>
      <c r="F50" s="61"/>
      <c r="G50" s="2"/>
      <c r="H50" s="2"/>
      <c r="I50" s="2"/>
      <c r="J50" s="2"/>
      <c r="K50" s="61"/>
      <c r="L50" s="2"/>
      <c r="M50" s="2"/>
      <c r="N50" s="2"/>
      <c r="O50" s="2"/>
      <c r="P50" s="112"/>
      <c r="Q50" s="2"/>
      <c r="R50" s="2"/>
      <c r="S50" s="2"/>
      <c r="T50" s="2"/>
      <c r="U50" s="112"/>
      <c r="V50" s="2"/>
      <c r="W50" s="2"/>
      <c r="X50" s="2"/>
      <c r="Y50" s="2"/>
      <c r="Z50" s="112"/>
      <c r="AA50" s="2"/>
      <c r="AB50" s="2"/>
      <c r="AC50" s="2"/>
      <c r="AD50" s="2"/>
      <c r="AE50" s="2"/>
      <c r="AF50" s="2"/>
      <c r="AG50" s="2"/>
      <c r="AH50" s="2"/>
      <c r="AI50" s="2"/>
      <c r="AJ50" s="2"/>
      <c r="AK50" s="2"/>
      <c r="AL50" s="2"/>
      <c r="AM50" s="2"/>
      <c r="AN50" s="2"/>
      <c r="AO50" s="2"/>
      <c r="AP50" s="2"/>
      <c r="AQ50" s="2" t="s">
        <v>837</v>
      </c>
      <c r="AR50" s="2">
        <f>AR49*(AR28*1.2*0.95)</f>
        <v>1019.7176343978088</v>
      </c>
      <c r="AS50" s="2">
        <f>AS49*(AS28*1.2*0.95)</f>
        <v>1019.7176343978088</v>
      </c>
      <c r="AT50" s="112">
        <f>AT49*(AT28*1.2*0.95)</f>
        <v>1019.7176343978088</v>
      </c>
      <c r="AU50" s="2">
        <f>AU49*(AU28*1.2*0.95)</f>
        <v>1019.7176343978088</v>
      </c>
      <c r="AV50" s="2">
        <f>AV49*(AV28*1.2*0.95)</f>
        <v>1019.7176343978088</v>
      </c>
      <c r="AW50" s="2"/>
      <c r="AX50" s="2"/>
      <c r="AY50" s="2"/>
      <c r="AZ50" s="2"/>
    </row>
    <row r="51" spans="1:52">
      <c r="A51" s="2"/>
      <c r="B51" s="2"/>
      <c r="C51" s="2"/>
      <c r="D51" s="2"/>
      <c r="E51" s="2"/>
      <c r="F51" s="61"/>
      <c r="G51" s="2"/>
      <c r="H51" s="2"/>
      <c r="I51" s="2"/>
      <c r="J51" s="2"/>
      <c r="K51" s="61"/>
      <c r="L51" s="2"/>
      <c r="M51" s="2"/>
      <c r="N51" s="2"/>
      <c r="O51" s="2"/>
      <c r="P51" s="112"/>
      <c r="Q51" s="2"/>
      <c r="R51" s="2"/>
      <c r="S51" s="2"/>
      <c r="T51" s="2"/>
      <c r="U51" s="112"/>
      <c r="V51" s="2"/>
      <c r="W51" s="2"/>
      <c r="X51" s="2"/>
      <c r="Y51" s="2"/>
      <c r="Z51" s="112"/>
      <c r="AA51" s="2"/>
      <c r="AB51" s="2"/>
      <c r="AC51" s="2"/>
      <c r="AD51" s="2"/>
      <c r="AE51" s="2"/>
      <c r="AF51" s="2"/>
      <c r="AG51" s="2"/>
      <c r="AH51" s="2"/>
      <c r="AI51" s="2"/>
      <c r="AJ51" s="2"/>
      <c r="AK51" s="2"/>
      <c r="AL51" s="2"/>
      <c r="AM51" s="2"/>
      <c r="AN51" s="2"/>
      <c r="AO51" s="2"/>
      <c r="AP51" s="2"/>
      <c r="AQ51" s="2" t="s">
        <v>838</v>
      </c>
      <c r="AR51" s="2">
        <f>AR44</f>
        <v>-576.94550367244449</v>
      </c>
      <c r="AS51" s="2">
        <f>AS44</f>
        <v>-673.10308761785188</v>
      </c>
      <c r="AT51" s="112">
        <f>AT44</f>
        <v>-769.26067156325928</v>
      </c>
      <c r="AU51" s="2">
        <f>AU44</f>
        <v>-865.41825550866668</v>
      </c>
      <c r="AV51" s="2">
        <f>AV44</f>
        <v>-961.57583945407418</v>
      </c>
      <c r="AW51" s="2"/>
      <c r="AX51" s="2"/>
      <c r="AY51" s="2"/>
      <c r="AZ51" s="2"/>
    </row>
    <row r="52" spans="1:52">
      <c r="A52" s="2"/>
      <c r="B52" s="2"/>
      <c r="C52" s="2"/>
      <c r="D52" s="2"/>
      <c r="E52" s="2"/>
      <c r="F52" s="61"/>
      <c r="G52" s="2"/>
      <c r="H52" s="2"/>
      <c r="I52" s="2"/>
      <c r="J52" s="2"/>
      <c r="K52" s="61"/>
      <c r="L52" s="2"/>
      <c r="M52" s="2"/>
      <c r="N52" s="2"/>
      <c r="O52" s="2"/>
      <c r="P52" s="112"/>
      <c r="Q52" s="2"/>
      <c r="R52" s="2"/>
      <c r="S52" s="2"/>
      <c r="T52" s="2"/>
      <c r="U52" s="112"/>
      <c r="V52" s="2"/>
      <c r="W52" s="2"/>
      <c r="X52" s="2"/>
      <c r="Y52" s="2"/>
      <c r="Z52" s="112"/>
      <c r="AA52" s="2"/>
      <c r="AB52" s="2"/>
      <c r="AC52" s="2"/>
      <c r="AD52" s="2"/>
      <c r="AE52" s="2"/>
      <c r="AF52" s="2"/>
      <c r="AG52" s="2"/>
      <c r="AH52" s="2"/>
      <c r="AI52" s="2"/>
      <c r="AJ52" s="2"/>
      <c r="AK52" s="2"/>
      <c r="AL52" s="2"/>
      <c r="AM52" s="2"/>
      <c r="AN52" s="2"/>
      <c r="AO52" s="2"/>
      <c r="AP52" s="2"/>
      <c r="AQ52" s="2" t="s">
        <v>587</v>
      </c>
      <c r="AR52" s="2">
        <f>SUM(AR50:AR51)</f>
        <v>442.77213072536426</v>
      </c>
      <c r="AS52" s="2">
        <f>SUM(AS50:AS51)</f>
        <v>346.61454677995687</v>
      </c>
      <c r="AT52" s="112">
        <f>SUM(AT50:AT51)</f>
        <v>250.45696283454947</v>
      </c>
      <c r="AU52" s="2">
        <f>SUM(AU50:AU51)</f>
        <v>154.29937888914208</v>
      </c>
      <c r="AV52" s="2">
        <f>SUM(AV50:AV51)</f>
        <v>58.141794943734567</v>
      </c>
      <c r="AW52" s="2"/>
      <c r="AX52" s="2"/>
      <c r="AY52" s="2"/>
      <c r="AZ52" s="2"/>
    </row>
    <row r="53" spans="1:52">
      <c r="A53" s="2"/>
      <c r="B53" s="2"/>
      <c r="C53" s="2"/>
      <c r="D53" s="2"/>
      <c r="E53" s="2"/>
      <c r="F53" s="61"/>
      <c r="G53" s="2"/>
      <c r="H53" s="2"/>
      <c r="I53" s="2"/>
      <c r="J53" s="2"/>
      <c r="K53" s="61"/>
      <c r="L53" s="2"/>
      <c r="M53" s="2"/>
      <c r="N53" s="2"/>
      <c r="O53" s="2"/>
      <c r="P53" s="112"/>
      <c r="Q53" s="2"/>
      <c r="R53" s="2"/>
      <c r="S53" s="2"/>
      <c r="T53" s="2"/>
      <c r="U53" s="112"/>
      <c r="V53" s="2"/>
      <c r="W53" s="2"/>
      <c r="X53" s="2"/>
      <c r="Y53" s="2"/>
      <c r="Z53" s="112"/>
      <c r="AA53" s="2"/>
      <c r="AB53" s="2"/>
      <c r="AC53" s="2"/>
      <c r="AD53" s="2"/>
      <c r="AE53" s="2"/>
      <c r="AF53" s="2"/>
      <c r="AG53" s="2"/>
      <c r="AH53" s="2"/>
      <c r="AI53" s="2"/>
      <c r="AJ53" s="2"/>
      <c r="AK53" s="2"/>
      <c r="AL53" s="2"/>
      <c r="AM53" s="2"/>
      <c r="AN53" s="2"/>
      <c r="AO53" s="2"/>
      <c r="AP53" s="2"/>
      <c r="AQ53" s="138" t="s">
        <v>588</v>
      </c>
      <c r="AR53" s="152">
        <f>AR52/BYD!$AG$104</f>
        <v>5.1177471563434267</v>
      </c>
      <c r="AS53" s="152">
        <f>AS52/BYD!$AG$104</f>
        <v>4.0063172183496523</v>
      </c>
      <c r="AT53" s="153">
        <f>AT52/BYD!$AG$104</f>
        <v>2.8948872803558778</v>
      </c>
      <c r="AU53" s="152">
        <f>AU52/BYD!$AG$104</f>
        <v>1.7834573423621032</v>
      </c>
      <c r="AV53" s="154">
        <f>AV52/BYD!$AG$104</f>
        <v>0.67202740436832731</v>
      </c>
      <c r="AW53" s="2"/>
      <c r="AX53" s="2"/>
      <c r="AY53" s="2"/>
      <c r="AZ53" s="2"/>
    </row>
    <row r="54" spans="1:52">
      <c r="A54" s="2"/>
      <c r="B54" s="2"/>
      <c r="C54" s="2"/>
      <c r="D54" s="2"/>
      <c r="E54" s="2"/>
      <c r="F54" s="61"/>
      <c r="G54" s="2"/>
      <c r="H54" s="2"/>
      <c r="I54" s="2"/>
      <c r="J54" s="2"/>
      <c r="K54" s="61"/>
      <c r="L54" s="2"/>
      <c r="M54" s="2"/>
      <c r="N54" s="2"/>
      <c r="O54" s="2"/>
      <c r="P54" s="112"/>
      <c r="Q54" s="2"/>
      <c r="R54" s="2"/>
      <c r="S54" s="2"/>
      <c r="T54" s="2"/>
      <c r="U54" s="112"/>
      <c r="V54" s="2"/>
      <c r="W54" s="2"/>
      <c r="X54" s="2"/>
      <c r="Y54" s="2"/>
      <c r="Z54" s="11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row>
    <row r="55" spans="1:52">
      <c r="A55" s="2"/>
      <c r="B55" s="2"/>
      <c r="C55" s="2"/>
      <c r="D55" s="2"/>
      <c r="E55" s="2"/>
      <c r="F55" s="61"/>
      <c r="G55" s="2"/>
      <c r="H55" s="2"/>
      <c r="I55" s="2"/>
      <c r="J55" s="2"/>
      <c r="K55" s="61"/>
      <c r="L55" s="2"/>
      <c r="M55" s="2"/>
      <c r="N55" s="2"/>
      <c r="O55" s="2"/>
      <c r="P55" s="112"/>
      <c r="Q55" s="2"/>
      <c r="R55" s="2"/>
      <c r="S55" s="2"/>
      <c r="T55" s="2"/>
      <c r="U55" s="112"/>
      <c r="V55" s="2"/>
      <c r="W55" s="2"/>
      <c r="X55" s="2"/>
      <c r="Y55" s="2"/>
      <c r="Z55" s="112"/>
      <c r="AA55" s="2"/>
      <c r="AB55" s="2"/>
      <c r="AC55" s="2"/>
      <c r="AD55" s="2"/>
      <c r="AE55" s="2"/>
      <c r="AF55" s="2"/>
      <c r="AG55" s="2"/>
      <c r="AH55" s="2"/>
      <c r="AI55" s="2"/>
      <c r="AJ55" s="2"/>
      <c r="AK55" s="2"/>
      <c r="AL55" s="2"/>
      <c r="AM55" s="2"/>
      <c r="AN55" s="2"/>
      <c r="AO55" s="2"/>
      <c r="AP55" s="2"/>
      <c r="AQ55" s="138" t="s">
        <v>655</v>
      </c>
      <c r="AR55" s="155"/>
      <c r="AS55" s="155"/>
      <c r="AT55" s="153">
        <f>AT53/(1.1^1.75)</f>
        <v>2.4501600761726396</v>
      </c>
      <c r="AU55" s="2"/>
      <c r="AV55" s="2"/>
      <c r="AW55" s="2"/>
      <c r="AX55" s="2"/>
      <c r="AY55" s="2"/>
      <c r="AZ55" s="2"/>
    </row>
    <row r="56" spans="1:52">
      <c r="A56" s="2"/>
      <c r="B56" s="2"/>
      <c r="C56" s="2"/>
      <c r="D56" s="2"/>
      <c r="E56" s="2"/>
      <c r="F56" s="61"/>
      <c r="G56" s="2"/>
      <c r="H56" s="2"/>
      <c r="I56" s="2"/>
      <c r="J56" s="2"/>
      <c r="K56" s="61"/>
      <c r="L56" s="2"/>
      <c r="M56" s="2"/>
      <c r="N56" s="2"/>
      <c r="O56" s="2"/>
      <c r="P56" s="112"/>
      <c r="Q56" s="2"/>
      <c r="R56" s="2"/>
      <c r="S56" s="2"/>
      <c r="T56" s="2"/>
      <c r="U56" s="112"/>
      <c r="V56" s="2"/>
      <c r="W56" s="2"/>
      <c r="X56" s="2"/>
      <c r="Y56" s="2"/>
      <c r="Z56" s="11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row>
    <row r="57" spans="1:52">
      <c r="A57" s="2"/>
      <c r="B57" s="2"/>
      <c r="C57" s="2"/>
      <c r="D57" s="2"/>
      <c r="E57" s="2"/>
      <c r="F57" s="61"/>
      <c r="G57" s="2"/>
      <c r="H57" s="2"/>
      <c r="I57" s="2"/>
      <c r="J57" s="2"/>
      <c r="K57" s="61"/>
      <c r="L57" s="2"/>
      <c r="M57" s="2"/>
      <c r="N57" s="2"/>
      <c r="O57" s="2"/>
      <c r="P57" s="112"/>
      <c r="Q57" s="2"/>
      <c r="R57" s="2"/>
      <c r="S57" s="2"/>
      <c r="T57" s="2"/>
      <c r="U57" s="112"/>
      <c r="V57" s="2"/>
      <c r="W57" s="2"/>
      <c r="X57" s="2"/>
      <c r="Y57" s="2"/>
      <c r="Z57" s="112"/>
      <c r="AA57" s="2"/>
      <c r="AB57" s="2"/>
      <c r="AC57" s="2"/>
      <c r="AD57" s="2"/>
      <c r="AE57" s="2"/>
      <c r="AF57" s="2"/>
      <c r="AG57" s="2"/>
      <c r="AH57" s="2"/>
      <c r="AI57" s="2"/>
      <c r="AJ57" s="2"/>
      <c r="AK57" s="2"/>
      <c r="AL57" s="2"/>
      <c r="AM57" s="2"/>
      <c r="AN57" s="2"/>
      <c r="AO57" s="2"/>
      <c r="AP57" s="2"/>
      <c r="AQ57" s="69" t="s">
        <v>648</v>
      </c>
      <c r="AR57" s="73" t="s">
        <v>649</v>
      </c>
      <c r="AS57" s="73" t="s">
        <v>650</v>
      </c>
      <c r="AT57" s="2"/>
      <c r="AU57" s="2"/>
      <c r="AV57" s="2"/>
      <c r="AW57" s="2"/>
      <c r="AX57" s="2"/>
      <c r="AY57" s="2"/>
      <c r="AZ57" s="2"/>
    </row>
    <row r="58" spans="1:52">
      <c r="A58" s="2"/>
      <c r="B58" s="2"/>
      <c r="C58" s="2"/>
      <c r="D58" s="2"/>
      <c r="E58" s="2"/>
      <c r="F58" s="61"/>
      <c r="G58" s="2"/>
      <c r="H58" s="2"/>
      <c r="I58" s="2"/>
      <c r="J58" s="2"/>
      <c r="K58" s="61"/>
      <c r="L58" s="2"/>
      <c r="M58" s="2"/>
      <c r="N58" s="2"/>
      <c r="O58" s="2"/>
      <c r="P58" s="112"/>
      <c r="Q58" s="2"/>
      <c r="R58" s="2"/>
      <c r="S58" s="2"/>
      <c r="T58" s="2"/>
      <c r="U58" s="112"/>
      <c r="V58" s="2"/>
      <c r="W58" s="2"/>
      <c r="X58" s="2"/>
      <c r="Y58" s="2"/>
      <c r="Z58" s="112"/>
      <c r="AA58" s="2"/>
      <c r="AB58" s="2"/>
      <c r="AC58" s="2"/>
      <c r="AD58" s="2"/>
      <c r="AE58" s="2"/>
      <c r="AF58" s="2"/>
      <c r="AG58" s="2"/>
      <c r="AH58" s="2"/>
      <c r="AI58" s="2"/>
      <c r="AJ58" s="2"/>
      <c r="AK58" s="2"/>
      <c r="AL58" s="2"/>
      <c r="AM58" s="2"/>
      <c r="AN58" s="2"/>
      <c r="AO58" s="2"/>
      <c r="AP58" s="2"/>
      <c r="AQ58" s="2" t="s">
        <v>401</v>
      </c>
      <c r="AR58" s="113">
        <f>AT28</f>
        <v>89.448915298053407</v>
      </c>
      <c r="AS58" s="113">
        <f>AR58*1.2</f>
        <v>107.33869835766409</v>
      </c>
      <c r="AT58" s="2"/>
      <c r="AU58" s="2"/>
      <c r="AV58" s="2"/>
      <c r="AW58" s="2"/>
      <c r="AX58" s="2"/>
      <c r="AY58" s="2"/>
      <c r="AZ58" s="2"/>
    </row>
    <row r="59" spans="1:52">
      <c r="A59" s="2"/>
      <c r="B59" s="2"/>
      <c r="C59" s="2"/>
      <c r="D59" s="2"/>
      <c r="E59" s="2"/>
      <c r="F59" s="61"/>
      <c r="G59" s="2"/>
      <c r="H59" s="2"/>
      <c r="I59" s="2"/>
      <c r="J59" s="2"/>
      <c r="K59" s="61"/>
      <c r="L59" s="2"/>
      <c r="M59" s="2"/>
      <c r="N59" s="2"/>
      <c r="O59" s="2"/>
      <c r="P59" s="112"/>
      <c r="Q59" s="2"/>
      <c r="R59" s="2"/>
      <c r="S59" s="2"/>
      <c r="T59" s="2"/>
      <c r="U59" s="112"/>
      <c r="V59" s="2"/>
      <c r="W59" s="2"/>
      <c r="X59" s="2"/>
      <c r="Y59" s="2"/>
      <c r="Z59" s="112"/>
      <c r="AA59" s="2"/>
      <c r="AB59" s="2"/>
      <c r="AC59" s="2"/>
      <c r="AD59" s="2"/>
      <c r="AE59" s="2"/>
      <c r="AF59" s="2"/>
      <c r="AG59" s="2"/>
      <c r="AH59" s="2"/>
      <c r="AI59" s="2"/>
      <c r="AJ59" s="2"/>
      <c r="AK59" s="2"/>
      <c r="AL59" s="2"/>
      <c r="AM59" s="2"/>
      <c r="AN59" s="2"/>
      <c r="AO59" s="2"/>
      <c r="AP59" s="2"/>
      <c r="AQ59" s="2" t="s">
        <v>651</v>
      </c>
      <c r="AR59" s="2">
        <f>-AT22*0.08</f>
        <v>-57.247305790754183</v>
      </c>
      <c r="AS59" s="2">
        <f>-AT22*0.08</f>
        <v>-57.247305790754183</v>
      </c>
      <c r="AT59" s="2"/>
      <c r="AU59" s="2"/>
      <c r="AV59" s="2"/>
      <c r="AW59" s="2"/>
      <c r="AX59" s="2"/>
      <c r="AY59" s="2"/>
      <c r="AZ59" s="2"/>
    </row>
    <row r="60" spans="1:52">
      <c r="A60" s="2"/>
      <c r="B60" s="2"/>
      <c r="C60" s="2"/>
      <c r="D60" s="2"/>
      <c r="E60" s="2"/>
      <c r="F60" s="61"/>
      <c r="G60" s="2"/>
      <c r="H60" s="2"/>
      <c r="I60" s="2"/>
      <c r="J60" s="2"/>
      <c r="K60" s="61"/>
      <c r="L60" s="2"/>
      <c r="M60" s="2"/>
      <c r="N60" s="2"/>
      <c r="O60" s="2"/>
      <c r="P60" s="112"/>
      <c r="Q60" s="2"/>
      <c r="R60" s="2"/>
      <c r="S60" s="2"/>
      <c r="T60" s="2"/>
      <c r="U60" s="112"/>
      <c r="V60" s="2"/>
      <c r="W60" s="2"/>
      <c r="X60" s="2"/>
      <c r="Y60" s="2"/>
      <c r="Z60" s="112"/>
      <c r="AA60" s="2"/>
      <c r="AB60" s="2"/>
      <c r="AC60" s="2"/>
      <c r="AD60" s="2"/>
      <c r="AE60" s="2"/>
      <c r="AF60" s="2"/>
      <c r="AG60" s="2"/>
      <c r="AH60" s="2"/>
      <c r="AI60" s="2"/>
      <c r="AJ60" s="2"/>
      <c r="AK60" s="2"/>
      <c r="AL60" s="2"/>
      <c r="AM60" s="2"/>
      <c r="AN60" s="2"/>
      <c r="AO60" s="2"/>
      <c r="AP60" s="2"/>
      <c r="AQ60" s="2" t="s">
        <v>652</v>
      </c>
      <c r="AR60" s="2">
        <f>AR58*-0.05</f>
        <v>-4.4724457649026705</v>
      </c>
      <c r="AS60" s="2">
        <f>AS58*-0.05</f>
        <v>-5.3669349178832046</v>
      </c>
      <c r="AT60" s="2"/>
      <c r="AU60" s="2"/>
      <c r="AV60" s="2"/>
      <c r="AW60" s="2"/>
      <c r="AX60" s="2"/>
      <c r="AY60" s="2"/>
      <c r="AZ60" s="2"/>
    </row>
    <row r="61" spans="1:52">
      <c r="A61" s="2"/>
      <c r="B61" s="2"/>
      <c r="C61" s="2"/>
      <c r="D61" s="2"/>
      <c r="E61" s="2"/>
      <c r="F61" s="61"/>
      <c r="G61" s="2"/>
      <c r="H61" s="2"/>
      <c r="I61" s="2"/>
      <c r="J61" s="2"/>
      <c r="K61" s="61"/>
      <c r="L61" s="2"/>
      <c r="M61" s="2"/>
      <c r="N61" s="2"/>
      <c r="O61" s="2"/>
      <c r="P61" s="112"/>
      <c r="Q61" s="2"/>
      <c r="R61" s="2"/>
      <c r="S61" s="2"/>
      <c r="T61" s="2"/>
      <c r="U61" s="112"/>
      <c r="V61" s="2"/>
      <c r="W61" s="2"/>
      <c r="X61" s="2"/>
      <c r="Y61" s="2"/>
      <c r="Z61" s="112"/>
      <c r="AA61" s="2"/>
      <c r="AB61" s="2"/>
      <c r="AC61" s="2"/>
      <c r="AD61" s="2"/>
      <c r="AE61" s="2"/>
      <c r="AF61" s="2"/>
      <c r="AG61" s="2"/>
      <c r="AH61" s="2"/>
      <c r="AI61" s="2"/>
      <c r="AJ61" s="2"/>
      <c r="AK61" s="2"/>
      <c r="AL61" s="2"/>
      <c r="AM61" s="2"/>
      <c r="AN61" s="2"/>
      <c r="AO61" s="2"/>
      <c r="AP61" s="2"/>
      <c r="AQ61" s="2" t="s">
        <v>653</v>
      </c>
      <c r="AR61" s="116">
        <f>-160*4/3*0.3</f>
        <v>-64</v>
      </c>
      <c r="AS61" s="116">
        <f>-160*4/3*0.3</f>
        <v>-64</v>
      </c>
      <c r="AT61" s="2"/>
      <c r="AU61" s="2"/>
      <c r="AV61" s="2"/>
      <c r="AW61" s="2"/>
      <c r="AX61" s="2"/>
      <c r="AY61" s="2"/>
      <c r="AZ61" s="2"/>
    </row>
    <row r="62" spans="1:52">
      <c r="A62" s="2"/>
      <c r="B62" s="2"/>
      <c r="C62" s="2"/>
      <c r="D62" s="2"/>
      <c r="E62" s="2"/>
      <c r="F62" s="61"/>
      <c r="G62" s="2"/>
      <c r="H62" s="2"/>
      <c r="I62" s="2"/>
      <c r="J62" s="2"/>
      <c r="K62" s="61"/>
      <c r="L62" s="2"/>
      <c r="M62" s="2"/>
      <c r="N62" s="2"/>
      <c r="O62" s="2"/>
      <c r="P62" s="112"/>
      <c r="Q62" s="2"/>
      <c r="R62" s="2"/>
      <c r="S62" s="2"/>
      <c r="T62" s="2"/>
      <c r="U62" s="112"/>
      <c r="V62" s="2"/>
      <c r="W62" s="2"/>
      <c r="X62" s="2"/>
      <c r="Y62" s="2"/>
      <c r="Z62" s="112"/>
      <c r="AA62" s="2"/>
      <c r="AB62" s="2"/>
      <c r="AC62" s="2"/>
      <c r="AD62" s="2"/>
      <c r="AE62" s="2"/>
      <c r="AF62" s="2"/>
      <c r="AG62" s="2"/>
      <c r="AH62" s="2"/>
      <c r="AI62" s="2"/>
      <c r="AJ62" s="2"/>
      <c r="AK62" s="2"/>
      <c r="AL62" s="2"/>
      <c r="AM62" s="2"/>
      <c r="AN62" s="2"/>
      <c r="AO62" s="2"/>
      <c r="AP62" s="2"/>
      <c r="AQ62" s="138" t="s">
        <v>310</v>
      </c>
      <c r="AR62" s="156">
        <f>SUM(AR58:AR61)</f>
        <v>-36.270836257603449</v>
      </c>
      <c r="AS62" s="157">
        <f>SUM(AS58:AS61)</f>
        <v>-19.275542350973303</v>
      </c>
      <c r="AT62" s="2"/>
      <c r="AU62" s="2"/>
      <c r="AV62" s="2"/>
      <c r="AW62" s="2"/>
      <c r="AX62" s="2"/>
      <c r="AY62" s="2"/>
      <c r="AZ62" s="2"/>
    </row>
    <row r="63" spans="1:52">
      <c r="A63" s="2"/>
      <c r="B63" s="2"/>
      <c r="C63" s="2"/>
      <c r="D63" s="2"/>
      <c r="E63" s="2"/>
      <c r="F63" s="61"/>
      <c r="G63" s="2"/>
      <c r="H63" s="2"/>
      <c r="I63" s="2"/>
      <c r="J63" s="2"/>
      <c r="K63" s="61"/>
      <c r="L63" s="2"/>
      <c r="M63" s="2"/>
      <c r="N63" s="2"/>
      <c r="O63" s="2"/>
      <c r="P63" s="112"/>
      <c r="Q63" s="2"/>
      <c r="R63" s="2"/>
      <c r="S63" s="2"/>
      <c r="T63" s="2"/>
      <c r="U63" s="112"/>
      <c r="V63" s="2"/>
      <c r="W63" s="2"/>
      <c r="X63" s="2"/>
      <c r="Y63" s="2"/>
      <c r="Z63" s="112"/>
      <c r="AA63" s="2"/>
      <c r="AB63" s="2"/>
      <c r="AC63" s="2"/>
      <c r="AD63" s="2"/>
      <c r="AE63" s="2"/>
      <c r="AF63" s="2"/>
      <c r="AG63" s="2"/>
      <c r="AH63" s="2"/>
      <c r="AI63" s="2"/>
      <c r="AJ63" s="2"/>
      <c r="AK63" s="2"/>
      <c r="AL63" s="2"/>
      <c r="AM63" s="2"/>
      <c r="AN63" s="2"/>
      <c r="AO63" s="2"/>
      <c r="AP63" s="2"/>
      <c r="AQ63" s="138" t="s">
        <v>200</v>
      </c>
      <c r="AR63" s="158">
        <f>AR62/BYD!AL104</f>
        <v>-0.41771759230693473</v>
      </c>
      <c r="AS63" s="159">
        <f>AS62/BYD!AL104</f>
        <v>-0.22198917841523538</v>
      </c>
      <c r="AT63" s="2"/>
      <c r="AU63" s="2"/>
      <c r="AV63" s="2"/>
      <c r="AW63" s="2"/>
      <c r="AX63" s="2"/>
      <c r="AY63" s="2"/>
      <c r="AZ63" s="2"/>
    </row>
    <row r="64" spans="1:52">
      <c r="A64" s="2"/>
      <c r="B64" s="2"/>
      <c r="C64" s="2"/>
      <c r="D64" s="2"/>
      <c r="E64" s="2"/>
      <c r="F64" s="61"/>
      <c r="G64" s="2"/>
      <c r="H64" s="2"/>
      <c r="I64" s="2"/>
      <c r="J64" s="2"/>
      <c r="K64" s="61"/>
      <c r="L64" s="2"/>
      <c r="M64" s="2"/>
      <c r="N64" s="2"/>
      <c r="O64" s="2"/>
      <c r="P64" s="112"/>
      <c r="Q64" s="2"/>
      <c r="R64" s="2"/>
      <c r="S64" s="2"/>
      <c r="T64" s="2"/>
      <c r="U64" s="112"/>
      <c r="V64" s="2"/>
      <c r="W64" s="2"/>
      <c r="X64" s="2"/>
      <c r="Y64" s="2"/>
      <c r="Z64" s="112"/>
      <c r="AA64" s="2"/>
      <c r="AB64" s="2"/>
      <c r="AC64" s="2"/>
      <c r="AD64" s="2"/>
      <c r="AE64" s="2"/>
      <c r="AF64" s="2"/>
      <c r="AG64" s="2"/>
      <c r="AH64" s="2"/>
      <c r="AI64" s="2"/>
      <c r="AJ64" s="2"/>
      <c r="AK64" s="2"/>
      <c r="AL64" s="2"/>
      <c r="AM64" s="2"/>
      <c r="AN64" s="2"/>
      <c r="AO64" s="2"/>
      <c r="AP64" s="2"/>
      <c r="AQ64" s="117" t="s">
        <v>654</v>
      </c>
      <c r="AR64" s="105">
        <f>AR63/BYD!AL95</f>
        <v>-2.7330899146713401</v>
      </c>
      <c r="AS64" s="105">
        <f>AS63/BYD!AV95</f>
        <v>0.7934508610876444</v>
      </c>
      <c r="AT64" s="2"/>
      <c r="AU64" s="2"/>
      <c r="AV64" s="2"/>
      <c r="AW64" s="2"/>
      <c r="AX64" s="2"/>
      <c r="AY64" s="2"/>
      <c r="AZ64" s="2"/>
    </row>
    <row r="65" spans="1:52">
      <c r="A65" s="2"/>
      <c r="B65" s="2"/>
      <c r="C65" s="2"/>
      <c r="D65" s="2"/>
      <c r="E65" s="2"/>
      <c r="F65" s="61"/>
      <c r="G65" s="2"/>
      <c r="H65" s="2"/>
      <c r="I65" s="2"/>
      <c r="J65" s="2"/>
      <c r="K65" s="61"/>
      <c r="L65" s="2"/>
      <c r="M65" s="2"/>
      <c r="N65" s="2"/>
      <c r="O65" s="2"/>
      <c r="P65" s="112"/>
      <c r="Q65" s="2"/>
      <c r="R65" s="2"/>
      <c r="S65" s="2"/>
      <c r="T65" s="2"/>
      <c r="U65" s="112"/>
      <c r="V65" s="2"/>
      <c r="W65" s="2"/>
      <c r="X65" s="2"/>
      <c r="Y65" s="2"/>
      <c r="Z65" s="11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row>
    <row r="66" spans="1:52">
      <c r="A66" s="2"/>
      <c r="B66" s="2"/>
      <c r="C66" s="2"/>
      <c r="D66" s="2"/>
      <c r="E66" s="2"/>
      <c r="F66" s="61"/>
      <c r="G66" s="2"/>
      <c r="H66" s="2"/>
      <c r="I66" s="2"/>
      <c r="J66" s="2"/>
      <c r="K66" s="61"/>
      <c r="L66" s="2"/>
      <c r="M66" s="2"/>
      <c r="N66" s="2"/>
      <c r="O66" s="2"/>
      <c r="P66" s="112"/>
      <c r="Q66" s="2"/>
      <c r="R66" s="2"/>
      <c r="S66" s="2"/>
      <c r="T66" s="2"/>
      <c r="U66" s="112"/>
      <c r="V66" s="2"/>
      <c r="W66" s="2"/>
      <c r="X66" s="2"/>
      <c r="Y66" s="2"/>
      <c r="Z66" s="11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row>
    <row r="67" spans="1:52">
      <c r="A67" s="2"/>
      <c r="B67" s="2"/>
      <c r="C67" s="2"/>
      <c r="D67" s="2"/>
      <c r="E67" s="2"/>
      <c r="F67" s="61"/>
      <c r="G67" s="2"/>
      <c r="H67" s="2"/>
      <c r="I67" s="2"/>
      <c r="J67" s="2"/>
      <c r="K67" s="61"/>
      <c r="L67" s="2"/>
      <c r="M67" s="2"/>
      <c r="N67" s="2"/>
      <c r="O67" s="2"/>
      <c r="P67" s="112"/>
      <c r="Q67" s="2"/>
      <c r="R67" s="2"/>
      <c r="S67" s="2"/>
      <c r="T67" s="2"/>
      <c r="U67" s="112"/>
      <c r="V67" s="2"/>
      <c r="W67" s="2"/>
      <c r="X67" s="2"/>
      <c r="Y67" s="2"/>
      <c r="Z67" s="112"/>
      <c r="AA67" s="2"/>
      <c r="AB67" s="2"/>
      <c r="AC67" s="2"/>
      <c r="AD67" s="2"/>
      <c r="AE67" s="2"/>
      <c r="AF67" s="2"/>
      <c r="AG67" s="2"/>
      <c r="AH67" s="2"/>
      <c r="AI67" s="2"/>
      <c r="AJ67" s="2"/>
      <c r="AK67" s="2"/>
      <c r="AL67" s="2"/>
      <c r="AM67" s="2"/>
      <c r="AN67" s="2"/>
      <c r="AO67" s="2"/>
      <c r="AP67" s="2"/>
      <c r="AQ67" s="61" t="s">
        <v>776</v>
      </c>
      <c r="AR67" s="2"/>
      <c r="AS67" s="2"/>
      <c r="AT67" s="2"/>
      <c r="AU67" s="2"/>
      <c r="AV67" s="2"/>
      <c r="AW67" s="2"/>
      <c r="AX67" s="2"/>
      <c r="AY67" s="2"/>
      <c r="AZ67" s="2"/>
    </row>
    <row r="68" spans="1:52" ht="16.5" thickBot="1">
      <c r="A68" s="2"/>
      <c r="B68" s="2"/>
      <c r="C68" s="2"/>
      <c r="D68" s="2"/>
      <c r="E68" s="2"/>
      <c r="F68" s="61"/>
      <c r="G68" s="2"/>
      <c r="H68" s="2"/>
      <c r="I68" s="2"/>
      <c r="J68" s="2"/>
      <c r="K68" s="61"/>
      <c r="L68" s="2"/>
      <c r="M68" s="2"/>
      <c r="N68" s="2"/>
      <c r="O68" s="2"/>
      <c r="P68" s="112"/>
      <c r="Q68" s="2"/>
      <c r="R68" s="2"/>
      <c r="S68" s="2"/>
      <c r="T68" s="2"/>
      <c r="U68" s="112"/>
      <c r="V68" s="2"/>
      <c r="W68" s="2"/>
      <c r="X68" s="2"/>
      <c r="Y68" s="2"/>
      <c r="Z68" s="112"/>
      <c r="AA68" s="2"/>
      <c r="AB68" s="2"/>
      <c r="AC68" s="2"/>
      <c r="AD68" s="2"/>
      <c r="AE68" s="2"/>
      <c r="AF68" s="2"/>
      <c r="AG68" s="2"/>
      <c r="AH68" s="2"/>
      <c r="AI68" s="2"/>
      <c r="AJ68" s="2"/>
      <c r="AK68" s="2"/>
      <c r="AL68" s="2"/>
      <c r="AM68" s="2"/>
      <c r="AN68" s="2"/>
      <c r="AO68" s="2"/>
      <c r="AP68" s="2"/>
      <c r="AQ68" s="2"/>
      <c r="AR68" s="61"/>
      <c r="AS68" s="61"/>
      <c r="AT68" s="72"/>
      <c r="AU68" s="72"/>
      <c r="AV68" s="72"/>
      <c r="AW68" s="2"/>
      <c r="AX68" s="2"/>
      <c r="AY68" s="2"/>
      <c r="AZ68" s="2"/>
    </row>
    <row r="69" spans="1:52">
      <c r="A69" s="2"/>
      <c r="B69" s="2"/>
      <c r="C69" s="2"/>
      <c r="D69" s="2"/>
      <c r="E69" s="2"/>
      <c r="F69" s="61"/>
      <c r="G69" s="2"/>
      <c r="H69" s="2"/>
      <c r="I69" s="2"/>
      <c r="J69" s="2"/>
      <c r="K69" s="61"/>
      <c r="L69" s="2"/>
      <c r="M69" s="2"/>
      <c r="N69" s="2"/>
      <c r="O69" s="2"/>
      <c r="P69" s="112"/>
      <c r="Q69" s="2"/>
      <c r="R69" s="2"/>
      <c r="S69" s="2"/>
      <c r="T69" s="2"/>
      <c r="U69" s="112"/>
      <c r="V69" s="2"/>
      <c r="W69" s="2"/>
      <c r="X69" s="2"/>
      <c r="Y69" s="2"/>
      <c r="Z69" s="112"/>
      <c r="AA69" s="2"/>
      <c r="AB69" s="2"/>
      <c r="AC69" s="2"/>
      <c r="AD69" s="2"/>
      <c r="AE69" s="2"/>
      <c r="AF69" s="2"/>
      <c r="AG69" s="2"/>
      <c r="AH69" s="2"/>
      <c r="AI69" s="2"/>
      <c r="AJ69" s="2"/>
      <c r="AK69" s="2"/>
      <c r="AL69" s="2"/>
      <c r="AM69" s="2"/>
      <c r="AN69" s="2"/>
      <c r="AO69" s="2"/>
      <c r="AP69" s="2"/>
      <c r="AQ69" s="160" t="s">
        <v>1219</v>
      </c>
      <c r="AR69" s="161">
        <f>AV20</f>
        <v>10</v>
      </c>
      <c r="AS69" s="1188">
        <f>AU20</f>
        <v>9</v>
      </c>
      <c r="AT69" s="161">
        <f>AT20</f>
        <v>8</v>
      </c>
      <c r="AU69" s="161">
        <f>AS20</f>
        <v>7</v>
      </c>
      <c r="AV69" s="161">
        <f>AR20</f>
        <v>6</v>
      </c>
      <c r="AW69" s="2"/>
      <c r="AX69" s="2"/>
      <c r="AY69" s="2"/>
      <c r="AZ69" s="2"/>
    </row>
    <row r="70" spans="1:52">
      <c r="A70" s="2"/>
      <c r="B70" s="2"/>
      <c r="C70" s="2"/>
      <c r="D70" s="2"/>
      <c r="E70" s="2"/>
      <c r="F70" s="61"/>
      <c r="G70" s="2"/>
      <c r="H70" s="2"/>
      <c r="I70" s="2"/>
      <c r="J70" s="2"/>
      <c r="K70" s="61"/>
      <c r="L70" s="2"/>
      <c r="M70" s="2"/>
      <c r="N70" s="2"/>
      <c r="O70" s="2"/>
      <c r="P70" s="112"/>
      <c r="Q70" s="2"/>
      <c r="R70" s="2"/>
      <c r="S70" s="2"/>
      <c r="T70" s="2"/>
      <c r="U70" s="112"/>
      <c r="V70" s="2"/>
      <c r="W70" s="2"/>
      <c r="X70" s="2"/>
      <c r="Y70" s="2"/>
      <c r="Z70" s="112"/>
      <c r="AA70" s="2"/>
      <c r="AB70" s="2"/>
      <c r="AC70" s="2"/>
      <c r="AD70" s="2"/>
      <c r="AE70" s="2"/>
      <c r="AF70" s="2"/>
      <c r="AG70" s="2"/>
      <c r="AH70" s="2"/>
      <c r="AI70" s="2"/>
      <c r="AJ70" s="2"/>
      <c r="AK70" s="2"/>
      <c r="AL70" s="2"/>
      <c r="AM70" s="2"/>
      <c r="AN70" s="2"/>
      <c r="AO70" s="2"/>
      <c r="AP70" s="2"/>
      <c r="AQ70" s="2" t="s">
        <v>931</v>
      </c>
      <c r="AR70" s="1183">
        <f>AV28</f>
        <v>89.448915298053407</v>
      </c>
      <c r="AS70" s="1189">
        <f>AU28</f>
        <v>89.448915298053407</v>
      </c>
      <c r="AT70" s="818">
        <f>AT28</f>
        <v>89.448915298053407</v>
      </c>
      <c r="AU70" s="113">
        <f>AS28</f>
        <v>89.448915298053407</v>
      </c>
      <c r="AV70" s="113">
        <f>AR28</f>
        <v>89.448915298053407</v>
      </c>
      <c r="AW70" s="2"/>
      <c r="AX70" s="2"/>
      <c r="AY70" s="2"/>
      <c r="AZ70" s="2"/>
    </row>
    <row r="71" spans="1:52">
      <c r="A71" s="2"/>
      <c r="B71" s="2"/>
      <c r="C71" s="2"/>
      <c r="D71" s="2"/>
      <c r="E71" s="2"/>
      <c r="F71" s="61"/>
      <c r="G71" s="2"/>
      <c r="H71" s="2"/>
      <c r="I71" s="2"/>
      <c r="J71" s="2"/>
      <c r="K71" s="61"/>
      <c r="L71" s="2"/>
      <c r="M71" s="2"/>
      <c r="N71" s="2"/>
      <c r="O71" s="2"/>
      <c r="P71" s="112"/>
      <c r="Q71" s="2"/>
      <c r="R71" s="2"/>
      <c r="S71" s="2"/>
      <c r="T71" s="2"/>
      <c r="U71" s="112"/>
      <c r="V71" s="2"/>
      <c r="W71" s="2"/>
      <c r="X71" s="2"/>
      <c r="Y71" s="2"/>
      <c r="Z71" s="112"/>
      <c r="AA71" s="2"/>
      <c r="AB71" s="2"/>
      <c r="AC71" s="2"/>
      <c r="AD71" s="2"/>
      <c r="AE71" s="2"/>
      <c r="AF71" s="2"/>
      <c r="AG71" s="2"/>
      <c r="AH71" s="2"/>
      <c r="AI71" s="2"/>
      <c r="AJ71" s="2"/>
      <c r="AK71" s="2"/>
      <c r="AL71" s="2"/>
      <c r="AM71" s="2"/>
      <c r="AN71" s="2"/>
      <c r="AO71" s="2"/>
      <c r="AP71" s="2"/>
      <c r="AQ71" s="138" t="s">
        <v>932</v>
      </c>
      <c r="AR71" s="156">
        <f>AR70*AR69</f>
        <v>894.48915298053407</v>
      </c>
      <c r="AS71" s="1190">
        <f>AS70*AS69</f>
        <v>805.04023768248067</v>
      </c>
      <c r="AT71" s="156">
        <f>AT70*AT69</f>
        <v>715.59132238442726</v>
      </c>
      <c r="AU71" s="156">
        <f>AU70*AU69</f>
        <v>626.14240708637385</v>
      </c>
      <c r="AV71" s="157">
        <f>AV70*AV69</f>
        <v>536.69349178832044</v>
      </c>
      <c r="AW71" s="2"/>
      <c r="AX71" s="2"/>
      <c r="AY71" s="2"/>
      <c r="AZ71" s="2"/>
    </row>
    <row r="72" spans="1:52">
      <c r="A72" s="2"/>
      <c r="B72" s="2"/>
      <c r="C72" s="2"/>
      <c r="D72" s="2"/>
      <c r="E72" s="2"/>
      <c r="F72" s="61"/>
      <c r="G72" s="2"/>
      <c r="H72" s="2"/>
      <c r="I72" s="2"/>
      <c r="J72" s="2"/>
      <c r="K72" s="61"/>
      <c r="L72" s="2"/>
      <c r="M72" s="2"/>
      <c r="N72" s="2"/>
      <c r="O72" s="2"/>
      <c r="P72" s="112"/>
      <c r="Q72" s="2"/>
      <c r="R72" s="2"/>
      <c r="S72" s="2"/>
      <c r="T72" s="2"/>
      <c r="U72" s="112"/>
      <c r="V72" s="2"/>
      <c r="W72" s="2"/>
      <c r="X72" s="2"/>
      <c r="Y72" s="2"/>
      <c r="Z72" s="112"/>
      <c r="AA72" s="2"/>
      <c r="AB72" s="2"/>
      <c r="AC72" s="2"/>
      <c r="AD72" s="2"/>
      <c r="AE72" s="2"/>
      <c r="AF72" s="2"/>
      <c r="AG72" s="2"/>
      <c r="AH72" s="2"/>
      <c r="AI72" s="2"/>
      <c r="AJ72" s="2"/>
      <c r="AK72" s="2"/>
      <c r="AL72" s="2"/>
      <c r="AM72" s="2"/>
      <c r="AN72" s="2"/>
      <c r="AO72" s="2"/>
      <c r="AP72" s="2"/>
      <c r="AQ72" s="2"/>
      <c r="AR72" s="1183"/>
      <c r="AS72" s="1189"/>
      <c r="AT72" s="1183"/>
      <c r="AU72" s="113"/>
      <c r="AV72" s="113"/>
      <c r="AW72" s="2"/>
      <c r="AX72" s="2"/>
      <c r="AY72" s="2"/>
      <c r="AZ72" s="2"/>
    </row>
    <row r="73" spans="1:52">
      <c r="A73" s="2"/>
      <c r="B73" s="2"/>
      <c r="C73" s="2"/>
      <c r="D73" s="2"/>
      <c r="E73" s="2"/>
      <c r="F73" s="61"/>
      <c r="G73" s="2"/>
      <c r="H73" s="2"/>
      <c r="I73" s="2"/>
      <c r="J73" s="2"/>
      <c r="K73" s="61"/>
      <c r="L73" s="2"/>
      <c r="M73" s="2"/>
      <c r="N73" s="2"/>
      <c r="O73" s="2"/>
      <c r="P73" s="112"/>
      <c r="Q73" s="2"/>
      <c r="R73" s="2"/>
      <c r="S73" s="2"/>
      <c r="T73" s="2"/>
      <c r="U73" s="112"/>
      <c r="V73" s="2"/>
      <c r="W73" s="2"/>
      <c r="X73" s="2"/>
      <c r="Y73" s="2"/>
      <c r="Z73" s="112"/>
      <c r="AA73" s="2"/>
      <c r="AB73" s="2"/>
      <c r="AC73" s="2"/>
      <c r="AD73" s="2"/>
      <c r="AE73" s="2"/>
      <c r="AF73" s="2"/>
      <c r="AG73" s="2"/>
      <c r="AH73" s="2"/>
      <c r="AI73" s="2"/>
      <c r="AJ73" s="2"/>
      <c r="AK73" s="2"/>
      <c r="AL73" s="2"/>
      <c r="AM73" s="2"/>
      <c r="AN73" s="2"/>
      <c r="AO73" s="2"/>
      <c r="AP73" s="2"/>
      <c r="AQ73" s="111" t="s">
        <v>25</v>
      </c>
      <c r="AR73" s="1184"/>
      <c r="AS73" s="1191"/>
      <c r="AT73" s="1184"/>
      <c r="AU73" s="164"/>
      <c r="AV73" s="164"/>
      <c r="AW73" s="2"/>
      <c r="AX73" s="2"/>
      <c r="AY73" s="2"/>
      <c r="AZ73" s="2"/>
    </row>
    <row r="74" spans="1:52">
      <c r="A74" s="2"/>
      <c r="B74" s="2"/>
      <c r="C74" s="2"/>
      <c r="D74" s="2"/>
      <c r="E74" s="2"/>
      <c r="F74" s="61"/>
      <c r="G74" s="2"/>
      <c r="H74" s="2"/>
      <c r="I74" s="2"/>
      <c r="J74" s="2"/>
      <c r="K74" s="61"/>
      <c r="L74" s="2"/>
      <c r="M74" s="2"/>
      <c r="N74" s="2"/>
      <c r="O74" s="2"/>
      <c r="P74" s="112"/>
      <c r="Q74" s="2"/>
      <c r="R74" s="2"/>
      <c r="S74" s="2"/>
      <c r="T74" s="2"/>
      <c r="U74" s="112"/>
      <c r="V74" s="2"/>
      <c r="W74" s="2"/>
      <c r="X74" s="2"/>
      <c r="Y74" s="2"/>
      <c r="Z74" s="112"/>
      <c r="AA74" s="2"/>
      <c r="AB74" s="2"/>
      <c r="AC74" s="2"/>
      <c r="AD74" s="2"/>
      <c r="AE74" s="2"/>
      <c r="AF74" s="2"/>
      <c r="AG74" s="2"/>
      <c r="AH74" s="2"/>
      <c r="AI74" s="2"/>
      <c r="AJ74" s="2"/>
      <c r="AK74" s="2"/>
      <c r="AL74" s="2"/>
      <c r="AM74" s="2"/>
      <c r="AN74" s="2"/>
      <c r="AO74" s="2"/>
      <c r="AP74" s="2"/>
      <c r="AQ74" s="2" t="s">
        <v>1049</v>
      </c>
      <c r="AR74" s="1185">
        <f>AV49</f>
        <v>10</v>
      </c>
      <c r="AS74" s="1192">
        <f>AU49</f>
        <v>10</v>
      </c>
      <c r="AT74" s="1187">
        <f>AT49</f>
        <v>10</v>
      </c>
      <c r="AU74" s="165">
        <f>AS49</f>
        <v>10</v>
      </c>
      <c r="AV74" s="165">
        <f>AR49</f>
        <v>10</v>
      </c>
      <c r="AW74" s="2"/>
      <c r="AX74" s="2"/>
      <c r="AY74" s="2"/>
      <c r="AZ74" s="2"/>
    </row>
    <row r="75" spans="1:52">
      <c r="A75" s="2"/>
      <c r="B75" s="2"/>
      <c r="C75" s="2"/>
      <c r="D75" s="2"/>
      <c r="E75" s="2"/>
      <c r="F75" s="61"/>
      <c r="G75" s="2"/>
      <c r="H75" s="2"/>
      <c r="I75" s="2"/>
      <c r="J75" s="2"/>
      <c r="K75" s="61"/>
      <c r="L75" s="2"/>
      <c r="M75" s="2"/>
      <c r="N75" s="2"/>
      <c r="O75" s="2"/>
      <c r="P75" s="112"/>
      <c r="Q75" s="2"/>
      <c r="R75" s="2"/>
      <c r="S75" s="2"/>
      <c r="T75" s="2"/>
      <c r="U75" s="112"/>
      <c r="V75" s="2"/>
      <c r="W75" s="2"/>
      <c r="X75" s="2"/>
      <c r="Y75" s="2"/>
      <c r="Z75" s="112"/>
      <c r="AA75" s="2"/>
      <c r="AB75" s="2"/>
      <c r="AC75" s="2"/>
      <c r="AD75" s="2"/>
      <c r="AE75" s="2"/>
      <c r="AF75" s="2"/>
      <c r="AG75" s="2"/>
      <c r="AH75" s="2"/>
      <c r="AI75" s="2"/>
      <c r="AJ75" s="2"/>
      <c r="AK75" s="2"/>
      <c r="AL75" s="2"/>
      <c r="AM75" s="2"/>
      <c r="AN75" s="2"/>
      <c r="AO75" s="2"/>
      <c r="AP75" s="2"/>
      <c r="AQ75" s="2" t="s">
        <v>1106</v>
      </c>
      <c r="AR75" s="1183">
        <f>AV50/AV49</f>
        <v>101.97176343978087</v>
      </c>
      <c r="AS75" s="1189">
        <f>AU50/AU49</f>
        <v>101.97176343978087</v>
      </c>
      <c r="AT75" s="818">
        <f>AT50/AT49</f>
        <v>101.97176343978087</v>
      </c>
      <c r="AU75" s="113">
        <f>AS50/AS49</f>
        <v>101.97176343978087</v>
      </c>
      <c r="AV75" s="113">
        <f>AR50/AR49</f>
        <v>101.97176343978087</v>
      </c>
      <c r="AW75" s="2"/>
      <c r="AX75" s="2"/>
      <c r="AY75" s="2"/>
      <c r="AZ75" s="2"/>
    </row>
    <row r="76" spans="1:52">
      <c r="A76" s="2"/>
      <c r="B76" s="2"/>
      <c r="C76" s="2"/>
      <c r="D76" s="2"/>
      <c r="E76" s="2"/>
      <c r="F76" s="61"/>
      <c r="G76" s="2"/>
      <c r="H76" s="2"/>
      <c r="I76" s="2"/>
      <c r="J76" s="2"/>
      <c r="K76" s="61"/>
      <c r="L76" s="2"/>
      <c r="M76" s="2"/>
      <c r="N76" s="2"/>
      <c r="O76" s="2"/>
      <c r="P76" s="112"/>
      <c r="Q76" s="2"/>
      <c r="R76" s="2"/>
      <c r="S76" s="2"/>
      <c r="T76" s="2"/>
      <c r="U76" s="112"/>
      <c r="V76" s="2"/>
      <c r="W76" s="2"/>
      <c r="X76" s="2"/>
      <c r="Y76" s="2"/>
      <c r="Z76" s="112"/>
      <c r="AA76" s="2"/>
      <c r="AB76" s="2"/>
      <c r="AC76" s="2"/>
      <c r="AD76" s="2"/>
      <c r="AE76" s="2"/>
      <c r="AF76" s="2"/>
      <c r="AG76" s="2"/>
      <c r="AH76" s="2"/>
      <c r="AI76" s="2"/>
      <c r="AJ76" s="2"/>
      <c r="AK76" s="2"/>
      <c r="AL76" s="2"/>
      <c r="AM76" s="2"/>
      <c r="AN76" s="2"/>
      <c r="AO76" s="2"/>
      <c r="AP76" s="2"/>
      <c r="AQ76" s="2" t="s">
        <v>930</v>
      </c>
      <c r="AR76" s="1186">
        <f>AR75*AR74</f>
        <v>1019.7176343978088</v>
      </c>
      <c r="AS76" s="1193">
        <f>AS75*AS74</f>
        <v>1019.7176343978088</v>
      </c>
      <c r="AT76" s="63">
        <f>AT75*AT74</f>
        <v>1019.7176343978088</v>
      </c>
      <c r="AU76" s="166">
        <f>AU75*AU74</f>
        <v>1019.7176343978088</v>
      </c>
      <c r="AV76" s="166">
        <f>AV75*AV74</f>
        <v>1019.7176343978088</v>
      </c>
      <c r="AW76" s="2"/>
      <c r="AX76" s="2"/>
      <c r="AY76" s="2"/>
      <c r="AZ76" s="2"/>
    </row>
    <row r="77" spans="1:52">
      <c r="A77" s="2"/>
      <c r="B77" s="2"/>
      <c r="C77" s="2"/>
      <c r="D77" s="2"/>
      <c r="E77" s="2"/>
      <c r="F77" s="61"/>
      <c r="G77" s="2"/>
      <c r="H77" s="2"/>
      <c r="I77" s="2"/>
      <c r="J77" s="2"/>
      <c r="K77" s="61"/>
      <c r="L77" s="2"/>
      <c r="M77" s="2"/>
      <c r="N77" s="2"/>
      <c r="O77" s="2"/>
      <c r="P77" s="112"/>
      <c r="Q77" s="2"/>
      <c r="R77" s="2"/>
      <c r="S77" s="2"/>
      <c r="T77" s="2"/>
      <c r="U77" s="112"/>
      <c r="V77" s="2"/>
      <c r="W77" s="2"/>
      <c r="X77" s="2"/>
      <c r="Y77" s="2"/>
      <c r="Z77" s="112"/>
      <c r="AA77" s="2"/>
      <c r="AB77" s="2"/>
      <c r="AC77" s="2"/>
      <c r="AD77" s="2"/>
      <c r="AE77" s="2"/>
      <c r="AF77" s="2"/>
      <c r="AG77" s="2"/>
      <c r="AH77" s="2"/>
      <c r="AI77" s="2"/>
      <c r="AJ77" s="2"/>
      <c r="AK77" s="2"/>
      <c r="AL77" s="2"/>
      <c r="AM77" s="2"/>
      <c r="AN77" s="2"/>
      <c r="AO77" s="2"/>
      <c r="AP77" s="2"/>
      <c r="AQ77" s="2" t="s">
        <v>591</v>
      </c>
      <c r="AR77" s="1186">
        <f>AV37</f>
        <v>-961.57583945407418</v>
      </c>
      <c r="AS77" s="1193">
        <f>AU37</f>
        <v>-865.41825550866668</v>
      </c>
      <c r="AT77" s="63">
        <f>AT37</f>
        <v>-769.26067156325928</v>
      </c>
      <c r="AU77" s="166">
        <f>AS37</f>
        <v>-673.10308761785188</v>
      </c>
      <c r="AV77" s="166">
        <f>AR37</f>
        <v>-576.94550367244449</v>
      </c>
      <c r="AW77" s="2"/>
      <c r="AX77" s="2"/>
      <c r="AY77" s="2"/>
      <c r="AZ77" s="2"/>
    </row>
    <row r="78" spans="1:52">
      <c r="A78" s="2"/>
      <c r="B78" s="2"/>
      <c r="C78" s="2"/>
      <c r="D78" s="2"/>
      <c r="E78" s="2"/>
      <c r="F78" s="61"/>
      <c r="G78" s="2"/>
      <c r="H78" s="2"/>
      <c r="I78" s="2"/>
      <c r="J78" s="2"/>
      <c r="K78" s="61"/>
      <c r="L78" s="2"/>
      <c r="M78" s="2"/>
      <c r="N78" s="2"/>
      <c r="O78" s="2"/>
      <c r="P78" s="112"/>
      <c r="Q78" s="2"/>
      <c r="R78" s="2"/>
      <c r="S78" s="2"/>
      <c r="T78" s="2"/>
      <c r="U78" s="112"/>
      <c r="V78" s="2"/>
      <c r="W78" s="2"/>
      <c r="X78" s="2"/>
      <c r="Y78" s="2"/>
      <c r="Z78" s="112"/>
      <c r="AA78" s="2"/>
      <c r="AB78" s="2"/>
      <c r="AC78" s="2"/>
      <c r="AD78" s="2"/>
      <c r="AE78" s="2"/>
      <c r="AF78" s="2"/>
      <c r="AG78" s="2"/>
      <c r="AH78" s="2"/>
      <c r="AI78" s="2"/>
      <c r="AJ78" s="2"/>
      <c r="AK78" s="2"/>
      <c r="AL78" s="2"/>
      <c r="AM78" s="2"/>
      <c r="AN78" s="2"/>
      <c r="AO78" s="2"/>
      <c r="AP78" s="2"/>
      <c r="AQ78" s="2" t="s">
        <v>1085</v>
      </c>
      <c r="AR78" s="1186">
        <f>AR77+AR76</f>
        <v>58.141794943734567</v>
      </c>
      <c r="AS78" s="1193">
        <f>AS77+AS76</f>
        <v>154.29937888914208</v>
      </c>
      <c r="AT78" s="63">
        <f>AT77+AT76</f>
        <v>250.45696283454947</v>
      </c>
      <c r="AU78" s="166">
        <f>AU77+AU76</f>
        <v>346.61454677995687</v>
      </c>
      <c r="AV78" s="166">
        <f>AV77+AV76</f>
        <v>442.77213072536426</v>
      </c>
      <c r="AW78" s="2"/>
      <c r="AX78" s="2"/>
      <c r="AY78" s="2"/>
      <c r="AZ78" s="2"/>
    </row>
    <row r="79" spans="1:52" ht="16.5" thickBot="1">
      <c r="A79" s="2"/>
      <c r="B79" s="2"/>
      <c r="C79" s="2"/>
      <c r="D79" s="2"/>
      <c r="E79" s="2"/>
      <c r="F79" s="61"/>
      <c r="G79" s="2"/>
      <c r="H79" s="2"/>
      <c r="I79" s="2"/>
      <c r="J79" s="2"/>
      <c r="K79" s="61"/>
      <c r="L79" s="2"/>
      <c r="M79" s="2"/>
      <c r="N79" s="2"/>
      <c r="O79" s="2"/>
      <c r="P79" s="112"/>
      <c r="Q79" s="2"/>
      <c r="R79" s="2"/>
      <c r="S79" s="2"/>
      <c r="T79" s="2"/>
      <c r="U79" s="112"/>
      <c r="V79" s="2"/>
      <c r="W79" s="2"/>
      <c r="X79" s="2"/>
      <c r="Y79" s="2"/>
      <c r="Z79" s="112"/>
      <c r="AA79" s="2"/>
      <c r="AB79" s="2"/>
      <c r="AC79" s="2"/>
      <c r="AD79" s="2"/>
      <c r="AE79" s="2"/>
      <c r="AF79" s="2"/>
      <c r="AG79" s="2"/>
      <c r="AH79" s="2"/>
      <c r="AI79" s="2"/>
      <c r="AJ79" s="2"/>
      <c r="AK79" s="2"/>
      <c r="AL79" s="2"/>
      <c r="AM79" s="2"/>
      <c r="AN79" s="2"/>
      <c r="AO79" s="2"/>
      <c r="AP79" s="2"/>
      <c r="AQ79" s="138" t="s">
        <v>1220</v>
      </c>
      <c r="AR79" s="152">
        <f>(AR78/BYD!AK104)/(1.1^1.75)</f>
        <v>0.56643022627905815</v>
      </c>
      <c r="AS79" s="1194">
        <f>(AS78/BYD!AJ104)/(1.1^1.75)</f>
        <v>1.5065655604187282</v>
      </c>
      <c r="AT79" s="152">
        <f>(AT78/BYD!AI104)/(1.1^1.75)</f>
        <v>2.4381829186150341</v>
      </c>
      <c r="AU79" s="152">
        <f>(AU78/BYD!AH104)/(1.1^1.75)</f>
        <v>3.3875575291407656</v>
      </c>
      <c r="AV79" s="154">
        <f>(AV78/BYD!AG104)/(1.1^1.75)</f>
        <v>4.3315329918052017</v>
      </c>
      <c r="AW79" s="2"/>
      <c r="AX79" s="2"/>
      <c r="AY79" s="2"/>
      <c r="AZ79" s="2"/>
    </row>
    <row r="80" spans="1:52" ht="3.95" customHeight="1">
      <c r="A80" s="2"/>
      <c r="B80" s="2"/>
      <c r="C80" s="2"/>
      <c r="D80" s="2"/>
      <c r="E80" s="2"/>
      <c r="F80" s="61"/>
      <c r="G80" s="2"/>
      <c r="H80" s="2"/>
      <c r="I80" s="2"/>
      <c r="J80" s="2"/>
      <c r="K80" s="61"/>
      <c r="L80" s="2"/>
      <c r="M80" s="2"/>
      <c r="N80" s="2"/>
      <c r="O80" s="2"/>
      <c r="P80" s="112"/>
      <c r="Q80" s="2"/>
      <c r="R80" s="2"/>
      <c r="S80" s="2"/>
      <c r="T80" s="2"/>
      <c r="U80" s="112"/>
      <c r="V80" s="2"/>
      <c r="W80" s="2"/>
      <c r="X80" s="2"/>
      <c r="Y80" s="2"/>
      <c r="Z80" s="11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row>
    <row r="81" spans="1:52">
      <c r="A81" s="2"/>
      <c r="B81" s="2"/>
      <c r="C81" s="2"/>
      <c r="D81" s="2"/>
      <c r="E81" s="2"/>
      <c r="F81" s="61"/>
      <c r="G81" s="2"/>
      <c r="H81" s="2"/>
      <c r="I81" s="2"/>
      <c r="J81" s="2"/>
      <c r="K81" s="61"/>
      <c r="L81" s="2"/>
      <c r="M81" s="2"/>
      <c r="N81" s="2"/>
      <c r="O81" s="2"/>
      <c r="P81" s="112"/>
      <c r="Q81" s="2"/>
      <c r="R81" s="2"/>
      <c r="S81" s="2"/>
      <c r="T81" s="2"/>
      <c r="U81" s="112"/>
      <c r="V81" s="2"/>
      <c r="W81" s="2"/>
      <c r="X81" s="2"/>
      <c r="Y81" s="2"/>
      <c r="Z81" s="11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row>
    <row r="82" spans="1:52">
      <c r="A82" s="2"/>
      <c r="B82" s="2"/>
      <c r="C82" s="2"/>
      <c r="D82" s="2"/>
      <c r="E82" s="2"/>
      <c r="F82" s="61"/>
      <c r="G82" s="2"/>
      <c r="H82" s="2"/>
      <c r="I82" s="2"/>
      <c r="J82" s="2"/>
      <c r="K82" s="61"/>
      <c r="L82" s="2"/>
      <c r="M82" s="2"/>
      <c r="N82" s="2"/>
      <c r="O82" s="2"/>
      <c r="P82" s="112"/>
      <c r="Q82" s="2"/>
      <c r="R82" s="2"/>
      <c r="S82" s="2"/>
      <c r="T82" s="2"/>
      <c r="U82" s="112"/>
      <c r="V82" s="2"/>
      <c r="W82" s="2"/>
      <c r="X82" s="2"/>
      <c r="Y82" s="2"/>
      <c r="Z82" s="11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row>
    <row r="83" spans="1:52">
      <c r="A83" s="2"/>
      <c r="B83" s="2"/>
      <c r="C83" s="2"/>
      <c r="D83" s="2"/>
      <c r="E83" s="2"/>
      <c r="F83" s="61"/>
      <c r="G83" s="2"/>
      <c r="H83" s="2"/>
      <c r="I83" s="2"/>
      <c r="J83" s="2"/>
      <c r="K83" s="61"/>
      <c r="L83" s="2"/>
      <c r="M83" s="2"/>
      <c r="N83" s="2"/>
      <c r="O83" s="2"/>
      <c r="P83" s="112"/>
      <c r="Q83" s="2"/>
      <c r="R83" s="2"/>
      <c r="S83" s="2"/>
      <c r="T83" s="2"/>
      <c r="U83" s="112"/>
      <c r="V83" s="2"/>
      <c r="W83" s="2"/>
      <c r="X83" s="2"/>
      <c r="Y83" s="2"/>
      <c r="Z83" s="11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row>
    <row r="84" spans="1:52">
      <c r="A84" s="2"/>
      <c r="B84" s="2"/>
      <c r="C84" s="2"/>
      <c r="D84" s="2"/>
      <c r="E84" s="2"/>
      <c r="F84" s="61"/>
      <c r="G84" s="2"/>
      <c r="H84" s="2"/>
      <c r="I84" s="2"/>
      <c r="J84" s="2"/>
      <c r="K84" s="61"/>
      <c r="L84" s="2"/>
      <c r="M84" s="2"/>
      <c r="N84" s="2"/>
      <c r="O84" s="2"/>
      <c r="P84" s="112"/>
      <c r="Q84" s="2"/>
      <c r="R84" s="2"/>
      <c r="S84" s="2"/>
      <c r="T84" s="2"/>
      <c r="U84" s="112"/>
      <c r="V84" s="2"/>
      <c r="W84" s="2"/>
      <c r="X84" s="2"/>
      <c r="Y84" s="2"/>
      <c r="Z84" s="112"/>
      <c r="AA84" s="2"/>
      <c r="AB84" s="2"/>
      <c r="AC84" s="2"/>
      <c r="AD84" s="2"/>
      <c r="AE84" s="2"/>
      <c r="AF84" s="2"/>
      <c r="AG84" s="2"/>
      <c r="AH84" s="2"/>
      <c r="AI84" s="2"/>
      <c r="AJ84" s="2"/>
      <c r="AK84" s="2"/>
      <c r="AL84" s="105"/>
      <c r="AM84" s="2"/>
      <c r="AN84" s="2"/>
      <c r="AO84" s="2"/>
      <c r="AP84" s="2"/>
      <c r="AQ84" s="1" t="s">
        <v>773</v>
      </c>
      <c r="AR84" s="2"/>
      <c r="AS84" s="2"/>
      <c r="AT84" s="2"/>
      <c r="AU84" s="2"/>
      <c r="AV84" s="2"/>
      <c r="AW84" s="2"/>
      <c r="AX84" s="2"/>
      <c r="AY84" s="2"/>
      <c r="AZ84" s="2"/>
    </row>
    <row r="85" spans="1:52">
      <c r="A85" s="2"/>
      <c r="B85" s="2"/>
      <c r="C85" s="2"/>
      <c r="D85" s="2"/>
      <c r="E85" s="2"/>
      <c r="F85" s="61"/>
      <c r="G85" s="2"/>
      <c r="H85" s="2"/>
      <c r="I85" s="2"/>
      <c r="J85" s="2"/>
      <c r="K85" s="61"/>
      <c r="L85" s="2"/>
      <c r="M85" s="2"/>
      <c r="N85" s="2"/>
      <c r="O85" s="2"/>
      <c r="P85" s="112"/>
      <c r="Q85" s="2"/>
      <c r="R85" s="2"/>
      <c r="S85" s="2"/>
      <c r="T85" s="2"/>
      <c r="U85" s="112"/>
      <c r="V85" s="2"/>
      <c r="W85" s="2"/>
      <c r="X85" s="2"/>
      <c r="Y85" s="2"/>
      <c r="Z85" s="11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row>
    <row r="86" spans="1:52">
      <c r="A86" s="2"/>
      <c r="B86" s="2"/>
      <c r="C86" s="2"/>
      <c r="D86" s="2"/>
      <c r="E86" s="2"/>
      <c r="F86" s="61"/>
      <c r="G86" s="2"/>
      <c r="H86" s="2"/>
      <c r="I86" s="2"/>
      <c r="J86" s="2"/>
      <c r="K86" s="61"/>
      <c r="L86" s="2"/>
      <c r="M86" s="2"/>
      <c r="N86" s="2"/>
      <c r="O86" s="2"/>
      <c r="P86" s="112"/>
      <c r="Q86" s="2"/>
      <c r="R86" s="2"/>
      <c r="S86" s="2"/>
      <c r="T86" s="2"/>
      <c r="U86" s="112"/>
      <c r="V86" s="2"/>
      <c r="W86" s="2"/>
      <c r="X86" s="2"/>
      <c r="Y86" s="2"/>
      <c r="Z86" s="112"/>
      <c r="AA86" s="2"/>
      <c r="AB86" s="2"/>
      <c r="AC86" s="2"/>
      <c r="AD86" s="2"/>
      <c r="AE86" s="2"/>
      <c r="AF86" s="2"/>
      <c r="AG86" s="2"/>
      <c r="AH86" s="2"/>
      <c r="AI86" s="2"/>
      <c r="AJ86" s="2"/>
      <c r="AK86" s="2"/>
      <c r="AL86" s="2"/>
      <c r="AM86" s="2"/>
      <c r="AN86" s="2"/>
      <c r="AO86" s="2"/>
      <c r="AP86" s="2"/>
      <c r="AQ86" s="61" t="s">
        <v>776</v>
      </c>
      <c r="AR86" s="2"/>
      <c r="AS86" s="2"/>
      <c r="AT86" s="2"/>
      <c r="AU86" s="2"/>
      <c r="AV86" s="2"/>
      <c r="AW86" s="2"/>
      <c r="AX86" s="2"/>
      <c r="AY86" s="2"/>
      <c r="AZ86" s="2"/>
    </row>
    <row r="87" spans="1:52" ht="6.75" customHeight="1">
      <c r="A87" s="2"/>
      <c r="B87" s="2"/>
      <c r="C87" s="2"/>
      <c r="D87" s="2"/>
      <c r="E87" s="2"/>
      <c r="F87" s="61"/>
      <c r="G87" s="2"/>
      <c r="H87" s="2"/>
      <c r="I87" s="2"/>
      <c r="J87" s="2"/>
      <c r="K87" s="61"/>
      <c r="L87" s="2"/>
      <c r="M87" s="2"/>
      <c r="N87" s="2"/>
      <c r="O87" s="2"/>
      <c r="P87" s="112"/>
      <c r="Q87" s="2"/>
      <c r="R87" s="2"/>
      <c r="S87" s="2"/>
      <c r="T87" s="2"/>
      <c r="U87" s="112"/>
      <c r="V87" s="2"/>
      <c r="W87" s="2"/>
      <c r="X87" s="2"/>
      <c r="Y87" s="2"/>
      <c r="Z87" s="112"/>
      <c r="AA87" s="2"/>
      <c r="AB87" s="2"/>
      <c r="AC87" s="2"/>
      <c r="AD87" s="2"/>
      <c r="AE87" s="2"/>
      <c r="AF87" s="2"/>
      <c r="AG87" s="2"/>
      <c r="AH87" s="2"/>
      <c r="AI87" s="2"/>
      <c r="AJ87" s="2"/>
      <c r="AK87" s="2"/>
      <c r="AL87" s="2"/>
      <c r="AM87" s="2"/>
      <c r="AN87" s="2"/>
      <c r="AO87" s="2"/>
      <c r="AP87" s="2"/>
      <c r="AQ87" s="2"/>
      <c r="AR87" s="61"/>
      <c r="AS87" s="61"/>
      <c r="AT87" s="61"/>
      <c r="AU87" s="2"/>
      <c r="AV87" s="2"/>
      <c r="AW87" s="2"/>
      <c r="AX87" s="2"/>
      <c r="AY87" s="2"/>
      <c r="AZ87" s="2"/>
    </row>
    <row r="88" spans="1:52">
      <c r="A88" s="2"/>
      <c r="B88" s="2"/>
      <c r="C88" s="2"/>
      <c r="D88" s="2"/>
      <c r="E88" s="2"/>
      <c r="F88" s="61"/>
      <c r="G88" s="2"/>
      <c r="H88" s="2"/>
      <c r="I88" s="2"/>
      <c r="J88" s="2"/>
      <c r="K88" s="61"/>
      <c r="L88" s="2"/>
      <c r="M88" s="2"/>
      <c r="N88" s="2"/>
      <c r="O88" s="2"/>
      <c r="P88" s="112"/>
      <c r="Q88" s="2"/>
      <c r="R88" s="2"/>
      <c r="S88" s="2"/>
      <c r="T88" s="2"/>
      <c r="U88" s="112"/>
      <c r="V88" s="2"/>
      <c r="W88" s="2"/>
      <c r="X88" s="2"/>
      <c r="Y88" s="2"/>
      <c r="Z88" s="112"/>
      <c r="AA88" s="2"/>
      <c r="AB88" s="2"/>
      <c r="AC88" s="2"/>
      <c r="AD88" s="2"/>
      <c r="AE88" s="2"/>
      <c r="AF88" s="2"/>
      <c r="AG88" s="2"/>
      <c r="AH88" s="2"/>
      <c r="AI88" s="2"/>
      <c r="AJ88" s="2"/>
      <c r="AK88" s="2"/>
      <c r="AL88" s="2"/>
      <c r="AM88" s="2"/>
      <c r="AN88" s="2"/>
      <c r="AO88" s="2"/>
      <c r="AP88" s="2"/>
      <c r="AQ88" s="160" t="s">
        <v>1219</v>
      </c>
      <c r="AR88" s="161">
        <f>AS88-1</f>
        <v>6.9681274900398371</v>
      </c>
      <c r="AS88" s="162">
        <f>AS90/AS89</f>
        <v>7.9681274900398371</v>
      </c>
      <c r="AT88" s="161">
        <f>AS88+1</f>
        <v>8.9681274900398371</v>
      </c>
      <c r="AU88" s="2"/>
      <c r="AV88" s="2"/>
      <c r="AW88" s="2"/>
      <c r="AX88" s="2"/>
      <c r="AY88" s="2"/>
      <c r="AZ88" s="2"/>
    </row>
    <row r="89" spans="1:52">
      <c r="A89" s="2"/>
      <c r="B89" s="2"/>
      <c r="C89" s="2"/>
      <c r="D89" s="2"/>
      <c r="E89" s="2"/>
      <c r="F89" s="61"/>
      <c r="G89" s="2"/>
      <c r="H89" s="2"/>
      <c r="I89" s="2"/>
      <c r="J89" s="2"/>
      <c r="K89" s="61"/>
      <c r="L89" s="2"/>
      <c r="M89" s="2"/>
      <c r="N89" s="2"/>
      <c r="O89" s="2"/>
      <c r="P89" s="112"/>
      <c r="Q89" s="2"/>
      <c r="R89" s="2"/>
      <c r="S89" s="2"/>
      <c r="T89" s="2"/>
      <c r="U89" s="112"/>
      <c r="V89" s="2"/>
      <c r="W89" s="2"/>
      <c r="X89" s="2"/>
      <c r="Y89" s="2"/>
      <c r="Z89" s="112"/>
      <c r="AA89" s="2"/>
      <c r="AB89" s="2"/>
      <c r="AC89" s="2"/>
      <c r="AD89" s="2"/>
      <c r="AE89" s="2"/>
      <c r="AF89" s="2"/>
      <c r="AG89" s="2"/>
      <c r="AH89" s="2"/>
      <c r="AI89" s="2"/>
      <c r="AJ89" s="2"/>
      <c r="AK89" s="2"/>
      <c r="AL89" s="2"/>
      <c r="AM89" s="2"/>
      <c r="AN89" s="2"/>
      <c r="AO89" s="2"/>
      <c r="AP89" s="2"/>
      <c r="AQ89" s="2" t="s">
        <v>770</v>
      </c>
      <c r="AR89" s="113">
        <f>BYD!AL927</f>
        <v>169.42500000000007</v>
      </c>
      <c r="AS89" s="137">
        <f>AR89</f>
        <v>169.42500000000007</v>
      </c>
      <c r="AT89" s="1183">
        <f>AS89</f>
        <v>169.42500000000007</v>
      </c>
      <c r="AU89" s="2"/>
      <c r="AV89" s="2"/>
      <c r="AW89" s="2"/>
      <c r="AX89" s="2"/>
      <c r="AY89" s="2"/>
      <c r="AZ89" s="2"/>
    </row>
    <row r="90" spans="1:52">
      <c r="A90" s="2"/>
      <c r="B90" s="2"/>
      <c r="C90" s="2"/>
      <c r="D90" s="2"/>
      <c r="E90" s="2"/>
      <c r="F90" s="61"/>
      <c r="G90" s="2"/>
      <c r="H90" s="2"/>
      <c r="I90" s="2"/>
      <c r="J90" s="2"/>
      <c r="K90" s="61"/>
      <c r="L90" s="2"/>
      <c r="M90" s="2"/>
      <c r="N90" s="2"/>
      <c r="O90" s="2"/>
      <c r="P90" s="112"/>
      <c r="Q90" s="2"/>
      <c r="R90" s="2"/>
      <c r="S90" s="2"/>
      <c r="T90" s="2"/>
      <c r="U90" s="112"/>
      <c r="V90" s="2"/>
      <c r="W90" s="2"/>
      <c r="X90" s="2"/>
      <c r="Y90" s="2"/>
      <c r="Z90" s="112"/>
      <c r="AA90" s="2"/>
      <c r="AB90" s="2"/>
      <c r="AC90" s="2"/>
      <c r="AD90" s="2"/>
      <c r="AE90" s="2"/>
      <c r="AF90" s="2"/>
      <c r="AG90" s="2"/>
      <c r="AH90" s="2"/>
      <c r="AI90" s="2"/>
      <c r="AJ90" s="2"/>
      <c r="AK90" s="2"/>
      <c r="AL90" s="2"/>
      <c r="AM90" s="2"/>
      <c r="AN90" s="2"/>
      <c r="AO90" s="2"/>
      <c r="AP90" s="2"/>
      <c r="AQ90" s="138" t="s">
        <v>1221</v>
      </c>
      <c r="AR90" s="168">
        <f>AR89*AR88*1</f>
        <v>1180.5749999999998</v>
      </c>
      <c r="AS90" s="1382">
        <v>1350</v>
      </c>
      <c r="AT90" s="169">
        <f>AT89*AT88*1</f>
        <v>1519.425</v>
      </c>
      <c r="AU90" s="2"/>
      <c r="AV90" s="2"/>
      <c r="AW90" s="2"/>
      <c r="AX90" s="2"/>
      <c r="AY90" s="2"/>
      <c r="AZ90" s="2">
        <v>170</v>
      </c>
    </row>
    <row r="91" spans="1:52">
      <c r="A91" s="2"/>
      <c r="B91" s="2"/>
      <c r="C91" s="2"/>
      <c r="D91" s="2"/>
      <c r="E91" s="2"/>
      <c r="F91" s="61"/>
      <c r="G91" s="2"/>
      <c r="H91" s="2"/>
      <c r="I91" s="2"/>
      <c r="J91" s="2"/>
      <c r="K91" s="61"/>
      <c r="L91" s="2"/>
      <c r="M91" s="2"/>
      <c r="N91" s="2"/>
      <c r="O91" s="2"/>
      <c r="P91" s="112"/>
      <c r="Q91" s="2"/>
      <c r="R91" s="2"/>
      <c r="S91" s="2"/>
      <c r="T91" s="2"/>
      <c r="U91" s="112"/>
      <c r="V91" s="2"/>
      <c r="W91" s="2"/>
      <c r="X91" s="2"/>
      <c r="Y91" s="2"/>
      <c r="Z91" s="112"/>
      <c r="AA91" s="2"/>
      <c r="AB91" s="2"/>
      <c r="AC91" s="2"/>
      <c r="AD91" s="2"/>
      <c r="AE91" s="2"/>
      <c r="AF91" s="2"/>
      <c r="AG91" s="2"/>
      <c r="AH91" s="2"/>
      <c r="AI91" s="2"/>
      <c r="AJ91" s="2"/>
      <c r="AK91" s="2"/>
      <c r="AL91" s="2"/>
      <c r="AM91" s="2"/>
      <c r="AN91" s="2"/>
      <c r="AO91" s="2"/>
      <c r="AP91" s="2"/>
      <c r="AQ91" s="2" t="s">
        <v>1222</v>
      </c>
      <c r="AR91" s="171">
        <f>-(BYD!AL979-(BYD!AL978-25))</f>
        <v>-808.47599999999989</v>
      </c>
      <c r="AS91" s="170">
        <f>AR91</f>
        <v>-808.47599999999989</v>
      </c>
      <c r="AT91" s="63">
        <f>AS91</f>
        <v>-808.47599999999989</v>
      </c>
      <c r="AU91" s="2"/>
      <c r="AV91" s="2"/>
      <c r="AW91" s="2"/>
      <c r="AX91" s="2"/>
      <c r="AY91" s="2"/>
      <c r="AZ91" s="114">
        <f>AZ92/AZ90</f>
        <v>4.9411764705882355</v>
      </c>
    </row>
    <row r="92" spans="1:52">
      <c r="A92" s="2"/>
      <c r="B92" s="2"/>
      <c r="C92" s="2"/>
      <c r="D92" s="2"/>
      <c r="E92" s="2"/>
      <c r="F92" s="61"/>
      <c r="G92" s="2"/>
      <c r="H92" s="2"/>
      <c r="I92" s="2"/>
      <c r="J92" s="2"/>
      <c r="K92" s="61"/>
      <c r="L92" s="2"/>
      <c r="M92" s="2"/>
      <c r="N92" s="2"/>
      <c r="O92" s="2"/>
      <c r="P92" s="112"/>
      <c r="Q92" s="2"/>
      <c r="R92" s="2"/>
      <c r="S92" s="2"/>
      <c r="T92" s="2"/>
      <c r="U92" s="112"/>
      <c r="V92" s="2"/>
      <c r="W92" s="2"/>
      <c r="X92" s="2"/>
      <c r="Y92" s="2"/>
      <c r="Z92" s="112"/>
      <c r="AA92" s="2"/>
      <c r="AB92" s="2"/>
      <c r="AC92" s="2"/>
      <c r="AD92" s="2"/>
      <c r="AE92" s="2"/>
      <c r="AF92" s="2"/>
      <c r="AG92" s="2"/>
      <c r="AH92" s="2"/>
      <c r="AI92" s="2"/>
      <c r="AJ92" s="2"/>
      <c r="AK92" s="2"/>
      <c r="AL92" s="2"/>
      <c r="AM92" s="2"/>
      <c r="AN92" s="2"/>
      <c r="AO92" s="2"/>
      <c r="AP92" s="2"/>
      <c r="AQ92" s="1" t="s">
        <v>1085</v>
      </c>
      <c r="AR92" s="1">
        <f>SUM(AR90:AR91)</f>
        <v>372.09899999999993</v>
      </c>
      <c r="AS92" s="172">
        <f>SUM(AS90:AS91)</f>
        <v>541.52400000000011</v>
      </c>
      <c r="AT92" s="107">
        <f>SUM(AT90:AT91)</f>
        <v>710.94900000000007</v>
      </c>
      <c r="AU92" s="2"/>
      <c r="AV92" s="2"/>
      <c r="AW92" s="2"/>
      <c r="AX92" s="2"/>
      <c r="AY92" s="2"/>
      <c r="AZ92" s="2">
        <f>AZ93+AZ94</f>
        <v>840</v>
      </c>
    </row>
    <row r="93" spans="1:52">
      <c r="A93" s="2"/>
      <c r="B93" s="2"/>
      <c r="C93" s="2"/>
      <c r="D93" s="2"/>
      <c r="E93" s="2"/>
      <c r="F93" s="61"/>
      <c r="G93" s="2"/>
      <c r="H93" s="2"/>
      <c r="I93" s="2"/>
      <c r="J93" s="2"/>
      <c r="K93" s="61"/>
      <c r="L93" s="2"/>
      <c r="M93" s="2"/>
      <c r="N93" s="2"/>
      <c r="O93" s="2"/>
      <c r="P93" s="112"/>
      <c r="Q93" s="2"/>
      <c r="R93" s="2"/>
      <c r="S93" s="2"/>
      <c r="T93" s="2"/>
      <c r="U93" s="112"/>
      <c r="V93" s="2"/>
      <c r="W93" s="2"/>
      <c r="X93" s="2"/>
      <c r="Y93" s="2"/>
      <c r="Z93" s="112"/>
      <c r="AA93" s="2"/>
      <c r="AB93" s="2"/>
      <c r="AC93" s="2"/>
      <c r="AD93" s="2"/>
      <c r="AE93" s="2"/>
      <c r="AF93" s="2"/>
      <c r="AG93" s="2"/>
      <c r="AH93" s="2"/>
      <c r="AI93" s="2"/>
      <c r="AJ93" s="2"/>
      <c r="AK93" s="2"/>
      <c r="AL93" s="2"/>
      <c r="AM93" s="2"/>
      <c r="AN93" s="2"/>
      <c r="AO93" s="2"/>
      <c r="AP93" s="2"/>
      <c r="AQ93" s="105" t="s">
        <v>1223</v>
      </c>
      <c r="AR93" s="2">
        <f>AR92*0.5</f>
        <v>186.04949999999997</v>
      </c>
      <c r="AS93" s="112">
        <f>AS92*0.5</f>
        <v>270.76200000000006</v>
      </c>
      <c r="AT93" s="61">
        <f>AT92*0.5</f>
        <v>355.47450000000003</v>
      </c>
      <c r="AU93" s="2"/>
      <c r="AV93" s="2"/>
      <c r="AW93" s="2"/>
      <c r="AX93" s="2"/>
      <c r="AY93" s="2"/>
      <c r="AZ93" s="2">
        <v>540</v>
      </c>
    </row>
    <row r="94" spans="1:52" ht="12.75" customHeight="1">
      <c r="A94" s="2"/>
      <c r="B94" s="2"/>
      <c r="C94" s="2"/>
      <c r="D94" s="2"/>
      <c r="E94" s="2"/>
      <c r="F94" s="61"/>
      <c r="G94" s="2"/>
      <c r="H94" s="2"/>
      <c r="I94" s="2"/>
      <c r="J94" s="2"/>
      <c r="K94" s="61"/>
      <c r="L94" s="2"/>
      <c r="M94" s="2"/>
      <c r="N94" s="2"/>
      <c r="O94" s="2"/>
      <c r="P94" s="112"/>
      <c r="Q94" s="2"/>
      <c r="R94" s="2"/>
      <c r="S94" s="2"/>
      <c r="T94" s="2"/>
      <c r="U94" s="112"/>
      <c r="V94" s="2"/>
      <c r="W94" s="2"/>
      <c r="X94" s="2"/>
      <c r="Y94" s="2"/>
      <c r="Z94" s="112"/>
      <c r="AA94" s="2"/>
      <c r="AB94" s="2"/>
      <c r="AC94" s="2"/>
      <c r="AD94" s="2"/>
      <c r="AE94" s="2"/>
      <c r="AF94" s="2"/>
      <c r="AG94" s="2"/>
      <c r="AH94" s="2"/>
      <c r="AI94" s="2"/>
      <c r="AJ94" s="2"/>
      <c r="AK94" s="2"/>
      <c r="AL94" s="2"/>
      <c r="AM94" s="2"/>
      <c r="AN94" s="2"/>
      <c r="AO94" s="2"/>
      <c r="AP94" s="2"/>
      <c r="AQ94" s="2"/>
      <c r="AR94" s="2"/>
      <c r="AS94" s="112"/>
      <c r="AT94" s="61"/>
      <c r="AU94" s="2"/>
      <c r="AV94" s="2"/>
      <c r="AW94" s="2"/>
      <c r="AX94" s="2"/>
      <c r="AY94" s="2"/>
      <c r="AZ94" s="2">
        <f>150*2</f>
        <v>300</v>
      </c>
    </row>
    <row r="95" spans="1:52">
      <c r="A95" s="2"/>
      <c r="B95" s="2"/>
      <c r="C95" s="2"/>
      <c r="D95" s="2"/>
      <c r="E95" s="2"/>
      <c r="F95" s="61"/>
      <c r="G95" s="2"/>
      <c r="H95" s="2"/>
      <c r="I95" s="2"/>
      <c r="J95" s="2"/>
      <c r="K95" s="61"/>
      <c r="L95" s="2"/>
      <c r="M95" s="2"/>
      <c r="N95" s="2"/>
      <c r="O95" s="2"/>
      <c r="P95" s="112"/>
      <c r="Q95" s="2"/>
      <c r="R95" s="2"/>
      <c r="S95" s="2"/>
      <c r="T95" s="2"/>
      <c r="U95" s="112"/>
      <c r="V95" s="2"/>
      <c r="W95" s="2"/>
      <c r="X95" s="2"/>
      <c r="Y95" s="2"/>
      <c r="Z95" s="112"/>
      <c r="AA95" s="2"/>
      <c r="AB95" s="2"/>
      <c r="AC95" s="2"/>
      <c r="AD95" s="2"/>
      <c r="AE95" s="2"/>
      <c r="AF95" s="2"/>
      <c r="AG95" s="2"/>
      <c r="AH95" s="2"/>
      <c r="AI95" s="2"/>
      <c r="AJ95" s="2"/>
      <c r="AK95" s="2"/>
      <c r="AL95" s="2"/>
      <c r="AM95" s="2"/>
      <c r="AN95" s="2"/>
      <c r="AO95" s="2"/>
      <c r="AP95" s="2"/>
      <c r="AQ95" s="111" t="s">
        <v>25</v>
      </c>
      <c r="AR95" s="164"/>
      <c r="AS95" s="1379"/>
      <c r="AT95" s="1381"/>
      <c r="AU95" s="2"/>
      <c r="AV95" s="2"/>
      <c r="AW95" s="2"/>
      <c r="AX95" s="2"/>
      <c r="AY95" s="2"/>
      <c r="AZ95" s="2"/>
    </row>
    <row r="96" spans="1:52">
      <c r="A96" s="2"/>
      <c r="B96" s="2"/>
      <c r="C96" s="2"/>
      <c r="D96" s="2"/>
      <c r="E96" s="2"/>
      <c r="F96" s="61"/>
      <c r="G96" s="2"/>
      <c r="H96" s="2"/>
      <c r="I96" s="2"/>
      <c r="J96" s="2"/>
      <c r="K96" s="61"/>
      <c r="L96" s="2"/>
      <c r="M96" s="2"/>
      <c r="N96" s="2"/>
      <c r="O96" s="2"/>
      <c r="P96" s="112"/>
      <c r="Q96" s="2"/>
      <c r="R96" s="2"/>
      <c r="S96" s="2"/>
      <c r="T96" s="2"/>
      <c r="U96" s="112"/>
      <c r="V96" s="2"/>
      <c r="W96" s="2"/>
      <c r="X96" s="2"/>
      <c r="Y96" s="2"/>
      <c r="Z96" s="112"/>
      <c r="AA96" s="2"/>
      <c r="AB96" s="2"/>
      <c r="AC96" s="2"/>
      <c r="AD96" s="2"/>
      <c r="AE96" s="2"/>
      <c r="AF96" s="2"/>
      <c r="AG96" s="2"/>
      <c r="AH96" s="2"/>
      <c r="AI96" s="2"/>
      <c r="AJ96" s="2"/>
      <c r="AK96" s="2"/>
      <c r="AL96" s="2"/>
      <c r="AM96" s="2"/>
      <c r="AN96" s="2"/>
      <c r="AO96" s="2"/>
      <c r="AP96" s="2"/>
      <c r="AQ96" s="2" t="s">
        <v>929</v>
      </c>
      <c r="AR96" s="178">
        <v>8</v>
      </c>
      <c r="AS96" s="1380">
        <f>AR96</f>
        <v>8</v>
      </c>
      <c r="AT96" s="1185">
        <f>AS96</f>
        <v>8</v>
      </c>
      <c r="AU96" s="2"/>
      <c r="AV96" s="2"/>
      <c r="AW96" s="2"/>
      <c r="AX96" s="2"/>
      <c r="AY96" s="2"/>
      <c r="AZ96" s="2"/>
    </row>
    <row r="97" spans="1:52">
      <c r="A97" s="2"/>
      <c r="B97" s="2"/>
      <c r="C97" s="2"/>
      <c r="D97" s="2"/>
      <c r="E97" s="2"/>
      <c r="F97" s="61"/>
      <c r="G97" s="2"/>
      <c r="H97" s="2"/>
      <c r="I97" s="2"/>
      <c r="J97" s="2"/>
      <c r="K97" s="61"/>
      <c r="L97" s="2"/>
      <c r="M97" s="2"/>
      <c r="N97" s="2"/>
      <c r="O97" s="2"/>
      <c r="P97" s="112"/>
      <c r="Q97" s="2"/>
      <c r="R97" s="2"/>
      <c r="S97" s="2"/>
      <c r="T97" s="2"/>
      <c r="U97" s="112"/>
      <c r="V97" s="2"/>
      <c r="W97" s="2"/>
      <c r="X97" s="2"/>
      <c r="Y97" s="2"/>
      <c r="Z97" s="112"/>
      <c r="AA97" s="2"/>
      <c r="AB97" s="2"/>
      <c r="AC97" s="2"/>
      <c r="AD97" s="2"/>
      <c r="AE97" s="2"/>
      <c r="AF97" s="2"/>
      <c r="AG97" s="2"/>
      <c r="AH97" s="2"/>
      <c r="AI97" s="2"/>
      <c r="AJ97" s="2"/>
      <c r="AK97" s="2"/>
      <c r="AL97" s="2"/>
      <c r="AM97" s="2"/>
      <c r="AN97" s="2"/>
      <c r="AO97" s="2"/>
      <c r="AP97" s="2"/>
      <c r="AQ97" s="2" t="s">
        <v>771</v>
      </c>
      <c r="AR97" s="113">
        <f>BYD!AV927/2</f>
        <v>58.488000000000007</v>
      </c>
      <c r="AS97" s="137">
        <f>AR97</f>
        <v>58.488000000000007</v>
      </c>
      <c r="AT97" s="1183">
        <f>AS97</f>
        <v>58.488000000000007</v>
      </c>
      <c r="AU97" s="2"/>
      <c r="AV97" s="2"/>
      <c r="AW97" s="2"/>
      <c r="AX97" s="2"/>
      <c r="AY97" s="2"/>
      <c r="AZ97" s="2"/>
    </row>
    <row r="98" spans="1:52">
      <c r="A98" s="2"/>
      <c r="B98" s="2"/>
      <c r="C98" s="2"/>
      <c r="D98" s="2"/>
      <c r="E98" s="2"/>
      <c r="F98" s="61"/>
      <c r="G98" s="2"/>
      <c r="H98" s="2"/>
      <c r="I98" s="2"/>
      <c r="J98" s="2"/>
      <c r="K98" s="61"/>
      <c r="L98" s="2"/>
      <c r="M98" s="2"/>
      <c r="N98" s="2"/>
      <c r="O98" s="2"/>
      <c r="P98" s="112"/>
      <c r="Q98" s="2"/>
      <c r="R98" s="2"/>
      <c r="S98" s="2"/>
      <c r="T98" s="2"/>
      <c r="U98" s="112"/>
      <c r="V98" s="2"/>
      <c r="W98" s="2"/>
      <c r="X98" s="2"/>
      <c r="Y98" s="2"/>
      <c r="Z98" s="112"/>
      <c r="AA98" s="2"/>
      <c r="AB98" s="2"/>
      <c r="AC98" s="2"/>
      <c r="AD98" s="2"/>
      <c r="AE98" s="2"/>
      <c r="AF98" s="2"/>
      <c r="AG98" s="2"/>
      <c r="AH98" s="2"/>
      <c r="AI98" s="2"/>
      <c r="AJ98" s="2"/>
      <c r="AK98" s="2"/>
      <c r="AL98" s="2"/>
      <c r="AM98" s="2"/>
      <c r="AN98" s="2"/>
      <c r="AO98" s="2"/>
      <c r="AP98" s="2"/>
      <c r="AQ98" s="2" t="s">
        <v>930</v>
      </c>
      <c r="AR98" s="166">
        <f>AR97*AR96</f>
        <v>467.90400000000005</v>
      </c>
      <c r="AS98" s="170">
        <f>AS97*AS96</f>
        <v>467.90400000000005</v>
      </c>
      <c r="AT98" s="1186">
        <f>AT97*AT96</f>
        <v>467.90400000000005</v>
      </c>
      <c r="AU98" s="2"/>
      <c r="AV98" s="2"/>
      <c r="AW98" s="2"/>
      <c r="AX98" s="2"/>
      <c r="AY98" s="2"/>
      <c r="AZ98" s="2"/>
    </row>
    <row r="99" spans="1:52">
      <c r="A99" s="2"/>
      <c r="B99" s="2"/>
      <c r="C99" s="2"/>
      <c r="D99" s="2"/>
      <c r="E99" s="2"/>
      <c r="F99" s="61"/>
      <c r="G99" s="2"/>
      <c r="H99" s="2"/>
      <c r="I99" s="2"/>
      <c r="J99" s="2"/>
      <c r="K99" s="61"/>
      <c r="L99" s="2"/>
      <c r="M99" s="2"/>
      <c r="N99" s="2"/>
      <c r="O99" s="2"/>
      <c r="P99" s="112"/>
      <c r="Q99" s="2"/>
      <c r="R99" s="2"/>
      <c r="S99" s="2"/>
      <c r="T99" s="2"/>
      <c r="U99" s="112"/>
      <c r="V99" s="2"/>
      <c r="W99" s="2"/>
      <c r="X99" s="2"/>
      <c r="Y99" s="2"/>
      <c r="Z99" s="112"/>
      <c r="AA99" s="2"/>
      <c r="AB99" s="2"/>
      <c r="AC99" s="2"/>
      <c r="AD99" s="2"/>
      <c r="AE99" s="2"/>
      <c r="AF99" s="2"/>
      <c r="AG99" s="2"/>
      <c r="AH99" s="2"/>
      <c r="AI99" s="2"/>
      <c r="AJ99" s="2"/>
      <c r="AK99" s="2"/>
      <c r="AL99" s="2"/>
      <c r="AM99" s="2"/>
      <c r="AN99" s="2"/>
      <c r="AO99" s="2"/>
      <c r="AP99" s="2"/>
      <c r="AQ99" s="2" t="s">
        <v>772</v>
      </c>
      <c r="AR99" s="166">
        <f>AR91*0.5-AR93</f>
        <v>-590.28749999999991</v>
      </c>
      <c r="AS99" s="170">
        <f>AS91*0.5-AS93</f>
        <v>-675</v>
      </c>
      <c r="AT99" s="63">
        <f>AT91*0.5-AT93</f>
        <v>-759.71249999999998</v>
      </c>
      <c r="AU99" s="2"/>
      <c r="AV99" s="2"/>
      <c r="AW99" s="2"/>
      <c r="AX99" s="2"/>
      <c r="AY99" s="2"/>
      <c r="AZ99" s="2"/>
    </row>
    <row r="100" spans="1:52">
      <c r="A100" s="2"/>
      <c r="B100" s="2"/>
      <c r="C100" s="2"/>
      <c r="D100" s="2"/>
      <c r="E100" s="2"/>
      <c r="F100" s="61"/>
      <c r="G100" s="2"/>
      <c r="H100" s="2"/>
      <c r="I100" s="2"/>
      <c r="J100" s="2"/>
      <c r="K100" s="61"/>
      <c r="L100" s="2"/>
      <c r="M100" s="2"/>
      <c r="N100" s="2"/>
      <c r="O100" s="2"/>
      <c r="P100" s="112"/>
      <c r="Q100" s="2"/>
      <c r="R100" s="2"/>
      <c r="S100" s="2"/>
      <c r="T100" s="2"/>
      <c r="U100" s="112"/>
      <c r="V100" s="2"/>
      <c r="W100" s="2"/>
      <c r="X100" s="2"/>
      <c r="Y100" s="2"/>
      <c r="Z100" s="112"/>
      <c r="AA100" s="2"/>
      <c r="AB100" s="2"/>
      <c r="AC100" s="2"/>
      <c r="AD100" s="2"/>
      <c r="AE100" s="2"/>
      <c r="AF100" s="2"/>
      <c r="AG100" s="2"/>
      <c r="AH100" s="2"/>
      <c r="AI100" s="2"/>
      <c r="AJ100" s="2"/>
      <c r="AK100" s="2"/>
      <c r="AL100" s="2"/>
      <c r="AM100" s="2"/>
      <c r="AN100" s="2"/>
      <c r="AO100" s="2"/>
      <c r="AP100" s="2"/>
      <c r="AQ100" s="2" t="s">
        <v>1085</v>
      </c>
      <c r="AR100" s="166">
        <f>AR99+AR98</f>
        <v>-122.38349999999986</v>
      </c>
      <c r="AS100" s="170">
        <f>AS99+AS98</f>
        <v>-207.09599999999995</v>
      </c>
      <c r="AT100" s="1186">
        <f>AT99+AT98</f>
        <v>-291.80849999999992</v>
      </c>
      <c r="AU100" s="2"/>
      <c r="AV100" s="2"/>
      <c r="AW100" s="2"/>
      <c r="AX100" s="2"/>
      <c r="AY100" s="2"/>
      <c r="AZ100" s="2"/>
    </row>
    <row r="101" spans="1:52">
      <c r="A101" s="2"/>
      <c r="B101" s="2"/>
      <c r="C101" s="2"/>
      <c r="D101" s="2"/>
      <c r="E101" s="2"/>
      <c r="F101" s="61"/>
      <c r="G101" s="2"/>
      <c r="H101" s="2"/>
      <c r="I101" s="2"/>
      <c r="J101" s="2"/>
      <c r="K101" s="61"/>
      <c r="L101" s="2"/>
      <c r="M101" s="2"/>
      <c r="N101" s="2"/>
      <c r="O101" s="2"/>
      <c r="P101" s="112"/>
      <c r="Q101" s="2"/>
      <c r="R101" s="2"/>
      <c r="S101" s="2"/>
      <c r="T101" s="2"/>
      <c r="U101" s="112"/>
      <c r="V101" s="2"/>
      <c r="W101" s="2"/>
      <c r="X101" s="2"/>
      <c r="Y101" s="2"/>
      <c r="Z101" s="112"/>
      <c r="AA101" s="2"/>
      <c r="AB101" s="2"/>
      <c r="AC101" s="2"/>
      <c r="AD101" s="2"/>
      <c r="AE101" s="2"/>
      <c r="AF101" s="2"/>
      <c r="AG101" s="2"/>
      <c r="AH101" s="2"/>
      <c r="AI101" s="2"/>
      <c r="AJ101" s="2"/>
      <c r="AK101" s="2"/>
      <c r="AL101" s="2"/>
      <c r="AM101" s="2"/>
      <c r="AN101" s="2"/>
      <c r="AO101" s="2"/>
      <c r="AP101" s="2"/>
      <c r="AQ101" s="138" t="s">
        <v>1220</v>
      </c>
      <c r="AR101" s="152">
        <f>(AR100/BYD!AK104)/(1.1^1.75)</f>
        <v>-1.1922871260666716</v>
      </c>
      <c r="AS101" s="153">
        <f>(AS100/BYD!AL104)/(1.1^1.75)</f>
        <v>-2.0186438780398261</v>
      </c>
      <c r="AT101" s="153">
        <f>(AT100/BYD!AM104)/(1.1^1.75)</f>
        <v>-2.8337299872283124</v>
      </c>
      <c r="AU101" s="2"/>
      <c r="AV101" s="2"/>
      <c r="AW101" s="2"/>
      <c r="AX101" s="2"/>
      <c r="AY101" s="2"/>
      <c r="AZ101" s="2"/>
    </row>
    <row r="102" spans="1:52" ht="6" customHeight="1"/>
  </sheetData>
  <phoneticPr fontId="10" type="noConversion"/>
  <pageMargins left="0.75" right="0.75" top="1" bottom="1" header="0.5" footer="0.5"/>
  <pageSetup orientation="portrait" horizontalDpi="1200" verticalDpi="1200" r:id="rId1"/>
  <headerFooter alignWithMargins="0"/>
  <drawing r:id="rId2"/>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D163"/>
  <sheetViews>
    <sheetView zoomScale="85" workbookViewId="0"/>
  </sheetViews>
  <sheetFormatPr defaultRowHeight="13.5" customHeight="1"/>
  <cols>
    <col min="1" max="1" width="25.5" customWidth="1"/>
    <col min="2" max="5" width="9.875" customWidth="1"/>
    <col min="6" max="6" width="2" customWidth="1"/>
    <col min="7" max="7" width="24.875" customWidth="1"/>
    <col min="13" max="13" width="2" customWidth="1"/>
    <col min="14" max="14" width="6.375" customWidth="1"/>
    <col min="17" max="17" width="8.375" customWidth="1"/>
    <col min="18" max="18" width="7" customWidth="1"/>
    <col min="19" max="23" width="9.625" customWidth="1"/>
    <col min="24" max="24" width="8" customWidth="1"/>
    <col min="25" max="25" width="1.375" customWidth="1"/>
    <col min="26" max="26" width="26.875" customWidth="1"/>
    <col min="27" max="30" width="11.5" customWidth="1"/>
  </cols>
  <sheetData>
    <row r="1" spans="1:30" ht="13.5" customHeight="1">
      <c r="A1" s="107" t="s">
        <v>222</v>
      </c>
      <c r="B1" s="61"/>
      <c r="C1" s="2"/>
      <c r="D1" s="2"/>
      <c r="E1" s="2"/>
      <c r="F1" s="2"/>
      <c r="G1" s="2"/>
      <c r="H1" s="2"/>
      <c r="I1" s="2"/>
      <c r="J1" s="2"/>
      <c r="K1" s="2"/>
      <c r="L1" s="2"/>
      <c r="M1" s="2"/>
      <c r="N1" s="2"/>
      <c r="O1" s="2"/>
      <c r="P1" s="2"/>
      <c r="Q1" s="2"/>
      <c r="R1" s="2"/>
      <c r="S1" s="2"/>
      <c r="T1" s="2"/>
      <c r="U1" s="2"/>
      <c r="V1" s="2"/>
      <c r="W1" s="2"/>
      <c r="X1" s="2"/>
      <c r="Y1" s="2"/>
      <c r="Z1" s="2"/>
      <c r="AA1" s="2"/>
      <c r="AB1" s="2"/>
      <c r="AC1" s="2"/>
      <c r="AD1" s="2"/>
    </row>
    <row r="2" spans="1:30" ht="13.5" customHeight="1">
      <c r="A2" s="107" t="s">
        <v>999</v>
      </c>
      <c r="B2" s="61"/>
      <c r="C2" s="2"/>
      <c r="D2" s="2"/>
      <c r="E2" s="2"/>
      <c r="F2" s="2"/>
      <c r="G2" s="2"/>
      <c r="H2" s="2"/>
      <c r="I2" s="2"/>
      <c r="J2" s="2"/>
      <c r="K2" s="2"/>
      <c r="L2" s="2"/>
      <c r="M2" s="2"/>
      <c r="N2" s="2"/>
      <c r="O2" s="2"/>
      <c r="P2" s="2"/>
      <c r="Q2" s="2"/>
      <c r="R2" s="2"/>
      <c r="S2" s="2"/>
      <c r="T2" s="2"/>
      <c r="U2" s="2"/>
      <c r="V2" s="2"/>
      <c r="W2" s="2"/>
      <c r="X2" s="2"/>
      <c r="Y2" s="2"/>
      <c r="Z2" s="2"/>
      <c r="AA2" s="2"/>
      <c r="AB2" s="2"/>
      <c r="AC2" s="2"/>
      <c r="AD2" s="2"/>
    </row>
    <row r="3" spans="1:30" ht="13.5" customHeight="1">
      <c r="A3" s="61" t="s">
        <v>936</v>
      </c>
      <c r="B3" s="61"/>
      <c r="C3" s="2"/>
      <c r="D3" s="2"/>
      <c r="E3" s="2"/>
      <c r="F3" s="2"/>
      <c r="G3" s="2"/>
      <c r="H3" s="2"/>
      <c r="I3" s="2"/>
      <c r="J3" s="2"/>
      <c r="K3" s="2"/>
      <c r="L3" s="2"/>
      <c r="M3" s="2"/>
      <c r="N3" s="2"/>
      <c r="O3" s="2"/>
      <c r="P3" s="2"/>
      <c r="Q3" s="2"/>
      <c r="R3" s="2"/>
      <c r="S3" s="2"/>
      <c r="T3" s="2"/>
      <c r="U3" s="2"/>
      <c r="V3" s="2"/>
      <c r="W3" s="2"/>
      <c r="X3" s="2"/>
      <c r="Y3" s="2"/>
      <c r="Z3" s="2"/>
      <c r="AA3" s="2"/>
      <c r="AB3" s="2"/>
      <c r="AC3" s="2"/>
      <c r="AD3" s="2"/>
    </row>
    <row r="4" spans="1:30" ht="13.5" customHeight="1">
      <c r="A4" s="61"/>
      <c r="B4" s="61"/>
      <c r="C4" s="2"/>
      <c r="D4" s="2"/>
      <c r="E4" s="2"/>
      <c r="F4" s="2"/>
      <c r="G4" s="2"/>
      <c r="H4" s="2"/>
      <c r="I4" s="2"/>
      <c r="J4" s="2"/>
      <c r="K4" s="2"/>
      <c r="L4" s="2"/>
      <c r="M4" s="2"/>
      <c r="N4" s="2"/>
      <c r="O4" s="2"/>
      <c r="P4" s="2"/>
      <c r="Q4" s="2"/>
      <c r="R4" s="2"/>
      <c r="S4" s="2"/>
      <c r="T4" s="2"/>
      <c r="U4" s="2"/>
      <c r="V4" s="2"/>
      <c r="W4" s="2"/>
      <c r="X4" s="2"/>
      <c r="Y4" s="2"/>
      <c r="Z4" s="2"/>
      <c r="AA4" s="2"/>
      <c r="AB4" s="2"/>
      <c r="AC4" s="2"/>
      <c r="AD4" s="2"/>
    </row>
    <row r="5" spans="1:30" ht="13.5" customHeight="1">
      <c r="A5" s="107" t="s">
        <v>1534</v>
      </c>
      <c r="B5" s="61"/>
      <c r="C5" s="2"/>
      <c r="D5" s="2"/>
      <c r="E5" s="2"/>
      <c r="F5" s="2"/>
      <c r="G5" s="2"/>
      <c r="H5" s="2"/>
      <c r="I5" s="2"/>
      <c r="J5" s="2"/>
      <c r="K5" s="2"/>
      <c r="L5" s="2"/>
      <c r="M5" s="2"/>
      <c r="N5" s="2"/>
      <c r="O5" s="2"/>
      <c r="P5" s="2"/>
      <c r="Q5" s="2"/>
      <c r="R5" s="2"/>
      <c r="S5" s="2"/>
      <c r="T5" s="2"/>
      <c r="U5" s="2"/>
      <c r="V5" s="2"/>
      <c r="W5" s="2"/>
      <c r="X5" s="2"/>
      <c r="Y5" s="2"/>
      <c r="Z5" s="2"/>
      <c r="AA5" s="2"/>
      <c r="AB5" s="2"/>
      <c r="AC5" s="2"/>
      <c r="AD5" s="2"/>
    </row>
    <row r="6" spans="1:30" ht="13.5" customHeight="1">
      <c r="A6" s="61"/>
      <c r="B6" s="61"/>
      <c r="C6" s="2"/>
      <c r="D6" s="2"/>
      <c r="E6" s="2"/>
      <c r="F6" s="2"/>
      <c r="G6" s="2"/>
      <c r="H6" s="2"/>
      <c r="I6" s="2"/>
      <c r="J6" s="2"/>
      <c r="K6" s="2"/>
      <c r="L6" s="2"/>
      <c r="M6" s="2"/>
      <c r="N6" s="2"/>
      <c r="O6" s="2"/>
      <c r="P6" s="2"/>
      <c r="Q6" s="2"/>
      <c r="R6" s="2"/>
      <c r="S6" s="2"/>
      <c r="T6" s="2"/>
      <c r="U6" s="2"/>
      <c r="V6" s="2"/>
      <c r="W6" s="2"/>
      <c r="X6" s="2"/>
      <c r="Y6" s="2"/>
      <c r="Z6" s="2"/>
      <c r="AA6" s="2"/>
      <c r="AB6" s="2"/>
      <c r="AC6" s="2"/>
      <c r="AD6" s="2"/>
    </row>
    <row r="7" spans="1:30" ht="13.5" customHeight="1">
      <c r="A7" s="1335" t="s">
        <v>194</v>
      </c>
      <c r="B7" s="61"/>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3.5" customHeight="1">
      <c r="A8" s="61" t="s">
        <v>195</v>
      </c>
      <c r="B8" s="1324">
        <v>8</v>
      </c>
      <c r="C8" s="2"/>
      <c r="D8" s="2"/>
      <c r="E8" s="2"/>
      <c r="F8" s="2"/>
      <c r="G8" s="2"/>
      <c r="H8" s="2"/>
      <c r="I8" s="2"/>
      <c r="J8" s="2"/>
      <c r="K8" s="2"/>
      <c r="L8" s="2"/>
      <c r="M8" s="2"/>
      <c r="N8" s="2"/>
      <c r="O8" s="2"/>
      <c r="P8" s="2"/>
      <c r="Q8" s="2"/>
      <c r="R8" s="2"/>
      <c r="S8" s="2"/>
      <c r="T8" s="2"/>
      <c r="U8" s="2"/>
      <c r="V8" s="2"/>
      <c r="W8" s="2"/>
      <c r="X8" s="2"/>
      <c r="Y8" s="2"/>
      <c r="Z8" s="2"/>
      <c r="AA8" s="2"/>
      <c r="AB8" s="2"/>
      <c r="AC8" s="2"/>
      <c r="AD8" s="2"/>
    </row>
    <row r="9" spans="1:30" ht="13.5" customHeight="1">
      <c r="A9" s="2" t="s">
        <v>196</v>
      </c>
      <c r="B9" s="61">
        <f>B8*C49+B8*C49*0.01</f>
        <v>2672.056</v>
      </c>
      <c r="C9" s="2"/>
      <c r="D9" s="2"/>
      <c r="E9" s="2"/>
      <c r="F9" s="2"/>
      <c r="G9" s="2"/>
      <c r="H9" s="2"/>
      <c r="I9" s="2"/>
      <c r="J9" s="2"/>
      <c r="K9" s="2"/>
      <c r="L9" s="2"/>
      <c r="M9" s="2"/>
      <c r="N9" s="2"/>
      <c r="O9" s="2"/>
      <c r="P9" s="2"/>
      <c r="Q9" s="2"/>
      <c r="R9" s="2"/>
      <c r="S9" s="2"/>
      <c r="T9" s="2"/>
      <c r="U9" s="2"/>
      <c r="V9" s="2"/>
      <c r="W9" s="2"/>
      <c r="X9" s="2"/>
      <c r="Y9" s="2"/>
      <c r="Z9" s="2"/>
      <c r="AA9" s="2"/>
      <c r="AB9" s="2"/>
      <c r="AC9" s="2"/>
      <c r="AD9" s="2"/>
    </row>
    <row r="10" spans="1:30" ht="13.5" customHeight="1">
      <c r="A10" s="2" t="s">
        <v>198</v>
      </c>
      <c r="B10" s="61">
        <f>B8*C49-B26</f>
        <v>1069.8999999999999</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row>
    <row r="11" spans="1:30" ht="13.5" customHeight="1">
      <c r="A11" s="2" t="s">
        <v>197</v>
      </c>
      <c r="B11" s="1322">
        <f>(B9-B8*C49*0.01-B26)/B29</f>
        <v>16.957111551706145</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row>
    <row r="12" spans="1:30" ht="13.5" customHeight="1">
      <c r="A12" s="2"/>
      <c r="B12" s="132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row>
    <row r="13" spans="1:30" ht="13.5" customHeight="1">
      <c r="A13" s="1335" t="s">
        <v>193</v>
      </c>
      <c r="B13" s="61"/>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row>
    <row r="14" spans="1:30" ht="13.5" customHeight="1">
      <c r="A14" s="61" t="s">
        <v>670</v>
      </c>
      <c r="B14" s="1323">
        <v>7.87</v>
      </c>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row>
    <row r="15" spans="1:30" ht="13.5" customHeight="1">
      <c r="A15" s="61" t="s">
        <v>1531</v>
      </c>
      <c r="B15" s="1111">
        <v>0.1</v>
      </c>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row>
    <row r="16" spans="1:30" ht="13.5" customHeight="1">
      <c r="A16" s="61" t="s">
        <v>1533</v>
      </c>
      <c r="B16" s="1332">
        <v>3</v>
      </c>
      <c r="C16" s="61"/>
      <c r="D16" s="2"/>
      <c r="E16" s="2"/>
      <c r="F16" s="2"/>
      <c r="G16" s="2"/>
      <c r="H16" s="2"/>
      <c r="I16" s="2"/>
      <c r="J16" s="2"/>
      <c r="K16" s="2"/>
      <c r="L16" s="2"/>
      <c r="M16" s="2"/>
      <c r="N16" s="2"/>
      <c r="O16" s="2"/>
      <c r="P16" s="2"/>
      <c r="Q16" s="2"/>
      <c r="R16" s="2"/>
      <c r="S16" s="2"/>
      <c r="T16" s="2"/>
      <c r="U16" s="2"/>
      <c r="V16" s="2"/>
      <c r="W16" s="2"/>
      <c r="X16" s="2"/>
      <c r="Y16" s="2"/>
      <c r="Z16" s="2"/>
      <c r="AA16" s="2"/>
      <c r="AB16" s="2"/>
      <c r="AC16" s="2"/>
      <c r="AD16" s="2"/>
    </row>
    <row r="17" spans="1:30" ht="13.5" customHeight="1">
      <c r="A17" s="102" t="s">
        <v>26</v>
      </c>
      <c r="B17" s="1331">
        <v>1</v>
      </c>
      <c r="C17" s="1330">
        <v>0.75</v>
      </c>
      <c r="D17" s="1330">
        <v>0.5</v>
      </c>
      <c r="E17" s="1330">
        <v>0.25</v>
      </c>
      <c r="F17" s="2"/>
      <c r="G17" s="2"/>
      <c r="H17" s="2"/>
      <c r="I17" s="2"/>
      <c r="J17" s="2"/>
      <c r="K17" s="2"/>
      <c r="L17" s="2"/>
      <c r="M17" s="2"/>
      <c r="N17" s="2"/>
      <c r="O17" s="2"/>
      <c r="P17" s="2"/>
      <c r="Q17" s="2"/>
      <c r="R17" s="2"/>
      <c r="S17" s="2"/>
      <c r="T17" s="2"/>
      <c r="U17" s="2"/>
      <c r="V17" s="2"/>
      <c r="W17" s="2"/>
      <c r="X17" s="2"/>
      <c r="Y17" s="2"/>
      <c r="Z17" s="2"/>
      <c r="AA17" s="2"/>
      <c r="AB17" s="2"/>
      <c r="AC17" s="2"/>
      <c r="AD17" s="2"/>
    </row>
    <row r="18" spans="1:30" ht="13.5" customHeight="1">
      <c r="A18" s="61" t="s">
        <v>1529</v>
      </c>
      <c r="B18" s="96">
        <f>$B$10*B17/($B$14*(1-$B$15))</f>
        <v>151.05181420302131</v>
      </c>
      <c r="C18" s="96">
        <f>$B$10*C17/($B$14*(1-$B$15))</f>
        <v>113.28886065226598</v>
      </c>
      <c r="D18" s="96">
        <f>$B$10*D17/($B$14*(1-$B$15))</f>
        <v>75.525907101510654</v>
      </c>
      <c r="E18" s="96">
        <f>$B$10*E17/($B$14*(1-$B$15))</f>
        <v>37.762953550755327</v>
      </c>
      <c r="F18" s="2"/>
      <c r="G18" s="2"/>
      <c r="H18" s="2"/>
      <c r="I18" s="2"/>
      <c r="J18" s="2"/>
      <c r="K18" s="2"/>
      <c r="L18" s="2"/>
      <c r="M18" s="2"/>
      <c r="N18" s="2"/>
      <c r="O18" s="2"/>
      <c r="P18" s="2"/>
      <c r="Q18" s="2"/>
      <c r="R18" s="2"/>
      <c r="S18" s="2"/>
      <c r="T18" s="2"/>
      <c r="U18" s="2"/>
      <c r="V18" s="2"/>
      <c r="W18" s="2"/>
      <c r="X18" s="2"/>
      <c r="Y18" s="2"/>
      <c r="Z18" s="2"/>
      <c r="AA18" s="2"/>
      <c r="AB18" s="2"/>
      <c r="AC18" s="2"/>
      <c r="AD18" s="2"/>
    </row>
    <row r="19" spans="1:30" ht="13.5" customHeight="1">
      <c r="A19" s="61" t="s">
        <v>1530</v>
      </c>
      <c r="B19" s="374">
        <f>$B$10-B18*($B$14*(1-$B$15))</f>
        <v>0</v>
      </c>
      <c r="C19" s="374">
        <f>$B$10-C18*($B$14*(1-$B$15))</f>
        <v>267.47499999999991</v>
      </c>
      <c r="D19" s="374">
        <f>$B$10-D18*($B$14*(1-$B$15))</f>
        <v>534.94999999999993</v>
      </c>
      <c r="E19" s="374">
        <f>$B$10-E18*($B$14*(1-$B$15))</f>
        <v>802.42499999999995</v>
      </c>
      <c r="F19" s="2"/>
      <c r="G19" s="2"/>
      <c r="H19" s="2"/>
      <c r="I19" s="2"/>
      <c r="J19" s="2"/>
      <c r="K19" s="2"/>
      <c r="L19" s="2"/>
      <c r="M19" s="2"/>
      <c r="N19" s="2"/>
      <c r="O19" s="2"/>
      <c r="P19" s="2"/>
      <c r="Q19" s="2"/>
      <c r="R19" s="2"/>
      <c r="S19" s="2"/>
      <c r="T19" s="2"/>
      <c r="U19" s="2"/>
      <c r="V19" s="2"/>
      <c r="W19" s="2"/>
      <c r="X19" s="2"/>
      <c r="Y19" s="2"/>
      <c r="Z19" s="2"/>
      <c r="AA19" s="2"/>
      <c r="AB19" s="2"/>
      <c r="AC19" s="2"/>
      <c r="AD19" s="2"/>
    </row>
    <row r="20" spans="1:30" ht="13.5" customHeight="1">
      <c r="A20" s="61" t="s">
        <v>911</v>
      </c>
      <c r="B20" s="1330">
        <v>0.115</v>
      </c>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row>
    <row r="21" spans="1:30" ht="13.5" customHeight="1">
      <c r="A21" s="61"/>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row>
    <row r="22" spans="1:30" ht="13.5" customHeight="1">
      <c r="A22" s="1335" t="s">
        <v>671</v>
      </c>
      <c r="B22" s="61"/>
      <c r="C22" s="2"/>
      <c r="D22" s="1336"/>
      <c r="E22" s="2"/>
      <c r="F22" s="2"/>
      <c r="G22" s="2"/>
      <c r="H22" s="2"/>
      <c r="I22" s="2"/>
      <c r="J22" s="2"/>
      <c r="K22" s="2"/>
      <c r="L22" s="2"/>
      <c r="M22" s="2"/>
      <c r="N22" s="2"/>
      <c r="O22" s="2"/>
      <c r="P22" s="2"/>
      <c r="Q22" s="2"/>
      <c r="R22" s="2"/>
      <c r="S22" s="2"/>
      <c r="T22" s="2"/>
      <c r="U22" s="2"/>
      <c r="V22" s="2"/>
      <c r="W22" s="2"/>
      <c r="X22" s="2"/>
      <c r="Y22" s="2"/>
      <c r="Z22" s="2"/>
      <c r="AA22" s="2"/>
      <c r="AB22" s="2"/>
      <c r="AC22" s="2"/>
      <c r="AD22" s="2"/>
    </row>
    <row r="23" spans="1:30" ht="13.5" customHeight="1">
      <c r="A23" s="61" t="s">
        <v>192</v>
      </c>
      <c r="B23" s="1323">
        <v>17.489999999999998</v>
      </c>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row>
    <row r="24" spans="1:30" ht="13.5" customHeight="1">
      <c r="A24" s="61" t="s">
        <v>834</v>
      </c>
      <c r="B24" s="61">
        <f>593+382+650+0.7</f>
        <v>1625.7</v>
      </c>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row>
    <row r="25" spans="1:30" ht="13.5" customHeight="1">
      <c r="A25" s="61" t="s">
        <v>672</v>
      </c>
      <c r="B25" s="1103">
        <v>-50</v>
      </c>
      <c r="C25" s="2"/>
      <c r="D25" s="1336"/>
      <c r="E25" s="2"/>
      <c r="F25" s="2"/>
      <c r="G25" s="2"/>
      <c r="H25" s="2"/>
      <c r="I25" s="2"/>
      <c r="J25" s="2"/>
      <c r="K25" s="2"/>
      <c r="L25" s="2"/>
      <c r="M25" s="2"/>
      <c r="N25" s="2"/>
      <c r="O25" s="2"/>
      <c r="P25" s="2"/>
      <c r="Q25" s="2"/>
      <c r="R25" s="2"/>
      <c r="S25" s="2"/>
      <c r="T25" s="2"/>
      <c r="U25" s="2"/>
      <c r="V25" s="2"/>
      <c r="W25" s="2"/>
      <c r="X25" s="2"/>
      <c r="Y25" s="2"/>
      <c r="Z25" s="2"/>
      <c r="AA25" s="2"/>
      <c r="AB25" s="2"/>
      <c r="AC25" s="2"/>
      <c r="AD25" s="2"/>
    </row>
    <row r="26" spans="1:30" ht="13.5" customHeight="1">
      <c r="A26" s="61" t="s">
        <v>673</v>
      </c>
      <c r="B26" s="61">
        <f>SUM(B24:B25)</f>
        <v>1575.7</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row>
    <row r="27" spans="1:30" ht="13.5" customHeight="1">
      <c r="A27" s="61" t="s">
        <v>674</v>
      </c>
      <c r="B27" s="1103">
        <v>58.004472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row>
    <row r="28" spans="1:30" ht="13.5" customHeight="1">
      <c r="A28" s="61" t="s">
        <v>1523</v>
      </c>
      <c r="B28" s="1103">
        <v>5.09</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row>
    <row r="29" spans="1:30" ht="13.5" customHeight="1">
      <c r="A29" s="61" t="s">
        <v>675</v>
      </c>
      <c r="B29" s="96">
        <f>SUM(B27:B28)</f>
        <v>63.094471999999996</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row>
    <row r="30" spans="1:30" ht="13.5" customHeight="1">
      <c r="A30" s="2"/>
      <c r="B30" s="61"/>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row>
    <row r="31" spans="1:30" ht="13.5" customHeight="1">
      <c r="A31" s="2"/>
      <c r="B31" s="1197" t="s">
        <v>53</v>
      </c>
      <c r="C31" s="1196"/>
      <c r="D31" s="1196"/>
      <c r="E31" s="1196"/>
      <c r="F31" s="2"/>
      <c r="G31" s="2"/>
      <c r="H31" s="2"/>
      <c r="I31" s="2"/>
      <c r="J31" s="2"/>
      <c r="K31" s="2"/>
      <c r="L31" s="2"/>
      <c r="M31" s="2"/>
      <c r="N31" s="2"/>
      <c r="O31" s="2"/>
      <c r="P31" s="2"/>
      <c r="Q31" s="2"/>
      <c r="R31" s="2"/>
      <c r="S31" s="2"/>
      <c r="T31" s="2"/>
      <c r="U31" s="2"/>
      <c r="V31" s="2"/>
      <c r="W31" s="2"/>
      <c r="X31" s="2"/>
      <c r="Y31" s="2"/>
      <c r="Z31" s="2"/>
      <c r="AA31" s="2"/>
      <c r="AB31" s="2"/>
      <c r="AC31" s="2"/>
      <c r="AD31" s="2"/>
    </row>
    <row r="32" spans="1:30" ht="13.5" customHeight="1">
      <c r="A32" s="72"/>
      <c r="B32" s="73" t="s">
        <v>552</v>
      </c>
      <c r="C32" s="73" t="s">
        <v>1000</v>
      </c>
      <c r="D32" s="73" t="s">
        <v>1001</v>
      </c>
      <c r="E32" s="73" t="s">
        <v>310</v>
      </c>
      <c r="F32" s="2"/>
      <c r="G32" s="2"/>
      <c r="H32" s="2"/>
      <c r="I32" s="2"/>
      <c r="J32" s="2"/>
      <c r="K32" s="2"/>
      <c r="L32" s="2"/>
      <c r="M32" s="2"/>
      <c r="N32" s="2"/>
      <c r="O32" s="2"/>
      <c r="P32" s="2"/>
      <c r="Q32" s="2"/>
      <c r="R32" s="2"/>
      <c r="S32" s="2"/>
      <c r="T32" s="2"/>
      <c r="U32" s="2"/>
      <c r="V32" s="2"/>
      <c r="W32" s="2"/>
      <c r="X32" s="2"/>
      <c r="Y32" s="2"/>
      <c r="Z32" s="2"/>
      <c r="AA32" s="2"/>
      <c r="AB32" s="2"/>
      <c r="AC32" s="2"/>
      <c r="AD32" s="2"/>
    </row>
    <row r="33" spans="1:30" ht="13.5" customHeight="1">
      <c r="A33" s="2"/>
      <c r="B33" s="61"/>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row>
    <row r="34" spans="1:30" ht="13.5" customHeight="1">
      <c r="A34" s="241" t="s">
        <v>935</v>
      </c>
      <c r="B34" s="61"/>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row>
    <row r="35" spans="1:30" ht="13.5" customHeight="1">
      <c r="A35" s="334" t="s">
        <v>514</v>
      </c>
      <c r="B35" s="272">
        <f>BYD!AQ10</f>
        <v>604.96600000000001</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row>
    <row r="36" spans="1:30" ht="13.5" customHeight="1">
      <c r="A36" s="334" t="s">
        <v>515</v>
      </c>
      <c r="B36" s="251">
        <f>BYD!AQ11</f>
        <v>224.249</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row>
    <row r="37" spans="1:30" ht="13.5" customHeight="1">
      <c r="A37" s="334" t="s">
        <v>516</v>
      </c>
      <c r="B37" s="251">
        <f>BYD!AQ13</f>
        <v>771.35400000000004</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row>
    <row r="38" spans="1:30" ht="13.5" customHeight="1">
      <c r="A38" s="334" t="s">
        <v>1537</v>
      </c>
      <c r="B38" s="251">
        <f>BYD!AQ17</f>
        <v>730.274</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row>
    <row r="39" spans="1:30" ht="13.5" customHeight="1">
      <c r="A39" s="1014" t="s">
        <v>22</v>
      </c>
      <c r="B39" s="1013">
        <f>BYD!AQ21</f>
        <v>2330.8430000000003</v>
      </c>
      <c r="C39" s="1325">
        <v>1214.0999999999999</v>
      </c>
      <c r="D39" s="1203"/>
      <c r="E39" s="1321">
        <f>SUM(B39:D39)</f>
        <v>3544.9430000000002</v>
      </c>
      <c r="F39" s="2"/>
      <c r="G39" s="2"/>
      <c r="H39" s="2"/>
      <c r="I39" s="2"/>
      <c r="J39" s="2"/>
      <c r="K39" s="2"/>
      <c r="L39" s="2"/>
      <c r="M39" s="2"/>
      <c r="N39" s="2"/>
      <c r="O39" s="2"/>
      <c r="P39" s="2"/>
      <c r="Q39" s="2"/>
      <c r="R39" s="2"/>
      <c r="S39" s="2"/>
      <c r="T39" s="2"/>
      <c r="U39" s="2"/>
      <c r="V39" s="2"/>
      <c r="W39" s="2"/>
      <c r="X39" s="2"/>
      <c r="Y39" s="2"/>
      <c r="Z39" s="2"/>
      <c r="AA39" s="2"/>
      <c r="AB39" s="2"/>
      <c r="AC39" s="2"/>
      <c r="AD39" s="2"/>
    </row>
    <row r="40" spans="1:30" ht="13.5" customHeight="1">
      <c r="A40" s="257" t="s">
        <v>1249</v>
      </c>
      <c r="B40" s="261">
        <f>BYD!AQ22</f>
        <v>9.0967342728173195E-2</v>
      </c>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row>
    <row r="41" spans="1:30" ht="13.5" customHeight="1">
      <c r="A41" s="277"/>
      <c r="B41" s="280"/>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row>
    <row r="42" spans="1:30" ht="13.5" customHeight="1">
      <c r="A42" s="963" t="s">
        <v>494</v>
      </c>
      <c r="B42" s="318">
        <f>BYD!AQ38</f>
        <v>145.84800000000001</v>
      </c>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row>
    <row r="43" spans="1:30" ht="13.5" customHeight="1">
      <c r="A43" s="963" t="s">
        <v>515</v>
      </c>
      <c r="B43" s="318">
        <f>BYD!AQ39</f>
        <v>35.213999999999999</v>
      </c>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row>
    <row r="44" spans="1:30" ht="13.5" customHeight="1">
      <c r="A44" s="963" t="s">
        <v>1082</v>
      </c>
      <c r="B44" s="318">
        <f>BYD!AQ41</f>
        <v>167.101</v>
      </c>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row>
    <row r="45" spans="1:30" ht="13.5" customHeight="1">
      <c r="A45" s="963" t="s">
        <v>1537</v>
      </c>
      <c r="B45" s="318">
        <f>BYD!AQ45</f>
        <v>158.13899999999998</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row>
    <row r="46" spans="1:30" ht="13.5" customHeight="1">
      <c r="A46" s="1011" t="s">
        <v>223</v>
      </c>
      <c r="B46" s="1013">
        <f>BYD!AQ51</f>
        <v>506.30200000000002</v>
      </c>
      <c r="C46" s="1311">
        <f>C49-C48</f>
        <v>375.7</v>
      </c>
      <c r="D46" s="1203"/>
      <c r="E46" s="1321">
        <f>SUM(B46:D46)</f>
        <v>882.00199999999995</v>
      </c>
      <c r="F46" s="2"/>
      <c r="G46" s="2"/>
      <c r="H46" s="2"/>
      <c r="I46" s="2"/>
      <c r="J46" s="2"/>
      <c r="K46" s="2"/>
      <c r="L46" s="2"/>
      <c r="M46" s="2"/>
      <c r="N46" s="2"/>
      <c r="O46" s="2"/>
      <c r="P46" s="2"/>
      <c r="Q46" s="2"/>
      <c r="R46" s="2"/>
      <c r="S46" s="2"/>
      <c r="T46" s="2"/>
      <c r="U46" s="2"/>
      <c r="V46" s="2"/>
      <c r="W46" s="2"/>
      <c r="X46" s="2"/>
      <c r="Y46" s="2"/>
      <c r="Z46" s="2"/>
      <c r="AA46" s="2"/>
      <c r="AB46" s="2"/>
      <c r="AC46" s="2"/>
      <c r="AD46" s="2"/>
    </row>
    <row r="47" spans="1:30" ht="13.5" customHeight="1">
      <c r="A47" s="301" t="s">
        <v>56</v>
      </c>
      <c r="B47" s="261">
        <f>BYD!AQ52</f>
        <v>0.21721840552967314</v>
      </c>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row>
    <row r="48" spans="1:30" ht="13.5" customHeight="1">
      <c r="A48" s="429" t="s">
        <v>532</v>
      </c>
      <c r="B48" s="286">
        <f>BYD!AQ54</f>
        <v>-40.189</v>
      </c>
      <c r="C48" s="1102">
        <v>-45</v>
      </c>
      <c r="D48" s="1102">
        <v>20</v>
      </c>
      <c r="E48" s="98">
        <f>SUM(B48:D48)</f>
        <v>-65.188999999999993</v>
      </c>
      <c r="F48" s="2"/>
      <c r="G48" s="2"/>
      <c r="H48" s="2"/>
      <c r="I48" s="2"/>
      <c r="J48" s="2"/>
      <c r="K48" s="2"/>
      <c r="L48" s="2"/>
      <c r="M48" s="2"/>
      <c r="N48" s="2"/>
      <c r="O48" s="2"/>
      <c r="P48" s="2"/>
      <c r="Q48" s="2"/>
      <c r="R48" s="2"/>
      <c r="S48" s="2"/>
      <c r="T48" s="2"/>
      <c r="U48" s="2"/>
      <c r="V48" s="2"/>
      <c r="W48" s="2"/>
      <c r="X48" s="2"/>
      <c r="Y48" s="2"/>
      <c r="Z48" s="2"/>
      <c r="AA48" s="2"/>
      <c r="AB48" s="2"/>
      <c r="AC48" s="2"/>
      <c r="AD48" s="2"/>
    </row>
    <row r="49" spans="1:30" ht="13.5" customHeight="1">
      <c r="A49" s="1011" t="s">
        <v>1139</v>
      </c>
      <c r="B49" s="1013">
        <f>BYD!AQ55</f>
        <v>466.113</v>
      </c>
      <c r="C49" s="1325">
        <v>330.7</v>
      </c>
      <c r="D49" s="1311">
        <f>D48</f>
        <v>20</v>
      </c>
      <c r="E49" s="1321">
        <f>SUM(B49:D49)</f>
        <v>816.81299999999999</v>
      </c>
      <c r="F49" s="2"/>
      <c r="G49" s="2"/>
      <c r="H49" s="2"/>
      <c r="I49" s="2"/>
      <c r="J49" s="2"/>
      <c r="K49" s="2"/>
      <c r="L49" s="2"/>
      <c r="M49" s="2"/>
      <c r="N49" s="2"/>
      <c r="O49" s="2"/>
      <c r="P49" s="2"/>
      <c r="Q49" s="2"/>
      <c r="R49" s="2"/>
      <c r="S49" s="2"/>
      <c r="T49" s="2"/>
      <c r="U49" s="2"/>
      <c r="V49" s="2"/>
      <c r="W49" s="2"/>
      <c r="X49" s="2"/>
      <c r="Y49" s="2"/>
      <c r="Z49" s="2"/>
      <c r="AA49" s="2"/>
      <c r="AB49" s="2"/>
      <c r="AC49" s="2"/>
      <c r="AD49" s="2"/>
    </row>
    <row r="50" spans="1:30" ht="13.5" customHeight="1">
      <c r="A50" s="301" t="s">
        <v>56</v>
      </c>
      <c r="B50" s="261">
        <f>BYD!AQ56</f>
        <v>0.19997614596950541</v>
      </c>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row>
    <row r="51" spans="1:30" ht="13.5" customHeight="1">
      <c r="A51" s="257"/>
      <c r="B51" s="261"/>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row>
    <row r="52" spans="1:30" ht="13.5" customHeight="1">
      <c r="A52" s="439" t="s">
        <v>1745</v>
      </c>
      <c r="B52" s="286">
        <f>BYD!AQ65</f>
        <v>9.9969999999999999</v>
      </c>
      <c r="C52" s="374">
        <v>0</v>
      </c>
      <c r="D52" s="374">
        <v>0</v>
      </c>
      <c r="E52" s="98">
        <f>SUM(B52:D52)</f>
        <v>9.9969999999999999</v>
      </c>
      <c r="F52" s="2"/>
      <c r="G52" s="2"/>
      <c r="H52" s="2"/>
      <c r="I52" s="2"/>
      <c r="J52" s="2"/>
      <c r="K52" s="2"/>
      <c r="L52" s="2"/>
      <c r="M52" s="2"/>
      <c r="N52" s="2"/>
      <c r="O52" s="2"/>
      <c r="P52" s="2"/>
      <c r="Q52" s="2"/>
      <c r="R52" s="2"/>
      <c r="S52" s="2"/>
      <c r="T52" s="2"/>
      <c r="U52" s="2"/>
      <c r="V52" s="2"/>
      <c r="W52" s="2"/>
      <c r="X52" s="2"/>
      <c r="Y52" s="2"/>
      <c r="Z52" s="2"/>
      <c r="AA52" s="2"/>
      <c r="AB52" s="2"/>
      <c r="AC52" s="2"/>
      <c r="AD52" s="2"/>
    </row>
    <row r="53" spans="1:30" ht="13.5" customHeight="1">
      <c r="A53" s="439" t="s">
        <v>201</v>
      </c>
      <c r="B53" s="347">
        <f>BYD!AQ66</f>
        <v>4.1360000000000001</v>
      </c>
      <c r="C53" s="374">
        <v>0</v>
      </c>
      <c r="D53" s="374">
        <v>0</v>
      </c>
      <c r="E53" s="98">
        <f>SUM(B53:D53)</f>
        <v>4.1360000000000001</v>
      </c>
      <c r="F53" s="2"/>
      <c r="G53" s="2"/>
      <c r="H53" s="2"/>
      <c r="I53" s="2"/>
      <c r="J53" s="2"/>
      <c r="K53" s="2"/>
      <c r="L53" s="2"/>
      <c r="M53" s="2"/>
      <c r="N53" s="2"/>
      <c r="O53" s="2"/>
      <c r="P53" s="2"/>
      <c r="Q53" s="2"/>
      <c r="R53" s="2"/>
      <c r="S53" s="2"/>
      <c r="T53" s="2"/>
      <c r="U53" s="2"/>
      <c r="V53" s="2"/>
      <c r="W53" s="2"/>
      <c r="X53" s="2"/>
      <c r="Y53" s="2"/>
      <c r="Z53" s="2"/>
      <c r="AA53" s="2"/>
      <c r="AB53" s="2"/>
      <c r="AC53" s="2"/>
      <c r="AD53" s="2"/>
    </row>
    <row r="54" spans="1:30" ht="13.5" customHeight="1">
      <c r="A54" s="1693" t="s">
        <v>202</v>
      </c>
      <c r="B54" s="465">
        <f>BYD!AQ67</f>
        <v>195.34299999999999</v>
      </c>
      <c r="C54" s="465">
        <f>C49-C56</f>
        <v>118.19999999999999</v>
      </c>
      <c r="D54" s="465">
        <v>0</v>
      </c>
      <c r="E54" s="465">
        <f>SUM(B54:D54)</f>
        <v>313.54300000000001</v>
      </c>
      <c r="F54" s="2"/>
      <c r="G54" s="2"/>
      <c r="H54" s="2"/>
      <c r="I54" s="2"/>
      <c r="J54" s="2"/>
      <c r="K54" s="2"/>
      <c r="L54" s="2"/>
      <c r="M54" s="2"/>
      <c r="N54" s="2"/>
      <c r="O54" s="2"/>
      <c r="P54" s="2"/>
      <c r="Q54" s="2"/>
      <c r="R54" s="2"/>
      <c r="S54" s="2"/>
      <c r="T54" s="2"/>
      <c r="U54" s="2"/>
      <c r="V54" s="2"/>
      <c r="W54" s="2"/>
      <c r="X54" s="2"/>
      <c r="Y54" s="2"/>
      <c r="Z54" s="2"/>
      <c r="AA54" s="2"/>
      <c r="AB54" s="2"/>
      <c r="AC54" s="2"/>
      <c r="AD54" s="2"/>
    </row>
    <row r="55" spans="1:30" ht="4.5" customHeight="1">
      <c r="A55" s="964"/>
      <c r="B55" s="349" t="s">
        <v>343</v>
      </c>
      <c r="C55" s="349" t="s">
        <v>343</v>
      </c>
      <c r="D55" s="349" t="s">
        <v>343</v>
      </c>
      <c r="E55" s="349" t="s">
        <v>343</v>
      </c>
      <c r="F55" s="2"/>
      <c r="G55" s="2"/>
      <c r="H55" s="2"/>
      <c r="I55" s="2"/>
      <c r="J55" s="2"/>
      <c r="K55" s="2"/>
      <c r="L55" s="2"/>
      <c r="M55" s="2"/>
      <c r="N55" s="2"/>
      <c r="O55" s="2"/>
      <c r="P55" s="2"/>
      <c r="Q55" s="2"/>
      <c r="R55" s="2"/>
      <c r="S55" s="2"/>
      <c r="T55" s="2"/>
      <c r="U55" s="2"/>
      <c r="V55" s="2"/>
      <c r="W55" s="2"/>
      <c r="X55" s="2"/>
      <c r="Y55" s="2"/>
      <c r="Z55" s="2"/>
      <c r="AA55" s="2"/>
      <c r="AB55" s="2"/>
      <c r="AC55" s="2"/>
      <c r="AD55" s="2"/>
    </row>
    <row r="56" spans="1:30" ht="13.5" customHeight="1">
      <c r="A56" s="252" t="s">
        <v>1511</v>
      </c>
      <c r="B56" s="354">
        <f>BYD!AQ70</f>
        <v>256.63700000000006</v>
      </c>
      <c r="C56" s="1357">
        <v>212.5</v>
      </c>
      <c r="D56" s="1320">
        <f>D49</f>
        <v>20</v>
      </c>
      <c r="E56" s="1320">
        <f>SUM(B56:D56)</f>
        <v>489.13700000000006</v>
      </c>
      <c r="F56" s="2"/>
      <c r="G56" s="2"/>
      <c r="H56" s="2"/>
      <c r="I56" s="2"/>
      <c r="J56" s="2"/>
      <c r="K56" s="2"/>
      <c r="L56" s="2"/>
      <c r="M56" s="2"/>
      <c r="N56" s="2"/>
      <c r="O56" s="2"/>
      <c r="P56" s="2"/>
      <c r="Q56" s="2"/>
      <c r="R56" s="2"/>
      <c r="S56" s="2"/>
      <c r="T56" s="2"/>
      <c r="U56" s="2"/>
      <c r="V56" s="2"/>
      <c r="W56" s="2"/>
      <c r="X56" s="2"/>
      <c r="Y56" s="2"/>
      <c r="Z56" s="2"/>
      <c r="AA56" s="2"/>
      <c r="AB56" s="2"/>
      <c r="AC56" s="2"/>
      <c r="AD56" s="2"/>
    </row>
    <row r="57" spans="1:30" ht="13.5" customHeight="1">
      <c r="A57" s="301" t="s">
        <v>56</v>
      </c>
      <c r="B57" s="357">
        <f>BYD!AQ71</f>
        <v>0.11010479899332561</v>
      </c>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row>
    <row r="58" spans="1:30" ht="13.5" customHeight="1">
      <c r="A58" s="222"/>
      <c r="B58" s="207"/>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row>
    <row r="59" spans="1:30" ht="13.5" customHeight="1">
      <c r="A59" s="445" t="s">
        <v>1176</v>
      </c>
      <c r="B59" s="369">
        <f>BYD!AQ73</f>
        <v>-250.733</v>
      </c>
      <c r="C59" s="98">
        <f>C63-C56</f>
        <v>-111.1</v>
      </c>
      <c r="D59" s="98">
        <f>-IF($B$16=1,B19*$B$20,IF($B$16=2,C19*B20,IF($B$16=3,D19*B20,E19*$B$20)))</f>
        <v>-61.519249999999992</v>
      </c>
      <c r="E59" s="1092">
        <f>SUM(B59:D59)</f>
        <v>-423.35224999999997</v>
      </c>
      <c r="F59" s="2"/>
      <c r="G59" s="2"/>
      <c r="H59" s="2"/>
      <c r="I59" s="2"/>
      <c r="J59" s="2"/>
      <c r="K59" s="2"/>
      <c r="L59" s="2"/>
      <c r="M59" s="2"/>
      <c r="N59" s="2"/>
      <c r="O59" s="2"/>
      <c r="P59" s="2"/>
      <c r="Q59" s="2"/>
      <c r="R59" s="2"/>
      <c r="S59" s="2"/>
      <c r="T59" s="2"/>
      <c r="U59" s="2"/>
      <c r="V59" s="2"/>
      <c r="W59" s="2"/>
      <c r="X59" s="2"/>
      <c r="Y59" s="2"/>
      <c r="Z59" s="2"/>
      <c r="AA59" s="2"/>
      <c r="AB59" s="2"/>
      <c r="AC59" s="2"/>
      <c r="AD59" s="2"/>
    </row>
    <row r="60" spans="1:30" ht="13.5" customHeight="1">
      <c r="A60" s="445" t="s">
        <v>203</v>
      </c>
      <c r="B60" s="374">
        <f>BYD!AQ74</f>
        <v>0</v>
      </c>
      <c r="C60" s="374">
        <v>0</v>
      </c>
      <c r="D60" s="374">
        <v>0</v>
      </c>
      <c r="E60" s="374">
        <f>SUM(B60:D60)</f>
        <v>0</v>
      </c>
      <c r="F60" s="2"/>
      <c r="G60" s="2"/>
      <c r="H60" s="2"/>
      <c r="I60" s="2"/>
      <c r="J60" s="2"/>
      <c r="K60" s="2"/>
      <c r="L60" s="2"/>
      <c r="M60" s="2"/>
      <c r="N60" s="2"/>
      <c r="O60" s="2"/>
      <c r="P60" s="2"/>
      <c r="Q60" s="2"/>
      <c r="R60" s="2"/>
      <c r="S60" s="2"/>
      <c r="T60" s="2"/>
      <c r="U60" s="2"/>
      <c r="V60" s="2"/>
      <c r="W60" s="2"/>
      <c r="X60" s="2"/>
      <c r="Y60" s="2"/>
      <c r="Z60" s="2"/>
      <c r="AA60" s="2"/>
      <c r="AB60" s="2"/>
      <c r="AC60" s="2"/>
      <c r="AD60" s="2"/>
    </row>
    <row r="61" spans="1:30" ht="13.5" customHeight="1">
      <c r="A61" s="445" t="s">
        <v>1790</v>
      </c>
      <c r="B61" s="364">
        <f>BYD!AQ78</f>
        <v>-12.529</v>
      </c>
      <c r="C61" s="364">
        <v>0</v>
      </c>
      <c r="D61" s="374">
        <v>0</v>
      </c>
      <c r="E61" s="201">
        <f>SUM(B61:D61)</f>
        <v>-12.529</v>
      </c>
      <c r="F61" s="2"/>
      <c r="G61" s="2"/>
      <c r="H61" s="2"/>
      <c r="I61" s="2"/>
      <c r="J61" s="2"/>
      <c r="K61" s="2"/>
      <c r="L61" s="2"/>
      <c r="M61" s="2"/>
      <c r="N61" s="2"/>
      <c r="O61" s="2"/>
      <c r="P61" s="2"/>
      <c r="Q61" s="2"/>
      <c r="R61" s="2"/>
      <c r="S61" s="2"/>
      <c r="T61" s="2"/>
      <c r="U61" s="2"/>
      <c r="V61" s="2"/>
      <c r="W61" s="2"/>
      <c r="X61" s="2"/>
      <c r="Y61" s="2"/>
      <c r="Z61" s="2"/>
      <c r="AA61" s="2"/>
      <c r="AB61" s="2"/>
      <c r="AC61" s="2"/>
      <c r="AD61" s="2"/>
    </row>
    <row r="62" spans="1:30" ht="4.5" customHeight="1">
      <c r="A62" s="348"/>
      <c r="B62" s="888" t="s">
        <v>343</v>
      </c>
      <c r="C62" s="888" t="s">
        <v>343</v>
      </c>
      <c r="D62" s="452" t="s">
        <v>343</v>
      </c>
      <c r="E62" s="888" t="s">
        <v>343</v>
      </c>
      <c r="F62" s="2"/>
      <c r="G62" s="2"/>
      <c r="H62" s="2"/>
      <c r="I62" s="2"/>
      <c r="J62" s="2"/>
      <c r="K62" s="2"/>
      <c r="L62" s="2"/>
      <c r="M62" s="2"/>
      <c r="N62" s="2"/>
      <c r="O62" s="2"/>
      <c r="P62" s="2"/>
      <c r="Q62" s="2"/>
      <c r="R62" s="2"/>
      <c r="S62" s="2"/>
      <c r="T62" s="2"/>
      <c r="U62" s="2"/>
      <c r="V62" s="2"/>
      <c r="W62" s="2"/>
      <c r="X62" s="2"/>
      <c r="Y62" s="2"/>
      <c r="Z62" s="2"/>
      <c r="AA62" s="2"/>
      <c r="AB62" s="2"/>
      <c r="AC62" s="2"/>
      <c r="AD62" s="2"/>
    </row>
    <row r="63" spans="1:30" ht="13.5" customHeight="1">
      <c r="A63" s="242" t="s">
        <v>1572</v>
      </c>
      <c r="B63" s="461">
        <f>BYD!AQ80</f>
        <v>-6.6249999999999858</v>
      </c>
      <c r="C63" s="1102">
        <v>101.4</v>
      </c>
      <c r="D63" s="98">
        <f>D56+D59+D60+D61</f>
        <v>-41.519249999999992</v>
      </c>
      <c r="E63" s="1320">
        <f>SUM(E56:E61)</f>
        <v>53.255750000000091</v>
      </c>
      <c r="F63" s="2"/>
      <c r="G63" s="2"/>
      <c r="H63" s="2"/>
      <c r="I63" s="2"/>
      <c r="J63" s="2"/>
      <c r="K63" s="2"/>
      <c r="L63" s="2"/>
      <c r="M63" s="2"/>
      <c r="N63" s="2"/>
      <c r="O63" s="2"/>
      <c r="P63" s="2"/>
      <c r="Q63" s="2"/>
      <c r="R63" s="2"/>
      <c r="S63" s="2"/>
      <c r="T63" s="2"/>
      <c r="U63" s="2"/>
      <c r="V63" s="2"/>
      <c r="W63" s="2"/>
      <c r="X63" s="2"/>
      <c r="Y63" s="2"/>
      <c r="Z63" s="2"/>
      <c r="AA63" s="2"/>
      <c r="AB63" s="2"/>
      <c r="AC63" s="2"/>
      <c r="AD63" s="2"/>
    </row>
    <row r="64" spans="1:30" ht="13.5" customHeight="1">
      <c r="A64" s="445" t="s">
        <v>205</v>
      </c>
      <c r="B64" s="201">
        <f>BYD!AQ81</f>
        <v>-1.722</v>
      </c>
      <c r="C64" s="98">
        <f>C65-C63</f>
        <v>-41.7</v>
      </c>
      <c r="D64" s="98">
        <f>D63*-0.4</f>
        <v>16.607699999999998</v>
      </c>
      <c r="E64" s="1102">
        <f>SUM(B64:D64)</f>
        <v>-26.814300000000006</v>
      </c>
      <c r="F64" s="2"/>
      <c r="G64" s="2"/>
      <c r="H64" s="2"/>
      <c r="I64" s="2"/>
      <c r="J64" s="2"/>
      <c r="K64" s="2"/>
      <c r="L64" s="2"/>
      <c r="M64" s="2"/>
      <c r="N64" s="2"/>
      <c r="O64" s="2"/>
      <c r="P64" s="2"/>
      <c r="Q64" s="2"/>
      <c r="R64" s="2"/>
      <c r="S64" s="2"/>
      <c r="T64" s="2"/>
      <c r="U64" s="2"/>
      <c r="V64" s="2"/>
      <c r="W64" s="2"/>
      <c r="X64" s="2"/>
      <c r="Y64" s="2"/>
      <c r="Z64" s="2"/>
      <c r="AA64" s="2"/>
      <c r="AB64" s="2"/>
      <c r="AC64" s="2"/>
      <c r="AD64" s="2"/>
    </row>
    <row r="65" spans="1:30" ht="13.5" customHeight="1">
      <c r="A65" s="381" t="s">
        <v>1243</v>
      </c>
      <c r="B65" s="383">
        <f>BYD!AQ82</f>
        <v>-8.3469999999999853</v>
      </c>
      <c r="C65" s="1358">
        <v>59.7</v>
      </c>
      <c r="D65" s="1218">
        <f>SUM(D63:D64)</f>
        <v>-24.911549999999995</v>
      </c>
      <c r="E65" s="1326">
        <f>SUM(E63:E64)</f>
        <v>26.441450000000085</v>
      </c>
      <c r="F65" s="2"/>
      <c r="G65" s="2"/>
      <c r="H65" s="2"/>
      <c r="I65" s="2"/>
      <c r="J65" s="2"/>
      <c r="K65" s="2"/>
      <c r="L65" s="2"/>
      <c r="M65" s="2"/>
      <c r="N65" s="2"/>
      <c r="O65" s="2"/>
      <c r="P65" s="2"/>
      <c r="Q65" s="2"/>
      <c r="R65" s="2"/>
      <c r="S65" s="2"/>
      <c r="T65" s="2"/>
      <c r="U65" s="2"/>
      <c r="V65" s="2"/>
      <c r="W65" s="2"/>
      <c r="X65" s="2"/>
      <c r="Y65" s="2"/>
      <c r="Z65" s="2"/>
      <c r="AA65" s="2"/>
      <c r="AB65" s="2"/>
      <c r="AC65" s="2"/>
      <c r="AD65" s="2"/>
    </row>
    <row r="66" spans="1:30" ht="13.5" customHeight="1">
      <c r="A66" s="876" t="s">
        <v>1539</v>
      </c>
      <c r="B66" s="374">
        <f>BYD!AQ85</f>
        <v>4.1460000000000008</v>
      </c>
      <c r="C66" s="2"/>
      <c r="D66" s="2"/>
      <c r="E66" s="98">
        <f>SUM(B66:D66)</f>
        <v>4.1460000000000008</v>
      </c>
      <c r="F66" s="2"/>
      <c r="G66" s="2"/>
      <c r="H66" s="2"/>
      <c r="I66" s="2"/>
      <c r="J66" s="2"/>
      <c r="K66" s="2"/>
      <c r="L66" s="2"/>
      <c r="M66" s="2"/>
      <c r="N66" s="2"/>
      <c r="O66" s="2"/>
      <c r="P66" s="2"/>
      <c r="Q66" s="2"/>
      <c r="R66" s="2"/>
      <c r="S66" s="2"/>
      <c r="T66" s="2"/>
      <c r="U66" s="2"/>
      <c r="V66" s="2"/>
      <c r="W66" s="2"/>
      <c r="X66" s="2"/>
      <c r="Y66" s="2"/>
      <c r="Z66" s="2"/>
      <c r="AA66" s="2"/>
      <c r="AB66" s="2"/>
      <c r="AC66" s="2"/>
      <c r="AD66" s="2"/>
    </row>
    <row r="67" spans="1:30" ht="13.5" customHeight="1">
      <c r="A67" s="1282" t="s">
        <v>1540</v>
      </c>
      <c r="B67" s="1284">
        <f>BYD!AQ88</f>
        <v>-0.28599999999998538</v>
      </c>
      <c r="C67" s="1311">
        <f>C65</f>
        <v>59.7</v>
      </c>
      <c r="D67" s="1311">
        <f>SUM(D65:D66)</f>
        <v>-24.911549999999995</v>
      </c>
      <c r="E67" s="1321">
        <f>SUM(E65:E66)</f>
        <v>30.587450000000086</v>
      </c>
      <c r="F67" s="2"/>
      <c r="G67" s="2"/>
      <c r="H67" s="2"/>
      <c r="I67" s="2"/>
      <c r="J67" s="2"/>
      <c r="K67" s="2"/>
      <c r="L67" s="2"/>
      <c r="M67" s="2"/>
      <c r="N67" s="2"/>
      <c r="O67" s="2"/>
      <c r="P67" s="2"/>
      <c r="Q67" s="2"/>
      <c r="R67" s="2"/>
      <c r="S67" s="2"/>
      <c r="T67" s="2"/>
      <c r="U67" s="2"/>
      <c r="V67" s="2"/>
      <c r="W67" s="2"/>
      <c r="X67" s="2"/>
      <c r="Y67" s="2"/>
      <c r="Z67" s="2"/>
      <c r="AA67" s="2"/>
      <c r="AB67" s="2"/>
      <c r="AC67" s="2"/>
      <c r="AD67" s="2"/>
    </row>
    <row r="68" spans="1:30" ht="13.5" customHeight="1">
      <c r="A68" s="394"/>
      <c r="B68" s="395"/>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row>
    <row r="69" spans="1:30" ht="13.5" customHeight="1">
      <c r="A69" s="1282" t="s">
        <v>1004</v>
      </c>
      <c r="B69" s="1327">
        <f>BYD!AQ95</f>
        <v>-3.2745966864743742E-3</v>
      </c>
      <c r="C69" s="1328">
        <v>0.98</v>
      </c>
      <c r="D69" s="1203"/>
      <c r="E69" s="154">
        <f>E67/E72</f>
        <v>0.18839635803653149</v>
      </c>
      <c r="F69" s="2"/>
      <c r="G69" s="2"/>
      <c r="H69" s="2"/>
      <c r="I69" s="2"/>
      <c r="J69" s="2"/>
      <c r="K69" s="2"/>
      <c r="L69" s="2"/>
      <c r="M69" s="2"/>
      <c r="N69" s="2"/>
      <c r="O69" s="2"/>
      <c r="P69" s="2"/>
      <c r="Q69" s="2"/>
      <c r="R69" s="2"/>
      <c r="S69" s="2"/>
      <c r="T69" s="2"/>
      <c r="U69" s="2"/>
      <c r="V69" s="2"/>
      <c r="W69" s="2"/>
      <c r="X69" s="2"/>
      <c r="Y69" s="2"/>
      <c r="Z69" s="2"/>
      <c r="AA69" s="2"/>
      <c r="AB69" s="2"/>
      <c r="AC69" s="2"/>
      <c r="AD69" s="2"/>
    </row>
    <row r="70" spans="1:30" ht="13.5" customHeight="1">
      <c r="A70" s="257" t="s">
        <v>1532</v>
      </c>
      <c r="B70" s="343"/>
      <c r="C70" s="343"/>
      <c r="D70" s="343"/>
      <c r="E70" s="122">
        <f>E69/B69-1</f>
        <v>-58.532690610326803</v>
      </c>
      <c r="F70" s="2"/>
      <c r="G70" s="2"/>
      <c r="H70" s="2"/>
      <c r="I70" s="2"/>
      <c r="J70" s="2"/>
      <c r="K70" s="2"/>
      <c r="L70" s="2"/>
      <c r="M70" s="2"/>
      <c r="N70" s="2"/>
      <c r="O70" s="2"/>
      <c r="P70" s="2"/>
      <c r="Q70" s="2"/>
      <c r="R70" s="2"/>
      <c r="S70" s="2"/>
      <c r="T70" s="2"/>
      <c r="U70" s="2"/>
      <c r="V70" s="2"/>
      <c r="W70" s="2"/>
      <c r="X70" s="2"/>
      <c r="Y70" s="2"/>
      <c r="Z70" s="2"/>
      <c r="AA70" s="2"/>
      <c r="AB70" s="2"/>
      <c r="AC70" s="2"/>
      <c r="AD70" s="2"/>
    </row>
    <row r="71" spans="1:30" ht="13.5" customHeight="1">
      <c r="A71" s="2"/>
      <c r="B71" s="61"/>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row>
    <row r="72" spans="1:30" ht="13.5" customHeight="1">
      <c r="A72" s="2" t="s">
        <v>1523</v>
      </c>
      <c r="B72" s="96">
        <f>BYD!AL103</f>
        <v>86.831000000000003</v>
      </c>
      <c r="C72" s="98"/>
      <c r="D72" s="98">
        <f>+IF($B$16=1,B18,IF($B$16=2,C18,IF($B$16=3,D18,E18)))</f>
        <v>75.525907101510654</v>
      </c>
      <c r="E72" s="1337">
        <f>B72+D72</f>
        <v>162.35690710151067</v>
      </c>
      <c r="F72" s="2"/>
      <c r="G72" s="2"/>
      <c r="H72" s="2"/>
      <c r="I72" s="2"/>
      <c r="J72" s="2"/>
      <c r="K72" s="2"/>
      <c r="L72" s="2"/>
      <c r="M72" s="2"/>
      <c r="N72" s="2"/>
      <c r="O72" s="2"/>
      <c r="P72" s="2"/>
      <c r="Q72" s="2"/>
      <c r="R72" s="2"/>
      <c r="S72" s="2"/>
      <c r="T72" s="2"/>
      <c r="U72" s="2"/>
      <c r="V72" s="2"/>
      <c r="W72" s="2"/>
      <c r="X72" s="2"/>
      <c r="Y72" s="2"/>
      <c r="Z72" s="2"/>
      <c r="AA72" s="2"/>
      <c r="AB72" s="2"/>
      <c r="AC72" s="2"/>
      <c r="AD72" s="2"/>
    </row>
    <row r="73" spans="1:30" ht="13.5" customHeight="1">
      <c r="A73" s="2"/>
      <c r="B73" s="61"/>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row>
    <row r="74" spans="1:30" ht="13.5" customHeight="1">
      <c r="A74" s="2" t="s">
        <v>1002</v>
      </c>
      <c r="B74" s="61"/>
      <c r="C74" s="1256">
        <v>5.09</v>
      </c>
      <c r="D74" s="2"/>
      <c r="E74" s="2"/>
      <c r="F74" s="2"/>
      <c r="G74" s="2"/>
      <c r="H74" s="2"/>
      <c r="I74" s="2"/>
      <c r="J74" s="2"/>
      <c r="K74" s="2"/>
      <c r="L74" s="2"/>
      <c r="M74" s="2"/>
      <c r="N74" s="2"/>
      <c r="O74" s="2"/>
      <c r="P74" s="2"/>
      <c r="Q74" s="2"/>
      <c r="R74" s="2"/>
      <c r="S74" s="2"/>
      <c r="T74" s="2"/>
      <c r="U74" s="2"/>
      <c r="V74" s="2"/>
      <c r="W74" s="2"/>
      <c r="X74" s="2"/>
      <c r="Y74" s="2"/>
      <c r="Z74" s="2"/>
      <c r="AA74" s="2"/>
      <c r="AB74" s="2"/>
      <c r="AC74" s="2"/>
      <c r="AD74" s="2"/>
    </row>
    <row r="75" spans="1:30" ht="13.5" customHeight="1">
      <c r="A75" s="2" t="s">
        <v>1003</v>
      </c>
      <c r="B75" s="61"/>
      <c r="C75" s="1256">
        <v>20.399999999999999</v>
      </c>
      <c r="D75" s="2"/>
      <c r="E75" s="2"/>
      <c r="F75" s="2"/>
      <c r="G75" s="2"/>
      <c r="H75" s="2"/>
      <c r="I75" s="2"/>
      <c r="J75" s="2"/>
      <c r="K75" s="2"/>
      <c r="L75" s="2"/>
      <c r="M75" s="2"/>
      <c r="N75" s="2"/>
      <c r="O75" s="2"/>
      <c r="P75" s="2"/>
      <c r="Q75" s="2"/>
      <c r="R75" s="2"/>
      <c r="S75" s="2"/>
      <c r="T75" s="2"/>
      <c r="U75" s="2"/>
      <c r="V75" s="2"/>
      <c r="W75" s="2"/>
      <c r="X75" s="2"/>
      <c r="Y75" s="2"/>
      <c r="Z75" s="2"/>
      <c r="AA75" s="2"/>
      <c r="AB75" s="2"/>
      <c r="AC75" s="2"/>
      <c r="AD75" s="2"/>
    </row>
    <row r="76" spans="1:30" ht="13.5" customHeight="1">
      <c r="A76" s="2"/>
      <c r="B76" s="61"/>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row>
    <row r="77" spans="1:30" ht="13.5" customHeight="1">
      <c r="A77" s="2" t="s">
        <v>1005</v>
      </c>
      <c r="B77" s="61">
        <f>BYD!AQ151</f>
        <v>-189.548</v>
      </c>
      <c r="C77" s="1102">
        <v>106.8</v>
      </c>
      <c r="D77" s="2">
        <f>D48+(E59-(C59+B59))</f>
        <v>-41.51925</v>
      </c>
      <c r="E77" s="1">
        <f>SUM(B77:D77)</f>
        <v>-124.26725</v>
      </c>
      <c r="F77" s="2"/>
      <c r="G77" s="2"/>
      <c r="H77" s="2"/>
      <c r="I77" s="2"/>
      <c r="J77" s="2"/>
      <c r="K77" s="2"/>
      <c r="L77" s="2"/>
      <c r="M77" s="2"/>
      <c r="N77" s="2"/>
      <c r="O77" s="2"/>
      <c r="P77" s="2"/>
      <c r="Q77" s="2"/>
      <c r="R77" s="2"/>
      <c r="S77" s="2"/>
      <c r="T77" s="2"/>
      <c r="U77" s="2"/>
      <c r="V77" s="2"/>
      <c r="W77" s="2"/>
      <c r="X77" s="2"/>
      <c r="Y77" s="2"/>
      <c r="Z77" s="2"/>
      <c r="AA77" s="2"/>
      <c r="AB77" s="2"/>
      <c r="AC77" s="2"/>
      <c r="AD77" s="2"/>
    </row>
    <row r="78" spans="1:30" ht="13.5" customHeight="1">
      <c r="A78" s="2"/>
      <c r="B78" s="61"/>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row>
    <row r="79" spans="1:30" ht="13.5" customHeight="1">
      <c r="A79" s="2"/>
      <c r="B79" s="61"/>
      <c r="C79" s="2"/>
      <c r="D79" s="2"/>
      <c r="E79" s="1336"/>
      <c r="F79" s="2"/>
      <c r="G79" s="69" t="s">
        <v>1535</v>
      </c>
      <c r="H79" s="2"/>
      <c r="I79" s="2"/>
      <c r="J79" s="2"/>
      <c r="K79" s="2"/>
      <c r="L79" s="2"/>
      <c r="M79" s="2"/>
      <c r="N79" s="2"/>
      <c r="O79" s="2"/>
      <c r="P79" s="2"/>
      <c r="Q79" s="2"/>
      <c r="R79" s="2"/>
      <c r="S79" s="2"/>
      <c r="T79" s="2"/>
      <c r="U79" s="2"/>
      <c r="V79" s="2"/>
      <c r="W79" s="2"/>
      <c r="X79" s="2"/>
      <c r="Y79" s="2"/>
      <c r="Z79" s="2"/>
      <c r="AA79" s="2"/>
      <c r="AB79" s="2"/>
      <c r="AC79" s="2"/>
      <c r="AD79" s="2"/>
    </row>
    <row r="80" spans="1:30" ht="13.5" customHeight="1">
      <c r="A80" s="2"/>
      <c r="B80" s="61"/>
      <c r="C80" s="2"/>
      <c r="D80" s="2"/>
      <c r="E80" s="105"/>
      <c r="F80" s="2"/>
      <c r="G80" s="2" t="s">
        <v>27</v>
      </c>
      <c r="H80" s="2"/>
      <c r="I80" s="2"/>
      <c r="J80" s="2"/>
      <c r="K80" s="2"/>
      <c r="L80" s="2"/>
      <c r="M80" s="2"/>
      <c r="N80" s="2"/>
      <c r="O80" s="2"/>
      <c r="P80" s="2"/>
      <c r="Q80" s="2"/>
      <c r="R80" s="2"/>
      <c r="S80" s="2"/>
      <c r="T80" s="2"/>
      <c r="U80" s="2"/>
      <c r="V80" s="2"/>
      <c r="W80" s="2"/>
      <c r="X80" s="2"/>
      <c r="Y80" s="2"/>
      <c r="Z80" s="2"/>
      <c r="AA80" s="2"/>
      <c r="AB80" s="2"/>
      <c r="AC80" s="2"/>
      <c r="AD80" s="2"/>
    </row>
    <row r="81" spans="1:30" ht="13.5" customHeight="1">
      <c r="A81" s="2"/>
      <c r="B81" s="61"/>
      <c r="C81" s="2"/>
      <c r="D81" s="2"/>
      <c r="E81" s="2"/>
      <c r="F81" s="2"/>
      <c r="G81" s="77"/>
      <c r="H81" s="182">
        <v>2012</v>
      </c>
      <c r="I81" s="183"/>
      <c r="J81" s="183"/>
      <c r="K81" s="183"/>
      <c r="L81" s="183"/>
      <c r="M81" s="2"/>
      <c r="N81" s="2"/>
      <c r="O81" s="2"/>
      <c r="P81" s="2"/>
      <c r="Q81" s="2"/>
      <c r="R81" s="2"/>
      <c r="S81" s="2"/>
      <c r="T81" s="2"/>
      <c r="U81" s="2"/>
      <c r="V81" s="2"/>
      <c r="W81" s="2"/>
      <c r="X81" s="2"/>
      <c r="Y81" s="2"/>
      <c r="Z81" s="2"/>
      <c r="AA81" s="2"/>
      <c r="AB81" s="2"/>
      <c r="AC81" s="2"/>
      <c r="AD81" s="2"/>
    </row>
    <row r="82" spans="1:30" ht="13.5" customHeight="1">
      <c r="A82" s="2"/>
      <c r="B82" s="61"/>
      <c r="C82" s="2"/>
      <c r="D82" s="2"/>
      <c r="E82" s="2"/>
      <c r="F82" s="2"/>
      <c r="G82" s="77"/>
      <c r="H82" s="103" t="s">
        <v>286</v>
      </c>
      <c r="I82" s="77"/>
      <c r="J82" s="184" t="s">
        <v>284</v>
      </c>
      <c r="K82" s="77"/>
      <c r="L82" s="185" t="s">
        <v>1704</v>
      </c>
      <c r="M82" s="2"/>
      <c r="N82" s="2"/>
      <c r="O82" s="2"/>
      <c r="P82" s="2"/>
      <c r="Q82" s="2"/>
      <c r="R82" s="2"/>
      <c r="S82" s="1" t="s">
        <v>1525</v>
      </c>
      <c r="T82" s="2"/>
      <c r="U82" s="2"/>
      <c r="V82" s="2"/>
      <c r="W82" s="2"/>
      <c r="X82" s="2"/>
      <c r="Y82" s="2"/>
      <c r="Z82" s="2"/>
      <c r="AA82" s="2"/>
      <c r="AB82" s="2"/>
      <c r="AC82" s="2"/>
      <c r="AD82" s="2"/>
    </row>
    <row r="83" spans="1:30" ht="13.5" customHeight="1">
      <c r="A83" s="2"/>
      <c r="B83" s="61"/>
      <c r="C83" s="2"/>
      <c r="D83" s="2"/>
      <c r="E83" s="2"/>
      <c r="F83" s="2"/>
      <c r="G83" s="187"/>
      <c r="H83" s="188" t="s">
        <v>401</v>
      </c>
      <c r="I83" s="189"/>
      <c r="J83" s="190" t="s">
        <v>1620</v>
      </c>
      <c r="K83" s="189"/>
      <c r="L83" s="188" t="s">
        <v>921</v>
      </c>
      <c r="M83" s="2"/>
      <c r="N83" s="2"/>
      <c r="O83" s="2"/>
      <c r="P83" s="2"/>
      <c r="Q83" s="2"/>
      <c r="S83" s="1180">
        <v>2010</v>
      </c>
      <c r="T83" s="1180">
        <v>2011</v>
      </c>
      <c r="U83" s="1180">
        <v>2012</v>
      </c>
      <c r="V83" s="2"/>
      <c r="W83" s="2"/>
      <c r="X83" s="2"/>
      <c r="Y83" s="2"/>
      <c r="Z83" s="2"/>
      <c r="AA83" s="2"/>
      <c r="AB83" s="2"/>
      <c r="AC83" s="2"/>
      <c r="AD83" s="2"/>
    </row>
    <row r="84" spans="1:30" ht="13.5" customHeight="1">
      <c r="A84" s="2"/>
      <c r="B84" s="61"/>
      <c r="C84" s="2"/>
      <c r="D84" s="2"/>
      <c r="E84" s="2"/>
      <c r="F84" s="2"/>
      <c r="G84" s="216" t="s">
        <v>1082</v>
      </c>
      <c r="H84" s="193">
        <f>BYD!AV44</f>
        <v>213.50100000000003</v>
      </c>
      <c r="I84" s="191" t="s">
        <v>1705</v>
      </c>
      <c r="J84" s="1317">
        <f>'EBITDA Val'!D7</f>
        <v>9</v>
      </c>
      <c r="K84" s="192" t="s">
        <v>258</v>
      </c>
      <c r="L84" s="193">
        <f>H84*J84</f>
        <v>1921.5090000000002</v>
      </c>
      <c r="M84" s="2"/>
      <c r="N84" s="2"/>
      <c r="O84" s="2"/>
      <c r="P84" s="2"/>
      <c r="Q84" s="2"/>
      <c r="R84" s="2"/>
      <c r="S84" s="1349">
        <v>319.5</v>
      </c>
      <c r="T84" s="1349">
        <v>330.7</v>
      </c>
      <c r="U84" s="1349">
        <v>336.9</v>
      </c>
      <c r="V84" s="2"/>
      <c r="W84" s="2"/>
      <c r="X84" s="2"/>
      <c r="Y84" s="2"/>
      <c r="Z84" s="2"/>
      <c r="AA84" s="2"/>
      <c r="AB84" s="2"/>
      <c r="AC84" s="2"/>
      <c r="AD84" s="2"/>
    </row>
    <row r="85" spans="1:30" ht="13.5" customHeight="1">
      <c r="A85" s="2"/>
      <c r="B85" s="61"/>
      <c r="C85" s="2"/>
      <c r="D85" s="2"/>
      <c r="E85" s="2"/>
      <c r="F85" s="2"/>
      <c r="G85" s="216" t="s">
        <v>494</v>
      </c>
      <c r="H85" s="74">
        <f>BYD!AV38</f>
        <v>128.74199999999999</v>
      </c>
      <c r="I85" s="191" t="s">
        <v>1705</v>
      </c>
      <c r="J85" s="1317">
        <f>'EBITDA Val'!D8</f>
        <v>10</v>
      </c>
      <c r="K85" s="192" t="s">
        <v>258</v>
      </c>
      <c r="L85" s="74">
        <f>H85*J85</f>
        <v>1287.4199999999998</v>
      </c>
      <c r="M85" s="2"/>
      <c r="N85" s="2"/>
      <c r="O85" s="2"/>
      <c r="P85" s="2"/>
      <c r="Q85" s="2"/>
      <c r="R85" s="2"/>
      <c r="S85" s="2"/>
      <c r="T85" s="122">
        <f>T84/S84-1</f>
        <v>3.5054773082942026E-2</v>
      </c>
      <c r="U85" s="122">
        <f>U84/T84-1</f>
        <v>1.8748110069549462E-2</v>
      </c>
      <c r="V85" s="2"/>
      <c r="W85" s="2"/>
      <c r="X85" s="2"/>
      <c r="Y85" s="2"/>
      <c r="Z85" s="2"/>
      <c r="AA85" s="2"/>
      <c r="AB85" s="2"/>
      <c r="AC85" s="2"/>
      <c r="AD85" s="2"/>
    </row>
    <row r="86" spans="1:30" ht="13.5" customHeight="1">
      <c r="A86" s="2"/>
      <c r="B86" s="61"/>
      <c r="C86" s="2"/>
      <c r="D86" s="2"/>
      <c r="E86" s="2"/>
      <c r="F86" s="2"/>
      <c r="G86" s="217" t="s">
        <v>549</v>
      </c>
      <c r="H86" s="74">
        <f>BYD!AV39</f>
        <v>32.832000000000001</v>
      </c>
      <c r="I86" s="191" t="s">
        <v>1705</v>
      </c>
      <c r="J86" s="1317">
        <f>'EBITDA Val'!D9</f>
        <v>9.5</v>
      </c>
      <c r="K86" s="192" t="s">
        <v>258</v>
      </c>
      <c r="L86" s="74">
        <f>H86*J86</f>
        <v>311.904</v>
      </c>
      <c r="M86" s="2"/>
      <c r="N86" s="2"/>
      <c r="O86" s="2"/>
      <c r="P86" s="2"/>
      <c r="Q86" s="2"/>
      <c r="R86" s="2"/>
      <c r="S86" s="2"/>
      <c r="T86" s="2"/>
      <c r="U86" s="2"/>
      <c r="V86" s="2"/>
      <c r="W86" s="2"/>
      <c r="X86" s="2"/>
      <c r="Y86" s="2"/>
      <c r="Z86" s="2"/>
      <c r="AA86" s="2"/>
      <c r="AB86" s="2"/>
      <c r="AC86" s="2"/>
      <c r="AD86" s="2"/>
    </row>
    <row r="87" spans="1:30" ht="13.5" customHeight="1">
      <c r="A87" s="2"/>
      <c r="B87" s="61"/>
      <c r="C87" s="2"/>
      <c r="D87" s="2"/>
      <c r="E87" s="2"/>
      <c r="F87" s="2"/>
      <c r="G87" s="218" t="s">
        <v>550</v>
      </c>
      <c r="H87" s="75">
        <f>BYD!AV29</f>
        <v>35.772999999999996</v>
      </c>
      <c r="I87" s="196" t="s">
        <v>1705</v>
      </c>
      <c r="J87" s="1318"/>
      <c r="K87" s="197" t="s">
        <v>258</v>
      </c>
      <c r="L87" s="75">
        <f>H87*J87</f>
        <v>0</v>
      </c>
      <c r="M87" s="2"/>
      <c r="N87" s="2"/>
      <c r="O87" s="2"/>
      <c r="P87" s="2"/>
      <c r="Q87" s="2"/>
      <c r="R87" s="2"/>
      <c r="S87" s="2"/>
      <c r="T87" s="2"/>
      <c r="U87" s="2"/>
      <c r="V87" s="2"/>
      <c r="W87" s="2"/>
      <c r="X87" s="2"/>
      <c r="Y87" s="2"/>
      <c r="Z87" s="2"/>
      <c r="AA87" s="2"/>
      <c r="AB87" s="2"/>
      <c r="AC87" s="2"/>
      <c r="AD87" s="2"/>
    </row>
    <row r="88" spans="1:30" ht="13.5" customHeight="1">
      <c r="A88" s="2"/>
      <c r="B88" s="61"/>
      <c r="C88" s="2"/>
      <c r="D88" s="2"/>
      <c r="E88" s="2"/>
      <c r="F88" s="2"/>
      <c r="G88" s="198" t="s">
        <v>1706</v>
      </c>
      <c r="H88" s="200">
        <f>SUM(H84:H87)</f>
        <v>410.84800000000007</v>
      </c>
      <c r="I88" s="184"/>
      <c r="J88" s="1333">
        <f>L88/H88</f>
        <v>8.5696729690785869</v>
      </c>
      <c r="K88" s="199"/>
      <c r="L88" s="200">
        <f>SUM(L84:L87)</f>
        <v>3520.8330000000001</v>
      </c>
      <c r="M88" s="2"/>
      <c r="N88" s="2"/>
      <c r="O88" s="2"/>
      <c r="P88" s="2"/>
      <c r="Q88" s="2"/>
      <c r="R88" s="2"/>
      <c r="S88" s="2"/>
      <c r="T88" s="2"/>
      <c r="U88" s="2"/>
      <c r="V88" s="2"/>
      <c r="W88" s="2"/>
      <c r="X88" s="2"/>
      <c r="Y88" s="2"/>
      <c r="Z88" s="2"/>
      <c r="AA88" s="2"/>
      <c r="AB88" s="2"/>
      <c r="AC88" s="2"/>
      <c r="AD88" s="2"/>
    </row>
    <row r="89" spans="1:30" ht="13.5" customHeight="1">
      <c r="A89" s="2"/>
      <c r="B89" s="61"/>
      <c r="C89" s="2"/>
      <c r="D89" s="2"/>
      <c r="E89" s="2"/>
      <c r="F89" s="2"/>
      <c r="G89" s="77" t="s">
        <v>418</v>
      </c>
      <c r="H89" s="74">
        <f>C46*(1+N89)</f>
        <v>383.214</v>
      </c>
      <c r="I89" s="191" t="s">
        <v>1705</v>
      </c>
      <c r="J89" s="1334">
        <f>B8</f>
        <v>8</v>
      </c>
      <c r="K89" s="192" t="s">
        <v>258</v>
      </c>
      <c r="L89" s="74">
        <f>H89*J89</f>
        <v>3065.712</v>
      </c>
      <c r="M89" s="2"/>
      <c r="N89" s="1330">
        <v>0.02</v>
      </c>
      <c r="O89" s="2" t="s">
        <v>1737</v>
      </c>
      <c r="P89" s="2"/>
      <c r="Q89" s="2"/>
      <c r="R89" s="2"/>
      <c r="S89" s="2"/>
      <c r="T89" s="2"/>
      <c r="U89" s="2"/>
      <c r="V89" s="2"/>
      <c r="W89" s="2"/>
      <c r="X89" s="2"/>
      <c r="Y89" s="2"/>
      <c r="Z89" s="2"/>
      <c r="AA89" s="2"/>
      <c r="AB89" s="2"/>
      <c r="AC89" s="2"/>
      <c r="AD89" s="2"/>
    </row>
    <row r="90" spans="1:30" ht="13.5" customHeight="1">
      <c r="A90" s="2"/>
      <c r="B90" s="61"/>
      <c r="C90" s="2"/>
      <c r="D90" s="2"/>
      <c r="E90" s="2"/>
      <c r="F90" s="2"/>
      <c r="G90" s="219" t="s">
        <v>603</v>
      </c>
      <c r="H90" s="75">
        <f>BYD!AV54</f>
        <v>-39.954000000000001</v>
      </c>
      <c r="I90" s="196" t="s">
        <v>1705</v>
      </c>
      <c r="J90" s="1318">
        <f>J88</f>
        <v>8.5696729690785869</v>
      </c>
      <c r="K90" s="197" t="s">
        <v>258</v>
      </c>
      <c r="L90" s="75">
        <f>J90*H90</f>
        <v>-342.39271380656589</v>
      </c>
      <c r="M90" s="2"/>
      <c r="N90" s="2"/>
      <c r="O90" s="2"/>
      <c r="P90" s="2"/>
      <c r="Q90" s="2"/>
      <c r="R90" s="2"/>
      <c r="S90" s="2"/>
      <c r="T90" s="2"/>
      <c r="U90" s="2"/>
      <c r="V90" s="2"/>
      <c r="W90" s="2"/>
      <c r="X90" s="2"/>
      <c r="Y90" s="2"/>
      <c r="Z90" s="2"/>
      <c r="AA90" s="2"/>
      <c r="AB90" s="2"/>
      <c r="AC90" s="2"/>
      <c r="AD90" s="2"/>
    </row>
    <row r="91" spans="1:30" ht="13.5" customHeight="1">
      <c r="A91" s="2"/>
      <c r="B91" s="61"/>
      <c r="C91" s="2"/>
      <c r="D91" s="2"/>
      <c r="E91" s="2"/>
      <c r="F91" s="2"/>
      <c r="G91" s="198" t="s">
        <v>310</v>
      </c>
      <c r="H91" s="202">
        <f>H90+H88+H89</f>
        <v>754.10800000000006</v>
      </c>
      <c r="I91" s="201"/>
      <c r="J91" s="1333">
        <f>L91/H91</f>
        <v>8.2801830589165384</v>
      </c>
      <c r="K91" s="201"/>
      <c r="L91" s="202">
        <f>L90+L88+L89</f>
        <v>6244.1522861934336</v>
      </c>
      <c r="M91" s="2"/>
      <c r="N91" s="2"/>
      <c r="O91" s="2"/>
      <c r="P91" s="2"/>
      <c r="Q91" s="2"/>
      <c r="R91" s="2"/>
      <c r="S91" s="2"/>
      <c r="T91" s="2"/>
      <c r="U91" s="2"/>
      <c r="V91" s="2"/>
      <c r="W91" s="2"/>
      <c r="X91" s="2"/>
      <c r="Y91" s="2"/>
      <c r="Z91" s="2"/>
      <c r="AA91" s="2"/>
      <c r="AB91" s="2"/>
      <c r="AC91" s="2"/>
      <c r="AD91" s="2"/>
    </row>
    <row r="92" spans="1:30" ht="13.5" customHeight="1">
      <c r="A92" s="2"/>
      <c r="B92" s="61"/>
      <c r="C92" s="2"/>
      <c r="D92" s="2"/>
      <c r="E92" s="2"/>
      <c r="F92" s="2"/>
      <c r="G92" s="220" t="s">
        <v>551</v>
      </c>
      <c r="H92" s="166">
        <v>87</v>
      </c>
      <c r="I92" s="191" t="s">
        <v>1705</v>
      </c>
      <c r="J92" s="1277">
        <v>2.5</v>
      </c>
      <c r="K92" s="192" t="s">
        <v>258</v>
      </c>
      <c r="L92" s="166">
        <f>H92*J92</f>
        <v>217.5</v>
      </c>
      <c r="M92" s="2"/>
      <c r="N92" s="2"/>
      <c r="O92" s="2"/>
      <c r="P92" s="2"/>
      <c r="Q92" s="2"/>
      <c r="R92" s="2"/>
      <c r="S92" s="2"/>
      <c r="T92" s="2"/>
      <c r="U92" s="2"/>
      <c r="V92" s="2"/>
      <c r="W92" s="2"/>
      <c r="X92" s="2"/>
      <c r="Y92" s="2"/>
      <c r="Z92" s="2"/>
      <c r="AA92" s="2"/>
      <c r="AB92" s="2"/>
      <c r="AC92" s="2"/>
      <c r="AD92" s="2"/>
    </row>
    <row r="93" spans="1:30" ht="13.5" customHeight="1">
      <c r="A93" s="2"/>
      <c r="B93" s="61"/>
      <c r="C93" s="2"/>
      <c r="D93" s="2"/>
      <c r="E93" s="2"/>
      <c r="F93" s="2"/>
      <c r="G93" s="220" t="s">
        <v>909</v>
      </c>
      <c r="H93" s="2"/>
      <c r="I93" s="201"/>
      <c r="J93" s="201"/>
      <c r="K93" s="201"/>
      <c r="L93" s="1278">
        <f>BYD!AV1227+BYD!AV1054</f>
        <v>4657.9249999999984</v>
      </c>
      <c r="M93" s="2"/>
      <c r="N93" s="2"/>
      <c r="O93" s="2"/>
      <c r="P93" s="2"/>
      <c r="Q93" s="2"/>
      <c r="R93" s="2"/>
      <c r="S93" s="2"/>
      <c r="T93" s="2"/>
      <c r="U93" s="2"/>
      <c r="V93" s="2"/>
      <c r="W93" s="2"/>
      <c r="X93" s="2"/>
      <c r="Y93" s="2"/>
      <c r="Z93" s="2"/>
      <c r="AA93" s="2"/>
      <c r="AB93" s="2"/>
      <c r="AC93" s="2"/>
      <c r="AD93" s="2"/>
    </row>
    <row r="94" spans="1:30" ht="13.5" customHeight="1">
      <c r="A94" s="2"/>
      <c r="B94" s="61"/>
      <c r="C94" s="2"/>
      <c r="D94" s="2"/>
      <c r="E94" s="2"/>
      <c r="F94" s="2"/>
      <c r="G94" s="220" t="s">
        <v>910</v>
      </c>
      <c r="H94" s="61"/>
      <c r="I94" s="201"/>
      <c r="J94" s="201"/>
      <c r="K94" s="201"/>
      <c r="L94" s="74"/>
      <c r="M94" s="2"/>
      <c r="N94" s="2"/>
      <c r="O94" s="2"/>
      <c r="P94" s="2"/>
      <c r="Q94" s="2"/>
      <c r="R94" s="2"/>
      <c r="S94" s="2"/>
      <c r="T94" s="2"/>
      <c r="U94" s="2"/>
      <c r="V94" s="2"/>
      <c r="W94" s="2"/>
      <c r="X94" s="2"/>
      <c r="Y94" s="2"/>
      <c r="Z94" s="2"/>
      <c r="AA94" s="2"/>
      <c r="AB94" s="2"/>
      <c r="AC94" s="2"/>
      <c r="AD94" s="2"/>
    </row>
    <row r="95" spans="1:30" ht="13.5" customHeight="1">
      <c r="A95" s="2"/>
      <c r="B95" s="61"/>
      <c r="C95" s="2"/>
      <c r="D95" s="2"/>
      <c r="E95" s="2"/>
      <c r="F95" s="2"/>
      <c r="G95" s="219" t="s">
        <v>554</v>
      </c>
      <c r="H95" s="72"/>
      <c r="I95" s="204"/>
      <c r="J95" s="204"/>
      <c r="K95" s="204"/>
      <c r="L95" s="75">
        <f>-B26-IF($B$16=1,B19,IF($B$16=2,C19,IF($B$16=3,D19,E19)))+N95</f>
        <v>-1972.1692500000001</v>
      </c>
      <c r="M95" s="2"/>
      <c r="N95" s="1329">
        <f>100*2+D59</f>
        <v>138.48075</v>
      </c>
      <c r="O95" s="2" t="s">
        <v>1736</v>
      </c>
      <c r="P95" s="2"/>
      <c r="Q95" s="2"/>
      <c r="R95" s="2"/>
      <c r="S95" s="2"/>
      <c r="T95" s="2"/>
      <c r="U95" s="2"/>
      <c r="V95" s="2"/>
      <c r="W95" s="2"/>
      <c r="X95" s="2"/>
      <c r="Y95" s="2"/>
      <c r="Z95" s="2"/>
      <c r="AA95" s="2"/>
      <c r="AB95" s="2"/>
      <c r="AC95" s="2"/>
      <c r="AD95" s="2"/>
    </row>
    <row r="96" spans="1:30" ht="13.5" customHeight="1">
      <c r="A96" s="2"/>
      <c r="B96" s="61"/>
      <c r="C96" s="2"/>
      <c r="D96" s="2"/>
      <c r="E96" s="2"/>
      <c r="F96" s="2"/>
      <c r="G96" s="198" t="s">
        <v>1707</v>
      </c>
      <c r="H96" s="205"/>
      <c r="I96" s="206"/>
      <c r="J96" s="206"/>
      <c r="K96" s="206"/>
      <c r="L96" s="200">
        <f>SUM(L91:L95)</f>
        <v>9147.4080361934302</v>
      </c>
      <c r="M96" s="2"/>
      <c r="N96" s="2"/>
      <c r="O96" s="2"/>
      <c r="P96" s="2"/>
      <c r="Q96" s="2"/>
      <c r="R96" s="2"/>
      <c r="S96" s="2"/>
      <c r="T96" s="2"/>
      <c r="U96" s="2"/>
      <c r="V96" s="2"/>
      <c r="W96" s="2"/>
      <c r="X96" s="2"/>
      <c r="Y96" s="2"/>
      <c r="Z96" s="2"/>
      <c r="AA96" s="2"/>
      <c r="AB96" s="2"/>
      <c r="AC96" s="2"/>
      <c r="AD96" s="2"/>
    </row>
    <row r="97" spans="1:30" ht="13.5" customHeight="1">
      <c r="A97" s="2"/>
      <c r="B97" s="61"/>
      <c r="C97" s="2"/>
      <c r="D97" s="2"/>
      <c r="E97" s="2"/>
      <c r="F97" s="2"/>
      <c r="G97" s="220" t="s">
        <v>1518</v>
      </c>
      <c r="H97" s="207"/>
      <c r="I97" s="957"/>
      <c r="J97" s="957"/>
      <c r="K97" s="957"/>
      <c r="L97" s="77">
        <f>L96/((1+'DCF Val'!B30)^1.75)</f>
        <v>7273.0163209284665</v>
      </c>
      <c r="M97" s="2"/>
      <c r="N97" s="2"/>
      <c r="O97" s="98"/>
      <c r="P97" s="2"/>
      <c r="Q97" s="2"/>
      <c r="R97" s="2"/>
      <c r="S97" s="2"/>
      <c r="T97" s="2"/>
      <c r="U97" s="2"/>
      <c r="V97" s="2"/>
      <c r="W97" s="2"/>
      <c r="X97" s="2"/>
      <c r="Y97" s="2"/>
      <c r="Z97" s="2"/>
      <c r="AA97" s="2"/>
      <c r="AB97" s="2"/>
      <c r="AC97" s="2"/>
      <c r="AD97" s="2"/>
    </row>
    <row r="98" spans="1:30" ht="13.5" customHeight="1">
      <c r="A98" s="2"/>
      <c r="B98" s="61"/>
      <c r="C98" s="2"/>
      <c r="D98" s="2"/>
      <c r="E98" s="2"/>
      <c r="F98" s="2"/>
      <c r="G98" s="220" t="s">
        <v>14</v>
      </c>
      <c r="H98" s="104"/>
      <c r="I98" s="77"/>
      <c r="J98" s="77"/>
      <c r="K98" s="77"/>
      <c r="L98" s="104">
        <f>E72</f>
        <v>162.35690710151067</v>
      </c>
      <c r="M98" s="2"/>
      <c r="N98" s="2"/>
      <c r="O98" s="2"/>
      <c r="P98" s="2"/>
      <c r="Q98" s="2"/>
      <c r="R98" s="2"/>
      <c r="S98" s="2"/>
      <c r="T98" s="2"/>
      <c r="U98" s="2"/>
      <c r="V98" s="2"/>
      <c r="W98" s="2"/>
      <c r="X98" s="2"/>
      <c r="Y98" s="2"/>
      <c r="Z98" s="2"/>
      <c r="AA98" s="2"/>
      <c r="AB98" s="2"/>
      <c r="AC98" s="2"/>
      <c r="AD98" s="2"/>
    </row>
    <row r="99" spans="1:30" ht="13.5" customHeight="1">
      <c r="A99" s="2"/>
      <c r="B99" s="61"/>
      <c r="C99" s="2"/>
      <c r="D99" s="2"/>
      <c r="E99" s="2"/>
      <c r="F99" s="2"/>
      <c r="G99" s="138" t="s">
        <v>1642</v>
      </c>
      <c r="H99" s="208"/>
      <c r="I99" s="209"/>
      <c r="J99" s="209"/>
      <c r="K99" s="209"/>
      <c r="L99" s="157">
        <f>ROUND(L97/L98,2)</f>
        <v>44.8</v>
      </c>
      <c r="M99" s="2"/>
      <c r="N99" s="2"/>
      <c r="O99" s="2"/>
      <c r="P99" s="2"/>
      <c r="Q99" s="2"/>
      <c r="R99" s="2"/>
      <c r="S99" s="2"/>
      <c r="T99" s="2"/>
      <c r="U99" s="2"/>
      <c r="V99" s="2"/>
      <c r="W99" s="2"/>
      <c r="X99" s="2"/>
      <c r="Y99" s="2"/>
      <c r="Z99" s="2"/>
      <c r="AA99" s="2"/>
      <c r="AB99" s="2"/>
      <c r="AC99" s="2"/>
      <c r="AD99" s="2"/>
    </row>
    <row r="100" spans="1:30" ht="6.75" customHeight="1">
      <c r="A100" s="2"/>
      <c r="B100" s="61"/>
      <c r="C100" s="2"/>
      <c r="D100" s="2"/>
      <c r="E100" s="2"/>
      <c r="F100" s="2"/>
      <c r="G100" s="198"/>
      <c r="H100" s="104"/>
      <c r="I100" s="201"/>
      <c r="J100" s="201"/>
      <c r="K100" s="201"/>
      <c r="L100" s="210"/>
      <c r="M100" s="2"/>
      <c r="N100" s="2"/>
      <c r="O100" s="2"/>
      <c r="P100" s="2"/>
      <c r="Q100" s="2"/>
      <c r="R100" s="2"/>
      <c r="S100" s="2"/>
      <c r="T100" s="2"/>
      <c r="U100" s="2"/>
      <c r="V100" s="2"/>
      <c r="W100" s="2"/>
      <c r="X100" s="2"/>
      <c r="Y100" s="2"/>
      <c r="Z100" s="2"/>
      <c r="AA100" s="2"/>
      <c r="AB100" s="2"/>
      <c r="AC100" s="2"/>
      <c r="AD100" s="2"/>
    </row>
    <row r="101" spans="1:30" ht="13.5" customHeight="1">
      <c r="A101" s="2"/>
      <c r="B101" s="61"/>
      <c r="C101" s="2"/>
      <c r="D101" s="2"/>
      <c r="E101" s="2"/>
      <c r="F101" s="2"/>
      <c r="G101" s="203" t="s">
        <v>1520</v>
      </c>
      <c r="H101" s="104"/>
      <c r="I101" s="201"/>
      <c r="J101" s="201"/>
      <c r="K101" s="201"/>
      <c r="L101" s="211">
        <f>'EBITDA Val'!F20</f>
        <v>33.889030181037867</v>
      </c>
      <c r="M101" s="2"/>
      <c r="N101" s="2"/>
      <c r="O101" s="2"/>
      <c r="P101" s="2"/>
      <c r="Q101" s="2"/>
      <c r="R101" s="2"/>
      <c r="S101" s="2"/>
      <c r="T101" s="2"/>
      <c r="U101" s="2"/>
      <c r="V101" s="2"/>
      <c r="W101" s="2"/>
      <c r="X101" s="2"/>
      <c r="Y101" s="2"/>
      <c r="Z101" s="2"/>
      <c r="AA101" s="2"/>
      <c r="AB101" s="2"/>
      <c r="AC101" s="2"/>
      <c r="AD101" s="2"/>
    </row>
    <row r="102" spans="1:30" ht="13.5" customHeight="1">
      <c r="A102" s="2"/>
      <c r="B102" s="61"/>
      <c r="C102" s="2"/>
      <c r="D102" s="2"/>
      <c r="E102" s="2"/>
      <c r="F102" s="2"/>
      <c r="G102" s="212" t="s">
        <v>16</v>
      </c>
      <c r="H102" s="104"/>
      <c r="I102" s="77"/>
      <c r="J102" s="77"/>
      <c r="K102" s="77"/>
      <c r="L102" s="213">
        <f>-(L101-L99)/L101</f>
        <v>0.32196170149086206</v>
      </c>
      <c r="M102" s="2"/>
      <c r="N102" s="2"/>
      <c r="O102" s="2"/>
      <c r="P102" s="2"/>
      <c r="Q102" s="2"/>
      <c r="R102" s="2"/>
      <c r="S102" s="2"/>
      <c r="T102" s="2"/>
      <c r="U102" s="2"/>
      <c r="V102" s="2"/>
      <c r="W102" s="2"/>
      <c r="X102" s="2"/>
      <c r="Y102" s="2"/>
      <c r="Z102" s="2"/>
      <c r="AA102" s="2"/>
      <c r="AB102" s="2"/>
      <c r="AC102" s="2"/>
      <c r="AD102" s="2"/>
    </row>
    <row r="103" spans="1:30" ht="13.5" customHeight="1">
      <c r="A103" s="2"/>
      <c r="B103" s="61"/>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row>
    <row r="104" spans="1:30" ht="13.5" customHeight="1">
      <c r="A104" s="2"/>
      <c r="B104" s="61"/>
      <c r="C104" s="2"/>
      <c r="D104" s="2"/>
      <c r="E104" s="2"/>
      <c r="F104" s="2"/>
      <c r="G104" s="2" t="s">
        <v>1527</v>
      </c>
      <c r="H104" s="2"/>
      <c r="I104" s="2"/>
      <c r="J104" s="2"/>
      <c r="K104" s="2"/>
      <c r="L104" s="114">
        <f>BYD!AQ1254</f>
        <v>7.2243249143830077</v>
      </c>
      <c r="M104" s="2"/>
      <c r="N104" s="2"/>
      <c r="O104" s="2"/>
      <c r="P104" s="2"/>
      <c r="Q104" s="2"/>
      <c r="R104" s="69" t="s">
        <v>1738</v>
      </c>
      <c r="S104" s="2"/>
      <c r="T104" s="2"/>
      <c r="U104" s="2"/>
      <c r="V104" s="2"/>
      <c r="W104" s="2"/>
      <c r="X104" s="2"/>
      <c r="Y104" s="2"/>
      <c r="Z104" s="2"/>
      <c r="AA104" s="2"/>
      <c r="AB104" s="2"/>
      <c r="AC104" s="2"/>
      <c r="AD104" s="2"/>
    </row>
    <row r="105" spans="1:30" ht="13.5" customHeight="1">
      <c r="A105" s="2"/>
      <c r="B105" s="61"/>
      <c r="C105" s="2"/>
      <c r="D105" s="2"/>
      <c r="E105" s="2"/>
      <c r="F105" s="2"/>
      <c r="G105" s="2" t="s">
        <v>1528</v>
      </c>
      <c r="H105" s="2"/>
      <c r="I105" s="2"/>
      <c r="J105" s="2"/>
      <c r="K105" s="2"/>
      <c r="L105" s="114">
        <f>(BYD!AQ1232+Acq!D19-Acq!C77-Acq!D77+B26)/(C49+D49+BYD!AQ1263)</f>
        <v>13.804446107784429</v>
      </c>
      <c r="M105" s="2"/>
      <c r="N105" s="2"/>
      <c r="O105" s="2"/>
      <c r="P105" s="2"/>
      <c r="Q105" s="2"/>
      <c r="R105" s="2"/>
      <c r="S105" s="61"/>
      <c r="T105" s="61"/>
      <c r="U105" s="61"/>
      <c r="V105" s="61"/>
      <c r="W105" s="61"/>
      <c r="X105" s="61"/>
      <c r="Y105" s="2"/>
      <c r="Z105" s="2"/>
      <c r="AA105" s="2"/>
      <c r="AB105" s="2"/>
      <c r="AC105" s="2"/>
      <c r="AD105" s="2"/>
    </row>
    <row r="106" spans="1:30" ht="13.5" customHeight="1">
      <c r="A106" s="2"/>
      <c r="B106" s="61"/>
      <c r="C106" s="2"/>
      <c r="D106" s="2"/>
      <c r="E106" s="2"/>
      <c r="F106" s="2"/>
      <c r="G106" s="2"/>
      <c r="H106" s="2"/>
      <c r="I106" s="2"/>
      <c r="J106" s="2"/>
      <c r="K106" s="2"/>
      <c r="L106" s="2"/>
      <c r="M106" s="2"/>
      <c r="N106" s="98"/>
      <c r="O106" s="98"/>
      <c r="P106" s="2"/>
      <c r="Q106" s="2"/>
      <c r="R106" s="2"/>
      <c r="S106" s="1197" t="s">
        <v>1739</v>
      </c>
      <c r="T106" s="1196"/>
      <c r="U106" s="1196"/>
      <c r="V106" s="1196"/>
      <c r="W106" s="1196"/>
      <c r="X106" s="1196"/>
      <c r="Y106" s="2"/>
      <c r="Z106" s="2"/>
      <c r="AA106" s="2"/>
      <c r="AB106" s="2"/>
      <c r="AC106" s="2"/>
      <c r="AD106" s="2"/>
    </row>
    <row r="107" spans="1:30" ht="13.5" customHeight="1">
      <c r="A107" s="2"/>
      <c r="B107" s="61"/>
      <c r="C107" s="2"/>
      <c r="D107" s="2"/>
      <c r="E107" s="2"/>
      <c r="F107" s="2"/>
      <c r="G107" s="2" t="s">
        <v>1493</v>
      </c>
      <c r="H107" s="2"/>
      <c r="I107" s="2"/>
      <c r="J107" s="2"/>
      <c r="K107" s="2"/>
      <c r="L107" s="114">
        <f>BYD!AV1254</f>
        <v>10.753572707941125</v>
      </c>
      <c r="M107" s="2"/>
      <c r="N107" s="2"/>
      <c r="O107" s="2"/>
      <c r="P107" s="2"/>
      <c r="Q107" s="4213" t="s">
        <v>1524</v>
      </c>
      <c r="R107" s="1338">
        <f>L99</f>
        <v>44.8</v>
      </c>
      <c r="S107" s="1339">
        <v>0</v>
      </c>
      <c r="T107" s="1339">
        <f>S107+0.02</f>
        <v>0.02</v>
      </c>
      <c r="U107" s="1339">
        <f>T107+0.02</f>
        <v>0.04</v>
      </c>
      <c r="V107" s="1339">
        <f>U107+0.02</f>
        <v>0.06</v>
      </c>
      <c r="W107" s="1339">
        <f>V107+0.02</f>
        <v>0.08</v>
      </c>
      <c r="X107" s="1339">
        <f>W107+0.02</f>
        <v>0.1</v>
      </c>
      <c r="Y107" s="2"/>
      <c r="Z107" s="2"/>
      <c r="AA107" s="2"/>
      <c r="AB107" s="2"/>
      <c r="AC107" s="2"/>
      <c r="AD107" s="2"/>
    </row>
    <row r="108" spans="1:30" ht="13.5" customHeight="1">
      <c r="A108" s="2"/>
      <c r="B108" s="61"/>
      <c r="C108" s="2"/>
      <c r="D108" s="2"/>
      <c r="E108" s="2"/>
      <c r="F108" s="2"/>
      <c r="G108" s="2" t="s">
        <v>1526</v>
      </c>
      <c r="H108" s="2"/>
      <c r="I108" s="2"/>
      <c r="J108" s="2"/>
      <c r="K108" s="2"/>
      <c r="L108" s="114">
        <f>-(L95+L94+L93)/(H91)</f>
        <v>-3.5615001432155582</v>
      </c>
      <c r="M108" s="2"/>
      <c r="N108" s="2"/>
      <c r="O108" s="2"/>
      <c r="P108" s="2"/>
      <c r="Q108" s="4214"/>
      <c r="R108" s="1">
        <v>1</v>
      </c>
      <c r="S108" s="1340"/>
      <c r="T108" s="1341"/>
      <c r="U108" s="1341"/>
      <c r="V108" s="1341"/>
      <c r="W108" s="1342"/>
      <c r="X108" s="1342"/>
      <c r="Y108" s="2"/>
      <c r="Z108" s="2"/>
      <c r="AA108" s="2"/>
      <c r="AB108" s="2"/>
      <c r="AC108" s="2"/>
      <c r="AD108" s="2"/>
    </row>
    <row r="109" spans="1:30" ht="13.5" customHeight="1">
      <c r="A109" s="2"/>
      <c r="B109" s="61"/>
      <c r="C109" s="2"/>
      <c r="D109" s="2"/>
      <c r="E109" s="2"/>
      <c r="F109" s="2"/>
      <c r="G109" s="2"/>
      <c r="H109" s="2"/>
      <c r="I109" s="2"/>
      <c r="J109" s="2"/>
      <c r="K109" s="2"/>
      <c r="L109" s="2"/>
      <c r="M109" s="2"/>
      <c r="N109" s="2"/>
      <c r="O109" s="2"/>
      <c r="P109" s="2"/>
      <c r="Q109" s="4214"/>
      <c r="R109" s="1">
        <v>2</v>
      </c>
      <c r="S109" s="1343"/>
      <c r="T109" s="1344"/>
      <c r="U109" s="1344"/>
      <c r="V109" s="1344"/>
      <c r="W109" s="1345"/>
      <c r="X109" s="1345"/>
      <c r="Y109" s="2"/>
      <c r="Z109" s="2"/>
      <c r="AA109" s="2"/>
      <c r="AB109" s="2"/>
      <c r="AC109" s="2"/>
      <c r="AD109" s="2"/>
    </row>
    <row r="110" spans="1:30" ht="13.5" customHeight="1">
      <c r="A110" s="2"/>
      <c r="B110" s="61"/>
      <c r="C110" s="2"/>
      <c r="D110" s="2"/>
      <c r="E110" s="2"/>
      <c r="F110" s="2"/>
      <c r="G110" s="2" t="s">
        <v>585</v>
      </c>
      <c r="H110" s="2"/>
      <c r="I110" s="2"/>
      <c r="J110" s="2"/>
      <c r="K110" s="2"/>
      <c r="L110" s="105">
        <f>(B77/B72)/L101</f>
        <v>-6.4414740732559594E-2</v>
      </c>
      <c r="M110" s="2"/>
      <c r="N110" s="2"/>
      <c r="O110" s="2"/>
      <c r="P110" s="2"/>
      <c r="Q110" s="4214"/>
      <c r="R110" s="1">
        <v>3</v>
      </c>
      <c r="S110" s="1346"/>
      <c r="T110" s="1347"/>
      <c r="U110" s="1347"/>
      <c r="V110" s="1347"/>
      <c r="W110" s="1347"/>
      <c r="X110" s="1347"/>
      <c r="Y110" s="2"/>
      <c r="Z110" s="2"/>
      <c r="AA110" s="2"/>
      <c r="AB110" s="2"/>
      <c r="AC110" s="2"/>
      <c r="AD110" s="2"/>
    </row>
    <row r="111" spans="1:30" ht="13.5" customHeight="1">
      <c r="A111" s="2"/>
      <c r="B111" s="61"/>
      <c r="C111" s="2"/>
      <c r="D111" s="2"/>
      <c r="E111" s="2"/>
      <c r="F111" s="2"/>
      <c r="G111" s="2" t="s">
        <v>586</v>
      </c>
      <c r="H111" s="2"/>
      <c r="I111" s="2"/>
      <c r="J111" s="2"/>
      <c r="K111" s="2"/>
      <c r="L111" s="105">
        <f>(E77/E72)/L101</f>
        <v>-2.258534752979207E-2</v>
      </c>
      <c r="M111" s="2"/>
      <c r="N111" s="2"/>
      <c r="O111" s="2"/>
      <c r="P111" s="2"/>
      <c r="Q111" s="4214"/>
      <c r="R111" s="1">
        <v>4</v>
      </c>
      <c r="S111" s="1348"/>
      <c r="T111" s="1345"/>
      <c r="U111" s="1345"/>
      <c r="V111" s="1345"/>
      <c r="W111" s="1345"/>
      <c r="X111" s="1345"/>
      <c r="Y111" s="2"/>
      <c r="Z111" s="2"/>
      <c r="AA111" s="2"/>
      <c r="AB111" s="2"/>
      <c r="AC111" s="2"/>
      <c r="AD111" s="2"/>
    </row>
    <row r="112" spans="1:30" ht="13.5" customHeight="1">
      <c r="A112" s="2"/>
      <c r="B112" s="61"/>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row>
    <row r="113" spans="1:30" ht="13.5" customHeight="1">
      <c r="A113" s="2"/>
      <c r="B113" s="61"/>
      <c r="C113" s="2"/>
      <c r="D113" s="2"/>
      <c r="E113" s="2"/>
      <c r="F113" s="2"/>
      <c r="G113" s="2"/>
      <c r="H113" s="2"/>
      <c r="I113" s="2"/>
      <c r="J113" s="2"/>
      <c r="K113" s="2"/>
      <c r="L113" s="2"/>
      <c r="M113" s="2"/>
      <c r="N113" s="2"/>
      <c r="O113" s="2"/>
      <c r="P113" s="2"/>
      <c r="Q113" s="2"/>
      <c r="R113" s="2"/>
      <c r="S113" s="105"/>
      <c r="T113" s="105"/>
      <c r="U113" s="105"/>
      <c r="V113" s="105"/>
      <c r="W113" s="105"/>
      <c r="X113" s="105"/>
      <c r="Y113" s="2"/>
      <c r="Z113" s="2"/>
      <c r="AA113" s="2"/>
      <c r="AB113" s="2"/>
      <c r="AC113" s="2"/>
      <c r="AD113" s="2"/>
    </row>
    <row r="114" spans="1:30" ht="13.5" customHeight="1">
      <c r="A114" s="2"/>
      <c r="B114" s="61"/>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row>
    <row r="115" spans="1:30" ht="13.5" customHeight="1">
      <c r="A115" s="2"/>
      <c r="B115" s="61"/>
      <c r="C115" s="2"/>
      <c r="D115" s="2"/>
      <c r="E115" s="2"/>
      <c r="F115" s="2"/>
      <c r="G115" s="2"/>
      <c r="H115" s="2"/>
      <c r="I115" s="2"/>
      <c r="J115" s="2"/>
      <c r="K115" s="2"/>
      <c r="L115" s="2"/>
      <c r="M115" s="2"/>
      <c r="N115" s="2"/>
      <c r="O115" s="2"/>
      <c r="P115" s="2"/>
      <c r="Q115" s="2"/>
      <c r="R115" s="2"/>
      <c r="S115" s="1367" t="str">
        <f t="shared" ref="S115:S120" si="0">S106</f>
        <v>ASCA EBITDA CAGR</v>
      </c>
      <c r="T115" s="1367"/>
      <c r="U115" s="1367"/>
      <c r="V115" s="1367"/>
      <c r="W115" s="1367"/>
      <c r="X115" s="105"/>
      <c r="Y115" s="2"/>
      <c r="Z115" s="2"/>
      <c r="AA115" s="2"/>
      <c r="AB115" s="2"/>
      <c r="AC115" s="2"/>
      <c r="AD115" s="2"/>
    </row>
    <row r="116" spans="1:30" ht="13.5" customHeight="1">
      <c r="A116" s="2"/>
      <c r="B116" s="61"/>
      <c r="C116" s="2"/>
      <c r="D116" s="2"/>
      <c r="E116" s="2"/>
      <c r="F116" s="2"/>
      <c r="G116" s="2"/>
      <c r="H116" s="2"/>
      <c r="I116" s="2"/>
      <c r="J116" s="2"/>
      <c r="K116" s="2"/>
      <c r="L116" s="2"/>
      <c r="M116" s="2"/>
      <c r="N116" s="2"/>
      <c r="O116" s="2"/>
      <c r="P116" s="2"/>
      <c r="Q116" s="2"/>
      <c r="R116" s="2"/>
      <c r="S116" s="1368">
        <f t="shared" si="0"/>
        <v>0</v>
      </c>
      <c r="T116" s="1368">
        <f t="shared" ref="T116:W118" si="1">T107</f>
        <v>0.02</v>
      </c>
      <c r="U116" s="1368">
        <f t="shared" si="1"/>
        <v>0.04</v>
      </c>
      <c r="V116" s="1368">
        <f t="shared" si="1"/>
        <v>0.06</v>
      </c>
      <c r="W116" s="1368">
        <f t="shared" si="1"/>
        <v>0.08</v>
      </c>
      <c r="X116" s="2"/>
      <c r="Y116" s="2"/>
      <c r="Z116" s="2"/>
      <c r="AA116" s="2"/>
      <c r="AB116" s="2"/>
      <c r="AC116" s="2"/>
      <c r="AD116" s="2"/>
    </row>
    <row r="117" spans="1:30" ht="13.5" customHeight="1">
      <c r="A117" s="2"/>
      <c r="B117" s="61"/>
      <c r="C117" s="2"/>
      <c r="D117" s="2"/>
      <c r="E117" s="2"/>
      <c r="F117" s="2"/>
      <c r="G117" s="2"/>
      <c r="H117" s="2"/>
      <c r="I117" s="2"/>
      <c r="J117" s="2"/>
      <c r="K117" s="2"/>
      <c r="L117" s="2"/>
      <c r="M117" s="2"/>
      <c r="N117" s="2"/>
      <c r="O117" s="2"/>
      <c r="P117" s="2"/>
      <c r="Q117" s="2"/>
      <c r="R117" s="106">
        <v>1</v>
      </c>
      <c r="S117" s="1370">
        <f t="shared" si="0"/>
        <v>0</v>
      </c>
      <c r="T117" s="1322">
        <f t="shared" si="1"/>
        <v>0</v>
      </c>
      <c r="U117" s="1322">
        <f t="shared" si="1"/>
        <v>0</v>
      </c>
      <c r="V117" s="1322">
        <f t="shared" si="1"/>
        <v>0</v>
      </c>
      <c r="W117" s="1322">
        <f t="shared" si="1"/>
        <v>0</v>
      </c>
      <c r="X117" s="2"/>
      <c r="Y117" s="2"/>
      <c r="Z117" s="2"/>
      <c r="AA117" s="2"/>
      <c r="AB117" s="2"/>
      <c r="AC117" s="2"/>
      <c r="AD117" s="2"/>
    </row>
    <row r="118" spans="1:30" ht="13.5" customHeight="1">
      <c r="A118" s="2"/>
      <c r="B118" s="61"/>
      <c r="C118" s="2"/>
      <c r="D118" s="2"/>
      <c r="E118" s="2"/>
      <c r="F118" s="2"/>
      <c r="G118" s="2"/>
      <c r="H118" s="2"/>
      <c r="I118" s="2"/>
      <c r="J118" s="2"/>
      <c r="K118" s="2"/>
      <c r="L118" s="2"/>
      <c r="M118" s="2"/>
      <c r="N118" s="2"/>
      <c r="O118" s="2"/>
      <c r="P118" s="2"/>
      <c r="Q118" s="2"/>
      <c r="R118" s="106">
        <f>R117-0.25</f>
        <v>0.75</v>
      </c>
      <c r="S118" s="1369">
        <f t="shared" si="0"/>
        <v>0</v>
      </c>
      <c r="T118" s="1120">
        <f t="shared" si="1"/>
        <v>0</v>
      </c>
      <c r="U118" s="1120">
        <f t="shared" si="1"/>
        <v>0</v>
      </c>
      <c r="V118" s="1120">
        <f t="shared" si="1"/>
        <v>0</v>
      </c>
      <c r="W118" s="1120">
        <f t="shared" si="1"/>
        <v>0</v>
      </c>
      <c r="X118" s="2"/>
      <c r="Y118" s="2"/>
      <c r="Z118" s="69" t="s">
        <v>1031</v>
      </c>
      <c r="AA118" s="2"/>
      <c r="AB118" s="2"/>
      <c r="AC118" s="2"/>
      <c r="AD118" s="2"/>
    </row>
    <row r="119" spans="1:30" ht="13.5" customHeight="1">
      <c r="A119" s="2"/>
      <c r="B119" s="61"/>
      <c r="C119" s="2"/>
      <c r="D119" s="2"/>
      <c r="E119" s="2"/>
      <c r="F119" s="2"/>
      <c r="G119" s="2"/>
      <c r="H119" s="2"/>
      <c r="I119" s="2"/>
      <c r="J119" s="2"/>
      <c r="K119" s="2"/>
      <c r="L119" s="2"/>
      <c r="M119" s="2"/>
      <c r="N119" s="2"/>
      <c r="O119" s="2"/>
      <c r="P119" s="2"/>
      <c r="Q119" s="2"/>
      <c r="R119" s="106">
        <f>R118-0.25</f>
        <v>0.5</v>
      </c>
      <c r="S119" s="1369">
        <f t="shared" si="0"/>
        <v>0</v>
      </c>
      <c r="T119" s="1120">
        <f t="shared" ref="T119:W120" si="2">T110</f>
        <v>0</v>
      </c>
      <c r="U119" s="1120">
        <f t="shared" si="2"/>
        <v>0</v>
      </c>
      <c r="V119" s="1120">
        <f t="shared" si="2"/>
        <v>0</v>
      </c>
      <c r="W119" s="1120">
        <f t="shared" si="2"/>
        <v>0</v>
      </c>
      <c r="X119" s="2"/>
      <c r="Y119" s="2"/>
      <c r="Z119" s="2" t="s">
        <v>1033</v>
      </c>
      <c r="AA119" s="1197" t="s">
        <v>53</v>
      </c>
      <c r="AB119" s="1196"/>
      <c r="AC119" s="1196"/>
      <c r="AD119" s="1196"/>
    </row>
    <row r="120" spans="1:30" ht="13.5" customHeight="1">
      <c r="A120" s="2"/>
      <c r="B120" s="61"/>
      <c r="C120" s="2"/>
      <c r="D120" s="2"/>
      <c r="E120" s="2"/>
      <c r="F120" s="2"/>
      <c r="G120" s="2"/>
      <c r="H120" s="2"/>
      <c r="I120" s="2"/>
      <c r="J120" s="2"/>
      <c r="K120" s="2"/>
      <c r="L120" s="2"/>
      <c r="M120" s="2"/>
      <c r="N120" s="2"/>
      <c r="O120" s="2"/>
      <c r="P120" s="2"/>
      <c r="Q120" s="2"/>
      <c r="R120" s="106">
        <f>R119-0.25</f>
        <v>0.25</v>
      </c>
      <c r="S120" s="1369">
        <f t="shared" si="0"/>
        <v>0</v>
      </c>
      <c r="T120" s="1120">
        <f t="shared" si="2"/>
        <v>0</v>
      </c>
      <c r="U120" s="1120">
        <f t="shared" si="2"/>
        <v>0</v>
      </c>
      <c r="V120" s="1120">
        <f t="shared" si="2"/>
        <v>0</v>
      </c>
      <c r="W120" s="1120">
        <f t="shared" si="2"/>
        <v>0</v>
      </c>
      <c r="X120" s="2"/>
      <c r="Y120" s="2"/>
      <c r="Z120" s="72"/>
      <c r="AA120" s="73" t="s">
        <v>552</v>
      </c>
      <c r="AB120" s="73" t="s">
        <v>1032</v>
      </c>
      <c r="AC120" s="73" t="s">
        <v>1001</v>
      </c>
      <c r="AD120" s="1359" t="s">
        <v>1036</v>
      </c>
    </row>
    <row r="121" spans="1:30" ht="13.5" customHeight="1">
      <c r="A121" s="2"/>
      <c r="B121" s="61"/>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112"/>
    </row>
    <row r="122" spans="1:30" ht="13.5" customHeight="1">
      <c r="A122" s="2"/>
      <c r="B122" s="61"/>
      <c r="C122" s="2"/>
      <c r="D122" s="2"/>
      <c r="E122" s="2"/>
      <c r="F122" s="2"/>
      <c r="G122" s="2"/>
      <c r="H122" s="2"/>
      <c r="I122" s="2"/>
      <c r="J122" s="2"/>
      <c r="K122" s="2"/>
      <c r="L122" s="2"/>
      <c r="M122" s="2"/>
      <c r="N122" s="2"/>
      <c r="O122" s="2"/>
      <c r="P122" s="2"/>
      <c r="Q122" s="2"/>
      <c r="R122" s="2"/>
      <c r="S122" s="1367" t="str">
        <f>S115</f>
        <v>ASCA EBITDA CAGR</v>
      </c>
      <c r="T122" s="1367"/>
      <c r="U122" s="1367"/>
      <c r="V122" s="1367"/>
      <c r="W122" s="1367"/>
      <c r="X122" s="2"/>
      <c r="Y122" s="2"/>
      <c r="Z122" s="242" t="s">
        <v>22</v>
      </c>
      <c r="AA122" s="1352">
        <f>B39</f>
        <v>2330.8430000000003</v>
      </c>
      <c r="AB122" s="1352">
        <f>C39</f>
        <v>1214.0999999999999</v>
      </c>
      <c r="AC122" s="1352"/>
      <c r="AD122" s="163">
        <f>E39</f>
        <v>3544.9430000000002</v>
      </c>
    </row>
    <row r="123" spans="1:30" ht="13.5" customHeight="1">
      <c r="A123" s="2"/>
      <c r="B123" s="61"/>
      <c r="C123" s="2"/>
      <c r="D123" s="2"/>
      <c r="E123" s="2"/>
      <c r="F123" s="2"/>
      <c r="G123" s="2"/>
      <c r="H123" s="2"/>
      <c r="I123" s="2"/>
      <c r="J123" s="2"/>
      <c r="K123" s="2"/>
      <c r="L123" s="2"/>
      <c r="M123" s="2"/>
      <c r="N123" s="2"/>
      <c r="O123" s="2"/>
      <c r="P123" s="2"/>
      <c r="Q123" s="2"/>
      <c r="R123" s="2"/>
      <c r="S123" s="1368">
        <f>S116</f>
        <v>0</v>
      </c>
      <c r="T123" s="1368">
        <f>T116</f>
        <v>0.02</v>
      </c>
      <c r="U123" s="1374">
        <f>U116</f>
        <v>0.04</v>
      </c>
      <c r="V123" s="1368">
        <f>V116</f>
        <v>0.06</v>
      </c>
      <c r="W123" s="1368">
        <f>W116</f>
        <v>0.08</v>
      </c>
      <c r="X123" s="2"/>
      <c r="Y123" s="2"/>
      <c r="Z123" s="257"/>
      <c r="AA123" s="113"/>
      <c r="AB123" s="113"/>
      <c r="AC123" s="113"/>
      <c r="AD123" s="137"/>
    </row>
    <row r="124" spans="1:30" ht="20.25" customHeight="1">
      <c r="A124" s="2"/>
      <c r="B124" s="61"/>
      <c r="C124" s="2"/>
      <c r="D124" s="2"/>
      <c r="E124" s="2"/>
      <c r="F124" s="2"/>
      <c r="G124" s="2"/>
      <c r="H124" s="2"/>
      <c r="I124" s="2"/>
      <c r="J124" s="2"/>
      <c r="K124" s="2"/>
      <c r="L124" s="2"/>
      <c r="M124" s="2"/>
      <c r="N124" s="2"/>
      <c r="O124" s="2"/>
      <c r="P124" s="2"/>
      <c r="Q124" s="2"/>
      <c r="R124" s="1372">
        <v>1</v>
      </c>
      <c r="S124" s="1371">
        <f>S117/'EBITDA Val'!$F$16-1</f>
        <v>-1</v>
      </c>
      <c r="T124" s="95">
        <f>T117/'EBITDA Val'!$F$16-1</f>
        <v>-1</v>
      </c>
      <c r="U124" s="1373">
        <f>U117/'EBITDA Val'!$F$16-1</f>
        <v>-1</v>
      </c>
      <c r="V124" s="95">
        <f>V117/'EBITDA Val'!$F$16-1</f>
        <v>-1</v>
      </c>
      <c r="W124" s="95">
        <f>W117/'EBITDA Val'!$F$16-1</f>
        <v>-1</v>
      </c>
      <c r="X124" s="2"/>
      <c r="Y124" s="2"/>
      <c r="Z124" s="1011" t="s">
        <v>223</v>
      </c>
      <c r="AA124" s="168">
        <f>B46</f>
        <v>506.30200000000002</v>
      </c>
      <c r="AB124" s="168">
        <f>C46</f>
        <v>375.7</v>
      </c>
      <c r="AC124" s="168"/>
      <c r="AD124" s="169">
        <f>E46</f>
        <v>882.00199999999995</v>
      </c>
    </row>
    <row r="125" spans="1:30" ht="20.25" customHeight="1">
      <c r="A125" s="2"/>
      <c r="B125" s="61"/>
      <c r="C125" s="2"/>
      <c r="D125" s="2"/>
      <c r="E125" s="2"/>
      <c r="F125" s="2"/>
      <c r="G125" s="2"/>
      <c r="H125" s="2"/>
      <c r="I125" s="2"/>
      <c r="J125" s="2"/>
      <c r="K125" s="2"/>
      <c r="L125" s="2"/>
      <c r="M125" s="2"/>
      <c r="N125" s="2"/>
      <c r="O125" s="2"/>
      <c r="P125" s="2"/>
      <c r="Q125" s="1" t="s">
        <v>1522</v>
      </c>
      <c r="R125" s="1372">
        <f>R124-0.25</f>
        <v>0.75</v>
      </c>
      <c r="S125" s="4047">
        <f>S118/'EBITDA Val'!$F$16-1</f>
        <v>-1</v>
      </c>
      <c r="T125" s="4048">
        <f>T118/'EBITDA Val'!$F$16-1</f>
        <v>-1</v>
      </c>
      <c r="U125" s="4048">
        <f>U118/'EBITDA Val'!$F$16-1</f>
        <v>-1</v>
      </c>
      <c r="V125" s="4048">
        <f>V118/'EBITDA Val'!$F$16-1</f>
        <v>-1</v>
      </c>
      <c r="W125" s="4048">
        <f>W118/'EBITDA Val'!$F$16-1</f>
        <v>-1</v>
      </c>
      <c r="X125" s="2"/>
      <c r="Y125" s="2"/>
      <c r="Z125" s="1350" t="s">
        <v>56</v>
      </c>
      <c r="AA125" s="122">
        <f>B47</f>
        <v>0.21721840552967314</v>
      </c>
      <c r="AB125" s="122">
        <f>AB124/AB122</f>
        <v>0.3094473272382835</v>
      </c>
      <c r="AC125" s="122"/>
      <c r="AD125" s="120">
        <f>AD124/AD122</f>
        <v>0.24880569306756128</v>
      </c>
    </row>
    <row r="126" spans="1:30" ht="20.25" customHeight="1">
      <c r="A126" s="2"/>
      <c r="B126" s="61"/>
      <c r="C126" s="2"/>
      <c r="D126" s="2"/>
      <c r="E126" s="2"/>
      <c r="F126" s="2"/>
      <c r="G126" s="2"/>
      <c r="H126" s="2"/>
      <c r="I126" s="2"/>
      <c r="J126" s="2"/>
      <c r="K126" s="2"/>
      <c r="L126" s="2"/>
      <c r="M126" s="2"/>
      <c r="N126" s="2"/>
      <c r="O126" s="2"/>
      <c r="P126" s="2"/>
      <c r="Q126" s="1" t="s">
        <v>1521</v>
      </c>
      <c r="R126" s="1372">
        <f>R125-0.25</f>
        <v>0.5</v>
      </c>
      <c r="S126" s="4047">
        <f>S119/'EBITDA Val'!$F$16-1</f>
        <v>-1</v>
      </c>
      <c r="T126" s="4048">
        <f>T119/'EBITDA Val'!$F$16-1</f>
        <v>-1</v>
      </c>
      <c r="U126" s="4048">
        <f>U119/'EBITDA Val'!$F$16-1</f>
        <v>-1</v>
      </c>
      <c r="V126" s="4048">
        <f>V119/'EBITDA Val'!$F$16-1</f>
        <v>-1</v>
      </c>
      <c r="W126" s="4048">
        <f>W119/'EBITDA Val'!$F$16-1</f>
        <v>-1</v>
      </c>
      <c r="X126" s="2"/>
      <c r="Y126" s="2"/>
      <c r="Z126" s="834"/>
      <c r="AA126" s="166"/>
      <c r="AB126" s="166"/>
      <c r="AC126" s="166"/>
      <c r="AD126" s="170"/>
    </row>
    <row r="127" spans="1:30" ht="20.25" customHeight="1">
      <c r="A127" s="2"/>
      <c r="B127" s="61"/>
      <c r="C127" s="2"/>
      <c r="D127" s="2"/>
      <c r="E127" s="2"/>
      <c r="F127" s="2"/>
      <c r="G127" s="2"/>
      <c r="H127" s="2"/>
      <c r="I127" s="2"/>
      <c r="J127" s="2"/>
      <c r="K127" s="2"/>
      <c r="L127" s="2"/>
      <c r="M127" s="2"/>
      <c r="N127" s="2"/>
      <c r="O127" s="2"/>
      <c r="P127" s="2"/>
      <c r="Q127" s="2"/>
      <c r="R127" s="1372">
        <f>R126-0.25</f>
        <v>0.25</v>
      </c>
      <c r="S127" s="4049">
        <f>S120/'EBITDA Val'!$F$16-1</f>
        <v>-1</v>
      </c>
      <c r="T127" s="4050">
        <f>T120/'EBITDA Val'!$F$16-1</f>
        <v>-1</v>
      </c>
      <c r="U127" s="4048">
        <f>U120/'EBITDA Val'!$F$16-1</f>
        <v>-1</v>
      </c>
      <c r="V127" s="4050">
        <f>V120/'EBITDA Val'!$F$16-1</f>
        <v>-1</v>
      </c>
      <c r="W127" s="4050">
        <f>W120/'EBITDA Val'!$F$16-1</f>
        <v>-1</v>
      </c>
      <c r="X127" s="2"/>
      <c r="Y127" s="2"/>
      <c r="Z127" s="1361" t="s">
        <v>1519</v>
      </c>
      <c r="AA127" s="1355">
        <f t="shared" ref="AA127:AD128" si="3">B48</f>
        <v>-40.189</v>
      </c>
      <c r="AB127" s="1355">
        <f t="shared" si="3"/>
        <v>-45</v>
      </c>
      <c r="AC127" s="1355">
        <f t="shared" si="3"/>
        <v>20</v>
      </c>
      <c r="AD127" s="1362">
        <f t="shared" si="3"/>
        <v>-65.188999999999993</v>
      </c>
    </row>
    <row r="128" spans="1:30" ht="13.5" customHeight="1">
      <c r="A128" s="2"/>
      <c r="B128" s="61"/>
      <c r="C128" s="2"/>
      <c r="D128" s="2"/>
      <c r="E128" s="2"/>
      <c r="F128" s="2"/>
      <c r="G128" s="2"/>
      <c r="H128" s="2"/>
      <c r="I128" s="2"/>
      <c r="J128" s="2"/>
      <c r="K128" s="2"/>
      <c r="L128" s="2"/>
      <c r="M128" s="2"/>
      <c r="N128" s="2"/>
      <c r="O128" s="2"/>
      <c r="P128" s="2"/>
      <c r="Q128" s="2"/>
      <c r="R128" s="2"/>
      <c r="S128" s="2"/>
      <c r="T128" s="2"/>
      <c r="U128" s="2"/>
      <c r="V128" s="2"/>
      <c r="W128" s="2"/>
      <c r="X128" s="2"/>
      <c r="Y128" s="2"/>
      <c r="Z128" s="1011" t="s">
        <v>1139</v>
      </c>
      <c r="AA128" s="168">
        <f t="shared" si="3"/>
        <v>466.113</v>
      </c>
      <c r="AB128" s="168">
        <f t="shared" si="3"/>
        <v>330.7</v>
      </c>
      <c r="AC128" s="168">
        <f t="shared" si="3"/>
        <v>20</v>
      </c>
      <c r="AD128" s="169">
        <f t="shared" si="3"/>
        <v>816.81299999999999</v>
      </c>
    </row>
    <row r="129" spans="1:30" ht="13.5" customHeight="1">
      <c r="A129" s="2"/>
      <c r="B129" s="61"/>
      <c r="C129" s="2"/>
      <c r="D129" s="2"/>
      <c r="E129" s="2"/>
      <c r="F129" s="2"/>
      <c r="G129" s="2"/>
      <c r="H129" s="2"/>
      <c r="I129" s="2"/>
      <c r="J129" s="2"/>
      <c r="K129" s="2"/>
      <c r="L129" s="2"/>
      <c r="M129" s="2"/>
      <c r="N129" s="2"/>
      <c r="O129" s="2"/>
      <c r="P129" s="2"/>
      <c r="Q129" s="2"/>
      <c r="R129" s="2"/>
      <c r="S129" s="2"/>
      <c r="T129" s="2"/>
      <c r="U129" s="2"/>
      <c r="V129" s="2"/>
      <c r="W129" s="2"/>
      <c r="X129" s="2"/>
      <c r="Y129" s="2"/>
      <c r="Z129" s="1350" t="s">
        <v>56</v>
      </c>
      <c r="AA129" s="122">
        <f>B50</f>
        <v>0.19997614596950541</v>
      </c>
      <c r="AB129" s="122">
        <f>AB128/AB122</f>
        <v>0.27238283502182686</v>
      </c>
      <c r="AC129" s="122"/>
      <c r="AD129" s="120">
        <f>AD128/AD122</f>
        <v>0.23041639879682127</v>
      </c>
    </row>
    <row r="130" spans="1:30" ht="13.5" customHeight="1">
      <c r="A130" s="2"/>
      <c r="B130" s="61"/>
      <c r="C130" s="2"/>
      <c r="D130" s="2"/>
      <c r="E130" s="2"/>
      <c r="F130" s="2"/>
      <c r="G130" s="2"/>
      <c r="H130" s="2"/>
      <c r="I130" s="2"/>
      <c r="J130" s="2"/>
      <c r="K130" s="2"/>
      <c r="L130" s="2"/>
      <c r="M130" s="2"/>
      <c r="N130" s="2"/>
      <c r="O130" s="2"/>
      <c r="P130" s="2"/>
      <c r="Q130" s="2"/>
      <c r="R130" s="2"/>
      <c r="S130" s="2"/>
      <c r="T130" s="2"/>
      <c r="U130" s="2"/>
      <c r="V130" s="2"/>
      <c r="W130" s="2"/>
      <c r="X130" s="2"/>
      <c r="Y130" s="2"/>
      <c r="Z130" s="1062"/>
      <c r="AA130" s="166"/>
      <c r="AB130" s="166"/>
      <c r="AC130" s="166"/>
      <c r="AD130" s="170"/>
    </row>
    <row r="131" spans="1:30" ht="13.5" customHeight="1">
      <c r="A131" s="2"/>
      <c r="B131" s="61"/>
      <c r="C131" s="2"/>
      <c r="D131" s="2"/>
      <c r="E131" s="2"/>
      <c r="F131" s="2"/>
      <c r="G131" s="2"/>
      <c r="H131" s="2"/>
      <c r="I131" s="2"/>
      <c r="J131" s="2"/>
      <c r="K131" s="2"/>
      <c r="L131" s="2"/>
      <c r="M131" s="2"/>
      <c r="N131" s="2"/>
      <c r="O131" s="2"/>
      <c r="P131" s="2"/>
      <c r="Q131" s="2"/>
      <c r="R131" s="2"/>
      <c r="S131" s="2"/>
      <c r="T131" s="2"/>
      <c r="U131" s="2"/>
      <c r="V131" s="2"/>
      <c r="W131" s="2"/>
      <c r="X131" s="2"/>
      <c r="Y131" s="2"/>
      <c r="Z131" s="429" t="s">
        <v>1745</v>
      </c>
      <c r="AA131" s="166">
        <f t="shared" ref="AA131:AD133" si="4">B52</f>
        <v>9.9969999999999999</v>
      </c>
      <c r="AB131" s="1355">
        <f t="shared" si="4"/>
        <v>0</v>
      </c>
      <c r="AC131" s="1355">
        <f t="shared" si="4"/>
        <v>0</v>
      </c>
      <c r="AD131" s="170">
        <f t="shared" si="4"/>
        <v>9.9969999999999999</v>
      </c>
    </row>
    <row r="132" spans="1:30" ht="13.5" customHeight="1">
      <c r="A132" s="2"/>
      <c r="B132" s="61"/>
      <c r="C132" s="2"/>
      <c r="D132" s="2"/>
      <c r="E132" s="2"/>
      <c r="F132" s="2"/>
      <c r="G132" s="2"/>
      <c r="H132" s="2"/>
      <c r="I132" s="2"/>
      <c r="J132" s="2"/>
      <c r="K132" s="2"/>
      <c r="L132" s="2"/>
      <c r="M132" s="2"/>
      <c r="N132" s="2"/>
      <c r="O132" s="2"/>
      <c r="P132" s="2"/>
      <c r="Q132" s="2"/>
      <c r="R132" s="2"/>
      <c r="S132" s="2"/>
      <c r="T132" s="2"/>
      <c r="U132" s="2"/>
      <c r="V132" s="2"/>
      <c r="W132" s="2"/>
      <c r="X132" s="2"/>
      <c r="Y132" s="2"/>
      <c r="Z132" s="429" t="s">
        <v>201</v>
      </c>
      <c r="AA132" s="166">
        <f t="shared" si="4"/>
        <v>4.1360000000000001</v>
      </c>
      <c r="AB132" s="1355">
        <f t="shared" si="4"/>
        <v>0</v>
      </c>
      <c r="AC132" s="1355">
        <f t="shared" si="4"/>
        <v>0</v>
      </c>
      <c r="AD132" s="170">
        <f t="shared" si="4"/>
        <v>4.1360000000000001</v>
      </c>
    </row>
    <row r="133" spans="1:30" ht="13.5" customHeight="1">
      <c r="A133" s="2"/>
      <c r="B133" s="61"/>
      <c r="C133" s="2"/>
      <c r="D133" s="2"/>
      <c r="E133" s="2"/>
      <c r="F133" s="2"/>
      <c r="G133" s="2"/>
      <c r="H133" s="2"/>
      <c r="I133" s="2"/>
      <c r="J133" s="2"/>
      <c r="K133" s="2"/>
      <c r="L133" s="2"/>
      <c r="M133" s="2"/>
      <c r="N133" s="2"/>
      <c r="O133" s="2"/>
      <c r="P133" s="2"/>
      <c r="Q133" s="2"/>
      <c r="R133" s="2"/>
      <c r="S133" s="2"/>
      <c r="T133" s="2"/>
      <c r="U133" s="2"/>
      <c r="V133" s="2"/>
      <c r="W133" s="2"/>
      <c r="X133" s="2"/>
      <c r="Y133" s="2"/>
      <c r="Z133" s="1361" t="s">
        <v>202</v>
      </c>
      <c r="AA133" s="1355">
        <f t="shared" si="4"/>
        <v>195.34299999999999</v>
      </c>
      <c r="AB133" s="1355">
        <f t="shared" si="4"/>
        <v>118.19999999999999</v>
      </c>
      <c r="AC133" s="1355">
        <f t="shared" si="4"/>
        <v>0</v>
      </c>
      <c r="AD133" s="1362">
        <f t="shared" si="4"/>
        <v>313.54300000000001</v>
      </c>
    </row>
    <row r="134" spans="1:30" ht="4.5" customHeight="1">
      <c r="A134" s="2"/>
      <c r="B134" s="61"/>
      <c r="C134" s="2"/>
      <c r="D134" s="2"/>
      <c r="E134" s="2"/>
      <c r="F134" s="2"/>
      <c r="G134" s="2"/>
      <c r="H134" s="2"/>
      <c r="I134" s="2"/>
      <c r="J134" s="2"/>
      <c r="K134" s="2"/>
      <c r="L134" s="2"/>
      <c r="M134" s="2"/>
      <c r="N134" s="2"/>
      <c r="O134" s="2"/>
      <c r="P134" s="2"/>
      <c r="Q134" s="2"/>
      <c r="R134" s="2"/>
      <c r="S134" s="2"/>
      <c r="T134" s="2"/>
      <c r="U134" s="2"/>
      <c r="V134" s="2"/>
      <c r="W134" s="2"/>
      <c r="X134" s="2"/>
      <c r="Y134" s="2"/>
      <c r="Z134" s="1351"/>
      <c r="AA134" s="1705" t="s">
        <v>343</v>
      </c>
      <c r="AB134" s="1705" t="s">
        <v>343</v>
      </c>
      <c r="AC134" s="1705" t="s">
        <v>343</v>
      </c>
      <c r="AD134" s="1706" t="s">
        <v>343</v>
      </c>
    </row>
    <row r="135" spans="1:30" ht="13.5" customHeight="1">
      <c r="A135" s="2"/>
      <c r="B135" s="61"/>
      <c r="C135" s="2"/>
      <c r="D135" s="2"/>
      <c r="E135" s="2"/>
      <c r="F135" s="2"/>
      <c r="G135" s="2"/>
      <c r="H135" s="2"/>
      <c r="I135" s="2"/>
      <c r="J135" s="2"/>
      <c r="K135" s="2"/>
      <c r="L135" s="2"/>
      <c r="M135" s="2"/>
      <c r="N135" s="2"/>
      <c r="O135" s="2"/>
      <c r="P135" s="2"/>
      <c r="Q135" s="2"/>
      <c r="R135" s="2"/>
      <c r="S135" s="2"/>
      <c r="T135" s="2"/>
      <c r="U135" s="2"/>
      <c r="V135" s="2"/>
      <c r="W135" s="2"/>
      <c r="X135" s="2"/>
      <c r="Y135" s="2"/>
      <c r="Z135" s="242" t="s">
        <v>1511</v>
      </c>
      <c r="AA135" s="1353">
        <f>B56</f>
        <v>256.63700000000006</v>
      </c>
      <c r="AB135" s="1353">
        <f>C56</f>
        <v>212.5</v>
      </c>
      <c r="AC135" s="1356">
        <f>AC128</f>
        <v>20</v>
      </c>
      <c r="AD135" s="167">
        <f>E56</f>
        <v>489.13700000000006</v>
      </c>
    </row>
    <row r="136" spans="1:30" ht="13.5" customHeight="1">
      <c r="A136" s="2"/>
      <c r="B136" s="61"/>
      <c r="C136" s="2"/>
      <c r="D136" s="2"/>
      <c r="E136" s="2"/>
      <c r="F136" s="2"/>
      <c r="G136" s="2"/>
      <c r="H136" s="2"/>
      <c r="I136" s="2"/>
      <c r="J136" s="2"/>
      <c r="K136" s="2"/>
      <c r="L136" s="2"/>
      <c r="M136" s="2"/>
      <c r="N136" s="2"/>
      <c r="O136" s="2"/>
      <c r="P136" s="2"/>
      <c r="Q136" s="2"/>
      <c r="R136" s="2"/>
      <c r="S136" s="2"/>
      <c r="T136" s="2"/>
      <c r="U136" s="2"/>
      <c r="V136" s="2"/>
      <c r="W136" s="2"/>
      <c r="X136" s="2"/>
      <c r="Y136" s="2"/>
      <c r="Z136" s="1350" t="s">
        <v>56</v>
      </c>
      <c r="AA136" s="122">
        <f>B57</f>
        <v>0.11010479899332561</v>
      </c>
      <c r="AB136" s="122">
        <f>C57</f>
        <v>0</v>
      </c>
      <c r="AC136" s="122"/>
      <c r="AD136" s="120">
        <f>E57</f>
        <v>0</v>
      </c>
    </row>
    <row r="137" spans="1:30" ht="13.5" customHeight="1">
      <c r="A137" s="2"/>
      <c r="B137" s="61"/>
      <c r="C137" s="2"/>
      <c r="D137" s="2"/>
      <c r="E137" s="2"/>
      <c r="F137" s="2"/>
      <c r="G137" s="2"/>
      <c r="H137" s="2"/>
      <c r="I137" s="2"/>
      <c r="J137" s="2"/>
      <c r="K137" s="2"/>
      <c r="L137" s="2"/>
      <c r="M137" s="2"/>
      <c r="N137" s="2"/>
      <c r="O137" s="2"/>
      <c r="P137" s="2"/>
      <c r="Q137" s="2"/>
      <c r="R137" s="2"/>
      <c r="S137" s="2"/>
      <c r="T137" s="2"/>
      <c r="U137" s="2"/>
      <c r="V137" s="2"/>
      <c r="W137" s="2"/>
      <c r="X137" s="2"/>
      <c r="Y137" s="2"/>
      <c r="Z137" s="1062"/>
      <c r="AA137" s="166"/>
      <c r="AB137" s="166"/>
      <c r="AC137" s="166"/>
      <c r="AD137" s="170"/>
    </row>
    <row r="138" spans="1:30" ht="13.5" customHeight="1">
      <c r="A138" s="2"/>
      <c r="B138" s="61"/>
      <c r="C138" s="2"/>
      <c r="D138" s="2"/>
      <c r="E138" s="2"/>
      <c r="F138" s="2"/>
      <c r="G138" s="2"/>
      <c r="H138" s="2"/>
      <c r="I138" s="2"/>
      <c r="J138" s="2"/>
      <c r="K138" s="2"/>
      <c r="L138" s="2"/>
      <c r="M138" s="2"/>
      <c r="N138" s="2"/>
      <c r="O138" s="2"/>
      <c r="P138" s="2"/>
      <c r="Q138" s="2"/>
      <c r="R138" s="2"/>
      <c r="S138" s="2"/>
      <c r="T138" s="2"/>
      <c r="U138" s="2"/>
      <c r="V138" s="2"/>
      <c r="W138" s="2"/>
      <c r="X138" s="2"/>
      <c r="Y138" s="2"/>
      <c r="Z138" s="445" t="s">
        <v>1034</v>
      </c>
      <c r="AA138" s="166">
        <f>B59</f>
        <v>-250.733</v>
      </c>
      <c r="AB138" s="166">
        <f>C59</f>
        <v>-111.1</v>
      </c>
      <c r="AC138" s="166">
        <f>D59</f>
        <v>-61.519249999999992</v>
      </c>
      <c r="AD138" s="170">
        <f>E59</f>
        <v>-423.35224999999997</v>
      </c>
    </row>
    <row r="139" spans="1:30" ht="13.5" customHeight="1">
      <c r="A139" s="2"/>
      <c r="B139" s="61"/>
      <c r="C139" s="2"/>
      <c r="D139" s="2"/>
      <c r="E139" s="2"/>
      <c r="F139" s="2"/>
      <c r="G139" s="2"/>
      <c r="H139" s="2"/>
      <c r="I139" s="2"/>
      <c r="J139" s="2"/>
      <c r="K139" s="2"/>
      <c r="L139" s="2"/>
      <c r="M139" s="2"/>
      <c r="N139" s="2"/>
      <c r="O139" s="2"/>
      <c r="P139" s="2"/>
      <c r="Q139" s="2"/>
      <c r="R139" s="2"/>
      <c r="S139" s="2"/>
      <c r="T139" s="2"/>
      <c r="U139" s="2"/>
      <c r="V139" s="2"/>
      <c r="W139" s="2"/>
      <c r="X139" s="2"/>
      <c r="Y139" s="2"/>
      <c r="Z139" s="445" t="s">
        <v>1790</v>
      </c>
      <c r="AA139" s="1355">
        <f>B61</f>
        <v>-12.529</v>
      </c>
      <c r="AB139" s="1355">
        <f>C61</f>
        <v>0</v>
      </c>
      <c r="AC139" s="1355">
        <f>D61</f>
        <v>0</v>
      </c>
      <c r="AD139" s="1362">
        <f>E61</f>
        <v>-12.529</v>
      </c>
    </row>
    <row r="140" spans="1:30" ht="4.5" customHeight="1">
      <c r="A140" s="2"/>
      <c r="B140" s="61"/>
      <c r="C140" s="2"/>
      <c r="D140" s="2"/>
      <c r="E140" s="2"/>
      <c r="F140" s="2"/>
      <c r="G140" s="2"/>
      <c r="H140" s="2"/>
      <c r="I140" s="2"/>
      <c r="J140" s="2"/>
      <c r="K140" s="2"/>
      <c r="L140" s="2"/>
      <c r="M140" s="2"/>
      <c r="N140" s="2"/>
      <c r="O140" s="2"/>
      <c r="P140" s="2"/>
      <c r="Q140" s="2"/>
      <c r="R140" s="2"/>
      <c r="S140" s="2"/>
      <c r="T140" s="2"/>
      <c r="U140" s="2"/>
      <c r="V140" s="2"/>
      <c r="W140" s="2"/>
      <c r="X140" s="2"/>
      <c r="Y140" s="2"/>
      <c r="Z140" s="348"/>
      <c r="AA140" s="1705" t="s">
        <v>343</v>
      </c>
      <c r="AB140" s="1705" t="s">
        <v>343</v>
      </c>
      <c r="AC140" s="1705" t="s">
        <v>343</v>
      </c>
      <c r="AD140" s="1706" t="s">
        <v>343</v>
      </c>
    </row>
    <row r="141" spans="1:30" ht="13.5" customHeight="1">
      <c r="A141" s="2"/>
      <c r="B141" s="61"/>
      <c r="C141" s="2"/>
      <c r="D141" s="2"/>
      <c r="E141" s="2"/>
      <c r="F141" s="2"/>
      <c r="G141" s="2"/>
      <c r="H141" s="2"/>
      <c r="I141" s="2"/>
      <c r="J141" s="2"/>
      <c r="K141" s="2"/>
      <c r="L141" s="2"/>
      <c r="M141" s="2"/>
      <c r="N141" s="2"/>
      <c r="O141" s="2"/>
      <c r="P141" s="2"/>
      <c r="Q141" s="2"/>
      <c r="R141" s="2"/>
      <c r="S141" s="2"/>
      <c r="T141" s="2"/>
      <c r="U141" s="2"/>
      <c r="V141" s="2"/>
      <c r="W141" s="2"/>
      <c r="X141" s="2"/>
      <c r="Y141" s="2"/>
      <c r="Z141" s="242" t="s">
        <v>1572</v>
      </c>
      <c r="AA141" s="1353">
        <f t="shared" ref="AA141:AD142" si="5">B63</f>
        <v>-6.6249999999999858</v>
      </c>
      <c r="AB141" s="1353">
        <f t="shared" si="5"/>
        <v>101.4</v>
      </c>
      <c r="AC141" s="1356">
        <f t="shared" si="5"/>
        <v>-41.519249999999992</v>
      </c>
      <c r="AD141" s="167">
        <f t="shared" si="5"/>
        <v>53.255750000000091</v>
      </c>
    </row>
    <row r="142" spans="1:30" ht="13.5" customHeight="1">
      <c r="A142" s="2"/>
      <c r="B142" s="61"/>
      <c r="C142" s="2"/>
      <c r="D142" s="2"/>
      <c r="E142" s="2"/>
      <c r="F142" s="2"/>
      <c r="G142" s="2"/>
      <c r="H142" s="2"/>
      <c r="I142" s="2"/>
      <c r="J142" s="2"/>
      <c r="K142" s="2"/>
      <c r="L142" s="2"/>
      <c r="M142" s="2"/>
      <c r="N142" s="2"/>
      <c r="O142" s="2"/>
      <c r="P142" s="2"/>
      <c r="Q142" s="2"/>
      <c r="R142" s="2"/>
      <c r="S142" s="2"/>
      <c r="T142" s="2"/>
      <c r="U142" s="2"/>
      <c r="V142" s="2"/>
      <c r="W142" s="2"/>
      <c r="X142" s="2"/>
      <c r="Y142" s="2"/>
      <c r="Z142" s="445" t="s">
        <v>205</v>
      </c>
      <c r="AA142" s="1355">
        <f t="shared" si="5"/>
        <v>-1.722</v>
      </c>
      <c r="AB142" s="1355">
        <f t="shared" si="5"/>
        <v>-41.7</v>
      </c>
      <c r="AC142" s="1355">
        <f t="shared" si="5"/>
        <v>16.607699999999998</v>
      </c>
      <c r="AD142" s="1362">
        <f t="shared" si="5"/>
        <v>-26.814300000000006</v>
      </c>
    </row>
    <row r="143" spans="1:30" ht="4.5" customHeight="1">
      <c r="A143" s="2"/>
      <c r="B143" s="61"/>
      <c r="C143" s="2"/>
      <c r="D143" s="2"/>
      <c r="E143" s="2"/>
      <c r="F143" s="2"/>
      <c r="G143" s="2"/>
      <c r="H143" s="2"/>
      <c r="I143" s="2"/>
      <c r="J143" s="2"/>
      <c r="K143" s="2"/>
      <c r="L143" s="2"/>
      <c r="M143" s="2"/>
      <c r="N143" s="2"/>
      <c r="O143" s="2"/>
      <c r="P143" s="2"/>
      <c r="Q143" s="2"/>
      <c r="R143" s="2"/>
      <c r="S143" s="2"/>
      <c r="T143" s="2"/>
      <c r="U143" s="2"/>
      <c r="V143" s="2"/>
      <c r="W143" s="2"/>
      <c r="X143" s="2"/>
      <c r="Y143" s="2"/>
      <c r="Z143" s="348"/>
      <c r="AA143" s="1705" t="s">
        <v>343</v>
      </c>
      <c r="AB143" s="1705" t="s">
        <v>343</v>
      </c>
      <c r="AC143" s="1705" t="s">
        <v>343</v>
      </c>
      <c r="AD143" s="1706" t="s">
        <v>343</v>
      </c>
    </row>
    <row r="144" spans="1:30" ht="13.5" customHeight="1">
      <c r="A144" s="2"/>
      <c r="B144" s="61"/>
      <c r="C144" s="2"/>
      <c r="D144" s="2"/>
      <c r="E144" s="2"/>
      <c r="F144" s="2"/>
      <c r="G144" s="2"/>
      <c r="H144" s="2"/>
      <c r="I144" s="2"/>
      <c r="J144" s="2"/>
      <c r="K144" s="2"/>
      <c r="L144" s="2"/>
      <c r="M144" s="2"/>
      <c r="N144" s="2"/>
      <c r="O144" s="2"/>
      <c r="P144" s="2"/>
      <c r="Q144" s="2"/>
      <c r="R144" s="2"/>
      <c r="S144" s="2"/>
      <c r="T144" s="2"/>
      <c r="U144" s="2"/>
      <c r="V144" s="2"/>
      <c r="W144" s="2"/>
      <c r="X144" s="2"/>
      <c r="Y144" s="2"/>
      <c r="Z144" s="394" t="s">
        <v>1243</v>
      </c>
      <c r="AA144" s="1353">
        <f t="shared" ref="AA144:AD145" si="6">B65</f>
        <v>-8.3469999999999853</v>
      </c>
      <c r="AB144" s="1353">
        <f t="shared" si="6"/>
        <v>59.7</v>
      </c>
      <c r="AC144" s="1356">
        <f t="shared" si="6"/>
        <v>-24.911549999999995</v>
      </c>
      <c r="AD144" s="167">
        <f t="shared" si="6"/>
        <v>26.441450000000085</v>
      </c>
    </row>
    <row r="145" spans="1:30" ht="13.5" customHeight="1">
      <c r="A145" s="2"/>
      <c r="B145" s="61"/>
      <c r="C145" s="2"/>
      <c r="D145" s="2"/>
      <c r="E145" s="2"/>
      <c r="F145" s="2"/>
      <c r="G145" s="2"/>
      <c r="H145" s="2"/>
      <c r="I145" s="2"/>
      <c r="J145" s="2"/>
      <c r="K145" s="2"/>
      <c r="L145" s="2"/>
      <c r="M145" s="2"/>
      <c r="N145" s="2"/>
      <c r="O145" s="2"/>
      <c r="P145" s="2"/>
      <c r="Q145" s="2"/>
      <c r="R145" s="2"/>
      <c r="S145" s="2"/>
      <c r="T145" s="2"/>
      <c r="U145" s="2"/>
      <c r="V145" s="2"/>
      <c r="W145" s="2"/>
      <c r="X145" s="2"/>
      <c r="Y145" s="2"/>
      <c r="Z145" s="876" t="s">
        <v>1539</v>
      </c>
      <c r="AA145" s="1355">
        <f t="shared" si="6"/>
        <v>4.1460000000000008</v>
      </c>
      <c r="AB145" s="1355">
        <f t="shared" si="6"/>
        <v>0</v>
      </c>
      <c r="AC145" s="1355">
        <f t="shared" si="6"/>
        <v>0</v>
      </c>
      <c r="AD145" s="1362">
        <f t="shared" si="6"/>
        <v>4.1460000000000008</v>
      </c>
    </row>
    <row r="146" spans="1:30" ht="4.5" customHeight="1">
      <c r="A146" s="2"/>
      <c r="B146" s="61"/>
      <c r="C146" s="2"/>
      <c r="D146" s="2"/>
      <c r="E146" s="2"/>
      <c r="F146" s="2"/>
      <c r="G146" s="2"/>
      <c r="H146" s="2"/>
      <c r="I146" s="2"/>
      <c r="J146" s="2"/>
      <c r="K146" s="2"/>
      <c r="L146" s="2"/>
      <c r="M146" s="2"/>
      <c r="N146" s="2"/>
      <c r="O146" s="2"/>
      <c r="P146" s="2"/>
      <c r="Q146" s="2"/>
      <c r="R146" s="2"/>
      <c r="S146" s="2"/>
      <c r="T146" s="2"/>
      <c r="U146" s="2"/>
      <c r="V146" s="2"/>
      <c r="W146" s="2"/>
      <c r="X146" s="2"/>
      <c r="Y146" s="2"/>
      <c r="Z146" s="1354"/>
      <c r="AA146" s="1705" t="s">
        <v>343</v>
      </c>
      <c r="AB146" s="1705" t="s">
        <v>343</v>
      </c>
      <c r="AC146" s="1705" t="s">
        <v>343</v>
      </c>
      <c r="AD146" s="1706" t="s">
        <v>343</v>
      </c>
    </row>
    <row r="147" spans="1:30" ht="13.5" customHeight="1">
      <c r="A147" s="2"/>
      <c r="B147" s="61"/>
      <c r="C147" s="2"/>
      <c r="D147" s="2"/>
      <c r="E147" s="2"/>
      <c r="F147" s="2"/>
      <c r="G147" s="2"/>
      <c r="H147" s="2"/>
      <c r="I147" s="2"/>
      <c r="J147" s="2"/>
      <c r="K147" s="2"/>
      <c r="L147" s="2"/>
      <c r="M147" s="2"/>
      <c r="N147" s="2"/>
      <c r="O147" s="2"/>
      <c r="P147" s="2"/>
      <c r="Q147" s="2"/>
      <c r="R147" s="2"/>
      <c r="S147" s="2"/>
      <c r="T147" s="2"/>
      <c r="U147" s="2"/>
      <c r="V147" s="2"/>
      <c r="W147" s="2"/>
      <c r="X147" s="2"/>
      <c r="Y147" s="2"/>
      <c r="Z147" s="394" t="s">
        <v>1540</v>
      </c>
      <c r="AA147" s="1353">
        <f>B67</f>
        <v>-0.28599999999998538</v>
      </c>
      <c r="AB147" s="1353">
        <f>C67</f>
        <v>59.7</v>
      </c>
      <c r="AC147" s="1356">
        <f>D67</f>
        <v>-24.911549999999995</v>
      </c>
      <c r="AD147" s="167">
        <f>E67</f>
        <v>30.587450000000086</v>
      </c>
    </row>
    <row r="148" spans="1:30" ht="13.5" customHeight="1">
      <c r="A148" s="2"/>
      <c r="B148" s="61"/>
      <c r="C148" s="2"/>
      <c r="D148" s="2"/>
      <c r="E148" s="2"/>
      <c r="F148" s="2"/>
      <c r="G148" s="2"/>
      <c r="H148" s="2"/>
      <c r="I148" s="2"/>
      <c r="J148" s="2"/>
      <c r="K148" s="2"/>
      <c r="L148" s="2"/>
      <c r="M148" s="2"/>
      <c r="N148" s="2"/>
      <c r="O148" s="2"/>
      <c r="P148" s="2"/>
      <c r="Q148" s="2"/>
      <c r="R148" s="2"/>
      <c r="S148" s="2"/>
      <c r="T148" s="2"/>
      <c r="U148" s="2"/>
      <c r="V148" s="2"/>
      <c r="W148" s="2"/>
      <c r="X148" s="2"/>
      <c r="Y148" s="2"/>
      <c r="Z148" s="394"/>
      <c r="AA148" s="166"/>
      <c r="AB148" s="166"/>
      <c r="AC148" s="166"/>
      <c r="AD148" s="170"/>
    </row>
    <row r="149" spans="1:30" ht="13.5" customHeight="1">
      <c r="A149" s="2"/>
      <c r="B149" s="61"/>
      <c r="C149" s="2"/>
      <c r="D149" s="2"/>
      <c r="E149" s="2"/>
      <c r="F149" s="2"/>
      <c r="G149" s="2"/>
      <c r="H149" s="2"/>
      <c r="I149" s="2"/>
      <c r="J149" s="2"/>
      <c r="K149" s="2"/>
      <c r="L149" s="2"/>
      <c r="M149" s="2"/>
      <c r="N149" s="2"/>
      <c r="O149" s="2"/>
      <c r="P149" s="2"/>
      <c r="Q149" s="2"/>
      <c r="R149" s="2"/>
      <c r="S149" s="2"/>
      <c r="T149" s="2"/>
      <c r="U149" s="2"/>
      <c r="V149" s="2"/>
      <c r="W149" s="2"/>
      <c r="X149" s="2"/>
      <c r="Y149" s="2"/>
      <c r="Z149" s="1282" t="s">
        <v>1004</v>
      </c>
      <c r="AA149" s="152">
        <f>B69</f>
        <v>-3.2745966864743742E-3</v>
      </c>
      <c r="AB149" s="152"/>
      <c r="AC149" s="152"/>
      <c r="AD149" s="153">
        <f>E69</f>
        <v>0.18839635803653149</v>
      </c>
    </row>
    <row r="150" spans="1:30" ht="13.5" customHeight="1">
      <c r="A150" s="2"/>
      <c r="B150" s="61"/>
      <c r="C150" s="2"/>
      <c r="D150" s="2"/>
      <c r="E150" s="2"/>
      <c r="F150" s="2"/>
      <c r="G150" s="2"/>
      <c r="H150" s="2"/>
      <c r="I150" s="2"/>
      <c r="J150" s="2"/>
      <c r="K150" s="2"/>
      <c r="L150" s="2"/>
      <c r="M150" s="2"/>
      <c r="N150" s="2"/>
      <c r="O150" s="2"/>
      <c r="P150" s="2"/>
      <c r="Q150" s="2"/>
      <c r="R150" s="2"/>
      <c r="S150" s="2"/>
      <c r="T150" s="2"/>
      <c r="U150" s="2"/>
      <c r="V150" s="2"/>
      <c r="W150" s="2"/>
      <c r="X150" s="2"/>
      <c r="Y150" s="2"/>
      <c r="Z150" s="1363" t="s">
        <v>1532</v>
      </c>
      <c r="AA150" s="1364"/>
      <c r="AB150" s="1364"/>
      <c r="AC150" s="1364"/>
      <c r="AD150" s="1365">
        <f>E70</f>
        <v>-58.532690610326803</v>
      </c>
    </row>
    <row r="151" spans="1:30" ht="13.5" customHeight="1">
      <c r="A151" s="2"/>
      <c r="B151" s="61"/>
      <c r="C151" s="2"/>
      <c r="D151" s="2"/>
      <c r="E151" s="2"/>
      <c r="F151" s="2"/>
      <c r="G151" s="2"/>
      <c r="H151" s="2"/>
      <c r="I151" s="2"/>
      <c r="J151" s="2"/>
      <c r="K151" s="2"/>
      <c r="L151" s="2"/>
      <c r="M151" s="2"/>
      <c r="N151" s="2"/>
      <c r="O151" s="2"/>
      <c r="P151" s="2"/>
      <c r="Q151" s="2"/>
      <c r="R151" s="2"/>
      <c r="S151" s="2"/>
      <c r="T151" s="2"/>
      <c r="U151" s="2"/>
      <c r="V151" s="2"/>
      <c r="W151" s="2"/>
      <c r="X151" s="2"/>
      <c r="Y151" s="2"/>
      <c r="Z151" s="1062"/>
      <c r="AA151" s="166"/>
      <c r="AB151" s="166"/>
      <c r="AC151" s="166"/>
      <c r="AD151" s="170"/>
    </row>
    <row r="152" spans="1:30" ht="13.5" customHeight="1">
      <c r="A152" s="2"/>
      <c r="B152" s="61"/>
      <c r="C152" s="2"/>
      <c r="D152" s="2"/>
      <c r="E152" s="2"/>
      <c r="F152" s="2"/>
      <c r="G152" s="2"/>
      <c r="H152" s="2"/>
      <c r="I152" s="2"/>
      <c r="J152" s="2"/>
      <c r="K152" s="2"/>
      <c r="L152" s="2"/>
      <c r="M152" s="2"/>
      <c r="N152" s="2"/>
      <c r="O152" s="2"/>
      <c r="P152" s="2"/>
      <c r="Q152" s="2"/>
      <c r="R152" s="2"/>
      <c r="S152" s="2"/>
      <c r="T152" s="2"/>
      <c r="U152" s="2"/>
      <c r="V152" s="2"/>
      <c r="W152" s="2"/>
      <c r="X152" s="2"/>
      <c r="Y152" s="2"/>
      <c r="Z152" s="77" t="s">
        <v>1523</v>
      </c>
      <c r="AA152" s="166">
        <f>B72</f>
        <v>86.831000000000003</v>
      </c>
      <c r="AB152" s="166"/>
      <c r="AC152" s="166">
        <f>D72</f>
        <v>75.525907101510654</v>
      </c>
      <c r="AD152" s="170">
        <f>E72</f>
        <v>162.35690710151067</v>
      </c>
    </row>
    <row r="153" spans="1:30" ht="13.5" customHeight="1">
      <c r="A153" s="2"/>
      <c r="B153" s="61"/>
      <c r="C153" s="2"/>
      <c r="D153" s="2"/>
      <c r="E153" s="2"/>
      <c r="F153" s="2"/>
      <c r="G153" s="2"/>
      <c r="H153" s="2"/>
      <c r="I153" s="2"/>
      <c r="J153" s="2"/>
      <c r="K153" s="2"/>
      <c r="L153" s="2"/>
      <c r="M153" s="2"/>
      <c r="N153" s="2"/>
      <c r="O153" s="2"/>
      <c r="P153" s="2"/>
      <c r="Q153" s="2"/>
      <c r="R153" s="2"/>
      <c r="S153" s="2"/>
      <c r="T153" s="2"/>
      <c r="U153" s="2"/>
      <c r="V153" s="2"/>
      <c r="W153" s="2"/>
      <c r="X153" s="2"/>
      <c r="Y153" s="2"/>
      <c r="Z153" s="1062"/>
      <c r="AA153" s="166"/>
      <c r="AB153" s="166"/>
      <c r="AC153" s="166"/>
      <c r="AD153" s="170"/>
    </row>
    <row r="154" spans="1:30" ht="13.5" customHeight="1">
      <c r="A154" s="2"/>
      <c r="B154" s="61"/>
      <c r="C154" s="2"/>
      <c r="D154" s="2"/>
      <c r="E154" s="2"/>
      <c r="F154" s="2"/>
      <c r="G154" s="2"/>
      <c r="H154" s="2"/>
      <c r="I154" s="2"/>
      <c r="J154" s="2"/>
      <c r="K154" s="2"/>
      <c r="L154" s="2"/>
      <c r="M154" s="2"/>
      <c r="N154" s="2"/>
      <c r="O154" s="2"/>
      <c r="P154" s="2"/>
      <c r="Q154" s="2"/>
      <c r="R154" s="2"/>
      <c r="S154" s="2"/>
      <c r="T154" s="2"/>
      <c r="U154" s="2"/>
      <c r="V154" s="2"/>
      <c r="W154" s="2"/>
      <c r="X154" s="2"/>
      <c r="Y154" s="2"/>
      <c r="Z154" s="138" t="s">
        <v>1005</v>
      </c>
      <c r="AA154" s="168">
        <f>B77</f>
        <v>-189.548</v>
      </c>
      <c r="AB154" s="168">
        <f>C77</f>
        <v>106.8</v>
      </c>
      <c r="AC154" s="168">
        <f>D77</f>
        <v>-41.51925</v>
      </c>
      <c r="AD154" s="169">
        <f>E77</f>
        <v>-124.26725</v>
      </c>
    </row>
    <row r="155" spans="1:30" ht="13.5" customHeight="1">
      <c r="A155" s="2"/>
      <c r="B155" s="61"/>
      <c r="C155" s="2"/>
      <c r="D155" s="2"/>
      <c r="E155" s="2"/>
      <c r="F155" s="2"/>
      <c r="G155" s="2"/>
      <c r="H155" s="2"/>
      <c r="I155" s="2"/>
      <c r="J155" s="2"/>
      <c r="K155" s="2"/>
      <c r="L155" s="2"/>
      <c r="M155" s="2"/>
      <c r="N155" s="2"/>
      <c r="O155" s="2"/>
      <c r="P155" s="2"/>
      <c r="Q155" s="2"/>
      <c r="R155" s="2"/>
      <c r="S155" s="2"/>
      <c r="T155" s="2"/>
      <c r="U155" s="2"/>
      <c r="V155" s="2"/>
      <c r="W155" s="2"/>
      <c r="X155" s="2"/>
      <c r="Y155" s="2"/>
      <c r="Z155" s="1366" t="s">
        <v>1035</v>
      </c>
      <c r="AA155" s="1364">
        <f>(AA154/AA152)/'EBITDA Val'!F23</f>
        <v>-5.8165550034357617E-2</v>
      </c>
      <c r="AB155" s="1"/>
      <c r="AC155" s="1"/>
      <c r="AD155" s="1365">
        <f>(AD154/AD152)/'EBITDA Val'!F23</f>
        <v>-2.0394231923430654E-2</v>
      </c>
    </row>
    <row r="156" spans="1:30" ht="13.5" customHeight="1">
      <c r="A156" s="2"/>
      <c r="B156" s="61"/>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112"/>
    </row>
    <row r="157" spans="1:30" ht="13.5" customHeight="1">
      <c r="A157" s="2"/>
      <c r="B157" s="61"/>
      <c r="C157" s="2"/>
      <c r="D157" s="2"/>
      <c r="E157" s="2"/>
      <c r="F157" s="2"/>
      <c r="G157" s="2"/>
      <c r="H157" s="2"/>
      <c r="I157" s="2"/>
      <c r="J157" s="2"/>
      <c r="K157" s="2"/>
      <c r="L157" s="2"/>
      <c r="M157" s="2"/>
      <c r="N157" s="2"/>
      <c r="O157" s="2"/>
      <c r="P157" s="2"/>
      <c r="Q157" s="2"/>
      <c r="R157" s="2"/>
      <c r="S157" s="2"/>
      <c r="T157" s="2"/>
      <c r="U157" s="2"/>
      <c r="V157" s="2"/>
      <c r="W157" s="2"/>
      <c r="X157" s="2"/>
      <c r="Y157" s="2"/>
      <c r="Z157" s="2" t="s">
        <v>1037</v>
      </c>
      <c r="AA157" s="114">
        <f>L104</f>
        <v>7.2243249143830077</v>
      </c>
      <c r="AB157" s="2"/>
      <c r="AC157" s="2"/>
      <c r="AD157" s="151">
        <f>L105</f>
        <v>13.804446107784429</v>
      </c>
    </row>
    <row r="158" spans="1:30" ht="13.5" customHeight="1">
      <c r="A158" s="2"/>
      <c r="B158" s="61"/>
      <c r="C158" s="2"/>
      <c r="D158" s="2"/>
      <c r="E158" s="2"/>
      <c r="F158" s="2"/>
      <c r="G158" s="2"/>
      <c r="H158" s="2"/>
      <c r="I158" s="2"/>
      <c r="J158" s="2"/>
      <c r="K158" s="2"/>
      <c r="L158" s="2"/>
      <c r="M158" s="2"/>
      <c r="N158" s="2"/>
      <c r="O158" s="2"/>
      <c r="P158" s="2"/>
      <c r="Q158" s="2"/>
      <c r="R158" s="2"/>
      <c r="S158" s="2"/>
      <c r="T158" s="2"/>
      <c r="U158" s="2"/>
      <c r="V158" s="2"/>
      <c r="W158" s="2"/>
      <c r="X158" s="2"/>
      <c r="Y158" s="2"/>
      <c r="Z158" s="2" t="s">
        <v>1038</v>
      </c>
      <c r="AA158" s="114">
        <f>L107</f>
        <v>10.753572707941125</v>
      </c>
      <c r="AB158" s="2"/>
      <c r="AC158" s="2"/>
      <c r="AD158" s="151">
        <f>L108</f>
        <v>-3.5615001432155582</v>
      </c>
    </row>
    <row r="159" spans="1:30" ht="13.5" customHeight="1">
      <c r="A159" s="2"/>
      <c r="B159" s="61"/>
      <c r="C159" s="2"/>
      <c r="D159" s="2"/>
      <c r="E159" s="2"/>
      <c r="F159" s="2"/>
      <c r="G159" s="2"/>
      <c r="H159" s="2"/>
      <c r="I159" s="2"/>
      <c r="J159" s="2"/>
      <c r="K159" s="2"/>
      <c r="L159" s="2"/>
      <c r="M159" s="2"/>
      <c r="N159" s="2"/>
      <c r="O159" s="2"/>
      <c r="P159" s="2"/>
      <c r="Q159" s="2"/>
      <c r="R159" s="2"/>
      <c r="S159" s="2"/>
      <c r="T159" s="2"/>
      <c r="U159" s="2"/>
      <c r="V159" s="2"/>
      <c r="W159" s="2"/>
      <c r="X159" s="2"/>
      <c r="Y159" s="2"/>
      <c r="Z159" s="2"/>
      <c r="AA159" s="114"/>
      <c r="AB159" s="2"/>
      <c r="AC159" s="2"/>
      <c r="AD159" s="151"/>
    </row>
    <row r="160" spans="1:30" ht="13.5" customHeight="1">
      <c r="A160" s="2"/>
      <c r="B160" s="61"/>
      <c r="C160" s="2"/>
      <c r="D160" s="2"/>
      <c r="E160" s="2"/>
      <c r="F160" s="2"/>
      <c r="G160" s="2"/>
      <c r="H160" s="2"/>
      <c r="I160" s="2"/>
      <c r="J160" s="2"/>
      <c r="K160" s="2"/>
      <c r="L160" s="2"/>
      <c r="M160" s="2"/>
      <c r="N160" s="2"/>
      <c r="O160" s="2"/>
      <c r="P160" s="2"/>
      <c r="Q160" s="2"/>
      <c r="R160" s="2"/>
      <c r="S160" s="2"/>
      <c r="T160" s="2"/>
      <c r="U160" s="2"/>
      <c r="V160" s="2"/>
      <c r="W160" s="2"/>
      <c r="X160" s="2"/>
      <c r="Y160" s="2"/>
      <c r="Z160" s="138" t="s">
        <v>1642</v>
      </c>
      <c r="AA160" s="156"/>
      <c r="AB160" s="155"/>
      <c r="AC160" s="155"/>
      <c r="AD160" s="1360">
        <f>L99</f>
        <v>44.8</v>
      </c>
    </row>
    <row r="161" spans="1:30" ht="4.5" customHeight="1">
      <c r="A161" s="2"/>
      <c r="B161" s="61"/>
      <c r="C161" s="2"/>
      <c r="D161" s="2"/>
      <c r="E161" s="2"/>
      <c r="F161" s="2"/>
      <c r="G161" s="2"/>
      <c r="H161" s="2"/>
      <c r="I161" s="2"/>
      <c r="J161" s="2"/>
      <c r="K161" s="2"/>
      <c r="L161" s="2"/>
      <c r="M161" s="2"/>
      <c r="N161" s="2"/>
      <c r="O161" s="2"/>
      <c r="P161" s="2"/>
      <c r="Q161" s="2"/>
      <c r="R161" s="2"/>
      <c r="S161" s="2"/>
      <c r="T161" s="2"/>
      <c r="U161" s="2"/>
      <c r="V161" s="2"/>
      <c r="W161" s="2"/>
      <c r="X161" s="2"/>
      <c r="Y161" s="2"/>
      <c r="Z161" s="61"/>
      <c r="AA161" s="2"/>
      <c r="AB161" s="2"/>
      <c r="AC161" s="2"/>
      <c r="AD161" s="144"/>
    </row>
    <row r="162" spans="1:30" ht="13.5" customHeight="1">
      <c r="A162" s="2"/>
      <c r="B162" s="61"/>
      <c r="C162" s="2"/>
      <c r="D162" s="2"/>
      <c r="E162" s="2"/>
      <c r="F162" s="2"/>
      <c r="G162" s="2"/>
      <c r="H162" s="2"/>
      <c r="I162" s="2"/>
      <c r="J162" s="2"/>
      <c r="K162" s="2"/>
      <c r="L162" s="2"/>
      <c r="M162" s="2"/>
      <c r="N162" s="2"/>
      <c r="O162" s="2"/>
      <c r="P162" s="2"/>
      <c r="Q162" s="2"/>
      <c r="R162" s="2"/>
      <c r="S162" s="2"/>
      <c r="T162" s="2"/>
      <c r="U162" s="2"/>
      <c r="V162" s="2"/>
      <c r="W162" s="2"/>
      <c r="X162" s="2"/>
      <c r="Y162" s="2"/>
      <c r="Z162" s="61"/>
      <c r="AA162" s="2"/>
      <c r="AB162" s="2"/>
      <c r="AC162" s="2"/>
      <c r="AD162" s="2"/>
    </row>
    <row r="163" spans="1:30" ht="13.5" customHeight="1">
      <c r="A163" s="2"/>
      <c r="B163" s="61"/>
      <c r="C163" s="2"/>
      <c r="D163" s="2"/>
      <c r="E163" s="2"/>
      <c r="F163" s="2"/>
      <c r="G163" s="2"/>
      <c r="H163" s="2"/>
      <c r="I163" s="2"/>
      <c r="J163" s="2"/>
      <c r="K163" s="2"/>
      <c r="L163" s="2"/>
      <c r="M163" s="2"/>
      <c r="N163" s="2"/>
      <c r="O163" s="2"/>
      <c r="P163" s="2"/>
      <c r="Q163" s="2"/>
      <c r="R163" s="2"/>
      <c r="S163" s="2"/>
      <c r="T163" s="2"/>
      <c r="U163" s="2"/>
      <c r="V163" s="2"/>
      <c r="W163" s="2"/>
      <c r="X163" s="2"/>
      <c r="Y163" s="2"/>
      <c r="Z163" s="2" t="s">
        <v>572</v>
      </c>
      <c r="AA163" s="2"/>
      <c r="AB163" s="2"/>
      <c r="AC163" s="2"/>
      <c r="AD163" s="2"/>
    </row>
  </sheetData>
  <mergeCells count="1">
    <mergeCell ref="Q107:Q111"/>
  </mergeCells>
  <phoneticPr fontId="10" type="noConversion"/>
  <pageMargins left="0.75" right="0.75" top="1" bottom="1" header="0.5" footer="0.5"/>
  <pageSetup orientation="portrait" horizontalDpi="1200" verticalDpi="1200" r:id="rId1"/>
  <headerFooter alignWithMargins="0"/>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103"/>
  <sheetViews>
    <sheetView zoomScale="85" workbookViewId="0"/>
  </sheetViews>
  <sheetFormatPr defaultRowHeight="15.75"/>
  <cols>
    <col min="1" max="1" width="88" customWidth="1"/>
    <col min="2" max="2" width="1.25" customWidth="1"/>
    <col min="3" max="3" width="60.25" customWidth="1"/>
    <col min="8" max="8" width="2.625" customWidth="1"/>
    <col min="9" max="9" width="22" customWidth="1"/>
    <col min="10" max="10" width="2.625" customWidth="1"/>
    <col min="12" max="12" width="2.625" customWidth="1"/>
    <col min="14" max="14" width="2.625" customWidth="1"/>
    <col min="16" max="16" width="1" customWidth="1"/>
    <col min="17" max="17" width="22.875" customWidth="1"/>
  </cols>
  <sheetData>
    <row r="1" spans="1:17">
      <c r="A1" s="1" t="s">
        <v>432</v>
      </c>
      <c r="B1" s="2"/>
      <c r="C1" s="2"/>
      <c r="D1" s="2"/>
      <c r="E1" s="2"/>
      <c r="F1" s="2"/>
      <c r="G1" s="2"/>
      <c r="H1" s="2"/>
      <c r="I1" s="2"/>
      <c r="J1" s="2"/>
      <c r="K1" s="2"/>
      <c r="L1" s="2"/>
      <c r="M1" s="2"/>
      <c r="N1" s="2"/>
      <c r="O1" s="2"/>
      <c r="P1" s="2"/>
      <c r="Q1" s="2"/>
    </row>
    <row r="2" spans="1:17">
      <c r="A2" s="2"/>
      <c r="B2" s="2"/>
      <c r="C2" s="2"/>
      <c r="D2" s="1529"/>
      <c r="E2" s="1530"/>
      <c r="F2" s="1531"/>
      <c r="G2" s="1532"/>
      <c r="H2" s="1530"/>
      <c r="I2" s="1531"/>
      <c r="J2" s="1532"/>
      <c r="K2" s="1530"/>
      <c r="L2" s="1531"/>
      <c r="M2" s="1532"/>
      <c r="N2" s="1530"/>
      <c r="O2" s="1531"/>
      <c r="P2" s="1532"/>
      <c r="Q2" s="1530"/>
    </row>
    <row r="3" spans="1:17">
      <c r="A3" s="2" t="s">
        <v>433</v>
      </c>
      <c r="B3" s="2"/>
      <c r="C3" s="2"/>
      <c r="D3" s="1529"/>
      <c r="E3" s="1530"/>
      <c r="F3" s="1531"/>
      <c r="G3" s="1532"/>
      <c r="H3" s="1530"/>
      <c r="I3" s="1531"/>
      <c r="J3" s="1532"/>
      <c r="K3" s="1530"/>
      <c r="L3" s="1531"/>
      <c r="M3" s="1532"/>
      <c r="N3" s="1530"/>
      <c r="O3" s="1531"/>
      <c r="P3" s="1532"/>
      <c r="Q3" s="1530"/>
    </row>
    <row r="4" spans="1:17">
      <c r="A4" s="2"/>
      <c r="B4" s="2"/>
      <c r="C4" s="2"/>
      <c r="D4" s="1529"/>
      <c r="E4" s="1530"/>
      <c r="F4" s="1531"/>
      <c r="G4" s="1532"/>
      <c r="H4" s="1530"/>
      <c r="I4" s="1531"/>
      <c r="J4" s="1532"/>
      <c r="K4" s="1530"/>
      <c r="L4" s="1531"/>
      <c r="M4" s="1532"/>
      <c r="N4" s="1530"/>
      <c r="O4" s="1531"/>
      <c r="P4" s="1532"/>
      <c r="Q4" s="1530"/>
    </row>
    <row r="5" spans="1:17">
      <c r="A5" s="2" t="s">
        <v>434</v>
      </c>
      <c r="B5" s="2"/>
      <c r="C5" s="2"/>
      <c r="D5" s="1529"/>
      <c r="E5" s="1530"/>
      <c r="F5" s="1531"/>
      <c r="G5" s="1532"/>
      <c r="H5" s="1530"/>
      <c r="I5" s="1531"/>
      <c r="J5" s="1532"/>
      <c r="K5" s="1530"/>
      <c r="L5" s="1531"/>
      <c r="M5" s="1532"/>
      <c r="N5" s="1530"/>
      <c r="O5" s="1531"/>
      <c r="P5" s="1532"/>
      <c r="Q5" s="1530"/>
    </row>
    <row r="6" spans="1:17">
      <c r="A6" s="2"/>
      <c r="B6" s="2"/>
      <c r="C6" s="2"/>
      <c r="D6" s="1529"/>
      <c r="E6" s="1530"/>
      <c r="F6" s="1531"/>
      <c r="G6" s="1532"/>
      <c r="H6" s="1530"/>
      <c r="I6" s="1531"/>
      <c r="J6" s="1532"/>
      <c r="K6" s="1530"/>
      <c r="L6" s="1531"/>
      <c r="M6" s="1532"/>
      <c r="N6" s="1530"/>
      <c r="O6" s="1531"/>
      <c r="P6" s="1532"/>
      <c r="Q6" s="1530"/>
    </row>
    <row r="7" spans="1:17">
      <c r="A7" s="2" t="s">
        <v>661</v>
      </c>
      <c r="B7" s="2"/>
      <c r="C7" s="2"/>
      <c r="D7" s="1529"/>
      <c r="E7" s="1530"/>
      <c r="F7" s="1531"/>
      <c r="G7" s="1532"/>
      <c r="H7" s="1530"/>
      <c r="I7" s="1531"/>
      <c r="J7" s="1532"/>
      <c r="K7" s="1530"/>
      <c r="L7" s="1531"/>
      <c r="M7" s="1532"/>
      <c r="N7" s="1530"/>
      <c r="O7" s="1531"/>
      <c r="P7" s="1532"/>
      <c r="Q7" s="1530"/>
    </row>
    <row r="8" spans="1:17">
      <c r="A8" s="2" t="s">
        <v>539</v>
      </c>
      <c r="B8" s="2"/>
      <c r="C8" s="2"/>
      <c r="D8" s="1530"/>
      <c r="E8" s="1530"/>
      <c r="F8" s="4215"/>
      <c r="G8" s="4215"/>
      <c r="H8" s="1530"/>
      <c r="I8" s="4215"/>
      <c r="J8" s="4215"/>
      <c r="K8" s="1530"/>
      <c r="L8" s="4215"/>
      <c r="M8" s="4215"/>
      <c r="N8" s="1530"/>
      <c r="O8" s="4215"/>
      <c r="P8" s="4215"/>
      <c r="Q8" s="1530"/>
    </row>
    <row r="9" spans="1:17">
      <c r="A9" s="2" t="s">
        <v>435</v>
      </c>
      <c r="B9" s="2"/>
      <c r="C9" s="2"/>
      <c r="D9" s="1530"/>
      <c r="E9" s="1530"/>
      <c r="F9" s="4215"/>
      <c r="G9" s="4215"/>
      <c r="H9" s="1530"/>
      <c r="I9" s="4215"/>
      <c r="J9" s="4215"/>
      <c r="K9" s="1530"/>
      <c r="L9" s="4215"/>
      <c r="M9" s="4215"/>
      <c r="N9" s="1530"/>
      <c r="O9" s="4215"/>
      <c r="P9" s="4215"/>
      <c r="Q9" s="1530"/>
    </row>
    <row r="10" spans="1:17">
      <c r="A10" s="2"/>
      <c r="B10" s="2"/>
      <c r="C10" s="2"/>
      <c r="D10" s="1529"/>
      <c r="E10" s="1530"/>
      <c r="F10" s="1531"/>
      <c r="G10" s="1532"/>
      <c r="H10" s="1530"/>
      <c r="I10" s="1531"/>
      <c r="J10" s="1532"/>
      <c r="K10" s="1530"/>
      <c r="L10" s="1531"/>
      <c r="M10" s="1532"/>
      <c r="N10" s="1530"/>
      <c r="O10" s="1531"/>
      <c r="P10" s="1532"/>
      <c r="Q10" s="1530"/>
    </row>
    <row r="11" spans="1:17">
      <c r="A11" s="2" t="s">
        <v>540</v>
      </c>
      <c r="B11" s="2"/>
      <c r="C11" s="2"/>
      <c r="D11" s="1529"/>
      <c r="E11" s="1530"/>
      <c r="F11" s="1531"/>
      <c r="G11" s="1532"/>
      <c r="H11" s="1530"/>
      <c r="I11" s="1531"/>
      <c r="J11" s="1532"/>
      <c r="K11" s="1530"/>
      <c r="L11" s="1531"/>
      <c r="M11" s="1532"/>
      <c r="N11" s="1530"/>
      <c r="O11" s="1531"/>
      <c r="P11" s="1532"/>
      <c r="Q11" s="1530"/>
    </row>
    <row r="12" spans="1:17">
      <c r="A12" s="2" t="s">
        <v>659</v>
      </c>
      <c r="B12" s="2"/>
      <c r="C12" s="2"/>
      <c r="D12" s="1529"/>
      <c r="E12" s="1530"/>
      <c r="F12" s="1531"/>
      <c r="G12" s="1532"/>
      <c r="H12" s="1530"/>
      <c r="I12" s="1531"/>
      <c r="J12" s="1532"/>
      <c r="K12" s="1530"/>
      <c r="L12" s="1531"/>
      <c r="M12" s="1532"/>
      <c r="N12" s="1530"/>
      <c r="O12" s="1531"/>
      <c r="P12" s="1532"/>
      <c r="Q12" s="1530"/>
    </row>
    <row r="13" spans="1:17">
      <c r="A13" s="2" t="s">
        <v>660</v>
      </c>
      <c r="B13" s="2"/>
      <c r="C13" s="2"/>
      <c r="D13" s="1530"/>
      <c r="E13" s="1530"/>
      <c r="F13" s="4215"/>
      <c r="G13" s="4215"/>
      <c r="H13" s="1530"/>
      <c r="I13" s="4215"/>
      <c r="J13" s="4215"/>
      <c r="K13" s="1530"/>
      <c r="L13" s="4215"/>
      <c r="M13" s="4215"/>
      <c r="N13" s="1530"/>
      <c r="O13" s="4215"/>
      <c r="P13" s="4215"/>
      <c r="Q13" s="1530"/>
    </row>
    <row r="14" spans="1:17">
      <c r="A14" s="2"/>
      <c r="B14" s="2"/>
      <c r="C14" s="2"/>
      <c r="D14" s="1530"/>
      <c r="E14" s="1530"/>
      <c r="F14" s="4215"/>
      <c r="G14" s="4215"/>
      <c r="H14" s="1530"/>
      <c r="I14" s="4215"/>
      <c r="J14" s="4215"/>
      <c r="K14" s="1530"/>
      <c r="L14" s="4215"/>
      <c r="M14" s="4215"/>
      <c r="N14" s="1530"/>
      <c r="O14" s="4215"/>
      <c r="P14" s="4215"/>
      <c r="Q14" s="1530"/>
    </row>
    <row r="15" spans="1:17">
      <c r="A15" s="2" t="s">
        <v>1548</v>
      </c>
      <c r="B15" s="2"/>
      <c r="C15" s="2"/>
      <c r="D15" s="1530"/>
      <c r="E15" s="1530"/>
      <c r="F15" s="4215"/>
      <c r="G15" s="4215"/>
      <c r="H15" s="1530"/>
      <c r="I15" s="4215"/>
      <c r="J15" s="4215"/>
      <c r="K15" s="1530"/>
      <c r="L15" s="4215"/>
      <c r="M15" s="4215"/>
      <c r="N15" s="1530"/>
      <c r="O15" s="4215"/>
      <c r="P15" s="4215"/>
      <c r="Q15" s="1530"/>
    </row>
    <row r="16" spans="1:17">
      <c r="A16" s="2"/>
      <c r="B16" s="2"/>
      <c r="C16" s="2"/>
      <c r="D16" s="1529"/>
      <c r="E16" s="1530"/>
      <c r="F16" s="1531"/>
      <c r="G16" s="1532"/>
      <c r="H16" s="1530"/>
      <c r="I16" s="1531"/>
      <c r="J16" s="1532"/>
      <c r="K16" s="1530"/>
      <c r="L16" s="1531"/>
      <c r="M16" s="1532"/>
      <c r="N16" s="1530"/>
      <c r="O16" s="1531"/>
      <c r="P16" s="1532"/>
      <c r="Q16" s="1530"/>
    </row>
    <row r="17" spans="1:17">
      <c r="A17" s="1071" t="s">
        <v>1120</v>
      </c>
      <c r="B17" s="1062"/>
      <c r="C17" s="1062"/>
      <c r="D17" s="1530"/>
      <c r="E17" s="1530"/>
      <c r="F17" s="4215"/>
      <c r="G17" s="4215"/>
      <c r="H17" s="1530"/>
      <c r="I17" s="4215"/>
      <c r="J17" s="4215"/>
      <c r="K17" s="1530"/>
      <c r="L17" s="4215"/>
      <c r="M17" s="4215"/>
      <c r="N17" s="1530"/>
      <c r="O17" s="4215"/>
      <c r="P17" s="4215"/>
      <c r="Q17" s="1530"/>
    </row>
    <row r="18" spans="1:17">
      <c r="A18" s="1536"/>
      <c r="B18" s="1062"/>
      <c r="C18" s="1533"/>
      <c r="D18" s="1529"/>
      <c r="E18" s="1530"/>
      <c r="F18" s="1531"/>
      <c r="G18" s="1532"/>
      <c r="H18" s="1530"/>
      <c r="I18" s="1531"/>
      <c r="J18" s="1532"/>
      <c r="K18" s="1530"/>
      <c r="L18" s="1531"/>
      <c r="M18" s="1532"/>
      <c r="N18" s="1530"/>
      <c r="O18" s="1531"/>
      <c r="P18" s="1532"/>
      <c r="Q18" s="1530"/>
    </row>
    <row r="19" spans="1:17">
      <c r="A19" s="1537" t="s">
        <v>571</v>
      </c>
      <c r="B19" s="1062"/>
      <c r="C19" s="1533"/>
      <c r="D19" s="1530"/>
      <c r="E19" s="1530"/>
      <c r="F19" s="4215"/>
      <c r="G19" s="4215"/>
      <c r="H19" s="1530"/>
      <c r="I19" s="4215"/>
      <c r="J19" s="4215"/>
      <c r="K19" s="1530"/>
      <c r="L19" s="4215"/>
      <c r="M19" s="4215"/>
      <c r="N19" s="1530"/>
      <c r="O19" s="4215"/>
      <c r="P19" s="4215"/>
      <c r="Q19" s="1530"/>
    </row>
    <row r="20" spans="1:17">
      <c r="A20" s="1536" t="s">
        <v>436</v>
      </c>
      <c r="B20" s="1062"/>
      <c r="C20" s="1533"/>
      <c r="D20" s="1529"/>
      <c r="E20" s="1530"/>
      <c r="F20" s="1531"/>
      <c r="G20" s="1532"/>
      <c r="H20" s="1530"/>
      <c r="I20" s="1531"/>
      <c r="J20" s="1532"/>
      <c r="K20" s="1530"/>
      <c r="L20" s="1531"/>
      <c r="M20" s="1532"/>
      <c r="N20" s="1530"/>
      <c r="O20" s="1531"/>
      <c r="P20" s="1532"/>
      <c r="Q20" s="1530"/>
    </row>
    <row r="21" spans="1:17">
      <c r="A21" s="1536" t="s">
        <v>437</v>
      </c>
      <c r="B21" s="1062"/>
      <c r="C21" s="1533"/>
      <c r="D21" s="1530"/>
      <c r="E21" s="1530"/>
      <c r="F21" s="4215"/>
      <c r="G21" s="4215"/>
      <c r="H21" s="1530"/>
      <c r="I21" s="4215"/>
      <c r="J21" s="4215"/>
      <c r="K21" s="1530"/>
      <c r="L21" s="4215"/>
      <c r="M21" s="4215"/>
      <c r="N21" s="1530"/>
      <c r="O21" s="4215"/>
      <c r="P21" s="4215"/>
      <c r="Q21" s="1530"/>
    </row>
    <row r="22" spans="1:17">
      <c r="A22" s="1536" t="s">
        <v>438</v>
      </c>
      <c r="B22" s="1062"/>
      <c r="C22" s="1533"/>
      <c r="D22" s="1529"/>
      <c r="E22" s="1530"/>
      <c r="F22" s="1531"/>
      <c r="G22" s="1532"/>
      <c r="H22" s="1530"/>
      <c r="I22" s="1531"/>
      <c r="J22" s="1532"/>
      <c r="K22" s="1530"/>
      <c r="L22" s="1531"/>
      <c r="M22" s="1532"/>
      <c r="N22" s="1530"/>
      <c r="O22" s="1531"/>
      <c r="P22" s="1532"/>
      <c r="Q22" s="1530"/>
    </row>
    <row r="23" spans="1:17">
      <c r="A23" s="1536"/>
      <c r="B23" s="1062"/>
      <c r="C23" s="1533"/>
      <c r="D23" s="1529"/>
      <c r="E23" s="1530"/>
      <c r="F23" s="1531"/>
      <c r="G23" s="1532"/>
      <c r="H23" s="1530"/>
      <c r="I23" s="1531"/>
      <c r="J23" s="1532"/>
      <c r="K23" s="1530"/>
      <c r="L23" s="1531"/>
      <c r="M23" s="1532"/>
      <c r="N23" s="1530"/>
      <c r="O23" s="1531"/>
      <c r="P23" s="1532"/>
      <c r="Q23" s="1530"/>
    </row>
    <row r="24" spans="1:17" ht="12.75" customHeight="1">
      <c r="A24" s="1537" t="s">
        <v>1227</v>
      </c>
      <c r="B24" s="1062"/>
      <c r="C24" s="1533"/>
      <c r="D24" s="1529"/>
      <c r="E24" s="1530"/>
      <c r="F24" s="1531"/>
      <c r="G24" s="1532"/>
      <c r="H24" s="1530"/>
      <c r="I24" s="1531"/>
      <c r="J24" s="1532"/>
      <c r="K24" s="1530"/>
      <c r="L24" s="1531"/>
      <c r="M24" s="1532"/>
      <c r="N24" s="1530"/>
      <c r="O24" s="1531"/>
      <c r="P24" s="1532"/>
      <c r="Q24" s="1530"/>
    </row>
    <row r="25" spans="1:17" ht="12.75" customHeight="1">
      <c r="A25" s="1536" t="s">
        <v>1228</v>
      </c>
      <c r="B25" s="1062"/>
      <c r="C25" s="1533"/>
    </row>
    <row r="26" spans="1:17">
      <c r="A26" s="1536"/>
      <c r="B26" s="1062"/>
      <c r="C26" s="1533"/>
      <c r="D26" s="2"/>
      <c r="E26" s="2"/>
      <c r="F26" s="2"/>
      <c r="G26" s="2"/>
      <c r="H26" s="2"/>
      <c r="I26" s="2"/>
      <c r="J26" s="2"/>
      <c r="K26" s="2"/>
      <c r="L26" s="2"/>
      <c r="M26" s="2"/>
      <c r="N26" s="2"/>
      <c r="O26" s="2"/>
      <c r="P26" s="2"/>
      <c r="Q26" s="2"/>
    </row>
    <row r="27" spans="1:17">
      <c r="A27" s="1536"/>
      <c r="B27" s="1062"/>
      <c r="C27" s="1533"/>
      <c r="D27" s="2"/>
      <c r="E27" s="2"/>
      <c r="F27" s="2"/>
      <c r="G27" s="2"/>
      <c r="H27" s="2"/>
      <c r="I27" s="2"/>
      <c r="J27" s="2"/>
      <c r="K27" s="2"/>
      <c r="L27" s="2"/>
      <c r="M27" s="2"/>
      <c r="N27" s="2"/>
      <c r="O27" s="2"/>
      <c r="P27" s="2"/>
      <c r="Q27" s="2"/>
    </row>
    <row r="28" spans="1:17">
      <c r="A28" s="1536"/>
      <c r="B28" s="1062"/>
      <c r="C28" s="1533"/>
      <c r="D28" s="2"/>
      <c r="E28" s="2"/>
      <c r="F28" s="2"/>
      <c r="G28" s="2"/>
      <c r="H28" s="2"/>
      <c r="I28" s="2"/>
      <c r="J28" s="2"/>
      <c r="K28" s="2"/>
      <c r="L28" s="2"/>
      <c r="M28" s="2"/>
      <c r="N28" s="2"/>
      <c r="O28" s="2"/>
      <c r="P28" s="2"/>
      <c r="Q28" s="2"/>
    </row>
    <row r="29" spans="1:17">
      <c r="A29" s="1536"/>
      <c r="B29" s="1062"/>
      <c r="C29" s="1533"/>
      <c r="D29" s="2"/>
      <c r="E29" s="2"/>
      <c r="F29" s="2"/>
      <c r="G29" s="2"/>
      <c r="H29" s="2"/>
      <c r="I29" s="2"/>
      <c r="J29" s="2"/>
      <c r="K29" s="2"/>
      <c r="L29" s="2"/>
      <c r="M29" s="2"/>
      <c r="N29" s="2"/>
      <c r="O29" s="2"/>
      <c r="P29" s="2"/>
      <c r="Q29" s="2"/>
    </row>
    <row r="30" spans="1:17">
      <c r="A30" s="1536"/>
      <c r="B30" s="1062"/>
      <c r="C30" s="1533"/>
      <c r="D30" s="2"/>
      <c r="E30" s="2"/>
      <c r="F30" s="2"/>
      <c r="G30" s="2"/>
      <c r="H30" s="2"/>
      <c r="I30" s="2"/>
      <c r="J30" s="2"/>
      <c r="K30" s="2"/>
      <c r="L30" s="2"/>
      <c r="M30" s="2"/>
      <c r="N30" s="2"/>
      <c r="O30" s="2"/>
      <c r="P30" s="2"/>
      <c r="Q30" s="2"/>
    </row>
    <row r="31" spans="1:17">
      <c r="A31" s="1536"/>
      <c r="B31" s="1062"/>
      <c r="C31" s="1533"/>
      <c r="D31" s="2"/>
      <c r="E31" s="2"/>
      <c r="F31" s="2"/>
      <c r="G31" s="2"/>
      <c r="H31" s="2"/>
      <c r="I31" s="2"/>
      <c r="J31" s="2"/>
      <c r="K31" s="2"/>
      <c r="L31" s="2"/>
      <c r="M31" s="2"/>
      <c r="N31" s="2"/>
      <c r="O31" s="2"/>
      <c r="P31" s="2"/>
      <c r="Q31" s="2"/>
    </row>
    <row r="32" spans="1:17">
      <c r="A32" s="1062"/>
      <c r="B32" s="1062"/>
      <c r="C32" s="1533"/>
      <c r="D32" s="2"/>
      <c r="E32" s="2"/>
      <c r="F32" s="2"/>
      <c r="G32" s="2"/>
      <c r="H32" s="2"/>
      <c r="I32" s="2"/>
      <c r="J32" s="2"/>
      <c r="K32" s="2"/>
      <c r="L32" s="2"/>
      <c r="M32" s="2"/>
      <c r="N32" s="2"/>
      <c r="O32" s="2"/>
      <c r="P32" s="2"/>
      <c r="Q32" s="2"/>
    </row>
    <row r="33" spans="1:17">
      <c r="A33" s="2"/>
      <c r="B33" s="2"/>
      <c r="C33" s="2"/>
      <c r="D33" s="2"/>
      <c r="E33" s="2"/>
      <c r="F33" s="2"/>
      <c r="G33" s="2"/>
      <c r="H33" s="2"/>
      <c r="I33" s="2"/>
      <c r="J33" s="2"/>
      <c r="K33" s="2"/>
      <c r="L33" s="2"/>
      <c r="M33" s="2"/>
      <c r="N33" s="2"/>
      <c r="O33" s="2"/>
      <c r="P33" s="2"/>
      <c r="Q33" s="2"/>
    </row>
    <row r="34" spans="1:17">
      <c r="A34" s="2"/>
      <c r="B34" s="2"/>
      <c r="C34" s="2"/>
      <c r="D34" s="2"/>
      <c r="E34" s="2"/>
      <c r="F34" s="2"/>
      <c r="G34" s="2"/>
      <c r="H34" s="2"/>
      <c r="I34" s="2"/>
      <c r="J34" s="2"/>
      <c r="K34" s="2"/>
      <c r="L34" s="2"/>
      <c r="M34" s="2"/>
      <c r="N34" s="2"/>
      <c r="O34" s="2"/>
      <c r="P34" s="2"/>
      <c r="Q34" s="2"/>
    </row>
    <row r="35" spans="1:17">
      <c r="A35" s="2"/>
      <c r="B35" s="2"/>
      <c r="C35" s="2"/>
      <c r="D35" s="2"/>
      <c r="E35" s="2"/>
      <c r="F35" s="2"/>
      <c r="G35" s="2"/>
      <c r="H35" s="2"/>
      <c r="I35" s="2"/>
      <c r="J35" s="2"/>
      <c r="K35" s="2"/>
      <c r="L35" s="2"/>
      <c r="M35" s="2"/>
      <c r="N35" s="2"/>
      <c r="O35" s="2"/>
      <c r="P35" s="2"/>
      <c r="Q35" s="2"/>
    </row>
    <row r="36" spans="1:17">
      <c r="A36" s="1"/>
      <c r="B36" s="2"/>
      <c r="C36" s="2"/>
      <c r="D36" s="2"/>
      <c r="E36" s="2"/>
      <c r="F36" s="2"/>
      <c r="G36" s="2"/>
      <c r="H36" s="2"/>
      <c r="I36" s="2"/>
      <c r="J36" s="2"/>
      <c r="K36" s="2"/>
      <c r="L36" s="2"/>
      <c r="M36" s="2"/>
      <c r="N36" s="2"/>
      <c r="O36" s="2"/>
      <c r="P36" s="2"/>
      <c r="Q36" s="2"/>
    </row>
    <row r="37" spans="1:17">
      <c r="A37" s="2"/>
      <c r="B37" s="2"/>
      <c r="C37" s="2"/>
      <c r="D37" s="2"/>
      <c r="E37" s="2"/>
      <c r="F37" s="2"/>
      <c r="G37" s="2"/>
      <c r="H37" s="2"/>
      <c r="I37" s="2"/>
      <c r="J37" s="2"/>
      <c r="K37" s="2"/>
      <c r="L37" s="2"/>
      <c r="M37" s="2"/>
      <c r="N37" s="2"/>
      <c r="O37" s="2"/>
      <c r="P37" s="2"/>
      <c r="Q37" s="2"/>
    </row>
    <row r="38" spans="1:17">
      <c r="A38" s="2"/>
      <c r="B38" s="2"/>
      <c r="C38" s="2"/>
      <c r="D38" s="2"/>
      <c r="E38" s="2"/>
      <c r="F38" s="2"/>
      <c r="G38" s="2"/>
      <c r="H38" s="2"/>
      <c r="I38" s="2"/>
      <c r="J38" s="2"/>
      <c r="K38" s="2"/>
      <c r="L38" s="2"/>
      <c r="M38" s="2"/>
      <c r="N38" s="2"/>
      <c r="O38" s="2"/>
      <c r="P38" s="2"/>
      <c r="Q38" s="2"/>
    </row>
    <row r="39" spans="1:17">
      <c r="A39" s="2"/>
      <c r="B39" s="2"/>
      <c r="C39" s="2"/>
      <c r="D39" s="2"/>
      <c r="E39" s="2"/>
      <c r="F39" s="2"/>
      <c r="G39" s="2"/>
      <c r="H39" s="2"/>
      <c r="I39" s="2"/>
      <c r="J39" s="2"/>
      <c r="K39" s="2"/>
      <c r="L39" s="2"/>
      <c r="M39" s="2"/>
      <c r="N39" s="2"/>
      <c r="O39" s="2"/>
      <c r="P39" s="2"/>
      <c r="Q39" s="2"/>
    </row>
    <row r="40" spans="1:17" ht="12.75" customHeight="1">
      <c r="A40" s="2"/>
      <c r="B40" s="2"/>
      <c r="C40" s="1" t="s">
        <v>1080</v>
      </c>
      <c r="D40" s="180"/>
      <c r="E40" s="180"/>
      <c r="F40" s="2"/>
      <c r="G40" s="2"/>
      <c r="H40" s="2"/>
      <c r="I40" s="2"/>
      <c r="J40" s="2"/>
      <c r="K40" s="2"/>
      <c r="L40" s="2"/>
      <c r="M40" s="2"/>
      <c r="N40" s="2"/>
      <c r="O40" s="2"/>
      <c r="P40" s="2"/>
      <c r="Q40" s="2"/>
    </row>
    <row r="41" spans="1:17" ht="12.75" customHeight="1">
      <c r="A41" s="2"/>
      <c r="B41" s="2"/>
      <c r="C41" s="2" t="s">
        <v>1081</v>
      </c>
      <c r="D41" s="180"/>
      <c r="E41" s="180"/>
      <c r="F41" s="2"/>
      <c r="G41" s="2"/>
      <c r="H41" s="2"/>
      <c r="I41" s="2"/>
      <c r="J41" s="2"/>
      <c r="K41" s="2"/>
      <c r="L41" s="2"/>
      <c r="M41" s="2"/>
      <c r="N41" s="2"/>
      <c r="O41" s="2"/>
      <c r="P41" s="2"/>
      <c r="Q41" s="2"/>
    </row>
    <row r="42" spans="1:17" ht="12.75" customHeight="1">
      <c r="A42" s="2"/>
      <c r="B42" s="2"/>
      <c r="C42" s="2" t="s">
        <v>1667</v>
      </c>
      <c r="D42" s="180"/>
      <c r="E42" s="180"/>
      <c r="F42" s="2"/>
      <c r="G42" s="2"/>
      <c r="H42" s="2"/>
      <c r="I42" s="2"/>
      <c r="J42" s="2"/>
      <c r="K42" s="2"/>
      <c r="L42" s="2"/>
      <c r="M42" s="2"/>
      <c r="N42" s="2"/>
      <c r="O42" s="2"/>
      <c r="P42" s="2"/>
      <c r="Q42" s="2"/>
    </row>
    <row r="43" spans="1:17" ht="12.75" customHeight="1">
      <c r="A43" s="2"/>
      <c r="B43" s="2"/>
      <c r="C43" s="1514"/>
      <c r="D43" s="180"/>
      <c r="E43" s="180"/>
      <c r="F43" s="2"/>
      <c r="G43" s="2"/>
      <c r="H43" s="2"/>
      <c r="I43" s="2"/>
      <c r="J43" s="2"/>
      <c r="K43" s="2"/>
      <c r="L43" s="2"/>
      <c r="M43" s="2"/>
      <c r="N43" s="2"/>
      <c r="O43" s="2"/>
      <c r="P43" s="2"/>
      <c r="Q43" s="2"/>
    </row>
    <row r="44" spans="1:17" ht="12.75" customHeight="1">
      <c r="A44" s="2"/>
      <c r="B44" s="2"/>
      <c r="C44" s="1515"/>
      <c r="D44" s="1515"/>
      <c r="E44" s="1515"/>
      <c r="F44" s="2"/>
      <c r="G44" s="2"/>
      <c r="H44" s="2"/>
      <c r="I44" s="2"/>
      <c r="J44" s="2"/>
      <c r="K44" s="2"/>
      <c r="L44" s="2"/>
      <c r="M44" s="2"/>
      <c r="N44" s="2"/>
      <c r="O44" s="2"/>
      <c r="P44" s="2"/>
      <c r="Q44" s="2"/>
    </row>
    <row r="45" spans="1:17" ht="12.75" customHeight="1">
      <c r="A45" s="2"/>
      <c r="B45" s="2"/>
      <c r="C45" s="4218" t="s">
        <v>662</v>
      </c>
      <c r="D45" s="4216" t="s">
        <v>663</v>
      </c>
      <c r="E45" s="1517" t="s">
        <v>664</v>
      </c>
      <c r="F45" s="2"/>
      <c r="G45" s="2"/>
      <c r="H45" s="2"/>
      <c r="I45" s="2"/>
      <c r="J45" s="2"/>
      <c r="K45" s="2"/>
      <c r="L45" s="2"/>
      <c r="M45" s="2"/>
      <c r="N45" s="2"/>
      <c r="O45" s="2"/>
      <c r="P45" s="2"/>
      <c r="Q45" s="2"/>
    </row>
    <row r="46" spans="1:17" ht="12.75" customHeight="1" thickBot="1">
      <c r="A46" s="2"/>
      <c r="B46" s="2"/>
      <c r="C46" s="4218"/>
      <c r="D46" s="4216"/>
      <c r="E46" s="1518" t="s">
        <v>256</v>
      </c>
      <c r="F46" s="2"/>
      <c r="G46" s="2"/>
      <c r="H46" s="2"/>
      <c r="I46" s="2"/>
      <c r="J46" s="2"/>
      <c r="K46" s="2"/>
      <c r="L46" s="2"/>
      <c r="M46" s="2"/>
      <c r="N46" s="2"/>
      <c r="O46" s="2"/>
      <c r="P46" s="2"/>
      <c r="Q46" s="2"/>
    </row>
    <row r="47" spans="1:17" ht="12.75" customHeight="1">
      <c r="A47" s="2"/>
      <c r="B47" s="2"/>
      <c r="C47" s="1519" t="s">
        <v>724</v>
      </c>
      <c r="D47" s="1520" t="s">
        <v>663</v>
      </c>
      <c r="E47" s="1521" t="s">
        <v>725</v>
      </c>
      <c r="F47" s="2"/>
      <c r="G47" s="2"/>
      <c r="H47" s="2"/>
      <c r="I47" s="2"/>
      <c r="J47" s="2"/>
      <c r="K47" s="2"/>
      <c r="L47" s="2"/>
      <c r="M47" s="2"/>
      <c r="N47" s="2"/>
      <c r="O47" s="2"/>
      <c r="P47" s="2"/>
      <c r="Q47" s="2"/>
    </row>
    <row r="48" spans="1:17" ht="12.75" customHeight="1">
      <c r="A48" s="2"/>
      <c r="B48" s="2"/>
      <c r="C48" s="1522" t="s">
        <v>1050</v>
      </c>
      <c r="D48" s="1516" t="s">
        <v>663</v>
      </c>
      <c r="E48" s="1523" t="s">
        <v>1051</v>
      </c>
      <c r="F48" s="2"/>
      <c r="G48" s="2"/>
      <c r="H48" s="2"/>
      <c r="I48" s="2"/>
      <c r="J48" s="2"/>
      <c r="K48" s="2"/>
      <c r="L48" s="2"/>
      <c r="M48" s="2"/>
      <c r="N48" s="2"/>
      <c r="O48" s="2"/>
      <c r="P48" s="2"/>
      <c r="Q48" s="2"/>
    </row>
    <row r="49" spans="1:17" ht="12.75" customHeight="1">
      <c r="A49" s="2"/>
      <c r="B49" s="2"/>
      <c r="C49" s="1519" t="s">
        <v>1052</v>
      </c>
      <c r="D49" s="1520" t="s">
        <v>663</v>
      </c>
      <c r="E49" s="1521" t="s">
        <v>1053</v>
      </c>
      <c r="F49" s="2"/>
      <c r="G49" s="2"/>
      <c r="H49" s="2"/>
      <c r="I49" s="2"/>
      <c r="J49" s="2"/>
      <c r="K49" s="2"/>
      <c r="L49" s="2"/>
      <c r="M49" s="2"/>
      <c r="N49" s="2"/>
      <c r="O49" s="2"/>
      <c r="P49" s="2"/>
      <c r="Q49" s="2"/>
    </row>
    <row r="50" spans="1:17" ht="12.75" customHeight="1">
      <c r="A50" s="2"/>
      <c r="B50" s="2"/>
      <c r="C50" s="1522" t="s">
        <v>1054</v>
      </c>
      <c r="D50" s="1516" t="s">
        <v>663</v>
      </c>
      <c r="E50" s="1523" t="s">
        <v>1055</v>
      </c>
      <c r="F50" s="2"/>
      <c r="G50" s="2"/>
      <c r="H50" s="2"/>
      <c r="I50" s="2"/>
      <c r="J50" s="2"/>
      <c r="K50" s="2"/>
      <c r="L50" s="2"/>
      <c r="M50" s="2"/>
      <c r="N50" s="2"/>
      <c r="O50" s="2"/>
      <c r="P50" s="2"/>
      <c r="Q50" s="2"/>
    </row>
    <row r="51" spans="1:17" ht="12.75" customHeight="1">
      <c r="A51" s="2"/>
      <c r="B51" s="2"/>
      <c r="C51" s="1519" t="s">
        <v>1056</v>
      </c>
      <c r="D51" s="1520" t="s">
        <v>663</v>
      </c>
      <c r="E51" s="1521" t="s">
        <v>1057</v>
      </c>
      <c r="F51" s="2"/>
      <c r="G51" s="2"/>
      <c r="H51" s="2"/>
      <c r="I51" s="2"/>
      <c r="J51" s="2"/>
      <c r="K51" s="2"/>
      <c r="L51" s="2"/>
      <c r="M51" s="2"/>
      <c r="N51" s="2"/>
      <c r="O51" s="2"/>
      <c r="P51" s="2"/>
      <c r="Q51" s="2"/>
    </row>
    <row r="52" spans="1:17" ht="12.75" customHeight="1">
      <c r="A52" s="2"/>
      <c r="B52" s="2"/>
      <c r="C52" s="1522" t="s">
        <v>1058</v>
      </c>
      <c r="D52" s="1516" t="s">
        <v>663</v>
      </c>
      <c r="E52" s="1523" t="s">
        <v>1059</v>
      </c>
      <c r="F52" s="2"/>
      <c r="G52" s="2"/>
      <c r="H52" s="2"/>
      <c r="I52" s="2"/>
      <c r="J52" s="2"/>
      <c r="K52" s="2"/>
      <c r="L52" s="2"/>
      <c r="M52" s="2"/>
      <c r="N52" s="2"/>
      <c r="O52" s="2"/>
      <c r="P52" s="2"/>
      <c r="Q52" s="2"/>
    </row>
    <row r="53" spans="1:17" ht="12.75" customHeight="1">
      <c r="A53" s="2"/>
      <c r="B53" s="2"/>
      <c r="C53" s="1519" t="s">
        <v>1060</v>
      </c>
      <c r="D53" s="1520" t="s">
        <v>663</v>
      </c>
      <c r="E53" s="1521" t="s">
        <v>1061</v>
      </c>
      <c r="F53" s="2"/>
      <c r="G53" s="2"/>
      <c r="H53" s="2"/>
      <c r="I53" s="2"/>
      <c r="J53" s="2"/>
      <c r="K53" s="2"/>
      <c r="L53" s="2"/>
      <c r="M53" s="2"/>
      <c r="N53" s="2"/>
      <c r="O53" s="2"/>
      <c r="P53" s="2"/>
      <c r="Q53" s="2"/>
    </row>
    <row r="54" spans="1:17" ht="12.75" customHeight="1">
      <c r="A54" s="2"/>
      <c r="B54" s="2"/>
      <c r="C54" s="1522" t="s">
        <v>1062</v>
      </c>
      <c r="D54" s="1516" t="s">
        <v>663</v>
      </c>
      <c r="E54" s="1523" t="s">
        <v>1063</v>
      </c>
      <c r="F54" s="2"/>
      <c r="G54" s="2"/>
      <c r="H54" s="2"/>
      <c r="I54" s="2"/>
      <c r="J54" s="2"/>
      <c r="K54" s="2"/>
      <c r="L54" s="2"/>
      <c r="M54" s="2"/>
      <c r="N54" s="2"/>
      <c r="O54" s="2"/>
      <c r="P54" s="2"/>
      <c r="Q54" s="2"/>
    </row>
    <row r="55" spans="1:17" ht="12.75" customHeight="1">
      <c r="A55" s="2"/>
      <c r="B55" s="2"/>
      <c r="C55" s="1519" t="s">
        <v>1064</v>
      </c>
      <c r="D55" s="1520" t="s">
        <v>663</v>
      </c>
      <c r="E55" s="1521" t="s">
        <v>1065</v>
      </c>
      <c r="F55" s="2"/>
      <c r="G55" s="2"/>
      <c r="H55" s="2"/>
      <c r="I55" s="2"/>
      <c r="J55" s="2"/>
      <c r="K55" s="2"/>
      <c r="L55" s="2"/>
      <c r="M55" s="2"/>
      <c r="N55" s="2"/>
      <c r="O55" s="2"/>
      <c r="P55" s="2"/>
      <c r="Q55" s="2"/>
    </row>
    <row r="56" spans="1:17" ht="12.75" customHeight="1">
      <c r="A56" s="2"/>
      <c r="B56" s="2"/>
      <c r="C56" s="1522" t="s">
        <v>1066</v>
      </c>
      <c r="D56" s="1516" t="s">
        <v>663</v>
      </c>
      <c r="E56" s="1523" t="s">
        <v>1067</v>
      </c>
      <c r="F56" s="2"/>
      <c r="G56" s="2"/>
      <c r="H56" s="2"/>
      <c r="I56" s="2"/>
      <c r="J56" s="2"/>
      <c r="K56" s="2"/>
      <c r="L56" s="2"/>
      <c r="M56" s="2"/>
      <c r="N56" s="2"/>
      <c r="O56" s="2"/>
      <c r="P56" s="2"/>
      <c r="Q56" s="2"/>
    </row>
    <row r="57" spans="1:17" ht="12.75" customHeight="1">
      <c r="A57" s="2"/>
      <c r="B57" s="2"/>
      <c r="C57" s="2" t="s">
        <v>613</v>
      </c>
      <c r="D57" s="180"/>
      <c r="E57" s="180"/>
      <c r="F57" s="2"/>
      <c r="G57" s="2"/>
      <c r="H57" s="2"/>
      <c r="I57" s="2"/>
      <c r="J57" s="2"/>
      <c r="K57" s="2"/>
      <c r="L57" s="2"/>
      <c r="M57" s="2"/>
      <c r="N57" s="2"/>
      <c r="O57" s="2"/>
      <c r="P57" s="2"/>
      <c r="Q57" s="2"/>
    </row>
    <row r="58" spans="1:17" ht="12.75" customHeight="1">
      <c r="A58" s="2"/>
      <c r="B58" s="2"/>
      <c r="C58" s="1514"/>
      <c r="D58" s="180"/>
      <c r="E58" s="180"/>
      <c r="F58" s="2"/>
      <c r="G58" s="2"/>
      <c r="H58" s="2"/>
      <c r="I58" s="2"/>
      <c r="J58" s="2"/>
      <c r="K58" s="2"/>
      <c r="L58" s="2"/>
      <c r="M58" s="2"/>
      <c r="N58" s="2"/>
      <c r="O58" s="2"/>
      <c r="P58" s="2"/>
      <c r="Q58" s="2"/>
    </row>
    <row r="59" spans="1:17" ht="12.75" customHeight="1">
      <c r="A59" s="2"/>
      <c r="B59" s="2"/>
      <c r="C59" s="1515"/>
      <c r="D59" s="1515"/>
      <c r="E59" s="1515"/>
      <c r="F59" s="2"/>
      <c r="G59" s="2"/>
      <c r="H59" s="2"/>
      <c r="I59" s="2"/>
      <c r="J59" s="2"/>
      <c r="K59" s="2"/>
      <c r="L59" s="2"/>
      <c r="M59" s="2"/>
      <c r="N59" s="2"/>
      <c r="O59" s="2"/>
      <c r="P59" s="2"/>
      <c r="Q59" s="2"/>
    </row>
    <row r="60" spans="1:17" ht="12.75" customHeight="1">
      <c r="A60" s="2"/>
      <c r="B60" s="2"/>
      <c r="C60" s="4218" t="s">
        <v>662</v>
      </c>
      <c r="D60" s="4216" t="s">
        <v>663</v>
      </c>
      <c r="E60" s="1517" t="s">
        <v>1068</v>
      </c>
      <c r="F60" s="2"/>
      <c r="G60" s="2"/>
      <c r="H60" s="2"/>
      <c r="I60" s="2"/>
      <c r="J60" s="2"/>
      <c r="K60" s="2"/>
      <c r="L60" s="2"/>
      <c r="M60" s="2"/>
      <c r="N60" s="2"/>
      <c r="O60" s="2"/>
      <c r="P60" s="2"/>
      <c r="Q60" s="2"/>
    </row>
    <row r="61" spans="1:17" ht="12.75" customHeight="1" thickBot="1">
      <c r="A61" s="2"/>
      <c r="B61" s="2"/>
      <c r="C61" s="4218"/>
      <c r="D61" s="4216"/>
      <c r="E61" s="1518" t="s">
        <v>256</v>
      </c>
      <c r="F61" s="2"/>
      <c r="G61" s="2"/>
      <c r="H61" s="2"/>
      <c r="I61" s="2"/>
      <c r="J61" s="2"/>
      <c r="K61" s="2"/>
      <c r="L61" s="2"/>
      <c r="M61" s="2"/>
      <c r="N61" s="2"/>
      <c r="O61" s="2"/>
      <c r="P61" s="2"/>
      <c r="Q61" s="2"/>
    </row>
    <row r="62" spans="1:17" ht="12.75" customHeight="1">
      <c r="A62" s="2"/>
      <c r="B62" s="2"/>
      <c r="C62" s="1519" t="s">
        <v>1069</v>
      </c>
      <c r="D62" s="1520" t="s">
        <v>663</v>
      </c>
      <c r="E62" s="1521" t="s">
        <v>1070</v>
      </c>
      <c r="F62" s="2"/>
      <c r="G62" s="2"/>
      <c r="H62" s="2"/>
      <c r="I62" s="2"/>
      <c r="J62" s="2"/>
      <c r="K62" s="2"/>
      <c r="L62" s="2"/>
      <c r="M62" s="2"/>
      <c r="N62" s="2"/>
      <c r="O62" s="2"/>
      <c r="P62" s="2"/>
      <c r="Q62" s="2"/>
    </row>
    <row r="63" spans="1:17" ht="12.75" customHeight="1">
      <c r="A63" s="2"/>
      <c r="B63" s="2"/>
      <c r="C63" s="1522" t="s">
        <v>1071</v>
      </c>
      <c r="D63" s="1516" t="s">
        <v>663</v>
      </c>
      <c r="E63" s="1523" t="s">
        <v>1072</v>
      </c>
      <c r="F63" s="2"/>
      <c r="G63" s="2"/>
      <c r="H63" s="2"/>
      <c r="I63" s="2"/>
      <c r="J63" s="2"/>
      <c r="K63" s="2"/>
      <c r="L63" s="2"/>
      <c r="M63" s="2"/>
      <c r="N63" s="2"/>
      <c r="O63" s="2"/>
      <c r="P63" s="2"/>
      <c r="Q63" s="2"/>
    </row>
    <row r="64" spans="1:17" ht="12.75" customHeight="1">
      <c r="A64" s="2"/>
      <c r="B64" s="2"/>
      <c r="C64" s="1519" t="s">
        <v>1052</v>
      </c>
      <c r="D64" s="1520" t="s">
        <v>663</v>
      </c>
      <c r="E64" s="1521" t="s">
        <v>1073</v>
      </c>
      <c r="F64" s="2"/>
      <c r="G64" s="2"/>
      <c r="H64" s="2"/>
      <c r="I64" s="2"/>
      <c r="J64" s="2"/>
      <c r="K64" s="2"/>
      <c r="L64" s="2"/>
      <c r="M64" s="2"/>
      <c r="N64" s="2"/>
      <c r="O64" s="2"/>
      <c r="P64" s="2"/>
      <c r="Q64" s="2"/>
    </row>
    <row r="65" spans="1:17" ht="12.75" customHeight="1">
      <c r="A65" s="2"/>
      <c r="B65" s="2"/>
      <c r="C65" s="1522" t="s">
        <v>1074</v>
      </c>
      <c r="D65" s="1516" t="s">
        <v>663</v>
      </c>
      <c r="E65" s="1523" t="s">
        <v>1075</v>
      </c>
      <c r="F65" s="2"/>
      <c r="G65" s="2"/>
      <c r="H65" s="2"/>
      <c r="I65" s="2"/>
      <c r="J65" s="2"/>
      <c r="K65" s="2"/>
      <c r="L65" s="2"/>
      <c r="M65" s="2"/>
      <c r="N65" s="2"/>
      <c r="O65" s="2"/>
      <c r="P65" s="2"/>
      <c r="Q65" s="2"/>
    </row>
    <row r="66" spans="1:17" ht="12.75" customHeight="1">
      <c r="A66" s="2"/>
      <c r="B66" s="2"/>
      <c r="C66" s="1519" t="s">
        <v>1076</v>
      </c>
      <c r="D66" s="1520" t="s">
        <v>663</v>
      </c>
      <c r="E66" s="1521" t="s">
        <v>1077</v>
      </c>
      <c r="F66" s="2"/>
      <c r="G66" s="2"/>
      <c r="H66" s="2"/>
      <c r="I66" s="2"/>
      <c r="J66" s="2"/>
      <c r="K66" s="2"/>
      <c r="L66" s="2"/>
      <c r="M66" s="2"/>
      <c r="N66" s="2"/>
      <c r="O66" s="2"/>
      <c r="P66" s="2"/>
      <c r="Q66" s="2"/>
    </row>
    <row r="67" spans="1:17" ht="12.75" customHeight="1">
      <c r="A67" s="2"/>
      <c r="B67" s="2"/>
      <c r="C67" s="1522" t="s">
        <v>1078</v>
      </c>
      <c r="D67" s="1516" t="s">
        <v>663</v>
      </c>
      <c r="E67" s="1523" t="s">
        <v>1079</v>
      </c>
      <c r="F67" s="2"/>
      <c r="G67" s="2"/>
      <c r="H67" s="2"/>
      <c r="I67" s="2"/>
      <c r="J67" s="2"/>
      <c r="K67" s="2"/>
      <c r="L67" s="2"/>
      <c r="M67" s="2"/>
      <c r="N67" s="2"/>
      <c r="O67" s="2"/>
      <c r="P67" s="2"/>
      <c r="Q67" s="2"/>
    </row>
    <row r="68" spans="1:17" ht="4.5" customHeight="1">
      <c r="A68" s="2"/>
      <c r="B68" s="2"/>
      <c r="C68" s="2"/>
      <c r="D68" s="2"/>
      <c r="E68" s="2"/>
      <c r="F68" s="2"/>
      <c r="G68" s="2"/>
      <c r="H68" s="2"/>
      <c r="I68" s="2"/>
      <c r="J68" s="2"/>
      <c r="K68" s="2"/>
      <c r="L68" s="2"/>
      <c r="M68" s="2"/>
      <c r="N68" s="2"/>
      <c r="O68" s="2"/>
      <c r="P68" s="2"/>
      <c r="Q68" s="2"/>
    </row>
    <row r="69" spans="1:17" ht="12.75" customHeight="1">
      <c r="A69" s="2"/>
      <c r="B69" s="2"/>
      <c r="C69" s="2"/>
      <c r="D69" s="2"/>
      <c r="E69" s="2"/>
      <c r="F69" s="2"/>
      <c r="G69" s="2" t="s">
        <v>422</v>
      </c>
      <c r="H69" s="180"/>
      <c r="I69" s="180"/>
      <c r="J69" s="180"/>
      <c r="K69" s="180"/>
      <c r="L69" s="180"/>
      <c r="M69" s="180"/>
      <c r="N69" s="180"/>
      <c r="O69" s="180"/>
      <c r="P69" s="2"/>
      <c r="Q69" s="2"/>
    </row>
    <row r="70" spans="1:17" ht="12.75" customHeight="1">
      <c r="A70" s="2"/>
      <c r="B70" s="2"/>
      <c r="C70" s="2"/>
      <c r="D70" s="2"/>
      <c r="E70" s="2"/>
      <c r="F70" s="2"/>
      <c r="G70" s="2"/>
      <c r="H70" s="180"/>
      <c r="I70" s="180"/>
      <c r="J70" s="180"/>
      <c r="K70" s="180"/>
      <c r="L70" s="180"/>
      <c r="M70" s="180"/>
      <c r="N70" s="180"/>
      <c r="O70" s="180"/>
      <c r="P70" s="2"/>
      <c r="Q70" s="2"/>
    </row>
    <row r="71" spans="1:17" ht="12.75" customHeight="1">
      <c r="A71" s="2"/>
      <c r="B71" s="2"/>
      <c r="C71" s="2"/>
      <c r="D71" s="2"/>
      <c r="E71" s="2"/>
      <c r="F71" s="2"/>
      <c r="G71" s="1514"/>
      <c r="H71" s="180"/>
      <c r="I71" s="180"/>
      <c r="J71" s="180"/>
      <c r="K71" s="180"/>
      <c r="L71" s="180"/>
      <c r="M71" s="180"/>
      <c r="N71" s="180"/>
      <c r="O71" s="180"/>
      <c r="P71" s="2"/>
      <c r="Q71" s="2"/>
    </row>
    <row r="72" spans="1:17" ht="12.75" customHeight="1">
      <c r="A72" s="2"/>
      <c r="B72" s="2"/>
      <c r="C72" s="2"/>
      <c r="D72" s="2"/>
      <c r="E72" s="2"/>
      <c r="F72" s="2"/>
      <c r="G72" s="1515"/>
      <c r="H72" s="1515"/>
      <c r="I72" s="1515"/>
      <c r="J72" s="1515"/>
      <c r="K72" s="1515"/>
      <c r="L72" s="1515"/>
      <c r="M72" s="1515"/>
      <c r="N72" s="1515"/>
      <c r="O72" s="1515"/>
      <c r="P72" s="2"/>
      <c r="Q72" s="2"/>
    </row>
    <row r="73" spans="1:17" ht="12.75" customHeight="1">
      <c r="A73" s="2"/>
      <c r="B73" s="2"/>
      <c r="C73" s="2"/>
      <c r="D73" s="2"/>
      <c r="E73" s="2"/>
      <c r="F73" s="2"/>
      <c r="G73" s="4219" t="s">
        <v>614</v>
      </c>
      <c r="H73" s="4219"/>
      <c r="I73" s="4219"/>
      <c r="J73" s="4219"/>
      <c r="K73" s="4219"/>
      <c r="L73" s="4219"/>
      <c r="M73" s="4219"/>
      <c r="N73" s="4219"/>
      <c r="O73" s="4219"/>
      <c r="P73" s="2"/>
      <c r="Q73" s="2"/>
    </row>
    <row r="74" spans="1:17" ht="12.75" customHeight="1">
      <c r="A74" s="2"/>
      <c r="B74" s="2"/>
      <c r="C74" s="2"/>
      <c r="D74" s="2"/>
      <c r="E74" s="2"/>
      <c r="F74" s="2"/>
      <c r="G74" s="4219"/>
      <c r="H74" s="4219"/>
      <c r="I74" s="4219"/>
      <c r="J74" s="4219"/>
      <c r="K74" s="4219"/>
      <c r="L74" s="4219"/>
      <c r="M74" s="4219"/>
      <c r="N74" s="4219"/>
      <c r="O74" s="4219"/>
      <c r="P74" s="2"/>
      <c r="Q74" s="2"/>
    </row>
    <row r="75" spans="1:17" ht="12.75" customHeight="1">
      <c r="A75" s="2"/>
      <c r="B75" s="2"/>
      <c r="C75" s="2"/>
      <c r="D75" s="2"/>
      <c r="E75" s="2"/>
      <c r="F75" s="2"/>
      <c r="G75" s="1524" t="s">
        <v>615</v>
      </c>
      <c r="H75" s="4216"/>
      <c r="I75" s="1517" t="s">
        <v>617</v>
      </c>
      <c r="J75" s="4216"/>
      <c r="K75" s="1517" t="s">
        <v>619</v>
      </c>
      <c r="L75" s="4216"/>
      <c r="M75" s="1517" t="s">
        <v>621</v>
      </c>
      <c r="N75" s="4216"/>
      <c r="O75" s="4217" t="s">
        <v>419</v>
      </c>
      <c r="P75" s="2"/>
      <c r="Q75" s="2"/>
    </row>
    <row r="76" spans="1:17" ht="12.75" customHeight="1" thickBot="1">
      <c r="A76" s="2"/>
      <c r="B76" s="2"/>
      <c r="C76" s="2"/>
      <c r="D76" s="2"/>
      <c r="E76" s="2"/>
      <c r="F76" s="2"/>
      <c r="G76" s="1525" t="s">
        <v>616</v>
      </c>
      <c r="H76" s="4216"/>
      <c r="I76" s="1518" t="s">
        <v>618</v>
      </c>
      <c r="J76" s="4216"/>
      <c r="K76" s="1518" t="s">
        <v>620</v>
      </c>
      <c r="L76" s="4216"/>
      <c r="M76" s="1518" t="s">
        <v>622</v>
      </c>
      <c r="N76" s="4216"/>
      <c r="O76" s="4215"/>
      <c r="P76" s="2"/>
      <c r="Q76" s="2"/>
    </row>
    <row r="77" spans="1:17" ht="12.75" customHeight="1">
      <c r="A77" s="2"/>
      <c r="B77" s="2"/>
      <c r="C77" s="2"/>
      <c r="D77" s="2"/>
      <c r="E77" s="2"/>
      <c r="F77" s="2"/>
      <c r="G77" s="1526">
        <v>1</v>
      </c>
      <c r="H77" s="1516"/>
      <c r="I77" s="1527" t="s">
        <v>423</v>
      </c>
      <c r="J77" s="1516"/>
      <c r="K77" s="1523">
        <v>25</v>
      </c>
      <c r="L77" s="1516"/>
      <c r="M77" s="1523">
        <v>250</v>
      </c>
      <c r="N77" s="1516"/>
      <c r="O77" s="1523">
        <v>150</v>
      </c>
      <c r="P77" s="2"/>
      <c r="Q77" s="2"/>
    </row>
    <row r="78" spans="1:17" ht="12.75" customHeight="1">
      <c r="A78" s="2"/>
      <c r="B78" s="2"/>
      <c r="C78" s="2"/>
      <c r="D78" s="2"/>
      <c r="E78" s="2"/>
      <c r="F78" s="2"/>
      <c r="G78" s="1526">
        <v>2</v>
      </c>
      <c r="H78" s="1516"/>
      <c r="I78" s="1523" t="s">
        <v>424</v>
      </c>
      <c r="J78" s="1516"/>
      <c r="K78" s="1523">
        <v>30</v>
      </c>
      <c r="L78" s="1516"/>
      <c r="M78" s="1523">
        <v>275</v>
      </c>
      <c r="N78" s="1516"/>
      <c r="O78" s="1523">
        <v>175</v>
      </c>
      <c r="P78" s="2"/>
      <c r="Q78" s="2"/>
    </row>
    <row r="79" spans="1:17" ht="12.75" customHeight="1">
      <c r="A79" s="2"/>
      <c r="B79" s="2"/>
      <c r="C79" s="2"/>
      <c r="D79" s="2"/>
      <c r="E79" s="2"/>
      <c r="F79" s="2"/>
      <c r="G79" s="1526">
        <v>3</v>
      </c>
      <c r="H79" s="1516"/>
      <c r="I79" s="1523" t="s">
        <v>425</v>
      </c>
      <c r="J79" s="1516"/>
      <c r="K79" s="1523">
        <v>35</v>
      </c>
      <c r="L79" s="1516"/>
      <c r="M79" s="1523">
        <v>300</v>
      </c>
      <c r="N79" s="1516"/>
      <c r="O79" s="1523">
        <v>200</v>
      </c>
      <c r="P79" s="2"/>
      <c r="Q79" s="2"/>
    </row>
    <row r="80" spans="1:17" ht="12.75" customHeight="1">
      <c r="A80" s="2"/>
      <c r="B80" s="2"/>
      <c r="C80" s="2"/>
      <c r="D80" s="2"/>
      <c r="E80" s="2"/>
      <c r="F80" s="2"/>
      <c r="G80" s="1526">
        <v>4</v>
      </c>
      <c r="H80" s="1516"/>
      <c r="I80" s="1523" t="s">
        <v>426</v>
      </c>
      <c r="J80" s="1516"/>
      <c r="K80" s="1523">
        <v>40</v>
      </c>
      <c r="L80" s="1516"/>
      <c r="M80" s="1523">
        <v>325</v>
      </c>
      <c r="N80" s="1516"/>
      <c r="O80" s="1523">
        <v>225</v>
      </c>
      <c r="P80" s="2"/>
      <c r="Q80" s="2"/>
    </row>
    <row r="81" spans="1:17" ht="12.75" customHeight="1">
      <c r="A81" s="2"/>
      <c r="B81" s="2"/>
      <c r="C81" s="2"/>
      <c r="D81" s="2"/>
      <c r="E81" s="2"/>
      <c r="F81" s="2"/>
      <c r="G81" s="1526">
        <v>5</v>
      </c>
      <c r="H81" s="1516"/>
      <c r="I81" s="1523" t="s">
        <v>420</v>
      </c>
      <c r="J81" s="1516"/>
      <c r="K81" s="1523">
        <v>50</v>
      </c>
      <c r="L81" s="1516"/>
      <c r="M81" s="1523">
        <v>350</v>
      </c>
      <c r="N81" s="1516"/>
      <c r="O81" s="1523" t="s">
        <v>421</v>
      </c>
      <c r="P81" s="2"/>
      <c r="Q81" s="2"/>
    </row>
    <row r="82" spans="1:17" ht="12.75" customHeight="1">
      <c r="A82" s="2"/>
      <c r="B82" s="2"/>
      <c r="C82" s="2"/>
      <c r="D82" s="2"/>
      <c r="E82" s="2"/>
      <c r="F82" s="2"/>
      <c r="G82" s="2"/>
      <c r="H82" s="180"/>
      <c r="I82" s="180"/>
      <c r="J82" s="180"/>
      <c r="K82" s="180"/>
      <c r="L82" s="180"/>
      <c r="M82" s="180"/>
      <c r="N82" s="180"/>
      <c r="O82" s="180"/>
      <c r="P82" s="2"/>
      <c r="Q82" s="2"/>
    </row>
    <row r="83" spans="1:17">
      <c r="A83" s="2"/>
      <c r="B83" s="2"/>
      <c r="C83" s="2"/>
      <c r="D83" s="2"/>
      <c r="E83" s="2"/>
      <c r="F83" s="2"/>
      <c r="G83" s="2"/>
      <c r="H83" s="2"/>
      <c r="I83" s="2"/>
      <c r="J83" s="2"/>
      <c r="K83" s="2"/>
      <c r="L83" s="2"/>
      <c r="M83" s="2"/>
      <c r="N83" s="2"/>
      <c r="O83" s="2"/>
      <c r="P83" s="2"/>
      <c r="Q83" s="2"/>
    </row>
    <row r="84" spans="1:17">
      <c r="A84" s="2"/>
      <c r="B84" s="2"/>
      <c r="C84" s="2"/>
      <c r="D84" s="2"/>
      <c r="E84" s="2"/>
      <c r="F84" s="2"/>
      <c r="G84" s="2"/>
      <c r="H84" s="2"/>
      <c r="I84" s="2"/>
      <c r="J84" s="2"/>
      <c r="K84" s="2"/>
      <c r="L84" s="2"/>
      <c r="M84" s="2"/>
      <c r="N84" s="2"/>
      <c r="O84" s="2"/>
      <c r="P84" s="2"/>
      <c r="Q84" s="1" t="s">
        <v>1121</v>
      </c>
    </row>
    <row r="85" spans="1:17">
      <c r="A85" s="2"/>
      <c r="B85" s="2"/>
      <c r="C85" s="2"/>
      <c r="D85" s="2"/>
      <c r="E85" s="2"/>
      <c r="F85" s="2"/>
      <c r="G85" s="2"/>
      <c r="H85" s="2"/>
      <c r="I85" s="2"/>
      <c r="J85" s="2"/>
      <c r="K85" s="2"/>
      <c r="L85" s="2"/>
      <c r="M85" s="2"/>
      <c r="N85" s="2"/>
      <c r="O85" s="2"/>
      <c r="P85" s="2"/>
      <c r="Q85" s="127" t="s">
        <v>1122</v>
      </c>
    </row>
    <row r="86" spans="1:17">
      <c r="A86" s="2"/>
      <c r="B86" s="2"/>
      <c r="C86" s="2"/>
      <c r="D86" s="2"/>
      <c r="E86" s="2"/>
      <c r="F86" s="2"/>
      <c r="G86" s="2"/>
      <c r="H86" s="2"/>
      <c r="I86" s="2"/>
      <c r="J86" s="2"/>
      <c r="K86" s="2"/>
      <c r="L86" s="2"/>
      <c r="M86" s="2"/>
      <c r="N86" s="2"/>
      <c r="O86" s="2"/>
      <c r="P86" s="2"/>
      <c r="Q86" s="127" t="s">
        <v>592</v>
      </c>
    </row>
    <row r="87" spans="1:17">
      <c r="A87" s="2"/>
      <c r="B87" s="2"/>
      <c r="C87" s="2"/>
      <c r="D87" s="2"/>
      <c r="E87" s="2"/>
      <c r="F87" s="2"/>
      <c r="G87" s="2"/>
      <c r="H87" s="2"/>
      <c r="I87" s="2"/>
      <c r="J87" s="2"/>
      <c r="K87" s="2"/>
      <c r="L87" s="2"/>
      <c r="M87" s="2"/>
      <c r="N87" s="2"/>
      <c r="O87" s="2"/>
      <c r="P87" s="2"/>
      <c r="Q87" s="127" t="s">
        <v>1123</v>
      </c>
    </row>
    <row r="88" spans="1:17">
      <c r="A88" s="2"/>
      <c r="B88" s="2"/>
      <c r="C88" s="2"/>
      <c r="D88" s="2"/>
      <c r="E88" s="2"/>
      <c r="F88" s="2"/>
      <c r="G88" s="2"/>
      <c r="H88" s="2"/>
      <c r="I88" s="2"/>
      <c r="J88" s="2"/>
      <c r="K88" s="2"/>
      <c r="L88" s="2"/>
      <c r="M88" s="2"/>
      <c r="N88" s="2"/>
      <c r="O88" s="2"/>
      <c r="P88" s="2"/>
      <c r="Q88" s="127" t="s">
        <v>152</v>
      </c>
    </row>
    <row r="89" spans="1:17">
      <c r="A89" s="2"/>
      <c r="B89" s="2"/>
      <c r="C89" s="2"/>
      <c r="D89" s="2"/>
      <c r="E89" s="2"/>
      <c r="F89" s="2"/>
      <c r="G89" s="2"/>
      <c r="H89" s="2"/>
      <c r="I89" s="2"/>
      <c r="J89" s="2"/>
      <c r="K89" s="2"/>
      <c r="L89" s="2"/>
      <c r="M89" s="2"/>
      <c r="N89" s="2"/>
      <c r="O89" s="2"/>
      <c r="P89" s="2"/>
      <c r="Q89" s="127" t="s">
        <v>153</v>
      </c>
    </row>
    <row r="90" spans="1:17">
      <c r="A90" s="2"/>
      <c r="B90" s="2"/>
      <c r="C90" s="2"/>
      <c r="D90" s="2"/>
      <c r="E90" s="2"/>
      <c r="F90" s="2"/>
      <c r="G90" s="2"/>
      <c r="H90" s="2"/>
      <c r="I90" s="2"/>
      <c r="J90" s="2"/>
      <c r="K90" s="2"/>
      <c r="L90" s="2"/>
      <c r="M90" s="2"/>
      <c r="N90" s="2"/>
      <c r="O90" s="2"/>
      <c r="P90" s="2"/>
      <c r="Q90" s="127" t="s">
        <v>19</v>
      </c>
    </row>
    <row r="91" spans="1:17">
      <c r="A91" s="2"/>
      <c r="B91" s="2"/>
      <c r="C91" s="2"/>
      <c r="D91" s="2"/>
      <c r="E91" s="2"/>
      <c r="F91" s="2"/>
      <c r="G91" s="2"/>
      <c r="H91" s="2"/>
      <c r="I91" s="2"/>
      <c r="J91" s="2"/>
      <c r="K91" s="2"/>
      <c r="L91" s="2"/>
      <c r="M91" s="2"/>
      <c r="N91" s="2"/>
      <c r="O91" s="2"/>
      <c r="P91" s="2"/>
      <c r="Q91" s="127" t="s">
        <v>154</v>
      </c>
    </row>
    <row r="92" spans="1:17">
      <c r="A92" s="2"/>
      <c r="B92" s="2"/>
      <c r="C92" s="2"/>
      <c r="D92" s="2"/>
      <c r="E92" s="2"/>
      <c r="F92" s="2"/>
      <c r="G92" s="2"/>
      <c r="H92" s="2"/>
      <c r="I92" s="2"/>
      <c r="J92" s="2"/>
      <c r="K92" s="2"/>
      <c r="L92" s="2"/>
      <c r="M92" s="2"/>
      <c r="N92" s="2"/>
      <c r="O92" s="2"/>
      <c r="P92" s="2"/>
      <c r="Q92" s="127" t="s">
        <v>1190</v>
      </c>
    </row>
    <row r="93" spans="1:17">
      <c r="A93" s="2"/>
      <c r="B93" s="2"/>
      <c r="C93" s="2"/>
      <c r="D93" s="2"/>
      <c r="E93" s="2"/>
      <c r="F93" s="2"/>
      <c r="G93" s="2"/>
      <c r="H93" s="2"/>
      <c r="I93" s="2"/>
      <c r="J93" s="2"/>
      <c r="K93" s="2"/>
      <c r="L93" s="2"/>
      <c r="M93" s="2"/>
      <c r="N93" s="2"/>
      <c r="O93" s="2"/>
      <c r="P93" s="2"/>
      <c r="Q93" s="127" t="s">
        <v>20</v>
      </c>
    </row>
    <row r="94" spans="1:17">
      <c r="A94" s="2"/>
      <c r="B94" s="2"/>
      <c r="C94" s="2"/>
      <c r="D94" s="2"/>
      <c r="E94" s="2"/>
      <c r="F94" s="2"/>
      <c r="G94" s="2"/>
      <c r="H94" s="2"/>
      <c r="I94" s="2"/>
      <c r="J94" s="2"/>
      <c r="K94" s="2"/>
      <c r="L94" s="2"/>
      <c r="M94" s="2"/>
      <c r="N94" s="2"/>
      <c r="O94" s="2"/>
      <c r="P94" s="2"/>
      <c r="Q94" s="127" t="s">
        <v>155</v>
      </c>
    </row>
    <row r="95" spans="1:17">
      <c r="A95" s="2"/>
      <c r="B95" s="2"/>
      <c r="C95" s="2"/>
      <c r="D95" s="2"/>
      <c r="E95" s="2"/>
      <c r="F95" s="2"/>
      <c r="G95" s="2"/>
      <c r="H95" s="2"/>
      <c r="I95" s="2"/>
      <c r="J95" s="2"/>
      <c r="K95" s="2"/>
      <c r="L95" s="2"/>
      <c r="M95" s="2"/>
      <c r="N95" s="2"/>
      <c r="O95" s="2"/>
      <c r="P95" s="2"/>
      <c r="Q95" s="127" t="s">
        <v>1368</v>
      </c>
    </row>
    <row r="96" spans="1:17">
      <c r="A96" s="2"/>
      <c r="B96" s="2"/>
      <c r="C96" s="2"/>
      <c r="D96" s="2"/>
      <c r="E96" s="2"/>
      <c r="F96" s="2"/>
      <c r="G96" s="2"/>
      <c r="H96" s="2"/>
      <c r="I96" s="2"/>
      <c r="J96" s="2"/>
      <c r="K96" s="2"/>
      <c r="L96" s="2"/>
      <c r="M96" s="2"/>
      <c r="N96" s="2"/>
      <c r="O96" s="2"/>
      <c r="P96" s="2"/>
      <c r="Q96" s="127" t="s">
        <v>1369</v>
      </c>
    </row>
    <row r="97" spans="1:17">
      <c r="A97" s="2"/>
      <c r="B97" s="2"/>
      <c r="C97" s="2"/>
      <c r="D97" s="2"/>
      <c r="E97" s="2"/>
      <c r="F97" s="2"/>
      <c r="G97" s="2"/>
      <c r="H97" s="2"/>
      <c r="I97" s="2"/>
      <c r="J97" s="2"/>
      <c r="K97" s="2"/>
      <c r="L97" s="2"/>
      <c r="M97" s="2"/>
      <c r="N97" s="2"/>
      <c r="O97" s="2"/>
      <c r="P97" s="2"/>
      <c r="Q97" s="127" t="s">
        <v>1370</v>
      </c>
    </row>
    <row r="98" spans="1:17">
      <c r="A98" s="2"/>
      <c r="B98" s="2"/>
      <c r="C98" s="2"/>
      <c r="D98" s="2"/>
      <c r="E98" s="2"/>
      <c r="F98" s="2"/>
      <c r="G98" s="2"/>
      <c r="H98" s="2"/>
      <c r="I98" s="2"/>
      <c r="J98" s="2"/>
      <c r="K98" s="2"/>
      <c r="L98" s="2"/>
      <c r="M98" s="2"/>
      <c r="N98" s="2"/>
      <c r="O98" s="2"/>
      <c r="P98" s="2"/>
      <c r="Q98" s="127" t="s">
        <v>566</v>
      </c>
    </row>
    <row r="99" spans="1:17">
      <c r="A99" s="2"/>
      <c r="B99" s="2"/>
      <c r="C99" s="2"/>
      <c r="D99" s="2"/>
      <c r="E99" s="2"/>
      <c r="F99" s="2"/>
      <c r="G99" s="2"/>
      <c r="H99" s="2"/>
      <c r="I99" s="2"/>
      <c r="J99" s="2"/>
      <c r="K99" s="2"/>
      <c r="L99" s="2"/>
      <c r="M99" s="2"/>
      <c r="N99" s="2"/>
      <c r="O99" s="2"/>
      <c r="P99" s="2"/>
      <c r="Q99" s="2"/>
    </row>
    <row r="100" spans="1:17">
      <c r="A100" s="2"/>
      <c r="B100" s="2"/>
      <c r="C100" s="2"/>
      <c r="D100" s="2"/>
      <c r="E100" s="2"/>
      <c r="F100" s="2"/>
      <c r="G100" s="2"/>
      <c r="H100" s="2"/>
      <c r="I100" s="2"/>
      <c r="J100" s="2"/>
      <c r="K100" s="2"/>
      <c r="L100" s="2"/>
      <c r="M100" s="2"/>
      <c r="N100" s="2"/>
      <c r="O100" s="2"/>
      <c r="P100" s="2"/>
      <c r="Q100" s="1" t="s">
        <v>569</v>
      </c>
    </row>
    <row r="101" spans="1:17">
      <c r="A101" s="2"/>
      <c r="B101" s="2"/>
      <c r="C101" s="2"/>
      <c r="D101" s="2"/>
      <c r="E101" s="2"/>
      <c r="F101" s="2"/>
      <c r="G101" s="2"/>
      <c r="H101" s="2"/>
      <c r="I101" s="2"/>
      <c r="J101" s="2"/>
      <c r="K101" s="2"/>
      <c r="L101" s="2"/>
      <c r="M101" s="2"/>
      <c r="N101" s="2"/>
      <c r="O101" s="2"/>
      <c r="P101" s="2"/>
      <c r="Q101" s="1534" t="s">
        <v>567</v>
      </c>
    </row>
    <row r="102" spans="1:17">
      <c r="A102" s="2"/>
      <c r="B102" s="2"/>
      <c r="C102" s="2"/>
      <c r="D102" s="2"/>
      <c r="E102" s="2"/>
      <c r="F102" s="2"/>
      <c r="G102" s="2"/>
      <c r="H102" s="2"/>
      <c r="I102" s="2"/>
      <c r="J102" s="2"/>
      <c r="K102" s="2"/>
      <c r="L102" s="2"/>
      <c r="M102" s="2"/>
      <c r="N102" s="2"/>
      <c r="O102" s="2"/>
      <c r="P102" s="2"/>
      <c r="Q102" s="1534" t="s">
        <v>568</v>
      </c>
    </row>
    <row r="103" spans="1:17">
      <c r="A103" s="2"/>
      <c r="B103" s="2"/>
      <c r="C103" s="2"/>
      <c r="D103" s="2"/>
      <c r="E103" s="2"/>
      <c r="F103" s="2"/>
      <c r="G103" s="2"/>
      <c r="H103" s="2"/>
      <c r="I103" s="2"/>
      <c r="J103" s="2"/>
      <c r="K103" s="2"/>
      <c r="L103" s="2"/>
      <c r="M103" s="2"/>
      <c r="N103" s="2"/>
      <c r="O103" s="2"/>
      <c r="P103" s="2"/>
      <c r="Q103" s="127" t="s">
        <v>570</v>
      </c>
    </row>
  </sheetData>
  <mergeCells count="42">
    <mergeCell ref="C45:C46"/>
    <mergeCell ref="D45:D46"/>
    <mergeCell ref="C60:C61"/>
    <mergeCell ref="D60:D61"/>
    <mergeCell ref="G73:O74"/>
    <mergeCell ref="H75:H76"/>
    <mergeCell ref="J75:J76"/>
    <mergeCell ref="L75:L76"/>
    <mergeCell ref="N75:N76"/>
    <mergeCell ref="O75:O76"/>
    <mergeCell ref="F15:G15"/>
    <mergeCell ref="I15:J15"/>
    <mergeCell ref="F17:G17"/>
    <mergeCell ref="I17:J17"/>
    <mergeCell ref="L8:M8"/>
    <mergeCell ref="L13:M13"/>
    <mergeCell ref="F8:G8"/>
    <mergeCell ref="I8:J8"/>
    <mergeCell ref="F13:G13"/>
    <mergeCell ref="I13:J13"/>
    <mergeCell ref="F14:G14"/>
    <mergeCell ref="I14:J14"/>
    <mergeCell ref="O8:P8"/>
    <mergeCell ref="F9:G9"/>
    <mergeCell ref="I9:J9"/>
    <mergeCell ref="L9:M9"/>
    <mergeCell ref="O9:P9"/>
    <mergeCell ref="O13:P13"/>
    <mergeCell ref="L15:M15"/>
    <mergeCell ref="O15:P15"/>
    <mergeCell ref="L14:M14"/>
    <mergeCell ref="O14:P14"/>
    <mergeCell ref="F21:G21"/>
    <mergeCell ref="I21:J21"/>
    <mergeCell ref="L17:M17"/>
    <mergeCell ref="O17:P17"/>
    <mergeCell ref="L21:M21"/>
    <mergeCell ref="O21:P21"/>
    <mergeCell ref="L19:M19"/>
    <mergeCell ref="O19:P19"/>
    <mergeCell ref="F19:G19"/>
    <mergeCell ref="I19:J19"/>
  </mergeCells>
  <phoneticPr fontId="10" type="noConversion"/>
  <pageMargins left="0.75" right="0.75" top="1" bottom="1" header="0.5" footer="0.5"/>
  <pageSetup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AP110"/>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6" max="16" width="3.25" customWidth="1"/>
    <col min="18" max="18" width="1" customWidth="1"/>
    <col min="19" max="19" width="19" customWidth="1"/>
    <col min="20" max="20" width="1.625" customWidth="1"/>
    <col min="21" max="21" width="8.625" customWidth="1"/>
    <col min="22" max="22" width="1.625" customWidth="1"/>
    <col min="23" max="23" width="8.625" customWidth="1"/>
    <col min="24" max="24" width="1.625" customWidth="1"/>
    <col min="25" max="25" width="8.625" customWidth="1"/>
    <col min="28" max="28" width="7.625" customWidth="1"/>
    <col min="29" max="29" width="1.625" customWidth="1"/>
    <col min="30" max="30" width="7.625" customWidth="1"/>
    <col min="31" max="31" width="1.625" customWidth="1"/>
    <col min="32" max="32" width="7.625" customWidth="1"/>
    <col min="33" max="33" width="1.625" customWidth="1"/>
    <col min="34" max="34" width="16.375" customWidth="1"/>
    <col min="35" max="35" width="11.625" customWidth="1"/>
    <col min="36" max="36" width="2.625" customWidth="1"/>
    <col min="37" max="38" width="10.625" customWidth="1"/>
    <col min="39" max="39" width="15.375" customWidth="1"/>
    <col min="40" max="40" width="10.625" customWidth="1"/>
    <col min="41" max="41" width="1.375" customWidth="1"/>
  </cols>
  <sheetData>
    <row r="1" spans="1:42" ht="12.75" customHeight="1">
      <c r="A1" s="1" t="s">
        <v>629</v>
      </c>
      <c r="B1" s="2"/>
      <c r="C1" s="166"/>
      <c r="D1" s="1062"/>
      <c r="E1" s="2"/>
      <c r="F1" s="2"/>
      <c r="G1" s="2"/>
      <c r="H1" s="2"/>
      <c r="I1" s="2"/>
      <c r="J1" s="2"/>
      <c r="K1" s="2"/>
      <c r="L1" s="2"/>
      <c r="O1" s="2"/>
      <c r="S1" s="2"/>
      <c r="T1" s="2"/>
      <c r="U1" s="2"/>
      <c r="V1" s="2"/>
      <c r="W1" s="2"/>
      <c r="X1" s="2"/>
      <c r="Y1" s="2"/>
      <c r="Z1" s="2"/>
      <c r="AA1" s="2"/>
      <c r="AB1" s="2"/>
      <c r="AC1" s="2"/>
      <c r="AD1" s="2"/>
      <c r="AE1" s="2"/>
      <c r="AF1" s="2"/>
      <c r="AG1" s="2"/>
      <c r="AH1" s="2"/>
      <c r="AI1" s="2"/>
      <c r="AJ1" s="2"/>
      <c r="AK1" s="2"/>
      <c r="AL1" s="2"/>
      <c r="AM1" s="2"/>
      <c r="AN1" s="2"/>
      <c r="AO1" s="2"/>
      <c r="AP1" s="2"/>
    </row>
    <row r="2" spans="1:42" ht="12.75" customHeight="1">
      <c r="A2" s="1" t="s">
        <v>1224</v>
      </c>
      <c r="B2" s="2"/>
      <c r="C2" s="2"/>
      <c r="D2" s="1062"/>
      <c r="E2" s="2"/>
      <c r="F2" s="2"/>
      <c r="G2" s="2"/>
      <c r="H2" s="2"/>
      <c r="I2" s="2"/>
      <c r="J2" s="2"/>
      <c r="K2" s="2"/>
      <c r="L2" s="2"/>
      <c r="O2" s="2"/>
      <c r="S2" s="2"/>
      <c r="T2" s="2"/>
      <c r="U2" s="2"/>
      <c r="V2" s="2"/>
      <c r="W2" s="2"/>
      <c r="X2" s="2"/>
      <c r="Y2" s="2"/>
      <c r="Z2" s="2"/>
      <c r="AA2" s="2"/>
      <c r="AB2" s="2"/>
      <c r="AC2" s="2"/>
      <c r="AD2" s="2"/>
      <c r="AE2" s="2"/>
      <c r="AF2" s="2"/>
      <c r="AG2" s="2"/>
      <c r="AH2" s="2"/>
      <c r="AI2" s="2"/>
      <c r="AJ2" s="2"/>
      <c r="AK2" s="2"/>
      <c r="AL2" s="2"/>
      <c r="AM2" s="2"/>
      <c r="AN2" s="2"/>
      <c r="AO2" s="2"/>
      <c r="AP2" s="2"/>
    </row>
    <row r="3" spans="1:42" ht="12.75" customHeight="1">
      <c r="A3" s="2" t="s">
        <v>1225</v>
      </c>
      <c r="B3" s="2"/>
      <c r="C3" s="2"/>
      <c r="D3" s="1062"/>
      <c r="E3" s="2"/>
      <c r="F3" s="2"/>
      <c r="G3" s="2"/>
      <c r="H3" s="2"/>
      <c r="I3" s="2"/>
      <c r="J3" s="2"/>
      <c r="K3" s="2"/>
      <c r="L3" s="2"/>
      <c r="O3" s="2"/>
      <c r="S3" s="2"/>
      <c r="T3" s="2"/>
      <c r="U3" s="2"/>
      <c r="V3" s="2"/>
      <c r="W3" s="2"/>
      <c r="X3" s="2"/>
      <c r="Y3" s="2"/>
      <c r="Z3" s="2"/>
      <c r="AA3" s="2"/>
      <c r="AB3" s="2"/>
      <c r="AC3" s="2"/>
      <c r="AD3" s="2"/>
      <c r="AE3" s="2"/>
      <c r="AF3" s="2"/>
      <c r="AG3" s="2"/>
      <c r="AH3" s="2"/>
      <c r="AI3" s="2"/>
      <c r="AJ3" s="2"/>
      <c r="AK3" s="2"/>
      <c r="AL3" s="2"/>
      <c r="AM3" s="2"/>
      <c r="AN3" s="2"/>
      <c r="AO3" s="2"/>
      <c r="AP3" s="2"/>
    </row>
    <row r="4" spans="1:42" ht="12.75" customHeight="1">
      <c r="A4" s="2"/>
      <c r="B4" s="2"/>
      <c r="C4" s="1195" t="s">
        <v>818</v>
      </c>
      <c r="D4" s="1310"/>
      <c r="E4" s="1196"/>
      <c r="F4" s="1196"/>
      <c r="G4" s="1196"/>
      <c r="H4" s="2"/>
      <c r="I4" s="1195" t="s">
        <v>1504</v>
      </c>
      <c r="J4" s="1197"/>
      <c r="K4" s="1196"/>
      <c r="L4" s="1196"/>
      <c r="O4" s="73" t="s">
        <v>1030</v>
      </c>
      <c r="S4" s="2"/>
      <c r="T4" s="2"/>
      <c r="U4" s="2"/>
      <c r="V4" s="2"/>
      <c r="W4" s="2"/>
      <c r="X4" s="2"/>
      <c r="Y4" s="2"/>
      <c r="Z4" s="2"/>
      <c r="AA4" s="2"/>
      <c r="AB4" s="2"/>
      <c r="AC4" s="2"/>
      <c r="AD4" s="2"/>
      <c r="AE4" s="2"/>
      <c r="AF4" s="2"/>
      <c r="AG4" s="2"/>
      <c r="AH4" s="2"/>
      <c r="AI4" s="2"/>
      <c r="AJ4" s="2"/>
      <c r="AK4" s="2"/>
      <c r="AL4" s="2"/>
      <c r="AM4" s="2"/>
      <c r="AN4" s="2"/>
      <c r="AO4" s="2"/>
      <c r="AP4" s="2"/>
    </row>
    <row r="5" spans="1:42" ht="12.75" customHeight="1">
      <c r="A5" s="2"/>
      <c r="B5" s="2"/>
      <c r="C5" s="1198"/>
      <c r="D5" s="77"/>
      <c r="E5" s="2"/>
      <c r="F5" s="1197" t="s">
        <v>1505</v>
      </c>
      <c r="G5" s="1197"/>
      <c r="H5" s="2"/>
      <c r="I5" s="1198"/>
      <c r="J5" s="61"/>
      <c r="K5" s="1197" t="s">
        <v>1505</v>
      </c>
      <c r="L5" s="1197"/>
      <c r="O5" s="2"/>
      <c r="S5" s="2"/>
      <c r="T5" s="2"/>
      <c r="U5" s="2"/>
      <c r="V5" s="2"/>
      <c r="W5" s="2"/>
      <c r="X5" s="2"/>
      <c r="Y5" s="2"/>
      <c r="Z5" s="2"/>
      <c r="AA5" s="2"/>
      <c r="AB5" s="2"/>
      <c r="AC5" s="2"/>
      <c r="AD5" s="2"/>
      <c r="AE5" s="2"/>
      <c r="AF5" s="2"/>
      <c r="AG5" s="2"/>
      <c r="AH5" s="2"/>
      <c r="AI5" s="2"/>
      <c r="AJ5" s="2"/>
      <c r="AK5" s="2"/>
      <c r="AL5" s="2"/>
      <c r="AM5" s="2"/>
      <c r="AN5" s="2"/>
      <c r="AO5" s="2"/>
      <c r="AP5" s="2"/>
    </row>
    <row r="6" spans="1:42" ht="12.75" customHeight="1">
      <c r="A6" s="61"/>
      <c r="B6" s="2"/>
      <c r="C6" s="1199" t="s">
        <v>726</v>
      </c>
      <c r="D6" s="1308" t="s">
        <v>1029</v>
      </c>
      <c r="E6" s="70"/>
      <c r="F6" s="73" t="s">
        <v>658</v>
      </c>
      <c r="G6" s="73" t="s">
        <v>740</v>
      </c>
      <c r="H6" s="2"/>
      <c r="I6" s="1199" t="s">
        <v>357</v>
      </c>
      <c r="J6" s="70"/>
      <c r="K6" s="73" t="s">
        <v>658</v>
      </c>
      <c r="L6" s="73" t="s">
        <v>740</v>
      </c>
      <c r="O6" s="2"/>
      <c r="S6" s="2"/>
      <c r="T6" s="2"/>
      <c r="U6" s="2"/>
      <c r="V6" s="2"/>
      <c r="W6" s="2"/>
      <c r="X6" s="2"/>
      <c r="Y6" s="2"/>
      <c r="Z6" s="2"/>
      <c r="AA6" s="2"/>
      <c r="AB6" s="2"/>
      <c r="AC6" s="2"/>
      <c r="AD6" s="2"/>
      <c r="AE6" s="2"/>
      <c r="AF6" s="2"/>
      <c r="AG6" s="2"/>
      <c r="AH6" s="2"/>
      <c r="AI6" s="2"/>
      <c r="AJ6" s="2"/>
      <c r="AK6" s="2"/>
      <c r="AL6" s="2"/>
      <c r="AM6" s="2"/>
      <c r="AN6" s="2"/>
      <c r="AO6" s="2"/>
      <c r="AP6" s="2"/>
    </row>
    <row r="7" spans="1:42" ht="12.75" customHeight="1">
      <c r="A7" s="1" t="s">
        <v>741</v>
      </c>
      <c r="B7" s="2"/>
      <c r="C7" s="112"/>
      <c r="D7" s="77"/>
      <c r="E7" s="2"/>
      <c r="F7" s="2"/>
      <c r="G7" s="2"/>
      <c r="H7" s="2"/>
      <c r="I7" s="112"/>
      <c r="J7" s="61"/>
      <c r="K7" s="2"/>
      <c r="L7" s="2"/>
      <c r="O7" s="2"/>
      <c r="S7" s="2"/>
      <c r="T7" s="2"/>
      <c r="U7" s="2"/>
      <c r="V7" s="2"/>
      <c r="W7" s="2"/>
      <c r="X7" s="2"/>
      <c r="Y7" s="2"/>
      <c r="Z7" s="2"/>
      <c r="AA7" s="2"/>
      <c r="AB7" s="2"/>
      <c r="AC7" s="2"/>
      <c r="AD7" s="2"/>
      <c r="AE7" s="2"/>
      <c r="AF7" s="2"/>
      <c r="AG7" s="2"/>
      <c r="AH7" s="2"/>
      <c r="AI7" s="2"/>
      <c r="AJ7" s="2"/>
      <c r="AK7" s="2"/>
      <c r="AL7" s="2"/>
      <c r="AM7" s="2"/>
      <c r="AN7" s="2"/>
      <c r="AO7" s="2"/>
      <c r="AP7" s="2"/>
    </row>
    <row r="8" spans="1:42" ht="12.75" customHeight="1">
      <c r="A8" s="334" t="s">
        <v>514</v>
      </c>
      <c r="B8" s="2"/>
      <c r="C8" s="1207">
        <v>154.78899999999999</v>
      </c>
      <c r="D8" s="858">
        <f>BYD!AM10</f>
        <v>154.51900000000001</v>
      </c>
      <c r="E8" s="1202"/>
      <c r="F8" s="1205">
        <f>C8-D8</f>
        <v>0.26999999999998181</v>
      </c>
      <c r="G8" s="126">
        <f t="shared" ref="G8:G13" si="0">IF(D8=0,0,C8/D8-1)</f>
        <v>1.747357930092619E-3</v>
      </c>
      <c r="H8" s="1205"/>
      <c r="I8" s="1207">
        <v>157.60938000000002</v>
      </c>
      <c r="J8" s="1202"/>
      <c r="K8" s="313">
        <f>C8-I8</f>
        <v>-2.8203800000000285</v>
      </c>
      <c r="L8" s="1204">
        <f>IF(I8=0,"NM",C8/I8-1)</f>
        <v>-1.7894747127360278E-2</v>
      </c>
      <c r="O8" s="2"/>
      <c r="S8" s="2"/>
      <c r="T8" s="2"/>
      <c r="U8" s="2"/>
      <c r="V8" s="2"/>
      <c r="W8" s="2"/>
      <c r="X8" s="2"/>
      <c r="Y8" s="2"/>
      <c r="Z8" s="2"/>
      <c r="AA8" s="2"/>
      <c r="AB8" s="2"/>
      <c r="AC8" s="2"/>
      <c r="AD8" s="2"/>
      <c r="AE8" s="2"/>
      <c r="AF8" s="2"/>
      <c r="AG8" s="2"/>
      <c r="AH8" s="2"/>
      <c r="AI8" s="2"/>
      <c r="AJ8" s="2"/>
      <c r="AK8" s="2"/>
      <c r="AL8" s="2"/>
      <c r="AM8" s="2"/>
      <c r="AN8" s="2"/>
      <c r="AO8" s="2"/>
      <c r="AP8" s="2"/>
    </row>
    <row r="9" spans="1:42" ht="12.75" customHeight="1">
      <c r="A9" s="334" t="s">
        <v>515</v>
      </c>
      <c r="B9" s="61"/>
      <c r="C9" s="1104">
        <v>57.008000000000003</v>
      </c>
      <c r="D9" s="104">
        <f>BYD!AM11</f>
        <v>55.665999999999997</v>
      </c>
      <c r="E9" s="1103"/>
      <c r="F9" s="374">
        <f>C9-D9</f>
        <v>1.3420000000000059</v>
      </c>
      <c r="G9" s="95">
        <f t="shared" si="0"/>
        <v>2.4108073150576725E-2</v>
      </c>
      <c r="H9" s="61"/>
      <c r="I9" s="1104">
        <v>57.057649999999995</v>
      </c>
      <c r="J9" s="1103"/>
      <c r="K9" s="374">
        <f>C9-I9</f>
        <v>-4.9649999999992644E-2</v>
      </c>
      <c r="L9" s="92">
        <f>IF(I9=0,"NM",C9/I9-1)</f>
        <v>-8.7017253602261757E-4</v>
      </c>
      <c r="O9" s="2"/>
      <c r="S9" s="2"/>
      <c r="T9" s="2"/>
      <c r="U9" s="2"/>
      <c r="V9" s="2"/>
      <c r="W9" s="2"/>
      <c r="X9" s="2"/>
      <c r="Y9" s="2"/>
      <c r="Z9" s="2"/>
      <c r="AA9" s="2"/>
      <c r="AB9" s="2"/>
      <c r="AC9" s="2"/>
      <c r="AD9" s="2"/>
      <c r="AE9" s="2"/>
      <c r="AF9" s="2"/>
      <c r="AG9" s="2"/>
      <c r="AH9" s="2"/>
      <c r="AI9" s="2"/>
      <c r="AJ9" s="2"/>
      <c r="AK9" s="2"/>
      <c r="AL9" s="2"/>
      <c r="AM9" s="2"/>
      <c r="AN9" s="2"/>
      <c r="AO9" s="2"/>
      <c r="AP9" s="2"/>
    </row>
    <row r="10" spans="1:42" ht="12.75" customHeight="1">
      <c r="A10" s="334" t="s">
        <v>516</v>
      </c>
      <c r="B10" s="61"/>
      <c r="C10" s="1104">
        <v>243.72200000000001</v>
      </c>
      <c r="D10" s="104">
        <f>BYD!AM13</f>
        <v>184.13</v>
      </c>
      <c r="E10" s="1103"/>
      <c r="F10" s="374">
        <f>C10-D10</f>
        <v>59.592000000000013</v>
      </c>
      <c r="G10" s="95">
        <f t="shared" si="0"/>
        <v>0.32364090588171401</v>
      </c>
      <c r="H10" s="61"/>
      <c r="I10" s="1104">
        <v>235.45380179462967</v>
      </c>
      <c r="J10" s="1103"/>
      <c r="K10" s="374">
        <f>C10-I10</f>
        <v>8.2681982053703393</v>
      </c>
      <c r="L10" s="92">
        <f>IF(I10=0,"NM",C10/I10-1)</f>
        <v>3.5116010624377747E-2</v>
      </c>
      <c r="M10" s="1403"/>
      <c r="N10" s="1403"/>
      <c r="O10" s="2"/>
      <c r="Q10" s="1403"/>
      <c r="S10" s="2"/>
      <c r="T10" s="2"/>
      <c r="U10" s="2"/>
      <c r="V10" s="2"/>
      <c r="W10" s="2"/>
      <c r="X10" s="2"/>
      <c r="Y10" s="2"/>
      <c r="Z10" s="2"/>
      <c r="AA10" s="2"/>
      <c r="AB10" s="2"/>
      <c r="AC10" s="2"/>
      <c r="AD10" s="2"/>
      <c r="AE10" s="2"/>
      <c r="AF10" s="2"/>
      <c r="AG10" s="2"/>
      <c r="AH10" s="2"/>
      <c r="AI10" s="2"/>
      <c r="AJ10" s="2"/>
      <c r="AK10" s="2"/>
      <c r="AL10" s="2"/>
      <c r="AM10" s="2"/>
      <c r="AN10" s="2"/>
      <c r="AO10" s="2"/>
      <c r="AP10" s="2"/>
    </row>
    <row r="11" spans="1:42" ht="12.75" customHeight="1">
      <c r="A11" s="334" t="s">
        <v>273</v>
      </c>
      <c r="B11" s="61"/>
      <c r="C11" s="1104">
        <v>176.15</v>
      </c>
      <c r="D11" s="104">
        <f>BYD!AM906</f>
        <v>169.09</v>
      </c>
      <c r="E11" s="1103"/>
      <c r="F11" s="374">
        <f>C11-D11</f>
        <v>7.0600000000000023</v>
      </c>
      <c r="G11" s="95">
        <f t="shared" si="0"/>
        <v>4.1752912650067975E-2</v>
      </c>
      <c r="H11" s="61"/>
      <c r="I11" s="1104">
        <v>172.23810222222224</v>
      </c>
      <c r="J11" s="1103"/>
      <c r="K11" s="374">
        <f>C11-I11</f>
        <v>3.9118977777777673</v>
      </c>
      <c r="L11" s="92">
        <f>IF(I11=0,"NM",C11/I11-1)</f>
        <v>2.2712150954442345E-2</v>
      </c>
      <c r="O11" s="2"/>
      <c r="S11" s="2"/>
      <c r="T11" s="2"/>
      <c r="U11" s="2"/>
      <c r="V11" s="2"/>
      <c r="W11" s="2"/>
      <c r="X11" s="2"/>
      <c r="Y11" s="2"/>
      <c r="Z11" s="2"/>
      <c r="AA11" s="2"/>
      <c r="AB11" s="2"/>
      <c r="AC11" s="2"/>
      <c r="AD11" s="2"/>
      <c r="AE11" s="2"/>
      <c r="AF11" s="2"/>
      <c r="AG11" s="2"/>
      <c r="AH11" s="2"/>
      <c r="AI11" s="2"/>
      <c r="AJ11" s="2"/>
      <c r="AK11" s="2"/>
      <c r="AL11" s="2"/>
      <c r="AM11" s="2"/>
      <c r="AN11" s="2"/>
      <c r="AO11" s="2"/>
      <c r="AP11" s="2"/>
    </row>
    <row r="12" spans="1:42" ht="12.75" customHeight="1">
      <c r="A12" s="334" t="s">
        <v>1790</v>
      </c>
      <c r="B12" s="61"/>
      <c r="C12" s="1104">
        <v>1.4139999999999999</v>
      </c>
      <c r="D12" s="104">
        <v>1.5049999999999999</v>
      </c>
      <c r="E12" s="1103"/>
      <c r="F12" s="374">
        <f>C12-D12</f>
        <v>-9.099999999999997E-2</v>
      </c>
      <c r="G12" s="95">
        <f t="shared" si="0"/>
        <v>-6.0465116279069697E-2</v>
      </c>
      <c r="H12" s="61"/>
      <c r="I12" s="1104">
        <v>0</v>
      </c>
      <c r="J12" s="1103"/>
      <c r="K12" s="374">
        <f>C12-I12</f>
        <v>1.4139999999999999</v>
      </c>
      <c r="L12" s="92" t="str">
        <f>IF(I12=0,"NM",C12/I12-1)</f>
        <v>NM</v>
      </c>
      <c r="O12" s="2"/>
      <c r="S12" s="2"/>
      <c r="T12" s="2"/>
      <c r="U12" s="2"/>
      <c r="V12" s="2"/>
      <c r="W12" s="2"/>
      <c r="X12" s="2"/>
      <c r="Y12" s="2"/>
      <c r="Z12" s="2"/>
      <c r="AA12" s="2"/>
      <c r="AB12" s="2"/>
      <c r="AC12" s="2"/>
      <c r="AD12" s="2"/>
      <c r="AE12" s="2"/>
      <c r="AF12" s="2"/>
      <c r="AG12" s="2"/>
      <c r="AH12" s="2"/>
      <c r="AI12" s="2"/>
      <c r="AJ12" s="2"/>
      <c r="AK12" s="2"/>
      <c r="AL12" s="2"/>
      <c r="AM12" s="2"/>
      <c r="AN12" s="2"/>
      <c r="AO12" s="2"/>
      <c r="AP12" s="2"/>
    </row>
    <row r="13" spans="1:42" ht="12.75" customHeight="1">
      <c r="A13" s="138" t="s">
        <v>813</v>
      </c>
      <c r="B13" s="1203"/>
      <c r="C13" s="1209">
        <f>SUM(C7:C12)</f>
        <v>633.08299999999997</v>
      </c>
      <c r="D13" s="1210">
        <f>SUM(D8:D11)</f>
        <v>563.40499999999997</v>
      </c>
      <c r="E13" s="1210"/>
      <c r="F13" s="1210">
        <f>SUM(F8:F12)</f>
        <v>68.173000000000016</v>
      </c>
      <c r="G13" s="1208">
        <f t="shared" si="0"/>
        <v>0.12367302384607881</v>
      </c>
      <c r="H13" s="1206"/>
      <c r="I13" s="1209">
        <f>+SUM(I8:I12)</f>
        <v>622.35893401685189</v>
      </c>
      <c r="J13" s="1210"/>
      <c r="K13" s="1210">
        <f>SUM(K8:K12)</f>
        <v>10.724065983148085</v>
      </c>
      <c r="L13" s="1211">
        <f>C13/I13-1</f>
        <v>1.7231320058237909E-2</v>
      </c>
      <c r="N13" s="1617"/>
      <c r="O13" s="1102">
        <v>626</v>
      </c>
      <c r="P13" s="1299"/>
      <c r="Q13" s="1617"/>
      <c r="S13" s="2"/>
      <c r="T13" s="2"/>
      <c r="U13" s="2"/>
      <c r="V13" s="2"/>
      <c r="W13" s="2"/>
      <c r="X13" s="2"/>
      <c r="Y13" s="2"/>
      <c r="Z13" s="2"/>
      <c r="AA13" s="2"/>
      <c r="AB13" s="2"/>
      <c r="AC13" s="2"/>
      <c r="AD13" s="2"/>
      <c r="AE13" s="2"/>
      <c r="AF13" s="2"/>
      <c r="AG13" s="2"/>
      <c r="AH13" s="2"/>
      <c r="AI13" s="2"/>
      <c r="AJ13" s="2"/>
      <c r="AK13" s="2"/>
      <c r="AL13" s="2"/>
      <c r="AM13" s="2"/>
      <c r="AN13" s="2"/>
      <c r="AO13" s="2"/>
      <c r="AP13" s="2"/>
    </row>
    <row r="14" spans="1:42" ht="12.75" customHeight="1">
      <c r="A14" s="61"/>
      <c r="B14" s="61"/>
      <c r="C14" s="129"/>
      <c r="D14" s="77"/>
      <c r="E14" s="61"/>
      <c r="F14" s="61"/>
      <c r="G14" s="1139"/>
      <c r="H14" s="61"/>
      <c r="I14" s="115"/>
      <c r="J14" s="61"/>
      <c r="K14" s="61"/>
      <c r="L14" s="1212"/>
      <c r="O14" s="2"/>
      <c r="S14" s="2"/>
      <c r="T14" s="2"/>
      <c r="U14" s="2"/>
      <c r="V14" s="2"/>
      <c r="W14" s="2"/>
      <c r="X14" s="2"/>
      <c r="Y14" s="2"/>
      <c r="Z14" s="2"/>
      <c r="AA14" s="2"/>
      <c r="AB14" s="2"/>
      <c r="AC14" s="2"/>
      <c r="AD14" s="2"/>
      <c r="AE14" s="2"/>
      <c r="AF14" s="2"/>
      <c r="AG14" s="2"/>
      <c r="AH14" s="2"/>
      <c r="AI14" s="2"/>
      <c r="AJ14" s="2"/>
      <c r="AK14" s="2"/>
      <c r="AL14" s="2"/>
      <c r="AM14" s="2"/>
      <c r="AN14" s="2"/>
      <c r="AO14" s="2"/>
      <c r="AP14" s="2"/>
    </row>
    <row r="15" spans="1:42" ht="12.75" customHeight="1">
      <c r="A15" s="107" t="s">
        <v>401</v>
      </c>
      <c r="B15" s="61"/>
      <c r="C15" s="112"/>
      <c r="D15" s="1390"/>
      <c r="E15" s="61"/>
      <c r="F15" s="61"/>
      <c r="G15" s="1139"/>
      <c r="H15" s="61"/>
      <c r="I15" s="115"/>
      <c r="J15" s="61"/>
      <c r="K15" s="61"/>
      <c r="L15" s="1212"/>
      <c r="O15" s="2"/>
      <c r="S15" s="2"/>
      <c r="T15" s="2"/>
      <c r="U15" s="2"/>
      <c r="V15" s="2"/>
      <c r="W15" s="2"/>
      <c r="X15" s="2"/>
      <c r="Y15" s="2"/>
      <c r="Z15" s="2"/>
      <c r="AA15" s="2"/>
      <c r="AB15" s="2"/>
      <c r="AC15" s="2"/>
      <c r="AD15" s="2"/>
      <c r="AE15" s="2"/>
      <c r="AF15" s="2"/>
      <c r="AG15" s="2"/>
      <c r="AH15" s="2"/>
      <c r="AI15" s="2"/>
      <c r="AJ15" s="2"/>
      <c r="AK15" s="2"/>
      <c r="AL15" s="2"/>
      <c r="AM15" s="2"/>
      <c r="AN15" s="2"/>
      <c r="AO15" s="2"/>
      <c r="AP15" s="2"/>
    </row>
    <row r="16" spans="1:42" ht="12.75" customHeight="1">
      <c r="A16" s="334" t="s">
        <v>514</v>
      </c>
      <c r="B16" s="61"/>
      <c r="C16" s="1104">
        <v>38.485999999999997</v>
      </c>
      <c r="D16" s="104">
        <f>BYD!AM38</f>
        <v>39.643000000000001</v>
      </c>
      <c r="E16" s="1103"/>
      <c r="F16" s="374">
        <f>C16-D16</f>
        <v>-1.1570000000000036</v>
      </c>
      <c r="G16" s="95">
        <f t="shared" ref="G16:G33" si="1">IF(D16=0,0,C16/D16-1)</f>
        <v>-2.9185480412683318E-2</v>
      </c>
      <c r="H16" s="61"/>
      <c r="I16" s="1104">
        <v>43.882140000000007</v>
      </c>
      <c r="J16" s="1103"/>
      <c r="K16" s="374">
        <f>C16-I16</f>
        <v>-5.3961400000000097</v>
      </c>
      <c r="L16" s="92">
        <f>IF(I16=0,"NM",C16/I16-1)</f>
        <v>-0.12296893451413282</v>
      </c>
      <c r="N16" s="1403"/>
      <c r="O16" s="2"/>
      <c r="S16" s="2"/>
      <c r="T16" s="2"/>
      <c r="U16" s="2"/>
      <c r="V16" s="2"/>
      <c r="W16" s="2"/>
      <c r="X16" s="2"/>
      <c r="Y16" s="2"/>
      <c r="Z16" s="2"/>
      <c r="AA16" s="2"/>
      <c r="AB16" s="2"/>
      <c r="AC16" s="2"/>
      <c r="AD16" s="2"/>
      <c r="AE16" s="2"/>
      <c r="AF16" s="2"/>
      <c r="AG16" s="2"/>
      <c r="AH16" s="2"/>
      <c r="AI16" s="2"/>
      <c r="AJ16" s="2"/>
      <c r="AK16" s="2"/>
      <c r="AL16" s="2"/>
      <c r="AM16" s="2"/>
      <c r="AN16" s="2"/>
      <c r="AO16" s="2"/>
      <c r="AP16" s="2"/>
    </row>
    <row r="17" spans="1:42" ht="12.75" customHeight="1">
      <c r="A17" s="334" t="s">
        <v>515</v>
      </c>
      <c r="B17" s="61"/>
      <c r="C17" s="1104">
        <v>8.4320000000000004</v>
      </c>
      <c r="D17" s="104">
        <f>BYD!AM39</f>
        <v>9.0039999999999996</v>
      </c>
      <c r="E17" s="1103"/>
      <c r="F17" s="374">
        <f>C17-D17</f>
        <v>-0.57199999999999918</v>
      </c>
      <c r="G17" s="95">
        <f t="shared" si="1"/>
        <v>-6.3527321190581909E-2</v>
      </c>
      <c r="H17" s="61"/>
      <c r="I17" s="1104">
        <v>8.9957899999999924</v>
      </c>
      <c r="J17" s="1103"/>
      <c r="K17" s="374">
        <f>C17-I17</f>
        <v>-0.56378999999999202</v>
      </c>
      <c r="L17" s="92">
        <f>IF(I17=0,"NM",C17/I17-1)</f>
        <v>-6.267265020637347E-2</v>
      </c>
      <c r="N17" s="1403"/>
      <c r="O17" s="2"/>
      <c r="S17" s="2"/>
      <c r="T17" s="2"/>
      <c r="U17" s="2"/>
      <c r="V17" s="2"/>
      <c r="W17" s="2"/>
      <c r="X17" s="2"/>
      <c r="Y17" s="2"/>
      <c r="Z17" s="2"/>
      <c r="AA17" s="2"/>
      <c r="AB17" s="2"/>
      <c r="AC17" s="2"/>
      <c r="AD17" s="2"/>
      <c r="AE17" s="2"/>
      <c r="AF17" s="2"/>
      <c r="AG17" s="2"/>
      <c r="AH17" s="2"/>
      <c r="AI17" s="2"/>
      <c r="AJ17" s="2"/>
      <c r="AK17" s="2"/>
      <c r="AL17" s="2"/>
      <c r="AM17" s="2"/>
      <c r="AN17" s="2"/>
      <c r="AO17" s="2"/>
      <c r="AP17" s="2"/>
    </row>
    <row r="18" spans="1:42" ht="12.75" customHeight="1">
      <c r="A18" s="334" t="s">
        <v>516</v>
      </c>
      <c r="B18" s="61"/>
      <c r="C18" s="1104">
        <v>58.13</v>
      </c>
      <c r="D18" s="104">
        <f>BYD!AM41</f>
        <v>41.210999999999999</v>
      </c>
      <c r="E18" s="1103"/>
      <c r="F18" s="374">
        <f>C18-D18</f>
        <v>16.919000000000004</v>
      </c>
      <c r="G18" s="95">
        <f t="shared" si="1"/>
        <v>0.41054572808230816</v>
      </c>
      <c r="H18" s="61"/>
      <c r="I18" s="1104">
        <v>52.105611794629681</v>
      </c>
      <c r="J18" s="1103"/>
      <c r="K18" s="374">
        <f>C18-I18</f>
        <v>6.0243882053703217</v>
      </c>
      <c r="L18" s="92">
        <f>IF(I18=0,"NM",C18/I18-1)</f>
        <v>0.11561879801191077</v>
      </c>
      <c r="N18" s="1403">
        <f>+C18-12.7</f>
        <v>45.430000000000007</v>
      </c>
      <c r="O18" s="2"/>
      <c r="Q18" s="1403"/>
      <c r="S18" s="2"/>
      <c r="T18" s="2"/>
      <c r="U18" s="2"/>
      <c r="V18" s="2"/>
      <c r="W18" s="2"/>
      <c r="X18" s="2"/>
      <c r="Y18" s="2"/>
      <c r="Z18" s="2"/>
      <c r="AA18" s="2"/>
      <c r="AB18" s="2"/>
      <c r="AC18" s="2"/>
      <c r="AD18" s="2"/>
      <c r="AE18" s="2"/>
      <c r="AF18" s="2"/>
      <c r="AG18" s="2"/>
      <c r="AH18" s="2"/>
      <c r="AI18" s="2"/>
      <c r="AJ18" s="2"/>
      <c r="AK18" s="2"/>
      <c r="AL18" s="2"/>
      <c r="AM18" s="2"/>
      <c r="AN18" s="2"/>
      <c r="AO18" s="2"/>
      <c r="AP18" s="2"/>
    </row>
    <row r="19" spans="1:42" ht="12.75" customHeight="1">
      <c r="A19" s="334" t="s">
        <v>273</v>
      </c>
      <c r="B19" s="61"/>
      <c r="C19" s="1104">
        <v>38.881</v>
      </c>
      <c r="D19" s="104">
        <f>BYD!AM927</f>
        <v>31.681999999999988</v>
      </c>
      <c r="E19" s="1103"/>
      <c r="F19" s="374">
        <f>C19-D19</f>
        <v>7.1990000000000123</v>
      </c>
      <c r="G19" s="95">
        <f t="shared" si="1"/>
        <v>0.22722681648885845</v>
      </c>
      <c r="H19" s="61"/>
      <c r="I19" s="1104">
        <v>33.314551485239718</v>
      </c>
      <c r="J19" s="1103"/>
      <c r="K19" s="374">
        <f>C19-I19</f>
        <v>5.5664485147602818</v>
      </c>
      <c r="L19" s="92">
        <f>IF(I19=0,"NM",C19/I19-1)</f>
        <v>0.16708760186150307</v>
      </c>
      <c r="M19" s="1617"/>
      <c r="N19" s="1312">
        <f>+N18/D18-1</f>
        <v>0.10237557933561447</v>
      </c>
      <c r="O19" s="2"/>
      <c r="S19" s="2"/>
      <c r="T19" s="2"/>
      <c r="U19" s="2"/>
      <c r="V19" s="2"/>
      <c r="W19" s="2"/>
      <c r="X19" s="2"/>
      <c r="Y19" s="2"/>
      <c r="Z19" s="2"/>
      <c r="AA19" s="2"/>
      <c r="AB19" s="2"/>
      <c r="AC19" s="2"/>
      <c r="AD19" s="2"/>
      <c r="AE19" s="2"/>
      <c r="AF19" s="2"/>
      <c r="AG19" s="2"/>
      <c r="AH19" s="2"/>
      <c r="AI19" s="2"/>
      <c r="AJ19" s="2"/>
      <c r="AK19" s="2"/>
      <c r="AL19" s="2"/>
      <c r="AM19" s="2"/>
      <c r="AN19" s="2"/>
      <c r="AO19" s="2"/>
      <c r="AP19" s="2"/>
    </row>
    <row r="20" spans="1:42" ht="12.75" customHeight="1">
      <c r="A20" s="138" t="s">
        <v>819</v>
      </c>
      <c r="B20" s="1203"/>
      <c r="C20" s="1209">
        <f>SUM(C16:C19)</f>
        <v>143.929</v>
      </c>
      <c r="D20" s="1210">
        <f>SUM(D16:D19)</f>
        <v>121.53999999999999</v>
      </c>
      <c r="E20" s="1210"/>
      <c r="F20" s="1210">
        <f>SUM(F16:F19)</f>
        <v>22.389000000000014</v>
      </c>
      <c r="G20" s="1208">
        <f t="shared" si="1"/>
        <v>0.18421095935494503</v>
      </c>
      <c r="H20" s="1206"/>
      <c r="I20" s="1209">
        <f>+SUM(I16:I19)</f>
        <v>138.29809327986939</v>
      </c>
      <c r="J20" s="1210"/>
      <c r="K20" s="1210">
        <f>SUM(K16:K18)</f>
        <v>6.4458205370319988E-2</v>
      </c>
      <c r="L20" s="1211">
        <f>C20/I20-1</f>
        <v>4.0715722007356403E-2</v>
      </c>
      <c r="N20" s="1403"/>
      <c r="O20" s="2"/>
      <c r="S20" s="2"/>
      <c r="T20" s="2"/>
      <c r="U20" s="2"/>
      <c r="V20" s="2"/>
      <c r="W20" s="2"/>
      <c r="X20" s="2"/>
      <c r="Y20" s="2"/>
      <c r="Z20" s="2"/>
      <c r="AA20" s="2"/>
      <c r="AB20" s="2"/>
      <c r="AC20" s="2"/>
      <c r="AD20" s="2"/>
      <c r="AE20" s="2"/>
      <c r="AF20" s="2"/>
      <c r="AG20" s="2"/>
      <c r="AH20" s="2"/>
      <c r="AI20" s="2"/>
      <c r="AJ20" s="2"/>
      <c r="AK20" s="2"/>
      <c r="AL20" s="2"/>
      <c r="AM20" s="2"/>
      <c r="AN20" s="2"/>
      <c r="AO20" s="2"/>
      <c r="AP20" s="2"/>
    </row>
    <row r="21" spans="1:42" ht="12.75" customHeight="1">
      <c r="A21" s="2" t="s">
        <v>742</v>
      </c>
      <c r="B21" s="2"/>
      <c r="C21" s="1104">
        <v>-10.127000000000001</v>
      </c>
      <c r="D21" s="104">
        <f>BYD!AM54</f>
        <v>-9.7989999999999995</v>
      </c>
      <c r="E21" s="1103"/>
      <c r="F21" s="374">
        <f>C21-D21</f>
        <v>-0.32800000000000118</v>
      </c>
      <c r="G21" s="126">
        <f t="shared" si="1"/>
        <v>3.3472803347280422E-2</v>
      </c>
      <c r="H21" s="2"/>
      <c r="I21" s="1104">
        <v>-10.533924999999998</v>
      </c>
      <c r="J21" s="1103"/>
      <c r="K21" s="374">
        <f>C21-I21</f>
        <v>0.40692499999999754</v>
      </c>
      <c r="L21" s="1204">
        <f>IF(I21=0,"NM",C21/I21-1)</f>
        <v>-3.862995037462269E-2</v>
      </c>
      <c r="O21" s="2"/>
      <c r="S21" s="2"/>
      <c r="T21" s="2"/>
      <c r="U21" s="2"/>
      <c r="V21" s="2"/>
      <c r="W21" s="2"/>
      <c r="X21" s="2"/>
      <c r="Y21" s="2"/>
      <c r="Z21" s="2"/>
      <c r="AA21" s="2"/>
      <c r="AB21" s="2"/>
      <c r="AC21" s="2"/>
      <c r="AD21" s="2"/>
      <c r="AE21" s="2"/>
      <c r="AF21" s="2"/>
      <c r="AG21" s="2"/>
      <c r="AH21" s="2"/>
      <c r="AI21" s="2"/>
      <c r="AJ21" s="2"/>
      <c r="AK21" s="2"/>
      <c r="AL21" s="2"/>
      <c r="AM21" s="2"/>
      <c r="AN21" s="2"/>
      <c r="AO21" s="2"/>
      <c r="AP21" s="2"/>
    </row>
    <row r="22" spans="1:42" ht="12.75" customHeight="1">
      <c r="A22" s="138" t="s">
        <v>555</v>
      </c>
      <c r="B22" s="1203"/>
      <c r="C22" s="1209">
        <f>C20+C21</f>
        <v>133.80199999999999</v>
      </c>
      <c r="D22" s="1210">
        <f>SUM(D20:D21)</f>
        <v>111.74099999999999</v>
      </c>
      <c r="E22" s="1210"/>
      <c r="F22" s="1210">
        <f>F20+F21</f>
        <v>22.061000000000014</v>
      </c>
      <c r="G22" s="1208">
        <f t="shared" si="1"/>
        <v>0.19742977063029699</v>
      </c>
      <c r="H22" s="1210"/>
      <c r="I22" s="1209">
        <f>+SUM(I20:I21)</f>
        <v>127.76416827986939</v>
      </c>
      <c r="J22" s="1210"/>
      <c r="K22" s="1210">
        <f>K20+K21</f>
        <v>0.47138320537031753</v>
      </c>
      <c r="L22" s="1254">
        <f>IF(I22=0,"NM",C22/I22-1)</f>
        <v>4.7257629438831605E-2</v>
      </c>
      <c r="M22" s="1442"/>
      <c r="N22" s="1442">
        <f>+C22/O22-1</f>
        <v>6.4455051710421651E-2</v>
      </c>
      <c r="O22" s="1102">
        <v>125.7</v>
      </c>
      <c r="P22" s="1299"/>
      <c r="Q22" s="1617"/>
      <c r="S22" s="2"/>
      <c r="T22" s="2"/>
      <c r="U22" s="2"/>
      <c r="V22" s="2"/>
      <c r="W22" s="2"/>
      <c r="X22" s="2"/>
      <c r="Y22" s="2"/>
      <c r="Z22" s="2"/>
      <c r="AA22" s="2"/>
      <c r="AB22" s="2"/>
      <c r="AC22" s="2"/>
      <c r="AD22" s="2"/>
      <c r="AE22" s="2"/>
      <c r="AF22" s="2"/>
      <c r="AG22" s="2"/>
      <c r="AH22" s="2"/>
      <c r="AI22" s="2"/>
      <c r="AJ22" s="2"/>
      <c r="AK22" s="2"/>
      <c r="AL22" s="2"/>
      <c r="AM22" s="2"/>
      <c r="AN22" s="2"/>
      <c r="AO22" s="2"/>
      <c r="AP22" s="2"/>
    </row>
    <row r="23" spans="1:42" ht="12.75" customHeight="1">
      <c r="A23" s="439" t="s">
        <v>1745</v>
      </c>
      <c r="B23" s="2"/>
      <c r="C23" s="432">
        <v>3.1160000000000001</v>
      </c>
      <c r="D23" s="374">
        <f>BYD!AM65</f>
        <v>3.8130000000000002</v>
      </c>
      <c r="E23" s="1103"/>
      <c r="F23" s="374">
        <f>C23-D23</f>
        <v>-0.69700000000000006</v>
      </c>
      <c r="G23" s="126">
        <f t="shared" si="1"/>
        <v>-0.18279569892473124</v>
      </c>
      <c r="H23" s="2"/>
      <c r="I23" s="432">
        <v>2.5</v>
      </c>
      <c r="J23" s="1103"/>
      <c r="K23" s="374">
        <f t="shared" ref="K23:K33" si="2">C23-I23</f>
        <v>0.6160000000000001</v>
      </c>
      <c r="L23" s="1204">
        <f>IF(I23=0,"NM",C23/I23-1)</f>
        <v>0.24639999999999995</v>
      </c>
      <c r="M23" s="1443"/>
      <c r="N23" s="1443"/>
      <c r="O23" s="2"/>
      <c r="S23" s="2"/>
      <c r="T23" s="2"/>
      <c r="U23" s="2"/>
      <c r="V23" s="2"/>
      <c r="W23" s="2"/>
      <c r="X23" s="2"/>
      <c r="Y23" s="2"/>
      <c r="Z23" s="2"/>
      <c r="AA23" s="2"/>
      <c r="AB23" s="2"/>
      <c r="AC23" s="2"/>
      <c r="AD23" s="2"/>
      <c r="AE23" s="2"/>
      <c r="AF23" s="2"/>
      <c r="AG23" s="2"/>
      <c r="AH23" s="2"/>
      <c r="AI23" s="2"/>
      <c r="AJ23" s="2"/>
      <c r="AK23" s="2"/>
      <c r="AL23" s="2"/>
      <c r="AM23" s="2"/>
      <c r="AN23" s="2"/>
      <c r="AO23" s="2"/>
      <c r="AP23" s="2"/>
    </row>
    <row r="24" spans="1:42" ht="12.75" customHeight="1">
      <c r="A24" s="439" t="s">
        <v>201</v>
      </c>
      <c r="B24" s="2"/>
      <c r="C24" s="432">
        <v>0.996</v>
      </c>
      <c r="D24" s="374">
        <f>BYD!AM66</f>
        <v>1.036</v>
      </c>
      <c r="E24" s="1103"/>
      <c r="F24" s="374">
        <f>C24-D24</f>
        <v>-4.0000000000000036E-2</v>
      </c>
      <c r="G24" s="126">
        <f t="shared" si="1"/>
        <v>-3.8610038610038644E-2</v>
      </c>
      <c r="H24" s="2"/>
      <c r="I24" s="432">
        <v>1.03</v>
      </c>
      <c r="J24" s="1103"/>
      <c r="K24" s="374">
        <f t="shared" si="2"/>
        <v>-3.400000000000003E-2</v>
      </c>
      <c r="L24" s="1204">
        <f>IF(I24=0,"NM",C24/I24-1)</f>
        <v>-3.300970873786413E-2</v>
      </c>
      <c r="N24" s="1444"/>
      <c r="O24" s="1444"/>
      <c r="S24" s="2"/>
      <c r="T24" s="2"/>
      <c r="U24" s="2"/>
      <c r="V24" s="2"/>
      <c r="W24" s="2"/>
      <c r="X24" s="2"/>
      <c r="Y24" s="2"/>
      <c r="Z24" s="2"/>
      <c r="AA24" s="2"/>
      <c r="AB24" s="2"/>
      <c r="AC24" s="2"/>
      <c r="AD24" s="2"/>
      <c r="AE24" s="2"/>
      <c r="AF24" s="2"/>
      <c r="AG24" s="2"/>
      <c r="AH24" s="2"/>
      <c r="AI24" s="2"/>
      <c r="AJ24" s="2"/>
      <c r="AK24" s="2"/>
      <c r="AL24" s="2"/>
      <c r="AM24" s="2"/>
      <c r="AN24" s="2"/>
      <c r="AO24" s="2"/>
      <c r="AP24" s="2"/>
    </row>
    <row r="25" spans="1:42" ht="12.75" customHeight="1">
      <c r="A25" s="1693" t="s">
        <v>202</v>
      </c>
      <c r="B25" s="2"/>
      <c r="C25" s="432">
        <v>50.014000000000003</v>
      </c>
      <c r="D25" s="374">
        <f>BYD!AM67</f>
        <v>50.584000000000003</v>
      </c>
      <c r="E25" s="1103"/>
      <c r="F25" s="374">
        <f>C25-D25</f>
        <v>-0.57000000000000028</v>
      </c>
      <c r="G25" s="126">
        <f t="shared" si="1"/>
        <v>-1.1268385260161273E-2</v>
      </c>
      <c r="H25" s="2"/>
      <c r="I25" s="432">
        <v>50.3</v>
      </c>
      <c r="J25" s="1103"/>
      <c r="K25" s="374">
        <f t="shared" si="2"/>
        <v>-0.28599999999999426</v>
      </c>
      <c r="L25" s="1204">
        <f>IF(I25=0,"NM",C25/I25-1)</f>
        <v>-5.6858846918488304E-3</v>
      </c>
      <c r="O25" s="2"/>
      <c r="S25" s="2"/>
      <c r="T25" s="2"/>
      <c r="U25" s="2"/>
      <c r="V25" s="2"/>
      <c r="W25" s="2"/>
      <c r="X25" s="2"/>
      <c r="Y25" s="2"/>
      <c r="Z25" s="2"/>
      <c r="AA25" s="2"/>
      <c r="AB25" s="2"/>
      <c r="AC25" s="2"/>
      <c r="AD25" s="2"/>
      <c r="AE25" s="2"/>
      <c r="AF25" s="2"/>
      <c r="AG25" s="2"/>
      <c r="AH25" s="2"/>
      <c r="AI25" s="2"/>
      <c r="AJ25" s="2"/>
      <c r="AK25" s="2"/>
      <c r="AL25" s="2"/>
      <c r="AM25" s="2"/>
      <c r="AN25" s="2"/>
      <c r="AO25" s="2"/>
      <c r="AP25" s="2"/>
    </row>
    <row r="26" spans="1:42" ht="4.5" customHeight="1">
      <c r="A26" s="964"/>
      <c r="B26" s="2"/>
      <c r="C26" s="453" t="s">
        <v>343</v>
      </c>
      <c r="D26" s="452" t="s">
        <v>343</v>
      </c>
      <c r="E26" s="96" t="s">
        <v>343</v>
      </c>
      <c r="F26" s="452" t="s">
        <v>343</v>
      </c>
      <c r="G26" s="1251" t="s">
        <v>343</v>
      </c>
      <c r="H26" s="2" t="s">
        <v>343</v>
      </c>
      <c r="I26" s="453" t="s">
        <v>343</v>
      </c>
      <c r="J26" s="96" t="s">
        <v>343</v>
      </c>
      <c r="K26" s="452" t="s">
        <v>343</v>
      </c>
      <c r="L26" s="1252" t="s">
        <v>343</v>
      </c>
      <c r="N26" s="1102"/>
      <c r="O26" s="1102"/>
      <c r="S26" s="2"/>
      <c r="T26" s="2"/>
      <c r="U26" s="2"/>
      <c r="V26" s="2"/>
      <c r="W26" s="2"/>
      <c r="X26" s="2"/>
      <c r="Y26" s="2"/>
      <c r="Z26" s="2"/>
      <c r="AA26" s="2"/>
      <c r="AB26" s="2"/>
      <c r="AC26" s="2"/>
      <c r="AD26" s="2"/>
      <c r="AE26" s="2"/>
      <c r="AF26" s="2"/>
      <c r="AG26" s="2"/>
      <c r="AH26" s="2"/>
      <c r="AI26" s="2"/>
      <c r="AJ26" s="2"/>
      <c r="AK26" s="2"/>
      <c r="AL26" s="2"/>
      <c r="AM26" s="2"/>
      <c r="AN26" s="2"/>
      <c r="AO26" s="2"/>
      <c r="AP26" s="2"/>
    </row>
    <row r="27" spans="1:42" ht="12.75" customHeight="1">
      <c r="A27" s="1" t="s">
        <v>744</v>
      </c>
      <c r="B27" s="2"/>
      <c r="C27" s="1242">
        <f>C22-C23-C24-C25</f>
        <v>79.675999999999959</v>
      </c>
      <c r="D27" s="1241">
        <f>D22-D23-D24-D25</f>
        <v>56.307999999999979</v>
      </c>
      <c r="E27" s="932"/>
      <c r="F27" s="1241">
        <f>F22-F23-F24-F25</f>
        <v>23.368000000000013</v>
      </c>
      <c r="G27" s="106">
        <f t="shared" si="1"/>
        <v>0.415003196703843</v>
      </c>
      <c r="H27" s="1205"/>
      <c r="I27" s="1242">
        <f>+I22-SUM(I23:I25)</f>
        <v>73.934168279869397</v>
      </c>
      <c r="J27" s="932"/>
      <c r="K27" s="1241">
        <f t="shared" si="2"/>
        <v>5.7418317201305626</v>
      </c>
      <c r="L27" s="1214">
        <f>C27/I27-1</f>
        <v>7.7661409517660429E-2</v>
      </c>
      <c r="O27" s="2"/>
      <c r="S27" s="2"/>
      <c r="T27" s="2"/>
      <c r="U27" s="2"/>
      <c r="V27" s="2"/>
      <c r="W27" s="2"/>
      <c r="X27" s="2"/>
      <c r="Y27" s="2"/>
      <c r="Z27" s="2"/>
      <c r="AA27" s="2"/>
      <c r="AB27" s="2"/>
      <c r="AC27" s="2"/>
      <c r="AD27" s="2"/>
      <c r="AE27" s="2"/>
      <c r="AF27" s="2"/>
      <c r="AG27" s="2"/>
      <c r="AH27" s="2"/>
      <c r="AI27" s="2"/>
      <c r="AJ27" s="2"/>
      <c r="AK27" s="2"/>
      <c r="AL27" s="2"/>
      <c r="AM27" s="2"/>
      <c r="AN27" s="2"/>
      <c r="AO27" s="2"/>
      <c r="AP27" s="2"/>
    </row>
    <row r="28" spans="1:42" ht="12.75" customHeight="1">
      <c r="A28" s="445" t="s">
        <v>1176</v>
      </c>
      <c r="B28" s="2"/>
      <c r="C28" s="432">
        <v>-63.828000000000003</v>
      </c>
      <c r="D28" s="374">
        <f>BYD!AM73</f>
        <v>-57.286000000000001</v>
      </c>
      <c r="E28" s="932"/>
      <c r="F28" s="374">
        <f>C28-D28</f>
        <v>-6.5420000000000016</v>
      </c>
      <c r="G28" s="126">
        <f t="shared" si="1"/>
        <v>0.11419893167615136</v>
      </c>
      <c r="H28" s="1205"/>
      <c r="I28" s="432">
        <v>-64.837101224999998</v>
      </c>
      <c r="J28" s="932"/>
      <c r="K28" s="374">
        <f t="shared" si="2"/>
        <v>1.0091012249999949</v>
      </c>
      <c r="L28" s="1204">
        <f>IF(I28=0,"NM",C28/I28-1)</f>
        <v>-1.5563638810720093E-2</v>
      </c>
      <c r="O28" s="2"/>
      <c r="S28" s="2"/>
      <c r="T28" s="2"/>
      <c r="U28" s="2"/>
      <c r="V28" s="2"/>
      <c r="W28" s="2"/>
      <c r="X28" s="2"/>
      <c r="Y28" s="2"/>
      <c r="Z28" s="2"/>
      <c r="AA28" s="2"/>
      <c r="AB28" s="2"/>
      <c r="AC28" s="2"/>
      <c r="AD28" s="2"/>
      <c r="AE28" s="2"/>
      <c r="AF28" s="2"/>
      <c r="AG28" s="2"/>
      <c r="AH28" s="2"/>
      <c r="AI28" s="2"/>
      <c r="AJ28" s="2"/>
      <c r="AK28" s="2"/>
      <c r="AL28" s="2"/>
      <c r="AM28" s="2"/>
      <c r="AN28" s="2"/>
      <c r="AO28" s="2"/>
      <c r="AP28" s="2"/>
    </row>
    <row r="29" spans="1:42" ht="12.75" customHeight="1">
      <c r="A29" s="445" t="s">
        <v>203</v>
      </c>
      <c r="B29" s="2"/>
      <c r="C29" s="373">
        <v>4.0000000000000001E-3</v>
      </c>
      <c r="D29" s="374">
        <f>BYD!AM74</f>
        <v>0</v>
      </c>
      <c r="E29" s="932"/>
      <c r="F29" s="374">
        <f>C29-D29</f>
        <v>4.0000000000000001E-3</v>
      </c>
      <c r="G29" s="126">
        <f t="shared" si="1"/>
        <v>0</v>
      </c>
      <c r="H29" s="1205"/>
      <c r="I29" s="432">
        <v>0</v>
      </c>
      <c r="J29" s="932"/>
      <c r="K29" s="374">
        <f t="shared" si="2"/>
        <v>4.0000000000000001E-3</v>
      </c>
      <c r="L29" s="1204" t="str">
        <f>IF(I29=0,"NM",C29/I29-1)</f>
        <v>NM</v>
      </c>
      <c r="O29" s="2"/>
      <c r="S29" s="2"/>
      <c r="T29" s="2"/>
      <c r="U29" s="2"/>
      <c r="V29" s="2"/>
      <c r="W29" s="2"/>
      <c r="X29" s="2"/>
      <c r="Y29" s="2"/>
      <c r="Z29" s="2"/>
      <c r="AA29" s="2"/>
      <c r="AB29" s="2"/>
      <c r="AC29" s="2"/>
      <c r="AD29" s="2"/>
      <c r="AE29" s="2"/>
      <c r="AF29" s="2"/>
      <c r="AG29" s="2"/>
      <c r="AH29" s="2"/>
      <c r="AI29" s="2"/>
      <c r="AJ29" s="2"/>
      <c r="AK29" s="2"/>
      <c r="AL29" s="2"/>
      <c r="AM29" s="2"/>
      <c r="AN29" s="2"/>
      <c r="AO29" s="2"/>
      <c r="AP29" s="2"/>
    </row>
    <row r="30" spans="1:42" ht="12.75" customHeight="1">
      <c r="A30" s="445" t="s">
        <v>814</v>
      </c>
      <c r="B30" s="2"/>
      <c r="C30" s="432">
        <f>-1.66-1.187-0.247</f>
        <v>-3.0939999999999999</v>
      </c>
      <c r="D30" s="374">
        <f>BYD!AM78</f>
        <v>-8.4410000000000007</v>
      </c>
      <c r="E30" s="1103"/>
      <c r="F30" s="374">
        <f>C30-D30</f>
        <v>5.3470000000000013</v>
      </c>
      <c r="G30" s="126">
        <f t="shared" si="1"/>
        <v>-0.63345575168818868</v>
      </c>
      <c r="H30" s="2"/>
      <c r="I30" s="432">
        <v>-3</v>
      </c>
      <c r="J30" s="1103"/>
      <c r="K30" s="374">
        <f t="shared" si="2"/>
        <v>-9.3999999999999861E-2</v>
      </c>
      <c r="L30" s="1204">
        <f>IF(I30=0,"NM",C30/I30-1)</f>
        <v>3.1333333333333213E-2</v>
      </c>
      <c r="O30" s="2"/>
      <c r="S30" s="2"/>
      <c r="T30" s="2"/>
      <c r="U30" s="2"/>
      <c r="V30" s="2"/>
      <c r="W30" s="2"/>
      <c r="X30" s="2"/>
      <c r="Y30" s="2"/>
      <c r="Z30" s="2"/>
      <c r="AA30" s="2"/>
      <c r="AB30" s="2"/>
      <c r="AC30" s="2"/>
      <c r="AD30" s="2"/>
      <c r="AE30" s="2"/>
      <c r="AF30" s="2"/>
      <c r="AG30" s="2"/>
      <c r="AH30" s="2"/>
      <c r="AI30" s="2"/>
      <c r="AJ30" s="2"/>
      <c r="AK30" s="2"/>
      <c r="AL30" s="2"/>
      <c r="AM30" s="2"/>
      <c r="AN30" s="2"/>
      <c r="AO30" s="2"/>
      <c r="AP30" s="2"/>
    </row>
    <row r="31" spans="1:42" ht="4.5" customHeight="1">
      <c r="A31" s="964"/>
      <c r="B31" s="2"/>
      <c r="C31" s="453" t="s">
        <v>343</v>
      </c>
      <c r="D31" s="452" t="s">
        <v>343</v>
      </c>
      <c r="E31" s="96" t="s">
        <v>343</v>
      </c>
      <c r="F31" s="452" t="s">
        <v>343</v>
      </c>
      <c r="G31" s="1251" t="s">
        <v>343</v>
      </c>
      <c r="H31" s="2" t="s">
        <v>343</v>
      </c>
      <c r="I31" s="453" t="s">
        <v>343</v>
      </c>
      <c r="J31" s="96" t="s">
        <v>343</v>
      </c>
      <c r="K31" s="452" t="s">
        <v>343</v>
      </c>
      <c r="L31" s="1252" t="s">
        <v>343</v>
      </c>
      <c r="N31" s="1102"/>
      <c r="O31" s="1102"/>
      <c r="S31" s="2"/>
      <c r="T31" s="2"/>
      <c r="U31" s="2"/>
      <c r="V31" s="2"/>
      <c r="W31" s="2"/>
      <c r="X31" s="2"/>
      <c r="Y31" s="2"/>
      <c r="Z31" s="2"/>
      <c r="AA31" s="2"/>
      <c r="AB31" s="2"/>
      <c r="AC31" s="2"/>
      <c r="AD31" s="2"/>
      <c r="AE31" s="2"/>
      <c r="AF31" s="2"/>
      <c r="AG31" s="2"/>
      <c r="AH31" s="2"/>
      <c r="AI31" s="2"/>
      <c r="AJ31" s="2"/>
      <c r="AK31" s="2"/>
      <c r="AL31" s="2"/>
      <c r="AM31" s="2"/>
      <c r="AN31" s="2"/>
      <c r="AO31" s="2"/>
      <c r="AP31" s="2"/>
    </row>
    <row r="32" spans="1:42" ht="12.75" customHeight="1">
      <c r="A32" s="1" t="s">
        <v>745</v>
      </c>
      <c r="B32" s="2"/>
      <c r="C32" s="1213">
        <f>SUM(C27:C30)</f>
        <v>12.757999999999956</v>
      </c>
      <c r="D32" s="929">
        <f>SUM(D27:D30)</f>
        <v>-9.4190000000000236</v>
      </c>
      <c r="E32" s="932"/>
      <c r="F32" s="1241">
        <f>C32-D32</f>
        <v>22.176999999999978</v>
      </c>
      <c r="G32" s="106">
        <f t="shared" si="1"/>
        <v>-2.3544962310223934</v>
      </c>
      <c r="H32" s="1205"/>
      <c r="I32" s="1213">
        <f>+SUM(I27:I30)</f>
        <v>6.0970670548693988</v>
      </c>
      <c r="J32" s="932"/>
      <c r="K32" s="1241">
        <f t="shared" si="2"/>
        <v>6.6609329451305577</v>
      </c>
      <c r="L32" s="1214">
        <f>C32/I32-1</f>
        <v>1.0924814972816854</v>
      </c>
      <c r="O32" s="2"/>
      <c r="S32" s="2">
        <v>155.453</v>
      </c>
      <c r="T32" s="2"/>
      <c r="U32" s="2"/>
      <c r="V32" s="2"/>
      <c r="W32" s="2"/>
      <c r="X32" s="2"/>
      <c r="Y32" s="2"/>
      <c r="Z32" s="2"/>
      <c r="AA32" s="2"/>
      <c r="AB32" s="2"/>
      <c r="AC32" s="2"/>
      <c r="AD32" s="2"/>
      <c r="AE32" s="2"/>
      <c r="AF32" s="2"/>
      <c r="AG32" s="2"/>
      <c r="AH32" s="2"/>
      <c r="AI32" s="2"/>
      <c r="AJ32" s="2"/>
      <c r="AK32" s="2"/>
      <c r="AL32" s="2"/>
      <c r="AM32" s="2"/>
      <c r="AN32" s="2"/>
      <c r="AO32" s="2"/>
      <c r="AP32" s="2"/>
    </row>
    <row r="33" spans="1:42" ht="12.75" customHeight="1">
      <c r="A33" s="445" t="s">
        <v>205</v>
      </c>
      <c r="B33" s="2"/>
      <c r="C33" s="432">
        <v>-6.2830000000000004</v>
      </c>
      <c r="D33" s="374">
        <f>BYD!AM81</f>
        <v>3.1080000000000001</v>
      </c>
      <c r="E33" s="1103"/>
      <c r="F33" s="374">
        <f>C33-D33</f>
        <v>-9.391</v>
      </c>
      <c r="G33" s="126">
        <f t="shared" si="1"/>
        <v>-3.0215572715572718</v>
      </c>
      <c r="H33" s="2"/>
      <c r="I33" s="432">
        <v>-2.1339734692042893</v>
      </c>
      <c r="J33" s="1103"/>
      <c r="K33" s="374">
        <f t="shared" si="2"/>
        <v>-4.1490265307957106</v>
      </c>
      <c r="L33" s="1204">
        <f>IF(I33=0,"NM",C33/I33-1)</f>
        <v>1.9442727806465139</v>
      </c>
      <c r="O33" s="2"/>
      <c r="S33" s="2">
        <v>151.85599999999999</v>
      </c>
      <c r="T33" s="2"/>
      <c r="U33" s="2"/>
      <c r="V33" s="2"/>
      <c r="W33" s="2"/>
      <c r="X33" s="2"/>
      <c r="Y33" s="2"/>
      <c r="Z33" s="2"/>
      <c r="AA33" s="2"/>
      <c r="AB33" s="2"/>
      <c r="AC33" s="2"/>
      <c r="AD33" s="2"/>
      <c r="AE33" s="2"/>
      <c r="AF33" s="2"/>
      <c r="AG33" s="2"/>
      <c r="AH33" s="2"/>
      <c r="AI33" s="2"/>
      <c r="AJ33" s="2"/>
      <c r="AK33" s="2"/>
      <c r="AL33" s="2"/>
      <c r="AM33" s="2"/>
      <c r="AN33" s="2"/>
      <c r="AO33" s="2"/>
      <c r="AP33" s="2"/>
    </row>
    <row r="34" spans="1:42" ht="4.5" customHeight="1">
      <c r="A34" s="964"/>
      <c r="B34" s="2"/>
      <c r="C34" s="453" t="s">
        <v>343</v>
      </c>
      <c r="D34" s="452" t="s">
        <v>343</v>
      </c>
      <c r="E34" s="96" t="s">
        <v>343</v>
      </c>
      <c r="F34" s="452" t="s">
        <v>343</v>
      </c>
      <c r="G34" s="1251" t="s">
        <v>343</v>
      </c>
      <c r="H34" s="2" t="s">
        <v>343</v>
      </c>
      <c r="I34" s="453" t="s">
        <v>343</v>
      </c>
      <c r="J34" s="96" t="s">
        <v>343</v>
      </c>
      <c r="K34" s="452" t="s">
        <v>343</v>
      </c>
      <c r="L34" s="1252" t="s">
        <v>343</v>
      </c>
      <c r="N34" s="1102"/>
      <c r="O34" s="1102"/>
      <c r="S34" s="2"/>
      <c r="T34" s="2"/>
      <c r="U34" s="2"/>
      <c r="V34" s="2"/>
      <c r="W34" s="2"/>
      <c r="X34" s="2"/>
      <c r="Y34" s="2"/>
      <c r="Z34" s="2"/>
      <c r="AA34" s="2"/>
      <c r="AB34" s="2"/>
      <c r="AC34" s="2"/>
      <c r="AD34" s="2"/>
      <c r="AE34" s="2"/>
      <c r="AF34" s="2"/>
      <c r="AG34" s="2"/>
      <c r="AH34" s="2"/>
      <c r="AI34" s="2"/>
      <c r="AJ34" s="2"/>
      <c r="AK34" s="2"/>
      <c r="AL34" s="2"/>
      <c r="AM34" s="2"/>
      <c r="AN34" s="2"/>
      <c r="AO34" s="2"/>
      <c r="AP34" s="2"/>
    </row>
    <row r="35" spans="1:42" ht="12.75" customHeight="1">
      <c r="A35" s="107" t="s">
        <v>1243</v>
      </c>
      <c r="B35" s="61"/>
      <c r="C35" s="1213">
        <f>C32+C33</f>
        <v>6.4749999999999561</v>
      </c>
      <c r="D35" s="929">
        <f>D32+D33</f>
        <v>-6.311000000000023</v>
      </c>
      <c r="E35" s="932"/>
      <c r="F35" s="1241">
        <f>F32+F33</f>
        <v>12.785999999999978</v>
      </c>
      <c r="G35" s="1215">
        <f>G32+G33</f>
        <v>-5.3760535025796656</v>
      </c>
      <c r="H35" s="932"/>
      <c r="I35" s="1213">
        <f>+SUM(I32:I33)</f>
        <v>3.9630935856651095</v>
      </c>
      <c r="J35" s="932"/>
      <c r="K35" s="1241">
        <f>K32+K33</f>
        <v>2.5119064143348471</v>
      </c>
      <c r="L35" s="1215">
        <f>L32+L33</f>
        <v>3.0367542779281993</v>
      </c>
      <c r="M35" s="1238"/>
      <c r="N35" s="1238"/>
      <c r="O35" s="61"/>
      <c r="S35" s="1336">
        <f>+S32/S33-1</f>
        <v>2.3686913918449015E-2</v>
      </c>
      <c r="T35" s="2"/>
      <c r="U35" s="2"/>
      <c r="V35" s="2"/>
      <c r="W35" s="2"/>
      <c r="X35" s="2"/>
      <c r="Y35" s="2"/>
      <c r="Z35" s="2"/>
      <c r="AA35" s="2"/>
      <c r="AB35" s="2"/>
      <c r="AC35" s="2"/>
      <c r="AD35" s="2"/>
      <c r="AE35" s="2"/>
      <c r="AF35" s="2"/>
      <c r="AG35" s="2"/>
      <c r="AH35" s="2"/>
      <c r="AI35" s="2"/>
      <c r="AJ35" s="2"/>
      <c r="AK35" s="2"/>
      <c r="AL35" s="2"/>
      <c r="AM35" s="2"/>
      <c r="AN35" s="2"/>
      <c r="AO35" s="2"/>
      <c r="AP35" s="2"/>
    </row>
    <row r="36" spans="1:42" ht="12.75" customHeight="1">
      <c r="A36" s="445" t="s">
        <v>130</v>
      </c>
      <c r="B36" s="2"/>
      <c r="C36" s="432">
        <v>-0.623</v>
      </c>
      <c r="D36" s="374">
        <f>BYD!AM85</f>
        <v>2.79</v>
      </c>
      <c r="E36" s="1103"/>
      <c r="F36" s="374">
        <f>C36-D36</f>
        <v>-3.4130000000000003</v>
      </c>
      <c r="G36" s="126">
        <f>IF(D36=0,0,C36/D36-1)</f>
        <v>-1.2232974910394265</v>
      </c>
      <c r="H36" s="2"/>
      <c r="I36" s="432">
        <v>0.71830339414212641</v>
      </c>
      <c r="J36" s="1103"/>
      <c r="K36" s="374">
        <f>C36-I36</f>
        <v>-1.3413033941421264</v>
      </c>
      <c r="L36" s="1204">
        <f>IF(I36=0,"NM",C36/I36-1)</f>
        <v>-1.8673215316545346</v>
      </c>
      <c r="O36" s="2"/>
      <c r="S36" s="2"/>
      <c r="T36" s="2"/>
      <c r="U36" s="2"/>
      <c r="V36" s="2"/>
      <c r="W36" s="2"/>
      <c r="X36" s="2"/>
      <c r="Y36" s="2"/>
      <c r="Z36" s="2"/>
      <c r="AA36" s="2"/>
      <c r="AB36" s="2"/>
      <c r="AC36" s="2"/>
      <c r="AD36" s="2"/>
      <c r="AE36" s="2"/>
      <c r="AF36" s="2"/>
      <c r="AG36" s="2"/>
      <c r="AH36" s="2"/>
      <c r="AI36" s="2"/>
      <c r="AJ36" s="2"/>
      <c r="AK36" s="2"/>
      <c r="AL36" s="2"/>
      <c r="AM36" s="2"/>
      <c r="AN36" s="2"/>
      <c r="AO36" s="2"/>
      <c r="AP36" s="2"/>
    </row>
    <row r="37" spans="1:42" ht="4.5" customHeight="1">
      <c r="A37" s="964"/>
      <c r="B37" s="2"/>
      <c r="C37" s="453" t="s">
        <v>343</v>
      </c>
      <c r="D37" s="452" t="s">
        <v>343</v>
      </c>
      <c r="E37" s="96" t="s">
        <v>343</v>
      </c>
      <c r="F37" s="452" t="s">
        <v>343</v>
      </c>
      <c r="G37" s="1251" t="s">
        <v>343</v>
      </c>
      <c r="H37" s="2" t="s">
        <v>343</v>
      </c>
      <c r="I37" s="453" t="s">
        <v>343</v>
      </c>
      <c r="J37" s="96" t="s">
        <v>343</v>
      </c>
      <c r="K37" s="452" t="s">
        <v>343</v>
      </c>
      <c r="L37" s="1252" t="s">
        <v>343</v>
      </c>
      <c r="N37" s="1102"/>
      <c r="O37" s="1102"/>
      <c r="S37" s="2"/>
      <c r="T37" s="2"/>
      <c r="U37" s="2"/>
      <c r="V37" s="2"/>
      <c r="W37" s="2"/>
      <c r="X37" s="2"/>
      <c r="Y37" s="2"/>
      <c r="Z37" s="2"/>
      <c r="AA37" s="2"/>
      <c r="AB37" s="2"/>
      <c r="AC37" s="2"/>
      <c r="AD37" s="2"/>
      <c r="AE37" s="2"/>
      <c r="AF37" s="2"/>
      <c r="AG37" s="2"/>
      <c r="AH37" s="2"/>
      <c r="AI37" s="2"/>
      <c r="AJ37" s="2"/>
      <c r="AK37" s="2"/>
      <c r="AL37" s="2"/>
      <c r="AM37" s="2"/>
      <c r="AN37" s="2"/>
      <c r="AO37" s="2"/>
      <c r="AP37" s="2"/>
    </row>
    <row r="38" spans="1:42" ht="12.75" customHeight="1">
      <c r="A38" s="107" t="s">
        <v>1540</v>
      </c>
      <c r="B38" s="2"/>
      <c r="C38" s="1213">
        <f>C35+C36</f>
        <v>5.8519999999999559</v>
      </c>
      <c r="D38" s="929">
        <f>D35+D36</f>
        <v>-3.521000000000023</v>
      </c>
      <c r="E38" s="932"/>
      <c r="F38" s="1241">
        <f>F35+F36</f>
        <v>9.372999999999978</v>
      </c>
      <c r="G38" s="1215">
        <f>G35+G36</f>
        <v>-6.5993509936190922</v>
      </c>
      <c r="H38" s="932"/>
      <c r="I38" s="1213">
        <f>+SUM(I35:I36)</f>
        <v>4.6813969798072357</v>
      </c>
      <c r="J38" s="932"/>
      <c r="K38" s="1241">
        <f>K35+K36</f>
        <v>1.1706030201927207</v>
      </c>
      <c r="L38" s="1215">
        <f>L35+L36</f>
        <v>1.1694327462736647</v>
      </c>
      <c r="O38" s="2"/>
      <c r="S38" s="105"/>
      <c r="T38" s="2"/>
      <c r="U38" s="2"/>
      <c r="V38" s="2"/>
      <c r="W38" s="2"/>
      <c r="X38" s="2"/>
      <c r="Y38" s="2"/>
      <c r="Z38" s="2"/>
      <c r="AA38" s="2"/>
      <c r="AB38" s="2"/>
      <c r="AC38" s="2"/>
      <c r="AD38" s="2"/>
      <c r="AE38" s="2"/>
      <c r="AF38" s="2"/>
      <c r="AG38" s="2"/>
      <c r="AH38" s="2"/>
      <c r="AI38" s="2"/>
      <c r="AJ38" s="2"/>
      <c r="AK38" s="2"/>
      <c r="AL38" s="2"/>
      <c r="AM38" s="2"/>
      <c r="AN38" s="2"/>
      <c r="AO38" s="2"/>
      <c r="AP38" s="2"/>
    </row>
    <row r="39" spans="1:42" ht="12.75" customHeight="1">
      <c r="A39" s="2" t="s">
        <v>1562</v>
      </c>
      <c r="B39" s="2"/>
      <c r="C39" s="1104">
        <f>4.018-1.41-0.044</f>
        <v>2.5639999999999996</v>
      </c>
      <c r="D39" s="104">
        <f>BYD!AM87</f>
        <v>2.3090000000000002</v>
      </c>
      <c r="E39" s="61"/>
      <c r="F39" s="61"/>
      <c r="G39" s="1141"/>
      <c r="H39" s="2"/>
      <c r="I39" s="1104">
        <v>3</v>
      </c>
      <c r="J39" s="61"/>
      <c r="K39" s="61"/>
      <c r="L39" s="1216"/>
      <c r="O39" s="2"/>
      <c r="S39" s="2"/>
      <c r="T39" s="2"/>
      <c r="U39" s="2"/>
      <c r="V39" s="2"/>
      <c r="W39" s="2"/>
      <c r="X39" s="2"/>
      <c r="Y39" s="2"/>
      <c r="Z39" s="2"/>
      <c r="AA39" s="2"/>
      <c r="AB39" s="2"/>
      <c r="AC39" s="2"/>
      <c r="AD39" s="2"/>
      <c r="AE39" s="2"/>
      <c r="AF39" s="2"/>
      <c r="AG39" s="2"/>
      <c r="AH39" s="2"/>
      <c r="AI39" s="2"/>
      <c r="AJ39" s="2"/>
      <c r="AK39" s="2"/>
      <c r="AL39" s="2"/>
      <c r="AM39" s="2"/>
      <c r="AN39" s="2"/>
      <c r="AO39" s="2"/>
      <c r="AP39" s="2"/>
    </row>
    <row r="40" spans="1:42" ht="12.75" customHeight="1">
      <c r="A40" s="147" t="s">
        <v>1747</v>
      </c>
      <c r="B40" s="160"/>
      <c r="C40" s="1217">
        <f>SUM(C38:C39)</f>
        <v>8.415999999999956</v>
      </c>
      <c r="D40" s="1309">
        <f>BYD!AM88</f>
        <v>-1.2120000000000246</v>
      </c>
      <c r="E40" s="1218"/>
      <c r="F40" s="1218">
        <f>C40-D40</f>
        <v>9.6279999999999806</v>
      </c>
      <c r="G40" s="1219">
        <f>IF(D40=0,0,C40/D40-1)</f>
        <v>-7.9438943894387668</v>
      </c>
      <c r="H40" s="1220"/>
      <c r="I40" s="1217">
        <f>+SUM(I38:I39)</f>
        <v>7.6813969798072357</v>
      </c>
      <c r="J40" s="1218"/>
      <c r="K40" s="1218">
        <f>C40-I40</f>
        <v>0.73460302019272028</v>
      </c>
      <c r="L40" s="1221">
        <f>C40/I40-1</f>
        <v>9.5634039241017765E-2</v>
      </c>
      <c r="O40" s="2"/>
      <c r="S40" s="2"/>
      <c r="T40" s="2"/>
      <c r="U40" s="2"/>
      <c r="V40" s="2"/>
      <c r="W40" s="2"/>
      <c r="X40" s="2"/>
      <c r="Y40" s="2"/>
      <c r="Z40" s="2"/>
      <c r="AA40" s="2"/>
      <c r="AB40" s="2"/>
      <c r="AC40" s="2"/>
      <c r="AD40" s="2"/>
      <c r="AE40" s="2"/>
      <c r="AF40" s="2"/>
      <c r="AG40" s="2"/>
      <c r="AH40" s="2"/>
      <c r="AI40" s="2"/>
      <c r="AJ40" s="2"/>
      <c r="AK40" s="2"/>
      <c r="AL40" s="2"/>
      <c r="AM40" s="2"/>
      <c r="AN40" s="2"/>
      <c r="AO40" s="2"/>
      <c r="AP40" s="2"/>
    </row>
    <row r="41" spans="1:42" ht="12.75" customHeight="1">
      <c r="A41" s="2"/>
      <c r="B41" s="2"/>
      <c r="C41" s="112"/>
      <c r="D41" s="77"/>
      <c r="E41" s="61"/>
      <c r="F41" s="61"/>
      <c r="G41" s="1141"/>
      <c r="H41" s="2"/>
      <c r="I41" s="115"/>
      <c r="J41" s="61"/>
      <c r="K41" s="61"/>
      <c r="L41" s="1216"/>
      <c r="O41" s="2"/>
      <c r="S41" s="2"/>
      <c r="T41" s="2"/>
      <c r="U41" s="2"/>
      <c r="V41" s="2"/>
      <c r="W41" s="2"/>
      <c r="X41" s="2"/>
      <c r="Y41" s="2"/>
      <c r="Z41" s="2"/>
      <c r="AA41" s="2"/>
      <c r="AB41" s="2"/>
      <c r="AC41" s="2"/>
      <c r="AD41" s="2"/>
      <c r="AE41" s="2"/>
      <c r="AF41" s="2"/>
      <c r="AG41" s="2"/>
      <c r="AH41" s="2"/>
      <c r="AI41" s="2"/>
      <c r="AJ41" s="2"/>
      <c r="AK41" s="2"/>
      <c r="AL41" s="2"/>
      <c r="AM41" s="2"/>
      <c r="AN41" s="2"/>
      <c r="AO41" s="2"/>
      <c r="AP41" s="2"/>
    </row>
    <row r="42" spans="1:42" ht="12.75" customHeight="1">
      <c r="A42" s="138" t="s">
        <v>746</v>
      </c>
      <c r="B42" s="155"/>
      <c r="C42" s="153">
        <f>C40/C43</f>
        <v>9.5650493822950627E-2</v>
      </c>
      <c r="D42" s="152">
        <f>+D40/D43</f>
        <v>-1.3905939855663052E-2</v>
      </c>
      <c r="E42" s="152"/>
      <c r="F42" s="152">
        <f>C42-D42</f>
        <v>0.10955643367861367</v>
      </c>
      <c r="G42" s="1208">
        <f>IF(D42=0,0,C42/D42-1)</f>
        <v>-7.8783911634709067</v>
      </c>
      <c r="H42" s="155"/>
      <c r="I42" s="153">
        <f>+I40/I43</f>
        <v>8.7950982883102422E-2</v>
      </c>
      <c r="J42" s="152"/>
      <c r="K42" s="152">
        <f>C42-I42</f>
        <v>7.6995109398482059E-3</v>
      </c>
      <c r="L42" s="1211">
        <f>C42/I42-1</f>
        <v>8.754320517465719E-2</v>
      </c>
      <c r="O42" s="1256">
        <v>0.09</v>
      </c>
      <c r="S42" s="2"/>
      <c r="T42" s="2"/>
      <c r="U42" s="2"/>
      <c r="V42" s="2"/>
      <c r="W42" s="2"/>
      <c r="X42" s="2"/>
      <c r="Y42" s="2"/>
      <c r="Z42" s="2"/>
      <c r="AA42" s="2"/>
      <c r="AB42" s="2"/>
      <c r="AC42" s="2"/>
      <c r="AD42" s="2"/>
      <c r="AE42" s="2"/>
      <c r="AF42" s="2"/>
      <c r="AG42" s="2"/>
      <c r="AH42" s="2"/>
      <c r="AI42" s="2"/>
      <c r="AJ42" s="2"/>
      <c r="AK42" s="2"/>
      <c r="AL42" s="2"/>
      <c r="AM42" s="2"/>
      <c r="AN42" s="2"/>
      <c r="AO42" s="2"/>
      <c r="AP42" s="2"/>
    </row>
    <row r="43" spans="1:42" ht="12.75" customHeight="1">
      <c r="A43" s="2" t="s">
        <v>769</v>
      </c>
      <c r="B43" s="2"/>
      <c r="C43" s="1104">
        <v>87.986999999999995</v>
      </c>
      <c r="D43" s="104">
        <f>BYD!AM103</f>
        <v>87.156999999999996</v>
      </c>
      <c r="E43" s="1103"/>
      <c r="F43" s="374">
        <f>C43-D43</f>
        <v>0.82999999999999829</v>
      </c>
      <c r="G43" s="126">
        <f>IF(D43=0,0,C43/D43-1)</f>
        <v>9.5230446206271413E-3</v>
      </c>
      <c r="H43" s="2"/>
      <c r="I43" s="1104">
        <v>87.337249999999983</v>
      </c>
      <c r="J43" s="1103"/>
      <c r="K43" s="374">
        <f>C43-I43</f>
        <v>0.6497500000000116</v>
      </c>
      <c r="L43" s="1204">
        <f>C43/I43-1</f>
        <v>7.4395518521594983E-3</v>
      </c>
      <c r="O43" s="2"/>
      <c r="S43" s="2"/>
      <c r="T43" s="2"/>
      <c r="U43" s="2"/>
      <c r="V43" s="2"/>
      <c r="W43" s="2"/>
      <c r="X43" s="2"/>
      <c r="Y43" s="2"/>
      <c r="Z43" s="2"/>
      <c r="AA43" s="2"/>
      <c r="AB43" s="2"/>
      <c r="AC43" s="2"/>
      <c r="AD43" s="2"/>
      <c r="AE43" s="2"/>
      <c r="AF43" s="2"/>
      <c r="AG43" s="2"/>
      <c r="AH43" s="2"/>
      <c r="AI43" s="2"/>
      <c r="AJ43" s="2"/>
      <c r="AK43" s="2"/>
      <c r="AL43" s="2"/>
      <c r="AM43" s="2"/>
      <c r="AN43" s="2"/>
      <c r="AO43" s="2"/>
      <c r="AP43" s="2"/>
    </row>
    <row r="44" spans="1:42" ht="12.75" customHeight="1">
      <c r="A44" s="2"/>
      <c r="B44" s="2"/>
      <c r="C44" s="112"/>
      <c r="D44" s="77"/>
      <c r="E44" s="61"/>
      <c r="F44" s="2"/>
      <c r="G44" s="2"/>
      <c r="H44" s="2"/>
      <c r="I44" s="142"/>
      <c r="J44" s="61"/>
      <c r="K44" s="61"/>
      <c r="L44" s="2"/>
      <c r="O44" s="2"/>
      <c r="S44" s="2"/>
      <c r="T44" s="2"/>
      <c r="U44" s="2"/>
      <c r="V44" s="2"/>
      <c r="W44" s="2"/>
      <c r="X44" s="2"/>
      <c r="Y44" s="2"/>
      <c r="Z44" s="2"/>
      <c r="AA44" s="2"/>
      <c r="AB44" s="2"/>
      <c r="AC44" s="2"/>
      <c r="AD44" s="2"/>
      <c r="AE44" s="2"/>
      <c r="AF44" s="2"/>
      <c r="AG44" s="2"/>
      <c r="AH44" s="2"/>
      <c r="AI44" s="2"/>
      <c r="AJ44" s="2"/>
      <c r="AK44" s="2"/>
      <c r="AL44" s="2"/>
      <c r="AM44" s="2"/>
      <c r="AN44" s="2"/>
      <c r="AO44" s="2"/>
      <c r="AP44" s="2"/>
    </row>
    <row r="45" spans="1:42" ht="12.75" customHeight="1">
      <c r="A45" s="1222" t="s">
        <v>271</v>
      </c>
      <c r="B45" s="1223"/>
      <c r="C45" s="1224">
        <f>C20/C13</f>
        <v>0.22734617735747131</v>
      </c>
      <c r="D45" s="1400">
        <f>D20/D13</f>
        <v>0.21572403510795962</v>
      </c>
      <c r="E45" s="1225"/>
      <c r="F45" s="1223"/>
      <c r="G45" s="1226">
        <f>(C45-D45)</f>
        <v>1.1622142249511691E-2</v>
      </c>
      <c r="H45" s="1223"/>
      <c r="I45" s="1431">
        <f>I20/I13</f>
        <v>0.22221596850431752</v>
      </c>
      <c r="J45" s="1225"/>
      <c r="K45" s="1223"/>
      <c r="L45" s="1227">
        <f>(C45-I46)</f>
        <v>-5.1077226122702268E-2</v>
      </c>
      <c r="O45" s="2"/>
      <c r="S45" s="2"/>
      <c r="T45" s="2"/>
      <c r="U45" s="2"/>
      <c r="V45" s="2"/>
      <c r="W45" s="2"/>
      <c r="X45" s="2"/>
      <c r="Y45" s="2"/>
      <c r="Z45" s="2"/>
      <c r="AA45" s="2"/>
      <c r="AB45" s="2"/>
      <c r="AC45" s="2"/>
      <c r="AD45" s="2"/>
      <c r="AE45" s="2"/>
      <c r="AF45" s="2"/>
      <c r="AG45" s="2"/>
      <c r="AH45" s="2"/>
      <c r="AI45" s="2"/>
      <c r="AJ45" s="2"/>
      <c r="AK45" s="2"/>
      <c r="AL45" s="2"/>
      <c r="AM45" s="2"/>
      <c r="AN45" s="2"/>
      <c r="AO45" s="2"/>
      <c r="AP45" s="2"/>
    </row>
    <row r="46" spans="1:42" ht="12.75" customHeight="1">
      <c r="A46" s="1239" t="s">
        <v>514</v>
      </c>
      <c r="B46" s="1228"/>
      <c r="C46" s="1229">
        <f t="shared" ref="C46:D49" si="3">C16/C8</f>
        <v>0.24863523893816744</v>
      </c>
      <c r="D46" s="1230">
        <f t="shared" si="3"/>
        <v>0.25655744600987579</v>
      </c>
      <c r="E46" s="1230"/>
      <c r="F46" s="1228"/>
      <c r="G46" s="1231">
        <f>(C46-D46)</f>
        <v>-7.9222070717083481E-3</v>
      </c>
      <c r="H46" s="1228"/>
      <c r="I46" s="1229">
        <f>I16/I8</f>
        <v>0.27842340348017358</v>
      </c>
      <c r="J46" s="1230"/>
      <c r="K46" s="1228"/>
      <c r="L46" s="1232">
        <f>(C46-I46)</f>
        <v>-2.978816454200614E-2</v>
      </c>
      <c r="N46" s="1403"/>
      <c r="O46" s="98"/>
      <c r="S46" s="2"/>
      <c r="T46" s="2"/>
      <c r="U46" s="2"/>
      <c r="V46" s="2"/>
      <c r="W46" s="2"/>
      <c r="X46" s="2"/>
      <c r="Y46" s="2"/>
      <c r="Z46" s="2"/>
      <c r="AA46" s="2"/>
      <c r="AB46" s="2"/>
      <c r="AC46" s="2"/>
      <c r="AD46" s="2"/>
      <c r="AE46" s="2"/>
      <c r="AF46" s="2"/>
      <c r="AG46" s="2"/>
      <c r="AH46" s="2"/>
      <c r="AI46" s="2"/>
      <c r="AJ46" s="2"/>
      <c r="AK46" s="2"/>
      <c r="AL46" s="2"/>
      <c r="AM46" s="2"/>
      <c r="AN46" s="2"/>
      <c r="AO46" s="2"/>
      <c r="AP46" s="2"/>
    </row>
    <row r="47" spans="1:42" ht="12.75" customHeight="1">
      <c r="A47" s="1239" t="s">
        <v>515</v>
      </c>
      <c r="B47" s="1228"/>
      <c r="C47" s="1229">
        <f t="shared" si="3"/>
        <v>0.14790906539433063</v>
      </c>
      <c r="D47" s="1230">
        <f t="shared" si="3"/>
        <v>0.16175044012503142</v>
      </c>
      <c r="E47" s="1230"/>
      <c r="F47" s="1228"/>
      <c r="G47" s="1231">
        <f>(C47-D47)</f>
        <v>-1.3841374730700795E-2</v>
      </c>
      <c r="H47" s="1228"/>
      <c r="I47" s="1229">
        <f>I17/I9</f>
        <v>0.15766141788173879</v>
      </c>
      <c r="J47" s="1230"/>
      <c r="K47" s="1228"/>
      <c r="L47" s="1232">
        <f>(C47-I47)</f>
        <v>-9.7523524874081613E-3</v>
      </c>
      <c r="N47" s="1403"/>
      <c r="O47" s="98"/>
      <c r="S47" s="2"/>
      <c r="T47" s="2"/>
      <c r="U47" s="2"/>
      <c r="V47" s="2"/>
      <c r="W47" s="2"/>
      <c r="X47" s="2"/>
      <c r="Y47" s="2"/>
      <c r="Z47" s="2"/>
      <c r="AA47" s="2"/>
      <c r="AB47" s="2"/>
      <c r="AC47" s="2"/>
      <c r="AD47" s="2"/>
      <c r="AE47" s="2"/>
      <c r="AF47" s="2"/>
      <c r="AG47" s="2"/>
      <c r="AH47" s="2"/>
      <c r="AI47" s="2"/>
      <c r="AJ47" s="2"/>
      <c r="AK47" s="2"/>
      <c r="AL47" s="2"/>
      <c r="AM47" s="2"/>
      <c r="AN47" s="2"/>
      <c r="AO47" s="2"/>
      <c r="AP47" s="2"/>
    </row>
    <row r="48" spans="1:42" ht="12.75" customHeight="1">
      <c r="A48" s="1239" t="s">
        <v>516</v>
      </c>
      <c r="B48" s="1228"/>
      <c r="C48" s="1229">
        <f t="shared" si="3"/>
        <v>0.23850944929058518</v>
      </c>
      <c r="D48" s="1230">
        <f t="shared" si="3"/>
        <v>0.22381469613859772</v>
      </c>
      <c r="E48" s="1230"/>
      <c r="F48" s="1228"/>
      <c r="G48" s="1231">
        <f>(C48-D48)</f>
        <v>1.4694753151987455E-2</v>
      </c>
      <c r="H48" s="1228"/>
      <c r="I48" s="1229">
        <f>I18/I10</f>
        <v>0.22129866410090018</v>
      </c>
      <c r="J48" s="1230"/>
      <c r="K48" s="1228"/>
      <c r="L48" s="1232">
        <f>(C48-I48)</f>
        <v>1.7210785189684996E-2</v>
      </c>
      <c r="N48" s="105"/>
      <c r="O48" s="105"/>
      <c r="S48" s="2"/>
      <c r="T48" s="2"/>
      <c r="U48" s="2"/>
      <c r="V48" s="2"/>
      <c r="W48" s="2"/>
      <c r="X48" s="2"/>
      <c r="Y48" s="2"/>
      <c r="Z48" s="2"/>
      <c r="AA48" s="2"/>
      <c r="AB48" s="2"/>
      <c r="AC48" s="2"/>
      <c r="AD48" s="2"/>
      <c r="AE48" s="2"/>
      <c r="AF48" s="2"/>
      <c r="AG48" s="2"/>
      <c r="AH48" s="2"/>
      <c r="AI48" s="2"/>
      <c r="AJ48" s="2"/>
      <c r="AK48" s="2"/>
      <c r="AL48" s="2"/>
      <c r="AM48" s="2"/>
      <c r="AN48" s="2"/>
      <c r="AO48" s="2"/>
      <c r="AP48" s="2"/>
    </row>
    <row r="49" spans="1:42" ht="12.75" customHeight="1">
      <c r="A49" s="1240" t="s">
        <v>273</v>
      </c>
      <c r="B49" s="1233"/>
      <c r="C49" s="1234">
        <f t="shared" si="3"/>
        <v>0.22072665342038036</v>
      </c>
      <c r="D49" s="1235">
        <f t="shared" si="3"/>
        <v>0.18736767401975271</v>
      </c>
      <c r="E49" s="1235"/>
      <c r="F49" s="1233"/>
      <c r="G49" s="1236">
        <f>(C49-D49)</f>
        <v>3.3358979400627653E-2</v>
      </c>
      <c r="H49" s="1233"/>
      <c r="I49" s="1234">
        <f>I19/I11</f>
        <v>0.19342149649476026</v>
      </c>
      <c r="J49" s="1235"/>
      <c r="K49" s="1233"/>
      <c r="L49" s="1237">
        <f>(C49-I49)</f>
        <v>2.7305156925620105E-2</v>
      </c>
      <c r="M49" s="1238"/>
      <c r="O49" s="2"/>
      <c r="S49" s="2"/>
      <c r="T49" s="2"/>
      <c r="U49" s="2"/>
      <c r="V49" s="2"/>
      <c r="W49" s="2"/>
      <c r="X49" s="2"/>
      <c r="Y49" s="2"/>
      <c r="Z49" s="2"/>
      <c r="AA49" s="2"/>
      <c r="AB49" s="2"/>
      <c r="AC49" s="2"/>
      <c r="AD49" s="2"/>
      <c r="AE49" s="2"/>
      <c r="AF49" s="2"/>
      <c r="AG49" s="2"/>
      <c r="AH49" s="2"/>
      <c r="AI49" s="2"/>
      <c r="AJ49" s="2"/>
      <c r="AK49" s="2"/>
      <c r="AL49" s="2"/>
      <c r="AM49" s="2"/>
      <c r="AN49" s="2"/>
      <c r="AO49" s="2"/>
      <c r="AP49" s="2"/>
    </row>
    <row r="50" spans="1:42" ht="12.75" customHeight="1">
      <c r="A50" s="61"/>
      <c r="B50" s="61"/>
      <c r="C50" s="1435"/>
      <c r="D50" s="77"/>
      <c r="E50" s="61"/>
      <c r="F50" s="61"/>
      <c r="G50" s="61"/>
      <c r="H50" s="61"/>
      <c r="I50" s="1435"/>
      <c r="J50" s="61"/>
      <c r="K50" s="61"/>
      <c r="L50" s="61"/>
      <c r="O50" s="2"/>
      <c r="S50" s="2"/>
      <c r="T50" s="2"/>
      <c r="U50" s="2"/>
      <c r="V50" s="2"/>
      <c r="W50" s="2"/>
      <c r="X50" s="2"/>
      <c r="Y50" s="2"/>
      <c r="Z50" s="2"/>
      <c r="AA50" s="2"/>
      <c r="AB50" s="2"/>
      <c r="AC50" s="2"/>
      <c r="AD50" s="2"/>
      <c r="AE50" s="2"/>
      <c r="AF50" s="2"/>
      <c r="AG50" s="2"/>
      <c r="AH50" s="2"/>
      <c r="AI50" s="2"/>
      <c r="AJ50" s="2"/>
      <c r="AK50" s="2"/>
      <c r="AL50" s="2"/>
      <c r="AM50" s="2"/>
      <c r="AN50" s="2"/>
      <c r="AO50" s="2"/>
      <c r="AP50" s="2"/>
    </row>
    <row r="51" spans="1:42" ht="12.75" customHeight="1">
      <c r="A51" s="61"/>
      <c r="B51" s="61"/>
      <c r="C51" s="374"/>
      <c r="D51" s="374"/>
      <c r="E51" s="61"/>
      <c r="F51" s="374"/>
      <c r="G51" s="95"/>
      <c r="H51" s="313"/>
      <c r="I51" s="376"/>
      <c r="J51" s="932"/>
      <c r="K51" s="374"/>
      <c r="L51" s="1204"/>
      <c r="O51" s="2"/>
      <c r="S51" s="2"/>
      <c r="T51" s="2"/>
      <c r="U51" s="2"/>
      <c r="V51" s="2"/>
      <c r="W51" s="2"/>
      <c r="X51" s="2"/>
      <c r="Y51" s="2"/>
      <c r="Z51" s="2"/>
      <c r="AA51" s="2"/>
      <c r="AB51" s="2"/>
      <c r="AC51" s="2"/>
      <c r="AD51" s="2"/>
      <c r="AE51" s="2"/>
      <c r="AF51" s="2"/>
      <c r="AG51" s="2"/>
      <c r="AH51" s="2"/>
      <c r="AI51" s="2"/>
      <c r="AJ51" s="2"/>
      <c r="AK51" s="2"/>
      <c r="AL51" s="2"/>
      <c r="AM51" s="2"/>
      <c r="AN51" s="2"/>
      <c r="AO51" s="2"/>
      <c r="AP51" s="2"/>
    </row>
    <row r="52" spans="1:42" ht="12.75" customHeight="1">
      <c r="A52" s="743"/>
      <c r="B52" s="61"/>
      <c r="C52" s="1618">
        <f>+C22/C13</f>
        <v>0.21134985460042363</v>
      </c>
      <c r="D52" s="1618">
        <f>+D22/D13</f>
        <v>0.19833157320222575</v>
      </c>
      <c r="E52" s="61"/>
      <c r="F52" s="1618">
        <f>+C52-D52</f>
        <v>1.3018281398197884E-2</v>
      </c>
      <c r="G52" s="1433"/>
      <c r="H52" s="61"/>
      <c r="I52" s="1618">
        <f>+I22/I13</f>
        <v>0.20529016504229997</v>
      </c>
      <c r="J52" s="1103"/>
      <c r="K52" s="452"/>
      <c r="L52" s="1252"/>
      <c r="N52" s="1404"/>
      <c r="O52" s="1404"/>
      <c r="S52" s="2"/>
      <c r="T52" s="2"/>
      <c r="U52" s="2"/>
      <c r="V52" s="2"/>
      <c r="W52" s="2"/>
      <c r="X52" s="2"/>
      <c r="Y52" s="2"/>
      <c r="Z52" s="2"/>
      <c r="AA52" s="2"/>
      <c r="AB52" s="2"/>
      <c r="AC52" s="2"/>
      <c r="AD52" s="2"/>
      <c r="AE52" s="2"/>
      <c r="AF52" s="2"/>
      <c r="AG52" s="2"/>
      <c r="AH52" s="2"/>
      <c r="AI52" s="2"/>
      <c r="AJ52" s="2"/>
      <c r="AK52" s="2"/>
      <c r="AL52" s="2"/>
      <c r="AM52" s="2"/>
      <c r="AN52" s="2"/>
      <c r="AO52" s="2"/>
      <c r="AP52" s="2"/>
    </row>
    <row r="53" spans="1:42" ht="12.75" customHeight="1">
      <c r="A53" s="1"/>
      <c r="B53" s="2"/>
      <c r="C53" s="1241"/>
      <c r="D53" s="1241"/>
      <c r="E53" s="61"/>
      <c r="F53" s="374"/>
      <c r="G53" s="95"/>
      <c r="H53" s="61"/>
      <c r="I53" s="1434"/>
      <c r="J53" s="1103"/>
      <c r="K53" s="1241"/>
      <c r="L53" s="1204"/>
      <c r="O53" s="1143"/>
    </row>
    <row r="54" spans="1:42" ht="4.5" customHeight="1">
      <c r="A54" s="2"/>
      <c r="B54" s="2"/>
      <c r="C54" s="61"/>
      <c r="D54" s="77"/>
      <c r="E54" s="61"/>
      <c r="F54" s="61"/>
      <c r="G54" s="61"/>
      <c r="H54" s="61"/>
      <c r="I54" s="61"/>
      <c r="J54" s="2"/>
      <c r="K54" s="2"/>
      <c r="L54" s="2"/>
      <c r="O54" s="2"/>
    </row>
    <row r="55" spans="1:42" ht="6" customHeight="1">
      <c r="A55" s="2"/>
      <c r="B55" s="2"/>
      <c r="C55" s="2"/>
      <c r="D55" s="1062"/>
      <c r="E55" s="2"/>
      <c r="F55" s="2"/>
      <c r="G55" s="2"/>
      <c r="H55" s="2"/>
      <c r="I55" s="2"/>
      <c r="J55" s="2"/>
      <c r="K55" s="2"/>
      <c r="L55" s="2"/>
      <c r="O55" s="2"/>
    </row>
    <row r="56" spans="1:42" ht="12.75" customHeight="1">
      <c r="A56" s="2"/>
      <c r="B56" s="2"/>
      <c r="C56" s="2"/>
      <c r="D56" s="1062"/>
      <c r="E56" s="2"/>
      <c r="F56" s="2"/>
      <c r="G56" s="2"/>
      <c r="H56" s="2"/>
      <c r="I56" s="2"/>
      <c r="J56" s="2"/>
      <c r="K56" s="2"/>
      <c r="L56" s="2"/>
      <c r="O56" s="2"/>
    </row>
    <row r="57" spans="1:42" ht="12.75" customHeight="1">
      <c r="A57" s="2"/>
      <c r="B57" s="2"/>
      <c r="C57" s="2"/>
      <c r="D57" s="1062"/>
      <c r="E57" s="2"/>
      <c r="F57" s="2"/>
      <c r="G57" s="2"/>
      <c r="H57" s="2"/>
      <c r="I57" s="2"/>
      <c r="J57" s="2"/>
      <c r="K57" s="2"/>
      <c r="L57" s="2"/>
      <c r="O57" s="2"/>
    </row>
    <row r="58" spans="1:42" ht="12.75" customHeight="1">
      <c r="A58" s="2"/>
      <c r="B58" s="2"/>
      <c r="C58" s="2"/>
      <c r="D58" s="1062"/>
      <c r="E58" s="2"/>
      <c r="F58" s="2"/>
      <c r="G58" s="2"/>
      <c r="H58" s="2"/>
      <c r="I58" s="2"/>
      <c r="J58" s="2"/>
      <c r="K58" s="2"/>
      <c r="L58" s="2"/>
      <c r="O58" s="2"/>
    </row>
    <row r="59" spans="1:42" ht="12.75" customHeight="1">
      <c r="A59" s="2"/>
      <c r="B59" s="2"/>
      <c r="C59" s="2"/>
      <c r="D59" s="1062"/>
      <c r="E59" s="2"/>
      <c r="F59" s="2"/>
      <c r="G59" s="2"/>
      <c r="H59" s="2"/>
      <c r="I59" s="2"/>
      <c r="J59" s="2"/>
      <c r="K59" s="2"/>
      <c r="L59" s="2"/>
      <c r="O59" s="2"/>
    </row>
    <row r="60" spans="1:42" ht="12.75" customHeight="1">
      <c r="A60" s="2"/>
      <c r="B60" s="2"/>
      <c r="C60" s="2"/>
      <c r="D60" s="1062"/>
      <c r="E60" s="2"/>
      <c r="F60" s="2"/>
      <c r="G60" s="2"/>
      <c r="H60" s="2"/>
      <c r="I60" s="2"/>
      <c r="J60" s="2"/>
      <c r="K60" s="2"/>
      <c r="L60" s="2"/>
      <c r="O60" s="2"/>
    </row>
    <row r="61" spans="1:42" ht="12.75" customHeight="1">
      <c r="A61" s="2"/>
      <c r="B61" s="2"/>
      <c r="C61" s="2"/>
      <c r="D61" s="1062"/>
      <c r="E61" s="2"/>
      <c r="F61" s="2"/>
      <c r="G61" s="2"/>
      <c r="H61" s="2"/>
      <c r="I61" s="2"/>
      <c r="J61" s="2"/>
      <c r="K61" s="2"/>
      <c r="L61" s="2"/>
      <c r="N61" s="69" t="s">
        <v>318</v>
      </c>
      <c r="P61" s="2"/>
      <c r="Q61" s="2"/>
      <c r="R61" s="2"/>
    </row>
    <row r="62" spans="1:42" ht="12.75" customHeight="1">
      <c r="A62" s="2"/>
      <c r="B62" s="2"/>
      <c r="C62" s="2"/>
      <c r="D62" s="1062"/>
      <c r="E62" s="2"/>
      <c r="F62" s="2"/>
      <c r="G62" s="2"/>
      <c r="H62" s="2"/>
      <c r="I62" s="2"/>
      <c r="J62" s="2"/>
      <c r="K62" s="2"/>
      <c r="L62" s="2"/>
      <c r="N62" s="2" t="s">
        <v>319</v>
      </c>
      <c r="O62" s="2" t="s">
        <v>320</v>
      </c>
      <c r="P62" s="2" t="s">
        <v>321</v>
      </c>
      <c r="Q62" s="98">
        <v>62.5</v>
      </c>
      <c r="R62" s="98"/>
    </row>
    <row r="63" spans="1:42" ht="12.75" customHeight="1">
      <c r="A63" s="2"/>
      <c r="B63" s="2"/>
      <c r="C63" s="2"/>
      <c r="D63" s="1062"/>
      <c r="E63" s="2"/>
      <c r="F63" s="2"/>
      <c r="G63" s="2"/>
      <c r="H63" s="2"/>
      <c r="I63" s="2"/>
      <c r="J63" s="2"/>
      <c r="K63" s="2"/>
      <c r="L63" s="2"/>
      <c r="N63" s="2"/>
      <c r="O63" s="2" t="s">
        <v>322</v>
      </c>
      <c r="P63" s="2" t="s">
        <v>321</v>
      </c>
      <c r="Q63" s="98">
        <v>87.5</v>
      </c>
      <c r="R63" s="98"/>
    </row>
    <row r="64" spans="1:42" ht="12.75" customHeight="1">
      <c r="A64" s="2"/>
      <c r="B64" s="2"/>
      <c r="C64" s="2"/>
      <c r="D64" s="1062"/>
      <c r="E64" s="2"/>
      <c r="F64" s="2"/>
      <c r="G64" s="2"/>
      <c r="H64" s="2"/>
      <c r="I64" s="2"/>
      <c r="J64" s="2"/>
      <c r="K64" s="2"/>
      <c r="L64" s="2"/>
      <c r="N64" s="2"/>
      <c r="O64" s="2" t="s">
        <v>323</v>
      </c>
      <c r="P64" s="2" t="s">
        <v>321</v>
      </c>
      <c r="Q64" s="98">
        <v>100</v>
      </c>
      <c r="R64" s="98"/>
    </row>
    <row r="65" spans="1:42" ht="12.75" customHeight="1">
      <c r="A65" s="2"/>
      <c r="B65" s="2"/>
      <c r="C65" s="2"/>
      <c r="D65" s="1062"/>
      <c r="E65" s="2"/>
      <c r="F65" s="2"/>
      <c r="G65" s="2"/>
      <c r="H65" s="2"/>
      <c r="I65" s="2"/>
      <c r="J65" s="2"/>
      <c r="K65" s="2"/>
      <c r="L65" s="2"/>
      <c r="N65" s="2"/>
      <c r="O65" s="2" t="s">
        <v>324</v>
      </c>
      <c r="P65" s="2" t="s">
        <v>321</v>
      </c>
      <c r="Q65" s="98">
        <v>112.5</v>
      </c>
      <c r="R65" s="98"/>
    </row>
    <row r="66" spans="1:42" ht="12.75" customHeight="1">
      <c r="A66" s="2"/>
      <c r="B66" s="2"/>
      <c r="C66" s="2"/>
      <c r="D66" s="1062"/>
      <c r="E66" s="2"/>
      <c r="F66" s="2"/>
      <c r="G66" s="2"/>
      <c r="H66" s="2"/>
      <c r="I66" s="2"/>
      <c r="J66" s="2"/>
      <c r="K66" s="2"/>
      <c r="L66" s="2"/>
      <c r="N66" s="2"/>
      <c r="O66" s="2" t="s">
        <v>325</v>
      </c>
      <c r="P66" s="2" t="s">
        <v>321</v>
      </c>
      <c r="Q66" s="98">
        <v>137.5</v>
      </c>
      <c r="R66" s="98"/>
    </row>
    <row r="67" spans="1:42" ht="12.75" customHeight="1">
      <c r="A67" s="2"/>
      <c r="B67" s="2"/>
      <c r="C67" s="2"/>
      <c r="D67" s="1062"/>
      <c r="E67" s="2"/>
      <c r="F67" s="2"/>
      <c r="G67" s="2"/>
      <c r="H67" s="2"/>
      <c r="I67" s="2"/>
      <c r="J67" s="2"/>
      <c r="K67" s="2"/>
      <c r="L67" s="2"/>
      <c r="N67" s="2"/>
      <c r="O67" s="2" t="s">
        <v>326</v>
      </c>
      <c r="P67" s="2" t="s">
        <v>321</v>
      </c>
      <c r="Q67" s="98">
        <v>162.5</v>
      </c>
      <c r="R67" s="98"/>
      <c r="Z67">
        <v>90</v>
      </c>
      <c r="AA67">
        <v>95</v>
      </c>
    </row>
    <row r="68" spans="1:42" ht="12.75" customHeight="1">
      <c r="A68" s="2"/>
      <c r="B68" s="2"/>
      <c r="C68" s="2"/>
      <c r="D68" s="1062"/>
      <c r="E68" s="2"/>
      <c r="F68" s="2"/>
      <c r="G68" s="2"/>
      <c r="H68" s="2"/>
      <c r="I68" s="2"/>
      <c r="J68" s="2"/>
      <c r="K68" s="2"/>
      <c r="L68" s="2"/>
      <c r="O68" s="2"/>
      <c r="S68" s="2"/>
      <c r="T68" s="2"/>
      <c r="U68" s="2"/>
      <c r="V68" s="2"/>
      <c r="W68" s="2"/>
      <c r="X68" s="2"/>
      <c r="Y68" s="2"/>
      <c r="Z68" s="2">
        <v>33</v>
      </c>
      <c r="AA68" s="2">
        <v>35</v>
      </c>
      <c r="AB68" s="2"/>
      <c r="AC68" s="2"/>
      <c r="AD68" s="2"/>
      <c r="AE68" s="2"/>
      <c r="AF68" s="2"/>
      <c r="AG68" s="2"/>
      <c r="AH68" s="2"/>
      <c r="AI68" s="2"/>
      <c r="AJ68" s="2"/>
      <c r="AK68" s="2"/>
      <c r="AL68" s="2"/>
      <c r="AM68" s="2"/>
      <c r="AN68" s="2"/>
      <c r="AO68" s="2"/>
      <c r="AP68" s="2"/>
    </row>
    <row r="69" spans="1:42" ht="12.75" customHeight="1">
      <c r="A69" s="2"/>
      <c r="B69" s="2"/>
      <c r="C69" s="2"/>
      <c r="D69" s="1062"/>
      <c r="E69" s="2"/>
      <c r="F69" s="2"/>
      <c r="G69" s="2"/>
      <c r="H69" s="2"/>
      <c r="I69" s="2"/>
      <c r="J69" s="2"/>
      <c r="K69" s="2"/>
      <c r="L69" s="2"/>
      <c r="O69" s="2"/>
      <c r="S69" s="2"/>
      <c r="T69" s="2"/>
      <c r="U69" s="2"/>
      <c r="V69" s="2"/>
      <c r="W69" s="2"/>
      <c r="X69" s="2"/>
      <c r="Y69" s="2"/>
      <c r="Z69" s="2">
        <f>+Z67+Z68</f>
        <v>123</v>
      </c>
      <c r="AA69" s="2">
        <f>+AA67+AA68</f>
        <v>130</v>
      </c>
      <c r="AB69" s="2"/>
      <c r="AC69" s="2"/>
      <c r="AD69" s="2"/>
      <c r="AE69" s="2"/>
      <c r="AF69" s="2"/>
      <c r="AG69" s="2"/>
      <c r="AH69" s="2"/>
      <c r="AI69" s="2"/>
      <c r="AJ69" s="2"/>
      <c r="AK69" s="2"/>
      <c r="AL69" s="2"/>
      <c r="AM69" s="2"/>
      <c r="AN69" s="2"/>
      <c r="AO69" s="2"/>
      <c r="AP69" s="2"/>
    </row>
    <row r="70" spans="1:42" ht="12.75" customHeight="1">
      <c r="A70" s="2"/>
      <c r="B70" s="2"/>
      <c r="C70" s="2"/>
      <c r="D70" s="1062"/>
      <c r="E70" s="2"/>
      <c r="F70" s="2"/>
      <c r="G70" s="2"/>
      <c r="H70" s="2"/>
      <c r="I70" s="2"/>
      <c r="J70" s="2"/>
      <c r="K70" s="2"/>
      <c r="L70" s="2"/>
      <c r="O70" s="2"/>
      <c r="S70" s="1" t="s">
        <v>1140</v>
      </c>
      <c r="T70" s="1"/>
      <c r="U70" s="2"/>
      <c r="V70" s="2"/>
      <c r="W70" s="2"/>
      <c r="X70" s="2"/>
      <c r="Y70" s="2"/>
      <c r="Z70" s="2"/>
      <c r="AA70" s="2"/>
      <c r="AB70" s="2"/>
      <c r="AC70" s="2"/>
      <c r="AD70" s="2"/>
      <c r="AE70" s="2"/>
      <c r="AF70" s="2"/>
      <c r="AG70" s="2"/>
      <c r="AH70" s="2"/>
      <c r="AI70" s="2"/>
      <c r="AJ70" s="2"/>
      <c r="AK70" s="2"/>
      <c r="AL70" s="2"/>
      <c r="AM70" s="2"/>
      <c r="AN70" s="2"/>
      <c r="AO70" s="2"/>
      <c r="AP70" s="2"/>
    </row>
    <row r="71" spans="1:42" ht="12.75" customHeight="1">
      <c r="A71" s="2"/>
      <c r="B71" s="2"/>
      <c r="C71" s="2"/>
      <c r="D71" s="1062"/>
      <c r="E71" s="2"/>
      <c r="F71" s="2"/>
      <c r="G71" s="2"/>
      <c r="H71" s="2"/>
      <c r="I71" s="2"/>
      <c r="J71" s="2"/>
      <c r="K71" s="2"/>
      <c r="L71" s="2"/>
      <c r="O71" s="2"/>
      <c r="S71" s="1"/>
      <c r="T71" s="1"/>
      <c r="U71" s="2"/>
      <c r="V71" s="2"/>
      <c r="W71" s="2"/>
      <c r="X71" s="2"/>
      <c r="Y71" s="2"/>
      <c r="Z71" s="2"/>
      <c r="AA71" s="2"/>
      <c r="AB71" s="2"/>
      <c r="AC71" s="2"/>
      <c r="AD71" s="2"/>
      <c r="AE71" s="2"/>
      <c r="AF71" s="2"/>
      <c r="AG71" s="2"/>
      <c r="AH71" s="2"/>
      <c r="AI71" s="2"/>
      <c r="AJ71" s="2"/>
      <c r="AK71" s="2"/>
      <c r="AL71" s="2"/>
      <c r="AM71" s="2"/>
      <c r="AN71" s="2"/>
      <c r="AO71" s="2"/>
      <c r="AP71" s="2"/>
    </row>
    <row r="72" spans="1:42" ht="12.75" customHeight="1">
      <c r="A72" s="2"/>
      <c r="B72" s="2"/>
      <c r="C72" s="2"/>
      <c r="D72" s="1062"/>
      <c r="E72" s="2"/>
      <c r="F72" s="2"/>
      <c r="G72" s="2"/>
      <c r="H72" s="2"/>
      <c r="I72" s="2"/>
      <c r="J72" s="2"/>
      <c r="K72" s="2"/>
      <c r="L72" s="2"/>
      <c r="O72" s="2"/>
      <c r="S72" s="2" t="s">
        <v>1144</v>
      </c>
      <c r="T72" s="2"/>
      <c r="U72" s="2"/>
      <c r="V72" s="2"/>
      <c r="W72" s="2"/>
      <c r="X72" s="2"/>
      <c r="Y72" s="2"/>
      <c r="Z72" s="2"/>
      <c r="AA72" s="2"/>
      <c r="AB72" s="2"/>
      <c r="AC72" s="2"/>
      <c r="AD72" s="2"/>
      <c r="AE72" s="2"/>
      <c r="AF72" s="2"/>
      <c r="AG72" s="2"/>
      <c r="AH72" s="2"/>
      <c r="AI72" s="2"/>
      <c r="AJ72" s="2"/>
      <c r="AK72" s="2"/>
      <c r="AL72" s="2"/>
      <c r="AM72" s="2"/>
      <c r="AN72" s="2"/>
      <c r="AO72" s="2"/>
      <c r="AP72" s="2"/>
    </row>
    <row r="73" spans="1:42" ht="12.75" customHeight="1">
      <c r="A73" s="2"/>
      <c r="B73" s="2"/>
      <c r="C73" s="2"/>
      <c r="D73" s="1062"/>
      <c r="E73" s="2"/>
      <c r="F73" s="2"/>
      <c r="G73" s="2"/>
      <c r="H73" s="2"/>
      <c r="I73" s="2"/>
      <c r="J73" s="2"/>
      <c r="K73" s="2"/>
      <c r="L73" s="2"/>
      <c r="O73" s="2"/>
      <c r="S73" s="2"/>
      <c r="T73" s="2"/>
      <c r="U73" s="2"/>
      <c r="V73" s="2"/>
      <c r="W73" s="2"/>
      <c r="X73" s="2"/>
      <c r="Y73" s="2"/>
      <c r="Z73" s="2"/>
      <c r="AA73" s="2"/>
      <c r="AB73" s="2"/>
      <c r="AC73" s="2"/>
      <c r="AD73" s="2"/>
      <c r="AE73" s="2"/>
      <c r="AF73" s="2"/>
      <c r="AG73" s="2"/>
      <c r="AH73" s="2"/>
      <c r="AI73" s="2"/>
      <c r="AJ73" s="2"/>
      <c r="AK73" s="2"/>
      <c r="AL73" s="2"/>
      <c r="AM73" s="2"/>
      <c r="AN73" s="2"/>
      <c r="AO73" s="2"/>
      <c r="AP73" s="2"/>
    </row>
    <row r="74" spans="1:42" ht="12.75" customHeight="1">
      <c r="A74" s="2"/>
      <c r="B74" s="2"/>
      <c r="C74" s="2"/>
      <c r="D74" s="1062"/>
      <c r="E74" s="2"/>
      <c r="F74" s="2"/>
      <c r="G74" s="2"/>
      <c r="H74" s="2"/>
      <c r="I74" s="2"/>
      <c r="J74" s="2"/>
      <c r="K74" s="2"/>
      <c r="L74" s="2"/>
      <c r="O74" s="2"/>
      <c r="S74" s="2"/>
      <c r="T74" s="2"/>
      <c r="U74" s="1197" t="s">
        <v>54</v>
      </c>
      <c r="V74" s="1197"/>
      <c r="W74" s="1197"/>
      <c r="X74" s="1196"/>
      <c r="Y74" s="1196"/>
      <c r="Z74" s="2"/>
      <c r="AA74" s="2"/>
      <c r="AB74" s="2"/>
      <c r="AC74" s="2"/>
      <c r="AD74" s="2"/>
      <c r="AE74" s="2"/>
      <c r="AF74" s="2"/>
      <c r="AG74" s="2"/>
      <c r="AH74" s="2"/>
      <c r="AI74" s="2"/>
      <c r="AJ74" s="2"/>
      <c r="AK74" s="2"/>
      <c r="AL74" s="2"/>
      <c r="AM74" s="2"/>
      <c r="AN74" s="2"/>
      <c r="AO74" s="2"/>
      <c r="AP74" s="2"/>
    </row>
    <row r="75" spans="1:42" ht="12.75" customHeight="1">
      <c r="A75" s="2"/>
      <c r="B75" s="2"/>
      <c r="C75" s="2"/>
      <c r="D75" s="1062"/>
      <c r="E75" s="2"/>
      <c r="F75" s="2"/>
      <c r="G75" s="2"/>
      <c r="H75" s="2"/>
      <c r="I75" s="2"/>
      <c r="J75" s="2"/>
      <c r="K75" s="2"/>
      <c r="L75" s="2"/>
      <c r="O75" s="2"/>
      <c r="S75" s="69"/>
      <c r="T75" s="69"/>
      <c r="U75" s="1289" t="s">
        <v>1142</v>
      </c>
      <c r="V75" s="1289"/>
      <c r="W75" s="1289" t="s">
        <v>1143</v>
      </c>
      <c r="X75" s="1289"/>
      <c r="Y75" s="1289" t="s">
        <v>829</v>
      </c>
      <c r="Z75" s="2"/>
      <c r="AA75" s="2"/>
      <c r="AB75" s="2"/>
      <c r="AC75" s="2"/>
      <c r="AD75" s="2"/>
      <c r="AE75" s="2"/>
      <c r="AF75" s="2"/>
      <c r="AG75" s="2"/>
      <c r="AH75" s="2"/>
      <c r="AI75" s="2"/>
      <c r="AJ75" s="2"/>
      <c r="AK75" s="2"/>
      <c r="AL75" s="2"/>
      <c r="AM75" s="2"/>
      <c r="AN75" s="2"/>
      <c r="AO75" s="2"/>
      <c r="AP75" s="2"/>
    </row>
    <row r="76" spans="1:42" ht="12.75" customHeight="1">
      <c r="A76" s="2"/>
      <c r="B76" s="2"/>
      <c r="C76" s="2"/>
      <c r="D76" s="1062"/>
      <c r="E76" s="2"/>
      <c r="F76" s="2"/>
      <c r="G76" s="2"/>
      <c r="H76" s="2"/>
      <c r="I76" s="2"/>
      <c r="J76" s="2"/>
      <c r="K76" s="2"/>
      <c r="L76" s="2"/>
      <c r="O76" s="2"/>
      <c r="S76" s="2" t="s">
        <v>935</v>
      </c>
      <c r="T76" s="2"/>
      <c r="U76" s="1102">
        <f>+BYD!AV21</f>
        <v>2482.8190000000004</v>
      </c>
      <c r="V76" s="98"/>
      <c r="W76" s="1102">
        <v>2468.3983692560482</v>
      </c>
      <c r="X76" s="98"/>
      <c r="Y76" s="105">
        <f>+U76/W76-1</f>
        <v>5.8421002555995027E-3</v>
      </c>
      <c r="Z76" s="2"/>
      <c r="AA76" s="2"/>
      <c r="AB76" s="2"/>
      <c r="AC76" s="2"/>
      <c r="AD76" s="2"/>
      <c r="AE76" s="2"/>
      <c r="AF76" s="2"/>
      <c r="AG76" s="2"/>
      <c r="AH76" s="2"/>
      <c r="AI76" s="2"/>
      <c r="AJ76" s="2"/>
      <c r="AK76" s="2"/>
      <c r="AL76" s="2"/>
      <c r="AM76" s="2"/>
      <c r="AN76" s="2"/>
      <c r="AO76" s="2"/>
      <c r="AP76" s="2"/>
    </row>
    <row r="77" spans="1:42" ht="12.75" customHeight="1">
      <c r="A77" s="2"/>
      <c r="B77" s="2"/>
      <c r="C77" s="2"/>
      <c r="D77" s="1062"/>
      <c r="E77" s="2"/>
      <c r="F77" s="2"/>
      <c r="G77" s="2"/>
      <c r="H77" s="2"/>
      <c r="I77" s="2"/>
      <c r="J77" s="2"/>
      <c r="K77" s="2"/>
      <c r="L77" s="2"/>
      <c r="O77" s="2"/>
      <c r="S77" s="2" t="s">
        <v>1141</v>
      </c>
      <c r="T77" s="2"/>
      <c r="U77" s="1102">
        <f>+BYD!AV51</f>
        <v>492.05100000000004</v>
      </c>
      <c r="V77" s="98"/>
      <c r="W77" s="1102">
        <v>552.51656262854067</v>
      </c>
      <c r="X77" s="98"/>
      <c r="Y77" s="105">
        <f>+U77/W77-1</f>
        <v>-0.10943665171027983</v>
      </c>
      <c r="Z77" s="2"/>
      <c r="AA77" s="2"/>
      <c r="AB77" s="2"/>
      <c r="AC77" s="2"/>
      <c r="AD77" s="2"/>
      <c r="AE77" s="2"/>
      <c r="AF77" s="2"/>
      <c r="AG77" s="2"/>
      <c r="AH77" s="2"/>
      <c r="AI77" s="2"/>
      <c r="AJ77" s="2"/>
      <c r="AK77" s="2"/>
      <c r="AL77" s="2"/>
      <c r="AM77" s="2"/>
      <c r="AN77" s="2"/>
      <c r="AO77" s="2"/>
      <c r="AP77" s="2"/>
    </row>
    <row r="78" spans="1:42" ht="12.75" customHeight="1">
      <c r="A78" s="2"/>
      <c r="B78" s="2"/>
      <c r="C78" s="2"/>
      <c r="D78" s="1062"/>
      <c r="E78" s="2"/>
      <c r="F78" s="2"/>
      <c r="G78" s="2"/>
      <c r="H78" s="2"/>
      <c r="I78" s="2"/>
      <c r="J78" s="2"/>
      <c r="K78" s="2"/>
      <c r="L78" s="2"/>
      <c r="O78" s="2"/>
      <c r="S78" s="2" t="s">
        <v>200</v>
      </c>
      <c r="T78" s="2"/>
      <c r="U78" s="1401">
        <f>+BYD!AV95</f>
        <v>-0.27977684479532566</v>
      </c>
      <c r="V78" s="1336"/>
      <c r="W78" s="1401">
        <v>0.29476081769725809</v>
      </c>
      <c r="X78" s="1336"/>
      <c r="Y78" s="105">
        <f>+U78/W78-1</f>
        <v>-1.9491656556696009</v>
      </c>
      <c r="Z78" s="2"/>
      <c r="AA78" s="2"/>
      <c r="AB78" s="2"/>
      <c r="AC78" s="2"/>
      <c r="AD78" s="2"/>
      <c r="AE78" s="2"/>
      <c r="AF78" s="2"/>
      <c r="AG78" s="2"/>
      <c r="AH78" s="2"/>
      <c r="AI78" s="2"/>
      <c r="AJ78" s="2"/>
      <c r="AK78" s="2"/>
      <c r="AL78" s="2"/>
      <c r="AM78" s="2"/>
      <c r="AN78" s="2"/>
      <c r="AO78" s="2"/>
      <c r="AP78" s="2"/>
    </row>
    <row r="79" spans="1:42" ht="12.75" customHeight="1">
      <c r="A79" s="2"/>
      <c r="B79" s="2"/>
      <c r="C79" s="2"/>
      <c r="D79" s="1062"/>
      <c r="E79" s="2"/>
      <c r="F79" s="2"/>
      <c r="G79" s="2"/>
      <c r="H79" s="2"/>
      <c r="I79" s="2"/>
      <c r="J79" s="2"/>
      <c r="K79" s="2"/>
      <c r="L79" s="2"/>
      <c r="O79" s="2"/>
      <c r="S79" s="2"/>
      <c r="T79" s="2"/>
      <c r="U79" s="2"/>
      <c r="V79" s="2"/>
      <c r="W79" s="2"/>
      <c r="X79" s="2"/>
      <c r="Y79" s="2"/>
      <c r="Z79" s="2"/>
      <c r="AA79" s="2"/>
      <c r="AB79" s="2"/>
      <c r="AC79" s="2"/>
      <c r="AD79" s="2"/>
      <c r="AE79" s="2"/>
      <c r="AF79" s="2"/>
      <c r="AG79" s="2"/>
      <c r="AH79" s="2"/>
      <c r="AI79" s="2"/>
      <c r="AJ79" s="2"/>
      <c r="AK79" s="2"/>
      <c r="AL79" s="2"/>
      <c r="AM79" s="2"/>
      <c r="AN79" s="2"/>
      <c r="AO79" s="2"/>
      <c r="AP79" s="2"/>
    </row>
    <row r="80" spans="1:42" ht="12.75" customHeight="1">
      <c r="A80" s="2"/>
      <c r="B80" s="2"/>
      <c r="C80" s="2"/>
      <c r="D80" s="1062"/>
      <c r="E80" s="2"/>
      <c r="F80" s="2"/>
      <c r="G80" s="2"/>
      <c r="H80" s="2"/>
      <c r="I80" s="2"/>
      <c r="J80" s="2"/>
      <c r="K80" s="2"/>
      <c r="L80" s="2"/>
      <c r="O80" s="2"/>
      <c r="S80" s="2"/>
      <c r="T80" s="2"/>
      <c r="U80" s="2"/>
      <c r="V80" s="2"/>
      <c r="W80" s="2"/>
      <c r="X80" s="2"/>
      <c r="Y80" s="2"/>
      <c r="Z80" s="2"/>
      <c r="AA80" s="1" t="s">
        <v>1646</v>
      </c>
      <c r="AB80" s="2"/>
      <c r="AC80" s="2"/>
      <c r="AD80" s="2"/>
      <c r="AE80" s="2"/>
      <c r="AF80" s="105"/>
      <c r="AG80" s="2"/>
      <c r="AH80" s="2"/>
      <c r="AI80" s="2"/>
      <c r="AJ80" s="2"/>
      <c r="AK80" s="2"/>
      <c r="AL80" s="2"/>
      <c r="AM80" s="2"/>
      <c r="AN80" s="2"/>
      <c r="AO80" s="2"/>
      <c r="AP80" s="2"/>
    </row>
    <row r="81" spans="1:42" ht="12.75" customHeight="1">
      <c r="A81" s="2"/>
      <c r="B81" s="2"/>
      <c r="C81" s="2"/>
      <c r="D81" s="1062"/>
      <c r="E81" s="2"/>
      <c r="F81" s="2"/>
      <c r="G81" s="2"/>
      <c r="H81" s="2"/>
      <c r="I81" s="2"/>
      <c r="J81" s="2"/>
      <c r="K81" s="2"/>
      <c r="L81" s="2"/>
      <c r="O81" s="2"/>
      <c r="S81" s="2"/>
      <c r="T81" s="2"/>
      <c r="U81" s="2"/>
      <c r="V81" s="2"/>
      <c r="W81" s="2"/>
      <c r="X81" s="2"/>
      <c r="Y81" s="2"/>
      <c r="Z81" s="2"/>
      <c r="AA81" s="2"/>
      <c r="AB81" s="2"/>
      <c r="AC81" s="2"/>
      <c r="AD81" s="2"/>
      <c r="AE81" s="2"/>
      <c r="AF81" s="105"/>
      <c r="AG81" s="2"/>
      <c r="AH81" s="2"/>
      <c r="AI81" s="2"/>
      <c r="AJ81" s="2"/>
      <c r="AK81" s="2"/>
      <c r="AL81" s="2"/>
      <c r="AM81" s="2"/>
      <c r="AN81" s="2"/>
      <c r="AO81" s="2"/>
      <c r="AP81" s="2"/>
    </row>
    <row r="82" spans="1:42" ht="12.75" customHeight="1">
      <c r="A82" s="2"/>
      <c r="B82" s="2"/>
      <c r="C82" s="2"/>
      <c r="D82" s="1062"/>
      <c r="E82" s="2"/>
      <c r="F82" s="2"/>
      <c r="G82" s="2"/>
      <c r="H82" s="2"/>
      <c r="I82" s="2"/>
      <c r="J82" s="2"/>
      <c r="K82" s="2"/>
      <c r="L82" s="2"/>
      <c r="O82" s="2"/>
      <c r="S82" s="2"/>
      <c r="T82" s="2"/>
      <c r="U82" s="2"/>
      <c r="V82" s="2"/>
      <c r="W82" s="2"/>
      <c r="X82" s="2"/>
      <c r="Y82" s="2"/>
      <c r="Z82" s="2"/>
      <c r="AA82" s="2"/>
      <c r="AB82" s="1432" t="s">
        <v>1647</v>
      </c>
      <c r="AC82" s="1432"/>
      <c r="AD82" s="1432" t="s">
        <v>727</v>
      </c>
      <c r="AE82" s="1432"/>
      <c r="AF82" s="1432">
        <v>2012</v>
      </c>
      <c r="AG82" s="2"/>
      <c r="AH82" s="2"/>
      <c r="AI82" s="2">
        <f>34.5+75.5</f>
        <v>110</v>
      </c>
      <c r="AJ82" s="2"/>
      <c r="AK82" s="2"/>
      <c r="AL82" s="2"/>
      <c r="AM82" s="2"/>
      <c r="AN82" s="2"/>
      <c r="AO82" s="2"/>
      <c r="AP82" s="2"/>
    </row>
    <row r="83" spans="1:42" ht="12.75" customHeight="1">
      <c r="A83" s="2"/>
      <c r="B83" s="2"/>
      <c r="C83" s="2"/>
      <c r="D83" s="1062"/>
      <c r="E83" s="2"/>
      <c r="F83" s="2"/>
      <c r="G83" s="2"/>
      <c r="H83" s="2"/>
      <c r="I83" s="2"/>
      <c r="J83" s="2"/>
      <c r="K83" s="2"/>
      <c r="L83" s="2"/>
      <c r="O83" s="2"/>
      <c r="S83" s="2"/>
      <c r="T83" s="2"/>
      <c r="U83" s="2"/>
      <c r="V83" s="2"/>
      <c r="W83" s="2"/>
      <c r="X83" s="2"/>
      <c r="Y83" s="2"/>
      <c r="Z83" s="2"/>
      <c r="AA83" s="2" t="s">
        <v>1719</v>
      </c>
      <c r="AB83" s="1423">
        <v>626</v>
      </c>
      <c r="AC83" s="1082"/>
      <c r="AD83" s="1423">
        <v>624</v>
      </c>
      <c r="AE83" s="1423"/>
      <c r="AF83" s="1423">
        <v>2483.9</v>
      </c>
      <c r="AG83" s="2"/>
      <c r="AH83" s="2"/>
      <c r="AI83" s="2">
        <f>78+37</f>
        <v>115</v>
      </c>
      <c r="AJ83" s="2"/>
      <c r="AK83" s="2"/>
      <c r="AL83" s="2"/>
      <c r="AM83" s="2"/>
      <c r="AN83" s="2"/>
      <c r="AO83" s="2"/>
      <c r="AP83" s="2"/>
    </row>
    <row r="84" spans="1:42" ht="12.75" customHeight="1">
      <c r="A84" s="2"/>
      <c r="B84" s="2"/>
      <c r="C84" s="2"/>
      <c r="D84" s="1062"/>
      <c r="E84" s="2"/>
      <c r="F84" s="2"/>
      <c r="G84" s="2"/>
      <c r="H84" s="2"/>
      <c r="I84" s="2"/>
      <c r="J84" s="2"/>
      <c r="K84" s="2"/>
      <c r="L84" s="2"/>
      <c r="O84" s="2"/>
      <c r="S84" s="2"/>
      <c r="T84" s="2"/>
      <c r="U84" s="2"/>
      <c r="V84" s="2"/>
      <c r="W84" s="2"/>
      <c r="X84" s="2"/>
      <c r="Y84" s="2"/>
      <c r="Z84" s="2"/>
      <c r="AA84" s="2" t="s">
        <v>401</v>
      </c>
      <c r="AB84" s="1423">
        <v>125.7</v>
      </c>
      <c r="AC84" s="1082"/>
      <c r="AD84" s="1423">
        <v>129.19999999999999</v>
      </c>
      <c r="AE84" s="1423"/>
      <c r="AF84" s="1423">
        <v>498.8</v>
      </c>
      <c r="AG84" s="2"/>
      <c r="AH84" s="2"/>
      <c r="AI84" s="2"/>
      <c r="AJ84" s="2"/>
      <c r="AK84" s="2"/>
      <c r="AL84" s="2"/>
      <c r="AM84" s="2"/>
      <c r="AN84" s="2"/>
      <c r="AO84" s="2"/>
      <c r="AP84" s="2"/>
    </row>
    <row r="85" spans="1:42" ht="12.75" customHeight="1">
      <c r="A85" s="2"/>
      <c r="B85" s="2"/>
      <c r="C85" s="2"/>
      <c r="D85" s="1062"/>
      <c r="E85" s="2"/>
      <c r="F85" s="2"/>
      <c r="G85" s="2"/>
      <c r="H85" s="2"/>
      <c r="I85" s="2"/>
      <c r="J85" s="2"/>
      <c r="K85" s="2"/>
      <c r="L85" s="2"/>
      <c r="O85" s="2"/>
      <c r="S85" s="2"/>
      <c r="T85" s="2"/>
      <c r="U85" s="2"/>
      <c r="V85" s="2"/>
      <c r="W85" s="2"/>
      <c r="X85" s="2"/>
      <c r="Y85" s="2"/>
      <c r="Z85" s="2"/>
      <c r="AA85" s="2" t="s">
        <v>200</v>
      </c>
      <c r="AB85" s="1068">
        <v>0.09</v>
      </c>
      <c r="AC85" s="1118"/>
      <c r="AD85" s="1068">
        <v>0.1</v>
      </c>
      <c r="AE85" s="1068"/>
      <c r="AF85" s="1068">
        <v>0.28000000000000003</v>
      </c>
      <c r="AG85" s="2"/>
      <c r="AH85" s="2"/>
      <c r="AI85" s="2"/>
      <c r="AJ85" s="2"/>
      <c r="AK85" s="2"/>
      <c r="AL85" s="2"/>
      <c r="AM85" s="2"/>
      <c r="AN85" s="2"/>
      <c r="AO85" s="2"/>
      <c r="AP85" s="2"/>
    </row>
    <row r="86" spans="1:42" ht="12.75" customHeight="1">
      <c r="A86" s="2"/>
      <c r="B86" s="2"/>
      <c r="C86" s="2"/>
      <c r="D86" s="1062"/>
      <c r="E86" s="2"/>
      <c r="F86" s="2"/>
      <c r="G86" s="2"/>
      <c r="H86" s="2"/>
      <c r="I86" s="2"/>
      <c r="J86" s="2"/>
      <c r="K86" s="2"/>
      <c r="L86" s="2"/>
      <c r="O86" s="2"/>
      <c r="S86" s="2"/>
      <c r="T86" s="2"/>
      <c r="U86" s="2"/>
      <c r="V86" s="2"/>
      <c r="W86" s="2"/>
      <c r="X86" s="2"/>
      <c r="Y86" s="2"/>
      <c r="Z86" s="2"/>
      <c r="AA86" s="2"/>
      <c r="AB86" s="2"/>
      <c r="AC86" s="2"/>
      <c r="AD86" s="2"/>
      <c r="AE86" s="2"/>
      <c r="AF86" s="2"/>
      <c r="AG86" s="2"/>
      <c r="AH86" s="2"/>
      <c r="AI86" s="2"/>
      <c r="AJ86" s="2"/>
      <c r="AK86" s="2"/>
      <c r="AL86" s="2"/>
      <c r="AM86" s="2"/>
      <c r="AN86" s="2"/>
      <c r="AO86" s="2"/>
      <c r="AP86" s="2"/>
    </row>
    <row r="87" spans="1:42" ht="12.75" customHeight="1">
      <c r="A87" s="2"/>
      <c r="B87" s="2"/>
      <c r="C87" s="2"/>
      <c r="D87" s="1062"/>
      <c r="E87" s="2"/>
      <c r="F87" s="2"/>
      <c r="G87" s="2"/>
      <c r="H87" s="2"/>
      <c r="I87" s="2"/>
      <c r="J87" s="2"/>
      <c r="K87" s="2"/>
      <c r="L87" s="2"/>
      <c r="O87" s="2"/>
      <c r="S87" s="2"/>
      <c r="T87" s="2"/>
      <c r="U87" s="2"/>
      <c r="V87" s="2"/>
      <c r="W87" s="2"/>
      <c r="X87" s="2"/>
      <c r="Y87" s="2"/>
      <c r="Z87" s="2"/>
      <c r="AA87" s="2"/>
      <c r="AB87" s="2"/>
      <c r="AC87" s="2"/>
      <c r="AD87" s="2"/>
      <c r="AE87" s="2"/>
      <c r="AF87" s="2"/>
      <c r="AG87" s="2"/>
      <c r="AH87" s="69" t="s">
        <v>778</v>
      </c>
      <c r="AP87" s="2"/>
    </row>
    <row r="88" spans="1:42" ht="12.75" customHeight="1">
      <c r="A88" s="2"/>
      <c r="B88" s="2"/>
      <c r="C88" s="2"/>
      <c r="D88" s="1062"/>
      <c r="E88" s="2"/>
      <c r="F88" s="2"/>
      <c r="G88" s="2"/>
      <c r="H88" s="2"/>
      <c r="I88" s="2"/>
      <c r="J88" s="2"/>
      <c r="K88" s="2"/>
      <c r="L88" s="2"/>
      <c r="O88" s="2"/>
      <c r="S88" s="2"/>
      <c r="T88" s="2"/>
      <c r="U88" s="2"/>
      <c r="V88" s="2"/>
      <c r="W88" s="2"/>
      <c r="X88" s="2"/>
      <c r="Y88" s="2"/>
      <c r="Z88" s="2"/>
      <c r="AA88" s="2"/>
      <c r="AB88" s="2"/>
      <c r="AC88" s="2"/>
      <c r="AD88" s="2"/>
      <c r="AE88" s="2"/>
      <c r="AF88" s="2"/>
      <c r="AG88" s="2"/>
      <c r="AH88" s="69"/>
      <c r="AP88" s="2"/>
    </row>
    <row r="89" spans="1:42" ht="12.75" customHeight="1">
      <c r="A89" s="2"/>
      <c r="B89" s="2"/>
      <c r="C89" s="2"/>
      <c r="D89" s="1062"/>
      <c r="E89" s="2"/>
      <c r="F89" s="2"/>
      <c r="G89" s="2"/>
      <c r="H89" s="2"/>
      <c r="I89" s="2"/>
      <c r="J89" s="2"/>
      <c r="K89" s="2"/>
      <c r="L89" s="2"/>
      <c r="O89" s="2"/>
      <c r="S89" s="2"/>
      <c r="T89" s="2"/>
      <c r="U89" s="2"/>
      <c r="V89" s="2"/>
      <c r="W89" s="2"/>
      <c r="X89" s="2"/>
      <c r="Y89" s="2"/>
      <c r="Z89" s="2"/>
      <c r="AA89" s="2"/>
      <c r="AB89" s="2"/>
      <c r="AC89" s="2"/>
      <c r="AD89" s="2"/>
      <c r="AE89" s="2"/>
      <c r="AF89" s="2"/>
      <c r="AG89" s="2"/>
      <c r="AH89" s="1447"/>
      <c r="AI89" s="1449"/>
      <c r="AJ89" s="1447"/>
      <c r="AK89" s="1447"/>
      <c r="AL89" s="1447"/>
      <c r="AM89" s="1447"/>
      <c r="AN89" s="1447"/>
      <c r="AO89" s="1447"/>
      <c r="AP89" s="2"/>
    </row>
    <row r="90" spans="1:42" ht="12.75" customHeight="1">
      <c r="A90" s="2"/>
      <c r="B90" s="2"/>
      <c r="C90" s="2"/>
      <c r="D90" s="1062"/>
      <c r="E90" s="2"/>
      <c r="F90" s="2"/>
      <c r="G90" s="2"/>
      <c r="H90" s="2"/>
      <c r="I90" s="2"/>
      <c r="J90" s="2"/>
      <c r="K90" s="2"/>
      <c r="L90" s="2"/>
      <c r="O90" s="2"/>
      <c r="S90" s="2"/>
      <c r="T90" s="2"/>
      <c r="U90" s="2"/>
      <c r="V90" s="2"/>
      <c r="W90" s="2"/>
      <c r="X90" s="2"/>
      <c r="Y90" s="2"/>
      <c r="Z90" s="2"/>
      <c r="AA90" s="2"/>
      <c r="AB90" s="2"/>
      <c r="AC90" s="2"/>
      <c r="AD90" s="2"/>
      <c r="AE90" s="2"/>
      <c r="AF90" s="2"/>
      <c r="AG90" s="2"/>
      <c r="AH90" s="111" t="s">
        <v>1610</v>
      </c>
      <c r="AI90" s="1289" t="s">
        <v>552</v>
      </c>
      <c r="AJ90" s="1448"/>
      <c r="AK90" s="1289" t="s">
        <v>1611</v>
      </c>
      <c r="AL90" s="1629"/>
      <c r="AM90" s="1629"/>
      <c r="AN90" s="1629"/>
      <c r="AO90" s="1629"/>
      <c r="AP90" s="2"/>
    </row>
    <row r="91" spans="1:42" ht="3" customHeight="1">
      <c r="A91" s="2"/>
      <c r="B91" s="2"/>
      <c r="C91" s="2"/>
      <c r="D91" s="1062"/>
      <c r="E91" s="2"/>
      <c r="F91" s="2"/>
      <c r="G91" s="2"/>
      <c r="H91" s="2"/>
      <c r="I91" s="2"/>
      <c r="J91" s="2"/>
      <c r="K91" s="2"/>
      <c r="L91" s="2"/>
      <c r="O91" s="2"/>
      <c r="S91" s="2"/>
      <c r="T91" s="2"/>
      <c r="U91" s="2"/>
      <c r="V91" s="2"/>
      <c r="W91" s="2"/>
      <c r="X91" s="2"/>
      <c r="Y91" s="2"/>
      <c r="Z91" s="2"/>
      <c r="AA91" s="2"/>
      <c r="AB91" s="2"/>
      <c r="AC91" s="2"/>
      <c r="AD91" s="2"/>
      <c r="AE91" s="2"/>
      <c r="AF91" s="2"/>
      <c r="AG91" s="2"/>
      <c r="AH91" s="69"/>
      <c r="AI91" s="1449"/>
      <c r="AJ91" s="1449"/>
      <c r="AK91" s="1449"/>
      <c r="AL91" s="1449"/>
      <c r="AM91" s="1449"/>
      <c r="AN91" s="1449"/>
      <c r="AO91" s="1449"/>
      <c r="AP91" s="2"/>
    </row>
    <row r="92" spans="1:42" ht="12.75" customHeight="1">
      <c r="A92" s="2"/>
      <c r="B92" s="2"/>
      <c r="C92" s="2"/>
      <c r="D92" s="1062"/>
      <c r="E92" s="2"/>
      <c r="F92" s="2"/>
      <c r="G92" s="2"/>
      <c r="H92" s="2"/>
      <c r="I92" s="2"/>
      <c r="J92" s="2"/>
      <c r="K92" s="2"/>
      <c r="L92" s="2"/>
      <c r="O92" s="2"/>
      <c r="S92" s="2"/>
      <c r="T92" s="2"/>
      <c r="U92" s="2"/>
      <c r="V92" s="2"/>
      <c r="W92" s="2"/>
      <c r="X92" s="2"/>
      <c r="Y92" s="2"/>
      <c r="Z92" s="2"/>
      <c r="AA92" s="2"/>
      <c r="AB92" s="2"/>
      <c r="AC92" s="2"/>
      <c r="AD92" s="2"/>
      <c r="AE92" s="2"/>
      <c r="AF92" s="2"/>
      <c r="AG92" s="2"/>
      <c r="AH92" s="1447" t="s">
        <v>1612</v>
      </c>
      <c r="AI92" s="2"/>
      <c r="AJ92" s="2"/>
      <c r="AK92" s="2"/>
      <c r="AL92" s="2"/>
      <c r="AM92" s="2"/>
      <c r="AN92" s="2"/>
      <c r="AO92" s="2"/>
      <c r="AP92" s="2"/>
    </row>
    <row r="93" spans="1:42" ht="12.75" customHeight="1">
      <c r="A93" s="2"/>
      <c r="B93" s="2"/>
      <c r="C93" s="2"/>
      <c r="D93" s="1062"/>
      <c r="E93" s="2"/>
      <c r="F93" s="2"/>
      <c r="G93" s="2"/>
      <c r="H93" s="2"/>
      <c r="I93" s="2"/>
      <c r="J93" s="2"/>
      <c r="K93" s="2"/>
      <c r="L93" s="2"/>
      <c r="O93" s="2"/>
      <c r="S93" s="2"/>
      <c r="T93" s="2"/>
      <c r="U93" s="2"/>
      <c r="V93" s="2"/>
      <c r="W93" s="2"/>
      <c r="X93" s="2"/>
      <c r="Y93" s="2"/>
      <c r="Z93" s="2"/>
      <c r="AA93" s="2"/>
      <c r="AB93" s="2"/>
      <c r="AC93" s="2"/>
      <c r="AD93" s="2"/>
      <c r="AE93" s="2"/>
      <c r="AF93" s="2"/>
      <c r="AG93" s="2"/>
      <c r="AH93" s="1447" t="s">
        <v>1613</v>
      </c>
      <c r="AI93" s="1614" t="s">
        <v>779</v>
      </c>
      <c r="AJ93" s="1449"/>
      <c r="AK93" s="1465">
        <f>+SUM(BYD!AR38:AR41,BYD!AR54)</f>
        <v>94.921000000000006</v>
      </c>
      <c r="AL93" s="1450"/>
      <c r="AM93" s="1450"/>
      <c r="AN93" s="1450"/>
      <c r="AO93" s="1450"/>
      <c r="AP93" s="2"/>
    </row>
    <row r="94" spans="1:42" ht="6" customHeight="1">
      <c r="A94" s="2"/>
      <c r="B94" s="2"/>
      <c r="C94" s="2"/>
      <c r="D94" s="1062"/>
      <c r="E94" s="2"/>
      <c r="F94" s="2"/>
      <c r="G94" s="2"/>
      <c r="H94" s="2"/>
      <c r="I94" s="2"/>
      <c r="J94" s="2"/>
      <c r="K94" s="2"/>
      <c r="L94" s="2"/>
      <c r="O94" s="2"/>
      <c r="S94" s="2"/>
      <c r="T94" s="2"/>
      <c r="U94" s="2"/>
      <c r="V94" s="2"/>
      <c r="W94" s="2"/>
      <c r="X94" s="2"/>
      <c r="Y94" s="2"/>
      <c r="Z94" s="2"/>
      <c r="AA94" s="2"/>
      <c r="AB94" s="2"/>
      <c r="AC94" s="2"/>
      <c r="AD94" s="2"/>
      <c r="AE94" s="2"/>
      <c r="AF94" s="2"/>
      <c r="AG94" s="2"/>
      <c r="AH94" s="1447"/>
      <c r="AI94" s="1614"/>
      <c r="AJ94" s="1449"/>
      <c r="AK94" s="1450"/>
      <c r="AL94" s="1450"/>
      <c r="AM94" s="1450"/>
      <c r="AN94" s="1450"/>
      <c r="AO94" s="1450"/>
      <c r="AP94" s="2"/>
    </row>
    <row r="95" spans="1:42" ht="12.75" customHeight="1">
      <c r="A95" s="2"/>
      <c r="B95" s="2"/>
      <c r="C95" s="2"/>
      <c r="D95" s="1062"/>
      <c r="E95" s="2"/>
      <c r="F95" s="2"/>
      <c r="G95" s="2"/>
      <c r="H95" s="2"/>
      <c r="I95" s="2"/>
      <c r="J95" s="2"/>
      <c r="K95" s="2"/>
      <c r="L95" s="2"/>
      <c r="O95" s="2"/>
      <c r="S95" s="2"/>
      <c r="T95" s="2"/>
      <c r="U95" s="2"/>
      <c r="V95" s="2"/>
      <c r="W95" s="2"/>
      <c r="X95" s="2"/>
      <c r="Y95" s="2"/>
      <c r="Z95" s="2"/>
      <c r="AA95" s="2"/>
      <c r="AB95" s="2"/>
      <c r="AC95" s="2"/>
      <c r="AD95" s="2"/>
      <c r="AE95" s="2"/>
      <c r="AF95" s="2"/>
      <c r="AG95" s="2"/>
      <c r="AH95" s="1447" t="s">
        <v>1614</v>
      </c>
      <c r="AI95" s="1615" t="s">
        <v>780</v>
      </c>
      <c r="AJ95" s="1449"/>
      <c r="AK95" s="1450">
        <f>+BYD!AR45</f>
        <v>38.881</v>
      </c>
      <c r="AL95" s="1465"/>
      <c r="AM95" s="1465"/>
      <c r="AN95" s="1465"/>
      <c r="AO95" s="1465"/>
      <c r="AP95" s="2"/>
    </row>
    <row r="96" spans="1:42" ht="6" customHeight="1">
      <c r="A96" s="2"/>
      <c r="B96" s="2"/>
      <c r="C96" s="2"/>
      <c r="D96" s="1062"/>
      <c r="E96" s="2"/>
      <c r="F96" s="2"/>
      <c r="G96" s="2"/>
      <c r="H96" s="2"/>
      <c r="I96" s="2"/>
      <c r="J96" s="2"/>
      <c r="K96" s="2"/>
      <c r="L96" s="2"/>
      <c r="O96" s="2"/>
      <c r="S96" s="2"/>
      <c r="T96" s="2"/>
      <c r="U96" s="2"/>
      <c r="V96" s="2"/>
      <c r="W96" s="2"/>
      <c r="X96" s="2"/>
      <c r="Y96" s="2"/>
      <c r="Z96" s="2"/>
      <c r="AA96" s="2"/>
      <c r="AB96" s="2"/>
      <c r="AC96" s="2"/>
      <c r="AD96" s="2"/>
      <c r="AE96" s="2"/>
      <c r="AF96" s="2"/>
      <c r="AG96" s="2"/>
      <c r="AH96" s="1447"/>
      <c r="AI96" s="1614"/>
      <c r="AJ96" s="1449"/>
      <c r="AK96" s="1450"/>
      <c r="AL96" s="1450"/>
      <c r="AM96" s="1450"/>
      <c r="AN96" s="1450"/>
      <c r="AO96" s="1450"/>
      <c r="AP96" s="2"/>
    </row>
    <row r="97" spans="1:42" ht="12.75" customHeight="1">
      <c r="A97" s="2"/>
      <c r="B97" s="2"/>
      <c r="C97" s="2"/>
      <c r="D97" s="1062"/>
      <c r="E97" s="2"/>
      <c r="F97" s="2"/>
      <c r="G97" s="2"/>
      <c r="H97" s="2"/>
      <c r="I97" s="2"/>
      <c r="J97" s="2"/>
      <c r="K97" s="2"/>
      <c r="L97" s="2"/>
      <c r="O97" s="2"/>
      <c r="S97" s="2"/>
      <c r="T97" s="2"/>
      <c r="U97" s="2"/>
      <c r="V97" s="2"/>
      <c r="W97" s="2"/>
      <c r="X97" s="2"/>
      <c r="Y97" s="2"/>
      <c r="Z97" s="2"/>
      <c r="AA97" s="2"/>
      <c r="AB97" s="2"/>
      <c r="AC97" s="2"/>
      <c r="AD97" s="2"/>
      <c r="AE97" s="2"/>
      <c r="AF97" s="2"/>
      <c r="AG97" s="2"/>
      <c r="AH97" s="1447" t="s">
        <v>1615</v>
      </c>
      <c r="AI97" s="1614" t="s">
        <v>781</v>
      </c>
      <c r="AJ97" s="1449"/>
      <c r="AK97" s="1466">
        <f>+BYD!AR95</f>
        <v>9.5650493822950905E-2</v>
      </c>
      <c r="AL97" s="1466"/>
      <c r="AM97" s="1466"/>
      <c r="AN97" s="1466"/>
      <c r="AO97" s="1466"/>
      <c r="AP97" s="2"/>
    </row>
    <row r="98" spans="1:42" ht="6" customHeight="1">
      <c r="A98" s="2"/>
      <c r="B98" s="2"/>
      <c r="C98" s="2"/>
      <c r="D98" s="1062"/>
      <c r="E98" s="2"/>
      <c r="F98" s="2"/>
      <c r="G98" s="2"/>
      <c r="H98" s="2"/>
      <c r="I98" s="2"/>
      <c r="J98" s="2"/>
      <c r="K98" s="2"/>
      <c r="L98" s="2"/>
      <c r="O98" s="2"/>
      <c r="S98" s="2"/>
      <c r="T98" s="2"/>
      <c r="U98" s="2"/>
      <c r="V98" s="2"/>
      <c r="W98" s="2"/>
      <c r="X98" s="2"/>
      <c r="Y98" s="2"/>
      <c r="Z98" s="2"/>
      <c r="AA98" s="2"/>
      <c r="AB98" s="2"/>
      <c r="AC98" s="2"/>
      <c r="AD98" s="2"/>
      <c r="AE98" s="2"/>
      <c r="AF98" s="2"/>
      <c r="AG98" s="2"/>
      <c r="AH98" s="1447"/>
      <c r="AI98" s="1450"/>
      <c r="AJ98" s="1449"/>
      <c r="AK98" s="1449"/>
      <c r="AL98" s="1449"/>
      <c r="AM98" s="1449"/>
      <c r="AN98" s="1449"/>
      <c r="AO98" s="1449"/>
      <c r="AP98" s="2"/>
    </row>
    <row r="99" spans="1:42" ht="12.75" customHeight="1">
      <c r="A99" s="2"/>
      <c r="B99" s="2"/>
      <c r="C99" s="2"/>
      <c r="D99" s="1062"/>
      <c r="E99" s="2"/>
      <c r="F99" s="2"/>
      <c r="G99" s="2"/>
      <c r="H99" s="2"/>
      <c r="I99" s="2"/>
      <c r="J99" s="2"/>
      <c r="K99" s="2"/>
      <c r="L99" s="2"/>
      <c r="O99" s="2"/>
      <c r="S99" s="2"/>
      <c r="T99" s="2"/>
      <c r="U99" s="2"/>
      <c r="V99" s="2"/>
      <c r="W99" s="2"/>
      <c r="X99" s="2"/>
      <c r="Y99" s="2"/>
      <c r="Z99" s="2"/>
      <c r="AA99" s="2"/>
      <c r="AB99" s="2"/>
      <c r="AC99" s="2"/>
      <c r="AD99" s="2"/>
      <c r="AE99" s="2"/>
      <c r="AF99" s="2"/>
      <c r="AG99" s="2"/>
      <c r="AH99" s="2"/>
      <c r="AI99" s="2"/>
      <c r="AJ99" s="2"/>
      <c r="AK99" s="2"/>
      <c r="AL99" s="2"/>
      <c r="AM99" s="2"/>
      <c r="AN99" s="2"/>
      <c r="AO99" s="2"/>
      <c r="AP99" s="2"/>
    </row>
    <row r="100" spans="1:42" ht="12.75" customHeight="1">
      <c r="A100" s="2"/>
      <c r="B100" s="2"/>
      <c r="C100" s="2"/>
      <c r="D100" s="1062"/>
      <c r="E100" s="2"/>
      <c r="F100" s="2"/>
      <c r="G100" s="2"/>
      <c r="H100" s="2"/>
      <c r="I100" s="2"/>
      <c r="J100" s="2"/>
      <c r="K100" s="2"/>
      <c r="L100" s="2"/>
      <c r="O100" s="2"/>
      <c r="S100" s="2"/>
      <c r="T100" s="2"/>
      <c r="U100" s="2"/>
      <c r="V100" s="2"/>
      <c r="W100" s="2"/>
      <c r="X100" s="2"/>
      <c r="Y100" s="2"/>
      <c r="Z100" s="2"/>
      <c r="AA100" s="2"/>
      <c r="AB100" s="2"/>
      <c r="AC100" s="2"/>
      <c r="AD100" s="2"/>
      <c r="AE100" s="2"/>
      <c r="AF100" s="2"/>
      <c r="AG100" s="2"/>
      <c r="AH100" s="2"/>
      <c r="AI100" s="2">
        <f>88+32</f>
        <v>120</v>
      </c>
      <c r="AJ100" s="2"/>
      <c r="AK100" s="2"/>
      <c r="AL100" s="2"/>
      <c r="AM100" s="69" t="s">
        <v>728</v>
      </c>
    </row>
    <row r="101" spans="1:42" ht="12.75" customHeight="1">
      <c r="A101" s="2"/>
      <c r="B101" s="2"/>
      <c r="C101" s="2"/>
      <c r="D101" s="1062"/>
      <c r="E101" s="2"/>
      <c r="F101" s="2"/>
      <c r="G101" s="2"/>
      <c r="H101" s="2"/>
      <c r="I101" s="2"/>
      <c r="J101" s="2"/>
      <c r="K101" s="2"/>
      <c r="L101" s="2"/>
      <c r="O101" s="2"/>
      <c r="S101" s="2"/>
      <c r="T101" s="2"/>
      <c r="U101" s="2"/>
      <c r="V101" s="2"/>
      <c r="W101" s="2"/>
      <c r="X101" s="2"/>
      <c r="Y101" s="2"/>
      <c r="Z101" s="2"/>
      <c r="AA101" s="2"/>
      <c r="AB101" s="2"/>
      <c r="AC101" s="2"/>
      <c r="AD101" s="2"/>
      <c r="AE101" s="2"/>
      <c r="AF101" s="2"/>
      <c r="AG101" s="2"/>
      <c r="AH101" s="2"/>
      <c r="AI101" s="2">
        <f>93+34</f>
        <v>127</v>
      </c>
      <c r="AJ101" s="2"/>
      <c r="AK101" s="2"/>
      <c r="AL101" s="2"/>
      <c r="AM101" s="69"/>
    </row>
    <row r="102" spans="1:42" ht="12.75" customHeight="1">
      <c r="A102" s="2"/>
      <c r="B102" s="2"/>
      <c r="C102" s="2"/>
      <c r="D102" s="1062"/>
      <c r="E102" s="2"/>
      <c r="F102" s="2"/>
      <c r="G102" s="2"/>
      <c r="H102" s="2"/>
      <c r="I102" s="2"/>
      <c r="J102" s="2"/>
      <c r="K102" s="2"/>
      <c r="L102" s="2"/>
      <c r="O102" s="2"/>
      <c r="S102" s="2"/>
      <c r="T102" s="2"/>
      <c r="U102" s="2"/>
      <c r="V102" s="2"/>
      <c r="W102" s="2"/>
      <c r="X102" s="2"/>
      <c r="Y102" s="2"/>
      <c r="Z102" s="2"/>
      <c r="AA102" s="2"/>
      <c r="AB102" s="2"/>
      <c r="AC102" s="2"/>
      <c r="AD102" s="2"/>
      <c r="AE102" s="2"/>
      <c r="AF102" s="2"/>
      <c r="AG102" s="2"/>
      <c r="AH102" s="2"/>
      <c r="AI102" s="2"/>
      <c r="AJ102" s="2"/>
      <c r="AK102" s="2"/>
      <c r="AL102" s="2"/>
      <c r="AM102" s="1447"/>
      <c r="AN102" s="1449"/>
      <c r="AO102" s="1447"/>
      <c r="AP102" s="1447"/>
    </row>
    <row r="103" spans="1:42" ht="12.75" customHeight="1">
      <c r="A103" s="2"/>
      <c r="B103" s="2"/>
      <c r="C103" s="2"/>
      <c r="D103" s="1062"/>
      <c r="E103" s="2"/>
      <c r="F103" s="2"/>
      <c r="G103" s="2"/>
      <c r="H103" s="2"/>
      <c r="I103" s="2"/>
      <c r="J103" s="2"/>
      <c r="K103" s="2"/>
      <c r="L103" s="2"/>
      <c r="O103" s="2"/>
      <c r="S103" s="2"/>
      <c r="T103" s="2"/>
      <c r="U103" s="2"/>
      <c r="V103" s="2"/>
      <c r="W103" s="2"/>
      <c r="X103" s="2"/>
      <c r="Y103" s="2"/>
      <c r="Z103" s="2"/>
      <c r="AA103" s="2"/>
      <c r="AB103" s="2"/>
      <c r="AC103" s="2"/>
      <c r="AD103" s="2"/>
      <c r="AE103" s="2"/>
      <c r="AF103" s="2"/>
      <c r="AG103" s="2"/>
      <c r="AH103" s="2"/>
      <c r="AI103" s="2"/>
      <c r="AJ103" s="2"/>
      <c r="AK103" s="2"/>
      <c r="AL103" s="2"/>
      <c r="AM103" s="111" t="s">
        <v>1610</v>
      </c>
      <c r="AN103" s="1289" t="s">
        <v>552</v>
      </c>
      <c r="AO103" s="1448"/>
      <c r="AP103" s="1289" t="s">
        <v>1611</v>
      </c>
    </row>
    <row r="104" spans="1:42" ht="12.75" customHeight="1">
      <c r="A104" s="2"/>
      <c r="B104" s="2"/>
      <c r="C104" s="2"/>
      <c r="D104" s="1062"/>
      <c r="E104" s="2"/>
      <c r="F104" s="2"/>
      <c r="G104" s="2"/>
      <c r="H104" s="2"/>
      <c r="I104" s="2"/>
      <c r="J104" s="2"/>
      <c r="K104" s="2"/>
      <c r="L104" s="2"/>
      <c r="O104" s="2"/>
      <c r="S104" s="2"/>
      <c r="T104" s="2"/>
      <c r="U104" s="2"/>
      <c r="V104" s="2"/>
      <c r="W104" s="2"/>
      <c r="X104" s="2"/>
      <c r="Y104" s="2"/>
      <c r="Z104" s="2"/>
      <c r="AA104" s="2"/>
      <c r="AB104" s="2"/>
      <c r="AC104" s="2"/>
      <c r="AD104" s="2"/>
      <c r="AE104" s="2"/>
      <c r="AF104" s="2"/>
      <c r="AG104" s="2"/>
      <c r="AH104" s="2"/>
      <c r="AI104" s="2"/>
      <c r="AJ104" s="2"/>
      <c r="AK104" s="2"/>
      <c r="AL104" s="2"/>
      <c r="AM104" s="69"/>
      <c r="AN104" s="1449"/>
      <c r="AO104" s="1449"/>
      <c r="AP104" s="1449"/>
    </row>
    <row r="105" spans="1:42" ht="12.75" customHeight="1">
      <c r="A105" s="2"/>
      <c r="B105" s="2"/>
      <c r="C105" s="2"/>
      <c r="D105" s="1062"/>
      <c r="E105" s="2"/>
      <c r="F105" s="2"/>
      <c r="G105" s="2"/>
      <c r="H105" s="2"/>
      <c r="I105" s="2"/>
      <c r="J105" s="2"/>
      <c r="K105" s="2"/>
      <c r="L105" s="2"/>
      <c r="O105" s="2"/>
      <c r="S105" s="2"/>
      <c r="T105" s="2"/>
      <c r="U105" s="2"/>
      <c r="V105" s="2"/>
      <c r="W105" s="2"/>
      <c r="X105" s="2"/>
      <c r="Y105" s="2"/>
      <c r="Z105" s="2"/>
      <c r="AA105" s="2"/>
      <c r="AB105" s="2"/>
      <c r="AC105" s="2"/>
      <c r="AD105" s="2"/>
      <c r="AE105" s="2"/>
      <c r="AF105" s="2"/>
      <c r="AG105" s="2"/>
      <c r="AH105" s="2"/>
      <c r="AI105" s="2"/>
      <c r="AJ105" s="2"/>
      <c r="AK105" s="2"/>
      <c r="AL105" s="2"/>
      <c r="AM105" s="1447" t="s">
        <v>1612</v>
      </c>
      <c r="AN105" s="2"/>
      <c r="AO105" s="2"/>
      <c r="AP105" s="2"/>
    </row>
    <row r="106" spans="1:42" ht="12.75" customHeight="1">
      <c r="A106" s="2"/>
      <c r="B106" s="2"/>
      <c r="C106" s="2"/>
      <c r="D106" s="1062"/>
      <c r="E106" s="2"/>
      <c r="F106" s="2"/>
      <c r="G106" s="2"/>
      <c r="H106" s="2"/>
      <c r="I106" s="2"/>
      <c r="J106" s="2"/>
      <c r="K106" s="2"/>
      <c r="L106" s="2"/>
      <c r="O106" s="2"/>
      <c r="S106" s="2"/>
      <c r="T106" s="2"/>
      <c r="U106" s="2"/>
      <c r="V106" s="2"/>
      <c r="W106" s="2"/>
      <c r="X106" s="2"/>
      <c r="Y106" s="2"/>
      <c r="Z106" s="2"/>
      <c r="AA106" s="2"/>
      <c r="AB106" s="2"/>
      <c r="AC106" s="2"/>
      <c r="AD106" s="2"/>
      <c r="AE106" s="2"/>
      <c r="AF106" s="2"/>
      <c r="AG106" s="2"/>
      <c r="AH106" s="2"/>
      <c r="AI106" s="2"/>
      <c r="AJ106" s="2"/>
      <c r="AK106" s="2"/>
      <c r="AL106" s="2"/>
      <c r="AM106" s="1447" t="s">
        <v>1613</v>
      </c>
      <c r="AN106" s="1630" t="s">
        <v>779</v>
      </c>
      <c r="AO106" s="1449"/>
      <c r="AP106" s="1465">
        <f>+SUM(BYD!AS38:AS41,BYD!AS54)</f>
        <v>83.1</v>
      </c>
    </row>
    <row r="107" spans="1:42" ht="12.75" customHeight="1">
      <c r="A107" s="2"/>
      <c r="B107" s="2"/>
      <c r="C107" s="2"/>
      <c r="D107" s="1062"/>
      <c r="E107" s="2"/>
      <c r="F107" s="2"/>
      <c r="G107" s="2"/>
      <c r="H107" s="2"/>
      <c r="I107" s="2"/>
      <c r="J107" s="2"/>
      <c r="K107" s="2"/>
      <c r="L107" s="2"/>
      <c r="O107" s="2"/>
      <c r="S107" s="2"/>
      <c r="T107" s="2"/>
      <c r="U107" s="2"/>
      <c r="V107" s="2"/>
      <c r="W107" s="2"/>
      <c r="X107" s="2"/>
      <c r="Y107" s="2"/>
      <c r="Z107" s="2"/>
      <c r="AA107" s="2"/>
      <c r="AB107" s="2"/>
      <c r="AC107" s="2"/>
      <c r="AD107" s="2"/>
      <c r="AE107" s="2"/>
      <c r="AF107" s="2"/>
      <c r="AG107" s="2"/>
      <c r="AH107" s="2"/>
      <c r="AI107" s="2"/>
      <c r="AJ107" s="2"/>
      <c r="AK107" s="2"/>
      <c r="AL107" s="2"/>
      <c r="AM107" s="1447"/>
      <c r="AN107" s="1630"/>
      <c r="AO107" s="1449"/>
      <c r="AP107" s="1450"/>
    </row>
    <row r="108" spans="1:42" ht="12.75" customHeight="1">
      <c r="A108" s="2"/>
      <c r="B108" s="2"/>
      <c r="C108" s="2"/>
      <c r="D108" s="1062"/>
      <c r="E108" s="2"/>
      <c r="F108" s="2"/>
      <c r="G108" s="2"/>
      <c r="H108" s="2"/>
      <c r="I108" s="2"/>
      <c r="J108" s="2"/>
      <c r="K108" s="2"/>
      <c r="L108" s="2"/>
      <c r="O108" s="2"/>
      <c r="S108" s="2"/>
      <c r="T108" s="2"/>
      <c r="U108" s="2"/>
      <c r="V108" s="2"/>
      <c r="W108" s="2"/>
      <c r="X108" s="2"/>
      <c r="Y108" s="2"/>
      <c r="Z108" s="2"/>
      <c r="AA108" s="2"/>
      <c r="AB108" s="2"/>
      <c r="AC108" s="2"/>
      <c r="AD108" s="2"/>
      <c r="AE108" s="2"/>
      <c r="AF108" s="2"/>
      <c r="AG108" s="2"/>
      <c r="AH108" s="2"/>
      <c r="AI108" s="2"/>
      <c r="AJ108" s="2"/>
      <c r="AK108" s="2"/>
      <c r="AL108" s="2"/>
      <c r="AM108" s="1447" t="s">
        <v>1614</v>
      </c>
      <c r="AN108" s="1631" t="s">
        <v>780</v>
      </c>
      <c r="AO108" s="1449"/>
      <c r="AP108" s="1450">
        <f>+BYD!AS45</f>
        <v>30.734999999999999</v>
      </c>
    </row>
    <row r="109" spans="1:42" ht="12.75" customHeight="1">
      <c r="A109" s="2"/>
      <c r="B109" s="2"/>
      <c r="C109" s="2"/>
      <c r="D109" s="1062"/>
      <c r="E109" s="2"/>
      <c r="F109" s="2"/>
      <c r="G109" s="2"/>
      <c r="H109" s="2"/>
      <c r="I109" s="2"/>
      <c r="J109" s="2"/>
      <c r="K109" s="2"/>
      <c r="L109" s="2"/>
      <c r="O109" s="2"/>
      <c r="S109" s="2"/>
      <c r="T109" s="2"/>
      <c r="U109" s="2"/>
      <c r="V109" s="2"/>
      <c r="W109" s="2"/>
      <c r="X109" s="2"/>
      <c r="Y109" s="2"/>
      <c r="Z109" s="2"/>
      <c r="AA109" s="2"/>
      <c r="AB109" s="2"/>
      <c r="AC109" s="2"/>
      <c r="AD109" s="2"/>
      <c r="AE109" s="2"/>
      <c r="AF109" s="2"/>
      <c r="AG109" s="2"/>
      <c r="AH109" s="2"/>
      <c r="AI109" s="2"/>
      <c r="AJ109" s="2"/>
      <c r="AK109" s="2"/>
      <c r="AL109" s="2"/>
      <c r="AM109" s="1447"/>
      <c r="AN109" s="1630"/>
      <c r="AO109" s="1449"/>
      <c r="AP109" s="1450"/>
    </row>
    <row r="110" spans="1:42" ht="12.75" customHeight="1">
      <c r="A110" s="2"/>
      <c r="B110" s="2"/>
      <c r="C110" s="2"/>
      <c r="D110" s="1062"/>
      <c r="E110" s="2"/>
      <c r="F110" s="2"/>
      <c r="G110" s="2"/>
      <c r="H110" s="2"/>
      <c r="I110" s="2"/>
      <c r="J110" s="2"/>
      <c r="K110" s="2"/>
      <c r="L110" s="2"/>
      <c r="O110" s="2"/>
      <c r="S110" s="2"/>
      <c r="T110" s="2"/>
      <c r="U110" s="2"/>
      <c r="V110" s="2"/>
      <c r="W110" s="2"/>
      <c r="X110" s="2"/>
      <c r="Y110" s="2"/>
      <c r="Z110" s="2"/>
      <c r="AA110" s="2"/>
      <c r="AB110" s="2"/>
      <c r="AC110" s="2"/>
      <c r="AD110" s="2"/>
      <c r="AE110" s="2"/>
      <c r="AF110" s="2"/>
      <c r="AG110" s="2"/>
      <c r="AH110" s="2"/>
      <c r="AI110" s="2"/>
      <c r="AJ110" s="2"/>
      <c r="AK110" s="2"/>
      <c r="AL110" s="2"/>
      <c r="AM110" s="1447" t="s">
        <v>1615</v>
      </c>
      <c r="AN110" s="1630" t="s">
        <v>781</v>
      </c>
      <c r="AO110" s="1449"/>
      <c r="AP110" s="1466">
        <f>+BYD!AS95</f>
        <v>4.7575010275380213E-2</v>
      </c>
    </row>
  </sheetData>
  <phoneticPr fontId="10" type="noConversion"/>
  <pageMargins left="0.75" right="0.75" top="1" bottom="1" header="0.5" footer="0.5"/>
  <pageSetup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AN121"/>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6" max="16" width="3.25" customWidth="1"/>
    <col min="18" max="18" width="1" customWidth="1"/>
    <col min="19" max="19" width="19" customWidth="1"/>
    <col min="20" max="20" width="1.625" customWidth="1"/>
    <col min="21" max="21" width="8.625" customWidth="1"/>
    <col min="22" max="22" width="1.625" customWidth="1"/>
    <col min="23" max="23" width="8.625" customWidth="1"/>
    <col min="24" max="24" width="1.625" customWidth="1"/>
    <col min="25" max="25" width="8.625" customWidth="1"/>
    <col min="28" max="28" width="7.625" customWidth="1"/>
    <col min="29" max="29" width="1.625" customWidth="1"/>
    <col min="30" max="30" width="7.625" customWidth="1"/>
    <col min="31" max="31" width="1.625" customWidth="1"/>
    <col min="32" max="32" width="7.625" customWidth="1"/>
    <col min="33" max="33" width="1.625" customWidth="1"/>
    <col min="34" max="34" width="16.375" customWidth="1"/>
    <col min="35" max="35" width="11.625" customWidth="1"/>
    <col min="36" max="36" width="2.625" customWidth="1"/>
    <col min="37" max="37" width="10.625" customWidth="1"/>
    <col min="38" max="38" width="0.5" customWidth="1"/>
    <col min="39" max="39" width="41.625" customWidth="1"/>
  </cols>
  <sheetData>
    <row r="1" spans="1:40" ht="12.75" customHeight="1">
      <c r="A1" s="1" t="s">
        <v>629</v>
      </c>
      <c r="B1" s="2"/>
      <c r="C1" s="166"/>
      <c r="D1" s="1062"/>
      <c r="E1" s="2"/>
      <c r="F1" s="2"/>
      <c r="G1" s="2"/>
      <c r="H1" s="2"/>
      <c r="I1" s="2"/>
      <c r="J1" s="2"/>
      <c r="K1" s="2"/>
      <c r="L1" s="2"/>
      <c r="O1" s="2"/>
      <c r="S1" s="2"/>
      <c r="T1" s="2"/>
      <c r="U1" s="2"/>
      <c r="V1" s="2"/>
      <c r="W1" s="2"/>
      <c r="X1" s="2"/>
      <c r="Y1" s="2"/>
      <c r="Z1" s="2"/>
      <c r="AA1" s="2"/>
      <c r="AB1" s="2"/>
      <c r="AC1" s="2"/>
      <c r="AD1" s="2"/>
      <c r="AE1" s="2"/>
      <c r="AF1" s="2"/>
      <c r="AG1" s="2"/>
      <c r="AH1" s="2"/>
      <c r="AI1" s="2"/>
      <c r="AJ1" s="2"/>
      <c r="AK1" s="2"/>
      <c r="AL1" s="2"/>
      <c r="AM1" s="2"/>
      <c r="AN1" s="2"/>
    </row>
    <row r="2" spans="1:40" ht="12.75" customHeight="1">
      <c r="A2" s="1" t="s">
        <v>1224</v>
      </c>
      <c r="B2" s="2"/>
      <c r="C2" s="2"/>
      <c r="D2" s="1062"/>
      <c r="E2" s="2"/>
      <c r="F2" s="2"/>
      <c r="G2" s="2"/>
      <c r="H2" s="2"/>
      <c r="I2" s="2"/>
      <c r="J2" s="2"/>
      <c r="K2" s="2"/>
      <c r="L2" s="2"/>
      <c r="O2" s="2"/>
      <c r="S2" s="2"/>
      <c r="T2" s="2"/>
      <c r="U2" s="2"/>
      <c r="V2" s="2"/>
      <c r="W2" s="2"/>
      <c r="X2" s="2"/>
      <c r="Y2" s="2"/>
      <c r="Z2" s="2"/>
      <c r="AA2" s="2"/>
      <c r="AB2" s="2"/>
      <c r="AC2" s="2"/>
      <c r="AD2" s="2"/>
      <c r="AE2" s="2"/>
      <c r="AF2" s="2"/>
      <c r="AG2" s="2"/>
      <c r="AH2" s="2"/>
      <c r="AI2" s="2"/>
      <c r="AJ2" s="2"/>
      <c r="AK2" s="2"/>
      <c r="AL2" s="2"/>
      <c r="AM2" s="2"/>
      <c r="AN2" s="2"/>
    </row>
    <row r="3" spans="1:40" ht="12.75" customHeight="1">
      <c r="A3" s="2" t="s">
        <v>1225</v>
      </c>
      <c r="B3" s="2"/>
      <c r="C3" s="2"/>
      <c r="D3" s="1062"/>
      <c r="E3" s="2"/>
      <c r="F3" s="2"/>
      <c r="G3" s="2"/>
      <c r="H3" s="2"/>
      <c r="I3" s="2"/>
      <c r="J3" s="2"/>
      <c r="K3" s="2"/>
      <c r="L3" s="2"/>
      <c r="O3" s="2"/>
      <c r="S3" s="2"/>
      <c r="T3" s="2"/>
      <c r="U3" s="2"/>
      <c r="V3" s="2"/>
      <c r="W3" s="2"/>
      <c r="X3" s="2"/>
      <c r="Y3" s="2"/>
      <c r="Z3" s="2"/>
      <c r="AA3" s="2"/>
      <c r="AB3" s="2"/>
      <c r="AC3" s="2"/>
      <c r="AD3" s="2"/>
      <c r="AE3" s="2"/>
      <c r="AF3" s="2"/>
      <c r="AG3" s="2"/>
      <c r="AH3" s="2"/>
      <c r="AI3" s="2"/>
      <c r="AJ3" s="2"/>
      <c r="AK3" s="2"/>
      <c r="AL3" s="2"/>
      <c r="AM3" s="2"/>
      <c r="AN3" s="2"/>
    </row>
    <row r="4" spans="1:40" ht="12.75" customHeight="1">
      <c r="A4" s="2"/>
      <c r="B4" s="2"/>
      <c r="C4" s="1195" t="s">
        <v>818</v>
      </c>
      <c r="D4" s="1310"/>
      <c r="E4" s="1196"/>
      <c r="F4" s="1196"/>
      <c r="G4" s="1196"/>
      <c r="H4" s="2"/>
      <c r="I4" s="1195" t="s">
        <v>1504</v>
      </c>
      <c r="J4" s="1197"/>
      <c r="K4" s="1196"/>
      <c r="L4" s="1196"/>
      <c r="O4" s="73" t="s">
        <v>1030</v>
      </c>
      <c r="S4" s="2"/>
      <c r="T4" s="2"/>
      <c r="U4" s="2"/>
      <c r="V4" s="2"/>
      <c r="W4" s="2"/>
      <c r="X4" s="2"/>
      <c r="Y4" s="2"/>
      <c r="Z4" s="2"/>
      <c r="AA4" s="2"/>
      <c r="AB4" s="2"/>
      <c r="AC4" s="2"/>
      <c r="AD4" s="2"/>
      <c r="AE4" s="2"/>
      <c r="AF4" s="2"/>
      <c r="AG4" s="2"/>
      <c r="AH4" s="2"/>
      <c r="AI4" s="2"/>
      <c r="AJ4" s="2"/>
      <c r="AK4" s="2"/>
      <c r="AL4" s="2"/>
      <c r="AM4" s="2"/>
      <c r="AN4" s="2"/>
    </row>
    <row r="5" spans="1:40" ht="12.75" customHeight="1">
      <c r="A5" s="2"/>
      <c r="B5" s="2"/>
      <c r="C5" s="1198"/>
      <c r="D5" s="77"/>
      <c r="E5" s="2"/>
      <c r="F5" s="1197" t="s">
        <v>1505</v>
      </c>
      <c r="G5" s="1197"/>
      <c r="H5" s="2"/>
      <c r="I5" s="1198"/>
      <c r="J5" s="61"/>
      <c r="K5" s="1197" t="s">
        <v>1505</v>
      </c>
      <c r="L5" s="1197"/>
      <c r="O5" s="2"/>
      <c r="S5" s="2"/>
      <c r="T5" s="2"/>
      <c r="U5" s="2"/>
      <c r="V5" s="2"/>
      <c r="W5" s="2"/>
      <c r="X5" s="2"/>
      <c r="Y5" s="2"/>
      <c r="Z5" s="2"/>
      <c r="AA5" s="2"/>
      <c r="AB5" s="2"/>
      <c r="AC5" s="2"/>
      <c r="AD5" s="2"/>
      <c r="AE5" s="2"/>
      <c r="AF5" s="2"/>
      <c r="AG5" s="2"/>
      <c r="AH5" s="2"/>
      <c r="AI5" s="2"/>
      <c r="AJ5" s="2"/>
      <c r="AK5" s="2"/>
      <c r="AL5" s="2"/>
      <c r="AM5" s="2"/>
      <c r="AN5" s="2"/>
    </row>
    <row r="6" spans="1:40" ht="12.75" customHeight="1">
      <c r="A6" s="61"/>
      <c r="B6" s="2"/>
      <c r="C6" s="1199" t="s">
        <v>228</v>
      </c>
      <c r="D6" s="1308" t="s">
        <v>1510</v>
      </c>
      <c r="E6" s="70"/>
      <c r="F6" s="73" t="s">
        <v>658</v>
      </c>
      <c r="G6" s="73" t="s">
        <v>740</v>
      </c>
      <c r="H6" s="2"/>
      <c r="I6" s="1199" t="s">
        <v>1579</v>
      </c>
      <c r="J6" s="70"/>
      <c r="K6" s="73" t="s">
        <v>658</v>
      </c>
      <c r="L6" s="73" t="s">
        <v>740</v>
      </c>
      <c r="O6" s="2"/>
      <c r="S6" s="2"/>
      <c r="T6" s="2"/>
      <c r="U6" s="2"/>
      <c r="V6" s="2"/>
      <c r="W6" s="2"/>
      <c r="X6" s="2"/>
      <c r="Y6" s="2"/>
      <c r="Z6" s="2"/>
      <c r="AA6" s="2"/>
      <c r="AB6" s="2"/>
      <c r="AC6" s="2"/>
      <c r="AD6" s="2"/>
      <c r="AE6" s="2"/>
      <c r="AF6" s="2"/>
      <c r="AG6" s="2"/>
      <c r="AH6" s="2"/>
      <c r="AI6" s="2"/>
      <c r="AJ6" s="2"/>
      <c r="AK6" s="2"/>
      <c r="AL6" s="2"/>
      <c r="AM6" s="2"/>
      <c r="AN6" s="2"/>
    </row>
    <row r="7" spans="1:40" ht="12.75" customHeight="1">
      <c r="A7" s="1" t="s">
        <v>741</v>
      </c>
      <c r="B7" s="2"/>
      <c r="C7" s="112"/>
      <c r="D7" s="77"/>
      <c r="E7" s="2"/>
      <c r="F7" s="2"/>
      <c r="G7" s="2"/>
      <c r="H7" s="2"/>
      <c r="I7" s="112"/>
      <c r="J7" s="61"/>
      <c r="K7" s="2"/>
      <c r="L7" s="2"/>
      <c r="O7" s="2"/>
      <c r="S7" s="2"/>
      <c r="T7" s="2"/>
      <c r="U7" s="2"/>
      <c r="V7" s="2"/>
      <c r="W7" s="2"/>
      <c r="X7" s="2"/>
      <c r="Y7" s="2"/>
      <c r="Z7" s="2"/>
      <c r="AA7" s="2"/>
      <c r="AB7" s="2"/>
      <c r="AC7" s="2"/>
      <c r="AD7" s="2"/>
      <c r="AE7" s="2"/>
      <c r="AF7" s="2"/>
      <c r="AG7" s="2"/>
      <c r="AH7" s="2"/>
      <c r="AI7" s="2"/>
      <c r="AJ7" s="2"/>
      <c r="AK7" s="2"/>
      <c r="AL7" s="2"/>
      <c r="AM7" s="2"/>
      <c r="AN7" s="2"/>
    </row>
    <row r="8" spans="1:40" ht="12.75" customHeight="1">
      <c r="A8" s="334" t="s">
        <v>514</v>
      </c>
      <c r="B8" s="2"/>
      <c r="C8" s="1207">
        <v>152.696</v>
      </c>
      <c r="D8" s="858">
        <f>BYD!AK10</f>
        <v>152.12299999999999</v>
      </c>
      <c r="E8" s="1202"/>
      <c r="F8" s="1205">
        <f>C8-D8</f>
        <v>0.5730000000000075</v>
      </c>
      <c r="G8" s="126">
        <f t="shared" ref="G8:G13" si="0">IF(D8=0,0,C8/D8-1)</f>
        <v>3.7666887978806685E-3</v>
      </c>
      <c r="H8" s="1205"/>
      <c r="I8" s="1207">
        <v>152.12299999999999</v>
      </c>
      <c r="J8" s="1202"/>
      <c r="K8" s="313">
        <f>C8-I8</f>
        <v>0.5730000000000075</v>
      </c>
      <c r="L8" s="1204">
        <f>IF(I8=0,"NM",C8/I8-1)</f>
        <v>3.7666887978806685E-3</v>
      </c>
      <c r="O8" s="2"/>
      <c r="S8" s="2"/>
      <c r="T8" s="2"/>
      <c r="U8" s="2"/>
      <c r="V8" s="2"/>
      <c r="W8" s="2"/>
      <c r="X8" s="2"/>
      <c r="Y8" s="2"/>
      <c r="Z8" s="2"/>
      <c r="AA8" s="2"/>
      <c r="AB8" s="2"/>
      <c r="AC8" s="2"/>
      <c r="AD8" s="2"/>
      <c r="AE8" s="2"/>
      <c r="AF8" s="2"/>
      <c r="AG8" s="2"/>
      <c r="AH8" s="2"/>
      <c r="AI8" s="2"/>
      <c r="AJ8" s="2"/>
      <c r="AK8" s="2"/>
      <c r="AL8" s="2"/>
      <c r="AM8" s="2"/>
      <c r="AN8" s="2"/>
    </row>
    <row r="9" spans="1:40" ht="12.75" customHeight="1">
      <c r="A9" s="334" t="s">
        <v>515</v>
      </c>
      <c r="B9" s="61"/>
      <c r="C9" s="1104">
        <v>58.670999999999999</v>
      </c>
      <c r="D9" s="104">
        <f>BYD!AK11</f>
        <v>57.133000000000003</v>
      </c>
      <c r="E9" s="1103"/>
      <c r="F9" s="374">
        <f>C9-D9</f>
        <v>1.5379999999999967</v>
      </c>
      <c r="G9" s="95">
        <f t="shared" si="0"/>
        <v>2.6919643638527502E-2</v>
      </c>
      <c r="H9" s="61"/>
      <c r="I9" s="1104">
        <v>58.561324999999997</v>
      </c>
      <c r="J9" s="1103"/>
      <c r="K9" s="374">
        <f>C9-I9</f>
        <v>0.10967500000000285</v>
      </c>
      <c r="L9" s="92">
        <f>IF(I9=0,"NM",C9/I9-1)</f>
        <v>1.8728230619782238E-3</v>
      </c>
      <c r="O9" s="2"/>
      <c r="S9" s="2"/>
      <c r="T9" s="2"/>
      <c r="U9" s="2"/>
      <c r="V9" s="2"/>
      <c r="W9" s="2"/>
      <c r="X9" s="2"/>
      <c r="Y9" s="2"/>
      <c r="Z9" s="2"/>
      <c r="AA9" s="2"/>
      <c r="AB9" s="2"/>
      <c r="AC9" s="2"/>
      <c r="AD9" s="2"/>
      <c r="AE9" s="2"/>
      <c r="AF9" s="2"/>
      <c r="AG9" s="2"/>
      <c r="AH9" s="2"/>
      <c r="AI9" s="2"/>
      <c r="AJ9" s="2"/>
      <c r="AK9" s="2"/>
      <c r="AL9" s="2"/>
      <c r="AM9" s="2"/>
      <c r="AN9" s="2"/>
    </row>
    <row r="10" spans="1:40" ht="12.75" customHeight="1">
      <c r="A10" s="334" t="s">
        <v>516</v>
      </c>
      <c r="B10" s="61"/>
      <c r="C10" s="1104">
        <v>217.56700000000001</v>
      </c>
      <c r="D10" s="104">
        <f>BYD!AK13</f>
        <v>172.54599999999999</v>
      </c>
      <c r="E10" s="1103"/>
      <c r="F10" s="374">
        <f>C10-D10</f>
        <v>45.021000000000015</v>
      </c>
      <c r="G10" s="95">
        <f t="shared" si="0"/>
        <v>0.26092172522110046</v>
      </c>
      <c r="H10" s="61"/>
      <c r="I10" s="1104">
        <v>215.71820301485386</v>
      </c>
      <c r="J10" s="1103"/>
      <c r="K10" s="374">
        <f>C10-I10</f>
        <v>1.8487969851461514</v>
      </c>
      <c r="L10" s="92">
        <f>IF(I10=0,"NM",C10/I10-1)</f>
        <v>8.5704264142181241E-3</v>
      </c>
      <c r="M10" s="1403"/>
      <c r="N10" s="1403">
        <v>44.6</v>
      </c>
      <c r="O10" s="2"/>
      <c r="Q10" s="1403">
        <f>+C10-N10</f>
        <v>172.96700000000001</v>
      </c>
      <c r="S10" s="2"/>
      <c r="T10" s="2"/>
      <c r="U10" s="2"/>
      <c r="V10" s="2"/>
      <c r="W10" s="2"/>
      <c r="X10" s="2"/>
      <c r="Y10" s="2"/>
      <c r="Z10" s="2"/>
      <c r="AA10" s="2"/>
      <c r="AB10" s="2"/>
      <c r="AC10" s="2"/>
      <c r="AD10" s="2"/>
      <c r="AE10" s="2"/>
      <c r="AF10" s="2"/>
      <c r="AG10" s="2"/>
      <c r="AH10" s="2"/>
      <c r="AI10" s="2"/>
      <c r="AJ10" s="2"/>
      <c r="AK10" s="2"/>
      <c r="AL10" s="2"/>
      <c r="AM10" s="2"/>
      <c r="AN10" s="2"/>
    </row>
    <row r="11" spans="1:40" ht="12.75" customHeight="1">
      <c r="A11" s="334" t="s">
        <v>273</v>
      </c>
      <c r="B11" s="61"/>
      <c r="C11" s="1104">
        <v>176.41</v>
      </c>
      <c r="D11" s="104">
        <f>BYD!AK906</f>
        <v>168.786</v>
      </c>
      <c r="E11" s="1103"/>
      <c r="F11" s="374">
        <f>C11-D11</f>
        <v>7.6239999999999952</v>
      </c>
      <c r="G11" s="95">
        <f t="shared" si="0"/>
        <v>4.5169623073003651E-2</v>
      </c>
      <c r="H11" s="61"/>
      <c r="I11" s="1104">
        <v>175.52498559999998</v>
      </c>
      <c r="J11" s="1103"/>
      <c r="K11" s="374">
        <f>C11-I11</f>
        <v>0.88501440000001708</v>
      </c>
      <c r="L11" s="92">
        <f>IF(I11=0,"NM",C11/I11-1)</f>
        <v>5.0420992599700121E-3</v>
      </c>
      <c r="O11" s="2"/>
      <c r="S11" s="2"/>
      <c r="T11" s="2"/>
      <c r="U11" s="2"/>
      <c r="V11" s="2"/>
      <c r="W11" s="2"/>
      <c r="X11" s="2"/>
      <c r="Y11" s="2"/>
      <c r="Z11" s="2"/>
      <c r="AA11" s="2"/>
      <c r="AB11" s="2"/>
      <c r="AC11" s="2"/>
      <c r="AD11" s="2"/>
      <c r="AE11" s="2"/>
      <c r="AF11" s="2"/>
      <c r="AG11" s="2"/>
      <c r="AH11" s="2"/>
      <c r="AI11" s="2"/>
      <c r="AJ11" s="2"/>
      <c r="AK11" s="2"/>
      <c r="AL11" s="2"/>
      <c r="AM11" s="2"/>
      <c r="AN11" s="2"/>
    </row>
    <row r="12" spans="1:40" ht="12.75" customHeight="1">
      <c r="A12" s="334" t="s">
        <v>1790</v>
      </c>
      <c r="B12" s="61"/>
      <c r="C12" s="1104">
        <v>1.329</v>
      </c>
      <c r="D12" s="104">
        <v>1.5049999999999999</v>
      </c>
      <c r="E12" s="1103"/>
      <c r="F12" s="374">
        <f>C12-D12</f>
        <v>-0.17599999999999993</v>
      </c>
      <c r="G12" s="95">
        <f t="shared" si="0"/>
        <v>-0.11694352159468435</v>
      </c>
      <c r="H12" s="61"/>
      <c r="I12" s="1104">
        <v>0</v>
      </c>
      <c r="J12" s="1103"/>
      <c r="K12" s="374">
        <f>C12-I12</f>
        <v>1.329</v>
      </c>
      <c r="L12" s="92" t="str">
        <f>IF(I12=0,"NM",C12/I12-1)</f>
        <v>NM</v>
      </c>
      <c r="O12" s="2"/>
      <c r="S12" s="2"/>
      <c r="T12" s="2"/>
      <c r="U12" s="2"/>
      <c r="V12" s="2"/>
      <c r="W12" s="2"/>
      <c r="X12" s="2"/>
      <c r="Y12" s="2"/>
      <c r="Z12" s="2"/>
      <c r="AA12" s="2"/>
      <c r="AB12" s="2"/>
      <c r="AC12" s="2"/>
      <c r="AD12" s="2"/>
      <c r="AE12" s="2"/>
      <c r="AF12" s="2"/>
      <c r="AG12" s="2"/>
      <c r="AH12" s="2"/>
      <c r="AI12" s="2"/>
      <c r="AJ12" s="2"/>
      <c r="AK12" s="2"/>
      <c r="AL12" s="2"/>
      <c r="AM12" s="2"/>
      <c r="AN12" s="2"/>
    </row>
    <row r="13" spans="1:40" ht="12.75" customHeight="1">
      <c r="A13" s="138" t="s">
        <v>813</v>
      </c>
      <c r="B13" s="1203"/>
      <c r="C13" s="1209">
        <f>SUM(C7:C12)</f>
        <v>606.67299999999989</v>
      </c>
      <c r="D13" s="1210">
        <f>SUM(D8:D11)</f>
        <v>550.58799999999997</v>
      </c>
      <c r="E13" s="1210"/>
      <c r="F13" s="1210">
        <f>SUM(F8:F12)</f>
        <v>54.580000000000013</v>
      </c>
      <c r="G13" s="1208">
        <f t="shared" si="0"/>
        <v>0.10186382558283125</v>
      </c>
      <c r="H13" s="1206"/>
      <c r="I13" s="1209">
        <f>+SUM(I8:I12)</f>
        <v>601.92751361485375</v>
      </c>
      <c r="J13" s="1210"/>
      <c r="K13" s="1210">
        <f>SUM(K8:K12)</f>
        <v>4.7454863851461786</v>
      </c>
      <c r="L13" s="1211">
        <f>C13/I13-1</f>
        <v>7.8838170341264391E-3</v>
      </c>
      <c r="O13" s="1102">
        <v>597.20000000000005</v>
      </c>
      <c r="P13" s="1299"/>
      <c r="Q13" s="1617">
        <f>+C13/O13-1</f>
        <v>1.5862357669122362E-2</v>
      </c>
      <c r="S13" s="2"/>
      <c r="T13" s="2"/>
      <c r="U13" s="2"/>
      <c r="V13" s="2"/>
      <c r="W13" s="2"/>
      <c r="X13" s="2"/>
      <c r="Y13" s="2"/>
      <c r="Z13" s="2"/>
      <c r="AA13" s="2"/>
      <c r="AB13" s="2"/>
      <c r="AC13" s="2"/>
      <c r="AD13" s="2"/>
      <c r="AE13" s="2"/>
      <c r="AF13" s="2"/>
      <c r="AG13" s="2"/>
      <c r="AH13" s="2"/>
      <c r="AI13" s="2"/>
      <c r="AJ13" s="2"/>
      <c r="AK13" s="2"/>
      <c r="AL13" s="2"/>
      <c r="AM13" s="2"/>
      <c r="AN13" s="2"/>
    </row>
    <row r="14" spans="1:40" ht="12.75" customHeight="1">
      <c r="A14" s="61"/>
      <c r="B14" s="61"/>
      <c r="C14" s="129"/>
      <c r="D14" s="77"/>
      <c r="E14" s="61"/>
      <c r="F14" s="61"/>
      <c r="G14" s="1139"/>
      <c r="H14" s="61"/>
      <c r="I14" s="115"/>
      <c r="J14" s="61"/>
      <c r="K14" s="61"/>
      <c r="L14" s="1212"/>
      <c r="O14" s="2"/>
      <c r="S14" s="2"/>
      <c r="T14" s="2"/>
      <c r="U14" s="2"/>
      <c r="V14" s="2"/>
      <c r="W14" s="2"/>
      <c r="X14" s="2"/>
      <c r="Y14" s="2"/>
      <c r="Z14" s="2"/>
      <c r="AA14" s="2"/>
      <c r="AB14" s="2"/>
      <c r="AC14" s="2"/>
      <c r="AD14" s="2"/>
      <c r="AE14" s="2"/>
      <c r="AF14" s="2"/>
      <c r="AG14" s="2"/>
      <c r="AH14" s="2"/>
      <c r="AI14" s="2"/>
      <c r="AJ14" s="2"/>
      <c r="AK14" s="2"/>
      <c r="AL14" s="2"/>
      <c r="AM14" s="2"/>
      <c r="AN14" s="2"/>
    </row>
    <row r="15" spans="1:40" ht="12.75" customHeight="1">
      <c r="A15" s="107" t="s">
        <v>401</v>
      </c>
      <c r="B15" s="61"/>
      <c r="C15" s="112"/>
      <c r="D15" s="1390"/>
      <c r="E15" s="61"/>
      <c r="F15" s="61"/>
      <c r="G15" s="1139"/>
      <c r="H15" s="61"/>
      <c r="I15" s="115"/>
      <c r="J15" s="61"/>
      <c r="K15" s="61"/>
      <c r="L15" s="1212"/>
      <c r="O15" s="2"/>
      <c r="S15" s="2"/>
      <c r="T15" s="2"/>
      <c r="U15" s="2"/>
      <c r="V15" s="2"/>
      <c r="W15" s="2"/>
      <c r="X15" s="2"/>
      <c r="Y15" s="2"/>
      <c r="Z15" s="2"/>
      <c r="AA15" s="2"/>
      <c r="AB15" s="2"/>
      <c r="AC15" s="2"/>
      <c r="AD15" s="2"/>
      <c r="AE15" s="2"/>
      <c r="AF15" s="2"/>
      <c r="AG15" s="2"/>
      <c r="AH15" s="2"/>
      <c r="AI15" s="2"/>
      <c r="AJ15" s="2"/>
      <c r="AK15" s="2"/>
      <c r="AL15" s="2"/>
      <c r="AM15" s="2"/>
      <c r="AN15" s="2"/>
    </row>
    <row r="16" spans="1:40" ht="12.75" customHeight="1">
      <c r="A16" s="334" t="s">
        <v>514</v>
      </c>
      <c r="B16" s="61"/>
      <c r="C16" s="1104">
        <v>36.841999999999999</v>
      </c>
      <c r="D16" s="104">
        <f>BYD!AK38</f>
        <v>34.125</v>
      </c>
      <c r="E16" s="1103"/>
      <c r="F16" s="374">
        <f>C16-D16</f>
        <v>2.7169999999999987</v>
      </c>
      <c r="G16" s="95">
        <f t="shared" ref="G16:G33" si="1">IF(D16=0,0,C16/D16-1)</f>
        <v>7.9619047619047478E-2</v>
      </c>
      <c r="H16" s="61"/>
      <c r="I16" s="1104">
        <v>36.484960000000001</v>
      </c>
      <c r="J16" s="1103"/>
      <c r="K16" s="374">
        <f>C16-I16</f>
        <v>0.3570399999999978</v>
      </c>
      <c r="L16" s="92">
        <f>IF(I16=0,"NM",C16/I16-1)</f>
        <v>9.7859501558998918E-3</v>
      </c>
      <c r="N16" s="1403"/>
      <c r="O16" s="2"/>
      <c r="S16" s="2"/>
      <c r="T16" s="2"/>
      <c r="U16" s="2"/>
      <c r="V16" s="2"/>
      <c r="W16" s="2"/>
      <c r="X16" s="2"/>
      <c r="Y16" s="2"/>
      <c r="Z16" s="2"/>
      <c r="AA16" s="2"/>
      <c r="AB16" s="2"/>
      <c r="AC16" s="2"/>
      <c r="AD16" s="2"/>
      <c r="AE16" s="2"/>
      <c r="AF16" s="2"/>
      <c r="AG16" s="2"/>
      <c r="AH16" s="2"/>
      <c r="AI16" s="2"/>
      <c r="AJ16" s="2"/>
      <c r="AK16" s="2"/>
      <c r="AL16" s="2"/>
      <c r="AM16" s="2"/>
      <c r="AN16" s="2"/>
    </row>
    <row r="17" spans="1:40" ht="12.75" customHeight="1">
      <c r="A17" s="334" t="s">
        <v>515</v>
      </c>
      <c r="B17" s="61"/>
      <c r="C17" s="1104">
        <v>10.839</v>
      </c>
      <c r="D17" s="104">
        <f>BYD!AK39</f>
        <v>10.866</v>
      </c>
      <c r="E17" s="1103"/>
      <c r="F17" s="374">
        <f>C17-D17</f>
        <v>-2.6999999999999247E-2</v>
      </c>
      <c r="G17" s="95">
        <f t="shared" si="1"/>
        <v>-2.4848150193262919E-3</v>
      </c>
      <c r="H17" s="61"/>
      <c r="I17" s="1104">
        <v>11.137650000000001</v>
      </c>
      <c r="J17" s="1103"/>
      <c r="K17" s="374">
        <f>C17-I17</f>
        <v>-0.2986500000000003</v>
      </c>
      <c r="L17" s="92">
        <f>IF(I17=0,"NM",C17/I17-1)</f>
        <v>-2.6814453677391548E-2</v>
      </c>
      <c r="N17" s="1403"/>
      <c r="O17" s="2"/>
      <c r="S17" s="2"/>
      <c r="T17" s="2"/>
      <c r="U17" s="2"/>
      <c r="V17" s="2"/>
      <c r="W17" s="2"/>
      <c r="X17" s="2"/>
      <c r="Y17" s="2"/>
      <c r="Z17" s="2"/>
      <c r="AA17" s="2"/>
      <c r="AB17" s="2"/>
      <c r="AC17" s="2"/>
      <c r="AD17" s="2"/>
      <c r="AE17" s="2"/>
      <c r="AF17" s="2"/>
      <c r="AG17" s="2"/>
      <c r="AH17" s="2"/>
      <c r="AI17" s="2"/>
      <c r="AJ17" s="2"/>
      <c r="AK17" s="2"/>
      <c r="AL17" s="2"/>
      <c r="AM17" s="2"/>
      <c r="AN17" s="2"/>
    </row>
    <row r="18" spans="1:40" ht="12.75" customHeight="1">
      <c r="A18" s="334" t="s">
        <v>516</v>
      </c>
      <c r="B18" s="61"/>
      <c r="C18" s="1104">
        <v>39.090000000000003</v>
      </c>
      <c r="D18" s="104">
        <f>BYD!AK41</f>
        <v>30.422999999999998</v>
      </c>
      <c r="E18" s="1103"/>
      <c r="F18" s="374">
        <f>C18-D18</f>
        <v>8.6670000000000051</v>
      </c>
      <c r="G18" s="95">
        <f t="shared" si="1"/>
        <v>0.28488314761857825</v>
      </c>
      <c r="H18" s="61"/>
      <c r="I18" s="1104">
        <v>40.248278014853867</v>
      </c>
      <c r="J18" s="1103"/>
      <c r="K18" s="374">
        <f>C18-I18</f>
        <v>-1.1582780148538632</v>
      </c>
      <c r="L18" s="92">
        <f>IF(I18=0,"NM",C18/I18-1)</f>
        <v>-2.8778324737927741E-2</v>
      </c>
      <c r="N18" s="1403">
        <v>8.4</v>
      </c>
      <c r="O18" s="2"/>
      <c r="Q18" s="1403">
        <f>+C18-N18</f>
        <v>30.690000000000005</v>
      </c>
      <c r="S18" s="2"/>
      <c r="T18" s="2"/>
      <c r="U18" s="2"/>
      <c r="V18" s="2"/>
      <c r="W18" s="2"/>
      <c r="X18" s="2"/>
      <c r="Y18" s="2"/>
      <c r="Z18" s="2"/>
      <c r="AA18" s="2"/>
      <c r="AB18" s="2"/>
      <c r="AC18" s="2"/>
      <c r="AD18" s="2"/>
      <c r="AE18" s="2"/>
      <c r="AF18" s="2"/>
      <c r="AG18" s="2"/>
      <c r="AH18" s="2"/>
      <c r="AI18" s="2"/>
      <c r="AJ18" s="2"/>
      <c r="AK18" s="2"/>
      <c r="AL18" s="2"/>
      <c r="AM18" s="2"/>
      <c r="AN18" s="2"/>
    </row>
    <row r="19" spans="1:40" ht="12.75" customHeight="1">
      <c r="A19" s="334" t="s">
        <v>273</v>
      </c>
      <c r="B19" s="61"/>
      <c r="C19" s="1104">
        <v>37.86</v>
      </c>
      <c r="D19" s="104">
        <f>BYD!AK927</f>
        <v>34.128999999999991</v>
      </c>
      <c r="E19" s="1103"/>
      <c r="F19" s="374">
        <f>C19-D19</f>
        <v>3.7310000000000088</v>
      </c>
      <c r="G19" s="95">
        <f t="shared" si="1"/>
        <v>0.10932051920654029</v>
      </c>
      <c r="H19" s="61"/>
      <c r="I19" s="1104">
        <v>36.860246975999992</v>
      </c>
      <c r="J19" s="1103"/>
      <c r="K19" s="374">
        <f>C19-I19</f>
        <v>0.99975302400000743</v>
      </c>
      <c r="L19" s="92">
        <f>IF(I19=0,"NM",C19/I19-1)</f>
        <v>2.7122797756915507E-2</v>
      </c>
      <c r="M19" s="1617"/>
      <c r="N19" s="1403"/>
      <c r="O19" s="2"/>
      <c r="S19" s="2"/>
      <c r="T19" s="2"/>
      <c r="U19" s="2"/>
      <c r="V19" s="2"/>
      <c r="W19" s="2"/>
      <c r="X19" s="2"/>
      <c r="Y19" s="2"/>
      <c r="Z19" s="2"/>
      <c r="AA19" s="2"/>
      <c r="AB19" s="2"/>
      <c r="AC19" s="2"/>
      <c r="AD19" s="2"/>
      <c r="AE19" s="2"/>
      <c r="AF19" s="2"/>
      <c r="AG19" s="2"/>
      <c r="AH19" s="2"/>
      <c r="AI19" s="2"/>
      <c r="AJ19" s="2"/>
      <c r="AK19" s="2"/>
      <c r="AL19" s="2"/>
      <c r="AM19" s="2"/>
      <c r="AN19" s="2"/>
    </row>
    <row r="20" spans="1:40" ht="12.75" customHeight="1">
      <c r="A20" s="138" t="s">
        <v>819</v>
      </c>
      <c r="B20" s="1203"/>
      <c r="C20" s="1209">
        <f>SUM(C16:C19)</f>
        <v>124.631</v>
      </c>
      <c r="D20" s="1210">
        <f>SUM(D16:D19)</f>
        <v>109.54299999999999</v>
      </c>
      <c r="E20" s="1210"/>
      <c r="F20" s="1210">
        <f>SUM(F16:F19)</f>
        <v>15.088000000000013</v>
      </c>
      <c r="G20" s="1208">
        <f t="shared" si="1"/>
        <v>0.13773586628082124</v>
      </c>
      <c r="H20" s="1206"/>
      <c r="I20" s="1209">
        <f>+SUM(I16:I19)</f>
        <v>124.73113499085386</v>
      </c>
      <c r="J20" s="1210"/>
      <c r="K20" s="1210">
        <f>SUM(K16:K18)</f>
        <v>-1.0998880148538657</v>
      </c>
      <c r="L20" s="1211">
        <f>C20/I20-1</f>
        <v>-8.0280669987653486E-4</v>
      </c>
      <c r="N20" s="1403"/>
      <c r="O20" s="2"/>
      <c r="S20" s="2"/>
      <c r="T20" s="2"/>
      <c r="U20" s="2"/>
      <c r="V20" s="2"/>
      <c r="W20" s="2"/>
      <c r="X20" s="2"/>
      <c r="Y20" s="2"/>
      <c r="Z20" s="2"/>
      <c r="AA20" s="2"/>
      <c r="AB20" s="2"/>
      <c r="AC20" s="2"/>
      <c r="AD20" s="2"/>
      <c r="AE20" s="2"/>
      <c r="AF20" s="2"/>
      <c r="AG20" s="2"/>
      <c r="AH20" s="2"/>
      <c r="AI20" s="2"/>
      <c r="AJ20" s="2"/>
      <c r="AK20" s="2"/>
      <c r="AL20" s="2"/>
      <c r="AM20" s="2"/>
      <c r="AN20" s="2"/>
    </row>
    <row r="21" spans="1:40" ht="12.75" customHeight="1">
      <c r="A21" s="2" t="s">
        <v>742</v>
      </c>
      <c r="B21" s="2"/>
      <c r="C21" s="1104">
        <v>-10.363</v>
      </c>
      <c r="D21" s="104">
        <f>BYD!AK54</f>
        <v>-9.5</v>
      </c>
      <c r="E21" s="1103"/>
      <c r="F21" s="374">
        <f>C21-D21</f>
        <v>-0.86299999999999955</v>
      </c>
      <c r="G21" s="126">
        <f t="shared" si="1"/>
        <v>9.0842105263157835E-2</v>
      </c>
      <c r="H21" s="2"/>
      <c r="I21" s="1104">
        <v>-9.9749999999999996</v>
      </c>
      <c r="J21" s="1103"/>
      <c r="K21" s="374">
        <f>C21-I21</f>
        <v>-0.3879999999999999</v>
      </c>
      <c r="L21" s="1204">
        <f>IF(I21=0,"NM",C21/I21-1)</f>
        <v>3.889724310776943E-2</v>
      </c>
      <c r="O21" s="2"/>
      <c r="S21" s="2"/>
      <c r="T21" s="2"/>
      <c r="U21" s="2"/>
      <c r="V21" s="2"/>
      <c r="W21" s="2"/>
      <c r="X21" s="2"/>
      <c r="Y21" s="2"/>
      <c r="Z21" s="2"/>
      <c r="AA21" s="2"/>
      <c r="AB21" s="2"/>
      <c r="AC21" s="2"/>
      <c r="AD21" s="2"/>
      <c r="AE21" s="2"/>
      <c r="AF21" s="2"/>
      <c r="AG21" s="2"/>
      <c r="AH21" s="2"/>
      <c r="AI21" s="2"/>
      <c r="AJ21" s="2"/>
      <c r="AK21" s="2"/>
      <c r="AL21" s="2"/>
      <c r="AM21" s="2"/>
      <c r="AN21" s="2"/>
    </row>
    <row r="22" spans="1:40" ht="12.75" customHeight="1">
      <c r="A22" s="138" t="s">
        <v>555</v>
      </c>
      <c r="B22" s="1203"/>
      <c r="C22" s="1209">
        <f>C20+C21</f>
        <v>114.268</v>
      </c>
      <c r="D22" s="1210">
        <f>SUM(D20:D21)</f>
        <v>100.04299999999999</v>
      </c>
      <c r="E22" s="1210"/>
      <c r="F22" s="1210">
        <f>F20+F21</f>
        <v>14.225000000000014</v>
      </c>
      <c r="G22" s="1208">
        <f t="shared" si="1"/>
        <v>0.14218885879072007</v>
      </c>
      <c r="H22" s="1210"/>
      <c r="I22" s="1209">
        <f>+SUM(I20:I21)</f>
        <v>114.75613499085387</v>
      </c>
      <c r="J22" s="1210"/>
      <c r="K22" s="1210">
        <f>K20+K21</f>
        <v>-1.4878880148538656</v>
      </c>
      <c r="L22" s="1254">
        <f>L20-L21</f>
        <v>-3.9700049807645965E-2</v>
      </c>
      <c r="M22" s="1442"/>
      <c r="N22" s="1442"/>
      <c r="O22" s="1102">
        <v>112.65</v>
      </c>
      <c r="P22" s="1299"/>
      <c r="Q22" s="1617">
        <f>+C22/O22-1</f>
        <v>1.4363071460275156E-2</v>
      </c>
      <c r="S22" s="2"/>
      <c r="T22" s="2"/>
      <c r="U22" s="2"/>
      <c r="V22" s="2"/>
      <c r="W22" s="2"/>
      <c r="X22" s="2"/>
      <c r="Y22" s="2"/>
      <c r="Z22" s="2"/>
      <c r="AA22" s="2"/>
      <c r="AB22" s="2"/>
      <c r="AC22" s="2"/>
      <c r="AD22" s="2"/>
      <c r="AE22" s="2"/>
      <c r="AF22" s="2"/>
      <c r="AG22" s="2"/>
      <c r="AH22" s="2"/>
      <c r="AI22" s="2"/>
      <c r="AJ22" s="2"/>
      <c r="AK22" s="2"/>
      <c r="AL22" s="2"/>
      <c r="AM22" s="2"/>
      <c r="AN22" s="2"/>
    </row>
    <row r="23" spans="1:40" ht="12.75" customHeight="1">
      <c r="A23" s="439" t="s">
        <v>1745</v>
      </c>
      <c r="B23" s="2"/>
      <c r="C23" s="432">
        <v>2.2570000000000001</v>
      </c>
      <c r="D23" s="374">
        <f>BYD!AK65</f>
        <v>3.2</v>
      </c>
      <c r="E23" s="1103"/>
      <c r="F23" s="374">
        <f>C23-D23</f>
        <v>-0.94300000000000006</v>
      </c>
      <c r="G23" s="126">
        <f t="shared" si="1"/>
        <v>-0.29468749999999999</v>
      </c>
      <c r="H23" s="2"/>
      <c r="I23" s="432">
        <v>1.7869999999999999</v>
      </c>
      <c r="J23" s="1103"/>
      <c r="K23" s="374">
        <f t="shared" ref="K23:K33" si="2">C23-I23</f>
        <v>0.4700000000000002</v>
      </c>
      <c r="L23" s="1204">
        <f>IF(I23=0,"NM",C23/I23-1)</f>
        <v>0.26301063234471189</v>
      </c>
      <c r="M23" s="1443"/>
      <c r="N23" s="1443"/>
      <c r="O23" s="2"/>
      <c r="S23" s="2"/>
      <c r="T23" s="2"/>
      <c r="U23" s="2"/>
      <c r="V23" s="2"/>
      <c r="W23" s="2"/>
      <c r="X23" s="2"/>
      <c r="Y23" s="2"/>
      <c r="Z23" s="2"/>
      <c r="AA23" s="2"/>
      <c r="AB23" s="2"/>
      <c r="AC23" s="2"/>
      <c r="AD23" s="2"/>
      <c r="AE23" s="2"/>
      <c r="AF23" s="2"/>
      <c r="AG23" s="2"/>
      <c r="AH23" s="2"/>
      <c r="AI23" s="2"/>
      <c r="AJ23" s="2"/>
      <c r="AK23" s="2"/>
      <c r="AL23" s="2"/>
      <c r="AM23" s="2"/>
      <c r="AN23" s="2"/>
    </row>
    <row r="24" spans="1:40" ht="12.75" customHeight="1">
      <c r="A24" s="439" t="s">
        <v>201</v>
      </c>
      <c r="B24" s="2"/>
      <c r="C24" s="432">
        <v>1.034</v>
      </c>
      <c r="D24" s="374">
        <f>BYD!AK66</f>
        <v>1.0669999999999999</v>
      </c>
      <c r="E24" s="1103"/>
      <c r="F24" s="374">
        <f>C24-D24</f>
        <v>-3.2999999999999918E-2</v>
      </c>
      <c r="G24" s="126">
        <f t="shared" si="1"/>
        <v>-3.0927835051546282E-2</v>
      </c>
      <c r="H24" s="2"/>
      <c r="I24" s="432">
        <v>1.034</v>
      </c>
      <c r="J24" s="1103"/>
      <c r="K24" s="374">
        <f t="shared" si="2"/>
        <v>0</v>
      </c>
      <c r="L24" s="1204">
        <f>IF(I24=0,"NM",C24/I24-1)</f>
        <v>0</v>
      </c>
      <c r="N24" s="1444"/>
      <c r="O24" s="1444"/>
      <c r="S24" s="2"/>
      <c r="T24" s="2"/>
      <c r="U24" s="2"/>
      <c r="V24" s="2"/>
      <c r="W24" s="2"/>
      <c r="X24" s="2"/>
      <c r="Y24" s="2"/>
      <c r="Z24" s="2"/>
      <c r="AA24" s="2"/>
      <c r="AB24" s="2"/>
      <c r="AC24" s="2"/>
      <c r="AD24" s="2"/>
      <c r="AE24" s="2"/>
      <c r="AF24" s="2"/>
      <c r="AG24" s="2"/>
      <c r="AH24" s="2"/>
      <c r="AI24" s="2"/>
      <c r="AJ24" s="2"/>
      <c r="AK24" s="2"/>
      <c r="AL24" s="2"/>
      <c r="AM24" s="2"/>
      <c r="AN24" s="2"/>
    </row>
    <row r="25" spans="1:40" ht="12.75" customHeight="1">
      <c r="A25" s="1693" t="s">
        <v>202</v>
      </c>
      <c r="B25" s="2"/>
      <c r="C25" s="432">
        <v>50.237000000000002</v>
      </c>
      <c r="D25" s="374">
        <f>BYD!AK67</f>
        <v>51.37</v>
      </c>
      <c r="E25" s="1103"/>
      <c r="F25" s="374">
        <f>C25-D25</f>
        <v>-1.1329999999999956</v>
      </c>
      <c r="G25" s="126">
        <f t="shared" si="1"/>
        <v>-2.2055674518201229E-2</v>
      </c>
      <c r="H25" s="2"/>
      <c r="I25" s="432">
        <v>51.033999999999999</v>
      </c>
      <c r="J25" s="1103"/>
      <c r="K25" s="374">
        <f t="shared" si="2"/>
        <v>-0.79699999999999704</v>
      </c>
      <c r="L25" s="1204">
        <f>IF(I25=0,"NM",C25/I25-1)</f>
        <v>-1.5617039620644979E-2</v>
      </c>
      <c r="O25" s="2"/>
      <c r="S25" s="2"/>
      <c r="T25" s="2"/>
      <c r="U25" s="2"/>
      <c r="V25" s="2"/>
      <c r="W25" s="2"/>
      <c r="X25" s="2"/>
      <c r="Y25" s="2"/>
      <c r="Z25" s="2"/>
      <c r="AA25" s="2"/>
      <c r="AB25" s="2"/>
      <c r="AC25" s="2"/>
      <c r="AD25" s="2"/>
      <c r="AE25" s="2"/>
      <c r="AF25" s="2"/>
      <c r="AG25" s="2"/>
      <c r="AH25" s="2"/>
      <c r="AI25" s="2"/>
      <c r="AJ25" s="2"/>
      <c r="AK25" s="2"/>
      <c r="AL25" s="2"/>
      <c r="AM25" s="2"/>
      <c r="AN25" s="2"/>
    </row>
    <row r="26" spans="1:40" ht="4.5" customHeight="1">
      <c r="A26" s="964"/>
      <c r="B26" s="2"/>
      <c r="C26" s="453" t="s">
        <v>343</v>
      </c>
      <c r="D26" s="452" t="s">
        <v>343</v>
      </c>
      <c r="E26" s="96" t="s">
        <v>343</v>
      </c>
      <c r="F26" s="452" t="s">
        <v>343</v>
      </c>
      <c r="G26" s="1251" t="s">
        <v>343</v>
      </c>
      <c r="H26" s="2" t="s">
        <v>343</v>
      </c>
      <c r="I26" s="453" t="s">
        <v>343</v>
      </c>
      <c r="J26" s="96" t="s">
        <v>343</v>
      </c>
      <c r="K26" s="452" t="s">
        <v>343</v>
      </c>
      <c r="L26" s="1252" t="s">
        <v>343</v>
      </c>
      <c r="N26" s="1102"/>
      <c r="O26" s="1102"/>
      <c r="S26" s="2"/>
      <c r="T26" s="2"/>
      <c r="U26" s="2"/>
      <c r="V26" s="2"/>
      <c r="W26" s="2"/>
      <c r="X26" s="2"/>
      <c r="Y26" s="2"/>
      <c r="Z26" s="2"/>
      <c r="AA26" s="2"/>
      <c r="AB26" s="2"/>
      <c r="AC26" s="2"/>
      <c r="AD26" s="2"/>
      <c r="AE26" s="2"/>
      <c r="AF26" s="2"/>
      <c r="AG26" s="2"/>
      <c r="AH26" s="2"/>
      <c r="AI26" s="2"/>
      <c r="AJ26" s="2"/>
      <c r="AK26" s="2"/>
      <c r="AL26" s="2"/>
      <c r="AM26" s="2"/>
      <c r="AN26" s="2"/>
    </row>
    <row r="27" spans="1:40" ht="12.75" customHeight="1">
      <c r="A27" s="1" t="s">
        <v>744</v>
      </c>
      <c r="B27" s="2"/>
      <c r="C27" s="1242">
        <f>C22-C23-C24-C25</f>
        <v>60.739999999999988</v>
      </c>
      <c r="D27" s="1241">
        <f>D22-D23-D24-D25</f>
        <v>44.405999999999999</v>
      </c>
      <c r="E27" s="932"/>
      <c r="F27" s="1241">
        <f>F22-F23-F24-F25</f>
        <v>16.33400000000001</v>
      </c>
      <c r="G27" s="106">
        <f t="shared" si="1"/>
        <v>0.36783317569697771</v>
      </c>
      <c r="H27" s="1205"/>
      <c r="I27" s="1242">
        <f>+I22-SUM(I23:I25)</f>
        <v>60.901134990853869</v>
      </c>
      <c r="J27" s="932"/>
      <c r="K27" s="1241">
        <f t="shared" si="2"/>
        <v>-0.16113499085388128</v>
      </c>
      <c r="L27" s="1214">
        <f>C27/I27-1</f>
        <v>-2.6458454489900474E-3</v>
      </c>
      <c r="O27" s="2"/>
      <c r="S27" s="2"/>
      <c r="T27" s="2"/>
      <c r="U27" s="2"/>
      <c r="V27" s="2"/>
      <c r="W27" s="2"/>
      <c r="X27" s="2"/>
      <c r="Y27" s="2"/>
      <c r="Z27" s="2"/>
      <c r="AA27" s="2"/>
      <c r="AB27" s="2"/>
      <c r="AC27" s="2"/>
      <c r="AD27" s="2"/>
      <c r="AE27" s="2"/>
      <c r="AF27" s="2"/>
      <c r="AG27" s="2"/>
      <c r="AH27" s="2"/>
      <c r="AI27" s="2"/>
      <c r="AJ27" s="2"/>
      <c r="AK27" s="2"/>
      <c r="AL27" s="2"/>
      <c r="AM27" s="2"/>
      <c r="AN27" s="2"/>
    </row>
    <row r="28" spans="1:40" ht="12.75" customHeight="1">
      <c r="A28" s="445" t="s">
        <v>1176</v>
      </c>
      <c r="B28" s="2"/>
      <c r="C28" s="432">
        <v>-66.656999999999996</v>
      </c>
      <c r="D28" s="374">
        <f>BYD!AK73</f>
        <v>-55.015000000000001</v>
      </c>
      <c r="E28" s="932"/>
      <c r="F28" s="374">
        <f>C28-D28</f>
        <v>-11.641999999999996</v>
      </c>
      <c r="G28" s="126">
        <f t="shared" si="1"/>
        <v>0.21161501408706718</v>
      </c>
      <c r="H28" s="1205"/>
      <c r="I28" s="432">
        <v>-61.173937500000001</v>
      </c>
      <c r="J28" s="932"/>
      <c r="K28" s="374">
        <f t="shared" si="2"/>
        <v>-5.4830624999999955</v>
      </c>
      <c r="L28" s="1204">
        <f>IF(I28=0,"NM",C28/I28-1)</f>
        <v>8.963069444401861E-2</v>
      </c>
      <c r="O28" s="2"/>
      <c r="S28" s="2"/>
      <c r="T28" s="2"/>
      <c r="U28" s="2"/>
      <c r="V28" s="2"/>
      <c r="W28" s="2"/>
      <c r="X28" s="2"/>
      <c r="Y28" s="2"/>
      <c r="Z28" s="2"/>
      <c r="AA28" s="2"/>
      <c r="AB28" s="2"/>
      <c r="AC28" s="2"/>
      <c r="AD28" s="2"/>
      <c r="AE28" s="2"/>
      <c r="AF28" s="2"/>
      <c r="AG28" s="2"/>
      <c r="AH28" s="2"/>
      <c r="AI28" s="2"/>
      <c r="AJ28" s="2"/>
      <c r="AK28" s="2"/>
      <c r="AL28" s="2"/>
      <c r="AM28" s="2"/>
      <c r="AN28" s="2"/>
    </row>
    <row r="29" spans="1:40" ht="12.75" customHeight="1">
      <c r="A29" s="445" t="s">
        <v>203</v>
      </c>
      <c r="B29" s="2"/>
      <c r="C29" s="373">
        <v>0</v>
      </c>
      <c r="D29" s="374">
        <f>BYD!AK74</f>
        <v>0</v>
      </c>
      <c r="E29" s="932"/>
      <c r="F29" s="374">
        <f>C29-D29</f>
        <v>0</v>
      </c>
      <c r="G29" s="126">
        <f t="shared" si="1"/>
        <v>0</v>
      </c>
      <c r="H29" s="1205"/>
      <c r="I29" s="432">
        <v>0</v>
      </c>
      <c r="J29" s="932"/>
      <c r="K29" s="374">
        <f t="shared" si="2"/>
        <v>0</v>
      </c>
      <c r="L29" s="1204" t="str">
        <f>IF(I29=0,"NM",C29/I29-1)</f>
        <v>NM</v>
      </c>
      <c r="O29" s="2"/>
      <c r="S29" s="2"/>
      <c r="T29" s="2"/>
      <c r="U29" s="2"/>
      <c r="V29" s="2"/>
      <c r="W29" s="2"/>
      <c r="X29" s="2"/>
      <c r="Y29" s="2"/>
      <c r="Z29" s="2"/>
      <c r="AA29" s="2"/>
      <c r="AB29" s="2"/>
      <c r="AC29" s="2"/>
      <c r="AD29" s="2"/>
      <c r="AE29" s="2"/>
      <c r="AF29" s="2"/>
      <c r="AG29" s="2"/>
      <c r="AH29" s="2"/>
      <c r="AI29" s="2"/>
      <c r="AJ29" s="2"/>
      <c r="AK29" s="2"/>
      <c r="AL29" s="2"/>
      <c r="AM29" s="2"/>
      <c r="AN29" s="2"/>
    </row>
    <row r="30" spans="1:40" ht="12.75" customHeight="1">
      <c r="A30" s="445" t="s">
        <v>814</v>
      </c>
      <c r="B30" s="2"/>
      <c r="C30" s="432">
        <f>-1.342-0.048+10.582+0.237-4.789</f>
        <v>4.6400000000000006</v>
      </c>
      <c r="D30" s="374">
        <f>BYD!AK78</f>
        <v>-5.8199999999999994</v>
      </c>
      <c r="E30" s="1103"/>
      <c r="F30" s="374">
        <f>C30-D30</f>
        <v>10.46</v>
      </c>
      <c r="G30" s="126">
        <f t="shared" si="1"/>
        <v>-1.7972508591065295</v>
      </c>
      <c r="H30" s="2"/>
      <c r="I30" s="432">
        <v>-2.9659999999999993</v>
      </c>
      <c r="J30" s="1103"/>
      <c r="K30" s="374">
        <f t="shared" si="2"/>
        <v>7.6059999999999999</v>
      </c>
      <c r="L30" s="1204">
        <f>IF(I30=0,"NM",C30/I30-1)</f>
        <v>-2.5643964935940664</v>
      </c>
      <c r="O30" s="2"/>
      <c r="S30" s="2"/>
      <c r="T30" s="2"/>
      <c r="U30" s="2"/>
      <c r="V30" s="2"/>
      <c r="W30" s="2"/>
      <c r="X30" s="2"/>
      <c r="Y30" s="2"/>
      <c r="Z30" s="2"/>
      <c r="AA30" s="2"/>
      <c r="AB30" s="2"/>
      <c r="AC30" s="2"/>
      <c r="AD30" s="2"/>
      <c r="AE30" s="2"/>
      <c r="AF30" s="2"/>
      <c r="AG30" s="2"/>
      <c r="AH30" s="2"/>
      <c r="AI30" s="2"/>
      <c r="AJ30" s="2"/>
      <c r="AK30" s="2"/>
      <c r="AL30" s="2"/>
      <c r="AM30" s="2"/>
      <c r="AN30" s="2"/>
    </row>
    <row r="31" spans="1:40" ht="4.5" customHeight="1">
      <c r="A31" s="964"/>
      <c r="B31" s="2"/>
      <c r="C31" s="453" t="s">
        <v>343</v>
      </c>
      <c r="D31" s="452" t="s">
        <v>343</v>
      </c>
      <c r="E31" s="96" t="s">
        <v>343</v>
      </c>
      <c r="F31" s="452" t="s">
        <v>343</v>
      </c>
      <c r="G31" s="1251" t="s">
        <v>343</v>
      </c>
      <c r="H31" s="2" t="s">
        <v>343</v>
      </c>
      <c r="I31" s="453" t="s">
        <v>343</v>
      </c>
      <c r="J31" s="96" t="s">
        <v>343</v>
      </c>
      <c r="K31" s="452" t="s">
        <v>343</v>
      </c>
      <c r="L31" s="1252" t="s">
        <v>343</v>
      </c>
      <c r="N31" s="1102"/>
      <c r="O31" s="1102"/>
      <c r="S31" s="2"/>
      <c r="T31" s="2"/>
      <c r="U31" s="2"/>
      <c r="V31" s="2"/>
      <c r="W31" s="2"/>
      <c r="X31" s="2"/>
      <c r="Y31" s="2"/>
      <c r="Z31" s="2"/>
      <c r="AA31" s="2"/>
      <c r="AB31" s="2"/>
      <c r="AC31" s="2"/>
      <c r="AD31" s="2"/>
      <c r="AE31" s="2"/>
      <c r="AF31" s="2"/>
      <c r="AG31" s="2"/>
      <c r="AH31" s="2"/>
      <c r="AI31" s="2"/>
      <c r="AJ31" s="2"/>
      <c r="AK31" s="2"/>
      <c r="AL31" s="2"/>
      <c r="AM31" s="2"/>
      <c r="AN31" s="2"/>
    </row>
    <row r="32" spans="1:40" ht="12.75" customHeight="1">
      <c r="A32" s="1" t="s">
        <v>745</v>
      </c>
      <c r="B32" s="2"/>
      <c r="C32" s="1213">
        <f>SUM(C27:C30)</f>
        <v>-1.2770000000000081</v>
      </c>
      <c r="D32" s="929">
        <f>SUM(D27:D30)</f>
        <v>-16.429000000000002</v>
      </c>
      <c r="E32" s="932"/>
      <c r="F32" s="1241">
        <f>C32-D32</f>
        <v>15.151999999999994</v>
      </c>
      <c r="G32" s="106">
        <f t="shared" si="1"/>
        <v>-0.92227159291496696</v>
      </c>
      <c r="H32" s="1205"/>
      <c r="I32" s="1213">
        <f>+SUM(I27:I30)</f>
        <v>-3.2388025091461312</v>
      </c>
      <c r="J32" s="932"/>
      <c r="K32" s="1241">
        <f t="shared" si="2"/>
        <v>1.9618025091461231</v>
      </c>
      <c r="L32" s="1214">
        <f>C32/I32-1</f>
        <v>-0.60571847267814027</v>
      </c>
      <c r="O32" s="2"/>
      <c r="S32" s="2"/>
      <c r="T32" s="2"/>
      <c r="U32" s="2"/>
      <c r="V32" s="2"/>
      <c r="W32" s="2"/>
      <c r="X32" s="2"/>
      <c r="Y32" s="2"/>
      <c r="Z32" s="2"/>
      <c r="AA32" s="2"/>
      <c r="AB32" s="2"/>
      <c r="AC32" s="2"/>
      <c r="AD32" s="2"/>
      <c r="AE32" s="2"/>
      <c r="AF32" s="2"/>
      <c r="AG32" s="2"/>
      <c r="AH32" s="2"/>
      <c r="AI32" s="2"/>
      <c r="AJ32" s="2"/>
      <c r="AK32" s="2"/>
      <c r="AL32" s="2"/>
      <c r="AM32" s="2"/>
      <c r="AN32" s="2"/>
    </row>
    <row r="33" spans="1:40" ht="12.75" customHeight="1">
      <c r="A33" s="445" t="s">
        <v>205</v>
      </c>
      <c r="B33" s="2"/>
      <c r="C33" s="432">
        <v>-1.7490000000000001</v>
      </c>
      <c r="D33" s="374">
        <f>BYD!AK81</f>
        <v>7.2960000000000003</v>
      </c>
      <c r="E33" s="1103"/>
      <c r="F33" s="374">
        <f>C33-D33</f>
        <v>-9.0449999999999999</v>
      </c>
      <c r="G33" s="126">
        <f t="shared" si="1"/>
        <v>-1.239720394736842</v>
      </c>
      <c r="H33" s="2"/>
      <c r="I33" s="432">
        <v>1.0133345322220269</v>
      </c>
      <c r="J33" s="1103"/>
      <c r="K33" s="374">
        <f t="shared" si="2"/>
        <v>-2.762334532222027</v>
      </c>
      <c r="L33" s="1204">
        <f>IF(I33=0,"NM",C33/I33-1)</f>
        <v>-2.7259848000687548</v>
      </c>
      <c r="O33" s="2"/>
      <c r="S33" s="2"/>
      <c r="T33" s="2"/>
      <c r="U33" s="2"/>
      <c r="V33" s="2"/>
      <c r="W33" s="2"/>
      <c r="X33" s="2"/>
      <c r="Y33" s="2"/>
      <c r="Z33" s="2"/>
      <c r="AA33" s="2"/>
      <c r="AB33" s="2"/>
      <c r="AC33" s="2"/>
      <c r="AD33" s="2"/>
      <c r="AE33" s="2"/>
      <c r="AF33" s="2"/>
      <c r="AG33" s="2"/>
      <c r="AH33" s="2"/>
      <c r="AI33" s="2"/>
      <c r="AJ33" s="2"/>
      <c r="AK33" s="2"/>
      <c r="AL33" s="2"/>
      <c r="AM33" s="2"/>
      <c r="AN33" s="2"/>
    </row>
    <row r="34" spans="1:40" ht="4.5" customHeight="1">
      <c r="A34" s="964"/>
      <c r="B34" s="2"/>
      <c r="C34" s="453" t="s">
        <v>343</v>
      </c>
      <c r="D34" s="452" t="s">
        <v>343</v>
      </c>
      <c r="E34" s="96" t="s">
        <v>343</v>
      </c>
      <c r="F34" s="452" t="s">
        <v>343</v>
      </c>
      <c r="G34" s="1251" t="s">
        <v>343</v>
      </c>
      <c r="H34" s="2" t="s">
        <v>343</v>
      </c>
      <c r="I34" s="453" t="s">
        <v>343</v>
      </c>
      <c r="J34" s="96" t="s">
        <v>343</v>
      </c>
      <c r="K34" s="452" t="s">
        <v>343</v>
      </c>
      <c r="L34" s="1252" t="s">
        <v>343</v>
      </c>
      <c r="N34" s="1102"/>
      <c r="O34" s="1102"/>
      <c r="S34" s="2"/>
      <c r="T34" s="2"/>
      <c r="U34" s="2"/>
      <c r="V34" s="2"/>
      <c r="W34" s="2"/>
      <c r="X34" s="2"/>
      <c r="Y34" s="2"/>
      <c r="Z34" s="2"/>
      <c r="AA34" s="2"/>
      <c r="AB34" s="2"/>
      <c r="AC34" s="2"/>
      <c r="AD34" s="2"/>
      <c r="AE34" s="2"/>
      <c r="AF34" s="2"/>
      <c r="AG34" s="2"/>
      <c r="AH34" s="2"/>
      <c r="AI34" s="2"/>
      <c r="AJ34" s="2"/>
      <c r="AK34" s="2"/>
      <c r="AL34" s="2"/>
      <c r="AM34" s="2"/>
      <c r="AN34" s="2"/>
    </row>
    <row r="35" spans="1:40" ht="12.75" customHeight="1">
      <c r="A35" s="107" t="s">
        <v>1243</v>
      </c>
      <c r="B35" s="61"/>
      <c r="C35" s="1213">
        <f>C32+C33</f>
        <v>-3.0260000000000082</v>
      </c>
      <c r="D35" s="929">
        <f>D32+D33</f>
        <v>-9.1330000000000027</v>
      </c>
      <c r="E35" s="932"/>
      <c r="F35" s="1241">
        <f>F32+F33</f>
        <v>6.106999999999994</v>
      </c>
      <c r="G35" s="1215">
        <f>G32+G33</f>
        <v>-2.1619919876518088</v>
      </c>
      <c r="H35" s="932"/>
      <c r="I35" s="1213">
        <f>+SUM(I32:I33)</f>
        <v>-2.2254679769241044</v>
      </c>
      <c r="J35" s="932"/>
      <c r="K35" s="1241">
        <f>K32+K33</f>
        <v>-0.80053202307590388</v>
      </c>
      <c r="L35" s="1215">
        <f>L32+L33</f>
        <v>-3.3317032727468949</v>
      </c>
      <c r="M35" s="1238"/>
      <c r="N35" s="1238"/>
      <c r="O35" s="61"/>
      <c r="S35" s="2">
        <v>157.71</v>
      </c>
      <c r="T35" s="2"/>
      <c r="U35" s="2"/>
      <c r="V35" s="2"/>
      <c r="W35" s="2"/>
      <c r="X35" s="2"/>
      <c r="Y35" s="2"/>
      <c r="Z35" s="2"/>
      <c r="AA35" s="2"/>
      <c r="AB35" s="2"/>
      <c r="AC35" s="2"/>
      <c r="AD35" s="2"/>
      <c r="AE35" s="2"/>
      <c r="AF35" s="2"/>
      <c r="AG35" s="2"/>
      <c r="AH35" s="2"/>
      <c r="AI35" s="2"/>
      <c r="AJ35" s="2"/>
      <c r="AK35" s="2"/>
      <c r="AL35" s="2"/>
      <c r="AM35" s="2"/>
      <c r="AN35" s="2"/>
    </row>
    <row r="36" spans="1:40" ht="12.75" customHeight="1">
      <c r="A36" s="445" t="s">
        <v>130</v>
      </c>
      <c r="B36" s="2"/>
      <c r="C36" s="432">
        <v>2.5350000000000001</v>
      </c>
      <c r="D36" s="374">
        <f>BYD!AK85</f>
        <v>2.0680000000000001</v>
      </c>
      <c r="E36" s="1103"/>
      <c r="F36" s="374">
        <f>C36-D36</f>
        <v>0.46700000000000008</v>
      </c>
      <c r="G36" s="126">
        <f>IF(D36=0,0,C36/D36-1)</f>
        <v>0.22582205029013536</v>
      </c>
      <c r="H36" s="2"/>
      <c r="I36" s="432">
        <v>-0.79084406501043569</v>
      </c>
      <c r="J36" s="1103"/>
      <c r="K36" s="374">
        <f>C36-I36</f>
        <v>3.3258440650104357</v>
      </c>
      <c r="L36" s="1204">
        <f>IF(I36=0,"NM",C36/I36-1)</f>
        <v>-4.2054359540101611</v>
      </c>
      <c r="O36" s="2"/>
      <c r="S36" s="2">
        <v>148.75899999999999</v>
      </c>
      <c r="T36" s="2"/>
      <c r="U36" s="2"/>
      <c r="V36" s="2"/>
      <c r="W36" s="2"/>
      <c r="X36" s="2"/>
      <c r="Y36" s="2"/>
      <c r="Z36" s="2"/>
      <c r="AA36" s="2"/>
      <c r="AB36" s="2"/>
      <c r="AC36" s="2"/>
      <c r="AD36" s="2"/>
      <c r="AE36" s="2"/>
      <c r="AF36" s="2"/>
      <c r="AG36" s="2"/>
      <c r="AH36" s="2"/>
      <c r="AI36" s="2"/>
      <c r="AJ36" s="2"/>
      <c r="AK36" s="2"/>
      <c r="AL36" s="2"/>
      <c r="AM36" s="2"/>
      <c r="AN36" s="2"/>
    </row>
    <row r="37" spans="1:40" ht="4.5" customHeight="1">
      <c r="A37" s="964"/>
      <c r="B37" s="2"/>
      <c r="C37" s="453" t="s">
        <v>343</v>
      </c>
      <c r="D37" s="452" t="s">
        <v>343</v>
      </c>
      <c r="E37" s="96" t="s">
        <v>343</v>
      </c>
      <c r="F37" s="452" t="s">
        <v>343</v>
      </c>
      <c r="G37" s="1251" t="s">
        <v>343</v>
      </c>
      <c r="H37" s="2" t="s">
        <v>343</v>
      </c>
      <c r="I37" s="453" t="s">
        <v>343</v>
      </c>
      <c r="J37" s="96" t="s">
        <v>343</v>
      </c>
      <c r="K37" s="452" t="s">
        <v>343</v>
      </c>
      <c r="L37" s="1252" t="s">
        <v>343</v>
      </c>
      <c r="N37" s="1102"/>
      <c r="O37" s="1102"/>
      <c r="S37" s="2"/>
      <c r="T37" s="2"/>
      <c r="U37" s="2"/>
      <c r="V37" s="2"/>
      <c r="W37" s="2"/>
      <c r="X37" s="2"/>
      <c r="Y37" s="2"/>
      <c r="Z37" s="2"/>
      <c r="AA37" s="2"/>
      <c r="AB37" s="2"/>
      <c r="AC37" s="2"/>
      <c r="AD37" s="2"/>
      <c r="AE37" s="2"/>
      <c r="AF37" s="2"/>
      <c r="AG37" s="2"/>
      <c r="AH37" s="2"/>
      <c r="AI37" s="2"/>
      <c r="AJ37" s="2"/>
      <c r="AK37" s="2"/>
      <c r="AL37" s="2"/>
      <c r="AM37" s="2"/>
      <c r="AN37" s="2"/>
    </row>
    <row r="38" spans="1:40" ht="12.75" customHeight="1">
      <c r="A38" s="107" t="s">
        <v>1540</v>
      </c>
      <c r="B38" s="2"/>
      <c r="C38" s="1213">
        <f>C35+C36</f>
        <v>-0.4910000000000081</v>
      </c>
      <c r="D38" s="929">
        <f>D35+D36</f>
        <v>-7.0650000000000031</v>
      </c>
      <c r="E38" s="932"/>
      <c r="F38" s="1241">
        <f>F35+F36</f>
        <v>6.5739999999999945</v>
      </c>
      <c r="G38" s="1215">
        <f>G35+G36</f>
        <v>-1.9361699373616734</v>
      </c>
      <c r="H38" s="932"/>
      <c r="I38" s="1213">
        <f>+SUM(I35:I36)</f>
        <v>-3.0163120419345399</v>
      </c>
      <c r="J38" s="932"/>
      <c r="K38" s="1241">
        <f>K35+K36</f>
        <v>2.5253120419345318</v>
      </c>
      <c r="L38" s="1215">
        <f>L35+L36</f>
        <v>-7.5371392267570556</v>
      </c>
      <c r="O38" s="2"/>
      <c r="S38" s="105">
        <f>+S35/S36-1</f>
        <v>6.0171149308613447E-2</v>
      </c>
      <c r="T38" s="2"/>
      <c r="U38" s="2"/>
      <c r="V38" s="2"/>
      <c r="W38" s="2"/>
      <c r="X38" s="2"/>
      <c r="Y38" s="2"/>
      <c r="Z38" s="2"/>
      <c r="AA38" s="2"/>
      <c r="AB38" s="2"/>
      <c r="AC38" s="2"/>
      <c r="AD38" s="2"/>
      <c r="AE38" s="2"/>
      <c r="AF38" s="2"/>
      <c r="AG38" s="2"/>
      <c r="AH38" s="2"/>
      <c r="AI38" s="2"/>
      <c r="AJ38" s="2"/>
      <c r="AK38" s="2"/>
      <c r="AL38" s="2"/>
      <c r="AM38" s="2"/>
      <c r="AN38" s="2"/>
    </row>
    <row r="39" spans="1:40" ht="12.75" customHeight="1">
      <c r="A39" s="2" t="s">
        <v>1562</v>
      </c>
      <c r="B39" s="2"/>
      <c r="C39" s="1104">
        <f>3.929+4.176+0.376-10.582+0.137+0.79+1.029+0.067+0.048-1.316-1.035</f>
        <v>-2.3810000000000011</v>
      </c>
      <c r="D39" s="104">
        <f>BYD!AK87</f>
        <v>5.8369999999999989</v>
      </c>
      <c r="E39" s="61"/>
      <c r="F39" s="61"/>
      <c r="G39" s="1141"/>
      <c r="H39" s="2"/>
      <c r="I39" s="1104">
        <v>2.9659999999999993</v>
      </c>
      <c r="J39" s="61"/>
      <c r="K39" s="61"/>
      <c r="L39" s="1216"/>
      <c r="O39" s="2"/>
      <c r="S39" s="2"/>
      <c r="T39" s="2"/>
      <c r="U39" s="2"/>
      <c r="V39" s="2"/>
      <c r="W39" s="2"/>
      <c r="X39" s="2"/>
      <c r="Y39" s="2"/>
      <c r="Z39" s="2"/>
      <c r="AA39" s="2"/>
      <c r="AB39" s="2"/>
      <c r="AC39" s="2"/>
      <c r="AD39" s="2"/>
      <c r="AE39" s="2"/>
      <c r="AF39" s="2"/>
      <c r="AG39" s="2"/>
      <c r="AH39" s="2"/>
      <c r="AI39" s="2"/>
      <c r="AJ39" s="2"/>
      <c r="AK39" s="2"/>
      <c r="AL39" s="2"/>
      <c r="AM39" s="2"/>
      <c r="AN39" s="2"/>
    </row>
    <row r="40" spans="1:40" ht="12.75" customHeight="1">
      <c r="A40" s="147" t="s">
        <v>1747</v>
      </c>
      <c r="B40" s="160"/>
      <c r="C40" s="1217">
        <f>SUM(C38:C39)</f>
        <v>-2.8720000000000092</v>
      </c>
      <c r="D40" s="1309">
        <f>BYD!AK88</f>
        <v>-1.2280000000000113</v>
      </c>
      <c r="E40" s="1218"/>
      <c r="F40" s="1218">
        <f>C40-D40</f>
        <v>-1.6439999999999979</v>
      </c>
      <c r="G40" s="1219">
        <f>IF(D40=0,0,C40/D40-1)</f>
        <v>1.3387622149836993</v>
      </c>
      <c r="H40" s="1220"/>
      <c r="I40" s="1217">
        <f>+SUM(I38:I39)</f>
        <v>-5.0312041934540641E-2</v>
      </c>
      <c r="J40" s="1218"/>
      <c r="K40" s="1218">
        <f>C40-I40</f>
        <v>-2.8216879580654686</v>
      </c>
      <c r="L40" s="1221">
        <f>C40/I40-1</f>
        <v>56.083749527333332</v>
      </c>
      <c r="O40" s="2"/>
      <c r="S40" s="2"/>
      <c r="T40" s="2"/>
      <c r="U40" s="2"/>
      <c r="V40" s="2"/>
      <c r="W40" s="2"/>
      <c r="X40" s="2"/>
      <c r="Y40" s="2"/>
      <c r="Z40" s="2"/>
      <c r="AA40" s="2"/>
      <c r="AB40" s="2"/>
      <c r="AC40" s="2"/>
      <c r="AD40" s="2"/>
      <c r="AE40" s="2"/>
      <c r="AF40" s="2"/>
      <c r="AG40" s="2"/>
      <c r="AH40" s="2"/>
      <c r="AI40" s="2"/>
      <c r="AJ40" s="2"/>
      <c r="AK40" s="2"/>
      <c r="AL40" s="2"/>
      <c r="AM40" s="2"/>
      <c r="AN40" s="2"/>
    </row>
    <row r="41" spans="1:40" ht="12.75" customHeight="1">
      <c r="A41" s="2"/>
      <c r="B41" s="2"/>
      <c r="C41" s="112"/>
      <c r="D41" s="77"/>
      <c r="E41" s="61"/>
      <c r="F41" s="61"/>
      <c r="G41" s="1141"/>
      <c r="H41" s="2"/>
      <c r="I41" s="115"/>
      <c r="J41" s="61"/>
      <c r="K41" s="61"/>
      <c r="L41" s="1216"/>
      <c r="O41" s="2"/>
      <c r="S41" s="2"/>
      <c r="T41" s="2"/>
      <c r="U41" s="2"/>
      <c r="V41" s="2"/>
      <c r="W41" s="2"/>
      <c r="X41" s="2"/>
      <c r="Y41" s="2"/>
      <c r="Z41" s="2"/>
      <c r="AA41" s="2"/>
      <c r="AB41" s="2"/>
      <c r="AC41" s="2"/>
      <c r="AD41" s="2"/>
      <c r="AE41" s="2"/>
      <c r="AF41" s="2"/>
      <c r="AG41" s="2"/>
      <c r="AH41" s="2"/>
      <c r="AI41" s="2"/>
      <c r="AJ41" s="2"/>
      <c r="AK41" s="2"/>
      <c r="AL41" s="2"/>
      <c r="AM41" s="2"/>
      <c r="AN41" s="2"/>
    </row>
    <row r="42" spans="1:40" ht="12.75" customHeight="1">
      <c r="A42" s="138" t="s">
        <v>746</v>
      </c>
      <c r="B42" s="155"/>
      <c r="C42" s="153">
        <f>C40/C43</f>
        <v>-3.2736059818538381E-2</v>
      </c>
      <c r="D42" s="152">
        <f>+D40/D43</f>
        <v>-1.4134926390183954E-2</v>
      </c>
      <c r="E42" s="152"/>
      <c r="F42" s="152">
        <f>C42-D42</f>
        <v>-1.8601133428354427E-2</v>
      </c>
      <c r="G42" s="1208">
        <f>IF(D42=0,0,C42/D42-1)</f>
        <v>1.3159696000448964</v>
      </c>
      <c r="H42" s="155"/>
      <c r="I42" s="153">
        <f>+I40/I43</f>
        <v>-5.7694649252947852E-4</v>
      </c>
      <c r="J42" s="152"/>
      <c r="K42" s="152">
        <f>C42-I42</f>
        <v>-3.2159113326008903E-2</v>
      </c>
      <c r="L42" s="1211">
        <f>C42/I42-1</f>
        <v>55.740200768038754</v>
      </c>
      <c r="O42" s="1256">
        <v>-0.01</v>
      </c>
      <c r="S42" s="2"/>
      <c r="T42" s="2"/>
      <c r="U42" s="2"/>
      <c r="V42" s="2"/>
      <c r="W42" s="2"/>
      <c r="X42" s="2"/>
      <c r="Y42" s="2"/>
      <c r="Z42" s="2"/>
      <c r="AA42" s="2"/>
      <c r="AB42" s="2"/>
      <c r="AC42" s="2"/>
      <c r="AD42" s="2"/>
      <c r="AE42" s="2"/>
      <c r="AF42" s="2"/>
      <c r="AG42" s="2"/>
      <c r="AH42" s="2"/>
      <c r="AI42" s="2"/>
      <c r="AJ42" s="2"/>
      <c r="AK42" s="2"/>
      <c r="AL42" s="2"/>
      <c r="AM42" s="2"/>
      <c r="AN42" s="2"/>
    </row>
    <row r="43" spans="1:40" ht="12.75" customHeight="1">
      <c r="A43" s="2" t="s">
        <v>769</v>
      </c>
      <c r="B43" s="2"/>
      <c r="C43" s="1104">
        <v>87.731999999999999</v>
      </c>
      <c r="D43" s="104">
        <f>BYD!AK103</f>
        <v>86.876999999999995</v>
      </c>
      <c r="E43" s="1103"/>
      <c r="F43" s="374">
        <f>C43-D43</f>
        <v>0.85500000000000398</v>
      </c>
      <c r="G43" s="126">
        <f>IF(D43=0,0,C43/D43-1)</f>
        <v>9.8415000517975137E-3</v>
      </c>
      <c r="H43" s="2"/>
      <c r="I43" s="1104">
        <v>87.203999999999994</v>
      </c>
      <c r="J43" s="1103"/>
      <c r="K43" s="374">
        <f>C43-I43</f>
        <v>0.5280000000000058</v>
      </c>
      <c r="L43" s="1204">
        <f>C43/I43-1</f>
        <v>6.0547681299023548E-3</v>
      </c>
      <c r="O43" s="2"/>
      <c r="S43" s="2"/>
      <c r="T43" s="2"/>
      <c r="U43" s="2"/>
      <c r="V43" s="2"/>
      <c r="W43" s="2"/>
      <c r="X43" s="2"/>
      <c r="Y43" s="2"/>
      <c r="Z43" s="2"/>
      <c r="AA43" s="2"/>
      <c r="AB43" s="2"/>
      <c r="AC43" s="2"/>
      <c r="AD43" s="2"/>
      <c r="AE43" s="2"/>
      <c r="AF43" s="2"/>
      <c r="AG43" s="2"/>
      <c r="AH43" s="2"/>
      <c r="AI43" s="2"/>
      <c r="AJ43" s="2"/>
      <c r="AK43" s="2"/>
      <c r="AL43" s="2"/>
      <c r="AM43" s="2"/>
      <c r="AN43" s="2"/>
    </row>
    <row r="44" spans="1:40" ht="12.75" customHeight="1">
      <c r="A44" s="2"/>
      <c r="B44" s="2"/>
      <c r="C44" s="112"/>
      <c r="D44" s="77"/>
      <c r="E44" s="61"/>
      <c r="F44" s="2"/>
      <c r="G44" s="2"/>
      <c r="H44" s="2"/>
      <c r="I44" s="142"/>
      <c r="J44" s="61"/>
      <c r="K44" s="61"/>
      <c r="L44" s="2"/>
      <c r="O44" s="2"/>
      <c r="S44" s="2"/>
      <c r="T44" s="2"/>
      <c r="U44" s="2"/>
      <c r="V44" s="2"/>
      <c r="W44" s="2"/>
      <c r="X44" s="2"/>
      <c r="Y44" s="2"/>
      <c r="Z44" s="2"/>
      <c r="AA44" s="2"/>
      <c r="AB44" s="2"/>
      <c r="AC44" s="2"/>
      <c r="AD44" s="2"/>
      <c r="AE44" s="2"/>
      <c r="AF44" s="2"/>
      <c r="AG44" s="2"/>
      <c r="AH44" s="2"/>
      <c r="AI44" s="2"/>
      <c r="AJ44" s="2"/>
      <c r="AK44" s="2"/>
      <c r="AL44" s="2"/>
      <c r="AM44" s="2"/>
      <c r="AN44" s="2"/>
    </row>
    <row r="45" spans="1:40" ht="12.75" customHeight="1">
      <c r="A45" s="1222" t="s">
        <v>271</v>
      </c>
      <c r="B45" s="1223"/>
      <c r="C45" s="1224">
        <f>C20/C13</f>
        <v>0.20543356964954765</v>
      </c>
      <c r="D45" s="1400">
        <f>D20/D13</f>
        <v>0.19895638844290103</v>
      </c>
      <c r="E45" s="1225"/>
      <c r="F45" s="1223"/>
      <c r="G45" s="1226">
        <f>(C45-D45)</f>
        <v>6.477181206646615E-3</v>
      </c>
      <c r="H45" s="1223"/>
      <c r="I45" s="1431">
        <f>I20/I13</f>
        <v>0.20721952755039486</v>
      </c>
      <c r="J45" s="1225"/>
      <c r="K45" s="1223"/>
      <c r="L45" s="1227">
        <f>(C45-I46)</f>
        <v>-3.4404982048749144E-2</v>
      </c>
      <c r="O45" s="2"/>
      <c r="S45" s="2"/>
      <c r="T45" s="2"/>
      <c r="U45" s="2"/>
      <c r="V45" s="2"/>
      <c r="W45" s="2"/>
      <c r="X45" s="2"/>
      <c r="Y45" s="2"/>
      <c r="Z45" s="2"/>
      <c r="AA45" s="2"/>
      <c r="AB45" s="2"/>
      <c r="AC45" s="2"/>
      <c r="AD45" s="2"/>
      <c r="AE45" s="2"/>
      <c r="AF45" s="2"/>
      <c r="AG45" s="2"/>
      <c r="AH45" s="2"/>
      <c r="AI45" s="2"/>
      <c r="AJ45" s="2"/>
      <c r="AK45" s="2"/>
      <c r="AL45" s="2"/>
      <c r="AM45" s="2"/>
      <c r="AN45" s="2"/>
    </row>
    <row r="46" spans="1:40" ht="12.75" customHeight="1">
      <c r="A46" s="1239" t="s">
        <v>514</v>
      </c>
      <c r="B46" s="1228"/>
      <c r="C46" s="1229">
        <f t="shared" ref="C46:D49" si="3">C16/C8</f>
        <v>0.24127678524650284</v>
      </c>
      <c r="D46" s="1230">
        <f t="shared" si="3"/>
        <v>0.22432505275336406</v>
      </c>
      <c r="E46" s="1230"/>
      <c r="F46" s="1228"/>
      <c r="G46" s="1231">
        <f>(C46-D46)</f>
        <v>1.6951732493138777E-2</v>
      </c>
      <c r="H46" s="1228"/>
      <c r="I46" s="1229">
        <f>I16/I8</f>
        <v>0.23983855169829679</v>
      </c>
      <c r="J46" s="1230"/>
      <c r="K46" s="1228"/>
      <c r="L46" s="1232">
        <f>(C46-I46)</f>
        <v>1.4382335482060471E-3</v>
      </c>
      <c r="N46" s="1403"/>
      <c r="O46" s="98"/>
      <c r="S46" s="2"/>
      <c r="T46" s="2"/>
      <c r="U46" s="2"/>
      <c r="V46" s="2"/>
      <c r="W46" s="2"/>
      <c r="X46" s="2"/>
      <c r="Y46" s="2"/>
      <c r="Z46" s="2"/>
      <c r="AA46" s="2"/>
      <c r="AB46" s="2"/>
      <c r="AC46" s="2"/>
      <c r="AD46" s="2"/>
      <c r="AE46" s="2"/>
      <c r="AF46" s="2"/>
      <c r="AG46" s="2"/>
      <c r="AH46" s="2"/>
      <c r="AI46" s="2"/>
      <c r="AJ46" s="2"/>
      <c r="AK46" s="2"/>
      <c r="AL46" s="2"/>
      <c r="AM46" s="2"/>
      <c r="AN46" s="2"/>
    </row>
    <row r="47" spans="1:40" ht="12.75" customHeight="1">
      <c r="A47" s="1239" t="s">
        <v>515</v>
      </c>
      <c r="B47" s="1228"/>
      <c r="C47" s="1229">
        <f t="shared" si="3"/>
        <v>0.18474203609960629</v>
      </c>
      <c r="D47" s="1230">
        <f t="shared" si="3"/>
        <v>0.19018780739677593</v>
      </c>
      <c r="E47" s="1230"/>
      <c r="F47" s="1228"/>
      <c r="G47" s="1231">
        <f>(C47-D47)</f>
        <v>-5.4457712971696381E-3</v>
      </c>
      <c r="H47" s="1228"/>
      <c r="I47" s="1229">
        <f>I17/I9</f>
        <v>0.19018780739677596</v>
      </c>
      <c r="J47" s="1230"/>
      <c r="K47" s="1228"/>
      <c r="L47" s="1232">
        <f>(C47-I47)</f>
        <v>-5.4457712971696659E-3</v>
      </c>
      <c r="N47" s="1403"/>
      <c r="O47" s="98"/>
      <c r="S47" s="2"/>
      <c r="T47" s="2"/>
      <c r="U47" s="2"/>
      <c r="V47" s="2"/>
      <c r="W47" s="2"/>
      <c r="X47" s="2"/>
      <c r="Y47" s="2"/>
      <c r="Z47" s="2"/>
      <c r="AA47" s="2"/>
      <c r="AB47" s="2"/>
      <c r="AC47" s="2"/>
      <c r="AD47" s="2"/>
      <c r="AE47" s="2"/>
      <c r="AF47" s="2"/>
      <c r="AG47" s="2"/>
      <c r="AH47" s="2"/>
      <c r="AI47" s="2"/>
      <c r="AJ47" s="2"/>
      <c r="AK47" s="2"/>
      <c r="AL47" s="2"/>
      <c r="AM47" s="2"/>
      <c r="AN47" s="2"/>
    </row>
    <row r="48" spans="1:40" ht="12.75" customHeight="1">
      <c r="A48" s="1239" t="s">
        <v>516</v>
      </c>
      <c r="B48" s="1228"/>
      <c r="C48" s="1229">
        <f t="shared" si="3"/>
        <v>0.17966879168256217</v>
      </c>
      <c r="D48" s="1230">
        <f t="shared" si="3"/>
        <v>0.17631819920484973</v>
      </c>
      <c r="E48" s="1230"/>
      <c r="F48" s="1228"/>
      <c r="G48" s="1231">
        <f>(C48-D48)</f>
        <v>3.3505924777124385E-3</v>
      </c>
      <c r="H48" s="1228"/>
      <c r="I48" s="1229">
        <f>I18/I10</f>
        <v>0.18657803306512091</v>
      </c>
      <c r="J48" s="1230"/>
      <c r="K48" s="1228"/>
      <c r="L48" s="1232">
        <f>(C48-I48)</f>
        <v>-6.9092413825587451E-3</v>
      </c>
      <c r="N48" s="105"/>
      <c r="O48" s="105"/>
      <c r="S48" s="2"/>
      <c r="T48" s="2"/>
      <c r="U48" s="2"/>
      <c r="V48" s="2"/>
      <c r="W48" s="2"/>
      <c r="X48" s="2"/>
      <c r="Y48" s="2"/>
      <c r="Z48" s="2"/>
      <c r="AA48" s="2"/>
      <c r="AB48" s="2"/>
      <c r="AC48" s="2"/>
      <c r="AD48" s="2"/>
      <c r="AE48" s="2"/>
      <c r="AF48" s="2"/>
      <c r="AG48" s="2"/>
      <c r="AH48" s="2"/>
      <c r="AI48" s="2"/>
      <c r="AJ48" s="2"/>
      <c r="AK48" s="2"/>
      <c r="AL48" s="2"/>
      <c r="AM48" s="2"/>
      <c r="AN48" s="2"/>
    </row>
    <row r="49" spans="1:40" ht="12.75" customHeight="1">
      <c r="A49" s="1240" t="s">
        <v>273</v>
      </c>
      <c r="B49" s="1233"/>
      <c r="C49" s="1234">
        <f t="shared" si="3"/>
        <v>0.21461368403151748</v>
      </c>
      <c r="D49" s="1235">
        <f t="shared" si="3"/>
        <v>0.2022027893308686</v>
      </c>
      <c r="E49" s="1235"/>
      <c r="F49" s="1233"/>
      <c r="G49" s="1236">
        <f>(C49-D49)</f>
        <v>1.2410894700648878E-2</v>
      </c>
      <c r="H49" s="1233"/>
      <c r="I49" s="1234">
        <f>I19/I11</f>
        <v>0.21</v>
      </c>
      <c r="J49" s="1235"/>
      <c r="K49" s="1233"/>
      <c r="L49" s="1237">
        <f>(C49-I49)</f>
        <v>4.6136840315174898E-3</v>
      </c>
      <c r="M49" s="1238"/>
      <c r="O49" s="2"/>
      <c r="S49" s="2"/>
      <c r="T49" s="2"/>
      <c r="U49" s="2"/>
      <c r="V49" s="2"/>
      <c r="W49" s="2"/>
      <c r="X49" s="2"/>
      <c r="Y49" s="2"/>
      <c r="Z49" s="2"/>
      <c r="AA49" s="2"/>
      <c r="AB49" s="2"/>
      <c r="AC49" s="2"/>
      <c r="AD49" s="2"/>
      <c r="AE49" s="2"/>
      <c r="AF49" s="2"/>
      <c r="AG49" s="2"/>
      <c r="AH49" s="2"/>
      <c r="AI49" s="2"/>
      <c r="AJ49" s="2"/>
      <c r="AK49" s="2"/>
      <c r="AL49" s="2"/>
      <c r="AM49" s="2"/>
      <c r="AN49" s="2"/>
    </row>
    <row r="50" spans="1:40" ht="12.75" customHeight="1">
      <c r="A50" s="61"/>
      <c r="B50" s="61"/>
      <c r="C50" s="1435"/>
      <c r="D50" s="77"/>
      <c r="E50" s="61"/>
      <c r="F50" s="61"/>
      <c r="G50" s="61"/>
      <c r="H50" s="61"/>
      <c r="I50" s="1435"/>
      <c r="J50" s="61"/>
      <c r="K50" s="61"/>
      <c r="L50" s="61"/>
      <c r="O50" s="2"/>
      <c r="S50" s="2"/>
      <c r="T50" s="2"/>
      <c r="U50" s="2"/>
      <c r="V50" s="2"/>
      <c r="W50" s="2"/>
      <c r="X50" s="2"/>
      <c r="Y50" s="2"/>
      <c r="Z50" s="2"/>
      <c r="AA50" s="2"/>
      <c r="AB50" s="2"/>
      <c r="AC50" s="2"/>
      <c r="AD50" s="2"/>
      <c r="AE50" s="2"/>
      <c r="AF50" s="2"/>
      <c r="AG50" s="2"/>
      <c r="AH50" s="2"/>
      <c r="AI50" s="2"/>
      <c r="AJ50" s="2"/>
      <c r="AK50" s="2"/>
      <c r="AL50" s="2"/>
      <c r="AM50" s="2"/>
      <c r="AN50" s="2"/>
    </row>
    <row r="51" spans="1:40" ht="12.75" customHeight="1">
      <c r="A51" s="61"/>
      <c r="B51" s="61"/>
      <c r="C51" s="374"/>
      <c r="D51" s="374"/>
      <c r="E51" s="61"/>
      <c r="F51" s="374"/>
      <c r="G51" s="95"/>
      <c r="H51" s="313"/>
      <c r="I51" s="376"/>
      <c r="J51" s="932"/>
      <c r="K51" s="374"/>
      <c r="L51" s="1204"/>
      <c r="O51" s="2"/>
      <c r="S51" s="2"/>
      <c r="T51" s="2"/>
      <c r="U51" s="2"/>
      <c r="V51" s="2"/>
      <c r="W51" s="2"/>
      <c r="X51" s="2"/>
      <c r="Y51" s="2"/>
      <c r="Z51" s="2"/>
      <c r="AA51" s="2"/>
      <c r="AB51" s="2"/>
      <c r="AC51" s="2"/>
      <c r="AD51" s="2"/>
      <c r="AE51" s="2"/>
      <c r="AF51" s="2"/>
      <c r="AG51" s="2"/>
      <c r="AH51" s="2"/>
      <c r="AI51" s="2"/>
      <c r="AJ51" s="2"/>
      <c r="AK51" s="2"/>
      <c r="AL51" s="2"/>
      <c r="AM51" s="2"/>
      <c r="AN51" s="2"/>
    </row>
    <row r="52" spans="1:40" ht="12.75" customHeight="1">
      <c r="A52" s="743"/>
      <c r="B52" s="61"/>
      <c r="C52" s="1618">
        <f>+C22/C13</f>
        <v>0.18835187984301266</v>
      </c>
      <c r="D52" s="1618">
        <f>+D22/D13</f>
        <v>0.18170210756500324</v>
      </c>
      <c r="E52" s="61"/>
      <c r="F52" s="1618">
        <f>+C52-D52</f>
        <v>6.6497722780094193E-3</v>
      </c>
      <c r="G52" s="1433"/>
      <c r="H52" s="61"/>
      <c r="I52" s="1618">
        <f>+I22/I13</f>
        <v>0.19064776471454192</v>
      </c>
      <c r="J52" s="1103"/>
      <c r="K52" s="452"/>
      <c r="L52" s="1252"/>
      <c r="N52" s="1404"/>
      <c r="O52" s="1404"/>
      <c r="S52" s="2"/>
      <c r="T52" s="2"/>
      <c r="U52" s="2"/>
      <c r="V52" s="2"/>
      <c r="W52" s="2"/>
      <c r="X52" s="2"/>
      <c r="Y52" s="2"/>
      <c r="Z52" s="2"/>
      <c r="AA52" s="2"/>
      <c r="AB52" s="2"/>
      <c r="AC52" s="2"/>
      <c r="AD52" s="2"/>
      <c r="AE52" s="2"/>
      <c r="AF52" s="2"/>
      <c r="AG52" s="2"/>
      <c r="AH52" s="2"/>
      <c r="AI52" s="2"/>
      <c r="AJ52" s="2"/>
      <c r="AK52" s="2"/>
      <c r="AL52" s="2"/>
      <c r="AM52" s="2"/>
      <c r="AN52" s="2"/>
    </row>
    <row r="53" spans="1:40" ht="12.75" customHeight="1">
      <c r="A53" s="1"/>
      <c r="B53" s="2"/>
      <c r="C53" s="1241"/>
      <c r="D53" s="1241"/>
      <c r="E53" s="61"/>
      <c r="F53" s="374"/>
      <c r="G53" s="95"/>
      <c r="H53" s="61"/>
      <c r="I53" s="1434"/>
      <c r="J53" s="1103"/>
      <c r="K53" s="1241"/>
      <c r="L53" s="1204"/>
      <c r="O53" s="1143"/>
    </row>
    <row r="54" spans="1:40" ht="4.5" customHeight="1">
      <c r="A54" s="2"/>
      <c r="B54" s="2"/>
      <c r="C54" s="61"/>
      <c r="D54" s="77"/>
      <c r="E54" s="61"/>
      <c r="F54" s="61"/>
      <c r="G54" s="61"/>
      <c r="H54" s="61"/>
      <c r="I54" s="61"/>
      <c r="J54" s="2"/>
      <c r="K54" s="2"/>
      <c r="L54" s="2"/>
      <c r="O54" s="2"/>
    </row>
    <row r="55" spans="1:40" ht="6" customHeight="1">
      <c r="A55" s="2"/>
      <c r="B55" s="2"/>
      <c r="C55" s="2"/>
      <c r="D55" s="1062"/>
      <c r="E55" s="2"/>
      <c r="F55" s="2"/>
      <c r="G55" s="2"/>
      <c r="H55" s="2"/>
      <c r="I55" s="2"/>
      <c r="J55" s="2"/>
      <c r="K55" s="2"/>
      <c r="L55" s="2"/>
      <c r="O55" s="2"/>
    </row>
    <row r="56" spans="1:40" ht="12.75" customHeight="1">
      <c r="A56" s="2"/>
      <c r="B56" s="2"/>
      <c r="C56" s="2"/>
      <c r="D56" s="1062"/>
      <c r="E56" s="2"/>
      <c r="F56" s="2"/>
      <c r="G56" s="2"/>
      <c r="H56" s="2"/>
      <c r="I56" s="2"/>
      <c r="J56" s="2"/>
      <c r="K56" s="2"/>
      <c r="L56" s="2"/>
      <c r="O56" s="2"/>
    </row>
    <row r="57" spans="1:40" ht="12.75" customHeight="1">
      <c r="A57" s="2"/>
      <c r="B57" s="2"/>
      <c r="C57" s="2"/>
      <c r="D57" s="1062"/>
      <c r="E57" s="2"/>
      <c r="F57" s="2"/>
      <c r="G57" s="2"/>
      <c r="H57" s="2"/>
      <c r="I57" s="2"/>
      <c r="J57" s="2"/>
      <c r="K57" s="2"/>
      <c r="L57" s="2"/>
      <c r="O57" s="2"/>
    </row>
    <row r="58" spans="1:40" ht="12.75" customHeight="1">
      <c r="A58" s="2"/>
      <c r="B58" s="2"/>
      <c r="C58" s="2"/>
      <c r="D58" s="1062"/>
      <c r="E58" s="2"/>
      <c r="F58" s="2"/>
      <c r="G58" s="2"/>
      <c r="H58" s="2"/>
      <c r="I58" s="2"/>
      <c r="J58" s="2"/>
      <c r="K58" s="2"/>
      <c r="L58" s="2"/>
      <c r="O58" s="2"/>
    </row>
    <row r="59" spans="1:40" ht="12.75" customHeight="1">
      <c r="A59" s="2"/>
      <c r="B59" s="2"/>
      <c r="C59" s="2"/>
      <c r="D59" s="1062"/>
      <c r="E59" s="2"/>
      <c r="F59" s="2"/>
      <c r="G59" s="2"/>
      <c r="H59" s="2"/>
      <c r="I59" s="2"/>
      <c r="J59" s="2"/>
      <c r="K59" s="2"/>
      <c r="L59" s="2"/>
      <c r="O59" s="2"/>
    </row>
    <row r="60" spans="1:40" ht="12.75" customHeight="1">
      <c r="A60" s="2"/>
      <c r="B60" s="2"/>
      <c r="C60" s="2"/>
      <c r="D60" s="1062"/>
      <c r="E60" s="2"/>
      <c r="F60" s="2"/>
      <c r="G60" s="2"/>
      <c r="H60" s="2"/>
      <c r="I60" s="2"/>
      <c r="J60" s="2"/>
      <c r="K60" s="2"/>
      <c r="L60" s="2"/>
      <c r="O60" s="2"/>
    </row>
    <row r="61" spans="1:40" ht="12.75" customHeight="1">
      <c r="A61" s="2"/>
      <c r="B61" s="2"/>
      <c r="C61" s="2"/>
      <c r="D61" s="1062"/>
      <c r="E61" s="2"/>
      <c r="F61" s="2"/>
      <c r="G61" s="2"/>
      <c r="H61" s="2"/>
      <c r="I61" s="2"/>
      <c r="J61" s="2"/>
      <c r="K61" s="2"/>
      <c r="L61" s="2"/>
      <c r="N61" s="69" t="s">
        <v>318</v>
      </c>
      <c r="P61" s="2"/>
      <c r="Q61" s="2"/>
      <c r="R61" s="2"/>
    </row>
    <row r="62" spans="1:40" ht="12.75" customHeight="1">
      <c r="A62" s="2"/>
      <c r="B62" s="2"/>
      <c r="C62" s="2"/>
      <c r="D62" s="1062"/>
      <c r="E62" s="2"/>
      <c r="F62" s="2"/>
      <c r="G62" s="2"/>
      <c r="H62" s="2"/>
      <c r="I62" s="2"/>
      <c r="J62" s="2"/>
      <c r="K62" s="2"/>
      <c r="L62" s="2"/>
      <c r="N62" s="2" t="s">
        <v>319</v>
      </c>
      <c r="O62" s="2" t="s">
        <v>320</v>
      </c>
      <c r="P62" s="2" t="s">
        <v>321</v>
      </c>
      <c r="Q62" s="98">
        <v>62.5</v>
      </c>
      <c r="R62" s="98"/>
    </row>
    <row r="63" spans="1:40" ht="12.75" customHeight="1">
      <c r="A63" s="2"/>
      <c r="B63" s="2"/>
      <c r="C63" s="2"/>
      <c r="D63" s="1062"/>
      <c r="E63" s="2"/>
      <c r="F63" s="2"/>
      <c r="G63" s="2"/>
      <c r="H63" s="2"/>
      <c r="I63" s="2"/>
      <c r="J63" s="2"/>
      <c r="K63" s="2"/>
      <c r="L63" s="2"/>
      <c r="N63" s="2"/>
      <c r="O63" s="2" t="s">
        <v>322</v>
      </c>
      <c r="P63" s="2" t="s">
        <v>321</v>
      </c>
      <c r="Q63" s="98">
        <v>87.5</v>
      </c>
      <c r="R63" s="98"/>
    </row>
    <row r="64" spans="1:40" ht="12.75" customHeight="1">
      <c r="A64" s="2"/>
      <c r="B64" s="2"/>
      <c r="C64" s="2"/>
      <c r="D64" s="1062"/>
      <c r="E64" s="2"/>
      <c r="F64" s="2"/>
      <c r="G64" s="2"/>
      <c r="H64" s="2"/>
      <c r="I64" s="2"/>
      <c r="J64" s="2"/>
      <c r="K64" s="2"/>
      <c r="L64" s="2"/>
      <c r="N64" s="2"/>
      <c r="O64" s="2" t="s">
        <v>323</v>
      </c>
      <c r="P64" s="2" t="s">
        <v>321</v>
      </c>
      <c r="Q64" s="98">
        <v>100</v>
      </c>
      <c r="R64" s="98"/>
    </row>
    <row r="65" spans="1:40" ht="12.75" customHeight="1">
      <c r="A65" s="2"/>
      <c r="B65" s="2"/>
      <c r="C65" s="2"/>
      <c r="D65" s="1062"/>
      <c r="E65" s="2"/>
      <c r="F65" s="2"/>
      <c r="G65" s="2"/>
      <c r="H65" s="2"/>
      <c r="I65" s="2"/>
      <c r="J65" s="2"/>
      <c r="K65" s="2"/>
      <c r="L65" s="2"/>
      <c r="N65" s="2"/>
      <c r="O65" s="2" t="s">
        <v>324</v>
      </c>
      <c r="P65" s="2" t="s">
        <v>321</v>
      </c>
      <c r="Q65" s="98">
        <v>112.5</v>
      </c>
      <c r="R65" s="98"/>
    </row>
    <row r="66" spans="1:40" ht="12.75" customHeight="1">
      <c r="A66" s="2"/>
      <c r="B66" s="2"/>
      <c r="C66" s="2"/>
      <c r="D66" s="1062"/>
      <c r="E66" s="2"/>
      <c r="F66" s="2"/>
      <c r="G66" s="2"/>
      <c r="H66" s="2"/>
      <c r="I66" s="2"/>
      <c r="J66" s="2"/>
      <c r="K66" s="2"/>
      <c r="L66" s="2"/>
      <c r="N66" s="2"/>
      <c r="O66" s="2" t="s">
        <v>325</v>
      </c>
      <c r="P66" s="2" t="s">
        <v>321</v>
      </c>
      <c r="Q66" s="98">
        <v>137.5</v>
      </c>
      <c r="R66" s="98"/>
    </row>
    <row r="67" spans="1:40" ht="12.75" customHeight="1">
      <c r="A67" s="2"/>
      <c r="B67" s="2"/>
      <c r="C67" s="2"/>
      <c r="D67" s="1062"/>
      <c r="E67" s="2"/>
      <c r="F67" s="2"/>
      <c r="G67" s="2"/>
      <c r="H67" s="2"/>
      <c r="I67" s="2"/>
      <c r="J67" s="2"/>
      <c r="K67" s="2"/>
      <c r="L67" s="2"/>
      <c r="N67" s="2"/>
      <c r="O67" s="2" t="s">
        <v>326</v>
      </c>
      <c r="P67" s="2" t="s">
        <v>321</v>
      </c>
      <c r="Q67" s="98">
        <v>162.5</v>
      </c>
      <c r="R67" s="98"/>
    </row>
    <row r="68" spans="1:40" ht="12.75" customHeight="1">
      <c r="A68" s="2"/>
      <c r="B68" s="2"/>
      <c r="C68" s="2"/>
      <c r="D68" s="1062"/>
      <c r="E68" s="2"/>
      <c r="F68" s="2"/>
      <c r="G68" s="2"/>
      <c r="H68" s="2"/>
      <c r="I68" s="2"/>
      <c r="J68" s="2"/>
      <c r="K68" s="2"/>
      <c r="L68" s="2"/>
      <c r="O68" s="2"/>
      <c r="S68" s="2"/>
      <c r="T68" s="2"/>
      <c r="U68" s="2"/>
      <c r="V68" s="2"/>
      <c r="W68" s="2"/>
      <c r="X68" s="2"/>
      <c r="Y68" s="2"/>
      <c r="Z68" s="2"/>
      <c r="AA68" s="2"/>
      <c r="AB68" s="2"/>
      <c r="AC68" s="2"/>
      <c r="AD68" s="2"/>
      <c r="AE68" s="2"/>
      <c r="AF68" s="2"/>
      <c r="AG68" s="2"/>
      <c r="AH68" s="2"/>
      <c r="AI68" s="2"/>
      <c r="AJ68" s="2"/>
      <c r="AK68" s="2"/>
      <c r="AL68" s="2"/>
      <c r="AM68" s="2"/>
      <c r="AN68" s="2"/>
    </row>
    <row r="69" spans="1:40" ht="12.75" customHeight="1">
      <c r="A69" s="2"/>
      <c r="B69" s="2"/>
      <c r="C69" s="2"/>
      <c r="D69" s="1062"/>
      <c r="E69" s="2"/>
      <c r="F69" s="2"/>
      <c r="G69" s="2"/>
      <c r="H69" s="2"/>
      <c r="I69" s="2"/>
      <c r="J69" s="2"/>
      <c r="K69" s="2"/>
      <c r="L69" s="2"/>
      <c r="O69" s="2"/>
      <c r="S69" s="2"/>
      <c r="T69" s="2"/>
      <c r="U69" s="2"/>
      <c r="V69" s="2"/>
      <c r="W69" s="2"/>
      <c r="X69" s="2"/>
      <c r="Y69" s="2"/>
      <c r="Z69" s="2"/>
      <c r="AA69" s="2"/>
      <c r="AB69" s="2"/>
      <c r="AC69" s="2"/>
      <c r="AD69" s="2"/>
      <c r="AE69" s="2"/>
      <c r="AF69" s="2"/>
      <c r="AG69" s="2"/>
      <c r="AH69" s="2"/>
      <c r="AI69" s="2"/>
      <c r="AJ69" s="2"/>
      <c r="AK69" s="2"/>
      <c r="AL69" s="2"/>
      <c r="AM69" s="2"/>
      <c r="AN69" s="2"/>
    </row>
    <row r="70" spans="1:40" ht="12.75" customHeight="1">
      <c r="A70" s="2"/>
      <c r="B70" s="2"/>
      <c r="C70" s="2"/>
      <c r="D70" s="1062"/>
      <c r="E70" s="2"/>
      <c r="F70" s="2"/>
      <c r="G70" s="2"/>
      <c r="H70" s="2"/>
      <c r="I70" s="2"/>
      <c r="J70" s="2"/>
      <c r="K70" s="2"/>
      <c r="L70" s="2"/>
      <c r="O70" s="2"/>
      <c r="S70" s="1" t="s">
        <v>1140</v>
      </c>
      <c r="T70" s="1"/>
      <c r="U70" s="2"/>
      <c r="V70" s="2"/>
      <c r="W70" s="2"/>
      <c r="X70" s="2"/>
      <c r="Y70" s="2"/>
      <c r="Z70" s="2"/>
      <c r="AA70" s="2"/>
      <c r="AB70" s="2"/>
      <c r="AC70" s="2"/>
      <c r="AD70" s="2"/>
      <c r="AE70" s="2"/>
      <c r="AF70" s="2"/>
      <c r="AG70" s="2"/>
      <c r="AH70" s="2"/>
      <c r="AI70" s="2"/>
      <c r="AJ70" s="2"/>
      <c r="AK70" s="2"/>
      <c r="AL70" s="2"/>
      <c r="AM70" s="2"/>
      <c r="AN70" s="2"/>
    </row>
    <row r="71" spans="1:40" ht="12.75" customHeight="1">
      <c r="A71" s="2"/>
      <c r="B71" s="2"/>
      <c r="C71" s="2"/>
      <c r="D71" s="1062"/>
      <c r="E71" s="2"/>
      <c r="F71" s="2"/>
      <c r="G71" s="2"/>
      <c r="H71" s="2"/>
      <c r="I71" s="2"/>
      <c r="J71" s="2"/>
      <c r="K71" s="2"/>
      <c r="L71" s="2"/>
      <c r="O71" s="2"/>
      <c r="S71" s="1"/>
      <c r="T71" s="1"/>
      <c r="U71" s="2"/>
      <c r="V71" s="2"/>
      <c r="W71" s="2"/>
      <c r="X71" s="2"/>
      <c r="Y71" s="2"/>
      <c r="Z71" s="2"/>
      <c r="AA71" s="2"/>
      <c r="AB71" s="2"/>
      <c r="AC71" s="2"/>
      <c r="AD71" s="2"/>
      <c r="AE71" s="2"/>
      <c r="AF71" s="2"/>
      <c r="AG71" s="2"/>
      <c r="AH71" s="2"/>
      <c r="AI71" s="2"/>
      <c r="AJ71" s="2"/>
      <c r="AK71" s="2"/>
      <c r="AL71" s="2"/>
      <c r="AM71" s="2"/>
      <c r="AN71" s="2"/>
    </row>
    <row r="72" spans="1:40" ht="12.75" customHeight="1">
      <c r="A72" s="2"/>
      <c r="B72" s="2"/>
      <c r="C72" s="2"/>
      <c r="D72" s="1062"/>
      <c r="E72" s="2"/>
      <c r="F72" s="2"/>
      <c r="G72" s="2"/>
      <c r="H72" s="2"/>
      <c r="I72" s="2"/>
      <c r="J72" s="2"/>
      <c r="K72" s="2"/>
      <c r="L72" s="2"/>
      <c r="O72" s="2"/>
      <c r="S72" s="2" t="s">
        <v>1144</v>
      </c>
      <c r="T72" s="2"/>
      <c r="U72" s="2"/>
      <c r="V72" s="2"/>
      <c r="W72" s="2"/>
      <c r="X72" s="2"/>
      <c r="Y72" s="2"/>
      <c r="Z72" s="2"/>
      <c r="AA72" s="2"/>
      <c r="AB72" s="2"/>
      <c r="AC72" s="2"/>
      <c r="AD72" s="2"/>
      <c r="AE72" s="2"/>
      <c r="AF72" s="2"/>
      <c r="AG72" s="2"/>
      <c r="AH72" s="2"/>
      <c r="AI72" s="2"/>
      <c r="AJ72" s="2"/>
      <c r="AK72" s="2"/>
      <c r="AL72" s="2"/>
      <c r="AM72" s="2"/>
      <c r="AN72" s="2"/>
    </row>
    <row r="73" spans="1:40" ht="12.75" customHeight="1">
      <c r="A73" s="2"/>
      <c r="B73" s="2"/>
      <c r="C73" s="2"/>
      <c r="D73" s="1062"/>
      <c r="E73" s="2"/>
      <c r="F73" s="2"/>
      <c r="G73" s="2"/>
      <c r="H73" s="2"/>
      <c r="I73" s="2"/>
      <c r="J73" s="2"/>
      <c r="K73" s="2"/>
      <c r="L73" s="2"/>
      <c r="O73" s="2"/>
      <c r="S73" s="2"/>
      <c r="T73" s="2"/>
      <c r="U73" s="2"/>
      <c r="V73" s="2"/>
      <c r="W73" s="2"/>
      <c r="X73" s="2"/>
      <c r="Y73" s="2"/>
      <c r="Z73" s="2"/>
      <c r="AA73" s="2"/>
      <c r="AB73" s="2"/>
      <c r="AC73" s="2"/>
      <c r="AD73" s="2"/>
      <c r="AE73" s="2"/>
      <c r="AF73" s="2"/>
      <c r="AG73" s="2"/>
      <c r="AH73" s="2"/>
      <c r="AI73" s="2"/>
      <c r="AJ73" s="2"/>
      <c r="AK73" s="2"/>
      <c r="AL73" s="2"/>
      <c r="AM73" s="2"/>
      <c r="AN73" s="2"/>
    </row>
    <row r="74" spans="1:40" ht="12.75" customHeight="1">
      <c r="A74" s="2"/>
      <c r="B74" s="2"/>
      <c r="C74" s="2"/>
      <c r="D74" s="1062"/>
      <c r="E74" s="2"/>
      <c r="F74" s="2"/>
      <c r="G74" s="2"/>
      <c r="H74" s="2"/>
      <c r="I74" s="2"/>
      <c r="J74" s="2"/>
      <c r="K74" s="2"/>
      <c r="L74" s="2"/>
      <c r="O74" s="2"/>
      <c r="S74" s="2"/>
      <c r="T74" s="2"/>
      <c r="U74" s="1197" t="s">
        <v>54</v>
      </c>
      <c r="V74" s="1197"/>
      <c r="W74" s="1197"/>
      <c r="X74" s="1196"/>
      <c r="Y74" s="1196"/>
      <c r="Z74" s="2"/>
      <c r="AA74" s="2"/>
      <c r="AB74" s="2"/>
      <c r="AC74" s="2"/>
      <c r="AD74" s="2"/>
      <c r="AE74" s="2"/>
      <c r="AF74" s="2"/>
      <c r="AG74" s="2"/>
      <c r="AH74" s="2"/>
      <c r="AI74" s="2"/>
      <c r="AJ74" s="2"/>
      <c r="AK74" s="2"/>
      <c r="AL74" s="2"/>
      <c r="AM74" s="2"/>
      <c r="AN74" s="2"/>
    </row>
    <row r="75" spans="1:40" ht="12.75" customHeight="1">
      <c r="A75" s="2"/>
      <c r="B75" s="2"/>
      <c r="C75" s="2"/>
      <c r="D75" s="1062"/>
      <c r="E75" s="2"/>
      <c r="F75" s="2"/>
      <c r="G75" s="2"/>
      <c r="H75" s="2"/>
      <c r="I75" s="2"/>
      <c r="J75" s="2"/>
      <c r="K75" s="2"/>
      <c r="L75" s="2"/>
      <c r="O75" s="2"/>
      <c r="S75" s="69"/>
      <c r="T75" s="69"/>
      <c r="U75" s="1289" t="s">
        <v>1142</v>
      </c>
      <c r="V75" s="1289"/>
      <c r="W75" s="1289" t="s">
        <v>1143</v>
      </c>
      <c r="X75" s="1289"/>
      <c r="Y75" s="1289" t="s">
        <v>829</v>
      </c>
      <c r="Z75" s="2"/>
      <c r="AA75" s="2"/>
      <c r="AB75" s="2"/>
      <c r="AC75" s="2"/>
      <c r="AD75" s="2"/>
      <c r="AE75" s="2"/>
      <c r="AF75" s="2"/>
      <c r="AG75" s="2"/>
      <c r="AH75" s="2"/>
      <c r="AI75" s="2"/>
      <c r="AJ75" s="2"/>
      <c r="AK75" s="2"/>
      <c r="AL75" s="2"/>
      <c r="AM75" s="2"/>
      <c r="AN75" s="2"/>
    </row>
    <row r="76" spans="1:40" ht="12.75" customHeight="1">
      <c r="A76" s="2"/>
      <c r="B76" s="2"/>
      <c r="C76" s="2"/>
      <c r="D76" s="1062"/>
      <c r="E76" s="2"/>
      <c r="F76" s="2"/>
      <c r="G76" s="2"/>
      <c r="H76" s="2"/>
      <c r="I76" s="2"/>
      <c r="J76" s="2"/>
      <c r="K76" s="2"/>
      <c r="L76" s="2"/>
      <c r="O76" s="2"/>
      <c r="S76" s="2" t="s">
        <v>935</v>
      </c>
      <c r="T76" s="2"/>
      <c r="U76" s="1102">
        <f>+BYD!AV21</f>
        <v>2482.8190000000004</v>
      </c>
      <c r="V76" s="98"/>
      <c r="W76" s="1102">
        <v>2462.4004093534281</v>
      </c>
      <c r="X76" s="98"/>
      <c r="Y76" s="105">
        <f>+U76/W76-1</f>
        <v>8.2921488191003423E-3</v>
      </c>
      <c r="Z76" s="2"/>
      <c r="AA76" s="2"/>
      <c r="AB76" s="2"/>
      <c r="AC76" s="2"/>
      <c r="AD76" s="2"/>
      <c r="AE76" s="2"/>
      <c r="AF76" s="2"/>
      <c r="AG76" s="2"/>
      <c r="AH76" s="2"/>
      <c r="AI76" s="2"/>
      <c r="AJ76" s="2"/>
      <c r="AK76" s="2"/>
      <c r="AL76" s="2"/>
      <c r="AM76" s="2"/>
      <c r="AN76" s="2"/>
    </row>
    <row r="77" spans="1:40" ht="12.75" customHeight="1">
      <c r="A77" s="2"/>
      <c r="B77" s="2"/>
      <c r="C77" s="2"/>
      <c r="D77" s="1062"/>
      <c r="E77" s="2"/>
      <c r="F77" s="2"/>
      <c r="G77" s="2"/>
      <c r="H77" s="2"/>
      <c r="I77" s="2"/>
      <c r="J77" s="2"/>
      <c r="K77" s="2"/>
      <c r="L77" s="2"/>
      <c r="O77" s="2"/>
      <c r="S77" s="2" t="s">
        <v>1141</v>
      </c>
      <c r="T77" s="2"/>
      <c r="U77" s="1102">
        <f>+BYD!AV51</f>
        <v>492.05100000000004</v>
      </c>
      <c r="V77" s="98"/>
      <c r="W77" s="1102">
        <v>557.59039460002828</v>
      </c>
      <c r="X77" s="98"/>
      <c r="Y77" s="105">
        <f>+U77/W77-1</f>
        <v>-0.11754039387109794</v>
      </c>
      <c r="Z77" s="2"/>
      <c r="AA77" s="2"/>
      <c r="AB77" s="2"/>
      <c r="AC77" s="2"/>
      <c r="AD77" s="2"/>
      <c r="AE77" s="2"/>
      <c r="AF77" s="2"/>
      <c r="AG77" s="2"/>
      <c r="AH77" s="2"/>
      <c r="AI77" s="2"/>
      <c r="AJ77" s="2"/>
      <c r="AK77" s="2"/>
      <c r="AL77" s="2"/>
      <c r="AM77" s="2"/>
      <c r="AN77" s="2"/>
    </row>
    <row r="78" spans="1:40" ht="12.75" customHeight="1">
      <c r="A78" s="2"/>
      <c r="B78" s="2"/>
      <c r="C78" s="2"/>
      <c r="D78" s="1062"/>
      <c r="E78" s="2"/>
      <c r="F78" s="2"/>
      <c r="G78" s="2"/>
      <c r="H78" s="2"/>
      <c r="I78" s="2"/>
      <c r="J78" s="2"/>
      <c r="K78" s="2"/>
      <c r="L78" s="2"/>
      <c r="O78" s="2"/>
      <c r="S78" s="2" t="s">
        <v>200</v>
      </c>
      <c r="T78" s="2"/>
      <c r="U78" s="1401">
        <f>+BYD!AV95</f>
        <v>-0.27977684479532566</v>
      </c>
      <c r="V78" s="1336"/>
      <c r="W78" s="1401">
        <v>0.27754860596446385</v>
      </c>
      <c r="X78" s="1336"/>
      <c r="Y78" s="105">
        <f>+U78/W78-1</f>
        <v>-2.0080282832735508</v>
      </c>
      <c r="Z78" s="2"/>
      <c r="AA78" s="2"/>
      <c r="AB78" s="2"/>
      <c r="AC78" s="2"/>
      <c r="AD78" s="2"/>
      <c r="AE78" s="2"/>
      <c r="AF78" s="2"/>
      <c r="AG78" s="2"/>
      <c r="AH78" s="2"/>
      <c r="AI78" s="2"/>
      <c r="AJ78" s="2"/>
      <c r="AK78" s="2"/>
      <c r="AL78" s="2"/>
      <c r="AM78" s="2"/>
      <c r="AN78" s="2"/>
    </row>
    <row r="79" spans="1:40" ht="12.75" customHeight="1">
      <c r="A79" s="2"/>
      <c r="B79" s="2"/>
      <c r="C79" s="2"/>
      <c r="D79" s="1062"/>
      <c r="E79" s="2"/>
      <c r="F79" s="2"/>
      <c r="G79" s="2"/>
      <c r="H79" s="2"/>
      <c r="I79" s="2"/>
      <c r="J79" s="2"/>
      <c r="K79" s="2"/>
      <c r="L79" s="2"/>
      <c r="O79" s="2"/>
      <c r="S79" s="2"/>
      <c r="T79" s="2"/>
      <c r="U79" s="2"/>
      <c r="V79" s="2"/>
      <c r="W79" s="2"/>
      <c r="X79" s="2"/>
      <c r="Y79" s="2"/>
      <c r="Z79" s="2"/>
      <c r="AA79" s="2"/>
      <c r="AB79" s="2"/>
      <c r="AC79" s="2"/>
      <c r="AD79" s="2"/>
      <c r="AE79" s="2"/>
      <c r="AF79" s="2"/>
      <c r="AG79" s="2"/>
      <c r="AH79" s="2"/>
      <c r="AI79" s="2"/>
      <c r="AJ79" s="2"/>
      <c r="AK79" s="2"/>
      <c r="AL79" s="2"/>
      <c r="AM79" s="2"/>
      <c r="AN79" s="2"/>
    </row>
    <row r="80" spans="1:40" ht="12.75" customHeight="1">
      <c r="A80" s="2"/>
      <c r="B80" s="2"/>
      <c r="C80" s="2"/>
      <c r="D80" s="1062"/>
      <c r="E80" s="2"/>
      <c r="F80" s="2"/>
      <c r="G80" s="2"/>
      <c r="H80" s="2"/>
      <c r="I80" s="2"/>
      <c r="J80" s="2"/>
      <c r="K80" s="2"/>
      <c r="L80" s="2"/>
      <c r="O80" s="2"/>
      <c r="S80" s="2"/>
      <c r="T80" s="2"/>
      <c r="U80" s="2"/>
      <c r="V80" s="2"/>
      <c r="W80" s="2"/>
      <c r="X80" s="2"/>
      <c r="Y80" s="2"/>
      <c r="Z80" s="2"/>
      <c r="AA80" s="1" t="s">
        <v>1646</v>
      </c>
      <c r="AB80" s="2"/>
      <c r="AC80" s="2"/>
      <c r="AD80" s="2"/>
      <c r="AE80" s="2"/>
      <c r="AF80" s="105"/>
      <c r="AG80" s="2"/>
      <c r="AH80" s="2"/>
      <c r="AI80" s="2"/>
      <c r="AJ80" s="2"/>
      <c r="AK80" s="2"/>
      <c r="AL80" s="2"/>
      <c r="AM80" s="2"/>
      <c r="AN80" s="2"/>
    </row>
    <row r="81" spans="1:40" ht="12.75" customHeight="1">
      <c r="A81" s="2"/>
      <c r="B81" s="2"/>
      <c r="C81" s="2"/>
      <c r="D81" s="1062"/>
      <c r="E81" s="2"/>
      <c r="F81" s="2"/>
      <c r="G81" s="2"/>
      <c r="H81" s="2"/>
      <c r="I81" s="2"/>
      <c r="J81" s="2"/>
      <c r="K81" s="2"/>
      <c r="L81" s="2"/>
      <c r="O81" s="2"/>
      <c r="S81" s="2"/>
      <c r="T81" s="2"/>
      <c r="U81" s="2"/>
      <c r="V81" s="2"/>
      <c r="W81" s="2"/>
      <c r="X81" s="2"/>
      <c r="Y81" s="2"/>
      <c r="Z81" s="2"/>
      <c r="AA81" s="2"/>
      <c r="AB81" s="2"/>
      <c r="AC81" s="2"/>
      <c r="AD81" s="2"/>
      <c r="AE81" s="2"/>
      <c r="AF81" s="105"/>
      <c r="AG81" s="2"/>
      <c r="AH81" s="2"/>
      <c r="AI81" s="2"/>
      <c r="AJ81" s="2"/>
      <c r="AK81" s="2"/>
      <c r="AL81" s="2"/>
      <c r="AM81" s="2"/>
      <c r="AN81" s="2"/>
    </row>
    <row r="82" spans="1:40" ht="12.75" customHeight="1">
      <c r="A82" s="2"/>
      <c r="B82" s="2"/>
      <c r="C82" s="2"/>
      <c r="D82" s="1062"/>
      <c r="E82" s="2"/>
      <c r="F82" s="2"/>
      <c r="G82" s="2"/>
      <c r="H82" s="2"/>
      <c r="I82" s="2"/>
      <c r="J82" s="2"/>
      <c r="K82" s="2"/>
      <c r="L82" s="2"/>
      <c r="O82" s="2"/>
      <c r="S82" s="2"/>
      <c r="T82" s="2"/>
      <c r="U82" s="2"/>
      <c r="V82" s="2"/>
      <c r="W82" s="2"/>
      <c r="X82" s="2"/>
      <c r="Y82" s="2"/>
      <c r="Z82" s="2"/>
      <c r="AA82" s="2"/>
      <c r="AB82" s="1432" t="s">
        <v>1565</v>
      </c>
      <c r="AC82" s="1432"/>
      <c r="AD82" s="1432" t="s">
        <v>1647</v>
      </c>
      <c r="AE82" s="1432"/>
      <c r="AF82" s="1432">
        <v>2012</v>
      </c>
      <c r="AG82" s="2"/>
      <c r="AH82" s="2"/>
      <c r="AI82" s="2">
        <f>34.5+75.5</f>
        <v>110</v>
      </c>
      <c r="AJ82" s="2"/>
      <c r="AK82" s="2"/>
      <c r="AL82" s="2"/>
      <c r="AM82" s="2"/>
      <c r="AN82" s="2"/>
    </row>
    <row r="83" spans="1:40" ht="12.75" customHeight="1">
      <c r="A83" s="2"/>
      <c r="B83" s="2"/>
      <c r="C83" s="2"/>
      <c r="D83" s="1062"/>
      <c r="E83" s="2"/>
      <c r="F83" s="2"/>
      <c r="G83" s="2"/>
      <c r="H83" s="2"/>
      <c r="I83" s="2"/>
      <c r="J83" s="2"/>
      <c r="K83" s="2"/>
      <c r="L83" s="2"/>
      <c r="O83" s="2"/>
      <c r="S83" s="2"/>
      <c r="T83" s="2"/>
      <c r="U83" s="2"/>
      <c r="V83" s="2"/>
      <c r="W83" s="2"/>
      <c r="X83" s="2"/>
      <c r="Y83" s="2"/>
      <c r="Z83" s="2"/>
      <c r="AA83" s="2" t="s">
        <v>1719</v>
      </c>
      <c r="AB83" s="1423">
        <v>597.20000000000005</v>
      </c>
      <c r="AC83" s="1082"/>
      <c r="AD83" s="1423">
        <v>622.44000000000005</v>
      </c>
      <c r="AE83" s="1423"/>
      <c r="AF83" s="1423">
        <v>2482.89</v>
      </c>
      <c r="AG83" s="2"/>
      <c r="AH83" s="2"/>
      <c r="AI83" s="2">
        <f>78+37</f>
        <v>115</v>
      </c>
      <c r="AJ83" s="2"/>
      <c r="AK83" s="2"/>
      <c r="AL83" s="2"/>
      <c r="AM83" s="2"/>
      <c r="AN83" s="2"/>
    </row>
    <row r="84" spans="1:40" ht="12.75" customHeight="1">
      <c r="A84" s="2"/>
      <c r="B84" s="2"/>
      <c r="C84" s="2"/>
      <c r="D84" s="1062"/>
      <c r="E84" s="2"/>
      <c r="F84" s="2"/>
      <c r="G84" s="2"/>
      <c r="H84" s="2"/>
      <c r="I84" s="2"/>
      <c r="J84" s="2"/>
      <c r="K84" s="2"/>
      <c r="L84" s="2"/>
      <c r="O84" s="2"/>
      <c r="S84" s="2"/>
      <c r="T84" s="2"/>
      <c r="U84" s="2"/>
      <c r="V84" s="2"/>
      <c r="W84" s="2"/>
      <c r="X84" s="2"/>
      <c r="Y84" s="2"/>
      <c r="Z84" s="2"/>
      <c r="AA84" s="2" t="s">
        <v>401</v>
      </c>
      <c r="AB84" s="1423">
        <v>112.65</v>
      </c>
      <c r="AC84" s="1082"/>
      <c r="AD84" s="1423">
        <v>127.75</v>
      </c>
      <c r="AE84" s="1423"/>
      <c r="AF84" s="1423">
        <v>504.71</v>
      </c>
      <c r="AG84" s="2"/>
      <c r="AH84" s="2"/>
      <c r="AI84" s="2"/>
      <c r="AJ84" s="2"/>
      <c r="AK84" s="2"/>
      <c r="AL84" s="2"/>
      <c r="AM84" s="2"/>
      <c r="AN84" s="2"/>
    </row>
    <row r="85" spans="1:40" ht="12.75" customHeight="1">
      <c r="A85" s="2"/>
      <c r="B85" s="2"/>
      <c r="C85" s="2"/>
      <c r="D85" s="1062"/>
      <c r="E85" s="2"/>
      <c r="F85" s="2"/>
      <c r="G85" s="2"/>
      <c r="H85" s="2"/>
      <c r="I85" s="2"/>
      <c r="J85" s="2"/>
      <c r="K85" s="2"/>
      <c r="L85" s="2"/>
      <c r="O85" s="2"/>
      <c r="S85" s="2"/>
      <c r="T85" s="2"/>
      <c r="U85" s="2"/>
      <c r="V85" s="2"/>
      <c r="W85" s="2"/>
      <c r="X85" s="2"/>
      <c r="Y85" s="2"/>
      <c r="Z85" s="2"/>
      <c r="AA85" s="2" t="s">
        <v>200</v>
      </c>
      <c r="AB85" s="1068">
        <v>-0.01</v>
      </c>
      <c r="AC85" s="1118"/>
      <c r="AD85" s="1068">
        <v>0.09</v>
      </c>
      <c r="AE85" s="1068"/>
      <c r="AF85" s="1068">
        <v>0.28000000000000003</v>
      </c>
      <c r="AG85" s="2"/>
      <c r="AH85" s="2"/>
      <c r="AI85" s="2"/>
      <c r="AJ85" s="2"/>
      <c r="AK85" s="2"/>
      <c r="AL85" s="2"/>
      <c r="AM85" s="2"/>
      <c r="AN85" s="2"/>
    </row>
    <row r="86" spans="1:40" ht="12.75" customHeight="1">
      <c r="A86" s="2"/>
      <c r="B86" s="2"/>
      <c r="C86" s="2"/>
      <c r="D86" s="1062"/>
      <c r="E86" s="2"/>
      <c r="F86" s="2"/>
      <c r="G86" s="2"/>
      <c r="H86" s="2"/>
      <c r="I86" s="2"/>
      <c r="J86" s="2"/>
      <c r="K86" s="2"/>
      <c r="L86" s="2"/>
      <c r="O86" s="2"/>
      <c r="S86" s="2"/>
      <c r="T86" s="2"/>
      <c r="U86" s="2"/>
      <c r="V86" s="2"/>
      <c r="W86" s="2"/>
      <c r="X86" s="2"/>
      <c r="Y86" s="2"/>
      <c r="Z86" s="2"/>
      <c r="AA86" s="2"/>
      <c r="AB86" s="2"/>
      <c r="AC86" s="2"/>
      <c r="AD86" s="2"/>
      <c r="AE86" s="2"/>
      <c r="AF86" s="2"/>
      <c r="AG86" s="2"/>
      <c r="AH86" s="2"/>
      <c r="AI86" s="2"/>
      <c r="AJ86" s="2"/>
      <c r="AK86" s="2"/>
      <c r="AL86" s="2"/>
      <c r="AM86" s="2"/>
      <c r="AN86" s="2"/>
    </row>
    <row r="87" spans="1:40" ht="12.75" customHeight="1">
      <c r="A87" s="2"/>
      <c r="B87" s="2"/>
      <c r="C87" s="2"/>
      <c r="D87" s="1062"/>
      <c r="E87" s="2"/>
      <c r="F87" s="2"/>
      <c r="G87" s="2"/>
      <c r="H87" s="2"/>
      <c r="I87" s="2"/>
      <c r="J87" s="2"/>
      <c r="K87" s="2"/>
      <c r="L87" s="2"/>
      <c r="O87" s="2"/>
      <c r="S87" s="2"/>
      <c r="T87" s="2"/>
      <c r="U87" s="2"/>
      <c r="V87" s="2"/>
      <c r="W87" s="2"/>
      <c r="X87" s="2"/>
      <c r="Y87" s="2"/>
      <c r="Z87" s="2"/>
      <c r="AA87" s="2"/>
      <c r="AB87" s="2"/>
      <c r="AC87" s="2"/>
      <c r="AD87" s="2"/>
      <c r="AE87" s="2"/>
      <c r="AF87" s="2"/>
      <c r="AG87" s="2"/>
      <c r="AH87" s="69" t="s">
        <v>778</v>
      </c>
      <c r="AM87" s="2"/>
      <c r="AN87" s="2"/>
    </row>
    <row r="88" spans="1:40" ht="12.75" customHeight="1">
      <c r="A88" s="2"/>
      <c r="B88" s="2"/>
      <c r="C88" s="2"/>
      <c r="D88" s="1062"/>
      <c r="E88" s="2"/>
      <c r="F88" s="2"/>
      <c r="G88" s="2"/>
      <c r="H88" s="2"/>
      <c r="I88" s="2"/>
      <c r="J88" s="2"/>
      <c r="K88" s="2"/>
      <c r="L88" s="2"/>
      <c r="O88" s="2"/>
      <c r="S88" s="2"/>
      <c r="T88" s="2"/>
      <c r="U88" s="2"/>
      <c r="V88" s="2"/>
      <c r="W88" s="2"/>
      <c r="X88" s="2"/>
      <c r="Y88" s="2"/>
      <c r="Z88" s="2"/>
      <c r="AA88" s="2"/>
      <c r="AB88" s="2"/>
      <c r="AC88" s="2"/>
      <c r="AD88" s="2"/>
      <c r="AE88" s="2"/>
      <c r="AF88" s="2"/>
      <c r="AG88" s="2"/>
      <c r="AH88" s="69"/>
      <c r="AM88" s="2"/>
      <c r="AN88" s="2"/>
    </row>
    <row r="89" spans="1:40" ht="12.75" customHeight="1">
      <c r="A89" s="2"/>
      <c r="B89" s="2"/>
      <c r="C89" s="2"/>
      <c r="D89" s="1062"/>
      <c r="E89" s="2"/>
      <c r="F89" s="2"/>
      <c r="G89" s="2"/>
      <c r="H89" s="2"/>
      <c r="I89" s="2"/>
      <c r="J89" s="2"/>
      <c r="K89" s="2"/>
      <c r="L89" s="2"/>
      <c r="O89" s="2"/>
      <c r="S89" s="2"/>
      <c r="T89" s="2"/>
      <c r="U89" s="2"/>
      <c r="V89" s="2"/>
      <c r="W89" s="2"/>
      <c r="X89" s="2"/>
      <c r="Y89" s="2"/>
      <c r="Z89" s="2"/>
      <c r="AA89" s="2"/>
      <c r="AB89" s="2"/>
      <c r="AC89" s="2"/>
      <c r="AD89" s="2"/>
      <c r="AE89" s="2"/>
      <c r="AF89" s="2"/>
      <c r="AG89" s="2"/>
      <c r="AH89" s="1447"/>
      <c r="AI89" s="1449"/>
      <c r="AJ89" s="1447"/>
      <c r="AK89" s="1447"/>
      <c r="AL89" s="1447"/>
      <c r="AM89" s="2"/>
      <c r="AN89" s="2"/>
    </row>
    <row r="90" spans="1:40" ht="12.75" customHeight="1">
      <c r="A90" s="2"/>
      <c r="B90" s="2"/>
      <c r="C90" s="2"/>
      <c r="D90" s="1062"/>
      <c r="E90" s="2"/>
      <c r="F90" s="2"/>
      <c r="G90" s="2"/>
      <c r="H90" s="2"/>
      <c r="I90" s="2"/>
      <c r="J90" s="2"/>
      <c r="K90" s="2"/>
      <c r="L90" s="2"/>
      <c r="O90" s="2"/>
      <c r="S90" s="2"/>
      <c r="T90" s="2"/>
      <c r="U90" s="2"/>
      <c r="V90" s="2"/>
      <c r="W90" s="2"/>
      <c r="X90" s="2"/>
      <c r="Y90" s="2"/>
      <c r="Z90" s="2"/>
      <c r="AA90" s="2"/>
      <c r="AB90" s="2"/>
      <c r="AC90" s="2"/>
      <c r="AD90" s="2"/>
      <c r="AE90" s="2"/>
      <c r="AF90" s="2"/>
      <c r="AG90" s="2"/>
      <c r="AH90" s="111" t="s">
        <v>1610</v>
      </c>
      <c r="AI90" s="1289" t="s">
        <v>552</v>
      </c>
      <c r="AJ90" s="1448"/>
      <c r="AK90" s="1289" t="s">
        <v>1611</v>
      </c>
      <c r="AL90" s="1447"/>
      <c r="AM90" s="2"/>
      <c r="AN90" s="2"/>
    </row>
    <row r="91" spans="1:40" ht="3" customHeight="1">
      <c r="A91" s="2"/>
      <c r="B91" s="2"/>
      <c r="C91" s="2"/>
      <c r="D91" s="1062"/>
      <c r="E91" s="2"/>
      <c r="F91" s="2"/>
      <c r="G91" s="2"/>
      <c r="H91" s="2"/>
      <c r="I91" s="2"/>
      <c r="J91" s="2"/>
      <c r="K91" s="2"/>
      <c r="L91" s="2"/>
      <c r="O91" s="2"/>
      <c r="S91" s="2"/>
      <c r="T91" s="2"/>
      <c r="U91" s="2"/>
      <c r="V91" s="2"/>
      <c r="W91" s="2"/>
      <c r="X91" s="2"/>
      <c r="Y91" s="2"/>
      <c r="Z91" s="2"/>
      <c r="AA91" s="2"/>
      <c r="AB91" s="2"/>
      <c r="AC91" s="2"/>
      <c r="AD91" s="2"/>
      <c r="AE91" s="2"/>
      <c r="AF91" s="2"/>
      <c r="AG91" s="2"/>
      <c r="AH91" s="69"/>
      <c r="AI91" s="1449"/>
      <c r="AJ91" s="1449"/>
      <c r="AK91" s="1449"/>
      <c r="AL91" s="1447"/>
      <c r="AM91" s="2"/>
      <c r="AN91" s="2"/>
    </row>
    <row r="92" spans="1:40" ht="12.75" customHeight="1">
      <c r="A92" s="2"/>
      <c r="B92" s="2"/>
      <c r="C92" s="2"/>
      <c r="D92" s="1062"/>
      <c r="E92" s="2"/>
      <c r="F92" s="2"/>
      <c r="G92" s="2"/>
      <c r="H92" s="2"/>
      <c r="I92" s="2"/>
      <c r="J92" s="2"/>
      <c r="K92" s="2"/>
      <c r="L92" s="2"/>
      <c r="O92" s="2"/>
      <c r="S92" s="2"/>
      <c r="T92" s="2"/>
      <c r="U92" s="2"/>
      <c r="V92" s="2"/>
      <c r="W92" s="2"/>
      <c r="X92" s="2"/>
      <c r="Y92" s="2"/>
      <c r="Z92" s="2"/>
      <c r="AA92" s="2"/>
      <c r="AB92" s="2"/>
      <c r="AC92" s="2"/>
      <c r="AD92" s="2"/>
      <c r="AE92" s="2"/>
      <c r="AF92" s="2"/>
      <c r="AG92" s="2"/>
      <c r="AH92" s="1447" t="s">
        <v>1612</v>
      </c>
      <c r="AI92" s="2"/>
      <c r="AJ92" s="2"/>
      <c r="AK92" s="2"/>
      <c r="AL92" s="1447"/>
      <c r="AM92" s="2"/>
      <c r="AN92" s="2"/>
    </row>
    <row r="93" spans="1:40" ht="12.75" customHeight="1">
      <c r="A93" s="2"/>
      <c r="B93" s="2"/>
      <c r="C93" s="2"/>
      <c r="D93" s="1062"/>
      <c r="E93" s="2"/>
      <c r="F93" s="2"/>
      <c r="G93" s="2"/>
      <c r="H93" s="2"/>
      <c r="I93" s="2"/>
      <c r="J93" s="2"/>
      <c r="K93" s="2"/>
      <c r="L93" s="2"/>
      <c r="O93" s="2"/>
      <c r="S93" s="2"/>
      <c r="T93" s="2"/>
      <c r="U93" s="2"/>
      <c r="V93" s="2"/>
      <c r="W93" s="2"/>
      <c r="X93" s="2"/>
      <c r="Y93" s="2"/>
      <c r="Z93" s="2"/>
      <c r="AA93" s="2"/>
      <c r="AB93" s="2"/>
      <c r="AC93" s="2"/>
      <c r="AD93" s="2"/>
      <c r="AE93" s="2"/>
      <c r="AF93" s="2"/>
      <c r="AG93" s="2"/>
      <c r="AH93" s="1447" t="s">
        <v>1613</v>
      </c>
      <c r="AI93" s="1614" t="s">
        <v>779</v>
      </c>
      <c r="AJ93" s="1449"/>
      <c r="AK93" s="1450">
        <f>+SUM(BYD!AR38:AR41,BYD!AR54)</f>
        <v>94.921000000000006</v>
      </c>
      <c r="AL93" s="1447"/>
      <c r="AM93" s="2"/>
      <c r="AN93" s="2"/>
    </row>
    <row r="94" spans="1:40" ht="6" customHeight="1">
      <c r="A94" s="2"/>
      <c r="B94" s="2"/>
      <c r="C94" s="2"/>
      <c r="D94" s="1062"/>
      <c r="E94" s="2"/>
      <c r="F94" s="2"/>
      <c r="G94" s="2"/>
      <c r="H94" s="2"/>
      <c r="I94" s="2"/>
      <c r="J94" s="2"/>
      <c r="K94" s="2"/>
      <c r="L94" s="2"/>
      <c r="O94" s="2"/>
      <c r="S94" s="2"/>
      <c r="T94" s="2"/>
      <c r="U94" s="2"/>
      <c r="V94" s="2"/>
      <c r="W94" s="2"/>
      <c r="X94" s="2"/>
      <c r="Y94" s="2"/>
      <c r="Z94" s="2"/>
      <c r="AA94" s="2"/>
      <c r="AB94" s="2"/>
      <c r="AC94" s="2"/>
      <c r="AD94" s="2"/>
      <c r="AE94" s="2"/>
      <c r="AF94" s="2"/>
      <c r="AG94" s="2"/>
      <c r="AH94" s="1447"/>
      <c r="AI94" s="1614"/>
      <c r="AJ94" s="1449"/>
      <c r="AK94" s="1450"/>
      <c r="AL94" s="1447"/>
      <c r="AM94" s="2"/>
      <c r="AN94" s="2"/>
    </row>
    <row r="95" spans="1:40" ht="12.75" customHeight="1">
      <c r="A95" s="2"/>
      <c r="B95" s="2"/>
      <c r="C95" s="2"/>
      <c r="D95" s="1062"/>
      <c r="E95" s="2"/>
      <c r="F95" s="2"/>
      <c r="G95" s="2"/>
      <c r="H95" s="2"/>
      <c r="I95" s="2"/>
      <c r="J95" s="2"/>
      <c r="K95" s="2"/>
      <c r="L95" s="2"/>
      <c r="O95" s="2"/>
      <c r="S95" s="2"/>
      <c r="T95" s="2"/>
      <c r="U95" s="2"/>
      <c r="V95" s="2"/>
      <c r="W95" s="2"/>
      <c r="X95" s="2"/>
      <c r="Y95" s="2"/>
      <c r="Z95" s="2"/>
      <c r="AA95" s="2"/>
      <c r="AB95" s="2"/>
      <c r="AC95" s="2"/>
      <c r="AD95" s="2"/>
      <c r="AE95" s="2"/>
      <c r="AF95" s="2"/>
      <c r="AG95" s="2"/>
      <c r="AH95" s="1447" t="s">
        <v>1614</v>
      </c>
      <c r="AI95" s="1615" t="s">
        <v>780</v>
      </c>
      <c r="AJ95" s="1449"/>
      <c r="AK95" s="1465">
        <f>+BYD!AR45</f>
        <v>38.881</v>
      </c>
      <c r="AL95" s="1447"/>
      <c r="AM95" s="2"/>
      <c r="AN95" s="2"/>
    </row>
    <row r="96" spans="1:40" ht="6" customHeight="1">
      <c r="A96" s="2"/>
      <c r="B96" s="2"/>
      <c r="C96" s="2"/>
      <c r="D96" s="1062"/>
      <c r="E96" s="2"/>
      <c r="F96" s="2"/>
      <c r="G96" s="2"/>
      <c r="H96" s="2"/>
      <c r="I96" s="2"/>
      <c r="J96" s="2"/>
      <c r="K96" s="2"/>
      <c r="L96" s="2"/>
      <c r="O96" s="2"/>
      <c r="S96" s="2"/>
      <c r="T96" s="2"/>
      <c r="U96" s="2"/>
      <c r="V96" s="2"/>
      <c r="W96" s="2"/>
      <c r="X96" s="2"/>
      <c r="Y96" s="2"/>
      <c r="Z96" s="2"/>
      <c r="AA96" s="2"/>
      <c r="AB96" s="2"/>
      <c r="AC96" s="2"/>
      <c r="AD96" s="2"/>
      <c r="AE96" s="2"/>
      <c r="AF96" s="2"/>
      <c r="AG96" s="2"/>
      <c r="AH96" s="1447"/>
      <c r="AI96" s="1614"/>
      <c r="AJ96" s="1449"/>
      <c r="AK96" s="1450"/>
      <c r="AL96" s="1447"/>
      <c r="AM96" s="2"/>
      <c r="AN96" s="2"/>
    </row>
    <row r="97" spans="1:40" ht="12.75" customHeight="1">
      <c r="A97" s="2"/>
      <c r="B97" s="2"/>
      <c r="C97" s="2"/>
      <c r="D97" s="1062"/>
      <c r="E97" s="2"/>
      <c r="F97" s="2"/>
      <c r="G97" s="2"/>
      <c r="H97" s="2"/>
      <c r="I97" s="2"/>
      <c r="J97" s="2"/>
      <c r="K97" s="2"/>
      <c r="L97" s="2"/>
      <c r="O97" s="2"/>
      <c r="S97" s="2"/>
      <c r="T97" s="2"/>
      <c r="U97" s="2"/>
      <c r="V97" s="2"/>
      <c r="W97" s="2"/>
      <c r="X97" s="2"/>
      <c r="Y97" s="2"/>
      <c r="Z97" s="2"/>
      <c r="AA97" s="2"/>
      <c r="AB97" s="2"/>
      <c r="AC97" s="2"/>
      <c r="AD97" s="2"/>
      <c r="AE97" s="2"/>
      <c r="AF97" s="2"/>
      <c r="AG97" s="2"/>
      <c r="AH97" s="1447" t="s">
        <v>1615</v>
      </c>
      <c r="AI97" s="1614" t="s">
        <v>781</v>
      </c>
      <c r="AJ97" s="1449"/>
      <c r="AK97" s="1466">
        <f>+BYD!AR95</f>
        <v>9.5650493822950905E-2</v>
      </c>
      <c r="AL97" s="1447"/>
      <c r="AM97" s="2"/>
      <c r="AN97" s="2"/>
    </row>
    <row r="98" spans="1:40" ht="6" customHeight="1">
      <c r="A98" s="2"/>
      <c r="B98" s="2"/>
      <c r="C98" s="2"/>
      <c r="D98" s="1062"/>
      <c r="E98" s="2"/>
      <c r="F98" s="2"/>
      <c r="G98" s="2"/>
      <c r="H98" s="2"/>
      <c r="I98" s="2"/>
      <c r="J98" s="2"/>
      <c r="K98" s="2"/>
      <c r="L98" s="2"/>
      <c r="O98" s="2"/>
      <c r="S98" s="2"/>
      <c r="T98" s="2"/>
      <c r="U98" s="2"/>
      <c r="V98" s="2"/>
      <c r="W98" s="2"/>
      <c r="X98" s="2"/>
      <c r="Y98" s="2"/>
      <c r="Z98" s="2"/>
      <c r="AA98" s="2"/>
      <c r="AB98" s="2"/>
      <c r="AC98" s="2"/>
      <c r="AD98" s="2"/>
      <c r="AE98" s="2"/>
      <c r="AF98" s="2"/>
      <c r="AG98" s="2"/>
      <c r="AH98" s="1447"/>
      <c r="AI98" s="1450"/>
      <c r="AJ98" s="1449"/>
      <c r="AK98" s="1449"/>
      <c r="AL98" s="1447"/>
      <c r="AM98" s="2"/>
      <c r="AN98" s="2"/>
    </row>
    <row r="99" spans="1:40" ht="12.75" customHeight="1">
      <c r="A99" s="2"/>
      <c r="B99" s="2"/>
      <c r="C99" s="2"/>
      <c r="D99" s="1062"/>
      <c r="E99" s="2"/>
      <c r="F99" s="2"/>
      <c r="G99" s="2"/>
      <c r="H99" s="2"/>
      <c r="I99" s="2"/>
      <c r="J99" s="2"/>
      <c r="K99" s="2"/>
      <c r="L99" s="2"/>
      <c r="O99" s="2"/>
      <c r="S99" s="2"/>
      <c r="T99" s="2"/>
      <c r="U99" s="2"/>
      <c r="V99" s="2"/>
      <c r="W99" s="2"/>
      <c r="X99" s="2"/>
      <c r="Y99" s="2"/>
      <c r="Z99" s="2"/>
      <c r="AA99" s="2"/>
      <c r="AB99" s="2"/>
      <c r="AC99" s="2"/>
      <c r="AD99" s="2"/>
      <c r="AE99" s="2"/>
      <c r="AF99" s="2"/>
      <c r="AG99" s="2"/>
      <c r="AH99" s="1447"/>
      <c r="AI99" s="1450"/>
      <c r="AJ99" s="1449"/>
      <c r="AK99" s="1449"/>
      <c r="AL99" s="1447"/>
      <c r="AM99" s="1" t="s">
        <v>998</v>
      </c>
      <c r="AN99" s="2"/>
    </row>
    <row r="100" spans="1:40" ht="12.75" customHeight="1">
      <c r="A100" s="2"/>
      <c r="B100" s="2"/>
      <c r="C100" s="2"/>
      <c r="D100" s="1062"/>
      <c r="E100" s="2"/>
      <c r="F100" s="2"/>
      <c r="G100" s="2"/>
      <c r="H100" s="2"/>
      <c r="I100" s="2"/>
      <c r="J100" s="2"/>
      <c r="K100" s="2"/>
      <c r="L100" s="2"/>
      <c r="O100" s="2"/>
      <c r="S100" s="2"/>
      <c r="T100" s="2"/>
      <c r="U100" s="2"/>
      <c r="V100" s="2"/>
      <c r="W100" s="2"/>
      <c r="X100" s="2"/>
      <c r="Y100" s="2"/>
      <c r="Z100" s="2"/>
      <c r="AA100" s="2"/>
      <c r="AB100" s="2"/>
      <c r="AC100" s="2"/>
      <c r="AD100" s="2"/>
      <c r="AE100" s="2"/>
      <c r="AF100" s="2"/>
      <c r="AG100" s="2"/>
      <c r="AH100" s="1447"/>
      <c r="AI100" s="1450"/>
      <c r="AJ100" s="1449"/>
      <c r="AK100" s="1449"/>
      <c r="AL100" s="1447"/>
      <c r="AM100" s="118" t="s">
        <v>1373</v>
      </c>
      <c r="AN100" s="2"/>
    </row>
    <row r="101" spans="1:40" ht="12.75" customHeight="1">
      <c r="A101" s="2"/>
      <c r="B101" s="2"/>
      <c r="C101" s="2"/>
      <c r="D101" s="1062"/>
      <c r="E101" s="2"/>
      <c r="F101" s="2"/>
      <c r="G101" s="2"/>
      <c r="H101" s="2"/>
      <c r="I101" s="2"/>
      <c r="J101" s="2"/>
      <c r="K101" s="2"/>
      <c r="L101" s="2"/>
      <c r="O101" s="2"/>
      <c r="S101" s="2"/>
      <c r="T101" s="2"/>
      <c r="U101" s="2"/>
      <c r="V101" s="2"/>
      <c r="W101" s="2"/>
      <c r="X101" s="2"/>
      <c r="Y101" s="2"/>
      <c r="Z101" s="2"/>
      <c r="AA101" s="2"/>
      <c r="AB101" s="2"/>
      <c r="AC101" s="2"/>
      <c r="AD101" s="2"/>
      <c r="AE101" s="2"/>
      <c r="AF101" s="2"/>
      <c r="AG101" s="2"/>
      <c r="AH101" s="1447"/>
      <c r="AI101" s="1449"/>
      <c r="AJ101" s="1449"/>
      <c r="AK101" s="1449"/>
      <c r="AL101" s="1447"/>
      <c r="AM101" s="2"/>
      <c r="AN101" s="2"/>
    </row>
    <row r="102" spans="1:40" ht="12.75" customHeight="1">
      <c r="A102" s="2"/>
      <c r="B102" s="2"/>
      <c r="C102" s="2"/>
      <c r="D102" s="1062"/>
      <c r="E102" s="2"/>
      <c r="F102" s="2"/>
      <c r="G102" s="2"/>
      <c r="H102" s="2"/>
      <c r="I102" s="2"/>
      <c r="J102" s="2"/>
      <c r="K102" s="2"/>
      <c r="L102" s="2"/>
      <c r="O102" s="2"/>
      <c r="S102" s="2"/>
      <c r="T102" s="2"/>
      <c r="U102" s="2"/>
      <c r="V102" s="2"/>
      <c r="W102" s="2"/>
      <c r="X102" s="2"/>
      <c r="Y102" s="2"/>
      <c r="Z102" s="2"/>
      <c r="AA102" s="2"/>
      <c r="AB102" s="2"/>
      <c r="AC102" s="2"/>
      <c r="AD102" s="2"/>
      <c r="AE102" s="2"/>
      <c r="AF102" s="2"/>
      <c r="AG102" s="2"/>
      <c r="AH102" s="1447"/>
      <c r="AI102" s="1449"/>
      <c r="AJ102" s="1449"/>
      <c r="AK102" s="1449"/>
      <c r="AL102" s="1447"/>
      <c r="AM102" s="69" t="s">
        <v>995</v>
      </c>
      <c r="AN102" s="2"/>
    </row>
    <row r="103" spans="1:40" ht="12.75" customHeight="1">
      <c r="A103" s="2"/>
      <c r="B103" s="2"/>
      <c r="C103" s="2"/>
      <c r="D103" s="1062"/>
      <c r="E103" s="2"/>
      <c r="F103" s="2"/>
      <c r="G103" s="2"/>
      <c r="H103" s="2"/>
      <c r="I103" s="2"/>
      <c r="J103" s="2"/>
      <c r="K103" s="2"/>
      <c r="L103" s="2"/>
      <c r="O103" s="2"/>
      <c r="S103" s="2"/>
      <c r="T103" s="2"/>
      <c r="U103" s="2"/>
      <c r="V103" s="2"/>
      <c r="W103" s="2"/>
      <c r="X103" s="2"/>
      <c r="Y103" s="2"/>
      <c r="Z103" s="2"/>
      <c r="AA103" s="2"/>
      <c r="AB103" s="2"/>
      <c r="AC103" s="2"/>
      <c r="AD103" s="2"/>
      <c r="AE103" s="2"/>
      <c r="AF103" s="2"/>
      <c r="AG103" s="2"/>
      <c r="AH103" s="2"/>
      <c r="AI103" s="2"/>
      <c r="AJ103" s="2"/>
      <c r="AK103" s="2"/>
      <c r="AL103" s="2"/>
      <c r="AM103" s="2" t="s">
        <v>1637</v>
      </c>
      <c r="AN103" s="1072">
        <v>288</v>
      </c>
    </row>
    <row r="104" spans="1:40" ht="12.75" customHeight="1">
      <c r="A104" s="2"/>
      <c r="B104" s="2"/>
      <c r="C104" s="2"/>
      <c r="D104" s="1062"/>
      <c r="E104" s="2"/>
      <c r="F104" s="2"/>
      <c r="G104" s="2"/>
      <c r="H104" s="2"/>
      <c r="I104" s="2"/>
      <c r="J104" s="2"/>
      <c r="K104" s="2"/>
      <c r="L104" s="2"/>
      <c r="O104" s="2"/>
      <c r="S104" s="2"/>
      <c r="T104" s="2"/>
      <c r="U104" s="2"/>
      <c r="V104" s="2"/>
      <c r="W104" s="2"/>
      <c r="X104" s="2"/>
      <c r="Y104" s="2"/>
      <c r="Z104" s="2"/>
      <c r="AA104" s="2"/>
      <c r="AB104" s="2"/>
      <c r="AC104" s="2"/>
      <c r="AD104" s="2"/>
      <c r="AE104" s="2"/>
      <c r="AF104" s="2"/>
      <c r="AG104" s="2"/>
      <c r="AH104" s="2"/>
      <c r="AI104" s="2"/>
      <c r="AJ104" s="2"/>
      <c r="AK104" s="2"/>
      <c r="AL104" s="2"/>
      <c r="AM104" s="2" t="s">
        <v>640</v>
      </c>
      <c r="AN104" s="1468">
        <v>44</v>
      </c>
    </row>
    <row r="105" spans="1:40" ht="12.75" customHeight="1">
      <c r="A105" s="2"/>
      <c r="B105" s="2"/>
      <c r="C105" s="2"/>
      <c r="D105" s="1062"/>
      <c r="E105" s="2"/>
      <c r="F105" s="2"/>
      <c r="G105" s="2"/>
      <c r="H105" s="2"/>
      <c r="I105" s="2"/>
      <c r="J105" s="2"/>
      <c r="K105" s="2"/>
      <c r="L105" s="2"/>
      <c r="O105" s="2"/>
      <c r="S105" s="2"/>
      <c r="T105" s="2"/>
      <c r="U105" s="2"/>
      <c r="V105" s="2"/>
      <c r="W105" s="2"/>
      <c r="X105" s="2"/>
      <c r="Y105" s="2"/>
      <c r="Z105" s="2"/>
      <c r="AA105" s="2"/>
      <c r="AB105" s="2"/>
      <c r="AC105" s="2"/>
      <c r="AD105" s="2"/>
      <c r="AE105" s="2"/>
      <c r="AF105" s="2"/>
      <c r="AG105" s="2"/>
      <c r="AH105" s="2"/>
      <c r="AI105" s="2"/>
      <c r="AJ105" s="2"/>
      <c r="AK105" s="2"/>
      <c r="AL105" s="2"/>
      <c r="AM105" s="1" t="s">
        <v>995</v>
      </c>
      <c r="AN105" s="1472">
        <f>SUM(AN103:AN104)</f>
        <v>332</v>
      </c>
    </row>
    <row r="106" spans="1:40" ht="12.75" customHeight="1">
      <c r="A106" s="2"/>
      <c r="B106" s="2"/>
      <c r="C106" s="2"/>
      <c r="D106" s="1062"/>
      <c r="E106" s="2"/>
      <c r="F106" s="2"/>
      <c r="G106" s="2"/>
      <c r="H106" s="2"/>
      <c r="I106" s="2"/>
      <c r="J106" s="2"/>
      <c r="K106" s="2"/>
      <c r="L106" s="2"/>
      <c r="O106" s="2"/>
      <c r="S106" s="2"/>
      <c r="T106" s="2"/>
      <c r="U106" s="2"/>
      <c r="V106" s="2"/>
      <c r="W106" s="2"/>
      <c r="X106" s="2"/>
      <c r="Y106" s="2"/>
      <c r="Z106" s="2"/>
      <c r="AA106" s="2"/>
      <c r="AB106" s="2"/>
      <c r="AC106" s="2"/>
      <c r="AD106" s="2"/>
      <c r="AE106" s="2"/>
      <c r="AF106" s="2"/>
      <c r="AG106" s="2"/>
      <c r="AH106" s="2"/>
      <c r="AI106" s="2"/>
      <c r="AJ106" s="2"/>
      <c r="AK106" s="2"/>
      <c r="AL106" s="2"/>
      <c r="AM106" s="2"/>
      <c r="AN106" s="1467"/>
    </row>
    <row r="107" spans="1:40" ht="12.75" customHeight="1">
      <c r="A107" s="2"/>
      <c r="B107" s="2"/>
      <c r="C107" s="2"/>
      <c r="D107" s="1062"/>
      <c r="E107" s="2"/>
      <c r="F107" s="2"/>
      <c r="G107" s="2"/>
      <c r="H107" s="2"/>
      <c r="I107" s="2"/>
      <c r="J107" s="2"/>
      <c r="K107" s="2"/>
      <c r="L107" s="2"/>
      <c r="O107" s="2"/>
      <c r="S107" s="2"/>
      <c r="T107" s="2"/>
      <c r="U107" s="2"/>
      <c r="V107" s="2"/>
      <c r="W107" s="2"/>
      <c r="X107" s="2"/>
      <c r="Y107" s="2"/>
      <c r="Z107" s="2"/>
      <c r="AA107" s="2"/>
      <c r="AB107" s="2"/>
      <c r="AC107" s="2"/>
      <c r="AD107" s="2"/>
      <c r="AE107" s="2"/>
      <c r="AF107" s="2"/>
      <c r="AG107" s="2"/>
      <c r="AH107" s="2"/>
      <c r="AI107" s="2"/>
      <c r="AJ107" s="2"/>
      <c r="AK107" s="2"/>
      <c r="AL107" s="2"/>
      <c r="AM107" s="69" t="s">
        <v>1516</v>
      </c>
      <c r="AN107" s="1467"/>
    </row>
    <row r="108" spans="1:40" ht="12.75" customHeight="1">
      <c r="A108" s="2"/>
      <c r="B108" s="2"/>
      <c r="C108" s="2"/>
      <c r="D108" s="1062"/>
      <c r="E108" s="2"/>
      <c r="F108" s="2"/>
      <c r="G108" s="2"/>
      <c r="H108" s="2"/>
      <c r="I108" s="2"/>
      <c r="J108" s="2"/>
      <c r="K108" s="2"/>
      <c r="L108" s="2"/>
      <c r="O108" s="2"/>
      <c r="S108" s="2"/>
      <c r="T108" s="2"/>
      <c r="U108" s="2"/>
      <c r="V108" s="2"/>
      <c r="W108" s="2"/>
      <c r="X108" s="2"/>
      <c r="Y108" s="2"/>
      <c r="Z108" s="2"/>
      <c r="AA108" s="2"/>
      <c r="AB108" s="2"/>
      <c r="AC108" s="2"/>
      <c r="AD108" s="2"/>
      <c r="AE108" s="2"/>
      <c r="AF108" s="2"/>
      <c r="AG108" s="2"/>
      <c r="AH108" s="2"/>
      <c r="AI108" s="2"/>
      <c r="AJ108" s="2"/>
      <c r="AK108" s="2"/>
      <c r="AL108" s="2"/>
      <c r="AM108" s="2" t="s">
        <v>997</v>
      </c>
      <c r="AN108" s="1467">
        <v>45</v>
      </c>
    </row>
    <row r="109" spans="1:40" ht="12.75" customHeight="1">
      <c r="A109" s="2"/>
      <c r="B109" s="2"/>
      <c r="C109" s="2"/>
      <c r="D109" s="1062"/>
      <c r="E109" s="2"/>
      <c r="F109" s="2"/>
      <c r="G109" s="2"/>
      <c r="H109" s="2"/>
      <c r="I109" s="2"/>
      <c r="J109" s="2"/>
      <c r="K109" s="2"/>
      <c r="L109" s="2"/>
      <c r="O109" s="2"/>
      <c r="S109" s="2"/>
      <c r="T109" s="2"/>
      <c r="U109" s="2"/>
      <c r="V109" s="2"/>
      <c r="W109" s="2"/>
      <c r="X109" s="2"/>
      <c r="Y109" s="2"/>
      <c r="Z109" s="2"/>
      <c r="AA109" s="2"/>
      <c r="AB109" s="2"/>
      <c r="AC109" s="2"/>
      <c r="AD109" s="2"/>
      <c r="AE109" s="2"/>
      <c r="AF109" s="2"/>
      <c r="AG109" s="2"/>
      <c r="AH109" s="2"/>
      <c r="AI109" s="2"/>
      <c r="AJ109" s="2"/>
      <c r="AK109" s="2"/>
      <c r="AL109" s="2"/>
      <c r="AM109" s="2" t="s">
        <v>1019</v>
      </c>
      <c r="AN109" s="1469">
        <v>-20</v>
      </c>
    </row>
    <row r="110" spans="1:40" ht="12.75" customHeight="1">
      <c r="A110" s="2"/>
      <c r="B110" s="2"/>
      <c r="C110" s="2"/>
      <c r="D110" s="1062"/>
      <c r="E110" s="2"/>
      <c r="F110" s="2"/>
      <c r="G110" s="2"/>
      <c r="H110" s="2"/>
      <c r="I110" s="2"/>
      <c r="J110" s="2"/>
      <c r="K110" s="2"/>
      <c r="L110" s="2"/>
      <c r="O110" s="2"/>
      <c r="S110" s="2"/>
      <c r="T110" s="2"/>
      <c r="U110" s="2"/>
      <c r="V110" s="2"/>
      <c r="W110" s="2"/>
      <c r="X110" s="2"/>
      <c r="Y110" s="2"/>
      <c r="Z110" s="2"/>
      <c r="AA110" s="2"/>
      <c r="AB110" s="2"/>
      <c r="AC110" s="2"/>
      <c r="AD110" s="2"/>
      <c r="AE110" s="2"/>
      <c r="AF110" s="2"/>
      <c r="AG110" s="2"/>
      <c r="AH110" s="2"/>
      <c r="AI110" s="2"/>
      <c r="AJ110" s="2"/>
      <c r="AK110" s="2"/>
      <c r="AL110" s="2"/>
      <c r="AM110" s="2" t="s">
        <v>527</v>
      </c>
      <c r="AN110" s="1468">
        <f>-AN105*0.07</f>
        <v>-23.240000000000002</v>
      </c>
    </row>
    <row r="111" spans="1:40" ht="12.75" customHeight="1">
      <c r="A111" s="2"/>
      <c r="B111" s="2"/>
      <c r="C111" s="2"/>
      <c r="D111" s="1062"/>
      <c r="E111" s="2"/>
      <c r="F111" s="2"/>
      <c r="G111" s="2"/>
      <c r="H111" s="2"/>
      <c r="I111" s="2"/>
      <c r="J111" s="2"/>
      <c r="K111" s="2"/>
      <c r="L111" s="2"/>
      <c r="O111" s="2"/>
      <c r="S111" s="2"/>
      <c r="T111" s="2"/>
      <c r="U111" s="2"/>
      <c r="V111" s="2"/>
      <c r="W111" s="2"/>
      <c r="X111" s="2"/>
      <c r="Y111" s="2"/>
      <c r="Z111" s="2"/>
      <c r="AA111" s="2"/>
      <c r="AB111" s="2"/>
      <c r="AC111" s="2"/>
      <c r="AD111" s="2"/>
      <c r="AE111" s="2"/>
      <c r="AF111" s="2"/>
      <c r="AG111" s="2"/>
      <c r="AH111" s="2"/>
      <c r="AI111" s="2"/>
      <c r="AJ111" s="2"/>
      <c r="AK111" s="2"/>
      <c r="AL111" s="2"/>
      <c r="AM111" s="107" t="s">
        <v>528</v>
      </c>
      <c r="AN111" s="1470">
        <f>SUM(AN108:AN110)</f>
        <v>1.759999999999998</v>
      </c>
    </row>
    <row r="112" spans="1:40" ht="12.75" customHeight="1">
      <c r="A112" s="2"/>
      <c r="B112" s="2"/>
      <c r="C112" s="2"/>
      <c r="D112" s="1062"/>
      <c r="E112" s="2"/>
      <c r="F112" s="2"/>
      <c r="G112" s="2"/>
      <c r="H112" s="2"/>
      <c r="I112" s="2"/>
      <c r="J112" s="2"/>
      <c r="K112" s="2"/>
      <c r="L112" s="2"/>
      <c r="O112" s="2"/>
      <c r="S112" s="2"/>
      <c r="T112" s="2"/>
      <c r="U112" s="2"/>
      <c r="V112" s="2"/>
      <c r="W112" s="2"/>
      <c r="X112" s="2"/>
      <c r="Y112" s="2"/>
      <c r="Z112" s="2"/>
      <c r="AA112" s="2"/>
      <c r="AB112" s="2"/>
      <c r="AC112" s="2"/>
      <c r="AD112" s="2"/>
      <c r="AE112" s="2"/>
      <c r="AF112" s="2"/>
      <c r="AG112" s="2"/>
      <c r="AH112" s="2"/>
      <c r="AI112" s="2"/>
      <c r="AJ112" s="2"/>
      <c r="AK112" s="2"/>
      <c r="AL112" s="2"/>
      <c r="AM112" s="2" t="s">
        <v>219</v>
      </c>
      <c r="AN112" s="1467">
        <f>-AN111*0.35</f>
        <v>-0.61599999999999921</v>
      </c>
    </row>
    <row r="113" spans="1:40" ht="12.75" customHeight="1">
      <c r="A113" s="2"/>
      <c r="B113" s="2"/>
      <c r="C113" s="2"/>
      <c r="D113" s="1062"/>
      <c r="E113" s="2"/>
      <c r="F113" s="2"/>
      <c r="G113" s="2"/>
      <c r="H113" s="2"/>
      <c r="I113" s="2"/>
      <c r="J113" s="2"/>
      <c r="K113" s="2"/>
      <c r="L113" s="2"/>
      <c r="O113" s="2"/>
      <c r="S113" s="2"/>
      <c r="T113" s="2"/>
      <c r="U113" s="2"/>
      <c r="V113" s="2"/>
      <c r="W113" s="2"/>
      <c r="X113" s="2"/>
      <c r="Y113" s="2"/>
      <c r="Z113" s="2"/>
      <c r="AA113" s="2"/>
      <c r="AB113" s="2"/>
      <c r="AC113" s="2"/>
      <c r="AD113" s="2"/>
      <c r="AE113" s="2"/>
      <c r="AF113" s="2"/>
      <c r="AG113" s="2"/>
      <c r="AH113" s="2"/>
      <c r="AI113" s="2"/>
      <c r="AJ113" s="2"/>
      <c r="AK113" s="2"/>
      <c r="AL113" s="2"/>
      <c r="AM113" s="138" t="s">
        <v>1243</v>
      </c>
      <c r="AN113" s="1471">
        <f>AN111+AN112</f>
        <v>1.1439999999999988</v>
      </c>
    </row>
    <row r="114" spans="1:40" ht="12.75" customHeight="1">
      <c r="A114" s="2"/>
      <c r="B114" s="2"/>
      <c r="C114" s="2"/>
      <c r="D114" s="1062"/>
      <c r="E114" s="2"/>
      <c r="F114" s="2"/>
      <c r="G114" s="2"/>
      <c r="H114" s="2"/>
      <c r="I114" s="2"/>
      <c r="J114" s="2"/>
      <c r="K114" s="2"/>
      <c r="L114" s="2"/>
      <c r="O114" s="2"/>
      <c r="S114" s="2"/>
      <c r="T114" s="2"/>
      <c r="U114" s="2"/>
      <c r="V114" s="2"/>
      <c r="W114" s="2"/>
      <c r="X114" s="2"/>
      <c r="Y114" s="2"/>
      <c r="Z114" s="2"/>
      <c r="AA114" s="2"/>
      <c r="AB114" s="2"/>
      <c r="AC114" s="2"/>
      <c r="AD114" s="2"/>
      <c r="AE114" s="2"/>
      <c r="AF114" s="2"/>
      <c r="AG114" s="2"/>
      <c r="AH114" s="2"/>
      <c r="AI114" s="2"/>
      <c r="AJ114" s="2"/>
      <c r="AK114" s="2"/>
      <c r="AL114" s="2"/>
      <c r="AM114" s="2"/>
      <c r="AN114" s="1467"/>
    </row>
    <row r="115" spans="1:40" ht="12.75" customHeight="1">
      <c r="A115" s="2"/>
      <c r="B115" s="2"/>
      <c r="C115" s="2"/>
      <c r="D115" s="1062"/>
      <c r="E115" s="2"/>
      <c r="F115" s="2"/>
      <c r="G115" s="2"/>
      <c r="H115" s="2"/>
      <c r="I115" s="2"/>
      <c r="J115" s="2"/>
      <c r="K115" s="2"/>
      <c r="L115" s="2"/>
      <c r="O115" s="2"/>
      <c r="S115" s="2"/>
      <c r="T115" s="2"/>
      <c r="U115" s="2"/>
      <c r="V115" s="2"/>
      <c r="W115" s="2"/>
      <c r="X115" s="2"/>
      <c r="Y115" s="2"/>
      <c r="Z115" s="2"/>
      <c r="AA115" s="2"/>
      <c r="AB115" s="2"/>
      <c r="AC115" s="2"/>
      <c r="AD115" s="2"/>
      <c r="AE115" s="2"/>
      <c r="AF115" s="2"/>
      <c r="AG115" s="2"/>
      <c r="AH115" s="2"/>
      <c r="AI115" s="2"/>
      <c r="AJ115" s="2"/>
      <c r="AK115" s="2"/>
      <c r="AL115" s="2"/>
      <c r="AM115" s="69" t="s">
        <v>1517</v>
      </c>
      <c r="AN115" s="1467"/>
    </row>
    <row r="116" spans="1:40" ht="12.75" customHeight="1">
      <c r="A116" s="2"/>
      <c r="B116" s="2"/>
      <c r="C116" s="2"/>
      <c r="D116" s="1062"/>
      <c r="E116" s="2"/>
      <c r="F116" s="2"/>
      <c r="G116" s="2"/>
      <c r="H116" s="2"/>
      <c r="I116" s="2"/>
      <c r="J116" s="2"/>
      <c r="K116" s="2"/>
      <c r="L116" s="2"/>
      <c r="O116" s="2"/>
      <c r="S116" s="2"/>
      <c r="T116" s="2"/>
      <c r="U116" s="2"/>
      <c r="V116" s="2"/>
      <c r="W116" s="2"/>
      <c r="X116" s="2"/>
      <c r="Y116" s="2"/>
      <c r="Z116" s="2"/>
      <c r="AA116" s="2"/>
      <c r="AB116" s="2"/>
      <c r="AC116" s="2"/>
      <c r="AD116" s="2"/>
      <c r="AE116" s="2"/>
      <c r="AF116" s="2"/>
      <c r="AG116" s="2"/>
      <c r="AH116" s="2"/>
      <c r="AI116" s="2"/>
      <c r="AJ116" s="2"/>
      <c r="AK116" s="2"/>
      <c r="AL116" s="2"/>
      <c r="AM116" s="2" t="s">
        <v>401</v>
      </c>
      <c r="AN116" s="1467">
        <v>45</v>
      </c>
    </row>
    <row r="117" spans="1:40" ht="12.75" customHeight="1">
      <c r="A117" s="2"/>
      <c r="B117" s="2"/>
      <c r="C117" s="2"/>
      <c r="D117" s="1062"/>
      <c r="E117" s="2"/>
      <c r="F117" s="2"/>
      <c r="G117" s="2"/>
      <c r="H117" s="2"/>
      <c r="I117" s="2"/>
      <c r="J117" s="2"/>
      <c r="K117" s="2"/>
      <c r="L117" s="2"/>
      <c r="O117" s="2"/>
      <c r="S117" s="2"/>
      <c r="T117" s="2"/>
      <c r="U117" s="2"/>
      <c r="V117" s="2"/>
      <c r="W117" s="2"/>
      <c r="X117" s="2"/>
      <c r="Y117" s="2"/>
      <c r="Z117" s="2"/>
      <c r="AA117" s="2"/>
      <c r="AB117" s="2"/>
      <c r="AC117" s="2"/>
      <c r="AD117" s="2"/>
      <c r="AE117" s="2"/>
      <c r="AF117" s="2"/>
      <c r="AG117" s="2"/>
      <c r="AH117" s="2"/>
      <c r="AI117" s="2"/>
      <c r="AJ117" s="2"/>
      <c r="AK117" s="2"/>
      <c r="AL117" s="2"/>
      <c r="AM117" s="2" t="s">
        <v>1020</v>
      </c>
      <c r="AN117" s="1467">
        <f>AN110</f>
        <v>-23.240000000000002</v>
      </c>
    </row>
    <row r="118" spans="1:40" ht="12.75" customHeight="1">
      <c r="A118" s="2"/>
      <c r="B118" s="2"/>
      <c r="C118" s="2"/>
      <c r="D118" s="1062"/>
      <c r="E118" s="2"/>
      <c r="F118" s="2"/>
      <c r="G118" s="2"/>
      <c r="H118" s="2"/>
      <c r="I118" s="2"/>
      <c r="J118" s="2"/>
      <c r="K118" s="2"/>
      <c r="L118" s="2"/>
      <c r="O118" s="2"/>
      <c r="S118" s="2"/>
      <c r="T118" s="2"/>
      <c r="U118" s="2"/>
      <c r="V118" s="2"/>
      <c r="W118" s="2"/>
      <c r="X118" s="2"/>
      <c r="Y118" s="2"/>
      <c r="Z118" s="2"/>
      <c r="AA118" s="2"/>
      <c r="AB118" s="2"/>
      <c r="AC118" s="2"/>
      <c r="AD118" s="2"/>
      <c r="AE118" s="2"/>
      <c r="AF118" s="2"/>
      <c r="AG118" s="2"/>
      <c r="AH118" s="2"/>
      <c r="AI118" s="2"/>
      <c r="AJ118" s="2"/>
      <c r="AK118" s="2"/>
      <c r="AL118" s="2"/>
      <c r="AM118" s="2" t="s">
        <v>996</v>
      </c>
      <c r="AN118" s="1467">
        <f>-AN105*0.03</f>
        <v>-9.9599999999999991</v>
      </c>
    </row>
    <row r="119" spans="1:40" ht="12.75" customHeight="1">
      <c r="A119" s="2"/>
      <c r="B119" s="2"/>
      <c r="C119" s="2"/>
      <c r="D119" s="1062"/>
      <c r="E119" s="2"/>
      <c r="F119" s="2"/>
      <c r="G119" s="2"/>
      <c r="H119" s="2"/>
      <c r="I119" s="2"/>
      <c r="J119" s="2"/>
      <c r="K119" s="2"/>
      <c r="L119" s="2"/>
      <c r="O119" s="2"/>
      <c r="S119" s="2"/>
      <c r="T119" s="2"/>
      <c r="U119" s="2"/>
      <c r="V119" s="2"/>
      <c r="W119" s="2"/>
      <c r="X119" s="2"/>
      <c r="Y119" s="2"/>
      <c r="Z119" s="2"/>
      <c r="AA119" s="2"/>
      <c r="AB119" s="2"/>
      <c r="AC119" s="2"/>
      <c r="AD119" s="2"/>
      <c r="AE119" s="2"/>
      <c r="AF119" s="2"/>
      <c r="AG119" s="2"/>
      <c r="AH119" s="2"/>
      <c r="AI119" s="2"/>
      <c r="AJ119" s="2"/>
      <c r="AK119" s="2"/>
      <c r="AL119" s="2"/>
      <c r="AM119" s="2" t="s">
        <v>529</v>
      </c>
      <c r="AN119" s="1468">
        <f>AN112</f>
        <v>-0.61599999999999921</v>
      </c>
    </row>
    <row r="120" spans="1:40" ht="12.75" customHeight="1">
      <c r="A120" s="2"/>
      <c r="B120" s="2"/>
      <c r="C120" s="2"/>
      <c r="D120" s="1062"/>
      <c r="E120" s="2"/>
      <c r="F120" s="2"/>
      <c r="G120" s="2"/>
      <c r="H120" s="2"/>
      <c r="I120" s="2"/>
      <c r="J120" s="2"/>
      <c r="K120" s="2"/>
      <c r="L120" s="2"/>
      <c r="O120" s="2"/>
      <c r="S120" s="2"/>
      <c r="T120" s="2"/>
      <c r="U120" s="2"/>
      <c r="V120" s="2"/>
      <c r="W120" s="2"/>
      <c r="X120" s="2"/>
      <c r="Y120" s="2"/>
      <c r="Z120" s="2"/>
      <c r="AA120" s="2"/>
      <c r="AB120" s="2"/>
      <c r="AC120" s="2"/>
      <c r="AD120" s="2"/>
      <c r="AE120" s="2"/>
      <c r="AF120" s="2"/>
      <c r="AG120" s="2"/>
      <c r="AH120" s="2"/>
      <c r="AI120" s="2"/>
      <c r="AJ120" s="2"/>
      <c r="AK120" s="2"/>
      <c r="AL120" s="2"/>
      <c r="AM120" s="138" t="s">
        <v>1017</v>
      </c>
      <c r="AN120" s="1461">
        <f>SUM(AN116:AN119)</f>
        <v>11.183999999999999</v>
      </c>
    </row>
    <row r="121" spans="1:40" ht="12.75" customHeight="1">
      <c r="A121" s="2"/>
      <c r="B121" s="2"/>
      <c r="C121" s="2"/>
      <c r="D121" s="1062"/>
      <c r="E121" s="2"/>
      <c r="F121" s="2"/>
      <c r="G121" s="2"/>
      <c r="H121" s="2"/>
      <c r="I121" s="2"/>
      <c r="J121" s="2"/>
      <c r="K121" s="2"/>
      <c r="L121" s="2"/>
      <c r="O121" s="2"/>
      <c r="S121" s="2"/>
      <c r="T121" s="2"/>
      <c r="U121" s="2"/>
      <c r="V121" s="2"/>
      <c r="W121" s="2"/>
      <c r="X121" s="2"/>
      <c r="Y121" s="2"/>
      <c r="Z121" s="2"/>
      <c r="AA121" s="2"/>
      <c r="AB121" s="2"/>
      <c r="AC121" s="2"/>
      <c r="AD121" s="2"/>
      <c r="AE121" s="2"/>
      <c r="AF121" s="2"/>
      <c r="AG121" s="2"/>
      <c r="AH121" s="2"/>
      <c r="AI121" s="2"/>
      <c r="AJ121" s="2"/>
      <c r="AK121" s="2"/>
      <c r="AL121" s="2"/>
      <c r="AM121" s="118" t="s">
        <v>1018</v>
      </c>
      <c r="AN121" s="122">
        <f>AN120/AN105</f>
        <v>3.3686746987951807E-2</v>
      </c>
    </row>
  </sheetData>
  <phoneticPr fontId="1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AP125"/>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6" max="16" width="3.25" customWidth="1"/>
    <col min="18" max="18" width="1" customWidth="1"/>
    <col min="19" max="19" width="19" customWidth="1"/>
    <col min="20" max="20" width="1.625" customWidth="1"/>
    <col min="21" max="21" width="8.625" customWidth="1"/>
    <col min="22" max="22" width="1.625" customWidth="1"/>
    <col min="23" max="23" width="8.625" customWidth="1"/>
    <col min="24" max="24" width="1.625" customWidth="1"/>
    <col min="25" max="25" width="8.625" customWidth="1"/>
    <col min="28" max="28" width="7.625" customWidth="1"/>
    <col min="29" max="29" width="1.625" customWidth="1"/>
    <col min="30" max="30" width="7.625" customWidth="1"/>
    <col min="31" max="31" width="1.625" customWidth="1"/>
    <col min="32" max="32" width="7.625" customWidth="1"/>
    <col min="33" max="33" width="1.625" customWidth="1"/>
    <col min="34" max="34" width="7.625" customWidth="1"/>
    <col min="35" max="35" width="1.625" customWidth="1"/>
    <col min="36" max="36" width="16.375" customWidth="1"/>
    <col min="37" max="37" width="11.625" customWidth="1"/>
    <col min="38" max="38" width="2.625" customWidth="1"/>
    <col min="39" max="39" width="10.625" customWidth="1"/>
    <col min="40" max="40" width="0.5" customWidth="1"/>
    <col min="41" max="41" width="41.625" customWidth="1"/>
  </cols>
  <sheetData>
    <row r="1" spans="1:42" ht="12.75" customHeight="1">
      <c r="A1" s="1" t="s">
        <v>629</v>
      </c>
      <c r="B1" s="2"/>
      <c r="C1" s="166">
        <f>SUM(C8:C11)</f>
        <v>589.16600000000005</v>
      </c>
      <c r="D1" s="1062"/>
      <c r="E1" s="2"/>
      <c r="F1" s="2"/>
      <c r="G1" s="2"/>
      <c r="H1" s="2"/>
      <c r="I1" s="2"/>
      <c r="J1" s="2"/>
      <c r="K1" s="2"/>
      <c r="L1" s="2"/>
      <c r="O1" s="2"/>
      <c r="S1" s="2"/>
      <c r="T1" s="2"/>
      <c r="U1" s="2"/>
      <c r="V1" s="2"/>
      <c r="W1" s="2"/>
      <c r="X1" s="2"/>
      <c r="Y1" s="2"/>
      <c r="Z1" s="2"/>
      <c r="AA1" s="2"/>
      <c r="AB1" s="2"/>
      <c r="AC1" s="2"/>
      <c r="AD1" s="2"/>
      <c r="AE1" s="2"/>
      <c r="AF1" s="2"/>
      <c r="AG1" s="2"/>
      <c r="AH1" s="2"/>
      <c r="AI1" s="2"/>
      <c r="AJ1" s="2"/>
      <c r="AK1" s="2"/>
      <c r="AL1" s="2"/>
      <c r="AM1" s="2"/>
      <c r="AN1" s="2"/>
      <c r="AO1" s="2"/>
      <c r="AP1" s="2"/>
    </row>
    <row r="2" spans="1:42" ht="12.75" customHeight="1">
      <c r="A2" s="1" t="s">
        <v>1224</v>
      </c>
      <c r="B2" s="2"/>
      <c r="C2" s="2"/>
      <c r="D2" s="1062"/>
      <c r="E2" s="2"/>
      <c r="F2" s="2"/>
      <c r="G2" s="2"/>
      <c r="H2" s="2"/>
      <c r="I2" s="2"/>
      <c r="J2" s="2"/>
      <c r="K2" s="2"/>
      <c r="L2" s="2"/>
      <c r="O2" s="2"/>
      <c r="S2" s="2"/>
      <c r="T2" s="2"/>
      <c r="U2" s="2"/>
      <c r="V2" s="2"/>
      <c r="W2" s="2"/>
      <c r="X2" s="2"/>
      <c r="Y2" s="2"/>
      <c r="Z2" s="2"/>
      <c r="AA2" s="2"/>
      <c r="AB2" s="2"/>
      <c r="AC2" s="2"/>
      <c r="AD2" s="2"/>
      <c r="AE2" s="2"/>
      <c r="AF2" s="2"/>
      <c r="AG2" s="2"/>
      <c r="AH2" s="2"/>
      <c r="AI2" s="2"/>
      <c r="AJ2" s="2"/>
      <c r="AK2" s="2"/>
      <c r="AL2" s="2"/>
      <c r="AM2" s="2"/>
      <c r="AN2" s="2"/>
      <c r="AO2" s="2"/>
      <c r="AP2" s="2"/>
    </row>
    <row r="3" spans="1:42" ht="12.75" customHeight="1">
      <c r="A3" s="2" t="s">
        <v>1225</v>
      </c>
      <c r="B3" s="2"/>
      <c r="C3" s="2"/>
      <c r="D3" s="1062"/>
      <c r="E3" s="2"/>
      <c r="F3" s="2"/>
      <c r="G3" s="2"/>
      <c r="H3" s="2"/>
      <c r="I3" s="2"/>
      <c r="J3" s="2"/>
      <c r="K3" s="2"/>
      <c r="L3" s="2"/>
      <c r="O3" s="2"/>
      <c r="S3" s="2"/>
      <c r="T3" s="2"/>
      <c r="U3" s="2"/>
      <c r="V3" s="2"/>
      <c r="W3" s="2"/>
      <c r="X3" s="2"/>
      <c r="Y3" s="2"/>
      <c r="Z3" s="2"/>
      <c r="AA3" s="2"/>
      <c r="AB3" s="2"/>
      <c r="AC3" s="2"/>
      <c r="AD3" s="2"/>
      <c r="AE3" s="2"/>
      <c r="AF3" s="2"/>
      <c r="AG3" s="2"/>
      <c r="AH3" s="2"/>
      <c r="AI3" s="2"/>
      <c r="AJ3" s="2"/>
      <c r="AK3" s="2"/>
      <c r="AL3" s="2"/>
      <c r="AM3" s="2"/>
      <c r="AN3" s="2"/>
      <c r="AO3" s="2"/>
      <c r="AP3" s="2"/>
    </row>
    <row r="4" spans="1:42" ht="12.75" customHeight="1">
      <c r="A4" s="2"/>
      <c r="B4" s="2"/>
      <c r="C4" s="1195" t="s">
        <v>818</v>
      </c>
      <c r="D4" s="1310"/>
      <c r="E4" s="1196"/>
      <c r="F4" s="1196"/>
      <c r="G4" s="1196"/>
      <c r="H4" s="2"/>
      <c r="I4" s="1195" t="s">
        <v>1504</v>
      </c>
      <c r="J4" s="1197"/>
      <c r="K4" s="1196"/>
      <c r="L4" s="1196"/>
      <c r="O4" s="73" t="s">
        <v>1030</v>
      </c>
      <c r="S4" s="2"/>
      <c r="T4" s="2"/>
      <c r="U4" s="2"/>
      <c r="V4" s="2"/>
      <c r="W4" s="2"/>
      <c r="X4" s="2"/>
      <c r="Y4" s="2"/>
      <c r="Z4" s="2"/>
      <c r="AA4" s="2"/>
      <c r="AB4" s="2"/>
      <c r="AC4" s="2"/>
      <c r="AD4" s="2"/>
      <c r="AE4" s="2"/>
      <c r="AF4" s="2"/>
      <c r="AG4" s="2"/>
      <c r="AH4" s="2"/>
      <c r="AI4" s="2"/>
      <c r="AJ4" s="2"/>
      <c r="AK4" s="2"/>
      <c r="AL4" s="2"/>
      <c r="AM4" s="2"/>
      <c r="AN4" s="2"/>
      <c r="AO4" s="2"/>
      <c r="AP4" s="2"/>
    </row>
    <row r="5" spans="1:42" ht="12.75" customHeight="1">
      <c r="A5" s="2"/>
      <c r="B5" s="2"/>
      <c r="C5" s="1198"/>
      <c r="D5" s="77"/>
      <c r="E5" s="2"/>
      <c r="F5" s="1197" t="s">
        <v>1505</v>
      </c>
      <c r="G5" s="1197"/>
      <c r="H5" s="2"/>
      <c r="I5" s="1198"/>
      <c r="J5" s="61"/>
      <c r="K5" s="1197" t="s">
        <v>1505</v>
      </c>
      <c r="L5" s="1197"/>
      <c r="O5" s="2"/>
      <c r="S5" s="2"/>
      <c r="T5" s="2"/>
      <c r="U5" s="2"/>
      <c r="V5" s="2"/>
      <c r="W5" s="2"/>
      <c r="X5" s="2"/>
      <c r="Y5" s="2"/>
      <c r="Z5" s="2"/>
      <c r="AA5" s="2"/>
      <c r="AB5" s="2"/>
      <c r="AC5" s="2"/>
      <c r="AD5" s="2"/>
      <c r="AE5" s="2"/>
      <c r="AF5" s="2"/>
      <c r="AG5" s="2"/>
      <c r="AH5" s="2"/>
      <c r="AI5" s="2"/>
      <c r="AJ5" s="2"/>
      <c r="AK5" s="2"/>
      <c r="AL5" s="2"/>
      <c r="AM5" s="2"/>
      <c r="AN5" s="2"/>
      <c r="AO5" s="2"/>
      <c r="AP5" s="2"/>
    </row>
    <row r="6" spans="1:42" ht="12.75" customHeight="1">
      <c r="A6" s="61"/>
      <c r="B6" s="2"/>
      <c r="C6" s="1199" t="s">
        <v>1608</v>
      </c>
      <c r="D6" s="1308" t="s">
        <v>409</v>
      </c>
      <c r="E6" s="70"/>
      <c r="F6" s="73" t="s">
        <v>658</v>
      </c>
      <c r="G6" s="73" t="s">
        <v>740</v>
      </c>
      <c r="H6" s="2"/>
      <c r="I6" s="1199" t="s">
        <v>1578</v>
      </c>
      <c r="J6" s="70"/>
      <c r="K6" s="73" t="s">
        <v>658</v>
      </c>
      <c r="L6" s="73" t="s">
        <v>740</v>
      </c>
      <c r="O6" s="2"/>
      <c r="S6" s="2"/>
      <c r="T6" s="2"/>
      <c r="U6" s="2"/>
      <c r="V6" s="2"/>
      <c r="W6" s="2"/>
      <c r="X6" s="2"/>
      <c r="Y6" s="2"/>
      <c r="Z6" s="2"/>
      <c r="AA6" s="2"/>
      <c r="AB6" s="2"/>
      <c r="AC6" s="2"/>
      <c r="AD6" s="2"/>
      <c r="AE6" s="2"/>
      <c r="AF6" s="2"/>
      <c r="AG6" s="2"/>
      <c r="AH6" s="2"/>
      <c r="AI6" s="2"/>
      <c r="AJ6" s="2"/>
      <c r="AK6" s="2"/>
      <c r="AL6" s="2"/>
      <c r="AM6" s="2"/>
      <c r="AN6" s="2"/>
      <c r="AO6" s="2"/>
      <c r="AP6" s="2"/>
    </row>
    <row r="7" spans="1:42" ht="12.75" customHeight="1">
      <c r="A7" s="1" t="s">
        <v>741</v>
      </c>
      <c r="B7" s="2"/>
      <c r="C7" s="112"/>
      <c r="D7" s="77"/>
      <c r="E7" s="2"/>
      <c r="F7" s="2"/>
      <c r="G7" s="2"/>
      <c r="H7" s="2"/>
      <c r="I7" s="112"/>
      <c r="J7" s="61"/>
      <c r="K7" s="2"/>
      <c r="L7" s="2"/>
      <c r="O7" s="2"/>
      <c r="S7" s="2"/>
      <c r="T7" s="2"/>
      <c r="U7" s="2"/>
      <c r="V7" s="2"/>
      <c r="W7" s="2"/>
      <c r="X7" s="2"/>
      <c r="Y7" s="2"/>
      <c r="Z7" s="2"/>
      <c r="AA7" s="2"/>
      <c r="AB7" s="2"/>
      <c r="AC7" s="2"/>
      <c r="AD7" s="2"/>
      <c r="AE7" s="2"/>
      <c r="AF7" s="2"/>
      <c r="AG7" s="2"/>
      <c r="AH7" s="2"/>
      <c r="AI7" s="2"/>
      <c r="AJ7" s="2"/>
      <c r="AK7" s="2"/>
      <c r="AL7" s="2"/>
      <c r="AM7" s="2"/>
      <c r="AN7" s="2"/>
      <c r="AO7" s="2"/>
      <c r="AP7" s="2"/>
    </row>
    <row r="8" spans="1:42" ht="12.75" customHeight="1">
      <c r="A8" s="334" t="s">
        <v>514</v>
      </c>
      <c r="B8" s="2"/>
      <c r="C8" s="1207">
        <v>145.91499999999999</v>
      </c>
      <c r="D8" s="858">
        <f>BYD!AJ10</f>
        <v>145.59299999999999</v>
      </c>
      <c r="E8" s="1202"/>
      <c r="F8" s="1205">
        <f>C8-D8</f>
        <v>0.32200000000000273</v>
      </c>
      <c r="G8" s="126">
        <f t="shared" ref="G8:G13" si="0">IF(D8=0,0,C8/D8-1)</f>
        <v>2.211644790614864E-3</v>
      </c>
      <c r="H8" s="1205"/>
      <c r="I8" s="1207">
        <v>147.77689499999997</v>
      </c>
      <c r="J8" s="1202"/>
      <c r="K8" s="313">
        <f>C8-I8</f>
        <v>-1.8618949999999757</v>
      </c>
      <c r="L8" s="1204">
        <f>IF(I8=0,"NM",C8/I8-1)</f>
        <v>-1.2599364738310248E-2</v>
      </c>
      <c r="O8" s="2"/>
      <c r="S8" s="2"/>
      <c r="T8" s="2"/>
      <c r="U8" s="2"/>
      <c r="V8" s="2"/>
      <c r="W8" s="2"/>
      <c r="X8" s="2"/>
      <c r="Y8" s="2"/>
      <c r="Z8" s="2"/>
      <c r="AA8" s="2"/>
      <c r="AB8" s="2"/>
      <c r="AC8" s="2"/>
      <c r="AD8" s="2"/>
      <c r="AE8" s="2"/>
      <c r="AF8" s="2"/>
      <c r="AG8" s="2"/>
      <c r="AH8" s="2"/>
      <c r="AI8" s="2"/>
      <c r="AJ8" s="2"/>
      <c r="AK8" s="2"/>
      <c r="AL8" s="2"/>
      <c r="AM8" s="2"/>
      <c r="AN8" s="2"/>
      <c r="AO8" s="2"/>
      <c r="AP8" s="2"/>
    </row>
    <row r="9" spans="1:42" ht="12.75" customHeight="1">
      <c r="A9" s="334" t="s">
        <v>515</v>
      </c>
      <c r="B9" s="61"/>
      <c r="C9" s="1104">
        <v>53.326999999999998</v>
      </c>
      <c r="D9" s="104">
        <f>BYD!AJ11</f>
        <v>51.898000000000003</v>
      </c>
      <c r="E9" s="1103"/>
      <c r="F9" s="374">
        <f>C9-D9</f>
        <v>1.4289999999999949</v>
      </c>
      <c r="G9" s="95">
        <f t="shared" si="0"/>
        <v>2.7534779760298944E-2</v>
      </c>
      <c r="H9" s="61"/>
      <c r="I9" s="1104">
        <v>53.195450000000001</v>
      </c>
      <c r="J9" s="1103"/>
      <c r="K9" s="374">
        <f>C9-I9</f>
        <v>0.13154999999999717</v>
      </c>
      <c r="L9" s="92">
        <f>IF(I9=0,"NM",C9/I9-1)</f>
        <v>2.4729558637064386E-3</v>
      </c>
      <c r="O9" s="2"/>
      <c r="S9" s="2"/>
      <c r="T9" s="2"/>
      <c r="U9" s="2"/>
      <c r="V9" s="2"/>
      <c r="W9" s="2"/>
      <c r="X9" s="2"/>
      <c r="Y9" s="2"/>
      <c r="Z9" s="2"/>
      <c r="AA9" s="2"/>
      <c r="AB9" s="2"/>
      <c r="AC9" s="2"/>
      <c r="AD9" s="2"/>
      <c r="AE9" s="2"/>
      <c r="AF9" s="2"/>
      <c r="AG9" s="2"/>
      <c r="AH9" s="2"/>
      <c r="AI9" s="2"/>
      <c r="AJ9" s="2"/>
      <c r="AK9" s="2"/>
      <c r="AL9" s="2"/>
      <c r="AM9" s="2"/>
      <c r="AN9" s="2"/>
      <c r="AO9" s="2"/>
      <c r="AP9" s="2"/>
    </row>
    <row r="10" spans="1:42" ht="12.75" customHeight="1">
      <c r="A10" s="334" t="s">
        <v>516</v>
      </c>
      <c r="B10" s="61"/>
      <c r="C10" s="1104">
        <v>187.90600000000001</v>
      </c>
      <c r="D10" s="104">
        <f>BYD!AJ13</f>
        <v>188.69499999999999</v>
      </c>
      <c r="E10" s="1103"/>
      <c r="F10" s="374">
        <f>C10-D10</f>
        <v>-0.78899999999998727</v>
      </c>
      <c r="G10" s="95">
        <f t="shared" si="0"/>
        <v>-4.1813508572033919E-3</v>
      </c>
      <c r="H10" s="61"/>
      <c r="I10" s="1104">
        <v>190.3636190475442</v>
      </c>
      <c r="J10" s="1103"/>
      <c r="K10" s="374">
        <f>C10-I10</f>
        <v>-2.457619047544199</v>
      </c>
      <c r="L10" s="92">
        <f>IF(I10=0,"NM",C10/I10-1)</f>
        <v>-1.2910129886374966E-2</v>
      </c>
      <c r="O10" s="2"/>
      <c r="S10" s="2"/>
      <c r="T10" s="2"/>
      <c r="U10" s="2"/>
      <c r="V10" s="2"/>
      <c r="W10" s="2"/>
      <c r="X10" s="2"/>
      <c r="Y10" s="2"/>
      <c r="Z10" s="2"/>
      <c r="AA10" s="2"/>
      <c r="AB10" s="2"/>
      <c r="AC10" s="2"/>
      <c r="AD10" s="2"/>
      <c r="AE10" s="2"/>
      <c r="AF10" s="2"/>
      <c r="AG10" s="2"/>
      <c r="AH10" s="2"/>
      <c r="AI10" s="2"/>
      <c r="AJ10" s="2"/>
      <c r="AK10" s="2"/>
      <c r="AL10" s="2"/>
      <c r="AM10" s="2"/>
      <c r="AN10" s="2"/>
      <c r="AO10" s="2"/>
      <c r="AP10" s="2"/>
    </row>
    <row r="11" spans="1:42" ht="12.75" customHeight="1">
      <c r="A11" s="334" t="s">
        <v>273</v>
      </c>
      <c r="B11" s="61"/>
      <c r="C11" s="1104">
        <v>202.018</v>
      </c>
      <c r="D11" s="104">
        <f>BYD!AJ906</f>
        <v>207.68700000000001</v>
      </c>
      <c r="E11" s="1103"/>
      <c r="F11" s="374">
        <f>C11-D11</f>
        <v>-5.6690000000000111</v>
      </c>
      <c r="G11" s="95">
        <f t="shared" si="0"/>
        <v>-2.7295882746633193E-2</v>
      </c>
      <c r="H11" s="61"/>
      <c r="I11" s="1104">
        <v>203.55785953630129</v>
      </c>
      <c r="J11" s="1103"/>
      <c r="K11" s="374">
        <f>C11-I11</f>
        <v>-1.539859536301293</v>
      </c>
      <c r="L11" s="92">
        <f>IF(I11=0,"NM",C11/I11-1)</f>
        <v>-7.5647265097453786E-3</v>
      </c>
      <c r="O11" s="2"/>
      <c r="S11" s="2"/>
      <c r="T11" s="2"/>
      <c r="U11" s="2"/>
      <c r="V11" s="2"/>
      <c r="W11" s="2"/>
      <c r="X11" s="2"/>
      <c r="Y11" s="2"/>
      <c r="Z11" s="2"/>
      <c r="AA11" s="2"/>
      <c r="AB11" s="2"/>
      <c r="AC11" s="2"/>
      <c r="AD11" s="2"/>
      <c r="AE11" s="2"/>
      <c r="AF11" s="2"/>
      <c r="AG11" s="2"/>
      <c r="AH11" s="2"/>
      <c r="AI11" s="2"/>
      <c r="AJ11" s="2"/>
      <c r="AK11" s="2"/>
      <c r="AL11" s="2"/>
      <c r="AM11" s="2"/>
      <c r="AN11" s="2"/>
      <c r="AO11" s="2"/>
      <c r="AP11" s="2"/>
    </row>
    <row r="12" spans="1:42" ht="12.75" customHeight="1">
      <c r="A12" s="334" t="s">
        <v>1790</v>
      </c>
      <c r="B12" s="61"/>
      <c r="C12" s="1104">
        <v>1.0489999999999999</v>
      </c>
      <c r="D12" s="104">
        <v>1.5049999999999999</v>
      </c>
      <c r="E12" s="1103"/>
      <c r="F12" s="374">
        <f>C12-D12</f>
        <v>-0.45599999999999996</v>
      </c>
      <c r="G12" s="95">
        <f t="shared" si="0"/>
        <v>-0.30299003322259133</v>
      </c>
      <c r="H12" s="61"/>
      <c r="I12" s="1104"/>
      <c r="J12" s="1103"/>
      <c r="K12" s="374"/>
      <c r="L12" s="92"/>
      <c r="O12" s="2"/>
      <c r="S12" s="2"/>
      <c r="T12" s="2"/>
      <c r="U12" s="2"/>
      <c r="V12" s="2"/>
      <c r="W12" s="2"/>
      <c r="X12" s="2"/>
      <c r="Y12" s="2"/>
      <c r="Z12" s="2"/>
      <c r="AA12" s="2"/>
      <c r="AB12" s="2"/>
      <c r="AC12" s="2"/>
      <c r="AD12" s="2"/>
      <c r="AE12" s="2"/>
      <c r="AF12" s="2"/>
      <c r="AG12" s="2"/>
      <c r="AH12" s="2"/>
      <c r="AI12" s="2"/>
      <c r="AJ12" s="2"/>
      <c r="AK12" s="2"/>
      <c r="AL12" s="2"/>
      <c r="AM12" s="2"/>
      <c r="AN12" s="2"/>
      <c r="AO12" s="2"/>
      <c r="AP12" s="2"/>
    </row>
    <row r="13" spans="1:42" ht="12.75" customHeight="1">
      <c r="A13" s="138" t="s">
        <v>813</v>
      </c>
      <c r="B13" s="1203"/>
      <c r="C13" s="1209">
        <f>SUM(C7:C12)</f>
        <v>590.21500000000003</v>
      </c>
      <c r="D13" s="1210">
        <f>SUM(D8:D11)</f>
        <v>593.87300000000005</v>
      </c>
      <c r="E13" s="1210"/>
      <c r="F13" s="1210">
        <f>SUM(F8:F12)</f>
        <v>-5.1630000000000003</v>
      </c>
      <c r="G13" s="1208">
        <f t="shared" si="0"/>
        <v>-6.1595661025168891E-3</v>
      </c>
      <c r="H13" s="1206"/>
      <c r="I13" s="1250">
        <v>594.89382358384501</v>
      </c>
      <c r="J13" s="1210"/>
      <c r="K13" s="1210">
        <f>SUM(K8:K11)</f>
        <v>-5.7278235838454705</v>
      </c>
      <c r="L13" s="1211">
        <f>C13/I13-1</f>
        <v>-7.8649725351964683E-3</v>
      </c>
      <c r="O13" s="1102">
        <v>568.5</v>
      </c>
      <c r="P13" s="1299"/>
      <c r="S13" s="2"/>
      <c r="T13" s="2"/>
      <c r="U13" s="2"/>
      <c r="V13" s="2"/>
      <c r="W13" s="2"/>
      <c r="X13" s="2"/>
      <c r="Y13" s="2"/>
      <c r="Z13" s="2"/>
      <c r="AA13" s="2"/>
      <c r="AB13" s="2"/>
      <c r="AC13" s="2"/>
      <c r="AD13" s="2"/>
      <c r="AE13" s="2"/>
      <c r="AF13" s="2"/>
      <c r="AG13" s="2"/>
      <c r="AH13" s="2"/>
      <c r="AI13" s="2"/>
      <c r="AJ13" s="2"/>
      <c r="AK13" s="2"/>
      <c r="AL13" s="2"/>
      <c r="AM13" s="2"/>
      <c r="AN13" s="2"/>
      <c r="AO13" s="2"/>
      <c r="AP13" s="2"/>
    </row>
    <row r="14" spans="1:42" ht="12.75" customHeight="1">
      <c r="A14" s="61"/>
      <c r="B14" s="61"/>
      <c r="C14" s="129"/>
      <c r="D14" s="77"/>
      <c r="E14" s="61"/>
      <c r="F14" s="61"/>
      <c r="G14" s="1139"/>
      <c r="H14" s="61"/>
      <c r="I14" s="115"/>
      <c r="J14" s="61"/>
      <c r="K14" s="61"/>
      <c r="L14" s="1212"/>
      <c r="O14" s="2"/>
      <c r="S14" s="2"/>
      <c r="T14" s="2"/>
      <c r="U14" s="2"/>
      <c r="V14" s="2"/>
      <c r="W14" s="2"/>
      <c r="X14" s="2"/>
      <c r="Y14" s="2"/>
      <c r="Z14" s="2"/>
      <c r="AA14" s="2"/>
      <c r="AB14" s="2"/>
      <c r="AC14" s="2"/>
      <c r="AD14" s="2"/>
      <c r="AE14" s="2"/>
      <c r="AF14" s="2"/>
      <c r="AG14" s="2"/>
      <c r="AH14" s="2"/>
      <c r="AI14" s="2"/>
      <c r="AJ14" s="2"/>
      <c r="AK14" s="2"/>
      <c r="AL14" s="2"/>
      <c r="AM14" s="2"/>
      <c r="AN14" s="2"/>
      <c r="AO14" s="2"/>
      <c r="AP14" s="2"/>
    </row>
    <row r="15" spans="1:42" ht="12.75" customHeight="1">
      <c r="A15" s="107" t="s">
        <v>401</v>
      </c>
      <c r="B15" s="61"/>
      <c r="C15" s="112"/>
      <c r="D15" s="1390"/>
      <c r="E15" s="61"/>
      <c r="F15" s="61"/>
      <c r="G15" s="1139"/>
      <c r="H15" s="61"/>
      <c r="I15" s="115"/>
      <c r="J15" s="61"/>
      <c r="K15" s="61"/>
      <c r="L15" s="1212"/>
      <c r="O15" s="2"/>
      <c r="S15" s="2"/>
      <c r="T15" s="2"/>
      <c r="U15" s="2"/>
      <c r="V15" s="2"/>
      <c r="W15" s="2"/>
      <c r="X15" s="2"/>
      <c r="Y15" s="2"/>
      <c r="Z15" s="2"/>
      <c r="AA15" s="2"/>
      <c r="AB15" s="2"/>
      <c r="AC15" s="2"/>
      <c r="AD15" s="2"/>
      <c r="AE15" s="2"/>
      <c r="AF15" s="2"/>
      <c r="AG15" s="2"/>
      <c r="AH15" s="2"/>
      <c r="AI15" s="2"/>
      <c r="AJ15" s="2"/>
      <c r="AK15" s="2"/>
      <c r="AL15" s="2"/>
      <c r="AM15" s="2"/>
      <c r="AN15" s="2"/>
      <c r="AO15" s="2"/>
      <c r="AP15" s="2"/>
    </row>
    <row r="16" spans="1:42" ht="12.75" customHeight="1">
      <c r="A16" s="334" t="s">
        <v>514</v>
      </c>
      <c r="B16" s="61"/>
      <c r="C16" s="1104">
        <v>30.792999999999999</v>
      </c>
      <c r="D16" s="104">
        <f>BYD!AJ38</f>
        <v>26.116</v>
      </c>
      <c r="E16" s="1103"/>
      <c r="F16" s="374">
        <f>C16-D16</f>
        <v>4.6769999999999996</v>
      </c>
      <c r="G16" s="95">
        <f t="shared" ref="G16:G33" si="1">IF(D16=0,0,C16/D16-1)</f>
        <v>0.17908561801194667</v>
      </c>
      <c r="H16" s="61"/>
      <c r="I16" s="1104">
        <v>28.897279999999981</v>
      </c>
      <c r="J16" s="1103"/>
      <c r="K16" s="374">
        <f>C16-I16</f>
        <v>1.8957200000000185</v>
      </c>
      <c r="L16" s="92">
        <f>IF(I16=0,"NM",C16/I16-1)</f>
        <v>6.5602022058824261E-2</v>
      </c>
      <c r="N16" s="1403">
        <v>39.643000000000001</v>
      </c>
      <c r="O16" s="2"/>
      <c r="S16" s="2"/>
      <c r="T16" s="2"/>
      <c r="U16" s="2"/>
      <c r="V16" s="2"/>
      <c r="W16" s="2"/>
      <c r="X16" s="2"/>
      <c r="Y16" s="2"/>
      <c r="Z16" s="2"/>
      <c r="AA16" s="2"/>
      <c r="AB16" s="2"/>
      <c r="AC16" s="2"/>
      <c r="AD16" s="2"/>
      <c r="AE16" s="2"/>
      <c r="AF16" s="2"/>
      <c r="AG16" s="2"/>
      <c r="AH16" s="2"/>
      <c r="AI16" s="2"/>
      <c r="AJ16" s="2"/>
      <c r="AK16" s="2"/>
      <c r="AL16" s="2"/>
      <c r="AM16" s="2"/>
      <c r="AN16" s="2"/>
      <c r="AO16" s="2"/>
      <c r="AP16" s="2"/>
    </row>
    <row r="17" spans="1:42" ht="12.75" customHeight="1">
      <c r="A17" s="334" t="s">
        <v>515</v>
      </c>
      <c r="B17" s="61"/>
      <c r="C17" s="1104">
        <v>6.0049999999999999</v>
      </c>
      <c r="D17" s="104">
        <f>BYD!AJ39</f>
        <v>5.6790000000000003</v>
      </c>
      <c r="E17" s="1103"/>
      <c r="F17" s="374">
        <f>C17-D17</f>
        <v>0.32599999999999962</v>
      </c>
      <c r="G17" s="95">
        <f t="shared" si="1"/>
        <v>5.7404472618418634E-2</v>
      </c>
      <c r="H17" s="61"/>
      <c r="I17" s="1104">
        <v>5.8209750000000042</v>
      </c>
      <c r="J17" s="1103"/>
      <c r="K17" s="374">
        <f>C17-I17</f>
        <v>0.18402499999999566</v>
      </c>
      <c r="L17" s="92">
        <f>IF(I17=0,"NM",C17/I17-1)</f>
        <v>3.1614119627724868E-2</v>
      </c>
      <c r="N17" s="1403">
        <v>9.0039999999999996</v>
      </c>
      <c r="O17" s="2"/>
      <c r="S17" s="2"/>
      <c r="T17" s="2"/>
      <c r="U17" s="2"/>
      <c r="V17" s="2"/>
      <c r="W17" s="2"/>
      <c r="X17" s="2"/>
      <c r="Y17" s="2"/>
      <c r="Z17" s="2"/>
      <c r="AA17" s="2"/>
      <c r="AB17" s="2"/>
      <c r="AC17" s="2"/>
      <c r="AD17" s="2"/>
      <c r="AE17" s="2"/>
      <c r="AF17" s="2"/>
      <c r="AG17" s="2"/>
      <c r="AH17" s="2"/>
      <c r="AI17" s="2"/>
      <c r="AJ17" s="2"/>
      <c r="AK17" s="2"/>
      <c r="AL17" s="2"/>
      <c r="AM17" s="2"/>
      <c r="AN17" s="2"/>
      <c r="AO17" s="2"/>
      <c r="AP17" s="2"/>
    </row>
    <row r="18" spans="1:42" ht="12.75" customHeight="1">
      <c r="A18" s="334" t="s">
        <v>516</v>
      </c>
      <c r="B18" s="61"/>
      <c r="C18" s="1104">
        <v>44.524000000000001</v>
      </c>
      <c r="D18" s="104">
        <f>BYD!AJ41</f>
        <v>38.406999999999996</v>
      </c>
      <c r="E18" s="1103"/>
      <c r="F18" s="374">
        <f>C18-D18</f>
        <v>6.1170000000000044</v>
      </c>
      <c r="G18" s="95">
        <f t="shared" si="1"/>
        <v>0.15926784179967202</v>
      </c>
      <c r="H18" s="61"/>
      <c r="I18" s="1104">
        <v>43.081379047544203</v>
      </c>
      <c r="J18" s="1103"/>
      <c r="K18" s="374">
        <f>C18-I18</f>
        <v>1.4426209524557976</v>
      </c>
      <c r="L18" s="92">
        <f>IF(I18=0,"NM",C18/I18-1)</f>
        <v>3.3485951108104928E-2</v>
      </c>
      <c r="N18" s="1403">
        <v>41.210999999999999</v>
      </c>
      <c r="O18" s="2"/>
      <c r="S18" s="2"/>
      <c r="T18" s="2"/>
      <c r="U18" s="2"/>
      <c r="V18" s="2"/>
      <c r="W18" s="2"/>
      <c r="X18" s="2"/>
      <c r="Y18" s="2"/>
      <c r="Z18" s="2"/>
      <c r="AA18" s="2"/>
      <c r="AB18" s="2"/>
      <c r="AC18" s="2"/>
      <c r="AD18" s="2"/>
      <c r="AE18" s="2"/>
      <c r="AF18" s="2"/>
      <c r="AG18" s="2"/>
      <c r="AH18" s="2"/>
      <c r="AI18" s="2"/>
      <c r="AJ18" s="2"/>
      <c r="AK18" s="2"/>
      <c r="AL18" s="2"/>
      <c r="AM18" s="2"/>
      <c r="AN18" s="2"/>
      <c r="AO18" s="2"/>
      <c r="AP18" s="2"/>
    </row>
    <row r="19" spans="1:42" ht="12.75" customHeight="1">
      <c r="A19" s="334" t="s">
        <v>273</v>
      </c>
      <c r="B19" s="61"/>
      <c r="C19" s="1104">
        <v>50.286999999999999</v>
      </c>
      <c r="D19" s="104">
        <f>BYD!AJ927</f>
        <v>54.319000000000017</v>
      </c>
      <c r="E19" s="1103"/>
      <c r="F19" s="374">
        <f>C19-D19</f>
        <v>-4.0320000000000178</v>
      </c>
      <c r="G19" s="95">
        <f t="shared" si="1"/>
        <v>-7.4228170621698064E-2</v>
      </c>
      <c r="H19" s="61"/>
      <c r="I19" s="1104">
        <v>53.942832777119847</v>
      </c>
      <c r="J19" s="1103"/>
      <c r="K19" s="374">
        <f>C19-I19</f>
        <v>-3.6558327771198478</v>
      </c>
      <c r="L19" s="92">
        <f>IF(I19=0,"NM",C19/I19-1)</f>
        <v>-6.7772354340843721E-2</v>
      </c>
      <c r="N19" s="1403">
        <v>31.681999999999999</v>
      </c>
      <c r="O19" s="2"/>
      <c r="S19" s="2"/>
      <c r="T19" s="2"/>
      <c r="U19" s="2"/>
      <c r="V19" s="2"/>
      <c r="W19" s="2"/>
      <c r="X19" s="2"/>
      <c r="Y19" s="2"/>
      <c r="Z19" s="2"/>
      <c r="AA19" s="2"/>
      <c r="AB19" s="2"/>
      <c r="AC19" s="2"/>
      <c r="AD19" s="2"/>
      <c r="AE19" s="2"/>
      <c r="AF19" s="2"/>
      <c r="AG19" s="2"/>
      <c r="AH19" s="2"/>
      <c r="AI19" s="2"/>
      <c r="AJ19" s="2"/>
      <c r="AK19" s="2"/>
      <c r="AL19" s="2"/>
      <c r="AM19" s="2"/>
      <c r="AN19" s="2"/>
      <c r="AO19" s="2"/>
      <c r="AP19" s="2"/>
    </row>
    <row r="20" spans="1:42" ht="12.75" customHeight="1">
      <c r="A20" s="138" t="s">
        <v>819</v>
      </c>
      <c r="B20" s="1203"/>
      <c r="C20" s="1209">
        <f>SUM(C16:C19)</f>
        <v>131.60900000000001</v>
      </c>
      <c r="D20" s="1210">
        <f>SUM(D16:D19)</f>
        <v>124.52100000000002</v>
      </c>
      <c r="E20" s="1210"/>
      <c r="F20" s="1210">
        <f>SUM(F16:F19)</f>
        <v>7.0879999999999868</v>
      </c>
      <c r="G20" s="1208">
        <f t="shared" si="1"/>
        <v>5.6922125585242567E-2</v>
      </c>
      <c r="H20" s="1206"/>
      <c r="I20" s="1250">
        <v>131.74246682466404</v>
      </c>
      <c r="J20" s="1210"/>
      <c r="K20" s="1210">
        <f>SUM(K16:K18)</f>
        <v>3.5223659524558117</v>
      </c>
      <c r="L20" s="1211">
        <f>C20/I20-1</f>
        <v>-1.0130888534344296E-3</v>
      </c>
      <c r="N20" s="1403">
        <v>-9.7989999999999995</v>
      </c>
      <c r="O20" s="2"/>
      <c r="S20" s="2"/>
      <c r="T20" s="2"/>
      <c r="U20" s="2"/>
      <c r="V20" s="2"/>
      <c r="W20" s="2"/>
      <c r="X20" s="2"/>
      <c r="Y20" s="2"/>
      <c r="Z20" s="2"/>
      <c r="AA20" s="2"/>
      <c r="AB20" s="2"/>
      <c r="AC20" s="2"/>
      <c r="AD20" s="2"/>
      <c r="AE20" s="2"/>
      <c r="AF20" s="2"/>
      <c r="AG20" s="2"/>
      <c r="AH20" s="2"/>
      <c r="AI20" s="2"/>
      <c r="AJ20" s="2"/>
      <c r="AK20" s="2"/>
      <c r="AL20" s="2"/>
      <c r="AM20" s="2"/>
      <c r="AN20" s="2"/>
      <c r="AO20" s="2"/>
      <c r="AP20" s="2"/>
    </row>
    <row r="21" spans="1:42" ht="12.75" customHeight="1">
      <c r="A21" s="2" t="s">
        <v>742</v>
      </c>
      <c r="B21" s="2"/>
      <c r="C21" s="1104">
        <v>-9.57</v>
      </c>
      <c r="D21" s="104">
        <f>BYD!AJ54</f>
        <v>-9.1440000000000001</v>
      </c>
      <c r="E21" s="1103"/>
      <c r="F21" s="374">
        <f>C21-D21</f>
        <v>-0.42600000000000016</v>
      </c>
      <c r="G21" s="126">
        <f t="shared" si="1"/>
        <v>4.6587926509186417E-2</v>
      </c>
      <c r="H21" s="2"/>
      <c r="I21" s="1104">
        <v>-9.6012000000000004</v>
      </c>
      <c r="J21" s="1103"/>
      <c r="K21" s="374">
        <f>C21-I21</f>
        <v>3.1200000000000117E-2</v>
      </c>
      <c r="L21" s="1204">
        <f>IF(I21=0,"NM",C21/I21-1)</f>
        <v>-3.2495938007749414E-3</v>
      </c>
      <c r="O21" s="2"/>
      <c r="S21" s="2"/>
      <c r="T21" s="2"/>
      <c r="U21" s="2"/>
      <c r="V21" s="2"/>
      <c r="W21" s="2"/>
      <c r="X21" s="2"/>
      <c r="Y21" s="2"/>
      <c r="Z21" s="2"/>
      <c r="AA21" s="2"/>
      <c r="AB21" s="2"/>
      <c r="AC21" s="2"/>
      <c r="AD21" s="2"/>
      <c r="AE21" s="2"/>
      <c r="AF21" s="2"/>
      <c r="AG21" s="2"/>
      <c r="AH21" s="2"/>
      <c r="AI21" s="2"/>
      <c r="AJ21" s="2"/>
      <c r="AK21" s="2"/>
      <c r="AL21" s="2"/>
      <c r="AM21" s="2"/>
      <c r="AN21" s="2"/>
      <c r="AO21" s="2"/>
      <c r="AP21" s="2"/>
    </row>
    <row r="22" spans="1:42" ht="12.75" customHeight="1">
      <c r="A22" s="138" t="s">
        <v>555</v>
      </c>
      <c r="B22" s="1203"/>
      <c r="C22" s="1209">
        <f>C20+C21</f>
        <v>122.03900000000002</v>
      </c>
      <c r="D22" s="1210">
        <f>SUM(D20:D21)</f>
        <v>115.37700000000001</v>
      </c>
      <c r="E22" s="1210"/>
      <c r="F22" s="1210">
        <f>F20+F21</f>
        <v>6.6619999999999866</v>
      </c>
      <c r="G22" s="1208">
        <f t="shared" si="1"/>
        <v>5.7741144248853793E-2</v>
      </c>
      <c r="H22" s="1210"/>
      <c r="I22" s="1250">
        <v>122.14126682466403</v>
      </c>
      <c r="J22" s="1210"/>
      <c r="K22" s="1210">
        <f>K20+K21</f>
        <v>3.5535659524558119</v>
      </c>
      <c r="L22" s="1254">
        <f>L20-L21</f>
        <v>2.2365049473405119E-3</v>
      </c>
      <c r="M22" s="1442"/>
      <c r="N22" s="1442"/>
      <c r="O22" s="1102">
        <v>113.3</v>
      </c>
      <c r="P22" s="1299" t="s">
        <v>439</v>
      </c>
      <c r="S22" s="2"/>
      <c r="T22" s="2"/>
      <c r="U22" s="2"/>
      <c r="V22" s="2"/>
      <c r="W22" s="2"/>
      <c r="X22" s="2"/>
      <c r="Y22" s="2"/>
      <c r="Z22" s="2"/>
      <c r="AA22" s="2"/>
      <c r="AB22" s="2"/>
      <c r="AC22" s="2"/>
      <c r="AD22" s="2"/>
      <c r="AE22" s="2"/>
      <c r="AF22" s="2"/>
      <c r="AG22" s="2"/>
      <c r="AH22" s="2"/>
      <c r="AI22" s="2"/>
      <c r="AJ22" s="2"/>
      <c r="AK22" s="2"/>
      <c r="AL22" s="2"/>
      <c r="AM22" s="2"/>
      <c r="AN22" s="2"/>
      <c r="AO22" s="2"/>
      <c r="AP22" s="2"/>
    </row>
    <row r="23" spans="1:42" ht="12.75" customHeight="1">
      <c r="A23" s="439" t="s">
        <v>1745</v>
      </c>
      <c r="B23" s="2"/>
      <c r="C23" s="432">
        <v>1.7869999999999999</v>
      </c>
      <c r="D23" s="374">
        <f>BYD!AJ65</f>
        <v>2.3959999999999999</v>
      </c>
      <c r="E23" s="1103"/>
      <c r="F23" s="374">
        <f>C23-D23</f>
        <v>-0.60899999999999999</v>
      </c>
      <c r="G23" s="126">
        <f t="shared" si="1"/>
        <v>-0.2541736227045075</v>
      </c>
      <c r="H23" s="2"/>
      <c r="I23" s="432">
        <v>2.14</v>
      </c>
      <c r="J23" s="1103"/>
      <c r="K23" s="374">
        <f t="shared" ref="K23:K33" si="2">C23-I23</f>
        <v>-0.3530000000000002</v>
      </c>
      <c r="L23" s="1204">
        <f>IF(I23=0,"NM",C23/I23-1)</f>
        <v>-0.16495327102803747</v>
      </c>
      <c r="M23" s="1443"/>
      <c r="N23" s="1443"/>
      <c r="O23" s="2"/>
      <c r="S23" s="2"/>
      <c r="T23" s="2"/>
      <c r="U23" s="2"/>
      <c r="V23" s="2"/>
      <c r="W23" s="2"/>
      <c r="X23" s="2"/>
      <c r="Y23" s="2"/>
      <c r="Z23" s="2"/>
      <c r="AA23" s="2"/>
      <c r="AB23" s="2"/>
      <c r="AC23" s="2"/>
      <c r="AD23" s="2"/>
      <c r="AE23" s="2"/>
      <c r="AF23" s="2"/>
      <c r="AG23" s="2"/>
      <c r="AH23" s="2"/>
      <c r="AI23" s="2"/>
      <c r="AJ23" s="2"/>
      <c r="AK23" s="2"/>
      <c r="AL23" s="2"/>
      <c r="AM23" s="2"/>
      <c r="AN23" s="2"/>
      <c r="AO23" s="2"/>
      <c r="AP23" s="2"/>
    </row>
    <row r="24" spans="1:42" ht="12.75" customHeight="1">
      <c r="A24" s="439" t="s">
        <v>201</v>
      </c>
      <c r="B24" s="2"/>
      <c r="C24" s="432">
        <v>1.034</v>
      </c>
      <c r="D24" s="374">
        <f>BYD!AJ66</f>
        <v>1.069</v>
      </c>
      <c r="E24" s="1103"/>
      <c r="F24" s="374">
        <f>C24-D24</f>
        <v>-3.499999999999992E-2</v>
      </c>
      <c r="G24" s="126">
        <f t="shared" si="1"/>
        <v>-3.2740879326473293E-2</v>
      </c>
      <c r="H24" s="2"/>
      <c r="I24" s="432">
        <v>1.032</v>
      </c>
      <c r="J24" s="1103"/>
      <c r="K24" s="374">
        <f t="shared" si="2"/>
        <v>2.0000000000000018E-3</v>
      </c>
      <c r="L24" s="1204">
        <f>IF(I24=0,"NM",C24/I24-1)</f>
        <v>1.9379844961240345E-3</v>
      </c>
      <c r="N24" s="1444"/>
      <c r="O24" s="1444"/>
      <c r="S24" s="2"/>
      <c r="T24" s="2"/>
      <c r="U24" s="2"/>
      <c r="V24" s="2"/>
      <c r="W24" s="2"/>
      <c r="X24" s="2"/>
      <c r="Y24" s="2"/>
      <c r="Z24" s="2"/>
      <c r="AA24" s="2"/>
      <c r="AB24" s="2"/>
      <c r="AC24" s="2"/>
      <c r="AD24" s="2"/>
      <c r="AE24" s="2"/>
      <c r="AF24" s="2"/>
      <c r="AG24" s="2"/>
      <c r="AH24" s="2"/>
      <c r="AI24" s="2"/>
      <c r="AJ24" s="2"/>
      <c r="AK24" s="2"/>
      <c r="AL24" s="2"/>
      <c r="AM24" s="2"/>
      <c r="AN24" s="2"/>
      <c r="AO24" s="2"/>
      <c r="AP24" s="2"/>
    </row>
    <row r="25" spans="1:42" ht="12.75" customHeight="1">
      <c r="A25" s="1693" t="s">
        <v>202</v>
      </c>
      <c r="B25" s="2"/>
      <c r="C25" s="432">
        <v>46.033999999999999</v>
      </c>
      <c r="D25" s="374">
        <f>BYD!AJ67</f>
        <v>52.451000000000001</v>
      </c>
      <c r="E25" s="1103"/>
      <c r="F25" s="374">
        <f>C25-D25</f>
        <v>-6.4170000000000016</v>
      </c>
      <c r="G25" s="126">
        <f t="shared" si="1"/>
        <v>-0.12234275800270733</v>
      </c>
      <c r="H25" s="2"/>
      <c r="I25" s="432">
        <v>48.300117543317889</v>
      </c>
      <c r="J25" s="1103"/>
      <c r="K25" s="374">
        <f t="shared" si="2"/>
        <v>-2.2661175433178897</v>
      </c>
      <c r="L25" s="1204">
        <f>IF(I25=0,"NM",C25/I25-1)</f>
        <v>-4.6917433302010592E-2</v>
      </c>
      <c r="O25" s="2"/>
      <c r="S25" s="2"/>
      <c r="T25" s="2"/>
      <c r="U25" s="2"/>
      <c r="V25" s="2"/>
      <c r="W25" s="2"/>
      <c r="X25" s="2"/>
      <c r="Y25" s="2"/>
      <c r="Z25" s="2"/>
      <c r="AA25" s="2"/>
      <c r="AB25" s="2"/>
      <c r="AC25" s="2"/>
      <c r="AD25" s="2"/>
      <c r="AE25" s="2"/>
      <c r="AF25" s="2"/>
      <c r="AG25" s="2"/>
      <c r="AH25" s="2"/>
      <c r="AI25" s="2"/>
      <c r="AJ25" s="2"/>
      <c r="AK25" s="2"/>
      <c r="AL25" s="2"/>
      <c r="AM25" s="2"/>
      <c r="AN25" s="2"/>
      <c r="AO25" s="2"/>
      <c r="AP25" s="2"/>
    </row>
    <row r="26" spans="1:42" ht="4.5" customHeight="1">
      <c r="A26" s="964"/>
      <c r="B26" s="2"/>
      <c r="C26" s="453" t="s">
        <v>343</v>
      </c>
      <c r="D26" s="452" t="s">
        <v>343</v>
      </c>
      <c r="E26" s="96" t="s">
        <v>343</v>
      </c>
      <c r="F26" s="452" t="s">
        <v>343</v>
      </c>
      <c r="G26" s="1251" t="s">
        <v>343</v>
      </c>
      <c r="H26" s="2" t="s">
        <v>343</v>
      </c>
      <c r="I26" s="453" t="s">
        <v>343</v>
      </c>
      <c r="J26" s="96" t="s">
        <v>343</v>
      </c>
      <c r="K26" s="452" t="s">
        <v>343</v>
      </c>
      <c r="L26" s="1252" t="s">
        <v>343</v>
      </c>
      <c r="N26" s="1102"/>
      <c r="O26" s="1102"/>
      <c r="S26" s="2"/>
      <c r="T26" s="2"/>
      <c r="U26" s="2"/>
      <c r="V26" s="2"/>
      <c r="W26" s="2"/>
      <c r="X26" s="2"/>
      <c r="Y26" s="2"/>
      <c r="Z26" s="2"/>
      <c r="AA26" s="2"/>
      <c r="AB26" s="2"/>
      <c r="AC26" s="2"/>
      <c r="AD26" s="2"/>
      <c r="AE26" s="2"/>
      <c r="AF26" s="2"/>
      <c r="AG26" s="2"/>
      <c r="AH26" s="2"/>
      <c r="AI26" s="2"/>
      <c r="AJ26" s="2"/>
      <c r="AK26" s="2"/>
      <c r="AL26" s="2"/>
      <c r="AM26" s="2"/>
      <c r="AN26" s="2"/>
      <c r="AO26" s="2"/>
      <c r="AP26" s="2"/>
    </row>
    <row r="27" spans="1:42" ht="12.75" customHeight="1">
      <c r="A27" s="1" t="s">
        <v>744</v>
      </c>
      <c r="B27" s="2"/>
      <c r="C27" s="1242">
        <f>C22-C23-C24-C25</f>
        <v>73.183999999999997</v>
      </c>
      <c r="D27" s="1241">
        <f>D22-D23-D24-D25</f>
        <v>59.461000000000006</v>
      </c>
      <c r="E27" s="932"/>
      <c r="F27" s="1241">
        <f>F22-F23-F24-F25</f>
        <v>13.722999999999988</v>
      </c>
      <c r="G27" s="106">
        <f t="shared" si="1"/>
        <v>0.23078992953364375</v>
      </c>
      <c r="H27" s="1205"/>
      <c r="I27" s="1243">
        <v>70.669149281346137</v>
      </c>
      <c r="J27" s="932"/>
      <c r="K27" s="1241">
        <f t="shared" si="2"/>
        <v>2.5148507186538609</v>
      </c>
      <c r="L27" s="1214">
        <f>C27/I27-1</f>
        <v>3.5586259976638557E-2</v>
      </c>
      <c r="O27" s="2"/>
      <c r="S27" s="2"/>
      <c r="T27" s="2"/>
      <c r="U27" s="2"/>
      <c r="V27" s="2"/>
      <c r="W27" s="2"/>
      <c r="X27" s="2"/>
      <c r="Y27" s="2"/>
      <c r="Z27" s="2"/>
      <c r="AA27" s="2"/>
      <c r="AB27" s="2"/>
      <c r="AC27" s="2"/>
      <c r="AD27" s="2"/>
      <c r="AE27" s="2"/>
      <c r="AF27" s="2"/>
      <c r="AG27" s="2"/>
      <c r="AH27" s="2"/>
      <c r="AI27" s="2"/>
      <c r="AJ27" s="2"/>
      <c r="AK27" s="2"/>
      <c r="AL27" s="2"/>
      <c r="AM27" s="2"/>
      <c r="AN27" s="2"/>
      <c r="AO27" s="2"/>
      <c r="AP27" s="2"/>
    </row>
    <row r="28" spans="1:42" ht="12.75" customHeight="1">
      <c r="A28" s="445" t="s">
        <v>1176</v>
      </c>
      <c r="B28" s="2"/>
      <c r="C28" s="432">
        <v>-60.067999999999998</v>
      </c>
      <c r="D28" s="374">
        <f>BYD!AJ73</f>
        <v>-45.780999999999999</v>
      </c>
      <c r="E28" s="932"/>
      <c r="F28" s="374">
        <f>C28-D28</f>
        <v>-14.286999999999999</v>
      </c>
      <c r="G28" s="126">
        <f t="shared" si="1"/>
        <v>0.31207269391232173</v>
      </c>
      <c r="H28" s="1205"/>
      <c r="I28" s="432">
        <v>-56.529693124999994</v>
      </c>
      <c r="J28" s="932"/>
      <c r="K28" s="374">
        <f t="shared" si="2"/>
        <v>-3.5383068750000035</v>
      </c>
      <c r="L28" s="1204">
        <f>IF(I28=0,"NM",C28/I28-1)</f>
        <v>6.2592005712396093E-2</v>
      </c>
      <c r="O28" s="2"/>
      <c r="S28" s="2"/>
      <c r="T28" s="2"/>
      <c r="U28" s="2"/>
      <c r="V28" s="2"/>
      <c r="W28" s="2"/>
      <c r="X28" s="2"/>
      <c r="Y28" s="2"/>
      <c r="Z28" s="2"/>
      <c r="AA28" s="2"/>
      <c r="AB28" s="2"/>
      <c r="AC28" s="2"/>
      <c r="AD28" s="2"/>
      <c r="AE28" s="2"/>
      <c r="AF28" s="2"/>
      <c r="AG28" s="2"/>
      <c r="AH28" s="2"/>
      <c r="AI28" s="2"/>
      <c r="AJ28" s="2"/>
      <c r="AK28" s="2"/>
      <c r="AL28" s="2"/>
      <c r="AM28" s="2"/>
      <c r="AN28" s="2"/>
      <c r="AO28" s="2"/>
      <c r="AP28" s="2"/>
    </row>
    <row r="29" spans="1:42" ht="12.75" customHeight="1">
      <c r="A29" s="445" t="s">
        <v>203</v>
      </c>
      <c r="B29" s="2"/>
      <c r="C29" s="373">
        <v>0</v>
      </c>
      <c r="D29" s="374">
        <f>BYD!AJ74</f>
        <v>0</v>
      </c>
      <c r="E29" s="932"/>
      <c r="F29" s="374">
        <f>C29-D29</f>
        <v>0</v>
      </c>
      <c r="G29" s="126">
        <f t="shared" si="1"/>
        <v>0</v>
      </c>
      <c r="H29" s="1205"/>
      <c r="I29" s="432">
        <v>0</v>
      </c>
      <c r="J29" s="932"/>
      <c r="K29" s="374">
        <f t="shared" si="2"/>
        <v>0</v>
      </c>
      <c r="L29" s="1204" t="str">
        <f>IF(I29=0,"NM",C29/I29-1)</f>
        <v>NM</v>
      </c>
      <c r="O29" s="2"/>
      <c r="S29" s="2"/>
      <c r="T29" s="2"/>
      <c r="U29" s="2"/>
      <c r="V29" s="2"/>
      <c r="W29" s="2"/>
      <c r="X29" s="2"/>
      <c r="Y29" s="2"/>
      <c r="Z29" s="2"/>
      <c r="AA29" s="2"/>
      <c r="AB29" s="2"/>
      <c r="AC29" s="2"/>
      <c r="AD29" s="2"/>
      <c r="AE29" s="2"/>
      <c r="AF29" s="2"/>
      <c r="AG29" s="2"/>
      <c r="AH29" s="2"/>
      <c r="AI29" s="2"/>
      <c r="AJ29" s="2"/>
      <c r="AK29" s="2"/>
      <c r="AL29" s="2"/>
      <c r="AM29" s="2"/>
      <c r="AN29" s="2"/>
      <c r="AO29" s="2"/>
      <c r="AP29" s="2"/>
    </row>
    <row r="30" spans="1:42" ht="12.75" customHeight="1">
      <c r="A30" s="445" t="s">
        <v>814</v>
      </c>
      <c r="B30" s="2"/>
      <c r="C30" s="432">
        <f>-1.72-2.3-1+0.054+1</f>
        <v>-3.9659999999999993</v>
      </c>
      <c r="D30" s="374">
        <f>BYD!AJ78</f>
        <v>7.5570000000000004</v>
      </c>
      <c r="E30" s="1103"/>
      <c r="F30" s="374">
        <f>C30-D30</f>
        <v>-11.523</v>
      </c>
      <c r="G30" s="126">
        <f t="shared" si="1"/>
        <v>-1.5248114331083762</v>
      </c>
      <c r="H30" s="2"/>
      <c r="I30" s="432">
        <v>-4.7620000000000005</v>
      </c>
      <c r="J30" s="1103"/>
      <c r="K30" s="374">
        <f t="shared" si="2"/>
        <v>0.79600000000000115</v>
      </c>
      <c r="L30" s="1204">
        <f>IF(I30=0,"NM",C30/I30-1)</f>
        <v>-0.16715665686686287</v>
      </c>
      <c r="O30" s="2"/>
      <c r="S30" s="2"/>
      <c r="T30" s="2"/>
      <c r="U30" s="2"/>
      <c r="V30" s="2"/>
      <c r="W30" s="2"/>
      <c r="X30" s="2"/>
      <c r="Y30" s="2"/>
      <c r="Z30" s="2"/>
      <c r="AA30" s="2"/>
      <c r="AB30" s="2"/>
      <c r="AC30" s="2"/>
      <c r="AD30" s="2"/>
      <c r="AE30" s="2"/>
      <c r="AF30" s="2"/>
      <c r="AG30" s="2"/>
      <c r="AH30" s="2"/>
      <c r="AI30" s="2"/>
      <c r="AJ30" s="2"/>
      <c r="AK30" s="2"/>
      <c r="AL30" s="2"/>
      <c r="AM30" s="2"/>
      <c r="AN30" s="2"/>
      <c r="AO30" s="2"/>
      <c r="AP30" s="2"/>
    </row>
    <row r="31" spans="1:42" ht="4.5" customHeight="1">
      <c r="A31" s="964"/>
      <c r="B31" s="2"/>
      <c r="C31" s="453" t="s">
        <v>343</v>
      </c>
      <c r="D31" s="452" t="s">
        <v>343</v>
      </c>
      <c r="E31" s="96" t="s">
        <v>343</v>
      </c>
      <c r="F31" s="452" t="s">
        <v>343</v>
      </c>
      <c r="G31" s="1251" t="s">
        <v>343</v>
      </c>
      <c r="H31" s="2" t="s">
        <v>343</v>
      </c>
      <c r="I31" s="453" t="s">
        <v>343</v>
      </c>
      <c r="J31" s="96" t="s">
        <v>343</v>
      </c>
      <c r="K31" s="452" t="s">
        <v>343</v>
      </c>
      <c r="L31" s="1252" t="s">
        <v>343</v>
      </c>
      <c r="N31" s="1102"/>
      <c r="O31" s="1102"/>
      <c r="S31" s="2"/>
      <c r="T31" s="2"/>
      <c r="U31" s="2"/>
      <c r="V31" s="2"/>
      <c r="W31" s="2"/>
      <c r="X31" s="2"/>
      <c r="Y31" s="2"/>
      <c r="Z31" s="2"/>
      <c r="AA31" s="2"/>
      <c r="AB31" s="2"/>
      <c r="AC31" s="2"/>
      <c r="AD31" s="2"/>
      <c r="AE31" s="2"/>
      <c r="AF31" s="2"/>
      <c r="AG31" s="2"/>
      <c r="AH31" s="2"/>
      <c r="AI31" s="2"/>
      <c r="AJ31" s="2"/>
      <c r="AK31" s="2"/>
      <c r="AL31" s="2"/>
      <c r="AM31" s="2"/>
      <c r="AN31" s="2"/>
      <c r="AO31" s="2"/>
      <c r="AP31" s="2"/>
    </row>
    <row r="32" spans="1:42" ht="12.75" customHeight="1">
      <c r="A32" s="1" t="s">
        <v>745</v>
      </c>
      <c r="B32" s="2"/>
      <c r="C32" s="1213">
        <f>SUM(C27:C30)</f>
        <v>9.15</v>
      </c>
      <c r="D32" s="929">
        <f>SUM(D27:D30)</f>
        <v>21.237000000000009</v>
      </c>
      <c r="E32" s="932"/>
      <c r="F32" s="1241">
        <f>C32-D32</f>
        <v>-12.087000000000009</v>
      </c>
      <c r="G32" s="106">
        <f t="shared" si="1"/>
        <v>-0.56914818477186058</v>
      </c>
      <c r="H32" s="1205"/>
      <c r="I32" s="1244">
        <v>9.3774561563461418</v>
      </c>
      <c r="J32" s="932"/>
      <c r="K32" s="1241">
        <f t="shared" si="2"/>
        <v>-0.22745615634614147</v>
      </c>
      <c r="L32" s="1214">
        <f>C32/I32-1</f>
        <v>-2.4255635276120402E-2</v>
      </c>
      <c r="O32" s="2"/>
      <c r="S32" s="2"/>
      <c r="T32" s="2"/>
      <c r="U32" s="2"/>
      <c r="V32" s="2"/>
      <c r="W32" s="2"/>
      <c r="X32" s="2"/>
      <c r="Y32" s="2"/>
      <c r="Z32" s="2"/>
      <c r="AA32" s="2"/>
      <c r="AB32" s="2"/>
      <c r="AC32" s="2"/>
      <c r="AD32" s="2"/>
      <c r="AE32" s="2"/>
      <c r="AF32" s="2"/>
      <c r="AG32" s="2"/>
      <c r="AH32" s="2"/>
      <c r="AI32" s="2"/>
      <c r="AJ32" s="2"/>
      <c r="AK32" s="2"/>
      <c r="AL32" s="2"/>
      <c r="AM32" s="2"/>
      <c r="AN32" s="2"/>
      <c r="AO32" s="2"/>
      <c r="AP32" s="2"/>
    </row>
    <row r="33" spans="1:42" ht="12.75" customHeight="1">
      <c r="A33" s="445" t="s">
        <v>205</v>
      </c>
      <c r="B33" s="2"/>
      <c r="C33" s="432">
        <v>-2.17</v>
      </c>
      <c r="D33" s="374">
        <f>BYD!AJ81</f>
        <v>-6.3710000000000004</v>
      </c>
      <c r="E33" s="1103"/>
      <c r="F33" s="374">
        <f>C33-D33</f>
        <v>4.2010000000000005</v>
      </c>
      <c r="G33" s="126">
        <f t="shared" si="1"/>
        <v>-0.65939412964997657</v>
      </c>
      <c r="H33" s="2"/>
      <c r="I33" s="432">
        <v>-4.495488823831165</v>
      </c>
      <c r="J33" s="1103"/>
      <c r="K33" s="374">
        <f t="shared" si="2"/>
        <v>2.3254888238311651</v>
      </c>
      <c r="L33" s="1204">
        <f>IF(I33=0,"NM",C33/I33-1)</f>
        <v>-0.51729387280498829</v>
      </c>
      <c r="O33" s="2"/>
      <c r="S33" s="2"/>
      <c r="T33" s="2"/>
      <c r="U33" s="2"/>
      <c r="V33" s="2"/>
      <c r="W33" s="2"/>
      <c r="X33" s="2"/>
      <c r="Y33" s="2"/>
      <c r="Z33" s="2"/>
      <c r="AA33" s="2"/>
      <c r="AB33" s="2"/>
      <c r="AC33" s="2"/>
      <c r="AD33" s="2"/>
      <c r="AE33" s="2"/>
      <c r="AF33" s="2"/>
      <c r="AG33" s="2"/>
      <c r="AH33" s="2"/>
      <c r="AI33" s="2"/>
      <c r="AJ33" s="2"/>
      <c r="AK33" s="2"/>
      <c r="AL33" s="2"/>
      <c r="AM33" s="2"/>
      <c r="AN33" s="2"/>
      <c r="AO33" s="2"/>
      <c r="AP33" s="2"/>
    </row>
    <row r="34" spans="1:42" ht="4.5" customHeight="1">
      <c r="A34" s="964"/>
      <c r="B34" s="2"/>
      <c r="C34" s="453" t="s">
        <v>343</v>
      </c>
      <c r="D34" s="452" t="s">
        <v>343</v>
      </c>
      <c r="E34" s="96" t="s">
        <v>343</v>
      </c>
      <c r="F34" s="452" t="s">
        <v>343</v>
      </c>
      <c r="G34" s="1251" t="s">
        <v>343</v>
      </c>
      <c r="H34" s="2" t="s">
        <v>343</v>
      </c>
      <c r="I34" s="453" t="s">
        <v>343</v>
      </c>
      <c r="J34" s="96" t="s">
        <v>343</v>
      </c>
      <c r="K34" s="452" t="s">
        <v>343</v>
      </c>
      <c r="L34" s="1252" t="s">
        <v>343</v>
      </c>
      <c r="N34" s="1102"/>
      <c r="O34" s="1102"/>
      <c r="S34" s="2"/>
      <c r="T34" s="2"/>
      <c r="U34" s="2"/>
      <c r="V34" s="2"/>
      <c r="W34" s="2"/>
      <c r="X34" s="2"/>
      <c r="Y34" s="2"/>
      <c r="Z34" s="2"/>
      <c r="AA34" s="2"/>
      <c r="AB34" s="2"/>
      <c r="AC34" s="2"/>
      <c r="AD34" s="2"/>
      <c r="AE34" s="2"/>
      <c r="AF34" s="2"/>
      <c r="AG34" s="2"/>
      <c r="AH34" s="2"/>
      <c r="AI34" s="2"/>
      <c r="AJ34" s="2"/>
      <c r="AK34" s="2"/>
      <c r="AL34" s="2"/>
      <c r="AM34" s="2"/>
      <c r="AN34" s="2"/>
      <c r="AO34" s="2"/>
      <c r="AP34" s="2"/>
    </row>
    <row r="35" spans="1:42" ht="12.75" customHeight="1">
      <c r="A35" s="107" t="s">
        <v>1243</v>
      </c>
      <c r="B35" s="61"/>
      <c r="C35" s="1213">
        <f>C32+C33</f>
        <v>6.98</v>
      </c>
      <c r="D35" s="929">
        <f>D32+D33</f>
        <v>14.866000000000009</v>
      </c>
      <c r="E35" s="932"/>
      <c r="F35" s="1241">
        <f>F32+F33</f>
        <v>-7.8860000000000081</v>
      </c>
      <c r="G35" s="1215">
        <f>G32+G33</f>
        <v>-1.228542314421837</v>
      </c>
      <c r="H35" s="932"/>
      <c r="I35" s="1244">
        <v>4.8819673325149768</v>
      </c>
      <c r="J35" s="932"/>
      <c r="K35" s="1241">
        <f>K32+K33</f>
        <v>2.0980326674850236</v>
      </c>
      <c r="L35" s="1215">
        <f>L32+L33</f>
        <v>-0.54154950808110869</v>
      </c>
      <c r="M35" s="1238"/>
      <c r="N35" s="1238"/>
      <c r="O35" s="61"/>
      <c r="S35" s="2"/>
      <c r="T35" s="2"/>
      <c r="U35" s="2"/>
      <c r="V35" s="2"/>
      <c r="W35" s="2"/>
      <c r="X35" s="2"/>
      <c r="Y35" s="2"/>
      <c r="Z35" s="2"/>
      <c r="AA35" s="2"/>
      <c r="AB35" s="2"/>
      <c r="AC35" s="2"/>
      <c r="AD35" s="2"/>
      <c r="AE35" s="2"/>
      <c r="AF35" s="2"/>
      <c r="AG35" s="2"/>
      <c r="AH35" s="2"/>
      <c r="AI35" s="2"/>
      <c r="AJ35" s="2"/>
      <c r="AK35" s="2"/>
      <c r="AL35" s="2"/>
      <c r="AM35" s="2"/>
      <c r="AN35" s="2"/>
      <c r="AO35" s="2"/>
      <c r="AP35" s="2"/>
    </row>
    <row r="36" spans="1:42" ht="12.75" customHeight="1">
      <c r="A36" s="445" t="s">
        <v>130</v>
      </c>
      <c r="B36" s="2"/>
      <c r="C36" s="432">
        <v>-3.871</v>
      </c>
      <c r="D36" s="374">
        <f>BYD!AJ85</f>
        <v>-9.2750000000000004</v>
      </c>
      <c r="E36" s="1103"/>
      <c r="F36" s="374">
        <f>C36-D36</f>
        <v>5.4039999999999999</v>
      </c>
      <c r="G36" s="126">
        <f>IF(D36=0,0,C36/D36-1)</f>
        <v>-0.58264150943396231</v>
      </c>
      <c r="H36" s="2"/>
      <c r="I36" s="432">
        <v>-7.9802318040049141</v>
      </c>
      <c r="J36" s="1103"/>
      <c r="K36" s="374">
        <f>C36-I36</f>
        <v>4.1092318040049136</v>
      </c>
      <c r="L36" s="1204">
        <f>IF(I36=0,"NM",C36/I36-1)</f>
        <v>-0.51492637117917783</v>
      </c>
      <c r="O36" s="2"/>
      <c r="S36" s="2"/>
      <c r="T36" s="2"/>
      <c r="U36" s="2"/>
      <c r="V36" s="2"/>
      <c r="W36" s="2"/>
      <c r="X36" s="2"/>
      <c r="Y36" s="2"/>
      <c r="Z36" s="2"/>
      <c r="AA36" s="2"/>
      <c r="AB36" s="2"/>
      <c r="AC36" s="2"/>
      <c r="AD36" s="2"/>
      <c r="AE36" s="2"/>
      <c r="AF36" s="2"/>
      <c r="AG36" s="2"/>
      <c r="AH36" s="2"/>
      <c r="AI36" s="2"/>
      <c r="AJ36" s="2"/>
      <c r="AK36" s="2"/>
      <c r="AL36" s="2"/>
      <c r="AM36" s="2"/>
      <c r="AN36" s="2"/>
      <c r="AO36" s="2"/>
      <c r="AP36" s="2"/>
    </row>
    <row r="37" spans="1:42" ht="4.5" customHeight="1">
      <c r="A37" s="964"/>
      <c r="B37" s="2"/>
      <c r="C37" s="453" t="s">
        <v>343</v>
      </c>
      <c r="D37" s="452" t="s">
        <v>343</v>
      </c>
      <c r="E37" s="96" t="s">
        <v>343</v>
      </c>
      <c r="F37" s="452" t="s">
        <v>343</v>
      </c>
      <c r="G37" s="1251" t="s">
        <v>343</v>
      </c>
      <c r="H37" s="2" t="s">
        <v>343</v>
      </c>
      <c r="I37" s="453" t="s">
        <v>343</v>
      </c>
      <c r="J37" s="96" t="s">
        <v>343</v>
      </c>
      <c r="K37" s="452" t="s">
        <v>343</v>
      </c>
      <c r="L37" s="1252" t="s">
        <v>343</v>
      </c>
      <c r="N37" s="1102"/>
      <c r="O37" s="1102"/>
      <c r="S37" s="2"/>
      <c r="T37" s="2"/>
      <c r="U37" s="2"/>
      <c r="V37" s="2"/>
      <c r="W37" s="2"/>
      <c r="X37" s="2"/>
      <c r="Y37" s="2"/>
      <c r="Z37" s="2"/>
      <c r="AA37" s="2"/>
      <c r="AB37" s="2"/>
      <c r="AC37" s="2"/>
      <c r="AD37" s="2"/>
      <c r="AE37" s="2"/>
      <c r="AF37" s="2"/>
      <c r="AG37" s="2"/>
      <c r="AH37" s="2"/>
      <c r="AI37" s="2"/>
      <c r="AJ37" s="2"/>
      <c r="AK37" s="2"/>
      <c r="AL37" s="2"/>
      <c r="AM37" s="2"/>
      <c r="AN37" s="2"/>
      <c r="AO37" s="2"/>
      <c r="AP37" s="2"/>
    </row>
    <row r="38" spans="1:42" ht="12.75" customHeight="1">
      <c r="A38" s="107" t="s">
        <v>1540</v>
      </c>
      <c r="B38" s="2"/>
      <c r="C38" s="1213">
        <f>C35+C36</f>
        <v>3.1090000000000004</v>
      </c>
      <c r="D38" s="929">
        <f>D35+D36</f>
        <v>5.5910000000000082</v>
      </c>
      <c r="E38" s="932"/>
      <c r="F38" s="1241">
        <f>F35+F36</f>
        <v>-2.4820000000000082</v>
      </c>
      <c r="G38" s="1215">
        <f>G35+G36</f>
        <v>-1.8111838238557993</v>
      </c>
      <c r="H38" s="932"/>
      <c r="I38" s="1244">
        <v>-3.0982644714899372</v>
      </c>
      <c r="J38" s="932"/>
      <c r="K38" s="1241">
        <f>K35+K36</f>
        <v>6.2072644714899372</v>
      </c>
      <c r="L38" s="1215">
        <f>L35+L36</f>
        <v>-1.0564758792602866</v>
      </c>
      <c r="O38" s="2"/>
      <c r="S38" s="2"/>
      <c r="T38" s="2"/>
      <c r="U38" s="2"/>
      <c r="V38" s="2"/>
      <c r="W38" s="2"/>
      <c r="X38" s="2"/>
      <c r="Y38" s="2"/>
      <c r="Z38" s="2"/>
      <c r="AA38" s="2"/>
      <c r="AB38" s="2"/>
      <c r="AC38" s="2"/>
      <c r="AD38" s="2"/>
      <c r="AE38" s="2"/>
      <c r="AF38" s="2"/>
      <c r="AG38" s="2"/>
      <c r="AH38" s="2"/>
      <c r="AI38" s="2"/>
      <c r="AJ38" s="2"/>
      <c r="AK38" s="2"/>
      <c r="AL38" s="2"/>
      <c r="AM38" s="2"/>
      <c r="AN38" s="2"/>
      <c r="AO38" s="2"/>
      <c r="AP38" s="2"/>
    </row>
    <row r="39" spans="1:42" ht="12.75" customHeight="1">
      <c r="A39" s="2" t="s">
        <v>1562</v>
      </c>
      <c r="B39" s="2"/>
      <c r="C39" s="1104">
        <f>2.3+1-0.054-1</f>
        <v>2.246</v>
      </c>
      <c r="D39" s="104">
        <f>BYD!AJ87</f>
        <v>-4.1809999999999983</v>
      </c>
      <c r="E39" s="61"/>
      <c r="F39" s="61"/>
      <c r="G39" s="1141"/>
      <c r="H39" s="2"/>
      <c r="I39" s="1104">
        <v>4.7620000000000005</v>
      </c>
      <c r="J39" s="61"/>
      <c r="K39" s="61"/>
      <c r="L39" s="1216"/>
      <c r="O39" s="2"/>
      <c r="S39" s="2"/>
      <c r="T39" s="2"/>
      <c r="U39" s="2"/>
      <c r="V39" s="2"/>
      <c r="W39" s="2"/>
      <c r="X39" s="2"/>
      <c r="Y39" s="2"/>
      <c r="Z39" s="2"/>
      <c r="AA39" s="2"/>
      <c r="AB39" s="2"/>
      <c r="AC39" s="2"/>
      <c r="AD39" s="2"/>
      <c r="AE39" s="2"/>
      <c r="AF39" s="2"/>
      <c r="AG39" s="2"/>
      <c r="AH39" s="2"/>
      <c r="AI39" s="2"/>
      <c r="AJ39" s="2"/>
      <c r="AK39" s="2"/>
      <c r="AL39" s="2"/>
      <c r="AM39" s="2"/>
      <c r="AN39" s="2"/>
      <c r="AO39" s="2"/>
      <c r="AP39" s="2"/>
    </row>
    <row r="40" spans="1:42" ht="12.75" customHeight="1">
      <c r="A40" s="147" t="s">
        <v>1747</v>
      </c>
      <c r="B40" s="160"/>
      <c r="C40" s="1217">
        <f>SUM(C38:C39)</f>
        <v>5.3550000000000004</v>
      </c>
      <c r="D40" s="1309">
        <f>BYD!AJ88</f>
        <v>1.410000000000017</v>
      </c>
      <c r="E40" s="1218"/>
      <c r="F40" s="1218">
        <f>C40-D40</f>
        <v>3.9449999999999834</v>
      </c>
      <c r="G40" s="1219">
        <f>IF(D40=0,0,C40/D40-1)</f>
        <v>2.7978723404254864</v>
      </c>
      <c r="H40" s="1220"/>
      <c r="I40" s="1245">
        <v>1.6637355285100632</v>
      </c>
      <c r="J40" s="1218"/>
      <c r="K40" s="1218">
        <f>C40-I40</f>
        <v>3.6912644714899372</v>
      </c>
      <c r="L40" s="1221">
        <f>C40/I40-1</f>
        <v>2.2186606033445719</v>
      </c>
      <c r="O40" s="2"/>
      <c r="S40" s="2"/>
      <c r="T40" s="2"/>
      <c r="U40" s="2"/>
      <c r="V40" s="2"/>
      <c r="W40" s="2"/>
      <c r="X40" s="2"/>
      <c r="Y40" s="2"/>
      <c r="Z40" s="2"/>
      <c r="AA40" s="2"/>
      <c r="AB40" s="2"/>
      <c r="AC40" s="2"/>
      <c r="AD40" s="2"/>
      <c r="AE40" s="2"/>
      <c r="AF40" s="2"/>
      <c r="AG40" s="2"/>
      <c r="AH40" s="2"/>
      <c r="AI40" s="2"/>
      <c r="AJ40" s="2"/>
      <c r="AK40" s="2"/>
      <c r="AL40" s="2"/>
      <c r="AM40" s="2"/>
      <c r="AN40" s="2"/>
      <c r="AO40" s="2"/>
      <c r="AP40" s="2"/>
    </row>
    <row r="41" spans="1:42" ht="12.75" customHeight="1">
      <c r="A41" s="2"/>
      <c r="B41" s="2"/>
      <c r="C41" s="112"/>
      <c r="D41" s="77"/>
      <c r="E41" s="61"/>
      <c r="F41" s="61"/>
      <c r="G41" s="1141"/>
      <c r="H41" s="2"/>
      <c r="I41" s="115"/>
      <c r="J41" s="61"/>
      <c r="K41" s="61"/>
      <c r="L41" s="1216"/>
      <c r="O41" s="2"/>
      <c r="S41" s="2"/>
      <c r="T41" s="2"/>
      <c r="U41" s="2"/>
      <c r="V41" s="2"/>
      <c r="W41" s="2"/>
      <c r="X41" s="2"/>
      <c r="Y41" s="2"/>
      <c r="Z41" s="2"/>
      <c r="AA41" s="2"/>
      <c r="AB41" s="2"/>
      <c r="AC41" s="2"/>
      <c r="AD41" s="2"/>
      <c r="AE41" s="2"/>
      <c r="AF41" s="2"/>
      <c r="AG41" s="2"/>
      <c r="AH41" s="2"/>
      <c r="AI41" s="2"/>
      <c r="AJ41" s="2"/>
      <c r="AK41" s="2"/>
      <c r="AL41" s="2"/>
      <c r="AM41" s="2"/>
      <c r="AN41" s="2"/>
      <c r="AO41" s="2"/>
      <c r="AP41" s="2"/>
    </row>
    <row r="42" spans="1:42" ht="12.75" customHeight="1">
      <c r="A42" s="138" t="s">
        <v>746</v>
      </c>
      <c r="B42" s="155"/>
      <c r="C42" s="153">
        <f>C40/C43</f>
        <v>6.1371137801411943E-2</v>
      </c>
      <c r="D42" s="152">
        <f>+D40/D43</f>
        <v>1.6265977573716221E-2</v>
      </c>
      <c r="E42" s="152"/>
      <c r="F42" s="152">
        <f>C42-D42</f>
        <v>4.5105160227695722E-2</v>
      </c>
      <c r="G42" s="1208">
        <f>IF(D42=0,0,C42/D42-1)</f>
        <v>2.7729756802677512</v>
      </c>
      <c r="H42" s="155"/>
      <c r="I42" s="1246">
        <v>1.908894900593255E-2</v>
      </c>
      <c r="J42" s="152"/>
      <c r="K42" s="152">
        <f>C42-I42</f>
        <v>4.2282188795479389E-2</v>
      </c>
      <c r="L42" s="1211">
        <f>C42/I42-1</f>
        <v>2.2150087352812742</v>
      </c>
      <c r="O42" s="1256">
        <v>0.01</v>
      </c>
      <c r="S42" s="2"/>
      <c r="T42" s="2"/>
      <c r="U42" s="2"/>
      <c r="V42" s="2"/>
      <c r="W42" s="2"/>
      <c r="X42" s="2"/>
      <c r="Y42" s="2"/>
      <c r="Z42" s="2"/>
      <c r="AA42" s="2"/>
      <c r="AB42" s="2"/>
      <c r="AC42" s="2"/>
      <c r="AD42" s="2"/>
      <c r="AE42" s="2"/>
      <c r="AF42" s="2"/>
      <c r="AG42" s="2"/>
      <c r="AH42" s="2"/>
      <c r="AI42" s="2"/>
      <c r="AJ42" s="2"/>
      <c r="AK42" s="2"/>
      <c r="AL42" s="2"/>
      <c r="AM42" s="2"/>
      <c r="AN42" s="2"/>
      <c r="AO42" s="2"/>
      <c r="AP42" s="2"/>
    </row>
    <row r="43" spans="1:42" ht="12.75" customHeight="1">
      <c r="A43" s="2" t="s">
        <v>769</v>
      </c>
      <c r="B43" s="2"/>
      <c r="C43" s="1104">
        <v>87.256</v>
      </c>
      <c r="D43" s="104">
        <f>BYD!AJ103</f>
        <v>86.683999999999997</v>
      </c>
      <c r="E43" s="1103"/>
      <c r="F43" s="374">
        <f>C43-D43</f>
        <v>0.57200000000000273</v>
      </c>
      <c r="G43" s="126">
        <f>IF(D43=0,0,C43/D43-1)</f>
        <v>6.5986802639472764E-3</v>
      </c>
      <c r="H43" s="2"/>
      <c r="I43" s="1104">
        <v>86.941999999999993</v>
      </c>
      <c r="J43" s="1103"/>
      <c r="K43" s="374">
        <f>C43-I43</f>
        <v>0.31400000000000716</v>
      </c>
      <c r="L43" s="1204">
        <f>C43/I43-1</f>
        <v>3.6116031377240176E-3</v>
      </c>
      <c r="O43" s="2"/>
      <c r="S43" s="2"/>
      <c r="T43" s="2"/>
      <c r="U43" s="2"/>
      <c r="V43" s="2"/>
      <c r="W43" s="2"/>
      <c r="X43" s="2"/>
      <c r="Y43" s="2"/>
      <c r="Z43" s="2"/>
      <c r="AA43" s="2"/>
      <c r="AB43" s="2"/>
      <c r="AC43" s="2"/>
      <c r="AD43" s="2"/>
      <c r="AE43" s="2"/>
      <c r="AF43" s="2"/>
      <c r="AG43" s="2"/>
      <c r="AH43" s="2"/>
      <c r="AI43" s="2"/>
      <c r="AJ43" s="2"/>
      <c r="AK43" s="2"/>
      <c r="AL43" s="2"/>
      <c r="AM43" s="2"/>
      <c r="AN43" s="2"/>
      <c r="AO43" s="2"/>
      <c r="AP43" s="2"/>
    </row>
    <row r="44" spans="1:42" ht="12.75" customHeight="1">
      <c r="A44" s="2"/>
      <c r="B44" s="2"/>
      <c r="C44" s="112"/>
      <c r="D44" s="77"/>
      <c r="E44" s="61"/>
      <c r="F44" s="2"/>
      <c r="G44" s="2"/>
      <c r="H44" s="2"/>
      <c r="I44" s="142"/>
      <c r="J44" s="61"/>
      <c r="K44" s="61"/>
      <c r="L44" s="2"/>
      <c r="O44" s="2"/>
      <c r="S44" s="2"/>
      <c r="T44" s="2"/>
      <c r="U44" s="2"/>
      <c r="V44" s="2"/>
      <c r="W44" s="2"/>
      <c r="X44" s="2"/>
      <c r="Y44" s="2"/>
      <c r="Z44" s="2"/>
      <c r="AA44" s="2"/>
      <c r="AB44" s="2"/>
      <c r="AC44" s="2"/>
      <c r="AD44" s="2"/>
      <c r="AE44" s="2"/>
      <c r="AF44" s="2"/>
      <c r="AG44" s="2"/>
      <c r="AH44" s="2"/>
      <c r="AI44" s="2"/>
      <c r="AJ44" s="2"/>
      <c r="AK44" s="2"/>
      <c r="AL44" s="2"/>
      <c r="AM44" s="2"/>
      <c r="AN44" s="2"/>
      <c r="AO44" s="2"/>
      <c r="AP44" s="2"/>
    </row>
    <row r="45" spans="1:42" ht="12.75" customHeight="1">
      <c r="A45" s="1222" t="s">
        <v>271</v>
      </c>
      <c r="B45" s="1223"/>
      <c r="C45" s="1224">
        <f>C20/C13</f>
        <v>0.22298484450581568</v>
      </c>
      <c r="D45" s="1400">
        <f>D20/D13</f>
        <v>0.20967614287903308</v>
      </c>
      <c r="E45" s="1225"/>
      <c r="F45" s="1223"/>
      <c r="G45" s="1226">
        <f>(C45-D45)</f>
        <v>1.3308701626782604E-2</v>
      </c>
      <c r="H45" s="1223"/>
      <c r="I45" s="1431">
        <f>I20/I13</f>
        <v>0.22145542885451744</v>
      </c>
      <c r="J45" s="1225"/>
      <c r="K45" s="1223"/>
      <c r="L45" s="1227">
        <f>(C45-I46)</f>
        <v>2.7438172612350958E-2</v>
      </c>
      <c r="O45" s="2"/>
      <c r="S45" s="2"/>
      <c r="T45" s="2"/>
      <c r="U45" s="2"/>
      <c r="V45" s="2"/>
      <c r="W45" s="2"/>
      <c r="X45" s="2"/>
      <c r="Y45" s="2"/>
      <c r="Z45" s="2"/>
      <c r="AA45" s="2"/>
      <c r="AB45" s="2"/>
      <c r="AC45" s="2"/>
      <c r="AD45" s="2"/>
      <c r="AE45" s="2"/>
      <c r="AF45" s="2"/>
      <c r="AG45" s="2"/>
      <c r="AH45" s="2"/>
      <c r="AI45" s="2"/>
      <c r="AJ45" s="2"/>
      <c r="AK45" s="2"/>
      <c r="AL45" s="2"/>
      <c r="AM45" s="2"/>
      <c r="AN45" s="2"/>
      <c r="AO45" s="2"/>
      <c r="AP45" s="2"/>
    </row>
    <row r="46" spans="1:42" ht="12.75" customHeight="1">
      <c r="A46" s="1239" t="s">
        <v>514</v>
      </c>
      <c r="B46" s="1228"/>
      <c r="C46" s="1229">
        <f t="shared" ref="C46:D49" si="3">C16/C8</f>
        <v>0.21103382106020629</v>
      </c>
      <c r="D46" s="1230">
        <f t="shared" si="3"/>
        <v>0.1793767557506199</v>
      </c>
      <c r="E46" s="1230"/>
      <c r="F46" s="1228"/>
      <c r="G46" s="1231">
        <f>(C46-D46)</f>
        <v>3.1657065309586396E-2</v>
      </c>
      <c r="H46" s="1228"/>
      <c r="I46" s="1229">
        <f>I16/I8</f>
        <v>0.19554667189346472</v>
      </c>
      <c r="J46" s="1230"/>
      <c r="K46" s="1228"/>
      <c r="L46" s="1232">
        <f>(C46-I46)</f>
        <v>1.5487149166741571E-2</v>
      </c>
      <c r="N46" s="1403">
        <v>564.9</v>
      </c>
      <c r="O46" s="98">
        <v>573.4</v>
      </c>
      <c r="S46" s="2"/>
      <c r="T46" s="2"/>
      <c r="U46" s="2"/>
      <c r="V46" s="2"/>
      <c r="W46" s="2"/>
      <c r="X46" s="2"/>
      <c r="Y46" s="2"/>
      <c r="Z46" s="2"/>
      <c r="AA46" s="2"/>
      <c r="AB46" s="2"/>
      <c r="AC46" s="2"/>
      <c r="AD46" s="2"/>
      <c r="AE46" s="2"/>
      <c r="AF46" s="2"/>
      <c r="AG46" s="2"/>
      <c r="AH46" s="2"/>
      <c r="AI46" s="2"/>
      <c r="AJ46" s="2"/>
      <c r="AK46" s="2"/>
      <c r="AL46" s="2"/>
      <c r="AM46" s="2"/>
      <c r="AN46" s="2"/>
      <c r="AO46" s="2"/>
      <c r="AP46" s="2"/>
    </row>
    <row r="47" spans="1:42" ht="12.75" customHeight="1">
      <c r="A47" s="1239" t="s">
        <v>515</v>
      </c>
      <c r="B47" s="1228"/>
      <c r="C47" s="1229">
        <f t="shared" si="3"/>
        <v>0.11260712209574887</v>
      </c>
      <c r="D47" s="1230">
        <f t="shared" si="3"/>
        <v>0.10942618212647887</v>
      </c>
      <c r="E47" s="1230"/>
      <c r="F47" s="1228"/>
      <c r="G47" s="1231">
        <f>(C47-D47)</f>
        <v>3.1809399692700052E-3</v>
      </c>
      <c r="H47" s="1228"/>
      <c r="I47" s="1229">
        <f>I17/I9</f>
        <v>0.10942618212647894</v>
      </c>
      <c r="J47" s="1230"/>
      <c r="K47" s="1228"/>
      <c r="L47" s="1232">
        <f>(C47-I47)</f>
        <v>3.1809399692699358E-3</v>
      </c>
      <c r="N47" s="1403">
        <v>111.7</v>
      </c>
      <c r="O47" s="98">
        <v>116.3</v>
      </c>
      <c r="S47" s="2"/>
      <c r="T47" s="2"/>
      <c r="U47" s="2"/>
      <c r="V47" s="2"/>
      <c r="W47" s="2"/>
      <c r="X47" s="2"/>
      <c r="Y47" s="2"/>
      <c r="Z47" s="2"/>
      <c r="AA47" s="2"/>
      <c r="AB47" s="2"/>
      <c r="AC47" s="2"/>
      <c r="AD47" s="2"/>
      <c r="AE47" s="2"/>
      <c r="AF47" s="2"/>
      <c r="AG47" s="2"/>
      <c r="AH47" s="2"/>
      <c r="AI47" s="2"/>
      <c r="AJ47" s="2"/>
      <c r="AK47" s="2"/>
      <c r="AL47" s="2"/>
      <c r="AM47" s="2"/>
      <c r="AN47" s="2"/>
      <c r="AO47" s="2"/>
      <c r="AP47" s="2"/>
    </row>
    <row r="48" spans="1:42" ht="12.75" customHeight="1">
      <c r="A48" s="1239" t="s">
        <v>516</v>
      </c>
      <c r="B48" s="1228"/>
      <c r="C48" s="1229">
        <f t="shared" si="3"/>
        <v>0.23694826136472491</v>
      </c>
      <c r="D48" s="1230">
        <f t="shared" si="3"/>
        <v>0.20354010440128248</v>
      </c>
      <c r="E48" s="1230"/>
      <c r="F48" s="1228"/>
      <c r="G48" s="1231">
        <f>(C48-D48)</f>
        <v>3.3408156963442431E-2</v>
      </c>
      <c r="H48" s="1228"/>
      <c r="I48" s="1229">
        <f>I18/I10</f>
        <v>0.22631098979466463</v>
      </c>
      <c r="J48" s="1230"/>
      <c r="K48" s="1228"/>
      <c r="L48" s="1232">
        <f>(C48-I48)</f>
        <v>1.063727157006028E-2</v>
      </c>
      <c r="N48" s="105">
        <f>+N47/N46</f>
        <v>0.19773411223225351</v>
      </c>
      <c r="O48" s="105">
        <f>+O47/O46</f>
        <v>0.20282525287757239</v>
      </c>
      <c r="S48" s="2"/>
      <c r="T48" s="2"/>
      <c r="U48" s="2"/>
      <c r="V48" s="2"/>
      <c r="W48" s="2"/>
      <c r="X48" s="2"/>
      <c r="Y48" s="2"/>
      <c r="Z48" s="2"/>
      <c r="AA48" s="2"/>
      <c r="AB48" s="2"/>
      <c r="AC48" s="2"/>
      <c r="AD48" s="2"/>
      <c r="AE48" s="2"/>
      <c r="AF48" s="2"/>
      <c r="AG48" s="2"/>
      <c r="AH48" s="2"/>
      <c r="AI48" s="2"/>
      <c r="AJ48" s="2"/>
      <c r="AK48" s="2"/>
      <c r="AL48" s="2"/>
      <c r="AM48" s="2"/>
      <c r="AN48" s="2"/>
      <c r="AO48" s="2"/>
      <c r="AP48" s="2"/>
    </row>
    <row r="49" spans="1:42" ht="12.75" customHeight="1">
      <c r="A49" s="1240" t="s">
        <v>273</v>
      </c>
      <c r="B49" s="1233"/>
      <c r="C49" s="1234">
        <f t="shared" si="3"/>
        <v>0.24892336326465958</v>
      </c>
      <c r="D49" s="1235">
        <f t="shared" si="3"/>
        <v>0.26154260979262067</v>
      </c>
      <c r="E49" s="1235"/>
      <c r="F49" s="1233"/>
      <c r="G49" s="1236"/>
      <c r="H49" s="1233"/>
      <c r="I49" s="1234">
        <f>I19/I11</f>
        <v>0.26500000000000001</v>
      </c>
      <c r="J49" s="1235"/>
      <c r="K49" s="1233"/>
      <c r="L49" s="1237">
        <f>(C49-I49)</f>
        <v>-1.6076636735340433E-2</v>
      </c>
      <c r="M49" s="1238"/>
      <c r="O49" s="2"/>
      <c r="S49" s="2"/>
      <c r="T49" s="2"/>
      <c r="U49" s="2"/>
      <c r="V49" s="2"/>
      <c r="W49" s="2"/>
      <c r="X49" s="2"/>
      <c r="Y49" s="2"/>
      <c r="Z49" s="2"/>
      <c r="AA49" s="2"/>
      <c r="AB49" s="2"/>
      <c r="AC49" s="2"/>
      <c r="AD49" s="2"/>
      <c r="AE49" s="2"/>
      <c r="AF49" s="2"/>
      <c r="AG49" s="2"/>
      <c r="AH49" s="2"/>
      <c r="AI49" s="2"/>
      <c r="AJ49" s="2"/>
      <c r="AK49" s="2"/>
      <c r="AL49" s="2"/>
      <c r="AM49" s="2"/>
      <c r="AN49" s="2"/>
      <c r="AO49" s="2"/>
      <c r="AP49" s="2"/>
    </row>
    <row r="50" spans="1:42" ht="12.75" customHeight="1">
      <c r="A50" s="61"/>
      <c r="B50" s="61"/>
      <c r="C50" s="1435"/>
      <c r="D50" s="77"/>
      <c r="E50" s="61"/>
      <c r="F50" s="61"/>
      <c r="G50" s="61"/>
      <c r="H50" s="61"/>
      <c r="I50" s="1435"/>
      <c r="J50" s="61"/>
      <c r="K50" s="61"/>
      <c r="L50" s="61"/>
      <c r="N50">
        <v>184.1</v>
      </c>
      <c r="O50" s="2">
        <v>185.8</v>
      </c>
      <c r="S50" s="2"/>
      <c r="T50" s="2"/>
      <c r="U50" s="2"/>
      <c r="V50" s="2"/>
      <c r="W50" s="2"/>
      <c r="X50" s="2"/>
      <c r="Y50" s="2"/>
      <c r="Z50" s="2"/>
      <c r="AA50" s="2"/>
      <c r="AB50" s="2"/>
      <c r="AC50" s="2"/>
      <c r="AD50" s="2"/>
      <c r="AE50" s="2"/>
      <c r="AF50" s="2"/>
      <c r="AG50" s="2"/>
      <c r="AH50" s="2"/>
      <c r="AI50" s="2"/>
      <c r="AJ50" s="2"/>
      <c r="AK50" s="2"/>
      <c r="AL50" s="2"/>
      <c r="AM50" s="2"/>
      <c r="AN50" s="2"/>
      <c r="AO50" s="2"/>
      <c r="AP50" s="2"/>
    </row>
    <row r="51" spans="1:42" ht="12.75" customHeight="1">
      <c r="A51" s="61"/>
      <c r="B51" s="61"/>
      <c r="C51" s="374"/>
      <c r="D51" s="374"/>
      <c r="E51" s="61"/>
      <c r="F51" s="374"/>
      <c r="G51" s="95"/>
      <c r="H51" s="313"/>
      <c r="I51" s="376"/>
      <c r="J51" s="932"/>
      <c r="K51" s="374"/>
      <c r="L51" s="1204"/>
      <c r="N51">
        <v>41.2</v>
      </c>
      <c r="O51" s="2">
        <v>39.299999999999997</v>
      </c>
      <c r="S51" s="2"/>
      <c r="T51" s="2"/>
      <c r="U51" s="2"/>
      <c r="V51" s="2"/>
      <c r="W51" s="2"/>
      <c r="X51" s="2"/>
      <c r="Y51" s="2"/>
      <c r="Z51" s="2"/>
      <c r="AA51" s="2"/>
      <c r="AB51" s="2"/>
      <c r="AC51" s="2"/>
      <c r="AD51" s="2"/>
      <c r="AE51" s="2"/>
      <c r="AF51" s="2"/>
      <c r="AG51" s="2"/>
      <c r="AH51" s="2"/>
      <c r="AI51" s="2"/>
      <c r="AJ51" s="2"/>
      <c r="AK51" s="2"/>
      <c r="AL51" s="2"/>
      <c r="AM51" s="2"/>
      <c r="AN51" s="2"/>
      <c r="AO51" s="2"/>
      <c r="AP51" s="2"/>
    </row>
    <row r="52" spans="1:42" ht="12.75" customHeight="1">
      <c r="A52" s="743"/>
      <c r="B52" s="61"/>
      <c r="C52" s="452"/>
      <c r="D52" s="452"/>
      <c r="E52" s="61"/>
      <c r="F52" s="452"/>
      <c r="G52" s="1433"/>
      <c r="H52" s="61"/>
      <c r="I52" s="879"/>
      <c r="J52" s="1103"/>
      <c r="K52" s="452"/>
      <c r="L52" s="1252"/>
      <c r="N52" s="1404">
        <f>+N51/N50</f>
        <v>0.22379141770776753</v>
      </c>
      <c r="O52" s="1404">
        <f>+O51/O50</f>
        <v>0.21151776103336919</v>
      </c>
      <c r="S52" s="2"/>
      <c r="T52" s="2"/>
      <c r="U52" s="2"/>
      <c r="V52" s="2"/>
      <c r="W52" s="2"/>
      <c r="X52" s="2"/>
      <c r="Y52" s="2"/>
      <c r="Z52" s="2"/>
      <c r="AA52" s="2"/>
      <c r="AB52" s="2"/>
      <c r="AC52" s="2"/>
      <c r="AD52" s="2"/>
      <c r="AE52" s="2"/>
      <c r="AF52" s="2"/>
      <c r="AG52" s="2"/>
      <c r="AH52" s="2"/>
      <c r="AI52" s="2"/>
      <c r="AJ52" s="2"/>
      <c r="AK52" s="2"/>
      <c r="AL52" s="2"/>
      <c r="AM52" s="2"/>
      <c r="AN52" s="2"/>
      <c r="AO52" s="2"/>
      <c r="AP52" s="2"/>
    </row>
    <row r="53" spans="1:42" ht="12.75" customHeight="1">
      <c r="A53" s="1"/>
      <c r="B53" s="2"/>
      <c r="C53" s="1241"/>
      <c r="D53" s="1241"/>
      <c r="E53" s="61"/>
      <c r="F53" s="374"/>
      <c r="G53" s="95"/>
      <c r="H53" s="61"/>
      <c r="I53" s="1434"/>
      <c r="J53" s="1103"/>
      <c r="K53" s="1241"/>
      <c r="L53" s="1204"/>
      <c r="O53" s="1143">
        <f>+O52-N52</f>
        <v>-1.2273656674398337E-2</v>
      </c>
    </row>
    <row r="54" spans="1:42" ht="4.5" customHeight="1">
      <c r="A54" s="2"/>
      <c r="B54" s="2"/>
      <c r="C54" s="61"/>
      <c r="D54" s="77"/>
      <c r="E54" s="61"/>
      <c r="F54" s="61"/>
      <c r="G54" s="61"/>
      <c r="H54" s="61"/>
      <c r="I54" s="61"/>
      <c r="J54" s="2"/>
      <c r="K54" s="2"/>
      <c r="L54" s="2"/>
      <c r="O54" s="2"/>
    </row>
    <row r="55" spans="1:42" ht="6" customHeight="1">
      <c r="A55" s="2"/>
      <c r="B55" s="2"/>
      <c r="C55" s="2"/>
      <c r="D55" s="1062"/>
      <c r="E55" s="2"/>
      <c r="F55" s="2"/>
      <c r="G55" s="2"/>
      <c r="H55" s="2"/>
      <c r="I55" s="2"/>
      <c r="J55" s="2"/>
      <c r="K55" s="2"/>
      <c r="L55" s="2"/>
      <c r="O55" s="2"/>
    </row>
    <row r="56" spans="1:42" ht="12.75" customHeight="1">
      <c r="A56" s="2"/>
      <c r="B56" s="2"/>
      <c r="C56" s="2"/>
      <c r="D56" s="1062"/>
      <c r="E56" s="2"/>
      <c r="F56" s="2"/>
      <c r="G56" s="2"/>
      <c r="H56" s="2"/>
      <c r="I56" s="2"/>
      <c r="J56" s="2"/>
      <c r="K56" s="2"/>
      <c r="L56" s="2"/>
      <c r="O56" s="2"/>
    </row>
    <row r="57" spans="1:42" ht="12.75" customHeight="1">
      <c r="A57" s="2"/>
      <c r="B57" s="2"/>
      <c r="C57" s="2"/>
      <c r="D57" s="1062"/>
      <c r="E57" s="2"/>
      <c r="F57" s="2"/>
      <c r="G57" s="2"/>
      <c r="H57" s="2"/>
      <c r="I57" s="2"/>
      <c r="J57" s="2"/>
      <c r="K57" s="2"/>
      <c r="L57" s="2"/>
      <c r="O57" s="2"/>
    </row>
    <row r="58" spans="1:42" ht="12.75" customHeight="1">
      <c r="A58" s="2"/>
      <c r="B58" s="2"/>
      <c r="C58" s="2"/>
      <c r="D58" s="1062"/>
      <c r="E58" s="2"/>
      <c r="F58" s="2"/>
      <c r="G58" s="2"/>
      <c r="H58" s="2"/>
      <c r="I58" s="2"/>
      <c r="J58" s="2"/>
      <c r="K58" s="2"/>
      <c r="L58" s="2"/>
      <c r="O58" s="2"/>
    </row>
    <row r="59" spans="1:42" ht="12.75" customHeight="1">
      <c r="A59" s="2"/>
      <c r="B59" s="2"/>
      <c r="C59" s="2"/>
      <c r="D59" s="1062"/>
      <c r="E59" s="2"/>
      <c r="F59" s="2"/>
      <c r="G59" s="2"/>
      <c r="H59" s="2"/>
      <c r="I59" s="2"/>
      <c r="J59" s="2"/>
      <c r="K59" s="2"/>
      <c r="L59" s="2"/>
      <c r="O59" s="2"/>
    </row>
    <row r="60" spans="1:42" ht="12.75" customHeight="1">
      <c r="A60" s="2"/>
      <c r="B60" s="2"/>
      <c r="C60" s="2"/>
      <c r="D60" s="1062"/>
      <c r="E60" s="2"/>
      <c r="F60" s="2"/>
      <c r="G60" s="2"/>
      <c r="H60" s="2"/>
      <c r="I60" s="2"/>
      <c r="J60" s="2"/>
      <c r="K60" s="2"/>
      <c r="L60" s="2"/>
      <c r="O60" s="2"/>
    </row>
    <row r="61" spans="1:42" ht="12.75" customHeight="1">
      <c r="A61" s="2"/>
      <c r="B61" s="2"/>
      <c r="C61" s="2"/>
      <c r="D61" s="1062"/>
      <c r="E61" s="2"/>
      <c r="F61" s="2"/>
      <c r="G61" s="2"/>
      <c r="H61" s="2"/>
      <c r="I61" s="2"/>
      <c r="J61" s="2"/>
      <c r="K61" s="2"/>
      <c r="L61" s="2"/>
      <c r="N61" s="69" t="s">
        <v>318</v>
      </c>
      <c r="P61" s="2"/>
      <c r="Q61" s="2"/>
      <c r="R61" s="2"/>
    </row>
    <row r="62" spans="1:42" ht="12.75" customHeight="1">
      <c r="A62" s="2"/>
      <c r="B62" s="2"/>
      <c r="C62" s="2"/>
      <c r="D62" s="1062"/>
      <c r="E62" s="2"/>
      <c r="F62" s="2"/>
      <c r="G62" s="2"/>
      <c r="H62" s="2"/>
      <c r="I62" s="2"/>
      <c r="J62" s="2"/>
      <c r="K62" s="2"/>
      <c r="L62" s="2"/>
      <c r="N62" s="2" t="s">
        <v>319</v>
      </c>
      <c r="O62" s="2" t="s">
        <v>320</v>
      </c>
      <c r="P62" s="2" t="s">
        <v>321</v>
      </c>
      <c r="Q62" s="98">
        <v>62.5</v>
      </c>
      <c r="R62" s="98"/>
    </row>
    <row r="63" spans="1:42" ht="12.75" customHeight="1">
      <c r="A63" s="2"/>
      <c r="B63" s="2"/>
      <c r="C63" s="2"/>
      <c r="D63" s="1062"/>
      <c r="E63" s="2"/>
      <c r="F63" s="2"/>
      <c r="G63" s="2"/>
      <c r="H63" s="2"/>
      <c r="I63" s="2"/>
      <c r="J63" s="2"/>
      <c r="K63" s="2"/>
      <c r="L63" s="2"/>
      <c r="N63" s="2"/>
      <c r="O63" s="2" t="s">
        <v>322</v>
      </c>
      <c r="P63" s="2" t="s">
        <v>321</v>
      </c>
      <c r="Q63" s="98">
        <v>87.5</v>
      </c>
      <c r="R63" s="98"/>
    </row>
    <row r="64" spans="1:42" ht="12.75" customHeight="1">
      <c r="A64" s="2"/>
      <c r="B64" s="2"/>
      <c r="C64" s="2"/>
      <c r="D64" s="1062"/>
      <c r="E64" s="2"/>
      <c r="F64" s="2"/>
      <c r="G64" s="2"/>
      <c r="H64" s="2"/>
      <c r="I64" s="2"/>
      <c r="J64" s="2"/>
      <c r="K64" s="2"/>
      <c r="L64" s="2"/>
      <c r="N64" s="2"/>
      <c r="O64" s="2" t="s">
        <v>323</v>
      </c>
      <c r="P64" s="2" t="s">
        <v>321</v>
      </c>
      <c r="Q64" s="98">
        <v>100</v>
      </c>
      <c r="R64" s="98"/>
    </row>
    <row r="65" spans="1:42" ht="12.75" customHeight="1">
      <c r="A65" s="2"/>
      <c r="B65" s="2"/>
      <c r="C65" s="2"/>
      <c r="D65" s="1062"/>
      <c r="E65" s="2"/>
      <c r="F65" s="2"/>
      <c r="G65" s="2"/>
      <c r="H65" s="2"/>
      <c r="I65" s="2"/>
      <c r="J65" s="2"/>
      <c r="K65" s="2"/>
      <c r="L65" s="2"/>
      <c r="N65" s="2"/>
      <c r="O65" s="2" t="s">
        <v>324</v>
      </c>
      <c r="P65" s="2" t="s">
        <v>321</v>
      </c>
      <c r="Q65" s="98">
        <v>112.5</v>
      </c>
      <c r="R65" s="98"/>
    </row>
    <row r="66" spans="1:42" ht="12.75" customHeight="1">
      <c r="A66" s="2"/>
      <c r="B66" s="2"/>
      <c r="C66" s="2"/>
      <c r="D66" s="1062"/>
      <c r="E66" s="2"/>
      <c r="F66" s="2"/>
      <c r="G66" s="2"/>
      <c r="H66" s="2"/>
      <c r="I66" s="2"/>
      <c r="J66" s="2"/>
      <c r="K66" s="2"/>
      <c r="L66" s="2"/>
      <c r="N66" s="2"/>
      <c r="O66" s="2" t="s">
        <v>325</v>
      </c>
      <c r="P66" s="2" t="s">
        <v>321</v>
      </c>
      <c r="Q66" s="98">
        <v>137.5</v>
      </c>
      <c r="R66" s="98"/>
    </row>
    <row r="67" spans="1:42" ht="12.75" customHeight="1">
      <c r="A67" s="2"/>
      <c r="B67" s="2"/>
      <c r="C67" s="2"/>
      <c r="D67" s="1062"/>
      <c r="E67" s="2"/>
      <c r="F67" s="2"/>
      <c r="G67" s="2"/>
      <c r="H67" s="2"/>
      <c r="I67" s="2"/>
      <c r="J67" s="2"/>
      <c r="K67" s="2"/>
      <c r="L67" s="2"/>
      <c r="N67" s="2"/>
      <c r="O67" s="2" t="s">
        <v>326</v>
      </c>
      <c r="P67" s="2" t="s">
        <v>321</v>
      </c>
      <c r="Q67" s="98">
        <v>162.5</v>
      </c>
      <c r="R67" s="98"/>
    </row>
    <row r="68" spans="1:42" ht="12.75" customHeight="1">
      <c r="A68" s="2"/>
      <c r="B68" s="2"/>
      <c r="C68" s="2"/>
      <c r="D68" s="1062"/>
      <c r="E68" s="2"/>
      <c r="F68" s="2"/>
      <c r="G68" s="2"/>
      <c r="H68" s="2"/>
      <c r="I68" s="2"/>
      <c r="J68" s="2"/>
      <c r="K68" s="2"/>
      <c r="L68" s="2"/>
      <c r="O68" s="2"/>
      <c r="S68" s="2"/>
      <c r="T68" s="2"/>
      <c r="U68" s="2"/>
      <c r="V68" s="2"/>
      <c r="W68" s="2"/>
      <c r="X68" s="2"/>
      <c r="Y68" s="2"/>
      <c r="Z68" s="2"/>
      <c r="AA68" s="2"/>
      <c r="AB68" s="2"/>
      <c r="AC68" s="2"/>
      <c r="AD68" s="2"/>
      <c r="AE68" s="2"/>
      <c r="AF68" s="2"/>
      <c r="AG68" s="2"/>
      <c r="AH68" s="2"/>
      <c r="AI68" s="2"/>
      <c r="AJ68" s="2"/>
      <c r="AK68" s="2"/>
      <c r="AL68" s="2"/>
      <c r="AM68" s="2"/>
      <c r="AN68" s="2"/>
      <c r="AO68" s="2"/>
      <c r="AP68" s="2"/>
    </row>
    <row r="69" spans="1:42" ht="12.75" customHeight="1">
      <c r="A69" s="2"/>
      <c r="B69" s="2"/>
      <c r="C69" s="2"/>
      <c r="D69" s="1062"/>
      <c r="E69" s="2"/>
      <c r="F69" s="2"/>
      <c r="G69" s="2"/>
      <c r="H69" s="2"/>
      <c r="I69" s="2"/>
      <c r="J69" s="2"/>
      <c r="K69" s="2"/>
      <c r="L69" s="2"/>
      <c r="O69" s="2"/>
      <c r="S69" s="2"/>
      <c r="T69" s="2"/>
      <c r="U69" s="2"/>
      <c r="V69" s="2"/>
      <c r="W69" s="2"/>
      <c r="X69" s="2"/>
      <c r="Y69" s="2"/>
      <c r="Z69" s="2"/>
      <c r="AA69" s="2"/>
      <c r="AB69" s="2"/>
      <c r="AC69" s="2"/>
      <c r="AD69" s="2"/>
      <c r="AE69" s="2"/>
      <c r="AF69" s="2"/>
      <c r="AG69" s="2"/>
      <c r="AH69" s="2"/>
      <c r="AI69" s="2"/>
      <c r="AJ69" s="2"/>
      <c r="AK69" s="2"/>
      <c r="AL69" s="2"/>
      <c r="AM69" s="2"/>
      <c r="AN69" s="2"/>
      <c r="AO69" s="2"/>
      <c r="AP69" s="2"/>
    </row>
    <row r="70" spans="1:42" ht="12.75" customHeight="1">
      <c r="A70" s="2"/>
      <c r="B70" s="2"/>
      <c r="C70" s="2"/>
      <c r="D70" s="1062"/>
      <c r="E70" s="2"/>
      <c r="F70" s="2"/>
      <c r="G70" s="2"/>
      <c r="H70" s="2"/>
      <c r="I70" s="2"/>
      <c r="J70" s="2"/>
      <c r="K70" s="2"/>
      <c r="L70" s="2"/>
      <c r="O70" s="2"/>
      <c r="S70" s="1" t="s">
        <v>1140</v>
      </c>
      <c r="T70" s="1"/>
      <c r="U70" s="2"/>
      <c r="V70" s="2"/>
      <c r="W70" s="2"/>
      <c r="X70" s="2"/>
      <c r="Y70" s="2"/>
      <c r="Z70" s="2"/>
      <c r="AA70" s="2"/>
      <c r="AB70" s="2"/>
      <c r="AC70" s="2"/>
      <c r="AD70" s="2"/>
      <c r="AE70" s="2"/>
      <c r="AF70" s="2"/>
      <c r="AG70" s="2"/>
      <c r="AH70" s="2"/>
      <c r="AI70" s="2"/>
      <c r="AJ70" s="2"/>
      <c r="AK70" s="2"/>
      <c r="AL70" s="2"/>
      <c r="AM70" s="2"/>
      <c r="AN70" s="2"/>
      <c r="AO70" s="2"/>
      <c r="AP70" s="2"/>
    </row>
    <row r="71" spans="1:42" ht="12.75" customHeight="1">
      <c r="A71" s="2"/>
      <c r="B71" s="2"/>
      <c r="C71" s="2"/>
      <c r="D71" s="1062"/>
      <c r="E71" s="2"/>
      <c r="F71" s="2"/>
      <c r="G71" s="2"/>
      <c r="H71" s="2"/>
      <c r="I71" s="2"/>
      <c r="J71" s="2"/>
      <c r="K71" s="2"/>
      <c r="L71" s="2"/>
      <c r="O71" s="2"/>
      <c r="S71" s="1"/>
      <c r="T71" s="1"/>
      <c r="U71" s="2"/>
      <c r="V71" s="2"/>
      <c r="W71" s="2"/>
      <c r="X71" s="2"/>
      <c r="Y71" s="2"/>
      <c r="Z71" s="2"/>
      <c r="AA71" s="2"/>
      <c r="AB71" s="2"/>
      <c r="AC71" s="2"/>
      <c r="AD71" s="2"/>
      <c r="AE71" s="2"/>
      <c r="AF71" s="2"/>
      <c r="AG71" s="2"/>
      <c r="AH71" s="2"/>
      <c r="AI71" s="2"/>
      <c r="AJ71" s="2"/>
      <c r="AK71" s="2"/>
      <c r="AL71" s="2"/>
      <c r="AM71" s="2"/>
      <c r="AN71" s="2"/>
      <c r="AO71" s="2"/>
      <c r="AP71" s="2"/>
    </row>
    <row r="72" spans="1:42" ht="12.75" customHeight="1">
      <c r="A72" s="2"/>
      <c r="B72" s="2"/>
      <c r="C72" s="2"/>
      <c r="D72" s="1062"/>
      <c r="E72" s="2"/>
      <c r="F72" s="2"/>
      <c r="G72" s="2"/>
      <c r="H72" s="2"/>
      <c r="I72" s="2"/>
      <c r="J72" s="2"/>
      <c r="K72" s="2"/>
      <c r="L72" s="2"/>
      <c r="O72" s="2"/>
      <c r="S72" s="2" t="s">
        <v>1144</v>
      </c>
      <c r="T72" s="2"/>
      <c r="U72" s="2"/>
      <c r="V72" s="2"/>
      <c r="W72" s="2"/>
      <c r="X72" s="2"/>
      <c r="Y72" s="2"/>
      <c r="Z72" s="2"/>
      <c r="AA72" s="2"/>
      <c r="AB72" s="2"/>
      <c r="AC72" s="2"/>
      <c r="AD72" s="2"/>
      <c r="AE72" s="2"/>
      <c r="AF72" s="2"/>
      <c r="AG72" s="2"/>
      <c r="AH72" s="2"/>
      <c r="AI72" s="2"/>
      <c r="AJ72" s="2"/>
      <c r="AK72" s="2"/>
      <c r="AL72" s="2"/>
      <c r="AM72" s="2"/>
      <c r="AN72" s="2"/>
      <c r="AO72" s="2"/>
      <c r="AP72" s="2"/>
    </row>
    <row r="73" spans="1:42" ht="12.75" customHeight="1">
      <c r="A73" s="2"/>
      <c r="B73" s="2"/>
      <c r="C73" s="2"/>
      <c r="D73" s="1062"/>
      <c r="E73" s="2"/>
      <c r="F73" s="2"/>
      <c r="G73" s="2"/>
      <c r="H73" s="2"/>
      <c r="I73" s="2"/>
      <c r="J73" s="2"/>
      <c r="K73" s="2"/>
      <c r="L73" s="2"/>
      <c r="O73" s="2"/>
      <c r="S73" s="2"/>
      <c r="T73" s="2"/>
      <c r="U73" s="2"/>
      <c r="V73" s="2"/>
      <c r="W73" s="2"/>
      <c r="X73" s="2"/>
      <c r="Y73" s="2"/>
      <c r="Z73" s="2"/>
      <c r="AA73" s="2"/>
      <c r="AB73" s="2"/>
      <c r="AC73" s="2"/>
      <c r="AD73" s="2"/>
      <c r="AE73" s="2"/>
      <c r="AF73" s="2"/>
      <c r="AG73" s="2"/>
      <c r="AH73" s="2"/>
      <c r="AI73" s="2"/>
      <c r="AJ73" s="2"/>
      <c r="AK73" s="2"/>
      <c r="AL73" s="2"/>
      <c r="AM73" s="2"/>
      <c r="AN73" s="2"/>
      <c r="AO73" s="2"/>
      <c r="AP73" s="2"/>
    </row>
    <row r="74" spans="1:42" ht="12.75" customHeight="1">
      <c r="A74" s="2"/>
      <c r="B74" s="2"/>
      <c r="C74" s="2"/>
      <c r="D74" s="1062"/>
      <c r="E74" s="2"/>
      <c r="F74" s="2"/>
      <c r="G74" s="2"/>
      <c r="H74" s="2"/>
      <c r="I74" s="2"/>
      <c r="J74" s="2"/>
      <c r="K74" s="2"/>
      <c r="L74" s="2"/>
      <c r="O74" s="2"/>
      <c r="S74" s="69" t="s">
        <v>53</v>
      </c>
      <c r="T74" s="69"/>
      <c r="U74" s="1289" t="s">
        <v>1143</v>
      </c>
      <c r="V74" s="1289"/>
      <c r="W74" s="1289" t="s">
        <v>1142</v>
      </c>
      <c r="X74" s="1289"/>
      <c r="Y74" s="1289" t="s">
        <v>829</v>
      </c>
      <c r="Z74" s="2"/>
      <c r="AA74" s="2"/>
      <c r="AB74" s="2"/>
      <c r="AC74" s="2"/>
      <c r="AD74" s="2"/>
      <c r="AE74" s="2"/>
      <c r="AF74" s="2"/>
      <c r="AG74" s="2"/>
      <c r="AH74" s="2"/>
      <c r="AI74" s="2"/>
      <c r="AJ74" s="2"/>
      <c r="AK74" s="2"/>
      <c r="AL74" s="2"/>
      <c r="AM74" s="2"/>
      <c r="AN74" s="2"/>
      <c r="AO74" s="2"/>
      <c r="AP74" s="2"/>
    </row>
    <row r="75" spans="1:42" ht="12.75" customHeight="1">
      <c r="A75" s="2"/>
      <c r="B75" s="2"/>
      <c r="C75" s="2"/>
      <c r="D75" s="1062"/>
      <c r="E75" s="2"/>
      <c r="F75" s="2"/>
      <c r="G75" s="2"/>
      <c r="H75" s="2"/>
      <c r="I75" s="2"/>
      <c r="J75" s="2"/>
      <c r="K75" s="2"/>
      <c r="L75" s="2"/>
      <c r="O75" s="2"/>
      <c r="S75" s="2" t="s">
        <v>935</v>
      </c>
      <c r="T75" s="2"/>
      <c r="U75" s="1102">
        <v>2309.9064089781423</v>
      </c>
      <c r="V75" s="98"/>
      <c r="W75" s="98">
        <f>BYD!AQ21</f>
        <v>2330.8430000000003</v>
      </c>
      <c r="X75" s="98"/>
      <c r="Y75" s="105">
        <f>W75/U75-1</f>
        <v>9.0638265431368659E-3</v>
      </c>
      <c r="Z75" s="2"/>
      <c r="AA75" s="2"/>
      <c r="AB75" s="2"/>
      <c r="AC75" s="2"/>
      <c r="AD75" s="2"/>
      <c r="AE75" s="2"/>
      <c r="AF75" s="2"/>
      <c r="AG75" s="2"/>
      <c r="AH75" s="2"/>
      <c r="AI75" s="2"/>
      <c r="AJ75" s="2"/>
      <c r="AK75" s="2"/>
      <c r="AL75" s="2"/>
      <c r="AM75" s="2"/>
      <c r="AN75" s="2"/>
      <c r="AO75" s="2"/>
      <c r="AP75" s="2"/>
    </row>
    <row r="76" spans="1:42" ht="12.75" customHeight="1">
      <c r="A76" s="2"/>
      <c r="B76" s="2"/>
      <c r="C76" s="2"/>
      <c r="D76" s="1062"/>
      <c r="E76" s="2"/>
      <c r="F76" s="2"/>
      <c r="G76" s="2"/>
      <c r="H76" s="2"/>
      <c r="I76" s="2"/>
      <c r="J76" s="2"/>
      <c r="K76" s="2"/>
      <c r="L76" s="2"/>
      <c r="O76" s="2"/>
      <c r="S76" s="2" t="s">
        <v>1141</v>
      </c>
      <c r="T76" s="2"/>
      <c r="U76" s="1102">
        <v>505.39655426397974</v>
      </c>
      <c r="V76" s="98"/>
      <c r="W76" s="98">
        <f>BYD!AQ51</f>
        <v>506.30200000000002</v>
      </c>
      <c r="X76" s="98"/>
      <c r="Y76" s="105">
        <f>W76/U76-1</f>
        <v>1.7915550242302292E-3</v>
      </c>
      <c r="Z76" s="2"/>
      <c r="AA76" s="2"/>
      <c r="AB76" s="2"/>
      <c r="AC76" s="2"/>
      <c r="AD76" s="2"/>
      <c r="AE76" s="2"/>
      <c r="AF76" s="2"/>
      <c r="AG76" s="2"/>
      <c r="AH76" s="2"/>
      <c r="AI76" s="2"/>
      <c r="AJ76" s="2"/>
      <c r="AK76" s="2"/>
      <c r="AL76" s="2"/>
      <c r="AM76" s="2"/>
      <c r="AN76" s="2"/>
      <c r="AO76" s="2"/>
      <c r="AP76" s="2"/>
    </row>
    <row r="77" spans="1:42" ht="12.75" customHeight="1">
      <c r="A77" s="2"/>
      <c r="B77" s="2"/>
      <c r="C77" s="2"/>
      <c r="D77" s="1062"/>
      <c r="E77" s="2"/>
      <c r="F77" s="2"/>
      <c r="G77" s="2"/>
      <c r="H77" s="2"/>
      <c r="I77" s="2"/>
      <c r="J77" s="2"/>
      <c r="K77" s="2"/>
      <c r="L77" s="2"/>
      <c r="O77" s="2"/>
      <c r="S77" s="2" t="s">
        <v>200</v>
      </c>
      <c r="T77" s="2"/>
      <c r="U77" s="1401">
        <v>-0.12959320583489056</v>
      </c>
      <c r="V77" s="1336"/>
      <c r="W77" s="1181">
        <f>BYD!AQ95</f>
        <v>-3.2745966864743742E-3</v>
      </c>
      <c r="X77" s="1336"/>
      <c r="Y77" s="133" t="s">
        <v>1047</v>
      </c>
      <c r="Z77" s="2"/>
      <c r="AA77" s="2"/>
      <c r="AB77" s="2"/>
      <c r="AC77" s="2"/>
      <c r="AD77" s="2"/>
      <c r="AE77" s="2"/>
      <c r="AF77" s="2"/>
      <c r="AG77" s="2"/>
      <c r="AH77" s="2"/>
      <c r="AI77" s="2"/>
      <c r="AJ77" s="2"/>
      <c r="AK77" s="2"/>
      <c r="AL77" s="2"/>
      <c r="AM77" s="2"/>
      <c r="AN77" s="2"/>
      <c r="AO77" s="2"/>
      <c r="AP77" s="2"/>
    </row>
    <row r="78" spans="1:42" ht="12.75" customHeight="1">
      <c r="A78" s="2"/>
      <c r="B78" s="2"/>
      <c r="C78" s="2"/>
      <c r="D78" s="1062"/>
      <c r="E78" s="2"/>
      <c r="F78" s="2"/>
      <c r="G78" s="2"/>
      <c r="H78" s="2"/>
      <c r="I78" s="2"/>
      <c r="J78" s="2"/>
      <c r="K78" s="2"/>
      <c r="L78" s="2"/>
      <c r="O78" s="2"/>
      <c r="S78" s="2"/>
      <c r="T78" s="2"/>
      <c r="U78" s="98"/>
      <c r="V78" s="98"/>
      <c r="W78" s="98"/>
      <c r="X78" s="98"/>
      <c r="Y78" s="2"/>
      <c r="Z78" s="2"/>
      <c r="AA78" s="2"/>
      <c r="AB78" s="2"/>
      <c r="AC78" s="2"/>
      <c r="AD78" s="2"/>
      <c r="AE78" s="2"/>
      <c r="AF78" s="2"/>
      <c r="AG78" s="2"/>
      <c r="AH78" s="2"/>
      <c r="AI78" s="2"/>
      <c r="AJ78" s="2"/>
      <c r="AK78" s="2"/>
      <c r="AL78" s="2"/>
      <c r="AM78" s="2"/>
      <c r="AN78" s="2"/>
      <c r="AO78" s="2"/>
      <c r="AP78" s="2"/>
    </row>
    <row r="79" spans="1:42" ht="12.75" customHeight="1">
      <c r="A79" s="2"/>
      <c r="B79" s="2"/>
      <c r="C79" s="2"/>
      <c r="D79" s="1062"/>
      <c r="E79" s="2"/>
      <c r="F79" s="2"/>
      <c r="G79" s="2"/>
      <c r="H79" s="2"/>
      <c r="I79" s="2"/>
      <c r="J79" s="2"/>
      <c r="K79" s="2"/>
      <c r="L79" s="2"/>
      <c r="O79" s="2"/>
      <c r="S79" s="69" t="s">
        <v>54</v>
      </c>
      <c r="T79" s="69"/>
      <c r="U79" s="98"/>
      <c r="V79" s="98"/>
      <c r="W79" s="98"/>
      <c r="X79" s="98"/>
      <c r="Y79" s="2"/>
      <c r="Z79" s="2"/>
      <c r="AA79" s="2"/>
      <c r="AB79" s="2"/>
      <c r="AC79" s="2"/>
      <c r="AD79" s="2"/>
      <c r="AE79" s="2"/>
      <c r="AF79" s="2"/>
      <c r="AG79" s="2"/>
      <c r="AH79" s="2"/>
      <c r="AI79" s="2"/>
      <c r="AJ79" s="2"/>
      <c r="AK79" s="2"/>
      <c r="AL79" s="2"/>
      <c r="AM79" s="2"/>
      <c r="AN79" s="2"/>
      <c r="AO79" s="2"/>
      <c r="AP79" s="2"/>
    </row>
    <row r="80" spans="1:42" ht="12.75" customHeight="1">
      <c r="A80" s="2"/>
      <c r="B80" s="2"/>
      <c r="C80" s="2"/>
      <c r="D80" s="1062"/>
      <c r="E80" s="2"/>
      <c r="F80" s="2"/>
      <c r="G80" s="2"/>
      <c r="H80" s="2"/>
      <c r="I80" s="2"/>
      <c r="J80" s="2"/>
      <c r="K80" s="2"/>
      <c r="L80" s="2"/>
      <c r="O80" s="2"/>
      <c r="S80" s="2" t="s">
        <v>935</v>
      </c>
      <c r="T80" s="2"/>
      <c r="U80" s="1102">
        <v>2468.595726294699</v>
      </c>
      <c r="V80" s="98"/>
      <c r="W80" s="98">
        <f>BYD!AV21</f>
        <v>2482.8190000000004</v>
      </c>
      <c r="X80" s="98"/>
      <c r="Y80" s="105">
        <f>W80/U80-1</f>
        <v>5.7616861091509541E-3</v>
      </c>
      <c r="Z80" s="2"/>
      <c r="AA80" s="2"/>
      <c r="AB80" s="2"/>
      <c r="AC80" s="2"/>
      <c r="AD80" s="2"/>
      <c r="AE80" s="2"/>
      <c r="AF80" s="2"/>
      <c r="AG80" s="2"/>
      <c r="AH80" s="2"/>
      <c r="AI80" s="2"/>
      <c r="AJ80" s="2"/>
      <c r="AK80" s="2"/>
      <c r="AL80" s="2"/>
      <c r="AM80" s="2"/>
      <c r="AN80" s="2"/>
      <c r="AO80" s="2"/>
      <c r="AP80" s="2"/>
    </row>
    <row r="81" spans="1:42" ht="12.75" customHeight="1">
      <c r="A81" s="2"/>
      <c r="B81" s="2"/>
      <c r="C81" s="2"/>
      <c r="D81" s="1062"/>
      <c r="E81" s="2"/>
      <c r="F81" s="2"/>
      <c r="G81" s="2"/>
      <c r="H81" s="2"/>
      <c r="I81" s="2"/>
      <c r="J81" s="2"/>
      <c r="K81" s="2"/>
      <c r="L81" s="2"/>
      <c r="O81" s="2"/>
      <c r="S81" s="2" t="s">
        <v>1141</v>
      </c>
      <c r="T81" s="2"/>
      <c r="U81" s="1102">
        <v>564.20953274565215</v>
      </c>
      <c r="V81" s="98"/>
      <c r="W81" s="98">
        <f>BYD!AV51</f>
        <v>492.05100000000004</v>
      </c>
      <c r="X81" s="98"/>
      <c r="Y81" s="105">
        <f>W81/U81-1</f>
        <v>-0.12789314706276234</v>
      </c>
      <c r="Z81" s="2"/>
      <c r="AA81" s="2"/>
      <c r="AB81" s="2"/>
      <c r="AC81" s="2"/>
      <c r="AD81" s="2"/>
      <c r="AE81" s="2"/>
      <c r="AF81" s="2"/>
      <c r="AG81" s="2"/>
      <c r="AH81" s="2"/>
      <c r="AI81" s="2"/>
      <c r="AJ81" s="2"/>
      <c r="AK81" s="2"/>
      <c r="AL81" s="2"/>
      <c r="AM81" s="2"/>
      <c r="AN81" s="2"/>
      <c r="AO81" s="2"/>
      <c r="AP81" s="2"/>
    </row>
    <row r="82" spans="1:42" ht="12.75" customHeight="1">
      <c r="A82" s="2"/>
      <c r="B82" s="2"/>
      <c r="C82" s="2"/>
      <c r="D82" s="1062"/>
      <c r="E82" s="2"/>
      <c r="F82" s="2"/>
      <c r="G82" s="2"/>
      <c r="H82" s="2"/>
      <c r="I82" s="2"/>
      <c r="J82" s="2"/>
      <c r="K82" s="2"/>
      <c r="L82" s="2"/>
      <c r="O82" s="2"/>
      <c r="S82" s="2" t="s">
        <v>200</v>
      </c>
      <c r="T82" s="2"/>
      <c r="U82" s="1401">
        <v>0.23641005571484405</v>
      </c>
      <c r="V82" s="1336"/>
      <c r="W82" s="1181">
        <f>BYD!AV95</f>
        <v>-0.27977684479532566</v>
      </c>
      <c r="X82" s="1336"/>
      <c r="Y82" s="105">
        <f>W82/U82-1</f>
        <v>-2.1834388514031327</v>
      </c>
      <c r="Z82" s="2"/>
      <c r="AA82" s="2"/>
      <c r="AB82" s="2"/>
      <c r="AC82" s="2"/>
      <c r="AD82" s="2"/>
      <c r="AE82" s="2"/>
      <c r="AF82" s="2"/>
      <c r="AG82" s="2"/>
      <c r="AH82" s="2"/>
      <c r="AI82" s="2"/>
      <c r="AJ82" s="2"/>
      <c r="AK82" s="2"/>
      <c r="AL82" s="2"/>
      <c r="AM82" s="2"/>
      <c r="AN82" s="2"/>
      <c r="AO82" s="2"/>
      <c r="AP82" s="2"/>
    </row>
    <row r="83" spans="1:42" ht="12.75" customHeight="1">
      <c r="A83" s="2"/>
      <c r="B83" s="2"/>
      <c r="C83" s="2"/>
      <c r="D83" s="1062"/>
      <c r="E83" s="2"/>
      <c r="F83" s="2"/>
      <c r="G83" s="2"/>
      <c r="H83" s="2"/>
      <c r="I83" s="2"/>
      <c r="J83" s="2"/>
      <c r="K83" s="2"/>
      <c r="L83" s="2"/>
      <c r="O83" s="2"/>
      <c r="S83" s="2"/>
      <c r="T83" s="2"/>
      <c r="U83" s="2"/>
      <c r="V83" s="2"/>
      <c r="W83" s="2"/>
      <c r="X83" s="2"/>
      <c r="Y83" s="2"/>
      <c r="Z83" s="2"/>
      <c r="AA83" s="2"/>
      <c r="AB83" s="2"/>
      <c r="AC83" s="2"/>
      <c r="AD83" s="2"/>
      <c r="AE83" s="2"/>
      <c r="AF83" s="2"/>
      <c r="AG83" s="2"/>
      <c r="AH83" s="2"/>
      <c r="AI83" s="2"/>
      <c r="AJ83" s="2"/>
      <c r="AK83" s="2"/>
      <c r="AL83" s="2"/>
      <c r="AM83" s="2"/>
      <c r="AN83" s="2"/>
      <c r="AO83" s="2"/>
      <c r="AP83" s="2"/>
    </row>
    <row r="84" spans="1:42" ht="12.75" customHeight="1">
      <c r="A84" s="2"/>
      <c r="B84" s="2"/>
      <c r="C84" s="2"/>
      <c r="D84" s="1062"/>
      <c r="E84" s="2"/>
      <c r="F84" s="2"/>
      <c r="G84" s="2"/>
      <c r="H84" s="2"/>
      <c r="I84" s="2"/>
      <c r="J84" s="2"/>
      <c r="K84" s="2"/>
      <c r="L84" s="2"/>
      <c r="O84" s="2"/>
      <c r="S84" s="2"/>
      <c r="T84" s="2"/>
      <c r="U84" s="2"/>
      <c r="V84" s="2"/>
      <c r="W84" s="2"/>
      <c r="X84" s="2"/>
      <c r="Y84" s="2"/>
      <c r="Z84" s="2"/>
      <c r="AA84" s="1" t="s">
        <v>1607</v>
      </c>
      <c r="AB84" s="2"/>
      <c r="AC84" s="2"/>
      <c r="AD84" s="2"/>
      <c r="AE84" s="2"/>
      <c r="AF84" s="2"/>
      <c r="AG84" s="2"/>
      <c r="AH84" s="105">
        <f>AH87/AF87-1</f>
        <v>4.1533131225638842E-2</v>
      </c>
      <c r="AI84" s="2"/>
      <c r="AJ84" s="2"/>
      <c r="AK84" s="2"/>
      <c r="AL84" s="2"/>
      <c r="AM84" s="2"/>
      <c r="AN84" s="2"/>
      <c r="AO84" s="2"/>
      <c r="AP84" s="2"/>
    </row>
    <row r="85" spans="1:42" ht="12.75" customHeight="1">
      <c r="A85" s="2"/>
      <c r="B85" s="2"/>
      <c r="C85" s="2"/>
      <c r="D85" s="1062"/>
      <c r="E85" s="2"/>
      <c r="F85" s="2"/>
      <c r="G85" s="2"/>
      <c r="H85" s="2"/>
      <c r="I85" s="2"/>
      <c r="J85" s="2"/>
      <c r="K85" s="2"/>
      <c r="L85" s="2"/>
      <c r="O85" s="2"/>
      <c r="S85" s="2"/>
      <c r="T85" s="2"/>
      <c r="U85" s="2"/>
      <c r="V85" s="2"/>
      <c r="W85" s="2"/>
      <c r="X85" s="2"/>
      <c r="Y85" s="2"/>
      <c r="Z85" s="2"/>
      <c r="AA85" s="2"/>
      <c r="AB85" s="2"/>
      <c r="AC85" s="2"/>
      <c r="AD85" s="2"/>
      <c r="AE85" s="2"/>
      <c r="AF85" s="2"/>
      <c r="AG85" s="2"/>
      <c r="AH85" s="105">
        <f>AH88/AF88-1</f>
        <v>5.5238930293730837E-2</v>
      </c>
      <c r="AI85" s="2"/>
      <c r="AJ85" s="2"/>
      <c r="AK85" s="2"/>
      <c r="AL85" s="2"/>
      <c r="AM85" s="2"/>
      <c r="AN85" s="2"/>
      <c r="AO85" s="2"/>
      <c r="AP85" s="2"/>
    </row>
    <row r="86" spans="1:42" ht="12.75" customHeight="1">
      <c r="A86" s="2"/>
      <c r="B86" s="2"/>
      <c r="C86" s="2"/>
      <c r="D86" s="1062"/>
      <c r="E86" s="2"/>
      <c r="F86" s="2"/>
      <c r="G86" s="2"/>
      <c r="H86" s="2"/>
      <c r="I86" s="2"/>
      <c r="J86" s="2"/>
      <c r="K86" s="2"/>
      <c r="L86" s="2"/>
      <c r="O86" s="2"/>
      <c r="S86" s="2"/>
      <c r="T86" s="2"/>
      <c r="U86" s="2"/>
      <c r="V86" s="2"/>
      <c r="W86" s="2"/>
      <c r="X86" s="2"/>
      <c r="Y86" s="2"/>
      <c r="Z86" s="2"/>
      <c r="AA86" s="2"/>
      <c r="AB86" s="1432" t="s">
        <v>1700</v>
      </c>
      <c r="AC86" s="1432"/>
      <c r="AD86" s="1432" t="s">
        <v>1565</v>
      </c>
      <c r="AE86" s="1432"/>
      <c r="AF86" s="1432">
        <v>2011</v>
      </c>
      <c r="AG86" s="1432"/>
      <c r="AH86" s="1432">
        <v>2012</v>
      </c>
      <c r="AI86" s="2"/>
      <c r="AJ86" s="2"/>
      <c r="AK86" s="2"/>
      <c r="AL86" s="2"/>
      <c r="AM86" s="2"/>
      <c r="AN86" s="2"/>
      <c r="AO86" s="2"/>
      <c r="AP86" s="2"/>
    </row>
    <row r="87" spans="1:42" ht="12.75" customHeight="1">
      <c r="A87" s="2"/>
      <c r="B87" s="2"/>
      <c r="C87" s="2"/>
      <c r="D87" s="1062"/>
      <c r="E87" s="2"/>
      <c r="F87" s="2"/>
      <c r="G87" s="2"/>
      <c r="H87" s="2"/>
      <c r="I87" s="2"/>
      <c r="J87" s="2"/>
      <c r="K87" s="2"/>
      <c r="L87" s="2"/>
      <c r="O87" s="2"/>
      <c r="S87" s="2"/>
      <c r="T87" s="2"/>
      <c r="U87" s="2"/>
      <c r="V87" s="2"/>
      <c r="W87" s="2"/>
      <c r="X87" s="2"/>
      <c r="Y87" s="2"/>
      <c r="Z87" s="2"/>
      <c r="AA87" s="2" t="s">
        <v>1719</v>
      </c>
      <c r="AB87" s="1082">
        <v>598.20000000000005</v>
      </c>
      <c r="AC87" s="1082"/>
      <c r="AD87" s="1082">
        <v>569.20000000000005</v>
      </c>
      <c r="AE87" s="1082"/>
      <c r="AF87" s="1082">
        <v>2309</v>
      </c>
      <c r="AG87" s="1082"/>
      <c r="AH87" s="1082">
        <v>2404.9</v>
      </c>
      <c r="AI87" s="2"/>
      <c r="AJ87" s="2"/>
      <c r="AK87" s="2"/>
      <c r="AL87" s="2"/>
      <c r="AM87" s="2"/>
      <c r="AN87" s="2"/>
      <c r="AO87" s="2"/>
      <c r="AP87" s="2"/>
    </row>
    <row r="88" spans="1:42" ht="12.75" customHeight="1">
      <c r="A88" s="2"/>
      <c r="B88" s="2"/>
      <c r="C88" s="2"/>
      <c r="D88" s="1062"/>
      <c r="E88" s="2"/>
      <c r="F88" s="2"/>
      <c r="G88" s="2"/>
      <c r="H88" s="2"/>
      <c r="I88" s="2"/>
      <c r="J88" s="2"/>
      <c r="K88" s="2"/>
      <c r="L88" s="2"/>
      <c r="O88" s="2"/>
      <c r="S88" s="2"/>
      <c r="T88" s="2"/>
      <c r="U88" s="2"/>
      <c r="V88" s="2"/>
      <c r="W88" s="2"/>
      <c r="X88" s="2"/>
      <c r="Y88" s="2"/>
      <c r="Z88" s="2"/>
      <c r="AA88" s="2" t="s">
        <v>401</v>
      </c>
      <c r="AB88" s="1082">
        <v>121</v>
      </c>
      <c r="AC88" s="1082"/>
      <c r="AD88" s="1082">
        <v>106.3</v>
      </c>
      <c r="AE88" s="1082"/>
      <c r="AF88" s="1082">
        <v>456.2</v>
      </c>
      <c r="AG88" s="1082"/>
      <c r="AH88" s="1082">
        <v>481.4</v>
      </c>
      <c r="AI88" s="2"/>
      <c r="AJ88" s="2"/>
      <c r="AK88" s="2"/>
      <c r="AL88" s="2"/>
      <c r="AM88" s="2"/>
      <c r="AN88" s="2"/>
      <c r="AO88" s="2"/>
      <c r="AP88" s="2"/>
    </row>
    <row r="89" spans="1:42" ht="12.75" customHeight="1">
      <c r="A89" s="2"/>
      <c r="B89" s="2"/>
      <c r="C89" s="2"/>
      <c r="D89" s="1062"/>
      <c r="E89" s="2"/>
      <c r="F89" s="2"/>
      <c r="G89" s="2"/>
      <c r="H89" s="2"/>
      <c r="I89" s="2"/>
      <c r="J89" s="2"/>
      <c r="K89" s="2"/>
      <c r="L89" s="2"/>
      <c r="O89" s="2"/>
      <c r="S89" s="2"/>
      <c r="T89" s="2"/>
      <c r="U89" s="2"/>
      <c r="V89" s="2"/>
      <c r="W89" s="2"/>
      <c r="X89" s="2"/>
      <c r="Y89" s="2"/>
      <c r="Z89" s="2"/>
      <c r="AA89" s="2" t="s">
        <v>200</v>
      </c>
      <c r="AB89" s="1118">
        <v>0.01</v>
      </c>
      <c r="AC89" s="1118"/>
      <c r="AD89" s="1118">
        <v>-0.02</v>
      </c>
      <c r="AE89" s="1118"/>
      <c r="AF89" s="1118">
        <v>0.03</v>
      </c>
      <c r="AG89" s="1118"/>
      <c r="AH89" s="1118">
        <v>0.27</v>
      </c>
      <c r="AI89" s="2"/>
      <c r="AJ89" s="2"/>
      <c r="AK89" s="2"/>
      <c r="AL89" s="2"/>
      <c r="AM89" s="2"/>
      <c r="AN89" s="2"/>
      <c r="AO89" s="2"/>
      <c r="AP89" s="2"/>
    </row>
    <row r="90" spans="1:42" ht="12.75" customHeight="1">
      <c r="A90" s="2"/>
      <c r="B90" s="2"/>
      <c r="C90" s="2"/>
      <c r="D90" s="1062"/>
      <c r="E90" s="2"/>
      <c r="F90" s="2"/>
      <c r="G90" s="2"/>
      <c r="H90" s="2"/>
      <c r="I90" s="2"/>
      <c r="J90" s="2"/>
      <c r="K90" s="2"/>
      <c r="L90" s="2"/>
      <c r="O90" s="2"/>
      <c r="S90" s="2"/>
      <c r="T90" s="2"/>
      <c r="U90" s="2"/>
      <c r="V90" s="2"/>
      <c r="W90" s="2"/>
      <c r="X90" s="2"/>
      <c r="Y90" s="2"/>
      <c r="Z90" s="2"/>
      <c r="AA90" s="2"/>
      <c r="AB90" s="2"/>
      <c r="AC90" s="2"/>
      <c r="AD90" s="2"/>
      <c r="AE90" s="2"/>
      <c r="AF90" s="2"/>
      <c r="AG90" s="2"/>
      <c r="AH90" s="2"/>
      <c r="AI90" s="2"/>
      <c r="AJ90" s="2"/>
      <c r="AK90" s="2"/>
      <c r="AL90" s="2"/>
      <c r="AM90" s="2"/>
      <c r="AN90" s="2"/>
      <c r="AO90" s="2"/>
      <c r="AP90" s="2"/>
    </row>
    <row r="91" spans="1:42" ht="12.75" customHeight="1">
      <c r="A91" s="2"/>
      <c r="B91" s="2"/>
      <c r="C91" s="2"/>
      <c r="D91" s="1062"/>
      <c r="E91" s="2"/>
      <c r="F91" s="2"/>
      <c r="G91" s="2"/>
      <c r="H91" s="2"/>
      <c r="I91" s="2"/>
      <c r="J91" s="2"/>
      <c r="K91" s="2"/>
      <c r="L91" s="2"/>
      <c r="O91" s="2"/>
      <c r="S91" s="2"/>
      <c r="T91" s="2"/>
      <c r="U91" s="2"/>
      <c r="V91" s="2"/>
      <c r="W91" s="2"/>
      <c r="X91" s="2"/>
      <c r="Y91" s="2"/>
      <c r="Z91" s="2"/>
      <c r="AA91" s="2"/>
      <c r="AB91" s="2"/>
      <c r="AC91" s="2"/>
      <c r="AD91" s="2"/>
      <c r="AE91" s="2"/>
      <c r="AF91" s="2"/>
      <c r="AG91" s="2"/>
      <c r="AH91" s="2"/>
      <c r="AI91" s="2"/>
      <c r="AJ91" s="69" t="s">
        <v>1609</v>
      </c>
      <c r="AO91" s="2"/>
      <c r="AP91" s="2"/>
    </row>
    <row r="92" spans="1:42" ht="12.75" customHeight="1">
      <c r="A92" s="2"/>
      <c r="B92" s="2"/>
      <c r="C92" s="2"/>
      <c r="D92" s="1062"/>
      <c r="E92" s="2"/>
      <c r="F92" s="2"/>
      <c r="G92" s="2"/>
      <c r="H92" s="2"/>
      <c r="I92" s="2"/>
      <c r="J92" s="2"/>
      <c r="K92" s="2"/>
      <c r="L92" s="2"/>
      <c r="O92" s="2"/>
      <c r="S92" s="2"/>
      <c r="T92" s="2"/>
      <c r="U92" s="2"/>
      <c r="V92" s="2"/>
      <c r="W92" s="2"/>
      <c r="X92" s="2"/>
      <c r="Y92" s="2"/>
      <c r="Z92" s="2"/>
      <c r="AA92" s="2"/>
      <c r="AB92" s="2"/>
      <c r="AC92" s="2"/>
      <c r="AD92" s="2"/>
      <c r="AE92" s="2"/>
      <c r="AF92" s="2"/>
      <c r="AG92" s="2"/>
      <c r="AH92" s="2"/>
      <c r="AI92" s="2"/>
      <c r="AJ92" s="69"/>
      <c r="AO92" s="2"/>
      <c r="AP92" s="2"/>
    </row>
    <row r="93" spans="1:42" ht="12.75" customHeight="1">
      <c r="A93" s="2"/>
      <c r="B93" s="2"/>
      <c r="C93" s="2"/>
      <c r="D93" s="1062"/>
      <c r="E93" s="2"/>
      <c r="F93" s="2"/>
      <c r="G93" s="2"/>
      <c r="H93" s="2"/>
      <c r="I93" s="2"/>
      <c r="J93" s="2"/>
      <c r="K93" s="2"/>
      <c r="L93" s="2"/>
      <c r="O93" s="2"/>
      <c r="S93" s="2"/>
      <c r="T93" s="2"/>
      <c r="U93" s="2"/>
      <c r="V93" s="2"/>
      <c r="W93" s="2"/>
      <c r="X93" s="2"/>
      <c r="Y93" s="2"/>
      <c r="Z93" s="2"/>
      <c r="AA93" s="2"/>
      <c r="AB93" s="2"/>
      <c r="AC93" s="2"/>
      <c r="AD93" s="2"/>
      <c r="AE93" s="2"/>
      <c r="AF93" s="2"/>
      <c r="AG93" s="2"/>
      <c r="AH93" s="2"/>
      <c r="AI93" s="2"/>
      <c r="AJ93" s="1447"/>
      <c r="AK93" s="1449"/>
      <c r="AL93" s="1447"/>
      <c r="AM93" s="1447"/>
      <c r="AN93" s="1447"/>
      <c r="AO93" s="2"/>
      <c r="AP93" s="2"/>
    </row>
    <row r="94" spans="1:42" ht="12.75" customHeight="1">
      <c r="A94" s="2"/>
      <c r="B94" s="2"/>
      <c r="C94" s="2"/>
      <c r="D94" s="1062"/>
      <c r="E94" s="2"/>
      <c r="F94" s="2"/>
      <c r="G94" s="2"/>
      <c r="H94" s="2"/>
      <c r="I94" s="2"/>
      <c r="J94" s="2"/>
      <c r="K94" s="2"/>
      <c r="L94" s="2"/>
      <c r="O94" s="2"/>
      <c r="S94" s="2"/>
      <c r="T94" s="2"/>
      <c r="U94" s="2"/>
      <c r="V94" s="2"/>
      <c r="W94" s="2"/>
      <c r="X94" s="2"/>
      <c r="Y94" s="2"/>
      <c r="Z94" s="2"/>
      <c r="AA94" s="2"/>
      <c r="AB94" s="2"/>
      <c r="AC94" s="2"/>
      <c r="AD94" s="2"/>
      <c r="AE94" s="2"/>
      <c r="AF94" s="2"/>
      <c r="AG94" s="2"/>
      <c r="AH94" s="2"/>
      <c r="AI94" s="2"/>
      <c r="AJ94" s="111" t="s">
        <v>1610</v>
      </c>
      <c r="AK94" s="1289" t="s">
        <v>552</v>
      </c>
      <c r="AL94" s="1448"/>
      <c r="AM94" s="1289" t="s">
        <v>1611</v>
      </c>
      <c r="AN94" s="1447"/>
      <c r="AO94" s="2"/>
      <c r="AP94" s="2"/>
    </row>
    <row r="95" spans="1:42" ht="3" customHeight="1">
      <c r="A95" s="2"/>
      <c r="B95" s="2"/>
      <c r="C95" s="2"/>
      <c r="D95" s="1062"/>
      <c r="E95" s="2"/>
      <c r="F95" s="2"/>
      <c r="G95" s="2"/>
      <c r="H95" s="2"/>
      <c r="I95" s="2"/>
      <c r="J95" s="2"/>
      <c r="K95" s="2"/>
      <c r="L95" s="2"/>
      <c r="O95" s="2"/>
      <c r="S95" s="2"/>
      <c r="T95" s="2"/>
      <c r="U95" s="2"/>
      <c r="V95" s="2"/>
      <c r="W95" s="2"/>
      <c r="X95" s="2"/>
      <c r="Y95" s="2"/>
      <c r="Z95" s="2"/>
      <c r="AA95" s="2"/>
      <c r="AB95" s="2"/>
      <c r="AC95" s="2"/>
      <c r="AD95" s="2"/>
      <c r="AE95" s="2"/>
      <c r="AF95" s="2"/>
      <c r="AG95" s="2"/>
      <c r="AH95" s="2"/>
      <c r="AI95" s="2"/>
      <c r="AJ95" s="69"/>
      <c r="AK95" s="1449"/>
      <c r="AL95" s="1449"/>
      <c r="AM95" s="1449"/>
      <c r="AN95" s="1447"/>
      <c r="AO95" s="2"/>
      <c r="AP95" s="2"/>
    </row>
    <row r="96" spans="1:42" ht="12.75" customHeight="1">
      <c r="A96" s="2"/>
      <c r="B96" s="2"/>
      <c r="C96" s="2"/>
      <c r="D96" s="1062"/>
      <c r="E96" s="2"/>
      <c r="F96" s="2"/>
      <c r="G96" s="2"/>
      <c r="H96" s="2"/>
      <c r="I96" s="2"/>
      <c r="J96" s="2"/>
      <c r="K96" s="2"/>
      <c r="L96" s="2"/>
      <c r="O96" s="2"/>
      <c r="S96" s="2"/>
      <c r="T96" s="2"/>
      <c r="U96" s="2"/>
      <c r="V96" s="2"/>
      <c r="W96" s="2"/>
      <c r="X96" s="2"/>
      <c r="Y96" s="2"/>
      <c r="Z96" s="2"/>
      <c r="AA96" s="2"/>
      <c r="AB96" s="2"/>
      <c r="AC96" s="2"/>
      <c r="AD96" s="2"/>
      <c r="AE96" s="2"/>
      <c r="AF96" s="2"/>
      <c r="AG96" s="2"/>
      <c r="AH96" s="2"/>
      <c r="AI96" s="2"/>
      <c r="AJ96" s="1447" t="s">
        <v>1612</v>
      </c>
      <c r="AK96" s="2"/>
      <c r="AL96" s="2"/>
      <c r="AM96" s="2"/>
      <c r="AN96" s="1447"/>
      <c r="AO96" s="2"/>
      <c r="AP96" s="2"/>
    </row>
    <row r="97" spans="1:42" ht="12.75" customHeight="1">
      <c r="A97" s="2"/>
      <c r="B97" s="2"/>
      <c r="C97" s="2"/>
      <c r="D97" s="1062"/>
      <c r="E97" s="2"/>
      <c r="F97" s="2"/>
      <c r="G97" s="2"/>
      <c r="H97" s="2"/>
      <c r="I97" s="2"/>
      <c r="J97" s="2"/>
      <c r="K97" s="2"/>
      <c r="L97" s="2"/>
      <c r="O97" s="2"/>
      <c r="S97" s="2"/>
      <c r="T97" s="2"/>
      <c r="U97" s="2"/>
      <c r="V97" s="2"/>
      <c r="W97" s="2"/>
      <c r="X97" s="2"/>
      <c r="Y97" s="2"/>
      <c r="Z97" s="2"/>
      <c r="AA97" s="2"/>
      <c r="AB97" s="2"/>
      <c r="AC97" s="2"/>
      <c r="AD97" s="2"/>
      <c r="AE97" s="2"/>
      <c r="AF97" s="2"/>
      <c r="AG97" s="2"/>
      <c r="AH97" s="2"/>
      <c r="AI97" s="2"/>
      <c r="AJ97" s="1447" t="s">
        <v>1613</v>
      </c>
      <c r="AK97" s="1450" t="s">
        <v>1048</v>
      </c>
      <c r="AL97" s="1449"/>
      <c r="AM97" s="1450">
        <f>BYD!AP2</f>
        <v>0</v>
      </c>
      <c r="AN97" s="1447"/>
      <c r="AO97" s="2"/>
      <c r="AP97" s="2"/>
    </row>
    <row r="98" spans="1:42" ht="6" customHeight="1">
      <c r="A98" s="2"/>
      <c r="B98" s="2"/>
      <c r="C98" s="2"/>
      <c r="D98" s="1062"/>
      <c r="E98" s="2"/>
      <c r="F98" s="2"/>
      <c r="G98" s="2"/>
      <c r="H98" s="2"/>
      <c r="I98" s="2"/>
      <c r="J98" s="2"/>
      <c r="K98" s="2"/>
      <c r="L98" s="2"/>
      <c r="O98" s="2"/>
      <c r="S98" s="2"/>
      <c r="T98" s="2"/>
      <c r="U98" s="2"/>
      <c r="V98" s="2"/>
      <c r="W98" s="2"/>
      <c r="X98" s="2"/>
      <c r="Y98" s="2"/>
      <c r="Z98" s="2"/>
      <c r="AA98" s="2"/>
      <c r="AB98" s="2"/>
      <c r="AC98" s="2"/>
      <c r="AD98" s="2"/>
      <c r="AE98" s="2"/>
      <c r="AF98" s="2"/>
      <c r="AG98" s="2"/>
      <c r="AH98" s="2"/>
      <c r="AI98" s="2"/>
      <c r="AJ98" s="1447"/>
      <c r="AK98" s="1450"/>
      <c r="AL98" s="1449"/>
      <c r="AM98" s="1450"/>
      <c r="AN98" s="1447"/>
      <c r="AO98" s="2"/>
      <c r="AP98" s="2"/>
    </row>
    <row r="99" spans="1:42" ht="12.75" customHeight="1">
      <c r="A99" s="2"/>
      <c r="B99" s="2"/>
      <c r="C99" s="2"/>
      <c r="D99" s="1062"/>
      <c r="E99" s="2"/>
      <c r="F99" s="2"/>
      <c r="G99" s="2"/>
      <c r="H99" s="2"/>
      <c r="I99" s="2"/>
      <c r="J99" s="2"/>
      <c r="K99" s="2"/>
      <c r="L99" s="2"/>
      <c r="O99" s="2"/>
      <c r="S99" s="2"/>
      <c r="T99" s="2"/>
      <c r="U99" s="2"/>
      <c r="V99" s="2"/>
      <c r="W99" s="2"/>
      <c r="X99" s="2"/>
      <c r="Y99" s="2"/>
      <c r="Z99" s="2"/>
      <c r="AA99" s="2"/>
      <c r="AB99" s="2"/>
      <c r="AC99" s="2"/>
      <c r="AD99" s="2"/>
      <c r="AE99" s="2"/>
      <c r="AF99" s="2"/>
      <c r="AG99" s="2"/>
      <c r="AH99" s="2"/>
      <c r="AI99" s="2"/>
      <c r="AJ99" s="1447" t="s">
        <v>1614</v>
      </c>
      <c r="AK99" s="186" t="s">
        <v>993</v>
      </c>
      <c r="AL99" s="1449"/>
      <c r="AM99" s="1465">
        <f>BYD!AP45</f>
        <v>37.859999999999985</v>
      </c>
      <c r="AN99" s="1447"/>
      <c r="AO99" s="2"/>
      <c r="AP99" s="2"/>
    </row>
    <row r="100" spans="1:42" ht="6" customHeight="1">
      <c r="A100" s="2"/>
      <c r="B100" s="2"/>
      <c r="C100" s="2"/>
      <c r="D100" s="1062"/>
      <c r="E100" s="2"/>
      <c r="F100" s="2"/>
      <c r="G100" s="2"/>
      <c r="H100" s="2"/>
      <c r="I100" s="2"/>
      <c r="J100" s="2"/>
      <c r="K100" s="2"/>
      <c r="L100" s="2"/>
      <c r="O100" s="2"/>
      <c r="S100" s="2"/>
      <c r="T100" s="2"/>
      <c r="U100" s="2"/>
      <c r="V100" s="2"/>
      <c r="W100" s="2"/>
      <c r="X100" s="2"/>
      <c r="Y100" s="2"/>
      <c r="Z100" s="2"/>
      <c r="AA100" s="2"/>
      <c r="AB100" s="2"/>
      <c r="AC100" s="2"/>
      <c r="AD100" s="2"/>
      <c r="AE100" s="2"/>
      <c r="AF100" s="2"/>
      <c r="AG100" s="2"/>
      <c r="AH100" s="2"/>
      <c r="AI100" s="2"/>
      <c r="AJ100" s="1447"/>
      <c r="AK100" s="1450"/>
      <c r="AL100" s="1449"/>
      <c r="AM100" s="1450"/>
      <c r="AN100" s="1447"/>
      <c r="AO100" s="2"/>
      <c r="AP100" s="2"/>
    </row>
    <row r="101" spans="1:42" ht="12.75" customHeight="1">
      <c r="A101" s="2"/>
      <c r="B101" s="2"/>
      <c r="C101" s="2"/>
      <c r="D101" s="1062"/>
      <c r="E101" s="2"/>
      <c r="F101" s="2"/>
      <c r="G101" s="2"/>
      <c r="H101" s="2"/>
      <c r="I101" s="2"/>
      <c r="J101" s="2"/>
      <c r="K101" s="2"/>
      <c r="L101" s="2"/>
      <c r="O101" s="2"/>
      <c r="S101" s="2"/>
      <c r="T101" s="2"/>
      <c r="U101" s="2"/>
      <c r="V101" s="2"/>
      <c r="W101" s="2"/>
      <c r="X101" s="2"/>
      <c r="Y101" s="2"/>
      <c r="Z101" s="2"/>
      <c r="AA101" s="2"/>
      <c r="AB101" s="2"/>
      <c r="AC101" s="2"/>
      <c r="AD101" s="2"/>
      <c r="AE101" s="2"/>
      <c r="AF101" s="2"/>
      <c r="AG101" s="2"/>
      <c r="AH101" s="2"/>
      <c r="AI101" s="2"/>
      <c r="AJ101" s="1447" t="s">
        <v>1615</v>
      </c>
      <c r="AK101" s="1450" t="s">
        <v>994</v>
      </c>
      <c r="AL101" s="1449"/>
      <c r="AM101" s="1466">
        <f>BYD!AP94</f>
        <v>-3.2736059818538464E-2</v>
      </c>
      <c r="AN101" s="1447"/>
      <c r="AO101" s="2"/>
      <c r="AP101" s="2"/>
    </row>
    <row r="102" spans="1:42" ht="6" customHeight="1">
      <c r="A102" s="2"/>
      <c r="B102" s="2"/>
      <c r="C102" s="2"/>
      <c r="D102" s="1062"/>
      <c r="E102" s="2"/>
      <c r="F102" s="2"/>
      <c r="G102" s="2"/>
      <c r="H102" s="2"/>
      <c r="I102" s="2"/>
      <c r="J102" s="2"/>
      <c r="K102" s="2"/>
      <c r="L102" s="2"/>
      <c r="O102" s="2"/>
      <c r="S102" s="2"/>
      <c r="T102" s="2"/>
      <c r="U102" s="2"/>
      <c r="V102" s="2"/>
      <c r="W102" s="2"/>
      <c r="X102" s="2"/>
      <c r="Y102" s="2"/>
      <c r="Z102" s="2"/>
      <c r="AA102" s="2"/>
      <c r="AB102" s="2"/>
      <c r="AC102" s="2"/>
      <c r="AD102" s="2"/>
      <c r="AE102" s="2"/>
      <c r="AF102" s="2"/>
      <c r="AG102" s="2"/>
      <c r="AH102" s="2"/>
      <c r="AI102" s="2"/>
      <c r="AJ102" s="1447"/>
      <c r="AK102" s="1450"/>
      <c r="AL102" s="1449"/>
      <c r="AM102" s="1449"/>
      <c r="AN102" s="1447"/>
      <c r="AO102" s="2"/>
      <c r="AP102" s="2"/>
    </row>
    <row r="103" spans="1:42" ht="12.75" customHeight="1">
      <c r="A103" s="2"/>
      <c r="B103" s="2"/>
      <c r="C103" s="2"/>
      <c r="D103" s="1062"/>
      <c r="E103" s="2"/>
      <c r="F103" s="2"/>
      <c r="G103" s="2"/>
      <c r="H103" s="2"/>
      <c r="I103" s="2"/>
      <c r="J103" s="2"/>
      <c r="K103" s="2"/>
      <c r="L103" s="2"/>
      <c r="O103" s="2"/>
      <c r="S103" s="2"/>
      <c r="T103" s="2"/>
      <c r="U103" s="2"/>
      <c r="V103" s="2"/>
      <c r="W103" s="2"/>
      <c r="X103" s="2"/>
      <c r="Y103" s="2"/>
      <c r="Z103" s="2"/>
      <c r="AA103" s="2"/>
      <c r="AB103" s="2"/>
      <c r="AC103" s="2"/>
      <c r="AD103" s="2"/>
      <c r="AE103" s="2"/>
      <c r="AF103" s="2"/>
      <c r="AG103" s="2"/>
      <c r="AH103" s="2"/>
      <c r="AI103" s="2"/>
      <c r="AJ103" s="1447"/>
      <c r="AK103" s="1450"/>
      <c r="AL103" s="1449"/>
      <c r="AM103" s="1449"/>
      <c r="AN103" s="1447"/>
      <c r="AO103" s="1" t="s">
        <v>998</v>
      </c>
      <c r="AP103" s="2"/>
    </row>
    <row r="104" spans="1:42" ht="12.75" customHeight="1">
      <c r="A104" s="2"/>
      <c r="B104" s="2"/>
      <c r="C104" s="2"/>
      <c r="D104" s="1062"/>
      <c r="E104" s="2"/>
      <c r="F104" s="2"/>
      <c r="G104" s="2"/>
      <c r="H104" s="2"/>
      <c r="I104" s="2"/>
      <c r="J104" s="2"/>
      <c r="K104" s="2"/>
      <c r="L104" s="2"/>
      <c r="O104" s="2"/>
      <c r="S104" s="2"/>
      <c r="T104" s="2"/>
      <c r="U104" s="2"/>
      <c r="V104" s="2"/>
      <c r="W104" s="2"/>
      <c r="X104" s="2"/>
      <c r="Y104" s="2"/>
      <c r="Z104" s="2"/>
      <c r="AA104" s="2"/>
      <c r="AB104" s="2"/>
      <c r="AC104" s="2"/>
      <c r="AD104" s="2"/>
      <c r="AE104" s="2"/>
      <c r="AF104" s="2"/>
      <c r="AG104" s="2"/>
      <c r="AH104" s="2"/>
      <c r="AI104" s="2"/>
      <c r="AJ104" s="1447"/>
      <c r="AK104" s="1450"/>
      <c r="AL104" s="1449"/>
      <c r="AM104" s="1449"/>
      <c r="AN104" s="1447"/>
      <c r="AO104" s="118" t="s">
        <v>1373</v>
      </c>
      <c r="AP104" s="2"/>
    </row>
    <row r="105" spans="1:42" ht="12.75" customHeight="1">
      <c r="A105" s="2"/>
      <c r="B105" s="2"/>
      <c r="C105" s="2"/>
      <c r="D105" s="1062"/>
      <c r="E105" s="2"/>
      <c r="F105" s="2"/>
      <c r="G105" s="2"/>
      <c r="H105" s="2"/>
      <c r="I105" s="2"/>
      <c r="J105" s="2"/>
      <c r="K105" s="2"/>
      <c r="L105" s="2"/>
      <c r="O105" s="2"/>
      <c r="S105" s="2"/>
      <c r="T105" s="2"/>
      <c r="U105" s="2"/>
      <c r="V105" s="2"/>
      <c r="W105" s="2"/>
      <c r="X105" s="2"/>
      <c r="Y105" s="2"/>
      <c r="Z105" s="2"/>
      <c r="AA105" s="2"/>
      <c r="AB105" s="2"/>
      <c r="AC105" s="2"/>
      <c r="AD105" s="2"/>
      <c r="AE105" s="2"/>
      <c r="AF105" s="2"/>
      <c r="AG105" s="2"/>
      <c r="AH105" s="2"/>
      <c r="AI105" s="2"/>
      <c r="AJ105" s="1447"/>
      <c r="AK105" s="1449"/>
      <c r="AL105" s="1449"/>
      <c r="AM105" s="1449"/>
      <c r="AN105" s="1447"/>
      <c r="AO105" s="2"/>
      <c r="AP105" s="2"/>
    </row>
    <row r="106" spans="1:42" ht="12.75" customHeight="1">
      <c r="A106" s="2"/>
      <c r="B106" s="2"/>
      <c r="C106" s="2"/>
      <c r="D106" s="1062"/>
      <c r="E106" s="2"/>
      <c r="F106" s="2"/>
      <c r="G106" s="2"/>
      <c r="H106" s="2"/>
      <c r="I106" s="2"/>
      <c r="J106" s="2"/>
      <c r="K106" s="2"/>
      <c r="L106" s="2"/>
      <c r="O106" s="2"/>
      <c r="S106" s="2"/>
      <c r="T106" s="2"/>
      <c r="U106" s="2"/>
      <c r="V106" s="2"/>
      <c r="W106" s="2"/>
      <c r="X106" s="2"/>
      <c r="Y106" s="2"/>
      <c r="Z106" s="2"/>
      <c r="AA106" s="2"/>
      <c r="AB106" s="2"/>
      <c r="AC106" s="2"/>
      <c r="AD106" s="2"/>
      <c r="AE106" s="2"/>
      <c r="AF106" s="2"/>
      <c r="AG106" s="2"/>
      <c r="AH106" s="2"/>
      <c r="AI106" s="2"/>
      <c r="AJ106" s="1447"/>
      <c r="AK106" s="1449"/>
      <c r="AL106" s="1449"/>
      <c r="AM106" s="1449"/>
      <c r="AN106" s="1447"/>
      <c r="AO106" s="69" t="s">
        <v>995</v>
      </c>
      <c r="AP106" s="2"/>
    </row>
    <row r="107" spans="1:42" ht="12.75" customHeight="1">
      <c r="A107" s="2"/>
      <c r="B107" s="2"/>
      <c r="C107" s="2"/>
      <c r="D107" s="1062"/>
      <c r="E107" s="2"/>
      <c r="F107" s="2"/>
      <c r="G107" s="2"/>
      <c r="H107" s="2"/>
      <c r="I107" s="2"/>
      <c r="J107" s="2"/>
      <c r="K107" s="2"/>
      <c r="L107" s="2"/>
      <c r="O107" s="2"/>
      <c r="S107" s="2"/>
      <c r="T107" s="2"/>
      <c r="U107" s="2"/>
      <c r="V107" s="2"/>
      <c r="W107" s="2"/>
      <c r="X107" s="2"/>
      <c r="Y107" s="2"/>
      <c r="Z107" s="2"/>
      <c r="AA107" s="2"/>
      <c r="AB107" s="2"/>
      <c r="AC107" s="2"/>
      <c r="AD107" s="2"/>
      <c r="AE107" s="2"/>
      <c r="AF107" s="2"/>
      <c r="AG107" s="2"/>
      <c r="AH107" s="2"/>
      <c r="AI107" s="2"/>
      <c r="AJ107" s="2"/>
      <c r="AK107" s="2"/>
      <c r="AL107" s="2"/>
      <c r="AM107" s="2"/>
      <c r="AN107" s="2"/>
      <c r="AO107" s="2" t="s">
        <v>1637</v>
      </c>
      <c r="AP107" s="1072">
        <v>288</v>
      </c>
    </row>
    <row r="108" spans="1:42" ht="12.75" customHeight="1">
      <c r="A108" s="2"/>
      <c r="B108" s="2"/>
      <c r="C108" s="2"/>
      <c r="D108" s="1062"/>
      <c r="E108" s="2"/>
      <c r="F108" s="2"/>
      <c r="G108" s="2"/>
      <c r="H108" s="2"/>
      <c r="I108" s="2"/>
      <c r="J108" s="2"/>
      <c r="K108" s="2"/>
      <c r="L108" s="2"/>
      <c r="O108" s="2"/>
      <c r="S108" s="2"/>
      <c r="T108" s="2"/>
      <c r="U108" s="2"/>
      <c r="V108" s="2"/>
      <c r="W108" s="2"/>
      <c r="X108" s="2"/>
      <c r="Y108" s="2"/>
      <c r="Z108" s="2"/>
      <c r="AA108" s="2"/>
      <c r="AB108" s="2"/>
      <c r="AC108" s="2"/>
      <c r="AD108" s="2"/>
      <c r="AE108" s="2"/>
      <c r="AF108" s="2"/>
      <c r="AG108" s="2"/>
      <c r="AH108" s="2"/>
      <c r="AI108" s="2"/>
      <c r="AJ108" s="2"/>
      <c r="AK108" s="2"/>
      <c r="AL108" s="2"/>
      <c r="AM108" s="2"/>
      <c r="AN108" s="2"/>
      <c r="AO108" s="2" t="s">
        <v>640</v>
      </c>
      <c r="AP108" s="1468">
        <v>44</v>
      </c>
    </row>
    <row r="109" spans="1:42" ht="12.75" customHeight="1">
      <c r="A109" s="2"/>
      <c r="B109" s="2"/>
      <c r="C109" s="2"/>
      <c r="D109" s="1062"/>
      <c r="E109" s="2"/>
      <c r="F109" s="2"/>
      <c r="G109" s="2"/>
      <c r="H109" s="2"/>
      <c r="I109" s="2"/>
      <c r="J109" s="2"/>
      <c r="K109" s="2"/>
      <c r="L109" s="2"/>
      <c r="O109" s="2"/>
      <c r="S109" s="2"/>
      <c r="T109" s="2"/>
      <c r="U109" s="2"/>
      <c r="V109" s="2"/>
      <c r="W109" s="2"/>
      <c r="X109" s="2"/>
      <c r="Y109" s="2"/>
      <c r="Z109" s="2"/>
      <c r="AA109" s="2"/>
      <c r="AB109" s="2"/>
      <c r="AC109" s="2"/>
      <c r="AD109" s="2"/>
      <c r="AE109" s="2"/>
      <c r="AF109" s="2"/>
      <c r="AG109" s="2"/>
      <c r="AH109" s="2"/>
      <c r="AI109" s="2"/>
      <c r="AJ109" s="2"/>
      <c r="AK109" s="2"/>
      <c r="AL109" s="2"/>
      <c r="AM109" s="2"/>
      <c r="AN109" s="2"/>
      <c r="AO109" s="1" t="s">
        <v>995</v>
      </c>
      <c r="AP109" s="1472">
        <f>SUM(AP107:AP108)</f>
        <v>332</v>
      </c>
    </row>
    <row r="110" spans="1:42" ht="12.75" customHeight="1">
      <c r="A110" s="2"/>
      <c r="B110" s="2"/>
      <c r="C110" s="2"/>
      <c r="D110" s="1062"/>
      <c r="E110" s="2"/>
      <c r="F110" s="2"/>
      <c r="G110" s="2"/>
      <c r="H110" s="2"/>
      <c r="I110" s="2"/>
      <c r="J110" s="2"/>
      <c r="K110" s="2"/>
      <c r="L110" s="2"/>
      <c r="O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1467"/>
    </row>
    <row r="111" spans="1:42" ht="12.75" customHeight="1">
      <c r="A111" s="2"/>
      <c r="B111" s="2"/>
      <c r="C111" s="2"/>
      <c r="D111" s="1062"/>
      <c r="E111" s="2"/>
      <c r="F111" s="2"/>
      <c r="G111" s="2"/>
      <c r="H111" s="2"/>
      <c r="I111" s="2"/>
      <c r="J111" s="2"/>
      <c r="K111" s="2"/>
      <c r="L111" s="2"/>
      <c r="O111" s="2"/>
      <c r="S111" s="2"/>
      <c r="T111" s="2"/>
      <c r="U111" s="2"/>
      <c r="V111" s="2"/>
      <c r="W111" s="2"/>
      <c r="X111" s="2"/>
      <c r="Y111" s="2"/>
      <c r="Z111" s="2"/>
      <c r="AA111" s="2"/>
      <c r="AB111" s="2"/>
      <c r="AC111" s="2"/>
      <c r="AD111" s="2"/>
      <c r="AE111" s="2"/>
      <c r="AF111" s="2"/>
      <c r="AG111" s="2"/>
      <c r="AH111" s="2"/>
      <c r="AI111" s="2"/>
      <c r="AJ111" s="2"/>
      <c r="AK111" s="2"/>
      <c r="AL111" s="2"/>
      <c r="AM111" s="2"/>
      <c r="AN111" s="2"/>
      <c r="AO111" s="69" t="s">
        <v>1516</v>
      </c>
      <c r="AP111" s="1467"/>
    </row>
    <row r="112" spans="1:42" ht="12.75" customHeight="1">
      <c r="A112" s="2"/>
      <c r="B112" s="2"/>
      <c r="C112" s="2"/>
      <c r="D112" s="1062"/>
      <c r="E112" s="2"/>
      <c r="F112" s="2"/>
      <c r="G112" s="2"/>
      <c r="H112" s="2"/>
      <c r="I112" s="2"/>
      <c r="J112" s="2"/>
      <c r="K112" s="2"/>
      <c r="L112" s="2"/>
      <c r="O112" s="2"/>
      <c r="S112" s="2"/>
      <c r="T112" s="2"/>
      <c r="U112" s="2"/>
      <c r="V112" s="2"/>
      <c r="W112" s="2"/>
      <c r="X112" s="2"/>
      <c r="Y112" s="2"/>
      <c r="Z112" s="2"/>
      <c r="AA112" s="2"/>
      <c r="AB112" s="2"/>
      <c r="AC112" s="2"/>
      <c r="AD112" s="2"/>
      <c r="AE112" s="2"/>
      <c r="AF112" s="2"/>
      <c r="AG112" s="2"/>
      <c r="AH112" s="2"/>
      <c r="AI112" s="2"/>
      <c r="AJ112" s="2"/>
      <c r="AK112" s="2"/>
      <c r="AL112" s="2"/>
      <c r="AM112" s="2"/>
      <c r="AN112" s="2"/>
      <c r="AO112" s="2" t="s">
        <v>997</v>
      </c>
      <c r="AP112" s="1467">
        <v>45</v>
      </c>
    </row>
    <row r="113" spans="1:42" ht="12.75" customHeight="1">
      <c r="A113" s="2"/>
      <c r="B113" s="2"/>
      <c r="C113" s="2"/>
      <c r="D113" s="1062"/>
      <c r="E113" s="2"/>
      <c r="F113" s="2"/>
      <c r="G113" s="2"/>
      <c r="H113" s="2"/>
      <c r="I113" s="2"/>
      <c r="J113" s="2"/>
      <c r="K113" s="2"/>
      <c r="L113" s="2"/>
      <c r="O113" s="2"/>
      <c r="S113" s="2"/>
      <c r="T113" s="2"/>
      <c r="U113" s="2"/>
      <c r="V113" s="2"/>
      <c r="W113" s="2"/>
      <c r="X113" s="2"/>
      <c r="Y113" s="2"/>
      <c r="Z113" s="2"/>
      <c r="AA113" s="2"/>
      <c r="AB113" s="2"/>
      <c r="AC113" s="2"/>
      <c r="AD113" s="2"/>
      <c r="AE113" s="2"/>
      <c r="AF113" s="2"/>
      <c r="AG113" s="2"/>
      <c r="AH113" s="2"/>
      <c r="AI113" s="2"/>
      <c r="AJ113" s="2"/>
      <c r="AK113" s="2"/>
      <c r="AL113" s="2"/>
      <c r="AM113" s="2"/>
      <c r="AN113" s="2"/>
      <c r="AO113" s="2" t="s">
        <v>1019</v>
      </c>
      <c r="AP113" s="1469">
        <v>-20</v>
      </c>
    </row>
    <row r="114" spans="1:42" ht="12.75" customHeight="1">
      <c r="A114" s="2"/>
      <c r="B114" s="2"/>
      <c r="C114" s="2"/>
      <c r="D114" s="1062"/>
      <c r="E114" s="2"/>
      <c r="F114" s="2"/>
      <c r="G114" s="2"/>
      <c r="H114" s="2"/>
      <c r="I114" s="2"/>
      <c r="J114" s="2"/>
      <c r="K114" s="2"/>
      <c r="L114" s="2"/>
      <c r="O114" s="2"/>
      <c r="S114" s="2"/>
      <c r="T114" s="2"/>
      <c r="U114" s="2"/>
      <c r="V114" s="2"/>
      <c r="W114" s="2"/>
      <c r="X114" s="2"/>
      <c r="Y114" s="2"/>
      <c r="Z114" s="2"/>
      <c r="AA114" s="2"/>
      <c r="AB114" s="2"/>
      <c r="AC114" s="2"/>
      <c r="AD114" s="2"/>
      <c r="AE114" s="2"/>
      <c r="AF114" s="2"/>
      <c r="AG114" s="2"/>
      <c r="AH114" s="2"/>
      <c r="AI114" s="2"/>
      <c r="AJ114" s="2"/>
      <c r="AK114" s="2"/>
      <c r="AL114" s="2"/>
      <c r="AM114" s="2"/>
      <c r="AN114" s="2"/>
      <c r="AO114" s="2" t="s">
        <v>527</v>
      </c>
      <c r="AP114" s="1468">
        <f>-AP109*0.07</f>
        <v>-23.240000000000002</v>
      </c>
    </row>
    <row r="115" spans="1:42" ht="12.75" customHeight="1">
      <c r="A115" s="2"/>
      <c r="B115" s="2"/>
      <c r="C115" s="2"/>
      <c r="D115" s="1062"/>
      <c r="E115" s="2"/>
      <c r="F115" s="2"/>
      <c r="G115" s="2"/>
      <c r="H115" s="2"/>
      <c r="I115" s="2"/>
      <c r="J115" s="2"/>
      <c r="K115" s="2"/>
      <c r="L115" s="2"/>
      <c r="O115" s="2"/>
      <c r="S115" s="2"/>
      <c r="T115" s="2"/>
      <c r="U115" s="2"/>
      <c r="V115" s="2"/>
      <c r="W115" s="2"/>
      <c r="X115" s="2"/>
      <c r="Y115" s="2"/>
      <c r="Z115" s="2"/>
      <c r="AA115" s="2"/>
      <c r="AB115" s="2"/>
      <c r="AC115" s="2"/>
      <c r="AD115" s="2"/>
      <c r="AE115" s="2"/>
      <c r="AF115" s="2"/>
      <c r="AG115" s="2"/>
      <c r="AH115" s="2"/>
      <c r="AI115" s="2"/>
      <c r="AJ115" s="2"/>
      <c r="AK115" s="2"/>
      <c r="AL115" s="2"/>
      <c r="AM115" s="2"/>
      <c r="AN115" s="2"/>
      <c r="AO115" s="107" t="s">
        <v>528</v>
      </c>
      <c r="AP115" s="1470">
        <f>SUM(AP112:AP114)</f>
        <v>1.759999999999998</v>
      </c>
    </row>
    <row r="116" spans="1:42" ht="12.75" customHeight="1">
      <c r="A116" s="2"/>
      <c r="B116" s="2"/>
      <c r="C116" s="2"/>
      <c r="D116" s="1062"/>
      <c r="E116" s="2"/>
      <c r="F116" s="2"/>
      <c r="G116" s="2"/>
      <c r="H116" s="2"/>
      <c r="I116" s="2"/>
      <c r="J116" s="2"/>
      <c r="K116" s="2"/>
      <c r="L116" s="2"/>
      <c r="O116" s="2"/>
      <c r="S116" s="2"/>
      <c r="T116" s="2"/>
      <c r="U116" s="2"/>
      <c r="V116" s="2"/>
      <c r="W116" s="2"/>
      <c r="X116" s="2"/>
      <c r="Y116" s="2"/>
      <c r="Z116" s="2"/>
      <c r="AA116" s="2"/>
      <c r="AB116" s="2"/>
      <c r="AC116" s="2"/>
      <c r="AD116" s="2"/>
      <c r="AE116" s="2"/>
      <c r="AF116" s="2"/>
      <c r="AG116" s="2"/>
      <c r="AH116" s="2"/>
      <c r="AI116" s="2"/>
      <c r="AJ116" s="2"/>
      <c r="AK116" s="2"/>
      <c r="AL116" s="2"/>
      <c r="AM116" s="2"/>
      <c r="AN116" s="2"/>
      <c r="AO116" s="2" t="s">
        <v>219</v>
      </c>
      <c r="AP116" s="1467">
        <f>-AP115*0.35</f>
        <v>-0.61599999999999921</v>
      </c>
    </row>
    <row r="117" spans="1:42" ht="12.75" customHeight="1">
      <c r="A117" s="2"/>
      <c r="B117" s="2"/>
      <c r="C117" s="2"/>
      <c r="D117" s="1062"/>
      <c r="E117" s="2"/>
      <c r="F117" s="2"/>
      <c r="G117" s="2"/>
      <c r="H117" s="2"/>
      <c r="I117" s="2"/>
      <c r="J117" s="2"/>
      <c r="K117" s="2"/>
      <c r="L117" s="2"/>
      <c r="O117" s="2"/>
      <c r="S117" s="2"/>
      <c r="T117" s="2"/>
      <c r="U117" s="2"/>
      <c r="V117" s="2"/>
      <c r="W117" s="2"/>
      <c r="X117" s="2"/>
      <c r="Y117" s="2"/>
      <c r="Z117" s="2"/>
      <c r="AA117" s="2"/>
      <c r="AB117" s="2"/>
      <c r="AC117" s="2"/>
      <c r="AD117" s="2"/>
      <c r="AE117" s="2"/>
      <c r="AF117" s="2"/>
      <c r="AG117" s="2"/>
      <c r="AH117" s="2"/>
      <c r="AI117" s="2"/>
      <c r="AJ117" s="2"/>
      <c r="AK117" s="2"/>
      <c r="AL117" s="2"/>
      <c r="AM117" s="2"/>
      <c r="AN117" s="2"/>
      <c r="AO117" s="138" t="s">
        <v>1243</v>
      </c>
      <c r="AP117" s="1471">
        <f>AP115+AP116</f>
        <v>1.1439999999999988</v>
      </c>
    </row>
    <row r="118" spans="1:42" ht="12.75" customHeight="1">
      <c r="A118" s="2"/>
      <c r="B118" s="2"/>
      <c r="C118" s="2"/>
      <c r="D118" s="1062"/>
      <c r="E118" s="2"/>
      <c r="F118" s="2"/>
      <c r="G118" s="2"/>
      <c r="H118" s="2"/>
      <c r="I118" s="2"/>
      <c r="J118" s="2"/>
      <c r="K118" s="2"/>
      <c r="L118" s="2"/>
      <c r="O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1467"/>
    </row>
    <row r="119" spans="1:42" ht="12.75" customHeight="1">
      <c r="A119" s="2"/>
      <c r="B119" s="2"/>
      <c r="C119" s="2"/>
      <c r="D119" s="1062"/>
      <c r="E119" s="2"/>
      <c r="F119" s="2"/>
      <c r="G119" s="2"/>
      <c r="H119" s="2"/>
      <c r="I119" s="2"/>
      <c r="J119" s="2"/>
      <c r="K119" s="2"/>
      <c r="L119" s="2"/>
      <c r="O119" s="2"/>
      <c r="S119" s="2"/>
      <c r="T119" s="2"/>
      <c r="U119" s="2"/>
      <c r="V119" s="2"/>
      <c r="W119" s="2"/>
      <c r="X119" s="2"/>
      <c r="Y119" s="2"/>
      <c r="Z119" s="2"/>
      <c r="AA119" s="2"/>
      <c r="AB119" s="2"/>
      <c r="AC119" s="2"/>
      <c r="AD119" s="2"/>
      <c r="AE119" s="2"/>
      <c r="AF119" s="2"/>
      <c r="AG119" s="2"/>
      <c r="AH119" s="2"/>
      <c r="AI119" s="2"/>
      <c r="AJ119" s="2"/>
      <c r="AK119" s="2"/>
      <c r="AL119" s="2"/>
      <c r="AM119" s="2"/>
      <c r="AN119" s="2"/>
      <c r="AO119" s="69" t="s">
        <v>1517</v>
      </c>
      <c r="AP119" s="1467"/>
    </row>
    <row r="120" spans="1:42" ht="12.75" customHeight="1">
      <c r="A120" s="2"/>
      <c r="B120" s="2"/>
      <c r="C120" s="2"/>
      <c r="D120" s="1062"/>
      <c r="E120" s="2"/>
      <c r="F120" s="2"/>
      <c r="G120" s="2"/>
      <c r="H120" s="2"/>
      <c r="I120" s="2"/>
      <c r="J120" s="2"/>
      <c r="K120" s="2"/>
      <c r="L120" s="2"/>
      <c r="O120" s="2"/>
      <c r="S120" s="2"/>
      <c r="T120" s="2"/>
      <c r="U120" s="2"/>
      <c r="V120" s="2"/>
      <c r="W120" s="2"/>
      <c r="X120" s="2"/>
      <c r="Y120" s="2"/>
      <c r="Z120" s="2"/>
      <c r="AA120" s="2"/>
      <c r="AB120" s="2"/>
      <c r="AC120" s="2"/>
      <c r="AD120" s="2"/>
      <c r="AE120" s="2"/>
      <c r="AF120" s="2"/>
      <c r="AG120" s="2"/>
      <c r="AH120" s="2"/>
      <c r="AI120" s="2"/>
      <c r="AJ120" s="2"/>
      <c r="AK120" s="2"/>
      <c r="AL120" s="2"/>
      <c r="AM120" s="2"/>
      <c r="AN120" s="2"/>
      <c r="AO120" s="2" t="s">
        <v>401</v>
      </c>
      <c r="AP120" s="1467">
        <v>45</v>
      </c>
    </row>
    <row r="121" spans="1:42" ht="12.75" customHeight="1">
      <c r="A121" s="2"/>
      <c r="B121" s="2"/>
      <c r="C121" s="2"/>
      <c r="D121" s="1062"/>
      <c r="E121" s="2"/>
      <c r="F121" s="2"/>
      <c r="G121" s="2"/>
      <c r="H121" s="2"/>
      <c r="I121" s="2"/>
      <c r="J121" s="2"/>
      <c r="K121" s="2"/>
      <c r="L121" s="2"/>
      <c r="O121" s="2"/>
      <c r="S121" s="2"/>
      <c r="T121" s="2"/>
      <c r="U121" s="2"/>
      <c r="V121" s="2"/>
      <c r="W121" s="2"/>
      <c r="X121" s="2"/>
      <c r="Y121" s="2"/>
      <c r="Z121" s="2"/>
      <c r="AA121" s="2"/>
      <c r="AB121" s="2"/>
      <c r="AC121" s="2"/>
      <c r="AD121" s="2"/>
      <c r="AE121" s="2"/>
      <c r="AF121" s="2"/>
      <c r="AG121" s="2"/>
      <c r="AH121" s="2"/>
      <c r="AI121" s="2"/>
      <c r="AJ121" s="2"/>
      <c r="AK121" s="2"/>
      <c r="AL121" s="2"/>
      <c r="AM121" s="2"/>
      <c r="AN121" s="2"/>
      <c r="AO121" s="2" t="s">
        <v>1020</v>
      </c>
      <c r="AP121" s="1467">
        <f>AP114</f>
        <v>-23.240000000000002</v>
      </c>
    </row>
    <row r="122" spans="1:42" ht="12.75" customHeight="1">
      <c r="A122" s="2"/>
      <c r="B122" s="2"/>
      <c r="C122" s="2"/>
      <c r="D122" s="1062"/>
      <c r="E122" s="2"/>
      <c r="F122" s="2"/>
      <c r="G122" s="2"/>
      <c r="H122" s="2"/>
      <c r="I122" s="2"/>
      <c r="J122" s="2"/>
      <c r="K122" s="2"/>
      <c r="L122" s="2"/>
      <c r="O122" s="2"/>
      <c r="S122" s="2"/>
      <c r="T122" s="2"/>
      <c r="U122" s="2"/>
      <c r="V122" s="2"/>
      <c r="W122" s="2"/>
      <c r="X122" s="2"/>
      <c r="Y122" s="2"/>
      <c r="Z122" s="2"/>
      <c r="AA122" s="2"/>
      <c r="AB122" s="2"/>
      <c r="AC122" s="2"/>
      <c r="AD122" s="2"/>
      <c r="AE122" s="2"/>
      <c r="AF122" s="2"/>
      <c r="AG122" s="2"/>
      <c r="AH122" s="2"/>
      <c r="AI122" s="2"/>
      <c r="AJ122" s="2"/>
      <c r="AK122" s="2"/>
      <c r="AL122" s="2"/>
      <c r="AM122" s="2"/>
      <c r="AN122" s="2"/>
      <c r="AO122" s="2" t="s">
        <v>996</v>
      </c>
      <c r="AP122" s="1467">
        <f>-AP109*0.03</f>
        <v>-9.9599999999999991</v>
      </c>
    </row>
    <row r="123" spans="1:42" ht="12.75" customHeight="1">
      <c r="A123" s="2"/>
      <c r="B123" s="2"/>
      <c r="C123" s="2"/>
      <c r="D123" s="1062"/>
      <c r="E123" s="2"/>
      <c r="F123" s="2"/>
      <c r="G123" s="2"/>
      <c r="H123" s="2"/>
      <c r="I123" s="2"/>
      <c r="J123" s="2"/>
      <c r="K123" s="2"/>
      <c r="L123" s="2"/>
      <c r="O123" s="2"/>
      <c r="S123" s="2"/>
      <c r="T123" s="2"/>
      <c r="U123" s="2"/>
      <c r="V123" s="2"/>
      <c r="W123" s="2"/>
      <c r="X123" s="2"/>
      <c r="Y123" s="2"/>
      <c r="Z123" s="2"/>
      <c r="AA123" s="2"/>
      <c r="AB123" s="2"/>
      <c r="AC123" s="2"/>
      <c r="AD123" s="2"/>
      <c r="AE123" s="2"/>
      <c r="AF123" s="2"/>
      <c r="AG123" s="2"/>
      <c r="AH123" s="2"/>
      <c r="AI123" s="2"/>
      <c r="AJ123" s="2"/>
      <c r="AK123" s="2"/>
      <c r="AL123" s="2"/>
      <c r="AM123" s="2"/>
      <c r="AN123" s="2"/>
      <c r="AO123" s="2" t="s">
        <v>529</v>
      </c>
      <c r="AP123" s="1468">
        <f>AP116</f>
        <v>-0.61599999999999921</v>
      </c>
    </row>
    <row r="124" spans="1:42" ht="12.75" customHeight="1">
      <c r="A124" s="2"/>
      <c r="B124" s="2"/>
      <c r="C124" s="2"/>
      <c r="D124" s="1062"/>
      <c r="E124" s="2"/>
      <c r="F124" s="2"/>
      <c r="G124" s="2"/>
      <c r="H124" s="2"/>
      <c r="I124" s="2"/>
      <c r="J124" s="2"/>
      <c r="K124" s="2"/>
      <c r="L124" s="2"/>
      <c r="O124" s="2"/>
      <c r="S124" s="2"/>
      <c r="T124" s="2"/>
      <c r="U124" s="2"/>
      <c r="V124" s="2"/>
      <c r="W124" s="2"/>
      <c r="X124" s="2"/>
      <c r="Y124" s="2"/>
      <c r="Z124" s="2"/>
      <c r="AA124" s="2"/>
      <c r="AB124" s="2"/>
      <c r="AC124" s="2"/>
      <c r="AD124" s="2"/>
      <c r="AE124" s="2"/>
      <c r="AF124" s="2"/>
      <c r="AG124" s="2"/>
      <c r="AH124" s="2"/>
      <c r="AI124" s="2"/>
      <c r="AJ124" s="2"/>
      <c r="AK124" s="2"/>
      <c r="AL124" s="2"/>
      <c r="AM124" s="2"/>
      <c r="AN124" s="2"/>
      <c r="AO124" s="138" t="s">
        <v>1017</v>
      </c>
      <c r="AP124" s="1461">
        <f>SUM(AP120:AP123)</f>
        <v>11.183999999999999</v>
      </c>
    </row>
    <row r="125" spans="1:42" ht="12.75" customHeight="1">
      <c r="A125" s="2"/>
      <c r="B125" s="2"/>
      <c r="C125" s="2"/>
      <c r="D125" s="1062"/>
      <c r="E125" s="2"/>
      <c r="F125" s="2"/>
      <c r="G125" s="2"/>
      <c r="H125" s="2"/>
      <c r="I125" s="2"/>
      <c r="J125" s="2"/>
      <c r="K125" s="2"/>
      <c r="L125" s="2"/>
      <c r="O125" s="2"/>
      <c r="S125" s="2"/>
      <c r="T125" s="2"/>
      <c r="U125" s="2"/>
      <c r="V125" s="2"/>
      <c r="W125" s="2"/>
      <c r="X125" s="2"/>
      <c r="Y125" s="2"/>
      <c r="Z125" s="2"/>
      <c r="AA125" s="2"/>
      <c r="AB125" s="2"/>
      <c r="AC125" s="2"/>
      <c r="AD125" s="2"/>
      <c r="AE125" s="2"/>
      <c r="AF125" s="2"/>
      <c r="AG125" s="2"/>
      <c r="AH125" s="2"/>
      <c r="AI125" s="2"/>
      <c r="AJ125" s="2"/>
      <c r="AK125" s="2"/>
      <c r="AL125" s="2"/>
      <c r="AM125" s="2"/>
      <c r="AN125" s="2"/>
      <c r="AO125" s="118" t="s">
        <v>1018</v>
      </c>
      <c r="AP125" s="122">
        <f>AP124/AP109</f>
        <v>3.3686746987951807E-2</v>
      </c>
    </row>
  </sheetData>
  <phoneticPr fontId="10" type="noConversion"/>
  <pageMargins left="0.75" right="0.75" top="1" bottom="1" header="0.5" footer="0.5"/>
  <pageSetup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AJ89"/>
  <sheetViews>
    <sheetView zoomScale="85" workbookViewId="0"/>
  </sheetViews>
  <sheetFormatPr defaultRowHeight="12.75" customHeight="1"/>
  <cols>
    <col min="1" max="1" width="21.5" customWidth="1"/>
    <col min="2" max="2" width="1.5" customWidth="1"/>
    <col min="5" max="5" width="1.5" customWidth="1"/>
    <col min="8" max="8" width="1.5" customWidth="1"/>
    <col min="10" max="10" width="1.5" customWidth="1"/>
    <col min="16" max="16" width="3.25" customWidth="1"/>
    <col min="18" max="18" width="1" customWidth="1"/>
    <col min="19" max="19" width="19" customWidth="1"/>
    <col min="20" max="20" width="1.625" customWidth="1"/>
    <col min="21" max="21" width="8.625" customWidth="1"/>
    <col min="22" max="22" width="1.625" customWidth="1"/>
    <col min="23" max="23" width="8.625" customWidth="1"/>
    <col min="24" max="24" width="1.625" customWidth="1"/>
    <col min="25" max="25" width="8.625" customWidth="1"/>
    <col min="28" max="28" width="7.625" customWidth="1"/>
    <col min="29" max="29" width="1.625" customWidth="1"/>
    <col min="30" max="30" width="7.625" customWidth="1"/>
    <col min="31" max="31" width="1.625" customWidth="1"/>
    <col min="32" max="32" width="7.625" customWidth="1"/>
    <col min="33" max="33" width="1.625" customWidth="1"/>
    <col min="34" max="34" width="7.625" customWidth="1"/>
    <col min="35" max="35" width="1.625" customWidth="1"/>
    <col min="36" max="36" width="7.625" customWidth="1"/>
  </cols>
  <sheetData>
    <row r="1" spans="1:36" ht="12.75" customHeight="1">
      <c r="A1" s="1" t="s">
        <v>629</v>
      </c>
      <c r="B1" s="2"/>
      <c r="C1" s="2"/>
      <c r="D1" s="1062"/>
      <c r="E1" s="2"/>
      <c r="F1" s="2"/>
      <c r="G1" s="2"/>
      <c r="H1" s="2"/>
      <c r="I1" s="2"/>
      <c r="J1" s="2"/>
      <c r="K1" s="2"/>
      <c r="L1" s="2"/>
      <c r="O1" s="2"/>
      <c r="S1" s="2"/>
      <c r="T1" s="2"/>
      <c r="U1" s="2"/>
      <c r="V1" s="2"/>
      <c r="W1" s="2"/>
      <c r="X1" s="2"/>
      <c r="Y1" s="2"/>
      <c r="Z1" s="2"/>
      <c r="AA1" s="2"/>
      <c r="AB1" s="2"/>
      <c r="AC1" s="2"/>
      <c r="AD1" s="2"/>
      <c r="AE1" s="2"/>
      <c r="AF1" s="2"/>
      <c r="AG1" s="2"/>
      <c r="AH1" s="2"/>
      <c r="AI1" s="2"/>
      <c r="AJ1" s="2"/>
    </row>
    <row r="2" spans="1:36" ht="12.75" customHeight="1">
      <c r="A2" s="1" t="s">
        <v>1224</v>
      </c>
      <c r="B2" s="2"/>
      <c r="C2" s="2"/>
      <c r="D2" s="1062"/>
      <c r="E2" s="2"/>
      <c r="F2" s="2"/>
      <c r="G2" s="2"/>
      <c r="H2" s="2"/>
      <c r="I2" s="2"/>
      <c r="J2" s="2"/>
      <c r="K2" s="2"/>
      <c r="L2" s="2"/>
      <c r="O2" s="2"/>
      <c r="S2" s="2"/>
      <c r="T2" s="2"/>
      <c r="U2" s="2"/>
      <c r="V2" s="2"/>
      <c r="W2" s="2"/>
      <c r="X2" s="2"/>
      <c r="Y2" s="2"/>
      <c r="Z2" s="2"/>
      <c r="AA2" s="2"/>
      <c r="AB2" s="2"/>
      <c r="AC2" s="2"/>
      <c r="AD2" s="2"/>
      <c r="AE2" s="2"/>
      <c r="AF2" s="2"/>
      <c r="AG2" s="2"/>
      <c r="AH2" s="2"/>
      <c r="AI2" s="2"/>
      <c r="AJ2" s="2"/>
    </row>
    <row r="3" spans="1:36" ht="12.75" customHeight="1">
      <c r="A3" s="2" t="s">
        <v>1225</v>
      </c>
      <c r="B3" s="2"/>
      <c r="C3" s="2"/>
      <c r="D3" s="1062"/>
      <c r="E3" s="2"/>
      <c r="F3" s="2"/>
      <c r="G3" s="2"/>
      <c r="H3" s="2"/>
      <c r="I3" s="2"/>
      <c r="J3" s="2"/>
      <c r="K3" s="2"/>
      <c r="L3" s="2"/>
      <c r="O3" s="2"/>
      <c r="S3" s="2"/>
      <c r="T3" s="2"/>
      <c r="U3" s="2"/>
      <c r="V3" s="2"/>
      <c r="W3" s="2"/>
      <c r="X3" s="2"/>
      <c r="Y3" s="2"/>
      <c r="Z3" s="2"/>
      <c r="AA3" s="2"/>
      <c r="AB3" s="2"/>
      <c r="AC3" s="2"/>
      <c r="AD3" s="2"/>
      <c r="AE3" s="2"/>
      <c r="AF3" s="2"/>
      <c r="AG3" s="2"/>
      <c r="AH3" s="2"/>
      <c r="AI3" s="2"/>
      <c r="AJ3" s="2"/>
    </row>
    <row r="4" spans="1:36" ht="12.75" customHeight="1">
      <c r="A4" s="2"/>
      <c r="B4" s="2"/>
      <c r="C4" s="1195" t="s">
        <v>818</v>
      </c>
      <c r="D4" s="1310"/>
      <c r="E4" s="1196"/>
      <c r="F4" s="1196"/>
      <c r="G4" s="1196"/>
      <c r="H4" s="2"/>
      <c r="I4" s="1195" t="s">
        <v>1504</v>
      </c>
      <c r="J4" s="1197"/>
      <c r="K4" s="1196"/>
      <c r="L4" s="1196"/>
      <c r="O4" s="73" t="s">
        <v>1030</v>
      </c>
      <c r="S4" s="2"/>
      <c r="T4" s="2"/>
      <c r="U4" s="2"/>
      <c r="V4" s="2"/>
      <c r="W4" s="2"/>
      <c r="X4" s="2"/>
      <c r="Y4" s="2"/>
      <c r="Z4" s="2"/>
      <c r="AA4" s="2"/>
      <c r="AB4" s="2"/>
      <c r="AC4" s="2"/>
      <c r="AD4" s="2"/>
      <c r="AE4" s="2"/>
      <c r="AF4" s="2"/>
      <c r="AG4" s="2"/>
      <c r="AH4" s="2"/>
      <c r="AI4" s="2"/>
      <c r="AJ4" s="2"/>
    </row>
    <row r="5" spans="1:36" ht="12.75" customHeight="1">
      <c r="A5" s="2"/>
      <c r="B5" s="2"/>
      <c r="C5" s="1198"/>
      <c r="D5" s="77"/>
      <c r="E5" s="2"/>
      <c r="F5" s="1197" t="s">
        <v>1505</v>
      </c>
      <c r="G5" s="1197"/>
      <c r="H5" s="2"/>
      <c r="I5" s="1198"/>
      <c r="J5" s="61"/>
      <c r="K5" s="1197" t="s">
        <v>1505</v>
      </c>
      <c r="L5" s="1197"/>
      <c r="O5" s="2"/>
      <c r="S5" s="2"/>
      <c r="T5" s="2"/>
      <c r="U5" s="2"/>
      <c r="V5" s="2"/>
      <c r="W5" s="2"/>
      <c r="X5" s="2"/>
      <c r="Y5" s="2"/>
      <c r="Z5" s="2"/>
      <c r="AA5" s="2"/>
      <c r="AB5" s="2"/>
      <c r="AC5" s="2"/>
      <c r="AD5" s="2"/>
      <c r="AE5" s="2"/>
      <c r="AF5" s="2"/>
      <c r="AG5" s="2"/>
      <c r="AH5" s="2"/>
      <c r="AI5" s="2"/>
      <c r="AJ5" s="2"/>
    </row>
    <row r="6" spans="1:36" ht="12.75" customHeight="1">
      <c r="A6" s="61"/>
      <c r="B6" s="2"/>
      <c r="C6" s="1199" t="s">
        <v>1698</v>
      </c>
      <c r="D6" s="1308" t="s">
        <v>612</v>
      </c>
      <c r="E6" s="70"/>
      <c r="F6" s="73" t="s">
        <v>658</v>
      </c>
      <c r="G6" s="73" t="s">
        <v>740</v>
      </c>
      <c r="H6" s="2"/>
      <c r="I6" s="1199" t="s">
        <v>1577</v>
      </c>
      <c r="J6" s="70"/>
      <c r="K6" s="73" t="s">
        <v>658</v>
      </c>
      <c r="L6" s="73" t="s">
        <v>740</v>
      </c>
      <c r="O6" s="2"/>
      <c r="S6" s="2"/>
      <c r="T6" s="2"/>
      <c r="U6" s="2"/>
      <c r="V6" s="2"/>
      <c r="W6" s="2"/>
      <c r="X6" s="2"/>
      <c r="Y6" s="2"/>
      <c r="Z6" s="2"/>
      <c r="AA6" s="2"/>
      <c r="AB6" s="2"/>
      <c r="AC6" s="2"/>
      <c r="AD6" s="2"/>
      <c r="AE6" s="2"/>
      <c r="AF6" s="2"/>
      <c r="AG6" s="2"/>
      <c r="AH6" s="2"/>
      <c r="AI6" s="2"/>
      <c r="AJ6" s="2"/>
    </row>
    <row r="7" spans="1:36" ht="12.75" customHeight="1">
      <c r="A7" s="1" t="s">
        <v>741</v>
      </c>
      <c r="B7" s="2"/>
      <c r="C7" s="112"/>
      <c r="D7" s="77"/>
      <c r="E7" s="2"/>
      <c r="F7" s="2"/>
      <c r="G7" s="2"/>
      <c r="H7" s="2"/>
      <c r="I7" s="112"/>
      <c r="J7" s="61"/>
      <c r="K7" s="2"/>
      <c r="L7" s="2"/>
      <c r="O7" s="2"/>
      <c r="S7" s="2"/>
      <c r="T7" s="2"/>
      <c r="U7" s="2"/>
      <c r="V7" s="2"/>
      <c r="W7" s="2"/>
      <c r="X7" s="2"/>
      <c r="Y7" s="2"/>
      <c r="Z7" s="2"/>
      <c r="AA7" s="2"/>
      <c r="AB7" s="2"/>
      <c r="AC7" s="2"/>
      <c r="AD7" s="2"/>
      <c r="AE7" s="2"/>
      <c r="AF7" s="2"/>
      <c r="AG7" s="2"/>
      <c r="AH7" s="2"/>
      <c r="AI7" s="2"/>
      <c r="AJ7" s="2"/>
    </row>
    <row r="8" spans="1:36" ht="12.75" customHeight="1">
      <c r="A8" s="334" t="s">
        <v>514</v>
      </c>
      <c r="B8" s="2"/>
      <c r="C8" s="1207">
        <v>151.83600000000001</v>
      </c>
      <c r="D8" s="858">
        <f>BYD!AI10</f>
        <v>153.078</v>
      </c>
      <c r="E8" s="1202"/>
      <c r="F8" s="1205">
        <f>C8-D8</f>
        <v>-1.2419999999999902</v>
      </c>
      <c r="G8" s="126">
        <f>IF(D8=0,0,C8/D8-1)</f>
        <v>-8.1135107592207323E-3</v>
      </c>
      <c r="H8" s="1205"/>
      <c r="I8" s="1207">
        <v>155.37416999999999</v>
      </c>
      <c r="J8" s="1202"/>
      <c r="K8" s="313">
        <f>C8-I8</f>
        <v>-3.5381699999999796</v>
      </c>
      <c r="L8" s="1204">
        <f>IF(I8=0,"NM",C8/I8-1)</f>
        <v>-2.2771931782483379E-2</v>
      </c>
      <c r="O8" s="2"/>
      <c r="S8" s="2"/>
      <c r="T8" s="2"/>
      <c r="U8" s="2"/>
      <c r="V8" s="2"/>
      <c r="W8" s="2"/>
      <c r="X8" s="2"/>
      <c r="Y8" s="2"/>
      <c r="Z8" s="2"/>
      <c r="AA8" s="2"/>
      <c r="AB8" s="2"/>
      <c r="AC8" s="2"/>
      <c r="AD8" s="2"/>
      <c r="AE8" s="2"/>
      <c r="AF8" s="2"/>
      <c r="AG8" s="2"/>
      <c r="AH8" s="2"/>
      <c r="AI8" s="2"/>
      <c r="AJ8" s="2"/>
    </row>
    <row r="9" spans="1:36" ht="12.75" customHeight="1">
      <c r="A9" s="334" t="s">
        <v>515</v>
      </c>
      <c r="B9" s="61"/>
      <c r="C9" s="1104">
        <v>56.585000000000001</v>
      </c>
      <c r="D9" s="104">
        <f>BYD!AI11</f>
        <v>55.183</v>
      </c>
      <c r="E9" s="1103"/>
      <c r="F9" s="374">
        <f>C9-D9</f>
        <v>1.402000000000001</v>
      </c>
      <c r="G9" s="95">
        <f>IF(D9=0,0,C9/D9-1)</f>
        <v>2.5406375151767691E-2</v>
      </c>
      <c r="H9" s="61"/>
      <c r="I9" s="1104">
        <v>56.010744999999993</v>
      </c>
      <c r="J9" s="1103"/>
      <c r="K9" s="374">
        <f>C9-I9</f>
        <v>0.57425500000000795</v>
      </c>
      <c r="L9" s="92">
        <f>IF(I9=0,"NM",C9/I9-1)</f>
        <v>1.0252586356421567E-2</v>
      </c>
      <c r="O9" s="2"/>
      <c r="S9" s="2"/>
      <c r="T9" s="2"/>
      <c r="U9" s="2"/>
      <c r="V9" s="2"/>
      <c r="W9" s="2"/>
      <c r="X9" s="2"/>
      <c r="Y9" s="2"/>
      <c r="Z9" s="2"/>
      <c r="AA9" s="2"/>
      <c r="AB9" s="2"/>
      <c r="AC9" s="2"/>
      <c r="AD9" s="2"/>
      <c r="AE9" s="2"/>
      <c r="AF9" s="2"/>
      <c r="AG9" s="2"/>
      <c r="AH9" s="2"/>
      <c r="AI9" s="2"/>
      <c r="AJ9" s="2"/>
    </row>
    <row r="10" spans="1:36" ht="12.75" customHeight="1">
      <c r="A10" s="334" t="s">
        <v>516</v>
      </c>
      <c r="B10" s="61"/>
      <c r="C10" s="1104">
        <v>181.751</v>
      </c>
      <c r="D10" s="104">
        <f>BYD!AI13</f>
        <v>181.71899999999999</v>
      </c>
      <c r="E10" s="1103"/>
      <c r="F10" s="374">
        <f>C10-D10</f>
        <v>3.2000000000010687E-2</v>
      </c>
      <c r="G10" s="95">
        <f>IF(D10=0,0,C10/D10-1)</f>
        <v>1.7609606040092096E-4</v>
      </c>
      <c r="H10" s="61"/>
      <c r="I10" s="1104">
        <v>183.61915687489142</v>
      </c>
      <c r="J10" s="1103"/>
      <c r="K10" s="374">
        <f>C10-I10</f>
        <v>-1.8681568748914117</v>
      </c>
      <c r="L10" s="92">
        <f>IF(I10=0,"NM",C10/I10-1)</f>
        <v>-1.0174084810574913E-2</v>
      </c>
      <c r="O10" s="2"/>
      <c r="S10" s="2"/>
      <c r="T10" s="2"/>
      <c r="U10" s="2"/>
      <c r="V10" s="2"/>
      <c r="W10" s="2"/>
      <c r="X10" s="2"/>
      <c r="Y10" s="2"/>
      <c r="Z10" s="2"/>
      <c r="AA10" s="2"/>
      <c r="AB10" s="2"/>
      <c r="AC10" s="2"/>
      <c r="AD10" s="2"/>
      <c r="AE10" s="2"/>
      <c r="AF10" s="2"/>
      <c r="AG10" s="2"/>
      <c r="AH10" s="2"/>
      <c r="AI10" s="2"/>
      <c r="AJ10" s="2"/>
    </row>
    <row r="11" spans="1:36" ht="12.75" customHeight="1">
      <c r="A11" s="334" t="s">
        <v>273</v>
      </c>
      <c r="B11" s="61"/>
      <c r="C11" s="1104">
        <v>182.756</v>
      </c>
      <c r="D11" s="104">
        <f>BYD!AI906</f>
        <v>186.892</v>
      </c>
      <c r="E11" s="1103"/>
      <c r="F11" s="374">
        <f>C11-D11</f>
        <v>-4.1359999999999957</v>
      </c>
      <c r="G11" s="95">
        <f>IF(D11=0,0,C11/D11-1)</f>
        <v>-2.2130428268732683E-2</v>
      </c>
      <c r="H11" s="61"/>
      <c r="I11" s="1104">
        <v>181.72528108090833</v>
      </c>
      <c r="J11" s="1103"/>
      <c r="K11" s="374">
        <f>C11-I11</f>
        <v>1.0307189190916688</v>
      </c>
      <c r="L11" s="92">
        <f>IF(I11=0,"NM",C11/I11-1)</f>
        <v>5.671852110839648E-3</v>
      </c>
      <c r="O11" s="2"/>
      <c r="S11" s="2"/>
      <c r="T11" s="2"/>
      <c r="U11" s="2"/>
      <c r="V11" s="2"/>
      <c r="W11" s="2"/>
      <c r="X11" s="2"/>
      <c r="Y11" s="2"/>
      <c r="Z11" s="2"/>
      <c r="AA11" s="2"/>
      <c r="AB11" s="2"/>
      <c r="AC11" s="2"/>
      <c r="AD11" s="2"/>
      <c r="AE11" s="2"/>
      <c r="AF11" s="2"/>
      <c r="AG11" s="2"/>
      <c r="AH11" s="2"/>
      <c r="AI11" s="2"/>
      <c r="AJ11" s="2"/>
    </row>
    <row r="12" spans="1:36" ht="12.75" customHeight="1">
      <c r="A12" s="138" t="s">
        <v>813</v>
      </c>
      <c r="B12" s="1203"/>
      <c r="C12" s="1209">
        <f>SUM(C7:C11)</f>
        <v>572.928</v>
      </c>
      <c r="D12" s="1210">
        <f>SUM(D8:D11)</f>
        <v>576.87200000000007</v>
      </c>
      <c r="E12" s="1210"/>
      <c r="F12" s="1210">
        <f>SUM(F8:F11)</f>
        <v>-3.9439999999999742</v>
      </c>
      <c r="G12" s="1208">
        <f>IF(D12=0,0,C12/D12-1)</f>
        <v>-6.8368719577307502E-3</v>
      </c>
      <c r="H12" s="1206"/>
      <c r="I12" s="1250">
        <v>576.72935295579975</v>
      </c>
      <c r="J12" s="1210"/>
      <c r="K12" s="1210">
        <f>SUM(K8:K11)</f>
        <v>-3.8013529557997146</v>
      </c>
      <c r="L12" s="1211">
        <f>C12/I12-1</f>
        <v>-6.5912250457124122E-3</v>
      </c>
      <c r="O12" s="1102">
        <v>568.5</v>
      </c>
      <c r="P12" s="1299"/>
      <c r="S12" s="2"/>
      <c r="T12" s="2"/>
      <c r="U12" s="2"/>
      <c r="V12" s="2"/>
      <c r="W12" s="2"/>
      <c r="X12" s="2"/>
      <c r="Y12" s="2"/>
      <c r="Z12" s="2"/>
      <c r="AA12" s="2"/>
      <c r="AB12" s="2"/>
      <c r="AC12" s="2"/>
      <c r="AD12" s="2"/>
      <c r="AE12" s="2"/>
      <c r="AF12" s="2"/>
      <c r="AG12" s="2"/>
      <c r="AH12" s="2"/>
      <c r="AI12" s="2"/>
      <c r="AJ12" s="2"/>
    </row>
    <row r="13" spans="1:36" ht="12.75" customHeight="1">
      <c r="A13" s="61"/>
      <c r="B13" s="61"/>
      <c r="C13" s="129"/>
      <c r="D13" s="77"/>
      <c r="E13" s="61"/>
      <c r="F13" s="61"/>
      <c r="G13" s="1139"/>
      <c r="H13" s="61"/>
      <c r="I13" s="115"/>
      <c r="J13" s="61"/>
      <c r="K13" s="61"/>
      <c r="L13" s="1212"/>
      <c r="O13" s="2"/>
      <c r="S13" s="2"/>
      <c r="T13" s="2"/>
      <c r="U13" s="2"/>
      <c r="V13" s="2"/>
      <c r="W13" s="2"/>
      <c r="X13" s="2"/>
      <c r="Y13" s="2"/>
      <c r="Z13" s="2"/>
      <c r="AA13" s="2"/>
      <c r="AB13" s="2"/>
      <c r="AC13" s="2"/>
      <c r="AD13" s="2"/>
      <c r="AE13" s="2"/>
      <c r="AF13" s="2"/>
      <c r="AG13" s="2"/>
      <c r="AH13" s="2"/>
      <c r="AI13" s="2"/>
      <c r="AJ13" s="2"/>
    </row>
    <row r="14" spans="1:36" ht="12.75" customHeight="1">
      <c r="A14" s="107" t="s">
        <v>401</v>
      </c>
      <c r="B14" s="61"/>
      <c r="C14" s="112"/>
      <c r="D14" s="1390"/>
      <c r="E14" s="61"/>
      <c r="F14" s="61"/>
      <c r="G14" s="1139"/>
      <c r="H14" s="61"/>
      <c r="I14" s="115"/>
      <c r="J14" s="61"/>
      <c r="K14" s="61"/>
      <c r="L14" s="1212"/>
      <c r="O14" s="2"/>
      <c r="S14" s="2"/>
      <c r="T14" s="2"/>
      <c r="U14" s="2"/>
      <c r="V14" s="2"/>
      <c r="W14" s="2"/>
      <c r="X14" s="2"/>
      <c r="Y14" s="2"/>
      <c r="Z14" s="2"/>
      <c r="AA14" s="2"/>
      <c r="AB14" s="2"/>
      <c r="AC14" s="2"/>
      <c r="AD14" s="2"/>
      <c r="AE14" s="2"/>
      <c r="AF14" s="2"/>
      <c r="AG14" s="2"/>
      <c r="AH14" s="2"/>
      <c r="AI14" s="2"/>
      <c r="AJ14" s="2"/>
    </row>
    <row r="15" spans="1:36" ht="12.75" customHeight="1">
      <c r="A15" s="334" t="s">
        <v>514</v>
      </c>
      <c r="B15" s="61"/>
      <c r="C15" s="1104">
        <v>38.57</v>
      </c>
      <c r="D15" s="104">
        <f>BYD!AI38</f>
        <v>36.81</v>
      </c>
      <c r="E15" s="1103"/>
      <c r="F15" s="374">
        <f>C15-D15</f>
        <v>1.759999999999998</v>
      </c>
      <c r="G15" s="95">
        <f t="shared" ref="G15:G34" si="0">IF(D15=0,0,C15/D15-1)</f>
        <v>4.7813094267861844E-2</v>
      </c>
      <c r="H15" s="61"/>
      <c r="I15" s="1104">
        <v>39.106169999999992</v>
      </c>
      <c r="J15" s="1103"/>
      <c r="K15" s="374">
        <f>C15-I15</f>
        <v>-0.53616999999999138</v>
      </c>
      <c r="L15" s="92">
        <f>IF(I15=0,"NM",C15/I15-1)</f>
        <v>-1.3710624180276243E-2</v>
      </c>
      <c r="N15" s="1403">
        <v>39.643000000000001</v>
      </c>
      <c r="O15" s="2"/>
      <c r="S15" s="2"/>
      <c r="T15" s="2"/>
      <c r="U15" s="2"/>
      <c r="V15" s="2"/>
      <c r="W15" s="2"/>
      <c r="X15" s="2"/>
      <c r="Y15" s="2"/>
      <c r="Z15" s="2"/>
      <c r="AA15" s="2"/>
      <c r="AB15" s="2"/>
      <c r="AC15" s="2"/>
      <c r="AD15" s="2"/>
      <c r="AE15" s="2"/>
      <c r="AF15" s="2"/>
      <c r="AG15" s="2"/>
      <c r="AH15" s="2"/>
      <c r="AI15" s="2"/>
      <c r="AJ15" s="2"/>
    </row>
    <row r="16" spans="1:36" ht="12.75" customHeight="1">
      <c r="A16" s="334" t="s">
        <v>515</v>
      </c>
      <c r="B16" s="61"/>
      <c r="C16" s="1104">
        <v>9.3659999999999997</v>
      </c>
      <c r="D16" s="104">
        <f>BYD!AI39</f>
        <v>9.31</v>
      </c>
      <c r="E16" s="1103"/>
      <c r="F16" s="374">
        <f>C16-D16</f>
        <v>5.5999999999999162E-2</v>
      </c>
      <c r="G16" s="95">
        <f t="shared" si="0"/>
        <v>6.0150375939849177E-3</v>
      </c>
      <c r="H16" s="61"/>
      <c r="I16" s="1104">
        <v>9.7936974999999933</v>
      </c>
      <c r="J16" s="1103"/>
      <c r="K16" s="374">
        <f>C16-I16</f>
        <v>-0.42769749999999362</v>
      </c>
      <c r="L16" s="92">
        <f>IF(I16=0,"NM",C16/I16-1)</f>
        <v>-4.3670687194493629E-2</v>
      </c>
      <c r="N16" s="1403">
        <v>9.0039999999999996</v>
      </c>
      <c r="O16" s="2"/>
      <c r="S16" s="2"/>
      <c r="T16" s="2"/>
      <c r="U16" s="2"/>
      <c r="V16" s="2"/>
      <c r="W16" s="2"/>
      <c r="X16" s="2"/>
      <c r="Y16" s="2"/>
      <c r="Z16" s="2"/>
      <c r="AA16" s="2"/>
      <c r="AB16" s="2"/>
      <c r="AC16" s="2"/>
      <c r="AD16" s="2"/>
      <c r="AE16" s="2"/>
      <c r="AF16" s="2"/>
      <c r="AG16" s="2"/>
      <c r="AH16" s="2"/>
      <c r="AI16" s="2"/>
      <c r="AJ16" s="2"/>
    </row>
    <row r="17" spans="1:36" ht="12.75" customHeight="1">
      <c r="A17" s="334" t="s">
        <v>516</v>
      </c>
      <c r="B17" s="61"/>
      <c r="C17" s="1104">
        <v>42.276000000000003</v>
      </c>
      <c r="D17" s="104">
        <f>BYD!AI41</f>
        <v>35.590000000000003</v>
      </c>
      <c r="E17" s="1103"/>
      <c r="F17" s="374">
        <f>C17-D17</f>
        <v>6.6859999999999999</v>
      </c>
      <c r="G17" s="95">
        <f t="shared" si="0"/>
        <v>0.18786175892104517</v>
      </c>
      <c r="H17" s="61"/>
      <c r="I17" s="1104">
        <v>38.951446874891417</v>
      </c>
      <c r="J17" s="1103"/>
      <c r="K17" s="374">
        <f>C17-I17</f>
        <v>3.3245531251085865</v>
      </c>
      <c r="L17" s="92">
        <f>IF(I17=0,"NM",C17/I17-1)</f>
        <v>8.5351210079223971E-2</v>
      </c>
      <c r="N17" s="1403">
        <v>41.210999999999999</v>
      </c>
      <c r="O17" s="2"/>
      <c r="S17" s="2"/>
      <c r="T17" s="2"/>
      <c r="U17" s="2"/>
      <c r="V17" s="2"/>
      <c r="W17" s="2"/>
      <c r="X17" s="2"/>
      <c r="Y17" s="2"/>
      <c r="Z17" s="2"/>
      <c r="AA17" s="2"/>
      <c r="AB17" s="2"/>
      <c r="AC17" s="2"/>
      <c r="AD17" s="2"/>
      <c r="AE17" s="2"/>
      <c r="AF17" s="2"/>
      <c r="AG17" s="2"/>
      <c r="AH17" s="2"/>
      <c r="AI17" s="2"/>
      <c r="AJ17" s="2"/>
    </row>
    <row r="18" spans="1:36" ht="12.75" customHeight="1">
      <c r="A18" s="334" t="s">
        <v>273</v>
      </c>
      <c r="B18" s="61"/>
      <c r="C18" s="1104">
        <v>38.656999999999996</v>
      </c>
      <c r="D18" s="104">
        <f>BYD!AI927</f>
        <v>42.960000000000008</v>
      </c>
      <c r="E18" s="1103"/>
      <c r="F18" s="374">
        <f>C18-D18</f>
        <v>-4.3030000000000115</v>
      </c>
      <c r="G18" s="95">
        <f t="shared" si="0"/>
        <v>-0.10016294227188105</v>
      </c>
      <c r="H18" s="61"/>
      <c r="I18" s="1104">
        <v>40.888188243204375</v>
      </c>
      <c r="J18" s="1103"/>
      <c r="K18" s="374">
        <f>C18-I18</f>
        <v>-2.2311882432043788</v>
      </c>
      <c r="L18" s="92">
        <f>IF(I18=0,"NM",C18/I18-1)</f>
        <v>-5.4568038816814157E-2</v>
      </c>
      <c r="N18" s="1403">
        <v>31.681999999999999</v>
      </c>
      <c r="O18" s="2"/>
      <c r="S18" s="2"/>
      <c r="T18" s="2"/>
      <c r="U18" s="2"/>
      <c r="V18" s="2"/>
      <c r="W18" s="2"/>
      <c r="X18" s="2"/>
      <c r="Y18" s="2"/>
      <c r="Z18" s="2"/>
      <c r="AA18" s="2"/>
      <c r="AB18" s="2"/>
      <c r="AC18" s="2"/>
      <c r="AD18" s="2"/>
      <c r="AE18" s="2"/>
      <c r="AF18" s="2"/>
      <c r="AG18" s="2"/>
      <c r="AH18" s="2"/>
      <c r="AI18" s="2"/>
      <c r="AJ18" s="2"/>
    </row>
    <row r="19" spans="1:36" ht="12.75" customHeight="1">
      <c r="A19" s="138" t="s">
        <v>819</v>
      </c>
      <c r="B19" s="1203"/>
      <c r="C19" s="1209">
        <f>SUM(C15:C18)</f>
        <v>128.869</v>
      </c>
      <c r="D19" s="1210">
        <f>SUM(D15:D18)</f>
        <v>124.67000000000002</v>
      </c>
      <c r="E19" s="1210"/>
      <c r="F19" s="1210">
        <f>SUM(F15:F18)</f>
        <v>4.1989999999999856</v>
      </c>
      <c r="G19" s="1208">
        <f t="shared" si="0"/>
        <v>3.3680917622523232E-2</v>
      </c>
      <c r="H19" s="1206"/>
      <c r="I19" s="1250">
        <v>128.73950261809577</v>
      </c>
      <c r="J19" s="1210"/>
      <c r="K19" s="1210">
        <f>SUM(K15:K17)</f>
        <v>2.3606856251086015</v>
      </c>
      <c r="L19" s="1211">
        <f>C19/I19-1</f>
        <v>1.0058869210360921E-3</v>
      </c>
      <c r="N19" s="1403">
        <v>-9.7989999999999995</v>
      </c>
      <c r="O19" s="2"/>
      <c r="S19" s="2"/>
      <c r="T19" s="2"/>
      <c r="U19" s="2"/>
      <c r="V19" s="2"/>
      <c r="W19" s="2"/>
      <c r="X19" s="2"/>
      <c r="Y19" s="2"/>
      <c r="Z19" s="2"/>
      <c r="AA19" s="2"/>
      <c r="AB19" s="2"/>
      <c r="AC19" s="2"/>
      <c r="AD19" s="2"/>
      <c r="AE19" s="2"/>
      <c r="AF19" s="2"/>
      <c r="AG19" s="2"/>
      <c r="AH19" s="2"/>
      <c r="AI19" s="2"/>
      <c r="AJ19" s="2"/>
    </row>
    <row r="20" spans="1:36" ht="12.75" customHeight="1">
      <c r="A20" s="2" t="s">
        <v>742</v>
      </c>
      <c r="B20" s="2"/>
      <c r="C20" s="1104">
        <v>-10.457000000000001</v>
      </c>
      <c r="D20" s="104">
        <f>BYD!AI54</f>
        <v>-11.170999999999999</v>
      </c>
      <c r="E20" s="1103"/>
      <c r="F20" s="374">
        <f>C20-D20</f>
        <v>0.71399999999999864</v>
      </c>
      <c r="G20" s="126">
        <f t="shared" si="0"/>
        <v>-6.3915495479366147E-2</v>
      </c>
      <c r="H20" s="2"/>
      <c r="I20" s="1104">
        <v>-11.170999999999999</v>
      </c>
      <c r="J20" s="1103"/>
      <c r="K20" s="374">
        <f>C20-I20</f>
        <v>0.71399999999999864</v>
      </c>
      <c r="L20" s="1204">
        <f>IF(I20=0,"NM",C20/I20-1)</f>
        <v>-6.3915495479366147E-2</v>
      </c>
      <c r="O20" s="2"/>
      <c r="S20" s="2"/>
      <c r="T20" s="2"/>
      <c r="U20" s="2"/>
      <c r="V20" s="2"/>
      <c r="W20" s="2"/>
      <c r="X20" s="2"/>
      <c r="Y20" s="2"/>
      <c r="Z20" s="2"/>
      <c r="AA20" s="2"/>
      <c r="AB20" s="2"/>
      <c r="AC20" s="2"/>
      <c r="AD20" s="2"/>
      <c r="AE20" s="2"/>
      <c r="AF20" s="2"/>
      <c r="AG20" s="2"/>
      <c r="AH20" s="2"/>
      <c r="AI20" s="2"/>
      <c r="AJ20" s="2"/>
    </row>
    <row r="21" spans="1:36" ht="12.75" customHeight="1">
      <c r="A21" s="138" t="s">
        <v>555</v>
      </c>
      <c r="B21" s="1203"/>
      <c r="C21" s="1209">
        <f>C19+C20</f>
        <v>118.41200000000001</v>
      </c>
      <c r="D21" s="1210">
        <f>SUM(D19:D20)</f>
        <v>113.49900000000002</v>
      </c>
      <c r="E21" s="1210"/>
      <c r="F21" s="1210">
        <f>F19+F20</f>
        <v>4.9129999999999843</v>
      </c>
      <c r="G21" s="1208">
        <f t="shared" si="0"/>
        <v>4.3286724993171655E-2</v>
      </c>
      <c r="H21" s="1210"/>
      <c r="I21" s="1250">
        <v>117.56850261809578</v>
      </c>
      <c r="J21" s="1210"/>
      <c r="K21" s="1210">
        <f>K19+K20</f>
        <v>3.0746856251086001</v>
      </c>
      <c r="L21" s="1254">
        <f>L19-L20</f>
        <v>6.4921382400402239E-2</v>
      </c>
      <c r="M21" s="1406"/>
      <c r="N21" s="1406"/>
      <c r="O21" s="1102">
        <v>113.3</v>
      </c>
      <c r="P21" s="1299" t="s">
        <v>439</v>
      </c>
      <c r="S21" s="2"/>
      <c r="T21" s="2"/>
      <c r="U21" s="2"/>
      <c r="V21" s="2"/>
      <c r="W21" s="2"/>
      <c r="X21" s="2"/>
      <c r="Y21" s="2"/>
      <c r="Z21" s="2"/>
      <c r="AA21" s="2"/>
      <c r="AB21" s="2"/>
      <c r="AC21" s="2"/>
      <c r="AD21" s="2"/>
      <c r="AE21" s="2"/>
      <c r="AF21" s="2"/>
      <c r="AG21" s="2"/>
      <c r="AH21" s="2"/>
      <c r="AI21" s="2"/>
      <c r="AJ21" s="2"/>
    </row>
    <row r="22" spans="1:36" ht="12.75" customHeight="1">
      <c r="A22" s="439" t="s">
        <v>1745</v>
      </c>
      <c r="B22" s="2"/>
      <c r="C22" s="432">
        <v>2.14</v>
      </c>
      <c r="D22" s="374">
        <f>BYD!AI65</f>
        <v>2.8719999999999999</v>
      </c>
      <c r="E22" s="1103"/>
      <c r="F22" s="374">
        <f>C22-D22</f>
        <v>-0.73199999999999976</v>
      </c>
      <c r="G22" s="126">
        <f t="shared" si="0"/>
        <v>-0.25487465181058488</v>
      </c>
      <c r="H22" s="2"/>
      <c r="I22" s="432">
        <v>3</v>
      </c>
      <c r="J22" s="1103"/>
      <c r="K22" s="374">
        <f t="shared" ref="K22:K34" si="1">C22-I22</f>
        <v>-0.85999999999999988</v>
      </c>
      <c r="L22" s="1204">
        <f>IF(I22=0,"NM",C22/I22-1)</f>
        <v>-0.28666666666666663</v>
      </c>
      <c r="M22" s="1407"/>
      <c r="N22" s="1407"/>
      <c r="O22" s="2"/>
      <c r="S22" s="2"/>
      <c r="T22" s="2"/>
      <c r="U22" s="2"/>
      <c r="V22" s="2"/>
      <c r="W22" s="2"/>
      <c r="X22" s="2"/>
      <c r="Y22" s="2"/>
      <c r="Z22" s="2"/>
      <c r="AA22" s="2"/>
      <c r="AB22" s="2"/>
      <c r="AC22" s="2"/>
      <c r="AD22" s="2"/>
      <c r="AE22" s="2"/>
      <c r="AF22" s="2"/>
      <c r="AG22" s="2"/>
      <c r="AH22" s="2"/>
      <c r="AI22" s="2"/>
      <c r="AJ22" s="2"/>
    </row>
    <row r="23" spans="1:36" ht="12.75" customHeight="1">
      <c r="A23" s="439" t="s">
        <v>201</v>
      </c>
      <c r="B23" s="2"/>
      <c r="C23" s="432">
        <v>1.032</v>
      </c>
      <c r="D23" s="374">
        <f>BYD!AI66</f>
        <v>1.0669999999999999</v>
      </c>
      <c r="E23" s="1103"/>
      <c r="F23" s="374">
        <f>C23-D23</f>
        <v>-3.499999999999992E-2</v>
      </c>
      <c r="G23" s="126">
        <f t="shared" si="0"/>
        <v>-3.2802249297094632E-2</v>
      </c>
      <c r="H23" s="2"/>
      <c r="I23" s="432">
        <v>1.036</v>
      </c>
      <c r="J23" s="1103"/>
      <c r="K23" s="374">
        <f t="shared" si="1"/>
        <v>-4.0000000000000036E-3</v>
      </c>
      <c r="L23" s="1204">
        <f>IF(I23=0,"NM",C23/I23-1)</f>
        <v>-3.8610038610038533E-3</v>
      </c>
      <c r="N23" s="1312"/>
      <c r="O23" s="1312"/>
      <c r="S23" s="2"/>
      <c r="T23" s="2"/>
      <c r="U23" s="2"/>
      <c r="V23" s="2"/>
      <c r="W23" s="2"/>
      <c r="X23" s="2"/>
      <c r="Y23" s="2"/>
      <c r="Z23" s="2"/>
      <c r="AA23" s="2"/>
      <c r="AB23" s="2"/>
      <c r="AC23" s="2"/>
      <c r="AD23" s="2"/>
      <c r="AE23" s="2"/>
      <c r="AF23" s="2"/>
      <c r="AG23" s="2"/>
      <c r="AH23" s="2"/>
      <c r="AI23" s="2"/>
      <c r="AJ23" s="2"/>
    </row>
    <row r="24" spans="1:36" ht="12.75" customHeight="1">
      <c r="A24" s="1693" t="s">
        <v>202</v>
      </c>
      <c r="B24" s="2"/>
      <c r="C24" s="432">
        <v>48.488</v>
      </c>
      <c r="D24" s="374">
        <f>BYD!AI67</f>
        <v>55.408000000000001</v>
      </c>
      <c r="E24" s="1103"/>
      <c r="F24" s="374">
        <f>C24-D24</f>
        <v>-6.9200000000000017</v>
      </c>
      <c r="G24" s="126">
        <f t="shared" si="0"/>
        <v>-0.12489171238810282</v>
      </c>
      <c r="H24" s="2"/>
      <c r="I24" s="432">
        <v>50.584000000000003</v>
      </c>
      <c r="J24" s="1103"/>
      <c r="K24" s="374">
        <f t="shared" si="1"/>
        <v>-2.0960000000000036</v>
      </c>
      <c r="L24" s="1204">
        <f>IF(I24=0,"NM",C24/I24-1)</f>
        <v>-4.1436027202277459E-2</v>
      </c>
      <c r="O24" s="2"/>
      <c r="S24" s="2"/>
      <c r="T24" s="2"/>
      <c r="U24" s="2"/>
      <c r="V24" s="2"/>
      <c r="W24" s="2"/>
      <c r="X24" s="2"/>
      <c r="Y24" s="2"/>
      <c r="Z24" s="2"/>
      <c r="AA24" s="2"/>
      <c r="AB24" s="2"/>
      <c r="AC24" s="2"/>
      <c r="AD24" s="2"/>
      <c r="AE24" s="2"/>
      <c r="AF24" s="2"/>
      <c r="AG24" s="2"/>
      <c r="AH24" s="2"/>
      <c r="AI24" s="2"/>
      <c r="AJ24" s="2"/>
    </row>
    <row r="25" spans="1:36" ht="4.5" customHeight="1">
      <c r="A25" s="964"/>
      <c r="B25" s="2"/>
      <c r="C25" s="453" t="s">
        <v>343</v>
      </c>
      <c r="D25" s="452" t="s">
        <v>343</v>
      </c>
      <c r="E25" s="96" t="s">
        <v>343</v>
      </c>
      <c r="F25" s="452" t="s">
        <v>343</v>
      </c>
      <c r="G25" s="1251" t="s">
        <v>343</v>
      </c>
      <c r="H25" s="2" t="s">
        <v>343</v>
      </c>
      <c r="I25" s="453" t="s">
        <v>343</v>
      </c>
      <c r="J25" s="96" t="s">
        <v>343</v>
      </c>
      <c r="K25" s="452" t="s">
        <v>343</v>
      </c>
      <c r="L25" s="1252" t="s">
        <v>343</v>
      </c>
      <c r="N25" s="1102"/>
      <c r="O25" s="1102"/>
      <c r="S25" s="2"/>
      <c r="T25" s="2"/>
      <c r="U25" s="2"/>
      <c r="V25" s="2"/>
      <c r="W25" s="2"/>
      <c r="X25" s="2"/>
      <c r="Y25" s="2"/>
      <c r="Z25" s="2"/>
      <c r="AA25" s="2"/>
      <c r="AB25" s="2"/>
      <c r="AC25" s="2"/>
      <c r="AD25" s="2"/>
      <c r="AE25" s="2"/>
      <c r="AF25" s="2"/>
      <c r="AG25" s="2"/>
      <c r="AH25" s="2"/>
      <c r="AI25" s="2"/>
      <c r="AJ25" s="2"/>
    </row>
    <row r="26" spans="1:36" ht="12.75" customHeight="1">
      <c r="A26" s="1" t="s">
        <v>744</v>
      </c>
      <c r="B26" s="2"/>
      <c r="C26" s="1242">
        <f>C21-C22-C23-C24</f>
        <v>66.75200000000001</v>
      </c>
      <c r="D26" s="1241">
        <f>D21-D22-D23-D24</f>
        <v>54.152000000000029</v>
      </c>
      <c r="E26" s="932"/>
      <c r="F26" s="1241">
        <f>F21-F22-F23-F24</f>
        <v>12.599999999999985</v>
      </c>
      <c r="G26" s="106">
        <f t="shared" si="0"/>
        <v>0.23267838676318453</v>
      </c>
      <c r="H26" s="1205"/>
      <c r="I26" s="1243">
        <v>62.948502618095773</v>
      </c>
      <c r="J26" s="932"/>
      <c r="K26" s="1241">
        <f t="shared" si="1"/>
        <v>3.8034973819042364</v>
      </c>
      <c r="L26" s="1214">
        <f>C26/I26-1</f>
        <v>6.0422364690384978E-2</v>
      </c>
      <c r="O26" s="2"/>
      <c r="S26" s="2"/>
      <c r="T26" s="2"/>
      <c r="U26" s="2"/>
      <c r="V26" s="2"/>
      <c r="W26" s="2"/>
      <c r="X26" s="2"/>
      <c r="Y26" s="2"/>
      <c r="Z26" s="2"/>
      <c r="AA26" s="2"/>
      <c r="AB26" s="2"/>
      <c r="AC26" s="2"/>
      <c r="AD26" s="2"/>
      <c r="AE26" s="2"/>
      <c r="AF26" s="2"/>
      <c r="AG26" s="2"/>
      <c r="AH26" s="2"/>
      <c r="AI26" s="2"/>
      <c r="AJ26" s="2"/>
    </row>
    <row r="27" spans="1:36" ht="12.75" customHeight="1">
      <c r="A27" s="445" t="s">
        <v>1176</v>
      </c>
      <c r="B27" s="2"/>
      <c r="C27" s="432">
        <f>-66.674-0.048</f>
        <v>-66.722000000000008</v>
      </c>
      <c r="D27" s="374">
        <f>BYD!AI73</f>
        <v>-34.65</v>
      </c>
      <c r="E27" s="932"/>
      <c r="F27" s="374">
        <f t="shared" ref="F27:F34" si="2">C27-D27</f>
        <v>-32.07200000000001</v>
      </c>
      <c r="G27" s="126">
        <f t="shared" si="0"/>
        <v>0.92559884559884598</v>
      </c>
      <c r="H27" s="1205"/>
      <c r="I27" s="432">
        <v>-60.126378124999995</v>
      </c>
      <c r="J27" s="932"/>
      <c r="K27" s="374">
        <f t="shared" si="1"/>
        <v>-6.5956218750000133</v>
      </c>
      <c r="L27" s="1204">
        <f>IF(I27=0,"NM",C27/I27-1)</f>
        <v>0.10969597838220047</v>
      </c>
      <c r="O27" s="2"/>
      <c r="S27" s="2"/>
      <c r="T27" s="2"/>
      <c r="U27" s="2"/>
      <c r="V27" s="2"/>
      <c r="W27" s="2"/>
      <c r="X27" s="2"/>
      <c r="Y27" s="2"/>
      <c r="Z27" s="2"/>
      <c r="AA27" s="2"/>
      <c r="AB27" s="2"/>
      <c r="AC27" s="2"/>
      <c r="AD27" s="2"/>
      <c r="AE27" s="2"/>
      <c r="AF27" s="2"/>
      <c r="AG27" s="2"/>
      <c r="AH27" s="2"/>
      <c r="AI27" s="2"/>
      <c r="AJ27" s="2"/>
    </row>
    <row r="28" spans="1:36" ht="12.75" customHeight="1">
      <c r="A28" s="445" t="s">
        <v>203</v>
      </c>
      <c r="B28" s="2"/>
      <c r="C28" s="373">
        <v>0</v>
      </c>
      <c r="D28" s="374">
        <f>BYD!AI74</f>
        <v>0</v>
      </c>
      <c r="E28" s="932"/>
      <c r="F28" s="374">
        <f t="shared" si="2"/>
        <v>0</v>
      </c>
      <c r="G28" s="126">
        <f t="shared" si="0"/>
        <v>0</v>
      </c>
      <c r="H28" s="1205"/>
      <c r="I28" s="432">
        <v>0</v>
      </c>
      <c r="J28" s="932"/>
      <c r="K28" s="374">
        <f t="shared" si="1"/>
        <v>0</v>
      </c>
      <c r="L28" s="1204" t="str">
        <f>IF(I28=0,"NM",C28/I28-1)</f>
        <v>NM</v>
      </c>
      <c r="O28" s="2"/>
      <c r="S28" s="2"/>
      <c r="T28" s="2"/>
      <c r="U28" s="2"/>
      <c r="V28" s="2"/>
      <c r="W28" s="2"/>
      <c r="X28" s="2"/>
      <c r="Y28" s="2"/>
      <c r="Z28" s="2"/>
      <c r="AA28" s="2"/>
      <c r="AB28" s="2"/>
      <c r="AC28" s="2"/>
      <c r="AD28" s="2"/>
      <c r="AE28" s="2"/>
      <c r="AF28" s="2"/>
      <c r="AG28" s="2"/>
      <c r="AH28" s="2"/>
      <c r="AI28" s="2"/>
      <c r="AJ28" s="2"/>
    </row>
    <row r="29" spans="1:36" ht="12.75" customHeight="1">
      <c r="A29" s="445" t="s">
        <v>816</v>
      </c>
      <c r="B29" s="2"/>
      <c r="C29" s="373">
        <v>0</v>
      </c>
      <c r="D29" s="374">
        <f>BYD!AI75</f>
        <v>0</v>
      </c>
      <c r="E29" s="932"/>
      <c r="F29" s="374">
        <f t="shared" si="2"/>
        <v>0</v>
      </c>
      <c r="G29" s="126">
        <f t="shared" si="0"/>
        <v>0</v>
      </c>
      <c r="H29" s="1205"/>
      <c r="I29" s="432">
        <v>0</v>
      </c>
      <c r="J29" s="932"/>
      <c r="K29" s="374">
        <f t="shared" si="1"/>
        <v>0</v>
      </c>
      <c r="L29" s="1204" t="str">
        <f>IF(I29=0,"NM",C29/I29-1)</f>
        <v>NM</v>
      </c>
      <c r="O29" s="2"/>
      <c r="S29" s="2"/>
      <c r="T29" s="2"/>
      <c r="U29" s="2"/>
      <c r="V29" s="2"/>
      <c r="W29" s="2"/>
      <c r="X29" s="2"/>
      <c r="Y29" s="2"/>
      <c r="Z29" s="2"/>
      <c r="AA29" s="2"/>
      <c r="AB29" s="2"/>
      <c r="AC29" s="2"/>
      <c r="AD29" s="2"/>
      <c r="AE29" s="2"/>
      <c r="AF29" s="2"/>
      <c r="AG29" s="2"/>
      <c r="AH29" s="2"/>
      <c r="AI29" s="2"/>
      <c r="AJ29" s="2"/>
    </row>
    <row r="30" spans="1:36" ht="12.75" customHeight="1">
      <c r="A30" s="445" t="s">
        <v>815</v>
      </c>
      <c r="B30" s="2"/>
      <c r="C30" s="373">
        <v>0</v>
      </c>
      <c r="D30" s="374">
        <f>BYD!AI77</f>
        <v>0</v>
      </c>
      <c r="E30" s="1103"/>
      <c r="F30" s="374">
        <f t="shared" si="2"/>
        <v>0</v>
      </c>
      <c r="G30" s="126">
        <f t="shared" si="0"/>
        <v>0</v>
      </c>
      <c r="H30" s="2"/>
      <c r="I30" s="432">
        <v>0</v>
      </c>
      <c r="J30" s="1103"/>
      <c r="K30" s="374">
        <f t="shared" si="1"/>
        <v>0</v>
      </c>
      <c r="L30" s="1204" t="str">
        <f>IF(I30=0,"NM",C30/I30-1)</f>
        <v>NM</v>
      </c>
      <c r="O30" s="2"/>
      <c r="S30" s="2"/>
      <c r="T30" s="2"/>
      <c r="U30" s="2"/>
      <c r="V30" s="2"/>
      <c r="W30" s="2"/>
      <c r="X30" s="2"/>
      <c r="Y30" s="2"/>
      <c r="Z30" s="2"/>
      <c r="AA30" s="2"/>
      <c r="AB30" s="2"/>
      <c r="AC30" s="2"/>
      <c r="AD30" s="2"/>
      <c r="AE30" s="2"/>
      <c r="AF30" s="2"/>
      <c r="AG30" s="2"/>
      <c r="AH30" s="2"/>
      <c r="AI30" s="2"/>
      <c r="AJ30" s="2"/>
    </row>
    <row r="31" spans="1:36" ht="12.75" customHeight="1">
      <c r="A31" s="445" t="s">
        <v>814</v>
      </c>
      <c r="B31" s="2"/>
      <c r="C31" s="432">
        <f>-(0.759+2.262+1.741)</f>
        <v>-4.7620000000000005</v>
      </c>
      <c r="D31" s="374">
        <f>BYD!AI78</f>
        <v>-2.5640000000000001</v>
      </c>
      <c r="E31" s="1103"/>
      <c r="F31" s="374">
        <f t="shared" si="2"/>
        <v>-2.1980000000000004</v>
      </c>
      <c r="G31" s="126">
        <f t="shared" si="0"/>
        <v>0.85725429017160693</v>
      </c>
      <c r="H31" s="2"/>
      <c r="I31" s="432">
        <v>-3.5</v>
      </c>
      <c r="J31" s="1103"/>
      <c r="K31" s="374">
        <f t="shared" si="1"/>
        <v>-1.2620000000000005</v>
      </c>
      <c r="L31" s="1204">
        <f>IF(I31=0,"NM",C31/I31-1)</f>
        <v>0.36057142857142876</v>
      </c>
      <c r="O31" s="2"/>
      <c r="S31" s="2"/>
      <c r="T31" s="2"/>
      <c r="U31" s="2"/>
      <c r="V31" s="2"/>
      <c r="W31" s="2"/>
      <c r="X31" s="2"/>
      <c r="Y31" s="2"/>
      <c r="Z31" s="2"/>
      <c r="AA31" s="2"/>
      <c r="AB31" s="2"/>
      <c r="AC31" s="2"/>
      <c r="AD31" s="2"/>
      <c r="AE31" s="2"/>
      <c r="AF31" s="2"/>
      <c r="AG31" s="2"/>
      <c r="AH31" s="2"/>
      <c r="AI31" s="2"/>
      <c r="AJ31" s="2"/>
    </row>
    <row r="32" spans="1:36" ht="4.5" customHeight="1">
      <c r="A32" s="964"/>
      <c r="B32" s="2"/>
      <c r="C32" s="453" t="s">
        <v>343</v>
      </c>
      <c r="D32" s="452" t="s">
        <v>343</v>
      </c>
      <c r="E32" s="96" t="s">
        <v>343</v>
      </c>
      <c r="F32" s="452" t="s">
        <v>343</v>
      </c>
      <c r="G32" s="1251" t="s">
        <v>343</v>
      </c>
      <c r="H32" s="2" t="s">
        <v>343</v>
      </c>
      <c r="I32" s="453" t="s">
        <v>343</v>
      </c>
      <c r="J32" s="96" t="s">
        <v>343</v>
      </c>
      <c r="K32" s="452" t="s">
        <v>343</v>
      </c>
      <c r="L32" s="1252" t="s">
        <v>343</v>
      </c>
      <c r="N32" s="1102"/>
      <c r="O32" s="1102"/>
      <c r="S32" s="2"/>
      <c r="T32" s="2"/>
      <c r="U32" s="2"/>
      <c r="V32" s="2"/>
      <c r="W32" s="2"/>
      <c r="X32" s="2"/>
      <c r="Y32" s="2"/>
      <c r="Z32" s="2"/>
      <c r="AA32" s="2"/>
      <c r="AB32" s="2"/>
      <c r="AC32" s="2"/>
      <c r="AD32" s="2"/>
      <c r="AE32" s="2"/>
      <c r="AF32" s="2"/>
      <c r="AG32" s="2"/>
      <c r="AH32" s="2"/>
      <c r="AI32" s="2"/>
      <c r="AJ32" s="2"/>
    </row>
    <row r="33" spans="1:36" ht="12.75" customHeight="1">
      <c r="A33" s="1" t="s">
        <v>745</v>
      </c>
      <c r="B33" s="2"/>
      <c r="C33" s="1213">
        <f>SUM(C26:C31)</f>
        <v>-4.7319999999999993</v>
      </c>
      <c r="D33" s="929">
        <f>SUM(D26:D31)</f>
        <v>16.938000000000031</v>
      </c>
      <c r="E33" s="932"/>
      <c r="F33" s="1241">
        <f t="shared" si="2"/>
        <v>-21.67000000000003</v>
      </c>
      <c r="G33" s="106">
        <f t="shared" si="0"/>
        <v>-1.2793718266619429</v>
      </c>
      <c r="H33" s="1205"/>
      <c r="I33" s="1244">
        <v>-0.67787550690422194</v>
      </c>
      <c r="J33" s="932"/>
      <c r="K33" s="1241">
        <f t="shared" si="1"/>
        <v>-4.0541244930957774</v>
      </c>
      <c r="L33" s="1214">
        <f>C33/I33-1</f>
        <v>5.9806328032273788</v>
      </c>
      <c r="O33" s="2"/>
      <c r="S33" s="2"/>
      <c r="T33" s="2"/>
      <c r="U33" s="2"/>
      <c r="V33" s="2"/>
      <c r="W33" s="2"/>
      <c r="X33" s="2"/>
      <c r="Y33" s="2"/>
      <c r="Z33" s="2"/>
      <c r="AA33" s="2"/>
      <c r="AB33" s="2"/>
      <c r="AC33" s="2"/>
      <c r="AD33" s="2"/>
      <c r="AE33" s="2"/>
      <c r="AF33" s="2"/>
      <c r="AG33" s="2"/>
      <c r="AH33" s="2"/>
      <c r="AI33" s="2"/>
      <c r="AJ33" s="2"/>
    </row>
    <row r="34" spans="1:36" ht="12.75" customHeight="1">
      <c r="A34" s="445" t="s">
        <v>205</v>
      </c>
      <c r="B34" s="2"/>
      <c r="C34" s="432">
        <v>-0.91100000000000003</v>
      </c>
      <c r="D34" s="374">
        <f>BYD!AI81</f>
        <v>-4.9119999999999999</v>
      </c>
      <c r="E34" s="1103"/>
      <c r="F34" s="374">
        <f t="shared" si="2"/>
        <v>4.0009999999999994</v>
      </c>
      <c r="G34" s="126">
        <f t="shared" si="0"/>
        <v>-0.81453583061889256</v>
      </c>
      <c r="H34" s="2"/>
      <c r="I34" s="432">
        <v>0.10959127683681621</v>
      </c>
      <c r="J34" s="1103"/>
      <c r="K34" s="374">
        <f t="shared" si="1"/>
        <v>-1.0205912768368162</v>
      </c>
      <c r="L34" s="1204">
        <f>IF(I34=0,"NM",C34/I34-1)</f>
        <v>-9.3127054113668084</v>
      </c>
      <c r="O34" s="2"/>
      <c r="S34" s="2"/>
      <c r="T34" s="2"/>
      <c r="U34" s="2"/>
      <c r="V34" s="2"/>
      <c r="W34" s="2"/>
      <c r="X34" s="2"/>
      <c r="Y34" s="2"/>
      <c r="Z34" s="2"/>
      <c r="AA34" s="2"/>
      <c r="AB34" s="2"/>
      <c r="AC34" s="2"/>
      <c r="AD34" s="2"/>
      <c r="AE34" s="2"/>
      <c r="AF34" s="2"/>
      <c r="AG34" s="2"/>
      <c r="AH34" s="2"/>
      <c r="AI34" s="2"/>
      <c r="AJ34" s="2"/>
    </row>
    <row r="35" spans="1:36" ht="4.5" customHeight="1">
      <c r="A35" s="964"/>
      <c r="B35" s="2"/>
      <c r="C35" s="453" t="s">
        <v>343</v>
      </c>
      <c r="D35" s="452" t="s">
        <v>343</v>
      </c>
      <c r="E35" s="96" t="s">
        <v>343</v>
      </c>
      <c r="F35" s="452" t="s">
        <v>343</v>
      </c>
      <c r="G35" s="1251" t="s">
        <v>343</v>
      </c>
      <c r="H35" s="2" t="s">
        <v>343</v>
      </c>
      <c r="I35" s="453" t="s">
        <v>343</v>
      </c>
      <c r="J35" s="96" t="s">
        <v>343</v>
      </c>
      <c r="K35" s="452" t="s">
        <v>343</v>
      </c>
      <c r="L35" s="1252" t="s">
        <v>343</v>
      </c>
      <c r="N35" s="1102"/>
      <c r="O35" s="1102"/>
      <c r="S35" s="2"/>
      <c r="T35" s="2"/>
      <c r="U35" s="2"/>
      <c r="V35" s="2"/>
      <c r="W35" s="2"/>
      <c r="X35" s="2"/>
      <c r="Y35" s="2"/>
      <c r="Z35" s="2"/>
      <c r="AA35" s="2"/>
      <c r="AB35" s="2"/>
      <c r="AC35" s="2"/>
      <c r="AD35" s="2"/>
      <c r="AE35" s="2"/>
      <c r="AF35" s="2"/>
      <c r="AG35" s="2"/>
      <c r="AH35" s="2"/>
      <c r="AI35" s="2"/>
      <c r="AJ35" s="2"/>
    </row>
    <row r="36" spans="1:36" ht="12.75" customHeight="1">
      <c r="A36" s="107" t="s">
        <v>1243</v>
      </c>
      <c r="B36" s="61"/>
      <c r="C36" s="1213">
        <f>C33+C34</f>
        <v>-5.6429999999999989</v>
      </c>
      <c r="D36" s="929">
        <f>D33+D34</f>
        <v>12.026000000000032</v>
      </c>
      <c r="E36" s="932"/>
      <c r="F36" s="1241">
        <f>F33+F34</f>
        <v>-17.669000000000032</v>
      </c>
      <c r="G36" s="1215">
        <f>G33+G34</f>
        <v>-2.0939076572808357</v>
      </c>
      <c r="H36" s="932"/>
      <c r="I36" s="1244">
        <v>-0.56828423006740569</v>
      </c>
      <c r="J36" s="932"/>
      <c r="K36" s="1241">
        <f>K33+K34</f>
        <v>-5.0747157699325935</v>
      </c>
      <c r="L36" s="1215">
        <f>L33+L34</f>
        <v>-3.3320726081394296</v>
      </c>
      <c r="M36" s="1238"/>
      <c r="N36" s="1238"/>
      <c r="O36" s="61"/>
      <c r="S36" s="2"/>
      <c r="T36" s="2"/>
      <c r="U36" s="2"/>
      <c r="V36" s="2"/>
      <c r="W36" s="2"/>
      <c r="X36" s="2"/>
      <c r="Y36" s="2"/>
      <c r="Z36" s="2"/>
      <c r="AA36" s="2"/>
      <c r="AB36" s="2"/>
      <c r="AC36" s="2"/>
      <c r="AD36" s="2"/>
      <c r="AE36" s="2"/>
      <c r="AF36" s="2"/>
      <c r="AG36" s="2"/>
      <c r="AH36" s="2"/>
      <c r="AI36" s="2"/>
      <c r="AJ36" s="2"/>
    </row>
    <row r="37" spans="1:36" ht="12.75" customHeight="1">
      <c r="A37" s="445" t="s">
        <v>130</v>
      </c>
      <c r="B37" s="2"/>
      <c r="C37" s="432">
        <v>2.6920000000000002</v>
      </c>
      <c r="D37" s="374">
        <f>BYD!AI85</f>
        <v>-8.6440000000000001</v>
      </c>
      <c r="E37" s="1103"/>
      <c r="F37" s="374">
        <f>C37-D37</f>
        <v>11.336</v>
      </c>
      <c r="G37" s="126">
        <f>IF(D37=0,0,C37/D37-1)</f>
        <v>-1.3114298935677926</v>
      </c>
      <c r="H37" s="2"/>
      <c r="I37" s="432">
        <v>-0.83963654631235651</v>
      </c>
      <c r="J37" s="1103"/>
      <c r="K37" s="374">
        <f>C37-I37</f>
        <v>3.5316365463123569</v>
      </c>
      <c r="L37" s="1204">
        <f>IF(I37=0,"NM",C37/I37-1)</f>
        <v>-4.2061491508714521</v>
      </c>
      <c r="O37" s="2"/>
      <c r="S37" s="2"/>
      <c r="T37" s="2"/>
      <c r="U37" s="2"/>
      <c r="V37" s="2"/>
      <c r="W37" s="2"/>
      <c r="X37" s="2"/>
      <c r="Y37" s="2"/>
      <c r="Z37" s="2"/>
      <c r="AA37" s="2"/>
      <c r="AB37" s="2"/>
      <c r="AC37" s="2"/>
      <c r="AD37" s="2"/>
      <c r="AE37" s="2"/>
      <c r="AF37" s="2"/>
      <c r="AG37" s="2"/>
      <c r="AH37" s="2"/>
      <c r="AI37" s="2"/>
      <c r="AJ37" s="2"/>
    </row>
    <row r="38" spans="1:36" ht="4.5" customHeight="1">
      <c r="A38" s="964"/>
      <c r="B38" s="2"/>
      <c r="C38" s="453" t="s">
        <v>343</v>
      </c>
      <c r="D38" s="452" t="s">
        <v>343</v>
      </c>
      <c r="E38" s="96" t="s">
        <v>343</v>
      </c>
      <c r="F38" s="452" t="s">
        <v>343</v>
      </c>
      <c r="G38" s="1251" t="s">
        <v>343</v>
      </c>
      <c r="H38" s="2" t="s">
        <v>343</v>
      </c>
      <c r="I38" s="453" t="s">
        <v>343</v>
      </c>
      <c r="J38" s="96" t="s">
        <v>343</v>
      </c>
      <c r="K38" s="452" t="s">
        <v>343</v>
      </c>
      <c r="L38" s="1252" t="s">
        <v>343</v>
      </c>
      <c r="N38" s="1102"/>
      <c r="O38" s="1102"/>
      <c r="S38" s="2"/>
      <c r="T38" s="2"/>
      <c r="U38" s="2"/>
      <c r="V38" s="2"/>
      <c r="W38" s="2"/>
      <c r="X38" s="2"/>
      <c r="Y38" s="2"/>
      <c r="Z38" s="2"/>
      <c r="AA38" s="2"/>
      <c r="AB38" s="2"/>
      <c r="AC38" s="2"/>
      <c r="AD38" s="2"/>
      <c r="AE38" s="2"/>
      <c r="AF38" s="2"/>
      <c r="AG38" s="2"/>
      <c r="AH38" s="2"/>
      <c r="AI38" s="2"/>
      <c r="AJ38" s="2"/>
    </row>
    <row r="39" spans="1:36" ht="12.75" customHeight="1">
      <c r="A39" s="107" t="s">
        <v>1540</v>
      </c>
      <c r="B39" s="2"/>
      <c r="C39" s="1213">
        <f>C36+C37</f>
        <v>-2.9509999999999987</v>
      </c>
      <c r="D39" s="929">
        <f>D36+D37</f>
        <v>3.3820000000000316</v>
      </c>
      <c r="E39" s="932"/>
      <c r="F39" s="1241">
        <f>F36+F37</f>
        <v>-6.3330000000000322</v>
      </c>
      <c r="G39" s="1215">
        <f>G36+G37</f>
        <v>-3.4053375508486283</v>
      </c>
      <c r="H39" s="932"/>
      <c r="I39" s="1244">
        <v>-1.4079207763797621</v>
      </c>
      <c r="J39" s="932"/>
      <c r="K39" s="1241">
        <f>K36+K37</f>
        <v>-1.5430792236202366</v>
      </c>
      <c r="L39" s="1215">
        <f>L36+L37</f>
        <v>-7.5382217590108818</v>
      </c>
      <c r="O39" s="2"/>
      <c r="S39" s="2"/>
      <c r="T39" s="2"/>
      <c r="U39" s="2"/>
      <c r="V39" s="2"/>
      <c r="W39" s="2"/>
      <c r="X39" s="2"/>
      <c r="Y39" s="2"/>
      <c r="Z39" s="2"/>
      <c r="AA39" s="2"/>
      <c r="AB39" s="2"/>
      <c r="AC39" s="2"/>
      <c r="AD39" s="2"/>
      <c r="AE39" s="2"/>
      <c r="AF39" s="2"/>
      <c r="AG39" s="2"/>
      <c r="AH39" s="2"/>
      <c r="AI39" s="2"/>
      <c r="AJ39" s="2"/>
    </row>
    <row r="40" spans="1:36" ht="12.75" customHeight="1">
      <c r="A40" s="2" t="s">
        <v>1562</v>
      </c>
      <c r="B40" s="2"/>
      <c r="C40" s="1104">
        <f>1.741</f>
        <v>1.7410000000000001</v>
      </c>
      <c r="D40" s="104">
        <f>BYD!AI87</f>
        <v>0.84800000000000031</v>
      </c>
      <c r="E40" s="61"/>
      <c r="F40" s="61"/>
      <c r="G40" s="1141"/>
      <c r="H40" s="2"/>
      <c r="I40" s="1104">
        <v>3.5</v>
      </c>
      <c r="J40" s="61"/>
      <c r="K40" s="61"/>
      <c r="L40" s="1216"/>
      <c r="O40" s="2"/>
      <c r="S40" s="2"/>
      <c r="T40" s="2"/>
      <c r="U40" s="2"/>
      <c r="V40" s="2"/>
      <c r="W40" s="2"/>
      <c r="X40" s="2"/>
      <c r="Y40" s="2"/>
      <c r="Z40" s="2"/>
      <c r="AA40" s="2"/>
      <c r="AB40" s="2"/>
      <c r="AC40" s="2"/>
      <c r="AD40" s="2"/>
      <c r="AE40" s="2"/>
      <c r="AF40" s="2"/>
      <c r="AG40" s="2"/>
      <c r="AH40" s="2"/>
      <c r="AI40" s="2"/>
      <c r="AJ40" s="2"/>
    </row>
    <row r="41" spans="1:36" ht="12.75" customHeight="1">
      <c r="A41" s="147" t="s">
        <v>1747</v>
      </c>
      <c r="B41" s="160"/>
      <c r="C41" s="1217">
        <f>SUM(C39:C40)</f>
        <v>-1.2099999999999986</v>
      </c>
      <c r="D41" s="1309">
        <f>BYD!AI88</f>
        <v>4.2300000000000253</v>
      </c>
      <c r="E41" s="1218"/>
      <c r="F41" s="1218">
        <f>C41-D41</f>
        <v>-5.4400000000000244</v>
      </c>
      <c r="G41" s="1219">
        <f>IF(D41=0,0,C41/D41-1)</f>
        <v>-1.2860520094562626</v>
      </c>
      <c r="H41" s="1220"/>
      <c r="I41" s="1245">
        <v>2.0920792236202379</v>
      </c>
      <c r="J41" s="1218"/>
      <c r="K41" s="1218">
        <f>C41-I41</f>
        <v>-3.3020792236202365</v>
      </c>
      <c r="L41" s="1221">
        <f>C41/I41-1</f>
        <v>-1.5783719786223749</v>
      </c>
      <c r="O41" s="2"/>
      <c r="S41" s="2"/>
      <c r="T41" s="2"/>
      <c r="U41" s="2"/>
      <c r="V41" s="2"/>
      <c r="W41" s="2"/>
      <c r="X41" s="2"/>
      <c r="Y41" s="2"/>
      <c r="Z41" s="2"/>
      <c r="AA41" s="2"/>
      <c r="AB41" s="2"/>
      <c r="AC41" s="2"/>
      <c r="AD41" s="2"/>
      <c r="AE41" s="2"/>
      <c r="AF41" s="2"/>
      <c r="AG41" s="2"/>
      <c r="AH41" s="2"/>
      <c r="AI41" s="2"/>
      <c r="AJ41" s="2"/>
    </row>
    <row r="42" spans="1:36" ht="12.75" customHeight="1">
      <c r="A42" s="2"/>
      <c r="B42" s="2"/>
      <c r="C42" s="112"/>
      <c r="D42" s="77"/>
      <c r="E42" s="61"/>
      <c r="F42" s="61"/>
      <c r="G42" s="1141"/>
      <c r="H42" s="2"/>
      <c r="I42" s="115"/>
      <c r="J42" s="61"/>
      <c r="K42" s="61"/>
      <c r="L42" s="1216"/>
      <c r="O42" s="2"/>
      <c r="S42" s="2"/>
      <c r="T42" s="2"/>
      <c r="U42" s="2"/>
      <c r="V42" s="2"/>
      <c r="W42" s="2"/>
      <c r="X42" s="2"/>
      <c r="Y42" s="2"/>
      <c r="Z42" s="2"/>
      <c r="AA42" s="2"/>
      <c r="AB42" s="2"/>
      <c r="AC42" s="2"/>
      <c r="AD42" s="2"/>
      <c r="AE42" s="2"/>
      <c r="AF42" s="2"/>
      <c r="AG42" s="2"/>
      <c r="AH42" s="2"/>
      <c r="AI42" s="2"/>
      <c r="AJ42" s="2"/>
    </row>
    <row r="43" spans="1:36" ht="12.75" customHeight="1">
      <c r="A43" s="138" t="s">
        <v>746</v>
      </c>
      <c r="B43" s="155"/>
      <c r="C43" s="153">
        <f>C41/C44</f>
        <v>-1.3875510297692751E-2</v>
      </c>
      <c r="D43" s="152">
        <f>+D41/D44</f>
        <v>4.86531250718873E-2</v>
      </c>
      <c r="E43" s="152"/>
      <c r="F43" s="152">
        <f>C43-D43</f>
        <v>-6.2528635369580046E-2</v>
      </c>
      <c r="G43" s="1208">
        <f>IF(D43=0,0,C43/D43-1)</f>
        <v>-1.2851925806860511</v>
      </c>
      <c r="H43" s="155"/>
      <c r="I43" s="1246">
        <v>2.4157958702312212E-2</v>
      </c>
      <c r="J43" s="152"/>
      <c r="K43" s="152">
        <f>C43-I43</f>
        <v>-3.8033469000004962E-2</v>
      </c>
      <c r="L43" s="1211">
        <f>C43/I43-1</f>
        <v>-1.5743660078516772</v>
      </c>
      <c r="O43" s="1256">
        <v>0.01</v>
      </c>
      <c r="S43" s="2"/>
      <c r="T43" s="2"/>
      <c r="U43" s="2"/>
      <c r="V43" s="2"/>
      <c r="W43" s="2"/>
      <c r="X43" s="2"/>
      <c r="Y43" s="2"/>
      <c r="Z43" s="2"/>
      <c r="AA43" s="2"/>
      <c r="AB43" s="2"/>
      <c r="AC43" s="2"/>
      <c r="AD43" s="2"/>
      <c r="AE43" s="2"/>
      <c r="AF43" s="2"/>
      <c r="AG43" s="2"/>
      <c r="AH43" s="2"/>
      <c r="AI43" s="2"/>
      <c r="AJ43" s="2"/>
    </row>
    <row r="44" spans="1:36" ht="12.75" customHeight="1">
      <c r="A44" s="2" t="s">
        <v>769</v>
      </c>
      <c r="B44" s="2"/>
      <c r="C44" s="1104">
        <v>87.203999999999994</v>
      </c>
      <c r="D44" s="104">
        <f>BYD!AI103</f>
        <v>86.941999999999993</v>
      </c>
      <c r="E44" s="1103"/>
      <c r="F44" s="374">
        <f>C44-D44</f>
        <v>0.26200000000000045</v>
      </c>
      <c r="G44" s="126">
        <f>IF(D44=0,0,C44/D44-1)</f>
        <v>3.0135032550435703E-3</v>
      </c>
      <c r="H44" s="2"/>
      <c r="I44" s="1104">
        <v>86.6</v>
      </c>
      <c r="J44" s="1103"/>
      <c r="K44" s="374">
        <f>C44-I44</f>
        <v>0.6039999999999992</v>
      </c>
      <c r="L44" s="1204">
        <f>C44/I44-1</f>
        <v>6.9745958429561217E-3</v>
      </c>
      <c r="O44" s="2"/>
      <c r="S44" s="2"/>
      <c r="T44" s="2"/>
      <c r="U44" s="2"/>
      <c r="V44" s="2"/>
      <c r="W44" s="2"/>
      <c r="X44" s="2"/>
      <c r="Y44" s="2"/>
      <c r="Z44" s="2"/>
      <c r="AA44" s="2"/>
      <c r="AB44" s="2"/>
      <c r="AC44" s="2"/>
      <c r="AD44" s="2"/>
      <c r="AE44" s="2"/>
      <c r="AF44" s="2"/>
      <c r="AG44" s="2"/>
      <c r="AH44" s="2"/>
      <c r="AI44" s="2"/>
      <c r="AJ44" s="2"/>
    </row>
    <row r="45" spans="1:36" ht="12.75" customHeight="1">
      <c r="A45" s="2"/>
      <c r="B45" s="2"/>
      <c r="C45" s="112"/>
      <c r="D45" s="77"/>
      <c r="E45" s="61"/>
      <c r="F45" s="2"/>
      <c r="G45" s="2"/>
      <c r="H45" s="2"/>
      <c r="I45" s="142"/>
      <c r="J45" s="61"/>
      <c r="K45" s="61"/>
      <c r="L45" s="2"/>
      <c r="O45" s="2"/>
      <c r="S45" s="2"/>
      <c r="T45" s="2"/>
      <c r="U45" s="2"/>
      <c r="V45" s="2"/>
      <c r="W45" s="2"/>
      <c r="X45" s="2"/>
      <c r="Y45" s="2"/>
      <c r="Z45" s="2"/>
      <c r="AA45" s="2"/>
      <c r="AB45" s="2"/>
      <c r="AC45" s="2"/>
      <c r="AD45" s="2"/>
      <c r="AE45" s="2"/>
      <c r="AF45" s="2"/>
      <c r="AG45" s="2"/>
      <c r="AH45" s="2"/>
      <c r="AI45" s="2"/>
      <c r="AJ45" s="2"/>
    </row>
    <row r="46" spans="1:36" ht="12.75" customHeight="1">
      <c r="A46" s="1222" t="s">
        <v>271</v>
      </c>
      <c r="B46" s="1223"/>
      <c r="C46" s="1224">
        <f>C19/C12</f>
        <v>0.22493053228328866</v>
      </c>
      <c r="D46" s="1400">
        <f>D19/D12</f>
        <v>0.21611379994175484</v>
      </c>
      <c r="E46" s="1225"/>
      <c r="F46" s="1223"/>
      <c r="G46" s="1226">
        <f>(C46-D46)</f>
        <v>8.8167323415338228E-3</v>
      </c>
      <c r="H46" s="1223"/>
      <c r="I46" s="1431">
        <f>I19/I12</f>
        <v>0.22322342699966982</v>
      </c>
      <c r="J46" s="1225"/>
      <c r="K46" s="1223"/>
      <c r="L46" s="1227">
        <f>(C46-I47)</f>
        <v>-2.6759758322929844E-2</v>
      </c>
      <c r="O46" s="2"/>
      <c r="S46" s="2"/>
      <c r="T46" s="2"/>
      <c r="U46" s="2"/>
      <c r="V46" s="2"/>
      <c r="W46" s="2"/>
      <c r="X46" s="2"/>
      <c r="Y46" s="2"/>
      <c r="Z46" s="2"/>
      <c r="AA46" s="2"/>
      <c r="AB46" s="2"/>
      <c r="AC46" s="2"/>
      <c r="AD46" s="2"/>
      <c r="AE46" s="2"/>
      <c r="AF46" s="2"/>
      <c r="AG46" s="2"/>
      <c r="AH46" s="2"/>
      <c r="AI46" s="2"/>
      <c r="AJ46" s="2"/>
    </row>
    <row r="47" spans="1:36" ht="12.75" customHeight="1">
      <c r="A47" s="1239" t="s">
        <v>514</v>
      </c>
      <c r="B47" s="1228"/>
      <c r="C47" s="1229">
        <f t="shared" ref="C47:D49" si="3">C15/C8</f>
        <v>0.25402407861113302</v>
      </c>
      <c r="D47" s="1230">
        <f t="shared" si="3"/>
        <v>0.24046564496531181</v>
      </c>
      <c r="E47" s="1230"/>
      <c r="F47" s="1228"/>
      <c r="G47" s="1231">
        <f>(C47-D47)</f>
        <v>1.3558433645821211E-2</v>
      </c>
      <c r="H47" s="1228"/>
      <c r="I47" s="1229">
        <f>I15/I8</f>
        <v>0.2516902906062185</v>
      </c>
      <c r="J47" s="1230"/>
      <c r="K47" s="1228"/>
      <c r="L47" s="1232">
        <f>(C47-I47)</f>
        <v>2.3337880049145165E-3</v>
      </c>
      <c r="N47" s="1403">
        <v>564.9</v>
      </c>
      <c r="O47" s="98">
        <v>573.4</v>
      </c>
      <c r="S47" s="2"/>
      <c r="T47" s="2"/>
      <c r="U47" s="2"/>
      <c r="V47" s="2"/>
      <c r="W47" s="2"/>
      <c r="X47" s="2"/>
      <c r="Y47" s="2"/>
      <c r="Z47" s="2"/>
      <c r="AA47" s="2"/>
      <c r="AB47" s="2"/>
      <c r="AC47" s="2"/>
      <c r="AD47" s="2"/>
      <c r="AE47" s="2"/>
      <c r="AF47" s="2"/>
      <c r="AG47" s="2"/>
      <c r="AH47" s="2"/>
      <c r="AI47" s="2"/>
      <c r="AJ47" s="2"/>
    </row>
    <row r="48" spans="1:36" ht="12.75" customHeight="1">
      <c r="A48" s="1239" t="s">
        <v>515</v>
      </c>
      <c r="B48" s="1228"/>
      <c r="C48" s="1229">
        <f t="shared" si="3"/>
        <v>0.16552089776442519</v>
      </c>
      <c r="D48" s="1230">
        <f t="shared" si="3"/>
        <v>0.1687113785042495</v>
      </c>
      <c r="E48" s="1230"/>
      <c r="F48" s="1228"/>
      <c r="G48" s="1231">
        <f>(C48-D48)</f>
        <v>-3.1904807398243085E-3</v>
      </c>
      <c r="H48" s="1228"/>
      <c r="I48" s="1229">
        <f>I16/I9</f>
        <v>0.17485390526407021</v>
      </c>
      <c r="J48" s="1230"/>
      <c r="K48" s="1228"/>
      <c r="L48" s="1232">
        <f>(C48-I48)</f>
        <v>-9.3330074996450241E-3</v>
      </c>
      <c r="N48" s="1403">
        <v>111.7</v>
      </c>
      <c r="O48" s="98">
        <v>116.3</v>
      </c>
      <c r="S48" s="2"/>
      <c r="T48" s="2"/>
      <c r="U48" s="2"/>
      <c r="V48" s="2"/>
      <c r="W48" s="2"/>
      <c r="X48" s="2"/>
      <c r="Y48" s="2"/>
      <c r="Z48" s="2"/>
      <c r="AA48" s="2"/>
      <c r="AB48" s="2"/>
      <c r="AC48" s="2"/>
      <c r="AD48" s="2"/>
      <c r="AE48" s="2"/>
      <c r="AF48" s="2"/>
      <c r="AG48" s="2"/>
      <c r="AH48" s="2"/>
      <c r="AI48" s="2"/>
      <c r="AJ48" s="2"/>
    </row>
    <row r="49" spans="1:36" ht="12.75" customHeight="1">
      <c r="A49" s="1239" t="s">
        <v>516</v>
      </c>
      <c r="B49" s="1228"/>
      <c r="C49" s="1229">
        <f t="shared" si="3"/>
        <v>0.23260394715847507</v>
      </c>
      <c r="D49" s="1230">
        <f t="shared" si="3"/>
        <v>0.19585183717718019</v>
      </c>
      <c r="E49" s="1230"/>
      <c r="F49" s="1228"/>
      <c r="G49" s="1231">
        <f>(C49-D49)</f>
        <v>3.6752109981294884E-2</v>
      </c>
      <c r="H49" s="1228"/>
      <c r="I49" s="1229">
        <f>I17/I10</f>
        <v>0.2121317161990397</v>
      </c>
      <c r="J49" s="1230"/>
      <c r="K49" s="1228"/>
      <c r="L49" s="1232">
        <f>(C49-I49)</f>
        <v>2.0472230959435372E-2</v>
      </c>
      <c r="N49" s="105">
        <f>+N48/N47</f>
        <v>0.19773411223225351</v>
      </c>
      <c r="O49" s="105">
        <f>+O48/O47</f>
        <v>0.20282525287757239</v>
      </c>
      <c r="S49" s="2"/>
      <c r="T49" s="2"/>
      <c r="U49" s="2"/>
      <c r="V49" s="2"/>
      <c r="W49" s="2"/>
      <c r="X49" s="2"/>
      <c r="Y49" s="2"/>
      <c r="Z49" s="2"/>
      <c r="AA49" s="2"/>
      <c r="AB49" s="2"/>
      <c r="AC49" s="2"/>
      <c r="AD49" s="2"/>
      <c r="AE49" s="2"/>
      <c r="AF49" s="2"/>
      <c r="AG49" s="2"/>
      <c r="AH49" s="2"/>
      <c r="AI49" s="2"/>
      <c r="AJ49" s="2"/>
    </row>
    <row r="50" spans="1:36" ht="12.75" customHeight="1">
      <c r="A50" s="1240" t="s">
        <v>273</v>
      </c>
      <c r="B50" s="1233"/>
      <c r="C50" s="1234">
        <f>C18/C11</f>
        <v>0.21152246711462275</v>
      </c>
      <c r="D50" s="1235">
        <f>D18/D11</f>
        <v>0.22986537679515448</v>
      </c>
      <c r="E50" s="1235"/>
      <c r="F50" s="1233"/>
      <c r="G50" s="1236"/>
      <c r="H50" s="1233"/>
      <c r="I50" s="1234">
        <f>I18/I11</f>
        <v>0.22500000000000001</v>
      </c>
      <c r="J50" s="1235"/>
      <c r="K50" s="1233"/>
      <c r="L50" s="1237">
        <f>(C50-I50)</f>
        <v>-1.3477532885377258E-2</v>
      </c>
      <c r="M50" s="1238"/>
      <c r="O50" s="2"/>
      <c r="S50" s="2"/>
      <c r="T50" s="2"/>
      <c r="U50" s="2"/>
      <c r="V50" s="2"/>
      <c r="W50" s="2"/>
      <c r="X50" s="2"/>
      <c r="Y50" s="2"/>
      <c r="Z50" s="2"/>
      <c r="AA50" s="2"/>
      <c r="AB50" s="2"/>
      <c r="AC50" s="2"/>
      <c r="AD50" s="2"/>
      <c r="AE50" s="2"/>
      <c r="AF50" s="2"/>
      <c r="AG50" s="2"/>
      <c r="AH50" s="2"/>
      <c r="AI50" s="2"/>
      <c r="AJ50" s="2"/>
    </row>
    <row r="51" spans="1:36" ht="12.75" customHeight="1">
      <c r="A51" s="61"/>
      <c r="B51" s="61"/>
      <c r="C51" s="1435"/>
      <c r="D51" s="77"/>
      <c r="E51" s="61"/>
      <c r="F51" s="61"/>
      <c r="G51" s="61"/>
      <c r="H51" s="61"/>
      <c r="I51" s="1435"/>
      <c r="J51" s="61"/>
      <c r="K51" s="61"/>
      <c r="L51" s="61"/>
      <c r="N51">
        <v>184.1</v>
      </c>
      <c r="O51" s="2">
        <v>185.8</v>
      </c>
      <c r="S51" s="2"/>
      <c r="T51" s="2"/>
      <c r="U51" s="2"/>
      <c r="V51" s="2"/>
      <c r="W51" s="2"/>
      <c r="X51" s="2"/>
      <c r="Y51" s="2"/>
      <c r="Z51" s="2"/>
      <c r="AA51" s="2"/>
      <c r="AB51" s="2"/>
      <c r="AC51" s="2"/>
      <c r="AD51" s="2"/>
      <c r="AE51" s="2"/>
      <c r="AF51" s="2"/>
      <c r="AG51" s="2"/>
      <c r="AH51" s="2"/>
      <c r="AI51" s="2"/>
      <c r="AJ51" s="2"/>
    </row>
    <row r="52" spans="1:36" ht="12.75" customHeight="1">
      <c r="A52" s="61"/>
      <c r="B52" s="61"/>
      <c r="C52" s="374"/>
      <c r="D52" s="374"/>
      <c r="E52" s="61"/>
      <c r="F52" s="374"/>
      <c r="G52" s="95"/>
      <c r="H52" s="313"/>
      <c r="I52" s="376"/>
      <c r="J52" s="932"/>
      <c r="K52" s="374"/>
      <c r="L52" s="1204"/>
      <c r="N52">
        <v>41.2</v>
      </c>
      <c r="O52" s="2">
        <v>39.299999999999997</v>
      </c>
      <c r="S52" s="2"/>
      <c r="T52" s="2"/>
      <c r="U52" s="2"/>
      <c r="V52" s="2"/>
      <c r="W52" s="2"/>
      <c r="X52" s="2"/>
      <c r="Y52" s="2"/>
      <c r="Z52" s="2"/>
      <c r="AA52" s="2"/>
      <c r="AB52" s="2"/>
      <c r="AC52" s="2"/>
      <c r="AD52" s="2"/>
      <c r="AE52" s="2"/>
      <c r="AF52" s="2"/>
      <c r="AG52" s="2"/>
      <c r="AH52" s="2"/>
      <c r="AI52" s="2"/>
      <c r="AJ52" s="2"/>
    </row>
    <row r="53" spans="1:36" ht="12.75" customHeight="1">
      <c r="A53" s="743"/>
      <c r="B53" s="61"/>
      <c r="C53" s="452"/>
      <c r="D53" s="452"/>
      <c r="E53" s="61"/>
      <c r="F53" s="452"/>
      <c r="G53" s="1433"/>
      <c r="H53" s="61"/>
      <c r="I53" s="879"/>
      <c r="J53" s="1103"/>
      <c r="K53" s="452"/>
      <c r="L53" s="1252"/>
      <c r="N53" s="1404">
        <f>+N52/N51</f>
        <v>0.22379141770776753</v>
      </c>
      <c r="O53" s="1404">
        <f>+O52/O51</f>
        <v>0.21151776103336919</v>
      </c>
    </row>
    <row r="54" spans="1:36" ht="12.75" customHeight="1">
      <c r="A54" s="1"/>
      <c r="B54" s="2"/>
      <c r="C54" s="1241"/>
      <c r="D54" s="1241"/>
      <c r="E54" s="61"/>
      <c r="F54" s="374"/>
      <c r="G54" s="95"/>
      <c r="H54" s="61"/>
      <c r="I54" s="1434"/>
      <c r="J54" s="1103"/>
      <c r="K54" s="1241"/>
      <c r="L54" s="1204"/>
      <c r="O54" s="1143">
        <f>+O53-N53</f>
        <v>-1.2273656674398337E-2</v>
      </c>
    </row>
    <row r="55" spans="1:36" ht="4.5" customHeight="1">
      <c r="A55" s="2"/>
      <c r="B55" s="2"/>
      <c r="C55" s="61"/>
      <c r="D55" s="77"/>
      <c r="E55" s="61"/>
      <c r="F55" s="61"/>
      <c r="G55" s="61"/>
      <c r="H55" s="61"/>
      <c r="I55" s="61"/>
      <c r="J55" s="2"/>
      <c r="K55" s="2"/>
      <c r="L55" s="2"/>
      <c r="O55" s="2"/>
    </row>
    <row r="56" spans="1:36" ht="6" customHeight="1">
      <c r="A56" s="2"/>
      <c r="B56" s="2"/>
      <c r="C56" s="2"/>
      <c r="D56" s="1062"/>
      <c r="E56" s="2"/>
      <c r="F56" s="2"/>
      <c r="G56" s="2"/>
      <c r="H56" s="2"/>
      <c r="I56" s="2"/>
      <c r="J56" s="2"/>
      <c r="K56" s="2"/>
      <c r="L56" s="2"/>
      <c r="O56" s="2"/>
    </row>
    <row r="57" spans="1:36" ht="12.75" customHeight="1">
      <c r="A57" s="2"/>
      <c r="B57" s="2"/>
      <c r="C57" s="2"/>
      <c r="D57" s="1062"/>
      <c r="E57" s="2"/>
      <c r="F57" s="2"/>
      <c r="G57" s="2"/>
      <c r="H57" s="2"/>
      <c r="I57" s="2"/>
      <c r="J57" s="2"/>
      <c r="K57" s="2"/>
      <c r="L57" s="2"/>
      <c r="O57" s="2"/>
    </row>
    <row r="58" spans="1:36" ht="12.75" customHeight="1">
      <c r="A58" s="2"/>
      <c r="B58" s="2"/>
      <c r="C58" s="2"/>
      <c r="D58" s="1062"/>
      <c r="E58" s="2"/>
      <c r="F58" s="2"/>
      <c r="G58" s="2"/>
      <c r="H58" s="2"/>
      <c r="I58" s="2"/>
      <c r="J58" s="2"/>
      <c r="K58" s="2"/>
      <c r="L58" s="2"/>
      <c r="O58" s="2"/>
    </row>
    <row r="59" spans="1:36" ht="12.75" customHeight="1">
      <c r="A59" s="2"/>
      <c r="B59" s="2"/>
      <c r="C59" s="2"/>
      <c r="D59" s="1062"/>
      <c r="E59" s="2"/>
      <c r="F59" s="2"/>
      <c r="G59" s="2"/>
      <c r="H59" s="2"/>
      <c r="I59" s="2"/>
      <c r="J59" s="2"/>
      <c r="K59" s="2"/>
      <c r="L59" s="2"/>
      <c r="O59" s="2"/>
    </row>
    <row r="60" spans="1:36" ht="12.75" customHeight="1">
      <c r="A60" s="2"/>
      <c r="B60" s="2"/>
      <c r="C60" s="2"/>
      <c r="D60" s="1062"/>
      <c r="E60" s="2"/>
      <c r="F60" s="2"/>
      <c r="G60" s="2"/>
      <c r="H60" s="2"/>
      <c r="I60" s="2"/>
      <c r="J60" s="2"/>
      <c r="K60" s="2"/>
      <c r="L60" s="2"/>
      <c r="O60" s="2"/>
    </row>
    <row r="61" spans="1:36" ht="12.75" customHeight="1">
      <c r="A61" s="2"/>
      <c r="B61" s="2"/>
      <c r="C61" s="2"/>
      <c r="D61" s="1062"/>
      <c r="E61" s="2"/>
      <c r="F61" s="2"/>
      <c r="G61" s="2"/>
      <c r="H61" s="2"/>
      <c r="I61" s="2"/>
      <c r="J61" s="2"/>
      <c r="K61" s="2"/>
      <c r="L61" s="2"/>
      <c r="O61" s="2"/>
    </row>
    <row r="62" spans="1:36" ht="12.75" customHeight="1">
      <c r="A62" s="2"/>
      <c r="B62" s="2"/>
      <c r="C62" s="2"/>
      <c r="D62" s="1062"/>
      <c r="E62" s="2"/>
      <c r="F62" s="2"/>
      <c r="G62" s="2"/>
      <c r="H62" s="2"/>
      <c r="I62" s="2"/>
      <c r="J62" s="2"/>
      <c r="K62" s="2"/>
      <c r="L62" s="2"/>
      <c r="N62" s="69" t="s">
        <v>318</v>
      </c>
      <c r="P62" s="2"/>
      <c r="Q62" s="2"/>
      <c r="R62" s="2"/>
    </row>
    <row r="63" spans="1:36" ht="12.75" customHeight="1">
      <c r="A63" s="2"/>
      <c r="B63" s="2"/>
      <c r="C63" s="2"/>
      <c r="D63" s="1062"/>
      <c r="E63" s="2"/>
      <c r="F63" s="2"/>
      <c r="G63" s="2"/>
      <c r="H63" s="2"/>
      <c r="I63" s="2"/>
      <c r="J63" s="2"/>
      <c r="K63" s="2"/>
      <c r="L63" s="2"/>
      <c r="N63" s="2" t="s">
        <v>319</v>
      </c>
      <c r="O63" s="2" t="s">
        <v>320</v>
      </c>
      <c r="P63" s="2" t="s">
        <v>321</v>
      </c>
      <c r="Q63" s="98">
        <v>62.5</v>
      </c>
      <c r="R63" s="98"/>
    </row>
    <row r="64" spans="1:36" ht="12.75" customHeight="1">
      <c r="A64" s="2"/>
      <c r="B64" s="2"/>
      <c r="C64" s="2"/>
      <c r="D64" s="1062"/>
      <c r="E64" s="2"/>
      <c r="F64" s="2"/>
      <c r="G64" s="2"/>
      <c r="H64" s="2"/>
      <c r="I64" s="2"/>
      <c r="J64" s="2"/>
      <c r="K64" s="2"/>
      <c r="L64" s="2"/>
      <c r="N64" s="2"/>
      <c r="O64" s="2" t="s">
        <v>322</v>
      </c>
      <c r="P64" s="2" t="s">
        <v>321</v>
      </c>
      <c r="Q64" s="98">
        <v>87.5</v>
      </c>
      <c r="R64" s="98"/>
    </row>
    <row r="65" spans="1:36" ht="12.75" customHeight="1">
      <c r="A65" s="2"/>
      <c r="B65" s="2"/>
      <c r="C65" s="2"/>
      <c r="D65" s="1062"/>
      <c r="E65" s="2"/>
      <c r="F65" s="2"/>
      <c r="G65" s="2"/>
      <c r="H65" s="2"/>
      <c r="I65" s="2"/>
      <c r="J65" s="2"/>
      <c r="K65" s="2"/>
      <c r="L65" s="2"/>
      <c r="N65" s="2"/>
      <c r="O65" s="2" t="s">
        <v>323</v>
      </c>
      <c r="P65" s="2" t="s">
        <v>321</v>
      </c>
      <c r="Q65" s="98">
        <v>100</v>
      </c>
      <c r="R65" s="98"/>
    </row>
    <row r="66" spans="1:36" ht="12.75" customHeight="1">
      <c r="A66" s="2"/>
      <c r="B66" s="2"/>
      <c r="C66" s="2"/>
      <c r="D66" s="1062"/>
      <c r="E66" s="2"/>
      <c r="F66" s="2"/>
      <c r="G66" s="2"/>
      <c r="H66" s="2"/>
      <c r="I66" s="2"/>
      <c r="J66" s="2"/>
      <c r="K66" s="2"/>
      <c r="L66" s="2"/>
      <c r="N66" s="2"/>
      <c r="O66" s="2" t="s">
        <v>324</v>
      </c>
      <c r="P66" s="2" t="s">
        <v>321</v>
      </c>
      <c r="Q66" s="98">
        <v>112.5</v>
      </c>
      <c r="R66" s="98"/>
    </row>
    <row r="67" spans="1:36" ht="12.75" customHeight="1">
      <c r="A67" s="2"/>
      <c r="B67" s="2"/>
      <c r="C67" s="2"/>
      <c r="D67" s="1062"/>
      <c r="E67" s="2"/>
      <c r="F67" s="2"/>
      <c r="G67" s="2"/>
      <c r="H67" s="2"/>
      <c r="I67" s="2"/>
      <c r="J67" s="2"/>
      <c r="K67" s="2"/>
      <c r="L67" s="2"/>
      <c r="N67" s="2"/>
      <c r="O67" s="2" t="s">
        <v>325</v>
      </c>
      <c r="P67" s="2" t="s">
        <v>321</v>
      </c>
      <c r="Q67" s="98">
        <v>137.5</v>
      </c>
      <c r="R67" s="98"/>
    </row>
    <row r="68" spans="1:36" ht="12.75" customHeight="1">
      <c r="A68" s="2"/>
      <c r="B68" s="2"/>
      <c r="C68" s="2"/>
      <c r="D68" s="1062"/>
      <c r="E68" s="2"/>
      <c r="F68" s="2"/>
      <c r="G68" s="2"/>
      <c r="H68" s="2"/>
      <c r="I68" s="2"/>
      <c r="J68" s="2"/>
      <c r="K68" s="2"/>
      <c r="L68" s="2"/>
      <c r="N68" s="2"/>
      <c r="O68" s="2" t="s">
        <v>326</v>
      </c>
      <c r="P68" s="2" t="s">
        <v>321</v>
      </c>
      <c r="Q68" s="98">
        <v>162.5</v>
      </c>
      <c r="R68" s="98"/>
    </row>
    <row r="69" spans="1:36" ht="12.75" customHeight="1">
      <c r="A69" s="2"/>
      <c r="B69" s="2"/>
      <c r="C69" s="2"/>
      <c r="D69" s="1062"/>
      <c r="E69" s="2"/>
      <c r="F69" s="2"/>
      <c r="G69" s="2"/>
      <c r="H69" s="2"/>
      <c r="I69" s="2"/>
      <c r="J69" s="2"/>
      <c r="K69" s="2"/>
      <c r="L69" s="2"/>
      <c r="O69" s="2"/>
      <c r="S69" s="2"/>
      <c r="T69" s="2"/>
      <c r="U69" s="2"/>
      <c r="V69" s="2"/>
      <c r="W69" s="2"/>
      <c r="X69" s="2"/>
      <c r="Y69" s="2"/>
      <c r="Z69" s="2"/>
      <c r="AA69" s="2"/>
      <c r="AB69" s="2"/>
      <c r="AC69" s="2"/>
      <c r="AD69" s="2"/>
      <c r="AE69" s="2"/>
      <c r="AF69" s="2"/>
      <c r="AG69" s="2"/>
      <c r="AH69" s="2"/>
      <c r="AI69" s="2"/>
      <c r="AJ69" s="2"/>
    </row>
    <row r="70" spans="1:36" ht="12.75" customHeight="1">
      <c r="A70" s="2"/>
      <c r="B70" s="2"/>
      <c r="C70" s="2"/>
      <c r="D70" s="1062"/>
      <c r="E70" s="2"/>
      <c r="F70" s="2"/>
      <c r="G70" s="2"/>
      <c r="H70" s="2"/>
      <c r="I70" s="2"/>
      <c r="J70" s="2"/>
      <c r="K70" s="2"/>
      <c r="L70" s="2"/>
      <c r="O70" s="2"/>
      <c r="S70" s="2"/>
      <c r="T70" s="2"/>
      <c r="U70" s="2"/>
      <c r="V70" s="2"/>
      <c r="W70" s="2"/>
      <c r="X70" s="2"/>
      <c r="Y70" s="2"/>
      <c r="Z70" s="2"/>
      <c r="AA70" s="2"/>
      <c r="AB70" s="2"/>
      <c r="AC70" s="2"/>
      <c r="AD70" s="2"/>
      <c r="AE70" s="2"/>
      <c r="AF70" s="2"/>
      <c r="AG70" s="2"/>
      <c r="AH70" s="2"/>
      <c r="AI70" s="2"/>
      <c r="AJ70" s="2"/>
    </row>
    <row r="71" spans="1:36" ht="12.75" customHeight="1">
      <c r="A71" s="2"/>
      <c r="B71" s="2"/>
      <c r="C71" s="2"/>
      <c r="D71" s="1062"/>
      <c r="E71" s="2"/>
      <c r="F71" s="2"/>
      <c r="G71" s="2"/>
      <c r="H71" s="2"/>
      <c r="I71" s="2"/>
      <c r="J71" s="2"/>
      <c r="K71" s="2"/>
      <c r="L71" s="2"/>
      <c r="O71" s="2"/>
      <c r="S71" s="1" t="s">
        <v>1140</v>
      </c>
      <c r="T71" s="1"/>
      <c r="U71" s="2"/>
      <c r="V71" s="2"/>
      <c r="W71" s="2"/>
      <c r="X71" s="2"/>
      <c r="Y71" s="2"/>
      <c r="Z71" s="2"/>
      <c r="AA71" s="2"/>
      <c r="AB71" s="2"/>
      <c r="AC71" s="2"/>
      <c r="AD71" s="2"/>
      <c r="AE71" s="2"/>
      <c r="AF71" s="2"/>
      <c r="AG71" s="2"/>
      <c r="AH71" s="2"/>
      <c r="AI71" s="2"/>
      <c r="AJ71" s="2"/>
    </row>
    <row r="72" spans="1:36" ht="12.75" customHeight="1">
      <c r="A72" s="2"/>
      <c r="B72" s="2"/>
      <c r="C72" s="2"/>
      <c r="D72" s="1062"/>
      <c r="E72" s="2"/>
      <c r="F72" s="2"/>
      <c r="G72" s="2"/>
      <c r="H72" s="2"/>
      <c r="I72" s="2"/>
      <c r="J72" s="2"/>
      <c r="K72" s="2"/>
      <c r="L72" s="2"/>
      <c r="O72" s="2"/>
      <c r="S72" s="1"/>
      <c r="T72" s="1"/>
      <c r="U72" s="2"/>
      <c r="V72" s="2"/>
      <c r="W72" s="2"/>
      <c r="X72" s="2"/>
      <c r="Y72" s="2"/>
      <c r="Z72" s="2"/>
      <c r="AA72" s="2"/>
      <c r="AB72" s="2"/>
      <c r="AC72" s="2"/>
      <c r="AD72" s="2"/>
      <c r="AE72" s="2"/>
      <c r="AF72" s="2"/>
      <c r="AG72" s="2"/>
      <c r="AH72" s="2"/>
      <c r="AI72" s="2"/>
      <c r="AJ72" s="2"/>
    </row>
    <row r="73" spans="1:36" ht="12.75" customHeight="1">
      <c r="A73" s="2"/>
      <c r="B73" s="2"/>
      <c r="C73" s="2"/>
      <c r="D73" s="1062"/>
      <c r="E73" s="2"/>
      <c r="F73" s="2"/>
      <c r="G73" s="2"/>
      <c r="H73" s="2"/>
      <c r="I73" s="2"/>
      <c r="J73" s="2"/>
      <c r="K73" s="2"/>
      <c r="L73" s="2"/>
      <c r="O73" s="2"/>
      <c r="S73" s="2" t="s">
        <v>1144</v>
      </c>
      <c r="T73" s="2"/>
      <c r="U73" s="2"/>
      <c r="V73" s="2"/>
      <c r="W73" s="2"/>
      <c r="X73" s="2"/>
      <c r="Y73" s="2"/>
      <c r="Z73" s="2"/>
      <c r="AA73" s="2"/>
      <c r="AB73" s="2"/>
      <c r="AC73" s="2"/>
      <c r="AD73" s="2"/>
      <c r="AE73" s="2"/>
      <c r="AF73" s="2"/>
      <c r="AG73" s="2"/>
      <c r="AH73" s="2"/>
      <c r="AI73" s="2"/>
      <c r="AJ73" s="2"/>
    </row>
    <row r="74" spans="1:36" ht="12.75" customHeight="1">
      <c r="A74" s="2"/>
      <c r="B74" s="2"/>
      <c r="C74" s="2"/>
      <c r="D74" s="1062"/>
      <c r="E74" s="2"/>
      <c r="F74" s="2"/>
      <c r="G74" s="2"/>
      <c r="H74" s="2"/>
      <c r="I74" s="2"/>
      <c r="J74" s="2"/>
      <c r="K74" s="2"/>
      <c r="L74" s="2"/>
      <c r="O74" s="2"/>
      <c r="S74" s="69" t="s">
        <v>53</v>
      </c>
      <c r="T74" s="69"/>
      <c r="U74" s="1289" t="s">
        <v>1143</v>
      </c>
      <c r="V74" s="1289"/>
      <c r="W74" s="1289" t="s">
        <v>1142</v>
      </c>
      <c r="X74" s="1289"/>
      <c r="Y74" s="1289" t="s">
        <v>829</v>
      </c>
      <c r="Z74" s="2"/>
      <c r="AA74" s="2"/>
      <c r="AB74" s="2"/>
      <c r="AC74" s="2"/>
      <c r="AD74" s="2"/>
      <c r="AE74" s="2"/>
      <c r="AF74" s="2"/>
      <c r="AG74" s="2"/>
      <c r="AH74" s="2"/>
      <c r="AI74" s="2"/>
      <c r="AJ74" s="2"/>
    </row>
    <row r="75" spans="1:36" ht="12.75" customHeight="1">
      <c r="A75" s="2"/>
      <c r="B75" s="2"/>
      <c r="C75" s="2"/>
      <c r="D75" s="1062"/>
      <c r="E75" s="2"/>
      <c r="F75" s="2"/>
      <c r="G75" s="2"/>
      <c r="H75" s="2"/>
      <c r="I75" s="2"/>
      <c r="J75" s="2"/>
      <c r="K75" s="2"/>
      <c r="L75" s="2"/>
      <c r="O75" s="2"/>
      <c r="S75" s="2" t="s">
        <v>935</v>
      </c>
      <c r="T75" s="2"/>
      <c r="U75" s="1102">
        <v>2295.0639643279405</v>
      </c>
      <c r="V75" s="98"/>
      <c r="W75" s="98">
        <f>BYD!AQ21</f>
        <v>2330.8430000000003</v>
      </c>
      <c r="X75" s="98"/>
      <c r="Y75" s="105">
        <f>W75/U75-1</f>
        <v>1.5589559257681351E-2</v>
      </c>
      <c r="Z75" s="2"/>
      <c r="AA75" s="2"/>
      <c r="AB75" s="2"/>
      <c r="AC75" s="2"/>
      <c r="AD75" s="2"/>
      <c r="AE75" s="2"/>
      <c r="AF75" s="2"/>
      <c r="AG75" s="2"/>
      <c r="AH75" s="2"/>
      <c r="AI75" s="2"/>
      <c r="AJ75" s="2"/>
    </row>
    <row r="76" spans="1:36" ht="12.75" customHeight="1">
      <c r="A76" s="2"/>
      <c r="B76" s="2"/>
      <c r="C76" s="2"/>
      <c r="D76" s="1062"/>
      <c r="E76" s="2"/>
      <c r="F76" s="2"/>
      <c r="G76" s="2"/>
      <c r="H76" s="2"/>
      <c r="I76" s="2"/>
      <c r="J76" s="2"/>
      <c r="K76" s="2"/>
      <c r="L76" s="2"/>
      <c r="O76" s="2"/>
      <c r="S76" s="2" t="s">
        <v>1141</v>
      </c>
      <c r="T76" s="2"/>
      <c r="U76" s="1102">
        <v>495.77194898464336</v>
      </c>
      <c r="V76" s="98"/>
      <c r="W76" s="98">
        <f>BYD!AQ51</f>
        <v>506.30200000000002</v>
      </c>
      <c r="X76" s="98"/>
      <c r="Y76" s="105">
        <f>W76/U76-1</f>
        <v>2.1239707161573973E-2</v>
      </c>
      <c r="Z76" s="2"/>
      <c r="AA76" s="2"/>
      <c r="AB76" s="2"/>
      <c r="AC76" s="2"/>
      <c r="AD76" s="2"/>
      <c r="AE76" s="2"/>
      <c r="AF76" s="2"/>
      <c r="AG76" s="2"/>
      <c r="AH76" s="2"/>
      <c r="AI76" s="2"/>
      <c r="AJ76" s="2"/>
    </row>
    <row r="77" spans="1:36" ht="12.75" customHeight="1">
      <c r="A77" s="2"/>
      <c r="B77" s="2"/>
      <c r="C77" s="2"/>
      <c r="D77" s="1062"/>
      <c r="E77" s="2"/>
      <c r="F77" s="2"/>
      <c r="G77" s="2"/>
      <c r="H77" s="2"/>
      <c r="I77" s="2"/>
      <c r="J77" s="2"/>
      <c r="K77" s="2"/>
      <c r="L77" s="2"/>
      <c r="O77" s="2"/>
      <c r="S77" s="2" t="s">
        <v>200</v>
      </c>
      <c r="T77" s="2"/>
      <c r="U77" s="1401">
        <v>-7.0259452547483628E-2</v>
      </c>
      <c r="V77" s="1336"/>
      <c r="W77" s="1181">
        <f>BYD!AQ95</f>
        <v>-3.2745966864743742E-3</v>
      </c>
      <c r="X77" s="1336"/>
      <c r="Y77" s="105">
        <f>W77/U77-1</f>
        <v>-0.95339279530734611</v>
      </c>
      <c r="Z77" s="2"/>
      <c r="AA77" s="2"/>
      <c r="AB77" s="2"/>
      <c r="AC77" s="2"/>
      <c r="AD77" s="2"/>
      <c r="AE77" s="2"/>
      <c r="AF77" s="2"/>
      <c r="AG77" s="2"/>
      <c r="AH77" s="2"/>
      <c r="AI77" s="2"/>
      <c r="AJ77" s="2"/>
    </row>
    <row r="78" spans="1:36" ht="12.75" customHeight="1">
      <c r="A78" s="2"/>
      <c r="B78" s="2"/>
      <c r="C78" s="2"/>
      <c r="D78" s="1062"/>
      <c r="E78" s="2"/>
      <c r="F78" s="2"/>
      <c r="G78" s="2"/>
      <c r="H78" s="2"/>
      <c r="I78" s="2"/>
      <c r="J78" s="2"/>
      <c r="K78" s="2"/>
      <c r="L78" s="2"/>
      <c r="O78" s="2"/>
      <c r="S78" s="2"/>
      <c r="T78" s="2"/>
      <c r="U78" s="98"/>
      <c r="V78" s="98"/>
      <c r="W78" s="98"/>
      <c r="X78" s="98"/>
      <c r="Y78" s="2"/>
      <c r="Z78" s="2"/>
      <c r="AA78" s="2"/>
      <c r="AB78" s="2"/>
      <c r="AC78" s="2"/>
      <c r="AD78" s="2"/>
      <c r="AE78" s="2"/>
      <c r="AF78" s="2"/>
      <c r="AG78" s="2"/>
      <c r="AH78" s="2"/>
      <c r="AI78" s="2"/>
      <c r="AJ78" s="2"/>
    </row>
    <row r="79" spans="1:36" ht="12.75" customHeight="1">
      <c r="A79" s="2"/>
      <c r="B79" s="2"/>
      <c r="C79" s="2"/>
      <c r="D79" s="1062"/>
      <c r="E79" s="2"/>
      <c r="F79" s="2"/>
      <c r="G79" s="2"/>
      <c r="H79" s="2"/>
      <c r="I79" s="2"/>
      <c r="J79" s="2"/>
      <c r="K79" s="2"/>
      <c r="L79" s="2"/>
      <c r="O79" s="2"/>
      <c r="S79" s="69" t="s">
        <v>54</v>
      </c>
      <c r="T79" s="69"/>
      <c r="U79" s="98"/>
      <c r="V79" s="98"/>
      <c r="W79" s="98"/>
      <c r="X79" s="98"/>
      <c r="Y79" s="2"/>
      <c r="Z79" s="2"/>
      <c r="AA79" s="2"/>
      <c r="AB79" s="2"/>
      <c r="AC79" s="2"/>
      <c r="AD79" s="2"/>
      <c r="AE79" s="2"/>
      <c r="AF79" s="2"/>
      <c r="AG79" s="2"/>
      <c r="AH79" s="2"/>
      <c r="AI79" s="2"/>
      <c r="AJ79" s="2"/>
    </row>
    <row r="80" spans="1:36" ht="12.75" customHeight="1">
      <c r="A80" s="2"/>
      <c r="B80" s="2"/>
      <c r="C80" s="2"/>
      <c r="D80" s="1062"/>
      <c r="E80" s="2"/>
      <c r="F80" s="2"/>
      <c r="G80" s="2"/>
      <c r="H80" s="2"/>
      <c r="I80" s="2"/>
      <c r="J80" s="2"/>
      <c r="K80" s="2"/>
      <c r="L80" s="2"/>
      <c r="O80" s="2"/>
      <c r="S80" s="2" t="s">
        <v>935</v>
      </c>
      <c r="T80" s="2"/>
      <c r="U80" s="1102">
        <v>2315.6543005231315</v>
      </c>
      <c r="V80" s="98"/>
      <c r="W80" s="98">
        <f>BYD!AV21</f>
        <v>2482.8190000000004</v>
      </c>
      <c r="X80" s="98"/>
      <c r="Y80" s="105">
        <f>W80/U80-1</f>
        <v>7.2188970278985298E-2</v>
      </c>
      <c r="Z80" s="2"/>
      <c r="AA80" s="2"/>
      <c r="AB80" s="2"/>
      <c r="AC80" s="2"/>
      <c r="AD80" s="2"/>
      <c r="AE80" s="2"/>
      <c r="AF80" s="2"/>
      <c r="AG80" s="2"/>
      <c r="AH80" s="2"/>
      <c r="AI80" s="2"/>
      <c r="AJ80" s="2"/>
    </row>
    <row r="81" spans="1:36" ht="12.75" customHeight="1">
      <c r="A81" s="2"/>
      <c r="B81" s="2"/>
      <c r="C81" s="2"/>
      <c r="D81" s="1062"/>
      <c r="E81" s="2"/>
      <c r="F81" s="2"/>
      <c r="G81" s="2"/>
      <c r="H81" s="2"/>
      <c r="I81" s="2"/>
      <c r="J81" s="2"/>
      <c r="K81" s="2"/>
      <c r="L81" s="2"/>
      <c r="O81" s="2"/>
      <c r="S81" s="2" t="s">
        <v>1141</v>
      </c>
      <c r="T81" s="2"/>
      <c r="U81" s="1102">
        <v>521.27038478163502</v>
      </c>
      <c r="V81" s="98"/>
      <c r="W81" s="98">
        <f>BYD!AV51</f>
        <v>492.05100000000004</v>
      </c>
      <c r="X81" s="98"/>
      <c r="Y81" s="105">
        <f>W81/U81-1</f>
        <v>-5.6054181543183645E-2</v>
      </c>
      <c r="Z81" s="2"/>
      <c r="AA81" s="2"/>
      <c r="AB81" s="2"/>
      <c r="AC81" s="2"/>
      <c r="AD81" s="2"/>
      <c r="AE81" s="2"/>
      <c r="AF81" s="2"/>
      <c r="AG81" s="2"/>
      <c r="AH81" s="2"/>
      <c r="AI81" s="2"/>
      <c r="AJ81" s="2"/>
    </row>
    <row r="82" spans="1:36" ht="12.75" customHeight="1">
      <c r="A82" s="2"/>
      <c r="B82" s="2"/>
      <c r="C82" s="2"/>
      <c r="D82" s="1062"/>
      <c r="E82" s="2"/>
      <c r="F82" s="2"/>
      <c r="G82" s="2"/>
      <c r="H82" s="2"/>
      <c r="I82" s="2"/>
      <c r="J82" s="2"/>
      <c r="K82" s="2"/>
      <c r="L82" s="2"/>
      <c r="O82" s="2"/>
      <c r="S82" s="2" t="s">
        <v>200</v>
      </c>
      <c r="T82" s="2"/>
      <c r="U82" s="1401">
        <v>0.14923942094818399</v>
      </c>
      <c r="V82" s="1336"/>
      <c r="W82" s="1181">
        <f>BYD!AV95</f>
        <v>-0.27977684479532566</v>
      </c>
      <c r="X82" s="1336"/>
      <c r="Y82" s="105">
        <f>W82/U82-1</f>
        <v>-2.8746846042270855</v>
      </c>
      <c r="Z82" s="2"/>
      <c r="AA82" s="2"/>
      <c r="AB82" s="2"/>
      <c r="AC82" s="2"/>
      <c r="AD82" s="2"/>
      <c r="AE82" s="2"/>
      <c r="AF82" s="2"/>
      <c r="AG82" s="2"/>
      <c r="AH82" s="2"/>
      <c r="AI82" s="2"/>
      <c r="AJ82" s="2"/>
    </row>
    <row r="83" spans="1:36" ht="12.75" customHeight="1">
      <c r="A83" s="2"/>
      <c r="B83" s="2"/>
      <c r="C83" s="2"/>
      <c r="D83" s="1062"/>
      <c r="E83" s="2"/>
      <c r="F83" s="2"/>
      <c r="G83" s="2"/>
      <c r="H83" s="2"/>
      <c r="I83" s="2"/>
      <c r="J83" s="2"/>
      <c r="K83" s="2"/>
      <c r="L83" s="2"/>
      <c r="O83" s="2"/>
      <c r="S83" s="2"/>
      <c r="T83" s="2"/>
      <c r="U83" s="2"/>
      <c r="V83" s="2"/>
      <c r="W83" s="2"/>
      <c r="X83" s="2"/>
      <c r="Y83" s="2"/>
      <c r="Z83" s="2"/>
      <c r="AA83" s="2"/>
      <c r="AB83" s="2"/>
      <c r="AC83" s="2"/>
      <c r="AD83" s="2"/>
      <c r="AE83" s="2"/>
      <c r="AF83" s="2"/>
      <c r="AG83" s="2"/>
      <c r="AH83" s="2"/>
      <c r="AI83" s="2"/>
      <c r="AJ83" s="2"/>
    </row>
    <row r="84" spans="1:36" ht="12.75" customHeight="1">
      <c r="A84" s="2"/>
      <c r="B84" s="2"/>
      <c r="C84" s="2"/>
      <c r="D84" s="1062"/>
      <c r="E84" s="2"/>
      <c r="F84" s="2"/>
      <c r="G84" s="2"/>
      <c r="H84" s="2"/>
      <c r="I84" s="2"/>
      <c r="J84" s="2"/>
      <c r="K84" s="2"/>
      <c r="L84" s="2"/>
      <c r="O84" s="2"/>
      <c r="S84" s="2"/>
      <c r="T84" s="2"/>
      <c r="U84" s="2"/>
      <c r="V84" s="2"/>
      <c r="W84" s="2"/>
      <c r="X84" s="2"/>
      <c r="Y84" s="2"/>
      <c r="Z84" s="2"/>
      <c r="AA84" s="1" t="s">
        <v>1566</v>
      </c>
      <c r="AB84" s="2"/>
      <c r="AC84" s="2"/>
      <c r="AD84" s="2"/>
      <c r="AE84" s="2"/>
      <c r="AF84" s="2"/>
      <c r="AG84" s="2"/>
      <c r="AH84" s="2"/>
      <c r="AI84" s="2"/>
      <c r="AJ84" s="2"/>
    </row>
    <row r="85" spans="1:36" ht="12.75" customHeight="1">
      <c r="A85" s="2"/>
      <c r="B85" s="2"/>
      <c r="C85" s="2"/>
      <c r="D85" s="1062"/>
      <c r="E85" s="2"/>
      <c r="F85" s="2"/>
      <c r="G85" s="2"/>
      <c r="H85" s="2"/>
      <c r="I85" s="2"/>
      <c r="J85" s="2"/>
      <c r="K85" s="2"/>
      <c r="L85" s="2"/>
      <c r="O85" s="2"/>
      <c r="S85" s="2"/>
      <c r="T85" s="2"/>
      <c r="U85" s="2"/>
      <c r="V85" s="2"/>
      <c r="W85" s="2"/>
      <c r="X85" s="2"/>
      <c r="Y85" s="2"/>
      <c r="Z85" s="2"/>
      <c r="AA85" s="2"/>
      <c r="AB85" s="2"/>
      <c r="AC85" s="2"/>
      <c r="AD85" s="2"/>
      <c r="AE85" s="2"/>
      <c r="AF85" s="2"/>
      <c r="AG85" s="2"/>
      <c r="AH85" s="2"/>
      <c r="AI85" s="2"/>
      <c r="AJ85" s="2"/>
    </row>
    <row r="86" spans="1:36" ht="12.75" customHeight="1">
      <c r="A86" s="2"/>
      <c r="B86" s="2"/>
      <c r="C86" s="2"/>
      <c r="D86" s="1062"/>
      <c r="E86" s="2"/>
      <c r="F86" s="2"/>
      <c r="G86" s="2"/>
      <c r="H86" s="2"/>
      <c r="I86" s="2"/>
      <c r="J86" s="2"/>
      <c r="K86" s="2"/>
      <c r="L86" s="2"/>
      <c r="O86" s="2"/>
      <c r="S86" s="2"/>
      <c r="T86" s="2"/>
      <c r="U86" s="2"/>
      <c r="V86" s="2"/>
      <c r="W86" s="2"/>
      <c r="X86" s="2"/>
      <c r="Y86" s="2"/>
      <c r="Z86" s="2"/>
      <c r="AA86" s="2"/>
      <c r="AB86" s="1432" t="s">
        <v>1699</v>
      </c>
      <c r="AC86" s="1432"/>
      <c r="AD86" s="1432" t="s">
        <v>1700</v>
      </c>
      <c r="AE86" s="1432"/>
      <c r="AF86" s="1432" t="s">
        <v>1565</v>
      </c>
      <c r="AG86" s="1432"/>
      <c r="AH86" s="1432">
        <v>2011</v>
      </c>
      <c r="AI86" s="1432"/>
      <c r="AJ86" s="1432">
        <v>2012</v>
      </c>
    </row>
    <row r="87" spans="1:36" ht="12.75" customHeight="1">
      <c r="A87" s="2"/>
      <c r="B87" s="2"/>
      <c r="C87" s="2"/>
      <c r="D87" s="1062"/>
      <c r="E87" s="2"/>
      <c r="F87" s="2"/>
      <c r="G87" s="2"/>
      <c r="H87" s="2"/>
      <c r="I87" s="2"/>
      <c r="J87" s="2"/>
      <c r="K87" s="2"/>
      <c r="L87" s="2"/>
      <c r="O87" s="2"/>
      <c r="S87" s="2"/>
      <c r="T87" s="2"/>
      <c r="U87" s="2"/>
      <c r="V87" s="2"/>
      <c r="W87" s="2"/>
      <c r="X87" s="2"/>
      <c r="Y87" s="2"/>
      <c r="Z87" s="2"/>
      <c r="AA87" s="2" t="s">
        <v>1719</v>
      </c>
      <c r="AB87" s="1082">
        <v>578.1</v>
      </c>
      <c r="AC87" s="1082"/>
      <c r="AD87" s="1082">
        <v>603</v>
      </c>
      <c r="AE87" s="1082"/>
      <c r="AF87" s="1082">
        <v>559.6</v>
      </c>
      <c r="AG87" s="1082"/>
      <c r="AH87" s="1082">
        <v>2305.6999999999998</v>
      </c>
      <c r="AI87" s="1082"/>
      <c r="AJ87" s="1082">
        <v>2349.1</v>
      </c>
    </row>
    <row r="88" spans="1:36" ht="12.75" customHeight="1">
      <c r="A88" s="2"/>
      <c r="B88" s="2"/>
      <c r="C88" s="2"/>
      <c r="D88" s="1062"/>
      <c r="E88" s="2"/>
      <c r="F88" s="2"/>
      <c r="G88" s="2"/>
      <c r="H88" s="2"/>
      <c r="I88" s="2"/>
      <c r="J88" s="2"/>
      <c r="K88" s="2"/>
      <c r="L88" s="2"/>
      <c r="O88" s="2"/>
      <c r="S88" s="2"/>
      <c r="T88" s="2"/>
      <c r="U88" s="2"/>
      <c r="V88" s="2"/>
      <c r="W88" s="2"/>
      <c r="X88" s="2"/>
      <c r="Y88" s="2"/>
      <c r="Z88" s="2"/>
      <c r="AA88" s="2" t="s">
        <v>401</v>
      </c>
      <c r="AB88" s="1082">
        <v>114.9</v>
      </c>
      <c r="AC88" s="1082"/>
      <c r="AD88" s="1082">
        <v>122.1</v>
      </c>
      <c r="AE88" s="1082"/>
      <c r="AF88" s="1082">
        <v>104.5</v>
      </c>
      <c r="AG88" s="1082"/>
      <c r="AH88" s="1082">
        <v>454.1</v>
      </c>
      <c r="AI88" s="1082"/>
      <c r="AJ88" s="1082">
        <v>465.3</v>
      </c>
    </row>
    <row r="89" spans="1:36" ht="12.75" customHeight="1">
      <c r="A89" s="2"/>
      <c r="B89" s="2"/>
      <c r="C89" s="2"/>
      <c r="D89" s="1062"/>
      <c r="E89" s="2"/>
      <c r="F89" s="2"/>
      <c r="G89" s="2"/>
      <c r="H89" s="2"/>
      <c r="I89" s="2"/>
      <c r="J89" s="2"/>
      <c r="K89" s="2"/>
      <c r="L89" s="2"/>
      <c r="O89" s="2"/>
      <c r="S89" s="2"/>
      <c r="T89" s="2"/>
      <c r="U89" s="2"/>
      <c r="V89" s="2"/>
      <c r="W89" s="2"/>
      <c r="X89" s="2"/>
      <c r="Y89" s="2"/>
      <c r="Z89" s="2"/>
      <c r="AA89" s="2" t="s">
        <v>200</v>
      </c>
      <c r="AB89" s="1118">
        <v>0.02</v>
      </c>
      <c r="AC89" s="1118"/>
      <c r="AD89" s="1118">
        <v>0.01</v>
      </c>
      <c r="AE89" s="1118"/>
      <c r="AF89" s="1118">
        <v>-0.02</v>
      </c>
      <c r="AG89" s="1118"/>
      <c r="AH89" s="1118">
        <v>0.02</v>
      </c>
      <c r="AI89" s="1118"/>
      <c r="AJ89" s="1118">
        <v>0.23</v>
      </c>
    </row>
  </sheetData>
  <phoneticPr fontId="10" type="noConversion"/>
  <pageMargins left="0.75" right="0.75" top="1" bottom="1" header="0.5" footer="0.5"/>
  <pageSetup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autoPageBreaks="0"/>
  </sheetPr>
  <dimension ref="A1:Y83"/>
  <sheetViews>
    <sheetView zoomScale="85" zoomScaleNormal="85" workbookViewId="0">
      <selection activeCell="P21" sqref="P21"/>
    </sheetView>
  </sheetViews>
  <sheetFormatPr defaultRowHeight="12.75" customHeight="1"/>
  <cols>
    <col min="1" max="1" width="21.5" customWidth="1"/>
    <col min="2" max="2" width="1.5" customWidth="1"/>
    <col min="5" max="5" width="1.5" customWidth="1"/>
    <col min="8" max="8" width="1.5" customWidth="1"/>
    <col min="10" max="10" width="1.5" customWidth="1"/>
    <col min="16" max="16" width="3.25" customWidth="1"/>
    <col min="18" max="18" width="1" customWidth="1"/>
    <col min="19" max="19" width="19" customWidth="1"/>
    <col min="20" max="20" width="1.625" customWidth="1"/>
    <col min="21" max="21" width="8.625" customWidth="1"/>
    <col min="22" max="22" width="1.625" customWidth="1"/>
    <col min="23" max="23" width="8.625" customWidth="1"/>
    <col min="24" max="24" width="1.625" customWidth="1"/>
    <col min="25" max="25" width="8.625" customWidth="1"/>
  </cols>
  <sheetData>
    <row r="1" spans="1:25" ht="12.75" customHeight="1">
      <c r="A1" s="1" t="s">
        <v>629</v>
      </c>
      <c r="B1" s="2"/>
      <c r="C1" s="2"/>
      <c r="D1" s="1062"/>
      <c r="E1" s="2"/>
      <c r="F1" s="2"/>
      <c r="G1" s="2"/>
      <c r="H1" s="2"/>
      <c r="I1" s="2"/>
      <c r="J1" s="2"/>
      <c r="K1" s="2"/>
      <c r="L1" s="2"/>
      <c r="O1" s="2"/>
      <c r="S1" s="2"/>
      <c r="T1" s="2"/>
      <c r="U1" s="2"/>
      <c r="V1" s="2"/>
      <c r="W1" s="2"/>
      <c r="X1" s="2"/>
      <c r="Y1" s="2"/>
    </row>
    <row r="2" spans="1:25" ht="12.75" customHeight="1">
      <c r="A2" s="1" t="s">
        <v>1224</v>
      </c>
      <c r="B2" s="2"/>
      <c r="C2" s="2"/>
      <c r="D2" s="1062"/>
      <c r="E2" s="2"/>
      <c r="F2" s="2"/>
      <c r="G2" s="2"/>
      <c r="H2" s="2"/>
      <c r="I2" s="2"/>
      <c r="J2" s="2"/>
      <c r="K2" s="2"/>
      <c r="L2" s="2"/>
      <c r="O2" s="2"/>
      <c r="S2" s="2"/>
      <c r="T2" s="2"/>
      <c r="U2" s="2"/>
      <c r="V2" s="2"/>
      <c r="W2" s="2"/>
      <c r="X2" s="2"/>
      <c r="Y2" s="2"/>
    </row>
    <row r="3" spans="1:25" ht="12.75" customHeight="1">
      <c r="A3" s="2" t="s">
        <v>1225</v>
      </c>
      <c r="B3" s="2"/>
      <c r="C3" s="2"/>
      <c r="D3" s="1062"/>
      <c r="E3" s="2"/>
      <c r="F3" s="2"/>
      <c r="G3" s="2"/>
      <c r="H3" s="2"/>
      <c r="I3" s="2"/>
      <c r="J3" s="2"/>
      <c r="K3" s="2"/>
      <c r="L3" s="2"/>
      <c r="O3" s="2"/>
      <c r="S3" s="2"/>
      <c r="T3" s="2"/>
      <c r="U3" s="2"/>
      <c r="V3" s="2"/>
      <c r="W3" s="2"/>
      <c r="X3" s="2"/>
      <c r="Y3" s="2"/>
    </row>
    <row r="4" spans="1:25" ht="12.75" customHeight="1">
      <c r="A4" s="2"/>
      <c r="B4" s="2"/>
      <c r="C4" s="1195" t="s">
        <v>818</v>
      </c>
      <c r="D4" s="1310"/>
      <c r="E4" s="1196"/>
      <c r="F4" s="1196"/>
      <c r="G4" s="1196"/>
      <c r="H4" s="2"/>
      <c r="I4" s="1195" t="s">
        <v>1504</v>
      </c>
      <c r="J4" s="1197"/>
      <c r="K4" s="1196"/>
      <c r="L4" s="1196"/>
      <c r="O4" s="73" t="s">
        <v>1030</v>
      </c>
      <c r="S4" s="2"/>
      <c r="T4" s="2"/>
      <c r="U4" s="2"/>
      <c r="V4" s="2"/>
      <c r="W4" s="2"/>
      <c r="X4" s="2"/>
      <c r="Y4" s="2"/>
    </row>
    <row r="5" spans="1:25" ht="12.75" customHeight="1">
      <c r="A5" s="2"/>
      <c r="B5" s="2"/>
      <c r="C5" s="1198"/>
      <c r="D5" s="77"/>
      <c r="E5" s="2"/>
      <c r="F5" s="1197" t="s">
        <v>1505</v>
      </c>
      <c r="G5" s="1197"/>
      <c r="H5" s="2"/>
      <c r="I5" s="1198"/>
      <c r="J5" s="61"/>
      <c r="K5" s="1197" t="s">
        <v>1505</v>
      </c>
      <c r="L5" s="1197"/>
      <c r="O5" s="2"/>
      <c r="S5" s="2"/>
      <c r="T5" s="2"/>
      <c r="U5" s="2"/>
      <c r="V5" s="2"/>
      <c r="W5" s="2"/>
      <c r="X5" s="2"/>
      <c r="Y5" s="2"/>
    </row>
    <row r="6" spans="1:25" ht="12.75" customHeight="1">
      <c r="A6" s="61"/>
      <c r="B6" s="2"/>
      <c r="C6" s="1199" t="s">
        <v>1708</v>
      </c>
      <c r="D6" s="1308" t="s">
        <v>729</v>
      </c>
      <c r="E6" s="70"/>
      <c r="F6" s="73" t="s">
        <v>658</v>
      </c>
      <c r="G6" s="73" t="s">
        <v>740</v>
      </c>
      <c r="H6" s="2"/>
      <c r="I6" s="1199" t="s">
        <v>1576</v>
      </c>
      <c r="J6" s="70"/>
      <c r="K6" s="73" t="s">
        <v>658</v>
      </c>
      <c r="L6" s="73" t="s">
        <v>740</v>
      </c>
      <c r="O6" s="2"/>
      <c r="S6" s="2"/>
      <c r="T6" s="2"/>
      <c r="U6" s="2"/>
      <c r="V6" s="2"/>
      <c r="W6" s="2"/>
      <c r="X6" s="2"/>
      <c r="Y6" s="2"/>
    </row>
    <row r="7" spans="1:25" ht="12.75" customHeight="1">
      <c r="A7" s="1" t="s">
        <v>741</v>
      </c>
      <c r="B7" s="2"/>
      <c r="C7" s="112"/>
      <c r="D7" s="77"/>
      <c r="E7" s="2"/>
      <c r="F7" s="2"/>
      <c r="G7" s="2"/>
      <c r="H7" s="2"/>
      <c r="I7" s="112"/>
      <c r="J7" s="61"/>
      <c r="K7" s="2"/>
      <c r="L7" s="2"/>
      <c r="O7" s="2"/>
      <c r="S7" s="2"/>
      <c r="T7" s="2"/>
      <c r="U7" s="2"/>
      <c r="V7" s="2"/>
      <c r="W7" s="2"/>
      <c r="X7" s="2"/>
      <c r="Y7" s="2"/>
    </row>
    <row r="8" spans="1:25" ht="12.75" customHeight="1">
      <c r="A8" s="334" t="s">
        <v>514</v>
      </c>
      <c r="B8" s="2"/>
      <c r="C8" s="1201">
        <f>BYD!AM10</f>
        <v>154.51900000000001</v>
      </c>
      <c r="D8" s="858">
        <f>BYD!AH10</f>
        <v>156.572</v>
      </c>
      <c r="E8" s="1202"/>
      <c r="F8" s="1205">
        <f>C8-D8</f>
        <v>-2.0529999999999973</v>
      </c>
      <c r="G8" s="126">
        <f>IF(D8=0,0,C8/D8-1)</f>
        <v>-1.3112178422706511E-2</v>
      </c>
      <c r="H8" s="1205"/>
      <c r="I8" s="1207">
        <v>155.78914</v>
      </c>
      <c r="J8" s="1202"/>
      <c r="K8" s="313">
        <f>C8-I8</f>
        <v>-1.2701399999999978</v>
      </c>
      <c r="L8" s="1204">
        <f>IF(I8=0,"NM",C8/I8-1)</f>
        <v>-8.1529431383984274E-3</v>
      </c>
      <c r="O8" s="2"/>
      <c r="S8" s="2"/>
      <c r="T8" s="2"/>
      <c r="U8" s="2"/>
      <c r="V8" s="2"/>
      <c r="W8" s="2"/>
      <c r="X8" s="2"/>
      <c r="Y8" s="2"/>
    </row>
    <row r="9" spans="1:25" ht="12.75" customHeight="1">
      <c r="A9" s="334" t="s">
        <v>515</v>
      </c>
      <c r="B9" s="61"/>
      <c r="C9" s="146">
        <f>BYD!AM11</f>
        <v>55.665999999999997</v>
      </c>
      <c r="D9" s="104">
        <f>BYD!AH11</f>
        <v>54.006999999999998</v>
      </c>
      <c r="E9" s="1103"/>
      <c r="F9" s="374">
        <f>C9-D9</f>
        <v>1.6589999999999989</v>
      </c>
      <c r="G9" s="95">
        <f>IF(D9=0,0,C9/D9-1)</f>
        <v>3.0718240228118532E-2</v>
      </c>
      <c r="H9" s="61"/>
      <c r="I9" s="1104">
        <v>53.466929999999998</v>
      </c>
      <c r="J9" s="1103"/>
      <c r="K9" s="374">
        <f>C9-I9</f>
        <v>2.199069999999999</v>
      </c>
      <c r="L9" s="92">
        <f>IF(I9=0,"NM",C9/I9-1)</f>
        <v>4.1129535583958043E-2</v>
      </c>
      <c r="O9" s="2"/>
      <c r="S9" s="2"/>
      <c r="T9" s="2"/>
      <c r="U9" s="2"/>
      <c r="V9" s="2"/>
      <c r="W9" s="2"/>
      <c r="X9" s="2"/>
      <c r="Y9" s="2"/>
    </row>
    <row r="10" spans="1:25" ht="12.75" customHeight="1">
      <c r="A10" s="334" t="s">
        <v>516</v>
      </c>
      <c r="B10" s="61"/>
      <c r="C10" s="146">
        <f>BYD!AM13</f>
        <v>184.13</v>
      </c>
      <c r="D10" s="207">
        <v>185.80600000000001</v>
      </c>
      <c r="E10" s="1103"/>
      <c r="F10" s="374">
        <f>C10-D10</f>
        <v>-1.6760000000000161</v>
      </c>
      <c r="G10" s="95">
        <f>IF(D10=0,0,C10/D10-1)</f>
        <v>-9.0201608128909205E-3</v>
      </c>
      <c r="H10" s="61"/>
      <c r="I10" s="1104">
        <v>185.4578909958708</v>
      </c>
      <c r="J10" s="1103"/>
      <c r="K10" s="374">
        <f>C10-I10</f>
        <v>-1.3278909958708027</v>
      </c>
      <c r="L10" s="92">
        <f>IF(I10=0,"NM",C10/I10-1)</f>
        <v>-7.1600673810119364E-3</v>
      </c>
      <c r="O10" s="2"/>
      <c r="S10" s="2"/>
      <c r="T10" s="2"/>
      <c r="U10" s="2"/>
      <c r="V10" s="2"/>
      <c r="W10" s="2"/>
      <c r="X10" s="2"/>
      <c r="Y10" s="2"/>
    </row>
    <row r="11" spans="1:25" ht="12.75" customHeight="1">
      <c r="A11" s="334" t="s">
        <v>273</v>
      </c>
      <c r="B11" s="61"/>
      <c r="C11" s="146">
        <f>BYD!AM906</f>
        <v>169.09</v>
      </c>
      <c r="D11" s="104">
        <f>BYD!AH906</f>
        <v>175.066</v>
      </c>
      <c r="E11" s="1103"/>
      <c r="F11" s="374">
        <f>C11-D11</f>
        <v>-5.9759999999999991</v>
      </c>
      <c r="G11" s="95">
        <f>IF(D11=0,0,C11/D11-1)</f>
        <v>-3.4135697394125586E-2</v>
      </c>
      <c r="H11" s="61"/>
      <c r="I11" s="1104">
        <v>163.98798800000003</v>
      </c>
      <c r="J11" s="1103"/>
      <c r="K11" s="374">
        <f>C11-I11</f>
        <v>5.1020119999999736</v>
      </c>
      <c r="L11" s="92">
        <f>IF(I11=0,"NM",C11/I11-1)</f>
        <v>3.1112108040498576E-2</v>
      </c>
      <c r="O11" s="2"/>
      <c r="S11" s="2"/>
      <c r="T11" s="2"/>
      <c r="U11" s="2"/>
      <c r="V11" s="2"/>
      <c r="W11" s="2"/>
      <c r="X11" s="2"/>
      <c r="Y11" s="2"/>
    </row>
    <row r="12" spans="1:25" ht="12.75" customHeight="1">
      <c r="A12" s="138" t="s">
        <v>813</v>
      </c>
      <c r="B12" s="1203"/>
      <c r="C12" s="1250">
        <f>SUM(C8:C11)+1.541</f>
        <v>564.94600000000003</v>
      </c>
      <c r="D12" s="1408">
        <v>573.42499999999995</v>
      </c>
      <c r="E12" s="1210"/>
      <c r="F12" s="1210">
        <f>SUM(F8:F10)</f>
        <v>-2.0700000000000145</v>
      </c>
      <c r="G12" s="1208">
        <f>IF(D12=0,0,C12/D12-1)</f>
        <v>-1.4786589353446233E-2</v>
      </c>
      <c r="H12" s="1206"/>
      <c r="I12" s="1250">
        <v>558.70194899587091</v>
      </c>
      <c r="J12" s="1210"/>
      <c r="K12" s="1210">
        <f>SUM(K8:K11)</f>
        <v>4.703051004129172</v>
      </c>
      <c r="L12" s="1211">
        <f>C12/I12-1</f>
        <v>1.1175996459921622E-2</v>
      </c>
      <c r="O12" s="1102">
        <v>568.5</v>
      </c>
      <c r="P12" s="1299"/>
      <c r="S12" s="2"/>
      <c r="T12" s="2"/>
      <c r="U12" s="2"/>
      <c r="V12" s="2"/>
      <c r="W12" s="2"/>
      <c r="X12" s="2"/>
      <c r="Y12" s="2"/>
    </row>
    <row r="13" spans="1:25" ht="12.75" customHeight="1">
      <c r="A13" s="61"/>
      <c r="B13" s="61"/>
      <c r="C13" s="129"/>
      <c r="D13" s="77"/>
      <c r="E13" s="61"/>
      <c r="F13" s="61"/>
      <c r="G13" s="1139"/>
      <c r="H13" s="61"/>
      <c r="I13" s="115"/>
      <c r="J13" s="61"/>
      <c r="K13" s="61"/>
      <c r="L13" s="1212"/>
      <c r="O13" s="2"/>
      <c r="S13" s="2"/>
      <c r="T13" s="2"/>
      <c r="U13" s="2"/>
      <c r="V13" s="2"/>
      <c r="W13" s="2"/>
      <c r="X13" s="2"/>
      <c r="Y13" s="2"/>
    </row>
    <row r="14" spans="1:25" ht="12.75" customHeight="1">
      <c r="A14" s="107" t="s">
        <v>401</v>
      </c>
      <c r="B14" s="61"/>
      <c r="C14" s="112"/>
      <c r="D14" s="1390"/>
      <c r="E14" s="61"/>
      <c r="F14" s="61"/>
      <c r="G14" s="1139"/>
      <c r="H14" s="61"/>
      <c r="I14" s="115"/>
      <c r="J14" s="61"/>
      <c r="K14" s="61"/>
      <c r="L14" s="1212"/>
      <c r="O14" s="2"/>
      <c r="S14" s="2"/>
      <c r="T14" s="2"/>
      <c r="U14" s="2"/>
      <c r="V14" s="2"/>
      <c r="W14" s="2"/>
      <c r="X14" s="2"/>
      <c r="Y14" s="2"/>
    </row>
    <row r="15" spans="1:25" ht="12.75" customHeight="1">
      <c r="A15" s="334" t="s">
        <v>514</v>
      </c>
      <c r="B15" s="61"/>
      <c r="C15" s="146">
        <f>BYD!AM38</f>
        <v>39.643000000000001</v>
      </c>
      <c r="D15" s="104">
        <f>BYD!AH38</f>
        <v>40.412999999999997</v>
      </c>
      <c r="E15" s="1103"/>
      <c r="F15" s="374">
        <f>C15-D15</f>
        <v>-0.76999999999999602</v>
      </c>
      <c r="G15" s="95">
        <f t="shared" ref="G15:G21" si="0">IF(D15=0,0,C15/D15-1)</f>
        <v>-1.9053274936282727E-2</v>
      </c>
      <c r="H15" s="61"/>
      <c r="I15" s="1104">
        <v>39.630139999999997</v>
      </c>
      <c r="J15" s="1103"/>
      <c r="K15" s="374">
        <f>C15-I15</f>
        <v>1.2860000000003424E-2</v>
      </c>
      <c r="L15" s="92">
        <f>IF(I15=0,"NM",C15/I15-1)</f>
        <v>3.2450049381615997E-4</v>
      </c>
      <c r="N15" s="1403">
        <v>39.643000000000001</v>
      </c>
      <c r="O15" s="2"/>
      <c r="S15" s="2"/>
      <c r="T15" s="2"/>
      <c r="U15" s="2"/>
      <c r="V15" s="2"/>
      <c r="W15" s="2"/>
      <c r="X15" s="2"/>
      <c r="Y15" s="2"/>
    </row>
    <row r="16" spans="1:25" ht="12.75" customHeight="1">
      <c r="A16" s="334" t="s">
        <v>515</v>
      </c>
      <c r="B16" s="61"/>
      <c r="C16" s="146">
        <f>BYD!AM39</f>
        <v>9.0039999999999996</v>
      </c>
      <c r="D16" s="104">
        <f>BYD!AH39</f>
        <v>8.3719999999999999</v>
      </c>
      <c r="E16" s="1103"/>
      <c r="F16" s="374">
        <f>C16-D16</f>
        <v>0.63199999999999967</v>
      </c>
      <c r="G16" s="95">
        <f t="shared" si="0"/>
        <v>7.5489727663640593E-2</v>
      </c>
      <c r="H16" s="61"/>
      <c r="I16" s="1104">
        <v>7.3755799999999994</v>
      </c>
      <c r="J16" s="1103"/>
      <c r="K16" s="374">
        <f>C16-I16</f>
        <v>1.6284200000000002</v>
      </c>
      <c r="L16" s="92">
        <f>IF(I16=0,"NM",C16/I16-1)</f>
        <v>0.22078534840649833</v>
      </c>
      <c r="N16" s="1403">
        <v>9.0039999999999996</v>
      </c>
      <c r="O16" s="2"/>
      <c r="S16" s="2"/>
      <c r="T16" s="2"/>
      <c r="U16" s="2"/>
      <c r="V16" s="2"/>
      <c r="W16" s="2"/>
      <c r="X16" s="2"/>
      <c r="Y16" s="2"/>
    </row>
    <row r="17" spans="1:25" ht="12.75" customHeight="1">
      <c r="A17" s="334" t="s">
        <v>516</v>
      </c>
      <c r="B17" s="61"/>
      <c r="C17" s="146">
        <f>BYD!AM41</f>
        <v>41.210999999999999</v>
      </c>
      <c r="D17" s="207">
        <v>39.279000000000003</v>
      </c>
      <c r="E17" s="1103"/>
      <c r="F17" s="374">
        <f>C17-D17</f>
        <v>1.9319999999999951</v>
      </c>
      <c r="G17" s="95">
        <f t="shared" si="0"/>
        <v>4.918658825326494E-2</v>
      </c>
      <c r="H17" s="61"/>
      <c r="I17" s="1104">
        <v>36.25789099587081</v>
      </c>
      <c r="J17" s="1103"/>
      <c r="K17" s="374">
        <f>C17-I17</f>
        <v>4.953109004129189</v>
      </c>
      <c r="L17" s="92">
        <f>IF(I17=0,"NM",C17/I17-1)</f>
        <v>0.13660775263220004</v>
      </c>
      <c r="N17" s="1403">
        <v>41.210999999999999</v>
      </c>
      <c r="O17" s="2"/>
      <c r="S17" s="2"/>
      <c r="T17" s="2"/>
      <c r="U17" s="2"/>
      <c r="V17" s="2"/>
      <c r="W17" s="2"/>
      <c r="X17" s="2"/>
      <c r="Y17" s="2"/>
    </row>
    <row r="18" spans="1:25" ht="12.75" customHeight="1">
      <c r="A18" s="334" t="s">
        <v>273</v>
      </c>
      <c r="B18" s="61"/>
      <c r="C18" s="146">
        <f>BYD!AM927</f>
        <v>31.681999999999988</v>
      </c>
      <c r="D18" s="104">
        <f>BYD!AH927</f>
        <v>38.016999999999996</v>
      </c>
      <c r="E18" s="1103"/>
      <c r="F18" s="374">
        <f>C18-D18</f>
        <v>-6.335000000000008</v>
      </c>
      <c r="G18" s="95">
        <f t="shared" si="0"/>
        <v>-0.16663597864113444</v>
      </c>
      <c r="H18" s="61"/>
      <c r="I18" s="1104">
        <v>33.617537540000001</v>
      </c>
      <c r="J18" s="1103"/>
      <c r="K18" s="374">
        <f>C18-I18</f>
        <v>-1.9355375400000128</v>
      </c>
      <c r="L18" s="92">
        <f>IF(I18=0,"NM",C18/I18-1)</f>
        <v>-5.7575232501696605E-2</v>
      </c>
      <c r="N18" s="1403">
        <v>31.681999999999999</v>
      </c>
      <c r="O18" s="2"/>
      <c r="S18" s="2"/>
      <c r="T18" s="2"/>
      <c r="U18" s="2"/>
      <c r="V18" s="2"/>
      <c r="W18" s="2"/>
      <c r="X18" s="2"/>
      <c r="Y18" s="2"/>
    </row>
    <row r="19" spans="1:25" ht="12.75" customHeight="1">
      <c r="A19" s="138" t="s">
        <v>819</v>
      </c>
      <c r="B19" s="1203"/>
      <c r="C19" s="1209">
        <f>SUM(C15:C18)</f>
        <v>121.53999999999999</v>
      </c>
      <c r="D19" s="1210">
        <f>SUM(D15:D18)</f>
        <v>126.08099999999999</v>
      </c>
      <c r="E19" s="1210"/>
      <c r="F19" s="1210">
        <f>SUM(F15:F17)</f>
        <v>1.7939999999999987</v>
      </c>
      <c r="G19" s="1208">
        <f t="shared" si="0"/>
        <v>-3.6016529056717483E-2</v>
      </c>
      <c r="H19" s="1206"/>
      <c r="I19" s="1250">
        <v>116.88114853587081</v>
      </c>
      <c r="J19" s="1210"/>
      <c r="K19" s="1210">
        <f>SUM(K15:K17)</f>
        <v>6.5943890041291926</v>
      </c>
      <c r="L19" s="1211">
        <f>C19/I19-1</f>
        <v>3.9859733776481443E-2</v>
      </c>
      <c r="N19" s="1403">
        <v>-9.7989999999999995</v>
      </c>
      <c r="O19" s="2"/>
      <c r="S19" s="2"/>
      <c r="T19" s="2"/>
      <c r="U19" s="2"/>
      <c r="V19" s="2"/>
      <c r="W19" s="2"/>
      <c r="X19" s="2"/>
      <c r="Y19" s="2"/>
    </row>
    <row r="20" spans="1:25" ht="12.75" customHeight="1">
      <c r="A20" s="2" t="s">
        <v>742</v>
      </c>
      <c r="B20" s="2"/>
      <c r="C20" s="146">
        <f>BYD!AM54</f>
        <v>-9.7989999999999995</v>
      </c>
      <c r="D20" s="104">
        <f>BYD!AH54</f>
        <v>-9.75</v>
      </c>
      <c r="E20" s="1103"/>
      <c r="F20" s="374">
        <f>C20-D20</f>
        <v>-4.8999999999999488E-2</v>
      </c>
      <c r="G20" s="126">
        <f t="shared" si="0"/>
        <v>5.02564102564107E-3</v>
      </c>
      <c r="H20" s="2"/>
      <c r="I20" s="1104">
        <v>-10.237500000000001</v>
      </c>
      <c r="J20" s="1103"/>
      <c r="K20" s="374">
        <f>C20-I20</f>
        <v>0.43850000000000122</v>
      </c>
      <c r="L20" s="1204">
        <f>IF(I20=0,"NM",C20/I20-1)</f>
        <v>-4.2832722832722991E-2</v>
      </c>
      <c r="O20" s="2"/>
      <c r="S20" s="2"/>
      <c r="T20" s="2"/>
      <c r="U20" s="2"/>
      <c r="V20" s="2"/>
      <c r="W20" s="2"/>
      <c r="X20" s="2"/>
      <c r="Y20" s="2"/>
    </row>
    <row r="21" spans="1:25" ht="12.75" customHeight="1">
      <c r="A21" s="138" t="s">
        <v>555</v>
      </c>
      <c r="B21" s="1203"/>
      <c r="C21" s="1209">
        <f>C19+C20</f>
        <v>111.74099999999999</v>
      </c>
      <c r="D21" s="1210">
        <f>D19+D20</f>
        <v>116.33099999999999</v>
      </c>
      <c r="E21" s="1210"/>
      <c r="F21" s="1210">
        <f>F19+F20</f>
        <v>1.7449999999999992</v>
      </c>
      <c r="G21" s="1208">
        <f t="shared" si="0"/>
        <v>-3.9456378781236312E-2</v>
      </c>
      <c r="H21" s="1210"/>
      <c r="I21" s="1250">
        <v>106.64364853587081</v>
      </c>
      <c r="J21" s="1210"/>
      <c r="K21" s="1210">
        <f>K19+K20</f>
        <v>7.0328890041291938</v>
      </c>
      <c r="L21" s="1254">
        <f>L19-L20</f>
        <v>8.2692456609204434E-2</v>
      </c>
      <c r="M21" s="1406"/>
      <c r="N21" s="1406"/>
      <c r="O21" s="1102">
        <v>113.3</v>
      </c>
      <c r="P21" s="1299"/>
      <c r="S21" s="2"/>
      <c r="T21" s="2"/>
      <c r="U21" s="2"/>
      <c r="V21" s="2"/>
      <c r="W21" s="2"/>
      <c r="X21" s="2"/>
      <c r="Y21" s="2"/>
    </row>
    <row r="22" spans="1:25" ht="12.75" customHeight="1">
      <c r="A22" s="439" t="s">
        <v>1745</v>
      </c>
      <c r="B22" s="2"/>
      <c r="C22" s="373">
        <f>BYD!AM65</f>
        <v>3.8130000000000002</v>
      </c>
      <c r="D22" s="374">
        <f>BYD!AH65</f>
        <v>2.8559999999999999</v>
      </c>
      <c r="E22" s="1103"/>
      <c r="F22" s="374">
        <f>C22-D22</f>
        <v>0.95700000000000029</v>
      </c>
      <c r="G22" s="126">
        <f t="shared" ref="G22:G34" si="1">IF(D22=0,0,C22/D22-1)</f>
        <v>0.33508403361344552</v>
      </c>
      <c r="H22" s="2"/>
      <c r="I22" s="432">
        <v>3</v>
      </c>
      <c r="J22" s="1103"/>
      <c r="K22" s="374">
        <f t="shared" ref="K22:K34" si="2">C22-I22</f>
        <v>0.81300000000000017</v>
      </c>
      <c r="L22" s="1204">
        <f>IF(I22=0,"NM",C22/I22-1)</f>
        <v>0.27100000000000013</v>
      </c>
      <c r="M22" s="1407"/>
      <c r="N22" s="1407"/>
      <c r="O22" s="2"/>
      <c r="S22" s="2"/>
      <c r="T22" s="2"/>
      <c r="U22" s="2"/>
      <c r="V22" s="2"/>
      <c r="W22" s="2"/>
      <c r="X22" s="2"/>
      <c r="Y22" s="2"/>
    </row>
    <row r="23" spans="1:25" ht="12.75" customHeight="1">
      <c r="A23" s="439" t="s">
        <v>201</v>
      </c>
      <c r="B23" s="2"/>
      <c r="C23" s="373">
        <f>BYD!AM66</f>
        <v>1.036</v>
      </c>
      <c r="D23" s="374">
        <f>BYD!AH66</f>
        <v>1.0680000000000001</v>
      </c>
      <c r="E23" s="1103"/>
      <c r="F23" s="374">
        <f>C23-D23</f>
        <v>-3.2000000000000028E-2</v>
      </c>
      <c r="G23" s="126">
        <f t="shared" si="1"/>
        <v>-2.9962546816479474E-2</v>
      </c>
      <c r="H23" s="2"/>
      <c r="I23" s="432">
        <v>1.0669999999999999</v>
      </c>
      <c r="J23" s="1103"/>
      <c r="K23" s="374">
        <f t="shared" si="2"/>
        <v>-3.0999999999999917E-2</v>
      </c>
      <c r="L23" s="1204">
        <f>IF(I23=0,"NM",C23/I23-1)</f>
        <v>-2.9053420805998043E-2</v>
      </c>
      <c r="N23" s="1312"/>
      <c r="O23" s="1312"/>
      <c r="S23" s="2"/>
      <c r="T23" s="2"/>
      <c r="U23" s="2"/>
      <c r="V23" s="2"/>
      <c r="W23" s="2"/>
      <c r="X23" s="2"/>
      <c r="Y23" s="2"/>
    </row>
    <row r="24" spans="1:25" ht="12.75" customHeight="1">
      <c r="A24" s="1693" t="s">
        <v>202</v>
      </c>
      <c r="B24" s="2"/>
      <c r="C24" s="373">
        <f>BYD!AM67</f>
        <v>50.584000000000003</v>
      </c>
      <c r="D24" s="376">
        <v>56.8</v>
      </c>
      <c r="E24" s="1103"/>
      <c r="F24" s="374">
        <f>C24-D24</f>
        <v>-6.215999999999994</v>
      </c>
      <c r="G24" s="126">
        <f t="shared" si="1"/>
        <v>-0.10943661971830976</v>
      </c>
      <c r="H24" s="2"/>
      <c r="I24" s="432">
        <v>49.3</v>
      </c>
      <c r="J24" s="1103"/>
      <c r="K24" s="374">
        <f t="shared" si="2"/>
        <v>1.284000000000006</v>
      </c>
      <c r="L24" s="1204">
        <f>IF(I24=0,"NM",C24/I24-1)</f>
        <v>2.6044624746450529E-2</v>
      </c>
      <c r="O24" s="2"/>
      <c r="S24" s="2"/>
      <c r="T24" s="2"/>
      <c r="U24" s="2"/>
      <c r="V24" s="2"/>
      <c r="W24" s="2"/>
      <c r="X24" s="2"/>
      <c r="Y24" s="2"/>
    </row>
    <row r="25" spans="1:25" ht="4.5" customHeight="1">
      <c r="A25" s="964"/>
      <c r="B25" s="2"/>
      <c r="C25" s="453" t="s">
        <v>343</v>
      </c>
      <c r="D25" s="452" t="s">
        <v>343</v>
      </c>
      <c r="E25" s="96" t="s">
        <v>343</v>
      </c>
      <c r="F25" s="452" t="s">
        <v>343</v>
      </c>
      <c r="G25" s="1251" t="s">
        <v>343</v>
      </c>
      <c r="H25" s="2" t="s">
        <v>343</v>
      </c>
      <c r="I25" s="453" t="s">
        <v>343</v>
      </c>
      <c r="J25" s="96" t="s">
        <v>343</v>
      </c>
      <c r="K25" s="452" t="s">
        <v>343</v>
      </c>
      <c r="L25" s="1252" t="s">
        <v>343</v>
      </c>
      <c r="N25" s="1102"/>
      <c r="O25" s="1102"/>
      <c r="S25" s="2"/>
      <c r="T25" s="2"/>
      <c r="U25" s="2"/>
      <c r="V25" s="2"/>
      <c r="W25" s="2"/>
      <c r="X25" s="2"/>
      <c r="Y25" s="2"/>
    </row>
    <row r="26" spans="1:25" ht="12.75" customHeight="1">
      <c r="A26" s="1" t="s">
        <v>744</v>
      </c>
      <c r="B26" s="2"/>
      <c r="C26" s="1242">
        <f>C21-C22-C23-C24</f>
        <v>56.307999999999979</v>
      </c>
      <c r="D26" s="1241">
        <f>D21-D22-D23-D24</f>
        <v>55.606999999999999</v>
      </c>
      <c r="E26" s="932"/>
      <c r="F26" s="1241">
        <f>F21-F22-F23-F24</f>
        <v>7.0359999999999925</v>
      </c>
      <c r="G26" s="106">
        <f t="shared" si="1"/>
        <v>1.2606326541622082E-2</v>
      </c>
      <c r="H26" s="1205"/>
      <c r="I26" s="1243">
        <v>53.27664853587082</v>
      </c>
      <c r="J26" s="932"/>
      <c r="K26" s="1241">
        <f t="shared" si="2"/>
        <v>3.031351464129159</v>
      </c>
      <c r="L26" s="1214">
        <f>C26/I26-1</f>
        <v>5.6898313753504404E-2</v>
      </c>
      <c r="O26" s="2"/>
      <c r="S26" s="2"/>
      <c r="T26" s="2"/>
      <c r="U26" s="2"/>
      <c r="V26" s="2"/>
      <c r="W26" s="2"/>
      <c r="X26" s="2"/>
      <c r="Y26" s="2"/>
    </row>
    <row r="27" spans="1:25" ht="12.75" customHeight="1">
      <c r="A27" s="445" t="s">
        <v>1176</v>
      </c>
      <c r="B27" s="2"/>
      <c r="C27" s="373">
        <f>BYD!AM73</f>
        <v>-57.286000000000001</v>
      </c>
      <c r="D27" s="376">
        <v>-34.063000000000002</v>
      </c>
      <c r="E27" s="932"/>
      <c r="F27" s="374">
        <f t="shared" ref="F27:F34" si="3">C27-D27</f>
        <v>-23.222999999999999</v>
      </c>
      <c r="G27" s="126">
        <f t="shared" si="1"/>
        <v>0.68176613921263529</v>
      </c>
      <c r="H27" s="1205"/>
      <c r="I27" s="432">
        <v>-57.505296874999999</v>
      </c>
      <c r="J27" s="932"/>
      <c r="K27" s="374">
        <f t="shared" si="2"/>
        <v>0.21929687499999773</v>
      </c>
      <c r="L27" s="1204">
        <f>IF(I27=0,"NM",C27/I27-1)</f>
        <v>-3.8135073970088085E-3</v>
      </c>
      <c r="O27" s="2"/>
      <c r="S27" s="2"/>
      <c r="T27" s="2"/>
      <c r="U27" s="2"/>
      <c r="V27" s="2"/>
      <c r="W27" s="2"/>
      <c r="X27" s="2"/>
      <c r="Y27" s="2"/>
    </row>
    <row r="28" spans="1:25" ht="12.75" customHeight="1">
      <c r="A28" s="445" t="s">
        <v>203</v>
      </c>
      <c r="B28" s="2"/>
      <c r="C28" s="373">
        <f>BYD!AM74</f>
        <v>0</v>
      </c>
      <c r="D28" s="374">
        <v>0</v>
      </c>
      <c r="E28" s="932"/>
      <c r="F28" s="374">
        <f t="shared" si="3"/>
        <v>0</v>
      </c>
      <c r="G28" s="126">
        <f t="shared" si="1"/>
        <v>0</v>
      </c>
      <c r="H28" s="1205"/>
      <c r="I28" s="432">
        <v>0</v>
      </c>
      <c r="J28" s="932"/>
      <c r="K28" s="374">
        <f t="shared" si="2"/>
        <v>0</v>
      </c>
      <c r="L28" s="1204" t="str">
        <f>IF(I28=0,"NM",C28/I28-1)</f>
        <v>NM</v>
      </c>
      <c r="O28" s="2"/>
      <c r="S28" s="2"/>
      <c r="T28" s="2"/>
      <c r="U28" s="2"/>
      <c r="V28" s="2"/>
      <c r="W28" s="2"/>
      <c r="X28" s="2"/>
      <c r="Y28" s="2"/>
    </row>
    <row r="29" spans="1:25" ht="12.75" customHeight="1">
      <c r="A29" s="445" t="s">
        <v>816</v>
      </c>
      <c r="B29" s="2"/>
      <c r="C29" s="373">
        <f>BYD!AM75</f>
        <v>0</v>
      </c>
      <c r="D29" s="374">
        <v>0</v>
      </c>
      <c r="E29" s="932"/>
      <c r="F29" s="374">
        <f t="shared" si="3"/>
        <v>0</v>
      </c>
      <c r="G29" s="126">
        <f t="shared" si="1"/>
        <v>0</v>
      </c>
      <c r="H29" s="1205"/>
      <c r="I29" s="432">
        <v>0</v>
      </c>
      <c r="J29" s="932"/>
      <c r="K29" s="374">
        <f t="shared" si="2"/>
        <v>0</v>
      </c>
      <c r="L29" s="1204" t="str">
        <f>IF(I29=0,"NM",C29/I29-1)</f>
        <v>NM</v>
      </c>
      <c r="O29" s="2"/>
      <c r="S29" s="2"/>
      <c r="T29" s="2"/>
      <c r="U29" s="2"/>
      <c r="V29" s="2"/>
      <c r="W29" s="2"/>
      <c r="X29" s="2"/>
      <c r="Y29" s="2"/>
    </row>
    <row r="30" spans="1:25" ht="12.75" customHeight="1">
      <c r="A30" s="445" t="s">
        <v>815</v>
      </c>
      <c r="B30" s="2"/>
      <c r="C30" s="373">
        <f>BYD!AM77</f>
        <v>0</v>
      </c>
      <c r="D30" s="374">
        <v>0</v>
      </c>
      <c r="E30" s="1103"/>
      <c r="F30" s="374">
        <f t="shared" si="3"/>
        <v>0</v>
      </c>
      <c r="G30" s="126">
        <f t="shared" si="1"/>
        <v>0</v>
      </c>
      <c r="H30" s="2"/>
      <c r="I30" s="432">
        <v>0</v>
      </c>
      <c r="J30" s="1103"/>
      <c r="K30" s="374">
        <f t="shared" si="2"/>
        <v>0</v>
      </c>
      <c r="L30" s="1204" t="str">
        <f>IF(I30=0,"NM",C30/I30-1)</f>
        <v>NM</v>
      </c>
      <c r="O30" s="2"/>
      <c r="S30" s="2"/>
      <c r="T30" s="2"/>
      <c r="U30" s="2"/>
      <c r="V30" s="2"/>
      <c r="W30" s="2"/>
      <c r="X30" s="2"/>
      <c r="Y30" s="2"/>
    </row>
    <row r="31" spans="1:25" ht="12.75" customHeight="1">
      <c r="A31" s="445" t="s">
        <v>814</v>
      </c>
      <c r="B31" s="2"/>
      <c r="C31" s="373">
        <f>BYD!AM78</f>
        <v>-8.4410000000000007</v>
      </c>
      <c r="D31" s="376">
        <f>-1.063-1.669-0.699+2.037</f>
        <v>-1.3940000000000001</v>
      </c>
      <c r="E31" s="1103"/>
      <c r="F31" s="374">
        <f t="shared" si="3"/>
        <v>-7.0470000000000006</v>
      </c>
      <c r="G31" s="126">
        <f t="shared" si="1"/>
        <v>5.055236728837877</v>
      </c>
      <c r="H31" s="2"/>
      <c r="I31" s="432">
        <v>-2.5</v>
      </c>
      <c r="J31" s="1103"/>
      <c r="K31" s="374">
        <f t="shared" si="2"/>
        <v>-5.9410000000000007</v>
      </c>
      <c r="L31" s="1204">
        <f>IF(I31=0,"NM",C31/I31-1)</f>
        <v>2.3764000000000003</v>
      </c>
      <c r="O31" s="2"/>
      <c r="S31" s="2"/>
      <c r="T31" s="2"/>
      <c r="U31" s="2"/>
      <c r="V31" s="2"/>
      <c r="W31" s="2"/>
      <c r="X31" s="2"/>
      <c r="Y31" s="2"/>
    </row>
    <row r="32" spans="1:25" ht="4.5" customHeight="1">
      <c r="A32" s="964"/>
      <c r="B32" s="2"/>
      <c r="C32" s="453" t="s">
        <v>343</v>
      </c>
      <c r="D32" s="452" t="s">
        <v>343</v>
      </c>
      <c r="E32" s="96" t="s">
        <v>343</v>
      </c>
      <c r="F32" s="452" t="s">
        <v>343</v>
      </c>
      <c r="G32" s="1251" t="s">
        <v>343</v>
      </c>
      <c r="H32" s="2" t="s">
        <v>343</v>
      </c>
      <c r="I32" s="453" t="s">
        <v>343</v>
      </c>
      <c r="J32" s="96" t="s">
        <v>343</v>
      </c>
      <c r="K32" s="452" t="s">
        <v>343</v>
      </c>
      <c r="L32" s="1252" t="s">
        <v>343</v>
      </c>
      <c r="N32" s="1102"/>
      <c r="O32" s="1102"/>
      <c r="S32" s="2"/>
      <c r="T32" s="2"/>
      <c r="U32" s="2"/>
      <c r="V32" s="2"/>
      <c r="W32" s="2"/>
      <c r="X32" s="2"/>
      <c r="Y32" s="2"/>
    </row>
    <row r="33" spans="1:25" ht="12.75" customHeight="1">
      <c r="A33" s="1" t="s">
        <v>745</v>
      </c>
      <c r="B33" s="2"/>
      <c r="C33" s="1213">
        <f>SUM(C26:C31)</f>
        <v>-9.4190000000000236</v>
      </c>
      <c r="D33" s="929">
        <f>SUM(D26:D31)</f>
        <v>20.149999999999999</v>
      </c>
      <c r="E33" s="932"/>
      <c r="F33" s="1241">
        <f t="shared" si="3"/>
        <v>-29.569000000000024</v>
      </c>
      <c r="G33" s="106">
        <f t="shared" si="1"/>
        <v>-1.4674441687344926</v>
      </c>
      <c r="H33" s="1205"/>
      <c r="I33" s="1244">
        <v>-6.7286483391291796</v>
      </c>
      <c r="J33" s="932"/>
      <c r="K33" s="1241">
        <f t="shared" si="2"/>
        <v>-2.690351660870844</v>
      </c>
      <c r="L33" s="1214">
        <f>C33/I33-1</f>
        <v>0.399835379302796</v>
      </c>
      <c r="O33" s="2"/>
      <c r="S33" s="2"/>
      <c r="T33" s="2"/>
      <c r="U33" s="2"/>
      <c r="V33" s="2"/>
      <c r="W33" s="2"/>
      <c r="X33" s="2"/>
      <c r="Y33" s="2"/>
    </row>
    <row r="34" spans="1:25" ht="12.75" customHeight="1">
      <c r="A34" s="445" t="s">
        <v>205</v>
      </c>
      <c r="B34" s="2"/>
      <c r="C34" s="373">
        <f>BYD!AM81</f>
        <v>3.1080000000000001</v>
      </c>
      <c r="D34" s="376">
        <v>-5.4550000000000001</v>
      </c>
      <c r="E34" s="1103"/>
      <c r="F34" s="374">
        <f t="shared" si="3"/>
        <v>8.5630000000000006</v>
      </c>
      <c r="G34" s="126">
        <f t="shared" si="1"/>
        <v>-1.5697525206232814</v>
      </c>
      <c r="H34" s="2"/>
      <c r="I34" s="432">
        <v>2.6745616206167226</v>
      </c>
      <c r="J34" s="1103"/>
      <c r="K34" s="374">
        <f t="shared" si="2"/>
        <v>0.43343837938327745</v>
      </c>
      <c r="L34" s="1204">
        <f>IF(I34=0,"NM",C34/I34-1)</f>
        <v>0.16205959737182329</v>
      </c>
      <c r="O34" s="2"/>
      <c r="S34" s="2"/>
      <c r="T34" s="2"/>
      <c r="U34" s="2"/>
      <c r="V34" s="2"/>
      <c r="W34" s="2"/>
      <c r="X34" s="2"/>
      <c r="Y34" s="2"/>
    </row>
    <row r="35" spans="1:25" ht="4.5" customHeight="1">
      <c r="A35" s="964"/>
      <c r="B35" s="2"/>
      <c r="C35" s="453" t="s">
        <v>343</v>
      </c>
      <c r="D35" s="452" t="s">
        <v>343</v>
      </c>
      <c r="E35" s="96" t="s">
        <v>343</v>
      </c>
      <c r="F35" s="452" t="s">
        <v>343</v>
      </c>
      <c r="G35" s="1251" t="s">
        <v>343</v>
      </c>
      <c r="H35" s="2" t="s">
        <v>343</v>
      </c>
      <c r="I35" s="453" t="s">
        <v>343</v>
      </c>
      <c r="J35" s="96" t="s">
        <v>343</v>
      </c>
      <c r="K35" s="452" t="s">
        <v>343</v>
      </c>
      <c r="L35" s="1252" t="s">
        <v>343</v>
      </c>
      <c r="N35" s="1102"/>
      <c r="O35" s="1102"/>
      <c r="S35" s="2"/>
      <c r="T35" s="2"/>
      <c r="U35" s="2"/>
      <c r="V35" s="2"/>
      <c r="W35" s="2"/>
      <c r="X35" s="2"/>
      <c r="Y35" s="2"/>
    </row>
    <row r="36" spans="1:25" ht="12.75" customHeight="1">
      <c r="A36" s="107" t="s">
        <v>1243</v>
      </c>
      <c r="B36" s="61"/>
      <c r="C36" s="1213">
        <f>C33+C34</f>
        <v>-6.311000000000023</v>
      </c>
      <c r="D36" s="929">
        <f>D33+D34</f>
        <v>14.694999999999999</v>
      </c>
      <c r="E36" s="932"/>
      <c r="F36" s="1241">
        <f>F33+F34</f>
        <v>-21.006000000000022</v>
      </c>
      <c r="G36" s="1215">
        <f>G33+G34</f>
        <v>-3.0371966893577742</v>
      </c>
      <c r="H36" s="932"/>
      <c r="I36" s="1244">
        <v>-4.0540867185124565</v>
      </c>
      <c r="J36" s="932"/>
      <c r="K36" s="1241">
        <f>K33+K34</f>
        <v>-2.2569132814875665</v>
      </c>
      <c r="L36" s="1215">
        <f>L33+L34</f>
        <v>0.5618949766746193</v>
      </c>
      <c r="M36" s="1238"/>
      <c r="N36" s="1238"/>
      <c r="O36" s="61"/>
      <c r="S36" s="2"/>
      <c r="T36" s="2"/>
      <c r="U36" s="2"/>
      <c r="V36" s="2"/>
      <c r="W36" s="2"/>
      <c r="X36" s="2"/>
      <c r="Y36" s="2"/>
    </row>
    <row r="37" spans="1:25" ht="12.75" customHeight="1">
      <c r="A37" s="445" t="s">
        <v>130</v>
      </c>
      <c r="B37" s="2"/>
      <c r="C37" s="373">
        <f>BYD!AM85</f>
        <v>2.79</v>
      </c>
      <c r="D37" s="376">
        <v>-6.2590000000000003</v>
      </c>
      <c r="E37" s="1103"/>
      <c r="F37" s="374">
        <f>C37-D37</f>
        <v>9.0489999999999995</v>
      </c>
      <c r="G37" s="126">
        <f>IF(D37=0,0,C37/D37-1)</f>
        <v>-1.4457581083240134</v>
      </c>
      <c r="H37" s="2"/>
      <c r="I37" s="432">
        <v>1.4479013790392465</v>
      </c>
      <c r="J37" s="1103"/>
      <c r="K37" s="374">
        <f>C37-I37</f>
        <v>1.3420986209607535</v>
      </c>
      <c r="L37" s="1204">
        <f>IF(I37=0,"NM",C37/I37-1)</f>
        <v>0.92692682000986948</v>
      </c>
      <c r="O37" s="2"/>
      <c r="S37" s="2"/>
      <c r="T37" s="2"/>
      <c r="U37" s="2"/>
      <c r="V37" s="2"/>
      <c r="W37" s="2"/>
      <c r="X37" s="2"/>
      <c r="Y37" s="2"/>
    </row>
    <row r="38" spans="1:25" ht="4.5" customHeight="1">
      <c r="A38" s="964"/>
      <c r="B38" s="2"/>
      <c r="C38" s="453" t="s">
        <v>343</v>
      </c>
      <c r="D38" s="452" t="s">
        <v>343</v>
      </c>
      <c r="E38" s="96" t="s">
        <v>343</v>
      </c>
      <c r="F38" s="452" t="s">
        <v>343</v>
      </c>
      <c r="G38" s="1251" t="s">
        <v>343</v>
      </c>
      <c r="H38" s="2" t="s">
        <v>343</v>
      </c>
      <c r="I38" s="453" t="s">
        <v>343</v>
      </c>
      <c r="J38" s="96" t="s">
        <v>343</v>
      </c>
      <c r="K38" s="452" t="s">
        <v>343</v>
      </c>
      <c r="L38" s="1252" t="s">
        <v>343</v>
      </c>
      <c r="N38" s="1102"/>
      <c r="O38" s="1102"/>
      <c r="S38" s="2"/>
      <c r="T38" s="2"/>
      <c r="U38" s="2"/>
      <c r="V38" s="2"/>
      <c r="W38" s="2"/>
      <c r="X38" s="2"/>
      <c r="Y38" s="2"/>
    </row>
    <row r="39" spans="1:25" ht="12.75" customHeight="1">
      <c r="A39" s="107" t="s">
        <v>1540</v>
      </c>
      <c r="B39" s="2"/>
      <c r="C39" s="1213">
        <f>C36+C37</f>
        <v>-3.521000000000023</v>
      </c>
      <c r="D39" s="929">
        <f>D36+D37</f>
        <v>8.4359999999999982</v>
      </c>
      <c r="E39" s="932"/>
      <c r="F39" s="1241">
        <f>F36+F37</f>
        <v>-11.957000000000022</v>
      </c>
      <c r="G39" s="1215">
        <f>G36+G37</f>
        <v>-4.4829547976817876</v>
      </c>
      <c r="H39" s="932"/>
      <c r="I39" s="1244">
        <v>-2.60618533947321</v>
      </c>
      <c r="J39" s="932"/>
      <c r="K39" s="1241">
        <f>K36+K37</f>
        <v>-0.91481466052681304</v>
      </c>
      <c r="L39" s="1215">
        <f>L36+L37</f>
        <v>1.4888217966844888</v>
      </c>
      <c r="O39" s="2"/>
      <c r="S39" s="2"/>
      <c r="T39" s="2"/>
      <c r="U39" s="2"/>
      <c r="V39" s="2"/>
      <c r="W39" s="2"/>
      <c r="X39" s="2"/>
      <c r="Y39" s="2"/>
    </row>
    <row r="40" spans="1:25" ht="12.75" customHeight="1">
      <c r="A40" s="2"/>
      <c r="B40" s="2"/>
      <c r="C40" s="112"/>
      <c r="D40" s="77"/>
      <c r="E40" s="61"/>
      <c r="F40" s="61"/>
      <c r="G40" s="1141"/>
      <c r="H40" s="2"/>
      <c r="I40" s="115"/>
      <c r="J40" s="61"/>
      <c r="K40" s="61"/>
      <c r="L40" s="1216"/>
      <c r="O40" s="2"/>
      <c r="S40" s="2"/>
      <c r="T40" s="2"/>
      <c r="U40" s="2"/>
      <c r="V40" s="2"/>
      <c r="W40" s="2"/>
      <c r="X40" s="2"/>
      <c r="Y40" s="2"/>
    </row>
    <row r="41" spans="1:25" ht="12.75" customHeight="1">
      <c r="A41" s="147" t="s">
        <v>1747</v>
      </c>
      <c r="B41" s="160"/>
      <c r="C41" s="1217">
        <f>BYD!AM88</f>
        <v>-1.2120000000000246</v>
      </c>
      <c r="D41" s="1409">
        <f>+D39+1.063+1.601-2.037+0.034-0.234</f>
        <v>8.8629999999999995</v>
      </c>
      <c r="E41" s="1218"/>
      <c r="F41" s="1218">
        <f>C41-D41</f>
        <v>-10.075000000000024</v>
      </c>
      <c r="G41" s="1219">
        <f>IF(D41=0,0,C41/D41-1)</f>
        <v>-1.1367482793636494</v>
      </c>
      <c r="H41" s="1220"/>
      <c r="I41" s="1245">
        <v>-0.10618533947321707</v>
      </c>
      <c r="J41" s="1218"/>
      <c r="K41" s="1218">
        <f>C41-I41</f>
        <v>-1.1058146605268075</v>
      </c>
      <c r="L41" s="1221">
        <f>C41/I41-1</f>
        <v>10.414005040740347</v>
      </c>
      <c r="O41" s="2"/>
      <c r="S41" s="2"/>
      <c r="T41" s="2"/>
      <c r="U41" s="2"/>
      <c r="V41" s="2"/>
      <c r="W41" s="2"/>
      <c r="X41" s="2"/>
      <c r="Y41" s="2"/>
    </row>
    <row r="42" spans="1:25" ht="12.75" customHeight="1">
      <c r="A42" s="2"/>
      <c r="B42" s="2"/>
      <c r="C42" s="112"/>
      <c r="D42" s="77"/>
      <c r="E42" s="61"/>
      <c r="F42" s="61"/>
      <c r="G42" s="1141"/>
      <c r="H42" s="2"/>
      <c r="I42" s="115"/>
      <c r="J42" s="61"/>
      <c r="K42" s="61"/>
      <c r="L42" s="1216"/>
      <c r="O42" s="2"/>
      <c r="S42" s="2"/>
      <c r="T42" s="2"/>
      <c r="U42" s="2"/>
      <c r="V42" s="2"/>
      <c r="W42" s="2"/>
      <c r="X42" s="2"/>
      <c r="Y42" s="2"/>
    </row>
    <row r="43" spans="1:25" ht="12.75" customHeight="1">
      <c r="A43" s="138" t="s">
        <v>746</v>
      </c>
      <c r="B43" s="155"/>
      <c r="C43" s="153">
        <f>BYD!AM95</f>
        <v>-1.3905939855663052E-2</v>
      </c>
      <c r="D43" s="152">
        <f>+D41/D44</f>
        <v>0.10234292906548423</v>
      </c>
      <c r="E43" s="152"/>
      <c r="F43" s="152">
        <f>C43-D43</f>
        <v>-0.11624886892114727</v>
      </c>
      <c r="G43" s="1208">
        <f>IF(D43=0,0,C43/D43-1)</f>
        <v>-1.1358759220851038</v>
      </c>
      <c r="H43" s="155"/>
      <c r="I43" s="1246">
        <v>-1.2222491507903942E-3</v>
      </c>
      <c r="J43" s="152"/>
      <c r="K43" s="152">
        <f>C43-I43</f>
        <v>-1.2683690704872658E-2</v>
      </c>
      <c r="L43" s="1211">
        <f>C43/I43-1</f>
        <v>10.377336483867033</v>
      </c>
      <c r="O43" s="1256">
        <v>0.01</v>
      </c>
      <c r="S43" s="2"/>
      <c r="T43" s="2"/>
      <c r="U43" s="2"/>
      <c r="V43" s="2"/>
      <c r="W43" s="2"/>
      <c r="X43" s="2"/>
      <c r="Y43" s="2"/>
    </row>
    <row r="44" spans="1:25" ht="12.75" customHeight="1">
      <c r="A44" s="2" t="s">
        <v>769</v>
      </c>
      <c r="B44" s="2"/>
      <c r="C44" s="146">
        <f>BYD!AM103</f>
        <v>87.156999999999996</v>
      </c>
      <c r="D44" s="104">
        <f>BYD!AH103</f>
        <v>86.600999999999999</v>
      </c>
      <c r="E44" s="1103"/>
      <c r="F44" s="374">
        <f>C44-D44</f>
        <v>0.55599999999999739</v>
      </c>
      <c r="G44" s="126">
        <f>IF(D44=0,0,C44/D44-1)</f>
        <v>6.4202491888083468E-3</v>
      </c>
      <c r="H44" s="2"/>
      <c r="I44" s="1104">
        <v>86.876999999999995</v>
      </c>
      <c r="J44" s="1103"/>
      <c r="K44" s="374">
        <f>C44-I44</f>
        <v>0.28000000000000114</v>
      </c>
      <c r="L44" s="1204">
        <f>C44/I44-1</f>
        <v>3.2229473853839785E-3</v>
      </c>
      <c r="O44" s="2"/>
      <c r="S44" s="2"/>
      <c r="T44" s="2"/>
      <c r="U44" s="2"/>
      <c r="V44" s="2"/>
      <c r="W44" s="2"/>
      <c r="X44" s="2"/>
      <c r="Y44" s="2"/>
    </row>
    <row r="45" spans="1:25" ht="12.75" customHeight="1">
      <c r="A45" s="2"/>
      <c r="B45" s="2"/>
      <c r="C45" s="112"/>
      <c r="D45" s="77"/>
      <c r="E45" s="61"/>
      <c r="F45" s="2"/>
      <c r="G45" s="2"/>
      <c r="H45" s="2"/>
      <c r="I45" s="115"/>
      <c r="J45" s="61"/>
      <c r="K45" s="61"/>
      <c r="L45" s="2"/>
      <c r="O45" s="2"/>
      <c r="S45" s="2"/>
      <c r="T45" s="2"/>
      <c r="U45" s="2"/>
      <c r="V45" s="2"/>
      <c r="W45" s="2"/>
      <c r="X45" s="2"/>
      <c r="Y45" s="2"/>
    </row>
    <row r="46" spans="1:25" ht="12.75" customHeight="1">
      <c r="A46" s="1222" t="s">
        <v>271</v>
      </c>
      <c r="B46" s="1223"/>
      <c r="C46" s="1224">
        <f>C19/C12</f>
        <v>0.21513560588091601</v>
      </c>
      <c r="D46" s="1400">
        <f>D19/D12</f>
        <v>0.21987356672625016</v>
      </c>
      <c r="E46" s="1225"/>
      <c r="F46" s="1223"/>
      <c r="G46" s="1226">
        <f>(C46-D46)</f>
        <v>-4.7379608453341493E-3</v>
      </c>
      <c r="H46" s="1223"/>
      <c r="I46" s="1224">
        <v>0.2092012543466796</v>
      </c>
      <c r="J46" s="1225"/>
      <c r="K46" s="1223"/>
      <c r="L46" s="1227">
        <f>(C46-I46)</f>
        <v>5.9343515342364095E-3</v>
      </c>
      <c r="O46" s="2"/>
      <c r="S46" s="2"/>
      <c r="T46" s="2"/>
      <c r="U46" s="2"/>
      <c r="V46" s="2"/>
      <c r="W46" s="2"/>
      <c r="X46" s="2"/>
      <c r="Y46" s="2"/>
    </row>
    <row r="47" spans="1:25" ht="12.75" customHeight="1">
      <c r="A47" s="1239" t="s">
        <v>514</v>
      </c>
      <c r="B47" s="1228"/>
      <c r="C47" s="1229">
        <f t="shared" ref="C47:D49" si="4">C15/C8</f>
        <v>0.25655744600987579</v>
      </c>
      <c r="D47" s="1230">
        <f t="shared" si="4"/>
        <v>0.25811128426538588</v>
      </c>
      <c r="E47" s="1230"/>
      <c r="F47" s="1228"/>
      <c r="G47" s="1231">
        <f>(C47-D47)</f>
        <v>-1.5538382555100871E-3</v>
      </c>
      <c r="H47" s="1228"/>
      <c r="I47" s="1229">
        <v>0.25438320026671946</v>
      </c>
      <c r="J47" s="1230"/>
      <c r="K47" s="1228"/>
      <c r="L47" s="1232">
        <f>(C47-I47)</f>
        <v>2.1742457431563333E-3</v>
      </c>
      <c r="N47" s="1403">
        <v>564.9</v>
      </c>
      <c r="O47" s="98">
        <v>573.4</v>
      </c>
      <c r="S47" s="2"/>
      <c r="T47" s="2"/>
      <c r="U47" s="2"/>
      <c r="V47" s="2"/>
      <c r="W47" s="2"/>
      <c r="X47" s="2"/>
      <c r="Y47" s="2"/>
    </row>
    <row r="48" spans="1:25" ht="12.75" customHeight="1">
      <c r="A48" s="1239" t="s">
        <v>515</v>
      </c>
      <c r="B48" s="1228"/>
      <c r="C48" s="1229">
        <f t="shared" si="4"/>
        <v>0.16175044012503142</v>
      </c>
      <c r="D48" s="1230">
        <f t="shared" si="4"/>
        <v>0.1550169422482271</v>
      </c>
      <c r="E48" s="1230"/>
      <c r="F48" s="1228"/>
      <c r="G48" s="1231">
        <f>(C48-D48)</f>
        <v>6.7334978768043285E-3</v>
      </c>
      <c r="H48" s="1228"/>
      <c r="I48" s="1229">
        <v>0.13794657744516095</v>
      </c>
      <c r="J48" s="1230"/>
      <c r="K48" s="1228"/>
      <c r="L48" s="1232">
        <f>(C48-I48)</f>
        <v>2.3803862679870474E-2</v>
      </c>
      <c r="N48" s="1403">
        <v>111.7</v>
      </c>
      <c r="O48" s="98">
        <v>116.3</v>
      </c>
      <c r="S48" s="2"/>
      <c r="T48" s="2"/>
      <c r="U48" s="2"/>
      <c r="V48" s="2"/>
      <c r="W48" s="2"/>
      <c r="X48" s="2"/>
      <c r="Y48" s="2"/>
    </row>
    <row r="49" spans="1:25" ht="12.75" customHeight="1">
      <c r="A49" s="1239" t="s">
        <v>516</v>
      </c>
      <c r="B49" s="1228"/>
      <c r="C49" s="1229">
        <f t="shared" si="4"/>
        <v>0.22381469613859772</v>
      </c>
      <c r="D49" s="1230">
        <f t="shared" si="4"/>
        <v>0.21139790964769706</v>
      </c>
      <c r="E49" s="1230"/>
      <c r="F49" s="1228"/>
      <c r="G49" s="1231">
        <f>(C49-D49)</f>
        <v>1.2416786490900666E-2</v>
      </c>
      <c r="H49" s="1228"/>
      <c r="I49" s="1229">
        <v>0.19550470891895394</v>
      </c>
      <c r="J49" s="1230"/>
      <c r="K49" s="1228"/>
      <c r="L49" s="1232">
        <f>(C49-I49)</f>
        <v>2.8309987219643784E-2</v>
      </c>
      <c r="N49" s="105">
        <f>+N48/N47</f>
        <v>0.19773411223225351</v>
      </c>
      <c r="O49" s="105">
        <f>+O48/O47</f>
        <v>0.20282525287757239</v>
      </c>
      <c r="S49" s="2"/>
      <c r="T49" s="2"/>
      <c r="U49" s="2"/>
      <c r="V49" s="2"/>
      <c r="W49" s="2"/>
      <c r="X49" s="2"/>
      <c r="Y49" s="2"/>
    </row>
    <row r="50" spans="1:25" ht="12.75" customHeight="1">
      <c r="A50" s="1240" t="s">
        <v>273</v>
      </c>
      <c r="B50" s="1233"/>
      <c r="C50" s="1234">
        <f>C18/C11</f>
        <v>0.18736767401975271</v>
      </c>
      <c r="D50" s="1235">
        <f>D18/D11</f>
        <v>0.21715810037357336</v>
      </c>
      <c r="E50" s="1235"/>
      <c r="F50" s="1233"/>
      <c r="G50" s="1236"/>
      <c r="H50" s="1233"/>
      <c r="I50" s="1234">
        <v>0.20499999999999999</v>
      </c>
      <c r="J50" s="1235"/>
      <c r="K50" s="1233"/>
      <c r="L50" s="1237">
        <f>(C50-I50)</f>
        <v>-1.7632325980247276E-2</v>
      </c>
      <c r="M50" s="1238"/>
      <c r="O50" s="2"/>
      <c r="S50" s="2"/>
      <c r="T50" s="2"/>
      <c r="U50" s="2"/>
      <c r="V50" s="2"/>
      <c r="W50" s="2"/>
      <c r="X50" s="2"/>
      <c r="Y50" s="2"/>
    </row>
    <row r="51" spans="1:25" ht="12.75" customHeight="1">
      <c r="A51" s="61"/>
      <c r="B51" s="61"/>
      <c r="C51" s="112"/>
      <c r="D51" s="77"/>
      <c r="E51" s="61"/>
      <c r="F51" s="61"/>
      <c r="G51" s="61"/>
      <c r="H51" s="61"/>
      <c r="I51" s="112"/>
      <c r="J51" s="61"/>
      <c r="K51" s="61"/>
      <c r="L51" s="61"/>
      <c r="N51">
        <v>184.1</v>
      </c>
      <c r="O51" s="2">
        <v>185.8</v>
      </c>
      <c r="S51" s="2"/>
      <c r="T51" s="2"/>
      <c r="U51" s="2"/>
      <c r="V51" s="2"/>
      <c r="W51" s="2"/>
      <c r="X51" s="2"/>
      <c r="Y51" s="2"/>
    </row>
    <row r="52" spans="1:25" ht="12.75" customHeight="1">
      <c r="A52" s="61" t="s">
        <v>1139</v>
      </c>
      <c r="B52" s="61"/>
      <c r="C52" s="373">
        <f>C21</f>
        <v>111.74099999999999</v>
      </c>
      <c r="D52" s="365">
        <f>+D21</f>
        <v>116.33099999999999</v>
      </c>
      <c r="E52" s="61"/>
      <c r="F52" s="374">
        <f>C52-D52</f>
        <v>-4.5900000000000034</v>
      </c>
      <c r="G52" s="126">
        <f>IF(D52=0,0,C52/D52-1)</f>
        <v>-3.9456378781236312E-2</v>
      </c>
      <c r="H52" s="1205"/>
      <c r="I52" s="432">
        <v>106.64364853587081</v>
      </c>
      <c r="J52" s="932"/>
      <c r="K52" s="374">
        <f>C52-I52</f>
        <v>5.0973514641291757</v>
      </c>
      <c r="L52" s="1204">
        <f>IF(I52=0,"NM",C52/I52-1)</f>
        <v>4.7797984541148031E-2</v>
      </c>
      <c r="N52">
        <v>41.2</v>
      </c>
      <c r="O52" s="2">
        <v>39.299999999999997</v>
      </c>
      <c r="S52" s="2"/>
      <c r="T52" s="2"/>
      <c r="U52" s="2"/>
      <c r="V52" s="2"/>
      <c r="W52" s="2"/>
      <c r="X52" s="2"/>
      <c r="Y52" s="2"/>
    </row>
    <row r="53" spans="1:25" ht="12.75" customHeight="1">
      <c r="A53" s="61" t="s">
        <v>131</v>
      </c>
      <c r="B53" s="61"/>
      <c r="C53" s="373">
        <f>-0.5*C18</f>
        <v>-15.840999999999994</v>
      </c>
      <c r="D53" s="365">
        <f>-0.5*D18</f>
        <v>-19.008499999999998</v>
      </c>
      <c r="E53" s="61"/>
      <c r="F53" s="374">
        <f>C53-D53</f>
        <v>3.167500000000004</v>
      </c>
      <c r="G53" s="126">
        <f>IF(D53=0,0,C53/D53-1)</f>
        <v>-0.16663597864113444</v>
      </c>
      <c r="H53" s="2"/>
      <c r="I53" s="432">
        <v>-16.80876877</v>
      </c>
      <c r="J53" s="1103"/>
      <c r="K53" s="374">
        <f>C53-I53</f>
        <v>0.96776877000000638</v>
      </c>
      <c r="L53" s="1204">
        <f>IF(I53=0,"NM",C53/I53-1)</f>
        <v>-5.7575232501696605E-2</v>
      </c>
      <c r="N53" s="1404">
        <f>+N52/N51</f>
        <v>0.22379141770776753</v>
      </c>
      <c r="O53" s="1404">
        <f>+O52/O51</f>
        <v>0.21151776103336919</v>
      </c>
    </row>
    <row r="54" spans="1:25" ht="4.5" customHeight="1">
      <c r="A54" s="964"/>
      <c r="B54" s="2"/>
      <c r="C54" s="453" t="s">
        <v>343</v>
      </c>
      <c r="D54" s="452" t="s">
        <v>343</v>
      </c>
      <c r="E54" s="96" t="s">
        <v>343</v>
      </c>
      <c r="F54" s="452" t="s">
        <v>343</v>
      </c>
      <c r="G54" s="1251" t="s">
        <v>343</v>
      </c>
      <c r="H54" s="2" t="s">
        <v>343</v>
      </c>
      <c r="I54" s="453" t="s">
        <v>343</v>
      </c>
      <c r="J54" s="96" t="s">
        <v>343</v>
      </c>
      <c r="K54" s="452" t="s">
        <v>343</v>
      </c>
      <c r="L54" s="1252" t="s">
        <v>343</v>
      </c>
      <c r="N54" s="1102"/>
      <c r="O54" s="1102"/>
      <c r="S54" s="2"/>
      <c r="T54" s="2"/>
      <c r="U54" s="2"/>
      <c r="V54" s="2"/>
      <c r="W54" s="2"/>
      <c r="X54" s="2"/>
      <c r="Y54" s="2"/>
    </row>
    <row r="55" spans="1:25" ht="12.75" customHeight="1">
      <c r="A55" s="1" t="s">
        <v>743</v>
      </c>
      <c r="B55" s="2"/>
      <c r="C55" s="1242">
        <f>SUM(C52:C53)</f>
        <v>95.899999999999991</v>
      </c>
      <c r="D55" s="1253">
        <f>SUM(D52:D53)</f>
        <v>97.322499999999991</v>
      </c>
      <c r="E55" s="61"/>
      <c r="F55" s="374">
        <f>C55-D55</f>
        <v>-1.4224999999999994</v>
      </c>
      <c r="G55" s="126">
        <f>IF(D55=0,0,C55/D55-1)</f>
        <v>-1.4616352847491632E-2</v>
      </c>
      <c r="H55" s="2"/>
      <c r="I55" s="1243">
        <v>89.834879765870809</v>
      </c>
      <c r="J55" s="1103"/>
      <c r="K55" s="1241">
        <f>C55-I55</f>
        <v>6.0651202341291821</v>
      </c>
      <c r="L55" s="1204">
        <f>IF(I55=0,"NM",C55/I55-1)</f>
        <v>6.751409085130633E-2</v>
      </c>
      <c r="O55" s="1143">
        <f>+O53-N53</f>
        <v>-1.2273656674398337E-2</v>
      </c>
    </row>
    <row r="56" spans="1:25" ht="4.5" customHeight="1">
      <c r="A56" s="2"/>
      <c r="B56" s="2"/>
      <c r="C56" s="144"/>
      <c r="D56" s="1062"/>
      <c r="E56" s="61"/>
      <c r="F56" s="2"/>
      <c r="G56" s="2"/>
      <c r="H56" s="2"/>
      <c r="I56" s="144"/>
      <c r="J56" s="2"/>
      <c r="K56" s="2"/>
      <c r="L56" s="2"/>
      <c r="O56" s="2"/>
    </row>
    <row r="57" spans="1:25" ht="6" customHeight="1">
      <c r="A57" s="2"/>
      <c r="B57" s="2"/>
      <c r="C57" s="2"/>
      <c r="D57" s="1062"/>
      <c r="E57" s="2"/>
      <c r="F57" s="2"/>
      <c r="G57" s="2"/>
      <c r="H57" s="2"/>
      <c r="I57" s="2"/>
      <c r="J57" s="2"/>
      <c r="K57" s="2"/>
      <c r="L57" s="2"/>
      <c r="O57" s="2"/>
    </row>
    <row r="58" spans="1:25" ht="12.75" customHeight="1">
      <c r="A58" s="2"/>
      <c r="B58" s="2"/>
      <c r="C58" s="2"/>
      <c r="D58" s="1062"/>
      <c r="E58" s="2"/>
      <c r="F58" s="2"/>
      <c r="G58" s="2"/>
      <c r="H58" s="2"/>
      <c r="I58" s="2"/>
      <c r="J58" s="2"/>
      <c r="K58" s="2"/>
      <c r="L58" s="2"/>
      <c r="O58" s="2"/>
    </row>
    <row r="59" spans="1:25" ht="12.75" customHeight="1">
      <c r="A59" s="2"/>
      <c r="B59" s="2"/>
      <c r="C59" s="2"/>
      <c r="D59" s="1062"/>
      <c r="E59" s="2"/>
      <c r="F59" s="2"/>
      <c r="G59" s="2"/>
      <c r="H59" s="2"/>
      <c r="I59" s="2"/>
      <c r="J59" s="2"/>
      <c r="K59" s="2"/>
      <c r="L59" s="2"/>
      <c r="O59" s="2"/>
    </row>
    <row r="60" spans="1:25" ht="12.75" customHeight="1">
      <c r="A60" s="2"/>
      <c r="B60" s="2"/>
      <c r="C60" s="2"/>
      <c r="D60" s="1062"/>
      <c r="E60" s="2"/>
      <c r="F60" s="2"/>
      <c r="G60" s="2"/>
      <c r="H60" s="2"/>
      <c r="I60" s="2"/>
      <c r="J60" s="2"/>
      <c r="K60" s="2"/>
      <c r="L60" s="2"/>
      <c r="O60" s="2"/>
    </row>
    <row r="61" spans="1:25" ht="12.75" customHeight="1">
      <c r="A61" s="2"/>
      <c r="B61" s="2"/>
      <c r="C61" s="2"/>
      <c r="D61" s="1062"/>
      <c r="E61" s="2"/>
      <c r="F61" s="2"/>
      <c r="G61" s="2"/>
      <c r="H61" s="2"/>
      <c r="I61" s="2"/>
      <c r="J61" s="2"/>
      <c r="K61" s="2"/>
      <c r="L61" s="2"/>
      <c r="O61" s="2"/>
    </row>
    <row r="62" spans="1:25" ht="12.75" customHeight="1">
      <c r="A62" s="2"/>
      <c r="B62" s="2"/>
      <c r="C62" s="2"/>
      <c r="D62" s="1062"/>
      <c r="E62" s="2"/>
      <c r="F62" s="2"/>
      <c r="G62" s="2"/>
      <c r="H62" s="2"/>
      <c r="I62" s="2"/>
      <c r="J62" s="2"/>
      <c r="K62" s="2"/>
      <c r="L62" s="2"/>
      <c r="O62" s="2"/>
    </row>
    <row r="63" spans="1:25" ht="12.75" customHeight="1">
      <c r="A63" s="2"/>
      <c r="B63" s="2"/>
      <c r="C63" s="2"/>
      <c r="D63" s="1062"/>
      <c r="E63" s="2"/>
      <c r="F63" s="2"/>
      <c r="G63" s="2"/>
      <c r="H63" s="2"/>
      <c r="I63" s="2"/>
      <c r="J63" s="2"/>
      <c r="K63" s="2"/>
      <c r="L63" s="2"/>
      <c r="N63" s="69" t="s">
        <v>318</v>
      </c>
      <c r="P63" s="2"/>
      <c r="Q63" s="2"/>
      <c r="R63" s="2"/>
    </row>
    <row r="64" spans="1:25" ht="12.75" customHeight="1">
      <c r="A64" s="2"/>
      <c r="B64" s="2"/>
      <c r="C64" s="2"/>
      <c r="D64" s="1062"/>
      <c r="E64" s="2"/>
      <c r="F64" s="2"/>
      <c r="G64" s="2"/>
      <c r="H64" s="2"/>
      <c r="I64" s="2"/>
      <c r="J64" s="2"/>
      <c r="K64" s="2"/>
      <c r="L64" s="2"/>
      <c r="N64" s="2" t="s">
        <v>319</v>
      </c>
      <c r="O64" s="2" t="s">
        <v>320</v>
      </c>
      <c r="P64" s="2" t="s">
        <v>321</v>
      </c>
      <c r="Q64" s="98">
        <v>62.5</v>
      </c>
      <c r="R64" s="98"/>
    </row>
    <row r="65" spans="1:25" ht="12.75" customHeight="1">
      <c r="A65" s="2"/>
      <c r="B65" s="2"/>
      <c r="C65" s="2"/>
      <c r="D65" s="1062"/>
      <c r="E65" s="2"/>
      <c r="F65" s="2"/>
      <c r="G65" s="2"/>
      <c r="H65" s="2"/>
      <c r="I65" s="2"/>
      <c r="J65" s="2"/>
      <c r="K65" s="2"/>
      <c r="L65" s="2"/>
      <c r="N65" s="2"/>
      <c r="O65" s="2" t="s">
        <v>322</v>
      </c>
      <c r="P65" s="2" t="s">
        <v>321</v>
      </c>
      <c r="Q65" s="98">
        <v>87.5</v>
      </c>
      <c r="R65" s="98"/>
    </row>
    <row r="66" spans="1:25" ht="12.75" customHeight="1">
      <c r="A66" s="2"/>
      <c r="B66" s="2"/>
      <c r="C66" s="2"/>
      <c r="D66" s="1062"/>
      <c r="E66" s="2"/>
      <c r="F66" s="2"/>
      <c r="G66" s="2"/>
      <c r="H66" s="2"/>
      <c r="I66" s="2"/>
      <c r="J66" s="2"/>
      <c r="K66" s="2"/>
      <c r="L66" s="2"/>
      <c r="N66" s="2"/>
      <c r="O66" s="2" t="s">
        <v>323</v>
      </c>
      <c r="P66" s="2" t="s">
        <v>321</v>
      </c>
      <c r="Q66" s="98">
        <v>100</v>
      </c>
      <c r="R66" s="98"/>
    </row>
    <row r="67" spans="1:25" ht="12.75" customHeight="1">
      <c r="A67" s="2"/>
      <c r="B67" s="2"/>
      <c r="C67" s="2"/>
      <c r="D67" s="1062"/>
      <c r="E67" s="2"/>
      <c r="F67" s="2"/>
      <c r="G67" s="2"/>
      <c r="H67" s="2"/>
      <c r="I67" s="2"/>
      <c r="J67" s="2"/>
      <c r="K67" s="2"/>
      <c r="L67" s="2"/>
      <c r="N67" s="2"/>
      <c r="O67" s="2" t="s">
        <v>324</v>
      </c>
      <c r="P67" s="2" t="s">
        <v>321</v>
      </c>
      <c r="Q67" s="98">
        <v>112.5</v>
      </c>
      <c r="R67" s="98"/>
    </row>
    <row r="68" spans="1:25" ht="12.75" customHeight="1">
      <c r="A68" s="2"/>
      <c r="B68" s="2"/>
      <c r="C68" s="2"/>
      <c r="D68" s="1062"/>
      <c r="E68" s="2"/>
      <c r="F68" s="2"/>
      <c r="G68" s="2"/>
      <c r="H68" s="2"/>
      <c r="I68" s="2"/>
      <c r="J68" s="2"/>
      <c r="K68" s="2"/>
      <c r="L68" s="2"/>
      <c r="N68" s="2"/>
      <c r="O68" s="2" t="s">
        <v>325</v>
      </c>
      <c r="P68" s="2" t="s">
        <v>321</v>
      </c>
      <c r="Q68" s="98">
        <v>137.5</v>
      </c>
      <c r="R68" s="98"/>
    </row>
    <row r="69" spans="1:25" ht="12.75" customHeight="1">
      <c r="A69" s="2"/>
      <c r="B69" s="2"/>
      <c r="C69" s="2"/>
      <c r="D69" s="1062"/>
      <c r="E69" s="2"/>
      <c r="F69" s="2"/>
      <c r="G69" s="2"/>
      <c r="H69" s="2"/>
      <c r="I69" s="2"/>
      <c r="J69" s="2"/>
      <c r="K69" s="2"/>
      <c r="L69" s="2"/>
      <c r="N69" s="2"/>
      <c r="O69" s="2" t="s">
        <v>326</v>
      </c>
      <c r="P69" s="2" t="s">
        <v>321</v>
      </c>
      <c r="Q69" s="98">
        <v>162.5</v>
      </c>
      <c r="R69" s="98"/>
    </row>
    <row r="70" spans="1:25" ht="12.75" customHeight="1">
      <c r="A70" s="2"/>
      <c r="B70" s="2"/>
      <c r="C70" s="2"/>
      <c r="D70" s="1062"/>
      <c r="E70" s="2"/>
      <c r="F70" s="2"/>
      <c r="G70" s="2"/>
      <c r="H70" s="2"/>
      <c r="I70" s="2"/>
      <c r="J70" s="2"/>
      <c r="K70" s="2"/>
      <c r="L70" s="2"/>
      <c r="O70" s="2"/>
      <c r="S70" s="2"/>
      <c r="T70" s="2"/>
      <c r="U70" s="2"/>
      <c r="V70" s="2"/>
      <c r="W70" s="2"/>
      <c r="X70" s="2"/>
      <c r="Y70" s="2"/>
    </row>
    <row r="71" spans="1:25" ht="12.75" customHeight="1">
      <c r="A71" s="2"/>
      <c r="B71" s="2"/>
      <c r="C71" s="2"/>
      <c r="D71" s="1062"/>
      <c r="E71" s="2"/>
      <c r="F71" s="2"/>
      <c r="G71" s="2"/>
      <c r="H71" s="2"/>
      <c r="I71" s="2"/>
      <c r="J71" s="2"/>
      <c r="K71" s="2"/>
      <c r="L71" s="2"/>
      <c r="O71" s="2"/>
      <c r="S71" s="2"/>
      <c r="T71" s="2"/>
      <c r="U71" s="2"/>
      <c r="V71" s="2"/>
      <c r="W71" s="2"/>
      <c r="X71" s="2"/>
      <c r="Y71" s="2"/>
    </row>
    <row r="72" spans="1:25" ht="12.75" customHeight="1">
      <c r="A72" s="2"/>
      <c r="B72" s="2"/>
      <c r="C72" s="2"/>
      <c r="D72" s="1062"/>
      <c r="E72" s="2"/>
      <c r="F72" s="2"/>
      <c r="G72" s="2"/>
      <c r="H72" s="2"/>
      <c r="I72" s="2"/>
      <c r="J72" s="2"/>
      <c r="K72" s="2"/>
      <c r="L72" s="2"/>
      <c r="O72" s="2"/>
      <c r="S72" s="1" t="s">
        <v>1140</v>
      </c>
      <c r="T72" s="1"/>
      <c r="U72" s="2"/>
      <c r="V72" s="2"/>
      <c r="W72" s="2"/>
      <c r="X72" s="2"/>
      <c r="Y72" s="2"/>
    </row>
    <row r="73" spans="1:25" ht="12.75" customHeight="1">
      <c r="A73" s="2"/>
      <c r="B73" s="2"/>
      <c r="C73" s="2"/>
      <c r="D73" s="1062"/>
      <c r="E73" s="2"/>
      <c r="F73" s="2"/>
      <c r="G73" s="2"/>
      <c r="H73" s="2"/>
      <c r="I73" s="2"/>
      <c r="J73" s="2"/>
      <c r="K73" s="2"/>
      <c r="L73" s="2"/>
      <c r="O73" s="2"/>
      <c r="S73" s="1"/>
      <c r="T73" s="1"/>
      <c r="U73" s="2"/>
      <c r="V73" s="2"/>
      <c r="W73" s="2"/>
      <c r="X73" s="2"/>
      <c r="Y73" s="2"/>
    </row>
    <row r="74" spans="1:25" ht="12.75" customHeight="1">
      <c r="A74" s="2"/>
      <c r="B74" s="2"/>
      <c r="C74" s="2"/>
      <c r="D74" s="1062"/>
      <c r="E74" s="2"/>
      <c r="F74" s="2"/>
      <c r="G74" s="2"/>
      <c r="H74" s="2"/>
      <c r="I74" s="2"/>
      <c r="J74" s="2"/>
      <c r="K74" s="2"/>
      <c r="L74" s="2"/>
      <c r="O74" s="2"/>
      <c r="S74" s="2" t="s">
        <v>1144</v>
      </c>
      <c r="T74" s="2"/>
      <c r="U74" s="2"/>
      <c r="V74" s="2"/>
      <c r="W74" s="2"/>
      <c r="X74" s="2"/>
      <c r="Y74" s="2"/>
    </row>
    <row r="75" spans="1:25" ht="12.75" customHeight="1">
      <c r="A75" s="2"/>
      <c r="B75" s="2"/>
      <c r="C75" s="2"/>
      <c r="D75" s="1062"/>
      <c r="E75" s="2"/>
      <c r="F75" s="2"/>
      <c r="G75" s="2"/>
      <c r="H75" s="2"/>
      <c r="I75" s="2"/>
      <c r="J75" s="2"/>
      <c r="K75" s="2"/>
      <c r="L75" s="2"/>
      <c r="O75" s="2"/>
      <c r="S75" s="69" t="s">
        <v>53</v>
      </c>
      <c r="T75" s="69"/>
      <c r="U75" s="1289" t="s">
        <v>1143</v>
      </c>
      <c r="V75" s="1289"/>
      <c r="W75" s="1289" t="s">
        <v>1142</v>
      </c>
      <c r="X75" s="1289"/>
      <c r="Y75" s="1289" t="s">
        <v>829</v>
      </c>
    </row>
    <row r="76" spans="1:25" ht="12.75" customHeight="1">
      <c r="A76" s="2"/>
      <c r="B76" s="2"/>
      <c r="C76" s="2"/>
      <c r="D76" s="1062"/>
      <c r="E76" s="2"/>
      <c r="F76" s="2"/>
      <c r="G76" s="2"/>
      <c r="H76" s="2"/>
      <c r="I76" s="2"/>
      <c r="J76" s="2"/>
      <c r="K76" s="2"/>
      <c r="L76" s="2"/>
      <c r="O76" s="2"/>
      <c r="S76" s="2" t="s">
        <v>935</v>
      </c>
      <c r="T76" s="2"/>
      <c r="U76" s="1102">
        <v>2304.9650493234458</v>
      </c>
      <c r="V76" s="98"/>
      <c r="W76" s="98">
        <f>BYD!AQ21</f>
        <v>2330.8430000000003</v>
      </c>
      <c r="X76" s="98"/>
      <c r="Y76" s="105">
        <f>W76/U76-1</f>
        <v>1.1227046884789038E-2</v>
      </c>
    </row>
    <row r="77" spans="1:25" ht="12.75" customHeight="1">
      <c r="A77" s="2"/>
      <c r="B77" s="2"/>
      <c r="C77" s="2"/>
      <c r="D77" s="1062"/>
      <c r="E77" s="2"/>
      <c r="F77" s="2"/>
      <c r="G77" s="2"/>
      <c r="H77" s="2"/>
      <c r="I77" s="2"/>
      <c r="J77" s="2"/>
      <c r="K77" s="2"/>
      <c r="L77" s="2"/>
      <c r="O77" s="2"/>
      <c r="S77" s="2" t="s">
        <v>1141</v>
      </c>
      <c r="T77" s="2"/>
      <c r="U77" s="1102">
        <v>494.18084723594586</v>
      </c>
      <c r="V77" s="98"/>
      <c r="W77" s="98">
        <f>BYD!AQ51</f>
        <v>506.30200000000002</v>
      </c>
      <c r="X77" s="98"/>
      <c r="Y77" s="105">
        <f>W77/U77-1</f>
        <v>2.4527767176429904E-2</v>
      </c>
    </row>
    <row r="78" spans="1:25" ht="12.75" customHeight="1">
      <c r="A78" s="2"/>
      <c r="B78" s="2"/>
      <c r="C78" s="2"/>
      <c r="D78" s="1062"/>
      <c r="E78" s="2"/>
      <c r="F78" s="2"/>
      <c r="G78" s="2"/>
      <c r="H78" s="2"/>
      <c r="I78" s="2"/>
      <c r="J78" s="2"/>
      <c r="K78" s="2"/>
      <c r="L78" s="2"/>
      <c r="O78" s="2"/>
      <c r="S78" s="2" t="s">
        <v>200</v>
      </c>
      <c r="T78" s="2"/>
      <c r="U78" s="1401">
        <v>-2.1108861031995284E-2</v>
      </c>
      <c r="V78" s="1336"/>
      <c r="W78" s="1181">
        <f>BYD!AQ95</f>
        <v>-3.2745966864743742E-3</v>
      </c>
      <c r="X78" s="1336"/>
      <c r="Y78" s="105">
        <f>W78/U78-1</f>
        <v>-0.84487099130971699</v>
      </c>
    </row>
    <row r="79" spans="1:25" ht="12.75" customHeight="1">
      <c r="A79" s="2"/>
      <c r="B79" s="2"/>
      <c r="C79" s="2"/>
      <c r="D79" s="1062"/>
      <c r="E79" s="2"/>
      <c r="F79" s="2"/>
      <c r="G79" s="2"/>
      <c r="H79" s="2"/>
      <c r="I79" s="2"/>
      <c r="J79" s="2"/>
      <c r="K79" s="2"/>
      <c r="L79" s="2"/>
      <c r="O79" s="2"/>
      <c r="S79" s="2"/>
      <c r="T79" s="2"/>
      <c r="U79" s="98"/>
      <c r="V79" s="98"/>
      <c r="W79" s="98"/>
      <c r="X79" s="98"/>
      <c r="Y79" s="2"/>
    </row>
    <row r="80" spans="1:25" ht="12.75" customHeight="1">
      <c r="A80" s="2"/>
      <c r="B80" s="2"/>
      <c r="C80" s="2"/>
      <c r="D80" s="1062"/>
      <c r="E80" s="2"/>
      <c r="F80" s="2"/>
      <c r="G80" s="2"/>
      <c r="H80" s="2"/>
      <c r="I80" s="2"/>
      <c r="J80" s="2"/>
      <c r="K80" s="2"/>
      <c r="L80" s="2"/>
      <c r="O80" s="2"/>
      <c r="S80" s="69" t="s">
        <v>54</v>
      </c>
      <c r="T80" s="69"/>
      <c r="U80" s="98"/>
      <c r="V80" s="98"/>
      <c r="W80" s="98"/>
      <c r="X80" s="98"/>
      <c r="Y80" s="2"/>
    </row>
    <row r="81" spans="1:25" ht="12.75" customHeight="1">
      <c r="A81" s="2"/>
      <c r="B81" s="2"/>
      <c r="C81" s="2"/>
      <c r="D81" s="1062"/>
      <c r="E81" s="2"/>
      <c r="F81" s="2"/>
      <c r="G81" s="2"/>
      <c r="H81" s="2"/>
      <c r="I81" s="2"/>
      <c r="J81" s="2"/>
      <c r="K81" s="2"/>
      <c r="L81" s="2"/>
      <c r="O81" s="2"/>
      <c r="S81" s="2" t="s">
        <v>935</v>
      </c>
      <c r="T81" s="2"/>
      <c r="U81" s="1102">
        <v>2308.9262835764312</v>
      </c>
      <c r="V81" s="98"/>
      <c r="W81" s="98">
        <f>BYD!AV21</f>
        <v>2482.8190000000004</v>
      </c>
      <c r="X81" s="98"/>
      <c r="Y81" s="105">
        <f>W81/U81-1</f>
        <v>7.5313238738058175E-2</v>
      </c>
    </row>
    <row r="82" spans="1:25" ht="12.75" customHeight="1">
      <c r="A82" s="2"/>
      <c r="B82" s="2"/>
      <c r="C82" s="2"/>
      <c r="D82" s="1062"/>
      <c r="E82" s="2"/>
      <c r="F82" s="2"/>
      <c r="G82" s="2"/>
      <c r="H82" s="2"/>
      <c r="I82" s="2"/>
      <c r="J82" s="2"/>
      <c r="K82" s="2"/>
      <c r="L82" s="2"/>
      <c r="O82" s="2"/>
      <c r="S82" s="2" t="s">
        <v>1141</v>
      </c>
      <c r="T82" s="2"/>
      <c r="U82" s="1102">
        <v>516.23611970913123</v>
      </c>
      <c r="V82" s="98"/>
      <c r="W82" s="98">
        <f>BYD!AV51</f>
        <v>492.05100000000004</v>
      </c>
      <c r="X82" s="98"/>
      <c r="Y82" s="105">
        <f>W82/U82-1</f>
        <v>-4.6848949125756767E-2</v>
      </c>
    </row>
    <row r="83" spans="1:25" ht="12.75" customHeight="1">
      <c r="A83" s="2"/>
      <c r="B83" s="2"/>
      <c r="C83" s="2"/>
      <c r="D83" s="1062"/>
      <c r="E83" s="2"/>
      <c r="F83" s="2"/>
      <c r="G83" s="2"/>
      <c r="H83" s="2"/>
      <c r="I83" s="2"/>
      <c r="J83" s="2"/>
      <c r="K83" s="2"/>
      <c r="L83" s="2"/>
      <c r="O83" s="2"/>
      <c r="S83" s="2" t="s">
        <v>200</v>
      </c>
      <c r="T83" s="2"/>
      <c r="U83" s="1401">
        <v>8.5787209704403997E-2</v>
      </c>
      <c r="V83" s="1336"/>
      <c r="W83" s="1181">
        <f>BYD!AV95</f>
        <v>-0.27977684479532566</v>
      </c>
      <c r="X83" s="1336"/>
      <c r="Y83" s="105">
        <f>W83/U83-1</f>
        <v>-4.2612885505817193</v>
      </c>
    </row>
  </sheetData>
  <phoneticPr fontId="10" type="noConversion"/>
  <pageMargins left="0.75" right="0.75" top="1" bottom="1" header="0.5" footer="0.5"/>
  <pageSetup scale="92" orientation="portrait" horizontalDpi="1200" verticalDpi="1200" r:id="rId1"/>
  <headerFooter alignWithMargins="0"/>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autoPageBreaks="0"/>
  </sheetPr>
  <dimension ref="A1:Y83"/>
  <sheetViews>
    <sheetView zoomScale="85" zoomScaleNormal="85" workbookViewId="0"/>
  </sheetViews>
  <sheetFormatPr defaultRowHeight="12.75" customHeight="1"/>
  <cols>
    <col min="1" max="1" width="21.5" customWidth="1"/>
    <col min="2" max="2" width="1.5" customWidth="1"/>
    <col min="5" max="5" width="1.5" customWidth="1"/>
    <col min="8" max="8" width="1.5" customWidth="1"/>
    <col min="10" max="10" width="1.5" customWidth="1"/>
    <col min="16" max="16" width="3.25" customWidth="1"/>
    <col min="18" max="18" width="1" customWidth="1"/>
    <col min="19" max="19" width="19" customWidth="1"/>
    <col min="20" max="20" width="1.625" customWidth="1"/>
    <col min="21" max="21" width="8.625" customWidth="1"/>
    <col min="22" max="22" width="1.625" customWidth="1"/>
    <col min="23" max="23" width="8.625" customWidth="1"/>
    <col min="24" max="24" width="1.625" customWidth="1"/>
    <col min="25" max="25" width="8.625" customWidth="1"/>
  </cols>
  <sheetData>
    <row r="1" spans="1:25" ht="12.75" customHeight="1">
      <c r="A1" s="1" t="s">
        <v>629</v>
      </c>
      <c r="B1" s="2"/>
      <c r="C1" s="2"/>
      <c r="D1" s="1062"/>
      <c r="E1" s="2"/>
      <c r="F1" s="2"/>
      <c r="G1" s="2"/>
      <c r="H1" s="2"/>
      <c r="I1" s="2"/>
      <c r="J1" s="2"/>
      <c r="K1" s="2"/>
      <c r="L1" s="2"/>
      <c r="O1" s="2"/>
      <c r="S1" s="2"/>
      <c r="T1" s="2"/>
      <c r="U1" s="2"/>
      <c r="V1" s="2"/>
      <c r="W1" s="2"/>
      <c r="X1" s="2"/>
      <c r="Y1" s="2"/>
    </row>
    <row r="2" spans="1:25" ht="12.75" customHeight="1">
      <c r="A2" s="1" t="s">
        <v>1224</v>
      </c>
      <c r="B2" s="2"/>
      <c r="C2" s="2"/>
      <c r="D2" s="1062"/>
      <c r="E2" s="2"/>
      <c r="F2" s="2"/>
      <c r="G2" s="2"/>
      <c r="H2" s="2"/>
      <c r="I2" s="2"/>
      <c r="J2" s="2"/>
      <c r="K2" s="2"/>
      <c r="L2" s="2"/>
      <c r="O2" s="2"/>
      <c r="S2" s="2"/>
      <c r="T2" s="2"/>
      <c r="U2" s="2"/>
      <c r="V2" s="2"/>
      <c r="W2" s="2"/>
      <c r="X2" s="2"/>
      <c r="Y2" s="2"/>
    </row>
    <row r="3" spans="1:25" ht="12.75" customHeight="1">
      <c r="A3" s="2" t="s">
        <v>1225</v>
      </c>
      <c r="B3" s="2"/>
      <c r="C3" s="2"/>
      <c r="D3" s="1062"/>
      <c r="E3" s="2"/>
      <c r="F3" s="2"/>
      <c r="G3" s="2"/>
      <c r="H3" s="2"/>
      <c r="I3" s="2"/>
      <c r="J3" s="2"/>
      <c r="K3" s="2"/>
      <c r="L3" s="2"/>
      <c r="O3" s="2"/>
      <c r="S3" s="2"/>
      <c r="T3" s="2"/>
      <c r="U3" s="2"/>
      <c r="V3" s="2"/>
      <c r="W3" s="2"/>
      <c r="X3" s="2"/>
      <c r="Y3" s="2"/>
    </row>
    <row r="4" spans="1:25" ht="12.75" customHeight="1">
      <c r="A4" s="2"/>
      <c r="B4" s="2"/>
      <c r="C4" s="1195" t="s">
        <v>818</v>
      </c>
      <c r="D4" s="1310"/>
      <c r="E4" s="1196"/>
      <c r="F4" s="1196"/>
      <c r="G4" s="1196"/>
      <c r="H4" s="2"/>
      <c r="I4" s="1195" t="s">
        <v>1504</v>
      </c>
      <c r="J4" s="1197"/>
      <c r="K4" s="1196"/>
      <c r="L4" s="1196"/>
      <c r="O4" s="73" t="s">
        <v>1030</v>
      </c>
      <c r="S4" s="2"/>
      <c r="T4" s="2"/>
      <c r="U4" s="2"/>
      <c r="V4" s="2"/>
      <c r="W4" s="2"/>
      <c r="X4" s="2"/>
      <c r="Y4" s="2"/>
    </row>
    <row r="5" spans="1:25" ht="12.75" customHeight="1">
      <c r="A5" s="2"/>
      <c r="B5" s="2"/>
      <c r="C5" s="1198"/>
      <c r="D5" s="77"/>
      <c r="E5" s="2"/>
      <c r="F5" s="1197" t="s">
        <v>1505</v>
      </c>
      <c r="G5" s="1197"/>
      <c r="H5" s="2"/>
      <c r="I5" s="1198"/>
      <c r="J5" s="61"/>
      <c r="K5" s="1197" t="s">
        <v>1505</v>
      </c>
      <c r="L5" s="1197"/>
      <c r="O5" s="2"/>
      <c r="S5" s="2"/>
      <c r="T5" s="2"/>
      <c r="U5" s="2"/>
      <c r="V5" s="2"/>
      <c r="W5" s="2"/>
      <c r="X5" s="2"/>
      <c r="Y5" s="2"/>
    </row>
    <row r="6" spans="1:25" ht="12.75" customHeight="1">
      <c r="A6" s="61"/>
      <c r="B6" s="2"/>
      <c r="C6" s="1199" t="s">
        <v>695</v>
      </c>
      <c r="D6" s="1308" t="s">
        <v>1720</v>
      </c>
      <c r="E6" s="70"/>
      <c r="F6" s="73" t="s">
        <v>658</v>
      </c>
      <c r="G6" s="73" t="s">
        <v>740</v>
      </c>
      <c r="H6" s="2"/>
      <c r="I6" s="1199" t="s">
        <v>1575</v>
      </c>
      <c r="J6" s="70"/>
      <c r="K6" s="73" t="s">
        <v>658</v>
      </c>
      <c r="L6" s="73" t="s">
        <v>740</v>
      </c>
      <c r="O6" s="2"/>
      <c r="S6" s="2"/>
      <c r="T6" s="2"/>
      <c r="U6" s="2"/>
      <c r="V6" s="2"/>
      <c r="W6" s="2"/>
      <c r="X6" s="2"/>
      <c r="Y6" s="2"/>
    </row>
    <row r="7" spans="1:25" ht="12.75" customHeight="1">
      <c r="A7" s="1" t="s">
        <v>741</v>
      </c>
      <c r="B7" s="2"/>
      <c r="C7" s="112"/>
      <c r="D7" s="77"/>
      <c r="E7" s="2"/>
      <c r="F7" s="2"/>
      <c r="G7" s="2"/>
      <c r="H7" s="2"/>
      <c r="I7" s="112"/>
      <c r="J7" s="61"/>
      <c r="K7" s="2"/>
      <c r="L7" s="2"/>
      <c r="O7" s="2"/>
      <c r="S7" s="2"/>
      <c r="T7" s="2"/>
      <c r="U7" s="2"/>
      <c r="V7" s="2"/>
      <c r="W7" s="2"/>
      <c r="X7" s="2"/>
      <c r="Y7" s="2"/>
    </row>
    <row r="8" spans="1:25" ht="12.75" customHeight="1">
      <c r="A8" s="334" t="s">
        <v>514</v>
      </c>
      <c r="B8" s="2"/>
      <c r="C8" s="1201">
        <f>BYD!AK10</f>
        <v>152.12299999999999</v>
      </c>
      <c r="D8" s="858">
        <f>BYD!AF10</f>
        <v>154.96600000000001</v>
      </c>
      <c r="E8" s="1202"/>
      <c r="F8" s="1205">
        <f>C8-D8</f>
        <v>-2.8430000000000177</v>
      </c>
      <c r="G8" s="126">
        <f>IF(D8=0,0,C8/D8-1)</f>
        <v>-1.8345959758914954E-2</v>
      </c>
      <c r="H8" s="1205"/>
      <c r="I8" s="1207">
        <v>151.86668</v>
      </c>
      <c r="J8" s="1202"/>
      <c r="K8" s="313">
        <f>C8-I8</f>
        <v>0.25631999999998811</v>
      </c>
      <c r="L8" s="1204">
        <f>IF(I8=0,"NM",C8/I8-1)</f>
        <v>1.6877961643724237E-3</v>
      </c>
      <c r="O8" s="2"/>
      <c r="S8" s="2"/>
      <c r="T8" s="2"/>
      <c r="U8" s="2"/>
      <c r="V8" s="2"/>
      <c r="W8" s="2"/>
      <c r="X8" s="2"/>
      <c r="Y8" s="2"/>
    </row>
    <row r="9" spans="1:25" ht="12.75" customHeight="1">
      <c r="A9" s="334" t="s">
        <v>515</v>
      </c>
      <c r="B9" s="61"/>
      <c r="C9" s="146">
        <f>BYD!AK11</f>
        <v>57.133000000000003</v>
      </c>
      <c r="D9" s="104">
        <f>BYD!AF11</f>
        <v>58.048999999999999</v>
      </c>
      <c r="E9" s="1103"/>
      <c r="F9" s="374">
        <f>C9-D9</f>
        <v>-0.91599999999999682</v>
      </c>
      <c r="G9" s="95">
        <f>IF(D9=0,0,C9/D9-1)</f>
        <v>-1.5779772261365288E-2</v>
      </c>
      <c r="H9" s="61"/>
      <c r="I9" s="1104">
        <v>55.727039999999995</v>
      </c>
      <c r="J9" s="1103"/>
      <c r="K9" s="374">
        <f>C9-I9</f>
        <v>1.4059600000000074</v>
      </c>
      <c r="L9" s="92">
        <f>IF(I9=0,"NM",C9/I9-1)</f>
        <v>2.5229403894411195E-2</v>
      </c>
      <c r="O9" s="2"/>
      <c r="S9" s="2"/>
      <c r="T9" s="2"/>
      <c r="U9" s="2"/>
      <c r="V9" s="2"/>
      <c r="W9" s="2"/>
      <c r="X9" s="2"/>
      <c r="Y9" s="2"/>
    </row>
    <row r="10" spans="1:25" ht="12.75" customHeight="1">
      <c r="A10" s="334" t="s">
        <v>516</v>
      </c>
      <c r="B10" s="61"/>
      <c r="C10" s="146">
        <f>BYD!AK13</f>
        <v>172.54599999999999</v>
      </c>
      <c r="D10" s="104">
        <f>BYD!AF13</f>
        <v>171.93299999999999</v>
      </c>
      <c r="E10" s="1103"/>
      <c r="F10" s="374">
        <f>C10-D10</f>
        <v>0.61299999999999955</v>
      </c>
      <c r="G10" s="95">
        <f>IF(D10=0,0,C10/D10-1)</f>
        <v>3.5653423135755258E-3</v>
      </c>
      <c r="H10" s="61"/>
      <c r="I10" s="1104">
        <v>174.94611380000001</v>
      </c>
      <c r="J10" s="1103"/>
      <c r="K10" s="374">
        <f>C10-I10</f>
        <v>-2.400113800000014</v>
      </c>
      <c r="L10" s="92">
        <f>IF(I10=0,"NM",C10/I10-1)</f>
        <v>-1.3719160419555454E-2</v>
      </c>
      <c r="O10" s="2"/>
      <c r="S10" s="2"/>
      <c r="T10" s="2"/>
      <c r="U10" s="2"/>
      <c r="V10" s="2"/>
      <c r="W10" s="2"/>
      <c r="X10" s="2"/>
      <c r="Y10" s="2"/>
    </row>
    <row r="11" spans="1:25" ht="12.75" customHeight="1">
      <c r="A11" s="334" t="s">
        <v>273</v>
      </c>
      <c r="B11" s="61"/>
      <c r="C11" s="146">
        <f>BYD!AK906</f>
        <v>168.786</v>
      </c>
      <c r="D11" s="104">
        <f>BYD!AF906</f>
        <v>175.40799999999999</v>
      </c>
      <c r="E11" s="1103"/>
      <c r="F11" s="374">
        <f>C11-D11</f>
        <v>-6.6219999999999857</v>
      </c>
      <c r="G11" s="95">
        <f>IF(D11=0,0,C11/D11-1)</f>
        <v>-3.7751983946000101E-2</v>
      </c>
      <c r="H11" s="61"/>
      <c r="I11" s="1104">
        <v>169.09988714647415</v>
      </c>
      <c r="J11" s="1103"/>
      <c r="K11" s="374">
        <f>C11-I11</f>
        <v>-0.31388714647414417</v>
      </c>
      <c r="L11" s="92">
        <f>IF(I11=0,"NM",C11/I11-1)</f>
        <v>-1.8562232759047337E-3</v>
      </c>
      <c r="O11" s="2"/>
      <c r="S11" s="2"/>
      <c r="T11" s="2"/>
      <c r="U11" s="2"/>
      <c r="V11" s="2"/>
      <c r="W11" s="2"/>
      <c r="X11" s="2"/>
      <c r="Y11" s="2"/>
    </row>
    <row r="12" spans="1:25" ht="12.75" customHeight="1">
      <c r="A12" s="138" t="s">
        <v>813</v>
      </c>
      <c r="B12" s="1203"/>
      <c r="C12" s="1250">
        <f>SUM(C8:C11)+1.352</f>
        <v>551.93999999999994</v>
      </c>
      <c r="D12" s="1210">
        <f>SUM(D8:D11)</f>
        <v>560.35599999999999</v>
      </c>
      <c r="E12" s="1210"/>
      <c r="F12" s="1210">
        <f>SUM(F8:F10)</f>
        <v>-3.146000000000015</v>
      </c>
      <c r="G12" s="1208">
        <f>IF(D12=0,0,C12/D12-1)</f>
        <v>-1.5019023620698402E-2</v>
      </c>
      <c r="H12" s="1206"/>
      <c r="I12" s="1250">
        <v>551.6397209464742</v>
      </c>
      <c r="J12" s="1210"/>
      <c r="K12" s="1210">
        <f>SUM(K8:K10)</f>
        <v>-0.73783380000001841</v>
      </c>
      <c r="L12" s="1211">
        <f>C12/I12-1</f>
        <v>5.4433907154205485E-4</v>
      </c>
      <c r="O12" s="1102">
        <v>554.1</v>
      </c>
      <c r="P12" s="1299"/>
      <c r="S12" s="2"/>
      <c r="T12" s="2"/>
      <c r="U12" s="2"/>
      <c r="V12" s="2"/>
      <c r="W12" s="2"/>
      <c r="X12" s="2"/>
      <c r="Y12" s="2"/>
    </row>
    <row r="13" spans="1:25" ht="12.75" customHeight="1">
      <c r="A13" s="61"/>
      <c r="B13" s="61"/>
      <c r="C13" s="129">
        <f>SUM(C14:C15)/SUM(C14:C17)</f>
        <v>0.55352865801240281</v>
      </c>
      <c r="D13" s="77"/>
      <c r="E13" s="61"/>
      <c r="F13" s="61"/>
      <c r="G13" s="1139"/>
      <c r="H13" s="61"/>
      <c r="I13" s="115"/>
      <c r="J13" s="61"/>
      <c r="K13" s="61"/>
      <c r="L13" s="1212"/>
      <c r="O13" s="2"/>
      <c r="S13" s="2"/>
      <c r="T13" s="2"/>
      <c r="U13" s="2"/>
      <c r="V13" s="2"/>
      <c r="W13" s="2"/>
      <c r="X13" s="2"/>
      <c r="Y13" s="2"/>
    </row>
    <row r="14" spans="1:25" ht="12.75" customHeight="1">
      <c r="A14" s="107" t="s">
        <v>401</v>
      </c>
      <c r="B14" s="61"/>
      <c r="C14" s="112">
        <f>0.5*C18</f>
        <v>17.064499999999995</v>
      </c>
      <c r="D14" s="1390"/>
      <c r="E14" s="61"/>
      <c r="F14" s="61"/>
      <c r="G14" s="1139"/>
      <c r="H14" s="61"/>
      <c r="I14" s="115"/>
      <c r="J14" s="61"/>
      <c r="K14" s="61"/>
      <c r="L14" s="1212"/>
      <c r="O14" s="2"/>
      <c r="S14" s="2"/>
      <c r="T14" s="2"/>
      <c r="U14" s="2"/>
      <c r="V14" s="2"/>
      <c r="W14" s="2"/>
      <c r="X14" s="2"/>
      <c r="Y14" s="2"/>
    </row>
    <row r="15" spans="1:25" ht="12.75" customHeight="1">
      <c r="A15" s="334" t="s">
        <v>514</v>
      </c>
      <c r="B15" s="61"/>
      <c r="C15" s="146">
        <f>BYD!AK38</f>
        <v>34.125</v>
      </c>
      <c r="D15" s="104">
        <f>BYD!AF38</f>
        <v>34.735999999999997</v>
      </c>
      <c r="E15" s="1103"/>
      <c r="F15" s="374">
        <f>C15-D15</f>
        <v>-0.6109999999999971</v>
      </c>
      <c r="G15" s="95">
        <f t="shared" ref="G15:G21" si="0">IF(D15=0,0,C15/D15-1)</f>
        <v>-1.7589820359281361E-2</v>
      </c>
      <c r="H15" s="61"/>
      <c r="I15" s="1104">
        <v>34.341854999999981</v>
      </c>
      <c r="J15" s="1103"/>
      <c r="K15" s="374">
        <f>C15-I15</f>
        <v>-0.21685499999998115</v>
      </c>
      <c r="L15" s="92">
        <f>IF(I15=0,"NM",C15/I15-1)</f>
        <v>-6.3145977408611831E-3</v>
      </c>
      <c r="O15" s="2"/>
      <c r="S15" s="2"/>
      <c r="T15" s="2"/>
      <c r="U15" s="2"/>
      <c r="V15" s="2"/>
      <c r="W15" s="2"/>
      <c r="X15" s="2"/>
      <c r="Y15" s="2"/>
    </row>
    <row r="16" spans="1:25" ht="12.75" customHeight="1">
      <c r="A16" s="334" t="s">
        <v>515</v>
      </c>
      <c r="B16" s="61"/>
      <c r="C16" s="146">
        <f>BYD!AK39</f>
        <v>10.866</v>
      </c>
      <c r="D16" s="104">
        <f>BYD!AF39</f>
        <v>12.247</v>
      </c>
      <c r="E16" s="1103"/>
      <c r="F16" s="374">
        <f>C16-D16</f>
        <v>-1.3810000000000002</v>
      </c>
      <c r="G16" s="95">
        <f t="shared" si="0"/>
        <v>-0.11276230913693153</v>
      </c>
      <c r="H16" s="61"/>
      <c r="I16" s="1104">
        <v>9.9250399999999956</v>
      </c>
      <c r="J16" s="1103"/>
      <c r="K16" s="374">
        <f>C16-I16</f>
        <v>0.94096000000000402</v>
      </c>
      <c r="L16" s="92">
        <f>IF(I16=0,"NM",C16/I16-1)</f>
        <v>9.4806670804349791E-2</v>
      </c>
      <c r="O16" s="2"/>
      <c r="S16" s="2"/>
      <c r="T16" s="2"/>
      <c r="U16" s="2"/>
      <c r="V16" s="2"/>
      <c r="W16" s="2"/>
      <c r="X16" s="2"/>
      <c r="Y16" s="2"/>
    </row>
    <row r="17" spans="1:25" ht="12.75" customHeight="1">
      <c r="A17" s="334" t="s">
        <v>516</v>
      </c>
      <c r="B17" s="61"/>
      <c r="C17" s="146">
        <f>BYD!AK41</f>
        <v>30.422999999999998</v>
      </c>
      <c r="D17" s="104">
        <f>BYD!AF41</f>
        <v>28.081</v>
      </c>
      <c r="E17" s="1103"/>
      <c r="F17" s="374">
        <f>C17-D17</f>
        <v>2.3419999999999987</v>
      </c>
      <c r="G17" s="95">
        <f t="shared" si="0"/>
        <v>8.3401588262526305E-2</v>
      </c>
      <c r="H17" s="61"/>
      <c r="I17" s="1104">
        <v>32.532633800000013</v>
      </c>
      <c r="J17" s="1103"/>
      <c r="K17" s="374">
        <f>C17-I17</f>
        <v>-2.1096338000000152</v>
      </c>
      <c r="L17" s="92">
        <f>IF(I17=0,"NM",C17/I17-1)</f>
        <v>-6.4846695566345924E-2</v>
      </c>
      <c r="O17" s="2"/>
      <c r="S17" s="2"/>
      <c r="T17" s="2"/>
      <c r="U17" s="2"/>
      <c r="V17" s="2"/>
      <c r="W17" s="2"/>
      <c r="X17" s="2"/>
      <c r="Y17" s="2"/>
    </row>
    <row r="18" spans="1:25" ht="12.75" customHeight="1">
      <c r="A18" s="334" t="s">
        <v>273</v>
      </c>
      <c r="B18" s="61"/>
      <c r="C18" s="146">
        <f>BYD!AK927</f>
        <v>34.128999999999991</v>
      </c>
      <c r="D18" s="104">
        <f>BYD!AF927</f>
        <v>36.447999999999979</v>
      </c>
      <c r="E18" s="1103"/>
      <c r="F18" s="374">
        <f>C18-D18</f>
        <v>-2.3189999999999884</v>
      </c>
      <c r="G18" s="95">
        <f>IF(D18=0,0,C18/D18-1)</f>
        <v>-6.3624890254609046E-2</v>
      </c>
      <c r="H18" s="61"/>
      <c r="I18" s="1104">
        <v>33.819977429294831</v>
      </c>
      <c r="J18" s="1103"/>
      <c r="K18" s="374">
        <f>C18-I18</f>
        <v>0.30902257070516015</v>
      </c>
      <c r="L18" s="92">
        <f>IF(I18=0,"NM",C18/I18-1)</f>
        <v>9.1372790342989507E-3</v>
      </c>
      <c r="O18" s="2"/>
      <c r="S18" s="2"/>
      <c r="T18" s="2"/>
      <c r="U18" s="2"/>
      <c r="V18" s="2"/>
      <c r="W18" s="2"/>
      <c r="X18" s="2"/>
      <c r="Y18" s="2"/>
    </row>
    <row r="19" spans="1:25" ht="12.75" customHeight="1">
      <c r="A19" s="138" t="s">
        <v>819</v>
      </c>
      <c r="B19" s="1203"/>
      <c r="C19" s="1209">
        <f>SUM(C15:C18)</f>
        <v>109.54299999999999</v>
      </c>
      <c r="D19" s="1210">
        <f>SUM(D15:D18)</f>
        <v>111.51199999999997</v>
      </c>
      <c r="E19" s="1210"/>
      <c r="F19" s="1210">
        <f>SUM(F15:F17)</f>
        <v>0.35000000000000142</v>
      </c>
      <c r="G19" s="1208">
        <f t="shared" si="0"/>
        <v>-1.7657292488700627E-2</v>
      </c>
      <c r="H19" s="1206"/>
      <c r="I19" s="1250">
        <v>110.61950622929481</v>
      </c>
      <c r="J19" s="1210"/>
      <c r="K19" s="1210">
        <f>SUM(K15:K17)</f>
        <v>-1.3855287999999923</v>
      </c>
      <c r="L19" s="1211">
        <f>C19/I19-1</f>
        <v>-9.7316130399589529E-3</v>
      </c>
      <c r="O19" s="2"/>
      <c r="S19" s="2"/>
      <c r="T19" s="2"/>
      <c r="U19" s="2"/>
      <c r="V19" s="2"/>
      <c r="W19" s="2"/>
      <c r="X19" s="2"/>
      <c r="Y19" s="2"/>
    </row>
    <row r="20" spans="1:25" ht="12.75" customHeight="1">
      <c r="A20" s="2" t="s">
        <v>742</v>
      </c>
      <c r="B20" s="2"/>
      <c r="C20" s="146">
        <f>BYD!AK54</f>
        <v>-9.5</v>
      </c>
      <c r="D20" s="104">
        <f>BYD!AF54</f>
        <v>-9.5809999999999995</v>
      </c>
      <c r="E20" s="1103"/>
      <c r="F20" s="374">
        <f>C20-D20</f>
        <v>8.0999999999999517E-2</v>
      </c>
      <c r="G20" s="126">
        <f t="shared" si="0"/>
        <v>-8.4542323348293369E-3</v>
      </c>
      <c r="H20" s="2"/>
      <c r="I20" s="1104">
        <v>-9.1440000000000001</v>
      </c>
      <c r="J20" s="1103"/>
      <c r="K20" s="374">
        <f>C20-I20</f>
        <v>-0.35599999999999987</v>
      </c>
      <c r="L20" s="1204">
        <f>IF(I20=0,"NM",C20/I20-1)</f>
        <v>3.8932633420822427E-2</v>
      </c>
      <c r="O20" s="2"/>
      <c r="S20" s="2"/>
      <c r="T20" s="2"/>
      <c r="U20" s="2"/>
      <c r="V20" s="2"/>
      <c r="W20" s="2"/>
      <c r="X20" s="2"/>
      <c r="Y20" s="2"/>
    </row>
    <row r="21" spans="1:25" ht="12.75" customHeight="1">
      <c r="A21" s="138" t="s">
        <v>555</v>
      </c>
      <c r="B21" s="1203"/>
      <c r="C21" s="1209">
        <f>C19+C20</f>
        <v>100.04299999999999</v>
      </c>
      <c r="D21" s="1210">
        <f>D19+D20</f>
        <v>101.93099999999997</v>
      </c>
      <c r="E21" s="1210"/>
      <c r="F21" s="1210">
        <f>F19+F20</f>
        <v>0.43100000000000094</v>
      </c>
      <c r="G21" s="1208">
        <f t="shared" si="0"/>
        <v>-1.8522333735565999E-2</v>
      </c>
      <c r="H21" s="1210"/>
      <c r="I21" s="1250">
        <v>101.47550622929481</v>
      </c>
      <c r="J21" s="1210"/>
      <c r="K21" s="1210">
        <f>K19+K20</f>
        <v>-1.7415287999999922</v>
      </c>
      <c r="L21" s="1254">
        <f>L19-L20</f>
        <v>-4.866424646078138E-2</v>
      </c>
      <c r="M21" s="1405"/>
      <c r="N21" s="1404"/>
      <c r="O21" s="1102">
        <v>99.1</v>
      </c>
      <c r="P21" s="1299" t="s">
        <v>439</v>
      </c>
      <c r="S21" s="2"/>
      <c r="T21" s="2"/>
      <c r="U21" s="2"/>
      <c r="V21" s="2"/>
      <c r="W21" s="2"/>
      <c r="X21" s="2"/>
      <c r="Y21" s="2"/>
    </row>
    <row r="22" spans="1:25" ht="12.75" customHeight="1">
      <c r="A22" s="439" t="s">
        <v>1745</v>
      </c>
      <c r="B22" s="2"/>
      <c r="C22" s="373">
        <f>BYD!AK65</f>
        <v>3.2</v>
      </c>
      <c r="D22" s="374">
        <f>BYD!AF65</f>
        <v>4.1859999999999999</v>
      </c>
      <c r="E22" s="1103"/>
      <c r="F22" s="374">
        <f>C22-D22</f>
        <v>-0.98599999999999977</v>
      </c>
      <c r="G22" s="126">
        <f t="shared" ref="G22:G34" si="1">IF(D22=0,0,C22/D22-1)</f>
        <v>-0.23554706163401806</v>
      </c>
      <c r="H22" s="2"/>
      <c r="I22" s="432">
        <v>2.7</v>
      </c>
      <c r="J22" s="1103"/>
      <c r="K22" s="374">
        <f t="shared" ref="K22:K34" si="2">C22-I22</f>
        <v>0.5</v>
      </c>
      <c r="L22" s="1204">
        <f>IF(I22=0,"NM",C22/I22-1)</f>
        <v>0.18518518518518512</v>
      </c>
      <c r="O22" s="2"/>
      <c r="S22" s="2"/>
      <c r="T22" s="2"/>
      <c r="U22" s="2"/>
      <c r="V22" s="2"/>
      <c r="W22" s="2"/>
      <c r="X22" s="2"/>
      <c r="Y22" s="2"/>
    </row>
    <row r="23" spans="1:25" ht="12.75" customHeight="1">
      <c r="A23" s="439" t="s">
        <v>201</v>
      </c>
      <c r="B23" s="2"/>
      <c r="C23" s="373">
        <f>BYD!AK66</f>
        <v>1.0669999999999999</v>
      </c>
      <c r="D23" s="374">
        <f>BYD!AF66</f>
        <v>1.0880000000000001</v>
      </c>
      <c r="E23" s="1103"/>
      <c r="F23" s="374">
        <f>C23-D23</f>
        <v>-2.100000000000013E-2</v>
      </c>
      <c r="G23" s="126">
        <f t="shared" si="1"/>
        <v>-1.9301470588235392E-2</v>
      </c>
      <c r="H23" s="2"/>
      <c r="I23" s="432">
        <v>1.069</v>
      </c>
      <c r="J23" s="1103"/>
      <c r="K23" s="374">
        <f t="shared" si="2"/>
        <v>-2.0000000000000018E-3</v>
      </c>
      <c r="L23" s="1204">
        <f>IF(I23=0,"NM",C23/I23-1)</f>
        <v>-1.8709073900842199E-3</v>
      </c>
      <c r="O23" s="2"/>
      <c r="S23" s="2"/>
      <c r="T23" s="2"/>
      <c r="U23" s="2"/>
      <c r="V23" s="2"/>
      <c r="W23" s="2"/>
      <c r="X23" s="2"/>
      <c r="Y23" s="2"/>
    </row>
    <row r="24" spans="1:25" ht="12.75" customHeight="1">
      <c r="A24" s="1693" t="s">
        <v>202</v>
      </c>
      <c r="B24" s="2"/>
      <c r="C24" s="373">
        <f>BYD!AK67</f>
        <v>51.37</v>
      </c>
      <c r="D24" s="374">
        <f>BYD!AF67</f>
        <v>39.427999999999997</v>
      </c>
      <c r="E24" s="1103"/>
      <c r="F24" s="374">
        <f>C24-D24</f>
        <v>11.942</v>
      </c>
      <c r="G24" s="126">
        <f t="shared" si="1"/>
        <v>0.30288120117682871</v>
      </c>
      <c r="H24" s="2"/>
      <c r="I24" s="432">
        <v>52.450999999999993</v>
      </c>
      <c r="J24" s="1103"/>
      <c r="K24" s="374">
        <f t="shared" si="2"/>
        <v>-1.080999999999996</v>
      </c>
      <c r="L24" s="1204">
        <f>IF(I24=0,"NM",C24/I24-1)</f>
        <v>-2.0609711921602991E-2</v>
      </c>
      <c r="O24" s="2"/>
      <c r="S24" s="2"/>
      <c r="T24" s="2"/>
      <c r="U24" s="2"/>
      <c r="V24" s="2"/>
      <c r="W24" s="2"/>
      <c r="X24" s="2"/>
      <c r="Y24" s="2"/>
    </row>
    <row r="25" spans="1:25" ht="4.5" customHeight="1">
      <c r="A25" s="964"/>
      <c r="B25" s="2"/>
      <c r="C25" s="453" t="s">
        <v>343</v>
      </c>
      <c r="D25" s="452" t="s">
        <v>343</v>
      </c>
      <c r="E25" s="96" t="s">
        <v>343</v>
      </c>
      <c r="F25" s="452" t="s">
        <v>343</v>
      </c>
      <c r="G25" s="1251" t="s">
        <v>343</v>
      </c>
      <c r="H25" s="2" t="s">
        <v>343</v>
      </c>
      <c r="I25" s="453" t="s">
        <v>343</v>
      </c>
      <c r="J25" s="96" t="s">
        <v>343</v>
      </c>
      <c r="K25" s="452" t="s">
        <v>343</v>
      </c>
      <c r="L25" s="1252" t="s">
        <v>343</v>
      </c>
      <c r="N25" s="1102"/>
      <c r="O25" s="1102"/>
      <c r="S25" s="2"/>
      <c r="T25" s="2"/>
      <c r="U25" s="2"/>
      <c r="V25" s="2"/>
      <c r="W25" s="2"/>
      <c r="X25" s="2"/>
      <c r="Y25" s="2"/>
    </row>
    <row r="26" spans="1:25" ht="12.75" customHeight="1">
      <c r="A26" s="1" t="s">
        <v>744</v>
      </c>
      <c r="B26" s="2"/>
      <c r="C26" s="1242">
        <f>C21-C22-C23-C24</f>
        <v>44.405999999999999</v>
      </c>
      <c r="D26" s="1241">
        <f>D21-D22-D23-D24</f>
        <v>57.228999999999985</v>
      </c>
      <c r="E26" s="932"/>
      <c r="F26" s="1241">
        <f>F21-F22-F23-F24</f>
        <v>-10.504</v>
      </c>
      <c r="G26" s="106">
        <f t="shared" si="1"/>
        <v>-0.22406472243093523</v>
      </c>
      <c r="H26" s="1205"/>
      <c r="I26" s="1243">
        <v>45.255506229294816</v>
      </c>
      <c r="J26" s="932"/>
      <c r="K26" s="1241">
        <f t="shared" si="2"/>
        <v>-0.84950622929481767</v>
      </c>
      <c r="L26" s="1214">
        <f>C26/I26-1</f>
        <v>-1.8771334144195628E-2</v>
      </c>
      <c r="O26" s="2"/>
      <c r="S26" s="2"/>
      <c r="T26" s="2"/>
      <c r="U26" s="2"/>
      <c r="V26" s="2"/>
      <c r="W26" s="2"/>
      <c r="X26" s="2"/>
      <c r="Y26" s="2"/>
    </row>
    <row r="27" spans="1:25" ht="12.75" customHeight="1">
      <c r="A27" s="445" t="s">
        <v>1176</v>
      </c>
      <c r="B27" s="2"/>
      <c r="C27" s="373">
        <f>BYD!AK73</f>
        <v>-55.015000000000001</v>
      </c>
      <c r="D27" s="374">
        <f>BYD!AF73</f>
        <v>-33.023000000000003</v>
      </c>
      <c r="E27" s="932"/>
      <c r="F27" s="374">
        <f t="shared" ref="F27:F34" si="3">C27-D27</f>
        <v>-21.991999999999997</v>
      </c>
      <c r="G27" s="126">
        <f t="shared" si="1"/>
        <v>0.66596008842321996</v>
      </c>
      <c r="H27" s="1205"/>
      <c r="I27" s="432">
        <v>-48.333999999999996</v>
      </c>
      <c r="J27" s="932"/>
      <c r="K27" s="374">
        <f t="shared" si="2"/>
        <v>-6.6810000000000045</v>
      </c>
      <c r="L27" s="1204">
        <f>IF(I27=0,"NM",C27/I27-1)</f>
        <v>0.13822567964579813</v>
      </c>
      <c r="O27" s="2"/>
      <c r="S27" s="2"/>
      <c r="T27" s="2"/>
      <c r="U27" s="2"/>
      <c r="V27" s="2"/>
      <c r="W27" s="2"/>
      <c r="X27" s="2"/>
      <c r="Y27" s="2"/>
    </row>
    <row r="28" spans="1:25" ht="12.75" customHeight="1">
      <c r="A28" s="445" t="s">
        <v>203</v>
      </c>
      <c r="B28" s="2"/>
      <c r="C28" s="373">
        <f>BYD!AK74</f>
        <v>0</v>
      </c>
      <c r="D28" s="374">
        <f>BYD!AF74</f>
        <v>0</v>
      </c>
      <c r="E28" s="932"/>
      <c r="F28" s="374">
        <f t="shared" si="3"/>
        <v>0</v>
      </c>
      <c r="G28" s="126">
        <f t="shared" si="1"/>
        <v>0</v>
      </c>
      <c r="H28" s="1205"/>
      <c r="I28" s="432">
        <v>0</v>
      </c>
      <c r="J28" s="932"/>
      <c r="K28" s="374">
        <f t="shared" si="2"/>
        <v>0</v>
      </c>
      <c r="L28" s="1204" t="str">
        <f>IF(I28=0,"NM",C28/I28-1)</f>
        <v>NM</v>
      </c>
      <c r="O28" s="2"/>
      <c r="S28" s="2"/>
      <c r="T28" s="2"/>
      <c r="U28" s="2"/>
      <c r="V28" s="2"/>
      <c r="W28" s="2"/>
      <c r="X28" s="2"/>
      <c r="Y28" s="2"/>
    </row>
    <row r="29" spans="1:25" ht="12.75" customHeight="1">
      <c r="A29" s="445" t="s">
        <v>816</v>
      </c>
      <c r="B29" s="2"/>
      <c r="C29" s="373">
        <f>BYD!AK75</f>
        <v>0</v>
      </c>
      <c r="D29" s="374">
        <f>BYD!AF75</f>
        <v>8.5350000000000001</v>
      </c>
      <c r="E29" s="932"/>
      <c r="F29" s="374">
        <f t="shared" si="3"/>
        <v>-8.5350000000000001</v>
      </c>
      <c r="G29" s="126">
        <f t="shared" si="1"/>
        <v>-1</v>
      </c>
      <c r="H29" s="1205"/>
      <c r="I29" s="432">
        <v>0</v>
      </c>
      <c r="J29" s="932"/>
      <c r="K29" s="374">
        <f t="shared" si="2"/>
        <v>0</v>
      </c>
      <c r="L29" s="1204" t="str">
        <f>IF(I29=0,"NM",C29/I29-1)</f>
        <v>NM</v>
      </c>
      <c r="O29" s="2"/>
      <c r="S29" s="2"/>
      <c r="T29" s="2"/>
      <c r="U29" s="2"/>
      <c r="V29" s="2"/>
      <c r="W29" s="2"/>
      <c r="X29" s="2"/>
      <c r="Y29" s="2"/>
    </row>
    <row r="30" spans="1:25" ht="12.75" customHeight="1">
      <c r="A30" s="445" t="s">
        <v>815</v>
      </c>
      <c r="B30" s="2"/>
      <c r="C30" s="373">
        <f>BYD!AK77</f>
        <v>0</v>
      </c>
      <c r="D30" s="374">
        <f>BYD!AF77</f>
        <v>-3.073</v>
      </c>
      <c r="E30" s="1103"/>
      <c r="F30" s="374">
        <f t="shared" si="3"/>
        <v>3.073</v>
      </c>
      <c r="G30" s="126">
        <f t="shared" si="1"/>
        <v>-1</v>
      </c>
      <c r="H30" s="2"/>
      <c r="I30" s="432">
        <v>0</v>
      </c>
      <c r="J30" s="1103"/>
      <c r="K30" s="374">
        <f t="shared" si="2"/>
        <v>0</v>
      </c>
      <c r="L30" s="1204" t="str">
        <f>IF(I30=0,"NM",C30/I30-1)</f>
        <v>NM</v>
      </c>
      <c r="O30" s="2"/>
      <c r="S30" s="2"/>
      <c r="T30" s="2"/>
      <c r="U30" s="2"/>
      <c r="V30" s="2"/>
      <c r="W30" s="2"/>
      <c r="X30" s="2"/>
      <c r="Y30" s="2"/>
    </row>
    <row r="31" spans="1:25" ht="12.75" customHeight="1">
      <c r="A31" s="445" t="s">
        <v>814</v>
      </c>
      <c r="B31" s="2"/>
      <c r="C31" s="373">
        <f>BYD!AK78</f>
        <v>-5.8199999999999994</v>
      </c>
      <c r="D31" s="374">
        <f>BYD!AF78</f>
        <v>-0.17199999999999993</v>
      </c>
      <c r="E31" s="1103"/>
      <c r="F31" s="374">
        <f t="shared" si="3"/>
        <v>-5.6479999999999997</v>
      </c>
      <c r="G31" s="126">
        <f t="shared" si="1"/>
        <v>32.83720930232559</v>
      </c>
      <c r="H31" s="2"/>
      <c r="I31" s="432">
        <v>0</v>
      </c>
      <c r="J31" s="1103"/>
      <c r="K31" s="374">
        <f t="shared" si="2"/>
        <v>-5.8199999999999994</v>
      </c>
      <c r="L31" s="1204" t="str">
        <f>IF(I31=0,"NM",C31/I31-1)</f>
        <v>NM</v>
      </c>
      <c r="O31" s="2"/>
      <c r="S31" s="2"/>
      <c r="T31" s="2"/>
      <c r="U31" s="2"/>
      <c r="V31" s="2"/>
      <c r="W31" s="2"/>
      <c r="X31" s="2"/>
      <c r="Y31" s="2"/>
    </row>
    <row r="32" spans="1:25" ht="4.5" customHeight="1">
      <c r="A32" s="964"/>
      <c r="B32" s="2"/>
      <c r="C32" s="453" t="s">
        <v>343</v>
      </c>
      <c r="D32" s="452" t="s">
        <v>343</v>
      </c>
      <c r="E32" s="96" t="s">
        <v>343</v>
      </c>
      <c r="F32" s="452" t="s">
        <v>343</v>
      </c>
      <c r="G32" s="1251" t="s">
        <v>343</v>
      </c>
      <c r="H32" s="2" t="s">
        <v>343</v>
      </c>
      <c r="I32" s="453" t="s">
        <v>343</v>
      </c>
      <c r="J32" s="96" t="s">
        <v>343</v>
      </c>
      <c r="K32" s="452" t="s">
        <v>343</v>
      </c>
      <c r="L32" s="1252" t="s">
        <v>343</v>
      </c>
      <c r="N32" s="1102"/>
      <c r="O32" s="1102"/>
      <c r="S32" s="2"/>
      <c r="T32" s="2"/>
      <c r="U32" s="2"/>
      <c r="V32" s="2"/>
      <c r="W32" s="2"/>
      <c r="X32" s="2"/>
      <c r="Y32" s="2"/>
    </row>
    <row r="33" spans="1:25" ht="12.75" customHeight="1">
      <c r="A33" s="1" t="s">
        <v>745</v>
      </c>
      <c r="B33" s="2"/>
      <c r="C33" s="1213">
        <f>SUM(C26:C31)</f>
        <v>-16.429000000000002</v>
      </c>
      <c r="D33" s="929">
        <f>SUM(D26:D31)</f>
        <v>29.495999999999984</v>
      </c>
      <c r="E33" s="932"/>
      <c r="F33" s="1241">
        <f t="shared" si="3"/>
        <v>-45.924999999999983</v>
      </c>
      <c r="G33" s="106">
        <f t="shared" si="1"/>
        <v>-1.5569907784106323</v>
      </c>
      <c r="H33" s="1205"/>
      <c r="I33" s="1244">
        <v>-3.0784937707051796</v>
      </c>
      <c r="J33" s="932"/>
      <c r="K33" s="1241">
        <f t="shared" si="2"/>
        <v>-13.350506229294822</v>
      </c>
      <c r="L33" s="1214">
        <f>C33/I33-1</f>
        <v>4.336700745129872</v>
      </c>
      <c r="O33" s="2"/>
      <c r="S33" s="2"/>
      <c r="T33" s="2"/>
      <c r="U33" s="2"/>
      <c r="V33" s="2"/>
      <c r="W33" s="2"/>
      <c r="X33" s="2"/>
      <c r="Y33" s="2"/>
    </row>
    <row r="34" spans="1:25" ht="12.75" customHeight="1">
      <c r="A34" s="445" t="s">
        <v>205</v>
      </c>
      <c r="B34" s="2"/>
      <c r="C34" s="373">
        <f>BYD!AK81</f>
        <v>7.2960000000000003</v>
      </c>
      <c r="D34" s="374">
        <f>BYD!AF81</f>
        <v>5.931</v>
      </c>
      <c r="E34" s="1103"/>
      <c r="F34" s="374">
        <f t="shared" si="3"/>
        <v>1.3650000000000002</v>
      </c>
      <c r="G34" s="126">
        <f t="shared" si="1"/>
        <v>0.23014668689934248</v>
      </c>
      <c r="H34" s="2"/>
      <c r="I34" s="432">
        <v>0.92354813121155388</v>
      </c>
      <c r="J34" s="1103"/>
      <c r="K34" s="374">
        <f t="shared" si="2"/>
        <v>6.3724518687884464</v>
      </c>
      <c r="L34" s="1204">
        <f>IF(I34=0,"NM",C34/I34-1)</f>
        <v>6.8999672604272009</v>
      </c>
      <c r="O34" s="2"/>
      <c r="S34" s="2"/>
      <c r="T34" s="2"/>
      <c r="U34" s="2"/>
      <c r="V34" s="2"/>
      <c r="W34" s="2"/>
      <c r="X34" s="2"/>
      <c r="Y34" s="2"/>
    </row>
    <row r="35" spans="1:25" ht="4.5" customHeight="1">
      <c r="A35" s="964"/>
      <c r="B35" s="2"/>
      <c r="C35" s="453" t="s">
        <v>343</v>
      </c>
      <c r="D35" s="452" t="s">
        <v>343</v>
      </c>
      <c r="E35" s="96" t="s">
        <v>343</v>
      </c>
      <c r="F35" s="452" t="s">
        <v>343</v>
      </c>
      <c r="G35" s="1251" t="s">
        <v>343</v>
      </c>
      <c r="H35" s="2" t="s">
        <v>343</v>
      </c>
      <c r="I35" s="453" t="s">
        <v>343</v>
      </c>
      <c r="J35" s="96" t="s">
        <v>343</v>
      </c>
      <c r="K35" s="452" t="s">
        <v>343</v>
      </c>
      <c r="L35" s="1252" t="s">
        <v>343</v>
      </c>
      <c r="N35" s="1102"/>
      <c r="O35" s="1102"/>
      <c r="S35" s="2"/>
      <c r="T35" s="2"/>
      <c r="U35" s="2"/>
      <c r="V35" s="2"/>
      <c r="W35" s="2"/>
      <c r="X35" s="2"/>
      <c r="Y35" s="2"/>
    </row>
    <row r="36" spans="1:25" ht="12.75" customHeight="1">
      <c r="A36" s="107" t="s">
        <v>1243</v>
      </c>
      <c r="B36" s="61"/>
      <c r="C36" s="1213">
        <f>C33+C34</f>
        <v>-9.1330000000000027</v>
      </c>
      <c r="D36" s="929">
        <f>D33+D34</f>
        <v>35.426999999999985</v>
      </c>
      <c r="E36" s="932"/>
      <c r="F36" s="1241">
        <f>F33+F34</f>
        <v>-44.559999999999981</v>
      </c>
      <c r="G36" s="1215">
        <f>G33+G34</f>
        <v>-1.3268440915112898</v>
      </c>
      <c r="H36" s="932"/>
      <c r="I36" s="1244">
        <v>-2.1549456394936257</v>
      </c>
      <c r="J36" s="932"/>
      <c r="K36" s="1241">
        <f>K33+K34</f>
        <v>-6.9780543605063761</v>
      </c>
      <c r="L36" s="1215">
        <f>L33+L34</f>
        <v>11.236668005557073</v>
      </c>
      <c r="M36" s="1238"/>
      <c r="N36" s="1238"/>
      <c r="O36" s="61"/>
      <c r="S36" s="2"/>
      <c r="T36" s="2"/>
      <c r="U36" s="2"/>
      <c r="V36" s="2"/>
      <c r="W36" s="2"/>
      <c r="X36" s="2"/>
      <c r="Y36" s="2"/>
    </row>
    <row r="37" spans="1:25" ht="12.75" customHeight="1">
      <c r="A37" s="445" t="s">
        <v>130</v>
      </c>
      <c r="B37" s="2"/>
      <c r="C37" s="373">
        <f>BYD!AK85</f>
        <v>2.0680000000000001</v>
      </c>
      <c r="D37" s="374">
        <f>BYD!AF83</f>
        <v>0</v>
      </c>
      <c r="E37" s="1103"/>
      <c r="F37" s="374">
        <f>C37-D37</f>
        <v>2.0680000000000001</v>
      </c>
      <c r="G37" s="126">
        <f>IF(D37=0,0,C37/D37-1)</f>
        <v>0</v>
      </c>
      <c r="H37" s="2"/>
      <c r="I37" s="432">
        <v>1.3602078918791354</v>
      </c>
      <c r="J37" s="1103"/>
      <c r="K37" s="374">
        <f>C37-I37</f>
        <v>0.70779210812086468</v>
      </c>
      <c r="L37" s="1204">
        <f>IF(I37=0,"NM",C37/I37-1)</f>
        <v>0.52035583115390227</v>
      </c>
      <c r="O37" s="2"/>
      <c r="S37" s="2"/>
      <c r="T37" s="2"/>
      <c r="U37" s="2"/>
      <c r="V37" s="2"/>
      <c r="W37" s="2"/>
      <c r="X37" s="2"/>
      <c r="Y37" s="2"/>
    </row>
    <row r="38" spans="1:25" ht="4.5" customHeight="1">
      <c r="A38" s="964"/>
      <c r="B38" s="2"/>
      <c r="C38" s="453" t="s">
        <v>343</v>
      </c>
      <c r="D38" s="452" t="s">
        <v>343</v>
      </c>
      <c r="E38" s="96" t="s">
        <v>343</v>
      </c>
      <c r="F38" s="452" t="s">
        <v>343</v>
      </c>
      <c r="G38" s="1251" t="s">
        <v>343</v>
      </c>
      <c r="H38" s="2" t="s">
        <v>343</v>
      </c>
      <c r="I38" s="453" t="s">
        <v>343</v>
      </c>
      <c r="J38" s="96" t="s">
        <v>343</v>
      </c>
      <c r="K38" s="452" t="s">
        <v>343</v>
      </c>
      <c r="L38" s="1252" t="s">
        <v>343</v>
      </c>
      <c r="N38" s="1102"/>
      <c r="O38" s="1102"/>
      <c r="S38" s="2"/>
      <c r="T38" s="2"/>
      <c r="U38" s="2"/>
      <c r="V38" s="2"/>
      <c r="W38" s="2"/>
      <c r="X38" s="2"/>
      <c r="Y38" s="2"/>
    </row>
    <row r="39" spans="1:25" ht="12.75" customHeight="1">
      <c r="A39" s="107" t="s">
        <v>1540</v>
      </c>
      <c r="B39" s="2"/>
      <c r="C39" s="1213">
        <f>C36+C37</f>
        <v>-7.0650000000000031</v>
      </c>
      <c r="D39" s="929">
        <f>D36+D37</f>
        <v>35.426999999999985</v>
      </c>
      <c r="E39" s="932"/>
      <c r="F39" s="1241">
        <f>F36+F37</f>
        <v>-42.491999999999983</v>
      </c>
      <c r="G39" s="1215">
        <f>G36+G37</f>
        <v>-1.3268440915112898</v>
      </c>
      <c r="H39" s="932"/>
      <c r="I39" s="1244">
        <v>-0.79473774761449034</v>
      </c>
      <c r="J39" s="932"/>
      <c r="K39" s="1241">
        <f>K36+K37</f>
        <v>-6.2702622523855114</v>
      </c>
      <c r="L39" s="1215">
        <f>L36+L37</f>
        <v>11.757023836710975</v>
      </c>
      <c r="O39" s="2"/>
      <c r="S39" s="2"/>
      <c r="T39" s="2"/>
      <c r="U39" s="2"/>
      <c r="V39" s="2"/>
      <c r="W39" s="2"/>
      <c r="X39" s="2"/>
      <c r="Y39" s="2"/>
    </row>
    <row r="40" spans="1:25" ht="12.75" customHeight="1">
      <c r="A40" s="2"/>
      <c r="B40" s="2"/>
      <c r="C40" s="112"/>
      <c r="D40" s="77"/>
      <c r="E40" s="61"/>
      <c r="F40" s="61"/>
      <c r="G40" s="1141"/>
      <c r="H40" s="2"/>
      <c r="I40" s="115"/>
      <c r="J40" s="61"/>
      <c r="K40" s="61"/>
      <c r="L40" s="1216"/>
      <c r="O40" s="2"/>
      <c r="S40" s="2"/>
      <c r="T40" s="2"/>
      <c r="U40" s="2"/>
      <c r="V40" s="2"/>
      <c r="W40" s="2"/>
      <c r="X40" s="2"/>
      <c r="Y40" s="2"/>
    </row>
    <row r="41" spans="1:25" ht="12.75" customHeight="1">
      <c r="A41" s="147" t="s">
        <v>1747</v>
      </c>
      <c r="B41" s="160"/>
      <c r="C41" s="1217">
        <f>BYD!AK88</f>
        <v>-1.2280000000000113</v>
      </c>
      <c r="D41" s="1309">
        <f>BYD!AF88</f>
        <v>-7.196400000001224E-2</v>
      </c>
      <c r="E41" s="1218"/>
      <c r="F41" s="1218">
        <f>C41-D41</f>
        <v>-1.156035999999999</v>
      </c>
      <c r="G41" s="1219">
        <f>IF(D41=0,0,C41/D41-1)</f>
        <v>16.064087599352487</v>
      </c>
      <c r="H41" s="1220"/>
      <c r="I41" s="1245">
        <v>-0.79473774761449034</v>
      </c>
      <c r="J41" s="1218"/>
      <c r="K41" s="1218">
        <f>C41-I41</f>
        <v>-0.43326225238552096</v>
      </c>
      <c r="L41" s="1221">
        <f>C41/I41-1</f>
        <v>0.54516380238136986</v>
      </c>
      <c r="O41" s="2"/>
      <c r="S41" s="2"/>
      <c r="T41" s="2"/>
      <c r="U41" s="2"/>
      <c r="V41" s="2"/>
      <c r="W41" s="2"/>
      <c r="X41" s="2"/>
      <c r="Y41" s="2"/>
    </row>
    <row r="42" spans="1:25" ht="12.75" customHeight="1">
      <c r="A42" s="2"/>
      <c r="B42" s="2"/>
      <c r="C42" s="112"/>
      <c r="D42" s="77"/>
      <c r="E42" s="61"/>
      <c r="F42" s="61"/>
      <c r="G42" s="1141"/>
      <c r="H42" s="2"/>
      <c r="I42" s="115"/>
      <c r="J42" s="61"/>
      <c r="K42" s="61"/>
      <c r="L42" s="1216"/>
      <c r="O42" s="2"/>
      <c r="S42" s="2"/>
      <c r="T42" s="2"/>
      <c r="U42" s="2"/>
      <c r="V42" s="2"/>
      <c r="W42" s="2"/>
      <c r="X42" s="2"/>
      <c r="Y42" s="2"/>
    </row>
    <row r="43" spans="1:25" ht="12.75" customHeight="1">
      <c r="A43" s="138" t="s">
        <v>746</v>
      </c>
      <c r="B43" s="155"/>
      <c r="C43" s="153">
        <f>BYD!AK95</f>
        <v>-1.4134926390183954E-2</v>
      </c>
      <c r="D43" s="152">
        <f>BYD!AF95</f>
        <v>-8.3411377439858415E-4</v>
      </c>
      <c r="E43" s="152"/>
      <c r="F43" s="152">
        <f>C43-D43</f>
        <v>-1.3300812615785369E-2</v>
      </c>
      <c r="G43" s="1208">
        <f>IF(D43=0,0,C43/D43-1)</f>
        <v>15.946041204481453</v>
      </c>
      <c r="H43" s="155"/>
      <c r="I43" s="1246">
        <v>-9.1897381808083902E-3</v>
      </c>
      <c r="J43" s="152"/>
      <c r="K43" s="152">
        <f>C43-I43</f>
        <v>-4.9451882093755634E-3</v>
      </c>
      <c r="L43" s="1211">
        <f>C43/I43-1</f>
        <v>0.5381206854949323</v>
      </c>
      <c r="O43" s="1256">
        <v>-0.05</v>
      </c>
      <c r="S43" s="2"/>
      <c r="T43" s="2"/>
      <c r="U43" s="2"/>
      <c r="V43" s="2"/>
      <c r="W43" s="2"/>
      <c r="X43" s="2"/>
      <c r="Y43" s="2"/>
    </row>
    <row r="44" spans="1:25" ht="12.75" customHeight="1">
      <c r="A44" s="2" t="s">
        <v>769</v>
      </c>
      <c r="B44" s="2"/>
      <c r="C44" s="146">
        <f>BYD!AK103</f>
        <v>86.876999999999995</v>
      </c>
      <c r="D44" s="104">
        <f>BYD!AF103</f>
        <v>86.275999999999996</v>
      </c>
      <c r="E44" s="1103"/>
      <c r="F44" s="374">
        <f>C44-D44</f>
        <v>0.60099999999999909</v>
      </c>
      <c r="G44" s="126">
        <f>IF(D44=0,0,C44/D44-1)</f>
        <v>6.9660160415410122E-3</v>
      </c>
      <c r="H44" s="2"/>
      <c r="I44" s="1104">
        <v>86.480999999999995</v>
      </c>
      <c r="J44" s="1103"/>
      <c r="K44" s="374">
        <f>C44-I44</f>
        <v>0.3960000000000008</v>
      </c>
      <c r="L44" s="1204">
        <f>C44/I44-1</f>
        <v>4.5790404828807141E-3</v>
      </c>
      <c r="O44" s="2"/>
      <c r="S44" s="2"/>
      <c r="T44" s="2"/>
      <c r="U44" s="2"/>
      <c r="V44" s="2"/>
      <c r="W44" s="2"/>
      <c r="X44" s="2"/>
      <c r="Y44" s="2"/>
    </row>
    <row r="45" spans="1:25" ht="12.75" customHeight="1">
      <c r="A45" s="2"/>
      <c r="B45" s="2"/>
      <c r="C45" s="112"/>
      <c r="D45" s="77"/>
      <c r="E45" s="61"/>
      <c r="F45" s="2"/>
      <c r="G45" s="2"/>
      <c r="H45" s="2"/>
      <c r="I45" s="115"/>
      <c r="J45" s="61"/>
      <c r="K45" s="61"/>
      <c r="L45" s="2"/>
      <c r="O45" s="2"/>
      <c r="S45" s="2"/>
      <c r="T45" s="2"/>
      <c r="U45" s="2"/>
      <c r="V45" s="2"/>
      <c r="W45" s="2"/>
      <c r="X45" s="2"/>
      <c r="Y45" s="2"/>
    </row>
    <row r="46" spans="1:25" ht="12.75" customHeight="1">
      <c r="A46" s="1222" t="s">
        <v>271</v>
      </c>
      <c r="B46" s="1223"/>
      <c r="C46" s="1224">
        <f>C19/C12</f>
        <v>0.1984690364894735</v>
      </c>
      <c r="D46" s="1389">
        <f>(D19+36.448)/(D12+175.408)</f>
        <v>0.20109709091502162</v>
      </c>
      <c r="E46" s="1225"/>
      <c r="F46" s="1223"/>
      <c r="G46" s="1226">
        <f>(C46-D46)</f>
        <v>-2.6280544255481153E-3</v>
      </c>
      <c r="H46" s="1223"/>
      <c r="I46" s="1224">
        <f>I19/I12</f>
        <v>0.20052853706672849</v>
      </c>
      <c r="J46" s="1225"/>
      <c r="K46" s="1223"/>
      <c r="L46" s="1227">
        <f>(C46-I46)</f>
        <v>-2.0595005772549857E-3</v>
      </c>
      <c r="O46" s="2"/>
      <c r="S46" s="2"/>
      <c r="T46" s="2"/>
      <c r="U46" s="2"/>
      <c r="V46" s="2"/>
      <c r="W46" s="2"/>
      <c r="X46" s="2"/>
      <c r="Y46" s="2"/>
    </row>
    <row r="47" spans="1:25" ht="12.75" customHeight="1">
      <c r="A47" s="1239" t="s">
        <v>514</v>
      </c>
      <c r="B47" s="1228"/>
      <c r="C47" s="1229">
        <f t="shared" ref="C47:D49" si="4">C15/C8</f>
        <v>0.22432505275336406</v>
      </c>
      <c r="D47" s="1230">
        <f t="shared" si="4"/>
        <v>0.22415239471884152</v>
      </c>
      <c r="E47" s="1230"/>
      <c r="F47" s="1228"/>
      <c r="G47" s="1231">
        <f>(C47-D47)</f>
        <v>1.7265803452254369E-4</v>
      </c>
      <c r="H47" s="1228"/>
      <c r="I47" s="1229">
        <f>I15/I8</f>
        <v>0.22613159779353825</v>
      </c>
      <c r="J47" s="1230"/>
      <c r="K47" s="1228"/>
      <c r="L47" s="1232">
        <f>(C47-I47)</f>
        <v>-1.80654504017419E-3</v>
      </c>
      <c r="O47" s="2"/>
      <c r="S47" s="2"/>
      <c r="T47" s="2"/>
      <c r="U47" s="2"/>
      <c r="V47" s="2"/>
      <c r="W47" s="2"/>
      <c r="X47" s="2"/>
      <c r="Y47" s="2"/>
    </row>
    <row r="48" spans="1:25" ht="12.75" customHeight="1">
      <c r="A48" s="1239" t="s">
        <v>515</v>
      </c>
      <c r="B48" s="1228"/>
      <c r="C48" s="1229">
        <f t="shared" si="4"/>
        <v>0.19018780739677593</v>
      </c>
      <c r="D48" s="1230">
        <f t="shared" si="4"/>
        <v>0.2109769332805044</v>
      </c>
      <c r="E48" s="1230"/>
      <c r="F48" s="1228"/>
      <c r="G48" s="1231">
        <f>(C48-D48)</f>
        <v>-2.0789125883728471E-2</v>
      </c>
      <c r="H48" s="1228"/>
      <c r="I48" s="1229">
        <f>I16/I9</f>
        <v>0.17810097216719203</v>
      </c>
      <c r="J48" s="1230"/>
      <c r="K48" s="1228"/>
      <c r="L48" s="1232">
        <f>(C48-I48)</f>
        <v>1.2086835229583898E-2</v>
      </c>
      <c r="O48" s="2"/>
      <c r="S48" s="2"/>
      <c r="T48" s="2"/>
      <c r="U48" s="2"/>
      <c r="V48" s="2"/>
      <c r="W48" s="2"/>
      <c r="X48" s="2"/>
      <c r="Y48" s="2"/>
    </row>
    <row r="49" spans="1:25" ht="12.75" customHeight="1">
      <c r="A49" s="1239" t="s">
        <v>516</v>
      </c>
      <c r="B49" s="1228"/>
      <c r="C49" s="1229">
        <f t="shared" si="4"/>
        <v>0.17631819920484973</v>
      </c>
      <c r="D49" s="1230">
        <f t="shared" si="4"/>
        <v>0.16332524878877239</v>
      </c>
      <c r="E49" s="1230"/>
      <c r="F49" s="1228"/>
      <c r="G49" s="1231">
        <f>(C49-D49)</f>
        <v>1.2992950416077342E-2</v>
      </c>
      <c r="H49" s="1228"/>
      <c r="I49" s="1229">
        <f>I17/I10</f>
        <v>0.18595802497900363</v>
      </c>
      <c r="J49" s="1230"/>
      <c r="K49" s="1228"/>
      <c r="L49" s="1232">
        <f>(C49-I49)</f>
        <v>-9.6398257741538984E-3</v>
      </c>
      <c r="O49" s="2"/>
      <c r="S49" s="2"/>
      <c r="T49" s="2"/>
      <c r="U49" s="2"/>
      <c r="V49" s="2"/>
      <c r="W49" s="2"/>
      <c r="X49" s="2"/>
      <c r="Y49" s="2"/>
    </row>
    <row r="50" spans="1:25" ht="12.75" customHeight="1">
      <c r="A50" s="1240" t="s">
        <v>273</v>
      </c>
      <c r="B50" s="1233"/>
      <c r="C50" s="1234">
        <f>C18/C11</f>
        <v>0.2022027893308686</v>
      </c>
      <c r="D50" s="1235">
        <f>36.448/175.408</f>
        <v>0.20778983854784275</v>
      </c>
      <c r="E50" s="1235"/>
      <c r="F50" s="1233"/>
      <c r="G50" s="1236"/>
      <c r="H50" s="1233"/>
      <c r="I50" s="1234">
        <f>I18/I11</f>
        <v>0.2</v>
      </c>
      <c r="J50" s="1235"/>
      <c r="K50" s="1233"/>
      <c r="L50" s="1237">
        <f>(C50-I50)</f>
        <v>2.2027893308685931E-3</v>
      </c>
      <c r="M50" s="1238"/>
      <c r="O50" s="2"/>
      <c r="S50" s="2"/>
      <c r="T50" s="2"/>
      <c r="U50" s="2"/>
      <c r="V50" s="2"/>
      <c r="W50" s="2"/>
      <c r="X50" s="2"/>
      <c r="Y50" s="2"/>
    </row>
    <row r="51" spans="1:25" ht="12.75" customHeight="1">
      <c r="A51" s="61"/>
      <c r="B51" s="61"/>
      <c r="C51" s="112"/>
      <c r="D51" s="77"/>
      <c r="E51" s="61"/>
      <c r="F51" s="61"/>
      <c r="G51" s="61"/>
      <c r="H51" s="61"/>
      <c r="I51" s="112"/>
      <c r="J51" s="61"/>
      <c r="K51" s="61"/>
      <c r="L51" s="61"/>
      <c r="O51" s="2"/>
      <c r="S51" s="2"/>
      <c r="T51" s="2"/>
      <c r="U51" s="2"/>
      <c r="V51" s="2"/>
      <c r="W51" s="2"/>
      <c r="X51" s="2"/>
      <c r="Y51" s="2"/>
    </row>
    <row r="52" spans="1:25" ht="12.75" customHeight="1">
      <c r="A52" s="61" t="s">
        <v>1139</v>
      </c>
      <c r="B52" s="61"/>
      <c r="C52" s="373">
        <f>C21</f>
        <v>100.04299999999999</v>
      </c>
      <c r="D52" s="365">
        <f>D21-D18</f>
        <v>65.48299999999999</v>
      </c>
      <c r="E52" s="61"/>
      <c r="F52" s="374">
        <f>C52-D52</f>
        <v>34.56</v>
      </c>
      <c r="G52" s="126">
        <f>IF(D52=0,0,C52/D52-1)</f>
        <v>0.5277705664065484</v>
      </c>
      <c r="H52" s="1205"/>
      <c r="I52" s="432">
        <v>101.47550622929481</v>
      </c>
      <c r="J52" s="932"/>
      <c r="K52" s="374">
        <f>C52-I52</f>
        <v>-1.4325062292948161</v>
      </c>
      <c r="L52" s="1204">
        <f>IF(I52=0,"NM",C52/I52-1)</f>
        <v>-1.4116768494437659E-2</v>
      </c>
      <c r="O52" s="2"/>
      <c r="S52" s="2"/>
      <c r="T52" s="2"/>
      <c r="U52" s="2"/>
      <c r="V52" s="2"/>
      <c r="W52" s="2"/>
      <c r="X52" s="2"/>
      <c r="Y52" s="2"/>
    </row>
    <row r="53" spans="1:25" ht="12.75" customHeight="1">
      <c r="A53" s="61" t="s">
        <v>131</v>
      </c>
      <c r="B53" s="61"/>
      <c r="C53" s="373">
        <f>-0.5*C18</f>
        <v>-17.064499999999995</v>
      </c>
      <c r="D53" s="365">
        <f>D29</f>
        <v>8.5350000000000001</v>
      </c>
      <c r="E53" s="61"/>
      <c r="F53" s="374">
        <f>C53-D53</f>
        <v>-25.599499999999995</v>
      </c>
      <c r="G53" s="126">
        <f>IF(D53=0,0,C53/D53-1)</f>
        <v>-2.9993555946104271</v>
      </c>
      <c r="H53" s="2"/>
      <c r="I53" s="432">
        <v>-16.909988714647415</v>
      </c>
      <c r="J53" s="1103"/>
      <c r="K53" s="374">
        <f>C53-I53</f>
        <v>-0.15451128535258007</v>
      </c>
      <c r="L53" s="1204">
        <f>IF(I53=0,"NM",C53/I53-1)</f>
        <v>9.1372790342989507E-3</v>
      </c>
      <c r="O53" s="2"/>
    </row>
    <row r="54" spans="1:25" ht="4.5" customHeight="1">
      <c r="A54" s="964"/>
      <c r="B54" s="2"/>
      <c r="C54" s="453" t="s">
        <v>343</v>
      </c>
      <c r="D54" s="452" t="s">
        <v>343</v>
      </c>
      <c r="E54" s="96" t="s">
        <v>343</v>
      </c>
      <c r="F54" s="452" t="s">
        <v>343</v>
      </c>
      <c r="G54" s="1251" t="s">
        <v>343</v>
      </c>
      <c r="H54" s="2" t="s">
        <v>343</v>
      </c>
      <c r="I54" s="453" t="s">
        <v>343</v>
      </c>
      <c r="J54" s="96" t="s">
        <v>343</v>
      </c>
      <c r="K54" s="452" t="s">
        <v>343</v>
      </c>
      <c r="L54" s="1252" t="s">
        <v>343</v>
      </c>
      <c r="N54" s="1102"/>
      <c r="O54" s="1102"/>
      <c r="S54" s="2"/>
      <c r="T54" s="2"/>
      <c r="U54" s="2"/>
      <c r="V54" s="2"/>
      <c r="W54" s="2"/>
      <c r="X54" s="2"/>
      <c r="Y54" s="2"/>
    </row>
    <row r="55" spans="1:25" ht="12.75" customHeight="1">
      <c r="A55" s="1" t="s">
        <v>743</v>
      </c>
      <c r="B55" s="2"/>
      <c r="C55" s="1242">
        <f>SUM(C52:C53)</f>
        <v>82.978499999999997</v>
      </c>
      <c r="D55" s="1253">
        <f>SUM(D52:D53)</f>
        <v>74.017999999999986</v>
      </c>
      <c r="E55" s="61"/>
      <c r="F55" s="374">
        <f>C55-D55</f>
        <v>8.9605000000000103</v>
      </c>
      <c r="G55" s="126">
        <f>IF(D55=0,0,C55/D55-1)</f>
        <v>0.12105839120214013</v>
      </c>
      <c r="H55" s="2"/>
      <c r="I55" s="1243">
        <v>84.565517514647397</v>
      </c>
      <c r="J55" s="1103"/>
      <c r="K55" s="1241">
        <f>C55-I55</f>
        <v>-1.5870175146473997</v>
      </c>
      <c r="L55" s="1204">
        <f>IF(I55=0,"NM",C55/I55-1)</f>
        <v>-1.876672148754388E-2</v>
      </c>
      <c r="O55" s="1102"/>
    </row>
    <row r="56" spans="1:25" ht="4.5" customHeight="1">
      <c r="A56" s="2"/>
      <c r="B56" s="2"/>
      <c r="C56" s="144"/>
      <c r="D56" s="1062"/>
      <c r="E56" s="61"/>
      <c r="F56" s="2"/>
      <c r="G56" s="2"/>
      <c r="H56" s="2"/>
      <c r="I56" s="144"/>
      <c r="J56" s="2"/>
      <c r="K56" s="2"/>
      <c r="L56" s="2"/>
      <c r="O56" s="2"/>
    </row>
    <row r="57" spans="1:25" ht="6" customHeight="1">
      <c r="A57" s="2"/>
      <c r="B57" s="2"/>
      <c r="C57" s="2"/>
      <c r="D57" s="1062"/>
      <c r="E57" s="2"/>
      <c r="F57" s="2"/>
      <c r="G57" s="2"/>
      <c r="H57" s="2"/>
      <c r="I57" s="2"/>
      <c r="J57" s="2"/>
      <c r="K57" s="2"/>
      <c r="L57" s="2"/>
      <c r="O57" s="2"/>
    </row>
    <row r="58" spans="1:25" ht="12.75" customHeight="1">
      <c r="A58" s="2"/>
      <c r="B58" s="2"/>
      <c r="C58" s="2"/>
      <c r="D58" s="1062"/>
      <c r="E58" s="2"/>
      <c r="F58" s="2"/>
      <c r="G58" s="2"/>
      <c r="H58" s="2"/>
      <c r="I58" s="2"/>
      <c r="J58" s="2"/>
      <c r="K58" s="2"/>
      <c r="L58" s="2"/>
      <c r="O58" s="2"/>
    </row>
    <row r="59" spans="1:25" ht="12.75" customHeight="1">
      <c r="A59" s="2"/>
      <c r="B59" s="2"/>
      <c r="C59" s="2"/>
      <c r="D59" s="1062"/>
      <c r="E59" s="2"/>
      <c r="F59" s="2"/>
      <c r="G59" s="2"/>
      <c r="H59" s="2"/>
      <c r="I59" s="2"/>
      <c r="J59" s="2"/>
      <c r="K59" s="2"/>
      <c r="L59" s="2"/>
      <c r="O59" s="2"/>
    </row>
    <row r="60" spans="1:25" ht="12.75" customHeight="1">
      <c r="A60" s="2"/>
      <c r="B60" s="2"/>
      <c r="C60" s="2"/>
      <c r="D60" s="1062"/>
      <c r="E60" s="2"/>
      <c r="F60" s="2"/>
      <c r="G60" s="2"/>
      <c r="H60" s="2"/>
      <c r="I60" s="2"/>
      <c r="J60" s="2"/>
      <c r="K60" s="2"/>
      <c r="L60" s="2"/>
      <c r="O60" s="2"/>
    </row>
    <row r="61" spans="1:25" ht="12.75" customHeight="1">
      <c r="A61" s="2"/>
      <c r="B61" s="2"/>
      <c r="C61" s="2"/>
      <c r="D61" s="1062"/>
      <c r="E61" s="2"/>
      <c r="F61" s="2"/>
      <c r="G61" s="2"/>
      <c r="H61" s="2"/>
      <c r="I61" s="2"/>
      <c r="J61" s="2"/>
      <c r="K61" s="2"/>
      <c r="L61" s="2"/>
      <c r="O61" s="2"/>
    </row>
    <row r="62" spans="1:25" ht="12.75" customHeight="1">
      <c r="A62" s="2"/>
      <c r="B62" s="2"/>
      <c r="C62" s="2"/>
      <c r="D62" s="1062"/>
      <c r="E62" s="2"/>
      <c r="F62" s="2"/>
      <c r="G62" s="2"/>
      <c r="H62" s="2"/>
      <c r="I62" s="2"/>
      <c r="J62" s="2"/>
      <c r="K62" s="2"/>
      <c r="L62" s="2"/>
      <c r="O62" s="2"/>
    </row>
    <row r="63" spans="1:25" ht="12.75" customHeight="1">
      <c r="A63" s="2"/>
      <c r="B63" s="2"/>
      <c r="C63" s="2"/>
      <c r="D63" s="1062"/>
      <c r="E63" s="2"/>
      <c r="F63" s="2"/>
      <c r="G63" s="2"/>
      <c r="H63" s="2"/>
      <c r="I63" s="2"/>
      <c r="J63" s="2"/>
      <c r="K63" s="2"/>
      <c r="L63" s="2"/>
      <c r="N63" s="69" t="s">
        <v>318</v>
      </c>
      <c r="P63" s="2"/>
      <c r="Q63" s="2"/>
      <c r="R63" s="2"/>
    </row>
    <row r="64" spans="1:25" ht="12.75" customHeight="1">
      <c r="A64" s="2"/>
      <c r="B64" s="2"/>
      <c r="C64" s="2"/>
      <c r="D64" s="1062"/>
      <c r="E64" s="2"/>
      <c r="F64" s="2"/>
      <c r="G64" s="2"/>
      <c r="H64" s="2"/>
      <c r="I64" s="2"/>
      <c r="J64" s="2"/>
      <c r="K64" s="2"/>
      <c r="L64" s="2"/>
      <c r="N64" s="2" t="s">
        <v>319</v>
      </c>
      <c r="O64" s="2" t="s">
        <v>320</v>
      </c>
      <c r="P64" s="2" t="s">
        <v>321</v>
      </c>
      <c r="Q64" s="98">
        <v>62.5</v>
      </c>
      <c r="R64" s="98"/>
    </row>
    <row r="65" spans="1:25" ht="12.75" customHeight="1">
      <c r="A65" s="2"/>
      <c r="B65" s="2"/>
      <c r="C65" s="2"/>
      <c r="D65" s="1062"/>
      <c r="E65" s="2"/>
      <c r="F65" s="2"/>
      <c r="G65" s="2"/>
      <c r="H65" s="2"/>
      <c r="I65" s="2"/>
      <c r="J65" s="2"/>
      <c r="K65" s="2"/>
      <c r="L65" s="2"/>
      <c r="N65" s="2"/>
      <c r="O65" s="2" t="s">
        <v>322</v>
      </c>
      <c r="P65" s="2" t="s">
        <v>321</v>
      </c>
      <c r="Q65" s="98">
        <v>87.5</v>
      </c>
      <c r="R65" s="98"/>
    </row>
    <row r="66" spans="1:25" ht="12.75" customHeight="1">
      <c r="A66" s="2"/>
      <c r="B66" s="2"/>
      <c r="C66" s="2"/>
      <c r="D66" s="1062"/>
      <c r="E66" s="2"/>
      <c r="F66" s="2"/>
      <c r="G66" s="2"/>
      <c r="H66" s="2"/>
      <c r="I66" s="2"/>
      <c r="J66" s="2"/>
      <c r="K66" s="2"/>
      <c r="L66" s="2"/>
      <c r="N66" s="2"/>
      <c r="O66" s="2" t="s">
        <v>323</v>
      </c>
      <c r="P66" s="2" t="s">
        <v>321</v>
      </c>
      <c r="Q66" s="98">
        <v>100</v>
      </c>
      <c r="R66" s="98"/>
    </row>
    <row r="67" spans="1:25" ht="12.75" customHeight="1">
      <c r="A67" s="2"/>
      <c r="B67" s="2"/>
      <c r="C67" s="2"/>
      <c r="D67" s="1062"/>
      <c r="E67" s="2"/>
      <c r="F67" s="2"/>
      <c r="G67" s="2"/>
      <c r="H67" s="2"/>
      <c r="I67" s="2"/>
      <c r="J67" s="2"/>
      <c r="K67" s="2"/>
      <c r="L67" s="2"/>
      <c r="N67" s="2"/>
      <c r="O67" s="2" t="s">
        <v>324</v>
      </c>
      <c r="P67" s="2" t="s">
        <v>321</v>
      </c>
      <c r="Q67" s="98">
        <v>112.5</v>
      </c>
      <c r="R67" s="98"/>
    </row>
    <row r="68" spans="1:25" ht="12.75" customHeight="1">
      <c r="A68" s="2"/>
      <c r="B68" s="2"/>
      <c r="C68" s="2"/>
      <c r="D68" s="1062"/>
      <c r="E68" s="2"/>
      <c r="F68" s="2"/>
      <c r="G68" s="2"/>
      <c r="H68" s="2"/>
      <c r="I68" s="2"/>
      <c r="J68" s="2"/>
      <c r="K68" s="2"/>
      <c r="L68" s="2"/>
      <c r="N68" s="2"/>
      <c r="O68" s="2" t="s">
        <v>325</v>
      </c>
      <c r="P68" s="2" t="s">
        <v>321</v>
      </c>
      <c r="Q68" s="98">
        <v>137.5</v>
      </c>
      <c r="R68" s="98"/>
    </row>
    <row r="69" spans="1:25" ht="12.75" customHeight="1">
      <c r="A69" s="2"/>
      <c r="B69" s="2"/>
      <c r="C69" s="2"/>
      <c r="D69" s="1062"/>
      <c r="E69" s="2"/>
      <c r="F69" s="2"/>
      <c r="G69" s="2"/>
      <c r="H69" s="2"/>
      <c r="I69" s="2"/>
      <c r="J69" s="2"/>
      <c r="K69" s="2"/>
      <c r="L69" s="2"/>
      <c r="N69" s="2"/>
      <c r="O69" s="2" t="s">
        <v>326</v>
      </c>
      <c r="P69" s="2" t="s">
        <v>321</v>
      </c>
      <c r="Q69" s="98">
        <v>162.5</v>
      </c>
      <c r="R69" s="98"/>
    </row>
    <row r="70" spans="1:25" ht="12.75" customHeight="1">
      <c r="A70" s="2"/>
      <c r="B70" s="2"/>
      <c r="C70" s="2"/>
      <c r="D70" s="1062"/>
      <c r="E70" s="2"/>
      <c r="F70" s="2"/>
      <c r="G70" s="2"/>
      <c r="H70" s="2"/>
      <c r="I70" s="2"/>
      <c r="J70" s="2"/>
      <c r="K70" s="2"/>
      <c r="L70" s="2"/>
      <c r="O70" s="2"/>
      <c r="S70" s="2"/>
      <c r="T70" s="2"/>
      <c r="U70" s="2"/>
      <c r="V70" s="2"/>
      <c r="W70" s="2"/>
      <c r="X70" s="2"/>
      <c r="Y70" s="2"/>
    </row>
    <row r="71" spans="1:25" ht="12.75" customHeight="1">
      <c r="A71" s="2"/>
      <c r="B71" s="2"/>
      <c r="C71" s="2"/>
      <c r="D71" s="1062"/>
      <c r="E71" s="2"/>
      <c r="F71" s="2"/>
      <c r="G71" s="2"/>
      <c r="H71" s="2"/>
      <c r="I71" s="2"/>
      <c r="J71" s="2"/>
      <c r="K71" s="2"/>
      <c r="L71" s="2"/>
      <c r="O71" s="2"/>
      <c r="S71" s="2"/>
      <c r="T71" s="2"/>
      <c r="U71" s="2"/>
      <c r="V71" s="2"/>
      <c r="W71" s="2"/>
      <c r="X71" s="2"/>
      <c r="Y71" s="2"/>
    </row>
    <row r="72" spans="1:25" ht="12.75" customHeight="1">
      <c r="A72" s="2"/>
      <c r="B72" s="2"/>
      <c r="C72" s="2"/>
      <c r="D72" s="1062"/>
      <c r="E72" s="2"/>
      <c r="F72" s="2"/>
      <c r="G72" s="2"/>
      <c r="H72" s="2"/>
      <c r="I72" s="2"/>
      <c r="J72" s="2"/>
      <c r="K72" s="2"/>
      <c r="L72" s="2"/>
      <c r="O72" s="2"/>
      <c r="S72" s="1" t="s">
        <v>1140</v>
      </c>
      <c r="T72" s="1"/>
      <c r="U72" s="2"/>
      <c r="V72" s="2"/>
      <c r="W72" s="2"/>
      <c r="X72" s="2"/>
      <c r="Y72" s="2"/>
    </row>
    <row r="73" spans="1:25" ht="12.75" customHeight="1">
      <c r="A73" s="2"/>
      <c r="B73" s="2"/>
      <c r="C73" s="2"/>
      <c r="D73" s="1062"/>
      <c r="E73" s="2"/>
      <c r="F73" s="2"/>
      <c r="G73" s="2"/>
      <c r="H73" s="2"/>
      <c r="I73" s="2"/>
      <c r="J73" s="2"/>
      <c r="K73" s="2"/>
      <c r="L73" s="2"/>
      <c r="O73" s="2"/>
      <c r="S73" s="1"/>
      <c r="T73" s="1"/>
      <c r="U73" s="2"/>
      <c r="V73" s="2"/>
      <c r="W73" s="2"/>
      <c r="X73" s="2"/>
      <c r="Y73" s="2"/>
    </row>
    <row r="74" spans="1:25" ht="12.75" customHeight="1">
      <c r="A74" s="2"/>
      <c r="B74" s="2"/>
      <c r="C74" s="2"/>
      <c r="D74" s="1062"/>
      <c r="E74" s="2"/>
      <c r="F74" s="2"/>
      <c r="G74" s="2"/>
      <c r="H74" s="2"/>
      <c r="I74" s="2"/>
      <c r="J74" s="2"/>
      <c r="K74" s="2"/>
      <c r="L74" s="2"/>
      <c r="O74" s="2"/>
      <c r="S74" s="2" t="s">
        <v>1144</v>
      </c>
      <c r="T74" s="2"/>
      <c r="U74" s="2"/>
      <c r="V74" s="2"/>
      <c r="W74" s="2"/>
      <c r="X74" s="2"/>
      <c r="Y74" s="2"/>
    </row>
    <row r="75" spans="1:25" ht="12.75" customHeight="1">
      <c r="A75" s="2"/>
      <c r="B75" s="2"/>
      <c r="C75" s="2"/>
      <c r="D75" s="1062"/>
      <c r="E75" s="2"/>
      <c r="F75" s="2"/>
      <c r="G75" s="2"/>
      <c r="H75" s="2"/>
      <c r="I75" s="2"/>
      <c r="J75" s="2"/>
      <c r="K75" s="2"/>
      <c r="L75" s="2"/>
      <c r="O75" s="2"/>
      <c r="S75" s="69" t="s">
        <v>53</v>
      </c>
      <c r="T75" s="69"/>
      <c r="U75" s="1289" t="s">
        <v>1143</v>
      </c>
      <c r="V75" s="1289"/>
      <c r="W75" s="1289" t="s">
        <v>1142</v>
      </c>
      <c r="X75" s="1289"/>
      <c r="Y75" s="1289" t="s">
        <v>829</v>
      </c>
    </row>
    <row r="76" spans="1:25" ht="12.75" customHeight="1">
      <c r="A76" s="2"/>
      <c r="B76" s="2"/>
      <c r="C76" s="2"/>
      <c r="D76" s="1062"/>
      <c r="E76" s="2"/>
      <c r="F76" s="2"/>
      <c r="G76" s="2"/>
      <c r="H76" s="2"/>
      <c r="I76" s="2"/>
      <c r="J76" s="2"/>
      <c r="K76" s="2"/>
      <c r="L76" s="2"/>
      <c r="O76" s="2"/>
      <c r="S76" s="2" t="s">
        <v>935</v>
      </c>
      <c r="T76" s="2"/>
      <c r="U76" s="98">
        <v>2294.9</v>
      </c>
      <c r="V76" s="98"/>
      <c r="W76" s="98">
        <f>BYD!AQ21</f>
        <v>2330.8430000000003</v>
      </c>
      <c r="X76" s="98"/>
      <c r="Y76" s="105">
        <f>W76/U76-1</f>
        <v>1.566212035382808E-2</v>
      </c>
    </row>
    <row r="77" spans="1:25" ht="12.75" customHeight="1">
      <c r="A77" s="2"/>
      <c r="B77" s="2"/>
      <c r="C77" s="2"/>
      <c r="D77" s="1062"/>
      <c r="E77" s="2"/>
      <c r="F77" s="2"/>
      <c r="G77" s="2"/>
      <c r="H77" s="2"/>
      <c r="I77" s="2"/>
      <c r="J77" s="2"/>
      <c r="K77" s="2"/>
      <c r="L77" s="2"/>
      <c r="O77" s="2"/>
      <c r="S77" s="2" t="s">
        <v>1141</v>
      </c>
      <c r="T77" s="2"/>
      <c r="U77" s="98">
        <v>499</v>
      </c>
      <c r="V77" s="98"/>
      <c r="W77" s="98">
        <f>BYD!AQ51</f>
        <v>506.30200000000002</v>
      </c>
      <c r="X77" s="98"/>
      <c r="Y77" s="105">
        <f>W77/U77-1</f>
        <v>1.463326653306618E-2</v>
      </c>
    </row>
    <row r="78" spans="1:25" ht="12.75" customHeight="1">
      <c r="A78" s="2"/>
      <c r="B78" s="2"/>
      <c r="C78" s="2"/>
      <c r="D78" s="1062"/>
      <c r="E78" s="2"/>
      <c r="F78" s="2"/>
      <c r="G78" s="2"/>
      <c r="H78" s="2"/>
      <c r="I78" s="2"/>
      <c r="J78" s="2"/>
      <c r="K78" s="2"/>
      <c r="L78" s="2"/>
      <c r="O78" s="2"/>
      <c r="S78" s="2" t="s">
        <v>200</v>
      </c>
      <c r="T78" s="2"/>
      <c r="U78" s="1336">
        <v>0.18</v>
      </c>
      <c r="V78" s="1336"/>
      <c r="W78" s="1336">
        <f>BYD!AQ95</f>
        <v>-3.2745966864743742E-3</v>
      </c>
      <c r="X78" s="1336"/>
      <c r="Y78" s="105">
        <f>W78/U78-1</f>
        <v>-1.0181922038137465</v>
      </c>
    </row>
    <row r="79" spans="1:25" ht="12.75" customHeight="1">
      <c r="A79" s="2"/>
      <c r="B79" s="2"/>
      <c r="C79" s="2"/>
      <c r="D79" s="1062"/>
      <c r="E79" s="2"/>
      <c r="F79" s="2"/>
      <c r="G79" s="2"/>
      <c r="H79" s="2"/>
      <c r="I79" s="2"/>
      <c r="J79" s="2"/>
      <c r="K79" s="2"/>
      <c r="L79" s="2"/>
      <c r="O79" s="2"/>
      <c r="S79" s="2"/>
      <c r="T79" s="2"/>
      <c r="U79" s="98"/>
      <c r="V79" s="98"/>
      <c r="W79" s="98"/>
      <c r="X79" s="98"/>
      <c r="Y79" s="2"/>
    </row>
    <row r="80" spans="1:25" ht="12.75" customHeight="1">
      <c r="A80" s="2"/>
      <c r="B80" s="2"/>
      <c r="C80" s="2"/>
      <c r="D80" s="1062"/>
      <c r="E80" s="2"/>
      <c r="F80" s="2"/>
      <c r="G80" s="2"/>
      <c r="H80" s="2"/>
      <c r="I80" s="2"/>
      <c r="J80" s="2"/>
      <c r="K80" s="2"/>
      <c r="L80" s="2"/>
      <c r="O80" s="2"/>
      <c r="S80" s="69" t="s">
        <v>54</v>
      </c>
      <c r="T80" s="69"/>
      <c r="U80" s="98"/>
      <c r="V80" s="98"/>
      <c r="W80" s="98"/>
      <c r="X80" s="98"/>
      <c r="Y80" s="2"/>
    </row>
    <row r="81" spans="1:25" ht="12.75" customHeight="1">
      <c r="A81" s="2"/>
      <c r="B81" s="2"/>
      <c r="C81" s="2"/>
      <c r="D81" s="1062"/>
      <c r="E81" s="2"/>
      <c r="F81" s="2"/>
      <c r="G81" s="2"/>
      <c r="H81" s="2"/>
      <c r="I81" s="2"/>
      <c r="J81" s="2"/>
      <c r="K81" s="2"/>
      <c r="L81" s="2"/>
      <c r="O81" s="2"/>
      <c r="S81" s="2" t="s">
        <v>935</v>
      </c>
      <c r="T81" s="2"/>
      <c r="U81" s="98">
        <v>2346</v>
      </c>
      <c r="V81" s="98"/>
      <c r="W81" s="98">
        <f>BYD!AV21</f>
        <v>2482.8190000000004</v>
      </c>
      <c r="X81" s="98"/>
      <c r="Y81" s="105">
        <f>W81/U81-1</f>
        <v>5.8320119352088806E-2</v>
      </c>
    </row>
    <row r="82" spans="1:25" ht="12.75" customHeight="1">
      <c r="A82" s="2"/>
      <c r="B82" s="2"/>
      <c r="C82" s="2"/>
      <c r="D82" s="1062"/>
      <c r="E82" s="2"/>
      <c r="F82" s="2"/>
      <c r="G82" s="2"/>
      <c r="H82" s="2"/>
      <c r="I82" s="2"/>
      <c r="J82" s="2"/>
      <c r="K82" s="2"/>
      <c r="L82" s="2"/>
      <c r="O82" s="2"/>
      <c r="S82" s="2" t="s">
        <v>1141</v>
      </c>
      <c r="T82" s="2"/>
      <c r="U82" s="98">
        <v>533.70000000000005</v>
      </c>
      <c r="V82" s="98"/>
      <c r="W82" s="98">
        <f>BYD!AV51</f>
        <v>492.05100000000004</v>
      </c>
      <c r="X82" s="98"/>
      <c r="Y82" s="105">
        <f>W82/U82-1</f>
        <v>-7.8038223721191624E-2</v>
      </c>
    </row>
    <row r="83" spans="1:25" ht="12.75" customHeight="1">
      <c r="A83" s="2"/>
      <c r="B83" s="2"/>
      <c r="C83" s="2"/>
      <c r="D83" s="1062"/>
      <c r="E83" s="2"/>
      <c r="F83" s="2"/>
      <c r="G83" s="2"/>
      <c r="H83" s="2"/>
      <c r="I83" s="2"/>
      <c r="J83" s="2"/>
      <c r="K83" s="2"/>
      <c r="L83" s="2"/>
      <c r="O83" s="2"/>
      <c r="S83" s="2" t="s">
        <v>200</v>
      </c>
      <c r="T83" s="2"/>
      <c r="U83" s="1336">
        <v>0.38</v>
      </c>
      <c r="V83" s="1336"/>
      <c r="W83" s="1336">
        <f>BYD!AV95</f>
        <v>-0.27977684479532566</v>
      </c>
      <c r="X83" s="1336"/>
      <c r="Y83" s="105">
        <f>W83/U83-1</f>
        <v>-1.7362548547245411</v>
      </c>
    </row>
  </sheetData>
  <phoneticPr fontId="10" type="noConversion"/>
  <pageMargins left="0.75" right="0.75" top="1" bottom="1" header="0.5" footer="0.5"/>
  <pageSetup scale="92" orientation="portrait" horizontalDpi="1200" verticalDpi="1200" r:id="rId1"/>
  <headerFooter alignWithMargins="0"/>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autoPageBreaks="0"/>
  </sheetPr>
  <dimension ref="A1:Q69"/>
  <sheetViews>
    <sheetView zoomScale="85" zoomScaleNormal="85" workbookViewId="0"/>
  </sheetViews>
  <sheetFormatPr defaultRowHeight="12.75" customHeight="1"/>
  <cols>
    <col min="1" max="1" width="21.5" customWidth="1"/>
    <col min="2" max="2" width="1.5" customWidth="1"/>
    <col min="5" max="5" width="1.5" customWidth="1"/>
    <col min="8" max="8" width="1.5" customWidth="1"/>
    <col min="10" max="10" width="1.5" customWidth="1"/>
    <col min="16" max="16" width="3.25" customWidth="1"/>
  </cols>
  <sheetData>
    <row r="1" spans="1:16" ht="12.75" customHeight="1">
      <c r="A1" s="1" t="s">
        <v>629</v>
      </c>
      <c r="B1" s="2"/>
      <c r="C1" s="2"/>
      <c r="D1" s="1062"/>
      <c r="E1" s="2"/>
      <c r="F1" s="2"/>
      <c r="G1" s="2"/>
      <c r="H1" s="2"/>
      <c r="I1" s="2"/>
      <c r="J1" s="2"/>
      <c r="K1" s="2"/>
      <c r="L1" s="2"/>
      <c r="O1" s="2"/>
    </row>
    <row r="2" spans="1:16" ht="12.75" customHeight="1">
      <c r="A2" s="1" t="s">
        <v>1224</v>
      </c>
      <c r="B2" s="2"/>
      <c r="C2" s="2"/>
      <c r="D2" s="1062"/>
      <c r="E2" s="2"/>
      <c r="F2" s="2"/>
      <c r="G2" s="2"/>
      <c r="H2" s="2"/>
      <c r="I2" s="2"/>
      <c r="J2" s="2"/>
      <c r="K2" s="2"/>
      <c r="L2" s="2"/>
      <c r="O2" s="2"/>
    </row>
    <row r="3" spans="1:16" ht="12.75" customHeight="1">
      <c r="A3" s="2" t="s">
        <v>1225</v>
      </c>
      <c r="B3" s="2"/>
      <c r="C3" s="2"/>
      <c r="D3" s="1062"/>
      <c r="E3" s="2"/>
      <c r="F3" s="2"/>
      <c r="G3" s="2"/>
      <c r="H3" s="2"/>
      <c r="I3" s="2"/>
      <c r="J3" s="2"/>
      <c r="K3" s="2"/>
      <c r="L3" s="2"/>
      <c r="O3" s="2"/>
    </row>
    <row r="4" spans="1:16" ht="12.75" customHeight="1">
      <c r="A4" s="2"/>
      <c r="B4" s="2"/>
      <c r="C4" s="1195" t="s">
        <v>818</v>
      </c>
      <c r="D4" s="1310"/>
      <c r="E4" s="1196"/>
      <c r="F4" s="1196"/>
      <c r="G4" s="1196"/>
      <c r="H4" s="2"/>
      <c r="I4" s="1195" t="s">
        <v>1504</v>
      </c>
      <c r="J4" s="1197"/>
      <c r="K4" s="1196"/>
      <c r="L4" s="1196"/>
      <c r="O4" s="73" t="s">
        <v>1030</v>
      </c>
    </row>
    <row r="5" spans="1:16" ht="12.75" customHeight="1">
      <c r="A5" s="2"/>
      <c r="B5" s="2"/>
      <c r="C5" s="1198"/>
      <c r="D5" s="77"/>
      <c r="E5" s="2"/>
      <c r="F5" s="1197" t="s">
        <v>1505</v>
      </c>
      <c r="G5" s="1197"/>
      <c r="H5" s="2"/>
      <c r="I5" s="1198"/>
      <c r="J5" s="61"/>
      <c r="K5" s="1197" t="s">
        <v>1505</v>
      </c>
      <c r="L5" s="1197"/>
      <c r="O5" s="2"/>
    </row>
    <row r="6" spans="1:16" ht="12.75" customHeight="1">
      <c r="A6" s="61"/>
      <c r="B6" s="2"/>
      <c r="C6" s="1199" t="s">
        <v>410</v>
      </c>
      <c r="D6" s="1308" t="s">
        <v>575</v>
      </c>
      <c r="E6" s="70"/>
      <c r="F6" s="73" t="s">
        <v>658</v>
      </c>
      <c r="G6" s="73" t="s">
        <v>740</v>
      </c>
      <c r="H6" s="2"/>
      <c r="I6" s="1199" t="s">
        <v>1574</v>
      </c>
      <c r="J6" s="70"/>
      <c r="K6" s="73" t="s">
        <v>658</v>
      </c>
      <c r="L6" s="73" t="s">
        <v>740</v>
      </c>
      <c r="O6" s="2"/>
    </row>
    <row r="7" spans="1:16" ht="12.75" customHeight="1">
      <c r="A7" s="1" t="s">
        <v>741</v>
      </c>
      <c r="B7" s="2"/>
      <c r="C7" s="112"/>
      <c r="D7" s="77"/>
      <c r="E7" s="2"/>
      <c r="F7" s="2"/>
      <c r="G7" s="2"/>
      <c r="H7" s="2"/>
      <c r="I7" s="112"/>
      <c r="J7" s="61"/>
      <c r="K7" s="2"/>
      <c r="L7" s="2"/>
      <c r="O7" s="2"/>
    </row>
    <row r="8" spans="1:16" ht="12.75" customHeight="1">
      <c r="A8" s="334" t="s">
        <v>514</v>
      </c>
      <c r="B8" s="2"/>
      <c r="C8" s="1201">
        <f>BYD!AJ10</f>
        <v>145.59299999999999</v>
      </c>
      <c r="D8" s="858">
        <f>BYD!AE10</f>
        <v>150.749</v>
      </c>
      <c r="E8" s="1202"/>
      <c r="F8" s="1205">
        <f>C8-D8</f>
        <v>-5.1560000000000059</v>
      </c>
      <c r="G8" s="126">
        <f>IF(D8=0,0,C8/D8-1)</f>
        <v>-3.4202548607287664E-2</v>
      </c>
      <c r="H8" s="1205"/>
      <c r="I8" s="1207">
        <v>143.21154999999999</v>
      </c>
      <c r="J8" s="1202"/>
      <c r="K8" s="313">
        <f>C8-I8</f>
        <v>2.381450000000001</v>
      </c>
      <c r="L8" s="1204">
        <f>IF(I8=0,"NM",C8/I8-1)</f>
        <v>1.6628896202855126E-2</v>
      </c>
      <c r="O8" s="2"/>
    </row>
    <row r="9" spans="1:16" ht="12.75" customHeight="1">
      <c r="A9" s="334" t="s">
        <v>515</v>
      </c>
      <c r="B9" s="61"/>
      <c r="C9" s="146">
        <f>BYD!AJ11</f>
        <v>51.898000000000003</v>
      </c>
      <c r="D9" s="104">
        <f>BYD!AE11</f>
        <v>54.856999999999999</v>
      </c>
      <c r="E9" s="1103"/>
      <c r="F9" s="374">
        <f>C9-D9</f>
        <v>-2.9589999999999961</v>
      </c>
      <c r="G9" s="95">
        <f>IF(D9=0,0,C9/D9-1)</f>
        <v>-5.3940244636053625E-2</v>
      </c>
      <c r="H9" s="61"/>
      <c r="I9" s="1104">
        <v>53.759859999999996</v>
      </c>
      <c r="J9" s="1103"/>
      <c r="K9" s="374">
        <f>C9-I9</f>
        <v>-1.861859999999993</v>
      </c>
      <c r="L9" s="92">
        <f>IF(I9=0,"NM",C9/I9-1)</f>
        <v>-3.4632902689850642E-2</v>
      </c>
      <c r="O9" s="2"/>
    </row>
    <row r="10" spans="1:16" ht="12.75" customHeight="1">
      <c r="A10" s="334" t="s">
        <v>516</v>
      </c>
      <c r="B10" s="61"/>
      <c r="C10" s="146">
        <f>BYD!AJ13</f>
        <v>188.69499999999999</v>
      </c>
      <c r="D10" s="104">
        <f>BYD!AE13</f>
        <v>192.637</v>
      </c>
      <c r="E10" s="1103"/>
      <c r="F10" s="374">
        <f>C10-D10</f>
        <v>-3.9420000000000073</v>
      </c>
      <c r="G10" s="95">
        <f>IF(D10=0,0,C10/D10-1)</f>
        <v>-2.0463358544827837E-2</v>
      </c>
      <c r="H10" s="61"/>
      <c r="I10" s="1104">
        <v>186.41542653921601</v>
      </c>
      <c r="J10" s="1103"/>
      <c r="K10" s="374">
        <f>C10-I10</f>
        <v>2.279573460783979</v>
      </c>
      <c r="L10" s="92">
        <f>IF(I10=0,"NM",C10/I10-1)</f>
        <v>1.2228459323909258E-2</v>
      </c>
      <c r="O10" s="2"/>
    </row>
    <row r="11" spans="1:16" ht="12.75" customHeight="1">
      <c r="A11" s="334" t="s">
        <v>273</v>
      </c>
      <c r="B11" s="61"/>
      <c r="C11" s="146">
        <f>BYD!AJ906</f>
        <v>207.68700000000001</v>
      </c>
      <c r="D11" s="104"/>
      <c r="E11" s="1103"/>
      <c r="F11" s="374"/>
      <c r="G11" s="95"/>
      <c r="H11" s="61"/>
      <c r="I11" s="1104">
        <v>200.9233416978511</v>
      </c>
      <c r="J11" s="1103"/>
      <c r="K11" s="374">
        <f>C11-I11</f>
        <v>6.7636583021489116</v>
      </c>
      <c r="L11" s="92">
        <f>IF(I11=0,"NM",C11/I11-1)</f>
        <v>3.3662879807763169E-2</v>
      </c>
      <c r="O11" s="2"/>
    </row>
    <row r="12" spans="1:16" ht="12.75" customHeight="1">
      <c r="A12" s="138" t="s">
        <v>813</v>
      </c>
      <c r="B12" s="1203"/>
      <c r="C12" s="1209">
        <f>SUM(C8:C11)</f>
        <v>593.87300000000005</v>
      </c>
      <c r="D12" s="1210">
        <f>SUM(D8:D11)</f>
        <v>398.24299999999999</v>
      </c>
      <c r="E12" s="1210"/>
      <c r="F12" s="1210">
        <f>SUM(F8:F10)</f>
        <v>-12.057000000000009</v>
      </c>
      <c r="G12" s="1208">
        <f>IF(D12=0,0,C12/D12-1)</f>
        <v>0.49123273980961391</v>
      </c>
      <c r="H12" s="1206"/>
      <c r="I12" s="1250">
        <v>584.31017823706713</v>
      </c>
      <c r="J12" s="1210"/>
      <c r="K12" s="1210">
        <f>SUM(K8:K10)</f>
        <v>2.799163460783987</v>
      </c>
      <c r="L12" s="1211">
        <f>C12/I12-1</f>
        <v>1.6366002371865251E-2</v>
      </c>
      <c r="O12" s="1102">
        <v>547.70000000000005</v>
      </c>
      <c r="P12" s="1299" t="s">
        <v>132</v>
      </c>
    </row>
    <row r="13" spans="1:16" ht="12.75" customHeight="1">
      <c r="A13" s="61"/>
      <c r="B13" s="61"/>
      <c r="C13" s="112"/>
      <c r="D13" s="77"/>
      <c r="E13" s="61"/>
      <c r="F13" s="61"/>
      <c r="G13" s="1139"/>
      <c r="H13" s="61"/>
      <c r="I13" s="115"/>
      <c r="J13" s="61"/>
      <c r="K13" s="61"/>
      <c r="L13" s="1212"/>
      <c r="O13" s="2"/>
    </row>
    <row r="14" spans="1:16" ht="12.75" customHeight="1">
      <c r="A14" s="107" t="s">
        <v>401</v>
      </c>
      <c r="B14" s="61"/>
      <c r="C14" s="112"/>
      <c r="D14" s="77"/>
      <c r="E14" s="61"/>
      <c r="F14" s="61"/>
      <c r="G14" s="1139"/>
      <c r="H14" s="61"/>
      <c r="I14" s="115"/>
      <c r="J14" s="61"/>
      <c r="K14" s="61"/>
      <c r="L14" s="1212"/>
      <c r="O14" s="2"/>
    </row>
    <row r="15" spans="1:16" ht="12.75" customHeight="1">
      <c r="A15" s="334" t="s">
        <v>514</v>
      </c>
      <c r="B15" s="61"/>
      <c r="C15" s="146">
        <f>BYD!AJ38</f>
        <v>26.116</v>
      </c>
      <c r="D15" s="104">
        <f>BYD!AE38</f>
        <v>31.363</v>
      </c>
      <c r="E15" s="1103"/>
      <c r="F15" s="374">
        <f>C15-D15</f>
        <v>-5.2469999999999999</v>
      </c>
      <c r="G15" s="95">
        <f>IF(D15=0,0,C15/D15-1)</f>
        <v>-0.16729904664732331</v>
      </c>
      <c r="H15" s="61"/>
      <c r="I15" s="1104">
        <v>29.794849999999997</v>
      </c>
      <c r="J15" s="1103"/>
      <c r="K15" s="374">
        <f>C15-I15</f>
        <v>-3.6788499999999971</v>
      </c>
      <c r="L15" s="92">
        <f>IF(I15=0,"NM",C15/I15-1)</f>
        <v>-0.12347268068139283</v>
      </c>
      <c r="O15" s="2"/>
    </row>
    <row r="16" spans="1:16" ht="12.75" customHeight="1">
      <c r="A16" s="334" t="s">
        <v>515</v>
      </c>
      <c r="B16" s="61"/>
      <c r="C16" s="146">
        <f>BYD!AJ39</f>
        <v>5.6790000000000003</v>
      </c>
      <c r="D16" s="104">
        <f>BYD!AE39</f>
        <v>8.7010000000000005</v>
      </c>
      <c r="E16" s="1103"/>
      <c r="F16" s="374">
        <f>C16-D16</f>
        <v>-3.0220000000000002</v>
      </c>
      <c r="G16" s="95">
        <f>IF(D16=0,0,C16/D16-1)</f>
        <v>-0.34731640041374556</v>
      </c>
      <c r="H16" s="61"/>
      <c r="I16" s="1104">
        <v>7.6038599999999974</v>
      </c>
      <c r="J16" s="1103"/>
      <c r="K16" s="374">
        <f>C16-I16</f>
        <v>-1.9248599999999971</v>
      </c>
      <c r="L16" s="92">
        <f>IF(I16=0,"NM",C16/I16-1)</f>
        <v>-0.25314248289684416</v>
      </c>
      <c r="O16" s="2"/>
    </row>
    <row r="17" spans="1:15" ht="12.75" customHeight="1">
      <c r="A17" s="334" t="s">
        <v>516</v>
      </c>
      <c r="B17" s="61"/>
      <c r="C17" s="146">
        <f>BYD!AJ41</f>
        <v>38.406999999999996</v>
      </c>
      <c r="D17" s="104">
        <f>BYD!AE41</f>
        <v>41.536999999999999</v>
      </c>
      <c r="E17" s="1103"/>
      <c r="F17" s="374">
        <f>C17-D17</f>
        <v>-3.1300000000000026</v>
      </c>
      <c r="G17" s="95">
        <f>IF(D17=0,0,C17/D17-1)</f>
        <v>-7.5354503214002055E-2</v>
      </c>
      <c r="H17" s="61"/>
      <c r="I17" s="1104">
        <v>36.826426539216015</v>
      </c>
      <c r="J17" s="1103"/>
      <c r="K17" s="374">
        <f>C17-I17</f>
        <v>1.580573460783981</v>
      </c>
      <c r="L17" s="92">
        <f>IF(I17=0,"NM",C17/I17-1)</f>
        <v>4.2919544721528924E-2</v>
      </c>
      <c r="O17" s="2"/>
    </row>
    <row r="18" spans="1:15" ht="12.75" customHeight="1">
      <c r="A18" s="334" t="s">
        <v>273</v>
      </c>
      <c r="B18" s="61"/>
      <c r="C18" s="146">
        <f>BYD!AJ927</f>
        <v>54.319000000000017</v>
      </c>
      <c r="D18" s="104"/>
      <c r="E18" s="1103"/>
      <c r="F18" s="374"/>
      <c r="G18" s="95"/>
      <c r="H18" s="61"/>
      <c r="I18" s="1104">
        <v>56.258535675398313</v>
      </c>
      <c r="J18" s="1103"/>
      <c r="K18" s="374">
        <f>C18-I18</f>
        <v>-1.9395356753982966</v>
      </c>
      <c r="L18" s="92">
        <f>IF(I18=0,"NM",C18/I18-1)</f>
        <v>-3.4475402747577211E-2</v>
      </c>
      <c r="O18" s="2"/>
    </row>
    <row r="19" spans="1:15" ht="12.75" customHeight="1">
      <c r="A19" s="138" t="s">
        <v>819</v>
      </c>
      <c r="B19" s="1203"/>
      <c r="C19" s="1209">
        <f>SUM(C15:C18)</f>
        <v>124.52100000000002</v>
      </c>
      <c r="D19" s="1210">
        <f>SUM(D15:D18)</f>
        <v>81.600999999999999</v>
      </c>
      <c r="E19" s="1210"/>
      <c r="F19" s="1210">
        <f>SUM(F15:F17)</f>
        <v>-11.399000000000003</v>
      </c>
      <c r="G19" s="1208">
        <f>IF(D19=0,0,C19/D19-1)</f>
        <v>0.525973946397716</v>
      </c>
      <c r="H19" s="1206"/>
      <c r="I19" s="1250">
        <v>130.48367221461433</v>
      </c>
      <c r="J19" s="1210"/>
      <c r="K19" s="1210">
        <f>SUM(K15:K17)</f>
        <v>-4.0231365392160132</v>
      </c>
      <c r="L19" s="1211">
        <f>C19/I19-1</f>
        <v>-4.5696692263589522E-2</v>
      </c>
      <c r="O19" s="2"/>
    </row>
    <row r="20" spans="1:15" ht="12.75" customHeight="1">
      <c r="A20" s="2" t="s">
        <v>742</v>
      </c>
      <c r="B20" s="2"/>
      <c r="C20" s="146">
        <f>BYD!AJ54</f>
        <v>-9.1440000000000001</v>
      </c>
      <c r="D20" s="104">
        <f>BYD!AE54</f>
        <v>-9.157</v>
      </c>
      <c r="E20" s="1103"/>
      <c r="F20" s="374">
        <f>C20-D20</f>
        <v>1.2999999999999901E-2</v>
      </c>
      <c r="G20" s="126">
        <f>IF(D20=0,0,C20/D20-1)</f>
        <v>-1.4196789341487381E-3</v>
      </c>
      <c r="H20" s="2"/>
      <c r="I20" s="1104">
        <v>-9.4317100000000007</v>
      </c>
      <c r="J20" s="1103"/>
      <c r="K20" s="374">
        <f>C20-I20</f>
        <v>0.28771000000000058</v>
      </c>
      <c r="L20" s="1204">
        <f>IF(I20=0,"NM",C20/I20-1)</f>
        <v>-3.0504542654513411E-2</v>
      </c>
      <c r="O20" s="2"/>
    </row>
    <row r="21" spans="1:15" ht="12.75" customHeight="1">
      <c r="A21" s="138" t="s">
        <v>555</v>
      </c>
      <c r="B21" s="1203"/>
      <c r="C21" s="1209">
        <f>C19+C20</f>
        <v>115.37700000000001</v>
      </c>
      <c r="D21" s="1210">
        <f>D19+D20</f>
        <v>72.444000000000003</v>
      </c>
      <c r="E21" s="1210"/>
      <c r="F21" s="1210">
        <f>F19+F20</f>
        <v>-11.386000000000003</v>
      </c>
      <c r="G21" s="1208">
        <f>G19+G20</f>
        <v>0.52455426746356726</v>
      </c>
      <c r="H21" s="1210"/>
      <c r="I21" s="1250">
        <v>121.05196221461433</v>
      </c>
      <c r="J21" s="1210"/>
      <c r="K21" s="1210">
        <f>K19+K20</f>
        <v>-3.7354265392160126</v>
      </c>
      <c r="L21" s="1254">
        <f>L19-L20</f>
        <v>-1.5192149609076111E-2</v>
      </c>
      <c r="M21" s="1238"/>
      <c r="O21" s="2"/>
    </row>
    <row r="22" spans="1:15" ht="12.75" customHeight="1">
      <c r="A22" s="439" t="s">
        <v>1745</v>
      </c>
      <c r="B22" s="2"/>
      <c r="C22" s="373">
        <f>BYD!AJ65</f>
        <v>2.3959999999999999</v>
      </c>
      <c r="D22" s="374">
        <f>BYD!AE65</f>
        <v>2.8860000000000001</v>
      </c>
      <c r="E22" s="1103"/>
      <c r="F22" s="374">
        <f>C22-D22</f>
        <v>-0.49000000000000021</v>
      </c>
      <c r="G22" s="126">
        <f t="shared" ref="G22:G34" si="0">IF(D22=0,0,C22/D22-1)</f>
        <v>-0.16978516978516989</v>
      </c>
      <c r="H22" s="2"/>
      <c r="I22" s="432">
        <v>2.8719999999999999</v>
      </c>
      <c r="J22" s="1103"/>
      <c r="K22" s="374">
        <f t="shared" ref="K22:K34" si="1">C22-I22</f>
        <v>-0.47599999999999998</v>
      </c>
      <c r="L22" s="1204">
        <f>IF(I22=0,"NM",C22/I22-1)</f>
        <v>-0.16573816155988863</v>
      </c>
      <c r="O22" s="2"/>
    </row>
    <row r="23" spans="1:15" ht="12.75" customHeight="1">
      <c r="A23" s="439" t="s">
        <v>201</v>
      </c>
      <c r="B23" s="2"/>
      <c r="C23" s="373">
        <f>BYD!AJ66</f>
        <v>1.069</v>
      </c>
      <c r="D23" s="374">
        <f>BYD!AE66</f>
        <v>1.089</v>
      </c>
      <c r="E23" s="1103"/>
      <c r="F23" s="374">
        <f>C23-D23</f>
        <v>-2.0000000000000018E-2</v>
      </c>
      <c r="G23" s="126">
        <f t="shared" si="0"/>
        <v>-1.8365472910927494E-2</v>
      </c>
      <c r="H23" s="2"/>
      <c r="I23" s="432">
        <v>1.0669999999999999</v>
      </c>
      <c r="J23" s="1103"/>
      <c r="K23" s="374">
        <f t="shared" si="1"/>
        <v>2.0000000000000018E-3</v>
      </c>
      <c r="L23" s="1204">
        <f>IF(I23=0,"NM",C23/I23-1)</f>
        <v>1.8744142455482393E-3</v>
      </c>
      <c r="O23" s="2"/>
    </row>
    <row r="24" spans="1:15" ht="12.75" customHeight="1">
      <c r="A24" s="1693" t="s">
        <v>202</v>
      </c>
      <c r="B24" s="2"/>
      <c r="C24" s="373">
        <f>BYD!AJ67</f>
        <v>52.451000000000001</v>
      </c>
      <c r="D24" s="374">
        <f>BYD!AE67</f>
        <v>40.902999999999999</v>
      </c>
      <c r="E24" s="1103"/>
      <c r="F24" s="374">
        <f>C24-D24</f>
        <v>11.548000000000002</v>
      </c>
      <c r="G24" s="126">
        <f t="shared" si="0"/>
        <v>0.28232647972031399</v>
      </c>
      <c r="H24" s="2"/>
      <c r="I24" s="432">
        <v>55.408000000000001</v>
      </c>
      <c r="J24" s="1103"/>
      <c r="K24" s="374">
        <f t="shared" si="1"/>
        <v>-2.9570000000000007</v>
      </c>
      <c r="L24" s="1204">
        <f>IF(I24=0,"NM",C24/I24-1)</f>
        <v>-5.3367744730002942E-2</v>
      </c>
      <c r="O24" s="2"/>
    </row>
    <row r="25" spans="1:15" ht="4.5" customHeight="1">
      <c r="A25" s="964"/>
      <c r="B25" s="2"/>
      <c r="C25" s="453" t="s">
        <v>343</v>
      </c>
      <c r="D25" s="452" t="s">
        <v>343</v>
      </c>
      <c r="E25" s="96" t="s">
        <v>343</v>
      </c>
      <c r="F25" s="452" t="s">
        <v>343</v>
      </c>
      <c r="G25" s="1251" t="s">
        <v>343</v>
      </c>
      <c r="H25" s="2" t="s">
        <v>343</v>
      </c>
      <c r="I25" s="453" t="s">
        <v>343</v>
      </c>
      <c r="J25" s="96" t="s">
        <v>343</v>
      </c>
      <c r="K25" s="452" t="s">
        <v>343</v>
      </c>
      <c r="L25" s="1252" t="s">
        <v>343</v>
      </c>
      <c r="N25" s="1102"/>
      <c r="O25" s="1102"/>
    </row>
    <row r="26" spans="1:15" ht="12.75" customHeight="1">
      <c r="A26" s="1" t="s">
        <v>744</v>
      </c>
      <c r="B26" s="2"/>
      <c r="C26" s="1242">
        <f>C21-C22-C23-C24</f>
        <v>59.461000000000006</v>
      </c>
      <c r="D26" s="1241">
        <f>D21-D22-D23-D24</f>
        <v>27.56600000000001</v>
      </c>
      <c r="E26" s="932"/>
      <c r="F26" s="1241">
        <f>F21-F22-F23-F24</f>
        <v>-22.424000000000007</v>
      </c>
      <c r="G26" s="106">
        <f t="shared" si="0"/>
        <v>1.1570412827396064</v>
      </c>
      <c r="H26" s="1205"/>
      <c r="I26" s="1243">
        <v>61.704962214614341</v>
      </c>
      <c r="J26" s="932"/>
      <c r="K26" s="1241">
        <f t="shared" si="1"/>
        <v>-2.243962214614335</v>
      </c>
      <c r="L26" s="1214">
        <f>C26/I26-1</f>
        <v>-3.6365992848511497E-2</v>
      </c>
      <c r="O26" s="2"/>
    </row>
    <row r="27" spans="1:15" ht="12.75" customHeight="1">
      <c r="A27" s="445" t="s">
        <v>1176</v>
      </c>
      <c r="B27" s="2"/>
      <c r="C27" s="373">
        <f>BYD!AJ73</f>
        <v>-45.780999999999999</v>
      </c>
      <c r="D27" s="374">
        <f>BYD!AE73</f>
        <v>-32.298999999999999</v>
      </c>
      <c r="E27" s="932"/>
      <c r="F27" s="374">
        <f t="shared" ref="F27:F34" si="2">C27-D27</f>
        <v>-13.481999999999999</v>
      </c>
      <c r="G27" s="126">
        <f t="shared" si="0"/>
        <v>0.41741230378649496</v>
      </c>
      <c r="H27" s="1205"/>
      <c r="I27" s="432">
        <v>-43.018950708333335</v>
      </c>
      <c r="J27" s="932"/>
      <c r="K27" s="374">
        <f t="shared" si="1"/>
        <v>-2.7620492916666635</v>
      </c>
      <c r="L27" s="1204">
        <f>IF(I27=0,"NM",C27/I27-1)</f>
        <v>6.4205408225626925E-2</v>
      </c>
      <c r="O27" s="2"/>
    </row>
    <row r="28" spans="1:15" ht="12.75" customHeight="1">
      <c r="A28" s="445" t="s">
        <v>203</v>
      </c>
      <c r="B28" s="2"/>
      <c r="C28" s="373">
        <f>BYD!AJ74</f>
        <v>0</v>
      </c>
      <c r="D28" s="374">
        <f>BYD!AE74</f>
        <v>0</v>
      </c>
      <c r="E28" s="932"/>
      <c r="F28" s="374">
        <f t="shared" si="2"/>
        <v>0</v>
      </c>
      <c r="G28" s="126">
        <f t="shared" si="0"/>
        <v>0</v>
      </c>
      <c r="H28" s="1205"/>
      <c r="I28" s="432">
        <v>0</v>
      </c>
      <c r="J28" s="932"/>
      <c r="K28" s="374">
        <f t="shared" si="1"/>
        <v>0</v>
      </c>
      <c r="L28" s="1204" t="str">
        <f>IF(I28=0,"NM",C28/I28-1)</f>
        <v>NM</v>
      </c>
      <c r="O28" s="2"/>
    </row>
    <row r="29" spans="1:15" ht="12.75" customHeight="1">
      <c r="A29" s="445" t="s">
        <v>816</v>
      </c>
      <c r="B29" s="2"/>
      <c r="C29" s="373">
        <f>BYD!AJ75</f>
        <v>0</v>
      </c>
      <c r="D29" s="374">
        <f>BYD!AE75</f>
        <v>24.173999999999999</v>
      </c>
      <c r="E29" s="932"/>
      <c r="F29" s="374">
        <f t="shared" si="2"/>
        <v>-24.173999999999999</v>
      </c>
      <c r="G29" s="126">
        <f t="shared" si="0"/>
        <v>-1</v>
      </c>
      <c r="H29" s="1205"/>
      <c r="I29" s="432">
        <v>0</v>
      </c>
      <c r="J29" s="932"/>
      <c r="K29" s="374">
        <f t="shared" si="1"/>
        <v>0</v>
      </c>
      <c r="L29" s="1204" t="str">
        <f>IF(I29=0,"NM",C29/I29-1)</f>
        <v>NM</v>
      </c>
      <c r="O29" s="2"/>
    </row>
    <row r="30" spans="1:15" ht="12.75" customHeight="1">
      <c r="A30" s="445" t="s">
        <v>815</v>
      </c>
      <c r="B30" s="2"/>
      <c r="C30" s="373">
        <f>BYD!AJ77</f>
        <v>0</v>
      </c>
      <c r="D30" s="374">
        <f>BYD!AE77</f>
        <v>-7.2039999999999997</v>
      </c>
      <c r="E30" s="1103"/>
      <c r="F30" s="374">
        <f t="shared" si="2"/>
        <v>7.2039999999999997</v>
      </c>
      <c r="G30" s="126">
        <f t="shared" si="0"/>
        <v>-1</v>
      </c>
      <c r="H30" s="2"/>
      <c r="I30" s="432">
        <v>0</v>
      </c>
      <c r="J30" s="1103"/>
      <c r="K30" s="374">
        <f t="shared" si="1"/>
        <v>0</v>
      </c>
      <c r="L30" s="1204" t="str">
        <f>IF(I30=0,"NM",C30/I30-1)</f>
        <v>NM</v>
      </c>
      <c r="O30" s="2"/>
    </row>
    <row r="31" spans="1:15" ht="12.75" customHeight="1">
      <c r="A31" s="445" t="s">
        <v>814</v>
      </c>
      <c r="B31" s="2"/>
      <c r="C31" s="373">
        <f>BYD!AJ78</f>
        <v>7.5570000000000004</v>
      </c>
      <c r="D31" s="374">
        <f>BYD!AE78</f>
        <v>-1.2540000000000011</v>
      </c>
      <c r="E31" s="1103"/>
      <c r="F31" s="374">
        <f t="shared" si="2"/>
        <v>8.8110000000000017</v>
      </c>
      <c r="G31" s="126">
        <f t="shared" si="0"/>
        <v>-7.0263157894736787</v>
      </c>
      <c r="H31" s="2"/>
      <c r="I31" s="432">
        <v>0</v>
      </c>
      <c r="J31" s="1103"/>
      <c r="K31" s="374">
        <f t="shared" si="1"/>
        <v>7.5570000000000004</v>
      </c>
      <c r="L31" s="1204" t="str">
        <f>IF(I31=0,"NM",C31/I31-1)</f>
        <v>NM</v>
      </c>
      <c r="O31" s="2"/>
    </row>
    <row r="32" spans="1:15" ht="4.5" customHeight="1">
      <c r="A32" s="964"/>
      <c r="B32" s="2"/>
      <c r="C32" s="453" t="s">
        <v>343</v>
      </c>
      <c r="D32" s="452" t="s">
        <v>343</v>
      </c>
      <c r="E32" s="96" t="s">
        <v>343</v>
      </c>
      <c r="F32" s="452" t="s">
        <v>343</v>
      </c>
      <c r="G32" s="1251" t="s">
        <v>343</v>
      </c>
      <c r="H32" s="2" t="s">
        <v>343</v>
      </c>
      <c r="I32" s="453" t="s">
        <v>343</v>
      </c>
      <c r="J32" s="96" t="s">
        <v>343</v>
      </c>
      <c r="K32" s="452" t="s">
        <v>343</v>
      </c>
      <c r="L32" s="1252" t="s">
        <v>343</v>
      </c>
      <c r="N32" s="1102"/>
      <c r="O32" s="1102"/>
    </row>
    <row r="33" spans="1:15" ht="12.75" customHeight="1">
      <c r="A33" s="1" t="s">
        <v>745</v>
      </c>
      <c r="B33" s="2"/>
      <c r="C33" s="1213">
        <f>SUM(C26:C31)</f>
        <v>21.237000000000009</v>
      </c>
      <c r="D33" s="929">
        <f>SUM(D26:D31)</f>
        <v>10.983000000000008</v>
      </c>
      <c r="E33" s="932"/>
      <c r="F33" s="1241">
        <f t="shared" si="2"/>
        <v>10.254000000000001</v>
      </c>
      <c r="G33" s="106">
        <f t="shared" si="0"/>
        <v>0.93362469270691006</v>
      </c>
      <c r="H33" s="1205"/>
      <c r="I33" s="1244">
        <v>18.686011506281005</v>
      </c>
      <c r="J33" s="932"/>
      <c r="K33" s="1241">
        <f t="shared" si="1"/>
        <v>2.5509884937190037</v>
      </c>
      <c r="L33" s="1214">
        <f>C33/I33-1</f>
        <v>0.13651861944222454</v>
      </c>
      <c r="O33" s="2"/>
    </row>
    <row r="34" spans="1:15" ht="12.75" customHeight="1">
      <c r="A34" s="445" t="s">
        <v>205</v>
      </c>
      <c r="B34" s="2"/>
      <c r="C34" s="373">
        <f>BYD!AJ81</f>
        <v>-6.3710000000000004</v>
      </c>
      <c r="D34" s="374">
        <f>BYD!AE81</f>
        <v>-4.6680000000000001</v>
      </c>
      <c r="E34" s="1103"/>
      <c r="F34" s="374">
        <f t="shared" si="2"/>
        <v>-1.7030000000000003</v>
      </c>
      <c r="G34" s="126">
        <f t="shared" si="0"/>
        <v>0.36482433590402752</v>
      </c>
      <c r="H34" s="2"/>
      <c r="I34" s="432">
        <v>-5.6058034518842996</v>
      </c>
      <c r="J34" s="1103"/>
      <c r="K34" s="374">
        <f t="shared" si="1"/>
        <v>-0.76519654811570081</v>
      </c>
      <c r="L34" s="1204">
        <f>IF(I34=0,"NM",C34/I34-1)</f>
        <v>0.13650078078611405</v>
      </c>
      <c r="O34" s="2"/>
    </row>
    <row r="35" spans="1:15" ht="4.5" customHeight="1">
      <c r="A35" s="964"/>
      <c r="B35" s="2"/>
      <c r="C35" s="453" t="s">
        <v>343</v>
      </c>
      <c r="D35" s="452" t="s">
        <v>343</v>
      </c>
      <c r="E35" s="96" t="s">
        <v>343</v>
      </c>
      <c r="F35" s="452" t="s">
        <v>343</v>
      </c>
      <c r="G35" s="1251" t="s">
        <v>343</v>
      </c>
      <c r="H35" s="2" t="s">
        <v>343</v>
      </c>
      <c r="I35" s="453" t="s">
        <v>343</v>
      </c>
      <c r="J35" s="96" t="s">
        <v>343</v>
      </c>
      <c r="K35" s="452" t="s">
        <v>343</v>
      </c>
      <c r="L35" s="1252" t="s">
        <v>343</v>
      </c>
      <c r="N35" s="1102"/>
      <c r="O35" s="1102"/>
    </row>
    <row r="36" spans="1:15" ht="12.75" customHeight="1">
      <c r="A36" s="107" t="s">
        <v>1243</v>
      </c>
      <c r="B36" s="61"/>
      <c r="C36" s="1213">
        <f>C33+C34</f>
        <v>14.866000000000009</v>
      </c>
      <c r="D36" s="929">
        <f>D33+D34</f>
        <v>6.3150000000000075</v>
      </c>
      <c r="E36" s="932"/>
      <c r="F36" s="1241">
        <f>F33+F34</f>
        <v>8.5510000000000019</v>
      </c>
      <c r="G36" s="1215">
        <f>G33+G34</f>
        <v>1.2984490286109376</v>
      </c>
      <c r="H36" s="932"/>
      <c r="I36" s="1244">
        <v>13.080208054396707</v>
      </c>
      <c r="J36" s="932"/>
      <c r="K36" s="1241">
        <f>K33+K34</f>
        <v>1.7857919456033029</v>
      </c>
      <c r="L36" s="1215">
        <f>L33+L34</f>
        <v>0.27301940022833859</v>
      </c>
      <c r="M36" s="1238"/>
      <c r="N36" s="1238"/>
      <c r="O36" s="61"/>
    </row>
    <row r="37" spans="1:15" ht="12.75" customHeight="1">
      <c r="A37" s="445" t="s">
        <v>130</v>
      </c>
      <c r="B37" s="2"/>
      <c r="C37" s="373">
        <f>BYD!AJ85</f>
        <v>-9.2750000000000004</v>
      </c>
      <c r="D37" s="374">
        <f>BYD!AE83</f>
        <v>0</v>
      </c>
      <c r="E37" s="1103"/>
      <c r="F37" s="374">
        <f>C37-D37</f>
        <v>-9.2750000000000004</v>
      </c>
      <c r="G37" s="126">
        <f>IF(D37=0,0,C37/D37-1)</f>
        <v>0</v>
      </c>
      <c r="H37" s="2"/>
      <c r="I37" s="432">
        <v>0</v>
      </c>
      <c r="J37" s="1103"/>
      <c r="K37" s="374">
        <f>C37-I37</f>
        <v>-9.2750000000000004</v>
      </c>
      <c r="L37" s="1204" t="str">
        <f>IF(I37=0,"NM",C37/I37-1)</f>
        <v>NM</v>
      </c>
      <c r="O37" s="2"/>
    </row>
    <row r="38" spans="1:15" ht="4.5" customHeight="1">
      <c r="A38" s="964"/>
      <c r="B38" s="2"/>
      <c r="C38" s="453" t="s">
        <v>343</v>
      </c>
      <c r="D38" s="452" t="s">
        <v>343</v>
      </c>
      <c r="E38" s="96" t="s">
        <v>343</v>
      </c>
      <c r="F38" s="452" t="s">
        <v>343</v>
      </c>
      <c r="G38" s="1251" t="s">
        <v>343</v>
      </c>
      <c r="H38" s="2" t="s">
        <v>343</v>
      </c>
      <c r="I38" s="453" t="s">
        <v>343</v>
      </c>
      <c r="J38" s="96" t="s">
        <v>343</v>
      </c>
      <c r="K38" s="452" t="s">
        <v>343</v>
      </c>
      <c r="L38" s="1252" t="s">
        <v>343</v>
      </c>
      <c r="N38" s="1102"/>
      <c r="O38" s="1102"/>
    </row>
    <row r="39" spans="1:15" ht="12.75" customHeight="1">
      <c r="A39" s="107" t="s">
        <v>1540</v>
      </c>
      <c r="B39" s="2"/>
      <c r="C39" s="1213">
        <f>C36+C37</f>
        <v>5.5910000000000082</v>
      </c>
      <c r="D39" s="929">
        <f>D36+D37</f>
        <v>6.3150000000000075</v>
      </c>
      <c r="E39" s="932"/>
      <c r="F39" s="1241">
        <f>F36+F37</f>
        <v>-0.72399999999999842</v>
      </c>
      <c r="G39" s="1215">
        <f>G36+G37</f>
        <v>1.2984490286109376</v>
      </c>
      <c r="H39" s="932"/>
      <c r="I39" s="1244">
        <v>13.080208054396707</v>
      </c>
      <c r="J39" s="932"/>
      <c r="K39" s="1241">
        <f>K36+K37</f>
        <v>-7.4892080543966975</v>
      </c>
      <c r="L39" s="1215"/>
      <c r="O39" s="2"/>
    </row>
    <row r="40" spans="1:15" ht="12.75" customHeight="1">
      <c r="A40" s="2"/>
      <c r="B40" s="2"/>
      <c r="C40" s="112"/>
      <c r="D40" s="77"/>
      <c r="E40" s="61"/>
      <c r="F40" s="61"/>
      <c r="G40" s="1141"/>
      <c r="H40" s="2"/>
      <c r="I40" s="115"/>
      <c r="J40" s="61"/>
      <c r="K40" s="61"/>
      <c r="L40" s="1216"/>
      <c r="O40" s="2"/>
    </row>
    <row r="41" spans="1:15" ht="12.75" customHeight="1">
      <c r="A41" s="147" t="s">
        <v>1747</v>
      </c>
      <c r="B41" s="160"/>
      <c r="C41" s="1217">
        <f>BYD!AJ88</f>
        <v>1.410000000000017</v>
      </c>
      <c r="D41" s="1309">
        <f>BYD!AE88</f>
        <v>7.9660000000000011</v>
      </c>
      <c r="E41" s="1218"/>
      <c r="F41" s="1218">
        <f>C41-D41</f>
        <v>-6.5559999999999841</v>
      </c>
      <c r="G41" s="1219">
        <f>IF(D41=0,0,C41/D41-1)</f>
        <v>-0.82299774039668383</v>
      </c>
      <c r="H41" s="1220"/>
      <c r="I41" s="1245">
        <v>3.3092289537571311</v>
      </c>
      <c r="J41" s="1218"/>
      <c r="K41" s="1218">
        <f>C41-I41</f>
        <v>-1.8992289537571141</v>
      </c>
      <c r="L41" s="1221">
        <f>C41/I41-1</f>
        <v>-0.57391887363998362</v>
      </c>
      <c r="O41" s="2"/>
    </row>
    <row r="42" spans="1:15" ht="12.75" customHeight="1">
      <c r="A42" s="2"/>
      <c r="B42" s="2"/>
      <c r="C42" s="112"/>
      <c r="D42" s="77"/>
      <c r="E42" s="61"/>
      <c r="F42" s="61"/>
      <c r="G42" s="1141"/>
      <c r="H42" s="2"/>
      <c r="I42" s="115"/>
      <c r="J42" s="61"/>
      <c r="K42" s="61"/>
      <c r="L42" s="1216"/>
      <c r="O42" s="2"/>
    </row>
    <row r="43" spans="1:15" ht="12.75" customHeight="1">
      <c r="A43" s="138" t="s">
        <v>746</v>
      </c>
      <c r="B43" s="155"/>
      <c r="C43" s="153">
        <f>BYD!AJ95</f>
        <v>1.6265977573716221E-2</v>
      </c>
      <c r="D43" s="152">
        <f>BYD!AE95</f>
        <v>9.2160673793326861E-2</v>
      </c>
      <c r="E43" s="152"/>
      <c r="F43" s="152">
        <f>C43-D43</f>
        <v>-7.5894696219610647E-2</v>
      </c>
      <c r="G43" s="1208">
        <f>IF(D43=0,0,C43/D43-1)</f>
        <v>-0.82350413789081911</v>
      </c>
      <c r="H43" s="155"/>
      <c r="I43" s="1246">
        <v>3.8062489403937472E-2</v>
      </c>
      <c r="J43" s="152"/>
      <c r="K43" s="152">
        <f>C43-I43</f>
        <v>-2.179651183022125E-2</v>
      </c>
      <c r="L43" s="1211">
        <f>C43/I43-1</f>
        <v>-0.57265071653370248</v>
      </c>
      <c r="O43" s="1256">
        <v>0.1</v>
      </c>
    </row>
    <row r="44" spans="1:15" ht="12.75" customHeight="1">
      <c r="A44" s="2" t="s">
        <v>769</v>
      </c>
      <c r="B44" s="2"/>
      <c r="C44" s="146">
        <f>BYD!AJ103</f>
        <v>86.683999999999997</v>
      </c>
      <c r="D44" s="104">
        <f>BYD!AE103</f>
        <v>86.436000000000007</v>
      </c>
      <c r="E44" s="1103"/>
      <c r="F44" s="374">
        <f>C44-D44</f>
        <v>0.24799999999999045</v>
      </c>
      <c r="G44" s="126">
        <f>IF(D44=0,0,C44/D44-1)</f>
        <v>2.8691748808364892E-3</v>
      </c>
      <c r="H44" s="2"/>
      <c r="I44" s="1104">
        <v>86.941999999999993</v>
      </c>
      <c r="J44" s="1103"/>
      <c r="K44" s="374">
        <f>C44-I44</f>
        <v>-0.25799999999999557</v>
      </c>
      <c r="L44" s="1204">
        <f>C44/I44-1</f>
        <v>-2.967495571760459E-3</v>
      </c>
      <c r="O44" s="2"/>
    </row>
    <row r="45" spans="1:15" ht="12.75" customHeight="1">
      <c r="A45" s="2"/>
      <c r="B45" s="2"/>
      <c r="C45" s="112"/>
      <c r="D45" s="77"/>
      <c r="E45" s="61"/>
      <c r="F45" s="2"/>
      <c r="G45" s="2"/>
      <c r="H45" s="2"/>
      <c r="I45" s="115"/>
      <c r="J45" s="61"/>
      <c r="K45" s="61"/>
      <c r="L45" s="2"/>
      <c r="O45" s="2"/>
    </row>
    <row r="46" spans="1:15" ht="12.75" customHeight="1">
      <c r="A46" s="1222" t="s">
        <v>271</v>
      </c>
      <c r="B46" s="1223"/>
      <c r="C46" s="1224">
        <f>C19/C12</f>
        <v>0.20967614287903308</v>
      </c>
      <c r="D46" s="1225">
        <f>D19/D12</f>
        <v>0.20490253438227413</v>
      </c>
      <c r="E46" s="1225"/>
      <c r="F46" s="1223"/>
      <c r="G46" s="1226">
        <f>(C46-D46)</f>
        <v>4.773608496758952E-3</v>
      </c>
      <c r="H46" s="1223"/>
      <c r="I46" s="1224">
        <v>0.22331233833423711</v>
      </c>
      <c r="J46" s="1225"/>
      <c r="K46" s="1223"/>
      <c r="L46" s="1227">
        <f>(C46-I46)</f>
        <v>-1.3636195455204031E-2</v>
      </c>
      <c r="O46" s="2"/>
    </row>
    <row r="47" spans="1:15" ht="12.75" customHeight="1">
      <c r="A47" s="1239" t="s">
        <v>514</v>
      </c>
      <c r="B47" s="1228"/>
      <c r="C47" s="1229">
        <f t="shared" ref="C47:D49" si="3">C15/C8</f>
        <v>0.1793767557506199</v>
      </c>
      <c r="D47" s="1230">
        <f t="shared" si="3"/>
        <v>0.20804781457920118</v>
      </c>
      <c r="E47" s="1230"/>
      <c r="F47" s="1228"/>
      <c r="G47" s="1231">
        <f>(C47-D47)</f>
        <v>-2.8671058828581286E-2</v>
      </c>
      <c r="H47" s="1228"/>
      <c r="I47" s="1229">
        <v>0.20804781457920118</v>
      </c>
      <c r="J47" s="1230"/>
      <c r="K47" s="1228"/>
      <c r="L47" s="1232">
        <f>(C47-I47)</f>
        <v>-2.8671058828581286E-2</v>
      </c>
      <c r="O47" s="2"/>
    </row>
    <row r="48" spans="1:15" ht="12.75" customHeight="1">
      <c r="A48" s="1239" t="s">
        <v>515</v>
      </c>
      <c r="B48" s="1228"/>
      <c r="C48" s="1229">
        <f t="shared" si="3"/>
        <v>0.10942618212647887</v>
      </c>
      <c r="D48" s="1230">
        <f t="shared" si="3"/>
        <v>0.15861239221977141</v>
      </c>
      <c r="E48" s="1230"/>
      <c r="F48" s="1228"/>
      <c r="G48" s="1231">
        <f>(C48-D48)</f>
        <v>-4.9186210093292548E-2</v>
      </c>
      <c r="H48" s="1228"/>
      <c r="I48" s="1229">
        <v>0.14144121655078712</v>
      </c>
      <c r="J48" s="1230"/>
      <c r="K48" s="1228"/>
      <c r="L48" s="1232">
        <f>(C48-I48)</f>
        <v>-3.2015034424308253E-2</v>
      </c>
      <c r="O48" s="2"/>
    </row>
    <row r="49" spans="1:17" ht="12.75" customHeight="1">
      <c r="A49" s="1239" t="s">
        <v>516</v>
      </c>
      <c r="B49" s="1228"/>
      <c r="C49" s="1229">
        <f t="shared" si="3"/>
        <v>0.20354010440128248</v>
      </c>
      <c r="D49" s="1230">
        <f t="shared" si="3"/>
        <v>0.21562316688901922</v>
      </c>
      <c r="E49" s="1230"/>
      <c r="F49" s="1228"/>
      <c r="G49" s="1231">
        <f>(C49-D49)</f>
        <v>-1.2083062487736745E-2</v>
      </c>
      <c r="H49" s="1228"/>
      <c r="I49" s="1229">
        <v>0.19755031663899811</v>
      </c>
      <c r="J49" s="1230"/>
      <c r="K49" s="1228"/>
      <c r="L49" s="1232">
        <f>(C49-I49)</f>
        <v>5.9897877622843709E-3</v>
      </c>
      <c r="O49" s="2"/>
    </row>
    <row r="50" spans="1:17" ht="12.75" customHeight="1">
      <c r="A50" s="1240" t="s">
        <v>273</v>
      </c>
      <c r="B50" s="1233"/>
      <c r="C50" s="1234">
        <f>C18/C11</f>
        <v>0.26154260979262067</v>
      </c>
      <c r="D50" s="1385"/>
      <c r="E50" s="1235"/>
      <c r="F50" s="1233"/>
      <c r="G50" s="1236"/>
      <c r="H50" s="1233"/>
      <c r="I50" s="1234">
        <v>0.28000000000000003</v>
      </c>
      <c r="J50" s="1235"/>
      <c r="K50" s="1233"/>
      <c r="L50" s="1237">
        <f>(C50-I50)</f>
        <v>-1.8457390207379354E-2</v>
      </c>
      <c r="M50" s="1238"/>
      <c r="O50" s="2"/>
    </row>
    <row r="51" spans="1:17" ht="12.75" customHeight="1">
      <c r="A51" s="61"/>
      <c r="B51" s="61"/>
      <c r="C51" s="112"/>
      <c r="D51" s="77"/>
      <c r="E51" s="61"/>
      <c r="F51" s="61"/>
      <c r="G51" s="61"/>
      <c r="H51" s="61"/>
      <c r="I51" s="112"/>
      <c r="J51" s="61"/>
      <c r="K51" s="61"/>
      <c r="L51" s="61"/>
      <c r="O51" s="2"/>
    </row>
    <row r="52" spans="1:17" ht="12.75" customHeight="1">
      <c r="A52" s="61" t="s">
        <v>1139</v>
      </c>
      <c r="B52" s="61"/>
      <c r="C52" s="373">
        <f>C21</f>
        <v>115.37700000000001</v>
      </c>
      <c r="D52" s="365">
        <f>D21</f>
        <v>72.444000000000003</v>
      </c>
      <c r="E52" s="61"/>
      <c r="F52" s="374">
        <f>C52-D52</f>
        <v>42.933000000000007</v>
      </c>
      <c r="G52" s="126">
        <f>IF(D52=0,0,C52/D52-1)</f>
        <v>0.5926370713930762</v>
      </c>
      <c r="H52" s="1205"/>
      <c r="I52" s="432">
        <v>121.05196221461433</v>
      </c>
      <c r="J52" s="932"/>
      <c r="K52" s="374">
        <f>C52-I52</f>
        <v>-5.6749622146143253</v>
      </c>
      <c r="L52" s="1204">
        <f>IF(I52=0,"NM",C52/I52-1)</f>
        <v>-4.6880381869012E-2</v>
      </c>
      <c r="O52" s="2"/>
    </row>
    <row r="53" spans="1:17" ht="12.75" customHeight="1">
      <c r="A53" s="61" t="s">
        <v>131</v>
      </c>
      <c r="B53" s="61"/>
      <c r="C53" s="373">
        <f>-0.5*C18</f>
        <v>-27.159500000000008</v>
      </c>
      <c r="D53" s="365">
        <f>D29</f>
        <v>24.173999999999999</v>
      </c>
      <c r="E53" s="61"/>
      <c r="F53" s="374">
        <f>C53-D53</f>
        <v>-51.333500000000008</v>
      </c>
      <c r="G53" s="126">
        <f>IF(D53=0,0,C53/D53-1)</f>
        <v>-2.1235004550343346</v>
      </c>
      <c r="H53" s="2"/>
      <c r="I53" s="432">
        <v>0</v>
      </c>
      <c r="J53" s="1103"/>
      <c r="K53" s="374">
        <f>C53-I53</f>
        <v>-27.159500000000008</v>
      </c>
      <c r="L53" s="1204" t="str">
        <f>IF(I53=0,"NM",C53/I53-1)</f>
        <v>NM</v>
      </c>
      <c r="O53" s="2"/>
    </row>
    <row r="54" spans="1:17" ht="4.5" customHeight="1">
      <c r="A54" s="964"/>
      <c r="B54" s="2"/>
      <c r="C54" s="453" t="s">
        <v>343</v>
      </c>
      <c r="D54" s="452" t="s">
        <v>343</v>
      </c>
      <c r="E54" s="96" t="s">
        <v>343</v>
      </c>
      <c r="F54" s="452" t="s">
        <v>343</v>
      </c>
      <c r="G54" s="1251" t="s">
        <v>343</v>
      </c>
      <c r="H54" s="2" t="s">
        <v>343</v>
      </c>
      <c r="I54" s="453" t="s">
        <v>343</v>
      </c>
      <c r="J54" s="96" t="s">
        <v>343</v>
      </c>
      <c r="K54" s="452" t="s">
        <v>343</v>
      </c>
      <c r="L54" s="1252" t="s">
        <v>343</v>
      </c>
      <c r="N54" s="1102"/>
      <c r="O54" s="1102"/>
    </row>
    <row r="55" spans="1:17" ht="12.75" customHeight="1">
      <c r="A55" s="1" t="s">
        <v>743</v>
      </c>
      <c r="B55" s="2"/>
      <c r="C55" s="1242">
        <f>SUM(C52:C53)</f>
        <v>88.217500000000001</v>
      </c>
      <c r="D55" s="1253">
        <f>SUM(D52:D53)</f>
        <v>96.617999999999995</v>
      </c>
      <c r="E55" s="61"/>
      <c r="F55" s="374">
        <f>C55-D55</f>
        <v>-8.4004999999999939</v>
      </c>
      <c r="G55" s="126">
        <f>IF(D55=0,0,C55/D55-1)</f>
        <v>-8.6945496698337732E-2</v>
      </c>
      <c r="H55" s="2"/>
      <c r="I55" s="1243">
        <v>121.05196221461433</v>
      </c>
      <c r="J55" s="1103"/>
      <c r="K55" s="1241">
        <f>C55-I55</f>
        <v>-32.834462214614334</v>
      </c>
      <c r="L55" s="1204">
        <f>IF(I55=0,"NM",C55/I55-1)</f>
        <v>-0.27124270944407958</v>
      </c>
      <c r="O55" s="1102">
        <v>117.3</v>
      </c>
    </row>
    <row r="56" spans="1:17" ht="4.5" customHeight="1">
      <c r="A56" s="2"/>
      <c r="B56" s="2"/>
      <c r="C56" s="144"/>
      <c r="D56" s="1062"/>
      <c r="E56" s="61"/>
      <c r="F56" s="2"/>
      <c r="G56" s="2"/>
      <c r="H56" s="2"/>
      <c r="I56" s="144"/>
      <c r="J56" s="2"/>
      <c r="K56" s="2"/>
      <c r="L56" s="2"/>
      <c r="O56" s="2"/>
    </row>
    <row r="57" spans="1:17" ht="6" customHeight="1">
      <c r="A57" s="2"/>
      <c r="B57" s="2"/>
      <c r="C57" s="2"/>
      <c r="D57" s="1062"/>
      <c r="E57" s="2"/>
      <c r="F57" s="2"/>
      <c r="G57" s="2"/>
      <c r="H57" s="2"/>
      <c r="I57" s="2"/>
      <c r="J57" s="2"/>
      <c r="K57" s="2"/>
      <c r="L57" s="2"/>
      <c r="O57" s="2"/>
    </row>
    <row r="58" spans="1:17" ht="12.75" customHeight="1">
      <c r="A58" s="2"/>
      <c r="B58" s="2"/>
      <c r="C58" s="2"/>
      <c r="D58" s="1062"/>
      <c r="E58" s="2"/>
      <c r="F58" s="2"/>
      <c r="G58" s="2"/>
      <c r="H58" s="2"/>
      <c r="I58" s="2"/>
      <c r="J58" s="2"/>
      <c r="K58" s="2"/>
      <c r="L58" s="2"/>
      <c r="O58" s="2"/>
    </row>
    <row r="59" spans="1:17" ht="12.75" customHeight="1">
      <c r="A59" s="2"/>
      <c r="B59" s="2"/>
      <c r="C59" s="2"/>
      <c r="D59" s="1062"/>
      <c r="E59" s="2"/>
      <c r="F59" s="2"/>
      <c r="G59" s="2"/>
      <c r="H59" s="2"/>
      <c r="I59" s="2"/>
      <c r="J59" s="2"/>
      <c r="K59" s="2"/>
      <c r="L59" s="2"/>
      <c r="O59" s="2"/>
    </row>
    <row r="60" spans="1:17" ht="12.75" customHeight="1">
      <c r="A60" s="2"/>
      <c r="B60" s="2"/>
      <c r="C60" s="2"/>
      <c r="D60" s="1062"/>
      <c r="E60" s="2"/>
      <c r="F60" s="2"/>
      <c r="G60" s="2"/>
      <c r="H60" s="2"/>
      <c r="I60" s="2"/>
      <c r="J60" s="2"/>
      <c r="K60" s="2"/>
      <c r="L60" s="2"/>
      <c r="O60" s="2"/>
    </row>
    <row r="61" spans="1:17" ht="12.75" customHeight="1">
      <c r="A61" s="2"/>
      <c r="B61" s="2"/>
      <c r="C61" s="2"/>
      <c r="D61" s="1062"/>
      <c r="E61" s="2"/>
      <c r="F61" s="2"/>
      <c r="G61" s="2"/>
      <c r="H61" s="2"/>
      <c r="I61" s="2"/>
      <c r="J61" s="2"/>
      <c r="K61" s="2"/>
      <c r="L61" s="2"/>
      <c r="O61" s="2"/>
    </row>
    <row r="62" spans="1:17" ht="12.75" customHeight="1">
      <c r="A62" s="2"/>
      <c r="B62" s="2"/>
      <c r="C62" s="2"/>
      <c r="D62" s="1062"/>
      <c r="E62" s="2"/>
      <c r="F62" s="2"/>
      <c r="G62" s="2"/>
      <c r="H62" s="2"/>
      <c r="I62" s="2"/>
      <c r="J62" s="2"/>
      <c r="K62" s="2"/>
      <c r="L62" s="2"/>
      <c r="O62" s="2"/>
    </row>
    <row r="63" spans="1:17" ht="12.75" customHeight="1">
      <c r="A63" s="2"/>
      <c r="B63" s="2"/>
      <c r="C63" s="2"/>
      <c r="D63" s="1062"/>
      <c r="E63" s="2"/>
      <c r="F63" s="2"/>
      <c r="G63" s="2"/>
      <c r="H63" s="2"/>
      <c r="I63" s="2"/>
      <c r="J63" s="2"/>
      <c r="K63" s="2"/>
      <c r="L63" s="2"/>
      <c r="N63" s="69" t="s">
        <v>318</v>
      </c>
      <c r="P63" s="2"/>
      <c r="Q63" s="2"/>
    </row>
    <row r="64" spans="1:17" ht="12.75" customHeight="1">
      <c r="A64" s="2"/>
      <c r="B64" s="2"/>
      <c r="C64" s="2"/>
      <c r="D64" s="1062"/>
      <c r="E64" s="2"/>
      <c r="F64" s="2"/>
      <c r="G64" s="2"/>
      <c r="H64" s="2"/>
      <c r="I64" s="2"/>
      <c r="J64" s="2"/>
      <c r="K64" s="2"/>
      <c r="L64" s="2"/>
      <c r="N64" s="2" t="s">
        <v>319</v>
      </c>
      <c r="O64" s="2" t="s">
        <v>320</v>
      </c>
      <c r="P64" s="2" t="s">
        <v>321</v>
      </c>
      <c r="Q64" s="98">
        <v>62.5</v>
      </c>
    </row>
    <row r="65" spans="1:17" ht="12.75" customHeight="1">
      <c r="A65" s="2"/>
      <c r="B65" s="2"/>
      <c r="C65" s="2"/>
      <c r="D65" s="1062"/>
      <c r="E65" s="2"/>
      <c r="F65" s="2"/>
      <c r="G65" s="2"/>
      <c r="H65" s="2"/>
      <c r="I65" s="2"/>
      <c r="J65" s="2"/>
      <c r="K65" s="2"/>
      <c r="L65" s="2"/>
      <c r="N65" s="2"/>
      <c r="O65" s="2" t="s">
        <v>322</v>
      </c>
      <c r="P65" s="2" t="s">
        <v>321</v>
      </c>
      <c r="Q65" s="98">
        <v>87.5</v>
      </c>
    </row>
    <row r="66" spans="1:17" ht="12.75" customHeight="1">
      <c r="A66" s="2"/>
      <c r="B66" s="2"/>
      <c r="C66" s="2"/>
      <c r="D66" s="1062"/>
      <c r="E66" s="2"/>
      <c r="F66" s="2"/>
      <c r="G66" s="2"/>
      <c r="H66" s="2"/>
      <c r="I66" s="2"/>
      <c r="J66" s="2"/>
      <c r="K66" s="2"/>
      <c r="L66" s="2"/>
      <c r="N66" s="2"/>
      <c r="O66" s="2" t="s">
        <v>323</v>
      </c>
      <c r="P66" s="2" t="s">
        <v>321</v>
      </c>
      <c r="Q66" s="98">
        <v>100</v>
      </c>
    </row>
    <row r="67" spans="1:17" ht="12.75" customHeight="1">
      <c r="A67" s="2"/>
      <c r="B67" s="2"/>
      <c r="C67" s="2"/>
      <c r="D67" s="1062"/>
      <c r="E67" s="2"/>
      <c r="F67" s="2"/>
      <c r="G67" s="2"/>
      <c r="H67" s="2"/>
      <c r="I67" s="2"/>
      <c r="J67" s="2"/>
      <c r="K67" s="2"/>
      <c r="L67" s="2"/>
      <c r="N67" s="2"/>
      <c r="O67" s="2" t="s">
        <v>324</v>
      </c>
      <c r="P67" s="2" t="s">
        <v>321</v>
      </c>
      <c r="Q67" s="98">
        <v>112.5</v>
      </c>
    </row>
    <row r="68" spans="1:17" ht="12.75" customHeight="1">
      <c r="A68" s="2"/>
      <c r="B68" s="2"/>
      <c r="C68" s="2"/>
      <c r="D68" s="1062"/>
      <c r="E68" s="2"/>
      <c r="F68" s="2"/>
      <c r="G68" s="2"/>
      <c r="H68" s="2"/>
      <c r="I68" s="2"/>
      <c r="J68" s="2"/>
      <c r="K68" s="2"/>
      <c r="L68" s="2"/>
      <c r="N68" s="2"/>
      <c r="O68" s="2" t="s">
        <v>325</v>
      </c>
      <c r="P68" s="2" t="s">
        <v>321</v>
      </c>
      <c r="Q68" s="98">
        <v>137.5</v>
      </c>
    </row>
    <row r="69" spans="1:17" ht="12.75" customHeight="1">
      <c r="A69" s="2"/>
      <c r="B69" s="2"/>
      <c r="C69" s="2"/>
      <c r="D69" s="1062"/>
      <c r="E69" s="2"/>
      <c r="F69" s="2"/>
      <c r="G69" s="2"/>
      <c r="H69" s="2"/>
      <c r="I69" s="2"/>
      <c r="J69" s="2"/>
      <c r="K69" s="2"/>
      <c r="L69" s="2"/>
      <c r="N69" s="2"/>
      <c r="O69" s="2" t="s">
        <v>326</v>
      </c>
      <c r="P69" s="2" t="s">
        <v>321</v>
      </c>
      <c r="Q69" s="98">
        <v>162.5</v>
      </c>
    </row>
  </sheetData>
  <phoneticPr fontId="10" type="noConversion"/>
  <pageMargins left="0.75" right="0.75" top="1" bottom="1" header="0.5" footer="0.5"/>
  <pageSetup scale="92" orientation="portrait" horizontalDpi="1200" verticalDpi="1200" r:id="rId1"/>
  <headerFooter alignWithMargins="0"/>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Q69"/>
  <sheetViews>
    <sheetView zoomScale="85" zoomScaleNormal="85" workbookViewId="0"/>
  </sheetViews>
  <sheetFormatPr defaultRowHeight="12.75" customHeight="1"/>
  <cols>
    <col min="1" max="1" width="21.5" customWidth="1"/>
    <col min="2" max="2" width="1.5" customWidth="1"/>
    <col min="5" max="5" width="1.5" customWidth="1"/>
    <col min="8" max="8" width="1.5" customWidth="1"/>
    <col min="10" max="10" width="1.5" customWidth="1"/>
    <col min="16" max="16" width="3.25" customWidth="1"/>
  </cols>
  <sheetData>
    <row r="1" spans="1:16" ht="12.75" customHeight="1">
      <c r="A1" s="1" t="s">
        <v>629</v>
      </c>
      <c r="B1" s="2"/>
      <c r="C1" s="2"/>
      <c r="D1" s="1062"/>
      <c r="E1" s="2"/>
      <c r="F1" s="2"/>
      <c r="G1" s="2"/>
      <c r="H1" s="2"/>
      <c r="I1" s="2"/>
      <c r="J1" s="2"/>
      <c r="K1" s="2"/>
      <c r="L1" s="2"/>
      <c r="O1" s="2"/>
    </row>
    <row r="2" spans="1:16" ht="12.75" customHeight="1">
      <c r="A2" s="1" t="s">
        <v>1224</v>
      </c>
      <c r="B2" s="2"/>
      <c r="C2" s="2"/>
      <c r="D2" s="1062"/>
      <c r="E2" s="2"/>
      <c r="F2" s="2"/>
      <c r="G2" s="2"/>
      <c r="H2" s="2"/>
      <c r="I2" s="2"/>
      <c r="J2" s="2"/>
      <c r="K2" s="2"/>
      <c r="L2" s="2"/>
      <c r="O2" s="2"/>
    </row>
    <row r="3" spans="1:16" ht="12.75" customHeight="1">
      <c r="A3" s="2" t="s">
        <v>1225</v>
      </c>
      <c r="B3" s="2"/>
      <c r="C3" s="2"/>
      <c r="D3" s="1062"/>
      <c r="E3" s="2"/>
      <c r="F3" s="2"/>
      <c r="G3" s="2"/>
      <c r="H3" s="2"/>
      <c r="I3" s="2"/>
      <c r="J3" s="2"/>
      <c r="K3" s="2"/>
      <c r="L3" s="2"/>
      <c r="O3" s="2"/>
    </row>
    <row r="4" spans="1:16" ht="12.75" customHeight="1">
      <c r="A4" s="2"/>
      <c r="B4" s="2"/>
      <c r="C4" s="1195" t="s">
        <v>818</v>
      </c>
      <c r="D4" s="1310"/>
      <c r="E4" s="1196"/>
      <c r="F4" s="1196"/>
      <c r="G4" s="1196"/>
      <c r="H4" s="2"/>
      <c r="I4" s="1195" t="s">
        <v>1504</v>
      </c>
      <c r="J4" s="1197"/>
      <c r="K4" s="1196"/>
      <c r="L4" s="1196"/>
      <c r="O4" s="73" t="s">
        <v>1030</v>
      </c>
    </row>
    <row r="5" spans="1:16" ht="12.75" customHeight="1">
      <c r="A5" s="2"/>
      <c r="B5" s="2"/>
      <c r="C5" s="1198"/>
      <c r="D5" s="77"/>
      <c r="E5" s="2"/>
      <c r="F5" s="1197" t="s">
        <v>1505</v>
      </c>
      <c r="G5" s="1197"/>
      <c r="H5" s="2"/>
      <c r="I5" s="1198"/>
      <c r="J5" s="61"/>
      <c r="K5" s="1197" t="s">
        <v>1505</v>
      </c>
      <c r="L5" s="1197"/>
      <c r="O5" s="2"/>
    </row>
    <row r="6" spans="1:16" ht="12.75" customHeight="1">
      <c r="A6" s="61"/>
      <c r="B6" s="2"/>
      <c r="C6" s="1199" t="s">
        <v>612</v>
      </c>
      <c r="D6" s="1308" t="s">
        <v>574</v>
      </c>
      <c r="E6" s="70"/>
      <c r="F6" s="73" t="s">
        <v>658</v>
      </c>
      <c r="G6" s="73" t="s">
        <v>740</v>
      </c>
      <c r="H6" s="2"/>
      <c r="I6" s="1199" t="s">
        <v>1181</v>
      </c>
      <c r="J6" s="70"/>
      <c r="K6" s="73" t="s">
        <v>658</v>
      </c>
      <c r="L6" s="73" t="s">
        <v>740</v>
      </c>
      <c r="O6" s="2"/>
    </row>
    <row r="7" spans="1:16" ht="12.75" customHeight="1">
      <c r="A7" s="1" t="s">
        <v>741</v>
      </c>
      <c r="B7" s="2"/>
      <c r="C7" s="112"/>
      <c r="D7" s="77"/>
      <c r="E7" s="2"/>
      <c r="F7" s="2"/>
      <c r="G7" s="2"/>
      <c r="H7" s="2"/>
      <c r="I7" s="112"/>
      <c r="J7" s="61"/>
      <c r="K7" s="2"/>
      <c r="L7" s="2"/>
      <c r="O7" s="2"/>
    </row>
    <row r="8" spans="1:16" ht="12.75" customHeight="1">
      <c r="A8" s="334" t="s">
        <v>514</v>
      </c>
      <c r="B8" s="2"/>
      <c r="C8" s="1201">
        <f>BYD!AI10</f>
        <v>153.078</v>
      </c>
      <c r="D8" s="858">
        <f>BYD!AD10</f>
        <v>166.12700000000001</v>
      </c>
      <c r="E8" s="1202"/>
      <c r="F8" s="1205">
        <f>C8-D8</f>
        <v>-13.049000000000007</v>
      </c>
      <c r="G8" s="126">
        <f>IF(D8=0,0,C8/D8-1)</f>
        <v>-7.8548339523376698E-2</v>
      </c>
      <c r="H8" s="1205"/>
      <c r="I8" s="1207">
        <v>158.651285</v>
      </c>
      <c r="J8" s="1202"/>
      <c r="K8" s="313">
        <f>C8-I8</f>
        <v>-5.5732849999999985</v>
      </c>
      <c r="L8" s="1204">
        <f>IF(I8=0,"NM",C8/I8-1)</f>
        <v>-3.5129151333378683E-2</v>
      </c>
      <c r="O8" s="2"/>
    </row>
    <row r="9" spans="1:16" ht="12.75" customHeight="1">
      <c r="A9" s="334" t="s">
        <v>515</v>
      </c>
      <c r="B9" s="61"/>
      <c r="C9" s="146">
        <f>BYD!AI11</f>
        <v>55.183</v>
      </c>
      <c r="D9" s="104">
        <f>BYD!AD11</f>
        <v>57.576999999999998</v>
      </c>
      <c r="E9" s="1103"/>
      <c r="F9" s="374">
        <f>C9-D9</f>
        <v>-2.3939999999999984</v>
      </c>
      <c r="G9" s="95">
        <f>IF(D9=0,0,C9/D9-1)</f>
        <v>-4.1579102766729714E-2</v>
      </c>
      <c r="H9" s="61"/>
      <c r="I9" s="1104">
        <v>54.698149999999998</v>
      </c>
      <c r="J9" s="1103"/>
      <c r="K9" s="374">
        <f>C9-I9</f>
        <v>0.48485000000000156</v>
      </c>
      <c r="L9" s="92">
        <f>IF(I9=0,"NM",C9/I9-1)</f>
        <v>8.8641023508106986E-3</v>
      </c>
      <c r="O9" s="2"/>
    </row>
    <row r="10" spans="1:16" ht="12.75" customHeight="1">
      <c r="A10" s="334" t="s">
        <v>516</v>
      </c>
      <c r="B10" s="61"/>
      <c r="C10" s="146">
        <f>BYD!AI13</f>
        <v>181.71899999999999</v>
      </c>
      <c r="D10" s="104">
        <f>BYD!AD13</f>
        <v>199.24600000000001</v>
      </c>
      <c r="E10" s="1103"/>
      <c r="F10" s="374">
        <f>C10-D10</f>
        <v>-17.527000000000015</v>
      </c>
      <c r="G10" s="95">
        <f>IF(D10=0,0,C10/D10-1)</f>
        <v>-8.7966634210975503E-2</v>
      </c>
      <c r="H10" s="61"/>
      <c r="I10" s="1104">
        <v>193.57880301779997</v>
      </c>
      <c r="J10" s="1103"/>
      <c r="K10" s="374">
        <f>C10-I10</f>
        <v>-11.859803017799976</v>
      </c>
      <c r="L10" s="92">
        <f>IF(I10=0,"NM",C10/I10-1)</f>
        <v>-6.1266021035936702E-2</v>
      </c>
      <c r="O10" s="2"/>
    </row>
    <row r="11" spans="1:16" ht="12.75" customHeight="1">
      <c r="A11" s="334" t="s">
        <v>273</v>
      </c>
      <c r="B11" s="61"/>
      <c r="C11" s="146">
        <f>BYD!AI906</f>
        <v>186.892</v>
      </c>
      <c r="D11" s="104"/>
      <c r="E11" s="1103"/>
      <c r="F11" s="374"/>
      <c r="G11" s="95"/>
      <c r="H11" s="61"/>
      <c r="I11" s="1104">
        <v>193.4</v>
      </c>
      <c r="J11" s="1103"/>
      <c r="K11" s="374">
        <f>C11-I11</f>
        <v>-6.5080000000000098</v>
      </c>
      <c r="L11" s="92">
        <f>IF(I11=0,"NM",C11/I11-1)</f>
        <v>-3.3650465356773629E-2</v>
      </c>
      <c r="O11" s="2"/>
    </row>
    <row r="12" spans="1:16" ht="12.75" customHeight="1">
      <c r="A12" s="138" t="s">
        <v>813</v>
      </c>
      <c r="B12" s="1203"/>
      <c r="C12" s="1209">
        <f>SUM(C8:C11)</f>
        <v>576.87200000000007</v>
      </c>
      <c r="D12" s="1210">
        <f>SUM(D8:D11)</f>
        <v>422.95000000000005</v>
      </c>
      <c r="E12" s="1210"/>
      <c r="F12" s="1210">
        <f>SUM(F8:F10)</f>
        <v>-32.97000000000002</v>
      </c>
      <c r="G12" s="1208">
        <f>IF(D12=0,0,C12/D12-1)</f>
        <v>0.36392481380777864</v>
      </c>
      <c r="H12" s="1206"/>
      <c r="I12" s="1250">
        <v>600.3282380178</v>
      </c>
      <c r="J12" s="1210"/>
      <c r="K12" s="1210">
        <f>SUM(K8:K10)</f>
        <v>-16.948238017799973</v>
      </c>
      <c r="L12" s="1211">
        <f>C12/I12-1</f>
        <v>-3.9072354975753232E-2</v>
      </c>
      <c r="O12" s="1102">
        <v>547.70000000000005</v>
      </c>
      <c r="P12" s="1299" t="s">
        <v>132</v>
      </c>
    </row>
    <row r="13" spans="1:16" ht="12.75" customHeight="1">
      <c r="A13" s="61"/>
      <c r="B13" s="61"/>
      <c r="C13" s="112"/>
      <c r="D13" s="77"/>
      <c r="E13" s="61"/>
      <c r="F13" s="61"/>
      <c r="G13" s="1139"/>
      <c r="H13" s="61"/>
      <c r="I13" s="115"/>
      <c r="J13" s="61"/>
      <c r="K13" s="61"/>
      <c r="L13" s="1212"/>
      <c r="O13" s="2"/>
    </row>
    <row r="14" spans="1:16" ht="12.75" customHeight="1">
      <c r="A14" s="107" t="s">
        <v>401</v>
      </c>
      <c r="B14" s="61"/>
      <c r="C14" s="112"/>
      <c r="D14" s="77"/>
      <c r="E14" s="61"/>
      <c r="F14" s="61"/>
      <c r="G14" s="1139"/>
      <c r="H14" s="61"/>
      <c r="I14" s="115"/>
      <c r="J14" s="61"/>
      <c r="K14" s="61"/>
      <c r="L14" s="1212"/>
      <c r="O14" s="2"/>
    </row>
    <row r="15" spans="1:16" ht="12.75" customHeight="1">
      <c r="A15" s="334" t="s">
        <v>514</v>
      </c>
      <c r="B15" s="61"/>
      <c r="C15" s="146">
        <f>BYD!AI38</f>
        <v>36.81</v>
      </c>
      <c r="D15" s="104">
        <f>BYD!AD38</f>
        <v>43.917000000000002</v>
      </c>
      <c r="E15" s="1103"/>
      <c r="F15" s="374">
        <f>C15-D15</f>
        <v>-7.1069999999999993</v>
      </c>
      <c r="G15" s="95">
        <f t="shared" ref="G15:G20" si="0">IF(D15=0,0,C15/D15-1)</f>
        <v>-0.16182799371541767</v>
      </c>
      <c r="H15" s="61"/>
      <c r="I15" s="1104">
        <v>39.496534999999994</v>
      </c>
      <c r="J15" s="1103"/>
      <c r="K15" s="374">
        <f>C15-I15</f>
        <v>-2.6865349999999921</v>
      </c>
      <c r="L15" s="92">
        <f>IF(I15=0,"NM",C15/I15-1)</f>
        <v>-6.8019511078629913E-2</v>
      </c>
      <c r="O15" s="2"/>
    </row>
    <row r="16" spans="1:16" ht="12.75" customHeight="1">
      <c r="A16" s="334" t="s">
        <v>515</v>
      </c>
      <c r="B16" s="61"/>
      <c r="C16" s="146">
        <f>BYD!AI39</f>
        <v>9.31</v>
      </c>
      <c r="D16" s="104">
        <f>BYD!AD39</f>
        <v>11.8</v>
      </c>
      <c r="E16" s="1103"/>
      <c r="F16" s="374">
        <f>C16-D16</f>
        <v>-2.4900000000000002</v>
      </c>
      <c r="G16" s="95">
        <f t="shared" si="0"/>
        <v>-0.21101694915254243</v>
      </c>
      <c r="H16" s="61"/>
      <c r="I16" s="1104">
        <v>9.1500349999999955</v>
      </c>
      <c r="J16" s="1103"/>
      <c r="K16" s="374">
        <f>C16-I16</f>
        <v>0.15996500000000502</v>
      </c>
      <c r="L16" s="92">
        <f>IF(I16=0,"NM",C16/I16-1)</f>
        <v>1.7482446788455563E-2</v>
      </c>
      <c r="O16" s="2"/>
    </row>
    <row r="17" spans="1:15" ht="12.75" customHeight="1">
      <c r="A17" s="334" t="s">
        <v>516</v>
      </c>
      <c r="B17" s="61"/>
      <c r="C17" s="146">
        <f>BYD!AI41</f>
        <v>35.590000000000003</v>
      </c>
      <c r="D17" s="104">
        <f>BYD!AD41</f>
        <v>44.253</v>
      </c>
      <c r="E17" s="1103"/>
      <c r="F17" s="374">
        <f>C17-D17</f>
        <v>-8.6629999999999967</v>
      </c>
      <c r="G17" s="95">
        <f t="shared" si="0"/>
        <v>-0.19576073938490035</v>
      </c>
      <c r="H17" s="61"/>
      <c r="I17" s="1104">
        <v>40.910698017799973</v>
      </c>
      <c r="J17" s="1103"/>
      <c r="K17" s="374">
        <f>C17-I17</f>
        <v>-5.3206980177999696</v>
      </c>
      <c r="L17" s="92">
        <f>IF(I17=0,"NM",C17/I17-1)</f>
        <v>-0.13005639785185208</v>
      </c>
      <c r="O17" s="2"/>
    </row>
    <row r="18" spans="1:15" ht="12.75" customHeight="1">
      <c r="A18" s="334" t="s">
        <v>273</v>
      </c>
      <c r="B18" s="61"/>
      <c r="C18" s="146">
        <f>BYD!AI927</f>
        <v>42.960000000000008</v>
      </c>
      <c r="D18" s="104"/>
      <c r="E18" s="1103"/>
      <c r="F18" s="374"/>
      <c r="G18" s="95"/>
      <c r="H18" s="61"/>
      <c r="I18" s="1104">
        <v>45.7</v>
      </c>
      <c r="J18" s="1103"/>
      <c r="K18" s="374">
        <f>C18-I18</f>
        <v>-2.7399999999999949</v>
      </c>
      <c r="L18" s="92">
        <f>IF(I18=0,"NM",C18/I18-1)</f>
        <v>-5.9956236323851053E-2</v>
      </c>
      <c r="O18" s="2"/>
    </row>
    <row r="19" spans="1:15" ht="12.75" customHeight="1">
      <c r="A19" s="138" t="s">
        <v>819</v>
      </c>
      <c r="B19" s="1203"/>
      <c r="C19" s="1209">
        <f>SUM(C15:C18)</f>
        <v>124.67000000000002</v>
      </c>
      <c r="D19" s="1210">
        <f>SUM(D15:D18)</f>
        <v>99.97</v>
      </c>
      <c r="E19" s="1210"/>
      <c r="F19" s="1210">
        <f>SUM(F15:F17)</f>
        <v>-18.259999999999998</v>
      </c>
      <c r="G19" s="1208">
        <f t="shared" si="0"/>
        <v>0.24707412223667125</v>
      </c>
      <c r="H19" s="1206"/>
      <c r="I19" s="1250">
        <v>135.25726801779996</v>
      </c>
      <c r="J19" s="1210"/>
      <c r="K19" s="1210">
        <f>SUM(K15:K17)</f>
        <v>-7.8472680177999568</v>
      </c>
      <c r="L19" s="1211">
        <f>C19/I19-1</f>
        <v>-7.8275039655589129E-2</v>
      </c>
      <c r="O19" s="2"/>
    </row>
    <row r="20" spans="1:15" ht="12.75" customHeight="1">
      <c r="A20" s="2" t="s">
        <v>742</v>
      </c>
      <c r="B20" s="2"/>
      <c r="C20" s="146">
        <f>BYD!AI54</f>
        <v>-11.170999999999999</v>
      </c>
      <c r="D20" s="104">
        <f>BYD!AD54</f>
        <v>-8.2159999999999993</v>
      </c>
      <c r="E20" s="1103"/>
      <c r="F20" s="374">
        <f>C20-D20</f>
        <v>-2.9550000000000001</v>
      </c>
      <c r="G20" s="126">
        <f t="shared" si="0"/>
        <v>0.3596640701071081</v>
      </c>
      <c r="H20" s="2"/>
      <c r="I20" s="1104">
        <v>-10</v>
      </c>
      <c r="J20" s="1103"/>
      <c r="K20" s="374">
        <f>C20-I20</f>
        <v>-1.1709999999999994</v>
      </c>
      <c r="L20" s="1204">
        <f>IF(I20=0,"NM",C20/I20-1)</f>
        <v>0.11709999999999998</v>
      </c>
      <c r="O20" s="2"/>
    </row>
    <row r="21" spans="1:15" ht="12.75" customHeight="1">
      <c r="A21" s="138" t="s">
        <v>555</v>
      </c>
      <c r="B21" s="1203"/>
      <c r="C21" s="1209">
        <f>C19+C20</f>
        <v>113.49900000000002</v>
      </c>
      <c r="D21" s="1210">
        <f>D19+D20</f>
        <v>91.754000000000005</v>
      </c>
      <c r="E21" s="1210"/>
      <c r="F21" s="1210">
        <f>F19+F20</f>
        <v>-21.214999999999996</v>
      </c>
      <c r="G21" s="1208">
        <f>G19+G20</f>
        <v>0.60673819234377935</v>
      </c>
      <c r="H21" s="1210"/>
      <c r="I21" s="1250">
        <v>125.25726801779996</v>
      </c>
      <c r="J21" s="1210"/>
      <c r="K21" s="1210">
        <f>K19+K20</f>
        <v>-9.0182680177999561</v>
      </c>
      <c r="L21" s="1254">
        <f>L19-L20</f>
        <v>-0.19537503965558911</v>
      </c>
      <c r="M21" s="1238"/>
      <c r="O21" s="2"/>
    </row>
    <row r="22" spans="1:15" ht="12.75" customHeight="1">
      <c r="A22" s="439" t="s">
        <v>1745</v>
      </c>
      <c r="B22" s="2"/>
      <c r="C22" s="373">
        <f>BYD!AI65</f>
        <v>2.8719999999999999</v>
      </c>
      <c r="D22" s="374">
        <f>BYD!AD65</f>
        <v>3.5059999999999998</v>
      </c>
      <c r="E22" s="1103"/>
      <c r="F22" s="374">
        <f>C22-D22</f>
        <v>-0.6339999999999999</v>
      </c>
      <c r="G22" s="126">
        <f t="shared" ref="G22:G34" si="1">IF(D22=0,0,C22/D22-1)</f>
        <v>-0.18083285795778659</v>
      </c>
      <c r="H22" s="2"/>
      <c r="I22" s="432">
        <v>2.7</v>
      </c>
      <c r="J22" s="1103"/>
      <c r="K22" s="374">
        <f t="shared" ref="K22:K34" si="2">C22-I22</f>
        <v>0.17199999999999971</v>
      </c>
      <c r="L22" s="1204">
        <f>IF(I22=0,"NM",C22/I22-1)</f>
        <v>6.3703703703703596E-2</v>
      </c>
      <c r="O22" s="2"/>
    </row>
    <row r="23" spans="1:15" ht="12.75" customHeight="1">
      <c r="A23" s="439" t="s">
        <v>201</v>
      </c>
      <c r="B23" s="2"/>
      <c r="C23" s="373">
        <f>BYD!AI66</f>
        <v>1.0669999999999999</v>
      </c>
      <c r="D23" s="374">
        <f>BYD!AD66</f>
        <v>1.0880000000000001</v>
      </c>
      <c r="E23" s="1103"/>
      <c r="F23" s="374">
        <f>C23-D23</f>
        <v>-2.100000000000013E-2</v>
      </c>
      <c r="G23" s="126">
        <f t="shared" si="1"/>
        <v>-1.9301470588235392E-2</v>
      </c>
      <c r="H23" s="2"/>
      <c r="I23" s="432">
        <v>1.0680000000000001</v>
      </c>
      <c r="J23" s="1103"/>
      <c r="K23" s="374">
        <f t="shared" si="2"/>
        <v>-1.0000000000001119E-3</v>
      </c>
      <c r="L23" s="1204">
        <f>IF(I23=0,"NM",C23/I23-1)</f>
        <v>-9.3632958801503907E-4</v>
      </c>
      <c r="O23" s="2"/>
    </row>
    <row r="24" spans="1:15" ht="12.75" customHeight="1">
      <c r="A24" s="1693" t="s">
        <v>202</v>
      </c>
      <c r="B24" s="2"/>
      <c r="C24" s="373">
        <f>BYD!AI67</f>
        <v>55.408000000000001</v>
      </c>
      <c r="D24" s="374">
        <f>BYD!AD67</f>
        <v>42.417999999999999</v>
      </c>
      <c r="E24" s="1103"/>
      <c r="F24" s="374">
        <f>C24-D24</f>
        <v>12.990000000000002</v>
      </c>
      <c r="G24" s="126">
        <f t="shared" si="1"/>
        <v>0.30623791786505739</v>
      </c>
      <c r="H24" s="2"/>
      <c r="I24" s="432">
        <v>57</v>
      </c>
      <c r="J24" s="1103"/>
      <c r="K24" s="374">
        <f t="shared" si="2"/>
        <v>-1.5919999999999987</v>
      </c>
      <c r="L24" s="1204">
        <f>IF(I24=0,"NM",C24/I24-1)</f>
        <v>-2.7929824561403471E-2</v>
      </c>
      <c r="O24" s="2"/>
    </row>
    <row r="25" spans="1:15" ht="4.5" customHeight="1">
      <c r="A25" s="964"/>
      <c r="B25" s="2"/>
      <c r="C25" s="453" t="s">
        <v>343</v>
      </c>
      <c r="D25" s="452" t="s">
        <v>343</v>
      </c>
      <c r="E25" s="96" t="s">
        <v>343</v>
      </c>
      <c r="F25" s="452" t="s">
        <v>343</v>
      </c>
      <c r="G25" s="1251" t="s">
        <v>343</v>
      </c>
      <c r="H25" s="2" t="s">
        <v>343</v>
      </c>
      <c r="I25" s="453" t="s">
        <v>343</v>
      </c>
      <c r="J25" s="96" t="s">
        <v>343</v>
      </c>
      <c r="K25" s="452" t="s">
        <v>343</v>
      </c>
      <c r="L25" s="1252" t="s">
        <v>343</v>
      </c>
      <c r="N25" s="1102"/>
      <c r="O25" s="1102"/>
    </row>
    <row r="26" spans="1:15" ht="12.75" customHeight="1">
      <c r="A26" s="1" t="s">
        <v>744</v>
      </c>
      <c r="B26" s="2"/>
      <c r="C26" s="1242">
        <f>C21-C22-C23-C24</f>
        <v>54.152000000000029</v>
      </c>
      <c r="D26" s="1241">
        <f>D21-D22-D23-D24</f>
        <v>44.742000000000012</v>
      </c>
      <c r="E26" s="932"/>
      <c r="F26" s="1241">
        <f>F21-F22-F23-F24</f>
        <v>-33.549999999999997</v>
      </c>
      <c r="G26" s="106">
        <f t="shared" si="1"/>
        <v>0.2103169281659294</v>
      </c>
      <c r="H26" s="1205"/>
      <c r="I26" s="1243">
        <v>64.489268017799958</v>
      </c>
      <c r="J26" s="932"/>
      <c r="K26" s="1241">
        <f t="shared" si="2"/>
        <v>-10.337268017799929</v>
      </c>
      <c r="L26" s="1214">
        <f>C26/I26-1</f>
        <v>-0.16029439216067232</v>
      </c>
      <c r="O26" s="2"/>
    </row>
    <row r="27" spans="1:15" ht="12.75" customHeight="1">
      <c r="A27" s="445" t="s">
        <v>1176</v>
      </c>
      <c r="B27" s="2"/>
      <c r="C27" s="373">
        <f>BYD!AI73</f>
        <v>-34.65</v>
      </c>
      <c r="D27" s="374">
        <f>BYD!AD73</f>
        <v>-36.234999999999999</v>
      </c>
      <c r="E27" s="932"/>
      <c r="F27" s="374">
        <f t="shared" ref="F27:F34" si="3">C27-D27</f>
        <v>1.5850000000000009</v>
      </c>
      <c r="G27" s="126">
        <f t="shared" si="1"/>
        <v>-4.3742238167517655E-2</v>
      </c>
      <c r="H27" s="1205"/>
      <c r="I27" s="432">
        <v>-31.1</v>
      </c>
      <c r="J27" s="932"/>
      <c r="K27" s="374">
        <f t="shared" si="2"/>
        <v>-3.5499999999999972</v>
      </c>
      <c r="L27" s="1204">
        <f>IF(I27=0,"NM",C27/I27-1)</f>
        <v>0.11414790996784552</v>
      </c>
      <c r="O27" s="2"/>
    </row>
    <row r="28" spans="1:15" ht="12.75" customHeight="1">
      <c r="A28" s="445" t="s">
        <v>203</v>
      </c>
      <c r="B28" s="2"/>
      <c r="C28" s="373">
        <f>BYD!AI74</f>
        <v>0</v>
      </c>
      <c r="D28" s="374">
        <f>BYD!AD74</f>
        <v>0</v>
      </c>
      <c r="E28" s="932"/>
      <c r="F28" s="374">
        <f t="shared" si="3"/>
        <v>0</v>
      </c>
      <c r="G28" s="126">
        <f t="shared" si="1"/>
        <v>0</v>
      </c>
      <c r="H28" s="1205"/>
      <c r="I28" s="432">
        <v>0</v>
      </c>
      <c r="J28" s="932"/>
      <c r="K28" s="374">
        <f t="shared" si="2"/>
        <v>0</v>
      </c>
      <c r="L28" s="1204" t="str">
        <f>IF(I28=0,"NM",C28/I28-1)</f>
        <v>NM</v>
      </c>
      <c r="O28" s="2"/>
    </row>
    <row r="29" spans="1:15" ht="12.75" customHeight="1">
      <c r="A29" s="445" t="s">
        <v>816</v>
      </c>
      <c r="B29" s="2"/>
      <c r="C29" s="373">
        <f>BYD!AI75</f>
        <v>0</v>
      </c>
      <c r="D29" s="374">
        <f>BYD!AD75</f>
        <v>13.843999999999999</v>
      </c>
      <c r="E29" s="932"/>
      <c r="F29" s="374">
        <f t="shared" si="3"/>
        <v>-13.843999999999999</v>
      </c>
      <c r="G29" s="126">
        <f t="shared" si="1"/>
        <v>-1</v>
      </c>
      <c r="H29" s="1205"/>
      <c r="I29" s="432">
        <v>0</v>
      </c>
      <c r="J29" s="932"/>
      <c r="K29" s="374">
        <f t="shared" si="2"/>
        <v>0</v>
      </c>
      <c r="L29" s="1204" t="str">
        <f>IF(I29=0,"NM",C29/I29-1)</f>
        <v>NM</v>
      </c>
      <c r="O29" s="2"/>
    </row>
    <row r="30" spans="1:15" ht="12.75" customHeight="1">
      <c r="A30" s="445" t="s">
        <v>815</v>
      </c>
      <c r="B30" s="2"/>
      <c r="C30" s="373">
        <f>BYD!AI77</f>
        <v>0</v>
      </c>
      <c r="D30" s="374">
        <f>BYD!AD77</f>
        <v>-4.5039999999999996</v>
      </c>
      <c r="E30" s="1103"/>
      <c r="F30" s="374">
        <f t="shared" si="3"/>
        <v>4.5039999999999996</v>
      </c>
      <c r="G30" s="126">
        <f t="shared" si="1"/>
        <v>-1</v>
      </c>
      <c r="H30" s="2"/>
      <c r="I30" s="432">
        <v>0</v>
      </c>
      <c r="J30" s="1103"/>
      <c r="K30" s="374">
        <f t="shared" si="2"/>
        <v>0</v>
      </c>
      <c r="L30" s="1204" t="str">
        <f>IF(I30=0,"NM",C30/I30-1)</f>
        <v>NM</v>
      </c>
      <c r="O30" s="2"/>
    </row>
    <row r="31" spans="1:15" ht="12.75" customHeight="1">
      <c r="A31" s="445" t="s">
        <v>814</v>
      </c>
      <c r="B31" s="2"/>
      <c r="C31" s="373">
        <f>BYD!AI78</f>
        <v>-2.5640000000000001</v>
      </c>
      <c r="D31" s="374">
        <f>BYD!AD78</f>
        <v>3.6290000000000004</v>
      </c>
      <c r="E31" s="1103"/>
      <c r="F31" s="374">
        <f t="shared" si="3"/>
        <v>-6.1930000000000005</v>
      </c>
      <c r="G31" s="126">
        <f t="shared" si="1"/>
        <v>-1.706530724717553</v>
      </c>
      <c r="H31" s="2"/>
      <c r="I31" s="432">
        <v>0</v>
      </c>
      <c r="J31" s="1103"/>
      <c r="K31" s="374">
        <f t="shared" si="2"/>
        <v>-2.5640000000000001</v>
      </c>
      <c r="L31" s="1204" t="str">
        <f>IF(I31=0,"NM",C31/I31-1)</f>
        <v>NM</v>
      </c>
      <c r="O31" s="2"/>
    </row>
    <row r="32" spans="1:15" ht="4.5" customHeight="1">
      <c r="A32" s="964"/>
      <c r="B32" s="2"/>
      <c r="C32" s="453" t="s">
        <v>343</v>
      </c>
      <c r="D32" s="452" t="s">
        <v>343</v>
      </c>
      <c r="E32" s="96" t="s">
        <v>343</v>
      </c>
      <c r="F32" s="452" t="s">
        <v>343</v>
      </c>
      <c r="G32" s="1251" t="s">
        <v>343</v>
      </c>
      <c r="H32" s="2" t="s">
        <v>343</v>
      </c>
      <c r="I32" s="453" t="s">
        <v>343</v>
      </c>
      <c r="J32" s="96" t="s">
        <v>343</v>
      </c>
      <c r="K32" s="452" t="s">
        <v>343</v>
      </c>
      <c r="L32" s="1252" t="s">
        <v>343</v>
      </c>
      <c r="N32" s="1102"/>
      <c r="O32" s="1102"/>
    </row>
    <row r="33" spans="1:15" ht="12.75" customHeight="1">
      <c r="A33" s="1" t="s">
        <v>745</v>
      </c>
      <c r="B33" s="2"/>
      <c r="C33" s="1213">
        <f>SUM(C26:C31)</f>
        <v>16.938000000000031</v>
      </c>
      <c r="D33" s="929">
        <f>SUM(D26:D31)</f>
        <v>21.476000000000017</v>
      </c>
      <c r="E33" s="932"/>
      <c r="F33" s="1241">
        <f t="shared" si="3"/>
        <v>-4.537999999999986</v>
      </c>
      <c r="G33" s="106">
        <f t="shared" si="1"/>
        <v>-0.21130564350903247</v>
      </c>
      <c r="H33" s="1205"/>
      <c r="I33" s="1244">
        <v>33.389268017799957</v>
      </c>
      <c r="J33" s="932"/>
      <c r="K33" s="1241">
        <f t="shared" si="2"/>
        <v>-16.451268017799926</v>
      </c>
      <c r="L33" s="1214">
        <f>C33/I33-1</f>
        <v>-0.49271125108312308</v>
      </c>
      <c r="O33" s="2"/>
    </row>
    <row r="34" spans="1:15" ht="12.75" customHeight="1">
      <c r="A34" s="445" t="s">
        <v>205</v>
      </c>
      <c r="B34" s="2"/>
      <c r="C34" s="373">
        <f>BYD!AI81</f>
        <v>-4.9119999999999999</v>
      </c>
      <c r="D34" s="374">
        <f>BYD!AD81</f>
        <v>-8.6980000000000004</v>
      </c>
      <c r="E34" s="1103"/>
      <c r="F34" s="374">
        <f t="shared" si="3"/>
        <v>3.7860000000000005</v>
      </c>
      <c r="G34" s="126">
        <f t="shared" si="1"/>
        <v>-0.43527247643136358</v>
      </c>
      <c r="H34" s="2"/>
      <c r="I34" s="432">
        <v>-15.35</v>
      </c>
      <c r="J34" s="1103"/>
      <c r="K34" s="374">
        <f t="shared" si="2"/>
        <v>10.437999999999999</v>
      </c>
      <c r="L34" s="1204">
        <f>IF(I34=0,"NM",C34/I34-1)</f>
        <v>-0.67999999999999994</v>
      </c>
      <c r="O34" s="2"/>
    </row>
    <row r="35" spans="1:15" ht="4.5" customHeight="1">
      <c r="A35" s="964"/>
      <c r="B35" s="2"/>
      <c r="C35" s="453" t="s">
        <v>343</v>
      </c>
      <c r="D35" s="452" t="s">
        <v>343</v>
      </c>
      <c r="E35" s="96" t="s">
        <v>343</v>
      </c>
      <c r="F35" s="452" t="s">
        <v>343</v>
      </c>
      <c r="G35" s="1251" t="s">
        <v>343</v>
      </c>
      <c r="H35" s="2" t="s">
        <v>343</v>
      </c>
      <c r="I35" s="453" t="s">
        <v>343</v>
      </c>
      <c r="J35" s="96" t="s">
        <v>343</v>
      </c>
      <c r="K35" s="452" t="s">
        <v>343</v>
      </c>
      <c r="L35" s="1252" t="s">
        <v>343</v>
      </c>
      <c r="N35" s="1102"/>
      <c r="O35" s="1102"/>
    </row>
    <row r="36" spans="1:15" ht="12.75" customHeight="1">
      <c r="A36" s="107" t="s">
        <v>1243</v>
      </c>
      <c r="B36" s="61"/>
      <c r="C36" s="1213">
        <f>C33+C34</f>
        <v>12.026000000000032</v>
      </c>
      <c r="D36" s="929">
        <f>D33+D34</f>
        <v>12.778000000000016</v>
      </c>
      <c r="E36" s="932"/>
      <c r="F36" s="1241">
        <f>F33+F34</f>
        <v>-0.75199999999998557</v>
      </c>
      <c r="G36" s="1215">
        <f>G33+G34</f>
        <v>-0.64657811994039605</v>
      </c>
      <c r="H36" s="932"/>
      <c r="I36" s="1244">
        <v>18.039268017799955</v>
      </c>
      <c r="J36" s="932"/>
      <c r="K36" s="1241">
        <f>K33+K34</f>
        <v>-6.0132680177999269</v>
      </c>
      <c r="L36" s="1215">
        <f>L33+L34</f>
        <v>-1.172711251083123</v>
      </c>
      <c r="M36" s="1238"/>
      <c r="N36" s="1238"/>
      <c r="O36" s="61"/>
    </row>
    <row r="37" spans="1:15" ht="12.75" customHeight="1">
      <c r="A37" s="445" t="s">
        <v>130</v>
      </c>
      <c r="B37" s="2"/>
      <c r="C37" s="373">
        <f>BYD!AI85</f>
        <v>-8.6440000000000001</v>
      </c>
      <c r="D37" s="374">
        <f>BYD!AD83</f>
        <v>0</v>
      </c>
      <c r="E37" s="1103"/>
      <c r="F37" s="374">
        <f>C37-D37</f>
        <v>-8.6440000000000001</v>
      </c>
      <c r="G37" s="126">
        <f>IF(D37=0,0,C37/D37-1)</f>
        <v>0</v>
      </c>
      <c r="H37" s="2"/>
      <c r="I37" s="432">
        <v>-10.1</v>
      </c>
      <c r="J37" s="1103"/>
      <c r="K37" s="374">
        <f>C37-I37</f>
        <v>1.4559999999999995</v>
      </c>
      <c r="L37" s="1204">
        <f>IF(I37=0,"NM",C37/I37-1)</f>
        <v>-0.14415841584158406</v>
      </c>
      <c r="O37" s="2"/>
    </row>
    <row r="38" spans="1:15" ht="4.5" customHeight="1">
      <c r="A38" s="964"/>
      <c r="B38" s="2"/>
      <c r="C38" s="453" t="s">
        <v>343</v>
      </c>
      <c r="D38" s="452" t="s">
        <v>343</v>
      </c>
      <c r="E38" s="96" t="s">
        <v>343</v>
      </c>
      <c r="F38" s="452" t="s">
        <v>343</v>
      </c>
      <c r="G38" s="1251" t="s">
        <v>343</v>
      </c>
      <c r="H38" s="2" t="s">
        <v>343</v>
      </c>
      <c r="I38" s="453" t="s">
        <v>343</v>
      </c>
      <c r="J38" s="96" t="s">
        <v>343</v>
      </c>
      <c r="K38" s="452" t="s">
        <v>343</v>
      </c>
      <c r="L38" s="1252" t="s">
        <v>343</v>
      </c>
      <c r="N38" s="1102"/>
      <c r="O38" s="1102"/>
    </row>
    <row r="39" spans="1:15" ht="12.75" customHeight="1">
      <c r="A39" s="107" t="s">
        <v>1540</v>
      </c>
      <c r="B39" s="2"/>
      <c r="C39" s="1213">
        <f>C36+C37</f>
        <v>3.3820000000000316</v>
      </c>
      <c r="D39" s="929">
        <f>D36+D37</f>
        <v>12.778000000000016</v>
      </c>
      <c r="E39" s="932"/>
      <c r="F39" s="1241">
        <f>F36+F37</f>
        <v>-9.3959999999999866</v>
      </c>
      <c r="G39" s="1215">
        <f>G36+G37</f>
        <v>-0.64657811994039605</v>
      </c>
      <c r="H39" s="932"/>
      <c r="I39" s="1244">
        <v>7.9392680177999555</v>
      </c>
      <c r="J39" s="932"/>
      <c r="K39" s="1241">
        <f>K36+K37</f>
        <v>-4.5572680177999274</v>
      </c>
      <c r="L39" s="1215">
        <f>L36+L37</f>
        <v>-1.3168696669247071</v>
      </c>
      <c r="O39" s="2"/>
    </row>
    <row r="40" spans="1:15" ht="12.75" customHeight="1">
      <c r="A40" s="2"/>
      <c r="B40" s="2"/>
      <c r="C40" s="112"/>
      <c r="D40" s="77"/>
      <c r="E40" s="61"/>
      <c r="F40" s="61"/>
      <c r="G40" s="1141"/>
      <c r="H40" s="2"/>
      <c r="I40" s="115"/>
      <c r="J40" s="61"/>
      <c r="K40" s="61"/>
      <c r="L40" s="1216"/>
      <c r="O40" s="2"/>
    </row>
    <row r="41" spans="1:15" ht="12.75" customHeight="1">
      <c r="A41" s="147" t="s">
        <v>1747</v>
      </c>
      <c r="B41" s="160"/>
      <c r="C41" s="1217">
        <f>BYD!AI88</f>
        <v>4.2300000000000253</v>
      </c>
      <c r="D41" s="1309">
        <f>BYD!AD88</f>
        <v>10.429000000000009</v>
      </c>
      <c r="E41" s="1218"/>
      <c r="F41" s="1218">
        <f>C41-D41</f>
        <v>-6.1989999999999839</v>
      </c>
      <c r="G41" s="1219">
        <f>IF(D41=0,0,C41/D41-1)</f>
        <v>-0.59440023012752696</v>
      </c>
      <c r="H41" s="1220"/>
      <c r="I41" s="1245">
        <v>8</v>
      </c>
      <c r="J41" s="1218"/>
      <c r="K41" s="1218">
        <f>C41-I41</f>
        <v>-3.7699999999999747</v>
      </c>
      <c r="L41" s="1221">
        <f>C41/I41-1</f>
        <v>-0.47124999999999684</v>
      </c>
      <c r="O41" s="2"/>
    </row>
    <row r="42" spans="1:15" ht="12.75" customHeight="1">
      <c r="A42" s="2"/>
      <c r="B42" s="2"/>
      <c r="C42" s="112"/>
      <c r="D42" s="77"/>
      <c r="E42" s="61"/>
      <c r="F42" s="61"/>
      <c r="G42" s="1141"/>
      <c r="H42" s="2"/>
      <c r="I42" s="115"/>
      <c r="J42" s="61"/>
      <c r="K42" s="61"/>
      <c r="L42" s="1216"/>
      <c r="O42" s="2"/>
    </row>
    <row r="43" spans="1:15" ht="12.75" customHeight="1">
      <c r="A43" s="138" t="s">
        <v>746</v>
      </c>
      <c r="B43" s="155"/>
      <c r="C43" s="153">
        <f>BYD!AI95</f>
        <v>4.86531250718873E-2</v>
      </c>
      <c r="D43" s="152">
        <f>BYD!AD95</f>
        <v>0.12085849045671054</v>
      </c>
      <c r="E43" s="152"/>
      <c r="F43" s="152">
        <f>C43-D43</f>
        <v>-7.220536538482325E-2</v>
      </c>
      <c r="G43" s="1208">
        <f>IF(D43=0,0,C43/D43-1)</f>
        <v>-0.59743725998866393</v>
      </c>
      <c r="H43" s="155"/>
      <c r="I43" s="1246">
        <v>9.0193840841098674E-2</v>
      </c>
      <c r="J43" s="152"/>
      <c r="K43" s="152">
        <f>C43-I43</f>
        <v>-4.1540715769211374E-2</v>
      </c>
      <c r="L43" s="1211">
        <f>C43/I43-1</f>
        <v>-0.46057153550425689</v>
      </c>
      <c r="O43" s="1256">
        <v>0.1</v>
      </c>
    </row>
    <row r="44" spans="1:15" ht="12.75" customHeight="1">
      <c r="A44" s="2" t="s">
        <v>769</v>
      </c>
      <c r="B44" s="2"/>
      <c r="C44" s="146">
        <f>BYD!AI103</f>
        <v>86.941999999999993</v>
      </c>
      <c r="D44" s="104">
        <f>BYD!AD103</f>
        <v>86.290999999999997</v>
      </c>
      <c r="E44" s="1103"/>
      <c r="F44" s="374">
        <f>C44-D44</f>
        <v>0.65099999999999625</v>
      </c>
      <c r="G44" s="126">
        <f>IF(D44=0,0,C44/D44-1)</f>
        <v>7.5442398396123878E-3</v>
      </c>
      <c r="H44" s="2"/>
      <c r="I44" s="1104">
        <v>86.600999999999999</v>
      </c>
      <c r="J44" s="1103"/>
      <c r="K44" s="374">
        <f>C44-I44</f>
        <v>0.34099999999999397</v>
      </c>
      <c r="L44" s="1204">
        <f>C44/I44-1</f>
        <v>3.9375988729921652E-3</v>
      </c>
      <c r="O44" s="2"/>
    </row>
    <row r="45" spans="1:15" ht="12.75" customHeight="1">
      <c r="A45" s="2"/>
      <c r="B45" s="2"/>
      <c r="C45" s="112"/>
      <c r="D45" s="77"/>
      <c r="E45" s="61"/>
      <c r="F45" s="2"/>
      <c r="G45" s="2"/>
      <c r="H45" s="2"/>
      <c r="I45" s="115"/>
      <c r="J45" s="61"/>
      <c r="K45" s="61"/>
      <c r="L45" s="2"/>
      <c r="O45" s="2"/>
    </row>
    <row r="46" spans="1:15" ht="12.75" customHeight="1">
      <c r="A46" s="1222" t="s">
        <v>271</v>
      </c>
      <c r="B46" s="1223"/>
      <c r="C46" s="1224">
        <f>C19/C12</f>
        <v>0.21611379994175484</v>
      </c>
      <c r="D46" s="1225">
        <f>D19/D12</f>
        <v>0.23636363636363633</v>
      </c>
      <c r="E46" s="1225"/>
      <c r="F46" s="1223"/>
      <c r="G46" s="1226">
        <f>(C46-D46)</f>
        <v>-2.0249836421881495E-2</v>
      </c>
      <c r="H46" s="1223"/>
      <c r="I46" s="1224">
        <f>I19/I12</f>
        <v>0.22530552363220588</v>
      </c>
      <c r="J46" s="1225"/>
      <c r="K46" s="1223"/>
      <c r="L46" s="1227">
        <f>(C46-I46)</f>
        <v>-9.1917236904510424E-3</v>
      </c>
      <c r="O46" s="2"/>
    </row>
    <row r="47" spans="1:15" ht="12.75" customHeight="1">
      <c r="A47" s="1239" t="s">
        <v>514</v>
      </c>
      <c r="B47" s="1228"/>
      <c r="C47" s="1229">
        <f t="shared" ref="C47:D50" si="4">C15/C8</f>
        <v>0.24046564496531181</v>
      </c>
      <c r="D47" s="1230">
        <f t="shared" si="4"/>
        <v>0.26435799117542602</v>
      </c>
      <c r="E47" s="1230"/>
      <c r="F47" s="1228"/>
      <c r="G47" s="1231">
        <f>(C47-D47)</f>
        <v>-2.3892346210114213E-2</v>
      </c>
      <c r="H47" s="1228"/>
      <c r="I47" s="1229">
        <f>I15/I8</f>
        <v>0.24895187580737208</v>
      </c>
      <c r="J47" s="1230"/>
      <c r="K47" s="1228"/>
      <c r="L47" s="1232">
        <f>(C47-I47)</f>
        <v>-8.4862308420602661E-3</v>
      </c>
      <c r="O47" s="2"/>
    </row>
    <row r="48" spans="1:15" ht="12.75" customHeight="1">
      <c r="A48" s="1239" t="s">
        <v>515</v>
      </c>
      <c r="B48" s="1228"/>
      <c r="C48" s="1229">
        <f t="shared" si="4"/>
        <v>0.1687113785042495</v>
      </c>
      <c r="D48" s="1230">
        <f t="shared" si="4"/>
        <v>0.20494294596800808</v>
      </c>
      <c r="E48" s="1230"/>
      <c r="F48" s="1228"/>
      <c r="G48" s="1231">
        <f>(C48-D48)</f>
        <v>-3.6231567463758579E-2</v>
      </c>
      <c r="H48" s="1228"/>
      <c r="I48" s="1229">
        <f>I16/I9</f>
        <v>0.16728234867175573</v>
      </c>
      <c r="J48" s="1230"/>
      <c r="K48" s="1228"/>
      <c r="L48" s="1232">
        <f>(C48-I48)</f>
        <v>1.4290298324937667E-3</v>
      </c>
      <c r="O48" s="2"/>
    </row>
    <row r="49" spans="1:17" ht="12.75" customHeight="1">
      <c r="A49" s="1239" t="s">
        <v>516</v>
      </c>
      <c r="B49" s="1228"/>
      <c r="C49" s="1229">
        <f t="shared" si="4"/>
        <v>0.19585183717718019</v>
      </c>
      <c r="D49" s="1230">
        <f t="shared" si="4"/>
        <v>0.2221023257681459</v>
      </c>
      <c r="E49" s="1230"/>
      <c r="F49" s="1228"/>
      <c r="G49" s="1231">
        <f>(C49-D49)</f>
        <v>-2.6250488590965709E-2</v>
      </c>
      <c r="H49" s="1228"/>
      <c r="I49" s="1229">
        <f>I17/I10</f>
        <v>0.2113387281046373</v>
      </c>
      <c r="J49" s="1230"/>
      <c r="K49" s="1228"/>
      <c r="L49" s="1232">
        <f>(C49-I49)</f>
        <v>-1.5486890927457114E-2</v>
      </c>
      <c r="O49" s="2"/>
    </row>
    <row r="50" spans="1:17" ht="12.75" customHeight="1">
      <c r="A50" s="1240" t="s">
        <v>273</v>
      </c>
      <c r="B50" s="1233"/>
      <c r="C50" s="1234">
        <f t="shared" si="4"/>
        <v>0.22986537679515448</v>
      </c>
      <c r="D50" s="1235"/>
      <c r="E50" s="1235"/>
      <c r="F50" s="1233"/>
      <c r="G50" s="1236"/>
      <c r="H50" s="1233"/>
      <c r="I50" s="1234">
        <f>I18/I11</f>
        <v>0.23629782833505689</v>
      </c>
      <c r="J50" s="1235"/>
      <c r="K50" s="1233"/>
      <c r="L50" s="1237">
        <f>(C50-I50)</f>
        <v>-6.4324515399024063E-3</v>
      </c>
      <c r="M50" s="1238"/>
      <c r="O50" s="2"/>
    </row>
    <row r="51" spans="1:17" ht="12.75" customHeight="1">
      <c r="A51" s="61"/>
      <c r="B51" s="61"/>
      <c r="C51" s="112"/>
      <c r="D51" s="77"/>
      <c r="E51" s="61"/>
      <c r="F51" s="61"/>
      <c r="G51" s="61"/>
      <c r="H51" s="61"/>
      <c r="I51" s="112"/>
      <c r="J51" s="61"/>
      <c r="K51" s="61"/>
      <c r="L51" s="61"/>
      <c r="O51" s="2"/>
    </row>
    <row r="52" spans="1:17" ht="12.75" customHeight="1">
      <c r="A52" s="61" t="s">
        <v>1139</v>
      </c>
      <c r="B52" s="61"/>
      <c r="C52" s="373">
        <f>C21</f>
        <v>113.49900000000002</v>
      </c>
      <c r="D52" s="365">
        <f>D21</f>
        <v>91.754000000000005</v>
      </c>
      <c r="E52" s="61"/>
      <c r="F52" s="374">
        <f>C52-D52</f>
        <v>21.745000000000019</v>
      </c>
      <c r="G52" s="126">
        <f>IF(D52=0,0,C52/D52-1)</f>
        <v>0.23699239270222572</v>
      </c>
      <c r="H52" s="1205"/>
      <c r="I52" s="432">
        <f>I21</f>
        <v>125.25726801779996</v>
      </c>
      <c r="J52" s="932"/>
      <c r="K52" s="374">
        <f>C52-I52</f>
        <v>-11.758268017799935</v>
      </c>
      <c r="L52" s="1204">
        <f>IF(I52=0,"NM",C52/I52-1)</f>
        <v>-9.3872940100601543E-2</v>
      </c>
      <c r="O52" s="2"/>
    </row>
    <row r="53" spans="1:17" ht="12.75" customHeight="1">
      <c r="A53" s="61" t="s">
        <v>131</v>
      </c>
      <c r="B53" s="61"/>
      <c r="C53" s="373">
        <f>-0.5*C18</f>
        <v>-21.480000000000004</v>
      </c>
      <c r="D53" s="365">
        <f>D29</f>
        <v>13.843999999999999</v>
      </c>
      <c r="E53" s="61"/>
      <c r="F53" s="374">
        <f>C53-D53</f>
        <v>-35.324000000000005</v>
      </c>
      <c r="G53" s="126">
        <f>IF(D53=0,0,C53/D53-1)</f>
        <v>-2.5515746893961286</v>
      </c>
      <c r="H53" s="2"/>
      <c r="I53" s="432">
        <v>-22.862332525683705</v>
      </c>
      <c r="J53" s="1103"/>
      <c r="K53" s="374">
        <f>C53-I53</f>
        <v>1.3823325256837009</v>
      </c>
      <c r="L53" s="1204">
        <f>IF(I53=0,"NM",C53/I53-1)</f>
        <v>-6.0463319922881009E-2</v>
      </c>
      <c r="O53" s="2"/>
    </row>
    <row r="54" spans="1:17" ht="4.5" customHeight="1">
      <c r="A54" s="964"/>
      <c r="B54" s="2"/>
      <c r="C54" s="453" t="s">
        <v>343</v>
      </c>
      <c r="D54" s="452" t="s">
        <v>343</v>
      </c>
      <c r="E54" s="96" t="s">
        <v>343</v>
      </c>
      <c r="F54" s="452" t="s">
        <v>343</v>
      </c>
      <c r="G54" s="1251" t="s">
        <v>343</v>
      </c>
      <c r="H54" s="2" t="s">
        <v>343</v>
      </c>
      <c r="I54" s="453" t="s">
        <v>343</v>
      </c>
      <c r="J54" s="96" t="s">
        <v>343</v>
      </c>
      <c r="K54" s="452" t="s">
        <v>343</v>
      </c>
      <c r="L54" s="1252" t="s">
        <v>343</v>
      </c>
      <c r="N54" s="1102"/>
      <c r="O54" s="1102"/>
    </row>
    <row r="55" spans="1:17" ht="12.75" customHeight="1">
      <c r="A55" s="1" t="s">
        <v>743</v>
      </c>
      <c r="B55" s="2"/>
      <c r="C55" s="1242">
        <f>SUM(C52:C53)</f>
        <v>92.01900000000002</v>
      </c>
      <c r="D55" s="1253">
        <f>SUM(D52:D53)</f>
        <v>105.598</v>
      </c>
      <c r="E55" s="61"/>
      <c r="F55" s="374">
        <f>C55-D55</f>
        <v>-13.578999999999979</v>
      </c>
      <c r="G55" s="126">
        <f>IF(D55=0,0,C55/D55-1)</f>
        <v>-0.12859145059565502</v>
      </c>
      <c r="H55" s="2"/>
      <c r="I55" s="1243">
        <f>SUM(I52:I53)</f>
        <v>102.39493549211625</v>
      </c>
      <c r="J55" s="1103"/>
      <c r="K55" s="1241">
        <f>C55-I55</f>
        <v>-10.375935492116227</v>
      </c>
      <c r="L55" s="1204">
        <f>IF(I55=0,"NM",C55/I55-1)</f>
        <v>-0.10133250675190975</v>
      </c>
      <c r="O55" s="1102">
        <v>117.3</v>
      </c>
    </row>
    <row r="56" spans="1:17" ht="4.5" customHeight="1">
      <c r="A56" s="2"/>
      <c r="B56" s="2"/>
      <c r="C56" s="144"/>
      <c r="D56" s="1062"/>
      <c r="E56" s="61"/>
      <c r="F56" s="2"/>
      <c r="G56" s="2"/>
      <c r="H56" s="2"/>
      <c r="I56" s="144"/>
      <c r="J56" s="2"/>
      <c r="K56" s="2"/>
      <c r="L56" s="2"/>
      <c r="O56" s="2"/>
    </row>
    <row r="57" spans="1:17" ht="6" customHeight="1">
      <c r="A57" s="2"/>
      <c r="B57" s="2"/>
      <c r="C57" s="2"/>
      <c r="D57" s="1062"/>
      <c r="E57" s="2"/>
      <c r="F57" s="2"/>
      <c r="G57" s="2"/>
      <c r="H57" s="2"/>
      <c r="I57" s="2"/>
      <c r="J57" s="2"/>
      <c r="K57" s="2"/>
      <c r="L57" s="2"/>
      <c r="O57" s="2"/>
    </row>
    <row r="58" spans="1:17" ht="12.75" customHeight="1">
      <c r="A58" s="2"/>
      <c r="B58" s="2"/>
      <c r="C58" s="2"/>
      <c r="D58" s="1062"/>
      <c r="E58" s="2"/>
      <c r="F58" s="2"/>
      <c r="G58" s="2"/>
      <c r="H58" s="2"/>
      <c r="I58" s="2"/>
      <c r="J58" s="2"/>
      <c r="K58" s="2"/>
      <c r="L58" s="2"/>
      <c r="O58" s="2"/>
    </row>
    <row r="59" spans="1:17" ht="12.75" customHeight="1">
      <c r="A59" s="2"/>
      <c r="B59" s="2"/>
      <c r="C59" s="2"/>
      <c r="D59" s="1062"/>
      <c r="E59" s="2"/>
      <c r="F59" s="2"/>
      <c r="G59" s="2"/>
      <c r="H59" s="2"/>
      <c r="I59" s="2"/>
      <c r="J59" s="2"/>
      <c r="K59" s="2"/>
      <c r="L59" s="2"/>
      <c r="O59" s="2"/>
    </row>
    <row r="60" spans="1:17" ht="12.75" customHeight="1">
      <c r="A60" s="2"/>
      <c r="B60" s="2"/>
      <c r="C60" s="2"/>
      <c r="D60" s="1062"/>
      <c r="E60" s="2"/>
      <c r="F60" s="2"/>
      <c r="G60" s="2"/>
      <c r="H60" s="2"/>
      <c r="I60" s="2"/>
      <c r="J60" s="2"/>
      <c r="K60" s="2"/>
      <c r="L60" s="2"/>
      <c r="O60" s="2"/>
    </row>
    <row r="61" spans="1:17" ht="12.75" customHeight="1">
      <c r="A61" s="2"/>
      <c r="B61" s="2"/>
      <c r="C61" s="2"/>
      <c r="D61" s="1062"/>
      <c r="E61" s="2"/>
      <c r="F61" s="2"/>
      <c r="G61" s="2"/>
      <c r="H61" s="2"/>
      <c r="I61" s="2"/>
      <c r="J61" s="2"/>
      <c r="K61" s="2"/>
      <c r="L61" s="2"/>
      <c r="O61" s="2"/>
    </row>
    <row r="62" spans="1:17" ht="12.75" customHeight="1">
      <c r="A62" s="2"/>
      <c r="B62" s="2"/>
      <c r="C62" s="2"/>
      <c r="D62" s="1062"/>
      <c r="E62" s="2"/>
      <c r="F62" s="2"/>
      <c r="G62" s="2"/>
      <c r="H62" s="2"/>
      <c r="I62" s="2"/>
      <c r="J62" s="2"/>
      <c r="K62" s="2"/>
      <c r="L62" s="2"/>
      <c r="O62" s="2"/>
    </row>
    <row r="63" spans="1:17" ht="12.75" customHeight="1">
      <c r="A63" s="2"/>
      <c r="B63" s="2"/>
      <c r="C63" s="2"/>
      <c r="D63" s="1062"/>
      <c r="E63" s="2"/>
      <c r="F63" s="2"/>
      <c r="G63" s="2"/>
      <c r="H63" s="2"/>
      <c r="I63" s="2"/>
      <c r="J63" s="2"/>
      <c r="K63" s="2"/>
      <c r="L63" s="2"/>
      <c r="N63" s="69" t="s">
        <v>318</v>
      </c>
      <c r="P63" s="2"/>
      <c r="Q63" s="2"/>
    </row>
    <row r="64" spans="1:17" ht="12.75" customHeight="1">
      <c r="A64" s="2"/>
      <c r="B64" s="2"/>
      <c r="C64" s="2"/>
      <c r="D64" s="1062"/>
      <c r="E64" s="2"/>
      <c r="F64" s="2"/>
      <c r="G64" s="2"/>
      <c r="H64" s="2"/>
      <c r="I64" s="2"/>
      <c r="J64" s="2"/>
      <c r="K64" s="2"/>
      <c r="L64" s="2"/>
      <c r="N64" s="2" t="s">
        <v>319</v>
      </c>
      <c r="O64" s="2" t="s">
        <v>320</v>
      </c>
      <c r="P64" s="2" t="s">
        <v>321</v>
      </c>
      <c r="Q64" s="98">
        <v>62.5</v>
      </c>
    </row>
    <row r="65" spans="1:17" ht="12.75" customHeight="1">
      <c r="A65" s="2"/>
      <c r="B65" s="2"/>
      <c r="C65" s="2"/>
      <c r="D65" s="1062"/>
      <c r="E65" s="2"/>
      <c r="F65" s="2"/>
      <c r="G65" s="2"/>
      <c r="H65" s="2"/>
      <c r="I65" s="2"/>
      <c r="J65" s="2"/>
      <c r="K65" s="2"/>
      <c r="L65" s="2"/>
      <c r="N65" s="2"/>
      <c r="O65" s="2" t="s">
        <v>322</v>
      </c>
      <c r="P65" s="2" t="s">
        <v>321</v>
      </c>
      <c r="Q65" s="98">
        <v>87.5</v>
      </c>
    </row>
    <row r="66" spans="1:17" ht="12.75" customHeight="1">
      <c r="A66" s="2"/>
      <c r="B66" s="2"/>
      <c r="C66" s="2"/>
      <c r="D66" s="1062"/>
      <c r="E66" s="2"/>
      <c r="F66" s="2"/>
      <c r="G66" s="2"/>
      <c r="H66" s="2"/>
      <c r="I66" s="2"/>
      <c r="J66" s="2"/>
      <c r="K66" s="2"/>
      <c r="L66" s="2"/>
      <c r="N66" s="2"/>
      <c r="O66" s="2" t="s">
        <v>323</v>
      </c>
      <c r="P66" s="2" t="s">
        <v>321</v>
      </c>
      <c r="Q66" s="98">
        <v>100</v>
      </c>
    </row>
    <row r="67" spans="1:17" ht="12.75" customHeight="1">
      <c r="A67" s="2"/>
      <c r="B67" s="2"/>
      <c r="C67" s="2"/>
      <c r="D67" s="1062"/>
      <c r="E67" s="2"/>
      <c r="F67" s="2"/>
      <c r="G67" s="2"/>
      <c r="H67" s="2"/>
      <c r="I67" s="2"/>
      <c r="J67" s="2"/>
      <c r="K67" s="2"/>
      <c r="L67" s="2"/>
      <c r="N67" s="2"/>
      <c r="O67" s="2" t="s">
        <v>324</v>
      </c>
      <c r="P67" s="2" t="s">
        <v>321</v>
      </c>
      <c r="Q67" s="98">
        <v>112.5</v>
      </c>
    </row>
    <row r="68" spans="1:17" ht="12.75" customHeight="1">
      <c r="A68" s="2"/>
      <c r="B68" s="2"/>
      <c r="C68" s="2"/>
      <c r="D68" s="1062"/>
      <c r="E68" s="2"/>
      <c r="F68" s="2"/>
      <c r="G68" s="2"/>
      <c r="H68" s="2"/>
      <c r="I68" s="2"/>
      <c r="J68" s="2"/>
      <c r="K68" s="2"/>
      <c r="L68" s="2"/>
      <c r="N68" s="2"/>
      <c r="O68" s="2" t="s">
        <v>325</v>
      </c>
      <c r="P68" s="2" t="s">
        <v>321</v>
      </c>
      <c r="Q68" s="98">
        <v>137.5</v>
      </c>
    </row>
    <row r="69" spans="1:17" ht="12.75" customHeight="1">
      <c r="A69" s="2"/>
      <c r="B69" s="2"/>
      <c r="C69" s="2"/>
      <c r="D69" s="1062"/>
      <c r="E69" s="2"/>
      <c r="F69" s="2"/>
      <c r="G69" s="2"/>
      <c r="H69" s="2"/>
      <c r="I69" s="2"/>
      <c r="J69" s="2"/>
      <c r="K69" s="2"/>
      <c r="L69" s="2"/>
      <c r="N69" s="2"/>
      <c r="O69" s="2" t="s">
        <v>326</v>
      </c>
      <c r="P69" s="2" t="s">
        <v>321</v>
      </c>
      <c r="Q69" s="98">
        <v>162.5</v>
      </c>
    </row>
  </sheetData>
  <phoneticPr fontId="10" type="noConversion"/>
  <pageMargins left="0.75" right="0.75" top="1" bottom="1" header="0.5" footer="0.5"/>
  <pageSetup scale="92" orientation="portrait" horizontalDpi="1200" verticalDpi="1200"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sheetPr>
  <dimension ref="A1:O51"/>
  <sheetViews>
    <sheetView zoomScale="85" zoomScaleNormal="85" workbookViewId="0"/>
  </sheetViews>
  <sheetFormatPr defaultRowHeight="12.75" customHeight="1"/>
  <cols>
    <col min="1" max="1" width="21.5" customWidth="1"/>
    <col min="2" max="2" width="1.5" customWidth="1"/>
    <col min="5" max="5" width="1.5" customWidth="1"/>
    <col min="8" max="8" width="1.5" customWidth="1"/>
    <col min="10" max="10" width="1.5" customWidth="1"/>
  </cols>
  <sheetData>
    <row r="1" spans="1:15" ht="12.75" customHeight="1">
      <c r="A1" s="1" t="s">
        <v>629</v>
      </c>
      <c r="B1" s="2"/>
      <c r="C1" s="2"/>
      <c r="D1" s="2"/>
      <c r="E1" s="2"/>
      <c r="F1" s="2"/>
      <c r="G1" s="2"/>
      <c r="H1" s="2"/>
      <c r="I1" s="2"/>
      <c r="J1" s="2"/>
      <c r="K1" s="2"/>
      <c r="L1" s="2"/>
      <c r="O1" s="2"/>
    </row>
    <row r="2" spans="1:15" ht="12.75" customHeight="1">
      <c r="A2" s="1" t="s">
        <v>1224</v>
      </c>
      <c r="B2" s="2"/>
      <c r="C2" s="2"/>
      <c r="D2" s="2"/>
      <c r="E2" s="2"/>
      <c r="F2" s="2"/>
      <c r="G2" s="2"/>
      <c r="H2" s="2"/>
      <c r="I2" s="2"/>
      <c r="J2" s="2"/>
      <c r="K2" s="2"/>
      <c r="L2" s="2"/>
      <c r="O2" s="2"/>
    </row>
    <row r="3" spans="1:15" ht="12.75" customHeight="1">
      <c r="A3" s="1287" t="s">
        <v>331</v>
      </c>
      <c r="B3" s="2"/>
      <c r="C3" s="2"/>
      <c r="D3" s="2"/>
      <c r="E3" s="2"/>
      <c r="F3" s="2"/>
      <c r="G3" s="2"/>
      <c r="H3" s="2"/>
      <c r="I3" s="2"/>
      <c r="J3" s="2"/>
      <c r="K3" s="2"/>
      <c r="L3" s="2"/>
      <c r="O3" s="2"/>
    </row>
    <row r="4" spans="1:15" ht="12.75" customHeight="1">
      <c r="A4" s="2" t="s">
        <v>1225</v>
      </c>
      <c r="B4" s="2"/>
      <c r="C4" s="2"/>
      <c r="D4" s="2"/>
      <c r="E4" s="2"/>
      <c r="F4" s="2"/>
      <c r="G4" s="2"/>
      <c r="H4" s="2"/>
      <c r="I4" s="2"/>
      <c r="J4" s="2"/>
      <c r="K4" s="2"/>
      <c r="L4" s="2"/>
      <c r="O4" s="2"/>
    </row>
    <row r="5" spans="1:15" ht="12.75" customHeight="1">
      <c r="A5" s="2"/>
      <c r="B5" s="2"/>
      <c r="C5" s="1195" t="s">
        <v>818</v>
      </c>
      <c r="D5" s="1196"/>
      <c r="E5" s="1196"/>
      <c r="F5" s="1196"/>
      <c r="G5" s="1196"/>
      <c r="H5" s="2"/>
      <c r="I5" s="1195" t="s">
        <v>1504</v>
      </c>
      <c r="J5" s="1197"/>
      <c r="K5" s="1196"/>
      <c r="L5" s="1196"/>
      <c r="O5" s="1255" t="s">
        <v>1030</v>
      </c>
    </row>
    <row r="6" spans="1:15" ht="12.75" customHeight="1">
      <c r="A6" s="2"/>
      <c r="B6" s="2"/>
      <c r="C6" s="1198"/>
      <c r="D6" s="61"/>
      <c r="E6" s="2"/>
      <c r="F6" s="1197" t="s">
        <v>1505</v>
      </c>
      <c r="G6" s="1197"/>
      <c r="H6" s="2"/>
      <c r="I6" s="1198"/>
      <c r="J6" s="61"/>
      <c r="K6" s="1197" t="s">
        <v>1505</v>
      </c>
      <c r="L6" s="1197"/>
      <c r="O6" s="2"/>
    </row>
    <row r="7" spans="1:15" ht="12.75" customHeight="1">
      <c r="A7" s="61"/>
      <c r="B7" s="2"/>
      <c r="C7" s="1199" t="s">
        <v>1180</v>
      </c>
      <c r="D7" s="1200" t="s">
        <v>216</v>
      </c>
      <c r="E7" s="70"/>
      <c r="F7" s="73" t="s">
        <v>658</v>
      </c>
      <c r="G7" s="73" t="s">
        <v>740</v>
      </c>
      <c r="H7" s="2"/>
      <c r="I7" s="1199" t="s">
        <v>1180</v>
      </c>
      <c r="J7" s="70"/>
      <c r="K7" s="73" t="s">
        <v>658</v>
      </c>
      <c r="L7" s="73" t="s">
        <v>740</v>
      </c>
      <c r="O7" s="2"/>
    </row>
    <row r="8" spans="1:15" ht="12.75" customHeight="1">
      <c r="A8" s="1" t="s">
        <v>741</v>
      </c>
      <c r="B8" s="2"/>
      <c r="C8" s="112"/>
      <c r="D8" s="61"/>
      <c r="E8" s="2"/>
      <c r="F8" s="2"/>
      <c r="G8" s="2"/>
      <c r="H8" s="2"/>
      <c r="I8" s="112"/>
      <c r="J8" s="61"/>
      <c r="K8" s="2"/>
      <c r="L8" s="2"/>
      <c r="O8" s="2"/>
    </row>
    <row r="9" spans="1:15" ht="12.75" customHeight="1">
      <c r="A9" s="334" t="s">
        <v>514</v>
      </c>
      <c r="B9" s="2"/>
      <c r="C9" s="1201">
        <f>BYD!AH10</f>
        <v>156.572</v>
      </c>
      <c r="D9" s="313">
        <f>BYD!AC10</f>
        <v>170.09899999999999</v>
      </c>
      <c r="E9" s="1202"/>
      <c r="F9" s="1205">
        <f>C9-D9</f>
        <v>-13.526999999999987</v>
      </c>
      <c r="G9" s="126">
        <f>IF(D9=0,0,C9/D9-1)</f>
        <v>-7.9524277038665603E-2</v>
      </c>
      <c r="H9" s="1205"/>
      <c r="I9" s="1207">
        <v>154.79008999999999</v>
      </c>
      <c r="J9" s="1202"/>
      <c r="K9" s="313">
        <f>C9-I9</f>
        <v>1.7819100000000105</v>
      </c>
      <c r="L9" s="1204">
        <f>IF(I9=0,"NM",C9/I9-1)</f>
        <v>1.1511783473993731E-2</v>
      </c>
      <c r="O9" s="2"/>
    </row>
    <row r="10" spans="1:15" ht="12.75" customHeight="1">
      <c r="A10" s="334" t="s">
        <v>515</v>
      </c>
      <c r="B10" s="61"/>
      <c r="C10" s="146">
        <f>BYD!AH11</f>
        <v>54.006999999999998</v>
      </c>
      <c r="D10" s="96">
        <f>BYD!AC11</f>
        <v>58.664999999999999</v>
      </c>
      <c r="E10" s="1103"/>
      <c r="F10" s="374">
        <f>C10-D10</f>
        <v>-4.6580000000000013</v>
      </c>
      <c r="G10" s="95">
        <f>IF(D10=0,0,C10/D10-1)</f>
        <v>-7.9399982954061255E-2</v>
      </c>
      <c r="H10" s="61"/>
      <c r="I10" s="1104">
        <v>56.611725</v>
      </c>
      <c r="J10" s="1103"/>
      <c r="K10" s="374">
        <f>C10-I10</f>
        <v>-2.604725000000002</v>
      </c>
      <c r="L10" s="92">
        <f>IF(I10=0,"NM",C10/I10-1)</f>
        <v>-4.6010345030115252E-2</v>
      </c>
      <c r="O10" s="2"/>
    </row>
    <row r="11" spans="1:15" ht="12.75" customHeight="1">
      <c r="A11" s="334" t="s">
        <v>516</v>
      </c>
      <c r="B11" s="61"/>
      <c r="C11" s="146">
        <f>BYD!AH13</f>
        <v>187.78</v>
      </c>
      <c r="D11" s="96">
        <f>BYD!AC13</f>
        <v>206.08099999999999</v>
      </c>
      <c r="E11" s="1103"/>
      <c r="F11" s="374">
        <f>C11-D11</f>
        <v>-18.300999999999988</v>
      </c>
      <c r="G11" s="95">
        <f>IF(D11=0,0,C11/D11-1)</f>
        <v>-8.8804887398644117E-2</v>
      </c>
      <c r="H11" s="61"/>
      <c r="I11" s="1104">
        <v>189.49098817434998</v>
      </c>
      <c r="J11" s="1103"/>
      <c r="K11" s="374">
        <f>C11-I11</f>
        <v>-1.7109881743499784</v>
      </c>
      <c r="L11" s="92">
        <f>IF(I11=0,"NM",C11/I11-1)</f>
        <v>-9.0293907421903352E-3</v>
      </c>
      <c r="O11" s="2"/>
    </row>
    <row r="12" spans="1:15" ht="12.75" customHeight="1">
      <c r="A12" s="138" t="s">
        <v>813</v>
      </c>
      <c r="B12" s="1203"/>
      <c r="C12" s="1209">
        <f>SUM(C9:C11)</f>
        <v>398.35900000000004</v>
      </c>
      <c r="D12" s="1210">
        <f>SUM(D9:D11)</f>
        <v>434.84499999999997</v>
      </c>
      <c r="E12" s="1210"/>
      <c r="F12" s="1210">
        <f>SUM(F9:F11)</f>
        <v>-36.485999999999976</v>
      </c>
      <c r="G12" s="1208">
        <f>IF(D12=0,0,C12/D12-1)</f>
        <v>-8.3905759523508205E-2</v>
      </c>
      <c r="H12" s="1206"/>
      <c r="I12" s="1250">
        <v>400.89280317434998</v>
      </c>
      <c r="J12" s="1210"/>
      <c r="K12" s="1210">
        <f>SUM(K9:K11)</f>
        <v>-2.5338031743499698</v>
      </c>
      <c r="L12" s="1211">
        <f>C12/I12-1</f>
        <v>-6.320400751240185E-3</v>
      </c>
      <c r="O12" s="1102">
        <v>420.1</v>
      </c>
    </row>
    <row r="13" spans="1:15" ht="12.75" customHeight="1">
      <c r="A13" s="61"/>
      <c r="B13" s="61"/>
      <c r="C13" s="112"/>
      <c r="D13" s="61"/>
      <c r="E13" s="61"/>
      <c r="F13" s="61"/>
      <c r="G13" s="1139"/>
      <c r="H13" s="61"/>
      <c r="I13" s="115"/>
      <c r="J13" s="61"/>
      <c r="K13" s="61"/>
      <c r="L13" s="1212"/>
      <c r="O13" s="2"/>
    </row>
    <row r="14" spans="1:15" ht="12.75" customHeight="1">
      <c r="A14" s="107" t="s">
        <v>401</v>
      </c>
      <c r="B14" s="61"/>
      <c r="C14" s="112"/>
      <c r="D14" s="61"/>
      <c r="E14" s="61"/>
      <c r="F14" s="61"/>
      <c r="G14" s="1139"/>
      <c r="H14" s="61"/>
      <c r="I14" s="115"/>
      <c r="J14" s="61"/>
      <c r="K14" s="61"/>
      <c r="L14" s="1212"/>
      <c r="O14" s="2"/>
    </row>
    <row r="15" spans="1:15" ht="12.75" customHeight="1">
      <c r="A15" s="334" t="s">
        <v>514</v>
      </c>
      <c r="B15" s="61"/>
      <c r="C15" s="146">
        <f>BYD!AH38</f>
        <v>40.412999999999997</v>
      </c>
      <c r="D15" s="96">
        <f>BYD!AC38</f>
        <v>45.32</v>
      </c>
      <c r="E15" s="1103"/>
      <c r="F15" s="374">
        <f>C15-D15</f>
        <v>-4.9070000000000036</v>
      </c>
      <c r="G15" s="95">
        <f t="shared" ref="G15:G33" si="0">IF(D15=0,0,C15/D15-1)</f>
        <v>-0.10827449249779353</v>
      </c>
      <c r="H15" s="61"/>
      <c r="I15" s="1104">
        <v>35.626144999999994</v>
      </c>
      <c r="J15" s="1103"/>
      <c r="K15" s="374">
        <f>C15-I15</f>
        <v>4.7868550000000027</v>
      </c>
      <c r="L15" s="92">
        <f>IF(I15=0,"NM",C15/I15-1)</f>
        <v>0.13436354115776505</v>
      </c>
      <c r="O15" s="2"/>
    </row>
    <row r="16" spans="1:15" ht="12.75" customHeight="1">
      <c r="A16" s="334" t="s">
        <v>515</v>
      </c>
      <c r="B16" s="61"/>
      <c r="C16" s="146">
        <f>BYD!AH39</f>
        <v>8.3719999999999999</v>
      </c>
      <c r="D16" s="96">
        <f>BYD!AC39</f>
        <v>13.353999999999999</v>
      </c>
      <c r="E16" s="1103"/>
      <c r="F16" s="374">
        <f>C16-D16</f>
        <v>-4.9819999999999993</v>
      </c>
      <c r="G16" s="95">
        <f t="shared" si="0"/>
        <v>-0.37307173880485245</v>
      </c>
      <c r="H16" s="61"/>
      <c r="I16" s="1104">
        <v>12.433500000000002</v>
      </c>
      <c r="J16" s="1103"/>
      <c r="K16" s="374">
        <f>C16-I16</f>
        <v>-4.0615000000000023</v>
      </c>
      <c r="L16" s="92">
        <f>IF(I16=0,"NM",C16/I16-1)</f>
        <v>-0.32665781960027362</v>
      </c>
      <c r="O16" s="2"/>
    </row>
    <row r="17" spans="1:15" ht="12.75" customHeight="1">
      <c r="A17" s="334" t="s">
        <v>516</v>
      </c>
      <c r="B17" s="61"/>
      <c r="C17" s="146">
        <f>BYD!AH41</f>
        <v>38.58</v>
      </c>
      <c r="D17" s="96">
        <f>BYD!AC41</f>
        <v>48.021000000000001</v>
      </c>
      <c r="E17" s="1103"/>
      <c r="F17" s="374">
        <f>C17-D17</f>
        <v>-9.4410000000000025</v>
      </c>
      <c r="G17" s="95">
        <f>IF(D17=0,0,C17/D17-1)</f>
        <v>-0.1966014868495034</v>
      </c>
      <c r="H17" s="61"/>
      <c r="I17" s="1104">
        <v>34.592188174349985</v>
      </c>
      <c r="J17" s="1103"/>
      <c r="K17" s="374">
        <f>C17-I17</f>
        <v>3.987811825650013</v>
      </c>
      <c r="L17" s="92">
        <f>IF(I17=0,"NM",C17/I17-1)</f>
        <v>0.11528070457846784</v>
      </c>
      <c r="O17" s="2"/>
    </row>
    <row r="18" spans="1:15" ht="12.75" customHeight="1">
      <c r="A18" s="138" t="s">
        <v>819</v>
      </c>
      <c r="B18" s="1203"/>
      <c r="C18" s="1209">
        <f>SUM(C15:C17)</f>
        <v>87.364999999999995</v>
      </c>
      <c r="D18" s="1210">
        <f>SUM(D15:D17)</f>
        <v>106.69499999999999</v>
      </c>
      <c r="E18" s="1210"/>
      <c r="F18" s="1210">
        <f>SUM(F15:F17)</f>
        <v>-19.330000000000005</v>
      </c>
      <c r="G18" s="1208">
        <f t="shared" si="0"/>
        <v>-0.18117062655232208</v>
      </c>
      <c r="H18" s="1206"/>
      <c r="I18" s="1250">
        <v>82.651833174349974</v>
      </c>
      <c r="J18" s="1210"/>
      <c r="K18" s="1210">
        <f>SUM(K15:K17)</f>
        <v>4.7131668256500134</v>
      </c>
      <c r="L18" s="1211">
        <f>C18/I18-1</f>
        <v>5.7024347127399233E-2</v>
      </c>
      <c r="O18" s="2"/>
    </row>
    <row r="19" spans="1:15" ht="12.75" customHeight="1">
      <c r="A19" s="2" t="s">
        <v>742</v>
      </c>
      <c r="B19" s="2"/>
      <c r="C19" s="146">
        <f>BYD!AH54</f>
        <v>-9.75</v>
      </c>
      <c r="D19" s="96">
        <f>BYD!AC54</f>
        <v>-9.98</v>
      </c>
      <c r="E19" s="1103"/>
      <c r="F19" s="374">
        <f>C19-D19</f>
        <v>0.23000000000000043</v>
      </c>
      <c r="G19" s="126">
        <f t="shared" si="0"/>
        <v>-2.3046092184368816E-2</v>
      </c>
      <c r="H19" s="2"/>
      <c r="I19" s="1104">
        <v>-9.4</v>
      </c>
      <c r="J19" s="1103"/>
      <c r="K19" s="374">
        <f t="shared" ref="K19:K33" si="1">C19-I19</f>
        <v>-0.34999999999999964</v>
      </c>
      <c r="L19" s="1204">
        <f>IF(I19=0,"NM",C19/I19-1)</f>
        <v>3.7234042553191404E-2</v>
      </c>
      <c r="O19" s="2"/>
    </row>
    <row r="20" spans="1:15" ht="12.75" customHeight="1">
      <c r="A20" s="138" t="s">
        <v>555</v>
      </c>
      <c r="B20" s="1203"/>
      <c r="C20" s="1209">
        <f>C18+C19</f>
        <v>77.614999999999995</v>
      </c>
      <c r="D20" s="1210">
        <f>D18+D19</f>
        <v>96.714999999999989</v>
      </c>
      <c r="E20" s="1210"/>
      <c r="F20" s="1210">
        <f>F18+F19</f>
        <v>-19.100000000000005</v>
      </c>
      <c r="G20" s="1208">
        <f>G18+G19</f>
        <v>-0.20421671873669089</v>
      </c>
      <c r="H20" s="1210"/>
      <c r="I20" s="1250">
        <v>73.251833174349969</v>
      </c>
      <c r="J20" s="1210"/>
      <c r="K20" s="1210">
        <f>K18+K19</f>
        <v>4.3631668256500138</v>
      </c>
      <c r="L20" s="1254">
        <f>L18-L19</f>
        <v>1.9790304574207829E-2</v>
      </c>
      <c r="M20" s="1238"/>
      <c r="O20" s="2"/>
    </row>
    <row r="21" spans="1:15" ht="12.75" customHeight="1">
      <c r="A21" s="439" t="s">
        <v>1745</v>
      </c>
      <c r="B21" s="2"/>
      <c r="C21" s="373">
        <f>BYD!AH65</f>
        <v>2.8559999999999999</v>
      </c>
      <c r="D21" s="374">
        <f>BYD!AC65</f>
        <v>3.3919999999999999</v>
      </c>
      <c r="E21" s="1103"/>
      <c r="F21" s="374">
        <f>C21-D21</f>
        <v>-0.53600000000000003</v>
      </c>
      <c r="G21" s="126">
        <f t="shared" si="0"/>
        <v>-0.15801886792452835</v>
      </c>
      <c r="H21" s="2"/>
      <c r="I21" s="432">
        <v>4</v>
      </c>
      <c r="J21" s="1103"/>
      <c r="K21" s="374">
        <f t="shared" si="1"/>
        <v>-1.1440000000000001</v>
      </c>
      <c r="L21" s="1204">
        <f>IF(I21=0,"NM",C21/I21-1)</f>
        <v>-0.28600000000000003</v>
      </c>
      <c r="O21" s="2"/>
    </row>
    <row r="22" spans="1:15" ht="12.75" customHeight="1">
      <c r="A22" s="439" t="s">
        <v>201</v>
      </c>
      <c r="B22" s="2"/>
      <c r="C22" s="373">
        <f>BYD!AH66</f>
        <v>1.0680000000000001</v>
      </c>
      <c r="D22" s="374">
        <f>BYD!AC66</f>
        <v>1.089</v>
      </c>
      <c r="E22" s="1103"/>
      <c r="F22" s="374">
        <f>C22-D22</f>
        <v>-2.0999999999999908E-2</v>
      </c>
      <c r="G22" s="126">
        <f t="shared" si="0"/>
        <v>-1.9283746556473691E-2</v>
      </c>
      <c r="H22" s="2"/>
      <c r="I22" s="432">
        <v>1.089</v>
      </c>
      <c r="J22" s="1103"/>
      <c r="K22" s="374">
        <f t="shared" si="1"/>
        <v>-2.0999999999999908E-2</v>
      </c>
      <c r="L22" s="1204">
        <f>IF(I22=0,"NM",C22/I22-1)</f>
        <v>-1.9283746556473691E-2</v>
      </c>
      <c r="O22" s="2"/>
    </row>
    <row r="23" spans="1:15" ht="12.75" customHeight="1">
      <c r="A23" s="1693" t="s">
        <v>202</v>
      </c>
      <c r="B23" s="2"/>
      <c r="C23" s="373">
        <f>BYD!AH67</f>
        <v>40.045999999999999</v>
      </c>
      <c r="D23" s="374">
        <f>BYD!AC67</f>
        <v>42.975999999999999</v>
      </c>
      <c r="E23" s="1103"/>
      <c r="F23" s="374">
        <f>C23-D23</f>
        <v>-2.9299999999999997</v>
      </c>
      <c r="G23" s="126">
        <f t="shared" si="0"/>
        <v>-6.8177587490692471E-2</v>
      </c>
      <c r="H23" s="2"/>
      <c r="I23" s="432">
        <v>39.427999999999997</v>
      </c>
      <c r="J23" s="1103"/>
      <c r="K23" s="374">
        <f t="shared" si="1"/>
        <v>0.6180000000000021</v>
      </c>
      <c r="L23" s="1204">
        <f>IF(I23=0,"NM",C23/I23-1)</f>
        <v>1.567414020493052E-2</v>
      </c>
      <c r="O23" s="2"/>
    </row>
    <row r="24" spans="1:15" ht="4.5" customHeight="1">
      <c r="A24" s="964"/>
      <c r="B24" s="2"/>
      <c r="C24" s="453" t="s">
        <v>343</v>
      </c>
      <c r="D24" s="452" t="s">
        <v>343</v>
      </c>
      <c r="E24" s="96" t="s">
        <v>343</v>
      </c>
      <c r="F24" s="452" t="s">
        <v>343</v>
      </c>
      <c r="G24" s="1251" t="s">
        <v>343</v>
      </c>
      <c r="H24" s="2" t="s">
        <v>343</v>
      </c>
      <c r="I24" s="453" t="s">
        <v>343</v>
      </c>
      <c r="J24" s="96" t="s">
        <v>343</v>
      </c>
      <c r="K24" s="452" t="s">
        <v>343</v>
      </c>
      <c r="L24" s="1252" t="s">
        <v>343</v>
      </c>
      <c r="N24" s="1102"/>
      <c r="O24" s="1102"/>
    </row>
    <row r="25" spans="1:15" ht="12.75" customHeight="1">
      <c r="A25" s="1" t="s">
        <v>744</v>
      </c>
      <c r="B25" s="2"/>
      <c r="C25" s="1242">
        <f>C20-C21-C22-C23</f>
        <v>33.645000000000003</v>
      </c>
      <c r="D25" s="1241">
        <f>D20-D21-D22-D23</f>
        <v>49.257999999999996</v>
      </c>
      <c r="E25" s="932"/>
      <c r="F25" s="1241">
        <f>F20-F21-F22-F23</f>
        <v>-15.613000000000003</v>
      </c>
      <c r="G25" s="106">
        <f t="shared" si="0"/>
        <v>-0.31696374193024468</v>
      </c>
      <c r="H25" s="1205"/>
      <c r="I25" s="1243">
        <v>28.734833174349973</v>
      </c>
      <c r="J25" s="932"/>
      <c r="K25" s="1241">
        <f t="shared" si="1"/>
        <v>4.9101668256500304</v>
      </c>
      <c r="L25" s="1214">
        <f>C25/I25-1</f>
        <v>0.17087855690190912</v>
      </c>
      <c r="O25" s="2"/>
    </row>
    <row r="26" spans="1:15" ht="12.75" customHeight="1">
      <c r="A26" s="445" t="s">
        <v>1176</v>
      </c>
      <c r="B26" s="2"/>
      <c r="C26" s="373">
        <f>BYD!AH73</f>
        <v>-29.007000000000001</v>
      </c>
      <c r="D26" s="374">
        <f>BYD!AC73</f>
        <v>-45.267000000000003</v>
      </c>
      <c r="E26" s="932"/>
      <c r="F26" s="374">
        <f t="shared" ref="F26:F33" si="2">C26-D26</f>
        <v>16.260000000000002</v>
      </c>
      <c r="G26" s="126">
        <f t="shared" si="0"/>
        <v>-0.35920206773146002</v>
      </c>
      <c r="H26" s="1205"/>
      <c r="I26" s="432">
        <v>-29.473080415291662</v>
      </c>
      <c r="J26" s="932"/>
      <c r="K26" s="374">
        <f t="shared" si="1"/>
        <v>0.46608041529166044</v>
      </c>
      <c r="L26" s="1204">
        <f>IF(I26=0,"NM",C26/I26-1)</f>
        <v>-1.5813766621077141E-2</v>
      </c>
      <c r="O26" s="2"/>
    </row>
    <row r="27" spans="1:15" ht="12.75" customHeight="1">
      <c r="A27" s="445" t="s">
        <v>203</v>
      </c>
      <c r="B27" s="2"/>
      <c r="C27" s="373">
        <f>BYD!AH74</f>
        <v>4.0000000000000001E-3</v>
      </c>
      <c r="D27" s="374">
        <f>BYD!AC74</f>
        <v>0</v>
      </c>
      <c r="E27" s="932"/>
      <c r="F27" s="374">
        <f t="shared" si="2"/>
        <v>4.0000000000000001E-3</v>
      </c>
      <c r="G27" s="126">
        <f t="shared" si="0"/>
        <v>0</v>
      </c>
      <c r="H27" s="1205"/>
      <c r="I27" s="432">
        <v>0</v>
      </c>
      <c r="J27" s="932"/>
      <c r="K27" s="374">
        <f t="shared" si="1"/>
        <v>4.0000000000000001E-3</v>
      </c>
      <c r="L27" s="1204" t="str">
        <f>IF(I27=0,"NM",C27/I27-1)</f>
        <v>NM</v>
      </c>
      <c r="O27" s="2"/>
    </row>
    <row r="28" spans="1:15" ht="12.75" customHeight="1">
      <c r="A28" s="445" t="s">
        <v>816</v>
      </c>
      <c r="B28" s="2"/>
      <c r="C28" s="373">
        <f>BYD!AH75</f>
        <v>8.1460000000000008</v>
      </c>
      <c r="D28" s="374">
        <f>BYD!AC75</f>
        <v>12.917</v>
      </c>
      <c r="E28" s="932"/>
      <c r="F28" s="374">
        <f t="shared" si="2"/>
        <v>-4.770999999999999</v>
      </c>
      <c r="G28" s="126">
        <f t="shared" si="0"/>
        <v>-0.3693582101107068</v>
      </c>
      <c r="H28" s="1205"/>
      <c r="I28" s="432">
        <v>12.108722413234188</v>
      </c>
      <c r="J28" s="932"/>
      <c r="K28" s="374">
        <f t="shared" si="1"/>
        <v>-3.9627224132341876</v>
      </c>
      <c r="L28" s="1204">
        <f>IF(I28=0,"NM",C28/I28-1)</f>
        <v>-0.32726180995801368</v>
      </c>
      <c r="O28" s="2"/>
    </row>
    <row r="29" spans="1:15" ht="12.75" customHeight="1">
      <c r="A29" s="445" t="s">
        <v>815</v>
      </c>
      <c r="B29" s="2"/>
      <c r="C29" s="373">
        <f>BYD!AH77</f>
        <v>-3.133</v>
      </c>
      <c r="D29" s="374">
        <f>BYD!AC77</f>
        <v>-4.5220000000000002</v>
      </c>
      <c r="E29" s="1103"/>
      <c r="F29" s="374">
        <f t="shared" si="2"/>
        <v>1.3890000000000002</v>
      </c>
      <c r="G29" s="126">
        <f t="shared" si="0"/>
        <v>-0.30716497125165865</v>
      </c>
      <c r="H29" s="2"/>
      <c r="I29" s="432">
        <v>-3.8413432015660773</v>
      </c>
      <c r="J29" s="1103"/>
      <c r="K29" s="374">
        <f t="shared" si="1"/>
        <v>0.70834320156607733</v>
      </c>
      <c r="L29" s="1204">
        <f>IF(I29=0,"NM",C29/I29-1)</f>
        <v>-0.18439987379344103</v>
      </c>
      <c r="O29" s="2"/>
    </row>
    <row r="30" spans="1:15" ht="12.75" customHeight="1">
      <c r="A30" s="445" t="s">
        <v>814</v>
      </c>
      <c r="B30" s="2"/>
      <c r="C30" s="373">
        <f>BYD!AH78</f>
        <v>-0.62699999999999978</v>
      </c>
      <c r="D30" s="374">
        <f>BYD!AC78</f>
        <v>-32.573</v>
      </c>
      <c r="E30" s="1103"/>
      <c r="F30" s="374">
        <f t="shared" si="2"/>
        <v>31.946000000000002</v>
      </c>
      <c r="G30" s="126">
        <f t="shared" si="0"/>
        <v>-0.9807509286832653</v>
      </c>
      <c r="H30" s="2"/>
      <c r="I30" s="432">
        <v>0</v>
      </c>
      <c r="J30" s="1103"/>
      <c r="K30" s="374">
        <f t="shared" si="1"/>
        <v>-0.62699999999999978</v>
      </c>
      <c r="L30" s="1204" t="str">
        <f>IF(I30=0,"NM",C30/I30-1)</f>
        <v>NM</v>
      </c>
      <c r="O30" s="2"/>
    </row>
    <row r="31" spans="1:15" ht="4.5" customHeight="1">
      <c r="A31" s="964"/>
      <c r="B31" s="2"/>
      <c r="C31" s="453" t="s">
        <v>343</v>
      </c>
      <c r="D31" s="452" t="s">
        <v>343</v>
      </c>
      <c r="E31" s="96" t="s">
        <v>343</v>
      </c>
      <c r="F31" s="452" t="s">
        <v>343</v>
      </c>
      <c r="G31" s="1251" t="s">
        <v>343</v>
      </c>
      <c r="H31" s="2" t="s">
        <v>343</v>
      </c>
      <c r="I31" s="453" t="s">
        <v>343</v>
      </c>
      <c r="J31" s="96" t="s">
        <v>343</v>
      </c>
      <c r="K31" s="452" t="s">
        <v>343</v>
      </c>
      <c r="L31" s="1252" t="s">
        <v>343</v>
      </c>
      <c r="N31" s="1102"/>
      <c r="O31" s="1102"/>
    </row>
    <row r="32" spans="1:15" ht="12.75" customHeight="1">
      <c r="A32" s="1" t="s">
        <v>745</v>
      </c>
      <c r="B32" s="2"/>
      <c r="C32" s="1213">
        <f>SUM(C25:C30)</f>
        <v>9.0280000000000022</v>
      </c>
      <c r="D32" s="932">
        <f>SUM(D25:D30)</f>
        <v>-20.187000000000005</v>
      </c>
      <c r="E32" s="932"/>
      <c r="F32" s="1241">
        <f t="shared" si="2"/>
        <v>29.215000000000007</v>
      </c>
      <c r="G32" s="106">
        <f t="shared" si="0"/>
        <v>-1.4472185069599246</v>
      </c>
      <c r="H32" s="1205"/>
      <c r="I32" s="1244">
        <v>7.5291319707264215</v>
      </c>
      <c r="J32" s="932"/>
      <c r="K32" s="1241">
        <f t="shared" si="1"/>
        <v>1.4988680292735808</v>
      </c>
      <c r="L32" s="1214">
        <f>C32/I32-1</f>
        <v>0.199075807822368</v>
      </c>
      <c r="O32" s="2"/>
    </row>
    <row r="33" spans="1:15" ht="12.75" customHeight="1">
      <c r="A33" s="445" t="s">
        <v>205</v>
      </c>
      <c r="B33" s="2"/>
      <c r="C33" s="373">
        <f>BYD!AH81</f>
        <v>-4.2489999999999997</v>
      </c>
      <c r="D33" s="374">
        <f>BYD!AC81</f>
        <v>6.359</v>
      </c>
      <c r="E33" s="1103"/>
      <c r="F33" s="374">
        <f t="shared" si="2"/>
        <v>-10.608000000000001</v>
      </c>
      <c r="G33" s="126">
        <f t="shared" si="0"/>
        <v>-1.6681868218273312</v>
      </c>
      <c r="H33" s="2"/>
      <c r="I33" s="432">
        <v>-3.0116527882905704</v>
      </c>
      <c r="J33" s="1103"/>
      <c r="K33" s="374">
        <f t="shared" si="1"/>
        <v>-1.2373472117094293</v>
      </c>
      <c r="L33" s="1204">
        <f>IF(I33=0,"NM",C33/I33-1)</f>
        <v>0.41085320874978892</v>
      </c>
      <c r="O33" s="2"/>
    </row>
    <row r="34" spans="1:15" ht="4.5" customHeight="1">
      <c r="A34" s="964"/>
      <c r="B34" s="2"/>
      <c r="C34" s="453" t="s">
        <v>343</v>
      </c>
      <c r="D34" s="452" t="s">
        <v>343</v>
      </c>
      <c r="E34" s="96" t="s">
        <v>343</v>
      </c>
      <c r="F34" s="452" t="s">
        <v>343</v>
      </c>
      <c r="G34" s="1251" t="s">
        <v>343</v>
      </c>
      <c r="H34" s="2" t="s">
        <v>343</v>
      </c>
      <c r="I34" s="453" t="s">
        <v>343</v>
      </c>
      <c r="J34" s="96" t="s">
        <v>343</v>
      </c>
      <c r="K34" s="452" t="s">
        <v>343</v>
      </c>
      <c r="L34" s="1252" t="s">
        <v>343</v>
      </c>
      <c r="N34" s="1102"/>
      <c r="O34" s="1102"/>
    </row>
    <row r="35" spans="1:15" ht="12.75" customHeight="1">
      <c r="A35" s="107" t="s">
        <v>1243</v>
      </c>
      <c r="B35" s="61"/>
      <c r="C35" s="1213">
        <f>C32+C33</f>
        <v>4.7790000000000026</v>
      </c>
      <c r="D35" s="932">
        <f>D32+D33</f>
        <v>-13.828000000000005</v>
      </c>
      <c r="E35" s="932"/>
      <c r="F35" s="1241">
        <f t="shared" ref="F35:L35" si="3">F32+F33</f>
        <v>18.607000000000006</v>
      </c>
      <c r="G35" s="1215">
        <f t="shared" si="3"/>
        <v>-3.1154053287872561</v>
      </c>
      <c r="H35" s="932"/>
      <c r="I35" s="1244">
        <v>4.5174791824358511</v>
      </c>
      <c r="J35" s="932"/>
      <c r="K35" s="1241">
        <f t="shared" si="3"/>
        <v>0.26152081756415146</v>
      </c>
      <c r="L35" s="1215">
        <f t="shared" si="3"/>
        <v>0.60992901657215692</v>
      </c>
      <c r="M35" s="1238"/>
      <c r="N35" s="1238"/>
      <c r="O35" s="61"/>
    </row>
    <row r="36" spans="1:15" ht="12.75" customHeight="1">
      <c r="A36" s="2"/>
      <c r="B36" s="2"/>
      <c r="C36" s="112"/>
      <c r="D36" s="61"/>
      <c r="E36" s="61"/>
      <c r="F36" s="61"/>
      <c r="G36" s="1141"/>
      <c r="H36" s="2"/>
      <c r="I36" s="115"/>
      <c r="J36" s="61"/>
      <c r="K36" s="61"/>
      <c r="L36" s="1216"/>
      <c r="O36" s="2"/>
    </row>
    <row r="37" spans="1:15" ht="12.75" customHeight="1">
      <c r="A37" s="147" t="s">
        <v>1747</v>
      </c>
      <c r="B37" s="160"/>
      <c r="C37" s="1217">
        <f>BYD!AH88</f>
        <v>8.8590000000000053</v>
      </c>
      <c r="D37" s="1218">
        <f>BYD!AC88</f>
        <v>13.006499999999994</v>
      </c>
      <c r="E37" s="1218"/>
      <c r="F37" s="1218">
        <f>C37-D37</f>
        <v>-4.1474999999999884</v>
      </c>
      <c r="G37" s="1219">
        <f>IF(D37=0,0,C37/D37-1)</f>
        <v>-0.31887902202744711</v>
      </c>
      <c r="H37" s="1220"/>
      <c r="I37" s="1245">
        <v>4.5174791824358547</v>
      </c>
      <c r="J37" s="1218"/>
      <c r="K37" s="1218">
        <f>C37-I37</f>
        <v>4.3415208175641506</v>
      </c>
      <c r="L37" s="1221">
        <f>C37/I37-1</f>
        <v>0.9610494353674417</v>
      </c>
      <c r="O37" s="2"/>
    </row>
    <row r="38" spans="1:15" ht="12.75" customHeight="1">
      <c r="A38" s="2"/>
      <c r="B38" s="2"/>
      <c r="C38" s="112"/>
      <c r="D38" s="61"/>
      <c r="E38" s="61"/>
      <c r="F38" s="61"/>
      <c r="G38" s="1141"/>
      <c r="H38" s="2"/>
      <c r="I38" s="115"/>
      <c r="J38" s="61"/>
      <c r="K38" s="61"/>
      <c r="L38" s="1216"/>
      <c r="O38" s="2"/>
    </row>
    <row r="39" spans="1:15" ht="12.75" customHeight="1">
      <c r="A39" s="138" t="s">
        <v>746</v>
      </c>
      <c r="B39" s="155"/>
      <c r="C39" s="153">
        <f>BYD!AH95</f>
        <v>0.10229674022239935</v>
      </c>
      <c r="D39" s="152">
        <f>BYD!AC95</f>
        <v>0.14961866307761321</v>
      </c>
      <c r="E39" s="152"/>
      <c r="F39" s="152">
        <f>C39-D39</f>
        <v>-4.732192285521386E-2</v>
      </c>
      <c r="G39" s="1208">
        <f>IF(D39=0,0,C39/D39-1)</f>
        <v>-0.3162835563546379</v>
      </c>
      <c r="H39" s="155"/>
      <c r="I39" s="1246">
        <v>5.2307433449537484E-2</v>
      </c>
      <c r="J39" s="152"/>
      <c r="K39" s="152">
        <f>C39-I39</f>
        <v>4.9989306772861862E-2</v>
      </c>
      <c r="L39" s="1211">
        <f>C39/I39-1</f>
        <v>0.95568265304180922</v>
      </c>
      <c r="O39" s="1256">
        <v>0.09</v>
      </c>
    </row>
    <row r="40" spans="1:15" ht="12.75" customHeight="1">
      <c r="A40" s="2" t="s">
        <v>769</v>
      </c>
      <c r="B40" s="2"/>
      <c r="C40" s="146">
        <f>BYD!AH103</f>
        <v>86.600999999999999</v>
      </c>
      <c r="D40" s="96">
        <f>BYD!AC103</f>
        <v>86.930999999999997</v>
      </c>
      <c r="E40" s="1103"/>
      <c r="F40" s="374">
        <f>C40-D40</f>
        <v>-0.32999999999999829</v>
      </c>
      <c r="G40" s="126">
        <f>IF(D40=0,0,C40/D40-1)</f>
        <v>-3.796114159505759E-3</v>
      </c>
      <c r="H40" s="2"/>
      <c r="I40" s="1104">
        <v>86.36399999999999</v>
      </c>
      <c r="J40" s="1103"/>
      <c r="K40" s="374">
        <f>C40-I40</f>
        <v>0.23700000000000898</v>
      </c>
      <c r="L40" s="1204">
        <f>C40/I40-1</f>
        <v>2.7441989717940096E-3</v>
      </c>
      <c r="O40" s="2"/>
    </row>
    <row r="41" spans="1:15" ht="12.75" customHeight="1">
      <c r="A41" s="2"/>
      <c r="B41" s="2"/>
      <c r="C41" s="112"/>
      <c r="D41" s="61"/>
      <c r="E41" s="61"/>
      <c r="F41" s="2"/>
      <c r="G41" s="2"/>
      <c r="H41" s="2"/>
      <c r="I41" s="115"/>
      <c r="J41" s="61"/>
      <c r="K41" s="61"/>
      <c r="L41" s="2"/>
      <c r="O41" s="2"/>
    </row>
    <row r="42" spans="1:15" ht="12.75" customHeight="1">
      <c r="A42" s="1222" t="s">
        <v>271</v>
      </c>
      <c r="B42" s="1223"/>
      <c r="C42" s="1224">
        <f>C18/C12</f>
        <v>0.21931222841708103</v>
      </c>
      <c r="D42" s="1225">
        <f>D18/D12</f>
        <v>0.24536329036783222</v>
      </c>
      <c r="E42" s="1225"/>
      <c r="F42" s="1223"/>
      <c r="G42" s="1226">
        <f>(C42-D42)</f>
        <v>-2.6051061950751186E-2</v>
      </c>
      <c r="H42" s="1223"/>
      <c r="I42" s="1247">
        <v>0.20616941117399989</v>
      </c>
      <c r="J42" s="1225"/>
      <c r="K42" s="1223"/>
      <c r="L42" s="1227">
        <f>(C42-I42)</f>
        <v>1.314281724308114E-2</v>
      </c>
      <c r="O42" s="2"/>
    </row>
    <row r="43" spans="1:15" ht="12.75" customHeight="1">
      <c r="A43" s="1239" t="s">
        <v>514</v>
      </c>
      <c r="B43" s="1228"/>
      <c r="C43" s="1229">
        <f t="shared" ref="C43:D45" si="4">C15/C9</f>
        <v>0.25811128426538588</v>
      </c>
      <c r="D43" s="1230">
        <f t="shared" si="4"/>
        <v>0.26643307720797887</v>
      </c>
      <c r="E43" s="1230"/>
      <c r="F43" s="1228"/>
      <c r="G43" s="1231">
        <f>(C43-D43)</f>
        <v>-8.3217929425929982E-3</v>
      </c>
      <c r="H43" s="1228"/>
      <c r="I43" s="1248">
        <v>0.23015778981716462</v>
      </c>
      <c r="J43" s="1230"/>
      <c r="K43" s="1228"/>
      <c r="L43" s="1232">
        <f>(C43-I43)</f>
        <v>2.7953494448221261E-2</v>
      </c>
      <c r="O43" s="2"/>
    </row>
    <row r="44" spans="1:15" ht="12.75" customHeight="1">
      <c r="A44" s="1239" t="s">
        <v>515</v>
      </c>
      <c r="B44" s="1228"/>
      <c r="C44" s="1229">
        <f t="shared" si="4"/>
        <v>0.1550169422482271</v>
      </c>
      <c r="D44" s="1230">
        <f t="shared" si="4"/>
        <v>0.22763146680303417</v>
      </c>
      <c r="E44" s="1230"/>
      <c r="F44" s="1228"/>
      <c r="G44" s="1231">
        <f>(C44-D44)</f>
        <v>-7.2614524554807075E-2</v>
      </c>
      <c r="H44" s="1228"/>
      <c r="I44" s="1248">
        <v>0.21962764780617447</v>
      </c>
      <c r="J44" s="1230"/>
      <c r="K44" s="1228"/>
      <c r="L44" s="1232">
        <f>(C44-I44)</f>
        <v>-6.4610705557947373E-2</v>
      </c>
      <c r="O44" s="2"/>
    </row>
    <row r="45" spans="1:15" ht="12.75" customHeight="1">
      <c r="A45" s="1240" t="s">
        <v>516</v>
      </c>
      <c r="B45" s="1233"/>
      <c r="C45" s="1234">
        <f t="shared" si="4"/>
        <v>0.20545318990307807</v>
      </c>
      <c r="D45" s="1235">
        <f t="shared" si="4"/>
        <v>0.23302002610623979</v>
      </c>
      <c r="E45" s="1235"/>
      <c r="F45" s="1233"/>
      <c r="G45" s="1236">
        <f>(C45-D45)</f>
        <v>-2.7566836203161721E-2</v>
      </c>
      <c r="H45" s="1233"/>
      <c r="I45" s="1249">
        <v>0.18255321008997977</v>
      </c>
      <c r="J45" s="1235"/>
      <c r="K45" s="1233"/>
      <c r="L45" s="1237">
        <f>(C45-I45)</f>
        <v>2.2899979813098298E-2</v>
      </c>
      <c r="O45" s="2"/>
    </row>
    <row r="46" spans="1:15" ht="12.75" customHeight="1">
      <c r="A46" s="61"/>
      <c r="B46" s="61"/>
      <c r="C46" s="1198"/>
      <c r="D46" s="61"/>
      <c r="E46" s="61"/>
      <c r="F46" s="61"/>
      <c r="G46" s="61"/>
      <c r="H46" s="61"/>
      <c r="I46" s="1198"/>
      <c r="J46" s="61"/>
      <c r="K46" s="61"/>
      <c r="L46" s="61"/>
      <c r="O46" s="2"/>
    </row>
    <row r="47" spans="1:15" ht="12.75" customHeight="1">
      <c r="A47" s="61" t="s">
        <v>1139</v>
      </c>
      <c r="B47" s="61"/>
      <c r="C47" s="373">
        <f>C20</f>
        <v>77.614999999999995</v>
      </c>
      <c r="D47" s="365">
        <f>D20</f>
        <v>96.714999999999989</v>
      </c>
      <c r="E47" s="61"/>
      <c r="F47" s="374">
        <f>C47-D47</f>
        <v>-19.099999999999994</v>
      </c>
      <c r="G47" s="126">
        <f>IF(D47=0,0,C47/D47-1)</f>
        <v>-0.19748746316496923</v>
      </c>
      <c r="H47" s="1205"/>
      <c r="I47" s="432">
        <v>73.251833174349969</v>
      </c>
      <c r="J47" s="932"/>
      <c r="K47" s="374">
        <f>C47-I47</f>
        <v>4.3631668256500262</v>
      </c>
      <c r="L47" s="1204">
        <f>IF(I47=0,"NM",C47/I47-1)</f>
        <v>5.956392675204536E-2</v>
      </c>
      <c r="O47" s="2"/>
    </row>
    <row r="48" spans="1:15" ht="12.75" customHeight="1">
      <c r="A48" s="61" t="s">
        <v>817</v>
      </c>
      <c r="B48" s="61"/>
      <c r="C48" s="373">
        <f>C28</f>
        <v>8.1460000000000008</v>
      </c>
      <c r="D48" s="365">
        <f>D28</f>
        <v>12.917</v>
      </c>
      <c r="E48" s="61"/>
      <c r="F48" s="374">
        <f>C48-D48</f>
        <v>-4.770999999999999</v>
      </c>
      <c r="G48" s="126">
        <f>IF(D48=0,0,C48/D48-1)</f>
        <v>-0.3693582101107068</v>
      </c>
      <c r="H48" s="2"/>
      <c r="I48" s="432">
        <v>12.108722413234188</v>
      </c>
      <c r="J48" s="1103"/>
      <c r="K48" s="374">
        <f>C48-I48</f>
        <v>-3.9627224132341876</v>
      </c>
      <c r="L48" s="1204">
        <f>IF(I48=0,"NM",C48/I48-1)</f>
        <v>-0.32726180995801368</v>
      </c>
      <c r="O48" s="2"/>
    </row>
    <row r="49" spans="1:15" ht="4.5" customHeight="1">
      <c r="A49" s="964"/>
      <c r="B49" s="2"/>
      <c r="C49" s="453" t="s">
        <v>343</v>
      </c>
      <c r="D49" s="452" t="s">
        <v>343</v>
      </c>
      <c r="E49" s="96" t="s">
        <v>343</v>
      </c>
      <c r="F49" s="452" t="s">
        <v>343</v>
      </c>
      <c r="G49" s="1251" t="s">
        <v>343</v>
      </c>
      <c r="H49" s="2" t="s">
        <v>343</v>
      </c>
      <c r="I49" s="453" t="s">
        <v>343</v>
      </c>
      <c r="J49" s="96" t="s">
        <v>343</v>
      </c>
      <c r="K49" s="452" t="s">
        <v>343</v>
      </c>
      <c r="L49" s="1252" t="s">
        <v>343</v>
      </c>
      <c r="N49" s="1102"/>
      <c r="O49" s="1102"/>
    </row>
    <row r="50" spans="1:15" ht="12.75" customHeight="1">
      <c r="A50" s="1" t="s">
        <v>743</v>
      </c>
      <c r="B50" s="2"/>
      <c r="C50" s="1242">
        <f>SUM(C47:C48)</f>
        <v>85.760999999999996</v>
      </c>
      <c r="D50" s="1253">
        <f>SUM(D47:D48)</f>
        <v>109.63199999999999</v>
      </c>
      <c r="E50" s="61"/>
      <c r="F50" s="374">
        <f>C50-D50</f>
        <v>-23.870999999999995</v>
      </c>
      <c r="G50" s="126">
        <f>IF(D50=0,0,C50/D50-1)</f>
        <v>-0.21773752189141848</v>
      </c>
      <c r="H50" s="2"/>
      <c r="I50" s="1243">
        <v>85.360555587584159</v>
      </c>
      <c r="J50" s="1103"/>
      <c r="K50" s="1241">
        <f>C50-I50</f>
        <v>0.40044441241583684</v>
      </c>
      <c r="L50" s="1204">
        <f>IF(I50=0,"NM",C50/I50-1)</f>
        <v>4.6912114109305403E-3</v>
      </c>
      <c r="O50" s="1102">
        <v>93.8</v>
      </c>
    </row>
    <row r="51" spans="1:15" ht="4.5" customHeight="1"/>
  </sheetData>
  <phoneticPr fontId="10" type="noConversion"/>
  <pageMargins left="0.75" right="0.75" top="1" bottom="1" header="0.5" footer="0.5"/>
  <pageSetup scale="92" orientation="portrait" horizontalDpi="1200" verticalDpi="120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N2"/>
  <sheetViews>
    <sheetView workbookViewId="0"/>
  </sheetViews>
  <sheetFormatPr defaultRowHeight="15.75"/>
  <sheetData>
    <row r="1" spans="1:14">
      <c r="A1" t="s">
        <v>151</v>
      </c>
    </row>
    <row r="2" spans="1:14">
      <c r="A2" s="3" t="s">
        <v>1968</v>
      </c>
      <c r="B2" s="3" t="s">
        <v>2017</v>
      </c>
      <c r="C2" s="3" t="s">
        <v>1656</v>
      </c>
      <c r="D2" s="3" t="s">
        <v>812</v>
      </c>
      <c r="E2" s="3" t="s">
        <v>1969</v>
      </c>
      <c r="F2" s="3" t="s">
        <v>1971</v>
      </c>
      <c r="G2" s="3" t="s">
        <v>150</v>
      </c>
      <c r="H2" s="3" t="s">
        <v>171</v>
      </c>
      <c r="I2" s="3" t="s">
        <v>1168</v>
      </c>
      <c r="J2" s="3" t="s">
        <v>812</v>
      </c>
      <c r="K2" s="3" t="s">
        <v>1970</v>
      </c>
      <c r="L2" s="3" t="s">
        <v>606</v>
      </c>
      <c r="M2" s="3" t="s">
        <v>1655</v>
      </c>
      <c r="N2" s="3" t="s">
        <v>812</v>
      </c>
    </row>
  </sheetData>
  <phoneticPr fontId="1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CD28"/>
  <sheetViews>
    <sheetView zoomScale="85" workbookViewId="0">
      <pane xSplit="4" ySplit="5" topLeftCell="E6" activePane="bottomRight" state="frozen"/>
      <selection pane="topRight" activeCell="E1" sqref="E1"/>
      <selection pane="bottomLeft" activeCell="A6" sqref="A6"/>
      <selection pane="bottomRight" activeCell="E6" sqref="E6"/>
    </sheetView>
  </sheetViews>
  <sheetFormatPr defaultRowHeight="15.75"/>
  <cols>
    <col min="1" max="1" width="25" bestFit="1" customWidth="1"/>
    <col min="2" max="2" width="14.25" bestFit="1" customWidth="1"/>
    <col min="3" max="3" width="10.875" bestFit="1" customWidth="1"/>
    <col min="4" max="4" width="1.625" customWidth="1"/>
    <col min="5" max="6" width="10" bestFit="1" customWidth="1"/>
    <col min="7" max="8" width="11.625" bestFit="1" customWidth="1"/>
    <col min="9" max="80" width="10" bestFit="1" customWidth="1"/>
  </cols>
  <sheetData>
    <row r="1" spans="1:82">
      <c r="A1" s="2"/>
      <c r="B1" s="2"/>
      <c r="C1" s="2"/>
      <c r="D1" s="2"/>
      <c r="E1" s="1032" t="s">
        <v>317</v>
      </c>
      <c r="F1" s="1032" t="s">
        <v>317</v>
      </c>
      <c r="G1" s="1032" t="s">
        <v>317</v>
      </c>
      <c r="H1" s="1032" t="s">
        <v>317</v>
      </c>
      <c r="I1" s="1032" t="s">
        <v>317</v>
      </c>
      <c r="J1" s="1032" t="s">
        <v>317</v>
      </c>
      <c r="K1" s="1032" t="s">
        <v>317</v>
      </c>
      <c r="L1" s="1032" t="s">
        <v>317</v>
      </c>
      <c r="M1" s="1032" t="s">
        <v>317</v>
      </c>
      <c r="N1" s="1032" t="s">
        <v>317</v>
      </c>
      <c r="O1" s="1032" t="s">
        <v>317</v>
      </c>
      <c r="P1" s="1032" t="s">
        <v>317</v>
      </c>
      <c r="Q1" s="1032"/>
      <c r="R1" s="1032" t="s">
        <v>317</v>
      </c>
      <c r="S1" s="1032" t="s">
        <v>317</v>
      </c>
      <c r="T1" s="1032" t="s">
        <v>317</v>
      </c>
      <c r="U1" s="1032" t="s">
        <v>317</v>
      </c>
      <c r="V1" s="1032" t="s">
        <v>317</v>
      </c>
      <c r="W1" s="1032" t="s">
        <v>317</v>
      </c>
      <c r="X1" s="1032" t="s">
        <v>317</v>
      </c>
      <c r="Y1" s="1032" t="s">
        <v>317</v>
      </c>
      <c r="Z1" s="1032" t="s">
        <v>317</v>
      </c>
      <c r="AA1" s="1032" t="s">
        <v>317</v>
      </c>
      <c r="AB1" s="1032" t="s">
        <v>317</v>
      </c>
      <c r="AC1" s="1032" t="s">
        <v>317</v>
      </c>
      <c r="AD1" s="1032"/>
      <c r="AE1" s="1032" t="s">
        <v>317</v>
      </c>
      <c r="AF1" s="1032" t="s">
        <v>317</v>
      </c>
      <c r="AG1" s="1032" t="s">
        <v>317</v>
      </c>
      <c r="AH1" s="1032" t="s">
        <v>317</v>
      </c>
      <c r="AI1" s="1032" t="s">
        <v>317</v>
      </c>
      <c r="AJ1" s="1032" t="s">
        <v>317</v>
      </c>
      <c r="AK1" s="1032" t="s">
        <v>317</v>
      </c>
      <c r="AL1" s="1032" t="s">
        <v>317</v>
      </c>
      <c r="AM1" s="1032" t="s">
        <v>317</v>
      </c>
      <c r="AN1" s="1032" t="s">
        <v>317</v>
      </c>
      <c r="AO1" s="1032" t="s">
        <v>317</v>
      </c>
      <c r="AP1" s="1032" t="s">
        <v>317</v>
      </c>
      <c r="AQ1" s="1032"/>
      <c r="AR1" s="1032" t="s">
        <v>317</v>
      </c>
      <c r="AS1" s="1032" t="s">
        <v>317</v>
      </c>
      <c r="AT1" s="1032" t="s">
        <v>317</v>
      </c>
      <c r="AU1" s="1032" t="s">
        <v>317</v>
      </c>
      <c r="AV1" s="1032" t="s">
        <v>317</v>
      </c>
      <c r="AW1" s="1032" t="s">
        <v>317</v>
      </c>
      <c r="AX1" s="1032" t="s">
        <v>317</v>
      </c>
      <c r="AY1" s="1032" t="s">
        <v>317</v>
      </c>
      <c r="AZ1" s="1032" t="s">
        <v>317</v>
      </c>
      <c r="BA1" s="1032" t="s">
        <v>317</v>
      </c>
      <c r="BB1" s="1032" t="s">
        <v>317</v>
      </c>
      <c r="BC1" s="1032" t="s">
        <v>317</v>
      </c>
      <c r="BD1" s="1032"/>
      <c r="BE1" s="1032" t="s">
        <v>317</v>
      </c>
      <c r="BF1" s="1032" t="s">
        <v>317</v>
      </c>
      <c r="BG1" s="1032" t="s">
        <v>317</v>
      </c>
      <c r="BH1" s="1032" t="s">
        <v>317</v>
      </c>
      <c r="BI1" s="1032" t="s">
        <v>317</v>
      </c>
      <c r="BJ1" s="1032" t="s">
        <v>317</v>
      </c>
      <c r="BK1" s="1032" t="s">
        <v>317</v>
      </c>
      <c r="BL1" s="1032" t="s">
        <v>317</v>
      </c>
      <c r="BM1" s="1032" t="s">
        <v>317</v>
      </c>
      <c r="BN1" s="1032" t="s">
        <v>317</v>
      </c>
      <c r="BO1" s="1032" t="s">
        <v>317</v>
      </c>
      <c r="BP1" s="1032" t="s">
        <v>317</v>
      </c>
      <c r="BQ1" s="1032"/>
      <c r="BR1" s="1032" t="s">
        <v>317</v>
      </c>
      <c r="BS1" s="1032" t="s">
        <v>317</v>
      </c>
      <c r="BT1" s="1032" t="s">
        <v>317</v>
      </c>
      <c r="BU1" s="1032" t="s">
        <v>317</v>
      </c>
      <c r="BV1" s="1032" t="s">
        <v>317</v>
      </c>
      <c r="BW1" s="1032" t="s">
        <v>317</v>
      </c>
      <c r="BX1" s="1032" t="s">
        <v>317</v>
      </c>
      <c r="BY1" s="1032" t="s">
        <v>317</v>
      </c>
      <c r="BZ1" s="1032" t="s">
        <v>317</v>
      </c>
      <c r="CA1" s="1032" t="s">
        <v>317</v>
      </c>
      <c r="CB1" s="1032" t="s">
        <v>317</v>
      </c>
      <c r="CC1" s="1032" t="s">
        <v>317</v>
      </c>
      <c r="CD1" s="2"/>
    </row>
    <row r="2" spans="1:82">
      <c r="A2" s="1033" t="s">
        <v>1358</v>
      </c>
      <c r="B2" s="176"/>
      <c r="C2" s="2"/>
      <c r="D2" s="2"/>
      <c r="E2" s="1034">
        <v>37987</v>
      </c>
      <c r="F2" s="1034">
        <v>38018</v>
      </c>
      <c r="G2" s="1034">
        <v>38047</v>
      </c>
      <c r="H2" s="1034">
        <v>38078</v>
      </c>
      <c r="I2" s="1034">
        <v>38108</v>
      </c>
      <c r="J2" s="1034">
        <v>38139</v>
      </c>
      <c r="K2" s="1034">
        <v>38169</v>
      </c>
      <c r="L2" s="1034">
        <v>38200</v>
      </c>
      <c r="M2" s="1034">
        <v>38231</v>
      </c>
      <c r="N2" s="1034">
        <v>38261</v>
      </c>
      <c r="O2" s="1034">
        <v>38292</v>
      </c>
      <c r="P2" s="1034">
        <v>38322</v>
      </c>
      <c r="Q2" s="1034"/>
      <c r="R2" s="1034">
        <v>38353</v>
      </c>
      <c r="S2" s="1034">
        <v>38384</v>
      </c>
      <c r="T2" s="1034">
        <v>38412</v>
      </c>
      <c r="U2" s="1034">
        <v>38443</v>
      </c>
      <c r="V2" s="1034">
        <v>38473</v>
      </c>
      <c r="W2" s="1034">
        <v>38504</v>
      </c>
      <c r="X2" s="1034">
        <v>38534</v>
      </c>
      <c r="Y2" s="1034">
        <v>38565</v>
      </c>
      <c r="Z2" s="1034">
        <v>38596</v>
      </c>
      <c r="AA2" s="1034">
        <v>38626</v>
      </c>
      <c r="AB2" s="1034">
        <v>38657</v>
      </c>
      <c r="AC2" s="1034">
        <v>38687</v>
      </c>
      <c r="AD2" s="1034"/>
      <c r="AE2" s="1034">
        <v>38718</v>
      </c>
      <c r="AF2" s="1034">
        <v>38749</v>
      </c>
      <c r="AG2" s="1034">
        <v>38777</v>
      </c>
      <c r="AH2" s="1034">
        <v>38808</v>
      </c>
      <c r="AI2" s="1034">
        <v>38838</v>
      </c>
      <c r="AJ2" s="1034">
        <v>38869</v>
      </c>
      <c r="AK2" s="1034">
        <v>38899</v>
      </c>
      <c r="AL2" s="1034">
        <v>38930</v>
      </c>
      <c r="AM2" s="1034">
        <v>38961</v>
      </c>
      <c r="AN2" s="1034">
        <v>38991</v>
      </c>
      <c r="AO2" s="1034">
        <v>39022</v>
      </c>
      <c r="AP2" s="1034">
        <v>39052</v>
      </c>
      <c r="AQ2" s="1034"/>
      <c r="AR2" s="1034">
        <v>39083</v>
      </c>
      <c r="AS2" s="1034">
        <v>39114</v>
      </c>
      <c r="AT2" s="1034">
        <v>39142</v>
      </c>
      <c r="AU2" s="1034">
        <v>39173</v>
      </c>
      <c r="AV2" s="1034">
        <v>39203</v>
      </c>
      <c r="AW2" s="1034">
        <v>39234</v>
      </c>
      <c r="AX2" s="1034">
        <v>39264</v>
      </c>
      <c r="AY2" s="1034">
        <v>39295</v>
      </c>
      <c r="AZ2" s="1034">
        <v>39326</v>
      </c>
      <c r="BA2" s="1034">
        <v>39356</v>
      </c>
      <c r="BB2" s="1034">
        <v>39387</v>
      </c>
      <c r="BC2" s="1034">
        <v>39417</v>
      </c>
      <c r="BD2" s="1034"/>
      <c r="BE2" s="1034">
        <v>39448</v>
      </c>
      <c r="BF2" s="1034">
        <v>39479</v>
      </c>
      <c r="BG2" s="1034">
        <v>39508</v>
      </c>
      <c r="BH2" s="1034">
        <v>39539</v>
      </c>
      <c r="BI2" s="1034">
        <v>39569</v>
      </c>
      <c r="BJ2" s="1034">
        <v>39600</v>
      </c>
      <c r="BK2" s="1034">
        <v>39630</v>
      </c>
      <c r="BL2" s="1034">
        <v>39661</v>
      </c>
      <c r="BM2" s="1034">
        <v>39692</v>
      </c>
      <c r="BN2" s="1034">
        <v>39722</v>
      </c>
      <c r="BO2" s="1034">
        <v>39753</v>
      </c>
      <c r="BP2" s="1034">
        <v>39783</v>
      </c>
      <c r="BQ2" s="1034"/>
      <c r="BR2" s="1034">
        <v>39814</v>
      </c>
      <c r="BS2" s="1034">
        <v>39845</v>
      </c>
      <c r="BT2" s="1034">
        <v>39873</v>
      </c>
      <c r="BU2" s="1034">
        <v>39904</v>
      </c>
      <c r="BV2" s="1034">
        <v>39934</v>
      </c>
      <c r="BW2" s="1034">
        <v>39965</v>
      </c>
      <c r="BX2" s="1034">
        <v>39995</v>
      </c>
      <c r="BY2" s="1034">
        <v>40026</v>
      </c>
      <c r="BZ2" s="1034">
        <v>40057</v>
      </c>
      <c r="CA2" s="1034">
        <v>40087</v>
      </c>
      <c r="CB2" s="1034">
        <v>40118</v>
      </c>
      <c r="CC2" s="1034">
        <v>40148</v>
      </c>
      <c r="CD2" s="2"/>
    </row>
    <row r="3" spans="1:82">
      <c r="A3" s="1035"/>
      <c r="B3" s="176"/>
      <c r="C3" s="2"/>
      <c r="D3" s="2"/>
      <c r="E3" s="1036">
        <v>2004</v>
      </c>
      <c r="F3" s="1036">
        <v>2004</v>
      </c>
      <c r="G3" s="1036">
        <v>2004</v>
      </c>
      <c r="H3" s="1036">
        <v>2004</v>
      </c>
      <c r="I3" s="1036">
        <v>2004</v>
      </c>
      <c r="J3" s="1036">
        <v>2004</v>
      </c>
      <c r="K3" s="1036">
        <v>2004</v>
      </c>
      <c r="L3" s="1036">
        <v>2004</v>
      </c>
      <c r="M3" s="1036">
        <v>2004</v>
      </c>
      <c r="N3" s="1036">
        <v>2004</v>
      </c>
      <c r="O3" s="1036">
        <v>2004</v>
      </c>
      <c r="P3" s="1036">
        <v>2004</v>
      </c>
      <c r="Q3" s="1036"/>
      <c r="R3" s="1036">
        <v>2005</v>
      </c>
      <c r="S3" s="1036">
        <v>2005</v>
      </c>
      <c r="T3" s="1036">
        <v>2005</v>
      </c>
      <c r="U3" s="1036">
        <v>2005</v>
      </c>
      <c r="V3" s="1036">
        <v>2005</v>
      </c>
      <c r="W3" s="1036">
        <v>2005</v>
      </c>
      <c r="X3" s="1036">
        <v>2005</v>
      </c>
      <c r="Y3" s="1036">
        <v>2005</v>
      </c>
      <c r="Z3" s="1036">
        <v>2005</v>
      </c>
      <c r="AA3" s="1036">
        <v>2005</v>
      </c>
      <c r="AB3" s="1036">
        <v>2005</v>
      </c>
      <c r="AC3" s="1036">
        <v>2005</v>
      </c>
      <c r="AD3" s="1036"/>
      <c r="AE3" s="1036">
        <v>2006</v>
      </c>
      <c r="AF3" s="1036">
        <v>2006</v>
      </c>
      <c r="AG3" s="1036">
        <v>2006</v>
      </c>
      <c r="AH3" s="1036">
        <v>2006</v>
      </c>
      <c r="AI3" s="1036">
        <v>2006</v>
      </c>
      <c r="AJ3" s="1036">
        <v>2006</v>
      </c>
      <c r="AK3" s="1036">
        <v>2006</v>
      </c>
      <c r="AL3" s="1036">
        <v>2006</v>
      </c>
      <c r="AM3" s="1036">
        <v>2006</v>
      </c>
      <c r="AN3" s="1036">
        <v>2006</v>
      </c>
      <c r="AO3" s="1036">
        <v>2006</v>
      </c>
      <c r="AP3" s="1036">
        <v>2006</v>
      </c>
      <c r="AQ3" s="1036"/>
      <c r="AR3" s="1036">
        <v>2007</v>
      </c>
      <c r="AS3" s="1036">
        <v>2007</v>
      </c>
      <c r="AT3" s="1036">
        <v>2007</v>
      </c>
      <c r="AU3" s="1036">
        <v>2007</v>
      </c>
      <c r="AV3" s="1036">
        <v>2007</v>
      </c>
      <c r="AW3" s="1036">
        <v>2007</v>
      </c>
      <c r="AX3" s="1036">
        <v>2007</v>
      </c>
      <c r="AY3" s="1036">
        <v>2007</v>
      </c>
      <c r="AZ3" s="1036">
        <v>2007</v>
      </c>
      <c r="BA3" s="1036">
        <v>2007</v>
      </c>
      <c r="BB3" s="1036">
        <v>2007</v>
      </c>
      <c r="BC3" s="1036">
        <v>2007</v>
      </c>
      <c r="BD3" s="1036"/>
      <c r="BE3" s="1036">
        <v>2008</v>
      </c>
      <c r="BF3" s="1036">
        <v>2008</v>
      </c>
      <c r="BG3" s="1036">
        <v>2008</v>
      </c>
      <c r="BH3" s="1036">
        <v>2008</v>
      </c>
      <c r="BI3" s="1036">
        <v>2008</v>
      </c>
      <c r="BJ3" s="1036">
        <v>2008</v>
      </c>
      <c r="BK3" s="1036">
        <v>2008</v>
      </c>
      <c r="BL3" s="1036">
        <v>2008</v>
      </c>
      <c r="BM3" s="1036">
        <v>2008</v>
      </c>
      <c r="BN3" s="1036">
        <v>2008</v>
      </c>
      <c r="BO3" s="1036">
        <v>2008</v>
      </c>
      <c r="BP3" s="1036">
        <v>2008</v>
      </c>
      <c r="BQ3" s="1036"/>
      <c r="BR3" s="1036">
        <v>2009</v>
      </c>
      <c r="BS3" s="1036">
        <v>2009</v>
      </c>
      <c r="BT3" s="1036">
        <v>2009</v>
      </c>
      <c r="BU3" s="1036">
        <v>2009</v>
      </c>
      <c r="BV3" s="1036">
        <v>2009</v>
      </c>
      <c r="BW3" s="1036">
        <v>2009</v>
      </c>
      <c r="BX3" s="1036">
        <v>2009</v>
      </c>
      <c r="BY3" s="1036">
        <v>2009</v>
      </c>
      <c r="BZ3" s="1036">
        <v>2009</v>
      </c>
      <c r="CA3" s="1036">
        <v>2009</v>
      </c>
      <c r="CB3" s="1036">
        <v>2009</v>
      </c>
      <c r="CC3" s="1036">
        <v>2009</v>
      </c>
      <c r="CD3" s="2"/>
    </row>
    <row r="4" spans="1:82">
      <c r="A4" s="1035"/>
      <c r="B4" s="176"/>
      <c r="C4" s="186" t="s">
        <v>1710</v>
      </c>
      <c r="D4" s="2"/>
      <c r="E4" s="1036" t="s">
        <v>417</v>
      </c>
      <c r="F4" s="1036" t="s">
        <v>417</v>
      </c>
      <c r="G4" s="1036" t="s">
        <v>417</v>
      </c>
      <c r="H4" s="1036" t="s">
        <v>499</v>
      </c>
      <c r="I4" s="1036" t="s">
        <v>499</v>
      </c>
      <c r="J4" s="1036" t="s">
        <v>499</v>
      </c>
      <c r="K4" s="1036" t="s">
        <v>1563</v>
      </c>
      <c r="L4" s="1036" t="s">
        <v>1563</v>
      </c>
      <c r="M4" s="1036" t="s">
        <v>1563</v>
      </c>
      <c r="N4" s="1036" t="s">
        <v>1564</v>
      </c>
      <c r="O4" s="1036" t="s">
        <v>1564</v>
      </c>
      <c r="P4" s="1036" t="s">
        <v>1564</v>
      </c>
      <c r="Q4" s="1036"/>
      <c r="R4" s="1036" t="s">
        <v>1028</v>
      </c>
      <c r="S4" s="1036" t="s">
        <v>1028</v>
      </c>
      <c r="T4" s="1036" t="s">
        <v>1028</v>
      </c>
      <c r="U4" s="1036" t="s">
        <v>342</v>
      </c>
      <c r="V4" s="1036" t="s">
        <v>342</v>
      </c>
      <c r="W4" s="1036" t="s">
        <v>342</v>
      </c>
      <c r="X4" s="1036" t="s">
        <v>483</v>
      </c>
      <c r="Y4" s="1036" t="s">
        <v>483</v>
      </c>
      <c r="Z4" s="1036" t="s">
        <v>483</v>
      </c>
      <c r="AA4" s="1036" t="s">
        <v>440</v>
      </c>
      <c r="AB4" s="1036" t="s">
        <v>440</v>
      </c>
      <c r="AC4" s="1036" t="s">
        <v>440</v>
      </c>
      <c r="AD4" s="1036"/>
      <c r="AE4" s="1036" t="s">
        <v>903</v>
      </c>
      <c r="AF4" s="1036" t="s">
        <v>903</v>
      </c>
      <c r="AG4" s="1036" t="s">
        <v>903</v>
      </c>
      <c r="AH4" s="1036" t="s">
        <v>764</v>
      </c>
      <c r="AI4" s="1036" t="s">
        <v>764</v>
      </c>
      <c r="AJ4" s="1036" t="s">
        <v>764</v>
      </c>
      <c r="AK4" s="1036" t="s">
        <v>677</v>
      </c>
      <c r="AL4" s="1036" t="s">
        <v>677</v>
      </c>
      <c r="AM4" s="1036" t="s">
        <v>677</v>
      </c>
      <c r="AN4" s="1036" t="s">
        <v>395</v>
      </c>
      <c r="AO4" s="1036" t="s">
        <v>395</v>
      </c>
      <c r="AP4" s="1036" t="s">
        <v>395</v>
      </c>
      <c r="AQ4" s="1036"/>
      <c r="AR4" s="1036" t="s">
        <v>1322</v>
      </c>
      <c r="AS4" s="1036" t="s">
        <v>1322</v>
      </c>
      <c r="AT4" s="1036" t="s">
        <v>1322</v>
      </c>
      <c r="AU4" s="1036" t="s">
        <v>1303</v>
      </c>
      <c r="AV4" s="1036" t="s">
        <v>1303</v>
      </c>
      <c r="AW4" s="1036" t="s">
        <v>1303</v>
      </c>
      <c r="AX4" s="1036" t="s">
        <v>645</v>
      </c>
      <c r="AY4" s="1036" t="s">
        <v>645</v>
      </c>
      <c r="AZ4" s="1036" t="s">
        <v>645</v>
      </c>
      <c r="BA4" s="1036" t="s">
        <v>1126</v>
      </c>
      <c r="BB4" s="1036" t="s">
        <v>1126</v>
      </c>
      <c r="BC4" s="1036" t="s">
        <v>1126</v>
      </c>
      <c r="BD4" s="1036"/>
      <c r="BE4" s="1036" t="s">
        <v>1595</v>
      </c>
      <c r="BF4" s="1036" t="s">
        <v>1595</v>
      </c>
      <c r="BG4" s="1036" t="s">
        <v>1595</v>
      </c>
      <c r="BH4" s="1036" t="s">
        <v>530</v>
      </c>
      <c r="BI4" s="1036" t="s">
        <v>530</v>
      </c>
      <c r="BJ4" s="1036" t="s">
        <v>530</v>
      </c>
      <c r="BK4" s="1036" t="s">
        <v>657</v>
      </c>
      <c r="BL4" s="1036" t="s">
        <v>657</v>
      </c>
      <c r="BM4" s="1036" t="s">
        <v>657</v>
      </c>
      <c r="BN4" s="1036" t="s">
        <v>1324</v>
      </c>
      <c r="BO4" s="1036" t="s">
        <v>1324</v>
      </c>
      <c r="BP4" s="1036" t="s">
        <v>1324</v>
      </c>
      <c r="BQ4" s="1036"/>
      <c r="BR4" s="1036" t="s">
        <v>216</v>
      </c>
      <c r="BS4" s="1036" t="s">
        <v>216</v>
      </c>
      <c r="BT4" s="1036" t="s">
        <v>216</v>
      </c>
      <c r="BU4" s="1036" t="s">
        <v>574</v>
      </c>
      <c r="BV4" s="1036" t="s">
        <v>574</v>
      </c>
      <c r="BW4" s="1036" t="s">
        <v>574</v>
      </c>
      <c r="BX4" s="1036" t="s">
        <v>575</v>
      </c>
      <c r="BY4" s="1036" t="s">
        <v>575</v>
      </c>
      <c r="BZ4" s="1036" t="s">
        <v>575</v>
      </c>
      <c r="CA4" s="1036" t="s">
        <v>1720</v>
      </c>
      <c r="CB4" s="1036" t="s">
        <v>1720</v>
      </c>
      <c r="CC4" s="1036" t="s">
        <v>1720</v>
      </c>
      <c r="CD4" s="2"/>
    </row>
    <row r="5" spans="1:82">
      <c r="A5" s="194" t="s">
        <v>286</v>
      </c>
      <c r="B5" s="194" t="s">
        <v>1359</v>
      </c>
      <c r="C5" s="194" t="s">
        <v>1719</v>
      </c>
      <c r="D5" s="194"/>
      <c r="E5" s="1037" t="s">
        <v>1360</v>
      </c>
      <c r="F5" s="1037" t="s">
        <v>1361</v>
      </c>
      <c r="G5" s="1037" t="s">
        <v>1362</v>
      </c>
      <c r="H5" s="1037" t="s">
        <v>1363</v>
      </c>
      <c r="I5" s="1037" t="s">
        <v>1364</v>
      </c>
      <c r="J5" s="1037" t="s">
        <v>1365</v>
      </c>
      <c r="K5" s="1037" t="s">
        <v>1721</v>
      </c>
      <c r="L5" s="1037" t="s">
        <v>1722</v>
      </c>
      <c r="M5" s="1037" t="s">
        <v>1723</v>
      </c>
      <c r="N5" s="1037" t="s">
        <v>1724</v>
      </c>
      <c r="O5" s="1037" t="s">
        <v>1725</v>
      </c>
      <c r="P5" s="1037" t="s">
        <v>1726</v>
      </c>
      <c r="Q5" s="1037"/>
      <c r="R5" s="1037" t="s">
        <v>1727</v>
      </c>
      <c r="S5" s="1037" t="s">
        <v>1728</v>
      </c>
      <c r="T5" s="1037" t="s">
        <v>1729</v>
      </c>
      <c r="U5" s="1037" t="s">
        <v>1730</v>
      </c>
      <c r="V5" s="1037" t="s">
        <v>1731</v>
      </c>
      <c r="W5" s="1037" t="s">
        <v>1732</v>
      </c>
      <c r="X5" s="1037" t="s">
        <v>1733</v>
      </c>
      <c r="Y5" s="1037" t="s">
        <v>1734</v>
      </c>
      <c r="Z5" s="1037" t="s">
        <v>1735</v>
      </c>
      <c r="AA5" s="1037" t="s">
        <v>133</v>
      </c>
      <c r="AB5" s="1037" t="s">
        <v>134</v>
      </c>
      <c r="AC5" s="1037" t="s">
        <v>135</v>
      </c>
      <c r="AD5" s="1037"/>
      <c r="AE5" s="1037" t="s">
        <v>136</v>
      </c>
      <c r="AF5" s="1037" t="s">
        <v>137</v>
      </c>
      <c r="AG5" s="1037" t="s">
        <v>138</v>
      </c>
      <c r="AH5" s="1037" t="s">
        <v>139</v>
      </c>
      <c r="AI5" s="1037" t="s">
        <v>140</v>
      </c>
      <c r="AJ5" s="1037" t="s">
        <v>141</v>
      </c>
      <c r="AK5" s="1037" t="s">
        <v>142</v>
      </c>
      <c r="AL5" s="1037" t="s">
        <v>143</v>
      </c>
      <c r="AM5" s="1037" t="s">
        <v>144</v>
      </c>
      <c r="AN5" s="1037" t="s">
        <v>145</v>
      </c>
      <c r="AO5" s="1037" t="s">
        <v>1676</v>
      </c>
      <c r="AP5" s="1037" t="s">
        <v>1677</v>
      </c>
      <c r="AQ5" s="1037"/>
      <c r="AR5" s="1037" t="s">
        <v>1678</v>
      </c>
      <c r="AS5" s="1037" t="s">
        <v>1679</v>
      </c>
      <c r="AT5" s="1037" t="s">
        <v>1680</v>
      </c>
      <c r="AU5" s="1037" t="s">
        <v>1681</v>
      </c>
      <c r="AV5" s="1037" t="s">
        <v>1682</v>
      </c>
      <c r="AW5" s="1037" t="s">
        <v>1683</v>
      </c>
      <c r="AX5" s="1037" t="s">
        <v>1684</v>
      </c>
      <c r="AY5" s="1037" t="s">
        <v>1685</v>
      </c>
      <c r="AZ5" s="1037" t="s">
        <v>1686</v>
      </c>
      <c r="BA5" s="1037" t="s">
        <v>1687</v>
      </c>
      <c r="BB5" s="1037" t="s">
        <v>1688</v>
      </c>
      <c r="BC5" s="1037" t="s">
        <v>1689</v>
      </c>
      <c r="BD5" s="1037"/>
      <c r="BE5" s="1037" t="s">
        <v>1690</v>
      </c>
      <c r="BF5" s="1037" t="s">
        <v>1691</v>
      </c>
      <c r="BG5" s="1037" t="s">
        <v>1692</v>
      </c>
      <c r="BH5" s="1037" t="s">
        <v>1693</v>
      </c>
      <c r="BI5" s="1037" t="s">
        <v>1694</v>
      </c>
      <c r="BJ5" s="1037" t="s">
        <v>1695</v>
      </c>
      <c r="BK5" s="1037" t="s">
        <v>58</v>
      </c>
      <c r="BL5" s="1037" t="s">
        <v>59</v>
      </c>
      <c r="BM5" s="1037" t="s">
        <v>60</v>
      </c>
      <c r="BN5" s="1037" t="s">
        <v>61</v>
      </c>
      <c r="BO5" s="1037" t="s">
        <v>62</v>
      </c>
      <c r="BP5" s="1037" t="s">
        <v>63</v>
      </c>
      <c r="BQ5" s="1037"/>
      <c r="BR5" s="1037" t="s">
        <v>64</v>
      </c>
      <c r="BS5" s="1037" t="s">
        <v>65</v>
      </c>
      <c r="BT5" s="1037" t="s">
        <v>66</v>
      </c>
      <c r="BU5" s="1037" t="s">
        <v>67</v>
      </c>
      <c r="BV5" s="1037" t="s">
        <v>68</v>
      </c>
      <c r="BW5" s="1037" t="s">
        <v>69</v>
      </c>
      <c r="BX5" s="1037" t="s">
        <v>70</v>
      </c>
      <c r="BY5" s="1037" t="s">
        <v>429</v>
      </c>
      <c r="BZ5" s="1037" t="s">
        <v>782</v>
      </c>
      <c r="CA5" s="1037" t="s">
        <v>783</v>
      </c>
      <c r="CB5" s="1037" t="s">
        <v>784</v>
      </c>
      <c r="CC5" s="1037" t="s">
        <v>785</v>
      </c>
      <c r="CD5" s="2"/>
    </row>
    <row r="6" spans="1:82">
      <c r="A6" s="552" t="s">
        <v>872</v>
      </c>
      <c r="B6" s="1038" t="s">
        <v>1718</v>
      </c>
      <c r="C6" s="1039">
        <f>BYD!AG430/BYD!$AG$447</f>
        <v>0.12313964029754483</v>
      </c>
      <c r="D6" s="1039"/>
      <c r="E6" s="1040"/>
      <c r="F6" s="1040"/>
      <c r="G6" s="1040"/>
      <c r="H6" s="1040"/>
      <c r="I6" s="1040"/>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row>
    <row r="7" spans="1:82">
      <c r="A7" s="674" t="s">
        <v>1366</v>
      </c>
      <c r="B7" s="1041"/>
      <c r="C7" s="1042"/>
      <c r="D7" s="1042"/>
      <c r="E7" s="98">
        <v>6.1</v>
      </c>
      <c r="F7" s="98">
        <v>5.7</v>
      </c>
      <c r="G7" s="98">
        <v>5.9</v>
      </c>
      <c r="H7" s="98">
        <v>5.2</v>
      </c>
      <c r="I7" s="98">
        <v>5.2</v>
      </c>
      <c r="J7" s="98">
        <v>6.2</v>
      </c>
      <c r="K7" s="98">
        <v>5.9</v>
      </c>
      <c r="L7" s="98">
        <v>6.1</v>
      </c>
      <c r="M7" s="98">
        <v>6</v>
      </c>
      <c r="N7" s="98">
        <v>6.1</v>
      </c>
      <c r="O7" s="98">
        <v>6.3</v>
      </c>
      <c r="P7" s="98">
        <v>6.5</v>
      </c>
      <c r="Q7" s="98">
        <v>5.9</v>
      </c>
      <c r="R7" s="98">
        <v>6.9</v>
      </c>
      <c r="S7" s="98">
        <v>6.6</v>
      </c>
      <c r="T7" s="98">
        <v>6.3</v>
      </c>
      <c r="U7" s="98">
        <v>5.9</v>
      </c>
      <c r="V7" s="98">
        <v>6</v>
      </c>
      <c r="W7" s="98">
        <v>6.7</v>
      </c>
      <c r="X7" s="98">
        <v>6.1</v>
      </c>
      <c r="Y7" s="98">
        <v>6.4</v>
      </c>
      <c r="Z7" s="98">
        <v>5.5</v>
      </c>
      <c r="AA7" s="98">
        <v>5.6</v>
      </c>
      <c r="AB7" s="98">
        <v>5.9</v>
      </c>
      <c r="AC7" s="98">
        <v>5.9</v>
      </c>
      <c r="AD7" s="98">
        <v>6.1</v>
      </c>
      <c r="AE7" s="98">
        <v>5.9</v>
      </c>
      <c r="AF7" s="98">
        <v>5.9</v>
      </c>
      <c r="AG7" s="98">
        <v>5.9</v>
      </c>
      <c r="AH7" s="98">
        <v>5.5</v>
      </c>
      <c r="AI7" s="98">
        <v>5.5</v>
      </c>
      <c r="AJ7" s="98">
        <v>6.3</v>
      </c>
      <c r="AK7" s="98">
        <v>6.1</v>
      </c>
      <c r="AL7" s="98">
        <v>5.8</v>
      </c>
      <c r="AM7" s="98">
        <v>5.4</v>
      </c>
      <c r="AN7" s="98">
        <v>5.0999999999999996</v>
      </c>
      <c r="AO7" s="98">
        <v>5.4</v>
      </c>
      <c r="AP7" s="98">
        <v>5.0999999999999996</v>
      </c>
      <c r="AQ7" s="98">
        <v>5.7</v>
      </c>
      <c r="AR7" s="98">
        <v>5.7</v>
      </c>
      <c r="AS7" s="98">
        <v>5.4</v>
      </c>
      <c r="AT7" s="98">
        <v>5.0999999999999996</v>
      </c>
      <c r="AU7" s="98">
        <v>4.5999999999999996</v>
      </c>
      <c r="AV7" s="98">
        <v>4.5999999999999996</v>
      </c>
      <c r="AW7" s="98">
        <v>5.3</v>
      </c>
      <c r="AX7" s="98">
        <v>5.2</v>
      </c>
      <c r="AY7" s="98">
        <v>5.2</v>
      </c>
      <c r="AZ7" s="98">
        <v>5.3</v>
      </c>
      <c r="BA7" s="98">
        <v>5.3</v>
      </c>
      <c r="BB7" s="98">
        <v>5.4</v>
      </c>
      <c r="BC7" s="98">
        <v>5.7</v>
      </c>
      <c r="BD7" s="98">
        <v>5.2</v>
      </c>
      <c r="BE7" s="98">
        <v>6.2</v>
      </c>
      <c r="BF7" s="98">
        <v>6.1</v>
      </c>
      <c r="BG7" s="98">
        <v>6.3</v>
      </c>
      <c r="BH7" s="98">
        <v>5.6</v>
      </c>
      <c r="BI7" s="98">
        <v>6.4</v>
      </c>
      <c r="BJ7" s="98">
        <v>7.2</v>
      </c>
      <c r="BK7" s="98">
        <v>7</v>
      </c>
      <c r="BL7" s="98">
        <v>7.1</v>
      </c>
      <c r="BM7" s="98">
        <v>6.9</v>
      </c>
      <c r="BN7" s="98">
        <v>6.9</v>
      </c>
      <c r="BO7" s="98">
        <v>6.9</v>
      </c>
      <c r="BP7" s="98">
        <v>7.5</v>
      </c>
      <c r="BQ7" s="98">
        <v>6.7</v>
      </c>
      <c r="BR7" s="98">
        <v>8.6999999999999993</v>
      </c>
      <c r="BS7" s="98">
        <v>8.9</v>
      </c>
      <c r="BT7" s="98">
        <v>9.1</v>
      </c>
      <c r="BU7" s="98">
        <v>9</v>
      </c>
      <c r="BV7" s="98">
        <v>9.6</v>
      </c>
      <c r="BW7" s="98">
        <v>10.3</v>
      </c>
      <c r="BX7" s="98">
        <v>10.3</v>
      </c>
      <c r="BY7" s="98">
        <v>10.4</v>
      </c>
      <c r="BZ7" s="98">
        <v>9.9</v>
      </c>
      <c r="CA7" s="98">
        <v>9.9</v>
      </c>
      <c r="CB7" s="98">
        <v>9.8000000000000007</v>
      </c>
      <c r="CC7" s="98">
        <v>10.3</v>
      </c>
      <c r="CD7" s="98">
        <f>AVERAGE(BR7:CC7)</f>
        <v>9.6833333333333353</v>
      </c>
    </row>
    <row r="8" spans="1:82">
      <c r="A8" s="713" t="s">
        <v>1639</v>
      </c>
      <c r="B8" s="1043"/>
      <c r="C8" s="1044"/>
      <c r="D8" s="1044"/>
      <c r="E8" s="166">
        <v>552186</v>
      </c>
      <c r="F8" s="166">
        <v>554781</v>
      </c>
      <c r="G8" s="166">
        <v>553964</v>
      </c>
      <c r="H8" s="166">
        <v>556438</v>
      </c>
      <c r="I8" s="166">
        <v>555441</v>
      </c>
      <c r="J8" s="166">
        <v>562570</v>
      </c>
      <c r="K8" s="166">
        <v>567393</v>
      </c>
      <c r="L8" s="166">
        <v>560239</v>
      </c>
      <c r="M8" s="166">
        <v>558608</v>
      </c>
      <c r="N8" s="166">
        <v>561960</v>
      </c>
      <c r="O8" s="166">
        <v>561068</v>
      </c>
      <c r="P8" s="166">
        <v>561098</v>
      </c>
      <c r="Q8" s="166">
        <v>558812</v>
      </c>
      <c r="R8" s="166">
        <v>550821</v>
      </c>
      <c r="S8" s="166">
        <v>553817</v>
      </c>
      <c r="T8" s="166">
        <v>555601</v>
      </c>
      <c r="U8" s="166">
        <v>559538</v>
      </c>
      <c r="V8" s="166">
        <v>560603</v>
      </c>
      <c r="W8" s="166">
        <v>565170</v>
      </c>
      <c r="X8" s="166">
        <v>574166</v>
      </c>
      <c r="Y8" s="166">
        <v>569084</v>
      </c>
      <c r="Z8" s="166">
        <v>573016</v>
      </c>
      <c r="AA8" s="166">
        <v>573097</v>
      </c>
      <c r="AB8" s="166">
        <v>573387</v>
      </c>
      <c r="AC8" s="166">
        <v>575053</v>
      </c>
      <c r="AD8" s="166">
        <v>565279</v>
      </c>
      <c r="AE8" s="166">
        <v>566377</v>
      </c>
      <c r="AF8" s="166">
        <v>565386</v>
      </c>
      <c r="AG8" s="166">
        <v>567045</v>
      </c>
      <c r="AH8" s="166">
        <v>569182</v>
      </c>
      <c r="AI8" s="166">
        <v>571611</v>
      </c>
      <c r="AJ8" s="166">
        <v>579596</v>
      </c>
      <c r="AK8" s="166">
        <v>586361</v>
      </c>
      <c r="AL8" s="166">
        <v>579258</v>
      </c>
      <c r="AM8" s="166">
        <v>579417</v>
      </c>
      <c r="AN8" s="166">
        <v>583659</v>
      </c>
      <c r="AO8" s="166">
        <v>587619</v>
      </c>
      <c r="AP8" s="166">
        <v>588962</v>
      </c>
      <c r="AQ8" s="166">
        <v>577039</v>
      </c>
      <c r="AR8" s="166">
        <v>574784</v>
      </c>
      <c r="AS8" s="166">
        <v>573188</v>
      </c>
      <c r="AT8" s="166">
        <v>576708</v>
      </c>
      <c r="AU8" s="166">
        <v>578717</v>
      </c>
      <c r="AV8" s="166">
        <v>582162</v>
      </c>
      <c r="AW8" s="166">
        <v>589403</v>
      </c>
      <c r="AX8" s="166">
        <v>592420</v>
      </c>
      <c r="AY8" s="166">
        <v>583295</v>
      </c>
      <c r="AZ8" s="166">
        <v>584622</v>
      </c>
      <c r="BA8" s="166">
        <v>587742</v>
      </c>
      <c r="BB8" s="166">
        <v>590903</v>
      </c>
      <c r="BC8" s="166">
        <v>590571</v>
      </c>
      <c r="BD8" s="166">
        <v>583710</v>
      </c>
      <c r="BE8" s="166">
        <v>575284</v>
      </c>
      <c r="BF8" s="166">
        <v>571161</v>
      </c>
      <c r="BG8" s="166">
        <v>572436</v>
      </c>
      <c r="BH8" s="166">
        <v>576836</v>
      </c>
      <c r="BI8" s="166">
        <v>575770</v>
      </c>
      <c r="BJ8" s="166">
        <v>580794</v>
      </c>
      <c r="BK8" s="166">
        <v>584649</v>
      </c>
      <c r="BL8" s="166">
        <v>576577</v>
      </c>
      <c r="BM8" s="166">
        <v>578223</v>
      </c>
      <c r="BN8" s="166">
        <v>578089</v>
      </c>
      <c r="BO8" s="166">
        <v>575255</v>
      </c>
      <c r="BP8" s="166">
        <v>572417</v>
      </c>
      <c r="BQ8" s="166">
        <v>576458</v>
      </c>
      <c r="BR8" s="166">
        <v>557312</v>
      </c>
      <c r="BS8" s="166">
        <v>559392</v>
      </c>
      <c r="BT8" s="166">
        <v>556171</v>
      </c>
      <c r="BU8" s="166">
        <v>555229</v>
      </c>
      <c r="BV8" s="166">
        <v>552016</v>
      </c>
      <c r="BW8" s="166">
        <v>559851</v>
      </c>
      <c r="BX8" s="166">
        <v>560601</v>
      </c>
      <c r="BY8" s="166">
        <v>553877</v>
      </c>
      <c r="BZ8" s="166">
        <v>552510</v>
      </c>
      <c r="CA8" s="166">
        <v>551878</v>
      </c>
      <c r="CB8" s="166">
        <v>552205</v>
      </c>
      <c r="CC8" s="166">
        <v>547200</v>
      </c>
      <c r="CD8" s="166"/>
    </row>
    <row r="9" spans="1:82">
      <c r="A9" s="552"/>
      <c r="B9" s="1038"/>
      <c r="C9" s="1039"/>
      <c r="D9" s="1039"/>
      <c r="E9" s="1040"/>
      <c r="F9" s="1040"/>
      <c r="G9" s="1040"/>
      <c r="H9" s="1040"/>
      <c r="I9" s="1040"/>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row>
    <row r="10" spans="1:82">
      <c r="A10" s="552" t="s">
        <v>1712</v>
      </c>
      <c r="B10" s="1041" t="s">
        <v>1711</v>
      </c>
      <c r="C10" s="1039">
        <f>BYD!AG431/BYD!$AG$447</f>
        <v>0.1418490795374493</v>
      </c>
      <c r="D10" s="1042"/>
      <c r="E10" s="1045"/>
      <c r="F10" s="1045"/>
      <c r="G10" s="1045"/>
      <c r="H10" s="98"/>
      <c r="I10" s="98"/>
      <c r="J10" s="1045"/>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row>
    <row r="11" spans="1:82">
      <c r="A11" s="674" t="s">
        <v>1366</v>
      </c>
      <c r="B11" s="1041"/>
      <c r="C11" s="1042"/>
      <c r="D11" s="1042"/>
      <c r="E11" s="98">
        <v>6.5</v>
      </c>
      <c r="F11" s="98">
        <v>6.4</v>
      </c>
      <c r="G11" s="98">
        <v>6.2</v>
      </c>
      <c r="H11" s="98">
        <v>5.3</v>
      </c>
      <c r="I11" s="98">
        <v>5.2</v>
      </c>
      <c r="J11" s="98">
        <v>5.6</v>
      </c>
      <c r="K11" s="98">
        <v>5.5</v>
      </c>
      <c r="L11" s="98">
        <v>5.5</v>
      </c>
      <c r="M11" s="98">
        <v>5</v>
      </c>
      <c r="N11" s="98">
        <v>5.3</v>
      </c>
      <c r="O11" s="98">
        <v>5.2</v>
      </c>
      <c r="P11" s="98">
        <v>5.2</v>
      </c>
      <c r="Q11" s="98">
        <v>5.6</v>
      </c>
      <c r="R11" s="98">
        <v>5.7</v>
      </c>
      <c r="S11" s="98">
        <v>6</v>
      </c>
      <c r="T11" s="98">
        <v>5.3</v>
      </c>
      <c r="U11" s="98">
        <v>4.7</v>
      </c>
      <c r="V11" s="98">
        <v>4.5</v>
      </c>
      <c r="W11" s="98">
        <v>4.8</v>
      </c>
      <c r="X11" s="98">
        <v>4.8</v>
      </c>
      <c r="Y11" s="98">
        <v>4.9000000000000004</v>
      </c>
      <c r="Z11" s="98">
        <v>4.4000000000000004</v>
      </c>
      <c r="AA11" s="98">
        <v>4.2</v>
      </c>
      <c r="AB11" s="98">
        <v>4.3</v>
      </c>
      <c r="AC11" s="98">
        <v>4.5999999999999996</v>
      </c>
      <c r="AD11" s="98">
        <v>4.9000000000000004</v>
      </c>
      <c r="AE11" s="98">
        <v>5.0999999999999996</v>
      </c>
      <c r="AF11" s="98">
        <v>5.0999999999999996</v>
      </c>
      <c r="AG11" s="98">
        <v>4.7</v>
      </c>
      <c r="AH11" s="98">
        <v>4.2</v>
      </c>
      <c r="AI11" s="98">
        <v>3.7</v>
      </c>
      <c r="AJ11" s="98">
        <v>4.3</v>
      </c>
      <c r="AK11" s="98">
        <v>4.4000000000000004</v>
      </c>
      <c r="AL11" s="98">
        <v>4.3</v>
      </c>
      <c r="AM11" s="98">
        <v>3.6</v>
      </c>
      <c r="AN11" s="98">
        <v>3.3</v>
      </c>
      <c r="AO11" s="98">
        <v>3.5</v>
      </c>
      <c r="AP11" s="98">
        <v>3.8</v>
      </c>
      <c r="AQ11" s="98">
        <v>4.2</v>
      </c>
      <c r="AR11" s="98">
        <v>4.9000000000000004</v>
      </c>
      <c r="AS11" s="98">
        <v>5</v>
      </c>
      <c r="AT11" s="98">
        <v>4.3</v>
      </c>
      <c r="AU11" s="98">
        <v>4.0999999999999996</v>
      </c>
      <c r="AV11" s="98">
        <v>3.9</v>
      </c>
      <c r="AW11" s="98">
        <v>4.5999999999999996</v>
      </c>
      <c r="AX11" s="98">
        <v>4.8</v>
      </c>
      <c r="AY11" s="98">
        <v>4.9000000000000004</v>
      </c>
      <c r="AZ11" s="98">
        <v>4.5</v>
      </c>
      <c r="BA11" s="98">
        <v>4.4000000000000004</v>
      </c>
      <c r="BB11" s="98">
        <v>4.5999999999999996</v>
      </c>
      <c r="BC11" s="98">
        <v>5.0999999999999996</v>
      </c>
      <c r="BD11" s="98">
        <v>4.5999999999999996</v>
      </c>
      <c r="BE11" s="98">
        <v>6</v>
      </c>
      <c r="BF11" s="98">
        <v>5.8</v>
      </c>
      <c r="BG11" s="98">
        <v>5.3</v>
      </c>
      <c r="BH11" s="98">
        <v>4.7</v>
      </c>
      <c r="BI11" s="98">
        <v>5.0999999999999996</v>
      </c>
      <c r="BJ11" s="98">
        <v>5.8</v>
      </c>
      <c r="BK11" s="98">
        <v>5.9</v>
      </c>
      <c r="BL11" s="98">
        <v>6.2</v>
      </c>
      <c r="BM11" s="98">
        <v>5.6</v>
      </c>
      <c r="BN11" s="98">
        <v>5.6</v>
      </c>
      <c r="BO11" s="98">
        <v>5.7</v>
      </c>
      <c r="BP11" s="98">
        <v>6.2</v>
      </c>
      <c r="BQ11" s="98">
        <v>5.7</v>
      </c>
      <c r="BR11" s="98">
        <v>7.4</v>
      </c>
      <c r="BS11" s="98">
        <v>9.1</v>
      </c>
      <c r="BT11" s="98">
        <v>8.9</v>
      </c>
      <c r="BU11" s="98">
        <v>9.1</v>
      </c>
      <c r="BV11" s="98">
        <v>8.9</v>
      </c>
      <c r="BW11" s="98">
        <v>9.6</v>
      </c>
      <c r="BX11" s="98">
        <v>12.3</v>
      </c>
      <c r="BY11" s="98">
        <v>10.9</v>
      </c>
      <c r="BZ11" s="98">
        <v>11.1</v>
      </c>
      <c r="CA11" s="98">
        <v>11.7</v>
      </c>
      <c r="CB11" s="98">
        <v>10.8</v>
      </c>
      <c r="CC11" s="98">
        <v>11.2</v>
      </c>
      <c r="CD11" s="98">
        <f>AVERAGE(BR11:CC11)</f>
        <v>10.083333333333334</v>
      </c>
    </row>
    <row r="12" spans="1:82">
      <c r="A12" s="713" t="s">
        <v>1639</v>
      </c>
      <c r="B12" s="1043"/>
      <c r="C12" s="1044"/>
      <c r="D12" s="1044"/>
      <c r="E12" s="166">
        <v>167523</v>
      </c>
      <c r="F12" s="166">
        <v>168446</v>
      </c>
      <c r="G12" s="166">
        <v>170174</v>
      </c>
      <c r="H12" s="166">
        <v>171038</v>
      </c>
      <c r="I12" s="166">
        <v>172448</v>
      </c>
      <c r="J12" s="166">
        <v>174673</v>
      </c>
      <c r="K12" s="166">
        <v>175830</v>
      </c>
      <c r="L12" s="166">
        <v>174796</v>
      </c>
      <c r="M12" s="166">
        <v>175411</v>
      </c>
      <c r="N12" s="166">
        <v>176344</v>
      </c>
      <c r="O12" s="166">
        <v>176372</v>
      </c>
      <c r="P12" s="166">
        <v>175893</v>
      </c>
      <c r="Q12" s="166">
        <v>173246</v>
      </c>
      <c r="R12" s="166">
        <v>175571</v>
      </c>
      <c r="S12" s="166">
        <v>174934</v>
      </c>
      <c r="T12" s="166">
        <v>176938</v>
      </c>
      <c r="U12" s="166">
        <v>179844</v>
      </c>
      <c r="V12" s="166">
        <v>180800</v>
      </c>
      <c r="W12" s="166">
        <v>184076</v>
      </c>
      <c r="X12" s="166">
        <v>184551</v>
      </c>
      <c r="Y12" s="166">
        <v>184522</v>
      </c>
      <c r="Z12" s="166">
        <v>185668</v>
      </c>
      <c r="AA12" s="166">
        <v>186444</v>
      </c>
      <c r="AB12" s="166">
        <v>185243</v>
      </c>
      <c r="AC12" s="166">
        <v>185770</v>
      </c>
      <c r="AD12" s="166">
        <v>182030</v>
      </c>
      <c r="AE12" s="166">
        <v>182817</v>
      </c>
      <c r="AF12" s="166">
        <v>183735</v>
      </c>
      <c r="AG12" s="166">
        <v>185376</v>
      </c>
      <c r="AH12" s="166">
        <v>186189</v>
      </c>
      <c r="AI12" s="166">
        <v>187239</v>
      </c>
      <c r="AJ12" s="166">
        <v>190924</v>
      </c>
      <c r="AK12" s="166">
        <v>190460</v>
      </c>
      <c r="AL12" s="166">
        <v>190932</v>
      </c>
      <c r="AM12" s="166">
        <v>192235</v>
      </c>
      <c r="AN12" s="166">
        <v>194179</v>
      </c>
      <c r="AO12" s="166">
        <v>194373</v>
      </c>
      <c r="AP12" s="166">
        <v>193205</v>
      </c>
      <c r="AQ12" s="166">
        <v>189305</v>
      </c>
      <c r="AR12" s="166">
        <v>189397</v>
      </c>
      <c r="AS12" s="166">
        <v>188886</v>
      </c>
      <c r="AT12" s="166">
        <v>190915</v>
      </c>
      <c r="AU12" s="166">
        <v>192160</v>
      </c>
      <c r="AV12" s="166">
        <v>193710</v>
      </c>
      <c r="AW12" s="166">
        <v>197636</v>
      </c>
      <c r="AX12" s="166">
        <v>196224</v>
      </c>
      <c r="AY12" s="166">
        <v>194707</v>
      </c>
      <c r="AZ12" s="166">
        <v>195687</v>
      </c>
      <c r="BA12" s="166">
        <v>196564</v>
      </c>
      <c r="BB12" s="166">
        <v>195579</v>
      </c>
      <c r="BC12" s="166">
        <v>193465</v>
      </c>
      <c r="BD12" s="166">
        <v>193744</v>
      </c>
      <c r="BE12" s="166">
        <v>190532</v>
      </c>
      <c r="BF12" s="166">
        <v>190435</v>
      </c>
      <c r="BG12" s="166">
        <v>192938</v>
      </c>
      <c r="BH12" s="166">
        <v>194249</v>
      </c>
      <c r="BI12" s="166">
        <v>194138</v>
      </c>
      <c r="BJ12" s="166">
        <v>196063</v>
      </c>
      <c r="BK12" s="166">
        <v>195569</v>
      </c>
      <c r="BL12" s="166">
        <v>194328</v>
      </c>
      <c r="BM12" s="166">
        <v>194837</v>
      </c>
      <c r="BN12" s="166">
        <v>194864</v>
      </c>
      <c r="BO12" s="166">
        <v>192557</v>
      </c>
      <c r="BP12" s="166">
        <v>191587</v>
      </c>
      <c r="BQ12" s="166">
        <v>193508</v>
      </c>
      <c r="BR12" s="166">
        <v>186718</v>
      </c>
      <c r="BS12" s="166">
        <v>184918</v>
      </c>
      <c r="BT12" s="166">
        <v>183726</v>
      </c>
      <c r="BU12" s="166">
        <v>185859</v>
      </c>
      <c r="BV12" s="166">
        <v>186434</v>
      </c>
      <c r="BW12" s="166">
        <v>188236</v>
      </c>
      <c r="BX12" s="166">
        <v>186565</v>
      </c>
      <c r="BY12" s="166">
        <v>185147</v>
      </c>
      <c r="BZ12" s="166">
        <v>184457</v>
      </c>
      <c r="CA12" s="166">
        <v>184851</v>
      </c>
      <c r="CB12" s="166">
        <v>184534</v>
      </c>
      <c r="CC12" s="166">
        <v>183128</v>
      </c>
      <c r="CD12" s="166"/>
    </row>
    <row r="13" spans="1:82">
      <c r="A13" s="552"/>
      <c r="B13" s="1041"/>
      <c r="C13" s="1039"/>
      <c r="D13" s="1042"/>
      <c r="E13" s="1045"/>
      <c r="F13" s="1045"/>
      <c r="G13" s="1045"/>
      <c r="H13" s="98"/>
      <c r="I13" s="98"/>
      <c r="J13" s="1045"/>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row>
    <row r="14" spans="1:82">
      <c r="A14" s="552" t="s">
        <v>1713</v>
      </c>
      <c r="B14" s="1041" t="s">
        <v>1714</v>
      </c>
      <c r="C14" s="1039">
        <f>BYD!AG432/BYD!$AG$447</f>
        <v>0.12637803978960171</v>
      </c>
      <c r="D14" s="1042"/>
      <c r="E14" s="1045"/>
      <c r="F14" s="1045"/>
      <c r="G14" s="1045"/>
      <c r="H14" s="98"/>
      <c r="I14" s="98"/>
      <c r="J14" s="1045"/>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row>
    <row r="15" spans="1:82">
      <c r="A15" s="674" t="s">
        <v>1366</v>
      </c>
      <c r="B15" s="1041"/>
      <c r="C15" s="1042"/>
      <c r="D15" s="1042"/>
      <c r="E15" s="98">
        <v>5.6</v>
      </c>
      <c r="F15" s="98">
        <v>4.8</v>
      </c>
      <c r="G15" s="98">
        <v>4.4000000000000004</v>
      </c>
      <c r="H15" s="98">
        <v>4</v>
      </c>
      <c r="I15" s="98">
        <v>4.5999999999999996</v>
      </c>
      <c r="J15" s="98">
        <v>5.8</v>
      </c>
      <c r="K15" s="98">
        <v>5.3</v>
      </c>
      <c r="L15" s="98">
        <v>4.9000000000000004</v>
      </c>
      <c r="M15" s="98">
        <v>4.5999999999999996</v>
      </c>
      <c r="N15" s="98">
        <v>4.8</v>
      </c>
      <c r="O15" s="98">
        <v>4.9000000000000004</v>
      </c>
      <c r="P15" s="98">
        <v>4.7</v>
      </c>
      <c r="Q15" s="98">
        <v>4.9000000000000004</v>
      </c>
      <c r="R15" s="98">
        <v>5.6</v>
      </c>
      <c r="S15" s="98">
        <v>4.9000000000000004</v>
      </c>
      <c r="T15" s="98">
        <v>4.3</v>
      </c>
      <c r="U15" s="98">
        <v>3.9</v>
      </c>
      <c r="V15" s="98">
        <v>4.4000000000000004</v>
      </c>
      <c r="W15" s="98">
        <v>5.6</v>
      </c>
      <c r="X15" s="98">
        <v>5.3</v>
      </c>
      <c r="Y15" s="98">
        <v>4.9000000000000004</v>
      </c>
      <c r="Z15" s="98">
        <v>15.1</v>
      </c>
      <c r="AA15" s="98">
        <v>15.5</v>
      </c>
      <c r="AB15" s="98">
        <v>15.9</v>
      </c>
      <c r="AC15" s="98">
        <v>8.1</v>
      </c>
      <c r="AD15" s="98" t="s">
        <v>1674</v>
      </c>
      <c r="AE15" s="98">
        <v>6.5</v>
      </c>
      <c r="AF15" s="98">
        <v>5.0999999999999996</v>
      </c>
      <c r="AG15" s="98">
        <v>4.7</v>
      </c>
      <c r="AH15" s="98">
        <v>4</v>
      </c>
      <c r="AI15" s="98">
        <v>4.0999999999999996</v>
      </c>
      <c r="AJ15" s="98">
        <v>4.9000000000000004</v>
      </c>
      <c r="AK15" s="98">
        <v>3.9</v>
      </c>
      <c r="AL15" s="98">
        <v>4.0999999999999996</v>
      </c>
      <c r="AM15" s="98">
        <v>4</v>
      </c>
      <c r="AN15" s="98">
        <v>3.8</v>
      </c>
      <c r="AO15" s="98">
        <v>3.7</v>
      </c>
      <c r="AP15" s="98">
        <v>3.4</v>
      </c>
      <c r="AQ15" s="98">
        <v>4.3</v>
      </c>
      <c r="AR15" s="98">
        <v>4.0999999999999996</v>
      </c>
      <c r="AS15" s="98">
        <v>3.2</v>
      </c>
      <c r="AT15" s="98">
        <v>3.3</v>
      </c>
      <c r="AU15" s="98">
        <v>3.1</v>
      </c>
      <c r="AV15" s="98">
        <v>3.5</v>
      </c>
      <c r="AW15" s="98">
        <v>4.2</v>
      </c>
      <c r="AX15" s="98">
        <v>3.8</v>
      </c>
      <c r="AY15" s="98">
        <v>3.7</v>
      </c>
      <c r="AZ15" s="98">
        <v>3.5</v>
      </c>
      <c r="BA15" s="98">
        <v>3</v>
      </c>
      <c r="BB15" s="98">
        <v>3.1</v>
      </c>
      <c r="BC15" s="98">
        <v>3.2</v>
      </c>
      <c r="BD15" s="98">
        <v>3.5</v>
      </c>
      <c r="BE15" s="98">
        <v>3.9</v>
      </c>
      <c r="BF15" s="98">
        <v>3</v>
      </c>
      <c r="BG15" s="98">
        <v>3.4</v>
      </c>
      <c r="BH15" s="98">
        <v>2.9</v>
      </c>
      <c r="BI15" s="98">
        <v>3.4</v>
      </c>
      <c r="BJ15" s="98">
        <v>4.5999999999999996</v>
      </c>
      <c r="BK15" s="98">
        <v>4.5</v>
      </c>
      <c r="BL15" s="98">
        <v>5</v>
      </c>
      <c r="BM15" s="98">
        <v>5.7</v>
      </c>
      <c r="BN15" s="98">
        <v>5.3</v>
      </c>
      <c r="BO15" s="98">
        <v>5.0999999999999996</v>
      </c>
      <c r="BP15" s="98">
        <v>5.5</v>
      </c>
      <c r="BQ15" s="98">
        <v>4.4000000000000004</v>
      </c>
      <c r="BR15" s="98">
        <v>5.5</v>
      </c>
      <c r="BS15" s="98">
        <v>5.3</v>
      </c>
      <c r="BT15" s="98">
        <v>5.3</v>
      </c>
      <c r="BU15" s="98">
        <v>5.3</v>
      </c>
      <c r="BV15" s="98">
        <v>5.9</v>
      </c>
      <c r="BW15" s="98">
        <v>7.3</v>
      </c>
      <c r="BX15" s="98">
        <v>7.4</v>
      </c>
      <c r="BY15" s="98">
        <v>7.7</v>
      </c>
      <c r="BZ15" s="98">
        <v>7.2</v>
      </c>
      <c r="CA15" s="98">
        <v>6.8</v>
      </c>
      <c r="CB15" s="98">
        <v>6.1</v>
      </c>
      <c r="CC15" s="98">
        <v>6.8</v>
      </c>
      <c r="CD15" s="98">
        <f>AVERAGE(BR15:CC15)</f>
        <v>6.3833333333333329</v>
      </c>
    </row>
    <row r="16" spans="1:82">
      <c r="A16" s="713" t="s">
        <v>1639</v>
      </c>
      <c r="B16" s="1043"/>
      <c r="C16" s="1044"/>
      <c r="D16" s="1044"/>
      <c r="E16" s="166">
        <v>567367</v>
      </c>
      <c r="F16" s="166">
        <v>574690</v>
      </c>
      <c r="G16" s="166">
        <v>580738</v>
      </c>
      <c r="H16" s="166">
        <v>584873</v>
      </c>
      <c r="I16" s="166">
        <v>588388</v>
      </c>
      <c r="J16" s="166">
        <v>589553</v>
      </c>
      <c r="K16" s="166">
        <v>590401</v>
      </c>
      <c r="L16" s="166">
        <v>577001</v>
      </c>
      <c r="M16" s="166">
        <v>580932</v>
      </c>
      <c r="N16" s="166">
        <v>584126</v>
      </c>
      <c r="O16" s="166">
        <v>590914</v>
      </c>
      <c r="P16" s="166">
        <v>585958</v>
      </c>
      <c r="Q16" s="166">
        <v>582912</v>
      </c>
      <c r="R16" s="166">
        <v>576547</v>
      </c>
      <c r="S16" s="166">
        <v>583396</v>
      </c>
      <c r="T16" s="166">
        <v>591139</v>
      </c>
      <c r="U16" s="166">
        <v>598074</v>
      </c>
      <c r="V16" s="166">
        <v>602497</v>
      </c>
      <c r="W16" s="166">
        <v>603337</v>
      </c>
      <c r="X16" s="166">
        <v>604039</v>
      </c>
      <c r="Y16" s="166">
        <v>592030</v>
      </c>
      <c r="Z16" s="166">
        <v>462436</v>
      </c>
      <c r="AA16" s="166">
        <v>428644</v>
      </c>
      <c r="AB16" s="166">
        <v>435497</v>
      </c>
      <c r="AC16" s="166">
        <v>441928</v>
      </c>
      <c r="AD16" s="166" t="s">
        <v>786</v>
      </c>
      <c r="AE16" s="166">
        <v>436766</v>
      </c>
      <c r="AF16" s="166">
        <v>446396</v>
      </c>
      <c r="AG16" s="166">
        <v>456170</v>
      </c>
      <c r="AH16" s="166">
        <v>461599</v>
      </c>
      <c r="AI16" s="166">
        <v>464912</v>
      </c>
      <c r="AJ16" s="166">
        <v>473049</v>
      </c>
      <c r="AK16" s="166">
        <v>477170</v>
      </c>
      <c r="AL16" s="166">
        <v>474063</v>
      </c>
      <c r="AM16" s="166">
        <v>473701</v>
      </c>
      <c r="AN16" s="166">
        <v>485437</v>
      </c>
      <c r="AO16" s="166">
        <v>489283</v>
      </c>
      <c r="AP16" s="166">
        <v>489589</v>
      </c>
      <c r="AQ16" s="166">
        <v>469011</v>
      </c>
      <c r="AR16" s="166">
        <v>482544</v>
      </c>
      <c r="AS16" s="166">
        <v>486829</v>
      </c>
      <c r="AT16" s="166">
        <v>494373</v>
      </c>
      <c r="AU16" s="166">
        <v>490757</v>
      </c>
      <c r="AV16" s="166">
        <v>491471</v>
      </c>
      <c r="AW16" s="166">
        <v>495638</v>
      </c>
      <c r="AX16" s="166">
        <v>497416</v>
      </c>
      <c r="AY16" s="166">
        <v>490387</v>
      </c>
      <c r="AZ16" s="166">
        <v>489692</v>
      </c>
      <c r="BA16" s="166">
        <v>502805</v>
      </c>
      <c r="BB16" s="166">
        <v>506479</v>
      </c>
      <c r="BC16" s="166">
        <v>503836</v>
      </c>
      <c r="BD16" s="166">
        <v>494352</v>
      </c>
      <c r="BE16" s="166">
        <v>497111</v>
      </c>
      <c r="BF16" s="166">
        <v>499852</v>
      </c>
      <c r="BG16" s="166">
        <v>504362</v>
      </c>
      <c r="BH16" s="166">
        <v>512760</v>
      </c>
      <c r="BI16" s="166">
        <v>510408</v>
      </c>
      <c r="BJ16" s="166">
        <v>514647</v>
      </c>
      <c r="BK16" s="166">
        <v>515008</v>
      </c>
      <c r="BL16" s="166">
        <v>512476</v>
      </c>
      <c r="BM16" s="166">
        <v>508385</v>
      </c>
      <c r="BN16" s="166">
        <v>515814</v>
      </c>
      <c r="BO16" s="166">
        <v>511781</v>
      </c>
      <c r="BP16" s="166">
        <v>507955</v>
      </c>
      <c r="BQ16" s="166">
        <v>509213</v>
      </c>
      <c r="BR16" s="166">
        <v>502815</v>
      </c>
      <c r="BS16" s="166">
        <v>498777</v>
      </c>
      <c r="BT16" s="166">
        <v>498156</v>
      </c>
      <c r="BU16" s="166">
        <v>498295</v>
      </c>
      <c r="BV16" s="166">
        <v>494334</v>
      </c>
      <c r="BW16" s="166">
        <v>494986</v>
      </c>
      <c r="BX16" s="166">
        <v>495593</v>
      </c>
      <c r="BY16" s="166">
        <v>488828</v>
      </c>
      <c r="BZ16" s="166">
        <v>487822</v>
      </c>
      <c r="CA16" s="166">
        <v>496147</v>
      </c>
      <c r="CB16" s="166">
        <v>495681</v>
      </c>
      <c r="CC16" s="166">
        <v>487302</v>
      </c>
      <c r="CD16" s="166"/>
    </row>
    <row r="17" spans="1:82">
      <c r="A17" s="552"/>
      <c r="B17" s="1041"/>
      <c r="C17" s="1039"/>
      <c r="D17" s="1042"/>
      <c r="E17" s="1045"/>
      <c r="F17" s="1045"/>
      <c r="G17" s="1045"/>
      <c r="H17" s="98"/>
      <c r="I17" s="98"/>
      <c r="J17" s="1045"/>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row>
    <row r="18" spans="1:82">
      <c r="A18" s="552" t="s">
        <v>917</v>
      </c>
      <c r="B18" s="1041" t="s">
        <v>1715</v>
      </c>
      <c r="C18" s="1039">
        <f>BYD!AG433/BYD!$AG$447</f>
        <v>0.23141462657478418</v>
      </c>
      <c r="D18" s="1042"/>
      <c r="E18" s="98"/>
      <c r="F18" s="98"/>
      <c r="G18" s="98"/>
      <c r="H18" s="98"/>
      <c r="I18" s="98"/>
      <c r="J18" s="98"/>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row>
    <row r="19" spans="1:82">
      <c r="A19" s="674" t="s">
        <v>1366</v>
      </c>
      <c r="B19" s="1041"/>
      <c r="C19" s="1042"/>
      <c r="D19" s="1042"/>
      <c r="E19" s="98">
        <v>6.9</v>
      </c>
      <c r="F19" s="98">
        <v>6.6</v>
      </c>
      <c r="G19" s="98">
        <v>6.6</v>
      </c>
      <c r="H19" s="98">
        <v>6.2</v>
      </c>
      <c r="I19" s="98">
        <v>6.1</v>
      </c>
      <c r="J19" s="98">
        <v>6.5</v>
      </c>
      <c r="K19" s="98">
        <v>6.5</v>
      </c>
      <c r="L19" s="98">
        <v>6.1</v>
      </c>
      <c r="M19" s="98">
        <v>5.8</v>
      </c>
      <c r="N19" s="98">
        <v>5.8</v>
      </c>
      <c r="O19" s="98">
        <v>5.9</v>
      </c>
      <c r="P19" s="98">
        <v>5.8</v>
      </c>
      <c r="Q19" s="98">
        <v>6.2</v>
      </c>
      <c r="R19" s="98">
        <v>6.4</v>
      </c>
      <c r="S19" s="98">
        <v>6.7</v>
      </c>
      <c r="T19" s="98">
        <v>6.3</v>
      </c>
      <c r="U19" s="98">
        <v>6.1</v>
      </c>
      <c r="V19" s="98">
        <v>6</v>
      </c>
      <c r="W19" s="98">
        <v>6.4</v>
      </c>
      <c r="X19" s="98">
        <v>6.2</v>
      </c>
      <c r="Y19" s="98">
        <v>5.7</v>
      </c>
      <c r="Z19" s="98">
        <v>5.5</v>
      </c>
      <c r="AA19" s="98">
        <v>5</v>
      </c>
      <c r="AB19" s="98">
        <v>5.0999999999999996</v>
      </c>
      <c r="AC19" s="98">
        <v>5.2</v>
      </c>
      <c r="AD19" s="98">
        <v>5.9</v>
      </c>
      <c r="AE19" s="98">
        <v>5.4</v>
      </c>
      <c r="AF19" s="98">
        <v>5.3</v>
      </c>
      <c r="AG19" s="98">
        <v>5</v>
      </c>
      <c r="AH19" s="98">
        <v>4.7</v>
      </c>
      <c r="AI19" s="98">
        <v>4.3</v>
      </c>
      <c r="AJ19" s="98">
        <v>4.8</v>
      </c>
      <c r="AK19" s="98">
        <v>4.8</v>
      </c>
      <c r="AL19" s="98">
        <v>4.5999999999999996</v>
      </c>
      <c r="AM19" s="98">
        <v>4.0999999999999996</v>
      </c>
      <c r="AN19" s="98">
        <v>3.7</v>
      </c>
      <c r="AO19" s="98">
        <v>3.9</v>
      </c>
      <c r="AP19" s="98">
        <v>4.2</v>
      </c>
      <c r="AQ19" s="98">
        <v>4.5999999999999996</v>
      </c>
      <c r="AR19" s="98">
        <v>5.0999999999999996</v>
      </c>
      <c r="AS19" s="98">
        <v>5</v>
      </c>
      <c r="AT19" s="98">
        <v>4.5999999999999996</v>
      </c>
      <c r="AU19" s="98">
        <v>4.7</v>
      </c>
      <c r="AV19" s="98">
        <v>4.7</v>
      </c>
      <c r="AW19" s="98">
        <v>5.3</v>
      </c>
      <c r="AX19" s="98">
        <v>5.3</v>
      </c>
      <c r="AY19" s="98">
        <v>5.0999999999999996</v>
      </c>
      <c r="AZ19" s="98">
        <v>4.8</v>
      </c>
      <c r="BA19" s="98">
        <v>4.7</v>
      </c>
      <c r="BB19" s="98">
        <v>4.8</v>
      </c>
      <c r="BC19" s="98">
        <v>5.2</v>
      </c>
      <c r="BD19" s="98">
        <v>4.9000000000000004</v>
      </c>
      <c r="BE19" s="98">
        <v>5.9</v>
      </c>
      <c r="BF19" s="98">
        <v>5.7</v>
      </c>
      <c r="BG19" s="98">
        <v>5.7</v>
      </c>
      <c r="BH19" s="98">
        <v>5.4</v>
      </c>
      <c r="BI19" s="98">
        <v>6.1</v>
      </c>
      <c r="BJ19" s="98">
        <v>6.7</v>
      </c>
      <c r="BK19" s="98">
        <v>6.8</v>
      </c>
      <c r="BL19" s="98">
        <v>6.6</v>
      </c>
      <c r="BM19" s="98">
        <v>6.2</v>
      </c>
      <c r="BN19" s="98">
        <v>6.2</v>
      </c>
      <c r="BO19" s="98">
        <v>6.5</v>
      </c>
      <c r="BP19" s="98">
        <v>7.2</v>
      </c>
      <c r="BQ19" s="98">
        <v>6.2</v>
      </c>
      <c r="BR19" s="98">
        <v>8.4</v>
      </c>
      <c r="BS19" s="98">
        <v>9.1999999999999993</v>
      </c>
      <c r="BT19" s="98">
        <v>9.5</v>
      </c>
      <c r="BU19" s="98">
        <v>9.8000000000000007</v>
      </c>
      <c r="BV19" s="98">
        <v>10.5</v>
      </c>
      <c r="BW19" s="98">
        <v>11</v>
      </c>
      <c r="BX19" s="98">
        <v>10.6</v>
      </c>
      <c r="BY19" s="98">
        <v>9.6999999999999993</v>
      </c>
      <c r="BZ19" s="98">
        <v>10.1</v>
      </c>
      <c r="CA19" s="98">
        <v>10.3</v>
      </c>
      <c r="CB19" s="98">
        <v>10.3</v>
      </c>
      <c r="CC19" s="98">
        <v>10.7</v>
      </c>
      <c r="CD19" s="98">
        <f>AVERAGE(BR19:CC19)</f>
        <v>10.008333333333333</v>
      </c>
    </row>
    <row r="20" spans="1:82">
      <c r="A20" s="633" t="s">
        <v>1639</v>
      </c>
      <c r="B20" s="1041"/>
      <c r="C20" s="1039"/>
      <c r="D20" s="1042"/>
      <c r="E20" s="166">
        <v>4457112</v>
      </c>
      <c r="F20" s="166">
        <v>4479254</v>
      </c>
      <c r="G20" s="166">
        <v>4477161</v>
      </c>
      <c r="H20" s="166">
        <v>4482025</v>
      </c>
      <c r="I20" s="166">
        <v>4491576</v>
      </c>
      <c r="J20" s="166">
        <v>4546673</v>
      </c>
      <c r="K20" s="166">
        <v>4575799</v>
      </c>
      <c r="L20" s="166">
        <v>4531080</v>
      </c>
      <c r="M20" s="166">
        <v>4509491</v>
      </c>
      <c r="N20" s="166">
        <v>4521819</v>
      </c>
      <c r="O20" s="166">
        <v>4536929</v>
      </c>
      <c r="P20" s="166">
        <v>4529833</v>
      </c>
      <c r="Q20" s="166">
        <v>4511563</v>
      </c>
      <c r="R20" s="166">
        <v>4481548</v>
      </c>
      <c r="S20" s="166">
        <v>4489611</v>
      </c>
      <c r="T20" s="166">
        <v>4492489</v>
      </c>
      <c r="U20" s="166">
        <v>4517810</v>
      </c>
      <c r="V20" s="166">
        <v>4530620</v>
      </c>
      <c r="W20" s="166">
        <v>4575310</v>
      </c>
      <c r="X20" s="166">
        <v>4607284</v>
      </c>
      <c r="Y20" s="166">
        <v>4579213</v>
      </c>
      <c r="Z20" s="166">
        <v>4559477</v>
      </c>
      <c r="AA20" s="166">
        <v>4585111</v>
      </c>
      <c r="AB20" s="166">
        <v>4600789</v>
      </c>
      <c r="AC20" s="166">
        <v>4595673</v>
      </c>
      <c r="AD20" s="166">
        <v>4551245</v>
      </c>
      <c r="AE20" s="166">
        <v>4573724</v>
      </c>
      <c r="AF20" s="166">
        <v>4608421</v>
      </c>
      <c r="AG20" s="166">
        <v>4627408</v>
      </c>
      <c r="AH20" s="166">
        <v>4639958</v>
      </c>
      <c r="AI20" s="166">
        <v>4665439</v>
      </c>
      <c r="AJ20" s="166">
        <v>4737976</v>
      </c>
      <c r="AK20" s="166">
        <v>4758905</v>
      </c>
      <c r="AL20" s="166">
        <v>4734087</v>
      </c>
      <c r="AM20" s="166">
        <v>4726136</v>
      </c>
      <c r="AN20" s="166">
        <v>4766175</v>
      </c>
      <c r="AO20" s="166">
        <v>4778725</v>
      </c>
      <c r="AP20" s="166">
        <v>4777724</v>
      </c>
      <c r="AQ20" s="166">
        <v>4699557</v>
      </c>
      <c r="AR20" s="166">
        <v>4717617</v>
      </c>
      <c r="AS20" s="166">
        <v>4725912</v>
      </c>
      <c r="AT20" s="166">
        <v>4745840</v>
      </c>
      <c r="AU20" s="166">
        <v>4736518</v>
      </c>
      <c r="AV20" s="166">
        <v>4748384</v>
      </c>
      <c r="AW20" s="166">
        <v>4817556</v>
      </c>
      <c r="AX20" s="166">
        <v>4833450</v>
      </c>
      <c r="AY20" s="166">
        <v>4777584</v>
      </c>
      <c r="AZ20" s="166">
        <v>4777051</v>
      </c>
      <c r="BA20" s="166">
        <v>4781786</v>
      </c>
      <c r="BB20" s="166">
        <v>4816485</v>
      </c>
      <c r="BC20" s="166">
        <v>4786451</v>
      </c>
      <c r="BD20" s="166">
        <v>4772053</v>
      </c>
      <c r="BE20" s="166">
        <v>4750126</v>
      </c>
      <c r="BF20" s="166">
        <v>4745258</v>
      </c>
      <c r="BG20" s="166">
        <v>4748935</v>
      </c>
      <c r="BH20" s="166">
        <v>4761327</v>
      </c>
      <c r="BI20" s="166">
        <v>4742445</v>
      </c>
      <c r="BJ20" s="166">
        <v>4774342</v>
      </c>
      <c r="BK20" s="166">
        <v>4771495</v>
      </c>
      <c r="BL20" s="166">
        <v>4708391</v>
      </c>
      <c r="BM20" s="166">
        <v>4679834</v>
      </c>
      <c r="BN20" s="166">
        <v>4666111</v>
      </c>
      <c r="BO20" s="166">
        <v>4651449</v>
      </c>
      <c r="BP20" s="166">
        <v>4606622</v>
      </c>
      <c r="BQ20" s="166">
        <v>4717195</v>
      </c>
      <c r="BR20" s="166">
        <v>4528226</v>
      </c>
      <c r="BS20" s="166">
        <v>4490094</v>
      </c>
      <c r="BT20" s="166">
        <v>4473132</v>
      </c>
      <c r="BU20" s="166">
        <v>4485551</v>
      </c>
      <c r="BV20" s="166">
        <v>4497335</v>
      </c>
      <c r="BW20" s="166">
        <v>4545401</v>
      </c>
      <c r="BX20" s="166">
        <v>4556789</v>
      </c>
      <c r="BY20" s="166">
        <v>4502123</v>
      </c>
      <c r="BZ20" s="166">
        <v>4456575</v>
      </c>
      <c r="CA20" s="166">
        <v>4455609</v>
      </c>
      <c r="CB20" s="166">
        <v>4475098</v>
      </c>
      <c r="CC20" s="166">
        <v>4421041</v>
      </c>
      <c r="CD20" s="2"/>
    </row>
    <row r="21" spans="1:82">
      <c r="A21" s="552"/>
      <c r="B21" s="1041"/>
      <c r="C21" s="1039"/>
      <c r="D21" s="1042"/>
      <c r="E21" s="98"/>
      <c r="F21" s="98"/>
      <c r="G21" s="98"/>
      <c r="H21" s="98"/>
      <c r="I21" s="98"/>
      <c r="J21" s="98"/>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row>
    <row r="22" spans="1:82">
      <c r="A22" s="552" t="s">
        <v>775</v>
      </c>
      <c r="B22" s="1041" t="s">
        <v>1717</v>
      </c>
      <c r="C22" s="1039">
        <f>BYD!AG434/BYD!$AG$447</f>
        <v>0.22201690552474213</v>
      </c>
      <c r="D22" s="1042"/>
      <c r="E22" s="98"/>
      <c r="F22" s="98"/>
      <c r="G22" s="98"/>
      <c r="H22" s="98"/>
      <c r="I22" s="98"/>
      <c r="J22" s="98"/>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row>
    <row r="23" spans="1:82">
      <c r="A23" s="674" t="s">
        <v>1366</v>
      </c>
      <c r="B23" s="1041"/>
      <c r="C23" s="1042"/>
      <c r="D23" s="1042"/>
      <c r="E23" s="98">
        <v>6.7</v>
      </c>
      <c r="F23" s="98">
        <v>6.4</v>
      </c>
      <c r="G23" s="98">
        <v>6.5</v>
      </c>
      <c r="H23" s="98">
        <v>6</v>
      </c>
      <c r="I23" s="98">
        <v>6.1</v>
      </c>
      <c r="J23" s="98">
        <v>6.8</v>
      </c>
      <c r="K23" s="98">
        <v>6.6</v>
      </c>
      <c r="L23" s="98">
        <v>6.3</v>
      </c>
      <c r="M23" s="98">
        <v>6</v>
      </c>
      <c r="N23" s="98">
        <v>5.9</v>
      </c>
      <c r="O23" s="98">
        <v>5.9</v>
      </c>
      <c r="P23" s="98">
        <v>5.7</v>
      </c>
      <c r="Q23" s="98">
        <v>6.2</v>
      </c>
      <c r="R23" s="98">
        <v>6</v>
      </c>
      <c r="S23" s="98">
        <v>6</v>
      </c>
      <c r="T23" s="98">
        <v>5.5</v>
      </c>
      <c r="U23" s="98">
        <v>5.2</v>
      </c>
      <c r="V23" s="98">
        <v>5.3</v>
      </c>
      <c r="W23" s="98">
        <v>5.7</v>
      </c>
      <c r="X23" s="98">
        <v>5.6</v>
      </c>
      <c r="Y23" s="98">
        <v>5.4</v>
      </c>
      <c r="Z23" s="98">
        <v>5.9</v>
      </c>
      <c r="AA23" s="98">
        <v>5.5</v>
      </c>
      <c r="AB23" s="98">
        <v>5.7</v>
      </c>
      <c r="AC23" s="98">
        <v>5.3</v>
      </c>
      <c r="AD23" s="98">
        <v>5.6</v>
      </c>
      <c r="AE23" s="98">
        <v>5.7</v>
      </c>
      <c r="AF23" s="98">
        <v>5.7</v>
      </c>
      <c r="AG23" s="98">
        <v>5.0999999999999996</v>
      </c>
      <c r="AH23" s="98">
        <v>5</v>
      </c>
      <c r="AI23" s="98">
        <v>5</v>
      </c>
      <c r="AJ23" s="98">
        <v>5.6</v>
      </c>
      <c r="AK23" s="98">
        <v>5.5</v>
      </c>
      <c r="AL23" s="98">
        <v>5.0999999999999996</v>
      </c>
      <c r="AM23" s="98">
        <v>4.8</v>
      </c>
      <c r="AN23" s="98">
        <v>4.4000000000000004</v>
      </c>
      <c r="AO23" s="98">
        <v>4.5</v>
      </c>
      <c r="AP23" s="98">
        <v>4.0999999999999996</v>
      </c>
      <c r="AQ23" s="98">
        <v>5</v>
      </c>
      <c r="AR23" s="98">
        <v>4.7</v>
      </c>
      <c r="AS23" s="98">
        <v>4.5999999999999996</v>
      </c>
      <c r="AT23" s="98">
        <v>4.0999999999999996</v>
      </c>
      <c r="AU23" s="98">
        <v>4</v>
      </c>
      <c r="AV23" s="98">
        <v>4</v>
      </c>
      <c r="AW23" s="98">
        <v>4.5999999999999996</v>
      </c>
      <c r="AX23" s="98">
        <v>4.7</v>
      </c>
      <c r="AY23" s="98">
        <v>4.3</v>
      </c>
      <c r="AZ23" s="98">
        <v>4.4000000000000004</v>
      </c>
      <c r="BA23" s="98">
        <v>4</v>
      </c>
      <c r="BB23" s="98">
        <v>4.0999999999999996</v>
      </c>
      <c r="BC23" s="98">
        <v>4.2</v>
      </c>
      <c r="BD23" s="98">
        <v>4.3</v>
      </c>
      <c r="BE23" s="98">
        <v>4.5999999999999996</v>
      </c>
      <c r="BF23" s="98">
        <v>4.3</v>
      </c>
      <c r="BG23" s="98">
        <v>4.2</v>
      </c>
      <c r="BH23" s="98">
        <v>3.9</v>
      </c>
      <c r="BI23" s="98">
        <v>4.4000000000000004</v>
      </c>
      <c r="BJ23" s="98">
        <v>5</v>
      </c>
      <c r="BK23" s="98">
        <v>5.0999999999999996</v>
      </c>
      <c r="BL23" s="98">
        <v>5.2</v>
      </c>
      <c r="BM23" s="98">
        <v>5.0999999999999996</v>
      </c>
      <c r="BN23" s="98">
        <v>5.2</v>
      </c>
      <c r="BO23" s="98">
        <v>5.4</v>
      </c>
      <c r="BP23" s="98">
        <v>5.6</v>
      </c>
      <c r="BQ23" s="98">
        <v>4.8</v>
      </c>
      <c r="BR23" s="98">
        <v>6.5</v>
      </c>
      <c r="BS23" s="98">
        <v>6.5</v>
      </c>
      <c r="BT23" s="98">
        <v>6.6</v>
      </c>
      <c r="BU23" s="98">
        <v>6.3</v>
      </c>
      <c r="BV23" s="98">
        <v>7</v>
      </c>
      <c r="BW23" s="98">
        <v>8</v>
      </c>
      <c r="BX23" s="98">
        <v>8.4</v>
      </c>
      <c r="BY23" s="98">
        <v>8.4</v>
      </c>
      <c r="BZ23" s="98">
        <v>8.5</v>
      </c>
      <c r="CA23" s="98">
        <v>8.4</v>
      </c>
      <c r="CB23" s="98">
        <v>8.1999999999999993</v>
      </c>
      <c r="CC23" s="98">
        <v>8.4</v>
      </c>
      <c r="CD23" s="98">
        <f>AVERAGE(BR23:CC23)</f>
        <v>7.6000000000000014</v>
      </c>
    </row>
    <row r="24" spans="1:82">
      <c r="A24" s="633" t="s">
        <v>1639</v>
      </c>
      <c r="B24" s="1041"/>
      <c r="C24" s="1039"/>
      <c r="D24" s="1042"/>
      <c r="E24" s="166">
        <v>2433043</v>
      </c>
      <c r="F24" s="166">
        <v>2443779</v>
      </c>
      <c r="G24" s="166">
        <v>2448414</v>
      </c>
      <c r="H24" s="166">
        <v>2444920</v>
      </c>
      <c r="I24" s="166">
        <v>2444576</v>
      </c>
      <c r="J24" s="166">
        <v>2450607</v>
      </c>
      <c r="K24" s="166">
        <v>2461934</v>
      </c>
      <c r="L24" s="166">
        <v>2452647</v>
      </c>
      <c r="M24" s="166">
        <v>2456419</v>
      </c>
      <c r="N24" s="166">
        <v>2474121</v>
      </c>
      <c r="O24" s="166">
        <v>2483983</v>
      </c>
      <c r="P24" s="166">
        <v>2492564</v>
      </c>
      <c r="Q24" s="166">
        <v>2457251</v>
      </c>
      <c r="R24" s="166">
        <v>2471843</v>
      </c>
      <c r="S24" s="166">
        <v>2478501</v>
      </c>
      <c r="T24" s="166">
        <v>2488302</v>
      </c>
      <c r="U24" s="166">
        <v>2492369</v>
      </c>
      <c r="V24" s="166">
        <v>2495869</v>
      </c>
      <c r="W24" s="166">
        <v>2503298</v>
      </c>
      <c r="X24" s="166">
        <v>2511703</v>
      </c>
      <c r="Y24" s="166">
        <v>2518901</v>
      </c>
      <c r="Z24" s="166">
        <v>2515624</v>
      </c>
      <c r="AA24" s="166">
        <v>2533938</v>
      </c>
      <c r="AB24" s="166">
        <v>2534050</v>
      </c>
      <c r="AC24" s="166">
        <v>2548586</v>
      </c>
      <c r="AD24" s="166">
        <v>2507749</v>
      </c>
      <c r="AE24" s="166">
        <v>2526401</v>
      </c>
      <c r="AF24" s="166">
        <v>2541355</v>
      </c>
      <c r="AG24" s="166">
        <v>2556657</v>
      </c>
      <c r="AH24" s="166">
        <v>2554068</v>
      </c>
      <c r="AI24" s="166">
        <v>2559235</v>
      </c>
      <c r="AJ24" s="166">
        <v>2569422</v>
      </c>
      <c r="AK24" s="166">
        <v>2580182</v>
      </c>
      <c r="AL24" s="166">
        <v>2587429</v>
      </c>
      <c r="AM24" s="166">
        <v>2596904</v>
      </c>
      <c r="AN24" s="166">
        <v>2621914</v>
      </c>
      <c r="AO24" s="166">
        <v>2626969</v>
      </c>
      <c r="AP24" s="166">
        <v>2636151</v>
      </c>
      <c r="AQ24" s="166">
        <v>2579724</v>
      </c>
      <c r="AR24" s="166">
        <v>2608656</v>
      </c>
      <c r="AS24" s="166">
        <v>2611813</v>
      </c>
      <c r="AT24" s="166">
        <v>2626015</v>
      </c>
      <c r="AU24" s="166">
        <v>2624679</v>
      </c>
      <c r="AV24" s="166">
        <v>2630438</v>
      </c>
      <c r="AW24" s="166">
        <v>2651876</v>
      </c>
      <c r="AX24" s="166">
        <v>2662880</v>
      </c>
      <c r="AY24" s="166">
        <v>2649618</v>
      </c>
      <c r="AZ24" s="166">
        <v>2659889</v>
      </c>
      <c r="BA24" s="166">
        <v>2671745</v>
      </c>
      <c r="BB24" s="166">
        <v>2682023</v>
      </c>
      <c r="BC24" s="166">
        <v>2676377</v>
      </c>
      <c r="BD24" s="166">
        <v>2646334</v>
      </c>
      <c r="BE24" s="166">
        <v>2657087</v>
      </c>
      <c r="BF24" s="166">
        <v>2659819</v>
      </c>
      <c r="BG24" s="166">
        <v>2671549</v>
      </c>
      <c r="BH24" s="166">
        <v>2690664</v>
      </c>
      <c r="BI24" s="166">
        <v>2684657</v>
      </c>
      <c r="BJ24" s="166">
        <v>2700209</v>
      </c>
      <c r="BK24" s="166">
        <v>2712070</v>
      </c>
      <c r="BL24" s="166">
        <v>2697675</v>
      </c>
      <c r="BM24" s="166">
        <v>2685516</v>
      </c>
      <c r="BN24" s="166">
        <v>2703661</v>
      </c>
      <c r="BO24" s="166">
        <v>2697673</v>
      </c>
      <c r="BP24" s="166">
        <v>2689806</v>
      </c>
      <c r="BQ24" s="166">
        <v>2687532</v>
      </c>
      <c r="BR24" s="166">
        <v>2661331</v>
      </c>
      <c r="BS24" s="166">
        <v>2653440</v>
      </c>
      <c r="BT24" s="166">
        <v>2657460</v>
      </c>
      <c r="BU24" s="166">
        <v>2658549</v>
      </c>
      <c r="BV24" s="166">
        <v>2646569</v>
      </c>
      <c r="BW24" s="166">
        <v>2646543</v>
      </c>
      <c r="BX24" s="166">
        <v>2657207</v>
      </c>
      <c r="BY24" s="166">
        <v>2635171</v>
      </c>
      <c r="BZ24" s="166">
        <v>2637034</v>
      </c>
      <c r="CA24" s="166">
        <v>2640367</v>
      </c>
      <c r="CB24" s="166">
        <v>2651409</v>
      </c>
      <c r="CC24" s="166">
        <v>2645064</v>
      </c>
      <c r="CD24" s="2"/>
    </row>
    <row r="25" spans="1:82">
      <c r="A25" s="552"/>
      <c r="B25" s="1041"/>
      <c r="C25" s="1039"/>
      <c r="D25" s="1042"/>
      <c r="E25" s="98"/>
      <c r="F25" s="98"/>
      <c r="G25" s="98"/>
      <c r="H25" s="98"/>
      <c r="I25" s="98"/>
      <c r="J25" s="98"/>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row>
    <row r="26" spans="1:82">
      <c r="A26" s="552" t="s">
        <v>1302</v>
      </c>
      <c r="B26" s="1043" t="s">
        <v>1716</v>
      </c>
      <c r="C26" s="1039">
        <f>BYD!AG435/BYD!$AG$447</f>
        <v>0.15520170827587801</v>
      </c>
      <c r="D26" s="1044"/>
      <c r="E26" s="166"/>
      <c r="F26" s="166"/>
      <c r="G26" s="166"/>
      <c r="H26" s="166"/>
      <c r="I26" s="166"/>
      <c r="J26" s="166"/>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row>
    <row r="27" spans="1:82">
      <c r="A27" s="674" t="s">
        <v>1366</v>
      </c>
      <c r="B27" s="98"/>
      <c r="C27" s="98"/>
      <c r="D27" s="98"/>
      <c r="E27" s="98">
        <v>6.7</v>
      </c>
      <c r="F27" s="98">
        <v>5.7</v>
      </c>
      <c r="G27" s="98">
        <v>6</v>
      </c>
      <c r="H27" s="98">
        <v>5.4</v>
      </c>
      <c r="I27" s="98">
        <v>5.6</v>
      </c>
      <c r="J27" s="98">
        <v>6.8</v>
      </c>
      <c r="K27" s="98">
        <v>6.1</v>
      </c>
      <c r="L27" s="98">
        <v>5.5</v>
      </c>
      <c r="M27" s="98">
        <v>5.4</v>
      </c>
      <c r="N27" s="98">
        <v>5.4</v>
      </c>
      <c r="O27" s="98">
        <v>5.2</v>
      </c>
      <c r="P27" s="98">
        <v>5.2</v>
      </c>
      <c r="Q27" s="98">
        <v>5.8</v>
      </c>
      <c r="R27" s="98">
        <v>6.1</v>
      </c>
      <c r="S27" s="98">
        <v>5.3</v>
      </c>
      <c r="T27" s="98">
        <v>5.2</v>
      </c>
      <c r="U27" s="98">
        <v>4.7</v>
      </c>
      <c r="V27" s="98">
        <v>4.9000000000000004</v>
      </c>
      <c r="W27" s="98">
        <v>6.2</v>
      </c>
      <c r="X27" s="98">
        <v>5.9</v>
      </c>
      <c r="Y27" s="98">
        <v>5.3</v>
      </c>
      <c r="Z27" s="98">
        <v>6.6</v>
      </c>
      <c r="AA27" s="98">
        <v>5.8</v>
      </c>
      <c r="AB27" s="98">
        <v>6.2</v>
      </c>
      <c r="AC27" s="98">
        <v>4.5</v>
      </c>
      <c r="AD27" s="98">
        <v>5.6</v>
      </c>
      <c r="AE27" s="98">
        <v>4.2</v>
      </c>
      <c r="AF27" s="98">
        <v>3.4</v>
      </c>
      <c r="AG27" s="98">
        <v>3.4</v>
      </c>
      <c r="AH27" s="98">
        <v>3</v>
      </c>
      <c r="AI27" s="98">
        <v>3.4</v>
      </c>
      <c r="AJ27" s="98">
        <v>4.5</v>
      </c>
      <c r="AK27" s="98">
        <v>4.0999999999999996</v>
      </c>
      <c r="AL27" s="98">
        <v>4.2</v>
      </c>
      <c r="AM27" s="98">
        <v>4</v>
      </c>
      <c r="AN27" s="98">
        <v>4</v>
      </c>
      <c r="AO27" s="98">
        <v>4.0999999999999996</v>
      </c>
      <c r="AP27" s="98">
        <v>4</v>
      </c>
      <c r="AQ27" s="98">
        <v>3.9</v>
      </c>
      <c r="AR27" s="98">
        <v>5.7</v>
      </c>
      <c r="AS27" s="98">
        <v>4</v>
      </c>
      <c r="AT27" s="98">
        <v>3.9</v>
      </c>
      <c r="AU27" s="98">
        <v>3.8</v>
      </c>
      <c r="AV27" s="98">
        <v>4.2</v>
      </c>
      <c r="AW27" s="98">
        <v>5.0999999999999996</v>
      </c>
      <c r="AX27" s="98">
        <v>4.9000000000000004</v>
      </c>
      <c r="AY27" s="98">
        <v>4.5999999999999996</v>
      </c>
      <c r="AZ27" s="98">
        <v>4.3</v>
      </c>
      <c r="BA27" s="98">
        <v>3.8</v>
      </c>
      <c r="BB27" s="98">
        <v>3.8</v>
      </c>
      <c r="BC27" s="98">
        <v>4.2</v>
      </c>
      <c r="BD27" s="98">
        <v>4.4000000000000004</v>
      </c>
      <c r="BE27" s="98">
        <v>4.9000000000000004</v>
      </c>
      <c r="BF27" s="98">
        <v>4.0999999999999996</v>
      </c>
      <c r="BG27" s="98">
        <v>4.5999999999999996</v>
      </c>
      <c r="BH27" s="98">
        <v>3.9</v>
      </c>
      <c r="BI27" s="98">
        <v>4.3</v>
      </c>
      <c r="BJ27" s="98">
        <v>5.8</v>
      </c>
      <c r="BK27" s="98">
        <v>5.8</v>
      </c>
      <c r="BL27" s="98">
        <v>5.9</v>
      </c>
      <c r="BM27" s="98">
        <v>5.3</v>
      </c>
      <c r="BN27" s="98">
        <v>5.9</v>
      </c>
      <c r="BO27" s="98">
        <v>6</v>
      </c>
      <c r="BP27" s="98">
        <v>6.5</v>
      </c>
      <c r="BQ27" s="98">
        <v>5.3</v>
      </c>
      <c r="BR27" s="98">
        <v>7.3</v>
      </c>
      <c r="BS27" s="98">
        <v>6.9</v>
      </c>
      <c r="BT27" s="98">
        <v>6.5</v>
      </c>
      <c r="BU27" s="98">
        <v>6.4</v>
      </c>
      <c r="BV27" s="98">
        <v>6.9</v>
      </c>
      <c r="BW27" s="98">
        <v>8.3000000000000007</v>
      </c>
      <c r="BX27" s="98">
        <v>9</v>
      </c>
      <c r="BY27" s="98">
        <v>8.6999999999999993</v>
      </c>
      <c r="BZ27" s="98">
        <v>7.7</v>
      </c>
      <c r="CA27" s="98">
        <v>7.3</v>
      </c>
      <c r="CB27" s="98">
        <v>6.4</v>
      </c>
      <c r="CC27" s="98">
        <v>7.3</v>
      </c>
      <c r="CD27" s="98">
        <f>AVERAGE(BR27:CC27)</f>
        <v>7.3916666666666666</v>
      </c>
    </row>
    <row r="28" spans="1:82">
      <c r="A28" s="633" t="s">
        <v>1639</v>
      </c>
      <c r="B28" s="2"/>
      <c r="C28" s="2"/>
      <c r="D28" s="2"/>
      <c r="E28" s="2">
        <v>175251</v>
      </c>
      <c r="F28" s="2">
        <v>176340</v>
      </c>
      <c r="G28" s="2">
        <v>176938</v>
      </c>
      <c r="H28" s="2">
        <v>179656</v>
      </c>
      <c r="I28" s="2">
        <v>179999</v>
      </c>
      <c r="J28" s="2">
        <v>182239</v>
      </c>
      <c r="K28" s="2">
        <v>185037</v>
      </c>
      <c r="L28" s="2">
        <v>183818</v>
      </c>
      <c r="M28" s="2">
        <v>183547</v>
      </c>
      <c r="N28" s="2">
        <v>184876</v>
      </c>
      <c r="O28" s="2">
        <v>184620</v>
      </c>
      <c r="P28" s="2">
        <v>184390</v>
      </c>
      <c r="Q28" s="2">
        <v>181393</v>
      </c>
      <c r="R28" s="2">
        <v>182165</v>
      </c>
      <c r="S28" s="2">
        <v>183215</v>
      </c>
      <c r="T28" s="2">
        <v>184410</v>
      </c>
      <c r="U28" s="2">
        <v>186742</v>
      </c>
      <c r="V28" s="2">
        <v>187119</v>
      </c>
      <c r="W28" s="2">
        <v>187818</v>
      </c>
      <c r="X28" s="2">
        <v>189081</v>
      </c>
      <c r="Y28" s="2">
        <v>189783</v>
      </c>
      <c r="Z28" s="2">
        <v>192422</v>
      </c>
      <c r="AA28" s="2">
        <v>198100</v>
      </c>
      <c r="AB28" s="2">
        <v>197007</v>
      </c>
      <c r="AC28" s="2">
        <v>194595</v>
      </c>
      <c r="AD28" s="2">
        <v>189371</v>
      </c>
      <c r="AE28" s="2">
        <v>192046</v>
      </c>
      <c r="AF28" s="2">
        <v>192684</v>
      </c>
      <c r="AG28" s="2">
        <v>192838</v>
      </c>
      <c r="AH28" s="2">
        <v>192677</v>
      </c>
      <c r="AI28" s="2">
        <v>193739</v>
      </c>
      <c r="AJ28" s="2">
        <v>195745</v>
      </c>
      <c r="AK28" s="2">
        <v>196124</v>
      </c>
      <c r="AL28" s="2">
        <v>193755</v>
      </c>
      <c r="AM28" s="2">
        <v>191662</v>
      </c>
      <c r="AN28" s="2">
        <v>192232</v>
      </c>
      <c r="AO28" s="2">
        <v>191710</v>
      </c>
      <c r="AP28" s="2">
        <v>190705</v>
      </c>
      <c r="AQ28" s="2">
        <v>192993</v>
      </c>
      <c r="AR28" s="2">
        <v>187613</v>
      </c>
      <c r="AS28" s="2">
        <v>188993</v>
      </c>
      <c r="AT28" s="2">
        <v>191223</v>
      </c>
      <c r="AU28" s="2">
        <v>193045</v>
      </c>
      <c r="AV28" s="2">
        <v>193040</v>
      </c>
      <c r="AW28" s="2">
        <v>194713</v>
      </c>
      <c r="AX28" s="2">
        <v>196963</v>
      </c>
      <c r="AY28" s="2">
        <v>195111</v>
      </c>
      <c r="AZ28" s="2">
        <v>194529</v>
      </c>
      <c r="BA28" s="2">
        <v>194348</v>
      </c>
      <c r="BB28" s="2">
        <v>195805</v>
      </c>
      <c r="BC28" s="2">
        <v>194556</v>
      </c>
      <c r="BD28" s="2">
        <v>193328</v>
      </c>
      <c r="BE28" s="2">
        <v>191898</v>
      </c>
      <c r="BF28" s="2">
        <v>193423</v>
      </c>
      <c r="BG28" s="2">
        <v>194217</v>
      </c>
      <c r="BH28" s="2">
        <v>195973</v>
      </c>
      <c r="BI28" s="2">
        <v>195796</v>
      </c>
      <c r="BJ28" s="2">
        <v>197207</v>
      </c>
      <c r="BK28" s="2">
        <v>199496</v>
      </c>
      <c r="BL28" s="2">
        <v>197161</v>
      </c>
      <c r="BM28" s="2">
        <v>197547</v>
      </c>
      <c r="BN28" s="2">
        <v>197289</v>
      </c>
      <c r="BO28" s="2">
        <v>196010</v>
      </c>
      <c r="BP28" s="2">
        <v>192936</v>
      </c>
      <c r="BQ28" s="2">
        <v>195746</v>
      </c>
      <c r="BR28" s="2">
        <v>191239</v>
      </c>
      <c r="BS28" s="2">
        <v>190079</v>
      </c>
      <c r="BT28" s="2">
        <v>189985</v>
      </c>
      <c r="BU28" s="2">
        <v>191319</v>
      </c>
      <c r="BV28" s="2">
        <v>189496</v>
      </c>
      <c r="BW28" s="2">
        <v>188955</v>
      </c>
      <c r="BX28" s="2">
        <v>189593</v>
      </c>
      <c r="BY28" s="2">
        <v>186460</v>
      </c>
      <c r="BZ28" s="2">
        <v>186728</v>
      </c>
      <c r="CA28" s="2">
        <v>187400</v>
      </c>
      <c r="CB28" s="2">
        <v>187358</v>
      </c>
      <c r="CC28" s="2">
        <v>183370</v>
      </c>
      <c r="CD28" s="2"/>
    </row>
  </sheetData>
  <phoneticPr fontId="10" type="noConversion"/>
  <pageMargins left="0.75" right="0.75" top="1" bottom="1" header="0.5" footer="0.5"/>
  <pageSetup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43"/>
  <sheetViews>
    <sheetView workbookViewId="0">
      <selection activeCell="B42" sqref="B42"/>
    </sheetView>
  </sheetViews>
  <sheetFormatPr defaultRowHeight="12.75"/>
  <cols>
    <col min="1" max="1" width="25.875" style="3848" bestFit="1" customWidth="1"/>
    <col min="2" max="2" width="17.375" style="4195" customWidth="1"/>
    <col min="3" max="3" width="10.5" style="3848" bestFit="1" customWidth="1"/>
    <col min="4" max="256" width="9" style="3848"/>
    <col min="257" max="257" width="25.875" style="3848" bestFit="1" customWidth="1"/>
    <col min="258" max="258" width="17.375" style="3848" customWidth="1"/>
    <col min="259" max="259" width="10.5" style="3848" bestFit="1" customWidth="1"/>
    <col min="260" max="512" width="9" style="3848"/>
    <col min="513" max="513" width="25.875" style="3848" bestFit="1" customWidth="1"/>
    <col min="514" max="514" width="17.375" style="3848" customWidth="1"/>
    <col min="515" max="515" width="10.5" style="3848" bestFit="1" customWidth="1"/>
    <col min="516" max="768" width="9" style="3848"/>
    <col min="769" max="769" width="25.875" style="3848" bestFit="1" customWidth="1"/>
    <col min="770" max="770" width="17.375" style="3848" customWidth="1"/>
    <col min="771" max="771" width="10.5" style="3848" bestFit="1" customWidth="1"/>
    <col min="772" max="1024" width="9" style="3848"/>
    <col min="1025" max="1025" width="25.875" style="3848" bestFit="1" customWidth="1"/>
    <col min="1026" max="1026" width="17.375" style="3848" customWidth="1"/>
    <col min="1027" max="1027" width="10.5" style="3848" bestFit="1" customWidth="1"/>
    <col min="1028" max="1280" width="9" style="3848"/>
    <col min="1281" max="1281" width="25.875" style="3848" bestFit="1" customWidth="1"/>
    <col min="1282" max="1282" width="17.375" style="3848" customWidth="1"/>
    <col min="1283" max="1283" width="10.5" style="3848" bestFit="1" customWidth="1"/>
    <col min="1284" max="1536" width="9" style="3848"/>
    <col min="1537" max="1537" width="25.875" style="3848" bestFit="1" customWidth="1"/>
    <col min="1538" max="1538" width="17.375" style="3848" customWidth="1"/>
    <col min="1539" max="1539" width="10.5" style="3848" bestFit="1" customWidth="1"/>
    <col min="1540" max="1792" width="9" style="3848"/>
    <col min="1793" max="1793" width="25.875" style="3848" bestFit="1" customWidth="1"/>
    <col min="1794" max="1794" width="17.375" style="3848" customWidth="1"/>
    <col min="1795" max="1795" width="10.5" style="3848" bestFit="1" customWidth="1"/>
    <col min="1796" max="2048" width="9" style="3848"/>
    <col min="2049" max="2049" width="25.875" style="3848" bestFit="1" customWidth="1"/>
    <col min="2050" max="2050" width="17.375" style="3848" customWidth="1"/>
    <col min="2051" max="2051" width="10.5" style="3848" bestFit="1" customWidth="1"/>
    <col min="2052" max="2304" width="9" style="3848"/>
    <col min="2305" max="2305" width="25.875" style="3848" bestFit="1" customWidth="1"/>
    <col min="2306" max="2306" width="17.375" style="3848" customWidth="1"/>
    <col min="2307" max="2307" width="10.5" style="3848" bestFit="1" customWidth="1"/>
    <col min="2308" max="2560" width="9" style="3848"/>
    <col min="2561" max="2561" width="25.875" style="3848" bestFit="1" customWidth="1"/>
    <col min="2562" max="2562" width="17.375" style="3848" customWidth="1"/>
    <col min="2563" max="2563" width="10.5" style="3848" bestFit="1" customWidth="1"/>
    <col min="2564" max="2816" width="9" style="3848"/>
    <col min="2817" max="2817" width="25.875" style="3848" bestFit="1" customWidth="1"/>
    <col min="2818" max="2818" width="17.375" style="3848" customWidth="1"/>
    <col min="2819" max="2819" width="10.5" style="3848" bestFit="1" customWidth="1"/>
    <col min="2820" max="3072" width="9" style="3848"/>
    <col min="3073" max="3073" width="25.875" style="3848" bestFit="1" customWidth="1"/>
    <col min="3074" max="3074" width="17.375" style="3848" customWidth="1"/>
    <col min="3075" max="3075" width="10.5" style="3848" bestFit="1" customWidth="1"/>
    <col min="3076" max="3328" width="9" style="3848"/>
    <col min="3329" max="3329" width="25.875" style="3848" bestFit="1" customWidth="1"/>
    <col min="3330" max="3330" width="17.375" style="3848" customWidth="1"/>
    <col min="3331" max="3331" width="10.5" style="3848" bestFit="1" customWidth="1"/>
    <col min="3332" max="3584" width="9" style="3848"/>
    <col min="3585" max="3585" width="25.875" style="3848" bestFit="1" customWidth="1"/>
    <col min="3586" max="3586" width="17.375" style="3848" customWidth="1"/>
    <col min="3587" max="3587" width="10.5" style="3848" bestFit="1" customWidth="1"/>
    <col min="3588" max="3840" width="9" style="3848"/>
    <col min="3841" max="3841" width="25.875" style="3848" bestFit="1" customWidth="1"/>
    <col min="3842" max="3842" width="17.375" style="3848" customWidth="1"/>
    <col min="3843" max="3843" width="10.5" style="3848" bestFit="1" customWidth="1"/>
    <col min="3844" max="4096" width="9" style="3848"/>
    <col min="4097" max="4097" width="25.875" style="3848" bestFit="1" customWidth="1"/>
    <col min="4098" max="4098" width="17.375" style="3848" customWidth="1"/>
    <col min="4099" max="4099" width="10.5" style="3848" bestFit="1" customWidth="1"/>
    <col min="4100" max="4352" width="9" style="3848"/>
    <col min="4353" max="4353" width="25.875" style="3848" bestFit="1" customWidth="1"/>
    <col min="4354" max="4354" width="17.375" style="3848" customWidth="1"/>
    <col min="4355" max="4355" width="10.5" style="3848" bestFit="1" customWidth="1"/>
    <col min="4356" max="4608" width="9" style="3848"/>
    <col min="4609" max="4609" width="25.875" style="3848" bestFit="1" customWidth="1"/>
    <col min="4610" max="4610" width="17.375" style="3848" customWidth="1"/>
    <col min="4611" max="4611" width="10.5" style="3848" bestFit="1" customWidth="1"/>
    <col min="4612" max="4864" width="9" style="3848"/>
    <col min="4865" max="4865" width="25.875" style="3848" bestFit="1" customWidth="1"/>
    <col min="4866" max="4866" width="17.375" style="3848" customWidth="1"/>
    <col min="4867" max="4867" width="10.5" style="3848" bestFit="1" customWidth="1"/>
    <col min="4868" max="5120" width="9" style="3848"/>
    <col min="5121" max="5121" width="25.875" style="3848" bestFit="1" customWidth="1"/>
    <col min="5122" max="5122" width="17.375" style="3848" customWidth="1"/>
    <col min="5123" max="5123" width="10.5" style="3848" bestFit="1" customWidth="1"/>
    <col min="5124" max="5376" width="9" style="3848"/>
    <col min="5377" max="5377" width="25.875" style="3848" bestFit="1" customWidth="1"/>
    <col min="5378" max="5378" width="17.375" style="3848" customWidth="1"/>
    <col min="5379" max="5379" width="10.5" style="3848" bestFit="1" customWidth="1"/>
    <col min="5380" max="5632" width="9" style="3848"/>
    <col min="5633" max="5633" width="25.875" style="3848" bestFit="1" customWidth="1"/>
    <col min="5634" max="5634" width="17.375" style="3848" customWidth="1"/>
    <col min="5635" max="5635" width="10.5" style="3848" bestFit="1" customWidth="1"/>
    <col min="5636" max="5888" width="9" style="3848"/>
    <col min="5889" max="5889" width="25.875" style="3848" bestFit="1" customWidth="1"/>
    <col min="5890" max="5890" width="17.375" style="3848" customWidth="1"/>
    <col min="5891" max="5891" width="10.5" style="3848" bestFit="1" customWidth="1"/>
    <col min="5892" max="6144" width="9" style="3848"/>
    <col min="6145" max="6145" width="25.875" style="3848" bestFit="1" customWidth="1"/>
    <col min="6146" max="6146" width="17.375" style="3848" customWidth="1"/>
    <col min="6147" max="6147" width="10.5" style="3848" bestFit="1" customWidth="1"/>
    <col min="6148" max="6400" width="9" style="3848"/>
    <col min="6401" max="6401" width="25.875" style="3848" bestFit="1" customWidth="1"/>
    <col min="6402" max="6402" width="17.375" style="3848" customWidth="1"/>
    <col min="6403" max="6403" width="10.5" style="3848" bestFit="1" customWidth="1"/>
    <col min="6404" max="6656" width="9" style="3848"/>
    <col min="6657" max="6657" width="25.875" style="3848" bestFit="1" customWidth="1"/>
    <col min="6658" max="6658" width="17.375" style="3848" customWidth="1"/>
    <col min="6659" max="6659" width="10.5" style="3848" bestFit="1" customWidth="1"/>
    <col min="6660" max="6912" width="9" style="3848"/>
    <col min="6913" max="6913" width="25.875" style="3848" bestFit="1" customWidth="1"/>
    <col min="6914" max="6914" width="17.375" style="3848" customWidth="1"/>
    <col min="6915" max="6915" width="10.5" style="3848" bestFit="1" customWidth="1"/>
    <col min="6916" max="7168" width="9" style="3848"/>
    <col min="7169" max="7169" width="25.875" style="3848" bestFit="1" customWidth="1"/>
    <col min="7170" max="7170" width="17.375" style="3848" customWidth="1"/>
    <col min="7171" max="7171" width="10.5" style="3848" bestFit="1" customWidth="1"/>
    <col min="7172" max="7424" width="9" style="3848"/>
    <col min="7425" max="7425" width="25.875" style="3848" bestFit="1" customWidth="1"/>
    <col min="7426" max="7426" width="17.375" style="3848" customWidth="1"/>
    <col min="7427" max="7427" width="10.5" style="3848" bestFit="1" customWidth="1"/>
    <col min="7428" max="7680" width="9" style="3848"/>
    <col min="7681" max="7681" width="25.875" style="3848" bestFit="1" customWidth="1"/>
    <col min="7682" max="7682" width="17.375" style="3848" customWidth="1"/>
    <col min="7683" max="7683" width="10.5" style="3848" bestFit="1" customWidth="1"/>
    <col min="7684" max="7936" width="9" style="3848"/>
    <col min="7937" max="7937" width="25.875" style="3848" bestFit="1" customWidth="1"/>
    <col min="7938" max="7938" width="17.375" style="3848" customWidth="1"/>
    <col min="7939" max="7939" width="10.5" style="3848" bestFit="1" customWidth="1"/>
    <col min="7940" max="8192" width="9" style="3848"/>
    <col min="8193" max="8193" width="25.875" style="3848" bestFit="1" customWidth="1"/>
    <col min="8194" max="8194" width="17.375" style="3848" customWidth="1"/>
    <col min="8195" max="8195" width="10.5" style="3848" bestFit="1" customWidth="1"/>
    <col min="8196" max="8448" width="9" style="3848"/>
    <col min="8449" max="8449" width="25.875" style="3848" bestFit="1" customWidth="1"/>
    <col min="8450" max="8450" width="17.375" style="3848" customWidth="1"/>
    <col min="8451" max="8451" width="10.5" style="3848" bestFit="1" customWidth="1"/>
    <col min="8452" max="8704" width="9" style="3848"/>
    <col min="8705" max="8705" width="25.875" style="3848" bestFit="1" customWidth="1"/>
    <col min="8706" max="8706" width="17.375" style="3848" customWidth="1"/>
    <col min="8707" max="8707" width="10.5" style="3848" bestFit="1" customWidth="1"/>
    <col min="8708" max="8960" width="9" style="3848"/>
    <col min="8961" max="8961" width="25.875" style="3848" bestFit="1" customWidth="1"/>
    <col min="8962" max="8962" width="17.375" style="3848" customWidth="1"/>
    <col min="8963" max="8963" width="10.5" style="3848" bestFit="1" customWidth="1"/>
    <col min="8964" max="9216" width="9" style="3848"/>
    <col min="9217" max="9217" width="25.875" style="3848" bestFit="1" customWidth="1"/>
    <col min="9218" max="9218" width="17.375" style="3848" customWidth="1"/>
    <col min="9219" max="9219" width="10.5" style="3848" bestFit="1" customWidth="1"/>
    <col min="9220" max="9472" width="9" style="3848"/>
    <col min="9473" max="9473" width="25.875" style="3848" bestFit="1" customWidth="1"/>
    <col min="9474" max="9474" width="17.375" style="3848" customWidth="1"/>
    <col min="9475" max="9475" width="10.5" style="3848" bestFit="1" customWidth="1"/>
    <col min="9476" max="9728" width="9" style="3848"/>
    <col min="9729" max="9729" width="25.875" style="3848" bestFit="1" customWidth="1"/>
    <col min="9730" max="9730" width="17.375" style="3848" customWidth="1"/>
    <col min="9731" max="9731" width="10.5" style="3848" bestFit="1" customWidth="1"/>
    <col min="9732" max="9984" width="9" style="3848"/>
    <col min="9985" max="9985" width="25.875" style="3848" bestFit="1" customWidth="1"/>
    <col min="9986" max="9986" width="17.375" style="3848" customWidth="1"/>
    <col min="9987" max="9987" width="10.5" style="3848" bestFit="1" customWidth="1"/>
    <col min="9988" max="10240" width="9" style="3848"/>
    <col min="10241" max="10241" width="25.875" style="3848" bestFit="1" customWidth="1"/>
    <col min="10242" max="10242" width="17.375" style="3848" customWidth="1"/>
    <col min="10243" max="10243" width="10.5" style="3848" bestFit="1" customWidth="1"/>
    <col min="10244" max="10496" width="9" style="3848"/>
    <col min="10497" max="10497" width="25.875" style="3848" bestFit="1" customWidth="1"/>
    <col min="10498" max="10498" width="17.375" style="3848" customWidth="1"/>
    <col min="10499" max="10499" width="10.5" style="3848" bestFit="1" customWidth="1"/>
    <col min="10500" max="10752" width="9" style="3848"/>
    <col min="10753" max="10753" width="25.875" style="3848" bestFit="1" customWidth="1"/>
    <col min="10754" max="10754" width="17.375" style="3848" customWidth="1"/>
    <col min="10755" max="10755" width="10.5" style="3848" bestFit="1" customWidth="1"/>
    <col min="10756" max="11008" width="9" style="3848"/>
    <col min="11009" max="11009" width="25.875" style="3848" bestFit="1" customWidth="1"/>
    <col min="11010" max="11010" width="17.375" style="3848" customWidth="1"/>
    <col min="11011" max="11011" width="10.5" style="3848" bestFit="1" customWidth="1"/>
    <col min="11012" max="11264" width="9" style="3848"/>
    <col min="11265" max="11265" width="25.875" style="3848" bestFit="1" customWidth="1"/>
    <col min="11266" max="11266" width="17.375" style="3848" customWidth="1"/>
    <col min="11267" max="11267" width="10.5" style="3848" bestFit="1" customWidth="1"/>
    <col min="11268" max="11520" width="9" style="3848"/>
    <col min="11521" max="11521" width="25.875" style="3848" bestFit="1" customWidth="1"/>
    <col min="11522" max="11522" width="17.375" style="3848" customWidth="1"/>
    <col min="11523" max="11523" width="10.5" style="3848" bestFit="1" customWidth="1"/>
    <col min="11524" max="11776" width="9" style="3848"/>
    <col min="11777" max="11777" width="25.875" style="3848" bestFit="1" customWidth="1"/>
    <col min="11778" max="11778" width="17.375" style="3848" customWidth="1"/>
    <col min="11779" max="11779" width="10.5" style="3848" bestFit="1" customWidth="1"/>
    <col min="11780" max="12032" width="9" style="3848"/>
    <col min="12033" max="12033" width="25.875" style="3848" bestFit="1" customWidth="1"/>
    <col min="12034" max="12034" width="17.375" style="3848" customWidth="1"/>
    <col min="12035" max="12035" width="10.5" style="3848" bestFit="1" customWidth="1"/>
    <col min="12036" max="12288" width="9" style="3848"/>
    <col min="12289" max="12289" width="25.875" style="3848" bestFit="1" customWidth="1"/>
    <col min="12290" max="12290" width="17.375" style="3848" customWidth="1"/>
    <col min="12291" max="12291" width="10.5" style="3848" bestFit="1" customWidth="1"/>
    <col min="12292" max="12544" width="9" style="3848"/>
    <col min="12545" max="12545" width="25.875" style="3848" bestFit="1" customWidth="1"/>
    <col min="12546" max="12546" width="17.375" style="3848" customWidth="1"/>
    <col min="12547" max="12547" width="10.5" style="3848" bestFit="1" customWidth="1"/>
    <col min="12548" max="12800" width="9" style="3848"/>
    <col min="12801" max="12801" width="25.875" style="3848" bestFit="1" customWidth="1"/>
    <col min="12802" max="12802" width="17.375" style="3848" customWidth="1"/>
    <col min="12803" max="12803" width="10.5" style="3848" bestFit="1" customWidth="1"/>
    <col min="12804" max="13056" width="9" style="3848"/>
    <col min="13057" max="13057" width="25.875" style="3848" bestFit="1" customWidth="1"/>
    <col min="13058" max="13058" width="17.375" style="3848" customWidth="1"/>
    <col min="13059" max="13059" width="10.5" style="3848" bestFit="1" customWidth="1"/>
    <col min="13060" max="13312" width="9" style="3848"/>
    <col min="13313" max="13313" width="25.875" style="3848" bestFit="1" customWidth="1"/>
    <col min="13314" max="13314" width="17.375" style="3848" customWidth="1"/>
    <col min="13315" max="13315" width="10.5" style="3848" bestFit="1" customWidth="1"/>
    <col min="13316" max="13568" width="9" style="3848"/>
    <col min="13569" max="13569" width="25.875" style="3848" bestFit="1" customWidth="1"/>
    <col min="13570" max="13570" width="17.375" style="3848" customWidth="1"/>
    <col min="13571" max="13571" width="10.5" style="3848" bestFit="1" customWidth="1"/>
    <col min="13572" max="13824" width="9" style="3848"/>
    <col min="13825" max="13825" width="25.875" style="3848" bestFit="1" customWidth="1"/>
    <col min="13826" max="13826" width="17.375" style="3848" customWidth="1"/>
    <col min="13827" max="13827" width="10.5" style="3848" bestFit="1" customWidth="1"/>
    <col min="13828" max="14080" width="9" style="3848"/>
    <col min="14081" max="14081" width="25.875" style="3848" bestFit="1" customWidth="1"/>
    <col min="14082" max="14082" width="17.375" style="3848" customWidth="1"/>
    <col min="14083" max="14083" width="10.5" style="3848" bestFit="1" customWidth="1"/>
    <col min="14084" max="14336" width="9" style="3848"/>
    <col min="14337" max="14337" width="25.875" style="3848" bestFit="1" customWidth="1"/>
    <col min="14338" max="14338" width="17.375" style="3848" customWidth="1"/>
    <col min="14339" max="14339" width="10.5" style="3848" bestFit="1" customWidth="1"/>
    <col min="14340" max="14592" width="9" style="3848"/>
    <col min="14593" max="14593" width="25.875" style="3848" bestFit="1" customWidth="1"/>
    <col min="14594" max="14594" width="17.375" style="3848" customWidth="1"/>
    <col min="14595" max="14595" width="10.5" style="3848" bestFit="1" customWidth="1"/>
    <col min="14596" max="14848" width="9" style="3848"/>
    <col min="14849" max="14849" width="25.875" style="3848" bestFit="1" customWidth="1"/>
    <col min="14850" max="14850" width="17.375" style="3848" customWidth="1"/>
    <col min="14851" max="14851" width="10.5" style="3848" bestFit="1" customWidth="1"/>
    <col min="14852" max="15104" width="9" style="3848"/>
    <col min="15105" max="15105" width="25.875" style="3848" bestFit="1" customWidth="1"/>
    <col min="15106" max="15106" width="17.375" style="3848" customWidth="1"/>
    <col min="15107" max="15107" width="10.5" style="3848" bestFit="1" customWidth="1"/>
    <col min="15108" max="15360" width="9" style="3848"/>
    <col min="15361" max="15361" width="25.875" style="3848" bestFit="1" customWidth="1"/>
    <col min="15362" max="15362" width="17.375" style="3848" customWidth="1"/>
    <col min="15363" max="15363" width="10.5" style="3848" bestFit="1" customWidth="1"/>
    <col min="15364" max="15616" width="9" style="3848"/>
    <col min="15617" max="15617" width="25.875" style="3848" bestFit="1" customWidth="1"/>
    <col min="15618" max="15618" width="17.375" style="3848" customWidth="1"/>
    <col min="15619" max="15619" width="10.5" style="3848" bestFit="1" customWidth="1"/>
    <col min="15620" max="15872" width="9" style="3848"/>
    <col min="15873" max="15873" width="25.875" style="3848" bestFit="1" customWidth="1"/>
    <col min="15874" max="15874" width="17.375" style="3848" customWidth="1"/>
    <col min="15875" max="15875" width="10.5" style="3848" bestFit="1" customWidth="1"/>
    <col min="15876" max="16128" width="9" style="3848"/>
    <col min="16129" max="16129" width="25.875" style="3848" bestFit="1" customWidth="1"/>
    <col min="16130" max="16130" width="17.375" style="3848" customWidth="1"/>
    <col min="16131" max="16131" width="10.5" style="3848" bestFit="1" customWidth="1"/>
    <col min="16132" max="16384" width="9" style="3848"/>
  </cols>
  <sheetData>
    <row r="1" spans="1:2">
      <c r="A1" s="3848" t="s">
        <v>2310</v>
      </c>
      <c r="B1" s="4194">
        <v>6.1</v>
      </c>
    </row>
    <row r="2" spans="1:2">
      <c r="A2" s="3848" t="s">
        <v>2311</v>
      </c>
      <c r="B2" s="4198">
        <v>43151.950682870367</v>
      </c>
    </row>
    <row r="3" spans="1:2">
      <c r="A3" s="3848" t="s">
        <v>2312</v>
      </c>
      <c r="B3" s="4195" t="s">
        <v>2018</v>
      </c>
    </row>
    <row r="4" spans="1:2">
      <c r="A4" s="3848" t="s">
        <v>2313</v>
      </c>
      <c r="B4" s="4195" t="s">
        <v>491</v>
      </c>
    </row>
    <row r="5" spans="1:2">
      <c r="A5" s="3848" t="s">
        <v>2314</v>
      </c>
      <c r="B5" s="4195" t="s">
        <v>2315</v>
      </c>
    </row>
    <row r="6" spans="1:2">
      <c r="A6" s="3848" t="s">
        <v>2316</v>
      </c>
    </row>
    <row r="7" spans="1:2">
      <c r="A7" s="3848" t="s">
        <v>2317</v>
      </c>
      <c r="B7" s="4195" t="s">
        <v>222</v>
      </c>
    </row>
    <row r="8" spans="1:2">
      <c r="A8" s="3848" t="s">
        <v>2318</v>
      </c>
      <c r="B8" s="4195" t="s">
        <v>2319</v>
      </c>
    </row>
    <row r="9" spans="1:2">
      <c r="A9" s="3848" t="s">
        <v>2320</v>
      </c>
      <c r="B9" s="4195" t="s">
        <v>2358</v>
      </c>
    </row>
    <row r="10" spans="1:2">
      <c r="A10" s="3848" t="s">
        <v>2321</v>
      </c>
    </row>
    <row r="11" spans="1:2">
      <c r="A11" s="3848" t="s">
        <v>2322</v>
      </c>
    </row>
    <row r="12" spans="1:2">
      <c r="A12" s="3848" t="s">
        <v>2323</v>
      </c>
    </row>
    <row r="13" spans="1:2">
      <c r="A13" s="3848" t="s">
        <v>2324</v>
      </c>
    </row>
    <row r="14" spans="1:2">
      <c r="A14" s="3848" t="s">
        <v>2325</v>
      </c>
    </row>
    <row r="15" spans="1:2">
      <c r="A15" s="3848" t="s">
        <v>2326</v>
      </c>
    </row>
    <row r="16" spans="1:2">
      <c r="A16" s="3848" t="s">
        <v>2327</v>
      </c>
    </row>
    <row r="17" spans="1:4">
      <c r="A17" s="3848" t="s">
        <v>2328</v>
      </c>
      <c r="B17" s="4195" t="s">
        <v>2359</v>
      </c>
    </row>
    <row r="18" spans="1:4">
      <c r="A18" s="3848" t="s">
        <v>2329</v>
      </c>
      <c r="B18" s="4195" t="s">
        <v>2362</v>
      </c>
    </row>
    <row r="19" spans="1:4">
      <c r="A19" s="3848" t="s">
        <v>2330</v>
      </c>
      <c r="B19" s="4195" t="s">
        <v>605</v>
      </c>
    </row>
    <row r="20" spans="1:4">
      <c r="A20" s="3848" t="s">
        <v>2331</v>
      </c>
      <c r="B20" s="4196">
        <v>103304101</v>
      </c>
    </row>
    <row r="21" spans="1:4">
      <c r="A21" s="3848" t="s">
        <v>2332</v>
      </c>
      <c r="B21" s="4195" t="s">
        <v>605</v>
      </c>
    </row>
    <row r="22" spans="1:4">
      <c r="A22" s="3848" t="s">
        <v>2333</v>
      </c>
      <c r="B22" s="4196">
        <v>2117232</v>
      </c>
    </row>
    <row r="23" spans="1:4">
      <c r="A23" s="3848" t="s">
        <v>1709</v>
      </c>
      <c r="B23" s="4194">
        <v>37.53</v>
      </c>
    </row>
    <row r="24" spans="1:4">
      <c r="A24" s="3848" t="s">
        <v>1635</v>
      </c>
      <c r="B24" s="4195" t="s">
        <v>606</v>
      </c>
      <c r="D24" s="3848" t="s">
        <v>2334</v>
      </c>
    </row>
    <row r="25" spans="1:4">
      <c r="A25" s="3848" t="s">
        <v>2335</v>
      </c>
      <c r="B25" s="4195" t="s">
        <v>2363</v>
      </c>
    </row>
    <row r="26" spans="1:4">
      <c r="A26" s="3848" t="s">
        <v>2336</v>
      </c>
      <c r="B26" s="4195">
        <v>0</v>
      </c>
    </row>
    <row r="27" spans="1:4">
      <c r="A27" s="3848" t="s">
        <v>2337</v>
      </c>
      <c r="B27" s="4195" t="s">
        <v>2338</v>
      </c>
    </row>
    <row r="28" spans="1:4">
      <c r="A28" s="3848" t="s">
        <v>2339</v>
      </c>
      <c r="B28" s="4195" t="s">
        <v>2340</v>
      </c>
    </row>
    <row r="29" spans="1:4">
      <c r="A29" s="3848" t="s">
        <v>2341</v>
      </c>
    </row>
    <row r="30" spans="1:4">
      <c r="A30" s="3848" t="s">
        <v>2342</v>
      </c>
    </row>
    <row r="31" spans="1:4">
      <c r="A31" s="3848" t="s">
        <v>2343</v>
      </c>
    </row>
    <row r="32" spans="1:4">
      <c r="A32" s="3848" t="s">
        <v>2344</v>
      </c>
      <c r="B32" s="4194"/>
    </row>
    <row r="33" spans="1:2">
      <c r="A33" s="3848" t="s">
        <v>2345</v>
      </c>
      <c r="B33" s="4194"/>
    </row>
    <row r="34" spans="1:2">
      <c r="A34" s="3848" t="s">
        <v>2346</v>
      </c>
      <c r="B34" s="4194"/>
    </row>
    <row r="35" spans="1:2">
      <c r="A35" s="3848" t="s">
        <v>2347</v>
      </c>
      <c r="B35" s="4195">
        <v>1000000</v>
      </c>
    </row>
    <row r="36" spans="1:2">
      <c r="A36" s="3848" t="s">
        <v>2348</v>
      </c>
      <c r="B36" s="4195" t="s">
        <v>2360</v>
      </c>
    </row>
    <row r="37" spans="1:2">
      <c r="A37" s="3848" t="s">
        <v>2349</v>
      </c>
      <c r="B37" s="4195" t="s">
        <v>2350</v>
      </c>
    </row>
    <row r="38" spans="1:2">
      <c r="A38" s="3848" t="s">
        <v>2351</v>
      </c>
      <c r="B38" s="4195" t="s">
        <v>2352</v>
      </c>
    </row>
    <row r="39" spans="1:2">
      <c r="A39" s="3848" t="s">
        <v>2353</v>
      </c>
      <c r="B39" s="4195" t="s">
        <v>2361</v>
      </c>
    </row>
    <row r="40" spans="1:2">
      <c r="A40" s="3848" t="s">
        <v>2354</v>
      </c>
      <c r="B40" s="4195">
        <v>1500004839</v>
      </c>
    </row>
    <row r="41" spans="1:2">
      <c r="A41" s="3848" t="s">
        <v>2355</v>
      </c>
      <c r="B41" s="4195">
        <v>1</v>
      </c>
    </row>
    <row r="42" spans="1:2">
      <c r="A42" s="4197" t="s">
        <v>2356</v>
      </c>
    </row>
    <row r="43" spans="1:2">
      <c r="A43" s="3848" t="s">
        <v>2357</v>
      </c>
    </row>
  </sheetData>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13"/>
  <sheetViews>
    <sheetView workbookViewId="0">
      <selection activeCell="E11" sqref="E11"/>
    </sheetView>
  </sheetViews>
  <sheetFormatPr defaultRowHeight="12.75"/>
  <cols>
    <col min="1" max="1" width="25" style="3848" bestFit="1" customWidth="1"/>
    <col min="2" max="256" width="9" style="3848"/>
    <col min="257" max="257" width="25" style="3848" bestFit="1" customWidth="1"/>
    <col min="258" max="512" width="9" style="3848"/>
    <col min="513" max="513" width="25" style="3848" bestFit="1" customWidth="1"/>
    <col min="514" max="768" width="9" style="3848"/>
    <col min="769" max="769" width="25" style="3848" bestFit="1" customWidth="1"/>
    <col min="770" max="1024" width="9" style="3848"/>
    <col min="1025" max="1025" width="25" style="3848" bestFit="1" customWidth="1"/>
    <col min="1026" max="1280" width="9" style="3848"/>
    <col min="1281" max="1281" width="25" style="3848" bestFit="1" customWidth="1"/>
    <col min="1282" max="1536" width="9" style="3848"/>
    <col min="1537" max="1537" width="25" style="3848" bestFit="1" customWidth="1"/>
    <col min="1538" max="1792" width="9" style="3848"/>
    <col min="1793" max="1793" width="25" style="3848" bestFit="1" customWidth="1"/>
    <col min="1794" max="2048" width="9" style="3848"/>
    <col min="2049" max="2049" width="25" style="3848" bestFit="1" customWidth="1"/>
    <col min="2050" max="2304" width="9" style="3848"/>
    <col min="2305" max="2305" width="25" style="3848" bestFit="1" customWidth="1"/>
    <col min="2306" max="2560" width="9" style="3848"/>
    <col min="2561" max="2561" width="25" style="3848" bestFit="1" customWidth="1"/>
    <col min="2562" max="2816" width="9" style="3848"/>
    <col min="2817" max="2817" width="25" style="3848" bestFit="1" customWidth="1"/>
    <col min="2818" max="3072" width="9" style="3848"/>
    <col min="3073" max="3073" width="25" style="3848" bestFit="1" customWidth="1"/>
    <col min="3074" max="3328" width="9" style="3848"/>
    <col min="3329" max="3329" width="25" style="3848" bestFit="1" customWidth="1"/>
    <col min="3330" max="3584" width="9" style="3848"/>
    <col min="3585" max="3585" width="25" style="3848" bestFit="1" customWidth="1"/>
    <col min="3586" max="3840" width="9" style="3848"/>
    <col min="3841" max="3841" width="25" style="3848" bestFit="1" customWidth="1"/>
    <col min="3842" max="4096" width="9" style="3848"/>
    <col min="4097" max="4097" width="25" style="3848" bestFit="1" customWidth="1"/>
    <col min="4098" max="4352" width="9" style="3848"/>
    <col min="4353" max="4353" width="25" style="3848" bestFit="1" customWidth="1"/>
    <col min="4354" max="4608" width="9" style="3848"/>
    <col min="4609" max="4609" width="25" style="3848" bestFit="1" customWidth="1"/>
    <col min="4610" max="4864" width="9" style="3848"/>
    <col min="4865" max="4865" width="25" style="3848" bestFit="1" customWidth="1"/>
    <col min="4866" max="5120" width="9" style="3848"/>
    <col min="5121" max="5121" width="25" style="3848" bestFit="1" customWidth="1"/>
    <col min="5122" max="5376" width="9" style="3848"/>
    <col min="5377" max="5377" width="25" style="3848" bestFit="1" customWidth="1"/>
    <col min="5378" max="5632" width="9" style="3848"/>
    <col min="5633" max="5633" width="25" style="3848" bestFit="1" customWidth="1"/>
    <col min="5634" max="5888" width="9" style="3848"/>
    <col min="5889" max="5889" width="25" style="3848" bestFit="1" customWidth="1"/>
    <col min="5890" max="6144" width="9" style="3848"/>
    <col min="6145" max="6145" width="25" style="3848" bestFit="1" customWidth="1"/>
    <col min="6146" max="6400" width="9" style="3848"/>
    <col min="6401" max="6401" width="25" style="3848" bestFit="1" customWidth="1"/>
    <col min="6402" max="6656" width="9" style="3848"/>
    <col min="6657" max="6657" width="25" style="3848" bestFit="1" customWidth="1"/>
    <col min="6658" max="6912" width="9" style="3848"/>
    <col min="6913" max="6913" width="25" style="3848" bestFit="1" customWidth="1"/>
    <col min="6914" max="7168" width="9" style="3848"/>
    <col min="7169" max="7169" width="25" style="3848" bestFit="1" customWidth="1"/>
    <col min="7170" max="7424" width="9" style="3848"/>
    <col min="7425" max="7425" width="25" style="3848" bestFit="1" customWidth="1"/>
    <col min="7426" max="7680" width="9" style="3848"/>
    <col min="7681" max="7681" width="25" style="3848" bestFit="1" customWidth="1"/>
    <col min="7682" max="7936" width="9" style="3848"/>
    <col min="7937" max="7937" width="25" style="3848" bestFit="1" customWidth="1"/>
    <col min="7938" max="8192" width="9" style="3848"/>
    <col min="8193" max="8193" width="25" style="3848" bestFit="1" customWidth="1"/>
    <col min="8194" max="8448" width="9" style="3848"/>
    <col min="8449" max="8449" width="25" style="3848" bestFit="1" customWidth="1"/>
    <col min="8450" max="8704" width="9" style="3848"/>
    <col min="8705" max="8705" width="25" style="3848" bestFit="1" customWidth="1"/>
    <col min="8706" max="8960" width="9" style="3848"/>
    <col min="8961" max="8961" width="25" style="3848" bestFit="1" customWidth="1"/>
    <col min="8962" max="9216" width="9" style="3848"/>
    <col min="9217" max="9217" width="25" style="3848" bestFit="1" customWidth="1"/>
    <col min="9218" max="9472" width="9" style="3848"/>
    <col min="9473" max="9473" width="25" style="3848" bestFit="1" customWidth="1"/>
    <col min="9474" max="9728" width="9" style="3848"/>
    <col min="9729" max="9729" width="25" style="3848" bestFit="1" customWidth="1"/>
    <col min="9730" max="9984" width="9" style="3848"/>
    <col min="9985" max="9985" width="25" style="3848" bestFit="1" customWidth="1"/>
    <col min="9986" max="10240" width="9" style="3848"/>
    <col min="10241" max="10241" width="25" style="3848" bestFit="1" customWidth="1"/>
    <col min="10242" max="10496" width="9" style="3848"/>
    <col min="10497" max="10497" width="25" style="3848" bestFit="1" customWidth="1"/>
    <col min="10498" max="10752" width="9" style="3848"/>
    <col min="10753" max="10753" width="25" style="3848" bestFit="1" customWidth="1"/>
    <col min="10754" max="11008" width="9" style="3848"/>
    <col min="11009" max="11009" width="25" style="3848" bestFit="1" customWidth="1"/>
    <col min="11010" max="11264" width="9" style="3848"/>
    <col min="11265" max="11265" width="25" style="3848" bestFit="1" customWidth="1"/>
    <col min="11266" max="11520" width="9" style="3848"/>
    <col min="11521" max="11521" width="25" style="3848" bestFit="1" customWidth="1"/>
    <col min="11522" max="11776" width="9" style="3848"/>
    <col min="11777" max="11777" width="25" style="3848" bestFit="1" customWidth="1"/>
    <col min="11778" max="12032" width="9" style="3848"/>
    <col min="12033" max="12033" width="25" style="3848" bestFit="1" customWidth="1"/>
    <col min="12034" max="12288" width="9" style="3848"/>
    <col min="12289" max="12289" width="25" style="3848" bestFit="1" customWidth="1"/>
    <col min="12290" max="12544" width="9" style="3848"/>
    <col min="12545" max="12545" width="25" style="3848" bestFit="1" customWidth="1"/>
    <col min="12546" max="12800" width="9" style="3848"/>
    <col min="12801" max="12801" width="25" style="3848" bestFit="1" customWidth="1"/>
    <col min="12802" max="13056" width="9" style="3848"/>
    <col min="13057" max="13057" width="25" style="3848" bestFit="1" customWidth="1"/>
    <col min="13058" max="13312" width="9" style="3848"/>
    <col min="13313" max="13313" width="25" style="3848" bestFit="1" customWidth="1"/>
    <col min="13314" max="13568" width="9" style="3848"/>
    <col min="13569" max="13569" width="25" style="3848" bestFit="1" customWidth="1"/>
    <col min="13570" max="13824" width="9" style="3848"/>
    <col min="13825" max="13825" width="25" style="3848" bestFit="1" customWidth="1"/>
    <col min="13826" max="14080" width="9" style="3848"/>
    <col min="14081" max="14081" width="25" style="3848" bestFit="1" customWidth="1"/>
    <col min="14082" max="14336" width="9" style="3848"/>
    <col min="14337" max="14337" width="25" style="3848" bestFit="1" customWidth="1"/>
    <col min="14338" max="14592" width="9" style="3848"/>
    <col min="14593" max="14593" width="25" style="3848" bestFit="1" customWidth="1"/>
    <col min="14594" max="14848" width="9" style="3848"/>
    <col min="14849" max="14849" width="25" style="3848" bestFit="1" customWidth="1"/>
    <col min="14850" max="15104" width="9" style="3848"/>
    <col min="15105" max="15105" width="25" style="3848" bestFit="1" customWidth="1"/>
    <col min="15106" max="15360" width="9" style="3848"/>
    <col min="15361" max="15361" width="25" style="3848" bestFit="1" customWidth="1"/>
    <col min="15362" max="15616" width="9" style="3848"/>
    <col min="15617" max="15617" width="25" style="3848" bestFit="1" customWidth="1"/>
    <col min="15618" max="15872" width="9" style="3848"/>
    <col min="15873" max="15873" width="25" style="3848" bestFit="1" customWidth="1"/>
    <col min="15874" max="16128" width="9" style="3848"/>
    <col min="16129" max="16129" width="25" style="3848" bestFit="1" customWidth="1"/>
    <col min="16130" max="16384" width="9" style="3848"/>
  </cols>
  <sheetData>
    <row r="1" spans="1:1">
      <c r="A1" s="4199" t="s">
        <v>2364</v>
      </c>
    </row>
    <row r="2" spans="1:1">
      <c r="A2" s="4199" t="s">
        <v>2369</v>
      </c>
    </row>
    <row r="3" spans="1:1">
      <c r="A3" s="4199" t="s">
        <v>2370</v>
      </c>
    </row>
    <row r="4" spans="1:1">
      <c r="A4" s="4199" t="s">
        <v>2371</v>
      </c>
    </row>
    <row r="5" spans="1:1">
      <c r="A5" s="4199" t="s">
        <v>2372</v>
      </c>
    </row>
    <row r="6" spans="1:1">
      <c r="A6" s="4199" t="s">
        <v>2365</v>
      </c>
    </row>
    <row r="7" spans="1:1">
      <c r="A7" s="4199" t="s">
        <v>2373</v>
      </c>
    </row>
    <row r="8" spans="1:1">
      <c r="A8" s="4199" t="s">
        <v>2374</v>
      </c>
    </row>
    <row r="9" spans="1:1">
      <c r="A9" s="4199" t="s">
        <v>2375</v>
      </c>
    </row>
    <row r="10" spans="1:1">
      <c r="A10" s="4199" t="s">
        <v>2366</v>
      </c>
    </row>
    <row r="11" spans="1:1">
      <c r="A11" s="4199" t="s">
        <v>2376</v>
      </c>
    </row>
    <row r="12" spans="1:1">
      <c r="A12" s="4199" t="s">
        <v>2367</v>
      </c>
    </row>
    <row r="13" spans="1:1">
      <c r="A13" s="4199" t="s">
        <v>2368</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5492231b-b297-419c-aec5-031d5a95a238</GUID>
    <SOURCETYPE>Chart</SOURCETYPE>
    <SOURCE_OBJECTNAME>Chart 1</SOURCE_OBJECTNAME>
    <SOURCE_SHEETCODE>Sheet9</SOURCE_SHEETCODE>
    <SOURCE_SHEETNAME>Tables 2</SOURCE_SHEETNAME>
    <OBJECTTYPE>Native</OBJECTTYPE>
    <SOURCEAPPLICATION>EXCEL_SOURCE</SOURCEAPPLICATION>
    <UPDATEDAT>11/10/2014 3:39:15 PM</UPDATEDAT>
    <SOURCE_ISOUTOFDATE>False</SOURCE_ISOUTOFDATE>
    <SOURCE_WORKBOOKNAME>BYD-WIP.xls</SOURCE_WORKBOOKNAME>
    <SOURCE_WORKBOOKPATH>\\MSAD\ROOT\NA\NY\LIB\ER\GAMING\Strawn\Gaming\Models\BYD</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/MSResearch/Content/ExternalAssets/2014-11/Images/ZVSMZU5yUGYik14OVcA4A--.png</TARGET_BINARYFULLNAME>
    <TARGET_STORYFULLNAME>/MSResearch/Content/ExternalAssets/2014-11/Sections/20141110_033856_Chart1.xml</TARGET_STORYFULLNAME>
    <TARGET_UUID>97c61d08-6919-11e4-a3c3-17411572f345</TARGET_UUID>
    <LINKSTATUS>Unknown</LINKSTATUS>
  </Link>
  <Link>
    <GUID>55a36aa3-aeec-4a35-b1a7-7cd9974eb705</GUID>
    <SOURCE_ALTADDRESS>$G$35:$J$72</SOURCE_ALTADDRESS>
    <SOURCETYPE>Table</SOURCETYPE>
    <SOURCE_OBJECTNAME>Linking_Range_42</SOURCE_OBJECTNAME>
    <OBJECTTYPE>Native</OBJECTTYPE>
    <SOURCE_SHEETCODE>Sheet9</SOURCE_SHEETCODE>
    <SOURCE_SHEETNAME>Tables 2</SOURCE_SHEETNAME>
    <SOURCEAPPLICATION>EXCEL_SOURCE</SOURCEAPPLICATION>
    <UPDATEDAT>3/4/2015 10:46:25 AM</UPDATEDAT>
    <SOURCE_ISOUTOFDATE>False</SOURCE_ISOUTOFDATE>
    <SOURCE_WORKBOOKNAME>BYD-WIP.xls</SOURCE_WORKBOOKNAME>
    <SOURCE_WORKBOOKPATH>\\MSAD\ROOT\NA\NY\LIB\ER\GAMING\Strawn\Gaming\Models\BYD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/MSResearch/Content/ExternalAssets/2015-03/Images/iUkxKnNDiiQAmuscAfZWQ--.png</TARGET_BINARYFULLNAME>
    <TARGET_STORYFULLNAME>/MSResearch/Content/ExternalAssets/2015-03/Sections/20150303_013645_Linking_Range_42.xml</TARGET_STORYFULLNAME>
    <TARGET_UUID>3e7eceac-c1d4-11e4-88af-319e7ae7f514</TARGET_UUID>
    <TRANSPARENTBACKGROUND>False</TRANSPARENTBACKGROUND>
    <TRANSPARENTPLOTAREA>False</TRANSPARENTPLOTAREA>
  </Link>
  <Link>
    <GUID>6816f62e-014c-40ed-b2e3-0b554d0c259d</GUID>
    <SOURCE_ALTADDRESS>$G$35:$J$80</SOURCE_ALTADDRESS>
    <SOURCETYPE>Table</SOURCETYPE>
    <SOURCE_OBJECTNAME>Linking_Range_51</SOURCE_OBJECTNAME>
    <OBJECTTYPE>Native</OBJECTTYPE>
    <SOURCE_SHEETCODE>Sheet9</SOURCE_SHEETCODE>
    <SOURCE_SHEETNAME>Tables 2</SOURCE_SHEETNAME>
    <SOURCEAPPLICATION>EXCEL_SOURCE</SOURCEAPPLICATION>
    <UPDATEDAT>3/26/2015 2:03:10 PM</UPDATEDAT>
    <SOURCE_ISOUTOFDATE>False</SOURCE_ISOUTOFDATE>
    <SOURCE_WORKBOOKNAME>BYD-WIP.xls</SOURCE_WORKBOOKNAME>
    <SOURCE_WORKBOOKPATH>\\MSAD\ROOT\NA\NY\LIB\ER\GAMING\Strawn\Gaming\Models\BYD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/MSResearch/Content/ExternalAssets/2015-03/Images/aYvSz_tX7kq4uFouaYVdQ--.png</TARGET_BINARYFULLNAME>
    <TARGET_STORYFULLNAME>/MSResearch/Content/ExternalAssets/2015-03/Sections/20150326_020305_Linking_Range_51.xml</TARGET_STORYFULLNAME>
    <TARGET_UUID>5a0316ea-d3e2-11e4-85cd-32a6e52d529f</TARGET_UUID>
  </Link>
  <Link>
    <GUID>667924ee-4d9b-49e3-8d7b-985ba13c1320</GUID>
    <SOURCE_ALTADDRESS>$A$6:$BL$87</SOURCE_ALTADDRESS>
    <SOURCETYPE>Table</SOURCETYPE>
    <SOURCE_OBJECTNAME>Linking_Range_52</SOURCE_OBJECTNAME>
    <OBJECTTYPE>Native</OBJECTTYPE>
    <SOURCE_SHEETCODE>Sheet1</SOURCE_SHEETCODE>
    <SOURCE_SHEETNAME>BYD</SOURCE_SHEETNAME>
    <SOURCEAPPLICATION>EXCEL_SOURCE</SOURCEAPPLICATION>
    <UPDATEDAT>3/26/2015 2:04:39 PM</UPDATEDAT>
    <SOURCE_ISOUTOFDATE>False</SOURCE_ISOUTOFDATE>
    <SOURCE_WORKBOOKNAME>BYD-WIP.xls</SOURCE_WORKBOOKNAME>
    <SOURCE_WORKBOOKPATH>\\MSAD\ROOT\NA\NY\LIB\ER\GAMING\Strawn\Gaming\Models\BYD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/MSResearch/Content/ExternalAssets/2015-03/Images/xhLYNibsCEWowPS_sQOH5Q--.png</TARGET_BINARYFULLNAME>
    <TARGET_STORYFULLNAME>/MSResearch/Content/ExternalAssets/2015-03/Sections/20150304_104518_Linking_Range_52.xml</TARGET_STORYFULLNAME>
    <TARGET_UUID>758d8ddc-c285-11e4-88af-319e7ae7f514</TARGET_UUID>
    <TRANSPARENTBACKGROUND>False</TRANSPARENTBACKGROUND>
    <TRANSPARENTPLOTAREA>False</TRANSPARENTPLOTAREA>
  </Link>
  <Link>
    <GUID>c3476ba0-5d7d-45d8-813e-2b7f18c6bfef</GUID>
    <SOURCETYPE>Chart</SOURCETYPE>
    <SOURCE_OBJECTNAME>MWA_Risk_Reward</SOURCE_OBJECTNAME>
    <SOURCE_SHEETCODE>MWRSSData</SOURCE_SHEETCODE>
    <SOURCE_SHEETNAME>MWA RR</SOURCE_SHEETNAME>
    <OBJECTTYPE>Native</OBJECTTYPE>
    <SOURCEAPPLICATION>EXCEL_SOURCE</SOURCEAPPLICATION>
    <UPDATEDAT>5/1/2015 2:11:51 PM</UPDATEDAT>
    <SOURCE_ISOUTOFDATE>False</SOURCE_ISOUTOFDATE>
    <SOURCE_WORKBOOKNAME>BYD-WIP.xls</SOURCE_WORKBOOKNAME>
    <SOURCE_WORKBOOKPATH>\\MSAD\ROOT\NA\NY\LIB\ER\GAMING\Strawn\Gaming\Models\BYD</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/MSResearch/Content/ExternalAssets/2014-10/Images/WalgUviuiKJhGiPTvujQg--.png</TARGET_BINARYFULLNAME>
    <TARGET_STORYFULLNAME>/MSResearch/Content/ExternalAssets/2014-10/Sections/20141030_114526_MWA_Risk_Reward.xml</TARGET_STORYFULLNAME>
    <TARGET_UUID>599a8670-60b0-11e4-9f40-9b8a7e254359</TARGET_UUID>
    <LINKSTATUS>Unknown</LINKSTATUS>
    <HIDEGRIDLINES>False</HIDEGRIDLINES>
    <EXTRACTSOURCEMODE>CopyToClipboard</EXTRACTSOURCEMODE>
  </Link>
  <Link>
    <GUID>ec399984-be6a-4297-9972-ac5bc1c3697c</GUID>
    <SOURCE_ALTADDRESS>$A$6:$BK$87</SOURCE_ALTADDRESS>
    <SOURCETYPE>Table</SOURCETYPE>
    <SOURCE_OBJECTNAME>Linking_Range_50</SOURCE_OBJECTNAME>
    <OBJECTTYPE>Native</OBJECTTYPE>
    <SOURCE_SHEETCODE>Sheet1</SOURCE_SHEETCODE>
    <SOURCE_SHEETNAME>BYD</SOURCE_SHEETNAME>
    <SOURCEAPPLICATION>EXCEL_SOURCE</SOURCEAPPLICATION>
    <UPDATEDAT>5/1/2015 5:01:56 PM</UPDATEDAT>
    <SOURCE_ISOUTOFDATE>False</SOURCE_ISOUTOFDATE>
    <SOURCE_WORKBOOKNAME>BYD-WIP.xls</SOURCE_WORKBOOKNAME>
    <SOURCE_WORKBOOKPATH>\\MSAD\ROOT\NA\NY\LIB\ER\GAMING\Strawn\Gaming\Models\BYD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/MSResearch/Content/ExternalAssets/2014-10/Images/4O4Qul9UO9Uxkq91zBkg--.png</TARGET_BINARYFULLNAME>
    <TARGET_STORYFULLNAME>/MSResearch/Content/ExternalAssets/2014-10/Sections/20141030_114205_Linking_Range_5.xml</TARGET_STORYFULLNAME>
    <TARGET_UUID>e24564dc-60af-11e4-9f40-9b8a7e254359</TARGET_UUID>
    <TRANSPARENTBACKGROUND>False</TRANSPARENTBACKGROUND>
    <TRANSPARENTPLOTAREA>False</TRANSPARENTPLOTAREA>
    <EXTRACTSOURCEMODE>CopyToClipboard</EXTRACTSOURCEMODE>
  </Link>
  <Link>
    <GUID>a5b638f9-785c-4b60-aaec-41deb51c0339</GUID>
    <SOURCE_ALTADDRESS>$A$4:$F$23</SOURCE_ALTADDRESS>
    <SOURCETYPE>Table</SOURCETYPE>
    <SOURCE_OBJECTNAME>Linking_Range_39</SOURCE_OBJECTNAME>
    <OBJECTTYPE>Native</OBJECTTYPE>
    <SOURCE_SHEETCODE>Sheet19</SOURCE_SHEETCODE>
    <SOURCE_SHEETNAME>EBITDA Val</SOURCE_SHEETNAME>
    <SOURCEAPPLICATION>EXCEL_SOURCE</SOURCEAPPLICATION>
    <UPDATEDAT>5/1/2015 5:02:34 PM</UPDATEDAT>
    <SOURCE_ISOUTOFDATE>False</SOURCE_ISOUTOFDATE>
    <SOURCE_WORKBOOKNAME>BYD-WIP.xls</SOURCE_WORKBOOKNAME>
    <SOURCE_WORKBOOKPATH>\\MSAD\ROOT\NA\NY\LIB\ER\GAMING\Strawn\Gaming\Models\BYD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/MSResearch/Content/ExternalAssets/2014-10/Images/FmE3pyDPHEmRQUi9BotZUA--.png</TARGET_BINARYFULLNAME>
    <TARGET_STORYFULLNAME>/MSResearch/Content/ExternalAssets/2014-10/Sections/20141030_113847_Linking_Range_39.xml</TARGET_STORYFULLNAME>
    <TARGET_UUID>6c346842-60af-11e4-9f40-9b8a7e254359</TARGET_UUID>
    <TRANSPARENTBACKGROUND>False</TRANSPARENTBACKGROUND>
    <TRANSPARENTPLOTAREA>False</TRANSPARENTPLOTAREA>
    <EXTRACTSOURCEMODE>CopyToClipboard</EXTRACTSOURCEMODE>
  </Link>
</lk:Links>
</file>

<file path=customXml/item2.xml><?xml version="1.0" encoding="utf-8"?>
<lkmtd:Metadata xmlns:lkmtd="thomsonreuters.linking.metadatachange">
  <MetadataChanged>1</MetadataChanged>
</lkmtd:Metadata>
</file>

<file path=customXml/itemProps1.xml><?xml version="1.0" encoding="utf-8"?>
<ds:datastoreItem xmlns:ds="http://schemas.openxmlformats.org/officeDocument/2006/customXml" ds:itemID="{28AB00F2-63AF-4614-8416-3CC5F45A8563}">
  <ds:schemaRefs>
    <ds:schemaRef ds:uri="thomsonreuters.linking.metadata"/>
  </ds:schemaRefs>
</ds:datastoreItem>
</file>

<file path=customXml/itemProps2.xml><?xml version="1.0" encoding="utf-8"?>
<ds:datastoreItem xmlns:ds="http://schemas.openxmlformats.org/officeDocument/2006/customXml" ds:itemID="{1BCDF282-4351-4E6C-9E6B-8486F4D32AD4}">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240</vt:i4>
      </vt:variant>
    </vt:vector>
  </HeadingPairs>
  <TitlesOfParts>
    <vt:vector size="281" baseType="lpstr">
      <vt:lpstr>ImportantDisclosures</vt:lpstr>
      <vt:lpstr>BYD</vt:lpstr>
      <vt:lpstr>EBITDA Val</vt:lpstr>
      <vt:lpstr>Tables 2</vt:lpstr>
      <vt:lpstr>CompSheet - Output</vt:lpstr>
      <vt:lpstr>Sensitivity</vt:lpstr>
      <vt:lpstr>Tables</vt:lpstr>
      <vt:lpstr>4Q15</vt:lpstr>
      <vt:lpstr>2Q15</vt:lpstr>
      <vt:lpstr>1Q15</vt:lpstr>
      <vt:lpstr>4Q14</vt:lpstr>
      <vt:lpstr>3Q14</vt:lpstr>
      <vt:lpstr>2Q14</vt:lpstr>
      <vt:lpstr>1Q14</vt:lpstr>
      <vt:lpstr>4Q13</vt:lpstr>
      <vt:lpstr>3Q13</vt:lpstr>
      <vt:lpstr>2Q13</vt:lpstr>
      <vt:lpstr>Quarterly Tracker</vt:lpstr>
      <vt:lpstr>Bull-Bear</vt:lpstr>
      <vt:lpstr>ROIC</vt:lpstr>
      <vt:lpstr>Taxes</vt:lpstr>
      <vt:lpstr>1Q13</vt:lpstr>
      <vt:lpstr>4Q12</vt:lpstr>
      <vt:lpstr>3Q12</vt:lpstr>
      <vt:lpstr>2Q12</vt:lpstr>
      <vt:lpstr>DCF Val</vt:lpstr>
      <vt:lpstr>STN</vt:lpstr>
      <vt:lpstr>Acq</vt:lpstr>
      <vt:lpstr>Debt Notes</vt:lpstr>
      <vt:lpstr>1Q12</vt:lpstr>
      <vt:lpstr>4Q11</vt:lpstr>
      <vt:lpstr>3Q11</vt:lpstr>
      <vt:lpstr>2Q11</vt:lpstr>
      <vt:lpstr>1Q11</vt:lpstr>
      <vt:lpstr>4Q10</vt:lpstr>
      <vt:lpstr>3Q10</vt:lpstr>
      <vt:lpstr>2Q10</vt:lpstr>
      <vt:lpstr>1Q10</vt:lpstr>
      <vt:lpstr>Unemployment</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Linking_2</vt:lpstr>
      <vt:lpstr>Linking_3</vt:lpstr>
      <vt:lpstr>Linking_4</vt:lpstr>
      <vt:lpstr>Linking_5</vt:lpstr>
      <vt:lpstr>Linking_6</vt:lpstr>
      <vt:lpstr>Linking_7</vt:lpstr>
      <vt:lpstr>Linking_8</vt:lpstr>
      <vt:lpstr>'1Q12'!Linking_Range_1</vt:lpstr>
      <vt:lpstr>'1Q13'!Linking_Range_1</vt:lpstr>
      <vt:lpstr>'1Q14'!Linking_Range_1</vt:lpstr>
      <vt:lpstr>'1Q15'!Linking_Range_1</vt:lpstr>
      <vt:lpstr>'2Q12'!Linking_Range_1</vt:lpstr>
      <vt:lpstr>'2Q13'!Linking_Range_1</vt:lpstr>
      <vt:lpstr>'2Q14'!Linking_Range_1</vt:lpstr>
      <vt:lpstr>'2Q15'!Linking_Range_1</vt:lpstr>
      <vt:lpstr>'3Q12'!Linking_Range_1</vt:lpstr>
      <vt:lpstr>'3Q13'!Linking_Range_1</vt:lpstr>
      <vt:lpstr>'3Q14'!Linking_Range_1</vt:lpstr>
      <vt:lpstr>'4Q12'!Linking_Range_1</vt:lpstr>
      <vt:lpstr>'4Q13'!Linking_Range_1</vt:lpstr>
      <vt:lpstr>'4Q14'!Linking_Range_1</vt:lpstr>
      <vt:lpstr>'4Q15'!Linking_Range_1</vt:lpstr>
      <vt:lpstr>Linking_Range_1</vt:lpstr>
      <vt:lpstr>Linking_Range_10</vt:lpstr>
      <vt:lpstr>Linking_Range_11</vt:lpstr>
      <vt:lpstr>Linking_Range_12</vt:lpstr>
      <vt:lpstr>Linking_Range_13</vt:lpstr>
      <vt:lpstr>'1Q13'!Linking_Range_14</vt:lpstr>
      <vt:lpstr>'1Q14'!Linking_Range_14</vt:lpstr>
      <vt:lpstr>'1Q15'!Linking_Range_14</vt:lpstr>
      <vt:lpstr>'2Q13'!Linking_Range_14</vt:lpstr>
      <vt:lpstr>'2Q14'!Linking_Range_14</vt:lpstr>
      <vt:lpstr>'2Q15'!Linking_Range_14</vt:lpstr>
      <vt:lpstr>'3Q13'!Linking_Range_14</vt:lpstr>
      <vt:lpstr>'3Q14'!Linking_Range_14</vt:lpstr>
      <vt:lpstr>'4Q12'!Linking_Range_14</vt:lpstr>
      <vt:lpstr>'4Q13'!Linking_Range_14</vt:lpstr>
      <vt:lpstr>'4Q14'!Linking_Range_14</vt:lpstr>
      <vt:lpstr>'4Q15'!Linking_Range_14</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Linking_Range_22</vt:lpstr>
      <vt:lpstr>Linking_Range_23</vt:lpstr>
      <vt:lpstr>Linking_Range_24</vt:lpstr>
      <vt:lpstr>Linking_Range_25</vt:lpstr>
      <vt:lpstr>Linking_Range_26</vt:lpstr>
      <vt:lpstr>Linking_Range_27</vt:lpstr>
      <vt:lpstr>Linking_Range_28</vt:lpstr>
      <vt:lpstr>Linking_Range_29</vt:lpstr>
      <vt:lpstr>'1Q13'!Linking_Range_3</vt:lpstr>
      <vt:lpstr>'1Q14'!Linking_Range_3</vt:lpstr>
      <vt:lpstr>'1Q15'!Linking_Range_3</vt:lpstr>
      <vt:lpstr>'2Q12'!Linking_Range_3</vt:lpstr>
      <vt:lpstr>'2Q13'!Linking_Range_3</vt:lpstr>
      <vt:lpstr>'2Q14'!Linking_Range_3</vt:lpstr>
      <vt:lpstr>'2Q15'!Linking_Range_3</vt:lpstr>
      <vt:lpstr>'3Q12'!Linking_Range_3</vt:lpstr>
      <vt:lpstr>'3Q13'!Linking_Range_3</vt:lpstr>
      <vt:lpstr>'3Q14'!Linking_Range_3</vt:lpstr>
      <vt:lpstr>'4Q12'!Linking_Range_3</vt:lpstr>
      <vt:lpstr>'4Q13'!Linking_Range_3</vt:lpstr>
      <vt:lpstr>'4Q14'!Linking_Range_3</vt:lpstr>
      <vt:lpstr>'4Q15'!Linking_Range_3</vt:lpstr>
      <vt:lpstr>Linking_Range_3</vt:lpstr>
      <vt:lpstr>Linking_Range_30</vt:lpstr>
      <vt:lpstr>Linking_Range_31</vt:lpstr>
      <vt:lpstr>Linking_Range_32</vt:lpstr>
      <vt:lpstr>'1Q14'!Linking_Range_33</vt:lpstr>
      <vt:lpstr>'1Q15'!Linking_Range_33</vt:lpstr>
      <vt:lpstr>'2Q13'!Linking_Range_33</vt:lpstr>
      <vt:lpstr>'2Q14'!Linking_Range_33</vt:lpstr>
      <vt:lpstr>'2Q15'!Linking_Range_33</vt:lpstr>
      <vt:lpstr>'3Q13'!Linking_Range_33</vt:lpstr>
      <vt:lpstr>'3Q14'!Linking_Range_33</vt:lpstr>
      <vt:lpstr>'4Q13'!Linking_Range_33</vt:lpstr>
      <vt:lpstr>'4Q14'!Linking_Range_33</vt:lpstr>
      <vt:lpstr>'4Q15'!Linking_Range_33</vt:lpstr>
      <vt:lpstr>Linking_Range_33</vt:lpstr>
      <vt:lpstr>Linking_Range_34</vt:lpstr>
      <vt:lpstr>Linking_Range_35</vt:lpstr>
      <vt:lpstr>Linking_Range_36</vt:lpstr>
      <vt:lpstr>'1Q14'!Linking_Range_37</vt:lpstr>
      <vt:lpstr>'1Q15'!Linking_Range_37</vt:lpstr>
      <vt:lpstr>'2Q14'!Linking_Range_37</vt:lpstr>
      <vt:lpstr>'2Q15'!Linking_Range_37</vt:lpstr>
      <vt:lpstr>'3Q13'!Linking_Range_37</vt:lpstr>
      <vt:lpstr>'3Q14'!Linking_Range_37</vt:lpstr>
      <vt:lpstr>'4Q13'!Linking_Range_37</vt:lpstr>
      <vt:lpstr>'4Q14'!Linking_Range_37</vt:lpstr>
      <vt:lpstr>'4Q15'!Linking_Range_37</vt:lpstr>
      <vt:lpstr>Linking_Range_37</vt:lpstr>
      <vt:lpstr>Linking_Range_38</vt:lpstr>
      <vt:lpstr>Linking_Range_39</vt:lpstr>
      <vt:lpstr>'1Q13'!Linking_Range_4</vt:lpstr>
      <vt:lpstr>'1Q14'!Linking_Range_4</vt:lpstr>
      <vt:lpstr>'1Q15'!Linking_Range_4</vt:lpstr>
      <vt:lpstr>'2Q12'!Linking_Range_4</vt:lpstr>
      <vt:lpstr>'2Q13'!Linking_Range_4</vt:lpstr>
      <vt:lpstr>'2Q14'!Linking_Range_4</vt:lpstr>
      <vt:lpstr>'2Q15'!Linking_Range_4</vt:lpstr>
      <vt:lpstr>'3Q12'!Linking_Range_4</vt:lpstr>
      <vt:lpstr>'3Q13'!Linking_Range_4</vt:lpstr>
      <vt:lpstr>'3Q14'!Linking_Range_4</vt:lpstr>
      <vt:lpstr>'4Q12'!Linking_Range_4</vt:lpstr>
      <vt:lpstr>'4Q13'!Linking_Range_4</vt:lpstr>
      <vt:lpstr>'4Q14'!Linking_Range_4</vt:lpstr>
      <vt:lpstr>'4Q15'!Linking_Range_4</vt:lpstr>
      <vt:lpstr>Linking_Range_4</vt:lpstr>
      <vt:lpstr>'1Q14'!Linking_Range_40</vt:lpstr>
      <vt:lpstr>'1Q15'!Linking_Range_40</vt:lpstr>
      <vt:lpstr>'2Q14'!Linking_Range_40</vt:lpstr>
      <vt:lpstr>'2Q15'!Linking_Range_40</vt:lpstr>
      <vt:lpstr>'3Q14'!Linking_Range_40</vt:lpstr>
      <vt:lpstr>'4Q13'!Linking_Range_40</vt:lpstr>
      <vt:lpstr>'4Q14'!Linking_Range_40</vt:lpstr>
      <vt:lpstr>'4Q15'!Linking_Range_40</vt:lpstr>
      <vt:lpstr>Linking_Range_40</vt:lpstr>
      <vt:lpstr>Linking_Range_41</vt:lpstr>
      <vt:lpstr>Linking_Range_42</vt:lpstr>
      <vt:lpstr>Linking_Range_43</vt:lpstr>
      <vt:lpstr>Linking_Range_44</vt:lpstr>
      <vt:lpstr>Linking_Range_45</vt:lpstr>
      <vt:lpstr>Linking_Range_46</vt:lpstr>
      <vt:lpstr>Linking_Range_47</vt:lpstr>
      <vt:lpstr>Linking_Range_48</vt:lpstr>
      <vt:lpstr>Linking_Range_49</vt:lpstr>
      <vt:lpstr>Linking_Range_5</vt:lpstr>
      <vt:lpstr>Linking_Range_50</vt:lpstr>
      <vt:lpstr>Linking_Range_51</vt:lpstr>
      <vt:lpstr>Linking_Range_52</vt:lpstr>
      <vt:lpstr>'1Q13'!Linking_Range_6</vt:lpstr>
      <vt:lpstr>'1Q14'!Linking_Range_6</vt:lpstr>
      <vt:lpstr>'1Q15'!Linking_Range_6</vt:lpstr>
      <vt:lpstr>'2Q13'!Linking_Range_6</vt:lpstr>
      <vt:lpstr>'2Q14'!Linking_Range_6</vt:lpstr>
      <vt:lpstr>'2Q15'!Linking_Range_6</vt:lpstr>
      <vt:lpstr>'3Q12'!Linking_Range_6</vt:lpstr>
      <vt:lpstr>'3Q13'!Linking_Range_6</vt:lpstr>
      <vt:lpstr>'3Q14'!Linking_Range_6</vt:lpstr>
      <vt:lpstr>'4Q12'!Linking_Range_6</vt:lpstr>
      <vt:lpstr>'4Q13'!Linking_Range_6</vt:lpstr>
      <vt:lpstr>'4Q14'!Linking_Range_6</vt:lpstr>
      <vt:lpstr>'4Q15'!Linking_Range_6</vt:lpstr>
      <vt:lpstr>Linking_Range_6</vt:lpstr>
      <vt:lpstr>'1Q13'!Linking_Range_7</vt:lpstr>
      <vt:lpstr>'1Q14'!Linking_Range_7</vt:lpstr>
      <vt:lpstr>'1Q15'!Linking_Range_7</vt:lpstr>
      <vt:lpstr>'2Q13'!Linking_Range_7</vt:lpstr>
      <vt:lpstr>'2Q14'!Linking_Range_7</vt:lpstr>
      <vt:lpstr>'2Q15'!Linking_Range_7</vt:lpstr>
      <vt:lpstr>'3Q12'!Linking_Range_7</vt:lpstr>
      <vt:lpstr>'3Q13'!Linking_Range_7</vt:lpstr>
      <vt:lpstr>'3Q14'!Linking_Range_7</vt:lpstr>
      <vt:lpstr>'4Q12'!Linking_Range_7</vt:lpstr>
      <vt:lpstr>'4Q13'!Linking_Range_7</vt:lpstr>
      <vt:lpstr>'4Q14'!Linking_Range_7</vt:lpstr>
      <vt:lpstr>'4Q15'!Linking_Range_7</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BYD!Print_Area</vt:lpstr>
      <vt:lpstr>Sensitivity!Print_Area</vt:lpstr>
      <vt:lpstr>Taxes!Print_Area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1997-05-23T23:47:02Z</dcterms:created>
  <dc:creator>Mark Strawn</dc:creator>
  <cp:lastModifiedBy>Balnarayan, Manjula (Research)</cp:lastModifiedBy>
  <cp:lastPrinted>2018-02-21T01:30:10Z</cp:lastPrinted>
  <dcterms:modified xsi:type="dcterms:W3CDTF">2018-02-21T05:56:16Z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Range_" pid="3">
    <vt:lpwstr>52</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751813</vt:lpwstr>
  </property>
  <property fmtid="{D5CDD505-2E9C-101B-9397-08002B2CF9AE}" name="ERModPubCompanyName" pid="7">
    <vt:lpwstr>Boyd Gaming Corporation</vt:lpwstr>
  </property>
  <property fmtid="{D5CDD505-2E9C-101B-9397-08002B2CF9AE}" name="MSDH34TAG" pid="8">
    <vt:lpwstr>.TEZUF76X5TAHATHESADREYAK-00-INB160+*94600-06=2ae21ece/-16ba/-11e8/-9b87/-2a003cad125e,MD=20180221005714/-0500,ZZ=000Z-3b45.</vt:lpwstr>
  </property>
</Properties>
</file>